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Stock" sheetId="1" r:id="rId5"/>
    <sheet state="visible" name="LIST KACA PINDAHAN " sheetId="2" r:id="rId6"/>
    <sheet state="visible" name="ASAHIMAS SBY" sheetId="3" r:id="rId7"/>
    <sheet state="visible" name="Uang setoran" sheetId="4" r:id="rId8"/>
    <sheet state="visible" name="PENJUALAN" sheetId="5" r:id="rId9"/>
    <sheet state="visible" name="INV TTD A4 2" sheetId="6" r:id="rId10"/>
    <sheet state="visible" name="INV TTD A4 3" sheetId="7" r:id="rId11"/>
    <sheet state="visible" name=" INV TTD A4 1 PDF" sheetId="8" r:id="rId12"/>
    <sheet state="visible" name="INV VIRTUAL" sheetId="9" r:id="rId13"/>
    <sheet state="visible" name="SURAT JALAN" sheetId="10" r:id="rId14"/>
    <sheet state="visible" name="PO" sheetId="11" r:id="rId15"/>
    <sheet state="visible" name=" INV POLOS" sheetId="12" r:id="rId16"/>
    <sheet state="visible" name="INV TTD A4 KF" sheetId="13" r:id="rId17"/>
    <sheet state="visible" name="CEK CICI" sheetId="14" r:id="rId18"/>
    <sheet state="visible" name="TANDA TERIMA" sheetId="15" r:id="rId19"/>
    <sheet state="hidden" name="Sheet23" sheetId="16" r:id="rId20"/>
    <sheet state="visible" name="Copy of  INV TTD A4 1 PDF" sheetId="17" r:id="rId21"/>
    <sheet state="visible" name="PIKET" sheetId="18" r:id="rId22"/>
    <sheet state="visible" name="SJ POLOS" sheetId="19" r:id="rId23"/>
    <sheet state="visible" name="KIRIM BKS" sheetId="20" r:id="rId24"/>
    <sheet state="visible" name="NOTA RETUR" sheetId="21" r:id="rId25"/>
    <sheet state="visible" name="Print alamat" sheetId="22" r:id="rId26"/>
    <sheet state="visible" name="Petty Cash" sheetId="23" r:id="rId27"/>
    <sheet state="visible" name="X" sheetId="24" r:id="rId28"/>
    <sheet state="visible" name="KAS" sheetId="25" r:id="rId29"/>
    <sheet state="hidden" name="Inventory Dalam" sheetId="26" r:id="rId30"/>
    <sheet state="hidden" name="Sheet11" sheetId="27" r:id="rId31"/>
    <sheet state="hidden" name="SPK" sheetId="28" r:id="rId32"/>
    <sheet state="visible" name="MEMO" sheetId="29" r:id="rId33"/>
    <sheet state="visible" name="peti jangan balik" sheetId="30" r:id="rId34"/>
    <sheet state="hidden" name="Barang MJD" sheetId="31" r:id="rId35"/>
    <sheet state="visible" name="2_Barang MJD" sheetId="32" r:id="rId36"/>
    <sheet state="hidden" name="Final_barang_MJD" sheetId="33" r:id="rId37"/>
    <sheet state="hidden" name="HAJIKUMEDIUM" sheetId="34" r:id="rId38"/>
    <sheet state="visible" name="TUGAS DAILY" sheetId="35" r:id="rId39"/>
    <sheet state="hidden" name="KEY ORISINIL" sheetId="36" r:id="rId40"/>
    <sheet state="hidden" name="PL APR24" sheetId="37" r:id="rId41"/>
    <sheet state="hidden" name="KEY BGI" sheetId="38" r:id="rId42"/>
  </sheets>
  <definedNames>
    <definedName localSheetId="13" name="Stock">'CEK CICI'!$A:$N</definedName>
    <definedName name="kirim">'2_Barang MJD'!$A$2:$G$78</definedName>
    <definedName localSheetId="13" name="NamedRange1">'CEK CICI'!$1:$2800</definedName>
    <definedName name="BGI">Sheet23!$A:$U</definedName>
    <definedName name="hpp">HAJIKUMEDIUM!$A$1:$C$546</definedName>
    <definedName name="Stock">'Current Stock'!$A:$M</definedName>
    <definedName name="Tugas">'TUGAS DAILY'!$A:$G</definedName>
    <definedName name="stockKJD">'Current Stock'!$A$3:$I$2096</definedName>
    <definedName name="StockAll">'Current Stock'!$A$1:$M$2105</definedName>
    <definedName name="Penjualan">PENJUALAN!$A$4:$I$11356</definedName>
    <definedName localSheetId="13" name="StockAll">'CEK CICI'!$A$1:$N$2075</definedName>
    <definedName localSheetId="13" name="stockKJD">'CEK CICI'!$A$3:$J$2066</definedName>
    <definedName name="NamedRange1">'Current Stock'!$1:$2833</definedName>
    <definedName hidden="1" localSheetId="13" name="_xlnm._FilterDatabase">'CEK CICI'!$A$1:$N$2076</definedName>
    <definedName hidden="1" localSheetId="30" name="_xlnm._FilterDatabase">'Barang MJD'!$A$1:$Z$131</definedName>
    <definedName hidden="1" localSheetId="32" name="_xlnm._FilterDatabase">Final_barang_MJD!$A$5:$AK$140</definedName>
    <definedName hidden="1" localSheetId="36" name="_xlnm._FilterDatabase">'PL APR24'!$D$1:$D$232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tc={cd35301f-e103-4bbf-84ff-9faf858a3d48}</author>
  </authors>
  <commentList>
    <comment authorId="0" ref="B2179">
      <text>
        <t xml:space="preserve">List pelipit
</t>
      </text>
    </comment>
    <comment authorId="0" ref="B2180">
      <text>
        <t xml:space="preserve">List pelipit
</t>
      </text>
    </comment>
    <comment authorId="1" xr:uid="{cd35301f-e103-4bbf-84ff-9faf858a3d4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kemana?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Nomor invoice pada hari itu yang membayar cash</t>
      </text>
    </comment>
    <comment authorId="0" ref="C1">
      <text>
        <t xml:space="preserve">Total cash yang di terima</t>
      </text>
    </comment>
    <comment authorId="0" ref="D1">
      <text>
        <t xml:space="preserve">total uang cash yang bisa di setor</t>
      </text>
    </comment>
    <comment authorId="0" ref="E1">
      <text>
        <t xml:space="preserve">uang cash yang tidak bisa di setor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tc={03c81bf6-1b26-4390-84fa-01f2bd52994e}</author>
    <author>tc={046af781-75d8-4cd0-86f1-a0af0720923c}</author>
    <author>tc={050babd2-4d07-4fe7-9876-d8063e4e19bb}</author>
    <author>tc={06720027-6fb0-441d-8ea3-34397a15aa21}</author>
    <author>tc={0af908ed-3662-4b94-9e36-97aa7a4fbc38}</author>
    <author>tc={0f4832a0-e2c4-43b9-8e0d-ca498117a5c8}</author>
    <author>tc={11d4a5b1-ed3e-4b04-bc2d-622f03cfd9c2}</author>
    <author>tc={2246fdeb-6f1b-4620-87bc-7a25eb2f3f86}</author>
    <author>tc={25f8e860-ef75-4067-869f-6afe02c9ec59}</author>
    <author>tc={28b76d69-a68c-4b1f-bd04-85cf3343cc53}</author>
    <author>tc={42e19de1-f1f4-4a3f-b457-1edacf4d29df}</author>
    <author>tc={444d6af2-dfe3-4057-95ca-e63c4b87c08d}</author>
    <author>tc={468e475d-197e-4f79-9507-fb7952ed1f5d}</author>
    <author>tc={48637fcc-9cf3-4040-8f77-e05f4be2f003}</author>
    <author>tc={55df5039-617f-4b45-b87b-e1c3adfd0dc8}</author>
    <author>tc={5c4217ca-713f-42a9-8f7b-391d9d6bca9b}</author>
    <author>tc={60fcdb2c-e12b-44bd-ad74-f9d2ada6e8d5}</author>
    <author>tc={64a0dcfc-df81-4c9a-b40b-9b4c25d2a82d}</author>
    <author>tc={6a2f5f63-8879-4c3c-b3ae-718e56d33f95}</author>
    <author>tc={810b3da7-b171-456d-97f7-b360516b8d33}</author>
    <author>tc={862c98c1-b380-4b1f-9e3c-eacc2dbdec09}</author>
    <author>tc={867057c2-b929-447a-9056-0a9c58ee2614}</author>
    <author>tc={8dcb9bd4-14cb-42e1-88d4-417f245e6460}</author>
    <author>tc={96c113c4-2dcf-49ee-90da-3aad1f92c147}</author>
    <author>tc={9925b90b-b22b-491b-b2c9-283c655a5b20}</author>
    <author>tc={aa2ae7ab-767c-4eeb-b767-0c7fd5e86cea}</author>
    <author>tc={b0b0ec32-166c-4134-ae6b-26122df45a45}</author>
    <author>tc={b323cfdc-bbe8-4f5d-9ab6-e01577ccab23}</author>
    <author>tc={b8ac8cf0-f05b-4768-a2a1-a9ab16ecdc31}</author>
    <author>tc={be76457f-bacd-40ff-bdf4-2e5b2ddc06a7}</author>
    <author>tc={c546b255-1a04-4482-bbe9-a8e7ab71d879}</author>
    <author>tc={c93a54c1-353d-44bb-ad37-4e6cca8303e5}</author>
    <author>tc={de4e71e0-4878-4356-a991-795ddd23bc05}</author>
    <author>tc={e253f9e2-3c41-4498-aecd-eafec090de51}</author>
    <author>tc={e59e1c40-66c7-4ba7-a780-863539b6367a}</author>
    <author>tc={eeadda89-922f-44c3-b133-bf4b1f8a401a}</author>
    <author>tc={f537d59d-52ed-4d12-bd6f-a9e935606cfa}</author>
    <author>tc={fe540a8d-6a00-42ec-84f6-f10709fd945d}</author>
  </authors>
  <commentList>
    <comment authorId="0" ref="B59">
      <text>
        <t xml:space="preserve">Retur @1
</t>
      </text>
    </comment>
    <comment authorId="0" ref="R76">
      <text>
        <t xml:space="preserve">lembur 75rb
</t>
      </text>
    </comment>
    <comment authorId="0" ref="R78">
      <text>
        <t xml:space="preserve">lembur 75rb
</t>
      </text>
    </comment>
    <comment authorId="0" ref="C202">
      <text>
        <t xml:space="preserve">ada tanya 
innova 05 fh 
mu 1438
ori toyota 2600</t>
      </text>
    </comment>
    <comment authorId="0" ref="F233">
      <text>
        <t xml:space="preserve">900 perusahaan
</t>
      </text>
    </comment>
    <comment authorId="0" ref="C284">
      <text>
        <t xml:space="preserve">ada tanya brio 2018 model lama hidrolik trw-xyg 1.105.000
ori 1.8jt an estimasi
harga kaca aja</t>
      </text>
    </comment>
    <comment authorId="0" ref="C358">
      <text>
        <t xml:space="preserve">kaca saja
Depan 1.330.000
Rdl frame 2.795.000
dgn pasang
Depan 1.680.000
Rdl frame 2.945.000</t>
      </text>
    </comment>
    <comment authorId="0" ref="C392">
      <text>
        <t xml:space="preserve">NOTA F24052 </t>
      </text>
    </comment>
    <comment authorId="0" ref="B428">
      <text>
        <t xml:space="preserve">F240074</t>
      </text>
    </comment>
    <comment authorId="0" ref="C459">
      <text>
        <t xml:space="preserve">fdl crv07 685
rdl crv07 685</t>
      </text>
    </comment>
    <comment authorId="0" ref="C489">
      <text>
        <t xml:space="preserve">TRW-RIO11xyg 2710 psg</t>
      </text>
    </comment>
    <comment authorId="0" ref="B631">
      <text>
        <t xml:space="preserve">FILM-40STD - 200K
</t>
      </text>
    </comment>
    <comment authorId="0" ref="C637">
      <text>
        <t xml:space="preserve">FILM-40STD - 350K</t>
      </text>
    </comment>
    <comment authorId="0" ref="C644">
      <text>
        <t xml:space="preserve">HILUX</t>
      </text>
    </comment>
    <comment authorId="0" ref="C653">
      <text>
        <t xml:space="preserve">FILM-40STD - 350K</t>
      </text>
    </comment>
    <comment authorId="0" ref="C657">
      <text>
        <t xml:space="preserve">LFW-LIVINA07</t>
      </text>
    </comment>
    <comment authorId="0" ref="B659">
      <text>
        <t xml:space="preserve">FILM-40STD - 350K</t>
      </text>
    </comment>
    <comment authorId="0" ref="C682">
      <text>
        <t xml:space="preserve">FILM-40STD - 100K</t>
      </text>
    </comment>
    <comment authorId="0" ref="C686">
      <text>
        <t xml:space="preserve">FILM-40STD / 400K</t>
      </text>
    </comment>
    <comment authorId="0" ref="C689">
      <text>
        <t xml:space="preserve">FILM-40STD / 350K</t>
      </text>
    </comment>
    <comment authorId="0" ref="C694">
      <text>
        <t xml:space="preserve">TR I240009</t>
      </text>
    </comment>
    <comment authorId="0" ref="B760">
      <text>
        <t xml:space="preserve">I240050</t>
      </text>
    </comment>
    <comment authorId="0" ref="C765">
      <text>
        <t xml:space="preserve">LFW-BRIOMU  1.542.000 </t>
      </text>
    </comment>
    <comment authorId="0" ref="C849">
      <text>
        <t xml:space="preserve">KF 350k</t>
      </text>
    </comment>
    <comment authorId="0" ref="C883">
      <text>
        <t xml:space="preserve">FILM-40STD / 350k</t>
      </text>
    </comment>
    <comment authorId="0" ref="C884">
      <text>
        <t xml:space="preserve">FILM-40STD / 350k</t>
      </text>
    </comment>
    <comment authorId="0" ref="B937">
      <text>
        <t xml:space="preserve">FILM-40STD - 100k
</t>
      </text>
    </comment>
    <comment authorId="0" ref="B960">
      <text>
        <t xml:space="preserve">GARANSI 15BULAN REVIEW GOOGLE</t>
      </text>
    </comment>
    <comment authorId="0" ref="B965">
      <text>
        <t xml:space="preserve">GARANSI 15BULAN REVIEW GOOGLE</t>
      </text>
    </comment>
    <comment authorId="0" ref="B968">
      <text>
        <t xml:space="preserve">GARANSI 15BULAN REVIEW GOOGLE</t>
      </text>
    </comment>
    <comment authorId="0" ref="B969">
      <text>
        <t xml:space="preserve">GARANSI 15BULAN REVIEW GOOGLE</t>
      </text>
    </comment>
    <comment authorId="0" ref="B979">
      <text>
        <t xml:space="preserve">GARANSI 15BULAN REVIEW GOOGLE</t>
      </text>
    </comment>
    <comment authorId="0" ref="B983">
      <text>
        <t xml:space="preserve">GARANSI 15BULAN REVIEW GOOGLE</t>
      </text>
    </comment>
    <comment authorId="0" ref="B984">
      <text>
        <t xml:space="preserve">GARANSI 15BULAN REVIEW GOOGLE</t>
      </text>
    </comment>
    <comment authorId="0" ref="B985">
      <text>
        <t xml:space="preserve">GARANSI 15BULAN REVIEW GOOGLE</t>
      </text>
    </comment>
    <comment authorId="0" ref="B988">
      <text>
        <t xml:space="preserve">LFW Traga</t>
      </text>
    </comment>
    <comment authorId="0" ref="B996">
      <text>
        <t xml:space="preserve">Karat samping, garansi 3 hari 1x claim</t>
      </text>
    </comment>
    <comment authorId="0" ref="B997">
      <text>
        <t xml:space="preserve">Karat full, garansi 3 hari 1x claim</t>
      </text>
    </comment>
    <comment authorId="0" ref="B1002">
      <text>
        <t xml:space="preserve">Garansi 15 bulan, review google maps</t>
      </text>
    </comment>
    <comment authorId="0" ref="B1003">
      <text>
        <t xml:space="preserve">karat, bolong, keropos
tidak ada garansi kebocoran</t>
      </text>
    </comment>
    <comment authorId="0" ref="B1005">
      <text>
        <t xml:space="preserve">GARANSI 15BULAN REVIEW GOOGLE</t>
      </text>
    </comment>
    <comment authorId="0" ref="B1006">
      <text>
        <t xml:space="preserve">GARANSI 15BULAN REVIEW GOOGLE</t>
      </text>
    </comment>
    <comment authorId="0" ref="B1007">
      <text>
        <t xml:space="preserve">GARANSI 15BULAN REVIEW GOOGLE</t>
      </text>
    </comment>
    <comment authorId="0" ref="B1008">
      <text>
        <t xml:space="preserve">GARANSI 15BULAN REVIEW GOOGLE</t>
      </text>
    </comment>
    <comment authorId="0" ref="B1010">
      <text>
        <t xml:space="preserve">GARANSI 15BULAN REVIEW GOOGLE</t>
      </text>
    </comment>
    <comment authorId="0" ref="B1011">
      <text>
        <t xml:space="preserve">GARANSI 15BULAN REVIEW GOOGLE</t>
      </text>
    </comment>
    <comment authorId="0" ref="B1015">
      <text>
        <t xml:space="preserve">GARANSI 15BULAN REVIEW GOOGLE</t>
      </text>
    </comment>
    <comment authorId="0" ref="B1016">
      <text>
        <t xml:space="preserve">REVIEW GOOGLE MAPS
GARANSI KEBOCORAN 15 BULAN</t>
      </text>
    </comment>
    <comment authorId="0" ref="B1018">
      <text>
        <t xml:space="preserve">GARANSI 15BULAN REVIEW GOOGLE</t>
      </text>
    </comment>
    <comment authorId="0" ref="B1022">
      <text>
        <t xml:space="preserve">Review Google Maps
Garansi kebocoran 15 bulan
</t>
      </text>
    </comment>
    <comment authorId="0" ref="B1023">
      <text>
        <t xml:space="preserve">Review Google maps
Garansi Kebocoran 15 bulan</t>
      </text>
    </comment>
    <comment authorId="0" ref="B1028">
      <text>
        <t xml:space="preserve">REVIEW GOOGLE MAPS
GARANSI KEBOCORAN 15 BULAN
FILM-40STD // 350k</t>
      </text>
    </comment>
    <comment authorId="0" ref="B1036">
      <text>
        <t xml:space="preserve">REVIEW GOOGLE MAPS
GARANSI KEBOCORAN 15 BULAN</t>
      </text>
    </comment>
    <comment authorId="0" ref="B1045">
      <text>
        <t xml:space="preserve">REVIEW GOOGLE MAPS
GARANSI KEBOCORAN 15 BULAN</t>
      </text>
    </comment>
    <comment authorId="0" ref="B1046">
      <text>
        <t xml:space="preserve">REVIEW GOOGLE MAPS
GARANSI KEBOCORAN 15 BULAN</t>
      </text>
    </comment>
    <comment authorId="0" ref="B1054">
      <text>
        <t xml:space="preserve">REVIEW GOOGLE MAPS
GARANSI KEBOCORAN 15 BULAN</t>
      </text>
    </comment>
    <comment authorId="0" ref="B1058">
      <text>
        <t xml:space="preserve">REVIEW GOOGLE MAPS
GARANSI KEBOCORAN 15 BULAN</t>
      </text>
    </comment>
    <comment authorId="0" ref="B1059">
      <text>
        <t xml:space="preserve">REVIEW GOOGLE MAPS
GARANSI KEBOCORAN 15 BULAN</t>
      </text>
    </comment>
    <comment authorId="0" ref="B1063">
      <text>
        <t xml:space="preserve">REVIEW GOOGLE MAPS
GARANSI KEBOCORAN 15 BULAN</t>
      </text>
    </comment>
    <comment authorId="0" ref="B1075">
      <text>
        <t xml:space="preserve">REVIEW GOOGLE MAPS
GARANSI KEBOCORAN 15 BULAN</t>
      </text>
    </comment>
    <comment authorId="0" ref="B1078">
      <text>
        <t xml:space="preserve">REVIEW GOOGLE MAPS
GARANSI KEBOCORAN 15 BULAN</t>
      </text>
    </comment>
    <comment authorId="0" ref="B1079">
      <text>
        <t xml:space="preserve">REVIEW GOOGLE MAPS
GARANSI KEBOCORAN 15 BULAN
FILM-40STD 400k</t>
      </text>
    </comment>
    <comment authorId="0" ref="B1080">
      <text>
        <t xml:space="preserve">REVIEW GOOGLE MAPS
GARANSI KEBOCORAN 15 BULAN</t>
      </text>
    </comment>
    <comment authorId="0" ref="B1081">
      <text>
        <t xml:space="preserve">REVIEW GOOGLE MAPS
GARANSI KEBOCORAN 15 BULAN</t>
      </text>
    </comment>
    <comment authorId="0" ref="B1082">
      <text>
        <t xml:space="preserve">REVIEW GOOGLE MAPS
GARANSI KEBOCORAN 15 BULAN</t>
      </text>
    </comment>
    <comment authorId="0" ref="B1083">
      <text>
        <t xml:space="preserve">REVIEW GOOGLE MAPS
GARANSI KEBOCORAN 15 BULAN</t>
      </text>
    </comment>
    <comment authorId="0" ref="B1088">
      <text>
        <t xml:space="preserve">REVIEW GOOGLE MAPS
GARANSI KEBOCORAN 15 BULAN</t>
      </text>
    </comment>
    <comment authorId="0" ref="B1089">
      <text>
        <t xml:space="preserve">REVIEW GOOGLE MAPS
GARANSI KEBOCORAN 15 BULAN</t>
      </text>
    </comment>
    <comment authorId="0" ref="B1090">
      <text>
        <t xml:space="preserve">REVIEW GOOGLE MAPS
GARANSI KEBOCORAN 15 BULAN</t>
      </text>
    </comment>
    <comment authorId="0" ref="B1092">
      <text>
        <t xml:space="preserve">REVIEW GOOGLE MAPS
GARANSI KEBOCORAN 15 BULAN</t>
      </text>
    </comment>
    <comment authorId="0" ref="B1093">
      <text>
        <t xml:space="preserve">REVIEW GOOGLE MAPS
GARANSI KEBOCORAN 15 BULAN</t>
      </text>
    </comment>
    <comment authorId="0" ref="B1097">
      <text>
        <t xml:space="preserve">REVIEW GOOGLE MAPS
GARANSI KEBOCORAN 15 BULAN</t>
      </text>
    </comment>
    <comment authorId="0" ref="B1102">
      <text>
        <t xml:space="preserve">REVIEW GOOGLE MAPS
GARANSI KEBOCORAN 15 BULAN</t>
      </text>
    </comment>
    <comment authorId="0" ref="B1108">
      <text>
        <t xml:space="preserve">REVIEW GOOGLE MAPS
GARANSI KEBOCORAN 15 BULAN</t>
      </text>
    </comment>
    <comment authorId="0" ref="B1110">
      <text>
        <t xml:space="preserve">REVIEW GOOGLE MAPS
GARANSI KEBOCORAN 15 BULAN</t>
      </text>
    </comment>
    <comment authorId="0" ref="B1113">
      <text>
        <t xml:space="preserve">REVIEW GOOGLE MAPS
GARANSI KEBOCORAN 15 BULAN</t>
      </text>
    </comment>
    <comment authorId="0" ref="B1122">
      <text>
        <t xml:space="preserve">REVIEW GOOGLE MAPS
GARANSI KEBOCORAN 15 BULAN</t>
      </text>
    </comment>
    <comment authorId="0" ref="B1124">
      <text>
        <t xml:space="preserve">REVIEW GOOGLE MAPS
GARANSI KEBOCORAN 15 BULAN</t>
      </text>
    </comment>
    <comment authorId="0" ref="B1128">
      <text>
        <t xml:space="preserve">REVIEW GOOGLE MAPS
GARANSI KEBOCORAN 15 BULAN</t>
      </text>
    </comment>
    <comment authorId="0" ref="B1135">
      <text>
        <t xml:space="preserve">REVIEW GOOGLE MAPS
GARANSI KEBOCORAN 15 BULAN</t>
      </text>
    </comment>
    <comment authorId="0" ref="B1141">
      <text>
        <t xml:space="preserve">potong GAJI Des
Dimas Rp. 208.000
Ade Rp. 208.000</t>
      </text>
    </comment>
    <comment authorId="0" ref="B1142">
      <text>
        <t xml:space="preserve">Wisman Rp. 100.000
Guntur Rp. 706.000
31/12/2024 - Rp. 235.333
31/01/2025 - Rp. 235.333
28/02/2025 - Rp. 235.333
</t>
      </text>
    </comment>
    <comment authorId="0" ref="B1147">
      <text>
        <t xml:space="preserve">FILM-40STD 1000K
</t>
      </text>
    </comment>
    <comment authorId="0" ref="B1148">
      <text>
        <t xml:space="preserve">REVIEW GOOGLE MAPS
GARANSI KEBOCORAN 15 BULAN</t>
      </text>
    </comment>
    <comment authorId="0" ref="B1155">
      <text>
        <t xml:space="preserve">REVIEW GOOGLE MAPS
GARANSI KEBOCORAN 15 BULAN</t>
      </text>
    </comment>
    <comment authorId="0" ref="B1156">
      <text>
        <t xml:space="preserve">REVIEW GARANSI 3HR</t>
      </text>
    </comment>
    <comment authorId="0" ref="B1158">
      <text>
        <t xml:space="preserve">REVIEW GOOGLE MAPS
GARANSI KEBOCORAN 15 BULAN</t>
      </text>
    </comment>
    <comment authorId="0" ref="B1163">
      <text>
        <t xml:space="preserve">REVIEW GOOGLE MAPS
GARANSI KEBOCORAN 15 BULAN</t>
      </text>
    </comment>
    <comment authorId="0" ref="B1168">
      <text>
        <t xml:space="preserve">Refund total TRW-E46
Biaya pemasangan Rp.2,692,000 
Biaya Cargo Rp,349.000
Total = Rp,3,041,000
0584 0100 1893 567
BRI a.n Didik Mardiana</t>
      </text>
    </comment>
    <comment authorId="0" ref="B1171">
      <text>
        <t xml:space="preserve">REVIEW GOOGLE MAPS
GARANSI KEBOCORAN 15 BULAN</t>
      </text>
    </comment>
    <comment authorId="0" ref="B1172">
      <text>
        <t xml:space="preserve">REVIEW GOOGLE MAPS
GARANSI KEBOCORAN 15 BULAN</t>
      </text>
    </comment>
    <comment authorId="0" ref="B1173">
      <text>
        <t xml:space="preserve">REVIEW GOOGLE MAPS
GARANSI KEBOCORAN 15 BULAN</t>
      </text>
    </comment>
    <comment authorId="0" ref="B1181">
      <text>
        <t xml:space="preserve">REVIEW GOOGLE MAPS
GARANSI KEBOCORAN 15 BULAN</t>
      </text>
    </comment>
    <comment authorId="0" ref="B1186">
      <text>
        <t xml:space="preserve">REVIEW GOOGLE MAPS
GARANSI KEBOCORAN 15 BULAN</t>
      </text>
    </comment>
    <comment authorId="0" ref="B1188">
      <text>
        <t xml:space="preserve">REVIEW GOOGLE MAPS
GARANSI KEBOCORAN 15 BULAN</t>
      </text>
    </comment>
    <comment authorId="0" ref="B1190">
      <text>
        <t xml:space="preserve">FILM-40STD - 350</t>
      </text>
    </comment>
    <comment authorId="0" ref="B1195">
      <text>
        <t xml:space="preserve">REVIEW GOOGLE MAPS
GARANSI KEBOCORAN 15 BULAN</t>
      </text>
    </comment>
    <comment authorId="0" ref="B1199">
      <text>
        <t xml:space="preserve">REVIEW GOOGLE MAPS
GARANSI KEBOCORAN 15 BULAN</t>
      </text>
    </comment>
    <comment authorId="0" ref="B1207">
      <text>
        <t xml:space="preserve">REVIEW GOOGLE MAPS
GARANSI KEBOCORAN 15 BULAN</t>
      </text>
    </comment>
    <comment authorId="0" ref="B1208">
      <text>
        <t xml:space="preserve">Pengembalian dana tokped LFW-ISTXYG Pengembalian dana 3.470.000
untuk peti kayu sudah tf BCA 200rb</t>
      </text>
    </comment>
    <comment authorId="0" ref="B1212">
      <text>
        <t xml:space="preserve">REVIEW GOOGLE MAPS
GARANSI KEBOCORAN 15 BULAN</t>
      </text>
    </comment>
    <comment authorId="0" ref="B1213">
      <text>
        <t xml:space="preserve">REVIEW GOOGLE MAPS
GARANSI KEBOCORAN 15 BULAN</t>
      </text>
    </comment>
    <comment authorId="0" ref="B1217">
      <text>
        <t xml:space="preserve">REVIEW GOOGLE MAPS
GARANSI KEBOCORAN 15 BULAN
FILM-40STD 350</t>
      </text>
    </comment>
    <comment authorId="0" ref="B1219">
      <text>
        <t xml:space="preserve">REVIEW GOOGLE MAPS
GARANSI KEBOCORAN 15 BULAN</t>
      </text>
    </comment>
    <comment authorId="0" ref="B1220">
      <text>
        <t xml:space="preserve">REVIEW GOOGLE MAPS
GARANSI KEBOCORAN 15 BULAN</t>
      </text>
    </comment>
    <comment authorId="0" ref="B1222">
      <text>
        <t xml:space="preserve">REVIEW GOOGLE MAPS
GARANSI KEBOCORAN 15 BULAN</t>
      </text>
    </comment>
    <comment authorId="0" ref="B1226">
      <text>
        <t xml:space="preserve">REVIEW GOOGLE MAPS
GARANSI KEBOCORAN 15 BULAN</t>
      </text>
    </comment>
    <comment authorId="0" ref="B1227">
      <text>
        <t xml:space="preserve">REVIEW GOOGLE MAPS
GARANSI KEBOCORAN 15 BULAN</t>
      </text>
    </comment>
    <comment authorId="0" ref="B1228">
      <text>
        <t xml:space="preserve">REVIEW GOOGLE MAPS
GARANSI KEBOCORAN 15 BULAN</t>
      </text>
    </comment>
    <comment authorId="0" ref="B1229">
      <text>
        <t xml:space="preserve">REVIEW GOOGLE MAPS
GARANSI KEBOCORAN 15 BULAN</t>
      </text>
    </comment>
    <comment authorId="0" ref="B1231">
      <text>
        <t xml:space="preserve">REVIEW GOOGLE MAPS
GARANSI KEBOCORAN 15 BULAN</t>
      </text>
    </comment>
    <comment authorId="0" ref="B1232">
      <text>
        <t xml:space="preserve">REVIEW GOOGLE MAPS
GARANSI KEBOCORAN 15 BULAN</t>
      </text>
    </comment>
    <comment authorId="0" ref="B1233">
      <text>
        <t xml:space="preserve">REVIEW GOOGLE MAPS
GARANSI KEBOCORAN  15 BULAN</t>
      </text>
    </comment>
    <comment authorId="0" ref="B1236">
      <text>
        <t xml:space="preserve">REVIEW GOOGLE MAPS
GARANSI KEBOCORAN 23 BULAN</t>
      </text>
    </comment>
    <comment authorId="0" ref="B1238">
      <text>
        <t xml:space="preserve">REVIEW GOOGLE MAPS
GARANSI KEBOCORAN 15 BULAN</t>
      </text>
    </comment>
    <comment authorId="0" ref="B1242">
      <text>
        <t xml:space="preserve">REVIEW GOOGLE MAPS
GARANSI KEBOCORAN 15 BULAN</t>
      </text>
    </comment>
    <comment authorId="0" ref="B1243">
      <text>
        <t xml:space="preserve">REVIEW GOOGLE MAPS
GARANSI KEBOCORAN 15 BULAN</t>
      </text>
    </comment>
    <comment authorId="0" ref="B1244">
      <text>
        <t xml:space="preserve">REVIEW GOOGLE MAPS
GARANSI KEBOCORAN 15 BULAN</t>
      </text>
    </comment>
    <comment authorId="0" ref="B1246">
      <text>
        <t xml:space="preserve">REVIEW GOOGLE MAPS
GARANSI KEBOCORAN 15 BULAN</t>
      </text>
    </comment>
    <comment authorId="0" ref="B1249">
      <text>
        <t xml:space="preserve">REVIEW GOOGLE MAPS
GARANSI KEBOCORAN 15 BULAN</t>
      </text>
    </comment>
    <comment authorId="0" ref="B1251">
      <text>
        <t xml:space="preserve">REVIEW GOOGLE MAPS
GARANSI KEBOCORAN 15 BULAN</t>
      </text>
    </comment>
    <comment authorId="0" ref="B1256">
      <text>
        <t xml:space="preserve">REVIEW GOOGLE MAPS
GARANSI KEBOCORAN 15 BULAN</t>
      </text>
    </comment>
    <comment authorId="0" ref="B1258">
      <text>
        <t xml:space="preserve">REVIEW GOOGLE MAPS
GARANSI KEBOCORAN 15 BULAN</t>
      </text>
    </comment>
    <comment authorId="0" ref="B1260">
      <text>
        <t xml:space="preserve">REVIEW GOOGLE MAPS
GARANSI KEBOCORAN 15 BULAN</t>
      </text>
    </comment>
    <comment authorId="0" ref="B1261">
      <text>
        <t xml:space="preserve">REVIEW GOOGLE MAPS
GARANSI KEBOCORAN 15 BULAN</t>
      </text>
    </comment>
    <comment authorId="0" ref="B1263">
      <text>
        <t xml:space="preserve">REVIEW GOOGLE MAPS
GARANSI KEBOCORAN 15 BULAN
</t>
      </text>
    </comment>
    <comment authorId="0" ref="B1270">
      <text>
        <t xml:space="preserve">REVIEW GOOGLE MAPS
GARANSI KEBOCORAN 15 BULAN</t>
      </text>
    </comment>
    <comment authorId="0" ref="B1275">
      <text>
        <t xml:space="preserve">REVIEW GOOGLE MAPS
GARANSI KEBOCORAN 15 BULAN</t>
      </text>
    </comment>
    <comment authorId="0" ref="B1276">
      <text>
        <t xml:space="preserve">REVIEW GOOGLE MAPS
GARANSI KEBOCORAN 15 BULAN</t>
      </text>
    </comment>
    <comment authorId="0" ref="B1278">
      <text>
        <t xml:space="preserve">REVIEW GOOGLE MAPS
GARANSI KEBOCORAN 1 TAHUN 1X CLAIM</t>
      </text>
    </comment>
    <comment authorId="0" ref="B1279">
      <text>
        <t xml:space="preserve">REVIEW GOOGLE MAPS
GARANSI KEBOCORAN 15 BULAN</t>
      </text>
    </comment>
    <comment authorId="0" ref="B1284">
      <text>
        <t xml:space="preserve">REVIEW GOOGLE MAPS
GARANSI KEBOCORAN 15 BULAN</t>
      </text>
    </comment>
    <comment authorId="0" ref="B1286">
      <text>
        <t xml:space="preserve">REVIEW GOOGLE MAPS
GARANSI KEBOCORAN 15 BULAN</t>
      </text>
    </comment>
    <comment authorId="0" ref="B1288">
      <text>
        <t xml:space="preserve">REVIEW GOOGLE MAPS
GARANSI KEBOCORAN 15 BULAN</t>
      </text>
    </comment>
    <comment authorId="0" ref="B1289">
      <text>
        <t xml:space="preserve">REVIEW GOOGLE MAPS
GARANSI KEBOCORAN 15 BULAN</t>
      </text>
    </comment>
    <comment authorId="0" ref="B1292">
      <text>
        <t xml:space="preserve">REVIEW GOOGLE MAPS
GARANSI KEBOCORAN 15 BULAN</t>
      </text>
    </comment>
    <comment authorId="0" ref="B1293">
      <text>
        <t xml:space="preserve">REVIEW GOOGLE MAPS
GARANSI KEBOCORAN 15 BULAN</t>
      </text>
    </comment>
    <comment authorId="0" ref="B1298">
      <text>
        <t xml:space="preserve">REVIEW GOOGLE MAPS
GARANSI KEBOCORAN 15 BULAN</t>
      </text>
    </comment>
    <comment authorId="0" ref="B1306">
      <text>
        <t xml:space="preserve">REVIEW GOOGLE MAPS
GARANSI KEBOCORAN 15 BULAN</t>
      </text>
    </comment>
    <comment authorId="0" ref="B1317">
      <text>
        <t xml:space="preserve">REVIEW GOOGLE MAPS
GARANSI KEBOCORAN 15 BULAN</t>
      </text>
    </comment>
    <comment authorId="0" ref="B1319">
      <text>
        <t xml:space="preserve">REVIEW GOOGLE MAPS
GARANSI KEBOCORAN 15 BULAN</t>
      </text>
    </comment>
    <comment authorId="0" ref="B1321">
      <text>
        <t xml:space="preserve">REVIEW GOOGLE MAPS
GARANSI KEBOCORAN 15 BULAN</t>
      </text>
    </comment>
    <comment authorId="0" ref="B1326">
      <text>
        <t xml:space="preserve">REVIEW GOOGLE MAPS
GARANSI KEBOCORAN 15 BULAN</t>
      </text>
    </comment>
    <comment authorId="0" ref="B1328">
      <text>
        <t xml:space="preserve">REVIEW GOOGLE MAPS
GARANSI KEBOCORAN 15 BULAN</t>
      </text>
    </comment>
    <comment authorId="0" ref="B1333">
      <text>
        <t xml:space="preserve">REVIEW GOOGLE MAPS
GARANSI KEBOCORAN 15 BULAN</t>
      </text>
    </comment>
    <comment authorId="0" ref="B1344">
      <text>
        <t xml:space="preserve">REVIEW GOOGLE MAPS
GARANSI KEBOCORAN 15 BULAN</t>
      </text>
    </comment>
    <comment authorId="0" ref="B1346">
      <text>
        <t xml:space="preserve">REVIEW GOOGLE MAPS
GARANSI KEBOCORAN 15 BULAN</t>
      </text>
    </comment>
    <comment authorId="0" ref="B1347">
      <text>
        <t xml:space="preserve">REVIEW GOOGLE MAPS
GARANSI KEBOCORAN 15 BULAN</t>
      </text>
    </comment>
    <comment authorId="0" ref="B1350">
      <text>
        <t xml:space="preserve">REVIEW GOOGLE MAPS
GARANSI KEBOCORAN 15 BULAN</t>
      </text>
    </comment>
    <comment authorId="0" ref="B1364">
      <text>
        <t xml:space="preserve">REVIEW GOOGLE MAPS
GARANSI KEBOCORAN 15 BULAN</t>
      </text>
    </comment>
    <comment authorId="0" ref="B1365">
      <text>
        <t xml:space="preserve">REVIEW GOOGLE MAPS
GARANSI KEBOCORAN 15 BULAN</t>
      </text>
    </comment>
    <comment authorId="0" ref="B1366">
      <text>
        <t xml:space="preserve">REVIEW GOOGLE MAPS
GARANSI KEBOCORAN 15 BULAN</t>
      </text>
    </comment>
    <comment authorId="0" ref="B1466">
      <text>
        <t xml:space="preserve">REVIEW GOOGLE MAPS
GARANSI KEBOCORAN 15 BULAN</t>
      </text>
    </comment>
    <comment authorId="0" ref="B1468">
      <text>
        <t xml:space="preserve">REVIEW GOOGLE MAPS
GARANSI KEBOCORAN 15 BULAN</t>
      </text>
    </comment>
    <comment authorId="0" ref="B1469">
      <text>
        <t xml:space="preserve">REVIEW GOOGLE MAPS
GARANSI KEBOCORAN 15 BULAN</t>
      </text>
    </comment>
    <comment authorId="0" ref="B1472">
      <text>
        <t xml:space="preserve">REVIEW GOOGLE MAPS
GARANSI KEBOCORAN 15 BULAN</t>
      </text>
    </comment>
    <comment authorId="0" ref="B1476">
      <text>
        <t xml:space="preserve">REVIEW GOOGLE MAPS
GARANSI KEBOCORAN 15 BULAN
</t>
      </text>
    </comment>
    <comment authorId="0" ref="B1477">
      <text>
        <t xml:space="preserve">REVIEW GOOGLE MAPS
GARANSI KEBOCORAN 15 BULAN</t>
      </text>
    </comment>
    <comment authorId="0" ref="B1480">
      <text>
        <t xml:space="preserve">REVIEW GOOGLE MAPS
GARANSI KEBOCORAN 15 BULAN 1x klaim</t>
      </text>
    </comment>
    <comment authorId="0" ref="B1533">
      <text>
        <t xml:space="preserve">REVIEW GOOGLE MAPS
GARANSI KEBOCORAN 15 BULAN</t>
      </text>
    </comment>
    <comment authorId="0" ref="B1538">
      <text>
        <t xml:space="preserve">REVIEW GOOGLE MAPS
GARANSI KEBOCORAN 15 BULAN</t>
      </text>
    </comment>
    <comment authorId="0" ref="B1539">
      <text>
        <t xml:space="preserve">REVIEW GOOGLE MAPS
GARANSI KEBOCORAN 15 BULAN</t>
      </text>
    </comment>
    <comment authorId="0" ref="B1549">
      <text>
        <t xml:space="preserve">REVIEW GOOGLE MAPS
GARANSI KEBOCORAN 15 BULAN</t>
      </text>
    </comment>
    <comment authorId="0" ref="B1581">
      <text>
        <t xml:space="preserve">REVIEW GOOGLE MAPS
GARANSI KEBOCORAN 15 BULAN</t>
      </text>
    </comment>
    <comment authorId="0" ref="B1589">
      <text>
        <t xml:space="preserve">REVIEW GOOGLE MAPS
GARANSI KEBOCORAN 15 BULAN</t>
      </text>
    </comment>
    <comment authorId="0" ref="B1592">
      <text>
        <t xml:space="preserve">REVIEW GOOGLE MAPS
GARANSI KEBOCORAN 15 BULAN</t>
      </text>
    </comment>
    <comment authorId="0" ref="B1593">
      <text>
        <t xml:space="preserve">REVIEW GOOGLE MAPS
GARANSI KEBOCORAN 15 BULAN</t>
      </text>
    </comment>
    <comment authorId="0" ref="B1594">
      <text>
        <t xml:space="preserve">REVIEW GOOGLE MAPS
GARANSI KEBOCORAN 15 BULAN</t>
      </text>
    </comment>
    <comment authorId="0" ref="B1597">
      <text>
        <t xml:space="preserve">REVIEW GOOGLE MAPS
GARANSI KEBOCORAN 15 BULAN</t>
      </text>
    </comment>
    <comment authorId="0" ref="B1599">
      <text>
        <t xml:space="preserve">REVIEW GOOGLE MAPS
GARANSI KEBOCORAN 15 BULAN</t>
      </text>
    </comment>
    <comment authorId="0" ref="B1604">
      <text>
        <t xml:space="preserve">REVIEW GOOGLE MAPS
GARANSI KEBOCORAN 15 BULAN</t>
      </text>
    </comment>
    <comment authorId="0" ref="B1609">
      <text>
        <t xml:space="preserve">REVIEW GOOGLE MAPS
GARANSI KEBOCORAN 15 BULAN</t>
      </text>
    </comment>
    <comment authorId="0" ref="B1612">
      <text>
        <t xml:space="preserve">REVIEW GOOGLE MAPS
GARANSI KEBOCORAN 15 BULAN</t>
      </text>
    </comment>
    <comment authorId="0" ref="B1613">
      <text>
        <t xml:space="preserve">REVIEW GOOGLE MAPS
GARANSI KEBOCORAN 15 BULAN</t>
      </text>
    </comment>
    <comment authorId="0" ref="B1615">
      <text>
        <t xml:space="preserve">REVIEW GOOGLE MAPS
GARANSI KEBOCORAN 15 BULAN</t>
      </text>
    </comment>
    <comment authorId="0" ref="B1617">
      <text>
        <t xml:space="preserve">REVIEW GOOGLE MAPS
GARANSI KEBOCORAN 15 BULAN</t>
      </text>
    </comment>
    <comment authorId="0" ref="B1620">
      <text>
        <t xml:space="preserve">REVIEW GOOGLE MAPS
GARANSI KEBOCORAN 15 BULAN</t>
      </text>
    </comment>
    <comment authorId="0" ref="B1621">
      <text>
        <t xml:space="preserve">REVIEW GOOGLE MAPS
GARANSI KEBOCORAN 15 BULAN</t>
      </text>
    </comment>
    <comment authorId="0" ref="B1622">
      <text>
        <t xml:space="preserve">REVIEW GOOGLE MAPS
GARANSI KEBOCORAN 15 BULAN</t>
      </text>
    </comment>
    <comment authorId="0" ref="B1624">
      <text>
        <t xml:space="preserve">REVIEW GOOGLE MAPS
GARANSI KEBOCORAN 15 BULAN</t>
      </text>
    </comment>
    <comment authorId="0" ref="B1626">
      <text>
        <t xml:space="preserve">JASA TAMBAL SAJA FREE 1X CLAIM</t>
      </text>
    </comment>
    <comment authorId="0" ref="B1631">
      <text>
        <t xml:space="preserve">REVIEW GOOGLE MAPS
GARANSI KEBOCORAN 15 BULAN</t>
      </text>
    </comment>
    <comment authorId="0" ref="B1635">
      <text>
        <t xml:space="preserve">REVIEW GOOGLE MAPS
GARANSI KEBOCORAN 15 BULAN</t>
      </text>
    </comment>
    <comment authorId="0" ref="B1640">
      <text>
        <t xml:space="preserve">Guntur 249.250
Ade 249.250
Adin 249.250
Flea 200.000
Via 249.250</t>
      </text>
    </comment>
    <comment authorId="0" ref="B1644">
      <text>
        <t xml:space="preserve">REVIEW GOOGLE MAPS
GARANSI KEBOCORAN 15 BULAN</t>
      </text>
    </comment>
    <comment authorId="0" ref="B1645">
      <text>
        <t xml:space="preserve">REVIEW GOOGLE MAPS
GARANSI KEBOCORAN 15 BULAN</t>
      </text>
    </comment>
    <comment authorId="0" ref="B1647">
      <text>
        <t xml:space="preserve">REVIEW GOOGLE MAPS
GARANSI KEBOCORAN 15 BULAN</t>
      </text>
    </comment>
    <comment authorId="0" ref="B1649">
      <text>
        <t xml:space="preserve">REVIEW GOOGLE MAPS
GARANSI KEBOCORAN 15 BULAN</t>
      </text>
    </comment>
    <comment authorId="0" ref="B1664">
      <text>
        <t xml:space="preserve">REVIEW GOOGLE MAPS
GARANSI KEBOCORAN 15 BULAN</t>
      </text>
    </comment>
    <comment authorId="0" ref="B1668">
      <text>
        <t xml:space="preserve">REVIEW GOOGLE MAPS
GARANSI KEBOCORAN 15 BULAN</t>
      </text>
    </comment>
    <comment authorId="0" ref="B1671">
      <text>
        <t xml:space="preserve">REVIEW GOOGLE MAPS
GARANSI KEBOCORAN 15 BULAN</t>
      </text>
    </comment>
    <comment authorId="0" ref="B1672">
      <text>
        <t xml:space="preserve">REVIEW GOOGLE MAPS
GARANSI KEBOCORAN 15 BULAN</t>
      </text>
    </comment>
    <comment authorId="0" ref="B1679">
      <text>
        <t xml:space="preserve">REVIEW GOOGLE MAPS
GARANSI KEBOCORAN 15 BULAN</t>
      </text>
    </comment>
    <comment authorId="0" ref="B1685">
      <text>
        <t xml:space="preserve">REVIEW GOOGLE MAPS
GARANSI KEBOCORAN 15 BULAN</t>
      </text>
    </comment>
    <comment authorId="0" ref="B1686">
      <text>
        <t xml:space="preserve">REVIEW GOOGLE MAPS
GARANSI KEBOCORAN 15 BULAN</t>
      </text>
    </comment>
    <comment authorId="0" ref="B1689">
      <text>
        <t xml:space="preserve">REVIEW GOOGLE MAPS
GARANSI KEBOCORAN 15 BULAN</t>
      </text>
    </comment>
    <comment authorId="0" ref="B1699">
      <text>
        <t xml:space="preserve">REVIEW GOOGLE MAPS
GARANSI KEBOCORAN 15 BULAN</t>
      </text>
    </comment>
    <comment authorId="0" ref="B1700">
      <text>
        <t xml:space="preserve">REVIEW GOOGLE MAPS
GARANSI KEBOCORAN 15 BULAN</t>
      </text>
    </comment>
    <comment authorId="0" ref="B1705">
      <text>
        <t xml:space="preserve">REVIEW GOOGLE MAPS
GARANSI KEBOCORAN 15 BULAN</t>
      </text>
    </comment>
    <comment authorId="0" ref="B1707">
      <text>
        <t xml:space="preserve">REVIEW GOOGLE MAPS
GARANSI KEBOCORAN 15 BULAN</t>
      </text>
    </comment>
    <comment authorId="0" ref="B1714">
      <text>
        <t xml:space="preserve">REVIEW GOOGLE MAPS
GARANSI KEBOCORAN 15 BULAN</t>
      </text>
    </comment>
    <comment authorId="0" ref="B1716">
      <text>
        <t xml:space="preserve">REVIEW GOOGLE MAPS
GARANSI KEBOCORAN 15 BULAN</t>
      </text>
    </comment>
    <comment authorId="0" ref="B1717">
      <text>
        <t xml:space="preserve">REVIEW GOOGLE MAPS
GARANSI KEBOCORAN 15 BULAN</t>
      </text>
    </comment>
    <comment authorId="0" ref="B1725">
      <text>
        <t xml:space="preserve">REVIEW GOOGLE MAPS
GARANSI KEBOCORAN 15 BULAN</t>
      </text>
    </comment>
    <comment authorId="0" ref="B1726">
      <text>
        <t xml:space="preserve">REVIEW GOOGLE MAPS
GARANSI KEBOCORAN 15 BULAN</t>
      </text>
    </comment>
    <comment authorId="0" ref="B1730">
      <text>
        <t xml:space="preserve">REVIEW GOOGLE MAPS
GARANSI KEBOCORAN 15 BULAN</t>
      </text>
    </comment>
    <comment authorId="0" ref="B1732">
      <text>
        <t xml:space="preserve">REVIEW GOOGLE MAPS
GARANSI KEBOCORAN 15 BULAN</t>
      </text>
    </comment>
    <comment authorId="0" ref="B1734">
      <text>
        <t xml:space="preserve">REVIEW GOOGLE MAPS
GARANSI KEBOCORAN 15 BULAN</t>
      </text>
    </comment>
    <comment authorId="0" ref="B1736">
      <text>
        <t xml:space="preserve">REVIEW GOOGLE MAPS
GARANSI KEBOCORAN 15 BULAN</t>
      </text>
    </comment>
    <comment authorId="0" ref="B1740">
      <text>
        <t xml:space="preserve">REVIEW GOOGLE MAPS
GARANSI KEBOCORAN 15 BULAN</t>
      </text>
    </comment>
    <comment authorId="0" ref="B1744">
      <text>
        <t xml:space="preserve">REVIEW GOOGLE MAPS
GARANSI KEBOCORAN 15 BULAN</t>
      </text>
    </comment>
    <comment authorId="0" ref="B1746">
      <text>
        <t xml:space="preserve">REVIEW GOOGLE MAPS
GARANSI KEBOCORAN 15 BULAN</t>
      </text>
    </comment>
    <comment authorId="0" ref="B1748">
      <text>
        <t xml:space="preserve">REVIEW GOOGLE MAPS
GARANSI KEBOCORAN 15 BULAN</t>
      </text>
    </comment>
    <comment authorId="0" ref="B1749">
      <text>
        <t xml:space="preserve">REVIEW GOOGLE MAPS
GARANSI KEBOCORAN 15 BULAN</t>
      </text>
    </comment>
    <comment authorId="0" ref="B1751">
      <text>
        <t xml:space="preserve">REVIEW GOOGLE MAPS
GARANSI KEBOCORAN 15 BULAN</t>
      </text>
    </comment>
    <comment authorId="0" ref="B1752">
      <text>
        <t xml:space="preserve">TAMBAL BOCOR SAJA</t>
      </text>
    </comment>
    <comment authorId="0" ref="B1755">
      <text>
        <t xml:space="preserve">REVIEW GOOGLE MAPS
GARANSI KEBOCORAN 15 BULAN</t>
      </text>
    </comment>
    <comment authorId="0" ref="B1759">
      <text>
        <t xml:space="preserve">REVIEW GOOGLE MAPS
GARANSI KEBOCORAN 15 BULAN</t>
      </text>
    </comment>
    <comment authorId="0" ref="B1760">
      <text>
        <t xml:space="preserve">REVIEW GOOGLE MAPS
GARANSI KEBOCORAN 15 BULAN</t>
      </text>
    </comment>
    <comment authorId="0" ref="B1761">
      <text>
        <t xml:space="preserve">VOID DP HANGUS</t>
      </text>
    </comment>
    <comment authorId="0" ref="B1768">
      <text>
        <t xml:space="preserve">REVIEW GOOGLE MAPS
GARANSI KEBOCORAN 15 BULAN</t>
      </text>
    </comment>
    <comment authorId="0" ref="B1774">
      <text>
        <t xml:space="preserve">REVIEW GOOGLE MAPS
GARANSI KEBOCORAN 15 BULAN</t>
      </text>
    </comment>
    <comment authorId="0" ref="B1779">
      <text>
        <t xml:space="preserve">REVIEW GOOGLE MAPS
GARANSI KEBOCORAN 15 BULAN</t>
      </text>
    </comment>
    <comment authorId="0" ref="B1785">
      <text>
        <t xml:space="preserve">REVIEW GOOGLE MAPS
GARANSI KEBOCORAN 15 BULAN</t>
      </text>
    </comment>
    <comment authorId="0" ref="B1786">
      <text>
        <t xml:space="preserve">REVIEW GOOGLE MAPS
GARANSI KEBOCORAN 15 BULAN</t>
      </text>
    </comment>
    <comment authorId="0" ref="B1790">
      <text>
        <t xml:space="preserve">REVIEW GOOGLE MAPS
GARANSI KEBOCORAN 15 BULAN
</t>
      </text>
    </comment>
    <comment authorId="0" ref="B1794">
      <text>
        <t xml:space="preserve">REVIEW GOOGLE MAPS
GARANSI KEBOCORAN 15 BULAN</t>
      </text>
    </comment>
    <comment authorId="0" ref="B1796">
      <text>
        <t xml:space="preserve">REVIEW GOOGLE MAPS
GARANSI KEBOCORAN 15 BULAN</t>
      </text>
    </comment>
    <comment authorId="0" ref="B1810">
      <text>
        <t xml:space="preserve">REVIEW GOOGLE MAPS
GARANSI KEBOCORAN 15 BULAN
</t>
      </text>
    </comment>
    <comment authorId="0" ref="B1812">
      <text>
        <t xml:space="preserve">REVIEW GOOGLE MAPS
GARANSI KEBOCORAN 15 BULAN</t>
      </text>
    </comment>
    <comment authorId="0" ref="B1815">
      <text>
        <t xml:space="preserve">REVIEW GOOGLE MAPS
GARANSI KEBOCORAN 15 BULAN</t>
      </text>
    </comment>
    <comment authorId="0" ref="B1820">
      <text>
        <t xml:space="preserve">REVIEW GOOGLE MAPS
GARANSI KEBOCORAN 15 BULAN
</t>
      </text>
    </comment>
    <comment authorId="0" ref="B1822">
      <text>
        <t xml:space="preserve">REVIEW GOOGLE MAPS
GARANSI KEBOCORAN 15 BULAN
</t>
      </text>
    </comment>
    <comment authorId="0" ref="B1824">
      <text>
        <t xml:space="preserve">REVIEW GOOGLE MAPS
GARANSI KEBOCORAN 15 BULAN
</t>
      </text>
    </comment>
    <comment authorId="0" ref="B1825">
      <text>
        <t xml:space="preserve">REVIEW GOOGLE MAPS
GARANSI KEBOCORAN 15 BULAN
</t>
      </text>
    </comment>
    <comment authorId="0" ref="B1827">
      <text>
        <t xml:space="preserve">REVIEW GOOGLE MAPS
GARANSI KEBOCORAN 15 BULAN
</t>
      </text>
    </comment>
    <comment authorId="0" ref="B1834">
      <text>
        <t xml:space="preserve">REVIEW GOOGLE MAPS
GARANSI KEBOCORAN 15 BULAN
</t>
      </text>
    </comment>
    <comment authorId="0" ref="B1841">
      <text>
        <t xml:space="preserve">REVIEW GOOGLE MAPS
GARANSI KEBOCORAN 15 BULAN
</t>
      </text>
    </comment>
    <comment authorId="0" ref="B1847">
      <text>
        <t xml:space="preserve">REVIEW GOOGLE MAPS
GARANSI KEBOCORAN 15 BULAN
</t>
      </text>
    </comment>
    <comment authorId="0" ref="B1851">
      <text>
        <t xml:space="preserve">REVIEW GOOGLE MAPS
GARANSI KEBOCORAN 15 BULAN
</t>
      </text>
    </comment>
    <comment authorId="0" ref="B1854">
      <text>
        <t xml:space="preserve">BONGKAR PLAT DAN PASANG KACA</t>
      </text>
    </comment>
    <comment authorId="0" ref="B1866">
      <text>
        <t xml:space="preserve">REVIEW GOOGLE MAPS
GARANSI KEBOCORAN 15 BULAN
</t>
      </text>
    </comment>
    <comment authorId="0" ref="B1887">
      <text>
        <t xml:space="preserve">REVIEW GOOGLE MAPS
GARANSI KEBOCORAN 15 BULAN
</t>
      </text>
    </comment>
    <comment authorId="0" ref="B1896">
      <text>
        <t xml:space="preserve">REVIEW GOOGLE MAPS
GARANSI KEBOCORAN 15 BULAN
</t>
      </text>
    </comment>
    <comment authorId="0" ref="B1906">
      <text>
        <t xml:space="preserve">REVIEW GOOGLE MAPS
GARANSI KEBOCORAN 15 BULAN
</t>
      </text>
    </comment>
    <comment authorId="0" ref="B1910">
      <text>
        <t xml:space="preserve">REVIEW GOOGLE MAPS
GARANSI KEBOCORAN 15 BULAN
</t>
      </text>
    </comment>
    <comment authorId="0" ref="B1915">
      <text>
        <t xml:space="preserve">REVIEW GOOGLE MAPS
GARANSI KEBOCORAN 15 BULAN
</t>
      </text>
    </comment>
    <comment authorId="0" ref="B1917">
      <text>
        <t xml:space="preserve">REVIEW GOOGLE MAPS
GARANSI KEBOCORAN 15 BULAN</t>
      </text>
    </comment>
    <comment authorId="0" ref="B1924">
      <text>
        <t xml:space="preserve">REVIEW GOOGLE MAPS
GARANSI KEBOCORAN 15 BULAN</t>
      </text>
    </comment>
    <comment authorId="0" ref="B1939">
      <text>
        <t xml:space="preserve">REVIEW GOOGLE MAPS
GARANSI KEBOCORAN 15 BULAN</t>
      </text>
    </comment>
    <comment authorId="0" ref="E1942">
      <text>
        <t xml:space="preserve">tidak ada info</t>
      </text>
    </comment>
    <comment authorId="0" ref="E1943">
      <text>
        <t xml:space="preserve">tidak ada info</t>
      </text>
    </comment>
    <comment authorId="0" ref="B1945">
      <text>
        <t xml:space="preserve">REVIEW GOOGLE MAPS
GARANSI KEBOCORAN 15 BULAN</t>
      </text>
    </comment>
    <comment authorId="0" ref="B1950">
      <text>
        <t xml:space="preserve">REVIEW GOOGLE MAPS
GARANSI KEBOCORAN 15 BULAN</t>
      </text>
    </comment>
    <comment authorId="0" ref="B1961">
      <text>
        <t xml:space="preserve">REVIEW GOOGLE MAPS
GARANSI KEBOCORAN 15 BULAN</t>
      </text>
    </comment>
    <comment authorId="0" ref="B1983">
      <text>
        <t xml:space="preserve">REVIEW GOOGLE MAPS
GARANSI KEBOCORAN 15 BULAN</t>
      </text>
    </comment>
    <comment authorId="0" ref="B1986">
      <text>
        <t xml:space="preserve">REVIEW GOOGLE MAPS
GARANSI KEBOCORAN 15 BULAN</t>
      </text>
    </comment>
    <comment authorId="0" ref="B1991">
      <text>
        <t xml:space="preserve">REVIEW GOOGLE MAPS
GARANSI KEBOCORAN 15 BULAN</t>
      </text>
    </comment>
    <comment authorId="0" ref="B1997">
      <text>
        <t xml:space="preserve">REVIEW GOOGLE MAPS
GARANSI KEBOCORAN 15 BULAN</t>
      </text>
    </comment>
    <comment authorId="0" ref="B2000">
      <text>
        <t xml:space="preserve">REVIEW GOOGLE MAPS
GARANSI KEBOCORAN 15 BULAN</t>
      </text>
    </comment>
    <comment authorId="0" ref="B2011">
      <text>
        <t xml:space="preserve">REVIEW GOOGLE MAPS
GARANSI KEBOCORAN 15 BULAN</t>
      </text>
    </comment>
    <comment authorId="0" ref="B2061">
      <text>
        <t xml:space="preserve">REVIEW GOOGLE MAPS
GARANSI KEBOCORAN 15 BULAN</t>
      </text>
    </comment>
    <comment authorId="0" ref="B2116">
      <text>
        <t xml:space="preserve">REVIEW GOOGLE MAPS
GARANSI KEBOCORAN 15 BULAN</t>
      </text>
    </comment>
    <comment authorId="0" ref="B2117">
      <text>
        <t xml:space="preserve">REVIEW GOOGLE MAPS
GARANSI KEBOCORAN 15 BULAN</t>
      </text>
    </comment>
    <comment authorId="0" ref="B2124">
      <text>
        <t xml:space="preserve">REVIEW GOOGLE MAPS
GARANSI KEBOCORAN 18 BULAN</t>
      </text>
    </comment>
    <comment authorId="0" ref="B2125">
      <text>
        <t xml:space="preserve">REVIEW GOOGLE MAPS
GARANSI KEBOCORAN 18 BULAN</t>
      </text>
    </comment>
    <comment authorId="0" ref="B2126">
      <text>
        <t xml:space="preserve">REVIEW GOOGLE MAPS
GARANSI KEBOCORAN 18 BULAN</t>
      </text>
    </comment>
    <comment authorId="0" ref="B2128">
      <text>
        <t xml:space="preserve">REVIEW GOOGLE MAPS
GARANSI KEBOCORAN 18 BULAN</t>
      </text>
    </comment>
    <comment authorId="0" ref="B2135">
      <text>
        <t xml:space="preserve">REVIEW GOOGLE MAPS
GARANSI KEBOCORAN 18 BULAN</t>
      </text>
    </comment>
    <comment authorId="0" ref="B2147">
      <text>
        <t xml:space="preserve">REVIEW GOOGLE MAPS
GARANSI KEBOCORAN 18 BULAN</t>
      </text>
    </comment>
    <comment authorId="0" ref="B2156">
      <text>
        <t xml:space="preserve">REVIEW GOOGLE MAPS
GARANSI KEBOCORAN 18 BULAN</t>
      </text>
    </comment>
    <comment authorId="0" ref="B2157">
      <text>
        <t xml:space="preserve">REVIEW GOOGLE MAPS
GARANSI KEBOCORAN 18 BULAN</t>
      </text>
    </comment>
    <comment authorId="0" ref="B2159">
      <text>
        <t xml:space="preserve">REVIEW GOOGLE MAPS
GARANSI KEBOCORAN 18 BULAN</t>
      </text>
    </comment>
    <comment authorId="0" ref="B2160">
      <text>
        <t xml:space="preserve">REVIEW GOOGLE MAPS
GARANSI KEBOCORAN 18 BULAN</t>
      </text>
    </comment>
    <comment authorId="0" ref="B2163">
      <text>
        <t xml:space="preserve">REVIEW GOOGLE MAPS
GARANSI KEBOCORAN 18 BULAN</t>
      </text>
    </comment>
    <comment authorId="0" ref="B2169">
      <text>
        <t xml:space="preserve">REVIEW GOOGLE MAPS
GARANSI KEBOCORAN 18 BULAN</t>
      </text>
    </comment>
    <comment authorId="0" ref="B2170">
      <text>
        <t xml:space="preserve">REVIEW GOOGLE MAPS
GARANSI KEBOCORAN 18 BULAN</t>
      </text>
    </comment>
    <comment authorId="0" ref="B2175">
      <text>
        <t xml:space="preserve">REVIEW GOOGLE MAPS
GARANSI KEBOCORAN 18 BULAN</t>
      </text>
    </comment>
    <comment authorId="0" ref="B2176">
      <text>
        <t xml:space="preserve">REVIEW GOOGLE MAPS
GARANSI KEBOCORAN 18 BULAN</t>
      </text>
    </comment>
    <comment authorId="0" ref="B2177">
      <text>
        <t xml:space="preserve">REVIEW GOOGLE MAPS
GARANSI KEBOCORAN 18 BULAN</t>
      </text>
    </comment>
    <comment authorId="0" ref="B2260">
      <text>
        <t xml:space="preserve">CARGO 350RB </t>
      </text>
    </comment>
    <comment authorId="0" ref="B2300">
      <text>
        <t xml:space="preserve">VOID GANTI NOTA H250061</t>
      </text>
    </comment>
    <comment authorId="0" ref="B2316">
      <text>
        <t xml:space="preserve">KIRIM KACA KE TANGERANG</t>
      </text>
    </comment>
    <comment authorId="0" ref="B2362">
      <text>
        <t xml:space="preserve">JASA PASANG TIDAK JADI BARTER SEALANT 2PC , NO NOTA H250037</t>
      </text>
    </comment>
    <comment authorId="0" ref="B2381">
      <text>
        <t xml:space="preserve">Refund 11/09/25 3jt</t>
      </text>
    </comment>
    <comment authorId="0" ref="B2454">
      <text>
        <t xml:space="preserve">JANGAN IKUT HARGA INI UNTUK PASANG</t>
      </text>
    </comment>
    <comment authorId="0" ref="B2507">
      <text>
        <t xml:space="preserve">BIAYA CARGO 366.660 </t>
      </text>
    </comment>
    <comment authorId="0" ref="B2662">
      <text>
        <t xml:space="preserve">PERBAIKAN/PENGECEKAN KACA FD </t>
      </text>
    </comment>
    <comment authorId="0" ref="B2664">
      <text>
        <t xml:space="preserve">PRIMER BY 2TH GARANSI</t>
      </text>
    </comment>
    <comment authorId="0" ref="B2696">
      <text>
        <t xml:space="preserve">PRIMER 120.000</t>
      </text>
    </comment>
    <comment authorId="0" ref="B2742">
      <text>
        <t xml:space="preserve">jasa bongkar pasang</t>
      </text>
    </comment>
    <comment authorId="0" ref="B2753">
      <text>
        <t xml:space="preserve">NAMBAH PRIMER BY</t>
      </text>
    </comment>
    <comment authorId="0" ref="R2760">
      <text>
        <t xml:space="preserve">DP 190 05/11/25
PLUNASAN 760 07/11/25</t>
      </text>
    </comment>
    <comment authorId="0" ref="C2762">
      <text>
        <t xml:space="preserve">+PRIMER </t>
      </text>
    </comment>
    <comment authorId="0" ref="C2818">
      <text>
        <t xml:space="preserve">JASA BONGKAR PASANG</t>
      </text>
    </comment>
    <comment authorId="0" ref="C2823">
      <text>
        <t xml:space="preserve">JASA PERBAIKAN BOCOR</t>
      </text>
    </comment>
    <comment authorId="0" ref="C2844">
      <text>
        <t xml:space="preserve">cek kebocoran</t>
      </text>
    </comment>
    <comment authorId="0" ref="C2870">
      <text>
        <t xml:space="preserve">kirim  expedisi nota K250079</t>
      </text>
    </comment>
    <comment authorId="0" ref="C2887">
      <text>
        <t xml:space="preserve">JASA SEAL ULANG</t>
      </text>
    </comment>
    <comment authorId="0" ref="B2912">
      <text>
        <t xml:space="preserve">CS RJG HRGA KHUSUS BGI -15%</t>
      </text>
    </comment>
    <comment authorId="0" ref="C2914">
      <text>
        <t xml:space="preserve">LIST LFW-SWIFT11MU</t>
      </text>
    </comment>
    <comment authorId="0" ref="C2915">
      <text>
        <t xml:space="preserve">DP 100</t>
      </text>
    </comment>
    <comment authorId="0" ref="B2924">
      <text>
        <t xml:space="preserve">PELUNASAN 19/12/2025 Rp.5800.000</t>
      </text>
    </comment>
    <comment authorId="0" ref="B2942">
      <text>
        <t xml:space="preserve">PELUNASAN 22/12/2025
TF 343 TUNAI 1250</t>
      </text>
    </comment>
    <comment authorId="0" ref="C2964">
      <text>
        <t xml:space="preserve">TES KEBOCORAN</t>
      </text>
    </comment>
    <comment authorId="0" ref="C2974">
      <text>
        <t xml:space="preserve">dp 22/12/25 1.763.000
pelunasan 04/03/2026 1.763.000</t>
      </text>
    </comment>
    <comment authorId="0" ref="Q3044">
      <text>
        <t xml:space="preserve">dp 100.000 05/01/26
plunsan 1406 07/06/26</t>
      </text>
    </comment>
    <comment authorId="0" ref="C3051">
      <text>
        <t xml:space="preserve">tf pelunasan 884.800
(200k biaya kirim)</t>
      </text>
    </comment>
    <comment authorId="0" ref="B3055">
      <text>
        <t xml:space="preserve">GARANSI KEBOCORAN 18BULAN </t>
      </text>
    </comment>
    <comment authorId="0" ref="B3056">
      <text>
        <t xml:space="preserve">GARANSI KEBOCORAN 18BULAN</t>
      </text>
    </comment>
    <comment authorId="0" ref="C3057">
      <text>
        <t xml:space="preserve">tf 1.057.800 07/01/2026
tf pelunasan 2,568.200 (+tr100)</t>
      </text>
    </comment>
    <comment authorId="0" ref="C3063">
      <text>
        <t xml:space="preserve">RP. 3.121.500 22/11/2026
RP.3.121.500 09/01/2026</t>
      </text>
    </comment>
    <comment authorId="0" ref="C3065">
      <text>
        <t xml:space="preserve">Bongkar pasang perbaikan bocor</t>
      </text>
    </comment>
    <comment authorId="0" ref="C3067">
      <text>
        <t xml:space="preserve">tambal bocor</t>
      </text>
    </comment>
    <comment authorId="0" ref="C3070">
      <text>
        <t xml:space="preserve">perbaikan bocor trw</t>
      </text>
    </comment>
    <comment authorId="0" ref="C3108">
      <text>
        <t xml:space="preserve">500.000 20/01/2026
2.900.000 28/01/2026</t>
      </text>
    </comment>
    <comment authorId="0" ref="C3132">
      <text>
        <t xml:space="preserve">285,000 24/01/2026
2765.000 28/01/2026</t>
      </text>
    </comment>
    <comment authorId="0" ref="C3180">
      <text>
        <t xml:space="preserve">JASA PASANG TRW KACA BELI DIKITA INV A260079</t>
      </text>
    </comment>
    <comment authorId="0" ref="C3223">
      <text>
        <t xml:space="preserve">JASA PERBAIKAN BOCOR</t>
      </text>
    </comment>
    <comment authorId="0" ref="C3224">
      <text>
        <t xml:space="preserve">JASA BONGKAR PASANG</t>
      </text>
    </comment>
    <comment authorId="0" ref="C3245">
      <text>
        <t xml:space="preserve">JASA BONGKAR PASANG+ KACA DARI TOKPED</t>
      </text>
    </comment>
    <comment authorId="0" ref="C3258">
      <text>
        <t xml:space="preserve">JASA PERBAIKAN BOCOR</t>
      </text>
    </comment>
    <comment authorId="0" ref="C3281">
      <text>
        <t xml:space="preserve">JASA BONGKAR PASANG</t>
      </text>
    </comment>
    <comment authorId="0" ref="C3284">
      <text>
        <t xml:space="preserve">JSA PERBAIKAN BOCOR</t>
      </text>
    </comment>
    <comment authorId="0" ref="C3293">
      <text>
        <t xml:space="preserve">JASA BONGKAR PASANG</t>
      </text>
    </comment>
    <comment authorId="0" ref="C3296">
      <text>
        <t xml:space="preserve">JASA PERBAIKAN BOCOR</t>
      </text>
    </comment>
    <comment authorId="0" ref="C3302">
      <text>
        <t xml:space="preserve">NOTA B260026 KOMPLAIN LIST TIDAK RAPI , PENGGANTIAN LIST TANPA BONGKAR KACA</t>
      </text>
    </comment>
    <comment authorId="0" ref="C3318">
      <text>
        <t xml:space="preserve">cek bocor</t>
      </text>
    </comment>
    <comment authorId="0" ref="C3327">
      <text>
        <t xml:space="preserve">BONGKAR PASANG</t>
      </text>
    </comment>
    <comment authorId="0" ref="C3332">
      <text>
        <t xml:space="preserve">BONGKAR PASANG</t>
      </text>
    </comment>
    <comment authorId="0" ref="C3357">
      <text>
        <t xml:space="preserve">PERBAIKAN BOCOR</t>
      </text>
    </comment>
    <comment authorId="0" ref="C3362">
      <text>
        <t xml:space="preserve">PEMASANGN INV C260029</t>
      </text>
    </comment>
    <comment authorId="0" ref="C3383">
      <text>
        <t xml:space="preserve">TF TGL 09/03/2026 3348.000</t>
      </text>
    </comment>
    <comment authorId="0" ref="C3388">
      <text>
        <t xml:space="preserve">FDL-DYNA </t>
      </text>
    </comment>
    <comment authorId="0" ref="C3418">
      <text>
        <t xml:space="preserve">PASANG KACA NOTA C260019</t>
      </text>
    </comment>
    <comment authorId="0" ref="C3468">
      <text>
        <t xml:space="preserve">perbaikan bocor</t>
      </text>
    </comment>
    <comment authorId="0" ref="C3517">
      <text>
        <t xml:space="preserve">perbaikan bocor</t>
      </text>
    </comment>
    <comment authorId="0" ref="C3525">
      <text>
        <t xml:space="preserve">BONGKAR PASANG</t>
      </text>
    </comment>
    <comment authorId="0" ref="C3545">
      <text>
        <t xml:space="preserve">DP 1,975,000 02/04/2026
PELUNASAN 12/04/2026
CARGO 450</t>
      </text>
    </comment>
    <comment authorId="0" ref="C3557">
      <text>
        <t xml:space="preserve">DP 1,368,000 13/04.2026
PELUNSAN 5.472.000 15/04/2026</t>
      </text>
    </comment>
    <comment authorId="0" ref="C3558">
      <text>
        <t xml:space="preserve">BONGKAR PASANG</t>
      </text>
    </comment>
    <comment authorId="0" ref="C3561">
      <text>
        <t xml:space="preserve">DP 07/4/2026 2.133.000</t>
      </text>
    </comment>
    <comment authorId="0" ref="C3588">
      <text>
        <t xml:space="preserve">bongkar pasang</t>
      </text>
    </comment>
    <comment authorId="0" ref="B3610">
      <text>
        <t xml:space="preserve">JASA BONGKAR SAJA</t>
      </text>
    </comment>
    <comment authorId="0" ref="B3611">
      <text>
        <t xml:space="preserve">DP 27/04/2026 Rp.1.600.000</t>
      </text>
    </comment>
    <comment authorId="0" ref="B3613">
      <text>
        <t xml:space="preserve">PACKING</t>
      </text>
    </comment>
    <comment authorId="1" xr:uid="{03c81bf6-1b26-4390-84fa-01f2bd52994e}" ref="T10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potongan tokped
Reply:
	sudah update
</t>
      </text>
    </comment>
    <comment authorId="2" xr:uid="{046af781-75d8-4cd0-86f1-a0af0720923c}" ref="X5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blm tf
Reply:
	DONE 3/9/24
</t>
      </text>
    </comment>
    <comment authorId="3" xr:uid="{050babd2-4d07-4fe7-9876-d8063e4e19bb}" ref="X4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cek rek
</t>
      </text>
    </comment>
    <comment authorId="4" xr:uid="{06720027-6fb0-441d-8ea3-34397a15aa21}" ref="T10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potongan tokped
Reply:
	sudah update
</t>
      </text>
    </comment>
    <comment authorId="5" xr:uid="{0af908ed-3662-4b94-9e36-97aa7a4fbc38}" ref="B12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LEMBUR PAKAI?
</t>
      </text>
    </comment>
    <comment authorId="6" xr:uid="{0f4832a0-e2c4-43b9-8e0d-ca498117a5c8}" ref="T10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potongan
Reply:
	Sudah update
</t>
      </text>
    </comment>
    <comment authorId="7" xr:uid="{11d4a5b1-ed3e-4b04-bc2d-622f03cfd9c2}" ref="F3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cek rek kjd masuk
</t>
      </text>
    </comment>
    <comment authorId="8" xr:uid="{2246fdeb-6f1b-4620-87bc-7a25eb2f3f86}" ref="T8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Potongan
Reply:
	sudah update
</t>
      </text>
    </comment>
    <comment authorId="9" xr:uid="{25f8e860-ef75-4067-869f-6afe02c9ec59}" ref="X1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 ketarik
Reply:
	done
</t>
      </text>
    </comment>
    <comment authorId="10" xr:uid="{28b76d69-a68c-4b1f-bd04-85cf3343cc53}" ref="B13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REVIEW GOOGLE MAPS
GARANSI KEBOCORAN 15 BULAN
Reply:
	tidak bisa edit ci
</t>
      </text>
    </comment>
    <comment authorId="11" xr:uid="{42e19de1-f1f4-4a3f-b457-1edacf4d29df}" ref="B7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tips 100k uang pribadi
Reply:
	DONE 15/10/24
</t>
      </text>
    </comment>
    <comment authorId="12" xr:uid="{444d6af2-dfe3-4057-95ca-e63c4b87c08d}" ref="T9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potongan tokped
Reply:
	Sudah update
</t>
      </text>
    </comment>
    <comment authorId="13" xr:uid="{468e475d-197e-4f79-9507-fb7952ed1f5d}" ref="T8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potongan
Reply:
	sudah update
</t>
      </text>
    </comment>
    <comment authorId="14" xr:uid="{48637fcc-9cf3-4040-8f77-e05f4be2f003}" ref="X11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ketarik
Reply:
	done
</t>
      </text>
    </comment>
    <comment authorId="15" xr:uid="{55df5039-617f-4b45-b87b-e1c3adfd0dc8}" ref="X11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tf kmn? @iliarizqy.sentra@gmail.com
Ditugaskan kepada iliarizqy.sentra@gmail.com
</t>
      </text>
    </comment>
    <comment authorId="16" xr:uid="{5c4217ca-713f-42a9-8f7b-391d9d6bca9b}" ref="B7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refund 100 pribadi
</t>
      </text>
    </comment>
    <comment authorId="17" xr:uid="{60fcdb2c-e12b-44bd-ad74-f9d2ada6e8d5}" ref="B14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SJB250003
</t>
      </text>
    </comment>
    <comment authorId="18" xr:uid="{64a0dcfc-df81-4c9a-b40b-9b4c25d2a82d}" ref="T6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cek potongan tokped
Reply:
	sudah cek
</t>
      </text>
    </comment>
    <comment authorId="19" xr:uid="{6a2f5f63-8879-4c3c-b3ae-718e56d33f95}" ref="C12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info jika ada XYG
Reply:
	Sudah update dari FR - XYG
</t>
      </text>
    </comment>
    <comment authorId="20" xr:uid="{810b3da7-b171-456d-97f7-b360516b8d33}" ref="T9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potongan tokped
</t>
      </text>
    </comment>
    <comment authorId="21" xr:uid="{862c98c1-b380-4b1f-9e3c-eacc2dbdec09}" ref="R8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terima 1.450.000 upping nota, 350.000 uang petty cash. hrs reimburse
Reply:
	done 15/10/24 petty cash 711
</t>
      </text>
    </comment>
    <comment authorId="22" xr:uid="{867057c2-b929-447a-9056-0a9c58ee2614}" ref="R3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CEK REK
</t>
      </text>
    </comment>
    <comment authorId="23" xr:uid="{8dcb9bd4-14cb-42e1-88d4-417f245e6460}" ref="X10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ketarik
</t>
      </text>
    </comment>
    <comment authorId="24" xr:uid="{96c113c4-2dcf-49ee-90da-3aad1f92c147}" ref="R4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cek rek
Reply:
	Pembayaran TF 33 1.778.000 5/7/24 berbarengan F240074
Ditandai selesai
</t>
      </text>
    </comment>
    <comment authorId="25" xr:uid="{9925b90b-b22b-491b-b2c9-283c655a5b20}" ref="X4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cek rek
Reply:
	bareng pembayaran 04/07/2024 - G240011
</t>
      </text>
    </comment>
    <comment authorId="26" xr:uid="{aa2ae7ab-767c-4eeb-b767-0c7fd5e86cea}" ref="C1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tidak bisa diganti
</t>
      </text>
    </comment>
    <comment authorId="27" xr:uid="{b0b0ec32-166c-4134-ae6b-26122df45a45}" ref="C5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UBAH DI SISTEM DARI LFW-FORTUNER05MU
</t>
      </text>
    </comment>
    <comment authorId="28" xr:uid="{b323cfdc-bbe8-4f5d-9ab6-e01577ccab23}" ref="H26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cek
</t>
      </text>
    </comment>
    <comment authorId="29" xr:uid="{b8ac8cf0-f05b-4768-a2a1-a9ab16ecdc31}" ref="X1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ketarik
Reply:
	done
</t>
      </text>
    </comment>
    <comment authorId="30" xr:uid="{be76457f-bacd-40ff-bdf4-2e5b2ddc06a7}" ref="T10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potongan tokped
Reply:
	sudah update
</t>
      </text>
    </comment>
    <comment authorId="31" xr:uid="{c546b255-1a04-4482-bbe9-a8e7ab71d879}" ref="V12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 apa mba lia @iliarizqy.sentra@gmail.com
Ditugaskan kepada iliarizqy.sentra@gmail.com
Reply:
	Salah copy ci
</t>
      </text>
    </comment>
    <comment authorId="32" xr:uid="{c93a54c1-353d-44bb-ad37-4e6cca8303e5}" ref="R7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Tips 100k uang pribadi perlu reimburse
</t>
      </text>
    </comment>
    <comment authorId="33" xr:uid="{de4e71e0-4878-4356-a991-795ddd23bc05}" ref="R9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TEMPO 60 HARI
Reply:
	Sudah dibayarkan 14/1/2025
</t>
      </text>
    </comment>
    <comment authorId="34" xr:uid="{e253f9e2-3c41-4498-aecd-eafec090de51}" ref="T7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Potongan tokped
Reply:
	DONE
</t>
      </text>
    </comment>
    <comment authorId="35" xr:uid="{e59e1c40-66c7-4ba7-a780-863539b6367a}" ref="R7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Pelunasan kapan
</t>
      </text>
    </comment>
    <comment authorId="36" xr:uid="{eeadda89-922f-44c3-b133-bf4b1f8a401a}" ref="T8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potongan
Reply:
	sudah update
</t>
      </text>
    </comment>
    <comment authorId="37" xr:uid="{f537d59d-52ed-4d12-bd6f-a9e935606cfa}" ref="T10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POTONGAN
Reply:
	Sudah update
</t>
      </text>
    </comment>
    <comment authorId="38" xr:uid="{fe540a8d-6a00-42ec-84f6-f10709fd945d}" ref="X10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ketarik
Reply:
	done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Bensin motor teknisi (home service / antar barang kecil)
Tol (jika teknisi pakai mobil operasional)
Parkir (mall, rumah sakit, apartemen, dll saat pasang/kirim kaca)
Transportasi darurat (ojek online, dll)</t>
      </text>
    </comment>
    <comment authorId="0" ref="K2">
      <text>
        <t xml:space="preserve">Sealant / PU tambahan (jika beli eceran darurat)
Primer / activator kaca (kecil-kecilan, kalau habis tiba-tiba)
Kain lap, tisu, sabun pembersih kaca
Cutter, silet, scraper, kuas kecil, masking tape
Lakban, plastik wrap untuk proteksi mobil
Bahan pengikat/pengganjal (busur, karet, selang, busa, dsb)</t>
      </text>
    </comment>
    <comment authorId="0" ref="L2">
      <text>
        <t xml:space="preserve">ATK (bolpoin, buku nota, kertas HVS)
Printer (tinta, kertas, isi ulang)
Fotokopi, materai kecil
Pulsa/kuota darurat untuk admin/teknisi</t>
      </text>
    </comment>
    <comment authorId="0" ref="M2">
      <text>
        <t xml:space="preserve">Aqua galon, refill air minum
Gas elpiji (jika ada dispenser kompor kecil)
Kopi, teh, gula, snack teknisi
Konsumsi kecil kalau lembur</t>
      </text>
    </comment>
    <comment authorId="0" ref="N2">
      <text>
        <t xml:space="preserve">Service AC kipas/exhaust
Lampu bengkel (ganti bohlam, kabel, stop kontak kecil)
Alat kebersihan (sapu, pel, kain pel, ember)
Sabun cuci tangan, hand sanitizer
Pest control (kapur anti serangga, semprot nyamuk)</t>
      </text>
    </comment>
    <comment authorId="0" ref="O2">
      <text>
        <t xml:space="preserve">Lain-lain (catatan harus jelas alasannya)</t>
      </text>
    </comment>
    <comment authorId="0" ref="G767">
      <text>
        <t xml:space="preserve">sisa 8,609</t>
      </text>
    </comment>
    <comment authorId="0" ref="G768">
      <text>
        <t xml:space="preserve">sisa 508,609</t>
      </text>
    </comment>
    <comment authorId="0" ref="G770">
      <text>
        <t xml:space="preserve">sisa 470,109</t>
      </text>
    </comment>
    <comment authorId="0" ref="G772">
      <text>
        <t xml:space="preserve">170,106</t>
      </text>
    </comment>
    <comment authorId="0" ref="G773">
      <text>
        <t xml:space="preserve">165,106</t>
      </text>
    </comment>
    <comment authorId="0" ref="G776">
      <text>
        <t xml:space="preserve">13,106</t>
      </text>
    </comment>
    <comment authorId="0" ref="G781">
      <text>
        <t xml:space="preserve">108,106</t>
      </text>
    </comment>
    <comment authorId="0" ref="C814">
      <text>
        <t xml:space="preserve">50 untuk maksi , 250 diambil sore</t>
      </text>
    </comment>
    <comment authorId="0" ref="E831">
      <text>
        <t xml:space="preserve">102253</t>
      </text>
    </comment>
    <comment authorId="0" ref="E832">
      <text>
        <t xml:space="preserve">602253</t>
      </text>
    </comment>
    <comment authorId="0" ref="E833">
      <text>
        <t xml:space="preserve">502253</t>
      </text>
    </comment>
    <comment authorId="0" ref="E834">
      <text>
        <t xml:space="preserve">202253</t>
      </text>
    </comment>
    <comment authorId="0" ref="E836">
      <text>
        <t xml:space="preserve">153,253</t>
      </text>
    </comment>
    <comment authorId="0" ref="E837">
      <text>
        <t xml:space="preserve">126,253</t>
      </text>
    </comment>
    <comment authorId="0" ref="E838">
      <text>
        <t xml:space="preserve">61.253</t>
      </text>
    </comment>
    <comment authorId="0" ref="E839">
      <text>
        <t xml:space="preserve">43,253</t>
      </text>
    </comment>
    <comment authorId="0" ref="E840">
      <text>
        <t xml:space="preserve">7,253</t>
      </text>
    </comment>
    <comment authorId="0" ref="E841">
      <text>
        <t xml:space="preserve">2,253</t>
      </text>
    </comment>
    <comment authorId="0" ref="E842">
      <text>
        <t xml:space="preserve">137,253</t>
      </text>
    </comment>
    <comment authorId="0" ref="E843">
      <text>
        <t xml:space="preserve">113,253</t>
      </text>
    </comment>
    <comment authorId="0" ref="E849">
      <text>
        <t xml:space="preserve">222,253</t>
      </text>
    </comment>
    <comment authorId="0" ref="E850">
      <text>
        <t xml:space="preserve">373,253</t>
      </text>
    </comment>
    <comment authorId="0" ref="E927">
      <text>
        <t xml:space="preserve">SISA 535,039</t>
      </text>
    </comment>
    <comment authorId="0" ref="E931">
      <text>
        <t xml:space="preserve">472,039</t>
      </text>
    </comment>
    <comment authorId="0" ref="E932">
      <text>
        <t xml:space="preserve">172,039</t>
      </text>
    </comment>
    <comment authorId="0" ref="E938">
      <text>
        <t xml:space="preserve">191,039</t>
      </text>
    </comment>
    <comment authorId="0" ref="E939">
      <text>
        <t xml:space="preserve">241,039</t>
      </text>
    </comment>
    <comment authorId="0" ref="E940">
      <text>
        <t xml:space="preserve">41,039</t>
      </text>
    </comment>
    <comment authorId="0" ref="E941">
      <text>
        <t xml:space="preserve">541,039</t>
      </text>
    </comment>
    <comment authorId="0" ref="E943">
      <text>
        <t xml:space="preserve">506.039</t>
      </text>
    </comment>
    <comment authorId="0" ref="E946">
      <text>
        <t xml:space="preserve">56,039</t>
      </text>
    </comment>
    <comment authorId="0" ref="E947">
      <text>
        <t xml:space="preserve">26.039</t>
      </text>
    </comment>
    <comment authorId="0" ref="E953">
      <text>
        <t xml:space="preserve">87,039</t>
      </text>
    </comment>
    <comment authorId="0" ref="E958">
      <text>
        <t xml:space="preserve">346,439</t>
      </text>
    </comment>
    <comment authorId="0" ref="E980">
      <text>
        <t xml:space="preserve">506.039</t>
      </text>
    </comment>
    <comment authorId="0" ref="E1027">
      <text>
        <t xml:space="preserve">260,332</t>
      </text>
    </comment>
    <comment authorId="0" ref="E1031">
      <text>
        <t xml:space="preserve">110,332</t>
      </text>
    </comment>
    <comment authorId="0" ref="E1038">
      <text>
        <t xml:space="preserve">155.632</t>
      </text>
    </comment>
    <comment authorId="0" ref="E1039">
      <text>
        <t xml:space="preserve">138,432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tc={002b4e5e-3d20-4534-9d41-1ace7b877295}</author>
    <author>tc={0c9df5c2-fd1d-450d-a914-6dfbddfb36ea}</author>
    <author>tc={0d4b7b8c-b5fd-4f76-9e55-73a8d6e9de93}</author>
    <author>tc={0efd3d69-80dc-4da6-ac29-b8ed558192c0}</author>
    <author>tc={1198f5f5-3e55-40fb-a4fa-3ad54774bc5a}</author>
    <author>tc={170a5b1f-214e-4bfe-8f90-b12f1017b7fd}</author>
    <author>tc={1cf6a566-9c6c-4132-a247-3a4c6cf34565}</author>
    <author>tc={1ee599f9-656a-41fd-b253-e0ded9747159}</author>
    <author>tc={1f57d281-ee3a-4a8c-a123-a8a6e2844752}</author>
    <author>tc={287ad227-0acf-44f8-8d6a-a3c0c382c2b7}</author>
    <author>tc={2a82acf1-f7bd-48fa-acb3-c95882f33288}</author>
    <author>tc={2c28686b-a3ad-4cd9-b931-fa9e2cdab89c}</author>
    <author>tc={3d2d4297-8ec9-4e5f-b383-cc6b25c2839b}</author>
    <author>tc={3d8b3a4a-235f-42b4-bb02-4492262f2667}</author>
    <author>tc={4685f097-f0e7-4453-99af-f5c1fcd44fa0}</author>
    <author>tc={4d9d3ab5-20e3-4f6d-b534-6c207ca8b2f9}</author>
    <author>tc={691bbdf4-da8e-4401-ba5f-c54bff9c3083}</author>
    <author>tc={767fcba9-cd40-4770-bf91-daaaec057d80}</author>
    <author>tc={7c7fe98e-b10b-4bb8-a1e9-1c394fdb8a0e}</author>
    <author>tc={8bb11300-ab8f-43e3-befa-01857af8fb68}</author>
    <author>tc={8c272eb8-413f-4b0b-b939-6b1eac729b3f}</author>
    <author>tc={8f3f780f-5a10-4305-8637-7b0b6880d7f6}</author>
    <author>tc={907a9673-41c6-4a44-9f8a-64f2329111de}</author>
    <author>tc={9109a0dd-8fe5-41c8-850c-50743c67e3c9}</author>
    <author>tc={9b717159-88ee-4951-a017-0d6c534e0ba7}</author>
    <author>tc={a08dea84-5121-430b-a12d-9ddbe7912725}</author>
    <author>tc={aa038ec3-5b7b-4201-9913-9a0fb49268f6}</author>
    <author>tc={afe24b9e-ea33-4f9c-bec9-cdde7b6dde20}</author>
    <author>tc={b8493aa0-26db-450d-9159-aea676f41cf3}</author>
    <author>tc={c305d6d1-78a5-46e1-bccc-68d6de91b728}</author>
    <author>tc={cc03999f-0f97-4e68-9dc1-c84536175efa}</author>
    <author>tc={e35df7b5-8e2b-45f3-bf34-3734f87dad6d}</author>
    <author>tc={e60e0918-b7da-4a4c-b0fe-435dfe67a985}</author>
    <author>tc={e8dad04d-c06a-4b75-b697-d5497ac950e7}</author>
    <author>tc={f2dde767-b034-47d8-8d8a-69cd32fcd219}</author>
    <author>tc={feeedbc3-1ebb-4730-afc3-4de1309db815}</author>
  </authors>
  <commentList>
    <comment authorId="0" ref="B135">
      <text>
        <t xml:space="preserve">nota asli SI2024C000113</t>
      </text>
    </comment>
    <comment authorId="0" ref="F146">
      <text>
        <t xml:space="preserve">pecah 2</t>
      </text>
    </comment>
    <comment authorId="0" ref="F147">
      <text>
        <t xml:space="preserve">pecah 1
</t>
      </text>
    </comment>
    <comment authorId="0" ref="G152">
      <text>
        <t xml:space="preserve">BGI ready, MJD-25
</t>
      </text>
    </comment>
    <comment authorId="0" ref="B176">
      <text>
        <t xml:space="preserve">LALMOVE Rp120,500
</t>
      </text>
    </comment>
    <comment authorId="0" ref="B177">
      <text>
        <t xml:space="preserve">LALMOVE Rp120,500
</t>
      </text>
    </comment>
    <comment authorId="0" ref="B368">
      <text>
        <t xml:space="preserve">833.333.33 biaya kirim / 3.5jt</t>
      </text>
    </comment>
    <comment authorId="0" ref="C400">
      <text>
        <t xml:space="preserve">Samudra Mega Motor
</t>
      </text>
    </comment>
    <comment authorId="0" ref="B401">
      <text>
        <t xml:space="preserve">2.666.666.66 / 3.5jt
</t>
      </text>
    </comment>
    <comment authorId="0" ref="N466">
      <text>
        <t xml:space="preserve">lebih 200k untuk bayar nota selanjutnya</t>
      </text>
    </comment>
    <comment authorId="0" ref="H598">
      <text>
        <t xml:space="preserve">2.408.262 sudah TF 4/10/24 lebih dari nota 2408262</t>
      </text>
    </comment>
    <comment authorId="0" ref="B631">
      <text>
        <t xml:space="preserve">INPUT SISTEM 31/10/24
DUMMY
932,000	 3,728,000 
1,000,000	 5,000,000 
</t>
      </text>
    </comment>
    <comment authorId="0" ref="B632">
      <text>
        <t xml:space="preserve">INPUT SISTEM 31/10/24
DUMMY
932,000	 3,728,000 
1,000,000	 5,000,000 
</t>
      </text>
    </comment>
    <comment authorId="0" ref="D1028">
      <text>
        <t xml:space="preserve">NOTA TRW-JAZZ01XYG yg dtg TRW-JAZZ07XYG baru ke cek tgl 04/09/25</t>
      </text>
    </comment>
    <comment authorId="0" ref="B1101">
      <text>
        <t xml:space="preserve">DP TGL 07/07/2025 1674</t>
      </text>
    </comment>
    <comment authorId="0" ref="N1104">
      <text>
        <t xml:space="preserve">disc cashback 1.624.920</t>
      </text>
    </comment>
    <comment authorId="0" ref="N1105">
      <text>
        <t xml:space="preserve">disc cashback 1.624.920</t>
      </text>
    </comment>
    <comment authorId="0" ref="N1106">
      <text>
        <t xml:space="preserve">disc cashback 1.624.920</t>
      </text>
    </comment>
    <comment authorId="0" ref="N1107">
      <text>
        <t xml:space="preserve">disc cashback 1.624.920</t>
      </text>
    </comment>
    <comment authorId="0" ref="N1108">
      <text>
        <t xml:space="preserve">disc cashback 1.624.920</t>
      </text>
    </comment>
    <comment authorId="0" ref="N1109">
      <text>
        <t xml:space="preserve">disc cashback 1.624.920</t>
      </text>
    </comment>
    <comment authorId="0" ref="N1146">
      <text>
        <t xml:space="preserve">salah tf 6.969.468</t>
      </text>
    </comment>
    <comment authorId="0" ref="N1147">
      <text>
        <t xml:space="preserve">salah tf 6.969.468</t>
      </text>
    </comment>
    <comment authorId="0" ref="N1148">
      <text>
        <t xml:space="preserve">salah tf 6.969.468</t>
      </text>
    </comment>
    <comment authorId="0" ref="B1235">
      <text>
        <t xml:space="preserve">KACA DIREFUND TIDAK JADI DIAMBIL</t>
      </text>
    </comment>
    <comment authorId="0" ref="D1318">
      <text>
        <t xml:space="preserve">List pelipit
</t>
      </text>
    </comment>
    <comment authorId="0" ref="D1319">
      <text>
        <t xml:space="preserve">List pelipit
</t>
      </text>
    </comment>
    <comment authorId="0" ref="C1321">
      <text>
        <t xml:space="preserve">427.500 DP 139.950 13/10/25
</t>
      </text>
    </comment>
    <comment authorId="0" ref="G1427">
      <text>
        <t xml:space="preserve">DSC 500K</t>
      </text>
    </comment>
    <comment authorId="0" ref="N1505">
      <text>
        <t xml:space="preserve">2512576,2512945. salah tf ke bgi 4,493,280, sisa 653,070 sdh tf jg</t>
      </text>
    </comment>
    <comment authorId="1" xr:uid="{002b4e5e-3d20-4534-9d41-1ace7b877295}" ref="A4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@viandasariramadhani.sentra@gmail.com Input tgl nota
Ditugaskan kepada viandasariramadhani.sentra@gmail.com
Reply:
	DONE
</t>
      </text>
    </comment>
    <comment authorId="2" xr:uid="{0c9df5c2-fd1d-450d-a914-6dfbddfb36ea}" ref="B7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salah
Reply:
	@viandasariramadhani.sentra@gmail.com
Reply:
	DONE CI
</t>
      </text>
    </comment>
    <comment authorId="3" xr:uid="{0d4b7b8c-b5fd-4f76-9e55-73a8d6e9de93}" ref="D5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@alvin
Reply:
	penjualan  26/8/24
</t>
      </text>
    </comment>
    <comment authorId="4" xr:uid="{0efd3d69-80dc-4da6-ac29-b8ed558192c0}" ref="B6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CEK SISTEM
</t>
      </text>
    </comment>
    <comment authorId="5" xr:uid="{1198f5f5-3e55-40fb-a4fa-3ad54774bc5a}" ref="B5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ganti uang petty cash
</t>
      </text>
    </comment>
    <comment authorId="6" xr:uid="{170a5b1f-214e-4bfe-8f90-b12f1017b7fd}" ref="G5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CRV 2HX 700.000 harga lama, cek rajawali @viandasariramadhani.sentra@gmail.com
Ditugaskan kepada viandasariramadhani.sentra@gmail.com
Reply:
	done, sudah di revisi notanya
</t>
      </text>
    </comment>
    <comment authorId="7" xr:uid="{1cf6a566-9c6c-4132-a247-3a4c6cf34565}" ref="G5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@viandasariramadhani.sentra@gmail.com cek ke rajawali harga lama 558.764
Ditugaskan kepada viandasariramadhani.sentra@gmail.com
Reply:
	harga baru ada kenaikan dari pihak gudangnya Rp. 614.640
</t>
      </text>
    </comment>
    <comment authorId="8" xr:uid="{1ee599f9-656a-41fd-b253-e0ded9747159}" ref="L8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tidak bisa pindahkan keteranganya
</t>
      </text>
    </comment>
    <comment authorId="9" xr:uid="{1f57d281-ee3a-4a8c-a123-a8a6e2844752}" ref="G3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568.500
</t>
      </text>
    </comment>
    <comment authorId="10" xr:uid="{287ad227-0acf-44f8-8d6a-a3c0c382c2b7}" ref="B4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GANTI PETTY CASH 26/6/24
Reply:
	DONE 27/9/24
Ditandai selesai
</t>
      </text>
    </comment>
    <comment authorId="11" xr:uid="{2a82acf1-f7bd-48fa-acb3-c95882f33288}" ref="B7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NOTA
</t>
      </text>
    </comment>
    <comment authorId="12" xr:uid="{2c28686b-a3ad-4cd9-b931-fa9e2cdab89c}" ref="G3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Cek MJD
</t>
      </text>
    </comment>
    <comment authorId="13" xr:uid="{3d2d4297-8ec9-4e5f-b383-cc6b25c2839b}" ref="B6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ganti petty cash
</t>
      </text>
    </comment>
    <comment authorId="14" xr:uid="{3d8b3a4a-235f-42b4-bb02-4492262f2667}" ref="B7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masih salah @viandasariramadhani.sentra@gmail.com
Ditugaskan kepada viandasariramadhani.sentra@gmail.com
</t>
      </text>
    </comment>
    <comment authorId="15" xr:uid="{4685f097-f0e7-4453-99af-f5c1fcd44fa0}" ref="G3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788.000 nett
</t>
      </text>
    </comment>
    <comment authorId="16" xr:uid="{4d9d3ab5-20e3-4f6d-b534-6c207ca8b2f9}" ref="B4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petty cash
Reply:
	done 27/9/24
Ditandai selesai
</t>
      </text>
    </comment>
    <comment authorId="17" xr:uid="{691bbdf4-da8e-4401-ba5f-c54bff9c3083}" ref="G4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@viandasariramadhani.sentra@gmail.com minta foto nota ke bgi
Ditugaskan kepada viandasariramadhani.sentra@gmail.com
Reply:
	Done ci
</t>
      </text>
    </comment>
    <comment authorId="18" xr:uid="{767fcba9-cd40-4770-bf91-daaaec057d80}" ref="H5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sisa 994,038
Reply:
	lunas 7/11/24
</t>
      </text>
    </comment>
    <comment authorId="19" xr:uid="{7c7fe98e-b10b-4bb8-a1e9-1c394fdb8a0e}" ref="B5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ganti uang petty cash
Reply:
	pribadi
</t>
      </text>
    </comment>
    <comment authorId="20" xr:uid="{8bb11300-ab8f-43e3-befa-01857af8fb68}" ref="B6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blm reim pribadi
</t>
      </text>
    </comment>
    <comment authorId="21" xr:uid="{8c272eb8-413f-4b0b-b939-6b1eac729b3f}" ref="B3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reimburser petty cash di 711
Reply:
	done 27/9/24
</t>
      </text>
    </comment>
    <comment authorId="22" xr:uid="{8f3f780f-5a10-4305-8637-7b0b6880d7f6}" ref="F3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-1
Reply:
	Minta nota revisi ke BGI
Reply:
	sudah di tukar guling kaca bagus
</t>
      </text>
    </comment>
    <comment authorId="23" xr:uid="{907a9673-41c6-4a44-9f8a-64f2329111de}" ref="B4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ganti uang petty cash
</t>
      </text>
    </comment>
    <comment authorId="24" xr:uid="{9109a0dd-8fe5-41c8-850c-50743c67e3c9}" ref="G3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yang benar 212.200
</t>
      </text>
    </comment>
    <comment authorId="25" xr:uid="{9b717159-88ee-4951-a017-0d6c534e0ba7}" ref="B3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GANTI PETTY CASH 27/05/24
Reply:
	done 27/9/24
Ditandai selesai
</t>
      </text>
    </comment>
    <comment authorId="26" xr:uid="{a08dea84-5121-430b-a12d-9ddbe7912725}" ref="B5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blm reimburse, pakai pribadi
</t>
      </text>
    </comment>
    <comment authorId="27" xr:uid="{aa038ec3-5b7b-4201-9913-9a0fb49268f6}" ref="B5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mulai dari sini belum input sistem
</t>
      </text>
    </comment>
    <comment authorId="28" xr:uid="{afe24b9e-ea33-4f9c-bec9-cdde7b6dde20}" ref="D4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@viandasariramadhani.sentra@gmail.com MULIA
Ditugaskan kepada viandasariramadhani.sentra@gmail.com
Reply:
	DONE
</t>
      </text>
    </comment>
    <comment authorId="29" xr:uid="{b8493aa0-26db-450d-9159-aea676f41cf3}" ref="G3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tidak di charge
</t>
      </text>
    </comment>
    <comment authorId="30" xr:uid="{c305d6d1-78a5-46e1-bccc-68d6de91b728}" ref="G3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Cek harga MJD
</t>
      </text>
    </comment>
    <comment authorId="31" xr:uid="{cc03999f-0f97-4e68-9dc1-c84536175efa}" ref="G3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harga benar 141.100
</t>
      </text>
    </comment>
    <comment authorId="32" xr:uid="{e35df7b5-8e2b-45f3-bf34-3734f87dad6d}" ref="B4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@viandasariramadhani.sentra@gmail.com no nota?
Ditugaskan kepada viandasariramadhani.sentra@gmail.com
Reply:
	Done
</t>
      </text>
    </comment>
    <comment authorId="33" xr:uid="{e60e0918-b7da-4a4c-b0fe-435dfe67a985}" ref="N4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lebih 200k
</t>
      </text>
    </comment>
    <comment authorId="34" xr:uid="{e8dad04d-c06a-4b75-b697-d5497ac950e7}" ref="B8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 nomor nota salah, tolong revisi
Reply:
	@iliarizqy.sentra@gmail.com
Reply:
	sudah diperbaiki
</t>
      </text>
    </comment>
    <comment authorId="35" xr:uid="{f2dde767-b034-47d8-8d8a-69cd32fcd219}" ref="B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GANTI PETTY CASH
Reply:
	ganti pribadi 27/9/24
</t>
      </text>
    </comment>
    <comment authorId="36" xr:uid="{feeedbc3-1ebb-4730-afc3-4de1309db815}" ref="B8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salah
Reply:
	@viandasariramadhani.sentra@gmail.com
Reply:
	done ci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7">
      <text>
        <t xml:space="preserve">pecah 2</t>
      </text>
    </comment>
    <comment authorId="0" ref="B48">
      <text>
        <t xml:space="preserve">pecah 1
</t>
      </text>
    </comment>
    <comment authorId="0" ref="B88">
      <text>
        <t xml:space="preserve">pecah 2</t>
      </text>
    </comment>
    <comment authorId="0" ref="B89">
      <text>
        <t xml:space="preserve">pecah 1
</t>
      </text>
    </comment>
  </commentList>
</comments>
</file>

<file path=xl/sharedStrings.xml><?xml version="1.0" encoding="utf-8"?>
<sst xmlns="http://schemas.openxmlformats.org/spreadsheetml/2006/main" count="86055" uniqueCount="17345">
  <si>
    <t>Kode Barang</t>
  </si>
  <si>
    <t>Kode Mobil</t>
  </si>
  <si>
    <t>Tipe Mobil</t>
  </si>
  <si>
    <t>Part</t>
  </si>
  <si>
    <t>Merk</t>
  </si>
  <si>
    <t>Aksesoris</t>
  </si>
  <si>
    <t>Masuk</t>
  </si>
  <si>
    <t>Keluar</t>
  </si>
  <si>
    <t>Stok Akhir</t>
  </si>
  <si>
    <t>Rak</t>
  </si>
  <si>
    <t>SO</t>
  </si>
  <si>
    <t>Alert</t>
  </si>
  <si>
    <t>Lain - Lain</t>
  </si>
  <si>
    <t>OTH-SEALANT</t>
  </si>
  <si>
    <t>Sealant Polyurethane XYG Tube</t>
  </si>
  <si>
    <t>OTH</t>
  </si>
  <si>
    <t>XYG</t>
  </si>
  <si>
    <t>OTH-PETI</t>
  </si>
  <si>
    <t>Peti Kayu</t>
  </si>
  <si>
    <t>KAYU</t>
  </si>
  <si>
    <t>LFW-ALTIS18RS</t>
  </si>
  <si>
    <t>Toyota Altis 18- E210 12th Gen</t>
  </si>
  <si>
    <t>LFW</t>
  </si>
  <si>
    <t>X/MB/RS/List</t>
  </si>
  <si>
    <t>OTH-SER</t>
  </si>
  <si>
    <t>255 Ultra + Actv-100 Application</t>
  </si>
  <si>
    <t>SK</t>
  </si>
  <si>
    <t>501 Sealant Application</t>
  </si>
  <si>
    <t>BY</t>
  </si>
  <si>
    <t>Transport</t>
  </si>
  <si>
    <t>TRANSPORT</t>
  </si>
  <si>
    <t>OTH-LIST04</t>
  </si>
  <si>
    <t>List Kaca Depan Code 04</t>
  </si>
  <si>
    <t>TOYDAI</t>
  </si>
  <si>
    <t>OTH-LIST11</t>
  </si>
  <si>
    <t>List Kaca Depan Code 11</t>
  </si>
  <si>
    <t>OTH-LISTINV</t>
  </si>
  <si>
    <t>List Kaca Depan INV</t>
  </si>
  <si>
    <t>TOY</t>
  </si>
  <si>
    <t>TRW-DMAX1</t>
  </si>
  <si>
    <t>Isuzu D-Max 02-12 1st Gen</t>
  </si>
  <si>
    <t>TRW</t>
  </si>
  <si>
    <t>MSG</t>
  </si>
  <si>
    <t>B1T4</t>
  </si>
  <si>
    <t>FDR-DMAX1</t>
  </si>
  <si>
    <t>FDR</t>
  </si>
  <si>
    <t>RDL-DMAX1</t>
  </si>
  <si>
    <t>RDL</t>
  </si>
  <si>
    <t>A9T4</t>
  </si>
  <si>
    <t>OTH-RPLX</t>
  </si>
  <si>
    <t>Pemasangan Kaca Mobil Depan</t>
  </si>
  <si>
    <t>Pemasangan Kaca Mobil Belakang</t>
  </si>
  <si>
    <t>Pemasangan Kaca Mobil Samping</t>
  </si>
  <si>
    <t>SIDE</t>
  </si>
  <si>
    <t>Lembur</t>
  </si>
  <si>
    <t>LMB</t>
  </si>
  <si>
    <t>FILM-40</t>
  </si>
  <si>
    <t xml:space="preserve">Automotive Film Standard - Black 40%                                </t>
  </si>
  <si>
    <t>FILM</t>
  </si>
  <si>
    <t>STD</t>
  </si>
  <si>
    <t>FILM-60</t>
  </si>
  <si>
    <t xml:space="preserve">Automotive Film Standard - Black 60%       </t>
  </si>
  <si>
    <t>FILM-80</t>
  </si>
  <si>
    <t xml:space="preserve">Automotive Film Standard - Black 80%  </t>
  </si>
  <si>
    <t>TRW-AVANZA03H</t>
  </si>
  <si>
    <t>Toyota Avanza / Xenia 03-11 1st Gen</t>
  </si>
  <si>
    <t>AUTO</t>
  </si>
  <si>
    <t>X/H</t>
  </si>
  <si>
    <t>RDR-CRV12</t>
  </si>
  <si>
    <t>Honda CR-V 12-16 4th Gen</t>
  </si>
  <si>
    <t>RDR</t>
  </si>
  <si>
    <t>SG</t>
  </si>
  <si>
    <t>LFW-ALPHARD08RS</t>
  </si>
  <si>
    <t>Toyota Alphard 08-15 ANH20 2nd Gen</t>
  </si>
  <si>
    <t>PIL</t>
  </si>
  <si>
    <t>X/MB/RS</t>
  </si>
  <si>
    <t>LFW-JAZZ07</t>
  </si>
  <si>
    <t>Honda Jazz 07-13 2nd Gen (Honda)</t>
  </si>
  <si>
    <t>AGC</t>
  </si>
  <si>
    <t>X/MB/Logo</t>
  </si>
  <si>
    <t>RDR-AVANZA11</t>
  </si>
  <si>
    <t>Toyota Avanza / Xenia 11-15 2nd Gen</t>
  </si>
  <si>
    <t>ASH</t>
  </si>
  <si>
    <t>A13T3</t>
  </si>
  <si>
    <t>RDL-AGYA13</t>
  </si>
  <si>
    <t>Toyota Agya/Ayla 13-22 1st Gen</t>
  </si>
  <si>
    <t>A13T4</t>
  </si>
  <si>
    <t>TRW-AVANZA11</t>
  </si>
  <si>
    <t>Toyota Avanza / Xenia 11-15 2nd Gen/3rd Gen</t>
  </si>
  <si>
    <t>ORI</t>
  </si>
  <si>
    <t>X/Logo</t>
  </si>
  <si>
    <t>RDL-AVANZA11</t>
  </si>
  <si>
    <t>FDL-AVANZA11</t>
  </si>
  <si>
    <t>FDL</t>
  </si>
  <si>
    <t>FDR-AVANZA11</t>
  </si>
  <si>
    <t>LFW-ETIOS</t>
  </si>
  <si>
    <t>Toyota Etios 10- 1st Gen Sedan</t>
  </si>
  <si>
    <t>X</t>
  </si>
  <si>
    <t>TRW-XPANDER</t>
  </si>
  <si>
    <t>Mitsubishi Xpander 17-21 / Livina 19- 2nd Gen (Mitsubishi)</t>
  </si>
  <si>
    <t>X/Hole</t>
  </si>
  <si>
    <t>B10T3</t>
  </si>
  <si>
    <t>SWR-RAIZE</t>
  </si>
  <si>
    <t>Toyota Raize / Daihatsu Rocky 20-</t>
  </si>
  <si>
    <t>SWR</t>
  </si>
  <si>
    <t>TRW-BRV16</t>
  </si>
  <si>
    <t>Honda BR-V 16- Genuine</t>
  </si>
  <si>
    <t>HONDA</t>
  </si>
  <si>
    <t>X/H/Logo</t>
  </si>
  <si>
    <t>LFW-AUDIB8</t>
  </si>
  <si>
    <t>Audi A4 08-15 B8</t>
  </si>
  <si>
    <t>FY</t>
  </si>
  <si>
    <t>X/RS/List</t>
  </si>
  <si>
    <t>TRW-AUDIB8</t>
  </si>
  <si>
    <t>X/H/A</t>
  </si>
  <si>
    <t>LFW-AUDIC7</t>
  </si>
  <si>
    <t>Audi A6 11-18 C7</t>
  </si>
  <si>
    <t>TRW-AUDIC7</t>
  </si>
  <si>
    <t>X/H/List</t>
  </si>
  <si>
    <t>LFW-E30</t>
  </si>
  <si>
    <t>BMW 3 Series 82-94 E30</t>
  </si>
  <si>
    <t>TRW-E30</t>
  </si>
  <si>
    <t>H</t>
  </si>
  <si>
    <t>LFW-E36</t>
  </si>
  <si>
    <t>BMW 3 Series 90-99 E36</t>
  </si>
  <si>
    <t>X/MB</t>
  </si>
  <si>
    <t>TRW-E36</t>
  </si>
  <si>
    <t>FDL-E36</t>
  </si>
  <si>
    <t>FD/L</t>
  </si>
  <si>
    <t>FDR-E36</t>
  </si>
  <si>
    <t>FD/R</t>
  </si>
  <si>
    <t>RDL-E36</t>
  </si>
  <si>
    <t>RD/L</t>
  </si>
  <si>
    <t>RDR-E36</t>
  </si>
  <si>
    <t>RD/R</t>
  </si>
  <si>
    <t>LFW-E46RS</t>
  </si>
  <si>
    <t>BMW 3 Series 98-06 E46</t>
  </si>
  <si>
    <t>LFW-E46</t>
  </si>
  <si>
    <t>TRW-E46</t>
  </si>
  <si>
    <t>A4T3</t>
  </si>
  <si>
    <t>FDL-E46</t>
  </si>
  <si>
    <t>2Hole</t>
  </si>
  <si>
    <t>FDR-E46</t>
  </si>
  <si>
    <t>RDL-E46</t>
  </si>
  <si>
    <t>1Hole</t>
  </si>
  <si>
    <t>RDR-E46</t>
  </si>
  <si>
    <t>LFW-E46RS2DOOR</t>
  </si>
  <si>
    <t>BMW 3 Series 98-06 E46 (2-Door Coupe)</t>
  </si>
  <si>
    <t>LFW-E90RS</t>
  </si>
  <si>
    <t>BMW 3 Series 05-12 E90</t>
  </si>
  <si>
    <t>LFW-E90</t>
  </si>
  <si>
    <t>TRW-E90</t>
  </si>
  <si>
    <t>FDL-E90</t>
  </si>
  <si>
    <t>FDR-E90</t>
  </si>
  <si>
    <t>RDL-E90</t>
  </si>
  <si>
    <t>RDR-E90</t>
  </si>
  <si>
    <t>LFW-F30</t>
  </si>
  <si>
    <t>BMW 3 Series 12-18 F30/F35</t>
  </si>
  <si>
    <t>A8T2</t>
  </si>
  <si>
    <t>LFW-W222</t>
  </si>
  <si>
    <t>Mers-Benz S-Class 13-20 W222 4D</t>
  </si>
  <si>
    <t>X/H/A/3S/List</t>
  </si>
  <si>
    <t>FDL-F30</t>
  </si>
  <si>
    <t>FDR-F30</t>
  </si>
  <si>
    <t>RDL-F30</t>
  </si>
  <si>
    <t>RDR-F30</t>
  </si>
  <si>
    <t>LFW-E60RSK</t>
  </si>
  <si>
    <t>BMW 5 Series 03-10 E60 (1 Sensor / [] )</t>
  </si>
  <si>
    <t>LFW-E60RSO</t>
  </si>
  <si>
    <t>BMW 5 Series 03-10 E60 (1 Sensor / O)</t>
  </si>
  <si>
    <t>TRW-E60</t>
  </si>
  <si>
    <t>BMW 5 Series 03-10 E60</t>
  </si>
  <si>
    <t>FDL-E60</t>
  </si>
  <si>
    <t>FDR-E60</t>
  </si>
  <si>
    <t>RDL-E60</t>
  </si>
  <si>
    <t>RDR-E60</t>
  </si>
  <si>
    <t>LFW-F10</t>
  </si>
  <si>
    <t>BMW 5 Series 10-16 F10 (1 Sensor / ꓳ Tengah)</t>
  </si>
  <si>
    <t>FDL-F10</t>
  </si>
  <si>
    <t>BMW 5 Series 10-16 F10</t>
  </si>
  <si>
    <t>FDR-F10</t>
  </si>
  <si>
    <t>RDL-F10</t>
  </si>
  <si>
    <t>RDR-F10</t>
  </si>
  <si>
    <t>LFW-E84</t>
  </si>
  <si>
    <t>BMW X1 Series 09-14 E84 (1 Sensor / [] )</t>
  </si>
  <si>
    <t>TRW-E84</t>
  </si>
  <si>
    <t>BMW X1 Series 09-14 E84</t>
  </si>
  <si>
    <t>LFW-F48</t>
  </si>
  <si>
    <t>BMW X1 Series 15- F48</t>
  </si>
  <si>
    <t>X/RS</t>
  </si>
  <si>
    <t>LFW-E53</t>
  </si>
  <si>
    <t>BMW X5 Series 00-06 E53</t>
  </si>
  <si>
    <t>TRW-E53BLACK</t>
  </si>
  <si>
    <t>BMW X5 Series 00-06 E53 (Hitam)</t>
  </si>
  <si>
    <t>X/H/A/1hole</t>
  </si>
  <si>
    <t>LFW-E70RS</t>
  </si>
  <si>
    <t>BMW X5 Series 07-13 E70 (1 Sensor / ꓳ)</t>
  </si>
  <si>
    <t>TRW-E70</t>
  </si>
  <si>
    <t>BMW X5 Series 07-13 E70</t>
  </si>
  <si>
    <t>X/H/A/3Hole</t>
  </si>
  <si>
    <t>RDL-E70</t>
  </si>
  <si>
    <t>SWL-E70</t>
  </si>
  <si>
    <t>SW/L</t>
  </si>
  <si>
    <t>LFW-F15</t>
  </si>
  <si>
    <t>BMW X5 Series 13-18 F15</t>
  </si>
  <si>
    <t>RDL-F15</t>
  </si>
  <si>
    <t>RDR-F15</t>
  </si>
  <si>
    <t>LFW-QQ03</t>
  </si>
  <si>
    <t>Chery QQ 03-15 S11 5D / Spark 98-05</t>
  </si>
  <si>
    <t>TRW-QQ03</t>
  </si>
  <si>
    <t>LFW-AVEO99</t>
  </si>
  <si>
    <t>Chevrolet Aveo 99-08 T200 Hatch. (Panjang)</t>
  </si>
  <si>
    <t>FDL-AVEO99</t>
  </si>
  <si>
    <t>Chevrolet Aveo 99-11 T200 Hatch.</t>
  </si>
  <si>
    <t>FDR-AVEO99</t>
  </si>
  <si>
    <t>TRW-AVEO99</t>
  </si>
  <si>
    <t>LFW-AVEO08</t>
  </si>
  <si>
    <t>Chevrolet Aveo 08-11 T250 Hatch. (Kalos/Lova) (Pendek)</t>
  </si>
  <si>
    <t>LFW-AVEO11</t>
  </si>
  <si>
    <t>Chevrolet Aveo 11- T300 2nd Gen Hatchback</t>
  </si>
  <si>
    <t>TRW-AVEO11</t>
  </si>
  <si>
    <t>X/H/1Hole</t>
  </si>
  <si>
    <t>LFW-CAPTIVARS</t>
  </si>
  <si>
    <t>Chevrolet Captiva 06-18 1st gen C100</t>
  </si>
  <si>
    <t>X/MB/RS/LIST</t>
  </si>
  <si>
    <t>LFW-CAPTIVA</t>
  </si>
  <si>
    <t>TRW-CAPTIVA6HOLE</t>
  </si>
  <si>
    <t>X/H/6Hole</t>
  </si>
  <si>
    <t>TRW-CAPTIVA</t>
  </si>
  <si>
    <t>FDL2-CAPTIVA</t>
  </si>
  <si>
    <t>FDR2-CAPTIVA</t>
  </si>
  <si>
    <t>RDL2-CAPTIVA</t>
  </si>
  <si>
    <t>RDR2-CAPTIVA</t>
  </si>
  <si>
    <t>RQL-CAPTIVA</t>
  </si>
  <si>
    <t>X/A</t>
  </si>
  <si>
    <t>RQR-CAPTIVA</t>
  </si>
  <si>
    <t>SW/R</t>
  </si>
  <si>
    <t>LFW-OPTRA</t>
  </si>
  <si>
    <t>Chevrolet Optra 03-</t>
  </si>
  <si>
    <t>LFW-ORLANDORS</t>
  </si>
  <si>
    <t>Chevrolet Orlando 12- 1st Gen</t>
  </si>
  <si>
    <t>LFW-ORLANDO</t>
  </si>
  <si>
    <t>FDR-ORLANDO</t>
  </si>
  <si>
    <t>RDL-ORLANDO</t>
  </si>
  <si>
    <t>LFW-SPARK98</t>
  </si>
  <si>
    <t>Chevrolet Spark 98-05 M100 1stGen (800cc)</t>
  </si>
  <si>
    <t>TRW-SPARK98</t>
  </si>
  <si>
    <t>LFW-SPARK05</t>
  </si>
  <si>
    <t>Chevrolet Spark 05-09 M200 2nd Gen (1000cc)</t>
  </si>
  <si>
    <t>TRW-SPARK05</t>
  </si>
  <si>
    <t>FDL-SPARK05</t>
  </si>
  <si>
    <t>FDR-SPARK05</t>
  </si>
  <si>
    <t>RDR-SPARK05</t>
  </si>
  <si>
    <t>LFW-SPARK10</t>
  </si>
  <si>
    <t>Chevrolet Spark 10-15 M300 3rd Gen (1200cc)</t>
  </si>
  <si>
    <t>TRW-SPARK10</t>
  </si>
  <si>
    <t>FDL-SPARK10</t>
  </si>
  <si>
    <t>FDR-SPARK10</t>
  </si>
  <si>
    <t>RDL-SPARK10</t>
  </si>
  <si>
    <t>RDR-SPARK10</t>
  </si>
  <si>
    <t>LFW-SPIN</t>
  </si>
  <si>
    <t>Chevrolet Spin 12-</t>
  </si>
  <si>
    <t>RDL-TRAILBLAZER</t>
  </si>
  <si>
    <t>Chevrolet TrailBlazer 13-</t>
  </si>
  <si>
    <t>RDR-TRAILBLAZER</t>
  </si>
  <si>
    <t>TRW-TRAILBLAZER</t>
  </si>
  <si>
    <t>Chevrolet TrailBlazer 13- / Isuzu MUX</t>
  </si>
  <si>
    <t>LFW-TRAX</t>
  </si>
  <si>
    <t>Chevrolet Trax 13- [Tanpa Sensor]</t>
  </si>
  <si>
    <t>TRW-TRAX</t>
  </si>
  <si>
    <t>Chevrolet Trax 13-</t>
  </si>
  <si>
    <t>LFW-ZAFIRA</t>
  </si>
  <si>
    <t>Chevrolet Zafira 99-05 T0600</t>
  </si>
  <si>
    <t>TRW-ZAFIRA</t>
  </si>
  <si>
    <t>LFW-GRANMAX</t>
  </si>
  <si>
    <t>Daihatsu Gran Max / Luxio 07-</t>
  </si>
  <si>
    <t>TRW-SIRION1</t>
  </si>
  <si>
    <t>Daihatsu Sirion 04-10 1st Gen</t>
  </si>
  <si>
    <t>LFW-YRV</t>
  </si>
  <si>
    <t>Daihatsu YRV 00-05 Mini MPV</t>
  </si>
  <si>
    <t>LFW-DODGE</t>
  </si>
  <si>
    <t>Dodge Journey 09-</t>
  </si>
  <si>
    <t>TRW-DODGE</t>
  </si>
  <si>
    <t>LFW-ECOSPORT</t>
  </si>
  <si>
    <t>Ford EcoSport 13- B515</t>
  </si>
  <si>
    <t>LFW-ECOSPORTRS</t>
  </si>
  <si>
    <t>TRW-ECOSPORT</t>
  </si>
  <si>
    <t>FDL-ECOSPORT</t>
  </si>
  <si>
    <t>FDR-ECOSPORT</t>
  </si>
  <si>
    <t>RDL-ECOSPORT</t>
  </si>
  <si>
    <t>RDR-ECOSPORT</t>
  </si>
  <si>
    <t>LFW-ESCAPE</t>
  </si>
  <si>
    <t>Ford Escape 00-12</t>
  </si>
  <si>
    <t>TRW-ESCAPE</t>
  </si>
  <si>
    <t>LFW-RANGER04</t>
  </si>
  <si>
    <t>Ford Everest 04-15 / Ranger 04-11 / Mazda BT-50</t>
  </si>
  <si>
    <t>TRW-EVEREST</t>
  </si>
  <si>
    <t>Ford Everest 06-15</t>
  </si>
  <si>
    <t>LFW-FIESTA</t>
  </si>
  <si>
    <t>Ford Fiesta 09-17</t>
  </si>
  <si>
    <t>TRW-FIESTA</t>
  </si>
  <si>
    <t>FDL-FIESTA</t>
  </si>
  <si>
    <t>FDR-FIESTA</t>
  </si>
  <si>
    <t>RDL-FIESTA</t>
  </si>
  <si>
    <t>RDR-FIESTA</t>
  </si>
  <si>
    <t>LFW-FIESTARSBULAT</t>
  </si>
  <si>
    <t>Ford Fiesta 09-17 (Sensor Bulat)</t>
  </si>
  <si>
    <t>LFW-FIESTARSKOTAK</t>
  </si>
  <si>
    <t>Ford Fiesta 09-17 (Sensor Kotak)</t>
  </si>
  <si>
    <t>LFW-FOCUS04</t>
  </si>
  <si>
    <t>Ford Focus 04-11 Hatchback/Sedan</t>
  </si>
  <si>
    <t>TRW-FOCUS04</t>
  </si>
  <si>
    <t>Ford Focus 04-07 Hatchback (Lampu Putih Stgh)</t>
  </si>
  <si>
    <t>LFW-FOCUS11</t>
  </si>
  <si>
    <t>Ford Focus 11- Hatchback/Sedan</t>
  </si>
  <si>
    <t>TRW-FOCUS11</t>
  </si>
  <si>
    <t>Ford Focus 11- Hatchback</t>
  </si>
  <si>
    <t>LFW-RANGER11RS</t>
  </si>
  <si>
    <t>Ford Ranger 11- T6 /Mazda BT50 Sing/Doub Cabin</t>
  </si>
  <si>
    <t>LFW-EMGRAND</t>
  </si>
  <si>
    <t>Geely Emgrand 09- EC Sedan</t>
  </si>
  <si>
    <t>LFW-PANDA</t>
  </si>
  <si>
    <t>Geely Panda 09- LC Hatchback</t>
  </si>
  <si>
    <t>LFW-ACCORD86</t>
  </si>
  <si>
    <t>Honda Accord 86-89 SE3/SE5 3rd Gen (Prestige)</t>
  </si>
  <si>
    <t>TRW-ACCORD86</t>
  </si>
  <si>
    <t>FDL-ACCORD86</t>
  </si>
  <si>
    <t>FDR-ACCORD86</t>
  </si>
  <si>
    <t>RDL-ACCORD86</t>
  </si>
  <si>
    <t>RDR-ACCORD86</t>
  </si>
  <si>
    <t>LFW-ACCORD90</t>
  </si>
  <si>
    <t>Honda Accord 90-93 SM4 4th Gen (Maestro)</t>
  </si>
  <si>
    <t>TRW-ACCORD90</t>
  </si>
  <si>
    <t>LFW-ACCORD93</t>
  </si>
  <si>
    <t>Honda Accord 93-98 SV4 5th Gen (Cielo)</t>
  </si>
  <si>
    <t>TRW-ACCORD93</t>
  </si>
  <si>
    <t>Honda Accord 93-98 SV4 5th Gen (Cielo) (93-95) 77cm</t>
  </si>
  <si>
    <t>LFW-ACCORD98</t>
  </si>
  <si>
    <t>Honda Accord 98-02 S84/S86 6th Gen</t>
  </si>
  <si>
    <t>TRW-ACCORD98</t>
  </si>
  <si>
    <t>RDL-ACCORD98</t>
  </si>
  <si>
    <t>RDR-ACCORD98</t>
  </si>
  <si>
    <t>LFW-ACCORD03</t>
  </si>
  <si>
    <t>Honda Accord 03-07 7th Gen CM5,6,7</t>
  </si>
  <si>
    <t>TRW-ACCORD03</t>
  </si>
  <si>
    <t>LFW-ACCORD08</t>
  </si>
  <si>
    <t>Honda Accord 08-12 8th Gen</t>
  </si>
  <si>
    <t>TRW-ACCORD08</t>
  </si>
  <si>
    <t>LFW-ACCORD13RS</t>
  </si>
  <si>
    <t>Honda Accord 13-17 9th Gen [Sensor]</t>
  </si>
  <si>
    <t>LFW-ACCORD13</t>
  </si>
  <si>
    <t>Honda Accord 13-17 9th Gen [Tanpa Sensor]</t>
  </si>
  <si>
    <t>TRW-ACCORD13</t>
  </si>
  <si>
    <t>Honda Accord 13-17 9th Gen</t>
  </si>
  <si>
    <t>FDR-ACCORD13</t>
  </si>
  <si>
    <t>RDL-ACCORD13</t>
  </si>
  <si>
    <t>LFW-BRIO</t>
  </si>
  <si>
    <t>Honda Brio 10- / Mobilio 11-</t>
  </si>
  <si>
    <t>LFW-CITY96</t>
  </si>
  <si>
    <t>Honda City 96-02 3rdGen (City Z)</t>
  </si>
  <si>
    <t>TRW-CITY96</t>
  </si>
  <si>
    <t>LFW-CITY02</t>
  </si>
  <si>
    <t>Honda City 02-08 4th Gen Idsi GD8</t>
  </si>
  <si>
    <t>TRW-CITY02</t>
  </si>
  <si>
    <t>Honda City 02-08 4th Gen Idsi GD8 (4 Colokan)</t>
  </si>
  <si>
    <t>LFW-CITY08</t>
  </si>
  <si>
    <t>Honda City 08-13 5th Gen (All New) RS</t>
  </si>
  <si>
    <t>TRW-CITY08</t>
  </si>
  <si>
    <t>LFW-CITY14</t>
  </si>
  <si>
    <t>Honda City 14-18 GM6</t>
  </si>
  <si>
    <t>LFW-CIVICEST</t>
  </si>
  <si>
    <t>Honda Civic 92-95 3D SR0/SR3 (Estilo)</t>
  </si>
  <si>
    <t>TRW-CIVICEST</t>
  </si>
  <si>
    <t>X/H/10Hole</t>
  </si>
  <si>
    <t>FDL-CIVICEST</t>
  </si>
  <si>
    <t>FDR-CIVICEST</t>
  </si>
  <si>
    <t>RDL-CIVICEST</t>
  </si>
  <si>
    <t>RDR-CIVICEST</t>
  </si>
  <si>
    <t>LFW-CIVICGENIO</t>
  </si>
  <si>
    <t>Honda Civic 92-95 SR1/SR4 (Genio)</t>
  </si>
  <si>
    <t>RDL-CIVICGENIO</t>
  </si>
  <si>
    <t>TRW-CIVICGENIO</t>
  </si>
  <si>
    <t>LFW-CIVIC96</t>
  </si>
  <si>
    <t>Honda Civic 96-00 SO4/SO6 (Ferio)</t>
  </si>
  <si>
    <t>TRW-CIVIC96</t>
  </si>
  <si>
    <t>RDR-CIVIC96</t>
  </si>
  <si>
    <t>RVL-CIVIC96</t>
  </si>
  <si>
    <t>RV/L</t>
  </si>
  <si>
    <t>RVR-CIVIC96</t>
  </si>
  <si>
    <t>RV/R</t>
  </si>
  <si>
    <t>LFW-CIVIC00</t>
  </si>
  <si>
    <t>Honda Civic 00-05 VTIS S5A 7th Gen (Venturi)</t>
  </si>
  <si>
    <t>TRW-CIVIC00</t>
  </si>
  <si>
    <t>LFW-CIVIC05</t>
  </si>
  <si>
    <t>Honda Civic 05-11 8th Gen (Civic Batman FD)</t>
  </si>
  <si>
    <t>TRW-CIVIC05</t>
  </si>
  <si>
    <t>FDL-CIVIC05</t>
  </si>
  <si>
    <t>Klip</t>
  </si>
  <si>
    <t>FDR-CIVIC05</t>
  </si>
  <si>
    <t>FVL-CIVIC05</t>
  </si>
  <si>
    <t>FV/L</t>
  </si>
  <si>
    <t>FVR-CIVIC05</t>
  </si>
  <si>
    <t>FV/R</t>
  </si>
  <si>
    <t>RVL-CIVIC05</t>
  </si>
  <si>
    <t>RVR-CIVIC05</t>
  </si>
  <si>
    <t>LFW-CIVIC11</t>
  </si>
  <si>
    <t>Honda Civic 11-15 9th Gen (All New)</t>
  </si>
  <si>
    <t>TRW-CIVIC11</t>
  </si>
  <si>
    <t>TRW-CIVIC16SED</t>
  </si>
  <si>
    <t>Honda Civic 16- 10th Gen Sedan</t>
  </si>
  <si>
    <t>LFW-CRV95</t>
  </si>
  <si>
    <t>Honda CR-V 95-01 1st Gen</t>
  </si>
  <si>
    <t>TRW-CRV95</t>
  </si>
  <si>
    <t>FDL-CRV95</t>
  </si>
  <si>
    <t>FDR-CRV95</t>
  </si>
  <si>
    <t>RVL-CRV95</t>
  </si>
  <si>
    <t>RVR-CRV95</t>
  </si>
  <si>
    <t>SWL-CRV95</t>
  </si>
  <si>
    <t>SWR-CRV95</t>
  </si>
  <si>
    <t>RDR-DMAX1</t>
  </si>
  <si>
    <t>LFW-CRV05</t>
  </si>
  <si>
    <t>Honda CR-V 04-06 2nd Gen (Spion Biasa)</t>
  </si>
  <si>
    <t>TRW-CRV02</t>
  </si>
  <si>
    <t>Honda CR-V 02-06 2nd Gen</t>
  </si>
  <si>
    <t>RDL-CRV02</t>
  </si>
  <si>
    <t>RDR-CRV02</t>
  </si>
  <si>
    <t>SWL-CRV02</t>
  </si>
  <si>
    <t>SWR-CRV02</t>
  </si>
  <si>
    <t>LFW-CRV07</t>
  </si>
  <si>
    <t>Honda CR-V 07-11 3rd Gen</t>
  </si>
  <si>
    <t>TRW-CRV07</t>
  </si>
  <si>
    <t>X/H/2Hole</t>
  </si>
  <si>
    <t>SWL-CRV07</t>
  </si>
  <si>
    <t>SWR-CRV07</t>
  </si>
  <si>
    <t>LFW-CRV12</t>
  </si>
  <si>
    <t>TRW-CRV12NONP</t>
  </si>
  <si>
    <t>Honda CR-V 12-16 4th Gen [Rata]</t>
  </si>
  <si>
    <t>TRW-CRV12PRESTIGE</t>
  </si>
  <si>
    <t>Honda CR-V 12-16 4th Gen [Lengkung]</t>
  </si>
  <si>
    <t>X/H/1hole</t>
  </si>
  <si>
    <t>FDL-CRV12</t>
  </si>
  <si>
    <t>FDR-CRV12</t>
  </si>
  <si>
    <t>RDL-CRV12</t>
  </si>
  <si>
    <t>LFW-CRV17</t>
  </si>
  <si>
    <t>Honda CR-V 17- 5th Gen</t>
  </si>
  <si>
    <t>TRW-CRV17</t>
  </si>
  <si>
    <t>LFW-CRZ</t>
  </si>
  <si>
    <t>Honda CR-Z 10-16 2D Coupe</t>
  </si>
  <si>
    <t>LFW-ELYSION</t>
  </si>
  <si>
    <t>Honda Elysion 04- RR1</t>
  </si>
  <si>
    <t>TRW-ELYSIONRATA</t>
  </si>
  <si>
    <t>Honda Elysion 04- RR1 [Rata]</t>
  </si>
  <si>
    <t>TRW-ELYSIONCURVE</t>
  </si>
  <si>
    <t>Honda Elysion 04- RR1 [Lengkung]</t>
  </si>
  <si>
    <t>LFW-FREED</t>
  </si>
  <si>
    <t>Honda Freed 08-16 1st gen</t>
  </si>
  <si>
    <t>TRW-FREED</t>
  </si>
  <si>
    <t>SWL-FREED</t>
  </si>
  <si>
    <t>SWR-FREED</t>
  </si>
  <si>
    <t>LFW-HRV14</t>
  </si>
  <si>
    <t>Honda HR-V 14-21 5D SUV</t>
  </si>
  <si>
    <t>TRW-HRV14</t>
  </si>
  <si>
    <t>LFW-JAZZ01</t>
  </si>
  <si>
    <t>Honda Jazz 01-07 1st Gen</t>
  </si>
  <si>
    <t>TRW-JAZZ01</t>
  </si>
  <si>
    <t>FDL-JAZZ01</t>
  </si>
  <si>
    <t>Acc</t>
  </si>
  <si>
    <t>FVL-JAZZ01</t>
  </si>
  <si>
    <t>RDL-JAZZ01</t>
  </si>
  <si>
    <t>RDR-JAZZ01</t>
  </si>
  <si>
    <t>Honda Jazz 07-13 2nd Gen</t>
  </si>
  <si>
    <t>TRW-JAZZ07</t>
  </si>
  <si>
    <t>FDL-JAZZ07</t>
  </si>
  <si>
    <t>SWL-JAZZ07</t>
  </si>
  <si>
    <t>SWR-JAZZ07</t>
  </si>
  <si>
    <t>LFW-JAZZ13</t>
  </si>
  <si>
    <t>Honda Jazz 13- 3rd Gen</t>
  </si>
  <si>
    <t>TRW-JAZZ13</t>
  </si>
  <si>
    <t>LFW-LEGEND</t>
  </si>
  <si>
    <t>Honda Legend 04-12 SJA</t>
  </si>
  <si>
    <t>LFW-ODYSSEY99</t>
  </si>
  <si>
    <t>Honda Odyssey 99-03 2nd Gen RA6-RA9</t>
  </si>
  <si>
    <t>TRW-ODYSSEY99</t>
  </si>
  <si>
    <t>LFW-ODYSSEY03</t>
  </si>
  <si>
    <t>Honda Odyssey 03-08 3rd Gen RB1-RB2 (Lampu Δ)</t>
  </si>
  <si>
    <t>TRW-ODYSSEY03</t>
  </si>
  <si>
    <t>FDL-ODYSSEY03</t>
  </si>
  <si>
    <t>FDR-ODYSSEY03</t>
  </si>
  <si>
    <t>RDL-ODYSSEY03</t>
  </si>
  <si>
    <t>RDR-ODYSSEY03</t>
  </si>
  <si>
    <t>SWL-ODYSSEY03</t>
  </si>
  <si>
    <t>SWR-ODYSSEY03</t>
  </si>
  <si>
    <t>LFW-ODYSSEY09</t>
  </si>
  <si>
    <t>Honda Odyssey 09-13 4th Gen RB3-RB4</t>
  </si>
  <si>
    <t>FDL-ODYSSEY09</t>
  </si>
  <si>
    <t>FDR-ODYSSEY09</t>
  </si>
  <si>
    <t>RDL-ODYSSEY09</t>
  </si>
  <si>
    <t>RDR-ODYSSEY09</t>
  </si>
  <si>
    <t>SWL-ODYSSEY09</t>
  </si>
  <si>
    <t>SWR-ODYSSEY09</t>
  </si>
  <si>
    <t>LFW-ODYSSEY13</t>
  </si>
  <si>
    <t>Honda Odyssey 13- 5th Gen RC1/RC2</t>
  </si>
  <si>
    <t>TRW-ODYSSEY13</t>
  </si>
  <si>
    <t>RDL-ODYSSEY13</t>
  </si>
  <si>
    <t>RDR-ODYSSEY13</t>
  </si>
  <si>
    <t>SWL-ODYSSEY13</t>
  </si>
  <si>
    <t>TRW-STREAM00</t>
  </si>
  <si>
    <t>Honda Stream 00-06 S7A/RN1</t>
  </si>
  <si>
    <t>RDR-STREAM00</t>
  </si>
  <si>
    <t>LFW-STREAM00MB</t>
  </si>
  <si>
    <t>Honda Stream 04-06 S7A/RN1 (Spion)</t>
  </si>
  <si>
    <t>TRW-VERNA00</t>
  </si>
  <si>
    <t>Hyundai Accent Verna 01-05 Sedan</t>
  </si>
  <si>
    <t>LFW-ELANTRA</t>
  </si>
  <si>
    <t>Hyundai Elantra 10-15 Sedan</t>
  </si>
  <si>
    <t>LFW-GETZ</t>
  </si>
  <si>
    <t>Hyundai Getz 02-11</t>
  </si>
  <si>
    <t>TRW-GETZ</t>
  </si>
  <si>
    <t>FDL-GETZ</t>
  </si>
  <si>
    <t>FDR-GETZ</t>
  </si>
  <si>
    <t>RDL-GETZ</t>
  </si>
  <si>
    <t>RDR-GETZ</t>
  </si>
  <si>
    <t>LFW-GAVEGA</t>
  </si>
  <si>
    <t>Hyundai Grand Avega 11-16 RB</t>
  </si>
  <si>
    <t>TRW-GAVEGA</t>
  </si>
  <si>
    <t>RDL-GAVEGA</t>
  </si>
  <si>
    <t>RDR-GAVEGA</t>
  </si>
  <si>
    <t>LFW-H1</t>
  </si>
  <si>
    <t>Hyundai H1 08- / Mover</t>
  </si>
  <si>
    <t>TRW-H1</t>
  </si>
  <si>
    <t>Hyundai H1 08- / Mover (Lubang)</t>
  </si>
  <si>
    <t>RDL-H1</t>
  </si>
  <si>
    <t>Hyundai H1 08- / Mover [Tanpa Frame]</t>
  </si>
  <si>
    <t>X/1Hole</t>
  </si>
  <si>
    <t>SWL-H1</t>
  </si>
  <si>
    <t>LFW-I1008</t>
  </si>
  <si>
    <t>Hyundai i10 08-13 - Hatchback</t>
  </si>
  <si>
    <t>TRW-I1008</t>
  </si>
  <si>
    <t>FDL-I1008</t>
  </si>
  <si>
    <t>FDR-I1008</t>
  </si>
  <si>
    <t>RDL-I1008</t>
  </si>
  <si>
    <t>RDR-I1008</t>
  </si>
  <si>
    <t>LFW-I1013</t>
  </si>
  <si>
    <t>Hyundai i10 13-19</t>
  </si>
  <si>
    <t>TRW-I1013</t>
  </si>
  <si>
    <t>RDL-I1013</t>
  </si>
  <si>
    <t>RDR-I1013</t>
  </si>
  <si>
    <t>RVL-I1013</t>
  </si>
  <si>
    <t>RVR-I1013</t>
  </si>
  <si>
    <t>LFW-MATRIX</t>
  </si>
  <si>
    <t>Hyundai Matrix 01-</t>
  </si>
  <si>
    <t>TRW-MATRIXNOHOLE</t>
  </si>
  <si>
    <t>TRW-MATRIXHOLE</t>
  </si>
  <si>
    <t>LFW-SANTAFE07</t>
  </si>
  <si>
    <t>Hyundai Santa Fe 07-12</t>
  </si>
  <si>
    <t>TRW-SANTAFE07</t>
  </si>
  <si>
    <t>FDR-SANTAFE07</t>
  </si>
  <si>
    <t>RDL-SANTAFE07</t>
  </si>
  <si>
    <t>SWL-SANTAFE07</t>
  </si>
  <si>
    <t>LFW-SANTAFE12</t>
  </si>
  <si>
    <t>Hyundai Santa Fe 12-18</t>
  </si>
  <si>
    <t>TRW-SANTAFE12</t>
  </si>
  <si>
    <t>FDR-SANTAFE12</t>
  </si>
  <si>
    <t>RDL-SANTAFE12</t>
  </si>
  <si>
    <t>RDR-SANTAFE12</t>
  </si>
  <si>
    <t>LFW-TUCSON05</t>
  </si>
  <si>
    <t>Hyundai Tucson 05-10 1st Gen</t>
  </si>
  <si>
    <t>LFW-TUCSON10</t>
  </si>
  <si>
    <t>Hyundai Tucson 10-15 2nd Gen</t>
  </si>
  <si>
    <t>TRW-TUCSON10</t>
  </si>
  <si>
    <t>LFW-TUCSON16</t>
  </si>
  <si>
    <t>Hyundai Tucson 16- 3rd Gen</t>
  </si>
  <si>
    <t>TRW-TUCSON16</t>
  </si>
  <si>
    <t>LFW-MUX</t>
  </si>
  <si>
    <t>Isuzu MUX / Colorado</t>
  </si>
  <si>
    <t>LFW-RUBICON07</t>
  </si>
  <si>
    <t>Jeep Wrangler Rubicon 07-18 JK</t>
  </si>
  <si>
    <t>TRW-CAREN99</t>
  </si>
  <si>
    <t>Kia Caren 1 99-04</t>
  </si>
  <si>
    <t>LFW-CAREN99</t>
  </si>
  <si>
    <t>Kia Caren 1 99-04 / Caren 2 04-12</t>
  </si>
  <si>
    <t>TRW-CAREN04</t>
  </si>
  <si>
    <t>Kia Caren 2 04-12</t>
  </si>
  <si>
    <t>TRW-CAREN13</t>
  </si>
  <si>
    <t>Kia Caren 3 13-</t>
  </si>
  <si>
    <t>LFW-PICANTO04B</t>
  </si>
  <si>
    <t>Kia Picanto 04-11 1st Gen (Spion Besi)</t>
  </si>
  <si>
    <t>LFW-PICANTO04HTM</t>
  </si>
  <si>
    <t>Kia Picanto 04-11 1st Gen (Spion Hitam)</t>
  </si>
  <si>
    <t>TRW-PICANTO04</t>
  </si>
  <si>
    <t>Kia Picanto 04-11 1st Gen</t>
  </si>
  <si>
    <t>FDL-PICANTO04</t>
  </si>
  <si>
    <t>FDR-PICANTO04</t>
  </si>
  <si>
    <t>RDL-PICANTO04</t>
  </si>
  <si>
    <t>A10T3</t>
  </si>
  <si>
    <t>FDR-HRV14</t>
  </si>
  <si>
    <t>A10T4</t>
  </si>
  <si>
    <t>LFW-PICANTO11</t>
  </si>
  <si>
    <t>Kia Picanto 11-16 2nd Gen</t>
  </si>
  <si>
    <t>TRW-PICANTO11</t>
  </si>
  <si>
    <t>FDL-PICANTO11</t>
  </si>
  <si>
    <t>FDR-PICANTO11</t>
  </si>
  <si>
    <t>RDL-PICANTO11</t>
  </si>
  <si>
    <t>RDR-PICANTO11</t>
  </si>
  <si>
    <t>FDL2-PREGIO</t>
  </si>
  <si>
    <t>Kia Pregio Van 95-</t>
  </si>
  <si>
    <t>FDR2-PREGIO</t>
  </si>
  <si>
    <t>TRW-PREGIO</t>
  </si>
  <si>
    <t>Kia Pregio Van 95- / Kia Travello</t>
  </si>
  <si>
    <t>LFW-RIO00</t>
  </si>
  <si>
    <t>Kia Rio 00-05 DC Sedan/Hatchback</t>
  </si>
  <si>
    <t>TRW-RIO00</t>
  </si>
  <si>
    <t>Kia Rio 00-05 DC Sedan</t>
  </si>
  <si>
    <t>LFW-RIO05</t>
  </si>
  <si>
    <t>Kia Rio 05-11 JB Sedan/Hatchback (Kia Pride)</t>
  </si>
  <si>
    <t>TRW-RIO05</t>
  </si>
  <si>
    <t>Kia Rio 05-11 JB Hatchback (Kia Pride)</t>
  </si>
  <si>
    <t>LFW-RIO11</t>
  </si>
  <si>
    <t>Kia Rio 11-17 UB Hatchback</t>
  </si>
  <si>
    <t>TRW-RIO11</t>
  </si>
  <si>
    <t>FDL-RIO11</t>
  </si>
  <si>
    <t>FDR-RIO11</t>
  </si>
  <si>
    <t>RDL-RIO11</t>
  </si>
  <si>
    <t>RDR-RIO11</t>
  </si>
  <si>
    <t>LFW-SEDONA98</t>
  </si>
  <si>
    <t>Kia Sedona /Carnival 98-06 1st Gen 4D Van</t>
  </si>
  <si>
    <t>TRW-CARNIVAL98</t>
  </si>
  <si>
    <t>Kia Sedona /Carnival 02-06 1st Gen 4D Van</t>
  </si>
  <si>
    <t>LFW-SORENTO</t>
  </si>
  <si>
    <t>Kia Sorento 09-14 2nd Gen</t>
  </si>
  <si>
    <t>TRW-SORENTO</t>
  </si>
  <si>
    <t>LFW-SPORTAGE10</t>
  </si>
  <si>
    <t>Kia Sportage 10-15 SL</t>
  </si>
  <si>
    <t>FDL-SPORTAGE10</t>
  </si>
  <si>
    <t>FDR-SPORTAGE10</t>
  </si>
  <si>
    <t>RDL-SPORTAGE10</t>
  </si>
  <si>
    <t>RDR-SPORTAGE10</t>
  </si>
  <si>
    <t>TRW-SPORTAGE10S</t>
  </si>
  <si>
    <t>Kia Sportage 10-15 SL [Tipe ada Spoiler]</t>
  </si>
  <si>
    <t>LFW-SPORTAGE15</t>
  </si>
  <si>
    <t>Kia Sportage 15- QL</t>
  </si>
  <si>
    <t>TRW-SPORTAGE15</t>
  </si>
  <si>
    <t>FDR-SPORTAGE15</t>
  </si>
  <si>
    <t>RDL-SPORTAGE15</t>
  </si>
  <si>
    <t>RDR-SPORTAGE15</t>
  </si>
  <si>
    <t>TRW-TIMOR</t>
  </si>
  <si>
    <t>Kia Timor 95-98 / Sephia 94-05</t>
  </si>
  <si>
    <t>LFW-VISTO</t>
  </si>
  <si>
    <t>Kia Visto 99-03</t>
  </si>
  <si>
    <t>TRW-VISTO</t>
  </si>
  <si>
    <t>LFW-XU10</t>
  </si>
  <si>
    <t>Lexus RX (Harrier) 97-03 XU10</t>
  </si>
  <si>
    <t>TRW-XU10</t>
  </si>
  <si>
    <t>Lexus RX (Harrier) 97-03 XU10 (Hitam)</t>
  </si>
  <si>
    <t>LFW-XU30RS</t>
  </si>
  <si>
    <t>Lexus RX (Harrier) 03-08 XU30</t>
  </si>
  <si>
    <t>LFW-XU30</t>
  </si>
  <si>
    <t>TRW-XU30</t>
  </si>
  <si>
    <t>Lexus RX (Harrier) 03-08 XU30 (Spoiler atas)</t>
  </si>
  <si>
    <t>X/H/A/1Hole</t>
  </si>
  <si>
    <t>TRW-XU31</t>
  </si>
  <si>
    <t>Lexus RX (Harrier) 03-08 XU31 (Spoiler 3 sisi)</t>
  </si>
  <si>
    <t>FDL-XU30</t>
  </si>
  <si>
    <t>FDR-XU30</t>
  </si>
  <si>
    <t>RDL-XU30</t>
  </si>
  <si>
    <t>RDR-XU30</t>
  </si>
  <si>
    <t>RVL-XU30</t>
  </si>
  <si>
    <t>RVR-XU30</t>
  </si>
  <si>
    <t>RQL-XU30</t>
  </si>
  <si>
    <t>RQR-XU30</t>
  </si>
  <si>
    <t>LFW-AL10</t>
  </si>
  <si>
    <t>Lexus RX (Harrier) 08-15 AL10</t>
  </si>
  <si>
    <t>X/MB/RS/H/A</t>
  </si>
  <si>
    <t>TRW-AL10</t>
  </si>
  <si>
    <t>Lexus RX (Harrier) 08-15 AL10 (Hitam)</t>
  </si>
  <si>
    <t>LFW-CU6</t>
  </si>
  <si>
    <t>Lexus RX (Harrier) 13- CU6 [2 Sensor / /\ [] ]</t>
  </si>
  <si>
    <t>TRW-CU6</t>
  </si>
  <si>
    <t>Lexus RX (Harrier) 13- CU6</t>
  </si>
  <si>
    <t>RDL-CU6</t>
  </si>
  <si>
    <t>RDR-CU6</t>
  </si>
  <si>
    <t>RVL-CU6</t>
  </si>
  <si>
    <t>RVR-CU6</t>
  </si>
  <si>
    <t>RQL-CU6</t>
  </si>
  <si>
    <t>RQR-CU6</t>
  </si>
  <si>
    <t>LFW-MAZDA209</t>
  </si>
  <si>
    <t>Mazda 2 09-14 3rd Gen</t>
  </si>
  <si>
    <t>TRW-MAZDA209</t>
  </si>
  <si>
    <t>Mazda 2 09-14 3rd Gen Hatchback</t>
  </si>
  <si>
    <t>FDL-MAZDA209</t>
  </si>
  <si>
    <t>FDR-MAZDA209</t>
  </si>
  <si>
    <t>RDL-MAZDA209</t>
  </si>
  <si>
    <t>RDR-MAZDA209</t>
  </si>
  <si>
    <t>LFW-MAZDA214</t>
  </si>
  <si>
    <t>Mazda 2 14- Skyactiv 4th Gen</t>
  </si>
  <si>
    <t>LFW-MAZDA214RS</t>
  </si>
  <si>
    <t>Mazda 2 14- Skyactiv 4th Gen (3 Sensor/ /\8 )</t>
  </si>
  <si>
    <t>X/MB/RS3/List</t>
  </si>
  <si>
    <t>TRW-MAZDA214</t>
  </si>
  <si>
    <t>Mazda 2 14- Skyactiv 4th Gen Hatchback</t>
  </si>
  <si>
    <t>FDL-MAZDA214</t>
  </si>
  <si>
    <t>FDR-MAZDA214</t>
  </si>
  <si>
    <t>RDL-MAZDA214</t>
  </si>
  <si>
    <t>RDR-MAZDA214</t>
  </si>
  <si>
    <t>LFW-MAZDA602</t>
  </si>
  <si>
    <t>Mazda 6 02-08 GG1 1st Gen</t>
  </si>
  <si>
    <t>TRW-MAZDA602</t>
  </si>
  <si>
    <t>LFW-MAZDA608</t>
  </si>
  <si>
    <t>Mazda 6 08-12 GH1 2nd Gen</t>
  </si>
  <si>
    <t>TRW-MAZDA608</t>
  </si>
  <si>
    <t>FDL-MAZDA608</t>
  </si>
  <si>
    <t>FDR-MAZDA608</t>
  </si>
  <si>
    <t>LFW-MAZDA608RS</t>
  </si>
  <si>
    <t>LFW-MAZDA612</t>
  </si>
  <si>
    <t>Mazda 6 12- GJ1/GL 3rd Gen</t>
  </si>
  <si>
    <t>LFW-MAZDA612RS</t>
  </si>
  <si>
    <t>SWR-KAPSUL02LONG</t>
  </si>
  <si>
    <t>Toyota Kijang 02-04 Kapsul Lem Efi (7K) Long</t>
  </si>
  <si>
    <t>X/Long</t>
  </si>
  <si>
    <t>A11T4</t>
  </si>
  <si>
    <t>FDL-MAZDA612</t>
  </si>
  <si>
    <t>FDR-MAZDA612</t>
  </si>
  <si>
    <t>LFW-MAZDA8</t>
  </si>
  <si>
    <t>Mazda 8 06-16</t>
  </si>
  <si>
    <t>TRW-MAZDA8</t>
  </si>
  <si>
    <t>LFW-BIANTERS</t>
  </si>
  <si>
    <t>Mazda Biante 08-</t>
  </si>
  <si>
    <t>LFW-BIANTE</t>
  </si>
  <si>
    <t>TRW-BIANTE</t>
  </si>
  <si>
    <t>TRW-BIANTEBLACK</t>
  </si>
  <si>
    <t>Mazda Biante 08- (Hitam)</t>
  </si>
  <si>
    <t>RDL-BIANTE</t>
  </si>
  <si>
    <t>RDR-BIANTE</t>
  </si>
  <si>
    <t>SWL-BIANTE</t>
  </si>
  <si>
    <t>SWR-BIANTE</t>
  </si>
  <si>
    <t>LFW-CX5GEN1</t>
  </si>
  <si>
    <t>Mazda CX-5 .12-14 1st Gen KE Pre</t>
  </si>
  <si>
    <t>X/MB/List</t>
  </si>
  <si>
    <t>FDR-LOUHAN</t>
  </si>
  <si>
    <t>Hino Ranger Louhan 03- / Hino 500 (kecuali tipe FC)</t>
  </si>
  <si>
    <t>LFW-CX5GEN1RS</t>
  </si>
  <si>
    <t>Mazda CX-5 .12-14 1st Gen KE Pre - (1 Sensor/ □ )</t>
  </si>
  <si>
    <t>LFW-CX5GEN1RS2</t>
  </si>
  <si>
    <t>Mazda CX-5 12-17 1st Gen KE Facelift - (2 Sensor / [] /\  )</t>
  </si>
  <si>
    <t>A4T1</t>
  </si>
  <si>
    <t>RDR-AGYA13</t>
  </si>
  <si>
    <t>TRW-CX5GEN1</t>
  </si>
  <si>
    <t>Mazda CX-5 12-17 1st Gen KE</t>
  </si>
  <si>
    <t>FDL-CX5GEN1</t>
  </si>
  <si>
    <t>FDR-CX5GEN1</t>
  </si>
  <si>
    <t>RDL-CX5GEN1</t>
  </si>
  <si>
    <t>RDR-CX5GEN1</t>
  </si>
  <si>
    <t>RVL-CX5GEN1</t>
  </si>
  <si>
    <t>RVR-CX5GEN1</t>
  </si>
  <si>
    <t>LFW-CX7RS</t>
  </si>
  <si>
    <t>Mazda CX-7 07- (1 Sensor / [] )</t>
  </si>
  <si>
    <t>LFW-CX7</t>
  </si>
  <si>
    <t>Mazda CX-7 07- (Tanpa Sensor)</t>
  </si>
  <si>
    <t>TRW-CX7</t>
  </si>
  <si>
    <t>Mazda CX-7 07-</t>
  </si>
  <si>
    <t>X/H/1Hole/A</t>
  </si>
  <si>
    <t>FDR-CX7</t>
  </si>
  <si>
    <t>RDL-CX7</t>
  </si>
  <si>
    <t>RDR-CX7</t>
  </si>
  <si>
    <t>SWL-CX7</t>
  </si>
  <si>
    <t>SWR-CX7</t>
  </si>
  <si>
    <t>LFW-CX9GEN1</t>
  </si>
  <si>
    <t>Mazda CX-9 07-15 1st Gen</t>
  </si>
  <si>
    <t>TRW-CX9GEN1</t>
  </si>
  <si>
    <t>LFW-MX5</t>
  </si>
  <si>
    <t>Mazda MX-5/Miata/Roadster 2D NC 05-15</t>
  </si>
  <si>
    <t>LFW-W168</t>
  </si>
  <si>
    <t>Mers-Benz A140/160/A190 97-04 W168</t>
  </si>
  <si>
    <t>TRW-W168</t>
  </si>
  <si>
    <t>LFW-W176</t>
  </si>
  <si>
    <t>Mers-Benz A180/200/250 13-18 W176 / GLA 13-19 W156</t>
  </si>
  <si>
    <t>LFW-W203RS2</t>
  </si>
  <si>
    <t>Mers-Benz C-Class 00-07 W203 (2 Sensor/ □ Pinggir)</t>
  </si>
  <si>
    <t>TRW-W203</t>
  </si>
  <si>
    <t>Mers-Benz C-Class 00-07 W203</t>
  </si>
  <si>
    <t>LFW-W204RS</t>
  </si>
  <si>
    <t>Mers-Benz C-Class 07-14 W204 (1 Sensor/ □)</t>
  </si>
  <si>
    <t>TRW-W204</t>
  </si>
  <si>
    <t>Mers-Benz C-Class 07-14 W204</t>
  </si>
  <si>
    <t>LFW-W205RS</t>
  </si>
  <si>
    <t>Mers-Benz C-Class 14 - W205 (1 Sensor/ □)</t>
  </si>
  <si>
    <t>LFW-W205RS2</t>
  </si>
  <si>
    <t>Mers-Benz C-Class 14 - W205 (2 Sensor/ □Δ)</t>
  </si>
  <si>
    <t>X/RS/List/Cam</t>
  </si>
  <si>
    <t>LFW-W205RS3</t>
  </si>
  <si>
    <t>Mers-Benz C-Class 14 - W205 (3 Sensor/ Δ□Δ)</t>
  </si>
  <si>
    <t>LFW-W117</t>
  </si>
  <si>
    <t>Mers-Benz CLA-Class 13-19 W117 (1 Sensor / □)</t>
  </si>
  <si>
    <t>LRW-W124</t>
  </si>
  <si>
    <t>Mers-Benz E-Class 88-92 W124 2Door Coupe</t>
  </si>
  <si>
    <t>LFW-W210</t>
  </si>
  <si>
    <t>Mers-Benz E-Class 95-02 W210</t>
  </si>
  <si>
    <t>TRW-W210</t>
  </si>
  <si>
    <t>LFW-W211</t>
  </si>
  <si>
    <t>Mers-Benz E-Class 02-09 W211</t>
  </si>
  <si>
    <t>LFW-W212RS</t>
  </si>
  <si>
    <t>Mers-Benz E-Class 09-16 W212 (1 Sensor/ □)</t>
  </si>
  <si>
    <t>LFW-W212RS2</t>
  </si>
  <si>
    <t>Mers-Benz E-Class 09-16 W212 (2 Sensor/ □Δ)</t>
  </si>
  <si>
    <t>X/MB/RS/H/List</t>
  </si>
  <si>
    <t>TRW-W212</t>
  </si>
  <si>
    <t>Mers-Benz E-Class 09-16 W212</t>
  </si>
  <si>
    <t>LFW-W253</t>
  </si>
  <si>
    <t>Mers-Benz GLC-Class SUV 16- W253</t>
  </si>
  <si>
    <t>TRW-W253</t>
  </si>
  <si>
    <t>LFW-W140</t>
  </si>
  <si>
    <t>Mers-Benz S-Class 91-98 W140 4D</t>
  </si>
  <si>
    <t>LRW-W140</t>
  </si>
  <si>
    <t>TRW-W220</t>
  </si>
  <si>
    <t>Mers-Benz S-Class 98-05 W220 4D (Lami)</t>
  </si>
  <si>
    <t>LFW-DELICA</t>
  </si>
  <si>
    <t>Mitsubishi Delica 07- 5th Gen</t>
  </si>
  <si>
    <t>TRW-ETERNA</t>
  </si>
  <si>
    <t>Mitsubishi Galant 87-93 YH/E31 6th Gen (Eterna)</t>
  </si>
  <si>
    <t>FDL-ETERNA</t>
  </si>
  <si>
    <t>FDR-ETERNA</t>
  </si>
  <si>
    <t>TRW-LELE</t>
  </si>
  <si>
    <t>Mitsubishi Galant 92-98 YB/E52A (Lele)</t>
  </si>
  <si>
    <t>FDL-LELE</t>
  </si>
  <si>
    <t>FDR-LELE</t>
  </si>
  <si>
    <t>RDL-LELE</t>
  </si>
  <si>
    <t>RDR-LELE</t>
  </si>
  <si>
    <t>LFW-HIU</t>
  </si>
  <si>
    <t>Mitsubishi Galant 96-03 YC/EA2A 8th Gen (Hiu)</t>
  </si>
  <si>
    <t>SWR-PAJERO16</t>
  </si>
  <si>
    <t>Mitsubishi Pajero 16-</t>
  </si>
  <si>
    <t>X/Chrome</t>
  </si>
  <si>
    <t>B14T4</t>
  </si>
  <si>
    <t>FDL-HIU</t>
  </si>
  <si>
    <t>FDR-HIU</t>
  </si>
  <si>
    <t>RDL-HIU</t>
  </si>
  <si>
    <t>RDR-HIU</t>
  </si>
  <si>
    <t>LFW-GRANDIS</t>
  </si>
  <si>
    <t>Mitsubishi Grandis 03-11 EZ45/NA4W</t>
  </si>
  <si>
    <t>TRW-GRANDIS</t>
  </si>
  <si>
    <t>FDL-GRANDIS</t>
  </si>
  <si>
    <t>FDR-GRANDIS</t>
  </si>
  <si>
    <t>RDL-GRANDIS</t>
  </si>
  <si>
    <t>RDR-GRANDIS</t>
  </si>
  <si>
    <t>SWL-GRANDIS</t>
  </si>
  <si>
    <t>SWR-GRANDIS</t>
  </si>
  <si>
    <t>LFW-EVO3</t>
  </si>
  <si>
    <t>Mitsubishi Lancer 91-96 LE41 CB4/5 (Evo3)</t>
  </si>
  <si>
    <t>TRW-EVO3</t>
  </si>
  <si>
    <t>FDL-EVO3</t>
  </si>
  <si>
    <t>FDR-EVO3</t>
  </si>
  <si>
    <t>RDL-EVO3</t>
  </si>
  <si>
    <t>RDR-EVO3</t>
  </si>
  <si>
    <t>RVL-EVO3</t>
  </si>
  <si>
    <t>RVR-EVO3</t>
  </si>
  <si>
    <t>LFW-EVO4</t>
  </si>
  <si>
    <t>Mitsubishi Lancer 95-03 LG41/CK2/CK4(Evo4)</t>
  </si>
  <si>
    <t>TRW-EVO4</t>
  </si>
  <si>
    <t>FDL-EVO4</t>
  </si>
  <si>
    <t>FDR-EVO4</t>
  </si>
  <si>
    <t>LFW-EVO5</t>
  </si>
  <si>
    <t>Mitsubishi Lancer 00-07 CS3 CS5 (Evo5/Evo6/Cedia)</t>
  </si>
  <si>
    <t>TRW-EVO5</t>
  </si>
  <si>
    <t>FDL-EVO5</t>
  </si>
  <si>
    <t>FDR-EVO5</t>
  </si>
  <si>
    <t>RDL-EVO5</t>
  </si>
  <si>
    <t>RDR-EVO5</t>
  </si>
  <si>
    <t>LFW-EVO10</t>
  </si>
  <si>
    <t>Mitsubishi Lancer 07- EX Mobil Polisi (Evo 10)</t>
  </si>
  <si>
    <t>LFW-EVO10RS</t>
  </si>
  <si>
    <t>TRW-EVO10</t>
  </si>
  <si>
    <t>FDL-EVO10</t>
  </si>
  <si>
    <t>FDR-EVO10</t>
  </si>
  <si>
    <t>RDL-EVO10</t>
  </si>
  <si>
    <t>RDR-EVO10</t>
  </si>
  <si>
    <t>LFW-MIRAGE</t>
  </si>
  <si>
    <t>Mitsubishi Mirage 12-</t>
  </si>
  <si>
    <t>TRW-MIRAGE</t>
  </si>
  <si>
    <t>LFW-OUTLANDER</t>
  </si>
  <si>
    <t>Mitsubishi Outlander 10-21 GA3</t>
  </si>
  <si>
    <t>TRW-OUTLANDER</t>
  </si>
  <si>
    <t>LFW-PAJERO08</t>
  </si>
  <si>
    <t>Mitsubishi Pajero 08-16</t>
  </si>
  <si>
    <t>TRW-PAJERO08</t>
  </si>
  <si>
    <t>LFW-PAJERO16</t>
  </si>
  <si>
    <t>TRW-PAJERO16</t>
  </si>
  <si>
    <t>LFW-TRITON05</t>
  </si>
  <si>
    <t>Mitsubishi Strada Triton 08-15</t>
  </si>
  <si>
    <t>TRW-TRITON05</t>
  </si>
  <si>
    <t>LFW-TRITON14</t>
  </si>
  <si>
    <t>Mitsubishi Strada Triton 16-</t>
  </si>
  <si>
    <t>TRW-TRITON14H</t>
  </si>
  <si>
    <t>RDL-TRITON14</t>
  </si>
  <si>
    <t>RDR-TRITON14</t>
  </si>
  <si>
    <t>FDL-DATSUN</t>
  </si>
  <si>
    <t>Nissan Datsun Go/Go+ 14- (5-Seater)</t>
  </si>
  <si>
    <t>RDL-DATSUN</t>
  </si>
  <si>
    <t>RDR-DATSUN</t>
  </si>
  <si>
    <t>LFW-ELGRAND02</t>
  </si>
  <si>
    <t>Nissan Elgrand 02-10 E51 2nd Gen</t>
  </si>
  <si>
    <t>TRW-ELGRAND02</t>
  </si>
  <si>
    <t>FDL-ELGRAND02</t>
  </si>
  <si>
    <t>FDR-ELGRAND02</t>
  </si>
  <si>
    <t>SFL-ELGRAND02</t>
  </si>
  <si>
    <t>SF/L</t>
  </si>
  <si>
    <t>SFR-ELGRAND02</t>
  </si>
  <si>
    <t>SF/R</t>
  </si>
  <si>
    <t>SRL-ELGRAND02</t>
  </si>
  <si>
    <t>SR/L</t>
  </si>
  <si>
    <t>X/A/1Hole</t>
  </si>
  <si>
    <t>SRR-ELGRAND02</t>
  </si>
  <si>
    <t>SR/R</t>
  </si>
  <si>
    <t>LFW-ELGRAND10</t>
  </si>
  <si>
    <t>Nissan Elgrand 10- E52 3rd Gen</t>
  </si>
  <si>
    <t>TRW-ELGRAND10</t>
  </si>
  <si>
    <t>RDL-ELGRAND10</t>
  </si>
  <si>
    <t>RDR-ELGRAND10</t>
  </si>
  <si>
    <t>SWL-ELGRAND10</t>
  </si>
  <si>
    <t>SWR-ELGRAND10</t>
  </si>
  <si>
    <t>LFW-EVALIA</t>
  </si>
  <si>
    <t>Nissan Evalia 10- X11M</t>
  </si>
  <si>
    <t>SRL-EVALIA</t>
  </si>
  <si>
    <t>TRW-NAVARA97</t>
  </si>
  <si>
    <t>Nissan Frontier Navara 97-04 D22 1st Gen</t>
  </si>
  <si>
    <t>LFW-NAVARA04</t>
  </si>
  <si>
    <t>Nissan Frontier Navara 04-15 D40 2nd Gen</t>
  </si>
  <si>
    <t>TRW-NAVARA04</t>
  </si>
  <si>
    <t>LFW-JUKE</t>
  </si>
  <si>
    <t>Nissan Juke 11-</t>
  </si>
  <si>
    <t>TRW-JUKE</t>
  </si>
  <si>
    <t>FDL-JUKE</t>
  </si>
  <si>
    <t>FDR-JUKE</t>
  </si>
  <si>
    <t>RDL-JUKE</t>
  </si>
  <si>
    <t>RDR-JUKE</t>
  </si>
  <si>
    <t>LFW-LIVINA07</t>
  </si>
  <si>
    <t>Nissan Livina 07-18 L10/L11</t>
  </si>
  <si>
    <t>TRW-LIVINA07</t>
  </si>
  <si>
    <t>Nissan Livina 07-12 L10 (Tanpa Lubang)</t>
  </si>
  <si>
    <t>FDL-LIVINA07</t>
  </si>
  <si>
    <t>LFW-MARCH</t>
  </si>
  <si>
    <t>Nissan March 10- K13</t>
  </si>
  <si>
    <t>TRW-MARCH</t>
  </si>
  <si>
    <t>FDL-MARCH</t>
  </si>
  <si>
    <t>FDR-MARCH</t>
  </si>
  <si>
    <t>RDL-MARCH</t>
  </si>
  <si>
    <t>RDR-MARCH</t>
  </si>
  <si>
    <t>LFW-MURANO02</t>
  </si>
  <si>
    <t>Nissan Murano 02-08 Z50 1st Gen</t>
  </si>
  <si>
    <t>TRW-MURANO02</t>
  </si>
  <si>
    <t>LFW-MURANO08</t>
  </si>
  <si>
    <t>Nissan Murano 08-14 PZ/TZ51</t>
  </si>
  <si>
    <t>TRW-MURANO08</t>
  </si>
  <si>
    <t>RDL-MURANO08</t>
  </si>
  <si>
    <t>RDR-MURANO08</t>
  </si>
  <si>
    <t>LFW-NAVARA15</t>
  </si>
  <si>
    <t>Nissan Navara (NP300) 4D Pickup 15- D23</t>
  </si>
  <si>
    <t>TRW-NAVARA15</t>
  </si>
  <si>
    <t>FDL-NAVARA15</t>
  </si>
  <si>
    <t>FDR-NAVARA15</t>
  </si>
  <si>
    <t>RDL-NAVARA15</t>
  </si>
  <si>
    <t>RDR-NAVARA15</t>
  </si>
  <si>
    <t>TRW-C23</t>
  </si>
  <si>
    <t>Nissan Serena 91-00 MKI C23</t>
  </si>
  <si>
    <t>LFW-C24</t>
  </si>
  <si>
    <t>Nissan Serena 99-10 MKII C24</t>
  </si>
  <si>
    <t>TRW-C24</t>
  </si>
  <si>
    <t>LFW-C25</t>
  </si>
  <si>
    <t>Nissan Serena 05-10 MKIII C25</t>
  </si>
  <si>
    <t>TRW-C25</t>
  </si>
  <si>
    <t>RDL-C25</t>
  </si>
  <si>
    <t>RDR-C25</t>
  </si>
  <si>
    <t>SWL-C25</t>
  </si>
  <si>
    <t>SWR-C25</t>
  </si>
  <si>
    <t>LFW-C26</t>
  </si>
  <si>
    <t>Nissan Serena 10-19 MKIV C26</t>
  </si>
  <si>
    <t>TRW-C26</t>
  </si>
  <si>
    <t>FDL-C26</t>
  </si>
  <si>
    <t>FDR-C26</t>
  </si>
  <si>
    <t>RDL-C26</t>
  </si>
  <si>
    <t>RDR-C26</t>
  </si>
  <si>
    <t>SWL-C26</t>
  </si>
  <si>
    <t>SWR-C26</t>
  </si>
  <si>
    <t>LFW-T30</t>
  </si>
  <si>
    <t>Nissan X-Trail 01-07 T30</t>
  </si>
  <si>
    <t>TRW-T30</t>
  </si>
  <si>
    <t>FDL-T30</t>
  </si>
  <si>
    <t>RDL-T30</t>
  </si>
  <si>
    <t>RDR-T30</t>
  </si>
  <si>
    <t>SWL-T30</t>
  </si>
  <si>
    <t>SWR-T30</t>
  </si>
  <si>
    <t>LFW-T31</t>
  </si>
  <si>
    <t>Nissan X-Trail 07-13 T31</t>
  </si>
  <si>
    <t>TRW-T31</t>
  </si>
  <si>
    <t>FDL-T31</t>
  </si>
  <si>
    <t>FDR-T31</t>
  </si>
  <si>
    <t>RDL-T31</t>
  </si>
  <si>
    <t>RDR-T31</t>
  </si>
  <si>
    <t>LFW-T32</t>
  </si>
  <si>
    <t>Nissan X-Trail 13- T32 (1 Sensor)</t>
  </si>
  <si>
    <t>TRW-T32</t>
  </si>
  <si>
    <t>Nissan X-Trail 13- T32</t>
  </si>
  <si>
    <t>FDL-T32</t>
  </si>
  <si>
    <t>FDR-T32</t>
  </si>
  <si>
    <t>RDL-T32</t>
  </si>
  <si>
    <t>RDR-T32</t>
  </si>
  <si>
    <t>LFW-OPEL</t>
  </si>
  <si>
    <t>Opel Blazer 96-04 S10/T10</t>
  </si>
  <si>
    <t>LFW-PEU307RSBULAT</t>
  </si>
  <si>
    <t>Peugeot 307 01-08 SW (RS Bulat)</t>
  </si>
  <si>
    <t>LFW-PEU307RSKOTAK</t>
  </si>
  <si>
    <t>Peugeot 307 01-08 SW (RS Kotak)</t>
  </si>
  <si>
    <t>TRW-PEU307HATCH</t>
  </si>
  <si>
    <t>Peugeot 307 01-08 SW Hatchback</t>
  </si>
  <si>
    <t>TRW-PEU307SEDAN</t>
  </si>
  <si>
    <t>Peugeot 307 01-08 SW Wagon</t>
  </si>
  <si>
    <t>LFW-RANGEROVER4D</t>
  </si>
  <si>
    <t>Range Rover Evoque 11-18 SALVA 4Door (1 Sensor / [] )</t>
  </si>
  <si>
    <t>TRW-RANGEROVER</t>
  </si>
  <si>
    <t>Range Rover Evoque 11-18 SALVA 4Door (Hitam)</t>
  </si>
  <si>
    <t>TRW-AERIO</t>
  </si>
  <si>
    <t>Suzuki Aerio 5D 01-07</t>
  </si>
  <si>
    <t>LFW-APV</t>
  </si>
  <si>
    <t>Suzuki APV 03- Pickup/ Van</t>
  </si>
  <si>
    <t>LFW-ERTIGA12</t>
  </si>
  <si>
    <t>Suzuki Ertiga 12-18 1st Gen MPV</t>
  </si>
  <si>
    <t>LFW-SPLASH</t>
  </si>
  <si>
    <t>Suzuki Splash 09-16</t>
  </si>
  <si>
    <t>A3T2</t>
  </si>
  <si>
    <t>LFW-ALPHARD02</t>
  </si>
  <si>
    <t>Toyota Alphard 02-08 ANH10 1st Gen</t>
  </si>
  <si>
    <t>TRW-ALPHARD02</t>
  </si>
  <si>
    <t>TRW-ALPHARD02BLACK</t>
  </si>
  <si>
    <t>Toyota Alphard 02-08 ANH10 1st Gen (Hitam)</t>
  </si>
  <si>
    <t>FDL-ALPHARD02</t>
  </si>
  <si>
    <t>FDR-ALPHARD02</t>
  </si>
  <si>
    <t>RDL-ALPHARD02</t>
  </si>
  <si>
    <t>RDR-ALPHARD02</t>
  </si>
  <si>
    <t>SWL-ALPHARD02COAK</t>
  </si>
  <si>
    <t>Toyota Alphard 02-08 ANH10 1st Gen (coak)</t>
  </si>
  <si>
    <t>SWR-ALPHARD02COAK</t>
  </si>
  <si>
    <t>SWL-ALPHARD02COAKHITAM</t>
  </si>
  <si>
    <t>Toyota Alphard 02-08 ANH10 1st Gen (coak) (Hitam)</t>
  </si>
  <si>
    <t>SWR-ALPHARD02COAKHITAM</t>
  </si>
  <si>
    <t>RDL-ALPHARD02HITAM</t>
  </si>
  <si>
    <t>RDR-ALPHARD02HITAM</t>
  </si>
  <si>
    <t>LFW-ALPHARD08</t>
  </si>
  <si>
    <t>FDL-ALPHARD08</t>
  </si>
  <si>
    <t>FDR-ALPHARD08</t>
  </si>
  <si>
    <t>SWL-ALPHARD08</t>
  </si>
  <si>
    <t>SWR-ALPHARD08</t>
  </si>
  <si>
    <t>RDL-ALPHARD08</t>
  </si>
  <si>
    <t>RDR-ALPHARD08</t>
  </si>
  <si>
    <t>TRW-ALPHARD08BLACK</t>
  </si>
  <si>
    <t>Toyota Alphard 08-15 ANH20 2nd Gen (Hitam)</t>
  </si>
  <si>
    <t>SWL-ALPHARD08HITAM</t>
  </si>
  <si>
    <t>SWR-ALPHARD08HITAM</t>
  </si>
  <si>
    <t>FDL-ALPHARD15</t>
  </si>
  <si>
    <t>Toyota Alphard 15- ANH30 3rd Gen</t>
  </si>
  <si>
    <t>FDR-ALPHARD15</t>
  </si>
  <si>
    <t>RDL-ALPHARD15</t>
  </si>
  <si>
    <t>RDR-ALPHARD15</t>
  </si>
  <si>
    <t>SWL-ALPHARD15</t>
  </si>
  <si>
    <t>SWR-ALPHARD15</t>
  </si>
  <si>
    <t>RDL-ALPHARD15HITAM</t>
  </si>
  <si>
    <t>Toyota Alphard 15- ANH30 3rd Gen (Hitam)</t>
  </si>
  <si>
    <t>RDR-ALPHARD15HITAM</t>
  </si>
  <si>
    <t>TRW-ALPHARD15BLACK</t>
  </si>
  <si>
    <t>Toyota Alphard 15-17 ANH30 3rd Gen (Hitam)</t>
  </si>
  <si>
    <t>TRW-ALPHARD15</t>
  </si>
  <si>
    <t>Toyota Alphard 15-17 ANH30 3rd Gen</t>
  </si>
  <si>
    <t>LFW-ALPHARD15</t>
  </si>
  <si>
    <t>Toyota Alphard 15-17 ANH30 3rd Gen (Sensor atas keramik)</t>
  </si>
  <si>
    <t>LFW-ALTIS00</t>
  </si>
  <si>
    <t>Toyota Altis 00-06 E120/130 9th Gen</t>
  </si>
  <si>
    <t>TRW-ALTIS00</t>
  </si>
  <si>
    <t>LFW-ALTIS06</t>
  </si>
  <si>
    <t>Toyota Altis 06-13 E140 10th Gen (DZ055)</t>
  </si>
  <si>
    <t>LFW-ALTIS06RS</t>
  </si>
  <si>
    <t>Toyota Altis 06-13 E140 10th Gen</t>
  </si>
  <si>
    <t>TRW-ALTIS06</t>
  </si>
  <si>
    <t>X/H/A/List</t>
  </si>
  <si>
    <t>FDL-ALTIS06</t>
  </si>
  <si>
    <t>FDR-ALTIS06</t>
  </si>
  <si>
    <t>RDL-ALTIS06</t>
  </si>
  <si>
    <t>RDR-ALTIS06</t>
  </si>
  <si>
    <t>RVL-ALTIS06</t>
  </si>
  <si>
    <t>RVR-ALTIS06</t>
  </si>
  <si>
    <t>LFW-ALTIS13RS</t>
  </si>
  <si>
    <t>Toyota Altis 13-17 E170 11th Gen</t>
  </si>
  <si>
    <t>TRW-ALTIS13</t>
  </si>
  <si>
    <t>FDL-ALTIS13</t>
  </si>
  <si>
    <t>FDR-ALTIS13</t>
  </si>
  <si>
    <t>RDL-ALTIS13</t>
  </si>
  <si>
    <t>RDR-ALTIS13</t>
  </si>
  <si>
    <t>RVL-ALTIS13</t>
  </si>
  <si>
    <t>RVR-ALTIS13</t>
  </si>
  <si>
    <t>LFW-AVANZA03</t>
  </si>
  <si>
    <t>TRW-AVANZA03</t>
  </si>
  <si>
    <t>LFW-AVANZA11</t>
  </si>
  <si>
    <t>TRW-AVANZA11H</t>
  </si>
  <si>
    <t>LFW-AVANZA16</t>
  </si>
  <si>
    <t>Toyota Avanza / Xenia 15-21 3rd Gen</t>
  </si>
  <si>
    <t>LFW-CAMRY96</t>
  </si>
  <si>
    <t>Toyota Camry 96-01 XV20 2nd Gen</t>
  </si>
  <si>
    <t>TRW-CAMRY96</t>
  </si>
  <si>
    <t>LFW-CAMRY02</t>
  </si>
  <si>
    <t>Toyota Camry 02-06 ACV30 3rd Gen</t>
  </si>
  <si>
    <t>TRW-CAMRY02</t>
  </si>
  <si>
    <t>FDL-CAMRY02</t>
  </si>
  <si>
    <t>FDR-CAMRY02</t>
  </si>
  <si>
    <t>LFW-CAMRY06</t>
  </si>
  <si>
    <t>Toyota Camry 06-11 XV40 4th Gen</t>
  </si>
  <si>
    <t>LFW-CAMRY06RS</t>
  </si>
  <si>
    <t>TRW-CAMRY06</t>
  </si>
  <si>
    <t>LFW-CAMRY11</t>
  </si>
  <si>
    <t>Toyota Camry 11-17 XV50 5th Gen</t>
  </si>
  <si>
    <t>TRW-CAMRY11</t>
  </si>
  <si>
    <t>FDL-CAMRY11</t>
  </si>
  <si>
    <t>FDR-CAMRY11</t>
  </si>
  <si>
    <t>TRW-COROLLA87</t>
  </si>
  <si>
    <t>Toyota Corolla AE92/EE90 87-92 6th Gen Twincam</t>
  </si>
  <si>
    <t>LFW-COROLLA91</t>
  </si>
  <si>
    <t>Toyota Corolla Great E100 91-96 7th Gen</t>
  </si>
  <si>
    <t>TRW-COROLLA91</t>
  </si>
  <si>
    <t>TRW-COROLLA95</t>
  </si>
  <si>
    <t>Toyota Corolla All New AE111 95-02 8th Gen</t>
  </si>
  <si>
    <t>TRW-ETIOSSEDAN</t>
  </si>
  <si>
    <t>TRW-ETIOSHSEDAN</t>
  </si>
  <si>
    <t>LFW-FORTUNER05</t>
  </si>
  <si>
    <t>Toyota Fortuner 05-15 1st Gen</t>
  </si>
  <si>
    <t>TRW-FORTUNER05</t>
  </si>
  <si>
    <t>TRW-FORTUNER05BLACK</t>
  </si>
  <si>
    <t>Toyota Fortuner 05-15 1st Gen (Hitam)</t>
  </si>
  <si>
    <t>RDL-FORTUNER05</t>
  </si>
  <si>
    <t>RDR-FORTUNER05</t>
  </si>
  <si>
    <t>SWL-FORTUNER05BLACK</t>
  </si>
  <si>
    <t>SWR-FORTUNER05BLACK</t>
  </si>
  <si>
    <t>LFW-FORTUNER15</t>
  </si>
  <si>
    <t>Toyota Fortuner 15- 2nd Gen</t>
  </si>
  <si>
    <t>TRW-FORTUNER15</t>
  </si>
  <si>
    <t>TRW-FORTUNER15BLACK</t>
  </si>
  <si>
    <t>Toyota Fortuner 15- 2nd Gen (Hitam)</t>
  </si>
  <si>
    <t>RDL-FORTUNER15</t>
  </si>
  <si>
    <t>RDR-FORTUNER15</t>
  </si>
  <si>
    <t>LFW-HIACE</t>
  </si>
  <si>
    <t>Toyota Hi-Ace 04-20 Commuter</t>
  </si>
  <si>
    <t>TRW-HIACE</t>
  </si>
  <si>
    <t>FDL-HIACE</t>
  </si>
  <si>
    <t>FDR-HIACE</t>
  </si>
  <si>
    <t>SRL-HIACE</t>
  </si>
  <si>
    <t>SRR-HIACE</t>
  </si>
  <si>
    <t>TRW-HIACEBLACK</t>
  </si>
  <si>
    <t>Toyota Hi-Ace 04-20 Commuter (Hitam)</t>
  </si>
  <si>
    <t>TRW-HILUX05</t>
  </si>
  <si>
    <t>Toyota Hilux Pickup 05-15</t>
  </si>
  <si>
    <t>LFW-HILUX15</t>
  </si>
  <si>
    <t>Toyota Hilux Pickup 15- (Revo)</t>
  </si>
  <si>
    <t>TRW-HILUX15H</t>
  </si>
  <si>
    <t>TRW-HILUX15</t>
  </si>
  <si>
    <t>LFW-INNOVA04</t>
  </si>
  <si>
    <t>Toyota Innova 04-15 1st Gen</t>
  </si>
  <si>
    <t>TRW-INNOVA04H</t>
  </si>
  <si>
    <t>TRW-INNOVA04</t>
  </si>
  <si>
    <t>RVL-INNOVA04</t>
  </si>
  <si>
    <t>RVR-INNOVA04</t>
  </si>
  <si>
    <t>RQR-INNOVA04</t>
  </si>
  <si>
    <t>LFW-INNOVA15</t>
  </si>
  <si>
    <t>Toyota Innova 15- 2nd Gen</t>
  </si>
  <si>
    <t>LFW-IST</t>
  </si>
  <si>
    <t>Toyota ist 01-06 SC10/NCP60</t>
  </si>
  <si>
    <t>TRW-IST</t>
  </si>
  <si>
    <t>LFW-FJ80</t>
  </si>
  <si>
    <t>Toyota LandCruiser 90-97 FJ80</t>
  </si>
  <si>
    <t>TRW-FJ80</t>
  </si>
  <si>
    <t>RDL-FJ80</t>
  </si>
  <si>
    <t>RDR-FJ80</t>
  </si>
  <si>
    <t>SFL-FJ80</t>
  </si>
  <si>
    <t>SFR-FJ80</t>
  </si>
  <si>
    <t>SRL-FJ80</t>
  </si>
  <si>
    <t>SRR-FJ80</t>
  </si>
  <si>
    <t>LFW-FJ100</t>
  </si>
  <si>
    <t>Toyota LandCruiser 98-07 FJ100 (Signus) [No Sensor]</t>
  </si>
  <si>
    <t>TRW-FJ100</t>
  </si>
  <si>
    <t>Toyota LandCruiser 98-07 FJ100 (Signus)</t>
  </si>
  <si>
    <t>RDL-FJ100</t>
  </si>
  <si>
    <t>RDR-FJ100</t>
  </si>
  <si>
    <t>RQL-FJ100</t>
  </si>
  <si>
    <t>RQR-FJ100</t>
  </si>
  <si>
    <t>LFW-FJ200RS</t>
  </si>
  <si>
    <t>Toyota LandCruiser 07- FJ200</t>
  </si>
  <si>
    <t>LFW-FJ200</t>
  </si>
  <si>
    <t>TRW-FJ200</t>
  </si>
  <si>
    <t>FDL-FJ200</t>
  </si>
  <si>
    <t>FDR-FJ200</t>
  </si>
  <si>
    <t>RDL-FJ200</t>
  </si>
  <si>
    <t>RDR-FJ200</t>
  </si>
  <si>
    <t>RVL-FJ200</t>
  </si>
  <si>
    <t>RVR-FJ200</t>
  </si>
  <si>
    <t>LFW-FJ120</t>
  </si>
  <si>
    <t>Toyota LandCruiser Prado 02-09 FJ120</t>
  </si>
  <si>
    <t>RDL-FJ120</t>
  </si>
  <si>
    <t>RDR-FJ120</t>
  </si>
  <si>
    <t>RQL-FJ120</t>
  </si>
  <si>
    <t>X/1hole</t>
  </si>
  <si>
    <t>RQR-FJ120</t>
  </si>
  <si>
    <t>TRW-FJ120</t>
  </si>
  <si>
    <t>Toyota LandCruiser Prado 02-09 FJ120 (lbg)</t>
  </si>
  <si>
    <t>LFW-FJ150</t>
  </si>
  <si>
    <t>Toyota LandCruiser Prado FJ150W 09-</t>
  </si>
  <si>
    <t>TRW-FJ150</t>
  </si>
  <si>
    <t>X/H/17hole</t>
  </si>
  <si>
    <t>RDL-FJ150</t>
  </si>
  <si>
    <t>RDR-FJ150</t>
  </si>
  <si>
    <t>LFW-NAV07</t>
  </si>
  <si>
    <t>Toyota NAV1/Noah 07-17</t>
  </si>
  <si>
    <t>TRW-NAV07</t>
  </si>
  <si>
    <t>RQL-NAV07</t>
  </si>
  <si>
    <t>RQR-NAV07</t>
  </si>
  <si>
    <t>LFW-NOAH</t>
  </si>
  <si>
    <t>Toyota Noah 01-07</t>
  </si>
  <si>
    <t>TRW-NOAH</t>
  </si>
  <si>
    <t>RDL-NOAH</t>
  </si>
  <si>
    <t>RDR-NOAH</t>
  </si>
  <si>
    <t>RQL-NOAH</t>
  </si>
  <si>
    <t>LFW-PREVIA00</t>
  </si>
  <si>
    <t>Toyota Previa/Estima 00-06 KR30/ACR30/XR30</t>
  </si>
  <si>
    <t>TRW-PREVIA00</t>
  </si>
  <si>
    <t>LFW-PREVIA06</t>
  </si>
  <si>
    <t>Toyota Previa/Estima 06- KR40/TR70/XR50</t>
  </si>
  <si>
    <t>TRW-PREVIA06</t>
  </si>
  <si>
    <t>TRW-RAV400</t>
  </si>
  <si>
    <t>Toyota RAV4 00-05 XA20 2th Gen</t>
  </si>
  <si>
    <t>LFW-RAV400</t>
  </si>
  <si>
    <t>Toyota RAV4 00-05 XA20 2th Gen / Cherry Tiggo</t>
  </si>
  <si>
    <t>LFW-RAV405</t>
  </si>
  <si>
    <t>Toyota RAV4 05-12 XA30 3rd Gen</t>
  </si>
  <si>
    <t>TRW-RAV405</t>
  </si>
  <si>
    <t>FDL-RAV405</t>
  </si>
  <si>
    <t>FDR-RAV405</t>
  </si>
  <si>
    <t>RDL-RAV405</t>
  </si>
  <si>
    <t>RDR-RAV405</t>
  </si>
  <si>
    <t>RQL-RAV405</t>
  </si>
  <si>
    <t>RQR-RAV405</t>
  </si>
  <si>
    <t>LFW-TERIOS06</t>
  </si>
  <si>
    <t>Toyota Rush / Terios 06-17</t>
  </si>
  <si>
    <t>TRW-TERIOS06HOLE</t>
  </si>
  <si>
    <t>TRW-TERIOS06HHOLE</t>
  </si>
  <si>
    <t>TRW-TERIOS06</t>
  </si>
  <si>
    <t>LFW-SIENTA</t>
  </si>
  <si>
    <t>Toyota Sienta 15-</t>
  </si>
  <si>
    <t>TRW-SIENTA</t>
  </si>
  <si>
    <t>LFW-SOLUNA</t>
  </si>
  <si>
    <t>Toyota Soluna AL50 00-</t>
  </si>
  <si>
    <t>LFW-STARLET</t>
  </si>
  <si>
    <t>Toyota Starlet KP80 89-95</t>
  </si>
  <si>
    <t>TRW-STARLET</t>
  </si>
  <si>
    <t>RDL-STARLET</t>
  </si>
  <si>
    <t>RDR-STARLET</t>
  </si>
  <si>
    <t>TRW-VIOS02</t>
  </si>
  <si>
    <t>Toyota Vios 02-07 XP40 1st Gen</t>
  </si>
  <si>
    <t>RDL-VIOS02</t>
  </si>
  <si>
    <t>RDR-VIOS02</t>
  </si>
  <si>
    <t>LFW-VIOS07</t>
  </si>
  <si>
    <t>Toyota Vios 07-13 XP90 2nd Gen</t>
  </si>
  <si>
    <t>TRW-VIOS07A</t>
  </si>
  <si>
    <t>TRW-VIOS07</t>
  </si>
  <si>
    <t>RDL-VIOS07</t>
  </si>
  <si>
    <t>RDR-VIOS07</t>
  </si>
  <si>
    <t>RVL-VIOS07</t>
  </si>
  <si>
    <t>LFW-VOXY17</t>
  </si>
  <si>
    <t>Toyota Voxy 17-</t>
  </si>
  <si>
    <t>TRW-VOXY</t>
  </si>
  <si>
    <t>Toyota Voxy 17- (Hitam)</t>
  </si>
  <si>
    <t>LFW-WISH</t>
  </si>
  <si>
    <t>Toyota Wish 03-09</t>
  </si>
  <si>
    <t>TRW-WISH</t>
  </si>
  <si>
    <t>LFW-YARIS05</t>
  </si>
  <si>
    <t>Toyota Yaris 05-13 XP90 1st Gen</t>
  </si>
  <si>
    <t>TRW-YARIS05</t>
  </si>
  <si>
    <t>LFW-VIOS13</t>
  </si>
  <si>
    <t>Toyota Yaris 13- 2nd Gen / Vios 14- 3rd Gen</t>
  </si>
  <si>
    <t>LFW-T5</t>
  </si>
  <si>
    <t>VW Caravelle T5 03-16</t>
  </si>
  <si>
    <t>TRW-T5</t>
  </si>
  <si>
    <t>TRW-MK5</t>
  </si>
  <si>
    <t>VW Golf MK5 Hatchback 03-08</t>
  </si>
  <si>
    <t>LFW-GOLFMK6</t>
  </si>
  <si>
    <t>VW Golf MK6 Hatchback 08-12</t>
  </si>
  <si>
    <t>TRW-MK6</t>
  </si>
  <si>
    <t>LFW-MK7</t>
  </si>
  <si>
    <t>VW Golf MK7 Hatchback 12-</t>
  </si>
  <si>
    <t>LFW-NEWBEETLE</t>
  </si>
  <si>
    <t>VW New Beetle 2D Hatchback A5 11-</t>
  </si>
  <si>
    <t>LFW-POLO09RS</t>
  </si>
  <si>
    <t>VW Polo Hatchback 09-17 5th Gen MK5 [1 Sensor / O]</t>
  </si>
  <si>
    <t>LFW-POLO09</t>
  </si>
  <si>
    <t>VW Polo Hatchback 09-17 5th Gen MK5</t>
  </si>
  <si>
    <t>TRW-POLO09</t>
  </si>
  <si>
    <t>LFW-SCIROCCO</t>
  </si>
  <si>
    <t>VW Scirocco III 3D Coupe 08-</t>
  </si>
  <si>
    <t>LFW-TIGUAN</t>
  </si>
  <si>
    <t>VW Tiguan 07-16</t>
  </si>
  <si>
    <t>LFW-CONFERO</t>
  </si>
  <si>
    <t>Wuling Confero (Tanpa Spionnya)</t>
  </si>
  <si>
    <t>LFW-LOUHAN</t>
  </si>
  <si>
    <t>Hino Ranger Louhan 03- / Hino 500</t>
  </si>
  <si>
    <t>LFW-ELFNKR</t>
  </si>
  <si>
    <t>Isuzu Elf 93- NKR NHR</t>
  </si>
  <si>
    <t>LFW-ELFNMR</t>
  </si>
  <si>
    <t>Isuzu Elf 17- New NMR NLR</t>
  </si>
  <si>
    <t>LFW-FE700</t>
  </si>
  <si>
    <t>Mitsubishi Canter FE700 01- (PS110,125)</t>
  </si>
  <si>
    <t>LFW-FE800</t>
  </si>
  <si>
    <t>Mitsubishi Canter FE800 01- (PS136)</t>
  </si>
  <si>
    <t>LFW-FK40</t>
  </si>
  <si>
    <t>Mitsubishi Fuso Fighter FK40 82-(PS190,220)</t>
  </si>
  <si>
    <t>LFW-FV100</t>
  </si>
  <si>
    <t>Mitsubishi Fuso Super Great FV100 96-</t>
  </si>
  <si>
    <t>LFW-L300</t>
  </si>
  <si>
    <t>Mitsubishi L300</t>
  </si>
  <si>
    <t>LFW-A396</t>
  </si>
  <si>
    <t>Audi A3 96-03</t>
  </si>
  <si>
    <t>LFW-AUDIA304</t>
  </si>
  <si>
    <t>Audi A3 04-13</t>
  </si>
  <si>
    <t>LFW-AUDIB6</t>
  </si>
  <si>
    <t>Audi A4 01-06 B6</t>
  </si>
  <si>
    <t>LFW-AUDIB7</t>
  </si>
  <si>
    <t>Audi A4 01-08 B7</t>
  </si>
  <si>
    <t>LFW-AUDIC6</t>
  </si>
  <si>
    <t>Audi A6 04-11 C6</t>
  </si>
  <si>
    <t>LFW-HRV22</t>
  </si>
  <si>
    <t>Honda HR-V 22- 5D SUV (Honda)</t>
  </si>
  <si>
    <t>X/MB/RS/Logo</t>
  </si>
  <si>
    <t>B7T2</t>
  </si>
  <si>
    <t>TRW-HRV22</t>
  </si>
  <si>
    <t>TRW-AUDIQ508</t>
  </si>
  <si>
    <t>Audi Q5 08-17 (Hitam)</t>
  </si>
  <si>
    <t>LFW-AUDIQ706</t>
  </si>
  <si>
    <t>Audi Q7 06-15</t>
  </si>
  <si>
    <t>LFW-AUDIQ716</t>
  </si>
  <si>
    <t>Audi Q7 16-</t>
  </si>
  <si>
    <t>A6T2</t>
  </si>
  <si>
    <t>TRW-E90A</t>
  </si>
  <si>
    <t>BMW 3 Series 05-12 E90 (Antenna)</t>
  </si>
  <si>
    <t>LFW-E39</t>
  </si>
  <si>
    <t>BMW 5 Series 95-03 E39</t>
  </si>
  <si>
    <t>LFW-F10RSBWH</t>
  </si>
  <si>
    <t>BMW 5 Series 10-16 F10 (1 Sensor / ꓳ Bawah)</t>
  </si>
  <si>
    <t>LFW-MINIF55RS1</t>
  </si>
  <si>
    <t>Mini Cooper Hatch. F55/F56/F57 14- 3D/5D/Cab. RS2 ( O /\ )</t>
  </si>
  <si>
    <t>X/MB/RS2/List</t>
  </si>
  <si>
    <t>LFW-F02</t>
  </si>
  <si>
    <t>BMW 7 Series 09-15 F01/02 (1 Sensor / O)</t>
  </si>
  <si>
    <t>TRW-KIJANGK125PU</t>
  </si>
  <si>
    <t>Toyota Kijang Super/Grand K125 Pick Up</t>
  </si>
  <si>
    <t>B8T4</t>
  </si>
  <si>
    <t>LFW-F25</t>
  </si>
  <si>
    <t>BMW X3 Series 11-17 F25</t>
  </si>
  <si>
    <t>LFW-E89</t>
  </si>
  <si>
    <t>BMW Z4 09-16 E89</t>
  </si>
  <si>
    <t>LFW-Z4</t>
  </si>
  <si>
    <t>MU</t>
  </si>
  <si>
    <t>B11T2</t>
  </si>
  <si>
    <t>LFW-CRETA</t>
  </si>
  <si>
    <t xml:space="preserve">Hyundai Creta 22- </t>
  </si>
  <si>
    <t>A10T2</t>
  </si>
  <si>
    <t>B13T3</t>
  </si>
  <si>
    <t>LFW-SPARK16</t>
  </si>
  <si>
    <t>Chevrolet Spark 16- M400 4th Gen</t>
  </si>
  <si>
    <t>TRW-SPARK16</t>
  </si>
  <si>
    <t>RDL-INNOVA04</t>
  </si>
  <si>
    <t>RDR-INNOVA04</t>
  </si>
  <si>
    <t>LFW-TRAILBLAZER</t>
  </si>
  <si>
    <t>LFW-TRAXRS</t>
  </si>
  <si>
    <t>Chevrolet Trax 13- [Sensor]</t>
  </si>
  <si>
    <t>TRW-HIACE19BNG</t>
  </si>
  <si>
    <t>Toyota Hi-Ace 19- Premio (Bening)</t>
  </si>
  <si>
    <t>X/Heater/1Hole</t>
  </si>
  <si>
    <t>A1T3</t>
  </si>
  <si>
    <t>LFW-SIRION1</t>
  </si>
  <si>
    <t>FDR-DYNA</t>
  </si>
  <si>
    <t>Toyota Dyna/Hino Dutro 00-</t>
  </si>
  <si>
    <t>A7T3</t>
  </si>
  <si>
    <t>A8T1</t>
  </si>
  <si>
    <t>FDR-INNOVA04</t>
  </si>
  <si>
    <t>A10T3/PETI</t>
  </si>
  <si>
    <t>FDL-L300</t>
  </si>
  <si>
    <t>A3T1</t>
  </si>
  <si>
    <t>LFW-MUSTANG</t>
  </si>
  <si>
    <t>Ford Mustang 2D Coupe 15-</t>
  </si>
  <si>
    <t>FDL-ERTIGA12</t>
  </si>
  <si>
    <t>B10T4</t>
  </si>
  <si>
    <t>LFW-RANGER11</t>
  </si>
  <si>
    <t>TRW-RANGER11</t>
  </si>
  <si>
    <t>LFW-GEELYMK</t>
  </si>
  <si>
    <t>Geely MK 06-17</t>
  </si>
  <si>
    <t>TRW-ERTIGA18H</t>
  </si>
  <si>
    <t>Suzuki Ertiga 18- 2nd Gen / XL7 (Suzuki)</t>
  </si>
  <si>
    <t>B11T3</t>
  </si>
  <si>
    <t>TRW-PANDA</t>
  </si>
  <si>
    <t>Geely Panda 09- LC Hatchback (Wiper)</t>
  </si>
  <si>
    <t>TRW-ACCORD96</t>
  </si>
  <si>
    <t>Honda Accord 93-98 SV4 5th Gen (Cielo) (96-98) 73cm</t>
  </si>
  <si>
    <t>RDR-XPANDER</t>
  </si>
  <si>
    <t>B13T4</t>
  </si>
  <si>
    <t>FDR-SWIFT04</t>
  </si>
  <si>
    <t>Suzuki Swift 04-11 1st Gen</t>
  </si>
  <si>
    <t>LFW-ACCORD08RS</t>
  </si>
  <si>
    <t>TRW-RANGER02</t>
  </si>
  <si>
    <t>Ford Ranger 02-11 (Pick Up)</t>
  </si>
  <si>
    <t>LFW-L200DOUBLE</t>
  </si>
  <si>
    <t>Mitsubishi L200 02-07 Double Cabin</t>
  </si>
  <si>
    <t>B5T1 | B6T1</t>
  </si>
  <si>
    <t>1PC B3T1</t>
  </si>
  <si>
    <t>LFW-CROSS</t>
  </si>
  <si>
    <t>Toyota Corolla Cross 21-</t>
  </si>
  <si>
    <t>A5T2</t>
  </si>
  <si>
    <t>LFW-TRAGA</t>
  </si>
  <si>
    <t>Isuzu Traga</t>
  </si>
  <si>
    <t>A13T2</t>
  </si>
  <si>
    <t>TRW-BRIO18</t>
  </si>
  <si>
    <t>Honda Brio 18-</t>
  </si>
  <si>
    <t>B7T3</t>
  </si>
  <si>
    <t>LFW-PANTHER91</t>
  </si>
  <si>
    <t>Isuzu Panther 91-99 1st Gen Kotak</t>
  </si>
  <si>
    <t>A11T2</t>
  </si>
  <si>
    <t>SWR-INNOVA04</t>
  </si>
  <si>
    <t>FDR-JAZZ01</t>
  </si>
  <si>
    <t>B12T4</t>
  </si>
  <si>
    <t>TRW-CITY14</t>
  </si>
  <si>
    <t>FDL-TERIOS06</t>
  </si>
  <si>
    <t>A12T3</t>
  </si>
  <si>
    <t>B5T2</t>
  </si>
  <si>
    <t>SWL-CIVICEST</t>
  </si>
  <si>
    <t>SWL</t>
  </si>
  <si>
    <t>B9T4</t>
  </si>
  <si>
    <t>SWR-CIVICEST</t>
  </si>
  <si>
    <t>FDL-FE700</t>
  </si>
  <si>
    <t>LFW-FJ78</t>
  </si>
  <si>
    <t>Toyota LandCruiser 02-07 FJ78 / FJ79</t>
  </si>
  <si>
    <t>TRW-CIVIC00HATCHBACK</t>
  </si>
  <si>
    <t>Honda Civic 00-05 VTIS S5A Hatchback Spoiler</t>
  </si>
  <si>
    <t>B7T1</t>
  </si>
  <si>
    <t>TRW-SIRION2</t>
  </si>
  <si>
    <t>Daihatsu Sirion 11-18 2nd Gen</t>
  </si>
  <si>
    <t>B8T3</t>
  </si>
  <si>
    <t>TRW-CIVIC16HAT</t>
  </si>
  <si>
    <t>Honda Civic 16- 10th Gen Hatchback (Hitam)</t>
  </si>
  <si>
    <t>Mers-Benz E-Class  09-16  W212 (2 Sensor/ □Δ) Trapes.</t>
  </si>
  <si>
    <t>FR</t>
  </si>
  <si>
    <t>X/MB/RS/H - List</t>
  </si>
  <si>
    <t>FDL-INNOVA04</t>
  </si>
  <si>
    <t>B14T3</t>
  </si>
  <si>
    <t>LFW-KATANAC84</t>
  </si>
  <si>
    <t>Suzuki Katana 84-</t>
  </si>
  <si>
    <t>Blue</t>
  </si>
  <si>
    <t>B12T3</t>
  </si>
  <si>
    <t>TRW-YARIS13</t>
  </si>
  <si>
    <t>Toyota Yaris 13- 2nd Gen (Lampu C) XP150</t>
  </si>
  <si>
    <t>B6T3</t>
  </si>
  <si>
    <t>B5T3</t>
  </si>
  <si>
    <t>LFW-CRV17RS</t>
  </si>
  <si>
    <t>FDL-KUDA</t>
  </si>
  <si>
    <t>Mitsubishi Kuda 99-06</t>
  </si>
  <si>
    <t>TRW-ESTILO</t>
  </si>
  <si>
    <t>Suzuki Karimun Estilo 07- (Suzuki)</t>
  </si>
  <si>
    <t>AIS</t>
  </si>
  <si>
    <t>LFW-XPANDER</t>
  </si>
  <si>
    <t>Mitsubishi Xpander 17- / Livina 19- 2nd Gen (Mitsubishi)</t>
  </si>
  <si>
    <t>RVR</t>
  </si>
  <si>
    <t>B6T4</t>
  </si>
  <si>
    <t>SWR-AVANZA11</t>
  </si>
  <si>
    <t>Toyota Avanza / Xenia 11-15 2nd Gen / 15-21 3rd Gen</t>
  </si>
  <si>
    <t>B5T4</t>
  </si>
  <si>
    <t>Honda HR-V 22- 5D SUV</t>
  </si>
  <si>
    <t>B4T1</t>
  </si>
  <si>
    <t>LFW-WAGONR</t>
  </si>
  <si>
    <t>Suzuki Wagon R 12-</t>
  </si>
  <si>
    <t>B12T2</t>
  </si>
  <si>
    <t>* 1pc masuk angin *8</t>
  </si>
  <si>
    <t>LFW-VITARA88</t>
  </si>
  <si>
    <t>Suzuki Vitara 88-97 / Escudo / Sidekick</t>
  </si>
  <si>
    <t>LFW-SWIFT11</t>
  </si>
  <si>
    <t>Suzuki Swift 11-17 2nd Gen</t>
  </si>
  <si>
    <t xml:space="preserve"> </t>
  </si>
  <si>
    <t>PETI</t>
  </si>
  <si>
    <t>Mitsubishi Pajero 16- (Mitsubishi)</t>
  </si>
  <si>
    <t>A2T2</t>
  </si>
  <si>
    <t>4 pc tidak ada clip tdk ada list</t>
  </si>
  <si>
    <t>FDL-PAJERO08</t>
  </si>
  <si>
    <t>SWR-PAJERO08</t>
  </si>
  <si>
    <t>Mitsubishi Pajero 08-16 (Mitsubishi)</t>
  </si>
  <si>
    <t>SWL-PAJERO08</t>
  </si>
  <si>
    <t>TRW-GRANMAXPU</t>
  </si>
  <si>
    <t>Daihatsu Gran Max / Zebra 2 (Pick Up)</t>
  </si>
  <si>
    <t>TRW-ODYSSEY09</t>
  </si>
  <si>
    <t>A1T1</t>
  </si>
  <si>
    <t>FDR-ELFNMR</t>
  </si>
  <si>
    <t xml:space="preserve">Isuzu Elf 17- New NMR NLR / Isuzu Giga </t>
  </si>
  <si>
    <t>A6T3</t>
  </si>
  <si>
    <t>LFW-STREAM00NO</t>
  </si>
  <si>
    <t>Honda Stream 00-04 S7A/RN1 (Tanpa Spion)</t>
  </si>
  <si>
    <t>RDR-AVANZA21</t>
  </si>
  <si>
    <t>Toyota Avanza / Xenia 21- 4th Gen</t>
  </si>
  <si>
    <t>TRW-EXCEL94</t>
  </si>
  <si>
    <t>Hyundai Accent/Excel/Cakra 94-01 Sedan</t>
  </si>
  <si>
    <t>LFW-AVEGA01</t>
  </si>
  <si>
    <t>Hyundai Accent Verna / Avega 01-12 Sedan</t>
  </si>
  <si>
    <t>SWL-AVANZA21</t>
  </si>
  <si>
    <t>B7T4</t>
  </si>
  <si>
    <t>LFW-CRETARS</t>
  </si>
  <si>
    <t>FDR-TERIOS06</t>
  </si>
  <si>
    <t>TRW-CRETA</t>
  </si>
  <si>
    <t>RVR-SIGRA16</t>
  </si>
  <si>
    <t>Toyota Calya /  Sigra 16-</t>
  </si>
  <si>
    <t>RQR</t>
  </si>
  <si>
    <t>RDL-SIGRA16</t>
  </si>
  <si>
    <t>Toyota Calya / Sigra 16-</t>
  </si>
  <si>
    <t>1pc ☆3 Baret</t>
  </si>
  <si>
    <t>TRW-AVANZA21</t>
  </si>
  <si>
    <t>B4T4</t>
  </si>
  <si>
    <t>TRW-H1NOHOLE</t>
  </si>
  <si>
    <t>Hyundai H1 08- / Mover (Tanpa Lubang)</t>
  </si>
  <si>
    <t>RDL-H1FRAME</t>
  </si>
  <si>
    <t>Hyundai H1 08- / Mover (Frame)</t>
  </si>
  <si>
    <t>RDR-H1FRAME</t>
  </si>
  <si>
    <t>LFW-I2008</t>
  </si>
  <si>
    <t>Hyundai i20 09- Hatchback</t>
  </si>
  <si>
    <t>LFW-PALISADE</t>
  </si>
  <si>
    <t>Hyundai Palisade 20-</t>
  </si>
  <si>
    <t>TRW-PALISADE</t>
  </si>
  <si>
    <t>LFW-PAJERO20RS</t>
  </si>
  <si>
    <t>Mitsubishi Pajero 20- (1 Sensor / □ ) (Mitsubishi)</t>
  </si>
  <si>
    <t>LFW-SANTAFE19</t>
  </si>
  <si>
    <t>Hyundai Santa Fe 18-</t>
  </si>
  <si>
    <t>TRW-SANTAFE19</t>
  </si>
  <si>
    <t>LFW-STARGAZER</t>
  </si>
  <si>
    <t>Hyundai Stargazer 22-</t>
  </si>
  <si>
    <t>FDL-QUESTER</t>
  </si>
  <si>
    <t>Nissan UD Quester</t>
  </si>
  <si>
    <t xml:space="preserve">    </t>
  </si>
  <si>
    <t>FDR-QUESTER</t>
  </si>
  <si>
    <t>LFW-TERRA18RS</t>
  </si>
  <si>
    <t>Nissan Terra 18-</t>
  </si>
  <si>
    <t>B10T2</t>
  </si>
  <si>
    <t>LFW-W169</t>
  </si>
  <si>
    <t>Mers-Benz A-Class 05-12 W169/ B-Class 05-11 W245</t>
  </si>
  <si>
    <t>X/List</t>
  </si>
  <si>
    <t>LFW-JAGUARXF11</t>
  </si>
  <si>
    <t>Jaguar XF 11-15</t>
  </si>
  <si>
    <t>TRW-WRANGLER96</t>
  </si>
  <si>
    <t>Jeep Wrangler 96- TJ (Hitam)</t>
  </si>
  <si>
    <t>TRW-RUBICON07</t>
  </si>
  <si>
    <t>Jeep Wrangler Rubicon 07-11 JK (Hitam)</t>
  </si>
  <si>
    <t>TRW-RUBICON11</t>
  </si>
  <si>
    <t>Jeep Wrangler Rubicon 11-18 JK (Hitam)</t>
  </si>
  <si>
    <t>X/H/8Hole</t>
  </si>
  <si>
    <t>SWR-AVANZA21</t>
  </si>
  <si>
    <t>TRW-RUBICON18BLACK</t>
  </si>
  <si>
    <t>Jeep Wrangler Rubicon 18- JL (Hitam)</t>
  </si>
  <si>
    <t>LFW-CARNIVAL15</t>
  </si>
  <si>
    <t>Kia Carnival /Sedona 15-</t>
  </si>
  <si>
    <t>TRW-CARNIVAL15</t>
  </si>
  <si>
    <t>LFW-CERATO09</t>
  </si>
  <si>
    <t>Kia Cerato 09-13</t>
  </si>
  <si>
    <t>TRW-CERATO09</t>
  </si>
  <si>
    <t>Toyota Alphard 02-08 ANH10  1st Gen</t>
  </si>
  <si>
    <t>B9T3</t>
  </si>
  <si>
    <t>Toyota Fortuner 05-15  1st Gen (Toyota)</t>
  </si>
  <si>
    <t>X/MB/Logo/Shade Green</t>
  </si>
  <si>
    <t>LFW-RIO17</t>
  </si>
  <si>
    <t>Kia Rio 17- YB Hatchback</t>
  </si>
  <si>
    <t>TRW-RIO17</t>
  </si>
  <si>
    <t>TRW-SONET</t>
  </si>
  <si>
    <t>Kia Sonet 21-</t>
  </si>
  <si>
    <t>LFW-FORESTER</t>
  </si>
  <si>
    <t>Subaru Forester 09-13</t>
  </si>
  <si>
    <t>FDR-GRANMAX</t>
  </si>
  <si>
    <t>A10T3/A11T3 5PC</t>
  </si>
  <si>
    <t>FDL-GRANMAX</t>
  </si>
  <si>
    <t>TRW-SPORTAGE10NS</t>
  </si>
  <si>
    <t>Kia Sportage 10-15 SL [Tipe Tanpa Spoiler]</t>
  </si>
  <si>
    <t>LFW-NX15RS1</t>
  </si>
  <si>
    <t>Lexus NX 200T/300H 15-20 AZ/AG10</t>
  </si>
  <si>
    <t>FDL-VIOS13</t>
  </si>
  <si>
    <t>Toyota Vios 13-17 3rd Gen / Yaris 13- 2nd Gen XP150 / Yaris 18- 3rd Gen XP151</t>
  </si>
  <si>
    <t>LFW-AL20</t>
  </si>
  <si>
    <t>Lexus RX (Harrier) 16- AL20</t>
  </si>
  <si>
    <t>X/MB/RS/H</t>
  </si>
  <si>
    <t>FDR-VIOS13</t>
  </si>
  <si>
    <t>TRW-MAZDA209SEDAN</t>
  </si>
  <si>
    <t>Mazda 2 09-14 3rd Gen Sedan</t>
  </si>
  <si>
    <t>FDL-FREED</t>
  </si>
  <si>
    <t>FDR-VIOS07</t>
  </si>
  <si>
    <t>LFW-SIRION2</t>
  </si>
  <si>
    <t xml:space="preserve"> B8T2</t>
  </si>
  <si>
    <t>LFW-MAZDA214RS4</t>
  </si>
  <si>
    <t>Mazda 2 14- Skyactiv 4th Gen (4 Sensor/ □/\8 )</t>
  </si>
  <si>
    <t>X/MB/RS4</t>
  </si>
  <si>
    <t>SWR-AVANZA03</t>
  </si>
  <si>
    <t>LFW-MAZDA8RS</t>
  </si>
  <si>
    <t>LFW-AGYA23</t>
  </si>
  <si>
    <t>Toyota Agya/Ayla 23- 2nd Gen</t>
  </si>
  <si>
    <t>B1T1</t>
  </si>
  <si>
    <t>SWL-BIANTEHITAM</t>
  </si>
  <si>
    <t>SWR-BIANTEHITAM</t>
  </si>
  <si>
    <t>LFW-CX3</t>
  </si>
  <si>
    <t>Mazda CX-3 15- (1 Sensor / □ )</t>
  </si>
  <si>
    <t>SWL-AVANZA03</t>
  </si>
  <si>
    <t>LFW-CX5GEN2RS1</t>
  </si>
  <si>
    <t>Mazda CX-5 17- 2nd Gen KF - (1 Sensor/ □ )</t>
  </si>
  <si>
    <t>LFW-CX5GEN2RS2</t>
  </si>
  <si>
    <t>Mazda CX-5 17- 2nd Gen KF (2 Sensor/ □Δ )</t>
  </si>
  <si>
    <t>TRW-CX5GEN2</t>
  </si>
  <si>
    <t>Mazda CX-5 17- 2nd Gen KF</t>
  </si>
  <si>
    <t>TRW-STARGAZER</t>
  </si>
  <si>
    <t>B3T3</t>
  </si>
  <si>
    <t>FDR-CX5GEN2</t>
  </si>
  <si>
    <t>RDL-CX5GEN2</t>
  </si>
  <si>
    <t>RDR-CX5GEN2</t>
  </si>
  <si>
    <t>SWL-CX5GEN2</t>
  </si>
  <si>
    <t>SWR-CX5GEN2</t>
  </si>
  <si>
    <t>LFW-SANTAFE21RS2</t>
  </si>
  <si>
    <t>Hyundai Santa Fe 18-23 (thn 21-23) (2 Sensor / /\ O)</t>
  </si>
  <si>
    <t>LFW-STARGAZERRS</t>
  </si>
  <si>
    <t>TRW-CX9GEN2</t>
  </si>
  <si>
    <t>Mazda CX-9 16- 2nd Gen</t>
  </si>
  <si>
    <t>KACA DIRETUR KE BGI</t>
  </si>
  <si>
    <t>Mitsubishi Xpander 17-21</t>
  </si>
  <si>
    <t>B10T3/B9T3</t>
  </si>
  <si>
    <t>LFW-W169RS</t>
  </si>
  <si>
    <t>Mers-Benz A150/170/A200 05-12 W169/ B-Class 05-11 W245</t>
  </si>
  <si>
    <t>TRW-EVALIA</t>
  </si>
  <si>
    <t>LFW-W246</t>
  </si>
  <si>
    <t>Mers-Benz B-Class 11-17 W246 (1 Sensor / O )</t>
  </si>
  <si>
    <t>LFW-W202</t>
  </si>
  <si>
    <t>Mers-Benz C-Class 93-00 W202</t>
  </si>
  <si>
    <t>LFW-CL203</t>
  </si>
  <si>
    <t>Mers-Benz C-Class 00-07 CL/W203 2Door Coupe</t>
  </si>
  <si>
    <t>LFW-W203RS1</t>
  </si>
  <si>
    <t>Mers-Benz C-Class 00-07 W203 (1 Sensor/ □ Tengah)</t>
  </si>
  <si>
    <t>A9T2</t>
  </si>
  <si>
    <t>1PC NO BRACKET SENSOR</t>
  </si>
  <si>
    <t>LFW-W204RS2</t>
  </si>
  <si>
    <t>Mers-Benz C-Class 07-14 W204 (2 Sensor/ □Δ)</t>
  </si>
  <si>
    <t>TRW-W205</t>
  </si>
  <si>
    <t>Mers-Benz C-Class 14 - W205</t>
  </si>
  <si>
    <t>LFW-W1242DOOR</t>
  </si>
  <si>
    <t>LFW-W1244DOOR</t>
  </si>
  <si>
    <t>Mers-Benz E-Class 88-92 W124 4Door</t>
  </si>
  <si>
    <t>TRW-LIVINA13</t>
  </si>
  <si>
    <t>Nissan Livina 13-18 L11 (Lubang)</t>
  </si>
  <si>
    <t>TRW-W211</t>
  </si>
  <si>
    <t>TRW-W213</t>
  </si>
  <si>
    <t>Mers-Benz E-Class 17- W213</t>
  </si>
  <si>
    <t>LFW-W213</t>
  </si>
  <si>
    <t>Mers-Benz E-Class 17- W213 (1 Sensor/ □ )</t>
  </si>
  <si>
    <t>LFW-W156</t>
  </si>
  <si>
    <t>Mers-Benz GLA-Class SUV 13-19 W156 (Hitam)</t>
  </si>
  <si>
    <t>LFW-W166RS1</t>
  </si>
  <si>
    <t>Mers-Benz GLE-Class SUV 13- W166 (1 Sensor/ □ )</t>
  </si>
  <si>
    <t>LFW-W166RS2</t>
  </si>
  <si>
    <t>Mers-Benz GLE-Class SUV 13- W166 (2 Sensor / □Δ)</t>
  </si>
  <si>
    <t>LFW-W140RS</t>
  </si>
  <si>
    <t>LFW-W220</t>
  </si>
  <si>
    <t>Mers-Benz S-Class 98-05 W220 4D (1 Sensor)</t>
  </si>
  <si>
    <t>LFW-W221</t>
  </si>
  <si>
    <t>Mers-Benz S-Class 06-13 W221 4D (1 Sensor/ □ )</t>
  </si>
  <si>
    <t>LFW-SLK171</t>
  </si>
  <si>
    <t>Mers-Benz SLK 05-11 W171 2D (1 Sensor/ O )</t>
  </si>
  <si>
    <t>LFW-MINIF55RS2</t>
  </si>
  <si>
    <t>Mini Cooper Hatch. F55/F56/F57 14- 3D/5D/Cab. RS1 ( O )</t>
  </si>
  <si>
    <t>TRW-DELICABENING</t>
  </si>
  <si>
    <t>TRW-DELICABLACK</t>
  </si>
  <si>
    <t>Mitsubishi Delica 07- 5th Gen (Hitam)</t>
  </si>
  <si>
    <t>LFW-ETERNA</t>
  </si>
  <si>
    <t>B14T1</t>
  </si>
  <si>
    <t>TRW-HIU</t>
  </si>
  <si>
    <t>LFW-GRANDIS97</t>
  </si>
  <si>
    <t>Mitsubishi Grandis 97-03 (Grandis Lama)</t>
  </si>
  <si>
    <t>TRW-GRANDIS97</t>
  </si>
  <si>
    <t>LFW-L200SINGLE</t>
  </si>
  <si>
    <t>Mitsubishi L200 02-07 Single Cabin</t>
  </si>
  <si>
    <t>B13T2</t>
  </si>
  <si>
    <t>LFW-TEANA</t>
  </si>
  <si>
    <t>Nissan Teana 08-12 J32</t>
  </si>
  <si>
    <t>LFW-PAJEROV40</t>
  </si>
  <si>
    <t>Mitsubishi Pajero Montero/Shogun 91-00 V40</t>
  </si>
  <si>
    <t>LFW-PAJEROV70</t>
  </si>
  <si>
    <t>Mitsubishi Pajero Montero/Shogun 99-05 V60/V70</t>
  </si>
  <si>
    <t>LFW-PAJEROV8090</t>
  </si>
  <si>
    <t>Mitsubishi Pajero Montero/Shogun 06- V80/90</t>
  </si>
  <si>
    <t>B12T1</t>
  </si>
  <si>
    <t>TRW-YARIS17</t>
  </si>
  <si>
    <t>Toyota Yaris 18- 3rd Gen (Lampu -) XP151</t>
  </si>
  <si>
    <t>A4T2</t>
  </si>
  <si>
    <t>LFW-PAJERO16RS1</t>
  </si>
  <si>
    <t>Mitsubishi Pajero 20- (1 Sensor / □ ) (bentuk sama dgn 16-)</t>
  </si>
  <si>
    <t>LFW-PAJERO16RS2</t>
  </si>
  <si>
    <t>Mitsubishi Pajero 20- (2 Sensor / □ [] ) (bentuk sama dgn 16-)</t>
  </si>
  <si>
    <t>X/MB/RS2</t>
  </si>
  <si>
    <t>FDL-CARRY</t>
  </si>
  <si>
    <t>Suzuki Carry (1000cc)</t>
  </si>
  <si>
    <t>LFW-PALISADE23RS</t>
  </si>
  <si>
    <t>Hyundai Palisade 20- 1st Gen (tahun 23-)</t>
  </si>
  <si>
    <t>TRW-TRITON14</t>
  </si>
  <si>
    <t>Mitsubishi Xpander 17-</t>
  </si>
  <si>
    <t>B13T1</t>
  </si>
  <si>
    <t>TRW-XPANDERH</t>
  </si>
  <si>
    <t>LFW-ALMERA</t>
  </si>
  <si>
    <t>Nissan Almera 11-</t>
  </si>
  <si>
    <t>A5T3</t>
  </si>
  <si>
    <t>RDR-RUSH17</t>
  </si>
  <si>
    <t>Toyota Rush / Terios 18-</t>
  </si>
  <si>
    <t>B9T2</t>
  </si>
  <si>
    <t>X/MB/Lidah</t>
  </si>
  <si>
    <t>B8T2</t>
  </si>
  <si>
    <t>SWR-LIVINA07LONG</t>
  </si>
  <si>
    <t>Nissan Livina 07-18 L10/L11 (7 Seats-Long)</t>
  </si>
  <si>
    <t>FDR-DATSUN</t>
  </si>
  <si>
    <t>A9T3</t>
  </si>
  <si>
    <t>X/MB/Blue</t>
  </si>
  <si>
    <t>A7T1</t>
  </si>
  <si>
    <t>LFW-PREGIO</t>
  </si>
  <si>
    <t>SWL-C24</t>
  </si>
  <si>
    <t>SWR-C24</t>
  </si>
  <si>
    <t>LFW-GCHEROKEE</t>
  </si>
  <si>
    <t>Jeep Grand Cherooke 96-99 ZJ</t>
  </si>
  <si>
    <t>A7T2</t>
  </si>
  <si>
    <t>LFW-C27</t>
  </si>
  <si>
    <t>Nissan Serena 19- MKV C27</t>
  </si>
  <si>
    <t>TRW-C27</t>
  </si>
  <si>
    <t>FDR-T30</t>
  </si>
  <si>
    <t>LFW-T32RS2</t>
  </si>
  <si>
    <t>Nissan X-Trail 13- T32 (2 Sensor)</t>
  </si>
  <si>
    <t>LFW-T32NRS</t>
  </si>
  <si>
    <t>Nissan X-Trail 13- T32 (Tanpa Sensor)</t>
  </si>
  <si>
    <t>B10T3 2PC | 1PC B12T3</t>
  </si>
  <si>
    <t>TRW-PEUGEUOT206</t>
  </si>
  <si>
    <t>Peugeot 206 98- 3D/5D</t>
  </si>
  <si>
    <t>LFW-EXORA</t>
  </si>
  <si>
    <t>Proton Exora MPV 09-</t>
  </si>
  <si>
    <t>TRW-EXORA</t>
  </si>
  <si>
    <t>LFW-PROTONGEN2</t>
  </si>
  <si>
    <t>Proton Gen2 04- Hatchback / Persona 08-</t>
  </si>
  <si>
    <t>LFW-SAGA</t>
  </si>
  <si>
    <t>Proton Saga 08- Sedan</t>
  </si>
  <si>
    <t>LFW-SAVVY</t>
  </si>
  <si>
    <t>Proton Savvy 06-</t>
  </si>
  <si>
    <t>LFW-RANGEROVER2D</t>
  </si>
  <si>
    <t>Range Rover Evoque 11-18 SALVA 2Door (1 Sensor / [] )</t>
  </si>
  <si>
    <t>TRW-RANGEROVER2D</t>
  </si>
  <si>
    <t>Range Rover Evoque 11-18 SALVA (2 Door) (Hitam)</t>
  </si>
  <si>
    <t>FDL-RANGEROVER2D</t>
  </si>
  <si>
    <t>Range Rover Evoque 11-18 SALVA (2 Door)</t>
  </si>
  <si>
    <t>FDR-RANGEROVER2D</t>
  </si>
  <si>
    <t>SWL-RANGEROVER2D</t>
  </si>
  <si>
    <t>SWR-RANGEROVER2D</t>
  </si>
  <si>
    <t>LFW-RANGEROVER4DRS3</t>
  </si>
  <si>
    <t>Range Rover Evoque 11-18 SALVA 4Door (3 Sensor/ []Δ[] )</t>
  </si>
  <si>
    <t>LFW-TARUNA</t>
  </si>
  <si>
    <t>Daihatsu Taruna</t>
  </si>
  <si>
    <t>LFW-AERIO</t>
  </si>
  <si>
    <t>Suzuki Aerio 5D 01-07 / Baleno 01-07 Next Gen</t>
  </si>
  <si>
    <t>TRW-SIGRA16</t>
  </si>
  <si>
    <t>B1T3</t>
  </si>
  <si>
    <t>LFW-BALENO96</t>
  </si>
  <si>
    <t>Suzuki Baleno 96-01</t>
  </si>
  <si>
    <t>LFW-AVANZA21</t>
  </si>
  <si>
    <t>Toyota Avanza / Xenia 21- 4th Gen (Non sensor)</t>
  </si>
  <si>
    <t>B1T2</t>
  </si>
  <si>
    <t>TRW-BALENO01</t>
  </si>
  <si>
    <t>Suzuki Baleno 01-07 Next Gen</t>
  </si>
  <si>
    <t>SWL-SIGRA16</t>
  </si>
  <si>
    <t>TRW-BALENOSX408</t>
  </si>
  <si>
    <t>Suzuki Baleno 08-15 SX4 Hatchback</t>
  </si>
  <si>
    <t>SWR-BALENOSX408</t>
  </si>
  <si>
    <t>SWL-BALENOSX408</t>
  </si>
  <si>
    <t>TRW-BALENONEO08</t>
  </si>
  <si>
    <t>Suzuki Baleno 08-15 Neo Baleno Sedan</t>
  </si>
  <si>
    <t>LFW-PANTHER00</t>
  </si>
  <si>
    <t>Isuzu Panther 00- 2nd Gen</t>
  </si>
  <si>
    <t>TRW-BALENO15</t>
  </si>
  <si>
    <t>Suzuki Baleno 15-21</t>
  </si>
  <si>
    <t>LFW-CARRYFUTURA</t>
  </si>
  <si>
    <t>Suzuki Carry Futura (1300cc) / Mitsubishi Colt T120</t>
  </si>
  <si>
    <t>LFW-DMAX2</t>
  </si>
  <si>
    <t>Isuzu D-Max 12-19 2nd Gen</t>
  </si>
  <si>
    <t>LFW-RUBICON18</t>
  </si>
  <si>
    <t>Jeep Wrangler Rubicon 18- JL</t>
  </si>
  <si>
    <t>LFW-BALENO08</t>
  </si>
  <si>
    <t>Suzuki Baleno 08-15 SX4 / Neo Baleno</t>
  </si>
  <si>
    <t>B9T1</t>
  </si>
  <si>
    <t>LFW-ERTIGA18</t>
  </si>
  <si>
    <t>Suzuki Ertiga 18- 2nd Gen / XL7</t>
  </si>
  <si>
    <t>TRW-ERTIGA18</t>
  </si>
  <si>
    <t>LFW-ESCUDO00</t>
  </si>
  <si>
    <t>Suzuki Grand Escudo 00-05</t>
  </si>
  <si>
    <t>LFW-VITARA05</t>
  </si>
  <si>
    <t>Suzuki Grand Vitara 06-14</t>
  </si>
  <si>
    <t>TRW-VITARA05</t>
  </si>
  <si>
    <t>LFW-IGNIS</t>
  </si>
  <si>
    <t>Suzuki Ignis 17-</t>
  </si>
  <si>
    <t>TRW-IGNIS</t>
  </si>
  <si>
    <t>LFW-JIMNY19</t>
  </si>
  <si>
    <t>Suzuki Jimny All New 19-</t>
  </si>
  <si>
    <t>TRW-JIMNY19</t>
  </si>
  <si>
    <t>TRW-KARIMUN99</t>
  </si>
  <si>
    <t>Suzuki Karimun 99-06 Kotak</t>
  </si>
  <si>
    <t>LFW-ESTILO</t>
  </si>
  <si>
    <t>Suzuki Karimun Estilo 07-</t>
  </si>
  <si>
    <t>TRW-SWIFT04</t>
  </si>
  <si>
    <t>TRW-SWIFT11</t>
  </si>
  <si>
    <t>LFW-SUBARUXV</t>
  </si>
  <si>
    <t>Subaru XV 12- / WRX 15-</t>
  </si>
  <si>
    <t>TRW-BALENO96</t>
  </si>
  <si>
    <t>FVL-ALPHARD02</t>
  </si>
  <si>
    <t>FVR-ALPHARD02</t>
  </si>
  <si>
    <t>SWL-ALPHARD02RATAHITAM</t>
  </si>
  <si>
    <t>Toyota Alphard 02-08 ANH10 1st Gen (Rata) (Hitam)</t>
  </si>
  <si>
    <t>SWR-ALPHARD08RATAHITAM</t>
  </si>
  <si>
    <t>Toyota Innova 15-22 2nd Gen (Toyota)</t>
  </si>
  <si>
    <t>FVL-ALPHARD08</t>
  </si>
  <si>
    <t>FVR-ALPHARD08</t>
  </si>
  <si>
    <r>
      <rPr>
        <rFont val="Calibri"/>
        <color theme="1"/>
        <sz val="10.0"/>
      </rPr>
      <t xml:space="preserve">Nissan Livina  07-12 L10 (Tanpa Lubang) </t>
    </r>
    <r>
      <rPr>
        <rFont val="Calibri"/>
        <b/>
        <color theme="1"/>
        <sz val="10.0"/>
      </rPr>
      <t>Nissan</t>
    </r>
  </si>
  <si>
    <t>B8T3 2PC</t>
  </si>
  <si>
    <t>SWL-ALPHARD15HITAM</t>
  </si>
  <si>
    <t>X/A/List</t>
  </si>
  <si>
    <t>SWR-ALPHARD15HITAM</t>
  </si>
  <si>
    <t>LFW-ALPHARD18</t>
  </si>
  <si>
    <t>Toyota Alphard 18- ANH30 3rd Gen</t>
  </si>
  <si>
    <t>LFW-ALPHARD18RS</t>
  </si>
  <si>
    <t>Toyota Alphard 18- ANH30 3rd Gen (Sensor bwh keramik)</t>
  </si>
  <si>
    <t>LFW-ALPHARD18RS2</t>
  </si>
  <si>
    <t>Toyota Alphard 18- ANH30 3rd Gen (2 Sensor / □Δ )</t>
  </si>
  <si>
    <t>X/MB/RS/Cam</t>
  </si>
  <si>
    <t>TRW-ALPHARD18</t>
  </si>
  <si>
    <t>Toyota Alphard 18- ANH30 3rd Gen (with Camera)</t>
  </si>
  <si>
    <t>X/Heater/6Hole/Logo</t>
  </si>
  <si>
    <t>SWR-PANTHER91</t>
  </si>
  <si>
    <t>Isuzu Panther  91-99 1st Gen Kotak</t>
  </si>
  <si>
    <t>3 hole</t>
  </si>
  <si>
    <t>LFW-CARRY</t>
  </si>
  <si>
    <t>A13T1</t>
  </si>
  <si>
    <t>Mitsubishi Outlander 10-21</t>
  </si>
  <si>
    <t>B2T1</t>
  </si>
  <si>
    <t>B4T3</t>
  </si>
  <si>
    <t xml:space="preserve">1PC ☆1 BaretPrh | </t>
  </si>
  <si>
    <t>A5T1</t>
  </si>
  <si>
    <t xml:space="preserve"> B5T3 </t>
  </si>
  <si>
    <t>1pc KF</t>
  </si>
  <si>
    <t>A1T2</t>
  </si>
  <si>
    <t>TRW-INNOVA15</t>
  </si>
  <si>
    <t>Toyota Innova 04-15 1st Gen (Toyota)</t>
  </si>
  <si>
    <t>FDR-INNOVA15</t>
  </si>
  <si>
    <t>Logo</t>
  </si>
  <si>
    <t>FDL-INNOVA15</t>
  </si>
  <si>
    <t>RDR-INNOVA15</t>
  </si>
  <si>
    <t>RDL-INNOVA15</t>
  </si>
  <si>
    <t>TRW-INNOVA15H</t>
  </si>
  <si>
    <t>A3T3</t>
  </si>
  <si>
    <t>SWR-LUXIO</t>
  </si>
  <si>
    <t>Daihatsu Luxio 07-</t>
  </si>
  <si>
    <t>A2T1</t>
  </si>
  <si>
    <t>LFW-CRV02</t>
  </si>
  <si>
    <t>Honda CR-V 02-04 2nd Gen (Spion Jepit)</t>
  </si>
  <si>
    <t>LFW-CAMRY11RS</t>
  </si>
  <si>
    <t>LFW-CAMRY18RS</t>
  </si>
  <si>
    <t>Toyota Camry 18- XV70 6th Gen</t>
  </si>
  <si>
    <t>LFW-CHR</t>
  </si>
  <si>
    <t>Toyota CHR</t>
  </si>
  <si>
    <t>LFW-COROLLA87</t>
  </si>
  <si>
    <t>FDL-COROLLA91</t>
  </si>
  <si>
    <t>FDR-COROLLA91</t>
  </si>
  <si>
    <t>RDL-COROLLA91</t>
  </si>
  <si>
    <t>RDR-COROLLA91</t>
  </si>
  <si>
    <t>X/MB/Green</t>
  </si>
  <si>
    <t>B3T2</t>
  </si>
  <si>
    <t>B8T1</t>
  </si>
  <si>
    <t>FDL-AVANZA03</t>
  </si>
  <si>
    <t>A11T3</t>
  </si>
  <si>
    <t>RDL-AVANZA03</t>
  </si>
  <si>
    <t>A12T4</t>
  </si>
  <si>
    <t>RDR-AVANZA03</t>
  </si>
  <si>
    <t>B2T3</t>
  </si>
  <si>
    <t>LFW-FT86</t>
  </si>
  <si>
    <t>Toyota FT86 / Subaru BRZ</t>
  </si>
  <si>
    <t>TRW-FT86</t>
  </si>
  <si>
    <t>Toyota Hi-Ace 04-20 Commuter (Clear)</t>
  </si>
  <si>
    <t>SFR-HIACE</t>
  </si>
  <si>
    <t>FDL-MOBILIO</t>
  </si>
  <si>
    <t>Honda Mobilio 14- / Honda BR-V 16-21</t>
  </si>
  <si>
    <t>FDR-MOBILIO</t>
  </si>
  <si>
    <t>B12T4/peti</t>
  </si>
  <si>
    <t>RDL-MOBILIO</t>
  </si>
  <si>
    <t>B11T4/peti</t>
  </si>
  <si>
    <t>RDL-HIACEF</t>
  </si>
  <si>
    <t>Toyota Hi-Ace 04-20 Commuter With Frame</t>
  </si>
  <si>
    <t>A2T3</t>
  </si>
  <si>
    <t>FDL-HIACE19</t>
  </si>
  <si>
    <t>Toyota Hi-Ace 19- Premio</t>
  </si>
  <si>
    <t>FDR-HIACE19</t>
  </si>
  <si>
    <t>RDL-HIACE19FRAME</t>
  </si>
  <si>
    <t>Toyota Hi-Ace 19- Premio With Frame</t>
  </si>
  <si>
    <t>RDR-HIACE19</t>
  </si>
  <si>
    <t>SRL-HIACE19</t>
  </si>
  <si>
    <t>SRR-HIACE19FRAME</t>
  </si>
  <si>
    <t>LFW-HIACE19</t>
  </si>
  <si>
    <t>A12T1</t>
  </si>
  <si>
    <t>LFW-HILUX05</t>
  </si>
  <si>
    <t>LFW-TATAACE</t>
  </si>
  <si>
    <t>Tata Superace 11-</t>
  </si>
  <si>
    <t>TRW-WAGON13</t>
  </si>
  <si>
    <t>1PC ☆2Baret sedang</t>
  </si>
  <si>
    <t>LFW-SWIFT04</t>
  </si>
  <si>
    <t>LFW-KARIMUN99</t>
  </si>
  <si>
    <t>LFW-KAPSUL97</t>
  </si>
  <si>
    <t>Toyota Kijang 98- Kapsul Karet</t>
  </si>
  <si>
    <t>LFW-KAPSUL02</t>
  </si>
  <si>
    <t>Toyota Kijang 02-04 Kapsul Lem Efi</t>
  </si>
  <si>
    <t>A5T2 3pc | B5T2 3</t>
  </si>
  <si>
    <t>LFW-FJ40</t>
  </si>
  <si>
    <t>Toyota LandCruiser 74- FJ40 / Jeep Hardtop</t>
  </si>
  <si>
    <t>LFW-FJ100RS</t>
  </si>
  <si>
    <t>Toyota LandCruiser 98-07 FJ100 (Signus) [Sensor]</t>
  </si>
  <si>
    <t>Toyota LandCruiser 07-21 FJ200 / Lexus (1 Sensor / u )</t>
  </si>
  <si>
    <t>LFW-FJ200RS1PSH</t>
  </si>
  <si>
    <t>Toyota LandCruiser 07-21 FJ200 / Lexus (1 Sensor / I I )</t>
  </si>
  <si>
    <t>LFW-F90</t>
  </si>
  <si>
    <t>Toyota LandCruiser Prado 96-02 FJ90</t>
  </si>
  <si>
    <t>TRW-FJ120NOLBG</t>
  </si>
  <si>
    <t>Toyota LandCruiser Prado 02-09 FJ120 (no lbg)</t>
  </si>
  <si>
    <t>LFW-KUDA</t>
  </si>
  <si>
    <t>LFW-INTERPLAY</t>
  </si>
  <si>
    <r>
      <rPr>
        <rFont val="Calibri"/>
        <color theme="1"/>
        <sz val="10.0"/>
      </rPr>
      <t>Mazda INTERPLAY 1992-97 FHG</t>
    </r>
  </si>
  <si>
    <t>B2T2</t>
  </si>
  <si>
    <r>
      <rPr>
        <rFont val="Calibri"/>
        <color theme="1"/>
        <sz val="10.0"/>
      </rPr>
      <t>Kia Rio 00-05 DC Sedan/Hatchback</t>
    </r>
  </si>
  <si>
    <t>LFW-SPORTAGE04</t>
  </si>
  <si>
    <t>Kia Sportage 04-10 JE/KM</t>
  </si>
  <si>
    <t>SWL-TERIOS06</t>
  </si>
  <si>
    <t>SWR-TERIOS06</t>
  </si>
  <si>
    <t>LFW-RUSH17</t>
  </si>
  <si>
    <t xml:space="preserve">1PC ☆3Baret </t>
  </si>
  <si>
    <t>TRW-RUSH17H</t>
  </si>
  <si>
    <t>TRW-RUSH17</t>
  </si>
  <si>
    <t>LFW-LANTIS</t>
  </si>
  <si>
    <t>Ford Lynx/Liata Mazda Lantis/Familia</t>
  </si>
  <si>
    <t>Green</t>
  </si>
  <si>
    <t>LFW-TIMOR</t>
  </si>
  <si>
    <t>A6T1</t>
  </si>
  <si>
    <t>TRW-SOLUNA</t>
  </si>
  <si>
    <t>LFW-VIOS02</t>
  </si>
  <si>
    <r>
      <rPr>
        <rFont val="Calibri"/>
        <color theme="1"/>
        <sz val="10.0"/>
      </rPr>
      <t>Kia Rio 11-17 UB Hatchback</t>
    </r>
  </si>
  <si>
    <t>FDL-VIOS02</t>
  </si>
  <si>
    <t>FDR-VIOS02</t>
  </si>
  <si>
    <t>RVR-VIOS07</t>
  </si>
  <si>
    <t>TRW-ESCUDO00</t>
  </si>
  <si>
    <t>TRW-VIOS13</t>
  </si>
  <si>
    <t>Toyota Vios 14- 3rd Gen</t>
  </si>
  <si>
    <t>LFW-CHEROKEE</t>
  </si>
  <si>
    <t>Jeep Cherooke 94-99 XJ</t>
  </si>
  <si>
    <t>X/Blue</t>
  </si>
  <si>
    <t>TRW-ERTIGA12</t>
  </si>
  <si>
    <t>SWL-ERTIGA18</t>
  </si>
  <si>
    <t>B6T1</t>
  </si>
  <si>
    <t>1PC PECAH BELUM DI OUTKAN</t>
  </si>
  <si>
    <t>B11T1</t>
  </si>
  <si>
    <t>TRW-SCIROCCO</t>
  </si>
  <si>
    <t>TRW-TIGUAN07</t>
  </si>
  <si>
    <t>LFW-TIGUAN17RS</t>
  </si>
  <si>
    <t>VW Tiguan 17-</t>
  </si>
  <si>
    <t>TRW-TIGUAN17</t>
  </si>
  <si>
    <t>LFW-COROLLA95</t>
  </si>
  <si>
    <t>Toyota Corolla All New AE111 95-02 8th Gen KE120</t>
  </si>
  <si>
    <t xml:space="preserve">A10T1 </t>
  </si>
  <si>
    <t>TRW-ALMAZH</t>
  </si>
  <si>
    <t>Wuling Almaz</t>
  </si>
  <si>
    <t>LFW-BRV16</t>
  </si>
  <si>
    <t>Honda BR-V 16-</t>
  </si>
  <si>
    <t>B3T1</t>
  </si>
  <si>
    <t>* 1pc *8 , 1pc KF</t>
  </si>
  <si>
    <t>TRW-CONFEROHOLE</t>
  </si>
  <si>
    <t>Wuling Confero</t>
  </si>
  <si>
    <t>TRW-CONFERO</t>
  </si>
  <si>
    <t>Wuling Confero / Formo</t>
  </si>
  <si>
    <t>FDR-SIGRA16</t>
  </si>
  <si>
    <t>1pc ☆2</t>
  </si>
  <si>
    <t>TRW-CORTEZ</t>
  </si>
  <si>
    <t>Wuling Cortez</t>
  </si>
  <si>
    <t>FDL-LOUHANXYG</t>
  </si>
  <si>
    <t>FDR-LOUHANXYG</t>
  </si>
  <si>
    <t>LFW-MIGHTY</t>
  </si>
  <si>
    <t>Hyundai Mighty Truck 99-</t>
  </si>
  <si>
    <t>List</t>
  </si>
  <si>
    <t>LFW-CARRY19</t>
  </si>
  <si>
    <t>Suzuki Carry New 19-</t>
  </si>
  <si>
    <t>B10T1</t>
  </si>
  <si>
    <t xml:space="preserve"> 1pc KF ngelipet</t>
  </si>
  <si>
    <t>LFW-GIGASHORT</t>
  </si>
  <si>
    <t>Isuzu Giga Short (PS190,225) FVR33 (Lebar 195cm)</t>
  </si>
  <si>
    <t>LFW-AXOR</t>
  </si>
  <si>
    <t>Mers-Benz Axor 98- Truck</t>
  </si>
  <si>
    <t>LFW-FE300</t>
  </si>
  <si>
    <t>Mitsubishi Canter FE300 85- (PS100,120,135 kabin kecil)</t>
  </si>
  <si>
    <t>LFW-BALENO15</t>
  </si>
  <si>
    <t>LFW-QUESTER</t>
  </si>
  <si>
    <t>Nissan Quester / Cw445 Quon 05-</t>
  </si>
  <si>
    <t>LFW-DYNA</t>
  </si>
  <si>
    <t>LFW-AUDIA4B5</t>
  </si>
  <si>
    <t>Audi A4 1998-00 B5</t>
  </si>
  <si>
    <t>X/Green</t>
  </si>
  <si>
    <t>LFW-E34</t>
  </si>
  <si>
    <t>BMW E34 1987-96</t>
  </si>
  <si>
    <t>RDR-PICANTO04</t>
  </si>
  <si>
    <t>LFW-CX5GEN1RS3</t>
  </si>
  <si>
    <t>Mazda CX-5 .14-17 1st Gen KE Facelift - (3 Sensor/ /\8 )</t>
  </si>
  <si>
    <t>LFW-E8187</t>
  </si>
  <si>
    <t>BMW E81/E87 (116I/120I)</t>
  </si>
  <si>
    <t>X/RS/Green</t>
  </si>
  <si>
    <t>X/MB/A/RS/List</t>
  </si>
  <si>
    <t>A9T1</t>
  </si>
  <si>
    <t>LFW-TROOPER</t>
  </si>
  <si>
    <t>Chevrolet TROOPER 1990</t>
  </si>
  <si>
    <t>TRW-GRANMAXVAN</t>
  </si>
  <si>
    <t>Daihatsu Gran Max Minibus/Van</t>
  </si>
  <si>
    <t>PECAH PETI PENGIRIMAN XYG</t>
  </si>
  <si>
    <t>LFW-SONET</t>
  </si>
  <si>
    <t xml:space="preserve"> B4T1</t>
  </si>
  <si>
    <t>LFW-CIVIC88</t>
  </si>
  <si>
    <t>Honda Civic 88-91 SH4 (Grand)</t>
  </si>
  <si>
    <t>LFW-CIVIC882D</t>
  </si>
  <si>
    <t>Honda Civic 88-91(Grand) CIVICGRAND 2D/NOUVA 1998-</t>
  </si>
  <si>
    <t>X/FHC</t>
  </si>
  <si>
    <t>LFW-CORTEZRS</t>
  </si>
  <si>
    <t>X/MB/RS Cat</t>
  </si>
  <si>
    <t>LFW-CORTEZ</t>
  </si>
  <si>
    <t>TRW-CONFEROHHOLE</t>
  </si>
  <si>
    <t>Wuling Confero (Heater)</t>
  </si>
  <si>
    <t>TRW-VIOS07LIMO</t>
  </si>
  <si>
    <t>Toyota Vios 07-13 XP90 2nd Gen (Limo)</t>
  </si>
  <si>
    <t>TRW-F10</t>
  </si>
  <si>
    <t>TRW-APVVAN</t>
  </si>
  <si>
    <t>Suzuki APV 03- Van</t>
  </si>
  <si>
    <t>FDL-AGYA13</t>
  </si>
  <si>
    <t>LFW-SPORTAGE93</t>
  </si>
  <si>
    <t>Kia Sportage 1993-05</t>
  </si>
  <si>
    <t>LFW-AUDIQ508</t>
  </si>
  <si>
    <t>Audi Q5 08-17</t>
  </si>
  <si>
    <t>LFW-TRAVELLO</t>
  </si>
  <si>
    <t>Kia Travello / Big Up</t>
  </si>
  <si>
    <t>LFW-MX6COUPE</t>
  </si>
  <si>
    <r>
      <rPr>
        <rFont val="Calibri"/>
        <color theme="1"/>
        <sz val="10.0"/>
      </rPr>
      <t>FORD/MAZDA MX6 1987-92 COUPE/HB FHG</t>
    </r>
  </si>
  <si>
    <t>LFW-LELE</t>
  </si>
  <si>
    <t>X/RS/Blue</t>
  </si>
  <si>
    <t>LFW-W204RS1</t>
  </si>
  <si>
    <r>
      <rPr>
        <rFont val="Calibri"/>
        <color theme="1"/>
        <sz val="10.0"/>
      </rPr>
      <t>Mers-Benz C-Class 07-14 W204 (1 Sensor/ □)</t>
    </r>
  </si>
  <si>
    <r>
      <rPr>
        <rFont val="Calibri"/>
        <color theme="1"/>
        <sz val="10.0"/>
      </rPr>
      <t>Mers-Benz E-Class 88-92 W124 4Door</t>
    </r>
  </si>
  <si>
    <r>
      <rPr>
        <rFont val="Calibri"/>
        <color theme="1"/>
        <sz val="10.0"/>
      </rPr>
      <t>Mers-Benz E-Class 95-02 W210</t>
    </r>
  </si>
  <si>
    <r>
      <rPr>
        <rFont val="Calibri"/>
        <color theme="1"/>
        <sz val="10.0"/>
      </rPr>
      <t>Mers-Benz E-Class 02-09 W211</t>
    </r>
  </si>
  <si>
    <r>
      <rPr>
        <rFont val="Calibri"/>
        <color theme="1"/>
        <sz val="10.0"/>
      </rPr>
      <t>Mers-Benz S-Class 98-05 W220 4D (1 Sensor)</t>
    </r>
  </si>
  <si>
    <t>LFW-W123</t>
  </si>
  <si>
    <t>Mers-Benz W123 1976-86</t>
  </si>
  <si>
    <t>X/Heater/A</t>
  </si>
  <si>
    <t>Honda Jazz 13- 3rd Gen (Honda)</t>
  </si>
  <si>
    <t>X/MB/Logo Honda</t>
  </si>
  <si>
    <t>Toyota Alphard 08-15 ANH20 2nd Gen Sensor</t>
  </si>
  <si>
    <t>RDR-MOBILIO</t>
  </si>
  <si>
    <t>B11T4</t>
  </si>
  <si>
    <t>LFW-DATSUNGO</t>
  </si>
  <si>
    <t xml:space="preserve">B8T2 </t>
  </si>
  <si>
    <t>TRW-CARRY19</t>
  </si>
  <si>
    <t>Suzuki Carry New 19- (Pick Up)</t>
  </si>
  <si>
    <t>LFW-LATIO</t>
  </si>
  <si>
    <t>Nissan Latio</t>
  </si>
  <si>
    <t>B6T2 5 |B4T2 2PC</t>
  </si>
  <si>
    <t>B7T1 2PC | B6T1 5PC</t>
  </si>
  <si>
    <r>
      <rPr>
        <rFont val="Calibri"/>
        <color theme="1"/>
        <sz val="10.0"/>
      </rPr>
      <t>Mitsubishi Mirage 12-</t>
    </r>
  </si>
  <si>
    <r>
      <rPr>
        <rFont val="Calibri"/>
        <color theme="1"/>
        <sz val="10.0"/>
      </rPr>
      <t>Mitsubishi Lancer 91-96 LE41 CB4/5 (Evo3)</t>
    </r>
  </si>
  <si>
    <t>LFW-KIJANGK125</t>
  </si>
  <si>
    <t>Toyota Kijang Super/Grand K125</t>
  </si>
  <si>
    <t xml:space="preserve">*2pc ☆2 baret </t>
  </si>
  <si>
    <t>FDL-CARRYFUTURA</t>
  </si>
  <si>
    <t>Suzuki Carry 91-17 / Futura 91-18</t>
  </si>
  <si>
    <t>FDR-CARRYFUTURA</t>
  </si>
  <si>
    <t>B5T1</t>
  </si>
  <si>
    <t>B6T2</t>
  </si>
  <si>
    <r>
      <rPr>
        <rFont val="Calibri"/>
        <color theme="1"/>
        <sz val="10.0"/>
      </rPr>
      <t>Honda Civic 96-00 SO4/SO6 (Ferio)</t>
    </r>
  </si>
  <si>
    <t>FDL-ERTIGA18</t>
  </si>
  <si>
    <t>Suzuki Ertiga 18- 2nd Gen (ORI MULIA) / XL7</t>
  </si>
  <si>
    <t>FDR-ERTIGA18</t>
  </si>
  <si>
    <t>RDL-ERTIGA18</t>
  </si>
  <si>
    <t>RDR-ERTIGA18</t>
  </si>
  <si>
    <t xml:space="preserve"> B3T3</t>
  </si>
  <si>
    <t>LFW-KATANA84</t>
  </si>
  <si>
    <t>OTH-LISTPJR16</t>
  </si>
  <si>
    <t>List Kaca Depan Mitsubishi Pajero 16- / Triton 16-</t>
  </si>
  <si>
    <t>MIT</t>
  </si>
  <si>
    <t>OTH-LISTTRWGRANMAXPU</t>
  </si>
  <si>
    <t>List Kaca Belakang PU Daihatsu Granmax</t>
  </si>
  <si>
    <t>DAI</t>
  </si>
  <si>
    <t>TRW-MAZDA612</t>
  </si>
  <si>
    <t>LFW-AGYA13</t>
  </si>
  <si>
    <t>TRW-TARUNA</t>
  </si>
  <si>
    <t>3PC Gumpil atas</t>
  </si>
  <si>
    <t>TRW-BRIONOLBG</t>
  </si>
  <si>
    <t>Honda Brio 10-17 [Tanpa Lubang]</t>
  </si>
  <si>
    <t>TRW-BRIO</t>
  </si>
  <si>
    <t>Honda Brio 10-17 [Lubang Wiper]</t>
  </si>
  <si>
    <t>X/9Hole</t>
  </si>
  <si>
    <t>SWL-AVANZA11</t>
  </si>
  <si>
    <t>B5T4/PETI</t>
  </si>
  <si>
    <t>LFW-SIGRA16</t>
  </si>
  <si>
    <t>LFW-CITY19</t>
  </si>
  <si>
    <t>Honda City 19- GN</t>
  </si>
  <si>
    <t>SWR-SIGRA16</t>
  </si>
  <si>
    <t>FDL-SIGRA16</t>
  </si>
  <si>
    <t>X/MB/RS/Blue</t>
  </si>
  <si>
    <t>LFW-COROLLA83</t>
  </si>
  <si>
    <t>Toyota COROLLA KE70 1983-87/DX</t>
  </si>
  <si>
    <t>B7T2 2pc | B6T2 5</t>
  </si>
  <si>
    <t>*8 1pc masuk angin</t>
  </si>
  <si>
    <t>LFW-MAZDA214RS1</t>
  </si>
  <si>
    <t>Mazda 2 14- Skyactiv 4th Gen (1 Sensor/ □ )</t>
  </si>
  <si>
    <t>LFW-MAZDA214RS3</t>
  </si>
  <si>
    <t xml:space="preserve">B6T1 </t>
  </si>
  <si>
    <t>LFW-FJ70HTOP</t>
  </si>
  <si>
    <t>Toyota LandCruiser 84- FJ70</t>
  </si>
  <si>
    <t>2pc BARET *3</t>
  </si>
  <si>
    <t xml:space="preserve">B2T3 </t>
  </si>
  <si>
    <t>B2T3/B1T3</t>
  </si>
  <si>
    <t>LFW-ALMAZ</t>
  </si>
  <si>
    <t>TRW-ALMAZ</t>
  </si>
  <si>
    <t>RDR-HILUX15</t>
  </si>
  <si>
    <t>A14T3</t>
  </si>
  <si>
    <t>Hino Ranger Louhan 03- / Hino 500 (MULIA)</t>
  </si>
  <si>
    <t>LFW-ACTROS</t>
  </si>
  <si>
    <t>Mers-Benz Actros Truck</t>
  </si>
  <si>
    <t>RVL-HILUX15</t>
  </si>
  <si>
    <t>RVR-HILUX15</t>
  </si>
  <si>
    <t>LFW-SCANIA</t>
  </si>
  <si>
    <t>Scania New P-Series 16- (Pakai Lem)</t>
  </si>
  <si>
    <t>FDL-DYNA</t>
  </si>
  <si>
    <t>No Klip</t>
  </si>
  <si>
    <t>TRW-NKING</t>
  </si>
  <si>
    <t>Bus New Armada NKING</t>
  </si>
  <si>
    <t>LFW-SIRION18</t>
  </si>
  <si>
    <t>Daihatsu Sirion 18- 3rd Gen</t>
  </si>
  <si>
    <t>LFW-FJ150RS2</t>
  </si>
  <si>
    <t>Toyota LandCruiser Prado FJ150W 21-23 (2 Sensor / /\ [] )</t>
  </si>
  <si>
    <t>RDR-BRIO18</t>
  </si>
  <si>
    <t>Klip/Logo</t>
  </si>
  <si>
    <t>LFW-RAIZERS</t>
  </si>
  <si>
    <t>Toyota Raize / Daihatsu Rocky 20- [Sensor]</t>
  </si>
  <si>
    <t>LFW-ALMAZRS</t>
  </si>
  <si>
    <t>Wuling Almaz (Sensor)</t>
  </si>
  <si>
    <t>LFW-GIGALONG</t>
  </si>
  <si>
    <t>Isuzu Giga Long (PS240,285) FVR34 (Lebar 215cm)</t>
  </si>
  <si>
    <t>RDL-EVALIAFRAME</t>
  </si>
  <si>
    <t>X/FRAME</t>
  </si>
  <si>
    <t>LFW-BRV22</t>
  </si>
  <si>
    <t>Honda BR-V 22-</t>
  </si>
  <si>
    <t xml:space="preserve">B5T1 </t>
  </si>
  <si>
    <t>FDL-BRIO</t>
  </si>
  <si>
    <t>Honda Brio 10-</t>
  </si>
  <si>
    <t>SWR-INNOVA15</t>
  </si>
  <si>
    <t>X/List/Klip</t>
  </si>
  <si>
    <t>TRW-SPORTAGE04</t>
  </si>
  <si>
    <t>Kia Sportage 04-10 JE/KM (Hidrolik)</t>
  </si>
  <si>
    <t>X/H/Hole</t>
  </si>
  <si>
    <t>Logo Toyota Daihatsu</t>
  </si>
  <si>
    <t>LFW-TAFTGT</t>
  </si>
  <si>
    <t>Taft GT / Hiline / Feroza</t>
  </si>
  <si>
    <t>FDR-ACCORD08</t>
  </si>
  <si>
    <t>RDR-BRIO</t>
  </si>
  <si>
    <t>FDR-ALTIS00</t>
  </si>
  <si>
    <t>FDR-AVANZA03</t>
  </si>
  <si>
    <t>TRW-PANTHER00SEAL</t>
  </si>
  <si>
    <t>Isuzu Panther 00- 2nd Gen (Sealant)</t>
  </si>
  <si>
    <t>TRW-PANTHER00KRT</t>
  </si>
  <si>
    <t>Isuzu Panther 00- 2nd Gen (Karet)</t>
  </si>
  <si>
    <t>RDR-BALENOSX408</t>
  </si>
  <si>
    <t>SWL-EVEREST06</t>
  </si>
  <si>
    <t>RDL-EVEREST06</t>
  </si>
  <si>
    <t>SWR-EVEREST06</t>
  </si>
  <si>
    <t>TRW-AGYA13</t>
  </si>
  <si>
    <t>Toyota Agya/Ayla</t>
  </si>
  <si>
    <t>1PC KF</t>
  </si>
  <si>
    <t>LFW-ESTEEM</t>
  </si>
  <si>
    <t>Suzuki Esteem 89-90</t>
  </si>
  <si>
    <t>FDR-ELFNKR</t>
  </si>
  <si>
    <t xml:space="preserve">Isuzu Elf  93- NKR NHR </t>
  </si>
  <si>
    <t>X/MB/Green/Logo Toyota</t>
  </si>
  <si>
    <t>RDR-SIGRA16</t>
  </si>
  <si>
    <t>X/Heater</t>
  </si>
  <si>
    <t>LFW-ALPHARD15RS</t>
  </si>
  <si>
    <t>FDL-HARRIER480N</t>
  </si>
  <si>
    <t>Toyota Harrier - 480N</t>
  </si>
  <si>
    <t>FDR-HARRIER480N</t>
  </si>
  <si>
    <t>RDL-HARRIER480N</t>
  </si>
  <si>
    <t>RDR-HARRIER480N</t>
  </si>
  <si>
    <t>SRR-HIACEF</t>
  </si>
  <si>
    <t>SRR</t>
  </si>
  <si>
    <t>RDL-HIACEFBLACK</t>
  </si>
  <si>
    <t>Toyota Hi-Ace 04-20 Commuter With Frame (Hitam)</t>
  </si>
  <si>
    <t>SRR-HIACEFBLACK</t>
  </si>
  <si>
    <t>LFW-TELSTAR93</t>
  </si>
  <si>
    <t>Ford Telstar 93 / Mazda Cronos 626</t>
  </si>
  <si>
    <t>TRW-RX270/350</t>
  </si>
  <si>
    <t>Lexus RX270/350</t>
  </si>
  <si>
    <t>TRW-VOXY22</t>
  </si>
  <si>
    <t>Toyota Voxy 22- 2nd Gen (Hitam)</t>
  </si>
  <si>
    <t>LFW-VOXY22RS</t>
  </si>
  <si>
    <t>Toyota Voxy 22- 2nd Gen (1 Sensor / /\ )</t>
  </si>
  <si>
    <t>RVL-SIGRA16</t>
  </si>
  <si>
    <t>RQL</t>
  </si>
  <si>
    <t>RDL-HIACE19</t>
  </si>
  <si>
    <t>SRL</t>
  </si>
  <si>
    <t>SRR-HIACE19</t>
  </si>
  <si>
    <t>TRW-DYNA</t>
  </si>
  <si>
    <t>FDL-PAJERO16</t>
  </si>
  <si>
    <t>Mitsubishi Pajero 16- / Strada Triton 08-15 (Mitsubishi)</t>
  </si>
  <si>
    <t>RDR-YARIS13</t>
  </si>
  <si>
    <t>Toyota Yaris 13- 2nd Gen XP150 / 18- 3rd Gen XP151</t>
  </si>
  <si>
    <t>FDR-FORTUNER15</t>
  </si>
  <si>
    <t>Toyota Fortuner 15-  2nd Gen</t>
  </si>
  <si>
    <t>A11T1 - T2</t>
  </si>
  <si>
    <t>OTH-LISTWSERT12</t>
  </si>
  <si>
    <t>List Kaca Depan Ertiga 2012-2018 SGP</t>
  </si>
  <si>
    <t>SGP</t>
  </si>
  <si>
    <t>Honda HR-V 14-21 5D SUV (Honda)</t>
  </si>
  <si>
    <t>TRW-SPIN</t>
  </si>
  <si>
    <t>Toyota Fortuner 05-15 1st Gen (Toyota)</t>
  </si>
  <si>
    <t>X/MB/ Logo</t>
  </si>
  <si>
    <t>FDR-FORTUNER05</t>
  </si>
  <si>
    <t>FDL-HRV14</t>
  </si>
  <si>
    <t>RDL-HRV14</t>
  </si>
  <si>
    <t>B7T2 | B5T2 1PC</t>
  </si>
  <si>
    <t>HBISKAN B5T2</t>
  </si>
  <si>
    <t>LFW-CIVIC16RS</t>
  </si>
  <si>
    <t>Honda Civic 16- 10th Gen</t>
  </si>
  <si>
    <t>SWL-LUXIO</t>
  </si>
  <si>
    <t>A8T3</t>
  </si>
  <si>
    <t>FDL-TARUNA</t>
  </si>
  <si>
    <t>FDR-TARUNA</t>
  </si>
  <si>
    <t>RDR-TARUNA</t>
  </si>
  <si>
    <t>RDL-RANGER02</t>
  </si>
  <si>
    <t xml:space="preserve">Ford Ranger 02-06 </t>
  </si>
  <si>
    <t>FDR-RANGER06</t>
  </si>
  <si>
    <t>Ford Ranger 06-11</t>
  </si>
  <si>
    <t>FDR-RANGER11</t>
  </si>
  <si>
    <t>Ford Ranger 11- (DC)</t>
  </si>
  <si>
    <t>RDL-BRIO10</t>
  </si>
  <si>
    <t>Honda Brio 10-17</t>
  </si>
  <si>
    <t>TRW-AVEGA99</t>
  </si>
  <si>
    <t>Hyundai Avega 06-12 Sedan</t>
  </si>
  <si>
    <t>A9T1/ 2PC A8T2</t>
  </si>
  <si>
    <t>FDL-CRV02</t>
  </si>
  <si>
    <t>FDR-CRV02</t>
  </si>
  <si>
    <t>FDR-CRV07</t>
  </si>
  <si>
    <t>RDL-CRV07</t>
  </si>
  <si>
    <t>RDR-CRV07</t>
  </si>
  <si>
    <t>RDL-JAZZ13</t>
  </si>
  <si>
    <t>Honda Jazz 13-  3rd Gen</t>
  </si>
  <si>
    <t>TRW-GIGAPU</t>
  </si>
  <si>
    <t>Isuzu Giga Long (PS240,285) FVR34</t>
  </si>
  <si>
    <t>RDL-TRITON05</t>
  </si>
  <si>
    <t>FDL-XPANDER</t>
  </si>
  <si>
    <t>Mitsubishi Xpander 17- / Livina 19- 2nd Gen</t>
  </si>
  <si>
    <t>FDR-XPANDER</t>
  </si>
  <si>
    <t>RDL-XPANDER</t>
  </si>
  <si>
    <t>SWL-XPANDER</t>
  </si>
  <si>
    <t>No Chrome</t>
  </si>
  <si>
    <t>Nissan Livina   07-18 L10/L11</t>
  </si>
  <si>
    <t>RDL-LIVINA07</t>
  </si>
  <si>
    <t>RDR-LIVINA07</t>
  </si>
  <si>
    <t>FDL-APV</t>
  </si>
  <si>
    <t>SWL-APV</t>
  </si>
  <si>
    <t>FDL-CARRY19</t>
  </si>
  <si>
    <t xml:space="preserve"> A9T3</t>
  </si>
  <si>
    <t>FDR-CARRY19</t>
  </si>
  <si>
    <t>FVL-ERTIGA12</t>
  </si>
  <si>
    <t>FVR-ERTIGA12</t>
  </si>
  <si>
    <t>SWR-ERTIGA12</t>
  </si>
  <si>
    <t>RVL-AGYA13</t>
  </si>
  <si>
    <t>RVR-AGYA13</t>
  </si>
  <si>
    <t>FDL-FORTUNER05</t>
  </si>
  <si>
    <t>Toyota Fortuner 05-15  1st Gen / Hilux Pickup 05-15</t>
  </si>
  <si>
    <t>SFL-HIACE</t>
  </si>
  <si>
    <t>SWL-FORTUNER15</t>
  </si>
  <si>
    <t xml:space="preserve">Toyota Fortuner 05-15 1st Gen </t>
  </si>
  <si>
    <t>1 pc baret *2</t>
  </si>
  <si>
    <t>RDL-FREED</t>
  </si>
  <si>
    <t>RDR-FREED</t>
  </si>
  <si>
    <t>FVR-JAZZ01</t>
  </si>
  <si>
    <t>FVL-JAZZ07</t>
  </si>
  <si>
    <t>RDR-JAZZ07</t>
  </si>
  <si>
    <t>FDL-JAZZ13</t>
  </si>
  <si>
    <t>TRW-HIACE19</t>
  </si>
  <si>
    <t>Toyota Hi-Ace 19- Premio (Hitam) (Tinggi 56.7cm)</t>
  </si>
  <si>
    <t>TRW-HIACEC20</t>
  </si>
  <si>
    <t>Toyota Hi-Ace 20- Commuter (Bening)</t>
  </si>
  <si>
    <t>X/Heater/1hole</t>
  </si>
  <si>
    <t>RDR-TERIOS06</t>
  </si>
  <si>
    <t>FDL-RAIZE</t>
  </si>
  <si>
    <t xml:space="preserve">Toyota Raize / Daihatsu Rocky 20- </t>
  </si>
  <si>
    <t>TRW-KAPSUL97</t>
  </si>
  <si>
    <t>Toyota Kijang  98- Kapsul Karet (7K)</t>
  </si>
  <si>
    <t>TRW-KAPSUL02</t>
  </si>
  <si>
    <t xml:space="preserve">Toyota Kijang 02-04 Kapsul Lem Efi </t>
  </si>
  <si>
    <t>FDR-KAPSUL97</t>
  </si>
  <si>
    <t>RVR-KAPSUL97</t>
  </si>
  <si>
    <t>TGA-KIJANGK125</t>
  </si>
  <si>
    <t>RDR-HIACE</t>
  </si>
  <si>
    <t>FDR-L300</t>
  </si>
  <si>
    <t>TRW-L300PU</t>
  </si>
  <si>
    <t>Mitsubishi L300 Pick Up</t>
  </si>
  <si>
    <t>RDL-HILUX15</t>
  </si>
  <si>
    <t>FVL-INNOVA15</t>
  </si>
  <si>
    <t>Toyota Innova 15-22 2nd Gen</t>
  </si>
  <si>
    <t>FVR-INNOVA15</t>
  </si>
  <si>
    <t>RVR-INNOVA15</t>
  </si>
  <si>
    <t>FDL-VIOS07</t>
  </si>
  <si>
    <t>Suzuki APV 03- Pickup/ Van (MULIA)</t>
  </si>
  <si>
    <t>FDR-AGYA13</t>
  </si>
  <si>
    <t>FDL-YARIS05</t>
  </si>
  <si>
    <t>FDR-YARIS05</t>
  </si>
  <si>
    <t>RDL-GRANMAX</t>
  </si>
  <si>
    <t xml:space="preserve">A13T3 </t>
  </si>
  <si>
    <t>Habiskan yang di A13T3 dulu</t>
  </si>
  <si>
    <t>RDR-GRANMAX</t>
  </si>
  <si>
    <t>SWL-GRANMAX</t>
  </si>
  <si>
    <t>Daihatsu Gran Max</t>
  </si>
  <si>
    <t>SWR-GRANMAX</t>
  </si>
  <si>
    <t>TRW-MOBILIO</t>
  </si>
  <si>
    <t>Honda Mobilio 14-</t>
  </si>
  <si>
    <t>FDL-AVANZA21</t>
  </si>
  <si>
    <t>FDR-AVANZA21</t>
  </si>
  <si>
    <t>LFW-TERRANO</t>
  </si>
  <si>
    <t>Nissan Terrano 95-06</t>
  </si>
  <si>
    <t>* 3pc cacat ceramic, tidak rata kanan kiri</t>
  </si>
  <si>
    <t>SWL-INNOVA04</t>
  </si>
  <si>
    <t>LFW-NAVARA97</t>
  </si>
  <si>
    <t>FDR-FE700</t>
  </si>
  <si>
    <t>2 pc baret *2</t>
  </si>
  <si>
    <t>FDL-ELFNMR</t>
  </si>
  <si>
    <t>B4T2</t>
  </si>
  <si>
    <t>X/MB/Blue/Logo</t>
  </si>
  <si>
    <t>X/Shade Green</t>
  </si>
  <si>
    <t>TRW-DATSUN3</t>
  </si>
  <si>
    <t>Nissan Datsun Go/Go+ 14- (3-Baris)</t>
  </si>
  <si>
    <t>SWR-FORTUNER15</t>
  </si>
  <si>
    <t>A14T1</t>
  </si>
  <si>
    <t>FDL-ELFNKR</t>
  </si>
  <si>
    <t>RDR-HILUX05</t>
  </si>
  <si>
    <t>FDL-FORTUNER15</t>
  </si>
  <si>
    <t>Toyota Fortuner 15-  2nd Gen / Toyota Hilux Pickup 15- (Revo)</t>
  </si>
  <si>
    <t>RVL-FORTUNER15</t>
  </si>
  <si>
    <t>Honda CR-V 17-23 5th Gen</t>
  </si>
  <si>
    <t>X/Heater/Logo</t>
  </si>
  <si>
    <t>RVR-FORTUNER15</t>
  </si>
  <si>
    <t>RDL-RUSH17</t>
  </si>
  <si>
    <t>RDL-TERIOS06</t>
  </si>
  <si>
    <t>TRW-ELFNKR</t>
  </si>
  <si>
    <t>Toyota Camry 11-18 XV50 5th Gen</t>
  </si>
  <si>
    <t>X/Heater/1Hole/A</t>
  </si>
  <si>
    <t>Honda Mobilio 14- (Honda)</t>
  </si>
  <si>
    <t>LFW-AVANZA21RS</t>
  </si>
  <si>
    <t>Toyota Avanza / Xenia 21- 4th Gen ( Sensor)</t>
  </si>
  <si>
    <t>RDL-PAJERO16</t>
  </si>
  <si>
    <t>RDR-PAJERO16</t>
  </si>
  <si>
    <t>Mitsubishi Pajero 16- / Strada Triton 08-15</t>
  </si>
  <si>
    <t>FDR-PAJERO16</t>
  </si>
  <si>
    <t>Mitsubishi Xpander 17-21 / Livina 19- 2nd Gen</t>
  </si>
  <si>
    <t>X/Heater/Hole</t>
  </si>
  <si>
    <t>TRW-XPANDER22H</t>
  </si>
  <si>
    <t>Mitsubishi Xpander 22-  (Mitsubishi)</t>
  </si>
  <si>
    <t>SWL-INNOVA15</t>
  </si>
  <si>
    <t>TRW-FUTURAMB</t>
  </si>
  <si>
    <t>Suzuki Futura Mini Bus</t>
  </si>
  <si>
    <t>FDL-FE300</t>
  </si>
  <si>
    <t>FDR-FE300</t>
  </si>
  <si>
    <t>FDL-LOUHAN</t>
  </si>
  <si>
    <t>RDL-BRIO18</t>
  </si>
  <si>
    <t>FDR-BRIO</t>
  </si>
  <si>
    <t>FDR-ERTIGA12</t>
  </si>
  <si>
    <t>SWR-MOBILIO</t>
  </si>
  <si>
    <t>Honda Mobilio 11-</t>
  </si>
  <si>
    <t>Wuling Almaz (Orisinil)</t>
  </si>
  <si>
    <t>X/MB/Klip/Logo</t>
  </si>
  <si>
    <t>SWL-MOBILIO</t>
  </si>
  <si>
    <t>TRW-TAFTGT</t>
  </si>
  <si>
    <t>TRW-LUXIO</t>
  </si>
  <si>
    <t>DAIHATSU</t>
  </si>
  <si>
    <t>FDL-CX5GEN2</t>
  </si>
  <si>
    <t>T</t>
  </si>
  <si>
    <t>LFW-PAJERO20RS2</t>
  </si>
  <si>
    <t>Mitsubishi Pajero 20- (2 Sensor / □ [] ) (Mitsubishi)</t>
  </si>
  <si>
    <t>Mitsubishi Pajero 20- (2 Sensor / □ [] )</t>
  </si>
  <si>
    <t>TRW-BRIO10HOLE</t>
  </si>
  <si>
    <t>Honda Brio 10-17 [Lubang Wiper] (Honda)</t>
  </si>
  <si>
    <t>X/9Hole/Logo</t>
  </si>
  <si>
    <t>FDL-DMAX1</t>
  </si>
  <si>
    <t>FDR-CARRY</t>
  </si>
  <si>
    <t>B2T4</t>
  </si>
  <si>
    <t>LFW-RAIZE</t>
  </si>
  <si>
    <t>LFW-DMAX1</t>
  </si>
  <si>
    <t>A12T2</t>
  </si>
  <si>
    <t>LFW-ATOZ</t>
  </si>
  <si>
    <t>Hyundai Atoz</t>
  </si>
  <si>
    <t>RDL-YARIS13</t>
  </si>
  <si>
    <t>LFW-EXCEL94</t>
  </si>
  <si>
    <t>Toyota Fortuner 15-  2nd Gen (Toyota)</t>
  </si>
  <si>
    <t>Chevrolet Aveo 08-11 T250 Hatch. (Kalos/Lova) (Pendek) Barina</t>
  </si>
  <si>
    <t>Mers-Benz C-Class  07-14 W204 4D (1 Sensor/ □)</t>
  </si>
  <si>
    <t>1Pc Braket beda</t>
  </si>
  <si>
    <t>LFW-E46NORS</t>
  </si>
  <si>
    <t>9092 Sealant Application</t>
  </si>
  <si>
    <t>TR</t>
  </si>
  <si>
    <t>TRW-AVANZA21H</t>
  </si>
  <si>
    <t xml:space="preserve">B4T3 </t>
  </si>
  <si>
    <t>LFW-KATANAG84</t>
  </si>
  <si>
    <t>Shade Green</t>
  </si>
  <si>
    <t>TRW-F30</t>
  </si>
  <si>
    <t>SWR-ERTIGA18</t>
  </si>
  <si>
    <t>Toyota Innova 04-15 1st Gen (Toyota) (Copotan)</t>
  </si>
  <si>
    <t>COP</t>
  </si>
  <si>
    <t>Mitsubishi Xpander 17- / Livina 19- 2nd Gen (Mitsubishi/Nissan) (Copotan)</t>
  </si>
  <si>
    <t>SWL-TAFTGT</t>
  </si>
  <si>
    <t xml:space="preserve">Taft GT / Hiline / Feroza (Daihatsu)        </t>
  </si>
  <si>
    <t>Hole</t>
  </si>
  <si>
    <t>SWR-TAFTGT</t>
  </si>
  <si>
    <t>Toyota Rush / Terios 06-17 (Toyota/Daihatsu)</t>
  </si>
  <si>
    <t>SWL-ERTIGA12</t>
  </si>
  <si>
    <t>Suzuki Ertiga 12-18 1st Gen MPV (Suzuki)</t>
  </si>
  <si>
    <t>Toyota Agya/Ayla 13-22 1st Gen (Toyota/Daihatsu)</t>
  </si>
  <si>
    <t>X/H/Hole/Clear</t>
  </si>
  <si>
    <t>TRW-AGYA23</t>
  </si>
  <si>
    <t>Toyota Agya/Ayla 23- 2nd Gen (Toyota/Daihatsu)</t>
  </si>
  <si>
    <t>FDR-STREAM00</t>
  </si>
  <si>
    <t>FDL-STREAM00</t>
  </si>
  <si>
    <t>Toyota Raize / Daihatsu Rocky 20- (Toyota/Daihatsu)</t>
  </si>
  <si>
    <t>Honda CR-V 17-23 5th Gen (Honda)</t>
  </si>
  <si>
    <t>RDR-ERTIGA12</t>
  </si>
  <si>
    <t>RDL-ERTIGA12</t>
  </si>
  <si>
    <t>FDR-FV100</t>
  </si>
  <si>
    <t>Mitsubishi Fuso 6D22 / Super Great FV100 96-</t>
  </si>
  <si>
    <t>FDL-FV100</t>
  </si>
  <si>
    <t>FDR-APV</t>
  </si>
  <si>
    <t>LFW-OUTLANDERRS</t>
  </si>
  <si>
    <t>LFW-DUSTER10</t>
  </si>
  <si>
    <t>Renault Duster 10-18 SUV</t>
  </si>
  <si>
    <t>RVR-RAIZE</t>
  </si>
  <si>
    <t>RVL-RAIZE</t>
  </si>
  <si>
    <t>RVL</t>
  </si>
  <si>
    <t>LFW-SUPERCAB</t>
  </si>
  <si>
    <t>DFSK Supercab 20-</t>
  </si>
  <si>
    <t>Isuzu Traga (Isuzu)</t>
  </si>
  <si>
    <t>FDR-TRAGA</t>
  </si>
  <si>
    <t>FDL-TRAGA</t>
  </si>
  <si>
    <t>LFW-INNOVA22RS</t>
  </si>
  <si>
    <t>Toyota Innova 22- Zenyx 3rd Gen (1 Sensor / /\ ) (Toyota)</t>
  </si>
  <si>
    <t>TRW-INNOVA22</t>
  </si>
  <si>
    <t>Toyota Innova 22- Zenyx 3rd Gen (Toyota)</t>
  </si>
  <si>
    <t>TRW-INNOVA22H</t>
  </si>
  <si>
    <t>X//H/Logo</t>
  </si>
  <si>
    <t>SWL-SIENTA</t>
  </si>
  <si>
    <t>Isuzu Panther 00- 2nd Gen (Isuzu)</t>
  </si>
  <si>
    <t>Honda BR-V 16-21 (Honda)</t>
  </si>
  <si>
    <t>SWL-RAIZE</t>
  </si>
  <si>
    <t>Toyota Calya /  Sigra 16- (Toyota/Daihatsu)</t>
  </si>
  <si>
    <t>TRW-TRAJET</t>
  </si>
  <si>
    <t>Hyundai Trajet 00-08</t>
  </si>
  <si>
    <t>FVL-INNOVA04</t>
  </si>
  <si>
    <t>FVL</t>
  </si>
  <si>
    <t>FVR-INNOVA04</t>
  </si>
  <si>
    <t>FVR</t>
  </si>
  <si>
    <t>FDR-RUSH17</t>
  </si>
  <si>
    <t>FDL-RUSH17</t>
  </si>
  <si>
    <t>Mazda CX-5  17- 2nd Gen KF (1 Sensor/ □ ) (Mazda)</t>
  </si>
  <si>
    <t>NSG</t>
  </si>
  <si>
    <t>TRW-WAGONR</t>
  </si>
  <si>
    <t>Suzuki Wagon R 12- (Suzuki)</t>
  </si>
  <si>
    <t>Honda City 19- GN (Honda)</t>
  </si>
  <si>
    <t>TRW-CITY19</t>
  </si>
  <si>
    <t>Suzuki Splash 09-16 (Suzuki)</t>
  </si>
  <si>
    <t>Honda Civic 05-11 8th Gen (Civic Batman FD) (Honda)</t>
  </si>
  <si>
    <t>Honda Civic  96-00 SO4/SO6 (Ferio) (Honda)</t>
  </si>
  <si>
    <t>FDR-ACCORD03</t>
  </si>
  <si>
    <t>Honda Accord 03-07 7th Gen CM5,6,7 (Honda)</t>
  </si>
  <si>
    <t>LFW-DMAX3</t>
  </si>
  <si>
    <t>Isuzu D-Max 19- 3rd Gen</t>
  </si>
  <si>
    <t>Honda BR-V 22- 2nd Gen / WR-V 23- (Honda)</t>
  </si>
  <si>
    <t>Toyota Vios 13-17 3rd Gen / Yaris 13- 2nd Gen XP150 / Yaris 18- 3rd Gen XP151 (Toyota)</t>
  </si>
  <si>
    <t>FDR-CIVIC16</t>
  </si>
  <si>
    <t>Honda Civic 16-21 10th Gen Hatchback (Honda)</t>
  </si>
  <si>
    <t>X/Hole/Logo</t>
  </si>
  <si>
    <t>LFW-CX5GEN2RS3</t>
  </si>
  <si>
    <t>Mazda CX-5  17- 2nd Gen KF (2 Sensor/ □Δ ) (Mazda)</t>
  </si>
  <si>
    <t>X/MB/RS2/List/Logo</t>
  </si>
  <si>
    <t>RDR-WAGON13</t>
  </si>
  <si>
    <t>RDL-AVANZA21</t>
  </si>
  <si>
    <t>MLDG-FDRCRV02</t>
  </si>
  <si>
    <t>Honda CR-V 02-06 2nd Gen (List Pelipit) (Honda)</t>
  </si>
  <si>
    <t>MLDG</t>
  </si>
  <si>
    <t>HON</t>
  </si>
  <si>
    <t>MLDG-FDLCRV02</t>
  </si>
  <si>
    <t>Honda CR-V  04-06 2nd Gen (Spion Biasa) (Honda)</t>
  </si>
  <si>
    <t>FDR-HILUX05SC</t>
  </si>
  <si>
    <t>Toyota Hilux Pickup 05-15 Single Cabin (Toyota)</t>
  </si>
  <si>
    <t>FDL-SWIFT04</t>
  </si>
  <si>
    <t>Hyundai Stargazer 22- No Hole (Hyundai)</t>
  </si>
  <si>
    <t>TRW-W117</t>
  </si>
  <si>
    <t>Mers-Benz CLA-Class 13-19 W117</t>
  </si>
  <si>
    <t>X/</t>
  </si>
  <si>
    <t>LFW-DYNABY40</t>
  </si>
  <si>
    <t>Toyota Dyna Rino BY40 / Delta</t>
  </si>
  <si>
    <t>FDL-DYNABY40</t>
  </si>
  <si>
    <t>FDR-DYNABY40</t>
  </si>
  <si>
    <t xml:space="preserve">Toyota Calya /  Sigra 16- </t>
  </si>
  <si>
    <t>A8T4</t>
  </si>
  <si>
    <t>Honda Jazz 13-  3rd Gen (Honda)</t>
  </si>
  <si>
    <t>TRW-CX3</t>
  </si>
  <si>
    <t xml:space="preserve">Mazda CX-3 15- </t>
  </si>
  <si>
    <t>LFW-G11RS1</t>
  </si>
  <si>
    <t>BMW 7 Series 19- G11/G12 (1 Sensor / O )</t>
  </si>
  <si>
    <t>LFW-G11RS2</t>
  </si>
  <si>
    <t>BMW 7 Series 19- G11/G12 (2 Sensor / Big /\ O )</t>
  </si>
  <si>
    <t>LFW-SALSARS1</t>
  </si>
  <si>
    <t>Range Rover SALSA 4D (1 Sensor / [] )</t>
  </si>
  <si>
    <t>X/RS2/List</t>
  </si>
  <si>
    <t>SWR-RUSH17</t>
  </si>
  <si>
    <t>SWL-RUSH17</t>
  </si>
  <si>
    <t>TRW-SPLASH</t>
  </si>
  <si>
    <t>LFW-TRITON23SML</t>
  </si>
  <si>
    <t>Mitsubishi Strada Triton 23- (Keramik Kecil)</t>
  </si>
  <si>
    <t>Toyota LandCruiser FJ78 02-07 / Troopy</t>
  </si>
  <si>
    <t>Jumlah masuk peti</t>
  </si>
  <si>
    <t>Peti</t>
  </si>
  <si>
    <t>SISA DIRAK</t>
  </si>
  <si>
    <t>Current Stok LIVE</t>
  </si>
  <si>
    <t>Keterangan</t>
  </si>
  <si>
    <t>LFW-DATSUNGOMU</t>
  </si>
  <si>
    <t>SWR-KAPSUL02LONGASH 3PC</t>
  </si>
  <si>
    <t>SWR-KAPSUL02LONGASH 4PC</t>
  </si>
  <si>
    <t>LFW-JUKEXYG</t>
  </si>
  <si>
    <t>SFL-HIACEXYG 2PC</t>
  </si>
  <si>
    <t>LFW-CONFEROMU</t>
  </si>
  <si>
    <t>DIRUKO BARU 1PC</t>
  </si>
  <si>
    <t>RDL-PICANTO04FY 1PC</t>
  </si>
  <si>
    <t>LFW-AVANZA11MU</t>
  </si>
  <si>
    <t>KACA FILM</t>
  </si>
  <si>
    <t>RDR-PICANTO04FY 1PC</t>
  </si>
  <si>
    <t>LFW-KAPSUL02XYG</t>
  </si>
  <si>
    <t xml:space="preserve">DIRUKO BARU </t>
  </si>
  <si>
    <t>RDR-FORTUNER05XYG 2PC</t>
  </si>
  <si>
    <t>LFW-FORTUNER15AGC</t>
  </si>
  <si>
    <t>RDL-FORTUNER05XYG 2PC</t>
  </si>
  <si>
    <t>LFW-FORTUNER05MSG</t>
  </si>
  <si>
    <t>RDR-HILUX05ASH 1PC</t>
  </si>
  <si>
    <t>LFW-KAPSUL97XYG</t>
  </si>
  <si>
    <t>RDR-INNOVA04ASH 1PC</t>
  </si>
  <si>
    <t>RDR-GRANMAXASH 2PC</t>
  </si>
  <si>
    <t>LFW-AVANZA16MU</t>
  </si>
  <si>
    <t>RDL-AVANZA21ASH 3PC</t>
  </si>
  <si>
    <t>RDL-GRANMAXASH 2PC</t>
  </si>
  <si>
    <t>LFW-AVANZA03MU</t>
  </si>
  <si>
    <t>RDR-AVANZA21ASH 2PC</t>
  </si>
  <si>
    <t>LFW-CAMRY02XYG</t>
  </si>
  <si>
    <t>RDR-CRV02ASH 1PC</t>
  </si>
  <si>
    <t>RDL-INNOVA04ASH 1PC</t>
  </si>
  <si>
    <t>LFW-CAMRY96XYG</t>
  </si>
  <si>
    <t>RDL-AVANZA11ASH 2PC</t>
  </si>
  <si>
    <t>RDL-AVANZA111ASH 2PC</t>
  </si>
  <si>
    <t>LFW-CAMRY11NORSXYG</t>
  </si>
  <si>
    <t>RDR-AVANZA11ASH 2PC</t>
  </si>
  <si>
    <t>LFW-CAMRY06XYG</t>
  </si>
  <si>
    <t>LFW-CAMRY06RSXYG</t>
  </si>
  <si>
    <t>RDL-HILUX15XYG 1PC</t>
  </si>
  <si>
    <t>LFW-CAMRY11XYG</t>
  </si>
  <si>
    <t>RDR-HILUX15XYG 0PC</t>
  </si>
  <si>
    <t>LFW-ALTIS13RSXYG</t>
  </si>
  <si>
    <t>RDL-AVANZA03ASH 2PC</t>
  </si>
  <si>
    <t>RDR-HILUX15XYG 1PC</t>
  </si>
  <si>
    <t>LFW-RANGER11RSXYG</t>
  </si>
  <si>
    <t>RDR-AVANZA03ASH 2PC</t>
  </si>
  <si>
    <t>LFW-RANGER11MU</t>
  </si>
  <si>
    <t>LFW-ALTIS00XYG</t>
  </si>
  <si>
    <t>RDR-RUSH17ASH 1PC</t>
  </si>
  <si>
    <t>LFW-FIESTAMU</t>
  </si>
  <si>
    <t>KIRIM 11/11/25</t>
  </si>
  <si>
    <t>RDL-RUSH17ASH 1PC</t>
  </si>
  <si>
    <t>LFW-C26XYG</t>
  </si>
  <si>
    <t>RDR-LIVINAO07ASH 1PC</t>
  </si>
  <si>
    <t>LFW-ALPHARD08RSFR</t>
  </si>
  <si>
    <t>RDL-LIVINA07ASH 1PC</t>
  </si>
  <si>
    <t>LFW-ALPHARD08XYG</t>
  </si>
  <si>
    <t>RDR-FORTUNER15ASH 1PC</t>
  </si>
  <si>
    <t xml:space="preserve">LFW-VOXY17XYG </t>
  </si>
  <si>
    <t>RDL-TRITON05ASH 1PC</t>
  </si>
  <si>
    <t>LFW-VOXY22RSFR</t>
  </si>
  <si>
    <t>RDR-PAJERO16AGC 1PC</t>
  </si>
  <si>
    <t>LFW-W203RS1XYG</t>
  </si>
  <si>
    <t>RDL-AGYA13ASH 2PC</t>
  </si>
  <si>
    <t>LFW-W204RSFR</t>
  </si>
  <si>
    <t>RDR-AGYA13ASH 2PC</t>
  </si>
  <si>
    <t>LFW-F30XYG</t>
  </si>
  <si>
    <t>RDL-XPANDERASH 1PC</t>
  </si>
  <si>
    <t>LFW-MAZDA214RS1XYG</t>
  </si>
  <si>
    <t>SWR-PANTHER00ASH 2PC</t>
  </si>
  <si>
    <t>LFW-MAZDA214RS3XYG</t>
  </si>
  <si>
    <t>FDR-ERTIGA12ASH 5PC</t>
  </si>
  <si>
    <t>LFW-CX5GEN1RSXYG</t>
  </si>
  <si>
    <t>FDR-L300ASH 5PC</t>
  </si>
  <si>
    <t>LFW-CX5GEN1RS2XYG</t>
  </si>
  <si>
    <t>FDL-L300ASH 1PC</t>
  </si>
  <si>
    <t>LFW-MAZDA209XYG</t>
  </si>
  <si>
    <t>RDR-ERTIGA18MU 3PC</t>
  </si>
  <si>
    <t>LFW-PAJERO16AGC</t>
  </si>
  <si>
    <t>SWL-GRANMAXASH 2PC</t>
  </si>
  <si>
    <t>LFW-CIVICESTXYG</t>
  </si>
  <si>
    <t>FDR-GRANMAXASH 2PC</t>
  </si>
  <si>
    <t>LFW-CIVIC11XYG</t>
  </si>
  <si>
    <t>FDL-HRV14PIL 1PC</t>
  </si>
  <si>
    <t>LFW-CIVIC05PIL</t>
  </si>
  <si>
    <t>RDL-PAJERO16AGC 1PC</t>
  </si>
  <si>
    <t>LFW-CIVIC16RSXYG</t>
  </si>
  <si>
    <t>FDL-AGYA13ASH 2PC</t>
  </si>
  <si>
    <t>LFW-CIVICGENIOXYG</t>
  </si>
  <si>
    <t>FDR-AGYA13ASH 1PC</t>
  </si>
  <si>
    <t>LFW-BALENO08XYG</t>
  </si>
  <si>
    <t>FDL-GRANMAXASH 1PC</t>
  </si>
  <si>
    <t>LFW-BALENO15XYG</t>
  </si>
  <si>
    <t>RDL-AVANZA11ASH 1PC</t>
  </si>
  <si>
    <t>LFW-BALENO96MU</t>
  </si>
  <si>
    <t>FDR-AVANZA11ASH 2PC</t>
  </si>
  <si>
    <t>LFW-COROLLA95MU</t>
  </si>
  <si>
    <t>SWL-APVASH 1PC</t>
  </si>
  <si>
    <t>LFW-RANGER04MU</t>
  </si>
  <si>
    <t>SWL-LUXIOASH 1PC</t>
  </si>
  <si>
    <t>LFW-SONETXYG</t>
  </si>
  <si>
    <t>SWR-GRANMAXASH 2PC</t>
  </si>
  <si>
    <t>LFW-TIMORMU</t>
  </si>
  <si>
    <t>FDR-APVAGC 1PC</t>
  </si>
  <si>
    <t>LFW-VIOS07MU</t>
  </si>
  <si>
    <t>FDR-RANGER06ASH 1PC</t>
  </si>
  <si>
    <t>LFW-ISTXYG</t>
  </si>
  <si>
    <t>FDR-TARUNAASH 1PC</t>
  </si>
  <si>
    <t>LFW-CITY96MU</t>
  </si>
  <si>
    <t>FDL-DARSUNGOASH 1PC</t>
  </si>
  <si>
    <t>LFW-CITY96XYG</t>
  </si>
  <si>
    <t>FDR-CARRY19ASH 1PC</t>
  </si>
  <si>
    <t>LFW-WAGONRMU</t>
  </si>
  <si>
    <t>FDL-CARRY19ASH 1PC</t>
  </si>
  <si>
    <t>LFW-IGNISMU</t>
  </si>
  <si>
    <t>FDL-TARUNAASH 1PC</t>
  </si>
  <si>
    <t>LFW-ECOSPORTXYG</t>
  </si>
  <si>
    <t>RDL-ERITGA18MU 1PC</t>
  </si>
  <si>
    <t>LFW-PICANTO11XYG</t>
  </si>
  <si>
    <t>FDR-VIOS13PIL 2PC</t>
  </si>
  <si>
    <t>LFW-PICANTO04HTMXYG</t>
  </si>
  <si>
    <t>FDR-YARIS05ASH 1PC</t>
  </si>
  <si>
    <t>LFW-PANTHER00ASH</t>
  </si>
  <si>
    <t>LFW-ALMAZRSXYG</t>
  </si>
  <si>
    <t>LFW-CAPTIVAXYG</t>
  </si>
  <si>
    <t>LFW-CAPTIVARSFR</t>
  </si>
  <si>
    <t>LFW-SPINXYG</t>
  </si>
  <si>
    <t>LFW-CRETAXYG</t>
  </si>
  <si>
    <t>LFW-STARGAZERXYG</t>
  </si>
  <si>
    <t>LFW-STARGAZERRSXYG</t>
  </si>
  <si>
    <t>LFW-LIVINA07MU</t>
  </si>
  <si>
    <t>LFW-CITY02XYG</t>
  </si>
  <si>
    <t>LFW-DMAX1MU</t>
  </si>
  <si>
    <t>LFW-MARCHXYG</t>
  </si>
  <si>
    <t>LFW-NAVARA04PIL</t>
  </si>
  <si>
    <t>LFW-EVALIAXYG</t>
  </si>
  <si>
    <t>LFW-T32XYG</t>
  </si>
  <si>
    <t>LFW-T31XYG</t>
  </si>
  <si>
    <t>LFW-ESCUDO00MU</t>
  </si>
  <si>
    <t>LFW-MIRAGEXYG</t>
  </si>
  <si>
    <t>LFW-CRV95XYG</t>
  </si>
  <si>
    <t>LIST RAK SEMENTARA</t>
  </si>
  <si>
    <t>LFW-CRV05XYG</t>
  </si>
  <si>
    <t>LFW-YARIS05MU</t>
  </si>
  <si>
    <t>LFW-CARRY19XYG 1PC</t>
  </si>
  <si>
    <t>LFW-STREAM00NOXYG</t>
  </si>
  <si>
    <t>LFW-STREAM00MBXYG</t>
  </si>
  <si>
    <t>LFW-CORTEZASH</t>
  </si>
  <si>
    <t>LFW-OUTLANDERXYG</t>
  </si>
  <si>
    <t>psg 12/11/25</t>
  </si>
  <si>
    <t xml:space="preserve">TRW-YARIS17XYG </t>
  </si>
  <si>
    <t>LFW-APVXYG</t>
  </si>
  <si>
    <t>LFW-ERTIGA12MU</t>
  </si>
  <si>
    <t>LFW-ERTIGA18MU</t>
  </si>
  <si>
    <t>LFW-T30MU</t>
  </si>
  <si>
    <t>TRW-CRV17PIL</t>
  </si>
  <si>
    <t>LFW-ACCORD93XYG</t>
  </si>
  <si>
    <t>LFW-HRV22PIL</t>
  </si>
  <si>
    <t>LFW FREEDXYG 2PC</t>
  </si>
  <si>
    <t>LFW-CRV17XYG</t>
  </si>
  <si>
    <t>LFW XPANDERAGC 2PC</t>
  </si>
  <si>
    <t>LFW-ACCORD98XYG</t>
  </si>
  <si>
    <t>LFW XPANDER MU 1PC</t>
  </si>
  <si>
    <t>LFW-SIENTAXYG</t>
  </si>
  <si>
    <t>LFW-HIACEPIL</t>
  </si>
  <si>
    <t>LFW-HIACE19XYG</t>
  </si>
  <si>
    <t>LFW-W204RSXYG 2PC</t>
  </si>
  <si>
    <t>LFW-ELFNMRXYG</t>
  </si>
  <si>
    <t>LFW-ELFNKRXYG</t>
  </si>
  <si>
    <t>A9 T1</t>
  </si>
  <si>
    <t>LFW-PANTHER91MU</t>
  </si>
  <si>
    <t>LFW-CARRYASH</t>
  </si>
  <si>
    <t>LFW TA11 MU 3 PC</t>
  </si>
  <si>
    <t>LFW-L300MU</t>
  </si>
  <si>
    <t>LFW TA15 MU 1 PC</t>
  </si>
  <si>
    <t>LFW-FE700MU</t>
  </si>
  <si>
    <t>LFW TA04 MU 2 PC</t>
  </si>
  <si>
    <t>LFW-FE700XYG</t>
  </si>
  <si>
    <t>LFW SIGRA MU 6 PC</t>
  </si>
  <si>
    <t>LFW-TRAGAMU</t>
  </si>
  <si>
    <t>LFW-JAZZ01MU 1PC</t>
  </si>
  <si>
    <t>LFW-FE300MU</t>
  </si>
  <si>
    <t>LFW-DYNAMU</t>
  </si>
  <si>
    <t>LFW-CARRYFUTURAMU</t>
  </si>
  <si>
    <t>LFW-CARRY19XYG</t>
  </si>
  <si>
    <t>LFW-TRAGAMU 2PC</t>
  </si>
  <si>
    <t>LFW-ODYSSEY99XYG</t>
  </si>
  <si>
    <t>LFW-L300MU 1PC</t>
  </si>
  <si>
    <t>LFW-CRV17PIL</t>
  </si>
  <si>
    <t>A10 T1</t>
  </si>
  <si>
    <t>LFW-HRV14XYG</t>
  </si>
  <si>
    <t>LFW-HRV14PIL</t>
  </si>
  <si>
    <t>LFW-BRIOAGC 1PC</t>
  </si>
  <si>
    <t>LFW-JAZZ13XYG</t>
  </si>
  <si>
    <t>LFW AGYA 13 MU 2 PC</t>
  </si>
  <si>
    <t>LFW-JAZZ07MU</t>
  </si>
  <si>
    <t>LFW AGYA 23 MU 1 PC</t>
  </si>
  <si>
    <t>TRW-ALPHARD02FR</t>
  </si>
  <si>
    <t>LFW TERIOS 06 MU 3 PC</t>
  </si>
  <si>
    <t>TRW-ALPHARD08BLACKXYG</t>
  </si>
  <si>
    <t>LFW RUSH 17 MU 2 PC</t>
  </si>
  <si>
    <t>TRW-ALPHARD15BLACKXYG</t>
  </si>
  <si>
    <t>LFW RUSH17 XYG 1 PC</t>
  </si>
  <si>
    <t>TRW-ALPHARD02BLACKXYG</t>
  </si>
  <si>
    <t>TRW-VOXY22FR</t>
  </si>
  <si>
    <t>TRW-FORTUNER05BLACKXYG</t>
  </si>
  <si>
    <t>LFW PAJERO16 AGC 2 PC</t>
  </si>
  <si>
    <t>TRW-FORTUNER05XYG</t>
  </si>
  <si>
    <t>LFW PAJERO RS AGC 1 PC</t>
  </si>
  <si>
    <t>TRW-CX7XYG</t>
  </si>
  <si>
    <t>LFW PAJERO 16 MU 1 PC</t>
  </si>
  <si>
    <t xml:space="preserve">TRW-T31XYG </t>
  </si>
  <si>
    <t>TRW-CORTEZXYG</t>
  </si>
  <si>
    <t>A11 T1</t>
  </si>
  <si>
    <t>TRW-LUXIODAIHATSU</t>
  </si>
  <si>
    <t>LFW Ta21 MU 1</t>
  </si>
  <si>
    <t>LFW Ta21 RS ASH 1</t>
  </si>
  <si>
    <t>LFW FORTUNER 15 AGC 2 PC</t>
  </si>
  <si>
    <t>LFW PAJERO16 MU 2 PC</t>
  </si>
  <si>
    <t>LFW FORTUNER 05 MU 2 PC</t>
  </si>
  <si>
    <t>LFW FORTUNER 05 MSG 1 PC</t>
  </si>
  <si>
    <t>LFW-FORTUNER15MU 2pc</t>
  </si>
  <si>
    <t>LFW BRV 16 MU 2 PC</t>
  </si>
  <si>
    <t>LFW BRV 22 AGC 1PC</t>
  </si>
  <si>
    <t>LFW BRV 22 ASH 0PC</t>
  </si>
  <si>
    <t>LFW-INNOVA04AGCOP 1PC</t>
  </si>
  <si>
    <t>LFW-INNOVA04AGC 1PC</t>
  </si>
  <si>
    <t>LFW-INNOVA04MU 2PC</t>
  </si>
  <si>
    <t>LFW-INNOVA15AGC 0PC</t>
  </si>
  <si>
    <t>LFW-INNOVA15MU 1PC</t>
  </si>
  <si>
    <t>LFW-WAGONRMU 1PC</t>
  </si>
  <si>
    <t>LFW-PAJERO08MU 2PC</t>
  </si>
  <si>
    <t>LFW-CITY19XYG 1PC</t>
  </si>
  <si>
    <t>LFW-LIVINA07XYG 1PC</t>
  </si>
  <si>
    <t>LFW-VITARA88MU 1PC</t>
  </si>
  <si>
    <t>LFW-KARIMUN99XYG 1PC</t>
  </si>
  <si>
    <t>LFW-LOUHANXYG</t>
  </si>
  <si>
    <t>KIRIM 10/11/25</t>
  </si>
  <si>
    <t>LFW-GIGALONGXYG</t>
  </si>
  <si>
    <t>LFW-FK40XYG</t>
  </si>
  <si>
    <t>SRR-HIACEFXYG</t>
  </si>
  <si>
    <t>RDL-HIACEFXYG</t>
  </si>
  <si>
    <t>LFW-SPORTAGE04MU</t>
  </si>
  <si>
    <t>LFW-W212RSXYG</t>
  </si>
  <si>
    <t>LFW-W204RSXYG</t>
  </si>
  <si>
    <t>LFW-CITY19XYG</t>
  </si>
  <si>
    <t>LFW-SWIFT11MU</t>
  </si>
  <si>
    <t>FDL-YARIS05ASH 1PC</t>
  </si>
  <si>
    <t>FDL-RAIZEASH 1PC</t>
  </si>
  <si>
    <t>FDL-AVANZA03ASH 2PC</t>
  </si>
  <si>
    <t>FDR-AVANZA03ASH 2PC</t>
  </si>
  <si>
    <t>FDL-AVANZA21ASH 1PC</t>
  </si>
  <si>
    <t>FDR-ALPHARD08FR 1PC</t>
  </si>
  <si>
    <t>FDR-INNOVA04MSG 1PC</t>
  </si>
  <si>
    <t>FDR-KAPSUL97ASH 1PC</t>
  </si>
  <si>
    <t>FDL-LIVINA07ASH 1PC</t>
  </si>
  <si>
    <t>FDL-ALPHARD08FR 1PC</t>
  </si>
  <si>
    <t>RDR-HARIER480FR 1PC</t>
  </si>
  <si>
    <t>RDL-HARIER480FR 1PC</t>
  </si>
  <si>
    <t>RDR-DMAX1MSG 1PC</t>
  </si>
  <si>
    <t>RDL-DMAX1MSG 1PC</t>
  </si>
  <si>
    <t>RDR-TARUNAASH 1PC</t>
  </si>
  <si>
    <t>FDR-XPANDERASH 1PC</t>
  </si>
  <si>
    <t>FDL-XPANDERASH 1PC</t>
  </si>
  <si>
    <t>FDL-APVASH 1PC</t>
  </si>
  <si>
    <t>FDR-QUESTERASH 5PC</t>
  </si>
  <si>
    <t>FDL-HIACE19FR 1PC</t>
  </si>
  <si>
    <t>FDR-HIACE19FR 1PC</t>
  </si>
  <si>
    <t>STOK ASAHIMAS 07/03/2026</t>
  </si>
  <si>
    <t>Stok asahimas sby</t>
  </si>
  <si>
    <t>Stok kosong/habis</t>
  </si>
  <si>
    <t>MERK</t>
  </si>
  <si>
    <t>JUMLAH</t>
  </si>
  <si>
    <t>RAK</t>
  </si>
  <si>
    <t>Order</t>
  </si>
  <si>
    <t>SWR-KAPSUL02LONGASH</t>
  </si>
  <si>
    <t>FDR-LOUHANASH</t>
  </si>
  <si>
    <t>ada mu</t>
  </si>
  <si>
    <t>FDR-JAZZ01ASH</t>
  </si>
  <si>
    <t>TRW-KIJANGK125PUASH</t>
  </si>
  <si>
    <t>FDL-TERIOS06ASH</t>
  </si>
  <si>
    <t>FDR-DYNAASH</t>
  </si>
  <si>
    <t>FDR-ELFNMRASH</t>
  </si>
  <si>
    <t>FDL-FE700ASH</t>
  </si>
  <si>
    <t>x</t>
  </si>
  <si>
    <t>FDR-QUESTERASH</t>
  </si>
  <si>
    <t>TRW-AVANZA21ASH</t>
  </si>
  <si>
    <t>TRW-KAPSUL02ASH</t>
  </si>
  <si>
    <t>FDL-ERTIGA12ASH</t>
  </si>
  <si>
    <t>FDR-L300ASH</t>
  </si>
  <si>
    <t>FDL-GRANMAXASH</t>
  </si>
  <si>
    <t>SWL-INNOVA04ASH</t>
  </si>
  <si>
    <t>FDR-GRANMAXASH</t>
  </si>
  <si>
    <t>SWR-FORTUNER15ASH</t>
  </si>
  <si>
    <t>FDL-VIOS13ASH</t>
  </si>
  <si>
    <t>FDR-ERTIGA12ASH</t>
  </si>
  <si>
    <t>FDR-VIOS13ASH</t>
  </si>
  <si>
    <t>TRW-AVANZA21HASH</t>
  </si>
  <si>
    <t>FDL-FREEDASH</t>
  </si>
  <si>
    <t>FDL-CARRYFUTURAASH</t>
  </si>
  <si>
    <t>FDR-VIOS07ASH</t>
  </si>
  <si>
    <t>SWR-AVANZA03ASH</t>
  </si>
  <si>
    <t>FDR-DATSUNASH</t>
  </si>
  <si>
    <t>SWL-AVANZA11ASH</t>
  </si>
  <si>
    <t>RDR-MOBILIOASH</t>
  </si>
  <si>
    <t>SWR-AVANZA11ASH</t>
  </si>
  <si>
    <t>RDL-CRV02ASH</t>
  </si>
  <si>
    <t>RDL-AVANZA21ASH</t>
  </si>
  <si>
    <t>LFW-BRV22ASH</t>
  </si>
  <si>
    <t>FDL-JAZZ01ASH</t>
  </si>
  <si>
    <t>RDR-YARIS13ASH</t>
  </si>
  <si>
    <t>3TYR4M-3RDRTA0N</t>
  </si>
  <si>
    <t>FDR-SIGRA16ASH</t>
  </si>
  <si>
    <t>SWR-AVANZA21ASH</t>
  </si>
  <si>
    <t xml:space="preserve"> -</t>
  </si>
  <si>
    <t>FDL-RUSH17ASH</t>
  </si>
  <si>
    <t>FDL-DYNAASH</t>
  </si>
  <si>
    <t>FDL-ELFNMRASH</t>
  </si>
  <si>
    <t>FDL-FORTUNER15ASH</t>
  </si>
  <si>
    <t>3TNF6M-AFDLTA0N</t>
  </si>
  <si>
    <t>RDL-FORTUNER15ASH</t>
  </si>
  <si>
    <t>3TNF6M-3RDLTT0N</t>
  </si>
  <si>
    <t>RDR-CRV12ASH</t>
  </si>
  <si>
    <t>TRW-FUTURAMBASH</t>
  </si>
  <si>
    <t>FDL-FE300ASH</t>
  </si>
  <si>
    <t>3FE44M-4FDLTT1</t>
  </si>
  <si>
    <t>RDR-ERTIGA12ASH</t>
  </si>
  <si>
    <t>FDR-FV100ASH</t>
  </si>
  <si>
    <t>Tanggal</t>
  </si>
  <si>
    <t>Nomor Inovice</t>
  </si>
  <si>
    <t>Total Cash</t>
  </si>
  <si>
    <t>Total Cash di Setor</t>
  </si>
  <si>
    <t>Sisa Uang Setor</t>
  </si>
  <si>
    <t>Ambil cash untuk  petty cash</t>
  </si>
  <si>
    <t>SETOR by LIA</t>
  </si>
  <si>
    <t>B260052 Rp1,350,000</t>
  </si>
  <si>
    <t>Rp.70.000</t>
  </si>
  <si>
    <t>Sisa tunai Sebelumnya Rp,70.000</t>
  </si>
  <si>
    <t>Sudah</t>
  </si>
  <si>
    <t>B260055 Rp.1.000.000</t>
  </si>
  <si>
    <t xml:space="preserve">Rp.4,849,000 + Rp.51.000 (Sisa tunai) = Rp.4.900.000 </t>
  </si>
  <si>
    <t>Sisa tunai Rp.19.000</t>
  </si>
  <si>
    <t>B260056 Rp.3.299.000</t>
  </si>
  <si>
    <t>Rp,500.000</t>
  </si>
  <si>
    <t>B260057 Rp.550.000</t>
  </si>
  <si>
    <t>B260063 Rp.2.025.000</t>
  </si>
  <si>
    <t>Rp.2.025.000</t>
  </si>
  <si>
    <t>Rp.2.020.000</t>
  </si>
  <si>
    <t>Sisa Tunai Rp.24.000</t>
  </si>
  <si>
    <t>Belum</t>
  </si>
  <si>
    <t>B260065 Rp.480.00</t>
  </si>
  <si>
    <t>PENJUALAN</t>
  </si>
  <si>
    <t>TANGGAL</t>
  </si>
  <si>
    <t>INV</t>
  </si>
  <si>
    <t>PRODUK</t>
  </si>
  <si>
    <t>PC</t>
  </si>
  <si>
    <t>Penjualan</t>
  </si>
  <si>
    <t>DAniel SunyotoD</t>
  </si>
  <si>
    <t>Sales via</t>
  </si>
  <si>
    <t>Pembayaran</t>
  </si>
  <si>
    <t>Input By</t>
  </si>
  <si>
    <t>KO YAN</t>
  </si>
  <si>
    <t>Check
CICI</t>
  </si>
  <si>
    <t>KODE</t>
  </si>
  <si>
    <t>NAMA</t>
  </si>
  <si>
    <t>Satuan</t>
  </si>
  <si>
    <t>Jumlah</t>
  </si>
  <si>
    <t>Diskon</t>
  </si>
  <si>
    <t>Nett</t>
  </si>
  <si>
    <t>Nama</t>
  </si>
  <si>
    <t>No Telp</t>
  </si>
  <si>
    <t>Email</t>
  </si>
  <si>
    <t>No Pol</t>
  </si>
  <si>
    <t>Alamat</t>
  </si>
  <si>
    <t>TUNAI</t>
  </si>
  <si>
    <t>TRANSFER</t>
  </si>
  <si>
    <t>TOKPED</t>
  </si>
  <si>
    <t>POTONG</t>
  </si>
  <si>
    <t>Kembali</t>
  </si>
  <si>
    <t>B240001</t>
  </si>
  <si>
    <t>LFW-INNOVA04MSG</t>
  </si>
  <si>
    <t>Hari Yulianto</t>
  </si>
  <si>
    <t>+62 812-3459-2545</t>
  </si>
  <si>
    <t>Tokopedia</t>
  </si>
  <si>
    <t>CM</t>
  </si>
  <si>
    <t>done TF AW33</t>
  </si>
  <si>
    <t>C240002</t>
  </si>
  <si>
    <t>LFW-JAZZ01MU</t>
  </si>
  <si>
    <t>Wahyu</t>
  </si>
  <si>
    <t>6282132792913</t>
  </si>
  <si>
    <t>C240003</t>
  </si>
  <si>
    <t>Manuju Jaya (BMJ)</t>
  </si>
  <si>
    <t xml:space="preserve">082199055555		
</t>
  </si>
  <si>
    <t>LFW-FJ40MU</t>
  </si>
  <si>
    <t>Manuju Jaya</t>
  </si>
  <si>
    <t>OTH-PETIKAYU</t>
  </si>
  <si>
    <t>C240004</t>
  </si>
  <si>
    <t>TRW-SIGRA16MU</t>
  </si>
  <si>
    <t>Dian Rini</t>
  </si>
  <si>
    <t>6282234837411</t>
  </si>
  <si>
    <t>-</t>
  </si>
  <si>
    <t>C240005</t>
  </si>
  <si>
    <t>Ricky</t>
  </si>
  <si>
    <t>+62 811-369-885</t>
  </si>
  <si>
    <t>C240006</t>
  </si>
  <si>
    <t>TRW-T32XYG</t>
  </si>
  <si>
    <t>Tommy Okan</t>
  </si>
  <si>
    <t>6281280000460</t>
  </si>
  <si>
    <t>Wonokromo</t>
  </si>
  <si>
    <t>C240007</t>
  </si>
  <si>
    <t>LFW-JUKEFR</t>
  </si>
  <si>
    <t>Buddy Tjoanda</t>
  </si>
  <si>
    <t>081332154567</t>
  </si>
  <si>
    <t>Maluku</t>
  </si>
  <si>
    <t>Sentra Bekasi</t>
  </si>
  <si>
    <t>OTH-SERTRANSPORT</t>
  </si>
  <si>
    <t>C240008</t>
  </si>
  <si>
    <t>Budi</t>
  </si>
  <si>
    <t>+62 813-3140-5595</t>
  </si>
  <si>
    <t>Surabaya</t>
  </si>
  <si>
    <t>C240009</t>
  </si>
  <si>
    <t>TRW-ALPHARD08BLACKFR</t>
  </si>
  <si>
    <t>Alfian</t>
  </si>
  <si>
    <t>6281351878653</t>
  </si>
  <si>
    <t>Banjar, KalSel</t>
  </si>
  <si>
    <t>C240010</t>
  </si>
  <si>
    <t>TRW-ERTIGA12XYG</t>
  </si>
  <si>
    <t>Zudi</t>
  </si>
  <si>
    <t>+62 856-4505-2349</t>
  </si>
  <si>
    <t>Lamongan</t>
  </si>
  <si>
    <t>Bandung</t>
  </si>
  <si>
    <t>RA</t>
  </si>
  <si>
    <t>done tf 33 - 1,100,000</t>
  </si>
  <si>
    <t>C240011</t>
  </si>
  <si>
    <t>LFW-INNOVA04XYG</t>
  </si>
  <si>
    <t>Indra</t>
  </si>
  <si>
    <t>6282228898164</t>
  </si>
  <si>
    <t>C240012</t>
  </si>
  <si>
    <t>SWL-ALPHARD08HITAMXYG</t>
  </si>
  <si>
    <t>Daniel Sunyoto</t>
  </si>
  <si>
    <t>+62 817-399-777</t>
  </si>
  <si>
    <t>L 1810 KB</t>
  </si>
  <si>
    <t>SL-00001</t>
  </si>
  <si>
    <t>C240013</t>
  </si>
  <si>
    <t>LFW-PICANTO11PIL</t>
  </si>
  <si>
    <t>+62 895-4025-29766</t>
  </si>
  <si>
    <t>C240014</t>
  </si>
  <si>
    <t>LFW-T30XYG</t>
  </si>
  <si>
    <t>Zainal Arif</t>
  </si>
  <si>
    <t>+62 813-3678-3983</t>
  </si>
  <si>
    <t>L 1884 ABP</t>
  </si>
  <si>
    <t>19/3/24 terima cash 2071rb</t>
  </si>
  <si>
    <t>C240015</t>
  </si>
  <si>
    <t>Chia</t>
  </si>
  <si>
    <t>082139961863</t>
  </si>
  <si>
    <t>S 1664 ES</t>
  </si>
  <si>
    <t>Gubeng, Surabaya</t>
  </si>
  <si>
    <t>C240016</t>
  </si>
  <si>
    <t>LFW-CITY02MU</t>
  </si>
  <si>
    <t>Jakasakti</t>
  </si>
  <si>
    <t>+62 812-3329-7656</t>
  </si>
  <si>
    <t>N 1728 EN</t>
  </si>
  <si>
    <t>Lawang</t>
  </si>
  <si>
    <t>16/3/24 tf 2jt ke aw11, sisa 600rb untuk petty cash</t>
  </si>
  <si>
    <t>C240017</t>
  </si>
  <si>
    <t>Anang</t>
  </si>
  <si>
    <t>+62 812-3099-1982</t>
  </si>
  <si>
    <t>W 1404 QR</t>
  </si>
  <si>
    <t>C240018</t>
  </si>
  <si>
    <t>Agus</t>
  </si>
  <si>
    <t xml:space="preserve">+62 857-4236-4861
</t>
  </si>
  <si>
    <t>S 8115 WM</t>
  </si>
  <si>
    <t>Ruko</t>
  </si>
  <si>
    <t>C240019</t>
  </si>
  <si>
    <t>TRW-BRV16XYG</t>
  </si>
  <si>
    <t>Muhammad Sabirin</t>
  </si>
  <si>
    <t>6281349006066</t>
  </si>
  <si>
    <t>Banjarbaru</t>
  </si>
  <si>
    <t>C240020</t>
  </si>
  <si>
    <t>Mahendra</t>
  </si>
  <si>
    <t>19/3/24 terima cash 1133rb, masuk petty cash</t>
  </si>
  <si>
    <t>TRW-VIOS07XYG</t>
  </si>
  <si>
    <t>19/3/24 terima cash 1354rb, masuk petty cash</t>
  </si>
  <si>
    <t>C240021</t>
  </si>
  <si>
    <t>20/3/24 terima cash 100rb, masuk petty cash</t>
  </si>
  <si>
    <t>C240022</t>
  </si>
  <si>
    <t>LFW-TERIOS06MU</t>
  </si>
  <si>
    <t>cevan missa</t>
  </si>
  <si>
    <t>6282146315512</t>
  </si>
  <si>
    <t>Kupang</t>
  </si>
  <si>
    <t xml:space="preserve">6282146315512
</t>
  </si>
  <si>
    <t>PECAH</t>
  </si>
  <si>
    <t>TRW-YARIS17XYG</t>
  </si>
  <si>
    <t>C240023</t>
  </si>
  <si>
    <t>TRW-INNOVA04HXYG</t>
  </si>
  <si>
    <t>Sukatno</t>
  </si>
  <si>
    <t>+62 821-3141-7782</t>
  </si>
  <si>
    <t>W 1254 CG</t>
  </si>
  <si>
    <t>Gresik</t>
  </si>
  <si>
    <t>C240024</t>
  </si>
  <si>
    <t>WISMAN PECAH</t>
  </si>
  <si>
    <t>C240025</t>
  </si>
  <si>
    <t>LFW-JAZZ13PIL</t>
  </si>
  <si>
    <t>Angga Abdi Putra</t>
  </si>
  <si>
    <t>+62 822-4446-8618</t>
  </si>
  <si>
    <t>C240026</t>
  </si>
  <si>
    <t>OTH-RPLXLFW</t>
  </si>
  <si>
    <t>Yayan</t>
  </si>
  <si>
    <t>L 1820 ADQ</t>
  </si>
  <si>
    <t>26/3/24 terima cash 400rb masuk petty cash</t>
  </si>
  <si>
    <t>C240027</t>
  </si>
  <si>
    <t>TRW-HILUX05XYG</t>
  </si>
  <si>
    <t xml:space="preserve">Bpk. M. Mansyur				</t>
  </si>
  <si>
    <t>082302024464</t>
  </si>
  <si>
    <t>A 8149 TX</t>
  </si>
  <si>
    <t>Marketplace</t>
  </si>
  <si>
    <t>C240028</t>
  </si>
  <si>
    <t>LFW-BRV16XYG</t>
  </si>
  <si>
    <t>Kristi Tumpil</t>
  </si>
  <si>
    <t>6281240173075</t>
  </si>
  <si>
    <t>OTH-SEALANTXYG</t>
  </si>
  <si>
    <t>C240029</t>
  </si>
  <si>
    <t>LFW-AUDIQ508XYG</t>
  </si>
  <si>
    <t>Autohaus</t>
  </si>
  <si>
    <t>+62 812-3546-923</t>
  </si>
  <si>
    <t>L 1657 WS</t>
  </si>
  <si>
    <t>lunas 28/3/24</t>
  </si>
  <si>
    <t xml:space="preserve">  </t>
  </si>
  <si>
    <t>C240030</t>
  </si>
  <si>
    <t>LFW-BRIOMU</t>
  </si>
  <si>
    <t>Hasim</t>
  </si>
  <si>
    <t xml:space="preserve">085233443451		</t>
  </si>
  <si>
    <t>C240031</t>
  </si>
  <si>
    <t>TRW-NAV07XYG</t>
  </si>
  <si>
    <t xml:space="preserve">Bpk. Koeswanto				</t>
  </si>
  <si>
    <t>+62 811-3609-140/koes1to@yahoo.com</t>
  </si>
  <si>
    <t>L 1349 YC</t>
  </si>
  <si>
    <t>MJD</t>
  </si>
  <si>
    <t>28/3/24 terima cash 200rb dp masuk petty cash</t>
  </si>
  <si>
    <t>C240032</t>
  </si>
  <si>
    <t>Ngudi Budianto</t>
  </si>
  <si>
    <t>+62 821-4080-2377</t>
  </si>
  <si>
    <t>Blitar</t>
  </si>
  <si>
    <t>tf</t>
  </si>
  <si>
    <t>OTH-LIST04TOYDAI</t>
  </si>
  <si>
    <t>D240001</t>
  </si>
  <si>
    <t>TRW-JAZZ07XYG</t>
  </si>
  <si>
    <t xml:space="preserve">Sutapa </t>
  </si>
  <si>
    <t>6281216909525</t>
  </si>
  <si>
    <t>Bitung</t>
  </si>
  <si>
    <t>SJLD240001</t>
  </si>
  <si>
    <t>RDL-HIACE19FR</t>
  </si>
  <si>
    <t>RJG</t>
  </si>
  <si>
    <t>RETUR</t>
  </si>
  <si>
    <t>RDR-HIACE19FR</t>
  </si>
  <si>
    <t>SRR-HIACE19FR</t>
  </si>
  <si>
    <t>SRL-HIACE19FR</t>
  </si>
  <si>
    <t>SRR-HIACEFFR</t>
  </si>
  <si>
    <t>SRR-HIACEFBLACKFR</t>
  </si>
  <si>
    <t>D240002</t>
  </si>
  <si>
    <t>LFW-SIGRA16MU</t>
  </si>
  <si>
    <t>Anto</t>
  </si>
  <si>
    <t xml:space="preserve">085106096699	</t>
  </si>
  <si>
    <t>Jugrug</t>
  </si>
  <si>
    <t>D240003</t>
  </si>
  <si>
    <t>TRW-INNOVA15XYG</t>
  </si>
  <si>
    <t>HMG</t>
  </si>
  <si>
    <t>Handi</t>
  </si>
  <si>
    <t>D240004</t>
  </si>
  <si>
    <t>PT. Nilam Port Terminal Indonesia</t>
  </si>
  <si>
    <t>+62 812-3456-8122</t>
  </si>
  <si>
    <t>L 8027 BZ</t>
  </si>
  <si>
    <t>Perak</t>
  </si>
  <si>
    <t>Google Ads</t>
  </si>
  <si>
    <t>D240005</t>
  </si>
  <si>
    <t>Stanley</t>
  </si>
  <si>
    <t xml:space="preserve">+62 812-1739-369
</t>
  </si>
  <si>
    <t>Darmo</t>
  </si>
  <si>
    <t>D240006</t>
  </si>
  <si>
    <t>LFW-HILUX15MU</t>
  </si>
  <si>
    <t>Husin</t>
  </si>
  <si>
    <t>0811378928</t>
  </si>
  <si>
    <t>D240007</t>
  </si>
  <si>
    <t>LFW-INNOVA15PIL</t>
  </si>
  <si>
    <t>Auda Fardin Akbironi Fabian</t>
  </si>
  <si>
    <t>+62 812-2223-8884</t>
  </si>
  <si>
    <t>S 1788 XM</t>
  </si>
  <si>
    <t>D240008</t>
  </si>
  <si>
    <t>TRW-AVANZA03XYG</t>
  </si>
  <si>
    <t>D240009</t>
  </si>
  <si>
    <t>L 1906 GH</t>
  </si>
  <si>
    <t>D240010</t>
  </si>
  <si>
    <t>Ina</t>
  </si>
  <si>
    <t>+62 812-3040-970</t>
  </si>
  <si>
    <t>Akmalghifari0@gmail.com</t>
  </si>
  <si>
    <t>L 1076 HS</t>
  </si>
  <si>
    <t>D240011</t>
  </si>
  <si>
    <t>TRW-PAJERO16XYG</t>
  </si>
  <si>
    <t xml:space="preserve">Bpk. Sawung		</t>
  </si>
  <si>
    <t>D240012</t>
  </si>
  <si>
    <t>Taufik</t>
  </si>
  <si>
    <t>+62 877-8883-8585</t>
  </si>
  <si>
    <t>taufikhidayah692@gmail.com</t>
  </si>
  <si>
    <t>W 1895 NH</t>
  </si>
  <si>
    <t>D240013</t>
  </si>
  <si>
    <t>Heris</t>
  </si>
  <si>
    <t>+62 811-3431-633</t>
  </si>
  <si>
    <t>herizmiko@gmail.com</t>
  </si>
  <si>
    <t>S 1310 NH</t>
  </si>
  <si>
    <t>D240014</t>
  </si>
  <si>
    <t>TRW-CRV12NONPXYG</t>
  </si>
  <si>
    <t>Park Moonki</t>
  </si>
  <si>
    <t>08111368837</t>
  </si>
  <si>
    <t>mkpark@apluslogistik.com</t>
  </si>
  <si>
    <t>B 1979 UJI</t>
  </si>
  <si>
    <t>D240015</t>
  </si>
  <si>
    <t>Ibnu Zuber</t>
  </si>
  <si>
    <t>+62 812-3030-0618</t>
  </si>
  <si>
    <t>W 1003 BC</t>
  </si>
  <si>
    <t>D240016</t>
  </si>
  <si>
    <t>LFW-JAZZ13MU</t>
  </si>
  <si>
    <t>Anak Agung Bagus Dwi Ramarkandya</t>
  </si>
  <si>
    <t>6281239329539</t>
  </si>
  <si>
    <t>D240017</t>
  </si>
  <si>
    <t>Sabiq</t>
  </si>
  <si>
    <t>+62 812-1696-0177</t>
  </si>
  <si>
    <t>khoirunsabiq@gmail.com</t>
  </si>
  <si>
    <t>L 8609 BAC</t>
  </si>
  <si>
    <t>D240018</t>
  </si>
  <si>
    <t>TRW-AGYA13ASH</t>
  </si>
  <si>
    <t>Muhammad Abdus Basid</t>
  </si>
  <si>
    <t>083853141710</t>
  </si>
  <si>
    <t>abdulbasid571@gmail.com</t>
  </si>
  <si>
    <t>D240019</t>
  </si>
  <si>
    <t>+62 838-4508-7293</t>
  </si>
  <si>
    <t>L 8256 ND</t>
  </si>
  <si>
    <t>D240020</t>
  </si>
  <si>
    <t>TRW-AVANZA11MU</t>
  </si>
  <si>
    <t>Hari Purwanto</t>
  </si>
  <si>
    <t>+62 822-3091-2453</t>
  </si>
  <si>
    <t>W 1357 TT</t>
  </si>
  <si>
    <t>D240021</t>
  </si>
  <si>
    <t>LFW-CROSSXYG</t>
  </si>
  <si>
    <t>Raven Delano Simon</t>
  </si>
  <si>
    <t>081217429823</t>
  </si>
  <si>
    <t>Malang</t>
  </si>
  <si>
    <t>D240022</t>
  </si>
  <si>
    <t>LFW-GRANMAXMU</t>
  </si>
  <si>
    <t>Azzikra</t>
  </si>
  <si>
    <t>+62 822-4040-8485</t>
  </si>
  <si>
    <t>azzik29@gmail.com</t>
  </si>
  <si>
    <t>N 8772 BD</t>
  </si>
  <si>
    <t>D240023</t>
  </si>
  <si>
    <t>Najib</t>
  </si>
  <si>
    <t>+62 877-5268-1169</t>
  </si>
  <si>
    <t>Waru</t>
  </si>
  <si>
    <t>D240024</t>
  </si>
  <si>
    <t>Fendi</t>
  </si>
  <si>
    <t>+62 856-4807-6245</t>
  </si>
  <si>
    <t>efendyachg@gmail.com</t>
  </si>
  <si>
    <t>M 1214 HC</t>
  </si>
  <si>
    <t>D240025</t>
  </si>
  <si>
    <t>LFW-FREEDXYG</t>
  </si>
  <si>
    <t>Rendy Alfi</t>
  </si>
  <si>
    <t>+62 819-1391-8272</t>
  </si>
  <si>
    <t>Sidoarjo</t>
  </si>
  <si>
    <t>D240026</t>
  </si>
  <si>
    <t>Malika</t>
  </si>
  <si>
    <t xml:space="preserve">+62 813-3202-1118
</t>
  </si>
  <si>
    <t>malikaalula@gmail.com</t>
  </si>
  <si>
    <t>N 1888 XS</t>
  </si>
  <si>
    <t>D240027</t>
  </si>
  <si>
    <t>Ali Duro</t>
  </si>
  <si>
    <t>+62 819-3829-9520</t>
  </si>
  <si>
    <t>Madura</t>
  </si>
  <si>
    <t>D240028</t>
  </si>
  <si>
    <t>Hany</t>
  </si>
  <si>
    <t xml:space="preserve">+62 895-6216-10319
</t>
  </si>
  <si>
    <t>D240029</t>
  </si>
  <si>
    <t>+62 821-3263-1560</t>
  </si>
  <si>
    <t>D240030</t>
  </si>
  <si>
    <t xml:space="preserve">Afazul Rohman Hadi		
		</t>
  </si>
  <si>
    <t xml:space="preserve">+62 821-4268-0058
</t>
  </si>
  <si>
    <t>D240031</t>
  </si>
  <si>
    <t>LFW-TRITON05MU</t>
  </si>
  <si>
    <t xml:space="preserve">Kristi Tumpil </t>
  </si>
  <si>
    <t xml:space="preserve">6281240173075
</t>
  </si>
  <si>
    <t>Sukolilo</t>
  </si>
  <si>
    <t>TRW-TRITON05XYG</t>
  </si>
  <si>
    <t>D240032</t>
  </si>
  <si>
    <t>TRW-EVALIAXYG</t>
  </si>
  <si>
    <t>Devy Anggar Kusuma D</t>
  </si>
  <si>
    <t xml:space="preserve">+62 812-2259-7341
</t>
  </si>
  <si>
    <t>devy.love.plo@gmail.com</t>
  </si>
  <si>
    <t>L 1734 DAR</t>
  </si>
  <si>
    <t>D240033</t>
  </si>
  <si>
    <t>LFW-VIOS02MU</t>
  </si>
  <si>
    <t>Anggung</t>
  </si>
  <si>
    <t>+62 813-3333-9979</t>
  </si>
  <si>
    <t>okamatriwisesa@gmail.com</t>
  </si>
  <si>
    <t>B 8023 EE</t>
  </si>
  <si>
    <t>D240034</t>
  </si>
  <si>
    <t>+62 819-0773-0181</t>
  </si>
  <si>
    <t>D230035</t>
  </si>
  <si>
    <t>TRW-TARUNAXYG</t>
  </si>
  <si>
    <t>+62 821-4321-1294</t>
  </si>
  <si>
    <t xml:space="preserve">+62 821-4321-1294
</t>
  </si>
  <si>
    <t>D230036</t>
  </si>
  <si>
    <t>M. Ibnu Affa</t>
  </si>
  <si>
    <t>+62 896-7727-1177</t>
  </si>
  <si>
    <t>affanibnu1922@gmail.com</t>
  </si>
  <si>
    <t>W 1858 CV</t>
  </si>
  <si>
    <t>D230037</t>
  </si>
  <si>
    <t>Fanie</t>
  </si>
  <si>
    <t>+62 857-4970-6120</t>
  </si>
  <si>
    <t>D230038</t>
  </si>
  <si>
    <t>MM Sport</t>
  </si>
  <si>
    <t>+62 816-1525-9777</t>
  </si>
  <si>
    <t>D230039</t>
  </si>
  <si>
    <t>Ryan</t>
  </si>
  <si>
    <t>+62 811-3770-123</t>
  </si>
  <si>
    <t>N 1907 ID</t>
  </si>
  <si>
    <t>D230040</t>
  </si>
  <si>
    <t>Benny</t>
  </si>
  <si>
    <t>+62 811-325-145</t>
  </si>
  <si>
    <t>D230041</t>
  </si>
  <si>
    <t>Budi Prasetyo</t>
  </si>
  <si>
    <t>+62 815-5094-094</t>
  </si>
  <si>
    <t>budikeb@gmail.com</t>
  </si>
  <si>
    <t>L 9244 CH</t>
  </si>
  <si>
    <t>D230042</t>
  </si>
  <si>
    <t>Khaliq</t>
  </si>
  <si>
    <t>082282096703</t>
  </si>
  <si>
    <t>khaliqnisa@gmail.com</t>
  </si>
  <si>
    <t>OTH-RPLXTRW</t>
  </si>
  <si>
    <t>D230043</t>
  </si>
  <si>
    <t>Chamdan Fauzi</t>
  </si>
  <si>
    <t>+62 852-3125-0250</t>
  </si>
  <si>
    <t>AG 1326 SB</t>
  </si>
  <si>
    <t>D230044</t>
  </si>
  <si>
    <t>Kevin</t>
  </si>
  <si>
    <t>+62 813-5736-3071</t>
  </si>
  <si>
    <t>W 1915 SB</t>
  </si>
  <si>
    <t>D230045</t>
  </si>
  <si>
    <t>Sand Acc</t>
  </si>
  <si>
    <t>+62 822-3229-5375</t>
  </si>
  <si>
    <t>okky_hsp@yahoo.com</t>
  </si>
  <si>
    <t>D230046</t>
  </si>
  <si>
    <t>Solikhan Delta Tech</t>
  </si>
  <si>
    <t>+62 856-5534-5809</t>
  </si>
  <si>
    <t>D230047</t>
  </si>
  <si>
    <t>LFW-INNOVA04MU</t>
  </si>
  <si>
    <t>Setiono</t>
  </si>
  <si>
    <t>085101357449</t>
  </si>
  <si>
    <t>D230048</t>
  </si>
  <si>
    <t>+62 859-7537-0856</t>
  </si>
  <si>
    <t>D230049</t>
  </si>
  <si>
    <t>Abdul Khoyi</t>
  </si>
  <si>
    <t>+62 858-5264-5257</t>
  </si>
  <si>
    <t>Simokerto</t>
  </si>
  <si>
    <t>D240050</t>
  </si>
  <si>
    <t>LFW-CRV07XYG</t>
  </si>
  <si>
    <t>Noe</t>
  </si>
  <si>
    <t>+62 821-3161-0922</t>
  </si>
  <si>
    <t>Benowo</t>
  </si>
  <si>
    <t>D230051</t>
  </si>
  <si>
    <t xml:space="preserve">Budhisatrya SATRYA Motor		</t>
  </si>
  <si>
    <t>+62 851-0058-9880</t>
  </si>
  <si>
    <t>Jemursari</t>
  </si>
  <si>
    <t>D230052</t>
  </si>
  <si>
    <t>M Arsani</t>
  </si>
  <si>
    <t>+62 813-1539-8801</t>
  </si>
  <si>
    <t>Banjarmasin</t>
  </si>
  <si>
    <t>E240001</t>
  </si>
  <si>
    <t>LFW-AVANZA21MU</t>
  </si>
  <si>
    <t>Erdianto</t>
  </si>
  <si>
    <t xml:space="preserve">+62 812-5980-1095
</t>
  </si>
  <si>
    <t>ornanerdi@gmail.com</t>
  </si>
  <si>
    <t>E240002</t>
  </si>
  <si>
    <t>Sony</t>
  </si>
  <si>
    <t>082257355973</t>
  </si>
  <si>
    <t>L 8109 J</t>
  </si>
  <si>
    <t>E240003</t>
  </si>
  <si>
    <t xml:space="preserve">PT. Puyo Indonesia Kreasi		
	</t>
  </si>
  <si>
    <t xml:space="preserve">+62 878-8273-3855	</t>
  </si>
  <si>
    <t>E240004</t>
  </si>
  <si>
    <t>Hary</t>
  </si>
  <si>
    <t>+62 813-8340-3355</t>
  </si>
  <si>
    <t>Pondok Tjandra</t>
  </si>
  <si>
    <t>E240005</t>
  </si>
  <si>
    <t>E240006</t>
  </si>
  <si>
    <t>LFW-L200DOUBLEXYG</t>
  </si>
  <si>
    <t>Sudono</t>
  </si>
  <si>
    <t>+62 812-1783-318</t>
  </si>
  <si>
    <t>E240007</t>
  </si>
  <si>
    <t>Towi</t>
  </si>
  <si>
    <t>+62 896-7453-6660</t>
  </si>
  <si>
    <t>trisnawan.bt@gmail.com</t>
  </si>
  <si>
    <t>D1265 SZ</t>
  </si>
  <si>
    <t>E240008</t>
  </si>
  <si>
    <t>Miftachul Arifin</t>
  </si>
  <si>
    <t>+62 812-3157-078</t>
  </si>
  <si>
    <t>E240009</t>
  </si>
  <si>
    <t>TRW-HIACEBLACKXYG</t>
  </si>
  <si>
    <t>E240010</t>
  </si>
  <si>
    <t>Budiman</t>
  </si>
  <si>
    <t>62 856-4547-1150</t>
  </si>
  <si>
    <t>E240011</t>
  </si>
  <si>
    <t>FDL-AVANZA03ASH</t>
  </si>
  <si>
    <t>Isaac</t>
  </si>
  <si>
    <t>+62 812-3158-5801</t>
  </si>
  <si>
    <t>Rambarts8@gmail.com</t>
  </si>
  <si>
    <t>E240012</t>
  </si>
  <si>
    <t>Hendro Susilo</t>
  </si>
  <si>
    <t>+62 8121-1698-7795</t>
  </si>
  <si>
    <t>S1501WO</t>
  </si>
  <si>
    <t>OTH-LISTINVTOY</t>
  </si>
  <si>
    <t>E240013</t>
  </si>
  <si>
    <t>Wahyu Setiawan</t>
  </si>
  <si>
    <t>+62 813-3163-8737</t>
  </si>
  <si>
    <t>E240014</t>
  </si>
  <si>
    <t>LFW-XPANDERMU</t>
  </si>
  <si>
    <t>Nico</t>
  </si>
  <si>
    <t>62 812-3232-3006</t>
  </si>
  <si>
    <t>E240015</t>
  </si>
  <si>
    <t>Rennis</t>
  </si>
  <si>
    <t>+62 822-3332-3778</t>
  </si>
  <si>
    <t>TRW-HIACEXYG</t>
  </si>
  <si>
    <t>SRR-HIACEXYG</t>
  </si>
  <si>
    <t>SFL-HIACEXYG</t>
  </si>
  <si>
    <t>E240016</t>
  </si>
  <si>
    <t>Supar</t>
  </si>
  <si>
    <t>+62 858-5460-7592</t>
  </si>
  <si>
    <t>Ramadhanridwanputra@gmail.com</t>
  </si>
  <si>
    <t>E240017</t>
  </si>
  <si>
    <t>Kanigara Jaya Raya Travel</t>
  </si>
  <si>
    <t>+62 877-3560-0007</t>
  </si>
  <si>
    <t>FDL-HIACEXYG</t>
  </si>
  <si>
    <t>E240018</t>
  </si>
  <si>
    <t>LFW-PANTHER00XYG</t>
  </si>
  <si>
    <t>Hendro</t>
  </si>
  <si>
    <t>+62 821-2446-8006</t>
  </si>
  <si>
    <t>E240019</t>
  </si>
  <si>
    <t>SWL-AVANZA11MU</t>
  </si>
  <si>
    <t>Suryadi</t>
  </si>
  <si>
    <t>+62 877-5653-1112</t>
  </si>
  <si>
    <t>M1303HF</t>
  </si>
  <si>
    <t>E240020</t>
  </si>
  <si>
    <t xml:space="preserve">Michael Fadly Liling </t>
  </si>
  <si>
    <t>+62 853-4089-0007</t>
  </si>
  <si>
    <t>Michealfadly1982@gmail.com</t>
  </si>
  <si>
    <t>E240021</t>
  </si>
  <si>
    <t>LFW-FORTUNER05MU</t>
  </si>
  <si>
    <t>Satria Eka Nanda</t>
  </si>
  <si>
    <t>+62 812-3194-2326</t>
  </si>
  <si>
    <t>satriaekananda41@gmail.com</t>
  </si>
  <si>
    <t>E240022</t>
  </si>
  <si>
    <t>+62 818-844-727</t>
  </si>
  <si>
    <t>S 1357 LM</t>
  </si>
  <si>
    <t>OTH-RPLXSIDE</t>
  </si>
  <si>
    <t>E240023</t>
  </si>
  <si>
    <t>+62 823-3686-9420</t>
  </si>
  <si>
    <t>E240024</t>
  </si>
  <si>
    <t>Cale</t>
  </si>
  <si>
    <t>+62 831-5370-8687</t>
  </si>
  <si>
    <t>faisaridno14@gmail.com</t>
  </si>
  <si>
    <t>AA 1396 DF</t>
  </si>
  <si>
    <t>E240025</t>
  </si>
  <si>
    <t>Heri</t>
  </si>
  <si>
    <t>+62 822-3030-2036</t>
  </si>
  <si>
    <t>santoso.hafa36@gmail.com</t>
  </si>
  <si>
    <t>E240026</t>
  </si>
  <si>
    <t>LFW-AGYA13MU</t>
  </si>
  <si>
    <t>Alief Bachtiar Ramadhani</t>
  </si>
  <si>
    <t>+62 812-1634-6005</t>
  </si>
  <si>
    <t>E240027</t>
  </si>
  <si>
    <t>Andhika Putra</t>
  </si>
  <si>
    <t>+62 816-973-761</t>
  </si>
  <si>
    <t>E240028</t>
  </si>
  <si>
    <t>Firman Firdhousi Soetanto</t>
  </si>
  <si>
    <t>+62 811-3000-842</t>
  </si>
  <si>
    <t>E240029</t>
  </si>
  <si>
    <t>LFW-TEANAXYG</t>
  </si>
  <si>
    <t>Niken Pramesti</t>
  </si>
  <si>
    <t>+62 813-5868-4040</t>
  </si>
  <si>
    <t>adityasbudiharjo@gmail.com</t>
  </si>
  <si>
    <t>E240030</t>
  </si>
  <si>
    <t>TRW-TERIOS06HOLEXYG</t>
  </si>
  <si>
    <t>Cyndhi</t>
  </si>
  <si>
    <t>+62 822-3238-2160</t>
  </si>
  <si>
    <t>E240031</t>
  </si>
  <si>
    <t>Ismadiyato</t>
  </si>
  <si>
    <t>+62 897-8888-228</t>
  </si>
  <si>
    <t>artamivea2504@gmail.com</t>
  </si>
  <si>
    <t>W1088VY</t>
  </si>
  <si>
    <t>E240032</t>
  </si>
  <si>
    <t>Hasan</t>
  </si>
  <si>
    <t>+62 852-4224-7608</t>
  </si>
  <si>
    <t>Hasanbisriachmad@gmail.com</t>
  </si>
  <si>
    <t>L 1459 YM</t>
  </si>
  <si>
    <t>E240033</t>
  </si>
  <si>
    <t>Mahfud</t>
  </si>
  <si>
    <t>+62 815-5369-3412</t>
  </si>
  <si>
    <t>E240034</t>
  </si>
  <si>
    <t>Nuriadi</t>
  </si>
  <si>
    <t>+62 838-5348-1580</t>
  </si>
  <si>
    <t>nuriadizog@gmail.com</t>
  </si>
  <si>
    <t>E240035</t>
  </si>
  <si>
    <t>Haseb</t>
  </si>
  <si>
    <t>+62 857-4588-2817</t>
  </si>
  <si>
    <t>Hasebmaulana@gmail.com</t>
  </si>
  <si>
    <t>E240036</t>
  </si>
  <si>
    <t>LFW-RUSH17MU</t>
  </si>
  <si>
    <t>Bernat</t>
  </si>
  <si>
    <t>+62 813-4312-1332</t>
  </si>
  <si>
    <t>bkiskuntoyo@gmail.com</t>
  </si>
  <si>
    <t>E240037</t>
  </si>
  <si>
    <t>LFW-ATOZMU</t>
  </si>
  <si>
    <t>Yulia</t>
  </si>
  <si>
    <t>+62 821-9488-6261</t>
  </si>
  <si>
    <t>E240038</t>
  </si>
  <si>
    <t>Lukman</t>
  </si>
  <si>
    <t>+62 877-6348-8752</t>
  </si>
  <si>
    <t>Suidahmdr@gmail.com</t>
  </si>
  <si>
    <t>L 1421 VA</t>
  </si>
  <si>
    <t>E240039</t>
  </si>
  <si>
    <t>CUCUK/BENGKEL CUK BERSAUDARA</t>
  </si>
  <si>
    <t>0812-3212-101</t>
  </si>
  <si>
    <t>Imam</t>
  </si>
  <si>
    <t>E240040</t>
  </si>
  <si>
    <t>FDL-QUESTERASH</t>
  </si>
  <si>
    <t>Ahmad Rusli</t>
  </si>
  <si>
    <t>+62 812-1352-4164</t>
  </si>
  <si>
    <t xml:space="preserve">E240041
</t>
  </si>
  <si>
    <t>Moch Sarli</t>
  </si>
  <si>
    <t>+62 812-1649-7901</t>
  </si>
  <si>
    <t>L 1380 PO</t>
  </si>
  <si>
    <t>E240042</t>
  </si>
  <si>
    <t>Sugiarto</t>
  </si>
  <si>
    <t>+62 812-2544-6151</t>
  </si>
  <si>
    <t>Sugarsigiarto@gmail.com</t>
  </si>
  <si>
    <t>B 1202 KBD</t>
  </si>
  <si>
    <t>E240043</t>
  </si>
  <si>
    <t>Rizqi</t>
  </si>
  <si>
    <t>+62 811-3690-054</t>
  </si>
  <si>
    <t xml:space="preserve"> W 1797 AI</t>
  </si>
  <si>
    <t>E240044</t>
  </si>
  <si>
    <t>Lukman Arief</t>
  </si>
  <si>
    <t xml:space="preserve">+6281331241888		</t>
  </si>
  <si>
    <t>E240045</t>
  </si>
  <si>
    <t>Deni</t>
  </si>
  <si>
    <t>+62 813-4711-7691</t>
  </si>
  <si>
    <t>B 8696 BS</t>
  </si>
  <si>
    <t>E240046</t>
  </si>
  <si>
    <t>LFW-LIVINA07XYG</t>
  </si>
  <si>
    <t>Muhammad Khoirul</t>
  </si>
  <si>
    <t>+62 821-3216-4949</t>
  </si>
  <si>
    <t>E240047</t>
  </si>
  <si>
    <t>LFW-CRV02FY</t>
  </si>
  <si>
    <t>Adi Susanto</t>
  </si>
  <si>
    <t>+62 812-4985-2574</t>
  </si>
  <si>
    <t>Jombang</t>
  </si>
  <si>
    <t>TRW-CRV02PIL</t>
  </si>
  <si>
    <t>SWL-CRV02XYG</t>
  </si>
  <si>
    <t>SWR-CRV02XYG</t>
  </si>
  <si>
    <t>E240048</t>
  </si>
  <si>
    <t>Nurul Huda</t>
  </si>
  <si>
    <t>+62 877-8096-4769</t>
  </si>
  <si>
    <t>E240049</t>
  </si>
  <si>
    <t>Akbar Mahardi</t>
  </si>
  <si>
    <t>+62 822-7354-7507</t>
  </si>
  <si>
    <t>E240050</t>
  </si>
  <si>
    <t>Nur Chasanah</t>
  </si>
  <si>
    <t>+62 815-5821-3516</t>
  </si>
  <si>
    <t>OTH-SERLMB</t>
  </si>
  <si>
    <t>E240051</t>
  </si>
  <si>
    <t>Hanung Prijobodo</t>
  </si>
  <si>
    <t>+62 812-4927-946</t>
  </si>
  <si>
    <t>E240052</t>
  </si>
  <si>
    <t>Agung</t>
  </si>
  <si>
    <t>+62 889-7641-9563</t>
  </si>
  <si>
    <t>E240053</t>
  </si>
  <si>
    <t>E240054</t>
  </si>
  <si>
    <t>LFW-SPARK10XYG</t>
  </si>
  <si>
    <t>Arif Sufiantoro</t>
  </si>
  <si>
    <t>+62 812-3507-5024</t>
  </si>
  <si>
    <t>E240055</t>
  </si>
  <si>
    <t>LFW-KAPSUL97MU</t>
  </si>
  <si>
    <t>ADIN WISMAN DIMAS</t>
  </si>
  <si>
    <t>+62 858-8182-3657</t>
  </si>
  <si>
    <t>E240056</t>
  </si>
  <si>
    <t>Alfin Purnomo</t>
  </si>
  <si>
    <t>+62 852-3373-9444</t>
  </si>
  <si>
    <t>OTH-SERTR</t>
  </si>
  <si>
    <t>E240057</t>
  </si>
  <si>
    <t xml:space="preserve">Bengkel Made Mobil Garage (MMG)	</t>
  </si>
  <si>
    <t xml:space="preserve">+62 856-0296-0052		</t>
  </si>
  <si>
    <t>E240058</t>
  </si>
  <si>
    <t>Sandi</t>
  </si>
  <si>
    <t>+62 811-8989-223</t>
  </si>
  <si>
    <t>Sandisetiawan09@gmail.com</t>
  </si>
  <si>
    <t>B 1439 CYG</t>
  </si>
  <si>
    <t>SWR-GRANMAXASH</t>
  </si>
  <si>
    <t>SWL-GRANMAXASH</t>
  </si>
  <si>
    <t>TRW-GRANMAXVANMU</t>
  </si>
  <si>
    <t>E240059</t>
  </si>
  <si>
    <t>Sabda</t>
  </si>
  <si>
    <t>+62 812-9060-6079</t>
  </si>
  <si>
    <t>Bangkalan</t>
  </si>
  <si>
    <t>E240060</t>
  </si>
  <si>
    <t>TRW-FORTUNER05MSG</t>
  </si>
  <si>
    <t>Bintang Axel</t>
  </si>
  <si>
    <t>+62 812-3431-4980</t>
  </si>
  <si>
    <t>E240061</t>
  </si>
  <si>
    <t>Hamzah</t>
  </si>
  <si>
    <t>+62 813-3445-6908</t>
  </si>
  <si>
    <t>N 1776 TW</t>
  </si>
  <si>
    <t>E240062</t>
  </si>
  <si>
    <t>P. Suhadak</t>
  </si>
  <si>
    <t>+62 815-5474-6772</t>
  </si>
  <si>
    <t>L 1318 ABR</t>
  </si>
  <si>
    <t>E240063</t>
  </si>
  <si>
    <t>PT. Tirta Jaya Trapac</t>
  </si>
  <si>
    <t>+62 859-4120-4572</t>
  </si>
  <si>
    <t>E240064</t>
  </si>
  <si>
    <t>SWL-SIGRA16MU</t>
  </si>
  <si>
    <t>Ervin</t>
  </si>
  <si>
    <t>+62 888-0150-4313</t>
  </si>
  <si>
    <t>kingcustome@gmail.com</t>
  </si>
  <si>
    <t>AD 1670 ZL</t>
  </si>
  <si>
    <t>E240065</t>
  </si>
  <si>
    <t>Rofi</t>
  </si>
  <si>
    <t>+62 852-3120-1690</t>
  </si>
  <si>
    <t>B 1691 UZL</t>
  </si>
  <si>
    <t>E240066</t>
  </si>
  <si>
    <t>TRW-TERIOS06HHOLEXYG</t>
  </si>
  <si>
    <t>Yosefus Jehaman</t>
  </si>
  <si>
    <t>082228731072</t>
  </si>
  <si>
    <t>27/05/2024</t>
  </si>
  <si>
    <t>E240067</t>
  </si>
  <si>
    <t>Tri Irianto</t>
  </si>
  <si>
    <t>+62 821-4102-0424</t>
  </si>
  <si>
    <t>E240068</t>
  </si>
  <si>
    <t>LFW-CRV12XYG</t>
  </si>
  <si>
    <t xml:space="preserve">Bengkel Made Mobil Garage (MMG)        </t>
  </si>
  <si>
    <t>E240069</t>
  </si>
  <si>
    <t>Mely</t>
  </si>
  <si>
    <t>+62 821-4340-5769</t>
  </si>
  <si>
    <t>dionrevan@gmail.com</t>
  </si>
  <si>
    <t>L 1513 DV</t>
  </si>
  <si>
    <t>E240070</t>
  </si>
  <si>
    <t>Jarnan</t>
  </si>
  <si>
    <t>+62 823-5285-4119</t>
  </si>
  <si>
    <t>L 1272 EA</t>
  </si>
  <si>
    <t>E240071</t>
  </si>
  <si>
    <t>LFW-AVEO08MU</t>
  </si>
  <si>
    <t>Aril</t>
  </si>
  <si>
    <t>+62 812-3741-5159</t>
  </si>
  <si>
    <t>E240072</t>
  </si>
  <si>
    <t>Arifin</t>
  </si>
  <si>
    <t>+62 813-3112-6766</t>
  </si>
  <si>
    <t>AD 9493 PM</t>
  </si>
  <si>
    <t>E240073</t>
  </si>
  <si>
    <t>Ilham Tri Brilliant</t>
  </si>
  <si>
    <t>+62 856-0465-7046</t>
  </si>
  <si>
    <t>W 1996 BM</t>
  </si>
  <si>
    <t>E240074</t>
  </si>
  <si>
    <t>TRW-CONFEROHHOLEXYG</t>
  </si>
  <si>
    <t>Nita</t>
  </si>
  <si>
    <t>+62 821-4168-6633</t>
  </si>
  <si>
    <t>hardianticharles@gmail.com</t>
  </si>
  <si>
    <t>B 1121 NZF</t>
  </si>
  <si>
    <t>E240075</t>
  </si>
  <si>
    <t>Jonathan</t>
  </si>
  <si>
    <t>+6281252405064</t>
  </si>
  <si>
    <t>jonathanjuliodarmoutama@gmail.com</t>
  </si>
  <si>
    <t>AD 1796 FJ</t>
  </si>
  <si>
    <t>E240076</t>
  </si>
  <si>
    <t>PT Ekadharma</t>
  </si>
  <si>
    <t>+62 856-4688-4624</t>
  </si>
  <si>
    <t>kdc@dsy.ekadharma.com</t>
  </si>
  <si>
    <t>W 9249 N8</t>
  </si>
  <si>
    <t>F240001</t>
  </si>
  <si>
    <t>LFW-PAJERO08MU</t>
  </si>
  <si>
    <t>Hainul</t>
  </si>
  <si>
    <t xml:space="preserve">087872173740  </t>
  </si>
  <si>
    <t>B 1056 NCS</t>
  </si>
  <si>
    <t>Sumenep</t>
  </si>
  <si>
    <t>Rekomendasi Teman</t>
  </si>
  <si>
    <t>F240002</t>
  </si>
  <si>
    <t xml:space="preserve">Fikhar Rasaqa
</t>
  </si>
  <si>
    <t>+62 852-3404-2221</t>
  </si>
  <si>
    <t>efkahrz@gmail.com</t>
  </si>
  <si>
    <t>W 1749 XK</t>
  </si>
  <si>
    <t>F240003</t>
  </si>
  <si>
    <t>Reynaldo</t>
  </si>
  <si>
    <t>+62 811-311-531</t>
  </si>
  <si>
    <t>L 1068 DL</t>
  </si>
  <si>
    <t>F240004</t>
  </si>
  <si>
    <t>TRW-XPANDERXYG</t>
  </si>
  <si>
    <t>Septa</t>
  </si>
  <si>
    <t>+62 822-3000-4112</t>
  </si>
  <si>
    <t>Septarakades@gmail.com</t>
  </si>
  <si>
    <t>W 1341 VZ</t>
  </si>
  <si>
    <t>F240005</t>
  </si>
  <si>
    <t>+62 821-4000-9863</t>
  </si>
  <si>
    <t>ruko</t>
  </si>
  <si>
    <t>F240006</t>
  </si>
  <si>
    <t>Michael Arthur</t>
  </si>
  <si>
    <t>+62 852-3255-8283</t>
  </si>
  <si>
    <t>starumichael@gmail.com</t>
  </si>
  <si>
    <t>L 1207 CAM</t>
  </si>
  <si>
    <t>F240007</t>
  </si>
  <si>
    <t>Arman</t>
  </si>
  <si>
    <t>+62 817-0300-0689</t>
  </si>
  <si>
    <t>N 1360 AT</t>
  </si>
  <si>
    <t>F240008</t>
  </si>
  <si>
    <t>Herry</t>
  </si>
  <si>
    <t>+62 877-5084-0004</t>
  </si>
  <si>
    <t>herimdr77@gmail.com</t>
  </si>
  <si>
    <t>L 1839 J</t>
  </si>
  <si>
    <t>F240009</t>
  </si>
  <si>
    <t>Mustafa</t>
  </si>
  <si>
    <t>+62 819-0671-6613</t>
  </si>
  <si>
    <t>M 1336 AQ</t>
  </si>
  <si>
    <t>Via</t>
  </si>
  <si>
    <t>F240010</t>
  </si>
  <si>
    <t>TRW-H1XYG</t>
  </si>
  <si>
    <t>Tommy</t>
  </si>
  <si>
    <t>+6282228342107</t>
  </si>
  <si>
    <t>F 1209 CF</t>
  </si>
  <si>
    <t>Bekasi</t>
  </si>
  <si>
    <t>Lia</t>
  </si>
  <si>
    <t>F240011</t>
  </si>
  <si>
    <t>P. Heri</t>
  </si>
  <si>
    <t>+62 896-2211-5001</t>
  </si>
  <si>
    <t>iamsomet@gmail.com</t>
  </si>
  <si>
    <t>AD 1347 GY</t>
  </si>
  <si>
    <t>F240012</t>
  </si>
  <si>
    <t>Ifan Zainul</t>
  </si>
  <si>
    <t>+62 812-3319-6121</t>
  </si>
  <si>
    <t>L 1127 DN</t>
  </si>
  <si>
    <t>F240013</t>
  </si>
  <si>
    <t>NMG Glory Motor</t>
  </si>
  <si>
    <t>+62 851-0274-6465</t>
  </si>
  <si>
    <t>Kedung Doro</t>
  </si>
  <si>
    <t>F240014</t>
  </si>
  <si>
    <t>M Zainudin</t>
  </si>
  <si>
    <t>085203188799</t>
  </si>
  <si>
    <t>zenzainudin.zz@gmail.com</t>
  </si>
  <si>
    <t>W 1095 BM</t>
  </si>
  <si>
    <t>F240015</t>
  </si>
  <si>
    <t>Fara</t>
  </si>
  <si>
    <t>+62 812-3472-8903</t>
  </si>
  <si>
    <t>F240016</t>
  </si>
  <si>
    <t>Bengel Jaya Motor</t>
  </si>
  <si>
    <t>6281239559003</t>
  </si>
  <si>
    <t>Labuan Bajo</t>
  </si>
  <si>
    <t>F240017</t>
  </si>
  <si>
    <t>TRW-DYNAASH</t>
  </si>
  <si>
    <t>M Arief</t>
  </si>
  <si>
    <t>+62 896-0111-7680</t>
  </si>
  <si>
    <t>syropx@yahoo.co.id</t>
  </si>
  <si>
    <t>F240018</t>
  </si>
  <si>
    <t>Endrayana</t>
  </si>
  <si>
    <t>+62 816-556-844</t>
  </si>
  <si>
    <t>endrayanaputut29@gmail.com</t>
  </si>
  <si>
    <t>F240019</t>
  </si>
  <si>
    <t>LFW-PAJERO16MU</t>
  </si>
  <si>
    <t>Erlita</t>
  </si>
  <si>
    <t>081216776000</t>
  </si>
  <si>
    <t>Kediri</t>
  </si>
  <si>
    <t>F240020</t>
  </si>
  <si>
    <t>LFW-SOLUNAMU</t>
  </si>
  <si>
    <t>Bahrul</t>
  </si>
  <si>
    <t>+62 812-9207-7223</t>
  </si>
  <si>
    <t>Pandaan</t>
  </si>
  <si>
    <t>F240021</t>
  </si>
  <si>
    <t>Ibu Yuyun</t>
  </si>
  <si>
    <t>+62 878-5116-5501</t>
  </si>
  <si>
    <t>F240022</t>
  </si>
  <si>
    <t>Indra syarif Hidayatullah</t>
  </si>
  <si>
    <t>+62 838-5421-3830</t>
  </si>
  <si>
    <t>F240023</t>
  </si>
  <si>
    <t>Rudi</t>
  </si>
  <si>
    <t>+62 858-1524-3393</t>
  </si>
  <si>
    <t>F240024</t>
  </si>
  <si>
    <t>LFW-CX5GEN1RS3XYG</t>
  </si>
  <si>
    <t>Djoko Pridjanarto</t>
  </si>
  <si>
    <t>+62 811-1003-619</t>
  </si>
  <si>
    <t>djoko.pridjanarto@gmail.com</t>
  </si>
  <si>
    <t>L 1496 SY</t>
  </si>
  <si>
    <t>F240025</t>
  </si>
  <si>
    <t>Ervita</t>
  </si>
  <si>
    <t>+62 812-1785-393</t>
  </si>
  <si>
    <t>W 1607 RT</t>
  </si>
  <si>
    <t>F240026</t>
  </si>
  <si>
    <t>Ardilon</t>
  </si>
  <si>
    <t>+62 812-3595-9542</t>
  </si>
  <si>
    <t>ardilm.faruwu@yahoo.com</t>
  </si>
  <si>
    <t>L 1425 HD</t>
  </si>
  <si>
    <t>F240027</t>
  </si>
  <si>
    <t>Hendra</t>
  </si>
  <si>
    <t>085536777763</t>
  </si>
  <si>
    <t>L 9539</t>
  </si>
  <si>
    <t>F240028</t>
  </si>
  <si>
    <t>LFW-BRIOAGC</t>
  </si>
  <si>
    <t>Dodik Sunarko</t>
  </si>
  <si>
    <t>+62 821-3957-5997</t>
  </si>
  <si>
    <t>AG 1209 F</t>
  </si>
  <si>
    <t>F240029</t>
  </si>
  <si>
    <t xml:space="preserve">Zefanja Walujo </t>
  </si>
  <si>
    <t xml:space="preserve">+62 823-3412-7105                
</t>
  </si>
  <si>
    <t>M 1671 HI</t>
  </si>
  <si>
    <t xml:space="preserve">Zefanja Walujo
</t>
  </si>
  <si>
    <t xml:space="preserve">+62 823-3412-7105 </t>
  </si>
  <si>
    <t>F240030</t>
  </si>
  <si>
    <t>Rahdiandy artha</t>
  </si>
  <si>
    <t>085606936864</t>
  </si>
  <si>
    <t>L 1776 ACN</t>
  </si>
  <si>
    <t>F240031</t>
  </si>
  <si>
    <t>LFW-NAVARA97MU</t>
  </si>
  <si>
    <t>Mustain</t>
  </si>
  <si>
    <t>085784170047</t>
  </si>
  <si>
    <t>N 8287 BF</t>
  </si>
  <si>
    <t>F240032</t>
  </si>
  <si>
    <t>Salamun</t>
  </si>
  <si>
    <t>+62 813-9223-4706</t>
  </si>
  <si>
    <t>Kalimantan Tengah</t>
  </si>
  <si>
    <t>F240033</t>
  </si>
  <si>
    <t>Agnes</t>
  </si>
  <si>
    <t>+62 899-9009-699</t>
  </si>
  <si>
    <t>L 1794 BAV</t>
  </si>
  <si>
    <t>F240034</t>
  </si>
  <si>
    <t>Dally Ahmad</t>
  </si>
  <si>
    <t>+62 899-5601-118</t>
  </si>
  <si>
    <t>Tuban</t>
  </si>
  <si>
    <t>F240035</t>
  </si>
  <si>
    <t>Gunawan Bengkel Mesin Speed Boat</t>
  </si>
  <si>
    <t>Nusa Tenggara Timur</t>
  </si>
  <si>
    <t>F240036</t>
  </si>
  <si>
    <t>Sukirman</t>
  </si>
  <si>
    <t>'+62 813-5710-1417</t>
  </si>
  <si>
    <t>L 1250 CAM</t>
  </si>
  <si>
    <t>F240037</t>
  </si>
  <si>
    <t>Satrio Bambang</t>
  </si>
  <si>
    <t>+62 813-3576-9181</t>
  </si>
  <si>
    <t>L 1957 SG</t>
  </si>
  <si>
    <t>F240038</t>
  </si>
  <si>
    <t>F240039</t>
  </si>
  <si>
    <t>Edy Irawan</t>
  </si>
  <si>
    <t>+62 82337904883</t>
  </si>
  <si>
    <t>P 1401 ZR</t>
  </si>
  <si>
    <t>Pamekasan</t>
  </si>
  <si>
    <t>Michelle</t>
  </si>
  <si>
    <t>F240040</t>
  </si>
  <si>
    <t>TRW-INNOVA04XYG</t>
  </si>
  <si>
    <t>Arif</t>
  </si>
  <si>
    <t>+62 857-3333-7223</t>
  </si>
  <si>
    <t>W 1749 EF</t>
  </si>
  <si>
    <t>via</t>
  </si>
  <si>
    <t>F240041</t>
  </si>
  <si>
    <t>Bernanda</t>
  </si>
  <si>
    <t>+62 812-3492-0151</t>
  </si>
  <si>
    <t>nanda_siskal89@yahoo.com</t>
  </si>
  <si>
    <t>W 1324 ZV</t>
  </si>
  <si>
    <t>F240042</t>
  </si>
  <si>
    <t>Prima</t>
  </si>
  <si>
    <t>+62 813-5710-0755</t>
  </si>
  <si>
    <t>prima.comunity@gmail.com</t>
  </si>
  <si>
    <t>L 1690 RI</t>
  </si>
  <si>
    <t>F240043</t>
  </si>
  <si>
    <t>TRW-CIVIC96XYG</t>
  </si>
  <si>
    <t>Aries</t>
  </si>
  <si>
    <t>+62 858-5473-5061</t>
  </si>
  <si>
    <t>arissamsul1@gmail.com</t>
  </si>
  <si>
    <t>W 1141 XT</t>
  </si>
  <si>
    <t>F240044</t>
  </si>
  <si>
    <t>LFW-APVMU</t>
  </si>
  <si>
    <t>Abd. Kohar</t>
  </si>
  <si>
    <t>+62 857-3199-8855</t>
  </si>
  <si>
    <t>S 1388 OP</t>
  </si>
  <si>
    <t>F240045</t>
  </si>
  <si>
    <t>Christ</t>
  </si>
  <si>
    <t>+62 812-3455-8708</t>
  </si>
  <si>
    <t>christianto708@gmail.com</t>
  </si>
  <si>
    <t>W 1815 ZY</t>
  </si>
  <si>
    <t>OTH-LIST11TOYDAI</t>
  </si>
  <si>
    <t>F240046</t>
  </si>
  <si>
    <t>NGM Glory</t>
  </si>
  <si>
    <t>F240047</t>
  </si>
  <si>
    <t>Zena/Carlos Ambon</t>
  </si>
  <si>
    <t>62 8132-3000-900</t>
  </si>
  <si>
    <t>F240048</t>
  </si>
  <si>
    <t>Nana</t>
  </si>
  <si>
    <t>+62 816-1522-5663</t>
  </si>
  <si>
    <t>durrotunafisah0911@gmail.com</t>
  </si>
  <si>
    <t>F240049</t>
  </si>
  <si>
    <t>LFW-VIOS13MU</t>
  </si>
  <si>
    <t>Nanang Harjiono</t>
  </si>
  <si>
    <t>+62 813-4653-2007</t>
  </si>
  <si>
    <t>qaswa.tour@yahoo.com</t>
  </si>
  <si>
    <t>KU 1330 GJ</t>
  </si>
  <si>
    <t>F240050</t>
  </si>
  <si>
    <t>Erik Yohansa</t>
  </si>
  <si>
    <t>+62 8233-3300-569</t>
  </si>
  <si>
    <t>jjohan0978@gmail.com</t>
  </si>
  <si>
    <t>S 1106 XV</t>
  </si>
  <si>
    <t>TOKO</t>
  </si>
  <si>
    <t>F240051</t>
  </si>
  <si>
    <t>LFW-PALISADE23RSXYG</t>
  </si>
  <si>
    <t>Johan Eric</t>
  </si>
  <si>
    <t>+62 812-3049-393</t>
  </si>
  <si>
    <t>DA 1071 JX</t>
  </si>
  <si>
    <t>F240052</t>
  </si>
  <si>
    <t>I Made Aindrea M.W</t>
  </si>
  <si>
    <t>+62 813-3767-2370</t>
  </si>
  <si>
    <t>L 1094 AAQ</t>
  </si>
  <si>
    <t>F240053</t>
  </si>
  <si>
    <t>Pasuruan</t>
  </si>
  <si>
    <t>F240054</t>
  </si>
  <si>
    <t>Ramadhani</t>
  </si>
  <si>
    <t xml:space="preserve">+62 881-9823-766
</t>
  </si>
  <si>
    <t>Ramadhani@gmail.com</t>
  </si>
  <si>
    <t>DR 1428 AI</t>
  </si>
  <si>
    <t>F240055</t>
  </si>
  <si>
    <t>LFW-MIRAGEMU</t>
  </si>
  <si>
    <t>Eko</t>
  </si>
  <si>
    <t>+62 831-1973-0930</t>
  </si>
  <si>
    <t>fatfrog@gmail.com</t>
  </si>
  <si>
    <t>L 1960 BG</t>
  </si>
  <si>
    <t>F240056</t>
  </si>
  <si>
    <t>LFW-SWIFT04XYG</t>
  </si>
  <si>
    <t>Iwan</t>
  </si>
  <si>
    <t>+62 811-370-016</t>
  </si>
  <si>
    <t>iwanised1@gmail.com</t>
  </si>
  <si>
    <t>N 1918 AAI</t>
  </si>
  <si>
    <t>F240057</t>
  </si>
  <si>
    <t>TRW-LIVINA13XYG</t>
  </si>
  <si>
    <t>+62 857-7127-7827</t>
  </si>
  <si>
    <t>kevinabednego18@gmail.com</t>
  </si>
  <si>
    <t>F240058</t>
  </si>
  <si>
    <t>Nanang</t>
  </si>
  <si>
    <t>+62 852-3217-1122</t>
  </si>
  <si>
    <t>lia</t>
  </si>
  <si>
    <t>F240059</t>
  </si>
  <si>
    <t>P. Utbah</t>
  </si>
  <si>
    <t>+62 857-9091-6561</t>
  </si>
  <si>
    <t>N 1033 SM</t>
  </si>
  <si>
    <t>F240060</t>
  </si>
  <si>
    <t>LFW-FJ150XYG</t>
  </si>
  <si>
    <t xml:space="preserve">6281351878653		</t>
  </si>
  <si>
    <t>Kalsel</t>
  </si>
  <si>
    <t>F240061</t>
  </si>
  <si>
    <t>F240062</t>
  </si>
  <si>
    <t>Ronald Dimas Y.</t>
  </si>
  <si>
    <t>+62 822-5747-6777</t>
  </si>
  <si>
    <t>W 107 RL</t>
  </si>
  <si>
    <t>F240063</t>
  </si>
  <si>
    <t>TRW-ERTIGA18ASH</t>
  </si>
  <si>
    <t>Ferdian/Laila</t>
  </si>
  <si>
    <t>+62 812-4986-1316</t>
  </si>
  <si>
    <t>W 1196 UL</t>
  </si>
  <si>
    <t xml:space="preserve">Surabaya		</t>
  </si>
  <si>
    <t>F240064</t>
  </si>
  <si>
    <t>P. Syaiful Rizal</t>
  </si>
  <si>
    <t>+62 857-3038-2838</t>
  </si>
  <si>
    <t>L 1702 FR</t>
  </si>
  <si>
    <t>F240065</t>
  </si>
  <si>
    <t>P. Suhendi</t>
  </si>
  <si>
    <t>+62 852-3257-8999</t>
  </si>
  <si>
    <t>M 1316 HM</t>
  </si>
  <si>
    <t>F240066</t>
  </si>
  <si>
    <t>Andika</t>
  </si>
  <si>
    <t>+62 811-3000-806</t>
  </si>
  <si>
    <t>BK 1063 LAH</t>
  </si>
  <si>
    <t>F240067</t>
  </si>
  <si>
    <t>Fajar/Sandi</t>
  </si>
  <si>
    <t>+62 822-1999-1199</t>
  </si>
  <si>
    <t>W 6 MI</t>
  </si>
  <si>
    <t>F240068</t>
  </si>
  <si>
    <t>P Dinol</t>
  </si>
  <si>
    <t>+62 822-4441-5569</t>
  </si>
  <si>
    <t>L 1282 KR</t>
  </si>
  <si>
    <t>F240069</t>
  </si>
  <si>
    <t>TRW-T31XYG</t>
  </si>
  <si>
    <t>Bp Husin Sudarta</t>
  </si>
  <si>
    <t xml:space="preserve">+62 853-3746-7889
</t>
  </si>
  <si>
    <t>Bali</t>
  </si>
  <si>
    <t xml:space="preserve">+62 853-3746-7889
</t>
  </si>
  <si>
    <t>F240070</t>
  </si>
  <si>
    <t>Muhyidin Achmad</t>
  </si>
  <si>
    <t>+62 819-9900-5269</t>
  </si>
  <si>
    <t>H 1202 WP</t>
  </si>
  <si>
    <t>F240071</t>
  </si>
  <si>
    <t>SWR-AVANZA11MU</t>
  </si>
  <si>
    <t>Yossy</t>
  </si>
  <si>
    <t>F240072</t>
  </si>
  <si>
    <t>Adi Sujarwo</t>
  </si>
  <si>
    <t>+62 896-1687-0934"</t>
  </si>
  <si>
    <t>F240073</t>
  </si>
  <si>
    <t>Andik</t>
  </si>
  <si>
    <t>+62 823-3257-6905</t>
  </si>
  <si>
    <t>F240074</t>
  </si>
  <si>
    <t>TRW-AVEGA99XYG</t>
  </si>
  <si>
    <t>Nyoman Adi</t>
  </si>
  <si>
    <t>+62 812-3144-984</t>
  </si>
  <si>
    <t>25/6/24 - 420 cash / 1678 TF 33</t>
  </si>
  <si>
    <t>F240075</t>
  </si>
  <si>
    <t>LFW-E36MU</t>
  </si>
  <si>
    <t>Defri</t>
  </si>
  <si>
    <t>+62 8135-3317-838</t>
  </si>
  <si>
    <t>Jember</t>
  </si>
  <si>
    <t>F240076</t>
  </si>
  <si>
    <t>P. Iponk</t>
  </si>
  <si>
    <t>+62 821-3183-8464</t>
  </si>
  <si>
    <t>L 1085 VA</t>
  </si>
  <si>
    <t>F240077</t>
  </si>
  <si>
    <t>H Nur Ilyas</t>
  </si>
  <si>
    <t>+62 857-0433-5276</t>
  </si>
  <si>
    <t>B 1474 TZV</t>
  </si>
  <si>
    <t>F240078</t>
  </si>
  <si>
    <t>P. Pandu</t>
  </si>
  <si>
    <t>+62 813-4471-1900</t>
  </si>
  <si>
    <t>F240079</t>
  </si>
  <si>
    <t>LFW-TERRANOMU</t>
  </si>
  <si>
    <t>P. Dixon</t>
  </si>
  <si>
    <t>+62 812-1377-0223</t>
  </si>
  <si>
    <t>1/7/24 - 1,242,000</t>
  </si>
  <si>
    <t>F240080</t>
  </si>
  <si>
    <t>PT. Motors Sentral Indonesia</t>
  </si>
  <si>
    <t>+62 821-2222-1544</t>
  </si>
  <si>
    <t>F240081</t>
  </si>
  <si>
    <t>Hafidz Novalsyah</t>
  </si>
  <si>
    <t>081390333555</t>
  </si>
  <si>
    <t>F240082</t>
  </si>
  <si>
    <t>TRW-XPANDERHAGC</t>
  </si>
  <si>
    <t>Gandhi</t>
  </si>
  <si>
    <t>+62 812-4485-1700</t>
  </si>
  <si>
    <t>F240083</t>
  </si>
  <si>
    <t>Letnan Ino</t>
  </si>
  <si>
    <t>0812992903900</t>
  </si>
  <si>
    <t>WIBOWO CARGO</t>
  </si>
  <si>
    <t>081330192606</t>
  </si>
  <si>
    <t>F240084</t>
  </si>
  <si>
    <t>Nixon</t>
  </si>
  <si>
    <t>+62 851-0001-5919</t>
  </si>
  <si>
    <t>L 1822 LE</t>
  </si>
  <si>
    <t>F240085</t>
  </si>
  <si>
    <t>RDL-BRIO18AGC</t>
  </si>
  <si>
    <t>Johan</t>
  </si>
  <si>
    <t>+62 857-0478-5025</t>
  </si>
  <si>
    <t>johansyah234.imawan@gmail.com</t>
  </si>
  <si>
    <t>W 1402 DA</t>
  </si>
  <si>
    <t>F240086</t>
  </si>
  <si>
    <t>TRW-SIRION2XYG</t>
  </si>
  <si>
    <t>Muamar</t>
  </si>
  <si>
    <t>+62 838-5221-7142</t>
  </si>
  <si>
    <t>DA 1078 PR</t>
  </si>
  <si>
    <t>29/6/24 - 1100000</t>
  </si>
  <si>
    <t>F240087</t>
  </si>
  <si>
    <t>Ansori</t>
  </si>
  <si>
    <t>+62 851-0058-2268</t>
  </si>
  <si>
    <t>Rekanan</t>
  </si>
  <si>
    <t>04/07/2024 - G240011</t>
  </si>
  <si>
    <t>F240088</t>
  </si>
  <si>
    <t>LFW-FORTUNER15MU</t>
  </si>
  <si>
    <t>Prasetya</t>
  </si>
  <si>
    <t>+62 815-5283-300</t>
  </si>
  <si>
    <t>29/6/24 - 360
1/7/24 - 1,470,000</t>
  </si>
  <si>
    <t>G240001</t>
  </si>
  <si>
    <t>Alvin,Michelle,Wisman,Dimas,Guntur,Ade</t>
  </si>
  <si>
    <t>G240002</t>
  </si>
  <si>
    <t>P. Abdul Rohman C</t>
  </si>
  <si>
    <t>+62 821-4048-0404</t>
  </si>
  <si>
    <t>L 1082 AO</t>
  </si>
  <si>
    <t>G240003</t>
  </si>
  <si>
    <t>P. Wawan</t>
  </si>
  <si>
    <t>+62 812-1636-6620</t>
  </si>
  <si>
    <t>G240004</t>
  </si>
  <si>
    <t>P. Achmad</t>
  </si>
  <si>
    <t>+62 821-4114-1825</t>
  </si>
  <si>
    <t>G240005</t>
  </si>
  <si>
    <t>1/7/24 - 251</t>
  </si>
  <si>
    <t>7/8/24 - setor 837.000</t>
  </si>
  <si>
    <t>G240006</t>
  </si>
  <si>
    <t>Saipul</t>
  </si>
  <si>
    <t>+62 852-5755-8959</t>
  </si>
  <si>
    <t>OTH-SERBY</t>
  </si>
  <si>
    <t>+62 852-5755-8960</t>
  </si>
  <si>
    <t>G240007</t>
  </si>
  <si>
    <t>Olviandy indra wahyudy</t>
  </si>
  <si>
    <t>+62 851-0170-3848</t>
  </si>
  <si>
    <t>G240008</t>
  </si>
  <si>
    <t>LFW-W176XYG</t>
  </si>
  <si>
    <t>Yimmy K.</t>
  </si>
  <si>
    <t>+62 811-311-718</t>
  </si>
  <si>
    <t>2/7/24 - 1,865,600</t>
  </si>
  <si>
    <t>G240009</t>
  </si>
  <si>
    <t>LFW-CARRY19MU</t>
  </si>
  <si>
    <t>Bengkel Jaya Motor</t>
  </si>
  <si>
    <t>+62 812-3859-7775</t>
  </si>
  <si>
    <t>TRW-CARRY19AGC</t>
  </si>
  <si>
    <t>G240010</t>
  </si>
  <si>
    <t>H. Syafi'i</t>
  </si>
  <si>
    <t>+62 821-4004-0045</t>
  </si>
  <si>
    <t>G240011</t>
  </si>
  <si>
    <t>G240012</t>
  </si>
  <si>
    <t>Huda / ririn islamiyah</t>
  </si>
  <si>
    <t>+62 821-3226-4799</t>
  </si>
  <si>
    <t>G240013</t>
  </si>
  <si>
    <t>Muhamad Novianto</t>
  </si>
  <si>
    <t>+62 812-3463-7272</t>
  </si>
  <si>
    <t>L 1903 YG</t>
  </si>
  <si>
    <t>4/7/24 - 1,736,000</t>
  </si>
  <si>
    <t>G240014</t>
  </si>
  <si>
    <t>62 812-3144-984</t>
  </si>
  <si>
    <t>L 1815 ABX</t>
  </si>
  <si>
    <t>1.778.000 TF 33 (sekalgius pembayara F240074)</t>
  </si>
  <si>
    <t>G240015</t>
  </si>
  <si>
    <t>Achmad Fariz</t>
  </si>
  <si>
    <t>+62 821-1500-8370</t>
  </si>
  <si>
    <t>W 1411 OJ</t>
  </si>
  <si>
    <t>G240016</t>
  </si>
  <si>
    <t>TRW-XPANDERAGC</t>
  </si>
  <si>
    <t>Ahmad</t>
  </si>
  <si>
    <t>+62 821-4467-3151</t>
  </si>
  <si>
    <t>P 1097 AW</t>
  </si>
  <si>
    <t>17/7/24 - 1.200.000</t>
  </si>
  <si>
    <t>G240017</t>
  </si>
  <si>
    <t>Ferry</t>
  </si>
  <si>
    <t>+62 853-3634-1447</t>
  </si>
  <si>
    <t>AE 1619 CL</t>
  </si>
  <si>
    <t>Mojokerto</t>
  </si>
  <si>
    <t>G240018</t>
  </si>
  <si>
    <t>+62 878-1976-3915</t>
  </si>
  <si>
    <t>W 1945 VF</t>
  </si>
  <si>
    <t>G240019</t>
  </si>
  <si>
    <t>P. Hadi</t>
  </si>
  <si>
    <t>+62 857-0807-5110</t>
  </si>
  <si>
    <t>B 1246 UYT</t>
  </si>
  <si>
    <t>G240020</t>
  </si>
  <si>
    <t>P.Munawar</t>
  </si>
  <si>
    <t xml:space="preserve">+62 812-8875-1819
</t>
  </si>
  <si>
    <t>L 1073 DAG</t>
  </si>
  <si>
    <t>17/7/24 - 1.590.000</t>
  </si>
  <si>
    <t>G240021</t>
  </si>
  <si>
    <t>P. Abdullah</t>
  </si>
  <si>
    <t>+62 819-3822-0440</t>
  </si>
  <si>
    <t>G240022</t>
  </si>
  <si>
    <t>P. Much. Ibrahim</t>
  </si>
  <si>
    <t>+62 851-0661-0059</t>
  </si>
  <si>
    <t>E 1384 CH</t>
  </si>
  <si>
    <t>G240023</t>
  </si>
  <si>
    <t>P. Deny</t>
  </si>
  <si>
    <t>+62 895-0577-0804</t>
  </si>
  <si>
    <t>N 1725 ACJ</t>
  </si>
  <si>
    <t>G240024</t>
  </si>
  <si>
    <t>John Bengkel Ketok Mejik</t>
  </si>
  <si>
    <t>+62 812-3334-2227</t>
  </si>
  <si>
    <t>W 1207 EF</t>
  </si>
  <si>
    <t>G240025</t>
  </si>
  <si>
    <t>Siti lathifa</t>
  </si>
  <si>
    <t>+62 813-3135-9410</t>
  </si>
  <si>
    <t>L 1782 NI</t>
  </si>
  <si>
    <t>G240026</t>
  </si>
  <si>
    <t>Conny</t>
  </si>
  <si>
    <t>+62 898-2570-205</t>
  </si>
  <si>
    <t>P 1757 AY</t>
  </si>
  <si>
    <t>G240027</t>
  </si>
  <si>
    <t>P. Mahfud</t>
  </si>
  <si>
    <t>+62 822-3355-8048</t>
  </si>
  <si>
    <t>L 1948 LW</t>
  </si>
  <si>
    <t>G240028</t>
  </si>
  <si>
    <t>Bengkel Bintang Jaya</t>
  </si>
  <si>
    <t>+62 821-4343-8108</t>
  </si>
  <si>
    <t>9/7/24 - 2.248.000</t>
  </si>
  <si>
    <t>G240029</t>
  </si>
  <si>
    <t>Aldi</t>
  </si>
  <si>
    <t>+62 819-3341-0235</t>
  </si>
  <si>
    <t>W 1223 AC</t>
  </si>
  <si>
    <t>G240030</t>
  </si>
  <si>
    <t>Cahyo</t>
  </si>
  <si>
    <t>+62 895-6061-92324</t>
  </si>
  <si>
    <t>L 1854 MS</t>
  </si>
  <si>
    <t>9/7/24 - 500.000</t>
  </si>
  <si>
    <t>G240031</t>
  </si>
  <si>
    <t>P. Deddy</t>
  </si>
  <si>
    <t>+62 813-5757-5822</t>
  </si>
  <si>
    <t>W 1327 CF</t>
  </si>
  <si>
    <t>9/7/24 - 1.580.000</t>
  </si>
  <si>
    <t>G240032</t>
  </si>
  <si>
    <t>P.ilham</t>
  </si>
  <si>
    <t>+62 822-3049-1113</t>
  </si>
  <si>
    <t>L 1692 KM</t>
  </si>
  <si>
    <t>10/7/24 - 1.310.000</t>
  </si>
  <si>
    <t>G240033</t>
  </si>
  <si>
    <t>P. Sulton</t>
  </si>
  <si>
    <t>+62 857-3374-4956</t>
  </si>
  <si>
    <t>DA 8403 CZ</t>
  </si>
  <si>
    <t>10/7/24 -  550.000</t>
  </si>
  <si>
    <t>G240034</t>
  </si>
  <si>
    <t>P. Olviandy Indra</t>
  </si>
  <si>
    <t>oliviandyindra@yahoo.com</t>
  </si>
  <si>
    <t>L 1132 AW</t>
  </si>
  <si>
    <t>10/7/24 - 1.572.000</t>
  </si>
  <si>
    <t>G240035</t>
  </si>
  <si>
    <t>NGM Glory Motor</t>
  </si>
  <si>
    <t>11/7/24 - 825.000</t>
  </si>
  <si>
    <t>G240036</t>
  </si>
  <si>
    <t>RDR-AVANZA11ASH</t>
  </si>
  <si>
    <t>P. Basri</t>
  </si>
  <si>
    <t>+62 812-2660-0901</t>
  </si>
  <si>
    <t>7/8/24 - 515.000</t>
  </si>
  <si>
    <t>G240037</t>
  </si>
  <si>
    <t>LFW-CRV07MU</t>
  </si>
  <si>
    <t>P. Indra</t>
  </si>
  <si>
    <t>+62 813-3638-2809</t>
  </si>
  <si>
    <t>7/8/24 - 1.902.000</t>
  </si>
  <si>
    <t>G240038</t>
  </si>
  <si>
    <t>P. Ardi</t>
  </si>
  <si>
    <t>+62 857-0012-0093</t>
  </si>
  <si>
    <t>W 1451 IY</t>
  </si>
  <si>
    <t>7/8/24 - 1.798.000</t>
  </si>
  <si>
    <t>G240039</t>
  </si>
  <si>
    <t>TRW-NAVARA04XYG</t>
  </si>
  <si>
    <t>Farid</t>
  </si>
  <si>
    <t>+62 877-5074-8787</t>
  </si>
  <si>
    <t>7/8/24 - 1.636.000</t>
  </si>
  <si>
    <t>G240040</t>
  </si>
  <si>
    <t xml:space="preserve">Wilson </t>
  </si>
  <si>
    <t>+62 811-3662-288</t>
  </si>
  <si>
    <t>H 1502 PO</t>
  </si>
  <si>
    <t>7/8/24 - 1.149.000</t>
  </si>
  <si>
    <t>G240041</t>
  </si>
  <si>
    <t xml:space="preserve">PT Megaduta Artha Megah
</t>
  </si>
  <si>
    <t>+62 878-9659-6525</t>
  </si>
  <si>
    <t>7/8/24 - 550.000</t>
  </si>
  <si>
    <t>G240042</t>
  </si>
  <si>
    <t>LFW-BRV16MU</t>
  </si>
  <si>
    <t>P. Yunan</t>
  </si>
  <si>
    <t>+62 817-5299-099</t>
  </si>
  <si>
    <t>7/8/24 - 1.533.000</t>
  </si>
  <si>
    <t>G240043</t>
  </si>
  <si>
    <t>TRW-XPANDERHXYG</t>
  </si>
  <si>
    <t xml:space="preserve">Rizki firmansyah
</t>
  </si>
  <si>
    <t>+62 822-3025-7709</t>
  </si>
  <si>
    <t>L 1339 RY</t>
  </si>
  <si>
    <t>7/8/24 - 950.000</t>
  </si>
  <si>
    <t>G240044</t>
  </si>
  <si>
    <t>TRW-HIACEC20XYG</t>
  </si>
  <si>
    <t>Aris</t>
  </si>
  <si>
    <t>+62 813-3113-7640</t>
  </si>
  <si>
    <t>AG 7392 AA</t>
  </si>
  <si>
    <t>7/8/24 - 2.637.000</t>
  </si>
  <si>
    <t>14/7/24 - langsung kasih wisman ade</t>
  </si>
  <si>
    <t>G240045</t>
  </si>
  <si>
    <t>P. MarQo</t>
  </si>
  <si>
    <t>+62 812-3125-9125</t>
  </si>
  <si>
    <t>gko_emblez@yahoo.co.id</t>
  </si>
  <si>
    <t>L 1932 MG</t>
  </si>
  <si>
    <t>7/8/24 -  1.020.000</t>
  </si>
  <si>
    <t>G240046</t>
  </si>
  <si>
    <t>P. Anwar</t>
  </si>
  <si>
    <t>+62 812-30325-775</t>
  </si>
  <si>
    <t>L 1785 ABY</t>
  </si>
  <si>
    <t>7/8/24 -  1.719.000</t>
  </si>
  <si>
    <t>G240047</t>
  </si>
  <si>
    <t>TRW-HIACE19BNGXYG</t>
  </si>
  <si>
    <t>PT. Rajawali Penanggungan</t>
  </si>
  <si>
    <t>+62 821-3180-4088</t>
  </si>
  <si>
    <t>S 7777 RB</t>
  </si>
  <si>
    <t>7/8/24 - 2.590.000</t>
  </si>
  <si>
    <t>G240048</t>
  </si>
  <si>
    <t>TRW-TAFTGTASH</t>
  </si>
  <si>
    <t>Bpk. Hotib</t>
  </si>
  <si>
    <t>+62 819-1359-7377</t>
  </si>
  <si>
    <t>S 1576 PV</t>
  </si>
  <si>
    <t>7/8/24 - 700.000</t>
  </si>
  <si>
    <t>G240049</t>
  </si>
  <si>
    <t>FDL-PAJERO08ASH</t>
  </si>
  <si>
    <t>P. Sukmo</t>
  </si>
  <si>
    <t>+62 823-3291-0100</t>
  </si>
  <si>
    <t>L 1387 SY</t>
  </si>
  <si>
    <t>7/8/24 - 505.000</t>
  </si>
  <si>
    <t>G240050</t>
  </si>
  <si>
    <t>Bengkel Rossi Motor</t>
  </si>
  <si>
    <t>+62 853-3607-9731</t>
  </si>
  <si>
    <t>7/8/24 - 3.124.000/3.474.000</t>
  </si>
  <si>
    <t>7/8/24 - 190.000 / 3.474.000</t>
  </si>
  <si>
    <t>7/8/24 - 160.000/3.474.000</t>
  </si>
  <si>
    <t>G240051</t>
  </si>
  <si>
    <t>LFW-W211XYG</t>
  </si>
  <si>
    <t>Yudhi Suryawan Hindarto</t>
  </si>
  <si>
    <t xml:space="preserve"> +62 819-1331-1666</t>
  </si>
  <si>
    <t>7/8/24 - 3.426.000</t>
  </si>
  <si>
    <t>G240052</t>
  </si>
  <si>
    <t>+62 858-5306-8760</t>
  </si>
  <si>
    <t>G240053</t>
  </si>
  <si>
    <t>P. Nanang</t>
  </si>
  <si>
    <t>G240054</t>
  </si>
  <si>
    <t>P. Andre</t>
  </si>
  <si>
    <t>+62 821-3932-0838</t>
  </si>
  <si>
    <t>G240055</t>
  </si>
  <si>
    <t>P. Moch Yasin</t>
  </si>
  <si>
    <t>+62 818-511-359</t>
  </si>
  <si>
    <t>L 1429  ABT</t>
  </si>
  <si>
    <t>G240056</t>
  </si>
  <si>
    <t xml:space="preserve">Bambang Hermanto
</t>
  </si>
  <si>
    <t>+62 813-3180-2660</t>
  </si>
  <si>
    <t>W 8056 D</t>
  </si>
  <si>
    <t>Krian</t>
  </si>
  <si>
    <t>G240057</t>
  </si>
  <si>
    <t>P. Dzikri</t>
  </si>
  <si>
    <t>+62 877-2500-4731</t>
  </si>
  <si>
    <t>G240058</t>
  </si>
  <si>
    <t>P. Santos</t>
  </si>
  <si>
    <t>+62 813-3645-6900</t>
  </si>
  <si>
    <t>L 1215ACC</t>
  </si>
  <si>
    <t>VIA</t>
  </si>
  <si>
    <t>G240059</t>
  </si>
  <si>
    <t>+62 822-3135-0134</t>
  </si>
  <si>
    <t>N 8005 DW</t>
  </si>
  <si>
    <t>LIA</t>
  </si>
  <si>
    <t>10/8/24 - 1,800,000</t>
  </si>
  <si>
    <t>10/8/24 - lembur</t>
  </si>
  <si>
    <t>G240060</t>
  </si>
  <si>
    <t>LFW-RIO11XYG</t>
  </si>
  <si>
    <t>Maurice</t>
  </si>
  <si>
    <t>+62 817-0306-0534</t>
  </si>
  <si>
    <t>10/8/24 - 2,334,000</t>
  </si>
  <si>
    <t>G240061</t>
  </si>
  <si>
    <t>P. Ansori</t>
  </si>
  <si>
    <t>G240062</t>
  </si>
  <si>
    <t>Elim Lugito</t>
  </si>
  <si>
    <t>+62 822-3481-3217</t>
  </si>
  <si>
    <t>W 1532 ZS</t>
  </si>
  <si>
    <t>G240063</t>
  </si>
  <si>
    <t>P. Heru</t>
  </si>
  <si>
    <t>+62 852-3682-7555</t>
  </si>
  <si>
    <t>P 555 FF</t>
  </si>
  <si>
    <t>Banyuwangi</t>
  </si>
  <si>
    <t>CICI</t>
  </si>
  <si>
    <t>G240064</t>
  </si>
  <si>
    <t>Bella</t>
  </si>
  <si>
    <t>+62 877-7056-7222</t>
  </si>
  <si>
    <t>G240065</t>
  </si>
  <si>
    <t>P. Amarzuki</t>
  </si>
  <si>
    <t>+62 813-3281-7319</t>
  </si>
  <si>
    <t>G240066</t>
  </si>
  <si>
    <t>Jason</t>
  </si>
  <si>
    <t>+62 813-5982-3838</t>
  </si>
  <si>
    <t>G240067</t>
  </si>
  <si>
    <t>P. Mustaen</t>
  </si>
  <si>
    <t>+62 823-3881-3162</t>
  </si>
  <si>
    <t>G240068</t>
  </si>
  <si>
    <t>B. Titin</t>
  </si>
  <si>
    <t>+62 881-0365-57498</t>
  </si>
  <si>
    <t>S 1002 SM</t>
  </si>
  <si>
    <t xml:space="preserve">Mojokerto		</t>
  </si>
  <si>
    <t>G240069</t>
  </si>
  <si>
    <t>Dally Achmad</t>
  </si>
  <si>
    <t xml:space="preserve">+62 899-5601-118                        </t>
  </si>
  <si>
    <t>G240070</t>
  </si>
  <si>
    <t>Dhupit Andiarto</t>
  </si>
  <si>
    <t>+62 822-3245-1251</t>
  </si>
  <si>
    <t>G240071</t>
  </si>
  <si>
    <t>Doni aris</t>
  </si>
  <si>
    <t>+62 852-3682-3902</t>
  </si>
  <si>
    <t>Bojonegoro</t>
  </si>
  <si>
    <t>G240072</t>
  </si>
  <si>
    <t>Nohan</t>
  </si>
  <si>
    <t>+62 813-5712-6808</t>
  </si>
  <si>
    <t>G240073</t>
  </si>
  <si>
    <t>LFW-ALPHARD02PIL</t>
  </si>
  <si>
    <t>Abrori</t>
  </si>
  <si>
    <t>+62 817-0048-111</t>
  </si>
  <si>
    <t>G240074</t>
  </si>
  <si>
    <t>P. Abusiri</t>
  </si>
  <si>
    <t>+62 823-3072-1178</t>
  </si>
  <si>
    <t>G240075</t>
  </si>
  <si>
    <t>P. Purwanto</t>
  </si>
  <si>
    <t>+62 851-0609-6699</t>
  </si>
  <si>
    <t>G240076</t>
  </si>
  <si>
    <t>LFW-SIRION2MU</t>
  </si>
  <si>
    <t>G240077</t>
  </si>
  <si>
    <t>P. Lazuardi</t>
  </si>
  <si>
    <t>+62 813-5799-6761</t>
  </si>
  <si>
    <t>G240078</t>
  </si>
  <si>
    <t>P. Obi</t>
  </si>
  <si>
    <t>+62 896-7874-4326</t>
  </si>
  <si>
    <t>G240079</t>
  </si>
  <si>
    <t>P. Agam</t>
  </si>
  <si>
    <t>+62 812-6999-7757</t>
  </si>
  <si>
    <t>G240080</t>
  </si>
  <si>
    <t>G240081</t>
  </si>
  <si>
    <t>G240082</t>
  </si>
  <si>
    <t>Pak Suwoto</t>
  </si>
  <si>
    <t>+62 813-3058-3838</t>
  </si>
  <si>
    <t>Driyorejo</t>
  </si>
  <si>
    <t>G240083</t>
  </si>
  <si>
    <t>VOID</t>
  </si>
  <si>
    <t>G240084</t>
  </si>
  <si>
    <t>P. Yaniar</t>
  </si>
  <si>
    <t>+62 812-4906-4086</t>
  </si>
  <si>
    <t>G240085</t>
  </si>
  <si>
    <t>P. Yudha</t>
  </si>
  <si>
    <t>+62 822-3104-7436</t>
  </si>
  <si>
    <t>G240086</t>
  </si>
  <si>
    <t>Dhaniel Paundra</t>
  </si>
  <si>
    <t>+62 881-0363-42670</t>
  </si>
  <si>
    <t>G240087</t>
  </si>
  <si>
    <t>P. Purnomo</t>
  </si>
  <si>
    <t>+62 813-5869-4520</t>
  </si>
  <si>
    <t>FDR-INNOVA04MSG</t>
  </si>
  <si>
    <t>RDR-INNOVA04ASH</t>
  </si>
  <si>
    <t>SWR-INNOVA04ASH</t>
  </si>
  <si>
    <t>RVR-INNOVA04ASH</t>
  </si>
  <si>
    <t>G240088</t>
  </si>
  <si>
    <t>Abdul Kodir</t>
  </si>
  <si>
    <t>082243597774</t>
  </si>
  <si>
    <t>G240089</t>
  </si>
  <si>
    <t>P. Kusmandar</t>
  </si>
  <si>
    <t>+62 823-3411-1992</t>
  </si>
  <si>
    <t>G240090</t>
  </si>
  <si>
    <t>G240091</t>
  </si>
  <si>
    <t>LFW-ALMAZFY</t>
  </si>
  <si>
    <t>P. Leo</t>
  </si>
  <si>
    <t>+62 813-6867-5859</t>
  </si>
  <si>
    <t>G240092</t>
  </si>
  <si>
    <t>Panen raya</t>
  </si>
  <si>
    <t>+62 813-4922-9400</t>
  </si>
  <si>
    <t>Sampit</t>
  </si>
  <si>
    <t>G240093</t>
  </si>
  <si>
    <t>Ferry Bramastu</t>
  </si>
  <si>
    <t>+62 812-5288-8082</t>
  </si>
  <si>
    <t>H240001</t>
  </si>
  <si>
    <t>LFW-OPTRAXYG</t>
  </si>
  <si>
    <t>P. Aris</t>
  </si>
  <si>
    <t>+62 821-3203-5352</t>
  </si>
  <si>
    <t>suhartoaris.2305@gmail.com</t>
  </si>
  <si>
    <t>W 1541 AN</t>
  </si>
  <si>
    <t>H240002</t>
  </si>
  <si>
    <t>Fairuz Fahmi</t>
  </si>
  <si>
    <t>+62 812-3071-119</t>
  </si>
  <si>
    <t>L 4 CA</t>
  </si>
  <si>
    <t>H240003</t>
  </si>
  <si>
    <t>SWR-SIGRA16MU</t>
  </si>
  <si>
    <t>B. Lidya</t>
  </si>
  <si>
    <t>+62 822-4529-8962</t>
  </si>
  <si>
    <t>L 1237 ACS</t>
  </si>
  <si>
    <t>H240004</t>
  </si>
  <si>
    <t>LFW-NAV07XYG</t>
  </si>
  <si>
    <t>P. Josef</t>
  </si>
  <si>
    <t>+6281354799200</t>
  </si>
  <si>
    <t>2.531.200 TF 33 // 507.800</t>
  </si>
  <si>
    <t>H240005</t>
  </si>
  <si>
    <t>Nizhar</t>
  </si>
  <si>
    <t>+62 823-2233-6608</t>
  </si>
  <si>
    <t>rifky.nizhar@gmail.com</t>
  </si>
  <si>
    <t>S 1552 OO</t>
  </si>
  <si>
    <t>H240006</t>
  </si>
  <si>
    <t>H240007</t>
  </si>
  <si>
    <t>FDR-INNOVA15ASH</t>
  </si>
  <si>
    <t>RISAL</t>
  </si>
  <si>
    <t>+62 856-5706-7629</t>
  </si>
  <si>
    <t>nuriadi3352@gmail.om</t>
  </si>
  <si>
    <t>W 1356 CY</t>
  </si>
  <si>
    <t>H240008</t>
  </si>
  <si>
    <t>Yulianto</t>
  </si>
  <si>
    <t>+62 812-7054-8726</t>
  </si>
  <si>
    <t>L 9491 AL</t>
  </si>
  <si>
    <t>H240009</t>
  </si>
  <si>
    <t>Melani</t>
  </si>
  <si>
    <t>+62 816-5447-687</t>
  </si>
  <si>
    <t>L 1628 DAV</t>
  </si>
  <si>
    <t>H240010</t>
  </si>
  <si>
    <t>Sandy Yansiku</t>
  </si>
  <si>
    <t>+62 822-1327-5469</t>
  </si>
  <si>
    <t>H240011</t>
  </si>
  <si>
    <t>Fahreza Nugraha</t>
  </si>
  <si>
    <t>+62 812-3600-1807</t>
  </si>
  <si>
    <t>L 1501 WO</t>
  </si>
  <si>
    <t>H240012</t>
  </si>
  <si>
    <t>Taufik Hidayat</t>
  </si>
  <si>
    <t>085643753750</t>
  </si>
  <si>
    <t>N 1702 WE</t>
  </si>
  <si>
    <t>H240013</t>
  </si>
  <si>
    <t>P. Jason</t>
  </si>
  <si>
    <t>H240014</t>
  </si>
  <si>
    <t>P. M Thoriq</t>
  </si>
  <si>
    <t>+62 851-5944-1299</t>
  </si>
  <si>
    <t>S 1202 JU</t>
  </si>
  <si>
    <t>H240015</t>
  </si>
  <si>
    <t>+62 857-4803-8078</t>
  </si>
  <si>
    <t>nurulmamafaf@gmail.com</t>
  </si>
  <si>
    <t>L 1915 AAW</t>
  </si>
  <si>
    <t>H240016</t>
  </si>
  <si>
    <t>LFW-QQ03MU</t>
  </si>
  <si>
    <t>P. Rofii</t>
  </si>
  <si>
    <t>+62 853-3113-0518</t>
  </si>
  <si>
    <t>arlyafira010@gmail.com</t>
  </si>
  <si>
    <t>H 1432 AM</t>
  </si>
  <si>
    <t>H240017</t>
  </si>
  <si>
    <t>Sherly</t>
  </si>
  <si>
    <t>'+62 852-3004-8828</t>
  </si>
  <si>
    <t>sherlychenk@gmail.com</t>
  </si>
  <si>
    <t>N 1068 AE</t>
  </si>
  <si>
    <t>H240018</t>
  </si>
  <si>
    <t>P. Farid</t>
  </si>
  <si>
    <t>+62 853-3564-4401</t>
  </si>
  <si>
    <t>ahmadfaridrahman92@gmail.com</t>
  </si>
  <si>
    <t>P 1490 DU</t>
  </si>
  <si>
    <t>MArketplace</t>
  </si>
  <si>
    <t>H240019</t>
  </si>
  <si>
    <t>P. Dwi Agus</t>
  </si>
  <si>
    <t>+62 816-5455-737</t>
  </si>
  <si>
    <t>W 1403 OT</t>
  </si>
  <si>
    <t>H240020</t>
  </si>
  <si>
    <t>Edy Suprapto/Sunarsih</t>
  </si>
  <si>
    <t>+62 814-5904-3862</t>
  </si>
  <si>
    <t>H240021</t>
  </si>
  <si>
    <t>+62 812-3294-693</t>
  </si>
  <si>
    <t>L 1412 XF</t>
  </si>
  <si>
    <t>H240022</t>
  </si>
  <si>
    <t>FDR-SWIFT04AGC</t>
  </si>
  <si>
    <t>P. Sudik</t>
  </si>
  <si>
    <t>+62 812-8516-7897</t>
  </si>
  <si>
    <t>H240023</t>
  </si>
  <si>
    <t>Ricki</t>
  </si>
  <si>
    <t>+62 858-4393-9992</t>
  </si>
  <si>
    <t>L 8125 WJ</t>
  </si>
  <si>
    <t>H240024</t>
  </si>
  <si>
    <t>P. Agus</t>
  </si>
  <si>
    <t>+62 857-9193-0913</t>
  </si>
  <si>
    <t>joviyantosby@gmail.com</t>
  </si>
  <si>
    <t>L 1775 ABF</t>
  </si>
  <si>
    <t>H240025</t>
  </si>
  <si>
    <t>Sany Indrianto</t>
  </si>
  <si>
    <t>'+62 822-4563-9777</t>
  </si>
  <si>
    <t>S 8840 HC</t>
  </si>
  <si>
    <t>H240026</t>
  </si>
  <si>
    <t>Kristanto</t>
  </si>
  <si>
    <t>+62 856-3098-972</t>
  </si>
  <si>
    <t>W 1684 ZW</t>
  </si>
  <si>
    <t>H240027</t>
  </si>
  <si>
    <t>Eric</t>
  </si>
  <si>
    <t>+62 813-3214-5799</t>
  </si>
  <si>
    <t>L 9865 BR</t>
  </si>
  <si>
    <t>H240028</t>
  </si>
  <si>
    <t>Sandy</t>
  </si>
  <si>
    <t>+62 812-4702-5854</t>
  </si>
  <si>
    <t>gua.sandy312@gmail.com</t>
  </si>
  <si>
    <t>N 1544 NDV</t>
  </si>
  <si>
    <t>H240029</t>
  </si>
  <si>
    <t>Vincen</t>
  </si>
  <si>
    <t>'+62 812-8886-3023</t>
  </si>
  <si>
    <t>vincenmsi@gmail.com</t>
  </si>
  <si>
    <t>L 1849 AAV</t>
  </si>
  <si>
    <t>H240030</t>
  </si>
  <si>
    <t>P. Bondan</t>
  </si>
  <si>
    <t>+62 812-4978-3393</t>
  </si>
  <si>
    <t>W 7033 NB</t>
  </si>
  <si>
    <t>H240031</t>
  </si>
  <si>
    <t>P. Burhan</t>
  </si>
  <si>
    <t>+62 812-3274-6524</t>
  </si>
  <si>
    <t>W 8071 DS</t>
  </si>
  <si>
    <t>H240032</t>
  </si>
  <si>
    <t>P. Siswanto</t>
  </si>
  <si>
    <t>+62 853-3546-2505</t>
  </si>
  <si>
    <t>L 9534 BM</t>
  </si>
  <si>
    <t>2/9/24 - 1.323.000</t>
  </si>
  <si>
    <t>H240033</t>
  </si>
  <si>
    <t>LFW-SPLASHMU</t>
  </si>
  <si>
    <t>Rachmad Andreyanto</t>
  </si>
  <si>
    <t>+62 819-9902-6095</t>
  </si>
  <si>
    <t>L 1219 P</t>
  </si>
  <si>
    <t>H240034</t>
  </si>
  <si>
    <t>Bengkel mekar jaya/rennis</t>
  </si>
  <si>
    <t>H240035</t>
  </si>
  <si>
    <t>Huseini</t>
  </si>
  <si>
    <t>+62 813-3318-8153</t>
  </si>
  <si>
    <t>H240036</t>
  </si>
  <si>
    <t>P. Supristiono</t>
  </si>
  <si>
    <t>+62 857-4889-6917</t>
  </si>
  <si>
    <t>W 8323 DM</t>
  </si>
  <si>
    <t>H240037</t>
  </si>
  <si>
    <t>SRL-HIACEXYG</t>
  </si>
  <si>
    <t>Sumekar Travel</t>
  </si>
  <si>
    <t>'+62 823-3840-2222</t>
  </si>
  <si>
    <t>N 7614 TA</t>
  </si>
  <si>
    <t>H240038</t>
  </si>
  <si>
    <t>P. Iqbal</t>
  </si>
  <si>
    <t>+62 878-5553-8339</t>
  </si>
  <si>
    <t>G 1105 CH</t>
  </si>
  <si>
    <t>H240039</t>
  </si>
  <si>
    <t>H240040</t>
  </si>
  <si>
    <t>PT Tantular</t>
  </si>
  <si>
    <t>+62 815-5566-1320</t>
  </si>
  <si>
    <t>TRW-RANGER02ASH</t>
  </si>
  <si>
    <t>H240041</t>
  </si>
  <si>
    <t>TRW-DATSUN3AGC</t>
  </si>
  <si>
    <t xml:space="preserve">Toko Jasabaru Gorontalo </t>
  </si>
  <si>
    <t>+6281288502222</t>
  </si>
  <si>
    <t>Gorontalo</t>
  </si>
  <si>
    <t>Cici</t>
  </si>
  <si>
    <t>RDL-HILUX15XYG</t>
  </si>
  <si>
    <t>RDR-HILUX15XYG</t>
  </si>
  <si>
    <t>RVL-HILUX15XYG</t>
  </si>
  <si>
    <t>RVR-HILUX15XYG</t>
  </si>
  <si>
    <t>H240042</t>
  </si>
  <si>
    <t>P. Reo</t>
  </si>
  <si>
    <t>+62 813-3352-5998</t>
  </si>
  <si>
    <t>3/9/24 sisa 327600 / 1410400 TF33</t>
  </si>
  <si>
    <t>H240043</t>
  </si>
  <si>
    <t>PT Mega Niaga Sejahtera</t>
  </si>
  <si>
    <t>+62 811-8167-644</t>
  </si>
  <si>
    <t>L 9626 CO</t>
  </si>
  <si>
    <t>H240044</t>
  </si>
  <si>
    <t>P.Imam</t>
  </si>
  <si>
    <t>+62 812-5281-9090</t>
  </si>
  <si>
    <t>L 1692 ACN</t>
  </si>
  <si>
    <t>H240045</t>
  </si>
  <si>
    <t>Adi</t>
  </si>
  <si>
    <t>+62 857-8537-1469</t>
  </si>
  <si>
    <t>adisupragitno2612@gmail.com</t>
  </si>
  <si>
    <t>N 1126 GD</t>
  </si>
  <si>
    <t>H240046</t>
  </si>
  <si>
    <t>B. Erlin</t>
  </si>
  <si>
    <t>+62 852-5327-3500</t>
  </si>
  <si>
    <t>H240047</t>
  </si>
  <si>
    <t>LFW-SIRION1MU</t>
  </si>
  <si>
    <t>P. Kamil</t>
  </si>
  <si>
    <t>+62 895-3141-6465</t>
  </si>
  <si>
    <t>sihadkamilullah@gmail.com</t>
  </si>
  <si>
    <t>B 2627 UBO</t>
  </si>
  <si>
    <t>H240048</t>
  </si>
  <si>
    <t>P. Dion</t>
  </si>
  <si>
    <t>+62 812-8686-5509</t>
  </si>
  <si>
    <t>dionisius.rianto3@gmail.com</t>
  </si>
  <si>
    <t>W 1832 NO</t>
  </si>
  <si>
    <t>H240049</t>
  </si>
  <si>
    <t>Ibu Lina Sekrek UK Petra</t>
  </si>
  <si>
    <t>+62 822-3393-9972</t>
  </si>
  <si>
    <t>L 1009 FE</t>
  </si>
  <si>
    <t>H240050</t>
  </si>
  <si>
    <t>Bu Atin</t>
  </si>
  <si>
    <t>+62 856-4578-3647</t>
  </si>
  <si>
    <t>L 1498 ACC</t>
  </si>
  <si>
    <t>H240051</t>
  </si>
  <si>
    <t>P. Yogi</t>
  </si>
  <si>
    <t xml:space="preserve">+62 856-0611-9304		</t>
  </si>
  <si>
    <t>L 8950 N</t>
  </si>
  <si>
    <t>H240052</t>
  </si>
  <si>
    <t>P. Ali</t>
  </si>
  <si>
    <t>+62 817-0388-9696</t>
  </si>
  <si>
    <t>AG 7249 E</t>
  </si>
  <si>
    <t>H240053</t>
  </si>
  <si>
    <t xml:space="preserve">B. Artiniwati		</t>
  </si>
  <si>
    <t>+62 823-3889-1755</t>
  </si>
  <si>
    <t>artiniwati70@gmail.com</t>
  </si>
  <si>
    <t>L 1701 ZG</t>
  </si>
  <si>
    <t>H240054</t>
  </si>
  <si>
    <t>Hadi</t>
  </si>
  <si>
    <t>082152340689</t>
  </si>
  <si>
    <t>H240055</t>
  </si>
  <si>
    <t>Bush Witak</t>
  </si>
  <si>
    <t>+62 856-4959-7932</t>
  </si>
  <si>
    <t>H240056</t>
  </si>
  <si>
    <t>TRW-APVVANMU</t>
  </si>
  <si>
    <t>P. Yosua</t>
  </si>
  <si>
    <t>'+62 851-4289-5141</t>
  </si>
  <si>
    <t>+62 851-4289-5141</t>
  </si>
  <si>
    <t>H240057</t>
  </si>
  <si>
    <t>TRW-FREEDXYG</t>
  </si>
  <si>
    <t>P. Kresno</t>
  </si>
  <si>
    <t>+62 813-3099-6262</t>
  </si>
  <si>
    <t>D 811 ABI</t>
  </si>
  <si>
    <t>H240058</t>
  </si>
  <si>
    <t>Ibu Rosida</t>
  </si>
  <si>
    <t>+62 858-0171-7071</t>
  </si>
  <si>
    <t>rosidarachim14@gmail.com</t>
  </si>
  <si>
    <t>S 1186 NJ</t>
  </si>
  <si>
    <t>H240059</t>
  </si>
  <si>
    <t>TRW-INNOVA15HXYG</t>
  </si>
  <si>
    <t xml:space="preserve">P. Buyung		</t>
  </si>
  <si>
    <t>+62 811-397-400</t>
  </si>
  <si>
    <t>L 1995 HZ</t>
  </si>
  <si>
    <t>H240060</t>
  </si>
  <si>
    <t>TRW-MAZDA209XYG</t>
  </si>
  <si>
    <t>Yossi</t>
  </si>
  <si>
    <t>'+62 813-3397-3392</t>
  </si>
  <si>
    <t>+62 813-3397-3392</t>
  </si>
  <si>
    <t>H240061</t>
  </si>
  <si>
    <t>ivan ditadolfo/hamdan</t>
  </si>
  <si>
    <t>082230579765</t>
  </si>
  <si>
    <t>H240062</t>
  </si>
  <si>
    <t>P. Tedy</t>
  </si>
  <si>
    <t>+62 878-3300-8388</t>
  </si>
  <si>
    <t>K 9343 K</t>
  </si>
  <si>
    <t>H240063</t>
  </si>
  <si>
    <t xml:space="preserve">P. Zainal
		</t>
  </si>
  <si>
    <t>zaiarfer@gmail.com</t>
  </si>
  <si>
    <t>M 1134 AT</t>
  </si>
  <si>
    <t>H240064</t>
  </si>
  <si>
    <t>LFW-FJ78MU</t>
  </si>
  <si>
    <t>P. Suryana</t>
  </si>
  <si>
    <t>+62 812-8799-7846</t>
  </si>
  <si>
    <t>Lombok</t>
  </si>
  <si>
    <t>+62 812-8799-7847</t>
  </si>
  <si>
    <t>H240065</t>
  </si>
  <si>
    <t>Gita</t>
  </si>
  <si>
    <t>+62 853-3593-8267</t>
  </si>
  <si>
    <t>gtadwiaruna175@gmail.com</t>
  </si>
  <si>
    <t>W 1499 BH</t>
  </si>
  <si>
    <t>H240066</t>
  </si>
  <si>
    <t xml:space="preserve">Andry Irmansyah		</t>
  </si>
  <si>
    <t xml:space="preserve">+62 812-3359-5919                </t>
  </si>
  <si>
    <t>H240067</t>
  </si>
  <si>
    <r>
      <rPr>
        <rFont val="docs-Calibri"/>
        <color rgb="FF000000"/>
        <sz val="10.0"/>
      </rPr>
      <t>Cahya</t>
    </r>
  </si>
  <si>
    <t>+62 821-3981-1693</t>
  </si>
  <si>
    <t>Cahyahadipratama67@gmail.com</t>
  </si>
  <si>
    <t>L 1920 MG</t>
  </si>
  <si>
    <r>
      <rPr>
        <rFont val="docs-Calibri"/>
        <color rgb="FF000000"/>
        <sz val="10.0"/>
      </rPr>
      <t>Cahya</t>
    </r>
  </si>
  <si>
    <t>H240068</t>
  </si>
  <si>
    <t>B. Atin</t>
  </si>
  <si>
    <t>H240069</t>
  </si>
  <si>
    <t>+62 857-4904-1004</t>
  </si>
  <si>
    <t>B 1391 KOP</t>
  </si>
  <si>
    <t>TF 33</t>
  </si>
  <si>
    <t>H240070</t>
  </si>
  <si>
    <t>Suwantoro</t>
  </si>
  <si>
    <t>+62 812-3423-2749</t>
  </si>
  <si>
    <t>W 1955 NK</t>
  </si>
  <si>
    <t>H240071</t>
  </si>
  <si>
    <r>
      <rPr>
        <rFont val="docs-Calibri"/>
        <color rgb="FF000000"/>
        <sz val="10.0"/>
      </rPr>
      <t>Adi Kurniawan</t>
    </r>
  </si>
  <si>
    <t>+62 858-2780-0443</t>
  </si>
  <si>
    <t>adikurniawan.w02@gmail.com</t>
  </si>
  <si>
    <t>W 1427 Z1</t>
  </si>
  <si>
    <t>H240072</t>
  </si>
  <si>
    <t>Bu Siska</t>
  </si>
  <si>
    <t>+62 821-4092-5758</t>
  </si>
  <si>
    <t>DP 100 TF 33 / sisa 2300 3/9/24</t>
  </si>
  <si>
    <t>H240073</t>
  </si>
  <si>
    <t xml:space="preserve">P. Taufik </t>
  </si>
  <si>
    <t>+62 813-2300-0858</t>
  </si>
  <si>
    <t>N 1685 AAB</t>
  </si>
  <si>
    <t>H240074</t>
  </si>
  <si>
    <t>Gereja Katolik keuskupan sby/Herusis</t>
  </si>
  <si>
    <t>+62 813-3269-6518</t>
  </si>
  <si>
    <t>L 7202 AF</t>
  </si>
  <si>
    <t>H240075</t>
  </si>
  <si>
    <t>P. Herman</t>
  </si>
  <si>
    <t>+62 896-1226-7606</t>
  </si>
  <si>
    <t>H240076</t>
  </si>
  <si>
    <t>H240077</t>
  </si>
  <si>
    <t>Hendra Kurniawan</t>
  </si>
  <si>
    <t>+62 812-3497-5140</t>
  </si>
  <si>
    <t>H240078</t>
  </si>
  <si>
    <t>N 100 LE</t>
  </si>
  <si>
    <t>H240079</t>
  </si>
  <si>
    <t>P. Doni</t>
  </si>
  <si>
    <t>+62 822-4443-1174</t>
  </si>
  <si>
    <r>
      <rPr>
        <rFont val="docs-Calibri"/>
        <color rgb="FF000000"/>
        <sz val="10.0"/>
      </rPr>
      <t>L 1184 EH</t>
    </r>
  </si>
  <si>
    <r>
      <rPr>
        <rFont val="docs-Calibri"/>
        <color rgb="FF000000"/>
        <sz val="10.0"/>
      </rPr>
      <t>L 1184 EH</t>
    </r>
  </si>
  <si>
    <t>H240080</t>
  </si>
  <si>
    <t>Arry Dimas</t>
  </si>
  <si>
    <t>+62 822-3128-8313</t>
  </si>
  <si>
    <t>N 1703 ABQ</t>
  </si>
  <si>
    <r>
      <rPr>
        <rFont val="docs-Calibri"/>
        <color rgb="FF000000"/>
        <sz val="10.0"/>
      </rPr>
      <t>H240080</t>
    </r>
  </si>
  <si>
    <t>H240081</t>
  </si>
  <si>
    <t xml:space="preserve">CV. ARDENT / ADI PURWANTO 
</t>
  </si>
  <si>
    <t>+62 858-5505-5030</t>
  </si>
  <si>
    <t>H240082</t>
  </si>
  <si>
    <t>P. Rifki</t>
  </si>
  <si>
    <t>+62 857-3383-3412</t>
  </si>
  <si>
    <r>
      <rPr>
        <rFont val="docs-Calibri"/>
        <color rgb="FF000000"/>
        <sz val="10.0"/>
      </rPr>
      <t>B 1288 CYF</t>
    </r>
  </si>
  <si>
    <t>H240083</t>
  </si>
  <si>
    <t>Dimas</t>
  </si>
  <si>
    <t>+62 813-3513-1395</t>
  </si>
  <si>
    <t>H240084</t>
  </si>
  <si>
    <t>Neils Thenu</t>
  </si>
  <si>
    <t>6282131358919</t>
  </si>
  <si>
    <t>TOKPED TF 33</t>
  </si>
  <si>
    <t>NEILS AMSTRONG THE</t>
  </si>
  <si>
    <t>H240085</t>
  </si>
  <si>
    <t>P. Louis</t>
  </si>
  <si>
    <t>+62 819-9954-7123</t>
  </si>
  <si>
    <t>L 1812 QV</t>
  </si>
  <si>
    <t>H240086</t>
  </si>
  <si>
    <t>RD. HERIBERTUS WINARTO</t>
  </si>
  <si>
    <r>
      <rPr>
        <rFont val="docs-Calibri"/>
        <color rgb="FF000000"/>
        <sz val="10.0"/>
      </rPr>
      <t>+62 811-3330-341</t>
    </r>
  </si>
  <si>
    <t>L 1430 NT</t>
  </si>
  <si>
    <t>ERINAWATI - 1345</t>
  </si>
  <si>
    <r>
      <rPr>
        <rFont val="docs-Calibri"/>
        <color rgb="FF000000"/>
        <sz val="10.0"/>
      </rPr>
      <t>+62 811-3330-341</t>
    </r>
  </si>
  <si>
    <t>H240087</t>
  </si>
  <si>
    <t>H240088</t>
  </si>
  <si>
    <t>TRW-BALENO96XYG</t>
  </si>
  <si>
    <t>Ikhwan</t>
  </si>
  <si>
    <t>+62 889-8973-7854</t>
  </si>
  <si>
    <t>Ita Nurlita - 100 dp // CASH 1.193.000 3/9/24</t>
  </si>
  <si>
    <t>H240089</t>
  </si>
  <si>
    <t>P. Arif</t>
  </si>
  <si>
    <t>+62 812-3598-5504</t>
  </si>
  <si>
    <t>misbahularifin@gmail.com</t>
  </si>
  <si>
    <t>W 1434 M</t>
  </si>
  <si>
    <t>H240090</t>
  </si>
  <si>
    <t>Andre</t>
  </si>
  <si>
    <t>+62 895-3671-13416</t>
  </si>
  <si>
    <t>H240091</t>
  </si>
  <si>
    <t>+62 897-6470-299</t>
  </si>
  <si>
    <t>faridnasrullah04@gmail.com</t>
  </si>
  <si>
    <t>L 1448 JV</t>
  </si>
  <si>
    <t>H240092</t>
  </si>
  <si>
    <t>P. Raditya</t>
  </si>
  <si>
    <t>+62 813-3683-1212</t>
  </si>
  <si>
    <t>L 1920 LC</t>
  </si>
  <si>
    <t>H240093</t>
  </si>
  <si>
    <t>Wisman, Dimas, Guntur, Ade, Lia, Alvin</t>
  </si>
  <si>
    <t>Gaji</t>
  </si>
  <si>
    <t>I240001</t>
  </si>
  <si>
    <t>Muvida</t>
  </si>
  <si>
    <t>+62 823-3727-3434</t>
  </si>
  <si>
    <t>KT 1359 YL</t>
  </si>
  <si>
    <t>TF 33 DP 620,000 // cash 2480 3/9/24</t>
  </si>
  <si>
    <t>I240002</t>
  </si>
  <si>
    <t>TRW-T30FR</t>
  </si>
  <si>
    <t>Budi Subiantoro</t>
  </si>
  <si>
    <t>+62 899-3137-796</t>
  </si>
  <si>
    <t>L 1560 PC</t>
  </si>
  <si>
    <t>I240003</t>
  </si>
  <si>
    <t>M. Susanto</t>
  </si>
  <si>
    <t>+62 857-8595-1751</t>
  </si>
  <si>
    <t>Mr_san31@gmail.com</t>
  </si>
  <si>
    <t>L 1941 DE</t>
  </si>
  <si>
    <t>I240004</t>
  </si>
  <si>
    <t>TRW-AVANZA11HXYG</t>
  </si>
  <si>
    <t>RM Pak Puji ll bajo</t>
  </si>
  <si>
    <t>082228744671</t>
  </si>
  <si>
    <t>cici</t>
  </si>
  <si>
    <t>I240005</t>
  </si>
  <si>
    <r>
      <rPr>
        <rFont val="docs-Calibri"/>
        <color rgb="FF000000"/>
        <sz val="10.0"/>
      </rPr>
      <t>+62 823-3727-3434</t>
    </r>
  </si>
  <si>
    <t>I240006</t>
  </si>
  <si>
    <t>TRW-PAJERO08XYG</t>
  </si>
  <si>
    <t>P. Roziq</t>
  </si>
  <si>
    <t>+62 878-4114-8129</t>
  </si>
  <si>
    <t>m.roziqualforys201@gmail.com</t>
  </si>
  <si>
    <t>L 1187 ABB</t>
  </si>
  <si>
    <t>MOHAMMAD ROZIQU AL</t>
  </si>
  <si>
    <t>I240007</t>
  </si>
  <si>
    <t>P. Gesha</t>
  </si>
  <si>
    <t>+62 813-5715-0100</t>
  </si>
  <si>
    <t>AG 1785 XE</t>
  </si>
  <si>
    <t>GESHA ANRYESA SUKA</t>
  </si>
  <si>
    <t>I240008</t>
  </si>
  <si>
    <t>P. Syahrul</t>
  </si>
  <si>
    <t>+62 815-6767-0970</t>
  </si>
  <si>
    <t>B 2115 POA</t>
  </si>
  <si>
    <t>I240009</t>
  </si>
  <si>
    <t>Lettu Tek Agus Setyo Buntoro</t>
  </si>
  <si>
    <t>+62 852-2717-2102</t>
  </si>
  <si>
    <t>Jakarta</t>
  </si>
  <si>
    <t>I240010</t>
  </si>
  <si>
    <t>P. Wafiq</t>
  </si>
  <si>
    <t>+62 813-9252-6728</t>
  </si>
  <si>
    <t>I240011</t>
  </si>
  <si>
    <t>P. M. Amin</t>
  </si>
  <si>
    <t>+62 821-3296-0179</t>
  </si>
  <si>
    <r>
      <rPr>
        <rFont val="docs-Calibri"/>
        <color rgb="FF000000"/>
        <sz val="10.0"/>
      </rPr>
      <t>L 1587 OX</t>
    </r>
  </si>
  <si>
    <t>I240012</t>
  </si>
  <si>
    <t>Yosi</t>
  </si>
  <si>
    <t>+62 851-6110-1604</t>
  </si>
  <si>
    <t>I240013</t>
  </si>
  <si>
    <t>Angga Satya Nugraha</t>
  </si>
  <si>
    <t>'+62 877-1488-1748</t>
  </si>
  <si>
    <t>I240014</t>
  </si>
  <si>
    <t>MM SPORT/ANTO</t>
  </si>
  <si>
    <t xml:space="preserve">+62 816-1525-9777                </t>
  </si>
  <si>
    <t>N 1764 ACQ</t>
  </si>
  <si>
    <t>I240015</t>
  </si>
  <si>
    <t>Hermanto</t>
  </si>
  <si>
    <t>+62 838-5619-8722</t>
  </si>
  <si>
    <t>I240016</t>
  </si>
  <si>
    <t>Bengkel mekar jaya/rennis
+62 822-3332-3778</t>
  </si>
  <si>
    <t>I240017</t>
  </si>
  <si>
    <t>Valen</t>
  </si>
  <si>
    <t>+62 812-1655-9204</t>
  </si>
  <si>
    <t>I240018</t>
  </si>
  <si>
    <t>P. Dadang</t>
  </si>
  <si>
    <t>+62 852-3433-3888</t>
  </si>
  <si>
    <t>TF 33 220 / 12/9/24</t>
  </si>
  <si>
    <t>I240019</t>
  </si>
  <si>
    <t>P. Antok</t>
  </si>
  <si>
    <t>+62 821-8312-4949</t>
  </si>
  <si>
    <t>I240020</t>
  </si>
  <si>
    <t>Gilang</t>
  </si>
  <si>
    <t>+62 858-1414-0122</t>
  </si>
  <si>
    <t>GILANG DWI PRAMESW 1000 // cash 250 12/9/24</t>
  </si>
  <si>
    <t>I240021</t>
  </si>
  <si>
    <t>A.R Adi Putra</t>
  </si>
  <si>
    <t>+62 823-3000-8397</t>
  </si>
  <si>
    <t>N 1506 XZ</t>
  </si>
  <si>
    <t>I240022</t>
  </si>
  <si>
    <t>I240023</t>
  </si>
  <si>
    <t>Tedy Himawan</t>
  </si>
  <si>
    <t>+62 821-1772-8926</t>
  </si>
  <si>
    <t>L 9056 CA</t>
  </si>
  <si>
    <t>TF 33 450 TEDY HIMAWAN // 700,00 12/9/24</t>
  </si>
  <si>
    <t>I240024</t>
  </si>
  <si>
    <t>Anton Tri Putranto</t>
  </si>
  <si>
    <t>+62 811-9001-852</t>
  </si>
  <si>
    <t>ANTON TRI PUTRANTO 650 TF33 DP //</t>
  </si>
  <si>
    <t>I240025</t>
  </si>
  <si>
    <t>Andi Kurniawan</t>
  </si>
  <si>
    <t>+62 896-5913-1010</t>
  </si>
  <si>
    <t>I240026</t>
  </si>
  <si>
    <t>P. Pangbanglee</t>
  </si>
  <si>
    <t>+62 813-3655-6793</t>
  </si>
  <si>
    <t>L 1621 PL</t>
  </si>
  <si>
    <t>I240027</t>
  </si>
  <si>
    <t>Dian</t>
  </si>
  <si>
    <t>+62 812-3489-5606</t>
  </si>
  <si>
    <t>L 1560 BAI</t>
  </si>
  <si>
    <t>I240028</t>
  </si>
  <si>
    <r>
      <rPr>
        <rFont val="docs-Calibri"/>
        <color rgb="FF000000"/>
        <sz val="10.0"/>
      </rPr>
      <t>P. Faid</t>
    </r>
  </si>
  <si>
    <t>+62 812-2332-2554</t>
  </si>
  <si>
    <t>L 1724 FD</t>
  </si>
  <si>
    <t>I240029</t>
  </si>
  <si>
    <t>M. Sohirin</t>
  </si>
  <si>
    <t>P. Muhammad Sohirin</t>
  </si>
  <si>
    <t>Ponorogo</t>
  </si>
  <si>
    <t>I240030</t>
  </si>
  <si>
    <t>P. Mujib</t>
  </si>
  <si>
    <t>+62 878-5528-8700</t>
  </si>
  <si>
    <t>W 1598 WH</t>
  </si>
  <si>
    <t>I240031</t>
  </si>
  <si>
    <r>
      <rPr>
        <rFont val="docs-Calibri"/>
        <color rgb="FF000000"/>
        <sz val="10.0"/>
      </rPr>
      <t>Abrori PRC MOTOR</t>
    </r>
  </si>
  <si>
    <t>BA 8410 LX</t>
  </si>
  <si>
    <t>ABRORI</t>
  </si>
  <si>
    <r>
      <rPr>
        <rFont val="docs-Calibri"/>
        <color rgb="FF000000"/>
        <sz val="10.0"/>
      </rPr>
      <t>Abrori PRC MOTOR</t>
    </r>
  </si>
  <si>
    <t>I240032</t>
  </si>
  <si>
    <t>P. Dwi Lanang</t>
  </si>
  <si>
    <t>+62 819-1681-9194</t>
  </si>
  <si>
    <t>L 1595 ABV</t>
  </si>
  <si>
    <t>I240033</t>
  </si>
  <si>
    <t>P. Rohim</t>
  </si>
  <si>
    <t>+62 813-3327-1119</t>
  </si>
  <si>
    <t>I240034</t>
  </si>
  <si>
    <r>
      <rPr>
        <rFont val="docs-Calibri"/>
        <color rgb="FF000000"/>
        <sz val="10.0"/>
      </rPr>
      <t>P. Matalim</t>
    </r>
  </si>
  <si>
    <t>+62 856-4565-3467</t>
  </si>
  <si>
    <t>W 9356 CA</t>
  </si>
  <si>
    <t>I240035</t>
  </si>
  <si>
    <t>Pramudita</t>
  </si>
  <si>
    <t>+62 822-3306-5129</t>
  </si>
  <si>
    <t>L 1432 ABJ</t>
  </si>
  <si>
    <t>I240036</t>
  </si>
  <si>
    <t>LFW-VOXY17XYG</t>
  </si>
  <si>
    <t>Pak Budi</t>
  </si>
  <si>
    <t>+62 813-3075-8213</t>
  </si>
  <si>
    <t>Budiantowardoyo@gmail.com</t>
  </si>
  <si>
    <t>L 1775 HO</t>
  </si>
  <si>
    <t>I240037</t>
  </si>
  <si>
    <t>TRW-RUSH17HMU</t>
  </si>
  <si>
    <t>P. Ornan</t>
  </si>
  <si>
    <t>+62 812-5980-1095</t>
  </si>
  <si>
    <t>AG 1053 XE</t>
  </si>
  <si>
    <t>I240038</t>
  </si>
  <si>
    <t>I240039</t>
  </si>
  <si>
    <t>TRW-LIVINA07XYG</t>
  </si>
  <si>
    <t>B. Reni</t>
  </si>
  <si>
    <t>+62 813-4628-6905</t>
  </si>
  <si>
    <t>H 1775 DO</t>
  </si>
  <si>
    <t>I240040</t>
  </si>
  <si>
    <t>Narendra Yudhistira</t>
  </si>
  <si>
    <t>+62 812-9438-1579</t>
  </si>
  <si>
    <t>B 1834 BJH</t>
  </si>
  <si>
    <t>I240041</t>
  </si>
  <si>
    <t xml:space="preserve">Yudha </t>
  </si>
  <si>
    <t>+62 877-8813-9979</t>
  </si>
  <si>
    <t>L 1251 IE</t>
  </si>
  <si>
    <t>I240042</t>
  </si>
  <si>
    <t>Arvin Lingga</t>
  </si>
  <si>
    <t>+62 813-5717-5556</t>
  </si>
  <si>
    <t>W 1330 BG</t>
  </si>
  <si>
    <t>I240043</t>
  </si>
  <si>
    <t>Pak Idi</t>
  </si>
  <si>
    <t>+62 812-3289-204</t>
  </si>
  <si>
    <t xml:space="preserve"> W 1630 QQ</t>
  </si>
  <si>
    <t>I240044</t>
  </si>
  <si>
    <t>Ahmad Jaya</t>
  </si>
  <si>
    <t>+62 812-2226-2281</t>
  </si>
  <si>
    <t>I240045</t>
  </si>
  <si>
    <t>Irsaq Lorian Putra</t>
  </si>
  <si>
    <t>+62 857-3249-3403</t>
  </si>
  <si>
    <t>L 1924 KN</t>
  </si>
  <si>
    <t>DP TF 33 100 / 1,100 CASH</t>
  </si>
  <si>
    <t>PENGIRIMAN</t>
  </si>
  <si>
    <t>LFW-HRV14MU</t>
  </si>
  <si>
    <t>I240046</t>
  </si>
  <si>
    <t>William Eka Putra</t>
  </si>
  <si>
    <t>+62 852-5961-8434</t>
  </si>
  <si>
    <t>DP TF 33 - 634,400 //</t>
  </si>
  <si>
    <t>I240047</t>
  </si>
  <si>
    <t>TRW-BIANTEBLACKXYG</t>
  </si>
  <si>
    <t>+62 819-9882-3888</t>
  </si>
  <si>
    <t>DP TF 33 - 443,000 // PELUNASAN TF 33 17/9/24</t>
  </si>
  <si>
    <t>I240048</t>
  </si>
  <si>
    <t>LFW-TERRA18RSXYG</t>
  </si>
  <si>
    <t>H.syaiful</t>
  </si>
  <si>
    <t>+62 813-5713-8929</t>
  </si>
  <si>
    <t>11/7/24 sisa</t>
  </si>
  <si>
    <t>DP TF 33 - 640,000</t>
  </si>
  <si>
    <t>I240049</t>
  </si>
  <si>
    <t>LFW-W169XYG</t>
  </si>
  <si>
    <t>Bp. Suprapto</t>
  </si>
  <si>
    <t>+62 877-7888-5136</t>
  </si>
  <si>
    <t>W 1099 AB</t>
  </si>
  <si>
    <t>lebih tf 100k untup tip, reim 88 DONE 17/9/24</t>
  </si>
  <si>
    <t>I240050</t>
  </si>
  <si>
    <t>LFW-RUBICON18XYG</t>
  </si>
  <si>
    <t>B. Jidan Safes</t>
  </si>
  <si>
    <t>+62 853-3357-0386</t>
  </si>
  <si>
    <t>NTB</t>
  </si>
  <si>
    <t>DP TF33 - 1,686,300.00 //  SALEM TAHAR</t>
  </si>
  <si>
    <t>I240051</t>
  </si>
  <si>
    <t>LFW-CIVIC96MU</t>
  </si>
  <si>
    <t>P. Tikno</t>
  </si>
  <si>
    <t>+62 813-6348-2316</t>
  </si>
  <si>
    <t>AG 1920 RC</t>
  </si>
  <si>
    <t>I240052</t>
  </si>
  <si>
    <t>I240053</t>
  </si>
  <si>
    <t>PECAH Dimas, Wisman, Guntur, Alvin</t>
  </si>
  <si>
    <t>+62 831-0811-2805</t>
  </si>
  <si>
    <t>I240054</t>
  </si>
  <si>
    <t>P. Dhimas</t>
  </si>
  <si>
    <t>+62 822-2524-0746</t>
  </si>
  <si>
    <t>S 1724 ET</t>
  </si>
  <si>
    <t>DHIMAS PRASETIO IR</t>
  </si>
  <si>
    <t>I240055</t>
  </si>
  <si>
    <t>P. Nugraha</t>
  </si>
  <si>
    <t>+62 822-3007-4766</t>
  </si>
  <si>
    <t>Nugrahatess@gmail.com</t>
  </si>
  <si>
    <t>S 1785 EY</t>
  </si>
  <si>
    <t>I240056</t>
  </si>
  <si>
    <t>P. Mifta</t>
  </si>
  <si>
    <t>+62 857-3383-3099</t>
  </si>
  <si>
    <t>L 1017 C</t>
  </si>
  <si>
    <t>I240057</t>
  </si>
  <si>
    <t>I240058</t>
  </si>
  <si>
    <t>LFW-INNOVA15MU</t>
  </si>
  <si>
    <t>P. David</t>
  </si>
  <si>
    <t>+62 851-7328-8055</t>
  </si>
  <si>
    <t>B 2251 SKY</t>
  </si>
  <si>
    <t>I240059</t>
  </si>
  <si>
    <t>P. Putra</t>
  </si>
  <si>
    <t>+62 878-1705-0414</t>
  </si>
  <si>
    <t>L 1445 GM</t>
  </si>
  <si>
    <t>I240060</t>
  </si>
  <si>
    <t>TRW-STARGAZERXYG</t>
  </si>
  <si>
    <t>Yusuf firmansyah</t>
  </si>
  <si>
    <t>+62 812-3400-978</t>
  </si>
  <si>
    <t>I240061</t>
  </si>
  <si>
    <t>I240062</t>
  </si>
  <si>
    <t>TRW-BRIOXYG</t>
  </si>
  <si>
    <t>B. Rere</t>
  </si>
  <si>
    <t>+62 818-588-586</t>
  </si>
  <si>
    <t>L 1178 MA</t>
  </si>
  <si>
    <t>I240063</t>
  </si>
  <si>
    <t>Arja</t>
  </si>
  <si>
    <t>+62 859-4364-4164</t>
  </si>
  <si>
    <t>I240064</t>
  </si>
  <si>
    <t>I240065</t>
  </si>
  <si>
    <t>P. Agung</t>
  </si>
  <si>
    <t>+62 857-3009-3008</t>
  </si>
  <si>
    <t>I240066</t>
  </si>
  <si>
    <t>LFW-SORENTOXYG</t>
  </si>
  <si>
    <t>P. Gilang Trisnasswala</t>
  </si>
  <si>
    <t>+62 851-5673-0977</t>
  </si>
  <si>
    <t>muthohar978@gmail.com</t>
  </si>
  <si>
    <t>D 1392 ADI</t>
  </si>
  <si>
    <t>612200 DP TF3 // TF33 LUNAS</t>
  </si>
  <si>
    <t>I240067</t>
  </si>
  <si>
    <t>Gereja Katolik Keuskupan/Herusis</t>
  </si>
  <si>
    <t>I240068</t>
  </si>
  <si>
    <t>I240069</t>
  </si>
  <si>
    <t>I240070</t>
  </si>
  <si>
    <t>P. Gunadi</t>
  </si>
  <si>
    <t>+62 818-520-538</t>
  </si>
  <si>
    <t>I240071</t>
  </si>
  <si>
    <t>P. Rudy Haryono</t>
  </si>
  <si>
    <t>+62 812-3265-7535</t>
  </si>
  <si>
    <t>I240072</t>
  </si>
  <si>
    <t>P. Silan</t>
  </si>
  <si>
    <t>+62 823-3177-1194</t>
  </si>
  <si>
    <t>W 1391 DA</t>
  </si>
  <si>
    <t>I240073</t>
  </si>
  <si>
    <t>P. Budi Hartono</t>
  </si>
  <si>
    <t>+62 821-3131-9275</t>
  </si>
  <si>
    <t>I240074</t>
  </si>
  <si>
    <t>+62 813-3324-0098</t>
  </si>
  <si>
    <t>I240075</t>
  </si>
  <si>
    <t>SWR-PANTHER91ASH</t>
  </si>
  <si>
    <t>P. Jopan</t>
  </si>
  <si>
    <t>+62 822-3081-0121</t>
  </si>
  <si>
    <t>I240076</t>
  </si>
  <si>
    <t>I240077</t>
  </si>
  <si>
    <r>
      <rPr>
        <rFont val="docs-Calibri"/>
        <color rgb="FF000000"/>
        <sz val="11.0"/>
      </rPr>
      <t>Ana</t>
    </r>
  </si>
  <si>
    <t>+6285704763450</t>
  </si>
  <si>
    <t>A 1638 VW</t>
  </si>
  <si>
    <t>I240078</t>
  </si>
  <si>
    <t>P. Dani</t>
  </si>
  <si>
    <t>+62 856-9508-7004</t>
  </si>
  <si>
    <t>I240079</t>
  </si>
  <si>
    <t>LFW-E84XYG</t>
  </si>
  <si>
    <t>P. Muklas</t>
  </si>
  <si>
    <t>+62 822-3053-2277</t>
  </si>
  <si>
    <t>DP 941.600 / TF 33</t>
  </si>
  <si>
    <t>I240080</t>
  </si>
  <si>
    <t>Trining/ Arina Hidayati</t>
  </si>
  <si>
    <t>+62 821-3168-4257</t>
  </si>
  <si>
    <t>L 1210 SG</t>
  </si>
  <si>
    <r>
      <rPr>
        <rFont val="docs-Calibri"/>
        <color rgb="FF000000"/>
        <sz val="11.0"/>
      </rPr>
      <t>Trining/ Arina Hidayati</t>
    </r>
  </si>
  <si>
    <t>I240081</t>
  </si>
  <si>
    <t>P. Mursidi</t>
  </si>
  <si>
    <t>+62 878-8681-8000</t>
  </si>
  <si>
    <t>B 2987 FMA</t>
  </si>
  <si>
    <t>I240082</t>
  </si>
  <si>
    <t>Hana</t>
  </si>
  <si>
    <t>+62 821-2000-6417</t>
  </si>
  <si>
    <t>B 1849 ZKK</t>
  </si>
  <si>
    <t>I240083</t>
  </si>
  <si>
    <t>M. Naufal</t>
  </si>
  <si>
    <t>+62 821-1271-9599</t>
  </si>
  <si>
    <t>B 2983 TBC</t>
  </si>
  <si>
    <t>Ngawi</t>
  </si>
  <si>
    <t>I240084</t>
  </si>
  <si>
    <t>Zahir Bauzir</t>
  </si>
  <si>
    <t>+628121712344</t>
  </si>
  <si>
    <t>tokopedia</t>
  </si>
  <si>
    <t>I240085</t>
  </si>
  <si>
    <t>Elbi</t>
  </si>
  <si>
    <t>+62 821-4273-5742</t>
  </si>
  <si>
    <t>L 1718 ABQ</t>
  </si>
  <si>
    <t>I240086</t>
  </si>
  <si>
    <t>I240087</t>
  </si>
  <si>
    <t>LFW-LANTISMU</t>
  </si>
  <si>
    <t>P. Sueb</t>
  </si>
  <si>
    <t>+62 812-3235-1828</t>
  </si>
  <si>
    <t>DP 100 TF 33</t>
  </si>
  <si>
    <t>I240088</t>
  </si>
  <si>
    <t>Abrori PRC Motor</t>
  </si>
  <si>
    <t>TF 33 100</t>
  </si>
  <si>
    <t>I240089</t>
  </si>
  <si>
    <t>P. M. Najib</t>
  </si>
  <si>
    <t>+62 813-5947-9280</t>
  </si>
  <si>
    <t>I240090</t>
  </si>
  <si>
    <t>B. Suharno</t>
  </si>
  <si>
    <t>+62 813-3066-4213</t>
  </si>
  <si>
    <t>S 1123 BN</t>
  </si>
  <si>
    <t>Kedungadem Bojonegoro</t>
  </si>
  <si>
    <t>I240091</t>
  </si>
  <si>
    <t>LFW-PAJERO20RSAGC</t>
  </si>
  <si>
    <t>P. Armin</t>
  </si>
  <si>
    <t>+62 851-5711-5872</t>
  </si>
  <si>
    <t>W 805 AML</t>
  </si>
  <si>
    <t>TF 33 DP</t>
  </si>
  <si>
    <t>I240092</t>
  </si>
  <si>
    <t>+62 858-5219-9477</t>
  </si>
  <si>
    <t>I240093</t>
  </si>
  <si>
    <t>TRW-STREAM00XYG</t>
  </si>
  <si>
    <t>P. Perdana Arif rosyadi</t>
  </si>
  <si>
    <t>+62 813-3323-3433</t>
  </si>
  <si>
    <t>I240094</t>
  </si>
  <si>
    <t>P. Kayyis</t>
  </si>
  <si>
    <t>+62 819-3919-4841</t>
  </si>
  <si>
    <t>I240095</t>
  </si>
  <si>
    <t>Safa</t>
  </si>
  <si>
    <t>+62 857-5575-3582</t>
  </si>
  <si>
    <t>M 1967 NR</t>
  </si>
  <si>
    <t>I240096</t>
  </si>
  <si>
    <t>P. Ismadiyanto</t>
  </si>
  <si>
    <t>W 1519 XG</t>
  </si>
  <si>
    <t>I240097</t>
  </si>
  <si>
    <t>P. Edo</t>
  </si>
  <si>
    <t>+62 857-8550-0457</t>
  </si>
  <si>
    <t>adhetyaashuka24@gmail.com</t>
  </si>
  <si>
    <t>L 8871 BD</t>
  </si>
  <si>
    <t>I240098</t>
  </si>
  <si>
    <t>B. Lili</t>
  </si>
  <si>
    <t>+62 856-4636-1989</t>
  </si>
  <si>
    <t>TF 33 / tips 100k DONE 15/10/24</t>
  </si>
  <si>
    <t>I240099</t>
  </si>
  <si>
    <t>Genta Altariksya</t>
  </si>
  <si>
    <t>+62 823-3352-6129</t>
  </si>
  <si>
    <t>DP 1,500,000 TF 33 // PELUNASAN 4,400,000</t>
  </si>
  <si>
    <t>TRW-DMAX1MSG</t>
  </si>
  <si>
    <t>FDR-DMAX1MSG</t>
  </si>
  <si>
    <t>RDR-DMAX1MSG</t>
  </si>
  <si>
    <t>RDL-DMAX1MSG</t>
  </si>
  <si>
    <t>I240100</t>
  </si>
  <si>
    <t>Rifqi Febrianto</t>
  </si>
  <si>
    <t>+62 837-3019-1212</t>
  </si>
  <si>
    <t>I240101</t>
  </si>
  <si>
    <t>P. Rudi</t>
  </si>
  <si>
    <t>+62 853-4398-1855</t>
  </si>
  <si>
    <t>I240102</t>
  </si>
  <si>
    <t>FDL-AVANZA11ASH</t>
  </si>
  <si>
    <t>P. Deni</t>
  </si>
  <si>
    <t>+62 822-3459-6057</t>
  </si>
  <si>
    <t>I240103</t>
  </si>
  <si>
    <t>P. Hikmat</t>
  </si>
  <si>
    <t>+62 813-3395-4646</t>
  </si>
  <si>
    <t>Bogor</t>
  </si>
  <si>
    <t>I240104</t>
  </si>
  <si>
    <t xml:space="preserve">P. Trias Hartono
</t>
  </si>
  <si>
    <t>+62 812-3397-8667</t>
  </si>
  <si>
    <t>I240105</t>
  </si>
  <si>
    <t>P. Ofan</t>
  </si>
  <si>
    <t>+62 812-5565-5071</t>
  </si>
  <si>
    <t>I240106</t>
  </si>
  <si>
    <t>B.Suwandi</t>
  </si>
  <si>
    <t>085645940300</t>
  </si>
  <si>
    <t xml:space="preserve">Lamongan </t>
  </si>
  <si>
    <t>I240107</t>
  </si>
  <si>
    <t>M Nurul I.</t>
  </si>
  <si>
    <t>085649550170</t>
  </si>
  <si>
    <t>I240108</t>
  </si>
  <si>
    <t>Rizky Saktian Octaviyanto</t>
  </si>
  <si>
    <t>6285770030087</t>
  </si>
  <si>
    <t>riskyoktaviyanto5@gmail.com</t>
  </si>
  <si>
    <t>AD 7569 EF</t>
  </si>
  <si>
    <t>tokped 1,345,875</t>
  </si>
  <si>
    <t>J240001</t>
  </si>
  <si>
    <t>P. John</t>
  </si>
  <si>
    <t>+62 895-6317-95988</t>
  </si>
  <si>
    <t>L 1686 DH</t>
  </si>
  <si>
    <t>J240002</t>
  </si>
  <si>
    <t>P Susanto</t>
  </si>
  <si>
    <t>+62 858-5292-5901</t>
  </si>
  <si>
    <t>L 1755 RQ</t>
  </si>
  <si>
    <t>J240003</t>
  </si>
  <si>
    <t>Qusnul hadi</t>
  </si>
  <si>
    <t>+62 813-3368-6833</t>
  </si>
  <si>
    <t>W 1692 CN</t>
  </si>
  <si>
    <t>J240004</t>
  </si>
  <si>
    <t>P. Sugeng</t>
  </si>
  <si>
    <t>+62 821-3222-0503</t>
  </si>
  <si>
    <t>J240005</t>
  </si>
  <si>
    <t>FDR-HRV14PIL</t>
  </si>
  <si>
    <t>Fifi</t>
  </si>
  <si>
    <t>+62 821-1166-6817</t>
  </si>
  <si>
    <t>L 1798 CAF</t>
  </si>
  <si>
    <t>J240006</t>
  </si>
  <si>
    <t xml:space="preserve">P. Susanto </t>
  </si>
  <si>
    <t>+62 813-3279-1619</t>
  </si>
  <si>
    <t>TF 33 SUSANTO</t>
  </si>
  <si>
    <t>J240007</t>
  </si>
  <si>
    <t>Hasyim Asyari</t>
  </si>
  <si>
    <t>+62 812-3007-7177</t>
  </si>
  <si>
    <t>L 1081 HJ</t>
  </si>
  <si>
    <t>TF 33 YENI AZIFAH</t>
  </si>
  <si>
    <t>J240008</t>
  </si>
  <si>
    <t>Sri Endahyati</t>
  </si>
  <si>
    <t>+62 813-3101-0529</t>
  </si>
  <si>
    <t>W 8782 PR</t>
  </si>
  <si>
    <t>TF 33 300.000 HARMAN PRATOMO / 1JT CASH 8/10/24</t>
  </si>
  <si>
    <t>J240009</t>
  </si>
  <si>
    <t>Heri Subandrio</t>
  </si>
  <si>
    <t>+62 858-5391-7637</t>
  </si>
  <si>
    <t>L 9188 GK</t>
  </si>
  <si>
    <t>TF 33 ADITA ANGGARWATI</t>
  </si>
  <si>
    <t>J240010</t>
  </si>
  <si>
    <t>Faiz</t>
  </si>
  <si>
    <t>TF 33 MUHAMMAD FAIZ KHOL</t>
  </si>
  <si>
    <t>J240011</t>
  </si>
  <si>
    <t>+62 857-3206-6228</t>
  </si>
  <si>
    <t>L 1582 QL</t>
  </si>
  <si>
    <t>TF 33 WAHYU NUR ARIANTO</t>
  </si>
  <si>
    <t>J240012</t>
  </si>
  <si>
    <t>Serilus Pili Ito</t>
  </si>
  <si>
    <t>085239813838</t>
  </si>
  <si>
    <t>NTT</t>
  </si>
  <si>
    <t>TF 33 EVODIUS S. NUBA BA</t>
  </si>
  <si>
    <t>J240013</t>
  </si>
  <si>
    <t>Ibu Lina</t>
  </si>
  <si>
    <t>+62 822-1111-5660</t>
  </si>
  <si>
    <t>B 2089 TZC</t>
  </si>
  <si>
    <t>TF 33 Magdalena</t>
  </si>
  <si>
    <t>J240014</t>
  </si>
  <si>
    <t>P. Ruswanto</t>
  </si>
  <si>
    <t>+62 815-1501-8869</t>
  </si>
  <si>
    <t>N 1761 WA</t>
  </si>
  <si>
    <t>J240015</t>
  </si>
  <si>
    <t xml:space="preserve">Toko Bajo variasi </t>
  </si>
  <si>
    <t>+62 812-3609-2077</t>
  </si>
  <si>
    <t>TF 33 SERVULUS TONY ORBI</t>
  </si>
  <si>
    <t xml:space="preserve">Toko Bajo variasi 
</t>
  </si>
  <si>
    <t>J240016</t>
  </si>
  <si>
    <t>B. Christin</t>
  </si>
  <si>
    <t>+62 812-4974-0988</t>
  </si>
  <si>
    <t>S 1513 XN</t>
  </si>
  <si>
    <t>J240017</t>
  </si>
  <si>
    <t>TRW-BRIO18XYG</t>
  </si>
  <si>
    <t>+62 812-3036-6252</t>
  </si>
  <si>
    <t>J240018</t>
  </si>
  <si>
    <t>P. Pri</t>
  </si>
  <si>
    <t>+62 813-3222-8444</t>
  </si>
  <si>
    <t>J240019</t>
  </si>
  <si>
    <t>P. Hari</t>
  </si>
  <si>
    <t>+62 813-3346-6604</t>
  </si>
  <si>
    <t>harry.wahyudi@yahoo.com</t>
  </si>
  <si>
    <t>W 1886 YR</t>
  </si>
  <si>
    <t>J240020</t>
  </si>
  <si>
    <t>B. iswanto</t>
  </si>
  <si>
    <t>081330555528</t>
  </si>
  <si>
    <t>aeputri6@gmail.com</t>
  </si>
  <si>
    <t>L 1798 DBA</t>
  </si>
  <si>
    <t>J240021</t>
  </si>
  <si>
    <t>J240022</t>
  </si>
  <si>
    <t>+62 813-3222-8445</t>
  </si>
  <si>
    <t>+62 813-3222-8446</t>
  </si>
  <si>
    <t>J240023</t>
  </si>
  <si>
    <t>Jasa Baru</t>
  </si>
  <si>
    <t>LFW-MARCHMU</t>
  </si>
  <si>
    <t>FDL-CARRYASH</t>
  </si>
  <si>
    <t>J240024</t>
  </si>
  <si>
    <t>Agus Tirawan</t>
  </si>
  <si>
    <t>6281907218585</t>
  </si>
  <si>
    <t>tokped 1,434,280</t>
  </si>
  <si>
    <t>J240025</t>
  </si>
  <si>
    <t>P. Halim</t>
  </si>
  <si>
    <t>+62 878-5295-0062</t>
  </si>
  <si>
    <t>L 8788 AF</t>
  </si>
  <si>
    <t>J240026</t>
  </si>
  <si>
    <t>6281346451646</t>
  </si>
  <si>
    <t>Kalimantan timur</t>
  </si>
  <si>
    <t>12//11/24 - tarik saldo tokped 1,021,200</t>
  </si>
  <si>
    <t>J240027</t>
  </si>
  <si>
    <t>62 813-3222-8446</t>
  </si>
  <si>
    <t>J240028</t>
  </si>
  <si>
    <t>Toko Bajo variasi</t>
  </si>
  <si>
    <t>J240029</t>
  </si>
  <si>
    <t>J240030</t>
  </si>
  <si>
    <t>LFW-FE800XYG</t>
  </si>
  <si>
    <t>P. Feby</t>
  </si>
  <si>
    <t>+62 812-6603-6933</t>
  </si>
  <si>
    <t>L 8012 CI</t>
  </si>
  <si>
    <t>J240031</t>
  </si>
  <si>
    <t>J240032</t>
  </si>
  <si>
    <t>P. David Kurniadi</t>
  </si>
  <si>
    <t>+62 813-3312-5673</t>
  </si>
  <si>
    <r>
      <rPr>
        <rFont val="Calibri"/>
        <color theme="1"/>
        <sz val="10.0"/>
      </rPr>
      <t xml:space="preserve">dedauntourism@ </t>
    </r>
    <r>
      <rPr>
        <rFont val="Calibri"/>
        <color rgb="FF1155CC"/>
        <sz val="10.0"/>
        <u/>
      </rPr>
      <t>gmail.com</t>
    </r>
  </si>
  <si>
    <t>L 1384 ACM</t>
  </si>
  <si>
    <t>J240033</t>
  </si>
  <si>
    <t>J240034</t>
  </si>
  <si>
    <t>LFW-XU30XYG</t>
  </si>
  <si>
    <t>Fahrurazie</t>
  </si>
  <si>
    <t>+62 813-3161-2713</t>
  </si>
  <si>
    <t>tf 88 dp 436500 // 11/7/24 sisa</t>
  </si>
  <si>
    <t>J240035</t>
  </si>
  <si>
    <t>Cinta Damai / DC/KDI</t>
  </si>
  <si>
    <t>+62 811-378-928</t>
  </si>
  <si>
    <t>Sulawesi tenggara</t>
  </si>
  <si>
    <t>J240036</t>
  </si>
  <si>
    <t>LFW-JUKEMU</t>
  </si>
  <si>
    <t>Radit</t>
  </si>
  <si>
    <t>+62 811-3227-6493</t>
  </si>
  <si>
    <t>L 1487 JJ</t>
  </si>
  <si>
    <t>J240037</t>
  </si>
  <si>
    <t>TRW-HILUX15HXYG</t>
  </si>
  <si>
    <t>Jon</t>
  </si>
  <si>
    <t>+62 813-8008-1798</t>
  </si>
  <si>
    <t>kemasilham7@gmail.com</t>
  </si>
  <si>
    <t>J240038</t>
  </si>
  <si>
    <t>P. Marjuki</t>
  </si>
  <si>
    <t>+62 858-2617-1405</t>
  </si>
  <si>
    <r>
      <rPr>
        <rFont val="Calibri"/>
        <color theme="1"/>
        <sz val="10.0"/>
      </rPr>
      <t xml:space="preserve">marjumitaz78@ </t>
    </r>
    <r>
      <rPr>
        <rFont val="Calibri"/>
        <color rgb="FF1155CC"/>
        <sz val="10.0"/>
        <u/>
      </rPr>
      <t>gmail.com</t>
    </r>
  </si>
  <si>
    <t>S 1103 LO</t>
  </si>
  <si>
    <t>J240039</t>
  </si>
  <si>
    <t>PT. Sariguna Primatirta</t>
  </si>
  <si>
    <t>+62 821-4219-9433</t>
  </si>
  <si>
    <t>W 1786 OT</t>
  </si>
  <si>
    <t>J240040</t>
  </si>
  <si>
    <t>B. Harun</t>
  </si>
  <si>
    <t>+62 812-2786-8986</t>
  </si>
  <si>
    <r>
      <rPr>
        <rFont val="Calibri"/>
        <color theme="1"/>
        <sz val="10.0"/>
      </rPr>
      <t xml:space="preserve">haroen88@ </t>
    </r>
    <r>
      <rPr>
        <rFont val="Calibri"/>
        <color rgb="FF1155CC"/>
        <sz val="10.0"/>
        <u/>
      </rPr>
      <t>gmail.com</t>
    </r>
  </si>
  <si>
    <t>AG 1454 WS</t>
  </si>
  <si>
    <t>J240041</t>
  </si>
  <si>
    <t>Aditya</t>
  </si>
  <si>
    <t>+62 812-9408-3115</t>
  </si>
  <si>
    <t>smithadyt420@gmail.com</t>
  </si>
  <si>
    <t>L 3 MAN</t>
  </si>
  <si>
    <t>J240042</t>
  </si>
  <si>
    <t>Agus Santoso</t>
  </si>
  <si>
    <t>+62 8570-7233-681</t>
  </si>
  <si>
    <t>L 1089 EB</t>
  </si>
  <si>
    <t>J240043</t>
  </si>
  <si>
    <t>Tantra</t>
  </si>
  <si>
    <t>+62 812-1180-5299</t>
  </si>
  <si>
    <t>J240044</t>
  </si>
  <si>
    <t>Sisca</t>
  </si>
  <si>
    <t>+62 815-1518-4471</t>
  </si>
  <si>
    <t>siskapramiswaira1709@gmail.com</t>
  </si>
  <si>
    <t>KT 1571 CM</t>
  </si>
  <si>
    <t>J240045</t>
  </si>
  <si>
    <t>TRW-ESTILOAIS</t>
  </si>
  <si>
    <t xml:space="preserve">Eddo Yunianto Purnomo
</t>
  </si>
  <si>
    <t>+62 813-3006-8899</t>
  </si>
  <si>
    <t>L 1748 ACY</t>
  </si>
  <si>
    <t xml:space="preserve">Eddo Yunianto Purnomo
</t>
  </si>
  <si>
    <t>J240046</t>
  </si>
  <si>
    <t>Yogi Adityo</t>
  </si>
  <si>
    <t>+62 819-0102-0205</t>
  </si>
  <si>
    <t>L 1011 PX</t>
  </si>
  <si>
    <t>J240047</t>
  </si>
  <si>
    <t>Anton Wabaa</t>
  </si>
  <si>
    <t>+62 857-0606-7134</t>
  </si>
  <si>
    <t>talaudi989@gmail.com</t>
  </si>
  <si>
    <t>L 1264 DW</t>
  </si>
  <si>
    <t>SWR-LUXIOAGC</t>
  </si>
  <si>
    <t>J240048</t>
  </si>
  <si>
    <t>TRW-CRV07XYG</t>
  </si>
  <si>
    <t>Adi Prayitno</t>
  </si>
  <si>
    <t>+62 812-4494-5099</t>
  </si>
  <si>
    <t>Palu</t>
  </si>
  <si>
    <t>J240049</t>
  </si>
  <si>
    <t>TRW-LIVINA07PIL</t>
  </si>
  <si>
    <t>P. Wahyu</t>
  </si>
  <si>
    <t>+62 812-2987-3697</t>
  </si>
  <si>
    <t>N 1884 XI</t>
  </si>
  <si>
    <t>Marketplae</t>
  </si>
  <si>
    <t>J240050</t>
  </si>
  <si>
    <t>PECAH TOKO</t>
  </si>
  <si>
    <t>J240051</t>
  </si>
  <si>
    <t>P. Nur</t>
  </si>
  <si>
    <t>085855104263</t>
  </si>
  <si>
    <t>caknursim@gmail.com</t>
  </si>
  <si>
    <t>N 1390 CW</t>
  </si>
  <si>
    <t>J240052</t>
  </si>
  <si>
    <t>Lestari</t>
  </si>
  <si>
    <t>+62 812-3022-773</t>
  </si>
  <si>
    <t>L 1301 BO</t>
  </si>
  <si>
    <t>J240053</t>
  </si>
  <si>
    <t>P. Ndaru</t>
  </si>
  <si>
    <t>+62 821-3141-1986</t>
  </si>
  <si>
    <t>rayindaru@yahoo.co.id</t>
  </si>
  <si>
    <t>L 1299 CAI</t>
  </si>
  <si>
    <t>J240054</t>
  </si>
  <si>
    <t>P. Imam Hambali</t>
  </si>
  <si>
    <t>+62 823-3720-2839</t>
  </si>
  <si>
    <t>imamhambalissy123567@gmail.om</t>
  </si>
  <si>
    <t>M 1740 HE</t>
  </si>
  <si>
    <t>J240055</t>
  </si>
  <si>
    <t>P. Habibi</t>
  </si>
  <si>
    <t>+62 857-3190-0009</t>
  </si>
  <si>
    <t>ahabibi90@yahoo.com</t>
  </si>
  <si>
    <t>W 1610 AP</t>
  </si>
  <si>
    <t>J240056</t>
  </si>
  <si>
    <t>Pak David</t>
  </si>
  <si>
    <t>0818371202 / +62 812-3504-194</t>
  </si>
  <si>
    <t>bca 88 1.365.000</t>
  </si>
  <si>
    <t>J240057</t>
  </si>
  <si>
    <t>Tedy Irawan</t>
  </si>
  <si>
    <t>+62 812-3107-325</t>
  </si>
  <si>
    <t>tedstods@gmail.om</t>
  </si>
  <si>
    <t>L 1582 SA</t>
  </si>
  <si>
    <t>J240058</t>
  </si>
  <si>
    <t>P. Aldi</t>
  </si>
  <si>
    <t>+62 896-6028-5090</t>
  </si>
  <si>
    <t>W 1665 XN</t>
  </si>
  <si>
    <t>J240059</t>
  </si>
  <si>
    <t>OTH-LISTANH10LFW</t>
  </si>
  <si>
    <t>329.500 bca 88</t>
  </si>
  <si>
    <t>J240060</t>
  </si>
  <si>
    <t>P. Irvan</t>
  </si>
  <si>
    <t>+62 851-6113-3886</t>
  </si>
  <si>
    <t>irvanwahyu33@gmail.com</t>
  </si>
  <si>
    <t>W 1160 OZ</t>
  </si>
  <si>
    <t>J240061</t>
  </si>
  <si>
    <t>PT Jolo Indah Motor / P. Fajar</t>
  </si>
  <si>
    <t>082233337050</t>
  </si>
  <si>
    <t>marketplace</t>
  </si>
  <si>
    <t>J240062</t>
  </si>
  <si>
    <t>P. Ibnu S Winata</t>
  </si>
  <si>
    <t>+62 813-5005-0226</t>
  </si>
  <si>
    <t>J240063</t>
  </si>
  <si>
    <t>P. Daniel</t>
  </si>
  <si>
    <t>swish41.damiel@gmail.com</t>
  </si>
  <si>
    <t>L 1514 ADR</t>
  </si>
  <si>
    <t>J240064</t>
  </si>
  <si>
    <t>TRW-INNOVA15HAGC</t>
  </si>
  <si>
    <t>+62 822-3465-1852</t>
  </si>
  <si>
    <t>W 1456 SD</t>
  </si>
  <si>
    <t>J240065</t>
  </si>
  <si>
    <t>Bunda Ifa</t>
  </si>
  <si>
    <t>+62 856-4907-1407</t>
  </si>
  <si>
    <t>L 9062 BR</t>
  </si>
  <si>
    <t>J240066</t>
  </si>
  <si>
    <t>P. Faris</t>
  </si>
  <si>
    <t>+62 857-3238-6136</t>
  </si>
  <si>
    <t>M 1744 NW</t>
  </si>
  <si>
    <t>J240067</t>
  </si>
  <si>
    <t>Bengkel Mahendra Ripayer</t>
  </si>
  <si>
    <t>+62 882-0095-17008</t>
  </si>
  <si>
    <t>J240068</t>
  </si>
  <si>
    <t>TRW-HIACE19XYG</t>
  </si>
  <si>
    <t>P. Fuad</t>
  </si>
  <si>
    <t>+62 812-5278-8208</t>
  </si>
  <si>
    <t>suryoadji0adimarto@gmail.com</t>
  </si>
  <si>
    <t>AG 7004 EA</t>
  </si>
  <si>
    <t>J240069</t>
  </si>
  <si>
    <t>+62 818-371-202</t>
  </si>
  <si>
    <t>L 114 KEN</t>
  </si>
  <si>
    <t>J240070</t>
  </si>
  <si>
    <t>J240071</t>
  </si>
  <si>
    <t>P. Azis</t>
  </si>
  <si>
    <t>+62 813-3058-5700</t>
  </si>
  <si>
    <t>S 8860 SB</t>
  </si>
  <si>
    <t>J240072</t>
  </si>
  <si>
    <t>TRW-PANTHER00SEALASH</t>
  </si>
  <si>
    <t>P. Jazuli</t>
  </si>
  <si>
    <t>+62 823-3390-0295</t>
  </si>
  <si>
    <t>J240073</t>
  </si>
  <si>
    <t xml:space="preserve">P. Budi </t>
  </si>
  <si>
    <t>+62 878-6574-3911</t>
  </si>
  <si>
    <t>J240074</t>
  </si>
  <si>
    <t>TRW-YARIS05FR</t>
  </si>
  <si>
    <t>J240075</t>
  </si>
  <si>
    <t>P. Umar</t>
  </si>
  <si>
    <t>+62 822-2821-7877</t>
  </si>
  <si>
    <t>F 1659 NZ</t>
  </si>
  <si>
    <t>J240076</t>
  </si>
  <si>
    <t>P. Hendro</t>
  </si>
  <si>
    <t>+62 812-1659-8672</t>
  </si>
  <si>
    <t>J240077</t>
  </si>
  <si>
    <t>P. Aril W.</t>
  </si>
  <si>
    <t>+62 851-0123-3361</t>
  </si>
  <si>
    <t>L 1802 CT</t>
  </si>
  <si>
    <t>J240078</t>
  </si>
  <si>
    <t>P. Gondo</t>
  </si>
  <si>
    <t>+62 821-4055-1212</t>
  </si>
  <si>
    <t>B 1407 KRL</t>
  </si>
  <si>
    <t>J240079</t>
  </si>
  <si>
    <t>Achmad Fatich Firdaus</t>
  </si>
  <si>
    <t>+62 877-2334-3858</t>
  </si>
  <si>
    <t>L 1295 IZ</t>
  </si>
  <si>
    <t>J240080</t>
  </si>
  <si>
    <t>P. Minto</t>
  </si>
  <si>
    <t>+62 858-8888-5282</t>
  </si>
  <si>
    <t>L 1667 CN</t>
  </si>
  <si>
    <t>J240081</t>
  </si>
  <si>
    <t>P. Yanto</t>
  </si>
  <si>
    <t>+62 812-3497-2820</t>
  </si>
  <si>
    <t>J240082</t>
  </si>
  <si>
    <t>FDR-SIGRA16MU</t>
  </si>
  <si>
    <t>Cahyo Wibisono</t>
  </si>
  <si>
    <t>+62 823-3389-9909</t>
  </si>
  <si>
    <t>J240083</t>
  </si>
  <si>
    <t>Bengkel Rosi MOtor</t>
  </si>
  <si>
    <t>J240084</t>
  </si>
  <si>
    <t>P. Kanto</t>
  </si>
  <si>
    <t>+62 812-8173-6244</t>
  </si>
  <si>
    <t>J240085</t>
  </si>
  <si>
    <t>P. Yusni</t>
  </si>
  <si>
    <t>+62 812-1783-0913</t>
  </si>
  <si>
    <t>DP 324000 ke 88</t>
  </si>
  <si>
    <t>J240086</t>
  </si>
  <si>
    <t>P. Sofiyan</t>
  </si>
  <si>
    <t>081233983502</t>
  </si>
  <si>
    <t>J240087</t>
  </si>
  <si>
    <t>P. Ninio</t>
  </si>
  <si>
    <t>+62 823-2230-0350</t>
  </si>
  <si>
    <t>J240088</t>
  </si>
  <si>
    <t>J240089</t>
  </si>
  <si>
    <t>Pak Supriyanto</t>
  </si>
  <si>
    <t>+62 853-3074-0302</t>
  </si>
  <si>
    <t>L 1147 JZ</t>
  </si>
  <si>
    <t>J240090</t>
  </si>
  <si>
    <t>P. Adam</t>
  </si>
  <si>
    <t>+62 857-0804-7525</t>
  </si>
  <si>
    <t>J240091</t>
  </si>
  <si>
    <t>P. Roy</t>
  </si>
  <si>
    <t>+62 811-3693-756</t>
  </si>
  <si>
    <t>L 8944 AAC</t>
  </si>
  <si>
    <t>J240092</t>
  </si>
  <si>
    <t>P. Jatmiko</t>
  </si>
  <si>
    <t>081281044409</t>
  </si>
  <si>
    <t>L 1575 LU</t>
  </si>
  <si>
    <t>J240093</t>
  </si>
  <si>
    <t>LFW-INNOVA15AGC</t>
  </si>
  <si>
    <t>Bambang Adiyanto</t>
  </si>
  <si>
    <t>+62 822-3341-8017</t>
  </si>
  <si>
    <t>L 1382 AP</t>
  </si>
  <si>
    <t>J240094</t>
  </si>
  <si>
    <t>Hari Mulyo</t>
  </si>
  <si>
    <t>+62 822-8299-8849</t>
  </si>
  <si>
    <t xml:space="preserve">L 1779 V </t>
  </si>
  <si>
    <t>J240095</t>
  </si>
  <si>
    <t>Kristian Ambarwati</t>
  </si>
  <si>
    <t>+62 857-3124-4647</t>
  </si>
  <si>
    <t>J240096</t>
  </si>
  <si>
    <t xml:space="preserve">Bpk. Arya
</t>
  </si>
  <si>
    <t xml:space="preserve">+62 813-3090-3838
</t>
  </si>
  <si>
    <t>aryagagahs690@gmail.com</t>
  </si>
  <si>
    <t>N 1356 AAP</t>
  </si>
  <si>
    <t>dp 100 sb // 5/11/2024 2922</t>
  </si>
  <si>
    <t>J240097</t>
  </si>
  <si>
    <t>LFW-SPINMU</t>
  </si>
  <si>
    <t>Agus Sutiono</t>
  </si>
  <si>
    <t>+62 813-3639-2900</t>
  </si>
  <si>
    <t>Probolinggo</t>
  </si>
  <si>
    <t>J240098</t>
  </si>
  <si>
    <t>Fajar Indra Rohmana</t>
  </si>
  <si>
    <t>+62 896-7634-7658</t>
  </si>
  <si>
    <t>J240099</t>
  </si>
  <si>
    <t>LFW-W212RS2FR</t>
  </si>
  <si>
    <t>P. Sean</t>
  </si>
  <si>
    <t>+62 878-5777-8866</t>
  </si>
  <si>
    <t>K240001</t>
  </si>
  <si>
    <t>+62 857-3222-4203</t>
  </si>
  <si>
    <t>L 1406 DAX</t>
  </si>
  <si>
    <t>K240002</t>
  </si>
  <si>
    <t>P. Wahid</t>
  </si>
  <si>
    <t>+62 859-3045-3337</t>
  </si>
  <si>
    <t>K240003</t>
  </si>
  <si>
    <t>+62 899-3300-123</t>
  </si>
  <si>
    <t>L 1885 DH</t>
  </si>
  <si>
    <t>K240004</t>
  </si>
  <si>
    <t>Bu Sri Hertanti</t>
  </si>
  <si>
    <t>+62 812-1681-1323</t>
  </si>
  <si>
    <t>S 1653 FC</t>
  </si>
  <si>
    <t>K240005</t>
  </si>
  <si>
    <t>LFW-ALTIS18RSXYG</t>
  </si>
  <si>
    <t>Srikandi Auto Body Paint</t>
  </si>
  <si>
    <t>+62 821-2017-3885</t>
  </si>
  <si>
    <t>520 dp 88 // sisa 12/11/24</t>
  </si>
  <si>
    <t>K240006</t>
  </si>
  <si>
    <t>P. Yuda</t>
  </si>
  <si>
    <t>+62 823-2648-6144</t>
  </si>
  <si>
    <t>suwitoekayudate@gmail.com</t>
  </si>
  <si>
    <t>L 1806 BT</t>
  </si>
  <si>
    <t>Instagram</t>
  </si>
  <si>
    <t>K240007</t>
  </si>
  <si>
    <t>P. Gunawan</t>
  </si>
  <si>
    <t xml:space="preserve">+62 838-3000-9251
</t>
  </si>
  <si>
    <t>gunawanwibisonoloekman@gmail.com</t>
  </si>
  <si>
    <t>L 1014 FB</t>
  </si>
  <si>
    <t>K240008</t>
  </si>
  <si>
    <t>LFW-CRV02XYG</t>
  </si>
  <si>
    <t>Agus Budi Utomo</t>
  </si>
  <si>
    <t>+62 853-3657-8362</t>
  </si>
  <si>
    <t>budi33519@gmail.com</t>
  </si>
  <si>
    <t>L 1425 BAC</t>
  </si>
  <si>
    <t>K240009</t>
  </si>
  <si>
    <t>P. Andy</t>
  </si>
  <si>
    <t>+62 822-4488-0314</t>
  </si>
  <si>
    <t>andy.siregar13@gmail.com</t>
  </si>
  <si>
    <t>B 2100 JBA</t>
  </si>
  <si>
    <t>K240010</t>
  </si>
  <si>
    <t>FDR-AVANZA11ASH</t>
  </si>
  <si>
    <t>P. Habib</t>
  </si>
  <si>
    <t>+62 813-3429-3323</t>
  </si>
  <si>
    <t>mohammadchabib7@gmail.com</t>
  </si>
  <si>
    <t>W 1819 CT</t>
  </si>
  <si>
    <t>K240011</t>
  </si>
  <si>
    <t>P. Bayu</t>
  </si>
  <si>
    <t>628115414123</t>
  </si>
  <si>
    <t>Kalimantan Timur</t>
  </si>
  <si>
    <t>12/11/24 - tarik saldo tokped 3,778,440</t>
  </si>
  <si>
    <t>K240012</t>
  </si>
  <si>
    <t>Jan Aful Cornelis</t>
  </si>
  <si>
    <t>+62 822-2526-6864</t>
  </si>
  <si>
    <t>12/11/24 1,433,360 tokped + 100 transport</t>
  </si>
  <si>
    <t>K240013</t>
  </si>
  <si>
    <t>LFW-ESTEEMMU</t>
  </si>
  <si>
    <t>P. Lavisar</t>
  </si>
  <si>
    <t>+62 831-6305-0069</t>
  </si>
  <si>
    <t>W 1927 QT</t>
  </si>
  <si>
    <t>K240014</t>
  </si>
  <si>
    <t>B. Vera</t>
  </si>
  <si>
    <t>+62 821-3122-3164</t>
  </si>
  <si>
    <t>L 9862 VJ</t>
  </si>
  <si>
    <t>K240015</t>
  </si>
  <si>
    <t>LFW-W222XYG</t>
  </si>
  <si>
    <t>Autohaus Prapen</t>
  </si>
  <si>
    <t>L 1996 R</t>
  </si>
  <si>
    <t>5000 dp 88/ lunas 18/11/24</t>
  </si>
  <si>
    <t>K240016</t>
  </si>
  <si>
    <t>P. Sugiono/ Wito</t>
  </si>
  <si>
    <t>+62 8133-0022-847</t>
  </si>
  <si>
    <t>L 8920 VI</t>
  </si>
  <si>
    <t>K240017</t>
  </si>
  <si>
    <t>Agung Prabowo</t>
  </si>
  <si>
    <t>+62 812-3551-4016</t>
  </si>
  <si>
    <t>N 1832 JQ</t>
  </si>
  <si>
    <t>K240018</t>
  </si>
  <si>
    <t>TRW-HRV14XYG</t>
  </si>
  <si>
    <t>P. Afandi</t>
  </si>
  <si>
    <t>+62 813-3438-7434</t>
  </si>
  <si>
    <t>fun2.innews@gmail.com</t>
  </si>
  <si>
    <t>W 1690 BR</t>
  </si>
  <si>
    <t>K240019</t>
  </si>
  <si>
    <t>Putri Kartika Sari</t>
  </si>
  <si>
    <t>+62 857-7577-0222</t>
  </si>
  <si>
    <t>L 1024 DL</t>
  </si>
  <si>
    <t>K240020</t>
  </si>
  <si>
    <t>SWR-AVANZA21AGC</t>
  </si>
  <si>
    <t>P. Anto</t>
  </si>
  <si>
    <t>K240021</t>
  </si>
  <si>
    <t>Sri Mamabear</t>
  </si>
  <si>
    <t>+62 813-3187-7553</t>
  </si>
  <si>
    <t>W 8610 QE</t>
  </si>
  <si>
    <t>K240022</t>
  </si>
  <si>
    <t>Joko Cahyono</t>
  </si>
  <si>
    <t>+62 813-5731-7843</t>
  </si>
  <si>
    <t>morenosoeprapto132@gmail.com</t>
  </si>
  <si>
    <t>AG 8717 RM</t>
  </si>
  <si>
    <t>Tulungagung</t>
  </si>
  <si>
    <t>K240023</t>
  </si>
  <si>
    <t>P. Ibnu</t>
  </si>
  <si>
    <t>+62 859-5524-0996</t>
  </si>
  <si>
    <t>ibnudwisufajar@gmail.com</t>
  </si>
  <si>
    <t>W 1283 TA</t>
  </si>
  <si>
    <t>K240024</t>
  </si>
  <si>
    <t>P. Bryan</t>
  </si>
  <si>
    <t>+62 812-3497-779</t>
  </si>
  <si>
    <t>bryanwj4@gmail.com</t>
  </si>
  <si>
    <t>L 1736 GJ</t>
  </si>
  <si>
    <t>K240025</t>
  </si>
  <si>
    <t xml:space="preserve">CV. Rajawali </t>
  </si>
  <si>
    <t>K240026</t>
  </si>
  <si>
    <t>P. Moch Yusuf</t>
  </si>
  <si>
    <t>081252743378</t>
  </si>
  <si>
    <t>K 1129 IE</t>
  </si>
  <si>
    <t>K240027</t>
  </si>
  <si>
    <t>P. Adi</t>
  </si>
  <si>
    <t>+62 857-4574-5177</t>
  </si>
  <si>
    <t>adisubangkit7@gmail.com</t>
  </si>
  <si>
    <t>W 1299 ZX</t>
  </si>
  <si>
    <t>K240028</t>
  </si>
  <si>
    <t>P. Dedi</t>
  </si>
  <si>
    <t>+62 857-0761-4948</t>
  </si>
  <si>
    <t>K240029</t>
  </si>
  <si>
    <t>K240030</t>
  </si>
  <si>
    <t>LFW-CORTEZRSXYG</t>
  </si>
  <si>
    <t>P. Didit</t>
  </si>
  <si>
    <t>+62 812-3540-0989</t>
  </si>
  <si>
    <t>m.ilhamhardadi@gmail.com</t>
  </si>
  <si>
    <t>L 1045 JO</t>
  </si>
  <si>
    <t>K240031</t>
  </si>
  <si>
    <t>P. Mahrus</t>
  </si>
  <si>
    <t>+62 878-5688-6113</t>
  </si>
  <si>
    <t>M 1624 NS</t>
  </si>
  <si>
    <t>K240032</t>
  </si>
  <si>
    <t>P. Rendy</t>
  </si>
  <si>
    <t>+62 838-2443-2125</t>
  </si>
  <si>
    <t>rendykrisdianto@yahoo.com</t>
  </si>
  <si>
    <t>W 1707 O</t>
  </si>
  <si>
    <t>K240033</t>
  </si>
  <si>
    <t>P. Dwi Listiono</t>
  </si>
  <si>
    <t>+62 813-4641-9154</t>
  </si>
  <si>
    <t>AD 1806 BT</t>
  </si>
  <si>
    <t>K240034</t>
  </si>
  <si>
    <t>P. H. Haidar</t>
  </si>
  <si>
    <t>+62 819-9900-1002</t>
  </si>
  <si>
    <t>arielhani@gmail.com</t>
  </si>
  <si>
    <t>S 1173 TS</t>
  </si>
  <si>
    <t>K240035</t>
  </si>
  <si>
    <t>P. Arie</t>
  </si>
  <si>
    <t>arya.rist@gmail.com</t>
  </si>
  <si>
    <t>L 1921 QZ</t>
  </si>
  <si>
    <t>K240036</t>
  </si>
  <si>
    <t>Sulikah</t>
  </si>
  <si>
    <t>+62 813-5775-6852</t>
  </si>
  <si>
    <t>zionayusuf@yahoo.co.id</t>
  </si>
  <si>
    <t>L 1769 MH</t>
  </si>
  <si>
    <t>TOKPED 23/11/24 1.675.320</t>
  </si>
  <si>
    <t>K240037</t>
  </si>
  <si>
    <t>Meydina</t>
  </si>
  <si>
    <t>082337550503</t>
  </si>
  <si>
    <t>meydinafrentsiskaapi@gmail.com</t>
  </si>
  <si>
    <t>L 1560 DC</t>
  </si>
  <si>
    <t>K240038</t>
  </si>
  <si>
    <t>Rino Rahardian</t>
  </si>
  <si>
    <t>+62 857-8426-4351</t>
  </si>
  <si>
    <t>r.rahardian1997@gmail.com</t>
  </si>
  <si>
    <t>L 1876 AAR</t>
  </si>
  <si>
    <t>K240039</t>
  </si>
  <si>
    <t>P. Adinanto</t>
  </si>
  <si>
    <t>+62 822-3440-5577</t>
  </si>
  <si>
    <t>adin.bazser@gmail.com</t>
  </si>
  <si>
    <t>W 1534 AM</t>
  </si>
  <si>
    <t>K240040</t>
  </si>
  <si>
    <t>B. Ita (Bengkel Bodyform)</t>
  </si>
  <si>
    <t>62811330185</t>
  </si>
  <si>
    <t>1/4/25 2,550,600</t>
  </si>
  <si>
    <t>K240041</t>
  </si>
  <si>
    <t>FDR-FORTUNER15AGC</t>
  </si>
  <si>
    <t>+62 812-9126-0487</t>
  </si>
  <si>
    <t>azis@gmail.com</t>
  </si>
  <si>
    <t>AD 7306 PB</t>
  </si>
  <si>
    <t>K240042</t>
  </si>
  <si>
    <t>P. Choirul</t>
  </si>
  <si>
    <t>+62 831-2927-2000</t>
  </si>
  <si>
    <t>caturirul19011986@gmail.com</t>
  </si>
  <si>
    <t>L 1197 HZ</t>
  </si>
  <si>
    <t>K240043</t>
  </si>
  <si>
    <t>P. David khalik</t>
  </si>
  <si>
    <t>+62 856-0777-4888</t>
  </si>
  <si>
    <t>K240044</t>
  </si>
  <si>
    <t>P. Alfarizi</t>
  </si>
  <si>
    <t>+62 812-9151-5351</t>
  </si>
  <si>
    <t>K240045</t>
  </si>
  <si>
    <t>P. Andi</t>
  </si>
  <si>
    <t>08121679268</t>
  </si>
  <si>
    <t>K240046</t>
  </si>
  <si>
    <t>PT. Sukses Perkasa Forestama</t>
  </si>
  <si>
    <t>+62 811-3024-168</t>
  </si>
  <si>
    <t>K240047</t>
  </si>
  <si>
    <t>P. Dany</t>
  </si>
  <si>
    <t>+62 821-1859-7754</t>
  </si>
  <si>
    <t>dany87fankar@gail.com</t>
  </si>
  <si>
    <t>N 1282 SS</t>
  </si>
  <si>
    <t>K240048</t>
  </si>
  <si>
    <t>P. Hans</t>
  </si>
  <si>
    <t>+62 878-8866-6198</t>
  </si>
  <si>
    <t>S 1168 JQ</t>
  </si>
  <si>
    <t>K240049</t>
  </si>
  <si>
    <t>Auto77</t>
  </si>
  <si>
    <t>+62 856-0608-8887</t>
  </si>
  <si>
    <t>K240050</t>
  </si>
  <si>
    <t>P. Hendri</t>
  </si>
  <si>
    <t>+62 858-1386-7709</t>
  </si>
  <si>
    <t>W 8865 DT</t>
  </si>
  <si>
    <t>K240051</t>
  </si>
  <si>
    <t>FDR-ELFNKRASH</t>
  </si>
  <si>
    <t>+62 822-3008-7011</t>
  </si>
  <si>
    <t>W 9151 PE</t>
  </si>
  <si>
    <t>K240052</t>
  </si>
  <si>
    <t>P. Putut</t>
  </si>
  <si>
    <t>+62 822-3405-1637</t>
  </si>
  <si>
    <t>pututsupri@gmail.com</t>
  </si>
  <si>
    <t>L 1416 ABB</t>
  </si>
  <si>
    <t>K240053</t>
  </si>
  <si>
    <t>P. Lutfi</t>
  </si>
  <si>
    <t>+62 819-3828-9412</t>
  </si>
  <si>
    <t>L 1869 ARK</t>
  </si>
  <si>
    <t>K240054</t>
  </si>
  <si>
    <t>K240055</t>
  </si>
  <si>
    <t>P. Janoko</t>
  </si>
  <si>
    <t>+62 858-4789-6459</t>
  </si>
  <si>
    <t>j91192@gmail.com</t>
  </si>
  <si>
    <t>AG 1528 SA</t>
  </si>
  <si>
    <t>K240056</t>
  </si>
  <si>
    <t>TRW-F30FY</t>
  </si>
  <si>
    <t>P. Richard</t>
  </si>
  <si>
    <t>+62 812-3686-9988</t>
  </si>
  <si>
    <t>TF 33 RICHARD KARJOHARDJ 30/11/24</t>
  </si>
  <si>
    <t>K240057</t>
  </si>
  <si>
    <t>P. Hakim</t>
  </si>
  <si>
    <t>+62 877-0206-0863</t>
  </si>
  <si>
    <t>birbarhakim@gmail.com</t>
  </si>
  <si>
    <t>M 1787 AD</t>
  </si>
  <si>
    <t xml:space="preserve">+62 877-0206-086
</t>
  </si>
  <si>
    <t>K240058</t>
  </si>
  <si>
    <t>P. Heroe Tjahjopramono</t>
  </si>
  <si>
    <t>+62 813-3137-3643</t>
  </si>
  <si>
    <t>hanapratamamandiri@gmail.com</t>
  </si>
  <si>
    <t>AD 1045 B</t>
  </si>
  <si>
    <t>K240059</t>
  </si>
  <si>
    <t>Bu Ani</t>
  </si>
  <si>
    <t>+62 819-3459-4888</t>
  </si>
  <si>
    <t>L 1482 NS</t>
  </si>
  <si>
    <t>K240060</t>
  </si>
  <si>
    <t xml:space="preserve">APOLLO MOTOR ENDE </t>
  </si>
  <si>
    <t>628164805880</t>
  </si>
  <si>
    <t>TOKPED 18/11/24</t>
  </si>
  <si>
    <t>K240061</t>
  </si>
  <si>
    <t>P. Yocke/ B. Ferlytha</t>
  </si>
  <si>
    <t>+62 821-3308-0911</t>
  </si>
  <si>
    <t>L 1865 CAI</t>
  </si>
  <si>
    <t>K240062</t>
  </si>
  <si>
    <t>RVL-AGYA13ASH</t>
  </si>
  <si>
    <t>Lutfia</t>
  </si>
  <si>
    <t>+62 813-5740-8543</t>
  </si>
  <si>
    <t>W 1061 VD</t>
  </si>
  <si>
    <t>K240063</t>
  </si>
  <si>
    <t>P. Wardana</t>
  </si>
  <si>
    <t>+62 856-0473-0812</t>
  </si>
  <si>
    <t>K240064</t>
  </si>
  <si>
    <t>Indra Harjono</t>
  </si>
  <si>
    <t>+62 823-3799-8243</t>
  </si>
  <si>
    <t>K240065</t>
  </si>
  <si>
    <t>LFW-FORTUNER05AGC</t>
  </si>
  <si>
    <t>GDW Wardahana</t>
  </si>
  <si>
    <t>+62 813-2684-7516</t>
  </si>
  <si>
    <t>K240066</t>
  </si>
  <si>
    <t>P. Rey</t>
  </si>
  <si>
    <t>+62 856-3361-482</t>
  </si>
  <si>
    <t>K240067</t>
  </si>
  <si>
    <t>Bu Ita (Bengkel Bodyform)</t>
  </si>
  <si>
    <t>+62 811-330-185</t>
  </si>
  <si>
    <t>K240068</t>
  </si>
  <si>
    <t>LFW-COROLLA95XYG</t>
  </si>
  <si>
    <t>P. Rohiem</t>
  </si>
  <si>
    <t>+62 856-0700-7789</t>
  </si>
  <si>
    <t>K240069</t>
  </si>
  <si>
    <t xml:space="preserve">Dhaniel Paundra
</t>
  </si>
  <si>
    <t xml:space="preserve">Dhaniel Paundra
</t>
  </si>
  <si>
    <t>K240070</t>
  </si>
  <si>
    <t>Ibu fitri / Bp Parlin</t>
  </si>
  <si>
    <t>+62 813-4965-9888</t>
  </si>
  <si>
    <t>K240071</t>
  </si>
  <si>
    <t>P. Rio</t>
  </si>
  <si>
    <t>+62 877-5300-7764</t>
  </si>
  <si>
    <t>W 1383 EC</t>
  </si>
  <si>
    <t>K240072</t>
  </si>
  <si>
    <t>+62 878-8273-3855</t>
  </si>
  <si>
    <t>B 9122 NCI</t>
  </si>
  <si>
    <t>K240073</t>
  </si>
  <si>
    <t>P. Owen</t>
  </si>
  <si>
    <t>+62 822-4477-9288</t>
  </si>
  <si>
    <t>L 1534 PL</t>
  </si>
  <si>
    <t>K240074</t>
  </si>
  <si>
    <t>K240075</t>
  </si>
  <si>
    <t>K240076</t>
  </si>
  <si>
    <t>P. Rully</t>
  </si>
  <si>
    <t>+62 851-0328-2955</t>
  </si>
  <si>
    <t>K240077</t>
  </si>
  <si>
    <t>P. Iqbal Randy</t>
  </si>
  <si>
    <t>+62 821-3111-8899</t>
  </si>
  <si>
    <t>iqbalRandy@rocketmail.com</t>
  </si>
  <si>
    <t>L 1424 BF</t>
  </si>
  <si>
    <t>K240078</t>
  </si>
  <si>
    <t>Bu Arinda</t>
  </si>
  <si>
    <t>+62 811-3080-357</t>
  </si>
  <si>
    <t>dp 754.400 17/12/24 // TF 33  ARINDAH HADI</t>
  </si>
  <si>
    <t>K240079</t>
  </si>
  <si>
    <t>Pak Nono Bengkel</t>
  </si>
  <si>
    <t>+62 822 4412 6683</t>
  </si>
  <si>
    <t>138.000 3/12/24 tokped</t>
  </si>
  <si>
    <t>K240080</t>
  </si>
  <si>
    <t>TRW-C24XYG</t>
  </si>
  <si>
    <t>P. Budi</t>
  </si>
  <si>
    <t>+62 821-1546-6619</t>
  </si>
  <si>
    <t>K240081</t>
  </si>
  <si>
    <t>Ibu Apriana</t>
  </si>
  <si>
    <t>+62 813-3027-3482</t>
  </si>
  <si>
    <t>K240082</t>
  </si>
  <si>
    <t>P Rouf</t>
  </si>
  <si>
    <t>+62 813-3218-7668</t>
  </si>
  <si>
    <t>L 1183 FG</t>
  </si>
  <si>
    <t>K240083</t>
  </si>
  <si>
    <t>LFW-TATAACEXYG</t>
  </si>
  <si>
    <t>Pak Stefans</t>
  </si>
  <si>
    <t>+62 812-1648-0758</t>
  </si>
  <si>
    <t>K240084</t>
  </si>
  <si>
    <t>Pak Mohamad</t>
  </si>
  <si>
    <t>+62 852-5741-0434</t>
  </si>
  <si>
    <t>L 1739 HJ</t>
  </si>
  <si>
    <t>K240085</t>
  </si>
  <si>
    <t>M Nur Qomari</t>
  </si>
  <si>
    <t>+62 856-9388-7984</t>
  </si>
  <si>
    <t>L 1316 MF</t>
  </si>
  <si>
    <t>K240086</t>
  </si>
  <si>
    <t>Sri Wahyuningsih/Ach. Muhalli</t>
  </si>
  <si>
    <t>+62 823-3183-5086</t>
  </si>
  <si>
    <t>K240087</t>
  </si>
  <si>
    <t>LFW-KAPSUL02MU</t>
  </si>
  <si>
    <t>P. Darwin</t>
  </si>
  <si>
    <t>+62 822-4477-4535</t>
  </si>
  <si>
    <t>K240088</t>
  </si>
  <si>
    <t>P. Petrus</t>
  </si>
  <si>
    <t>081336138289</t>
  </si>
  <si>
    <t>K240089</t>
  </si>
  <si>
    <t>P. Joni</t>
  </si>
  <si>
    <t>K240090</t>
  </si>
  <si>
    <t>Gamal Abdul</t>
  </si>
  <si>
    <t>+62 857-3201-4203/+62 858-3123-5000</t>
  </si>
  <si>
    <t>L 1870 ZZ</t>
  </si>
  <si>
    <t>K240091</t>
  </si>
  <si>
    <t xml:space="preserve">P. Yesaya </t>
  </si>
  <si>
    <t>+62 819-9988-5606</t>
  </si>
  <si>
    <t>yesaya.ahdtech@gmail.com</t>
  </si>
  <si>
    <t>W 1541 RH</t>
  </si>
  <si>
    <t>K240092</t>
  </si>
  <si>
    <t>K240093</t>
  </si>
  <si>
    <t>LFW-SANTAFE12XYG</t>
  </si>
  <si>
    <t xml:space="preserve">P. Andi </t>
  </si>
  <si>
    <t xml:space="preserve">+62 812-3088-585
</t>
  </si>
  <si>
    <t>F 1850 NP</t>
  </si>
  <si>
    <t xml:space="preserve">Malang </t>
  </si>
  <si>
    <t>K240094</t>
  </si>
  <si>
    <t>P. Dimas Hananta</t>
  </si>
  <si>
    <t>+62 857-3522-0533</t>
  </si>
  <si>
    <t>N 1365 VN</t>
  </si>
  <si>
    <t>K240095</t>
  </si>
  <si>
    <t>LFW-XPANDERAGC</t>
  </si>
  <si>
    <t>P. Joustian </t>
  </si>
  <si>
    <t>+6281230653937</t>
  </si>
  <si>
    <t>L 1460 SF</t>
  </si>
  <si>
    <t>K240096</t>
  </si>
  <si>
    <t>Elvin</t>
  </si>
  <si>
    <t xml:space="preserve">+62 822-3365-1500
</t>
  </si>
  <si>
    <t>N 1848 YQ</t>
  </si>
  <si>
    <t>K240097</t>
  </si>
  <si>
    <t>Bapak Johari</t>
  </si>
  <si>
    <t>+62 813-2573-1353</t>
  </si>
  <si>
    <t>K240098</t>
  </si>
  <si>
    <t>Imam Santoso</t>
  </si>
  <si>
    <t>+62 813-3171-3908</t>
  </si>
  <si>
    <t>K240099</t>
  </si>
  <si>
    <t>Eky Laksono</t>
  </si>
  <si>
    <t xml:space="preserve"> 1,675,320</t>
  </si>
  <si>
    <t>K240100</t>
  </si>
  <si>
    <t>P. Erfan</t>
  </si>
  <si>
    <t>+62 858-1588-1880</t>
  </si>
  <si>
    <t>Madiun</t>
  </si>
  <si>
    <t>K240101</t>
  </si>
  <si>
    <t>P. Hiriyanto</t>
  </si>
  <si>
    <t>+62 822-3270-2184</t>
  </si>
  <si>
    <t>W 1873 YA</t>
  </si>
  <si>
    <t>TF 33 HIRIYANTO</t>
  </si>
  <si>
    <t>K240102</t>
  </si>
  <si>
    <t>P. Jurianto</t>
  </si>
  <si>
    <t>+62 815-5012-504</t>
  </si>
  <si>
    <t>TF 33 DP 100 + 940</t>
  </si>
  <si>
    <t>K240103</t>
  </si>
  <si>
    <t>P. Hadiyono</t>
  </si>
  <si>
    <t>+62 812-1656-173</t>
  </si>
  <si>
    <t>L 1852 PC</t>
  </si>
  <si>
    <t>TF 33 ETIK AGUSTININGSIH</t>
  </si>
  <si>
    <t>K240104</t>
  </si>
  <si>
    <t xml:space="preserve">P. Rony Chandra </t>
  </si>
  <si>
    <t>+62 859-5676-2189</t>
  </si>
  <si>
    <t>W 1068 YO</t>
  </si>
  <si>
    <t>3/12/24 1100</t>
  </si>
  <si>
    <t>TF 33 225 EKO HARYADI</t>
  </si>
  <si>
    <t>K240105</t>
  </si>
  <si>
    <t>K240106</t>
  </si>
  <si>
    <t>P. Fajry</t>
  </si>
  <si>
    <t>B 2275 HU</t>
  </si>
  <si>
    <t>K240107</t>
  </si>
  <si>
    <t>P. Nurdin</t>
  </si>
  <si>
    <t>+62 812-3179-5719</t>
  </si>
  <si>
    <t>TF 33 MUHAMMAD NURUDIN C</t>
  </si>
  <si>
    <t>K240108</t>
  </si>
  <si>
    <t xml:space="preserve">P. Faris Andi </t>
  </si>
  <si>
    <t>+62 812-3541-1131</t>
  </si>
  <si>
    <t>TF 33 LUKMAN FARIS ANDI</t>
  </si>
  <si>
    <t>L240001</t>
  </si>
  <si>
    <t>P. Ardian</t>
  </si>
  <si>
    <t>6285290666452</t>
  </si>
  <si>
    <t>L240002</t>
  </si>
  <si>
    <t>P. Sonif</t>
  </si>
  <si>
    <t>+62 813-5882-2227</t>
  </si>
  <si>
    <t>L240003</t>
  </si>
  <si>
    <t>P. Yussi</t>
  </si>
  <si>
    <t>+62 878-5204-4400</t>
  </si>
  <si>
    <t>TF 33 YUSSI WINARTO</t>
  </si>
  <si>
    <t>L240004</t>
  </si>
  <si>
    <t xml:space="preserve">P. Candra </t>
  </si>
  <si>
    <t>+62 813-3567-8484</t>
  </si>
  <si>
    <t>L 1325 QL</t>
  </si>
  <si>
    <t>L240005</t>
  </si>
  <si>
    <t>LFW-GRANMAXAGC</t>
  </si>
  <si>
    <t>+62 895-2669-4525</t>
  </si>
  <si>
    <t>N 8511 WE</t>
  </si>
  <si>
    <t>L240006</t>
  </si>
  <si>
    <t>P. Wim Da Santo</t>
  </si>
  <si>
    <t>082146958620/082146958620</t>
  </si>
  <si>
    <t>L240007</t>
  </si>
  <si>
    <t>LFW-FORESTERMU</t>
  </si>
  <si>
    <t>Bengkel  La Variasi</t>
  </si>
  <si>
    <t>+62 813-3294-3444</t>
  </si>
  <si>
    <t>TF 33 M MUNIR</t>
  </si>
  <si>
    <t>L240008</t>
  </si>
  <si>
    <t>+62 821-4198-6158</t>
  </si>
  <si>
    <t>L240009</t>
  </si>
  <si>
    <t>Bu  Paulina</t>
  </si>
  <si>
    <t>+62 818-0511-1555</t>
  </si>
  <si>
    <t>W 1588 QY</t>
  </si>
  <si>
    <t>L240010</t>
  </si>
  <si>
    <t>TRW-ERTIGA18HAGC</t>
  </si>
  <si>
    <t xml:space="preserve">P. Harjo </t>
  </si>
  <si>
    <t>+62 822-3210-2039</t>
  </si>
  <si>
    <t>L 1825 ACJ</t>
  </si>
  <si>
    <t>TF 33 HARJO KUSUMOWIBOWO</t>
  </si>
  <si>
    <t>L240011</t>
  </si>
  <si>
    <t>TRW-INNOVA04AGC</t>
  </si>
  <si>
    <t>Pak Juwana/ Pak. Sean</t>
  </si>
  <si>
    <t>L 1511 QB</t>
  </si>
  <si>
    <t>TF 33 JUWANA INDRAWILA</t>
  </si>
  <si>
    <t>L240012</t>
  </si>
  <si>
    <t>FDL-KUDAASH</t>
  </si>
  <si>
    <t>P.Sabri</t>
  </si>
  <si>
    <t>+62 812-5229-9234</t>
  </si>
  <si>
    <t>TF 33 TRI JUNAEDI SABRI</t>
  </si>
  <si>
    <t>L240013</t>
  </si>
  <si>
    <t>P. Jojo</t>
  </si>
  <si>
    <t>+62 821-3990-4896</t>
  </si>
  <si>
    <t>W 1216 ZQ</t>
  </si>
  <si>
    <t>TF 33 JONATAN EZRA BRAM</t>
  </si>
  <si>
    <t>L240014</t>
  </si>
  <si>
    <t>LFW-VITARA88MU</t>
  </si>
  <si>
    <t xml:space="preserve">P.Amar </t>
  </si>
  <si>
    <t>6282342277529</t>
  </si>
  <si>
    <t>tokped 1,494,080</t>
  </si>
  <si>
    <t>TF 33 MUAMAR 60K</t>
  </si>
  <si>
    <t>L240015</t>
  </si>
  <si>
    <t>P. Abdullah Fatih</t>
  </si>
  <si>
    <t>+62 812-1710-3208</t>
  </si>
  <si>
    <t>TF 33 ABDULLAH FATIQ</t>
  </si>
  <si>
    <t>L240016</t>
  </si>
  <si>
    <t>P.Andreas</t>
  </si>
  <si>
    <t>+62 813-3552-4688</t>
  </si>
  <si>
    <t>W 1159 CQ</t>
  </si>
  <si>
    <t>TF 33 DP 500rb ANDREAS  KURNIAWAN / PELUNASAN 1397 L240028</t>
  </si>
  <si>
    <t>L240017</t>
  </si>
  <si>
    <t>P.Alfian </t>
  </si>
  <si>
    <t>+62 822-4426-5747</t>
  </si>
  <si>
    <t>L 1363 AN</t>
  </si>
  <si>
    <t>TF 33 ALFIAN ANUGRAH SAP</t>
  </si>
  <si>
    <t>L240018</t>
  </si>
  <si>
    <t>P.Arief Rachman</t>
  </si>
  <si>
    <t>+62 817-5146-566</t>
  </si>
  <si>
    <t>TF 33 ARIEF RACHMAN</t>
  </si>
  <si>
    <t>L240019</t>
  </si>
  <si>
    <t>P.Alvian</t>
  </si>
  <si>
    <t>085776317687</t>
  </si>
  <si>
    <t>GUNTUR</t>
  </si>
  <si>
    <t>L240020</t>
  </si>
  <si>
    <t>P. Kris</t>
  </si>
  <si>
    <t>+62 896-7690-1300</t>
  </si>
  <si>
    <t>TF 33 KHRISNA DIODANTO</t>
  </si>
  <si>
    <t>L240021</t>
  </si>
  <si>
    <t>P.Husni</t>
  </si>
  <si>
    <t>+62 812-3209-9981/.+62 812-3078-4982</t>
  </si>
  <si>
    <t>L240022</t>
  </si>
  <si>
    <t>LFW-CAPTIVARSXYG</t>
  </si>
  <si>
    <t>Asda Lita Arrova</t>
  </si>
  <si>
    <t>6281252444019</t>
  </si>
  <si>
    <t>tokped 1,989,960</t>
  </si>
  <si>
    <t>L240023</t>
  </si>
  <si>
    <t>P.Adi Nugroho</t>
  </si>
  <si>
    <t>+62 859-3664-9009</t>
  </si>
  <si>
    <t>TF 33 ADI NUGROHO</t>
  </si>
  <si>
    <t>L240024</t>
  </si>
  <si>
    <t>Florianus Adonara</t>
  </si>
  <si>
    <t>TF 33 GEDE TUP</t>
  </si>
  <si>
    <t>L240025</t>
  </si>
  <si>
    <t>P.Arie</t>
  </si>
  <si>
    <t>+62 812-4904-0151</t>
  </si>
  <si>
    <t>TF 33 MUHAMMAD DIN ADI S 3jt / 5rb 17/12/24</t>
  </si>
  <si>
    <t>L240026</t>
  </si>
  <si>
    <t>Dimas,Ade</t>
  </si>
  <si>
    <t>L240027</t>
  </si>
  <si>
    <t>Guntur</t>
  </si>
  <si>
    <t>L240028</t>
  </si>
  <si>
    <t>TF 33 ANDREAS KURNIAWAN L240016</t>
  </si>
  <si>
    <t>L240029</t>
  </si>
  <si>
    <t xml:space="preserve">Ust. Badri </t>
  </si>
  <si>
    <t>+62 877-6843-2777</t>
  </si>
  <si>
    <t>M 1009 TB</t>
  </si>
  <si>
    <t>L240030</t>
  </si>
  <si>
    <t>P.Samuel</t>
  </si>
  <si>
    <t>082134780409</t>
  </si>
  <si>
    <t>TF 33 SAMSUL ARIFIN</t>
  </si>
  <si>
    <t>L240031</t>
  </si>
  <si>
    <t>P. Evan</t>
  </si>
  <si>
    <t>+62 817-5090-027</t>
  </si>
  <si>
    <t>L240032</t>
  </si>
  <si>
    <t>P.Anton</t>
  </si>
  <si>
    <t>082257397980</t>
  </si>
  <si>
    <t>RUKO</t>
  </si>
  <si>
    <t>TF 33 R ANTONIUS AGUS AR</t>
  </si>
  <si>
    <t>L240033</t>
  </si>
  <si>
    <t>Bu Cristin</t>
  </si>
  <si>
    <t>+62 813-3332-9268</t>
  </si>
  <si>
    <t>TF 33 TJOA HWIE TIN CHRI</t>
  </si>
  <si>
    <t>L240034</t>
  </si>
  <si>
    <t>Agung Nasrudin</t>
  </si>
  <si>
    <t>+62 813-3311-4239</t>
  </si>
  <si>
    <t>TF 33 EMY SRIWATI</t>
  </si>
  <si>
    <t>L240035</t>
  </si>
  <si>
    <t>CV. ARDENT/Roni P.</t>
  </si>
  <si>
    <t>W 9835 PF</t>
  </si>
  <si>
    <t>TF 33 JOHANES HARTONO</t>
  </si>
  <si>
    <t>L240036</t>
  </si>
  <si>
    <t xml:space="preserve">P.Adnan,S.pd </t>
  </si>
  <si>
    <t>6285242463449</t>
  </si>
  <si>
    <t>Sulawesi</t>
  </si>
  <si>
    <t>tokped 802,240</t>
  </si>
  <si>
    <t>TF 33 ADNAN S.PD</t>
  </si>
  <si>
    <t>L240037</t>
  </si>
  <si>
    <t>P.Eddy</t>
  </si>
  <si>
    <t>+62 811-316-747</t>
  </si>
  <si>
    <t>L 1534 TM</t>
  </si>
  <si>
    <t>mojokerto</t>
  </si>
  <si>
    <t>TF 33 TAUFIQ</t>
  </si>
  <si>
    <t>L240038</t>
  </si>
  <si>
    <t>P. Joko</t>
  </si>
  <si>
    <t>+62 812-1666-3780</t>
  </si>
  <si>
    <t>L 9496 CD</t>
  </si>
  <si>
    <t>TF 33 SITI QOMARIAH</t>
  </si>
  <si>
    <t>L240039</t>
  </si>
  <si>
    <t>LFW-E46NORSMU</t>
  </si>
  <si>
    <t>P. Rahul</t>
  </si>
  <si>
    <t>+62 822-4554-9901</t>
  </si>
  <si>
    <t>TF 33 EVA OKTAVIA INDRIA</t>
  </si>
  <si>
    <t>L240040</t>
  </si>
  <si>
    <t xml:space="preserve">Afizan Haris Pratama </t>
  </si>
  <si>
    <t>+62 853-6283-4542</t>
  </si>
  <si>
    <t>L240041</t>
  </si>
  <si>
    <t>P. Nyoto</t>
  </si>
  <si>
    <t>+62 857-3307-6140</t>
  </si>
  <si>
    <t>L240042</t>
  </si>
  <si>
    <t>TRW-VOXYXYG</t>
  </si>
  <si>
    <t>Solid Garage</t>
  </si>
  <si>
    <t>+62 878-5360-6660</t>
  </si>
  <si>
    <t>DP TF 33 DAVID PRIYO ATMODJ 1.000.000 / 24/12/24 2,335,000 (300 PETTY CASH)</t>
  </si>
  <si>
    <t>L240043</t>
  </si>
  <si>
    <t>P. Sutari</t>
  </si>
  <si>
    <t>081230174360</t>
  </si>
  <si>
    <t>L240044</t>
  </si>
  <si>
    <t>RDR-PICANTO04FY</t>
  </si>
  <si>
    <t>P. Sucahyo</t>
  </si>
  <si>
    <t>089683382220</t>
  </si>
  <si>
    <t>1/4/25 925,000</t>
  </si>
  <si>
    <t>L240045</t>
  </si>
  <si>
    <t>P. Marhawi</t>
  </si>
  <si>
    <t>087750843088</t>
  </si>
  <si>
    <t>L240046</t>
  </si>
  <si>
    <t>P. Didik</t>
  </si>
  <si>
    <t>+62 812-3484-7888</t>
  </si>
  <si>
    <t>538400 TF 33 DIDIK MARDIANA . REFUND</t>
  </si>
  <si>
    <t>REFUND</t>
  </si>
  <si>
    <t>L240047</t>
  </si>
  <si>
    <t>L240048</t>
  </si>
  <si>
    <t>P. Juniarto</t>
  </si>
  <si>
    <t>+62 813-3191-3555</t>
  </si>
  <si>
    <t>jhunpandu78@gmail.com</t>
  </si>
  <si>
    <t>L 1939 RQ</t>
  </si>
  <si>
    <t>L240049</t>
  </si>
  <si>
    <t>P. Agung Indra Jaya</t>
  </si>
  <si>
    <t>+62 878-5380-0480</t>
  </si>
  <si>
    <t>agungindrajaya82@gmail.com</t>
  </si>
  <si>
    <t>L 1781 BE</t>
  </si>
  <si>
    <t>TF 33 AGUNG INDRA JAYA S</t>
  </si>
  <si>
    <t>L240050</t>
  </si>
  <si>
    <t>P.Budi</t>
  </si>
  <si>
    <t>+62 811-353-507</t>
  </si>
  <si>
    <t>L 1649 TV</t>
  </si>
  <si>
    <t>L240051</t>
  </si>
  <si>
    <t>P. Kuncoro</t>
  </si>
  <si>
    <t>+62 816-5401-991</t>
  </si>
  <si>
    <t>k.karjoraharjo@gmail.com</t>
  </si>
  <si>
    <t>B 1644 AUB</t>
  </si>
  <si>
    <t>TF 33 KUNTJORO KARJORAH</t>
  </si>
  <si>
    <t>L240052</t>
  </si>
  <si>
    <t>TRW-BRIONOLBGXYG</t>
  </si>
  <si>
    <t>B.Diah/P. Dofa</t>
  </si>
  <si>
    <t>082250000503</t>
  </si>
  <si>
    <t>sridiahagustiningrum67@gmail.com</t>
  </si>
  <si>
    <t>L 1481 VU</t>
  </si>
  <si>
    <t>L240053</t>
  </si>
  <si>
    <t>+62 851-0348-3100</t>
  </si>
  <si>
    <t>TF 33 KEMAS AGUS SALIM</t>
  </si>
  <si>
    <t>L240054</t>
  </si>
  <si>
    <t>+62 812-2662-2211</t>
  </si>
  <si>
    <t>B 2687 RF</t>
  </si>
  <si>
    <t>TF 33 ANDY</t>
  </si>
  <si>
    <t>L240055</t>
  </si>
  <si>
    <t>LFW-JAZZ07AGC</t>
  </si>
  <si>
    <t>P. Darsono</t>
  </si>
  <si>
    <t>+62 812-3573-7367</t>
  </si>
  <si>
    <t>darsono1707@gmail.com</t>
  </si>
  <si>
    <t>L 1729 CAZ</t>
  </si>
  <si>
    <t>TF 33 MMA DARSONO //  1/4/25 SISA 3188</t>
  </si>
  <si>
    <t>L240056</t>
  </si>
  <si>
    <t xml:space="preserve">Bu Theresia SetyowatI
</t>
  </si>
  <si>
    <t>+62 822-4444-2151</t>
  </si>
  <si>
    <t>TF 33 VECTORIUS //  1/4/2 1125 sisa</t>
  </si>
  <si>
    <t>Bu Theresia SetyowatI</t>
  </si>
  <si>
    <t>L240057</t>
  </si>
  <si>
    <t>+62 817-5002-199</t>
  </si>
  <si>
    <t>1/4/25 ket l240059</t>
  </si>
  <si>
    <t>L240058</t>
  </si>
  <si>
    <t>SWL-FORTUNER15ASH</t>
  </si>
  <si>
    <t>P. Bagus</t>
  </si>
  <si>
    <t>+62 822-2841-6483</t>
  </si>
  <si>
    <t>L 1423 VL</t>
  </si>
  <si>
    <t>TF 33 BAGUS FITRIAN</t>
  </si>
  <si>
    <t>L240059</t>
  </si>
  <si>
    <t>P. Dika</t>
  </si>
  <si>
    <t>+62 852-8397-9420</t>
  </si>
  <si>
    <t>Rembang</t>
  </si>
  <si>
    <t>L240060</t>
  </si>
  <si>
    <t xml:space="preserve">P. Taufik / UD. CITRA MOTOR
</t>
  </si>
  <si>
    <t>+62 821-3199-6999</t>
  </si>
  <si>
    <t>TF 33 MUHAMMAD TAUFIK</t>
  </si>
  <si>
    <t>L240061</t>
  </si>
  <si>
    <t>P. Triono</t>
  </si>
  <si>
    <t>L240062</t>
  </si>
  <si>
    <t>P. Anton</t>
  </si>
  <si>
    <t>L240063</t>
  </si>
  <si>
    <t>TRW-ALTIS06XYG</t>
  </si>
  <si>
    <t>P. Sigit Widjaya</t>
  </si>
  <si>
    <t>+62 812-1678-636</t>
  </si>
  <si>
    <t>TF 33 SIGIT WIDJAYANTO 667,000 // 28/12/24 2,668,000 (214 Ekspedisi petty cash)</t>
  </si>
  <si>
    <t>L240064</t>
  </si>
  <si>
    <t>P.Agus</t>
  </si>
  <si>
    <t>+62 812-4984-6880</t>
  </si>
  <si>
    <t>L 1723 ABH</t>
  </si>
  <si>
    <t>TF 33 AGUS SALIM</t>
  </si>
  <si>
    <t>L240065</t>
  </si>
  <si>
    <t>P. Yoyok</t>
  </si>
  <si>
    <t>+62 812-5290-7267</t>
  </si>
  <si>
    <t>TF 33 YOYOK EKO SUPRASTI</t>
  </si>
  <si>
    <t>L240066</t>
  </si>
  <si>
    <t>L240067</t>
  </si>
  <si>
    <t>P. Firman</t>
  </si>
  <si>
    <t>+62 821-4398-9474</t>
  </si>
  <si>
    <t>L 1298 DL</t>
  </si>
  <si>
    <t>L240068</t>
  </si>
  <si>
    <t>TRW-VIOS02XYG</t>
  </si>
  <si>
    <t>P. Dana</t>
  </si>
  <si>
    <t>+62 823-3563-4162</t>
  </si>
  <si>
    <t>L240069</t>
  </si>
  <si>
    <t>P. Risky</t>
  </si>
  <si>
    <t>+62 857-3003-6888</t>
  </si>
  <si>
    <t>TF 33 ENDAH IRIANI</t>
  </si>
  <si>
    <t>L240070</t>
  </si>
  <si>
    <t>P. Haidar</t>
  </si>
  <si>
    <t>+62 812-5928-3391</t>
  </si>
  <si>
    <t xml:space="preserve">L 1380 XH </t>
  </si>
  <si>
    <t>L240071</t>
  </si>
  <si>
    <t>P. Fikri Firmansyah</t>
  </si>
  <si>
    <t>+62 831-3469-8825</t>
  </si>
  <si>
    <t>TF 33 FIKRI FIRMANSYAH</t>
  </si>
  <si>
    <t>TRW-ESCUDO00XYG</t>
  </si>
  <si>
    <t>L240072</t>
  </si>
  <si>
    <t>P. Restu Ardian</t>
  </si>
  <si>
    <t>+62 812-5989-9201</t>
  </si>
  <si>
    <t>L240073</t>
  </si>
  <si>
    <t>P.M. Fajar Triono</t>
  </si>
  <si>
    <t>6285236086597</t>
  </si>
  <si>
    <t>Situbondo</t>
  </si>
  <si>
    <t>TF 33 BUDIYANTO</t>
  </si>
  <si>
    <t>L240074</t>
  </si>
  <si>
    <t>P. Eddy Taufiq</t>
  </si>
  <si>
    <t>TF 33 754,400 TAUFIQ / 28/12/24 TAUFIQ 3,017,600</t>
  </si>
  <si>
    <t>L240075</t>
  </si>
  <si>
    <t>L240076</t>
  </si>
  <si>
    <t>P. Izol</t>
  </si>
  <si>
    <t>+62 813-3158-1644</t>
  </si>
  <si>
    <t>TF 33 ZULFIKI</t>
  </si>
  <si>
    <t>L240077</t>
  </si>
  <si>
    <t>P. Bagus April Febrianti</t>
  </si>
  <si>
    <t>+62 856-4840-5275</t>
  </si>
  <si>
    <t>L240078</t>
  </si>
  <si>
    <t>RDL-TERIOS06ASH</t>
  </si>
  <si>
    <t>P.Walid</t>
  </si>
  <si>
    <t>+62 822-4592-3284</t>
  </si>
  <si>
    <t>TF 33 ACHMAD WALID</t>
  </si>
  <si>
    <t>L240079</t>
  </si>
  <si>
    <t>TF 33 SYARONI ISMANTO</t>
  </si>
  <si>
    <t>L240080</t>
  </si>
  <si>
    <t>P.Zukarnain</t>
  </si>
  <si>
    <t>081553400052</t>
  </si>
  <si>
    <t>L240081</t>
  </si>
  <si>
    <t>P. Hamzah</t>
  </si>
  <si>
    <t>+62 852-3692-0742</t>
  </si>
  <si>
    <t>L240082</t>
  </si>
  <si>
    <t>LFW-CX9GEN1XYG</t>
  </si>
  <si>
    <t>P. Rozaq</t>
  </si>
  <si>
    <t>+62 812-3008-2599</t>
  </si>
  <si>
    <t>L 1194 II</t>
  </si>
  <si>
    <t>TF 33 ABDUL ROZAQ</t>
  </si>
  <si>
    <t>L240083</t>
  </si>
  <si>
    <t>TRW-ALMAZXYG</t>
  </si>
  <si>
    <t>P.Gatut Ilham Pratama </t>
  </si>
  <si>
    <t>+62 896-5156-3133</t>
  </si>
  <si>
    <t>TF 33 YUSI NUR</t>
  </si>
  <si>
    <t>L240084</t>
  </si>
  <si>
    <t xml:space="preserve">P. Akhmad </t>
  </si>
  <si>
    <t>+62 859-1812-28377</t>
  </si>
  <si>
    <t>L 1073 ZN</t>
  </si>
  <si>
    <t>L240085</t>
  </si>
  <si>
    <t>Dr. Wisnu/ Dr Latifah</t>
  </si>
  <si>
    <t>+62 878-3035-2914</t>
  </si>
  <si>
    <t>TF 33 SRI PRAMESTHI</t>
  </si>
  <si>
    <t>L240086</t>
  </si>
  <si>
    <t>P. Agus Cahya</t>
  </si>
  <si>
    <t>TF 33 BADRUL HUDA ASHOFI</t>
  </si>
  <si>
    <t>L240087</t>
  </si>
  <si>
    <t>P. Wildan</t>
  </si>
  <si>
    <t>+62 878-1524-6380</t>
  </si>
  <si>
    <t>N 1082 GS</t>
  </si>
  <si>
    <t>TF 33 WILDA MAULANA</t>
  </si>
  <si>
    <t>L240088</t>
  </si>
  <si>
    <t>P. Andrew</t>
  </si>
  <si>
    <t>+62 822-2822-2936</t>
  </si>
  <si>
    <t>aurevoir_13@yahoo.co.id</t>
  </si>
  <si>
    <t>L 1809 VX</t>
  </si>
  <si>
    <t>TF 33 ENDRU SEPTIA PUTRA 700 / 1/5/25 200</t>
  </si>
  <si>
    <t>L240089</t>
  </si>
  <si>
    <t>Tyagita Vidya P.</t>
  </si>
  <si>
    <t>+62 813-3533-4533</t>
  </si>
  <si>
    <t>TF 33 TYAGITA VIDYA</t>
  </si>
  <si>
    <t>L240090</t>
  </si>
  <si>
    <t>Tri Wahyuningsih</t>
  </si>
  <si>
    <t>+62 822-2900-0707</t>
  </si>
  <si>
    <t>TF 33 TRI WAHYUNINGSIH</t>
  </si>
  <si>
    <t>L240091</t>
  </si>
  <si>
    <t>P. Ricky</t>
  </si>
  <si>
    <t>+62 813-5719-0220</t>
  </si>
  <si>
    <t>L 1597 VW</t>
  </si>
  <si>
    <t>TF 33 RICKY ISKANDAR</t>
  </si>
  <si>
    <t>L240092</t>
  </si>
  <si>
    <t>TRW-SPORTAGE10SXYG</t>
  </si>
  <si>
    <t>P. Fatkhur Rozaq</t>
  </si>
  <si>
    <t>+62 812-3227-209</t>
  </si>
  <si>
    <t>L240093</t>
  </si>
  <si>
    <t xml:space="preserve">+62 838-3993-6603
</t>
  </si>
  <si>
    <t>L 1724 TH</t>
  </si>
  <si>
    <t>TF 33 ANDREW KURNIAWAN</t>
  </si>
  <si>
    <t>L240094</t>
  </si>
  <si>
    <t>P. Taufik</t>
  </si>
  <si>
    <t>+62 851-0208-7238</t>
  </si>
  <si>
    <t>tokped 14/1/25</t>
  </si>
  <si>
    <t>TF 33 MOCH TAUFIK</t>
  </si>
  <si>
    <t>L240095</t>
  </si>
  <si>
    <t>P. Sony</t>
  </si>
  <si>
    <t xml:space="preserve">+62 821-1062-2266
</t>
  </si>
  <si>
    <t>L 1292 RX</t>
  </si>
  <si>
    <t>TF 33 SONY YUNILIYANTO</t>
  </si>
  <si>
    <t>A250001</t>
  </si>
  <si>
    <t>B. Yulia</t>
  </si>
  <si>
    <t>+62 878-5070-6595</t>
  </si>
  <si>
    <t>M 1392 HH</t>
  </si>
  <si>
    <t>A250002</t>
  </si>
  <si>
    <t>P. Suwandy</t>
  </si>
  <si>
    <t>+62 838-1559-3397</t>
  </si>
  <si>
    <t>16/1/25 - 793650</t>
  </si>
  <si>
    <t>A250003</t>
  </si>
  <si>
    <t>16/1/25 - 1,294,925</t>
  </si>
  <si>
    <t>A250004</t>
  </si>
  <si>
    <t>B.Tuty / P. Dimas</t>
  </si>
  <si>
    <t>+62 821-1220-9425</t>
  </si>
  <si>
    <t>W 1858 EF</t>
  </si>
  <si>
    <t>A250005</t>
  </si>
  <si>
    <t>P. Ryan Waskito</t>
  </si>
  <si>
    <t>+62 857-3055-8925</t>
  </si>
  <si>
    <t>W 1986 WK</t>
  </si>
  <si>
    <t>TF 33 WINDY ARSELYNA JAY</t>
  </si>
  <si>
    <t>A250006</t>
  </si>
  <si>
    <t>LFW-PANDAXYG</t>
  </si>
  <si>
    <t>Mumut</t>
  </si>
  <si>
    <t>+62 813-5333-4106</t>
  </si>
  <si>
    <t>TF 33 YAFI NUR GRAHA 515,800</t>
  </si>
  <si>
    <t>A250007</t>
  </si>
  <si>
    <t>P. Edy Sutanto</t>
  </si>
  <si>
    <t>+62 888-3572-200</t>
  </si>
  <si>
    <t>B 2259 UKL</t>
  </si>
  <si>
    <t>Bangil</t>
  </si>
  <si>
    <t>cash</t>
  </si>
  <si>
    <t>A250008</t>
  </si>
  <si>
    <t>P.Huda</t>
  </si>
  <si>
    <t>+62 857-8400-5755</t>
  </si>
  <si>
    <t>A250009</t>
  </si>
  <si>
    <t>P.Benny</t>
  </si>
  <si>
    <t>+62 812-3136-2363</t>
  </si>
  <si>
    <t>N 1147 YD</t>
  </si>
  <si>
    <t>A250010</t>
  </si>
  <si>
    <t>P.Zain</t>
  </si>
  <si>
    <t>+62 877-0471-3337</t>
  </si>
  <si>
    <t>A250011</t>
  </si>
  <si>
    <t>A250012</t>
  </si>
  <si>
    <t>P. Handy Anamuli</t>
  </si>
  <si>
    <t>6281339614914</t>
  </si>
  <si>
    <t>TOKOPEDIA</t>
  </si>
  <si>
    <t>A250013</t>
  </si>
  <si>
    <t>P. Yazid</t>
  </si>
  <si>
    <t>+62 823-3491-8186</t>
  </si>
  <si>
    <t>FILM-40STD</t>
  </si>
  <si>
    <t>A250014</t>
  </si>
  <si>
    <t>+62 878-5075-0978</t>
  </si>
  <si>
    <t>M 1142 HY</t>
  </si>
  <si>
    <t>A250015</t>
  </si>
  <si>
    <t>Nuril H.</t>
  </si>
  <si>
    <t>+62 823-0164-2599</t>
  </si>
  <si>
    <t>A250016</t>
  </si>
  <si>
    <t>P. Ach Taufiqun Nur</t>
  </si>
  <si>
    <t>085230724009</t>
  </si>
  <si>
    <t>L 1132 ZA</t>
  </si>
  <si>
    <t>A250017</t>
  </si>
  <si>
    <t>P. Sapingi</t>
  </si>
  <si>
    <t>+62 813-3328-9090</t>
  </si>
  <si>
    <t>N 1604 AAU</t>
  </si>
  <si>
    <t>A250018</t>
  </si>
  <si>
    <t>P. Arifin</t>
  </si>
  <si>
    <t xml:space="preserve">+62 877-5075-8400
</t>
  </si>
  <si>
    <t>M 1589 HW</t>
  </si>
  <si>
    <t>A250019</t>
  </si>
  <si>
    <t>P. Warjono</t>
  </si>
  <si>
    <t>+62 812-1677-877</t>
  </si>
  <si>
    <t>W 1996 BU</t>
  </si>
  <si>
    <t>A250020</t>
  </si>
  <si>
    <t>+62 818-307-893</t>
  </si>
  <si>
    <t>L 1476 IH</t>
  </si>
  <si>
    <t>Rekan</t>
  </si>
  <si>
    <t>A250021</t>
  </si>
  <si>
    <t>P. Andik</t>
  </si>
  <si>
    <t>+62 857-3741-5825</t>
  </si>
  <si>
    <t>A250022</t>
  </si>
  <si>
    <t>P. Safii</t>
  </si>
  <si>
    <t>A250023</t>
  </si>
  <si>
    <t>Nizar</t>
  </si>
  <si>
    <t>+62 838-6389-9025</t>
  </si>
  <si>
    <t>AG 1936 FM</t>
  </si>
  <si>
    <t>A250024</t>
  </si>
  <si>
    <t>P. Pram Rendra Indarto</t>
  </si>
  <si>
    <t>+62 812-1423-7898</t>
  </si>
  <si>
    <t>W 9294 K</t>
  </si>
  <si>
    <t>A250025</t>
  </si>
  <si>
    <t>SWL-INNOVA15ASH</t>
  </si>
  <si>
    <t>P. Rai</t>
  </si>
  <si>
    <t>A250026</t>
  </si>
  <si>
    <t>P. Hermanto</t>
  </si>
  <si>
    <t>+62 821-3234-9598</t>
  </si>
  <si>
    <t>A250027</t>
  </si>
  <si>
    <t>A250028</t>
  </si>
  <si>
    <t>P. Abu Bakar</t>
  </si>
  <si>
    <t>+62 878-0444-4981</t>
  </si>
  <si>
    <t>M 8905 NB</t>
  </si>
  <si>
    <t>A250029</t>
  </si>
  <si>
    <t>TRW-OUTLANDERFR</t>
  </si>
  <si>
    <t>B. Melisa</t>
  </si>
  <si>
    <t>+62 813-3666-9522</t>
  </si>
  <si>
    <t>EB 1489 BL</t>
  </si>
  <si>
    <t>A250030</t>
  </si>
  <si>
    <t>LFW-ODYSSEY09XYG</t>
  </si>
  <si>
    <t>P. Arnold</t>
  </si>
  <si>
    <t>+62 822-3035-6688</t>
  </si>
  <si>
    <t>A250031</t>
  </si>
  <si>
    <t>P. Ferdi</t>
  </si>
  <si>
    <t>+62 821-1234-8845</t>
  </si>
  <si>
    <t>B 2113 SME</t>
  </si>
  <si>
    <t>A250032</t>
  </si>
  <si>
    <t>P. Ervan</t>
  </si>
  <si>
    <t>+62 857-0729-1744</t>
  </si>
  <si>
    <t>L 1562 PQ</t>
  </si>
  <si>
    <t>A250033</t>
  </si>
  <si>
    <t>Bengkel Mekar Jaya/Rennis</t>
  </si>
  <si>
    <t>+62 857-3319-6882</t>
  </si>
  <si>
    <t>A250034</t>
  </si>
  <si>
    <t>P. Aat</t>
  </si>
  <si>
    <t xml:space="preserve">+62 812-3061-775
</t>
  </si>
  <si>
    <t>L 1293 CC</t>
  </si>
  <si>
    <t>A250035</t>
  </si>
  <si>
    <t>P. Vio Fajar</t>
  </si>
  <si>
    <t>A250036</t>
  </si>
  <si>
    <t>LFW-CAREN99MU</t>
  </si>
  <si>
    <t>Fajar Budi Prasetyo</t>
  </si>
  <si>
    <t>+62 896-8069-9931</t>
  </si>
  <si>
    <t>N 1179 AAI</t>
  </si>
  <si>
    <t>A250037</t>
  </si>
  <si>
    <t>Srai Dwi Joyanto</t>
  </si>
  <si>
    <t>+62 812-3173-687</t>
  </si>
  <si>
    <t>L 1876 DAL</t>
  </si>
  <si>
    <t>A250038</t>
  </si>
  <si>
    <t>H. Salim</t>
  </si>
  <si>
    <t>+62 812-1716-431</t>
  </si>
  <si>
    <t>L 1036 TT</t>
  </si>
  <si>
    <t>A250039</t>
  </si>
  <si>
    <t>P. Zulkarnain</t>
  </si>
  <si>
    <t>L 1448 SQ</t>
  </si>
  <si>
    <t>A250040</t>
  </si>
  <si>
    <t>P. Muzakkir</t>
  </si>
  <si>
    <t>08123524765</t>
  </si>
  <si>
    <t>L 1131 VM</t>
  </si>
  <si>
    <t>A250041</t>
  </si>
  <si>
    <t>P. Karsimo</t>
  </si>
  <si>
    <t xml:space="preserve">+62 857-8478-3357
</t>
  </si>
  <si>
    <t>karsimoaja@gmail.com</t>
  </si>
  <si>
    <t>L 1497 AU</t>
  </si>
  <si>
    <t>A250042</t>
  </si>
  <si>
    <t>P. Mutarim</t>
  </si>
  <si>
    <t>+62 812-1723-660</t>
  </si>
  <si>
    <t>L 1483 ACJ</t>
  </si>
  <si>
    <t>A250043</t>
  </si>
  <si>
    <t>P. Pierre Tetta</t>
  </si>
  <si>
    <t>+62 817-0273-774</t>
  </si>
  <si>
    <t>pierre73774@icloud.com</t>
  </si>
  <si>
    <t>L 1834 VK</t>
  </si>
  <si>
    <t>A250044</t>
  </si>
  <si>
    <t>Bu Elly</t>
  </si>
  <si>
    <t>+62 812-5272-5300</t>
  </si>
  <si>
    <t>L 1157 GR</t>
  </si>
  <si>
    <t>A250045</t>
  </si>
  <si>
    <t>Pak Ali</t>
  </si>
  <si>
    <t xml:space="preserve">+62 856-4970-3668
</t>
  </si>
  <si>
    <t>A 1124 YM</t>
  </si>
  <si>
    <t>A250046</t>
  </si>
  <si>
    <t>LFW-TARUNAMU</t>
  </si>
  <si>
    <t>P. Mukrim Supriyanto</t>
  </si>
  <si>
    <t>+62 857-4500-6426</t>
  </si>
  <si>
    <t>AA 1556 EC</t>
  </si>
  <si>
    <t>A250047</t>
  </si>
  <si>
    <t>TRW-MOBILIOXYG</t>
  </si>
  <si>
    <t>+62 823-3100-1876</t>
  </si>
  <si>
    <t>S 1675 LG</t>
  </si>
  <si>
    <t>A250048</t>
  </si>
  <si>
    <t>LFW-LOUHANMU</t>
  </si>
  <si>
    <t>PT Megaduta Artha Megah</t>
  </si>
  <si>
    <t>FDL-LOUHANMU</t>
  </si>
  <si>
    <t>A250049</t>
  </si>
  <si>
    <t>LFW-C24MU</t>
  </si>
  <si>
    <t>A250050</t>
  </si>
  <si>
    <t>P. Ahmad</t>
  </si>
  <si>
    <t>+62 821-4309-7804</t>
  </si>
  <si>
    <t>Z 1478 GO</t>
  </si>
  <si>
    <t>A250051</t>
  </si>
  <si>
    <t>P. Zamzam</t>
  </si>
  <si>
    <t>+62 813-5798-0200</t>
  </si>
  <si>
    <t>GANTI REK</t>
  </si>
  <si>
    <t>A250052</t>
  </si>
  <si>
    <t>P. Habib Abu Bakar</t>
  </si>
  <si>
    <t>+62 812-3398-3502</t>
  </si>
  <si>
    <t>B 1291 WKP</t>
  </si>
  <si>
    <t>A250053</t>
  </si>
  <si>
    <t>+62 813-4403-7474</t>
  </si>
  <si>
    <t>!</t>
  </si>
  <si>
    <t>A250054</t>
  </si>
  <si>
    <t>A250055</t>
  </si>
  <si>
    <t>A250056</t>
  </si>
  <si>
    <t>LFW-SUBARUXVXYG</t>
  </si>
  <si>
    <t>P. Raven</t>
  </si>
  <si>
    <t>+62 812-1007-0094</t>
  </si>
  <si>
    <t>Solo</t>
  </si>
  <si>
    <t>A250057</t>
  </si>
  <si>
    <t>TRW-HIUFY</t>
  </si>
  <si>
    <t>P. Aries</t>
  </si>
  <si>
    <t>+62 817-7008-8111</t>
  </si>
  <si>
    <t>A250058</t>
  </si>
  <si>
    <t>P. Danis</t>
  </si>
  <si>
    <t>+62 856-4836-4000</t>
  </si>
  <si>
    <t>N 1732 BI</t>
  </si>
  <si>
    <t>A250059</t>
  </si>
  <si>
    <t>Demas Zhafran Zharif</t>
  </si>
  <si>
    <t>+62 812-5290-7848</t>
  </si>
  <si>
    <t>L 1330 AH</t>
  </si>
  <si>
    <t>A250060</t>
  </si>
  <si>
    <t>A250061</t>
  </si>
  <si>
    <t>Adrian Marco</t>
  </si>
  <si>
    <t>+62 852-3295-2120</t>
  </si>
  <si>
    <t>A250062</t>
  </si>
  <si>
    <t>PT.  Smja. Ponorogo</t>
  </si>
  <si>
    <t>+62 812-6236-9878</t>
  </si>
  <si>
    <t>A250063</t>
  </si>
  <si>
    <t>P. Syafi'i</t>
  </si>
  <si>
    <t>085755633766</t>
  </si>
  <si>
    <t>A250064</t>
  </si>
  <si>
    <t>Fahmi</t>
  </si>
  <si>
    <t>085258742191</t>
  </si>
  <si>
    <t>A250065</t>
  </si>
  <si>
    <t>P. Jeffry</t>
  </si>
  <si>
    <t>+62 813-3385-1912</t>
  </si>
  <si>
    <t>A250066</t>
  </si>
  <si>
    <t>P. Hery</t>
  </si>
  <si>
    <t>+62 822-3134-4383</t>
  </si>
  <si>
    <t>L 1594 BBG</t>
  </si>
  <si>
    <t xml:space="preserve">+62 822-3134-4383
</t>
  </si>
  <si>
    <t>A250067</t>
  </si>
  <si>
    <t>P. Hoirul Anam</t>
  </si>
  <si>
    <t>+62 877-0280-9555</t>
  </si>
  <si>
    <t>L 1959 DAL</t>
  </si>
  <si>
    <t>A250068</t>
  </si>
  <si>
    <t>W 1892 SE</t>
  </si>
  <si>
    <t>A250069</t>
  </si>
  <si>
    <t>P. Amnan</t>
  </si>
  <si>
    <t>+62 813-3338-5024</t>
  </si>
  <si>
    <t>DA 8536 ZM</t>
  </si>
  <si>
    <t>A250070</t>
  </si>
  <si>
    <t>LFW-INNOVA04AGC</t>
  </si>
  <si>
    <t>Fathur Rozi</t>
  </si>
  <si>
    <t>+62 812-3158-1505</t>
  </si>
  <si>
    <t>W 1781 H</t>
  </si>
  <si>
    <t>A250071</t>
  </si>
  <si>
    <t>+62 821-4064-4032</t>
  </si>
  <si>
    <t>N 1560 GX</t>
  </si>
  <si>
    <t>A250072</t>
  </si>
  <si>
    <t>Suratama Motor</t>
  </si>
  <si>
    <t>+62 851-0049-7473</t>
  </si>
  <si>
    <t>A250073</t>
  </si>
  <si>
    <t>P. Witantyo</t>
  </si>
  <si>
    <t>+62 816-5405-389</t>
  </si>
  <si>
    <t>W 1379 RZ</t>
  </si>
  <si>
    <t>A250074</t>
  </si>
  <si>
    <t>LFW-SPORTAGE10XYG</t>
  </si>
  <si>
    <t>P. Taufik M</t>
  </si>
  <si>
    <t>+62 822-1920-2023</t>
  </si>
  <si>
    <t>A250075</t>
  </si>
  <si>
    <t>P. Aji</t>
  </si>
  <si>
    <t>+62 812-4912-9335</t>
  </si>
  <si>
    <t>A250076</t>
  </si>
  <si>
    <t>P. Bambang Edy Suprasetyo</t>
  </si>
  <si>
    <t>+62 812-3390-3471</t>
  </si>
  <si>
    <t>AG 1436 MW</t>
  </si>
  <si>
    <t>A250077</t>
  </si>
  <si>
    <t>P. Yusfiyan</t>
  </si>
  <si>
    <t>+62 812-4636-0707</t>
  </si>
  <si>
    <t>N 7179 AB</t>
  </si>
  <si>
    <t>A250078</t>
  </si>
  <si>
    <t>P. Rudy</t>
  </si>
  <si>
    <t>+62 851-0400-3500</t>
  </si>
  <si>
    <t>A250079</t>
  </si>
  <si>
    <t>Riza</t>
  </si>
  <si>
    <t>081230109907</t>
  </si>
  <si>
    <t>L 1625 DBE</t>
  </si>
  <si>
    <t>A250080</t>
  </si>
  <si>
    <t>P. Dwi Julianto</t>
  </si>
  <si>
    <t xml:space="preserve">+62 819-4490-4280
</t>
  </si>
  <si>
    <t>W 1413 VC</t>
  </si>
  <si>
    <t>A250081</t>
  </si>
  <si>
    <t>Bpk. Syarif</t>
  </si>
  <si>
    <t xml:space="preserve">+62 812-3525-554
</t>
  </si>
  <si>
    <t>M 1728 GD</t>
  </si>
  <si>
    <t>A250082</t>
  </si>
  <si>
    <t>Rizky</t>
  </si>
  <si>
    <t>+62 878-6521-8892</t>
  </si>
  <si>
    <t>L 1887 HE</t>
  </si>
  <si>
    <t>A250083</t>
  </si>
  <si>
    <t>Didit</t>
  </si>
  <si>
    <t xml:space="preserve">+62 852‑3468‑1681‬
</t>
  </si>
  <si>
    <t>TF 388</t>
  </si>
  <si>
    <t>A250084</t>
  </si>
  <si>
    <t>Hindam Adri Abadan</t>
  </si>
  <si>
    <t>+62 856‑4973‑3280‬</t>
  </si>
  <si>
    <t>A250085</t>
  </si>
  <si>
    <t>P. Priyono</t>
  </si>
  <si>
    <t>081259513612</t>
  </si>
  <si>
    <t>A250086</t>
  </si>
  <si>
    <t xml:space="preserve">Amarzukijuke </t>
  </si>
  <si>
    <t>A250087</t>
  </si>
  <si>
    <t>Toko Bajo Variasi/P. Tony</t>
  </si>
  <si>
    <t>RDL-GRANMAXASH</t>
  </si>
  <si>
    <t>RDR-GRANMAXASH</t>
  </si>
  <si>
    <t>A250088</t>
  </si>
  <si>
    <t>LFW-MAZDA209MU</t>
  </si>
  <si>
    <t>P.Trio</t>
  </si>
  <si>
    <t>+62 813-3430-2341</t>
  </si>
  <si>
    <t>A250089</t>
  </si>
  <si>
    <t>TRW-YARIS05XYG</t>
  </si>
  <si>
    <t>Ibu Shela</t>
  </si>
  <si>
    <t>+6285218330854</t>
  </si>
  <si>
    <t>B 2340 SMA</t>
  </si>
  <si>
    <t>A250090</t>
  </si>
  <si>
    <t>P. Albert</t>
  </si>
  <si>
    <t>+62 812-3090-8080</t>
  </si>
  <si>
    <t>B 2641 BKT</t>
  </si>
  <si>
    <t>A250091</t>
  </si>
  <si>
    <t xml:space="preserve">Albani
</t>
  </si>
  <si>
    <t>+62 821-4366-6812</t>
  </si>
  <si>
    <t>A250092</t>
  </si>
  <si>
    <t>P. Alif</t>
  </si>
  <si>
    <t>+62 812-1651-2011</t>
  </si>
  <si>
    <t>B 2940 KMA</t>
  </si>
  <si>
    <t>A250093</t>
  </si>
  <si>
    <t>P. Khoirul</t>
  </si>
  <si>
    <t>+62 882-2211-1982</t>
  </si>
  <si>
    <t>B 1059 PRN</t>
  </si>
  <si>
    <t>A250094</t>
  </si>
  <si>
    <t>P. Imam Farikhin</t>
  </si>
  <si>
    <t>+62 813-3231-0959</t>
  </si>
  <si>
    <t>A250095</t>
  </si>
  <si>
    <t>TRW-FORTUNER15XYG</t>
  </si>
  <si>
    <t>Hafidz</t>
  </si>
  <si>
    <t>BM 1973 YL</t>
  </si>
  <si>
    <t>Nganjuk</t>
  </si>
  <si>
    <t>A250096</t>
  </si>
  <si>
    <t>P. Nazil</t>
  </si>
  <si>
    <t>+62 822-5859-7572</t>
  </si>
  <si>
    <t>A250097</t>
  </si>
  <si>
    <t>P. Christian</t>
  </si>
  <si>
    <t>+62 852-5317-6661</t>
  </si>
  <si>
    <t>L 1742 ZZ</t>
  </si>
  <si>
    <t>A250098</t>
  </si>
  <si>
    <t>SWL-ERTIGA18AGC</t>
  </si>
  <si>
    <t>Onal Balthazar</t>
  </si>
  <si>
    <t>+62 813-9006-6606</t>
  </si>
  <si>
    <t>Ambon</t>
  </si>
  <si>
    <t xml:space="preserve"> SJA250001</t>
  </si>
  <si>
    <t>CV. MJD</t>
  </si>
  <si>
    <t>LFW-KATANAG84MU</t>
  </si>
  <si>
    <t>LFW-KATANAC84MU</t>
  </si>
  <si>
    <t>SWR-AVANZA03MU</t>
  </si>
  <si>
    <t>SWL-AVANZA03MU</t>
  </si>
  <si>
    <t>TRW-JAZZ13XYG</t>
  </si>
  <si>
    <t>TRW-SIRION1XYG</t>
  </si>
  <si>
    <t>TRW-YARIS13XYG</t>
  </si>
  <si>
    <t>TRW-JAZZ01XYG</t>
  </si>
  <si>
    <t>TRW-WAGON13XYG</t>
  </si>
  <si>
    <t>LFW-T31MU</t>
  </si>
  <si>
    <t>LFW-GCHEROKEEMU</t>
  </si>
  <si>
    <t>LFW-COROLLA87MU</t>
  </si>
  <si>
    <t>LFW-KIJANGK125MU</t>
  </si>
  <si>
    <t>LFW-EXCEL94MU</t>
  </si>
  <si>
    <t>LFW-TRITON14MU</t>
  </si>
  <si>
    <t>LFW-EVO3MU</t>
  </si>
  <si>
    <t>LFW-RIO00MU</t>
  </si>
  <si>
    <t>LFW-PREGIOMU</t>
  </si>
  <si>
    <t>LFW-TELSTAR93MU</t>
  </si>
  <si>
    <t>LFW-INTERPLAYMU</t>
  </si>
  <si>
    <t>LFW-CHEROKEEMU</t>
  </si>
  <si>
    <t>LFW-KUDAMU</t>
  </si>
  <si>
    <t>LFW-RAIZEMU</t>
  </si>
  <si>
    <t>LFW-AGYA23MU</t>
  </si>
  <si>
    <t>B250001</t>
  </si>
  <si>
    <t>B250002</t>
  </si>
  <si>
    <t>Desy Setiawan</t>
  </si>
  <si>
    <t>+62 851-5758-0551</t>
  </si>
  <si>
    <t>B250003</t>
  </si>
  <si>
    <t>P. Yas Ulum</t>
  </si>
  <si>
    <t>+62 812-1777-7199</t>
  </si>
  <si>
    <t>yasulum17@gmail.com</t>
  </si>
  <si>
    <t>B250004</t>
  </si>
  <si>
    <t>P. Sutrisno</t>
  </si>
  <si>
    <t>+62 812-8205-0075</t>
  </si>
  <si>
    <t>AG 1602 CB</t>
  </si>
  <si>
    <t>B250005</t>
  </si>
  <si>
    <t>P. Sofian</t>
  </si>
  <si>
    <t>+62 813-5708-8554</t>
  </si>
  <si>
    <t>B250006</t>
  </si>
  <si>
    <t>+62 812-1212-8300</t>
  </si>
  <si>
    <t>L 1588 ABL</t>
  </si>
  <si>
    <t>B250007</t>
  </si>
  <si>
    <t>P. Kafil</t>
  </si>
  <si>
    <t>+62 859-6433-1362</t>
  </si>
  <si>
    <t>L 1455 QT</t>
  </si>
  <si>
    <t>B250008</t>
  </si>
  <si>
    <t xml:space="preserve">P. Khoiri
</t>
  </si>
  <si>
    <t>+62 812-3207-7786</t>
  </si>
  <si>
    <t>B250009</t>
  </si>
  <si>
    <t>P.Bambang</t>
  </si>
  <si>
    <t>+62 822-7656-4999</t>
  </si>
  <si>
    <t>N 1439 ABL</t>
  </si>
  <si>
    <t>B250010</t>
  </si>
  <si>
    <t>P. Dedik Siswantoro</t>
  </si>
  <si>
    <t>+62 813-3020-0955</t>
  </si>
  <si>
    <t>L 1977 IY</t>
  </si>
  <si>
    <t>B250011</t>
  </si>
  <si>
    <t>Hanny</t>
  </si>
  <si>
    <t>+62 813-3474-9779</t>
  </si>
  <si>
    <t>N 1640 JO</t>
  </si>
  <si>
    <t>B250012</t>
  </si>
  <si>
    <t xml:space="preserve">ruko </t>
  </si>
  <si>
    <t>FDL-SIGRA16MU</t>
  </si>
  <si>
    <t>B250013</t>
  </si>
  <si>
    <t>Bu Anna</t>
  </si>
  <si>
    <t>+62 819-1698-2021</t>
  </si>
  <si>
    <t>starjayafurniture@gmail.com</t>
  </si>
  <si>
    <t>L 1379 GA</t>
  </si>
  <si>
    <t>B250014</t>
  </si>
  <si>
    <t>cahcepoe.group81@gmail.com</t>
  </si>
  <si>
    <t>L 1322 IA</t>
  </si>
  <si>
    <t>SJB250001</t>
  </si>
  <si>
    <t>FDL-MOBILIOASH</t>
  </si>
  <si>
    <t>Sentraautoglass bekasi</t>
  </si>
  <si>
    <t>bekasi</t>
  </si>
  <si>
    <t>FDR-MOBILIOASH</t>
  </si>
  <si>
    <t>SJB250004</t>
  </si>
  <si>
    <t>RDL-MOBILIOASH</t>
  </si>
  <si>
    <t>RDR-HILUX05ASH</t>
  </si>
  <si>
    <t>RVL-FORTUNER15ASH</t>
  </si>
  <si>
    <t>RVR-FORTUNER15ASH</t>
  </si>
  <si>
    <t>SJB250003</t>
  </si>
  <si>
    <t>RDL-RUSH17ASH</t>
  </si>
  <si>
    <t>RDR-RUSH17ASH</t>
  </si>
  <si>
    <t>FDL-L300ASH</t>
  </si>
  <si>
    <t>RDL-AVANZA03ASH</t>
  </si>
  <si>
    <t>RDR-AVANZA03ASH</t>
  </si>
  <si>
    <t>RDL-AGYA13ASH</t>
  </si>
  <si>
    <t>RDR-AGYA13ASH</t>
  </si>
  <si>
    <t>RDL-INNOVA04ASH</t>
  </si>
  <si>
    <t>RVL-SIGRA16ASH</t>
  </si>
  <si>
    <t>RVR-SIGRA16ASH</t>
  </si>
  <si>
    <t>RDL-AVANZA11ASH</t>
  </si>
  <si>
    <t>SJB250002</t>
  </si>
  <si>
    <t>LFW-AVANZA21RSASH</t>
  </si>
  <si>
    <t>TRW-GRANMAXPUASH</t>
  </si>
  <si>
    <t>B250015</t>
  </si>
  <si>
    <t>P. Ilham</t>
  </si>
  <si>
    <t>081252699000</t>
  </si>
  <si>
    <t>B 1621 URT</t>
  </si>
  <si>
    <t>B250016</t>
  </si>
  <si>
    <t>SWL-TAFTGTASH</t>
  </si>
  <si>
    <t>Jufri</t>
  </si>
  <si>
    <t>+62 823-3277-7863</t>
  </si>
  <si>
    <t>jufriramayana37@gmail.com</t>
  </si>
  <si>
    <t>N 1637 SN</t>
  </si>
  <si>
    <t>B250017</t>
  </si>
  <si>
    <t>+62 811-3342-271</t>
  </si>
  <si>
    <t>B250018</t>
  </si>
  <si>
    <t>P. Thaufik</t>
  </si>
  <si>
    <t>+62 813-2278-9919</t>
  </si>
  <si>
    <t>burhanuddinridha@gmail.com</t>
  </si>
  <si>
    <t>DD 1527 MO</t>
  </si>
  <si>
    <t xml:space="preserve">+62 813-2278-9919
</t>
  </si>
  <si>
    <t>B250019</t>
  </si>
  <si>
    <t>+62 821-7600-9808</t>
  </si>
  <si>
    <t>DK 1464 SJ</t>
  </si>
  <si>
    <t>B250020</t>
  </si>
  <si>
    <t>P. Fauzi</t>
  </si>
  <si>
    <t>+62 878-9057-9656</t>
  </si>
  <si>
    <t>B 1334 KHC</t>
  </si>
  <si>
    <t>B250021</t>
  </si>
  <si>
    <t>P. Tamat</t>
  </si>
  <si>
    <t>+62 852-3205-2226</t>
  </si>
  <si>
    <t>B250022</t>
  </si>
  <si>
    <t>P. Chairul</t>
  </si>
  <si>
    <t>+62 888-0390-0390</t>
  </si>
  <si>
    <t>B 2721 KKM</t>
  </si>
  <si>
    <t>B250023</t>
  </si>
  <si>
    <t>P. Hendri G.</t>
  </si>
  <si>
    <t>+62 859-0369-8226</t>
  </si>
  <si>
    <t>B250024</t>
  </si>
  <si>
    <t xml:space="preserve">P. Guntur </t>
  </si>
  <si>
    <t>+62 812-3430-3503</t>
  </si>
  <si>
    <t>B250025</t>
  </si>
  <si>
    <t>P. Diky</t>
  </si>
  <si>
    <t>+62 858-5044-5513</t>
  </si>
  <si>
    <t>B250026</t>
  </si>
  <si>
    <t>P. Munawir</t>
  </si>
  <si>
    <t>+62 819-9904-2774</t>
  </si>
  <si>
    <t>B250027</t>
  </si>
  <si>
    <t>P.Albert</t>
  </si>
  <si>
    <t>trisnakiswadi@gmail.com</t>
  </si>
  <si>
    <t>L 1410 KV</t>
  </si>
  <si>
    <t>B250028</t>
  </si>
  <si>
    <t>P. Kusuma/ Denny</t>
  </si>
  <si>
    <t>+62 813-3643-0707</t>
  </si>
  <si>
    <t>L 1742 RJ</t>
  </si>
  <si>
    <t>B250029</t>
  </si>
  <si>
    <t>P. Tommy</t>
  </si>
  <si>
    <t>+62 856-3316-750</t>
  </si>
  <si>
    <t>W 1691 SA</t>
  </si>
  <si>
    <t>FDR-AGYA13ASH</t>
  </si>
  <si>
    <t>FDL-AGYA13ASH</t>
  </si>
  <si>
    <t>SWL-AVANZA21ASH</t>
  </si>
  <si>
    <t>FDR-TERIOS06ASH</t>
  </si>
  <si>
    <t>FDL-INNOVA15ASH</t>
  </si>
  <si>
    <t>FDL-ELFNKRASH</t>
  </si>
  <si>
    <t>RDR-AVANZA21ASH</t>
  </si>
  <si>
    <t>FDR-FE700ASH</t>
  </si>
  <si>
    <t>FDR-AVANZA03ASH</t>
  </si>
  <si>
    <t>FDL-INNOVA04MSG</t>
  </si>
  <si>
    <t>B250030</t>
  </si>
  <si>
    <t>TRW-SIENTAXYG</t>
  </si>
  <si>
    <t>P. Dadi</t>
  </si>
  <si>
    <t>+62 856-2138-035</t>
  </si>
  <si>
    <t>L 1234 AAE</t>
  </si>
  <si>
    <t>B250031</t>
  </si>
  <si>
    <t>P. Jonathan</t>
  </si>
  <si>
    <t>081283387727</t>
  </si>
  <si>
    <t>W 1405 SO</t>
  </si>
  <si>
    <t>B250032</t>
  </si>
  <si>
    <t>P. Kusnan</t>
  </si>
  <si>
    <t>+62 877-6004-8753</t>
  </si>
  <si>
    <t>B250033</t>
  </si>
  <si>
    <t>LFW-HIACE19FR</t>
  </si>
  <si>
    <t>P. Adit</t>
  </si>
  <si>
    <t>+62 822-4441-5520</t>
  </si>
  <si>
    <t>B250034</t>
  </si>
  <si>
    <t>P. Rizki Ananda</t>
  </si>
  <si>
    <t>+62 889-0192-5565</t>
  </si>
  <si>
    <t>AB 1332 G</t>
  </si>
  <si>
    <t>B250035</t>
  </si>
  <si>
    <t>LFW-ALMAZXYG</t>
  </si>
  <si>
    <t>P. Lius</t>
  </si>
  <si>
    <t>+62 838-4887-9997</t>
  </si>
  <si>
    <t>B250036</t>
  </si>
  <si>
    <t>+62 813-3337-5175</t>
  </si>
  <si>
    <t>surabaya</t>
  </si>
  <si>
    <t>B250037</t>
  </si>
  <si>
    <t>P. Fendi</t>
  </si>
  <si>
    <t>+62 881-0267-23750</t>
  </si>
  <si>
    <t>L 1684 JE</t>
  </si>
  <si>
    <t>B250038</t>
  </si>
  <si>
    <t>+62 896-0482-4541</t>
  </si>
  <si>
    <t>L 8023 AB</t>
  </si>
  <si>
    <t>B250039</t>
  </si>
  <si>
    <t>LFW-SPORTAGE04XYG</t>
  </si>
  <si>
    <t>P. Mujiono</t>
  </si>
  <si>
    <t>+62 852-8010-8578</t>
  </si>
  <si>
    <t>B250040</t>
  </si>
  <si>
    <t>+62 811-3062-020</t>
  </si>
  <si>
    <t>N 1501 ABV</t>
  </si>
  <si>
    <t>B250041</t>
  </si>
  <si>
    <t>LFW-AGYA13AGC</t>
  </si>
  <si>
    <t>P. Wisnu</t>
  </si>
  <si>
    <t>+62 812-3250-340</t>
  </si>
  <si>
    <t>L 1937 IV</t>
  </si>
  <si>
    <t>B250042</t>
  </si>
  <si>
    <t>P. Aziz</t>
  </si>
  <si>
    <t xml:space="preserve">+62 819-9952-9636
</t>
  </si>
  <si>
    <t>aa9715969@gmail.com</t>
  </si>
  <si>
    <t>B 1701 KKQ</t>
  </si>
  <si>
    <t>B250043</t>
  </si>
  <si>
    <t>P.  Agum Gumelar</t>
  </si>
  <si>
    <t>+62 812-3316-0662</t>
  </si>
  <si>
    <t>L 1648 ABN</t>
  </si>
  <si>
    <t>B250044</t>
  </si>
  <si>
    <t>P.  Febri</t>
  </si>
  <si>
    <t>+62 812-3505-7070</t>
  </si>
  <si>
    <t>L 1780 CQ</t>
  </si>
  <si>
    <t>B250045</t>
  </si>
  <si>
    <t>P.  Abdus Sofi</t>
  </si>
  <si>
    <t>+62 821-1679-2100</t>
  </si>
  <si>
    <t>B 1466 EFW</t>
  </si>
  <si>
    <t>Tf</t>
  </si>
  <si>
    <t>B250046</t>
  </si>
  <si>
    <t>P.Nurhadi/BM Motor</t>
  </si>
  <si>
    <t>+62 851-0037-1019</t>
  </si>
  <si>
    <t>B250047</t>
  </si>
  <si>
    <t>P. Ridhoi</t>
  </si>
  <si>
    <t>+62 817-5066-456</t>
  </si>
  <si>
    <t>B250048</t>
  </si>
  <si>
    <t>+62 822-4591-9565</t>
  </si>
  <si>
    <t>dianmayasarigunawan@gmail.com</t>
  </si>
  <si>
    <t>W 1338 YA</t>
  </si>
  <si>
    <t>B250049</t>
  </si>
  <si>
    <t>Fahmi Umar</t>
  </si>
  <si>
    <t>08123561380</t>
  </si>
  <si>
    <t>bgl.fahmiumar@gmail.com</t>
  </si>
  <si>
    <t>B 2035 SRJ</t>
  </si>
  <si>
    <t>B250050</t>
  </si>
  <si>
    <t>LFW-KARIMUN99XYG</t>
  </si>
  <si>
    <t>Syarif Muhammad Syafie Rbt</t>
  </si>
  <si>
    <t>'+6281349298441</t>
  </si>
  <si>
    <t>Pontianak</t>
  </si>
  <si>
    <t>tokopedia bekasi</t>
  </si>
  <si>
    <t>+6281349298441</t>
  </si>
  <si>
    <t>B250051</t>
  </si>
  <si>
    <t>TRW-MIRAGEXYG</t>
  </si>
  <si>
    <t>Fatkul Yasin/PT BUMN</t>
  </si>
  <si>
    <t>+6281295757445</t>
  </si>
  <si>
    <t>B250052</t>
  </si>
  <si>
    <t>P. Faqih</t>
  </si>
  <si>
    <t>+62 812-8028-0874</t>
  </si>
  <si>
    <t>faqihguntorodjati@gmail.com</t>
  </si>
  <si>
    <t>N 8791 TK</t>
  </si>
  <si>
    <t>B250053</t>
  </si>
  <si>
    <t>SWL-ERTIGA12AGC</t>
  </si>
  <si>
    <t>Yohanna </t>
  </si>
  <si>
    <t xml:space="preserve">+62 822-4414-6116
</t>
  </si>
  <si>
    <t>yoan.yohanna@gmail.com</t>
  </si>
  <si>
    <t>W 1452 QA</t>
  </si>
  <si>
    <t>B250054</t>
  </si>
  <si>
    <t>Anggi/Abu</t>
  </si>
  <si>
    <t xml:space="preserve">+62 895-1710-6677
</t>
  </si>
  <si>
    <t>ab.solihin@gmail.com</t>
  </si>
  <si>
    <t>AG 1582 LE</t>
  </si>
  <si>
    <t>B250055</t>
  </si>
  <si>
    <t>Pak Ardhan</t>
  </si>
  <si>
    <t>+62 821-4120-4585</t>
  </si>
  <si>
    <t>gagahwardhana@gmail.com</t>
  </si>
  <si>
    <t>L 1627 AAV</t>
  </si>
  <si>
    <t>B250056</t>
  </si>
  <si>
    <t>P. Mex</t>
  </si>
  <si>
    <t>+62 812-2611-4303</t>
  </si>
  <si>
    <t>B250057</t>
  </si>
  <si>
    <t>P. Eggo</t>
  </si>
  <si>
    <t xml:space="preserve">+62 813-3378-3500 </t>
  </si>
  <si>
    <t>eggotaja@gmail.com</t>
  </si>
  <si>
    <t>L 1428 CM</t>
  </si>
  <si>
    <t>B250058</t>
  </si>
  <si>
    <t>P. Yono</t>
  </si>
  <si>
    <t>081230308308</t>
  </si>
  <si>
    <t>L 1891 WK</t>
  </si>
  <si>
    <t>B250059</t>
  </si>
  <si>
    <t>P. Subiyanto</t>
  </si>
  <si>
    <t>+62 813-3764-0099</t>
  </si>
  <si>
    <t>B250060</t>
  </si>
  <si>
    <t>+62 812-4943-2980</t>
  </si>
  <si>
    <t>ilhamsuhartono081@gmail.com</t>
  </si>
  <si>
    <t>L 1828 PF</t>
  </si>
  <si>
    <t>B250061</t>
  </si>
  <si>
    <t>Eko Budi Utomo</t>
  </si>
  <si>
    <t>+62 859-5617-0137</t>
  </si>
  <si>
    <t>ekobudi0725@gmail.com</t>
  </si>
  <si>
    <t>AG 1103 V</t>
  </si>
  <si>
    <t>B250062</t>
  </si>
  <si>
    <t>P. Guntur</t>
  </si>
  <si>
    <t>+62 857-0852-0646</t>
  </si>
  <si>
    <t>saktiawan@gmail.com</t>
  </si>
  <si>
    <t>N 1499 WU</t>
  </si>
  <si>
    <t>B250063</t>
  </si>
  <si>
    <t>P. Salim</t>
  </si>
  <si>
    <t>B250064</t>
  </si>
  <si>
    <t>P. Minan</t>
  </si>
  <si>
    <t>+62 853-3074-6040</t>
  </si>
  <si>
    <t>minansaja@gmail.com</t>
  </si>
  <si>
    <t>S 1686 AE</t>
  </si>
  <si>
    <t>B250065</t>
  </si>
  <si>
    <t>P. Kevin</t>
  </si>
  <si>
    <t>+62 811-1662-088</t>
  </si>
  <si>
    <t>sachiokevin16@gmail.com</t>
  </si>
  <si>
    <t>B 1213 PXA</t>
  </si>
  <si>
    <t>B250066</t>
  </si>
  <si>
    <t>LFW-TERIOS06AGC</t>
  </si>
  <si>
    <t>P. Imam</t>
  </si>
  <si>
    <t>+62 858-5445-7948</t>
  </si>
  <si>
    <t>imanuddinrahman15@gmail.com</t>
  </si>
  <si>
    <t xml:space="preserve">D 1251 ME </t>
  </si>
  <si>
    <t>B250067</t>
  </si>
  <si>
    <t xml:space="preserve">Gabriel Wismanto
</t>
  </si>
  <si>
    <t>+62 821-4083-0808</t>
  </si>
  <si>
    <t>gabriel.wismanto@gmail.com</t>
  </si>
  <si>
    <t>L 1719 KZ</t>
  </si>
  <si>
    <t>Tokopedia surabaya</t>
  </si>
  <si>
    <t>Gabriel Wismanto</t>
  </si>
  <si>
    <t>B250068</t>
  </si>
  <si>
    <t>LFW-CONFEROXYG</t>
  </si>
  <si>
    <t>P. Akhmad</t>
  </si>
  <si>
    <t>+62 818-395-766</t>
  </si>
  <si>
    <t>ahmadaminin@gmail.com</t>
  </si>
  <si>
    <t>W 1596 ZQ</t>
  </si>
  <si>
    <t>B250069</t>
  </si>
  <si>
    <t>LFW-RAIZERSXYG</t>
  </si>
  <si>
    <t>B. Nonik</t>
  </si>
  <si>
    <t xml:space="preserve">+62 897-1572-727
</t>
  </si>
  <si>
    <t>W 173 VE</t>
  </si>
  <si>
    <t>B250070</t>
  </si>
  <si>
    <t>Dewi</t>
  </si>
  <si>
    <t xml:space="preserve">+62 838-5710-1475
</t>
  </si>
  <si>
    <t>B250071</t>
  </si>
  <si>
    <t>Dedy Sucipto</t>
  </si>
  <si>
    <t>+62 811-343-036</t>
  </si>
  <si>
    <t>B250072</t>
  </si>
  <si>
    <t>+62 823-3286-6943</t>
  </si>
  <si>
    <t>L 1647 TL</t>
  </si>
  <si>
    <t>B250073</t>
  </si>
  <si>
    <t>P. Dwi</t>
  </si>
  <si>
    <t>082225627884</t>
  </si>
  <si>
    <t>W 1570 AE</t>
  </si>
  <si>
    <t>B250074</t>
  </si>
  <si>
    <t>TRW-F10XYG</t>
  </si>
  <si>
    <t>PT. SOLUSI INTEGRASI PRATAMA</t>
  </si>
  <si>
    <t>+62 821-4262-5997</t>
  </si>
  <si>
    <t xml:space="preserve">dp 733,200 </t>
  </si>
  <si>
    <t>B250075</t>
  </si>
  <si>
    <t>Guntur,ade,adin,flea,via</t>
  </si>
  <si>
    <t>C250001</t>
  </si>
  <si>
    <t xml:space="preserve">NGM GLORY MOTOR </t>
  </si>
  <si>
    <t>C250002</t>
  </si>
  <si>
    <t>H. Muzani</t>
  </si>
  <si>
    <t>087731016379</t>
  </si>
  <si>
    <t>M 1055 NL</t>
  </si>
  <si>
    <t>C250003</t>
  </si>
  <si>
    <t>Dwi Aguswira P.</t>
  </si>
  <si>
    <t>+62 877-8755-5002</t>
  </si>
  <si>
    <t>L 1764 DBB</t>
  </si>
  <si>
    <t>C250004</t>
  </si>
  <si>
    <t>Helmi</t>
  </si>
  <si>
    <t>+62 822-3333-3503</t>
  </si>
  <si>
    <t>L 1815 CAG</t>
  </si>
  <si>
    <t>C250005</t>
  </si>
  <si>
    <t>Bu Ely Dahlia</t>
  </si>
  <si>
    <t>+62 813-3156-6600</t>
  </si>
  <si>
    <t>L 1887 NX</t>
  </si>
  <si>
    <t>C250006</t>
  </si>
  <si>
    <t>P. Kasni</t>
  </si>
  <si>
    <t>+62 813-3616-7585</t>
  </si>
  <si>
    <t>L 1223 CAO</t>
  </si>
  <si>
    <t>C250007</t>
  </si>
  <si>
    <t>N. M. Alfaris</t>
  </si>
  <si>
    <t>+62 88-1938-8079</t>
  </si>
  <si>
    <t>TF</t>
  </si>
  <si>
    <t>C250008</t>
  </si>
  <si>
    <t>P. Latif</t>
  </si>
  <si>
    <t>+62 819-1332-6439</t>
  </si>
  <si>
    <t>C250009</t>
  </si>
  <si>
    <t>P. Hadiyan</t>
  </si>
  <si>
    <t>+62 812-3257-5731</t>
  </si>
  <si>
    <t>DP TF 272.200</t>
  </si>
  <si>
    <t>C250010</t>
  </si>
  <si>
    <t>TRW-RUSH17XYG</t>
  </si>
  <si>
    <t>P. Malik</t>
  </si>
  <si>
    <t>+62 812-9069-8041</t>
  </si>
  <si>
    <t>C250011</t>
  </si>
  <si>
    <t>Hagi</t>
  </si>
  <si>
    <t>+62 895-3626-88479</t>
  </si>
  <si>
    <t>AA 764 TA</t>
  </si>
  <si>
    <t>C250012</t>
  </si>
  <si>
    <t xml:space="preserve">Alfa Motor/Pak Denni
</t>
  </si>
  <si>
    <t>+62 851-0090-3911</t>
  </si>
  <si>
    <t>lunas 14/03/25</t>
  </si>
  <si>
    <t>C250013</t>
  </si>
  <si>
    <t>+62 822-4758-7694</t>
  </si>
  <si>
    <t>C250014</t>
  </si>
  <si>
    <t>C250015</t>
  </si>
  <si>
    <t>RDR-XPANDERAGC</t>
  </si>
  <si>
    <t>P. Dedy</t>
  </si>
  <si>
    <t>+62 821-3959-9899</t>
  </si>
  <si>
    <t>C250016</t>
  </si>
  <si>
    <t>+62 852-3459-9686</t>
  </si>
  <si>
    <t>C250017</t>
  </si>
  <si>
    <t>P. Panji</t>
  </si>
  <si>
    <t>+62 896-7564-7106</t>
  </si>
  <si>
    <t>N 1475 BM</t>
  </si>
  <si>
    <t>C250018</t>
  </si>
  <si>
    <t>+62 813-1073-6261</t>
  </si>
  <si>
    <t>AG 1131 ON</t>
  </si>
  <si>
    <t>SWR-MOBILIOAGC</t>
  </si>
  <si>
    <t xml:space="preserve">+62 813-1073-6261
</t>
  </si>
  <si>
    <t>C250019</t>
  </si>
  <si>
    <t>Wilson</t>
  </si>
  <si>
    <t>C250020</t>
  </si>
  <si>
    <t>LFW-GAVEGAXYG</t>
  </si>
  <si>
    <t>P. Julianto</t>
  </si>
  <si>
    <t>+62 857-4618-1704</t>
  </si>
  <si>
    <t>C250021</t>
  </si>
  <si>
    <t>PECAH ADIN</t>
  </si>
  <si>
    <t>C250022</t>
  </si>
  <si>
    <t>P. Sakti</t>
  </si>
  <si>
    <t xml:space="preserve">+62 813-3319-3954
</t>
  </si>
  <si>
    <t>C250023</t>
  </si>
  <si>
    <t>LFW-T31FR</t>
  </si>
  <si>
    <t>P. Adhie</t>
  </si>
  <si>
    <t xml:space="preserve">+62 821-1071-0911
</t>
  </si>
  <si>
    <t>RDL-SIGRA16ASH</t>
  </si>
  <si>
    <t>BEKASI</t>
  </si>
  <si>
    <t>RDR-SIGRA16ASH</t>
  </si>
  <si>
    <t>SJB250005</t>
  </si>
  <si>
    <t>C250024</t>
  </si>
  <si>
    <t>+62 813-3378-2777</t>
  </si>
  <si>
    <t>N 1105 BM</t>
  </si>
  <si>
    <t>C250025</t>
  </si>
  <si>
    <t>P. Satria</t>
  </si>
  <si>
    <t>C250026</t>
  </si>
  <si>
    <t>Khoirul Mustofa</t>
  </si>
  <si>
    <t>628123274646</t>
  </si>
  <si>
    <t>C250027</t>
  </si>
  <si>
    <t>Riandito</t>
  </si>
  <si>
    <t>+62 812-9659-9845</t>
  </si>
  <si>
    <t>C250028</t>
  </si>
  <si>
    <t>C250029</t>
  </si>
  <si>
    <t>P. Pras</t>
  </si>
  <si>
    <t>C250030</t>
  </si>
  <si>
    <t>C250031</t>
  </si>
  <si>
    <t>P. Saiful</t>
  </si>
  <si>
    <t>+62 859-2192-3999</t>
  </si>
  <si>
    <t>M 1785 HD</t>
  </si>
  <si>
    <t>C250032</t>
  </si>
  <si>
    <t xml:space="preserve"> P. Aditya</t>
  </si>
  <si>
    <t>+62 881-4399-210</t>
  </si>
  <si>
    <t>C250033</t>
  </si>
  <si>
    <t>Erick Silele</t>
  </si>
  <si>
    <t>+6282189610101</t>
  </si>
  <si>
    <t>C250034</t>
  </si>
  <si>
    <t>TRW-MAZDA612FY</t>
  </si>
  <si>
    <t>+62 818-0313-8283</t>
  </si>
  <si>
    <t>W 1747 QH</t>
  </si>
  <si>
    <t>C250035</t>
  </si>
  <si>
    <t>P. Ferry G.</t>
  </si>
  <si>
    <t>085100122112</t>
  </si>
  <si>
    <t>B 1184 SEQ</t>
  </si>
  <si>
    <t>C250036</t>
  </si>
  <si>
    <t>Muhammad Darus Mukhidin</t>
  </si>
  <si>
    <t>6281361666827</t>
  </si>
  <si>
    <t>C250037</t>
  </si>
  <si>
    <t>B. Iin</t>
  </si>
  <si>
    <t>+62 878-6016-9417</t>
  </si>
  <si>
    <t>C250038</t>
  </si>
  <si>
    <t>P. Rendra</t>
  </si>
  <si>
    <t>+62 878-4277-7770</t>
  </si>
  <si>
    <t>DR 1820 AP</t>
  </si>
  <si>
    <t>C250039</t>
  </si>
  <si>
    <t>0818397813</t>
  </si>
  <si>
    <t>L 1517 WS</t>
  </si>
  <si>
    <t>C250040</t>
  </si>
  <si>
    <t>FDL-MAZDA214XYG</t>
  </si>
  <si>
    <t>Camelia Dien</t>
  </si>
  <si>
    <t>+62895414140800</t>
  </si>
  <si>
    <t>C250041</t>
  </si>
  <si>
    <t xml:space="preserve">+62 812-1750-6517
</t>
  </si>
  <si>
    <t>C250042</t>
  </si>
  <si>
    <t>TRW-CAMRY02XYG</t>
  </si>
  <si>
    <t>Bu Nur Ika Sari Rakhmawati</t>
  </si>
  <si>
    <t>+62 812-4666-3142</t>
  </si>
  <si>
    <t>C250043</t>
  </si>
  <si>
    <t>P. Ahmad Hendri Hermanto</t>
  </si>
  <si>
    <t>C250044</t>
  </si>
  <si>
    <t>LFW-SUPERCABXYG</t>
  </si>
  <si>
    <t>Ilham Effendi</t>
  </si>
  <si>
    <t>+62 812-3370-0397</t>
  </si>
  <si>
    <t>C250045</t>
  </si>
  <si>
    <t>C250046</t>
  </si>
  <si>
    <t>P. Hadi S.</t>
  </si>
  <si>
    <t>'+62 812-3448-9875</t>
  </si>
  <si>
    <t>N 8508 TF</t>
  </si>
  <si>
    <t>C250047</t>
  </si>
  <si>
    <t>P. Karyanto</t>
  </si>
  <si>
    <t>085257567375</t>
  </si>
  <si>
    <t>L 9985 VK</t>
  </si>
  <si>
    <t>C250048</t>
  </si>
  <si>
    <t xml:space="preserve">Anandra Septiyani </t>
  </si>
  <si>
    <t>'+62 857-8458-5525</t>
  </si>
  <si>
    <t>+62 857-8458-5525</t>
  </si>
  <si>
    <t>C250049</t>
  </si>
  <si>
    <t>Abhista Bima</t>
  </si>
  <si>
    <t>+62 822-3446-6666</t>
  </si>
  <si>
    <t>C250050</t>
  </si>
  <si>
    <t>P. Dwi Septiono</t>
  </si>
  <si>
    <t>081 332 399 732</t>
  </si>
  <si>
    <t>C250051</t>
  </si>
  <si>
    <t>+62 851-5786-6404</t>
  </si>
  <si>
    <t>C250052</t>
  </si>
  <si>
    <t>P. Basori</t>
  </si>
  <si>
    <t>+62 813-3162-2033</t>
  </si>
  <si>
    <t>L 1215 ACC</t>
  </si>
  <si>
    <t>C250053</t>
  </si>
  <si>
    <t>P. Bangga</t>
  </si>
  <si>
    <t>+62 859-5262-4893</t>
  </si>
  <si>
    <t xml:space="preserve">W 1180 TH </t>
  </si>
  <si>
    <t>C250054</t>
  </si>
  <si>
    <t xml:space="preserve">H.Rufi'i
</t>
  </si>
  <si>
    <t>+62 821-3222-2568</t>
  </si>
  <si>
    <t>AB 1836 JK</t>
  </si>
  <si>
    <t>C250055</t>
  </si>
  <si>
    <t>+62 819-3345-8666</t>
  </si>
  <si>
    <t>C250056</t>
  </si>
  <si>
    <t xml:space="preserve">Abdussalam
</t>
  </si>
  <si>
    <t>+62 859-7540-4058</t>
  </si>
  <si>
    <t>C250057</t>
  </si>
  <si>
    <t>P. Lido</t>
  </si>
  <si>
    <t>+62 813-3624-4158</t>
  </si>
  <si>
    <t>C250058</t>
  </si>
  <si>
    <t>P. Aldian</t>
  </si>
  <si>
    <t>+62 823-3259-4293</t>
  </si>
  <si>
    <t>aldianrijal15@gmail.com</t>
  </si>
  <si>
    <t>N 7419 T</t>
  </si>
  <si>
    <t>C250059</t>
  </si>
  <si>
    <t>P. Eko</t>
  </si>
  <si>
    <t>+62 813-9547-4808</t>
  </si>
  <si>
    <t>ekoaslan@gmail.com</t>
  </si>
  <si>
    <t>B 9298 KWM</t>
  </si>
  <si>
    <t>C250060</t>
  </si>
  <si>
    <t xml:space="preserve">                                     </t>
  </si>
  <si>
    <t>P. Hakimin</t>
  </si>
  <si>
    <t>+62 823-3452-4646</t>
  </si>
  <si>
    <t>C250061</t>
  </si>
  <si>
    <t>+62 899-9857-171</t>
  </si>
  <si>
    <t xml:space="preserve">+62 899-9857-171
</t>
  </si>
  <si>
    <t>C250062</t>
  </si>
  <si>
    <t>P. Teguh</t>
  </si>
  <si>
    <t>+62 877-1654-8919</t>
  </si>
  <si>
    <t>C250063</t>
  </si>
  <si>
    <t>LFW-SIRION3XYG</t>
  </si>
  <si>
    <t>P. Sandy</t>
  </si>
  <si>
    <t>+62 812-3311-4991</t>
  </si>
  <si>
    <t>C250064</t>
  </si>
  <si>
    <t>P. Gilang</t>
  </si>
  <si>
    <t>+62 856-4871-2675</t>
  </si>
  <si>
    <t>L 1142 WW</t>
  </si>
  <si>
    <t>C250065</t>
  </si>
  <si>
    <t>TRW-FORTUNER15AGC</t>
  </si>
  <si>
    <t>Yudha Nugraha</t>
  </si>
  <si>
    <t>+62 811-4557-768</t>
  </si>
  <si>
    <t>C250066</t>
  </si>
  <si>
    <t>Bu Heni</t>
  </si>
  <si>
    <t>+62 823-3822-4809</t>
  </si>
  <si>
    <t>M 1314 TR</t>
  </si>
  <si>
    <t>C250067</t>
  </si>
  <si>
    <t>An NMB/Micheal</t>
  </si>
  <si>
    <t>+62 8113394001/08113144407</t>
  </si>
  <si>
    <t>C250068</t>
  </si>
  <si>
    <t>P. Agus Saputro</t>
  </si>
  <si>
    <t xml:space="preserve">+62 813-3161-3991
</t>
  </si>
  <si>
    <t>H 1026 MO</t>
  </si>
  <si>
    <t>C250069</t>
  </si>
  <si>
    <t>LFW-DMAX2XYG</t>
  </si>
  <si>
    <t>Pak Sherwin / Bu Tutik</t>
  </si>
  <si>
    <t>+6281389001310</t>
  </si>
  <si>
    <t>C250070</t>
  </si>
  <si>
    <t>P. Aldo</t>
  </si>
  <si>
    <t>+62 813-9816-4492</t>
  </si>
  <si>
    <t>C250071</t>
  </si>
  <si>
    <t>+62 819-3849-6171</t>
  </si>
  <si>
    <t>C250072</t>
  </si>
  <si>
    <t>P. Nobel</t>
  </si>
  <si>
    <t>+62 856-3333-695</t>
  </si>
  <si>
    <t>L 1763 IL</t>
  </si>
  <si>
    <t>C250073</t>
  </si>
  <si>
    <t xml:space="preserve">Cipta Fastener </t>
  </si>
  <si>
    <t>+62 821-3996-2050</t>
  </si>
  <si>
    <t>C250074</t>
  </si>
  <si>
    <t>P. Dimas</t>
  </si>
  <si>
    <t>082334366300</t>
  </si>
  <si>
    <t>W 1825 BY</t>
  </si>
  <si>
    <t>C250075</t>
  </si>
  <si>
    <t>P. Tikno S.</t>
  </si>
  <si>
    <t>0816815593</t>
  </si>
  <si>
    <t>L 1003 NY</t>
  </si>
  <si>
    <t>C250076</t>
  </si>
  <si>
    <t>+62 857-4590-0009</t>
  </si>
  <si>
    <t>S 1602 ML</t>
  </si>
  <si>
    <t>C250077</t>
  </si>
  <si>
    <t>LFW-RIO11MU</t>
  </si>
  <si>
    <t>Kosmas/Olivia</t>
  </si>
  <si>
    <t>+62 811-3662-209</t>
  </si>
  <si>
    <t>C250078</t>
  </si>
  <si>
    <t>Alfiz Ernanda</t>
  </si>
  <si>
    <t>+62 858-9015-9949</t>
  </si>
  <si>
    <t>C250079</t>
  </si>
  <si>
    <t>+62 813-2824-4140</t>
  </si>
  <si>
    <t>C250080</t>
  </si>
  <si>
    <t>P. Widianto</t>
  </si>
  <si>
    <t>+62 851-0019-3900</t>
  </si>
  <si>
    <t>C250081</t>
  </si>
  <si>
    <t>+62 877-6251-4735</t>
  </si>
  <si>
    <t>C250082</t>
  </si>
  <si>
    <t>Kak Icha</t>
  </si>
  <si>
    <t xml:space="preserve">+62 877-8668-8714
</t>
  </si>
  <si>
    <t>C250083</t>
  </si>
  <si>
    <t>P. Suliswanto</t>
  </si>
  <si>
    <t>+62 878-5516-5956</t>
  </si>
  <si>
    <t>C250084</t>
  </si>
  <si>
    <t>P. Taufiq Hidayat</t>
  </si>
  <si>
    <t>+62 813-5784-8777</t>
  </si>
  <si>
    <t>C250085</t>
  </si>
  <si>
    <t>Bpk shofi</t>
  </si>
  <si>
    <t>+62 878-5982-2665</t>
  </si>
  <si>
    <t>C250086</t>
  </si>
  <si>
    <t>P. Deki</t>
  </si>
  <si>
    <t>+62 857-3552-7120</t>
  </si>
  <si>
    <t>M 9212 AA</t>
  </si>
  <si>
    <t>C250087</t>
  </si>
  <si>
    <t>Bu Yani Saiful</t>
  </si>
  <si>
    <t xml:space="preserve">+62 822-3167-7184
</t>
  </si>
  <si>
    <t>C250088</t>
  </si>
  <si>
    <t>Dadang Djafar</t>
  </si>
  <si>
    <t>+62 823-4508-6669</t>
  </si>
  <si>
    <t>C250089</t>
  </si>
  <si>
    <t>P. Slamet</t>
  </si>
  <si>
    <t>+62 856-4937-2348</t>
  </si>
  <si>
    <t>C250090</t>
  </si>
  <si>
    <t>Kak Faiz</t>
  </si>
  <si>
    <t>+62 856-0462-4106</t>
  </si>
  <si>
    <t>C250091</t>
  </si>
  <si>
    <t>+62 822-4787-2287</t>
  </si>
  <si>
    <t>C250092</t>
  </si>
  <si>
    <t>SWL-MOBILIOAGC</t>
  </si>
  <si>
    <t>+62 857-1420-8018</t>
  </si>
  <si>
    <t>C250093</t>
  </si>
  <si>
    <t>Nasrul Yayasan Assalaam</t>
  </si>
  <si>
    <t>+62 822-4400-5757</t>
  </si>
  <si>
    <t xml:space="preserve">Nasrul Yayasan Assalaam
</t>
  </si>
  <si>
    <t>C250094</t>
  </si>
  <si>
    <t>B. Jojo</t>
  </si>
  <si>
    <t>C250095</t>
  </si>
  <si>
    <t xml:space="preserve"> P. Nonok Afandi</t>
  </si>
  <si>
    <t xml:space="preserve">+62 856-4545-3559
</t>
  </si>
  <si>
    <t>C250096</t>
  </si>
  <si>
    <t>SWR-PAJERO16AGC</t>
  </si>
  <si>
    <t>+62 878-5669-0199</t>
  </si>
  <si>
    <t>C250097</t>
  </si>
  <si>
    <t>FDL-BRIOAGC</t>
  </si>
  <si>
    <t>P.Agung</t>
  </si>
  <si>
    <t>+62 852-0405-0912</t>
  </si>
  <si>
    <t>C250098</t>
  </si>
  <si>
    <t>Kak Alvyan</t>
  </si>
  <si>
    <t>+62 857-4688-6743</t>
  </si>
  <si>
    <t>C250099</t>
  </si>
  <si>
    <t xml:space="preserve">P.Akbar
</t>
  </si>
  <si>
    <t>+62 857-0737-1435</t>
  </si>
  <si>
    <t>D250001</t>
  </si>
  <si>
    <t>+62 812-3379-9152</t>
  </si>
  <si>
    <t>D250002</t>
  </si>
  <si>
    <t>P. Donny</t>
  </si>
  <si>
    <t>+62 818-509-080</t>
  </si>
  <si>
    <t>L 1624 XI</t>
  </si>
  <si>
    <t>D250003</t>
  </si>
  <si>
    <t>P.Armawan</t>
  </si>
  <si>
    <t xml:space="preserve">085210421144 </t>
  </si>
  <si>
    <t>L 1137 DAS</t>
  </si>
  <si>
    <t>D250004</t>
  </si>
  <si>
    <t>P. Carson</t>
  </si>
  <si>
    <t>+62 812-8783-8959</t>
  </si>
  <si>
    <t>D250005</t>
  </si>
  <si>
    <t>P. Buyung</t>
  </si>
  <si>
    <t>+62 811-3414-574fdr-avanza</t>
  </si>
  <si>
    <t>D250006</t>
  </si>
  <si>
    <t>P. Dicky</t>
  </si>
  <si>
    <t>+62 878-5291-2888</t>
  </si>
  <si>
    <t>W 1798 QN</t>
  </si>
  <si>
    <t>D250007</t>
  </si>
  <si>
    <t>P. Rusi</t>
  </si>
  <si>
    <t>+62 822-3487-7447</t>
  </si>
  <si>
    <t>D250008</t>
  </si>
  <si>
    <t>Bengkel Rajawali</t>
  </si>
  <si>
    <t>+62 878-2051-7070</t>
  </si>
  <si>
    <t>D250009</t>
  </si>
  <si>
    <t>P. Wahyudi</t>
  </si>
  <si>
    <t>+62 818-523-641</t>
  </si>
  <si>
    <t>L 1957 YG</t>
  </si>
  <si>
    <t>D250010</t>
  </si>
  <si>
    <t>P. Denny</t>
  </si>
  <si>
    <t>+62 812-8200-0452</t>
  </si>
  <si>
    <t>L 1491 DAO</t>
  </si>
  <si>
    <t>D250011</t>
  </si>
  <si>
    <t>P. Roni</t>
  </si>
  <si>
    <t>081333160003</t>
  </si>
  <si>
    <t>D250012</t>
  </si>
  <si>
    <t>P. Peristiwanto</t>
  </si>
  <si>
    <t>+62 813-5658-4245</t>
  </si>
  <si>
    <t>D250013</t>
  </si>
  <si>
    <t xml:space="preserve">P. Harly
</t>
  </si>
  <si>
    <t>+62 812-4391-1001</t>
  </si>
  <si>
    <t>D250014</t>
  </si>
  <si>
    <t>FDR-STREAM00ASH</t>
  </si>
  <si>
    <t>Mayor Suharmoko</t>
  </si>
  <si>
    <t>+62 813-3601-3904</t>
  </si>
  <si>
    <t>Kalimantan Barat</t>
  </si>
  <si>
    <t>D250015</t>
  </si>
  <si>
    <t>P. Dorry</t>
  </si>
  <si>
    <t>085730642177</t>
  </si>
  <si>
    <t>tokped</t>
  </si>
  <si>
    <t>D250016</t>
  </si>
  <si>
    <t>Suratama</t>
  </si>
  <si>
    <t>D250017</t>
  </si>
  <si>
    <t>TRW-AGYA23AGC</t>
  </si>
  <si>
    <t>P. Akbar</t>
  </si>
  <si>
    <t>082316621922</t>
  </si>
  <si>
    <t>D250018</t>
  </si>
  <si>
    <t>TRW-C27XYG</t>
  </si>
  <si>
    <t>B. Alifia Primasari</t>
  </si>
  <si>
    <t>+62 822-3399-4083</t>
  </si>
  <si>
    <t>L 1453 BBA</t>
  </si>
  <si>
    <t>D250019</t>
  </si>
  <si>
    <t>P. Bahtiar</t>
  </si>
  <si>
    <t>+62 822-3444-4279</t>
  </si>
  <si>
    <t>S 1473 BK</t>
  </si>
  <si>
    <t>D250020</t>
  </si>
  <si>
    <t>PT BAS</t>
  </si>
  <si>
    <t>+62 813-3232-2720</t>
  </si>
  <si>
    <t>L 9039 CA</t>
  </si>
  <si>
    <t>D250021</t>
  </si>
  <si>
    <t xml:space="preserve">Pak Jemmy/ Titik koma </t>
  </si>
  <si>
    <t>+62 821-4348-0992</t>
  </si>
  <si>
    <t>D250022</t>
  </si>
  <si>
    <t xml:space="preserve">P. Achmad Annas </t>
  </si>
  <si>
    <t>L 1640 EX</t>
  </si>
  <si>
    <t>D250023</t>
  </si>
  <si>
    <t>P. Darmawan</t>
  </si>
  <si>
    <t>+62 899-5533-063</t>
  </si>
  <si>
    <t>D250024</t>
  </si>
  <si>
    <t>Bpk. Jonathan</t>
  </si>
  <si>
    <t xml:space="preserve">+62 878-5558-0551
</t>
  </si>
  <si>
    <t>L 1312 EZ</t>
  </si>
  <si>
    <t>D250025</t>
  </si>
  <si>
    <t>P. Ryan</t>
  </si>
  <si>
    <t xml:space="preserve">+62 812-5911-4863
</t>
  </si>
  <si>
    <t>L 1697 XQ</t>
  </si>
  <si>
    <t>+62 812-5911-4863</t>
  </si>
  <si>
    <t>D250026</t>
  </si>
  <si>
    <t>P. Alfian</t>
  </si>
  <si>
    <t>+62 851-9543-8393</t>
  </si>
  <si>
    <t>L 1248 ZK</t>
  </si>
  <si>
    <t>D250027</t>
  </si>
  <si>
    <t>P. Sujarwo</t>
  </si>
  <si>
    <t>+62 811-3135-639</t>
  </si>
  <si>
    <t>L 1541 JE</t>
  </si>
  <si>
    <t>D250028</t>
  </si>
  <si>
    <t>+62 888-5010-100</t>
  </si>
  <si>
    <t>L 1055 ADM</t>
  </si>
  <si>
    <t>D250029</t>
  </si>
  <si>
    <t>P. Jovian</t>
  </si>
  <si>
    <t>+62 878-5383-5228</t>
  </si>
  <si>
    <t>D250030</t>
  </si>
  <si>
    <t>B. Ni luh Wintarti</t>
  </si>
  <si>
    <t>+62 812-3184-148</t>
  </si>
  <si>
    <t>D250031</t>
  </si>
  <si>
    <t>PECAH GUNTUR,FLEA,DIMAS</t>
  </si>
  <si>
    <t>D250032</t>
  </si>
  <si>
    <t>P. Robert Jostan</t>
  </si>
  <si>
    <t>+62 851-0050-7051</t>
  </si>
  <si>
    <t>L 1049 AA1</t>
  </si>
  <si>
    <t>D250033</t>
  </si>
  <si>
    <t xml:space="preserve">P. Achmad Anshor
</t>
  </si>
  <si>
    <t>+62 815-1502-0136</t>
  </si>
  <si>
    <t>L 1358 LL</t>
  </si>
  <si>
    <t>D250034</t>
  </si>
  <si>
    <t xml:space="preserve">Kak Welly 
</t>
  </si>
  <si>
    <t>+62 818-0318-5925</t>
  </si>
  <si>
    <t>D250035</t>
  </si>
  <si>
    <t>+62 816-501-133</t>
  </si>
  <si>
    <t>W 1495 CX</t>
  </si>
  <si>
    <t>D250036</t>
  </si>
  <si>
    <t>FDL-CX5GEN2XYG</t>
  </si>
  <si>
    <t>Sherly fransisca</t>
  </si>
  <si>
    <t>+62 838-7111-1198</t>
  </si>
  <si>
    <t>D250037</t>
  </si>
  <si>
    <t>+62 812-7681-1498</t>
  </si>
  <si>
    <t>D250038</t>
  </si>
  <si>
    <t>P. Muhammad Dhai</t>
  </si>
  <si>
    <t>+62 812-5662-8252</t>
  </si>
  <si>
    <t>D250039</t>
  </si>
  <si>
    <t>P. Naskah Astriadi</t>
  </si>
  <si>
    <t>+62 812-9409-439</t>
  </si>
  <si>
    <t>D250040</t>
  </si>
  <si>
    <t>LFW-RAIZERSAGC</t>
  </si>
  <si>
    <t>+62 813-3073-0298</t>
  </si>
  <si>
    <t>L 1516 FV</t>
  </si>
  <si>
    <t>D250041</t>
  </si>
  <si>
    <t>D250042</t>
  </si>
  <si>
    <t>Bengkel sahabat Malili</t>
  </si>
  <si>
    <t>6285399498755</t>
  </si>
  <si>
    <t>Sulawesi selatan</t>
  </si>
  <si>
    <t>D250043</t>
  </si>
  <si>
    <t>D250044</t>
  </si>
  <si>
    <t>P. Cahyo Idaman</t>
  </si>
  <si>
    <t>+62 877-5254-0044</t>
  </si>
  <si>
    <t>P 1115 KT</t>
  </si>
  <si>
    <t>D250045</t>
  </si>
  <si>
    <t>P. Renaldi</t>
  </si>
  <si>
    <t>+62 813-8168-6266</t>
  </si>
  <si>
    <t>D250046</t>
  </si>
  <si>
    <t>P. Hamka</t>
  </si>
  <si>
    <t>+62 852-4464-1333</t>
  </si>
  <si>
    <t>D250047</t>
  </si>
  <si>
    <t>P. Soni</t>
  </si>
  <si>
    <t>+62 814-5906-7833</t>
  </si>
  <si>
    <t>N 8599 TN</t>
  </si>
  <si>
    <t>D250048</t>
  </si>
  <si>
    <t>P. Rosyid</t>
  </si>
  <si>
    <t>+62 813-3302-2203</t>
  </si>
  <si>
    <t>D250049</t>
  </si>
  <si>
    <t>P. Said</t>
  </si>
  <si>
    <t>+62 858-0416-1666</t>
  </si>
  <si>
    <t>W 1536 QN</t>
  </si>
  <si>
    <t>D250050</t>
  </si>
  <si>
    <t>P. Agus Purwanto</t>
  </si>
  <si>
    <t>+62 877-3295-4376</t>
  </si>
  <si>
    <t>D250051</t>
  </si>
  <si>
    <t>P.  Ferry Febriyanto</t>
  </si>
  <si>
    <t>+62 857-5666-6679</t>
  </si>
  <si>
    <t>D250052</t>
  </si>
  <si>
    <t xml:space="preserve">Denta </t>
  </si>
  <si>
    <t>+628122227488</t>
  </si>
  <si>
    <t>D250053</t>
  </si>
  <si>
    <t>P. Ibnu Yusuf</t>
  </si>
  <si>
    <t>081217410037</t>
  </si>
  <si>
    <t>L 1877 JK</t>
  </si>
  <si>
    <t>D250054</t>
  </si>
  <si>
    <t>P. Viktor- malinau</t>
  </si>
  <si>
    <t>+62 813-5115-3798</t>
  </si>
  <si>
    <t>Malinau</t>
  </si>
  <si>
    <t>TRW-HILUX15XYG</t>
  </si>
  <si>
    <t>D250055</t>
  </si>
  <si>
    <t>P. Herry Setiadi/PT CATUR CAHAYA NIAGA</t>
  </si>
  <si>
    <t>+62 853-3406-8734</t>
  </si>
  <si>
    <t>Sumbawa</t>
  </si>
  <si>
    <t>D250056</t>
  </si>
  <si>
    <t>+62 813-3278-9497</t>
  </si>
  <si>
    <t>W 1094 CA</t>
  </si>
  <si>
    <t>D250057</t>
  </si>
  <si>
    <t>P. Ainun</t>
  </si>
  <si>
    <t>+62 856-4512-2212</t>
  </si>
  <si>
    <t>L 1922 RFD</t>
  </si>
  <si>
    <t>OTH-LISTPJR16MIT</t>
  </si>
  <si>
    <t>D250058</t>
  </si>
  <si>
    <t>+62 877-5084-3206</t>
  </si>
  <si>
    <t>L 1343 CAJ</t>
  </si>
  <si>
    <t>D250059</t>
  </si>
  <si>
    <t>P. Billy</t>
  </si>
  <si>
    <t>+62 896-7722-0011</t>
  </si>
  <si>
    <t>L 1842 DJ</t>
  </si>
  <si>
    <t>D250060</t>
  </si>
  <si>
    <t>P. As'ad</t>
  </si>
  <si>
    <t>+62 811-3191-508</t>
  </si>
  <si>
    <t>L 1742 AEC</t>
  </si>
  <si>
    <t>D250061</t>
  </si>
  <si>
    <t>RVR-RAIZEAGC</t>
  </si>
  <si>
    <t>P. Laksamana Damar </t>
  </si>
  <si>
    <t>+62 857-4825-6370</t>
  </si>
  <si>
    <t>D250062</t>
  </si>
  <si>
    <t>Kak Ainun</t>
  </si>
  <si>
    <t>D250063</t>
  </si>
  <si>
    <t>P. Ian</t>
  </si>
  <si>
    <t>+62 822-3774-7202</t>
  </si>
  <si>
    <t>D250064</t>
  </si>
  <si>
    <t>LFW-DUSTER10MU</t>
  </si>
  <si>
    <t>Tomi Hadi cq. Herry Thaib/Gazpoll Racing</t>
  </si>
  <si>
    <t>+62 811-9395-008</t>
  </si>
  <si>
    <t>Jakarta Selatan</t>
  </si>
  <si>
    <t>D250065</t>
  </si>
  <si>
    <t>P. Meslan</t>
  </si>
  <si>
    <t>+62 821-4143-8384</t>
  </si>
  <si>
    <t>D250066</t>
  </si>
  <si>
    <t>P. Reza</t>
  </si>
  <si>
    <t>+62 815-5672-1208</t>
  </si>
  <si>
    <t>D250067</t>
  </si>
  <si>
    <t>Ajeng Dinasty</t>
  </si>
  <si>
    <t>+62 812-5447-0930</t>
  </si>
  <si>
    <t>D250068</t>
  </si>
  <si>
    <t>P. Fathoni</t>
  </si>
  <si>
    <t>+62 838-4966-0594</t>
  </si>
  <si>
    <t>L 1979 OS</t>
  </si>
  <si>
    <t>D250069</t>
  </si>
  <si>
    <t>P. Purwadi</t>
  </si>
  <si>
    <t>081330106500</t>
  </si>
  <si>
    <t>D250070</t>
  </si>
  <si>
    <t>Kak Audrey</t>
  </si>
  <si>
    <t>0895340161530/082139904896</t>
  </si>
  <si>
    <t>D250071</t>
  </si>
  <si>
    <t>PT. Global Yupiter Indonesia</t>
  </si>
  <si>
    <t>+628155267999</t>
  </si>
  <si>
    <t>D250072</t>
  </si>
  <si>
    <t>LFW-ERTIGA12XYG</t>
  </si>
  <si>
    <t>P. Hengki</t>
  </si>
  <si>
    <t>+6285816299798</t>
  </si>
  <si>
    <t>D250073</t>
  </si>
  <si>
    <t>Kak Aan</t>
  </si>
  <si>
    <t>+62 851-5658-7204</t>
  </si>
  <si>
    <t>D250074</t>
  </si>
  <si>
    <t>L 1811 SV</t>
  </si>
  <si>
    <t>D250075</t>
  </si>
  <si>
    <t>P. Arief Slamet</t>
  </si>
  <si>
    <t>+62 815-5318-5050</t>
  </si>
  <si>
    <t>D250076</t>
  </si>
  <si>
    <t>Kak Acik/P. Subandi</t>
  </si>
  <si>
    <t>+62 812-3413-8433</t>
  </si>
  <si>
    <t>D250077</t>
  </si>
  <si>
    <t>+62 823-3643-5267</t>
  </si>
  <si>
    <t>B 9992 SCH</t>
  </si>
  <si>
    <t>D250078</t>
  </si>
  <si>
    <t>TRW-JAZZ01ASH</t>
  </si>
  <si>
    <t>+62 822-3456-1882</t>
  </si>
  <si>
    <t>S 1236 ZM</t>
  </si>
  <si>
    <t>E250001</t>
  </si>
  <si>
    <t>+62 857-5532-4654</t>
  </si>
  <si>
    <t>E250002</t>
  </si>
  <si>
    <t>P. Herdy</t>
  </si>
  <si>
    <t>+62 821-4204-2909</t>
  </si>
  <si>
    <t>W 1086 SC</t>
  </si>
  <si>
    <t>E250003</t>
  </si>
  <si>
    <t>P.Agus Cahaya</t>
  </si>
  <si>
    <t>E250004</t>
  </si>
  <si>
    <t>E250005</t>
  </si>
  <si>
    <t>P. Abdul</t>
  </si>
  <si>
    <t>+62 813-5757-5399</t>
  </si>
  <si>
    <t>E250006</t>
  </si>
  <si>
    <t>+62 813-3202-4226</t>
  </si>
  <si>
    <t>E250007</t>
  </si>
  <si>
    <t>Pak Heri Bengkel</t>
  </si>
  <si>
    <t>+62 822-2899-7778</t>
  </si>
  <si>
    <t>E250008</t>
  </si>
  <si>
    <t>M. Syaiful</t>
  </si>
  <si>
    <t>+62 813-5401-0143</t>
  </si>
  <si>
    <t>E250009</t>
  </si>
  <si>
    <t>+62 811-927-237</t>
  </si>
  <si>
    <t>E250010</t>
  </si>
  <si>
    <t>PT. GMP</t>
  </si>
  <si>
    <t>+62 812-5000-2531</t>
  </si>
  <si>
    <t>E250011</t>
  </si>
  <si>
    <t>P. Christ</t>
  </si>
  <si>
    <t>+62 817-0378-7066</t>
  </si>
  <si>
    <t>L 1735 BN</t>
  </si>
  <si>
    <t>E250012</t>
  </si>
  <si>
    <t>E250013</t>
  </si>
  <si>
    <t>P. Hardi</t>
  </si>
  <si>
    <t>+62 812-3137-7305</t>
  </si>
  <si>
    <t>L 1396 GS</t>
  </si>
  <si>
    <t>E250014</t>
  </si>
  <si>
    <t>P. Gozai</t>
  </si>
  <si>
    <t>+62 813-3153-3853</t>
  </si>
  <si>
    <t>E250015</t>
  </si>
  <si>
    <t>E250016</t>
  </si>
  <si>
    <t>P. Dariono</t>
  </si>
  <si>
    <t>081218593806</t>
  </si>
  <si>
    <t>E250017</t>
  </si>
  <si>
    <t>Imam Farikhin</t>
  </si>
  <si>
    <t>E250018</t>
  </si>
  <si>
    <t>P. Budi Hartanto</t>
  </si>
  <si>
    <t>+62 812-3513-343</t>
  </si>
  <si>
    <t>S 1636 XW</t>
  </si>
  <si>
    <t>E250019</t>
  </si>
  <si>
    <t>Kak Alim</t>
  </si>
  <si>
    <t>+62 856-0850-1458</t>
  </si>
  <si>
    <t>E250020</t>
  </si>
  <si>
    <t>LFW-ALTIS06RSXYG</t>
  </si>
  <si>
    <t>P. Cory Himawan</t>
  </si>
  <si>
    <t>+62 815-5295-828</t>
  </si>
  <si>
    <t>E250021</t>
  </si>
  <si>
    <t>Kak Brian</t>
  </si>
  <si>
    <t>+62 822-6969-0769</t>
  </si>
  <si>
    <t>E250022</t>
  </si>
  <si>
    <t>TRW-AVANZA03HXYG</t>
  </si>
  <si>
    <t xml:space="preserve">Kak Aldhi </t>
  </si>
  <si>
    <t>+62 895-3217-74300</t>
  </si>
  <si>
    <t>L 1937 X</t>
  </si>
  <si>
    <t>E250023</t>
  </si>
  <si>
    <t>Lany (Ayu Kalumbang) </t>
  </si>
  <si>
    <t>082144279979/082170218121</t>
  </si>
  <si>
    <t>E250024</t>
  </si>
  <si>
    <t>Kak Rio</t>
  </si>
  <si>
    <t>+62 821-4675-6287</t>
  </si>
  <si>
    <t>W 1602 DK</t>
  </si>
  <si>
    <t>E250025</t>
  </si>
  <si>
    <t>LFW-T30PIL</t>
  </si>
  <si>
    <t>Kak Rizky</t>
  </si>
  <si>
    <t>+62 838-5666-9984</t>
  </si>
  <si>
    <t>E250026</t>
  </si>
  <si>
    <t>+62 878-7721-8668</t>
  </si>
  <si>
    <t>FDR-HIACEXYG</t>
  </si>
  <si>
    <t>RDR-HIACEXYG</t>
  </si>
  <si>
    <t>E250027</t>
  </si>
  <si>
    <t>Kak Febrie</t>
  </si>
  <si>
    <t>+62 813-1448-4147</t>
  </si>
  <si>
    <t>AA 1595 BW</t>
  </si>
  <si>
    <t>E250028</t>
  </si>
  <si>
    <t>P. Rizki Kamil</t>
  </si>
  <si>
    <t>+62 838-5776-0657</t>
  </si>
  <si>
    <t>L 9447 CL</t>
  </si>
  <si>
    <t>E250029</t>
  </si>
  <si>
    <t>TRW-PICANTO04XYG</t>
  </si>
  <si>
    <t>P. Darmin</t>
  </si>
  <si>
    <t>'+62 813-3415-4180</t>
  </si>
  <si>
    <t>E250030</t>
  </si>
  <si>
    <t>Kak Vania</t>
  </si>
  <si>
    <t>'+62 896-9657-0299</t>
  </si>
  <si>
    <t>E250031</t>
  </si>
  <si>
    <t>LFW-OUTLANDERRSPIL</t>
  </si>
  <si>
    <t>Ka Andy</t>
  </si>
  <si>
    <t>+62 822-3123-1209</t>
  </si>
  <si>
    <t>M 1436 NM</t>
  </si>
  <si>
    <t>madura</t>
  </si>
  <si>
    <t>E250032</t>
  </si>
  <si>
    <t>P. Riza Sofian</t>
  </si>
  <si>
    <t>+62 838-2722-0024</t>
  </si>
  <si>
    <t>E250033</t>
  </si>
  <si>
    <t>P. Ari</t>
  </si>
  <si>
    <t>+62 822-4444-1805</t>
  </si>
  <si>
    <t>E250034</t>
  </si>
  <si>
    <t>P. Jabbaar</t>
  </si>
  <si>
    <t>+62 812-3042-3474</t>
  </si>
  <si>
    <t>N 1094 ACK</t>
  </si>
  <si>
    <t>E250035</t>
  </si>
  <si>
    <t>+62 822-9947-6468</t>
  </si>
  <si>
    <t>L 1312 FT</t>
  </si>
  <si>
    <t>E250036</t>
  </si>
  <si>
    <t>E250037</t>
  </si>
  <si>
    <t>P. Satriya Yogi</t>
  </si>
  <si>
    <t>085704010230</t>
  </si>
  <si>
    <t>OTH-LISTTRWGRANMAXPUDAI</t>
  </si>
  <si>
    <t>E250038</t>
  </si>
  <si>
    <t>TRW-CAMRY06XYG</t>
  </si>
  <si>
    <t>P. Yamadi</t>
  </si>
  <si>
    <t>+62 858-5530-0066</t>
  </si>
  <si>
    <t>N 1683 ACW</t>
  </si>
  <si>
    <t>E250039</t>
  </si>
  <si>
    <t xml:space="preserve"> P. Bima</t>
  </si>
  <si>
    <t>+62 813-3316-9102</t>
  </si>
  <si>
    <t>L 1979 BAD</t>
  </si>
  <si>
    <t>E250040</t>
  </si>
  <si>
    <t>LFW-ERTIGA12AGC</t>
  </si>
  <si>
    <t xml:space="preserve"> P. Hamid</t>
  </si>
  <si>
    <t>+62 857-3099-4565</t>
  </si>
  <si>
    <t>W 1605 DG</t>
  </si>
  <si>
    <t>OTH-LISTWSERT12SGP</t>
  </si>
  <si>
    <t>E250041</t>
  </si>
  <si>
    <t xml:space="preserve"> P. Sofyan</t>
  </si>
  <si>
    <t>+62 822-4388-4629</t>
  </si>
  <si>
    <t>E250042</t>
  </si>
  <si>
    <t>Kak Aziz </t>
  </si>
  <si>
    <t>+62 852-9111-9116</t>
  </si>
  <si>
    <t>E250043</t>
  </si>
  <si>
    <t>Kak Dafa</t>
  </si>
  <si>
    <t>+62 812-2623-9669</t>
  </si>
  <si>
    <t>E250044</t>
  </si>
  <si>
    <t>Kak Leoni Angela</t>
  </si>
  <si>
    <t>+62 811-583-230</t>
  </si>
  <si>
    <t>E250045</t>
  </si>
  <si>
    <t>P. Miseno</t>
  </si>
  <si>
    <t>+62 857-3604-9017</t>
  </si>
  <si>
    <t>E250046</t>
  </si>
  <si>
    <t xml:space="preserve"> P. Ricky </t>
  </si>
  <si>
    <t>+62 857-3175-7534</t>
  </si>
  <si>
    <t>E250047</t>
  </si>
  <si>
    <t>Jeremy Gallileo</t>
  </si>
  <si>
    <t>+62 821-6490-0810</t>
  </si>
  <si>
    <t>Sumatera Utara</t>
  </si>
  <si>
    <t>E250048</t>
  </si>
  <si>
    <t xml:space="preserve"> P. Reno Joker</t>
  </si>
  <si>
    <t>+62 812-3461-9107</t>
  </si>
  <si>
    <t>E250049</t>
  </si>
  <si>
    <t>+62 813-3699-7052</t>
  </si>
  <si>
    <t>E250050</t>
  </si>
  <si>
    <t>+62 812-3423-3573</t>
  </si>
  <si>
    <t>E250051</t>
  </si>
  <si>
    <t>P. Fariz</t>
  </si>
  <si>
    <t>+62 822-9905-1812</t>
  </si>
  <si>
    <t>E250052</t>
  </si>
  <si>
    <t>Machfud</t>
  </si>
  <si>
    <t>+62 813-9265-2252</t>
  </si>
  <si>
    <t>Tokped bekasi</t>
  </si>
  <si>
    <t>E250053</t>
  </si>
  <si>
    <t xml:space="preserve"> Ka Daud</t>
  </si>
  <si>
    <t>+62 822-6415-1125</t>
  </si>
  <si>
    <t>N 1567 MO</t>
  </si>
  <si>
    <t>E250054</t>
  </si>
  <si>
    <t>E250055</t>
  </si>
  <si>
    <t>P. Nugroho GCI</t>
  </si>
  <si>
    <t>+62 813-5713-8822</t>
  </si>
  <si>
    <t>N 1981 JI</t>
  </si>
  <si>
    <t>E250056</t>
  </si>
  <si>
    <t>P. Pujianto</t>
  </si>
  <si>
    <t>085336176798</t>
  </si>
  <si>
    <t>S 9568 HL</t>
  </si>
  <si>
    <t>E250057</t>
  </si>
  <si>
    <t>B. Melani</t>
  </si>
  <si>
    <t>E250058</t>
  </si>
  <si>
    <t>Ranvijay Rentcar</t>
  </si>
  <si>
    <t>+62 822-3245-5823</t>
  </si>
  <si>
    <t>E250059</t>
  </si>
  <si>
    <t>PT. Eka Jaya Transindo</t>
  </si>
  <si>
    <t>+62 882-0083-69717</t>
  </si>
  <si>
    <t>E250060</t>
  </si>
  <si>
    <t>+62 813-3269-4251</t>
  </si>
  <si>
    <t>E250061</t>
  </si>
  <si>
    <t>B. Maria</t>
  </si>
  <si>
    <t>+62 822-0828-7233</t>
  </si>
  <si>
    <t>W 1136 R</t>
  </si>
  <si>
    <t>E250062</t>
  </si>
  <si>
    <t>Adin,Ade,Flea,Dimas,Via</t>
  </si>
  <si>
    <t>E250063</t>
  </si>
  <si>
    <t>Ade</t>
  </si>
  <si>
    <t>E250064</t>
  </si>
  <si>
    <t>Dinda</t>
  </si>
  <si>
    <t>+62 858-5725-6500</t>
  </si>
  <si>
    <t>E250065</t>
  </si>
  <si>
    <t>P. Rully Wahyu</t>
  </si>
  <si>
    <t>+62 856-4988-0695</t>
  </si>
  <si>
    <t>E250066</t>
  </si>
  <si>
    <t>Rendi Indra Saputra</t>
  </si>
  <si>
    <t>+62 812-4960-7474</t>
  </si>
  <si>
    <t>S 1365 XF</t>
  </si>
  <si>
    <t>E250067</t>
  </si>
  <si>
    <t>P. Danang</t>
  </si>
  <si>
    <t>+62 813-3237-9492</t>
  </si>
  <si>
    <t>L 1912 ABT</t>
  </si>
  <si>
    <t>E250068</t>
  </si>
  <si>
    <t>P. Agus Fattah</t>
  </si>
  <si>
    <t>+62 852-5833-9964</t>
  </si>
  <si>
    <t>E250069</t>
  </si>
  <si>
    <t>LFW-JAZZ07XYG</t>
  </si>
  <si>
    <t>+62 812-1717-5857</t>
  </si>
  <si>
    <t>F 1491 DR</t>
  </si>
  <si>
    <t>E250070</t>
  </si>
  <si>
    <t>E250071</t>
  </si>
  <si>
    <t>P. Romi</t>
  </si>
  <si>
    <t>+62 882-1739-0829</t>
  </si>
  <si>
    <t>L 1885 CD</t>
  </si>
  <si>
    <t>E250072</t>
  </si>
  <si>
    <t>Ibu Lenny</t>
  </si>
  <si>
    <t>+62 823-2366-1888</t>
  </si>
  <si>
    <t>L 1147 ADM</t>
  </si>
  <si>
    <t>E250073</t>
  </si>
  <si>
    <t>P. Supomo</t>
  </si>
  <si>
    <t>+62 821-3202-9882</t>
  </si>
  <si>
    <t>E250074</t>
  </si>
  <si>
    <t>P. Taufiq</t>
  </si>
  <si>
    <t xml:space="preserve">+62 896-1608-1999
</t>
  </si>
  <si>
    <t>E250075</t>
  </si>
  <si>
    <t>Ka Dony</t>
  </si>
  <si>
    <t>+62 813-3532-5758</t>
  </si>
  <si>
    <t>E250076</t>
  </si>
  <si>
    <t>P. Simon</t>
  </si>
  <si>
    <t xml:space="preserve">+62 851-0624-250
</t>
  </si>
  <si>
    <t>L 1507 CC</t>
  </si>
  <si>
    <t>E250077</t>
  </si>
  <si>
    <t>Kak Saskia</t>
  </si>
  <si>
    <t>+62 812-3013-6619</t>
  </si>
  <si>
    <t>E250078</t>
  </si>
  <si>
    <t>P. Suwarno</t>
  </si>
  <si>
    <t>+62 822-4577-5676</t>
  </si>
  <si>
    <t>N 1019 XT</t>
  </si>
  <si>
    <t>E250079</t>
  </si>
  <si>
    <t>Kak Florensia</t>
  </si>
  <si>
    <t>+62 815-5039-582</t>
  </si>
  <si>
    <t>E250080</t>
  </si>
  <si>
    <t>E250081</t>
  </si>
  <si>
    <t>E250082</t>
  </si>
  <si>
    <t>SWL-SIENTAASH</t>
  </si>
  <si>
    <t>Widiatma Nugroho</t>
  </si>
  <si>
    <t>+62 856-4131-5576</t>
  </si>
  <si>
    <t>12/06 - 676,000</t>
  </si>
  <si>
    <t>F250001</t>
  </si>
  <si>
    <t>Masrudi</t>
  </si>
  <si>
    <t>+62 813-3656-4404</t>
  </si>
  <si>
    <t>F250002</t>
  </si>
  <si>
    <t>+62 821-3982-4877</t>
  </si>
  <si>
    <t>F250003</t>
  </si>
  <si>
    <t>CV. Graha Cat</t>
  </si>
  <si>
    <t>+62 852-3690-0210</t>
  </si>
  <si>
    <t>F250004</t>
  </si>
  <si>
    <t>Ka Yonatan</t>
  </si>
  <si>
    <t>+62 851-0208-0567</t>
  </si>
  <si>
    <t>F250005</t>
  </si>
  <si>
    <t>P. Adhitia</t>
  </si>
  <si>
    <t>+62 821-4165-2418</t>
  </si>
  <si>
    <t>L 9136 AG</t>
  </si>
  <si>
    <t>F250006</t>
  </si>
  <si>
    <t>LFW-W212RS2XYG</t>
  </si>
  <si>
    <t>P. Fredy</t>
  </si>
  <si>
    <t>+62 821-3900-1988</t>
  </si>
  <si>
    <t>L 1041 LI</t>
  </si>
  <si>
    <t>F250007</t>
  </si>
  <si>
    <t>P. Marjoko</t>
  </si>
  <si>
    <t>S 1602 MQ</t>
  </si>
  <si>
    <t>F250008</t>
  </si>
  <si>
    <t>P. Martin</t>
  </si>
  <si>
    <t>+62 881-9798-311</t>
  </si>
  <si>
    <t>F250009</t>
  </si>
  <si>
    <t>Hasrath Mulia Garage Sidoarjo</t>
  </si>
  <si>
    <t>F250010</t>
  </si>
  <si>
    <t>TRW-INNOVA22AGC</t>
  </si>
  <si>
    <t>Rizalul Ahmad</t>
  </si>
  <si>
    <t>+62 878-6414-6824</t>
  </si>
  <si>
    <t>F250011</t>
  </si>
  <si>
    <t>P. Abd Qodir</t>
  </si>
  <si>
    <t>+62 858-8880-4108</t>
  </si>
  <si>
    <t>N 1860 TZ</t>
  </si>
  <si>
    <t>F250012</t>
  </si>
  <si>
    <t>P. Yudhi</t>
  </si>
  <si>
    <t>+62 857-4845-9000</t>
  </si>
  <si>
    <t>F250013</t>
  </si>
  <si>
    <t xml:space="preserve">P. Jaun </t>
  </si>
  <si>
    <t>+62 856-5598-6180</t>
  </si>
  <si>
    <t>F250014</t>
  </si>
  <si>
    <t>Kak Billa</t>
  </si>
  <si>
    <t>+62 812-1123-4209</t>
  </si>
  <si>
    <t>D 1102 XGK</t>
  </si>
  <si>
    <t>F250015</t>
  </si>
  <si>
    <t>P. Sondang</t>
  </si>
  <si>
    <t>+62 811-8508-085</t>
  </si>
  <si>
    <t>B 9403 SCB</t>
  </si>
  <si>
    <t>F250016</t>
  </si>
  <si>
    <t xml:space="preserve"> P. Rapik</t>
  </si>
  <si>
    <t>+62 856-0735-2226</t>
  </si>
  <si>
    <t>M 1416 AB</t>
  </si>
  <si>
    <t>F250017</t>
  </si>
  <si>
    <t>FDL-LIVINA07ASH</t>
  </si>
  <si>
    <t>+62 813-3308-8915</t>
  </si>
  <si>
    <t>F250018</t>
  </si>
  <si>
    <t>FDR-TRAGAAGC</t>
  </si>
  <si>
    <t>F250019</t>
  </si>
  <si>
    <t>Tokio Marine Indonesia</t>
  </si>
  <si>
    <t>+62 812-4915-1622</t>
  </si>
  <si>
    <t>F250020</t>
  </si>
  <si>
    <t>F250021</t>
  </si>
  <si>
    <t>+62 856-4501-9135</t>
  </si>
  <si>
    <t>F250022</t>
  </si>
  <si>
    <t>L 1163 AED</t>
  </si>
  <si>
    <t>F250023</t>
  </si>
  <si>
    <t>LFW-ACCORD03XYG</t>
  </si>
  <si>
    <t>P. Adryan Sachrul</t>
  </si>
  <si>
    <t>+62 821-8888-0506</t>
  </si>
  <si>
    <t>S 1707 FR</t>
  </si>
  <si>
    <t>F250024</t>
  </si>
  <si>
    <t>F250025</t>
  </si>
  <si>
    <t>P. Usman</t>
  </si>
  <si>
    <t>081904199606</t>
  </si>
  <si>
    <t>F250026</t>
  </si>
  <si>
    <t>LFW-TRAGAAGC</t>
  </si>
  <si>
    <t>P. Era</t>
  </si>
  <si>
    <t>+62 896-4478-6851</t>
  </si>
  <si>
    <t>L 8601 VF</t>
  </si>
  <si>
    <t>F250027</t>
  </si>
  <si>
    <t xml:space="preserve">Ka Jodie </t>
  </si>
  <si>
    <t>+62 852-3705-8817</t>
  </si>
  <si>
    <t>F250028</t>
  </si>
  <si>
    <t>P. Acenk</t>
  </si>
  <si>
    <t>+62 822-6498-5860</t>
  </si>
  <si>
    <t>L 1509 ABT</t>
  </si>
  <si>
    <t>F250029</t>
  </si>
  <si>
    <t>P. Ahmada Furqon</t>
  </si>
  <si>
    <t>6281217027566</t>
  </si>
  <si>
    <t>F250030</t>
  </si>
  <si>
    <t>P. Suhut P.H</t>
  </si>
  <si>
    <t>+62 813-5785-6500</t>
  </si>
  <si>
    <t>W 1847 CF</t>
  </si>
  <si>
    <t>F250031</t>
  </si>
  <si>
    <t>Ko Andi</t>
  </si>
  <si>
    <t>+62 812-3284-574</t>
  </si>
  <si>
    <t>F250032</t>
  </si>
  <si>
    <t>XL MEDIA</t>
  </si>
  <si>
    <t>+62 816-5402-028</t>
  </si>
  <si>
    <t>CECILIA MICHELLE</t>
  </si>
  <si>
    <t>MICHAEL CRISTIAN A</t>
  </si>
  <si>
    <t>F250033</t>
  </si>
  <si>
    <t>FVL-INNOVA04AGC</t>
  </si>
  <si>
    <t>P. Caesar </t>
  </si>
  <si>
    <t>+62 821-4344-5068</t>
  </si>
  <si>
    <t>W 1271 XN</t>
  </si>
  <si>
    <t xml:space="preserve">PRIDHITA CAESAR YU
</t>
  </si>
  <si>
    <t>F250034</t>
  </si>
  <si>
    <t>P. Adib</t>
  </si>
  <si>
    <t>+62 852-3614-3785</t>
  </si>
  <si>
    <t>M ADIB</t>
  </si>
  <si>
    <t>F250035</t>
  </si>
  <si>
    <t xml:space="preserve">Ka Mofi </t>
  </si>
  <si>
    <t>+62 878-4667-2007</t>
  </si>
  <si>
    <t>AB 1245 DD</t>
  </si>
  <si>
    <t>MOCH. HANAFI</t>
  </si>
  <si>
    <t>F250036</t>
  </si>
  <si>
    <t>+62 812-1210-9495</t>
  </si>
  <si>
    <t>CECILIA MICHELLE -300,000 dipotong lebur</t>
  </si>
  <si>
    <t>F250037</t>
  </si>
  <si>
    <t>P. Harmono</t>
  </si>
  <si>
    <t>+62 878-5846-0006</t>
  </si>
  <si>
    <t>AE 1460 CB</t>
  </si>
  <si>
    <t>HARMONO</t>
  </si>
  <si>
    <t>F250038</t>
  </si>
  <si>
    <t>FDR-BRIOAGC</t>
  </si>
  <si>
    <t>Kak Irul</t>
  </si>
  <si>
    <t>+62 822-8881-1195</t>
  </si>
  <si>
    <t>F250039</t>
  </si>
  <si>
    <t>TRW-CITY08XYG</t>
  </si>
  <si>
    <t>+62 813-3078-6290</t>
  </si>
  <si>
    <t>S 1607 XB</t>
  </si>
  <si>
    <t>RIECHAM SABANA</t>
  </si>
  <si>
    <t>F250040</t>
  </si>
  <si>
    <t>P. Yudi</t>
  </si>
  <si>
    <t>+62 812-5234-7999</t>
  </si>
  <si>
    <t>L 1458 CAG</t>
  </si>
  <si>
    <t>YUDI HARTONO</t>
  </si>
  <si>
    <t>F250041</t>
  </si>
  <si>
    <t>P. A. Yani</t>
  </si>
  <si>
    <t>+62 813-3147-6125</t>
  </si>
  <si>
    <t>AHMAD YANI MOBILE BANK</t>
  </si>
  <si>
    <t>F250042</t>
  </si>
  <si>
    <t>P. Willy</t>
  </si>
  <si>
    <t>+62 819-3161-4720</t>
  </si>
  <si>
    <t>WILLY PANGESTU</t>
  </si>
  <si>
    <t xml:space="preserve">+62 819-3161-4720
</t>
  </si>
  <si>
    <t>F250043</t>
  </si>
  <si>
    <t>P. H. Supiansyah</t>
  </si>
  <si>
    <t>081216596099</t>
  </si>
  <si>
    <t>Kalimantan Selatan</t>
  </si>
  <si>
    <t>RUSNANI</t>
  </si>
  <si>
    <t>F250044</t>
  </si>
  <si>
    <t>+62 823-3686-0371</t>
  </si>
  <si>
    <t>DK 7394 AB</t>
  </si>
  <si>
    <t>ANTON LESTARI</t>
  </si>
  <si>
    <t>F250045</t>
  </si>
  <si>
    <t>Joyosemoyo Conmunity</t>
  </si>
  <si>
    <t>W 1797 RD</t>
  </si>
  <si>
    <t>DENY PRASETYA</t>
  </si>
  <si>
    <t>F250046</t>
  </si>
  <si>
    <t>081227572037</t>
  </si>
  <si>
    <t>HIFDHINA ALIFI</t>
  </si>
  <si>
    <t>F250047</t>
  </si>
  <si>
    <t>Albert Aldo K</t>
  </si>
  <si>
    <t>+62 813-3265-8799</t>
  </si>
  <si>
    <t>CHANDRA KURNIAWAN</t>
  </si>
  <si>
    <t>F250048</t>
  </si>
  <si>
    <t xml:space="preserve">P. Rahma
</t>
  </si>
  <si>
    <t>+62 819-3677-8844</t>
  </si>
  <si>
    <t>W 1637 NF</t>
  </si>
  <si>
    <t>NUR ROHMAN</t>
  </si>
  <si>
    <t>F250049</t>
  </si>
  <si>
    <t>Roki UP. CN TRIADI NABIRE</t>
  </si>
  <si>
    <t>‪+62 813-3125-8105‬</t>
  </si>
  <si>
    <t>Papua</t>
  </si>
  <si>
    <t>Admin bekasi</t>
  </si>
  <si>
    <t>CHANTIAGO NOBERT P</t>
  </si>
  <si>
    <t>F250050</t>
  </si>
  <si>
    <t>P. Ardani</t>
  </si>
  <si>
    <t>081334744357</t>
  </si>
  <si>
    <t>W 9454 XE</t>
  </si>
  <si>
    <t>F250051</t>
  </si>
  <si>
    <t>P. Feri</t>
  </si>
  <si>
    <t>+62 813-9829-6922</t>
  </si>
  <si>
    <t>AHMAD HASIM AS'ARI</t>
  </si>
  <si>
    <t>F250052</t>
  </si>
  <si>
    <t>P. Mustakim</t>
  </si>
  <si>
    <t>+62 821-4271-6115</t>
  </si>
  <si>
    <t>L 1520 CAJ</t>
  </si>
  <si>
    <t>CECILIA MICHELLE kurangi 250k lembur</t>
  </si>
  <si>
    <t>F250053</t>
  </si>
  <si>
    <t>Modico</t>
  </si>
  <si>
    <t>+62 813-3033-5341</t>
  </si>
  <si>
    <t>L 9767 NM</t>
  </si>
  <si>
    <t>BAHRUDIN</t>
  </si>
  <si>
    <t>F250054</t>
  </si>
  <si>
    <t>P. Triyono</t>
  </si>
  <si>
    <t>‪+62 822-4153-8505</t>
  </si>
  <si>
    <t>TRIYONO BUDI SANTO</t>
  </si>
  <si>
    <t>F250055</t>
  </si>
  <si>
    <t>P. Edho</t>
  </si>
  <si>
    <t>+62 812-3238-6400</t>
  </si>
  <si>
    <t>W 1433 CS</t>
  </si>
  <si>
    <t>MOHAMMAD FIRDAUS S</t>
  </si>
  <si>
    <t>F250056</t>
  </si>
  <si>
    <t>081330442757</t>
  </si>
  <si>
    <t>JOKO PURWANTO</t>
  </si>
  <si>
    <t>F250057</t>
  </si>
  <si>
    <t>LFW-ERTIGA18AGC</t>
  </si>
  <si>
    <t>+62 878-5151-0606</t>
  </si>
  <si>
    <t>L 1990 ABV</t>
  </si>
  <si>
    <t>F250058</t>
  </si>
  <si>
    <t>+62 812-3009-6469</t>
  </si>
  <si>
    <t>MULYAJI</t>
  </si>
  <si>
    <t>F250059</t>
  </si>
  <si>
    <t>Wisnu Tri D</t>
  </si>
  <si>
    <t>+62 813-2527-5016</t>
  </si>
  <si>
    <t>WISNU TRI DEWANTOR / ARIEF DWI SAPUTRA</t>
  </si>
  <si>
    <t>F250060</t>
  </si>
  <si>
    <t>AGUNG EKO PRAYITNO</t>
  </si>
  <si>
    <t>F250061</t>
  </si>
  <si>
    <t>Wawan Sugianto</t>
  </si>
  <si>
    <t>+62 813-3006-8860</t>
  </si>
  <si>
    <t>M 1245 AQ</t>
  </si>
  <si>
    <t>F250062</t>
  </si>
  <si>
    <t>P. Edy</t>
  </si>
  <si>
    <t>+62 812-5936-8938</t>
  </si>
  <si>
    <t>F250063</t>
  </si>
  <si>
    <t>P. Erik Rinanda</t>
  </si>
  <si>
    <t>+62 856-4879-9874</t>
  </si>
  <si>
    <t>S 1373 ZI</t>
  </si>
  <si>
    <t>RINANDA FAJAR</t>
  </si>
  <si>
    <t>F250064</t>
  </si>
  <si>
    <t>TRW-TRAJETXYG</t>
  </si>
  <si>
    <t>P. Yudho</t>
  </si>
  <si>
    <t>+62 822-1488-8860</t>
  </si>
  <si>
    <t>DEWI AMINAH</t>
  </si>
  <si>
    <t>F250065</t>
  </si>
  <si>
    <t>P. Ali Mansur</t>
  </si>
  <si>
    <t>+62 851-0144-8363</t>
  </si>
  <si>
    <t>ALI MANSUR SE</t>
  </si>
  <si>
    <t>F250066</t>
  </si>
  <si>
    <t>P. Arik</t>
  </si>
  <si>
    <t>+62 812-3208-6462</t>
  </si>
  <si>
    <t>F 1567 YO</t>
  </si>
  <si>
    <t>F250067</t>
  </si>
  <si>
    <t>P. M Hakim</t>
  </si>
  <si>
    <t>085314913399</t>
  </si>
  <si>
    <t>S 1401 LV</t>
  </si>
  <si>
    <t>F250068</t>
  </si>
  <si>
    <t>+62 896-7322-8809</t>
  </si>
  <si>
    <t>W 1073 OZ</t>
  </si>
  <si>
    <t>M TOMMY ARTHA</t>
  </si>
  <si>
    <t>F250069</t>
  </si>
  <si>
    <t>P. Shandy</t>
  </si>
  <si>
    <t>+62 821-4000-6474</t>
  </si>
  <si>
    <t>GITA SHANDY NUGRAH</t>
  </si>
  <si>
    <t>F250070</t>
  </si>
  <si>
    <t>B. Rena</t>
  </si>
  <si>
    <t>+62 811-3141-448</t>
  </si>
  <si>
    <t>F250071</t>
  </si>
  <si>
    <t>HERO MOTOR BAJAWA</t>
  </si>
  <si>
    <t>+62 813-3829-7344‬</t>
  </si>
  <si>
    <t>Flores, NTT</t>
  </si>
  <si>
    <t>MERKURIUS E P LIDO</t>
  </si>
  <si>
    <t>F250072</t>
  </si>
  <si>
    <t>Rada</t>
  </si>
  <si>
    <t>+62 813-3254-2390</t>
  </si>
  <si>
    <t>W 1895 CT</t>
  </si>
  <si>
    <t>F250073</t>
  </si>
  <si>
    <t>LFW-GETZXYG</t>
  </si>
  <si>
    <t>P. Adi Mulyo</t>
  </si>
  <si>
    <t>+62 838-3052-7978</t>
  </si>
  <si>
    <t>L 1793 WC</t>
  </si>
  <si>
    <t>ADI MULYO</t>
  </si>
  <si>
    <t>F250074</t>
  </si>
  <si>
    <t>TRW-VIOS07LIMOXYG</t>
  </si>
  <si>
    <t>P.  Edy Hamid </t>
  </si>
  <si>
    <t>+62 857-1465-7024</t>
  </si>
  <si>
    <t>AG 1724 MB</t>
  </si>
  <si>
    <t>EDY HAMID SAIFULLA</t>
  </si>
  <si>
    <t>F250075</t>
  </si>
  <si>
    <t>LFW-SIGRA16AGC</t>
  </si>
  <si>
    <t>P. Shibro Mulis</t>
  </si>
  <si>
    <t>+62 813-9566-0245</t>
  </si>
  <si>
    <t>L 1405 PI</t>
  </si>
  <si>
    <t>SHIBRO MULIS</t>
  </si>
  <si>
    <t>F250076</t>
  </si>
  <si>
    <t>Kak Miftah</t>
  </si>
  <si>
    <t>+62 857-9528-7573</t>
  </si>
  <si>
    <t>W 1226 BT</t>
  </si>
  <si>
    <t>F250077</t>
  </si>
  <si>
    <t>BADRUL HUDA ASHOFI</t>
  </si>
  <si>
    <t>G250001</t>
  </si>
  <si>
    <t>P. Fian</t>
  </si>
  <si>
    <t>+62 822-4243-6878</t>
  </si>
  <si>
    <t>30/06 OKTAVIANTO TARWIN</t>
  </si>
  <si>
    <t>01/07 OKTAVIANTO TARWIN</t>
  </si>
  <si>
    <t>G250002</t>
  </si>
  <si>
    <t>FDL-PAJERO16AGC</t>
  </si>
  <si>
    <t>Bu Rena</t>
  </si>
  <si>
    <t>+6281239000051</t>
  </si>
  <si>
    <t>DODIE RAKHMAD HIDA</t>
  </si>
  <si>
    <t>G250003</t>
  </si>
  <si>
    <t>Bu Anik Ruwaida</t>
  </si>
  <si>
    <t>+62 813-7222-6202</t>
  </si>
  <si>
    <t>AG 1898 GD</t>
  </si>
  <si>
    <t>ANIK RUWAIDAH</t>
  </si>
  <si>
    <t>G250004</t>
  </si>
  <si>
    <t>Andreanto Surya Putra</t>
  </si>
  <si>
    <t>+62 822-2000-7317</t>
  </si>
  <si>
    <t>L 1586 AAX</t>
  </si>
  <si>
    <t>ANDREANTO SURYA P</t>
  </si>
  <si>
    <t>G250005</t>
  </si>
  <si>
    <t>P. Reyhan</t>
  </si>
  <si>
    <t>AG 777 NA</t>
  </si>
  <si>
    <t>AGHA RIANSYAH PUTR</t>
  </si>
  <si>
    <t>G250006</t>
  </si>
  <si>
    <t xml:space="preserve">Auto77 </t>
  </si>
  <si>
    <t>+62 859-2500-8934</t>
  </si>
  <si>
    <t>G250007</t>
  </si>
  <si>
    <t xml:space="preserve">P. Edward
</t>
  </si>
  <si>
    <t>+62 812-1766-4825</t>
  </si>
  <si>
    <t>L 1545 AEA</t>
  </si>
  <si>
    <t>EDWARD WAHAB</t>
  </si>
  <si>
    <t>G250008</t>
  </si>
  <si>
    <t>Albert Nyoman</t>
  </si>
  <si>
    <t>081339611345</t>
  </si>
  <si>
    <t>G250009</t>
  </si>
  <si>
    <t>LFW-BRV16AGC</t>
  </si>
  <si>
    <t>P. Jimmy</t>
  </si>
  <si>
    <t>+62 811-3107-7773</t>
  </si>
  <si>
    <t>B 1265 NRP</t>
  </si>
  <si>
    <t>JIMMY CHIANDRA TAN</t>
  </si>
  <si>
    <t>G250010</t>
  </si>
  <si>
    <t>Wandoro Prawanto</t>
  </si>
  <si>
    <t>+62 852-3568-1024</t>
  </si>
  <si>
    <t>G250011</t>
  </si>
  <si>
    <t>G250012</t>
  </si>
  <si>
    <t xml:space="preserve">P. Iwan
</t>
  </si>
  <si>
    <t>+62 813-2200-1732</t>
  </si>
  <si>
    <t xml:space="preserve">YANUAR PRIBADI </t>
  </si>
  <si>
    <t>P. Iwan</t>
  </si>
  <si>
    <t>G250013</t>
  </si>
  <si>
    <t>Widya / Toko Daventa</t>
  </si>
  <si>
    <t>081254911817</t>
  </si>
  <si>
    <t>SUYAMTO TARDJIJO</t>
  </si>
  <si>
    <t>G250014</t>
  </si>
  <si>
    <t>+62 812-3577-7762</t>
  </si>
  <si>
    <t>ABDUL ROCHIM</t>
  </si>
  <si>
    <t>G250015</t>
  </si>
  <si>
    <t>PMJ Berau / Bpk. Suryadi</t>
  </si>
  <si>
    <t>+62 815-4894-8888</t>
  </si>
  <si>
    <t>SURYADI</t>
  </si>
  <si>
    <t>G250016</t>
  </si>
  <si>
    <t xml:space="preserve">kak Taufiq/RS Hasyim Asyari
</t>
  </si>
  <si>
    <t xml:space="preserve"> ‪+62 857-0764-0473‬</t>
  </si>
  <si>
    <t>G250017</t>
  </si>
  <si>
    <t>Kak Izzath Adis G.</t>
  </si>
  <si>
    <t>082142028077</t>
  </si>
  <si>
    <t>W 1464 IX</t>
  </si>
  <si>
    <t>IZZATH ADIS SHAUGI</t>
  </si>
  <si>
    <t>G250018</t>
  </si>
  <si>
    <t>+62 857-3220-7999</t>
  </si>
  <si>
    <t>L 1193 AAX</t>
  </si>
  <si>
    <t>EKO DANI SETIYAWAN</t>
  </si>
  <si>
    <t>G250019</t>
  </si>
  <si>
    <t>P. Muklis</t>
  </si>
  <si>
    <t>+62 857-3008-9333</t>
  </si>
  <si>
    <t>S 1031 WY</t>
  </si>
  <si>
    <t>IBTISAMWALIDATULMU</t>
  </si>
  <si>
    <t>G250020</t>
  </si>
  <si>
    <t>G250021</t>
  </si>
  <si>
    <t>Kak Fikri</t>
  </si>
  <si>
    <t xml:space="preserve">+62 815-2953-432
</t>
  </si>
  <si>
    <t>G250022</t>
  </si>
  <si>
    <t>P. Sinatra</t>
  </si>
  <si>
    <t>+62 811-315-516</t>
  </si>
  <si>
    <t>L 8184 FK</t>
  </si>
  <si>
    <t>788 RINA SHINTAWATY LI / CASH CECILIA MICHELLE</t>
  </si>
  <si>
    <t>G250023</t>
  </si>
  <si>
    <t>TRW-CRV02XYG</t>
  </si>
  <si>
    <t>Bu Sulis/Bu Baria</t>
  </si>
  <si>
    <t>081252324070</t>
  </si>
  <si>
    <t>1985 SULIS SETYOWATI / CASH CECILIA MICHELLE</t>
  </si>
  <si>
    <t>G250024</t>
  </si>
  <si>
    <t>Wahyu Arifin</t>
  </si>
  <si>
    <t>+62 813-3337-0038</t>
  </si>
  <si>
    <t>B 1448 DFW</t>
  </si>
  <si>
    <t>WAHYU ARIFIN</t>
  </si>
  <si>
    <t>G250025</t>
  </si>
  <si>
    <t>YUDHA DHAMAS PRADA</t>
  </si>
  <si>
    <t>G250026</t>
  </si>
  <si>
    <t>Shiddiq</t>
  </si>
  <si>
    <t>+62 822-2937-5868</t>
  </si>
  <si>
    <t>L 1784 TN</t>
  </si>
  <si>
    <t>G250027</t>
  </si>
  <si>
    <t>Bpk. Suherianto</t>
  </si>
  <si>
    <t xml:space="preserve"> +62 813-5749-5222</t>
  </si>
  <si>
    <t>S 1664 XI</t>
  </si>
  <si>
    <t>SUHERIANTO</t>
  </si>
  <si>
    <t>G250028</t>
  </si>
  <si>
    <t xml:space="preserve">Yudio </t>
  </si>
  <si>
    <t>+62 819-2925-0999</t>
  </si>
  <si>
    <t>M 1787 T</t>
  </si>
  <si>
    <t>YUDI HARIYONO</t>
  </si>
  <si>
    <t>G250029</t>
  </si>
  <si>
    <t>085179622590</t>
  </si>
  <si>
    <t>W 1695 CU</t>
  </si>
  <si>
    <t>YULIYA</t>
  </si>
  <si>
    <t>G250030</t>
  </si>
  <si>
    <t>Bu Cindy</t>
  </si>
  <si>
    <t>+62 813-3324-4707</t>
  </si>
  <si>
    <t>CINDY SURYANI WIJA</t>
  </si>
  <si>
    <t>G250031</t>
  </si>
  <si>
    <t>Dimas , Flea</t>
  </si>
  <si>
    <t xml:space="preserve">GANTI PECAH </t>
  </si>
  <si>
    <t>G250032</t>
  </si>
  <si>
    <t>Dimas , Flea, Ade , Adin</t>
  </si>
  <si>
    <t>G250033</t>
  </si>
  <si>
    <t>M. Sahrul Mizam</t>
  </si>
  <si>
    <t>+62 822-2890-0248</t>
  </si>
  <si>
    <t>G250034</t>
  </si>
  <si>
    <t>+62 813-8678-8195</t>
  </si>
  <si>
    <t>G250035</t>
  </si>
  <si>
    <t>Bpk Kuntjoro</t>
  </si>
  <si>
    <t>+62 853-3559-9392</t>
  </si>
  <si>
    <t>100 ULIANI SANTOSO / 1600 KUNTJORO HERMAWAN</t>
  </si>
  <si>
    <t>G250036</t>
  </si>
  <si>
    <t>P. Lukman</t>
  </si>
  <si>
    <t>+62 852-1115-3881</t>
  </si>
  <si>
    <t>LUKMAN HAKIM</t>
  </si>
  <si>
    <t>G250037</t>
  </si>
  <si>
    <t>Bpk Toat</t>
  </si>
  <si>
    <t>+62 813-3134-4958</t>
  </si>
  <si>
    <t>HMAGRO COMMODITIES</t>
  </si>
  <si>
    <t>G250038</t>
  </si>
  <si>
    <t>PT Enseval Putera Megatrading</t>
  </si>
  <si>
    <t>+62 821-3133-7316</t>
  </si>
  <si>
    <t>G250039</t>
  </si>
  <si>
    <t>G250040</t>
  </si>
  <si>
    <t>P. Hiban</t>
  </si>
  <si>
    <t>081222222262</t>
  </si>
  <si>
    <t>P 1767 EG</t>
  </si>
  <si>
    <t>G250041</t>
  </si>
  <si>
    <t>P. Jona</t>
  </si>
  <si>
    <t>+62 813-3157-7586</t>
  </si>
  <si>
    <t>S 1146 FB</t>
  </si>
  <si>
    <t>JONNATHAN WIDAYAT</t>
  </si>
  <si>
    <t>G250042</t>
  </si>
  <si>
    <t>+62 822-5783-3537</t>
  </si>
  <si>
    <t>L 1299 JO</t>
  </si>
  <si>
    <t>G250043</t>
  </si>
  <si>
    <t>TRW-SPINXYG</t>
  </si>
  <si>
    <t>081215879557</t>
  </si>
  <si>
    <t>NYADIRIYANTO</t>
  </si>
  <si>
    <t>G250044</t>
  </si>
  <si>
    <t>MUHAMAD ROMLI</t>
  </si>
  <si>
    <t>G250045</t>
  </si>
  <si>
    <t>P. Dwi Santoso</t>
  </si>
  <si>
    <t>081359599241</t>
  </si>
  <si>
    <t>G250046</t>
  </si>
  <si>
    <t>P. Choirul Anwar</t>
  </si>
  <si>
    <t>+62 821-3631-5005</t>
  </si>
  <si>
    <t>Jateng</t>
  </si>
  <si>
    <t>G250047</t>
  </si>
  <si>
    <t>P. Doni P.</t>
  </si>
  <si>
    <t>+62 858-8585-1500</t>
  </si>
  <si>
    <t>300 DODI PRAMONO / 1100 CECILIA MICHELLE</t>
  </si>
  <si>
    <t>G250048</t>
  </si>
  <si>
    <t>082245924345</t>
  </si>
  <si>
    <t>G250049</t>
  </si>
  <si>
    <t>P. Candra</t>
  </si>
  <si>
    <t>+62 812-3085-6788</t>
  </si>
  <si>
    <t>L 1676 BW</t>
  </si>
  <si>
    <t>CHANDRA RIZAL GUNA</t>
  </si>
  <si>
    <t>G250050</t>
  </si>
  <si>
    <t>Susilawati/Apollo Ande</t>
  </si>
  <si>
    <t>G250051</t>
  </si>
  <si>
    <t>P. Andrianto</t>
  </si>
  <si>
    <t>+62 822-1066-6671</t>
  </si>
  <si>
    <t>ANDRIANTO</t>
  </si>
  <si>
    <t>G250052</t>
  </si>
  <si>
    <t>B. Ulfa</t>
  </si>
  <si>
    <t>‪+62 821‑1345‑6390‬</t>
  </si>
  <si>
    <t>DK 1373 EJ</t>
  </si>
  <si>
    <t>G250053</t>
  </si>
  <si>
    <t>Ka Magda</t>
  </si>
  <si>
    <t>+62 896-6719-3864</t>
  </si>
  <si>
    <t>MARIA MAGDALENA JE</t>
  </si>
  <si>
    <t>G250054</t>
  </si>
  <si>
    <t>P. Syaiful</t>
  </si>
  <si>
    <t>+62 812-4366-0578</t>
  </si>
  <si>
    <t>SYAIFUL HAQ BADERU</t>
  </si>
  <si>
    <t>G250055</t>
  </si>
  <si>
    <t>085848789672</t>
  </si>
  <si>
    <t>L 8058 DAB</t>
  </si>
  <si>
    <t>G250056</t>
  </si>
  <si>
    <t>LFW-CX5GEN2RS1NSG</t>
  </si>
  <si>
    <t>P.  Angdy</t>
  </si>
  <si>
    <t>+62 821-6188-3535</t>
  </si>
  <si>
    <t>L 1672 ACL</t>
  </si>
  <si>
    <t>ANGDY HARTAWAN</t>
  </si>
  <si>
    <t>G250057</t>
  </si>
  <si>
    <t>P. Alfan / B. Eva</t>
  </si>
  <si>
    <t>+62 813-3244-9706</t>
  </si>
  <si>
    <t>W 1370 WC</t>
  </si>
  <si>
    <t>KASBON</t>
  </si>
  <si>
    <t>G250058</t>
  </si>
  <si>
    <t>P. Yusril</t>
  </si>
  <si>
    <t>+62 852-9836-7107</t>
  </si>
  <si>
    <t>N 1836 TV</t>
  </si>
  <si>
    <t>YUSRIL</t>
  </si>
  <si>
    <t>G250059</t>
  </si>
  <si>
    <t>B. Sulis</t>
  </si>
  <si>
    <t>‪+62 812‑3299‑4788‬</t>
  </si>
  <si>
    <t>L 1803 RF</t>
  </si>
  <si>
    <t>SULIS SETIYOWATI S</t>
  </si>
  <si>
    <t>TRW-AVANZA11ASH</t>
  </si>
  <si>
    <t>G250060</t>
  </si>
  <si>
    <t>Pak Isnu</t>
  </si>
  <si>
    <t>+62 813-3610-9023</t>
  </si>
  <si>
    <t>FERDINAN AMRICO</t>
  </si>
  <si>
    <t>G250061</t>
  </si>
  <si>
    <t>P. Ach Rofiqi</t>
  </si>
  <si>
    <t>‪+62 877‑0100‑7408‬</t>
  </si>
  <si>
    <t>ACH ROFIQI</t>
  </si>
  <si>
    <t>G250062</t>
  </si>
  <si>
    <t>P. Made Artana</t>
  </si>
  <si>
    <t>+62 818-0558-0462</t>
  </si>
  <si>
    <t>MADE ARTANA</t>
  </si>
  <si>
    <t>G250063</t>
  </si>
  <si>
    <t>Imam Hidayat/Aditya</t>
  </si>
  <si>
    <t>+62 857-3210-9996</t>
  </si>
  <si>
    <t>G250064</t>
  </si>
  <si>
    <t>Octa</t>
  </si>
  <si>
    <t>(+62)82141334633</t>
  </si>
  <si>
    <t>OCTAVIANUS HERMAWA</t>
  </si>
  <si>
    <t>G250065</t>
  </si>
  <si>
    <t>H Ach Aminin</t>
  </si>
  <si>
    <t>G 1021 EJ</t>
  </si>
  <si>
    <t>ALVIN WIJAYA</t>
  </si>
  <si>
    <t>G250066</t>
  </si>
  <si>
    <t>P. Ongky P.</t>
  </si>
  <si>
    <t>+62 831-3814-5463</t>
  </si>
  <si>
    <t>K 1321 VE</t>
  </si>
  <si>
    <t>YUDIT KURNIAWATI / ALVIN WIJAYA</t>
  </si>
  <si>
    <t>G250067</t>
  </si>
  <si>
    <t>LFW-CITY14XYG</t>
  </si>
  <si>
    <t>G250068</t>
  </si>
  <si>
    <t>+62 822-3167-6381</t>
  </si>
  <si>
    <t>L 1479 LA</t>
  </si>
  <si>
    <t>G250069</t>
  </si>
  <si>
    <t>Kak Kevin</t>
  </si>
  <si>
    <t>+62 812-3188-2436</t>
  </si>
  <si>
    <t>L 1656 BY</t>
  </si>
  <si>
    <t>KEVIN YUWONO</t>
  </si>
  <si>
    <t>G250070</t>
  </si>
  <si>
    <t>Zainul Hannan</t>
  </si>
  <si>
    <t>+62 851-8338-9624</t>
  </si>
  <si>
    <t>L 1065 PN</t>
  </si>
  <si>
    <t>G250071</t>
  </si>
  <si>
    <t>Christopher Garry</t>
  </si>
  <si>
    <t>+62 812-1280-8055</t>
  </si>
  <si>
    <t>L 1381 IE</t>
  </si>
  <si>
    <t>CHRISTOPHER GARRY</t>
  </si>
  <si>
    <t>G250072</t>
  </si>
  <si>
    <t xml:space="preserve">P. Akbar </t>
  </si>
  <si>
    <t>G250073</t>
  </si>
  <si>
    <t>DIDIK PRABOWO</t>
  </si>
  <si>
    <t>G250074</t>
  </si>
  <si>
    <t>Moh Ikang Fauzi/Deny</t>
  </si>
  <si>
    <t>(+62)81232958903</t>
  </si>
  <si>
    <t>G250075</t>
  </si>
  <si>
    <t>Ahmad Fanani</t>
  </si>
  <si>
    <t>(+62)81334656999</t>
  </si>
  <si>
    <t>G250076</t>
  </si>
  <si>
    <t>P. Yusni F.</t>
  </si>
  <si>
    <t>L 1739 ET</t>
  </si>
  <si>
    <t>YUSNI FEBRIYANTO</t>
  </si>
  <si>
    <t>G250077</t>
  </si>
  <si>
    <t>TRW-WAGONRAGC</t>
  </si>
  <si>
    <t>P. Supriyono</t>
  </si>
  <si>
    <t>+62 813-3023-2874</t>
  </si>
  <si>
    <t>SUPRIYONO</t>
  </si>
  <si>
    <t>G250078</t>
  </si>
  <si>
    <t>B. Rita</t>
  </si>
  <si>
    <t>+62 821-4008-6981</t>
  </si>
  <si>
    <t>L 1897 LN</t>
  </si>
  <si>
    <t>NOVRITA ADE PUTRI</t>
  </si>
  <si>
    <t>SWL-FORTUNER05BLACKXYG</t>
  </si>
  <si>
    <t>G250079</t>
  </si>
  <si>
    <t>P. Sendat</t>
  </si>
  <si>
    <t>+6282236939979</t>
  </si>
  <si>
    <t>G250080</t>
  </si>
  <si>
    <t>+62 812-3028-1991</t>
  </si>
  <si>
    <t>L 8439 GB</t>
  </si>
  <si>
    <t>YOYOK SUHARTO</t>
  </si>
  <si>
    <t>G250081</t>
  </si>
  <si>
    <t>Kak Billy</t>
  </si>
  <si>
    <t>+62 823-4107-6672</t>
  </si>
  <si>
    <t>L 1633 QB</t>
  </si>
  <si>
    <t>ANTONIUS BILLY CAN</t>
  </si>
  <si>
    <t>G250082</t>
  </si>
  <si>
    <t>Kak Dimas</t>
  </si>
  <si>
    <t>+62 823-3872-0580</t>
  </si>
  <si>
    <t>W 1668 SR</t>
  </si>
  <si>
    <t>G250083</t>
  </si>
  <si>
    <t>B. Riani</t>
  </si>
  <si>
    <t>+62 878-7284-3432</t>
  </si>
  <si>
    <t>W 1809 XT</t>
  </si>
  <si>
    <t>G250084</t>
  </si>
  <si>
    <t>Tedi Rachmanto</t>
  </si>
  <si>
    <t>+62 877-1784-4496</t>
  </si>
  <si>
    <t>30 TEDI RACHMANTO / 670 CECILIA MICHELLE</t>
  </si>
  <si>
    <t>G250085</t>
  </si>
  <si>
    <t>Widya Irawan</t>
  </si>
  <si>
    <t>+62 856-3653-668</t>
  </si>
  <si>
    <t>B 1959 UKD</t>
  </si>
  <si>
    <t>G250086</t>
  </si>
  <si>
    <t>P. Bambang</t>
  </si>
  <si>
    <t>+62 838-6360-8000</t>
  </si>
  <si>
    <t>BAMBANG SUBIANTO</t>
  </si>
  <si>
    <t>G250087</t>
  </si>
  <si>
    <t>L 1941 HR</t>
  </si>
  <si>
    <t>G250088</t>
  </si>
  <si>
    <t>Andre Body Repair</t>
  </si>
  <si>
    <t>(+62)82244466999</t>
  </si>
  <si>
    <t>G250089</t>
  </si>
  <si>
    <t>P. Harly</t>
  </si>
  <si>
    <t>AUREL MANUELA WIJA</t>
  </si>
  <si>
    <t>G250090</t>
  </si>
  <si>
    <t>HUDA ASHOFI</t>
  </si>
  <si>
    <t>G250091</t>
  </si>
  <si>
    <t>Alimuddin</t>
  </si>
  <si>
    <t>(+62)82340840609</t>
  </si>
  <si>
    <t>G250092</t>
  </si>
  <si>
    <t>G250093</t>
  </si>
  <si>
    <t>G250094</t>
  </si>
  <si>
    <t>LFW-CITY19AGC</t>
  </si>
  <si>
    <t>Bp.Deny Widiantoro</t>
  </si>
  <si>
    <t>+62 823-3194-8971</t>
  </si>
  <si>
    <t>1273600 DP  DENY WIDIANTORO</t>
  </si>
  <si>
    <t>TRW-CITY19AGC</t>
  </si>
  <si>
    <t>G250095</t>
  </si>
  <si>
    <t>Bpk. Silvanus Pri H./Kindi</t>
  </si>
  <si>
    <t>‪+62 812‑3470‑4817‬</t>
  </si>
  <si>
    <t>SYAFRIANTO KINDI J</t>
  </si>
  <si>
    <t>G250096</t>
  </si>
  <si>
    <t>LFW-MINIF55RS1XYG</t>
  </si>
  <si>
    <t>Yoga Hartono</t>
  </si>
  <si>
    <t>+62 819-0354-3549</t>
  </si>
  <si>
    <t>DP 1,964,700 YOGA HARTONO // 4,584,000 YOGA HARTONO</t>
  </si>
  <si>
    <t>G250097</t>
  </si>
  <si>
    <t>081358573626/ +62 812-3540-3737</t>
  </si>
  <si>
    <t>G250098</t>
  </si>
  <si>
    <t>Ahmad FananI</t>
  </si>
  <si>
    <t>AHMAD FANANI AUNUR</t>
  </si>
  <si>
    <t>G250099</t>
  </si>
  <si>
    <t>Khorim</t>
  </si>
  <si>
    <t>+62 822-3447-7844</t>
  </si>
  <si>
    <t>G250100</t>
  </si>
  <si>
    <t xml:space="preserve">Teguh Saputra </t>
  </si>
  <si>
    <t>+62 813-3132-2592</t>
  </si>
  <si>
    <t>P 1445 YK</t>
  </si>
  <si>
    <t>DP 1,000,000 Teguh Saputra</t>
  </si>
  <si>
    <t>G250101</t>
  </si>
  <si>
    <t>P. Yungo</t>
  </si>
  <si>
    <t>+62 812-3797-0602</t>
  </si>
  <si>
    <t>DH 1284 HW</t>
  </si>
  <si>
    <t>G250102</t>
  </si>
  <si>
    <t>B. Risma</t>
  </si>
  <si>
    <t>+62 858-5253-2464</t>
  </si>
  <si>
    <t>L 1437 FX</t>
  </si>
  <si>
    <t>RISMAWATI</t>
  </si>
  <si>
    <t>G250103</t>
  </si>
  <si>
    <t>P. Ferry</t>
  </si>
  <si>
    <t>+62 821-1807-8365</t>
  </si>
  <si>
    <t>FERRY CHOIRU FACHR</t>
  </si>
  <si>
    <t>SUPRIATNA</t>
  </si>
  <si>
    <t>G250104</t>
  </si>
  <si>
    <t>LFW-GRANMAXXYG</t>
  </si>
  <si>
    <t>P. Kardi</t>
  </si>
  <si>
    <t>+62 813-3010-5575</t>
  </si>
  <si>
    <t>B 1324 NMP</t>
  </si>
  <si>
    <t>G250105</t>
  </si>
  <si>
    <t>P. Nico</t>
  </si>
  <si>
    <t>082257626506</t>
  </si>
  <si>
    <t>L 1246 S</t>
  </si>
  <si>
    <t>LAURENTIUS NICO WA</t>
  </si>
  <si>
    <t>G250106</t>
  </si>
  <si>
    <t>LFW-CITY08XYG</t>
  </si>
  <si>
    <t>P. Djamil</t>
  </si>
  <si>
    <t>+62 812-3075-380</t>
  </si>
  <si>
    <t>L 1657 XS</t>
  </si>
  <si>
    <t>G250107</t>
  </si>
  <si>
    <t>Trio Febrianto</t>
  </si>
  <si>
    <t>+62 812-4355-7663</t>
  </si>
  <si>
    <t>W 1540 XO</t>
  </si>
  <si>
    <t>DP 204,300 ALEXIUS  // CECILIA MICHELLE</t>
  </si>
  <si>
    <t>OTH-LISTGE8HON</t>
  </si>
  <si>
    <t>G250108</t>
  </si>
  <si>
    <t>P. Zainul Arifin</t>
  </si>
  <si>
    <t>08125966593</t>
  </si>
  <si>
    <t>S 1216 BC</t>
  </si>
  <si>
    <t>ZAINUL ARIFIN SSI</t>
  </si>
  <si>
    <t>G250109</t>
  </si>
  <si>
    <t>P. Ryan Yonanta</t>
  </si>
  <si>
    <t>+62 811-3839-370</t>
  </si>
  <si>
    <t>W 1038 SH</t>
  </si>
  <si>
    <t>RYAN YONANTA</t>
  </si>
  <si>
    <t>G250110</t>
  </si>
  <si>
    <t>+62 816-529-248</t>
  </si>
  <si>
    <t>AG 1655 XM</t>
  </si>
  <si>
    <t>G250111</t>
  </si>
  <si>
    <t>M. Bagus Kurniawan</t>
  </si>
  <si>
    <t>+6282330666767</t>
  </si>
  <si>
    <t xml:space="preserve">ALEXIUS </t>
  </si>
  <si>
    <t>G250112</t>
  </si>
  <si>
    <t>Kak Chelvin</t>
  </si>
  <si>
    <t>+62 822-5819-5899</t>
  </si>
  <si>
    <t>L 1709 DAQ</t>
  </si>
  <si>
    <t>G250113</t>
  </si>
  <si>
    <t>Zacky Zakariya Zalid</t>
  </si>
  <si>
    <t>+62 812-1620-2526</t>
  </si>
  <si>
    <t>S 1090 HJ</t>
  </si>
  <si>
    <t>ZAKKI ZAKARIYA ZAL</t>
  </si>
  <si>
    <t>G250114</t>
  </si>
  <si>
    <t>LFW-SPLASHAIS</t>
  </si>
  <si>
    <t>Adam Putra D</t>
  </si>
  <si>
    <t>+62 857-4916-3531</t>
  </si>
  <si>
    <t>SITI NUR AZIZAH</t>
  </si>
  <si>
    <t>G250115</t>
  </si>
  <si>
    <t>(+62)85608379150</t>
  </si>
  <si>
    <t>G250116</t>
  </si>
  <si>
    <t>P. Dadang Yudianto</t>
  </si>
  <si>
    <t>+62 812-6971-3903</t>
  </si>
  <si>
    <t>S 1558 MC</t>
  </si>
  <si>
    <t>G250117</t>
  </si>
  <si>
    <t>+62 812-3114-413</t>
  </si>
  <si>
    <t>S 7786 W</t>
  </si>
  <si>
    <t>ANDY SETIAWAN</t>
  </si>
  <si>
    <t>G250118</t>
  </si>
  <si>
    <t>Ka Nia</t>
  </si>
  <si>
    <t>+62 812-3872-5402</t>
  </si>
  <si>
    <t>FATIMATUZ ZAHBANIY</t>
  </si>
  <si>
    <t>G250119</t>
  </si>
  <si>
    <t>08123039831/085156949031</t>
  </si>
  <si>
    <t>G250120</t>
  </si>
  <si>
    <t>P. Endo</t>
  </si>
  <si>
    <t>+62 813-5812-0081</t>
  </si>
  <si>
    <t>N 1833 DL</t>
  </si>
  <si>
    <t>TENDO WIBOWO GUTER</t>
  </si>
  <si>
    <t>G250121</t>
  </si>
  <si>
    <t>P. Ahmad Habbie</t>
  </si>
  <si>
    <t>+62 811-8125-8582</t>
  </si>
  <si>
    <t>AHMADHABBIETHIAS</t>
  </si>
  <si>
    <t>G250122</t>
  </si>
  <si>
    <t>P. Mada</t>
  </si>
  <si>
    <t>+62 896-6666-0618</t>
  </si>
  <si>
    <t>AHMADA FURQON</t>
  </si>
  <si>
    <t>G250123</t>
  </si>
  <si>
    <t>+62 819-9990-0882</t>
  </si>
  <si>
    <t>M 48 OK</t>
  </si>
  <si>
    <t>SUSILOWATI HANDAYA</t>
  </si>
  <si>
    <t>H250001</t>
  </si>
  <si>
    <t>FDR-CIVIC05SG</t>
  </si>
  <si>
    <t>P. Amrul</t>
  </si>
  <si>
    <t>+62 821-3113-1987</t>
  </si>
  <si>
    <t>H250002</t>
  </si>
  <si>
    <t>+62 812-1621-7665</t>
  </si>
  <si>
    <t>D 1487 AAJ</t>
  </si>
  <si>
    <t>H250003</t>
  </si>
  <si>
    <t>P. Sriyatno</t>
  </si>
  <si>
    <t>+62 813-3908-7410</t>
  </si>
  <si>
    <t>H250004</t>
  </si>
  <si>
    <t>P. Basir</t>
  </si>
  <si>
    <t>‪'+62 822‑4787‑2287‬</t>
  </si>
  <si>
    <t>H250005</t>
  </si>
  <si>
    <t>P. Nandito</t>
  </si>
  <si>
    <t>+62 813-3318-0002</t>
  </si>
  <si>
    <t>H250006</t>
  </si>
  <si>
    <t>Pak Bahrudin</t>
  </si>
  <si>
    <t>+62 812-1240-4496</t>
  </si>
  <si>
    <t>H250007</t>
  </si>
  <si>
    <t>+62 823-3391-6534</t>
  </si>
  <si>
    <t>H250008</t>
  </si>
  <si>
    <t>B. Lidya/Eddy</t>
  </si>
  <si>
    <t>L 1631 CAY</t>
  </si>
  <si>
    <t>H250009</t>
  </si>
  <si>
    <t>P. Denny/Cipta Pesona</t>
  </si>
  <si>
    <t>H250010</t>
  </si>
  <si>
    <t xml:space="preserve">P. Dhika </t>
  </si>
  <si>
    <t>+62 877-6777-8899</t>
  </si>
  <si>
    <t>L 1231 VV</t>
  </si>
  <si>
    <t>H250011</t>
  </si>
  <si>
    <t>TRW-MOBILIOAGC</t>
  </si>
  <si>
    <t>+62 822-7373-7357</t>
  </si>
  <si>
    <t>H250012</t>
  </si>
  <si>
    <t>P.  Didik Suwito</t>
  </si>
  <si>
    <t>+62 857-1643-9818</t>
  </si>
  <si>
    <t>H250013</t>
  </si>
  <si>
    <t>Ka Dikza</t>
  </si>
  <si>
    <t>‪+62 822‑4542‑8883‬</t>
  </si>
  <si>
    <t>H250014</t>
  </si>
  <si>
    <t>Pak Antok/SKM</t>
  </si>
  <si>
    <t>L 1359 ADF</t>
  </si>
  <si>
    <t>SJH250001</t>
  </si>
  <si>
    <t>Sentra AutoGlass Tangerang</t>
  </si>
  <si>
    <t>+62 812-8116-1200</t>
  </si>
  <si>
    <t>TANGERANG</t>
  </si>
  <si>
    <t>CB TANGERANG</t>
  </si>
  <si>
    <t>H250015</t>
  </si>
  <si>
    <t>H250016</t>
  </si>
  <si>
    <t>P. Hari Subagyo</t>
  </si>
  <si>
    <t>+62 852-3000-0862</t>
  </si>
  <si>
    <t>N 1228 BS</t>
  </si>
  <si>
    <t>H250017</t>
  </si>
  <si>
    <t>+62 819-5974-0865</t>
  </si>
  <si>
    <t>B 1508 ZS</t>
  </si>
  <si>
    <t>H250018</t>
  </si>
  <si>
    <t>LFW-CIVIC96ASH</t>
  </si>
  <si>
    <t>Kak Jamal Billah</t>
  </si>
  <si>
    <t>+62 812-1664-1046</t>
  </si>
  <si>
    <t>P 1796 HL</t>
  </si>
  <si>
    <t>H250019</t>
  </si>
  <si>
    <t>TRW-TRITON14HXYG</t>
  </si>
  <si>
    <t>Kak Rafli Arlian</t>
  </si>
  <si>
    <t>+62 822-2766-6680</t>
  </si>
  <si>
    <t>Tokopedia bekasi</t>
  </si>
  <si>
    <t>H250020</t>
  </si>
  <si>
    <t>LIA,ADIN,ADE,DIMAS,FLEA @116,800</t>
  </si>
  <si>
    <t>H250021</t>
  </si>
  <si>
    <t>+62 812-5234-0689</t>
  </si>
  <si>
    <t>H250022</t>
  </si>
  <si>
    <t>Kak Abigail</t>
  </si>
  <si>
    <t>081334931180</t>
  </si>
  <si>
    <t>H250023</t>
  </si>
  <si>
    <t>LFW-PAJEROV70XYG</t>
  </si>
  <si>
    <t>+62 813-3613-8289</t>
  </si>
  <si>
    <t>H250024</t>
  </si>
  <si>
    <t>H250025</t>
  </si>
  <si>
    <t>LFW-HILUX05MU</t>
  </si>
  <si>
    <t>P. Victory Ruteng</t>
  </si>
  <si>
    <t>+62 813-3701-9999</t>
  </si>
  <si>
    <t>FDR-FORTUNER05AGC</t>
  </si>
  <si>
    <t>FDR-HILUX05SCSG</t>
  </si>
  <si>
    <t>H250026</t>
  </si>
  <si>
    <t xml:space="preserve">Cipta Persona / P. Deny </t>
  </si>
  <si>
    <t>081282000452</t>
  </si>
  <si>
    <t>L 1439 DAJ</t>
  </si>
  <si>
    <t>H250027</t>
  </si>
  <si>
    <t>P. Nursamsi</t>
  </si>
  <si>
    <t>085851974415</t>
  </si>
  <si>
    <t>W 1630 CN</t>
  </si>
  <si>
    <t>H250028</t>
  </si>
  <si>
    <t>+62 812-1930-6070</t>
  </si>
  <si>
    <t>H250029</t>
  </si>
  <si>
    <t>Mitra Variasi Surabaya</t>
  </si>
  <si>
    <t>+62 856-3077-670</t>
  </si>
  <si>
    <t>H250030</t>
  </si>
  <si>
    <t>081235060480</t>
  </si>
  <si>
    <t>H250031</t>
  </si>
  <si>
    <t>LFW-RANGER11XYG</t>
  </si>
  <si>
    <t>P. Ardy</t>
  </si>
  <si>
    <t>+62 896-1777-0262</t>
  </si>
  <si>
    <t>B 9132 WBA</t>
  </si>
  <si>
    <t>H250032</t>
  </si>
  <si>
    <t>H250033</t>
  </si>
  <si>
    <t>Tjahyo Kartiko Kristiono</t>
  </si>
  <si>
    <t>+62 822-3225-5777</t>
  </si>
  <si>
    <t>H250034</t>
  </si>
  <si>
    <t>P. Eric</t>
  </si>
  <si>
    <t>+62 822-3182-8052</t>
  </si>
  <si>
    <t>L 1254 ABJ</t>
  </si>
  <si>
    <t>H250035</t>
  </si>
  <si>
    <t>P. Harianto</t>
  </si>
  <si>
    <t>+62 813-3283-8022</t>
  </si>
  <si>
    <t>W 1275 PL</t>
  </si>
  <si>
    <t>H250036</t>
  </si>
  <si>
    <t>Bengkel GAT</t>
  </si>
  <si>
    <t>+62 822-5743-0049</t>
  </si>
  <si>
    <t>S 1760 ZR</t>
  </si>
  <si>
    <t>H250037</t>
  </si>
  <si>
    <t>+62 821-4621-6699</t>
  </si>
  <si>
    <t>H250038</t>
  </si>
  <si>
    <t>P. Moh. Sholikin</t>
  </si>
  <si>
    <t>+62 852-5977-6518</t>
  </si>
  <si>
    <t>H250039</t>
  </si>
  <si>
    <t>Kak Tata</t>
  </si>
  <si>
    <t>+62 813-3579-8705</t>
  </si>
  <si>
    <t>H250040</t>
  </si>
  <si>
    <t>TRW-ELGRAND02XYG</t>
  </si>
  <si>
    <t>Bu Dewi</t>
  </si>
  <si>
    <t>+62 812-4175-6060</t>
  </si>
  <si>
    <t>H250041</t>
  </si>
  <si>
    <t>P. Mamat</t>
  </si>
  <si>
    <t>+62 823-3414-1918</t>
  </si>
  <si>
    <t>H250042</t>
  </si>
  <si>
    <t>M. Arief Kurniawan</t>
  </si>
  <si>
    <t>+62 822-1321-0587</t>
  </si>
  <si>
    <t>H250043</t>
  </si>
  <si>
    <t xml:space="preserve">P. Rifky </t>
  </si>
  <si>
    <t>H250044</t>
  </si>
  <si>
    <t>P. Heriyanto</t>
  </si>
  <si>
    <t>+62 877-1292-3438</t>
  </si>
  <si>
    <t>N 1874 XI</t>
  </si>
  <si>
    <t>H250045</t>
  </si>
  <si>
    <t>P. Khizam</t>
  </si>
  <si>
    <t>H250046</t>
  </si>
  <si>
    <t>H250047</t>
  </si>
  <si>
    <t>P. Marchellino</t>
  </si>
  <si>
    <t>+62 812-3847-7792</t>
  </si>
  <si>
    <t>DK 1058 IJ</t>
  </si>
  <si>
    <t>;;'</t>
  </si>
  <si>
    <t>H250048</t>
  </si>
  <si>
    <t>P. Angga</t>
  </si>
  <si>
    <t>+62 858-4019-9323</t>
  </si>
  <si>
    <t>L 1896 EE</t>
  </si>
  <si>
    <t>H250049</t>
  </si>
  <si>
    <t>P. Ardiansyah</t>
  </si>
  <si>
    <t>+62 812-4670-8283</t>
  </si>
  <si>
    <t>L 1834 CAX</t>
  </si>
  <si>
    <t>H250050</t>
  </si>
  <si>
    <t>P. Sukul Wahyudi</t>
  </si>
  <si>
    <t>081230881734</t>
  </si>
  <si>
    <t>L 1564 JH</t>
  </si>
  <si>
    <t>H250051</t>
  </si>
  <si>
    <t>LFW-ALPHARD15RSFR</t>
  </si>
  <si>
    <t>+62 816-1522-3888</t>
  </si>
  <si>
    <t>L 1205 ACG</t>
  </si>
  <si>
    <t>H250052</t>
  </si>
  <si>
    <t>LFW-CX5GEN2RS2XYG</t>
  </si>
  <si>
    <t>P. Handoko</t>
  </si>
  <si>
    <t>+62 811-374-586</t>
  </si>
  <si>
    <t>H250053</t>
  </si>
  <si>
    <t>P. Nurul/Faisol</t>
  </si>
  <si>
    <t>+62 838-3151-3805</t>
  </si>
  <si>
    <t>H250054</t>
  </si>
  <si>
    <t>P. Saragih</t>
  </si>
  <si>
    <t>+62 852-7986-8893</t>
  </si>
  <si>
    <t>H250055</t>
  </si>
  <si>
    <t>P. Iwan Yulianto</t>
  </si>
  <si>
    <t>+62 812-3114-7681</t>
  </si>
  <si>
    <t>H250056</t>
  </si>
  <si>
    <t>PECAH PENGIRIMAN JNT</t>
  </si>
  <si>
    <t>H250057</t>
  </si>
  <si>
    <t>P. Jaya</t>
  </si>
  <si>
    <t>+62 822-6647-5507</t>
  </si>
  <si>
    <t>H250058</t>
  </si>
  <si>
    <t>P. Ernes</t>
  </si>
  <si>
    <t>+62 812-3317-2990</t>
  </si>
  <si>
    <t>H250059</t>
  </si>
  <si>
    <t>P. Halang</t>
  </si>
  <si>
    <t>081235175175</t>
  </si>
  <si>
    <t>DA 8328 LJ</t>
  </si>
  <si>
    <t>H250060</t>
  </si>
  <si>
    <t>LFW-MX5XYG</t>
  </si>
  <si>
    <t>Kak Ravalio</t>
  </si>
  <si>
    <t>+62 812-3581-5851</t>
  </si>
  <si>
    <t>Kediir</t>
  </si>
  <si>
    <t>H250061</t>
  </si>
  <si>
    <t>SFR-HIACEXYG</t>
  </si>
  <si>
    <t>H250062</t>
  </si>
  <si>
    <t>FDR-ACCORD03SG</t>
  </si>
  <si>
    <t>David Wijaya</t>
  </si>
  <si>
    <t>+62 812-1653-1999</t>
  </si>
  <si>
    <t>H250063</t>
  </si>
  <si>
    <t>Kak Ale</t>
  </si>
  <si>
    <t>+62 812-3536-7145</t>
  </si>
  <si>
    <t>N 1719 GM</t>
  </si>
  <si>
    <t>H250064</t>
  </si>
  <si>
    <t>LFW-DMAX3XYG</t>
  </si>
  <si>
    <t>P. Reyno</t>
  </si>
  <si>
    <t>+62 821-3332-5000</t>
  </si>
  <si>
    <t>H250065</t>
  </si>
  <si>
    <t>+62 877-0910-9635</t>
  </si>
  <si>
    <t>H250066</t>
  </si>
  <si>
    <t>P. Ulhaq</t>
  </si>
  <si>
    <t>‪+62 812‑4924‑4327‬</t>
  </si>
  <si>
    <t>M 1315 AB</t>
  </si>
  <si>
    <t>H250067</t>
  </si>
  <si>
    <t>P. Robi</t>
  </si>
  <si>
    <t>+62 896-3400-5911</t>
  </si>
  <si>
    <t>H250068</t>
  </si>
  <si>
    <t>P. Mochamad Hermawan</t>
  </si>
  <si>
    <t>082245278348/0895371861240</t>
  </si>
  <si>
    <t>H250069</t>
  </si>
  <si>
    <t>P. Woto</t>
  </si>
  <si>
    <t>081226662684</t>
  </si>
  <si>
    <t>SJH250002</t>
  </si>
  <si>
    <t>SJH250003</t>
  </si>
  <si>
    <t>SJH250004</t>
  </si>
  <si>
    <t>FDR-FE300ASH</t>
  </si>
  <si>
    <t>SJH250005</t>
  </si>
  <si>
    <t>FDL-AVANZA21ASH</t>
  </si>
  <si>
    <t>FDL-PAJERO16ASH</t>
  </si>
  <si>
    <t>FDR-AVANZA21ASH</t>
  </si>
  <si>
    <t>FDR-RUSH17ASH</t>
  </si>
  <si>
    <t>H250070</t>
  </si>
  <si>
    <t>P. Muhammad Nur Safiudin</t>
  </si>
  <si>
    <t>+62 812-3056-4860</t>
  </si>
  <si>
    <t>H250071</t>
  </si>
  <si>
    <t>P. Tawil</t>
  </si>
  <si>
    <t>+62 852-5888-6999</t>
  </si>
  <si>
    <t>M 1280 TR</t>
  </si>
  <si>
    <t>H250072</t>
  </si>
  <si>
    <t>P. Mukhlis Ilyas</t>
  </si>
  <si>
    <t>+62 812-6940-7970</t>
  </si>
  <si>
    <t>H250073</t>
  </si>
  <si>
    <t>H250074</t>
  </si>
  <si>
    <t>+62 813-1066-0988</t>
  </si>
  <si>
    <t>H250075</t>
  </si>
  <si>
    <t>P Rudi</t>
  </si>
  <si>
    <t>081357444611</t>
  </si>
  <si>
    <t>B 8413 XV</t>
  </si>
  <si>
    <t>H250076</t>
  </si>
  <si>
    <t>P. Rizky</t>
  </si>
  <si>
    <t>+62 812-5236-3598</t>
  </si>
  <si>
    <t>H250077</t>
  </si>
  <si>
    <t>Tambal Kaca Mobil Samping</t>
  </si>
  <si>
    <t>PT Tirtamas Megah</t>
  </si>
  <si>
    <t>+62 856-4666-3366</t>
  </si>
  <si>
    <t>H250078</t>
  </si>
  <si>
    <t>+62 817-5002-093</t>
  </si>
  <si>
    <t>H250079</t>
  </si>
  <si>
    <t>P. Ali Mahfudz</t>
  </si>
  <si>
    <t>+62 816-1504-7598</t>
  </si>
  <si>
    <t>B 1559 VFW</t>
  </si>
  <si>
    <t>H250080</t>
  </si>
  <si>
    <t xml:space="preserve">P. Abrori </t>
  </si>
  <si>
    <t>H250081</t>
  </si>
  <si>
    <t>P. Dwimar</t>
  </si>
  <si>
    <t>+62 831-3834-6164</t>
  </si>
  <si>
    <t>S 1226 J</t>
  </si>
  <si>
    <t>H250082</t>
  </si>
  <si>
    <t>PT Grosetto Keramik Indonesis</t>
  </si>
  <si>
    <t>+62 813-1350-8637</t>
  </si>
  <si>
    <t>H250083</t>
  </si>
  <si>
    <t>P. Indrawan Widijanto</t>
  </si>
  <si>
    <t>+62 858-9200-6074</t>
  </si>
  <si>
    <t>H250084</t>
  </si>
  <si>
    <t>H250085</t>
  </si>
  <si>
    <t>081235457835</t>
  </si>
  <si>
    <t>H250086</t>
  </si>
  <si>
    <t>Ka Mira</t>
  </si>
  <si>
    <t>+62 819-4364-0791</t>
  </si>
  <si>
    <t>H250087</t>
  </si>
  <si>
    <t>Ka Nuki</t>
  </si>
  <si>
    <t>+62 877-2943-3935</t>
  </si>
  <si>
    <t>H250088</t>
  </si>
  <si>
    <t>Ka Lyly</t>
  </si>
  <si>
    <t>+62 812-9525-143</t>
  </si>
  <si>
    <t>I250001</t>
  </si>
  <si>
    <t>P. Muhaimin</t>
  </si>
  <si>
    <t>+62 823-3770-8895</t>
  </si>
  <si>
    <t>I250002</t>
  </si>
  <si>
    <t>P. Naufal Widodo</t>
  </si>
  <si>
    <t>+62 823-3398-5555</t>
  </si>
  <si>
    <t>I250003</t>
  </si>
  <si>
    <t>+62 812-5231-6969</t>
  </si>
  <si>
    <t>W 1650 ZA</t>
  </si>
  <si>
    <t>I250004</t>
  </si>
  <si>
    <t>P. Rosi</t>
  </si>
  <si>
    <t>+62 878-5875-3007</t>
  </si>
  <si>
    <t>I250005</t>
  </si>
  <si>
    <t>I250006</t>
  </si>
  <si>
    <t>Ka Nanda</t>
  </si>
  <si>
    <t>+62 897-3184-310</t>
  </si>
  <si>
    <t>AE 1604 RJ</t>
  </si>
  <si>
    <t>I250007</t>
  </si>
  <si>
    <t>Ka Reiner</t>
  </si>
  <si>
    <t>+62 813-3123-4091</t>
  </si>
  <si>
    <t>L 1302 NZ</t>
  </si>
  <si>
    <t>I250008</t>
  </si>
  <si>
    <t>P. Junaidi</t>
  </si>
  <si>
    <t>N 1245 TC</t>
  </si>
  <si>
    <t>I250009</t>
  </si>
  <si>
    <t>Pak Eko</t>
  </si>
  <si>
    <t>+62 813-8788-7857</t>
  </si>
  <si>
    <t>L 1352 LB</t>
  </si>
  <si>
    <t>I250010</t>
  </si>
  <si>
    <t>+62 812-7777-5123</t>
  </si>
  <si>
    <t>L 1647 CBC</t>
  </si>
  <si>
    <t>I250011</t>
  </si>
  <si>
    <t>LFW-CAMRY11RSXYG</t>
  </si>
  <si>
    <t>Ahmad Muqoddam</t>
  </si>
  <si>
    <t>085234621498</t>
  </si>
  <si>
    <t>I250012</t>
  </si>
  <si>
    <t>P. Ikang Fauzi</t>
  </si>
  <si>
    <t>+62 896-7826-7332</t>
  </si>
  <si>
    <t>I250013</t>
  </si>
  <si>
    <t>+62 812-4957-9176</t>
  </si>
  <si>
    <t>I250014</t>
  </si>
  <si>
    <t>P. Tony Sagatra</t>
  </si>
  <si>
    <t>+62 812-1587-9557</t>
  </si>
  <si>
    <t>I250015</t>
  </si>
  <si>
    <t>P. Azmiansyah</t>
  </si>
  <si>
    <t>‪+62 811‑2500‑339‬</t>
  </si>
  <si>
    <t>AB 1830 NW</t>
  </si>
  <si>
    <t>I250016</t>
  </si>
  <si>
    <t>‪+62 812‑3155‑5183‬</t>
  </si>
  <si>
    <t>L 1705 WN</t>
  </si>
  <si>
    <t>I250017</t>
  </si>
  <si>
    <t>P. Harry</t>
  </si>
  <si>
    <t>+62 899-3858-976</t>
  </si>
  <si>
    <t>I250018</t>
  </si>
  <si>
    <t>‪+62 853‑3476‑1313‬</t>
  </si>
  <si>
    <t>I250019</t>
  </si>
  <si>
    <t>P. Adi Sucipto</t>
  </si>
  <si>
    <t>+62 878-8878-7124</t>
  </si>
  <si>
    <t>I250020</t>
  </si>
  <si>
    <t>+62 823-3609-4564</t>
  </si>
  <si>
    <t>I250021</t>
  </si>
  <si>
    <t>P. Ganesius</t>
  </si>
  <si>
    <t>081259702121</t>
  </si>
  <si>
    <t>R 1058 FR</t>
  </si>
  <si>
    <t>I250022</t>
  </si>
  <si>
    <t>P. Wajaj Bahaunar Shidiq</t>
  </si>
  <si>
    <t>+62 817-5237-337</t>
  </si>
  <si>
    <t>H 1090 SR</t>
  </si>
  <si>
    <t>I250023</t>
  </si>
  <si>
    <t>+62 812-1831-9803</t>
  </si>
  <si>
    <t>L 1945 RL</t>
  </si>
  <si>
    <t>I250024</t>
  </si>
  <si>
    <t>P. Hisyam</t>
  </si>
  <si>
    <t>+62 819-3489-7164</t>
  </si>
  <si>
    <t>W 1550 XV</t>
  </si>
  <si>
    <t>I250025</t>
  </si>
  <si>
    <t>+62 821-4342-5659</t>
  </si>
  <si>
    <t>AG 1232 KY</t>
  </si>
  <si>
    <t>I250026</t>
  </si>
  <si>
    <t>P. Toni</t>
  </si>
  <si>
    <t>+62 821-3228-9104</t>
  </si>
  <si>
    <t>I250027</t>
  </si>
  <si>
    <t>P. Izul</t>
  </si>
  <si>
    <t>+62 822-108-234</t>
  </si>
  <si>
    <t>I250028</t>
  </si>
  <si>
    <t>B. Audrey</t>
  </si>
  <si>
    <t>+62 812-9090-0577</t>
  </si>
  <si>
    <t>I250029</t>
  </si>
  <si>
    <t>P. Ruchin</t>
  </si>
  <si>
    <t>081230891114</t>
  </si>
  <si>
    <t>W 1006 TO</t>
  </si>
  <si>
    <t>I250030</t>
  </si>
  <si>
    <t>+62 877-8509-0646</t>
  </si>
  <si>
    <t>I250031</t>
  </si>
  <si>
    <t>P. Aan</t>
  </si>
  <si>
    <t>+62 822-4468-1345</t>
  </si>
  <si>
    <t>W 8718 QF</t>
  </si>
  <si>
    <t>I250032</t>
  </si>
  <si>
    <t>P. Komar</t>
  </si>
  <si>
    <t>+62 822-2935-5151</t>
  </si>
  <si>
    <t>I250033</t>
  </si>
  <si>
    <t>Bpk Anwar</t>
  </si>
  <si>
    <t>+62 878-8696-6245</t>
  </si>
  <si>
    <t>I250034</t>
  </si>
  <si>
    <t>Parmudono/ Nurhidayah</t>
  </si>
  <si>
    <t>+6282247151438</t>
  </si>
  <si>
    <t>Mataram</t>
  </si>
  <si>
    <t>I250035</t>
  </si>
  <si>
    <t>Bengkel Global Audio</t>
  </si>
  <si>
    <t>+62 817-318-779</t>
  </si>
  <si>
    <t>I250036</t>
  </si>
  <si>
    <t>TRW-CONFEROHOLEXYG</t>
  </si>
  <si>
    <t>P. Ahmad Efendi</t>
  </si>
  <si>
    <t>‪+62 821‑3131‑5322‬</t>
  </si>
  <si>
    <t>L 1947 AAO</t>
  </si>
  <si>
    <t>I250037</t>
  </si>
  <si>
    <t>P. Luccas</t>
  </si>
  <si>
    <t>+62 822-3353-5809</t>
  </si>
  <si>
    <t>L 1184 ADM</t>
  </si>
  <si>
    <t>I250038</t>
  </si>
  <si>
    <t>+62 821-4158-6532</t>
  </si>
  <si>
    <t>B 7581 FAB</t>
  </si>
  <si>
    <t>I250039</t>
  </si>
  <si>
    <t>+62 878-7343-7373</t>
  </si>
  <si>
    <t>L 1468 PY</t>
  </si>
  <si>
    <t>I250040</t>
  </si>
  <si>
    <t>PT. Sekar Golden Harvesta</t>
  </si>
  <si>
    <t>+62 856-4672-1627</t>
  </si>
  <si>
    <t>I250041</t>
  </si>
  <si>
    <t>Auto77 Body Repair</t>
  </si>
  <si>
    <t>I250042</t>
  </si>
  <si>
    <t>Kak Charlos</t>
  </si>
  <si>
    <t>082144245094</t>
  </si>
  <si>
    <t>I250043</t>
  </si>
  <si>
    <t>P. Kanang</t>
  </si>
  <si>
    <t>+62 812-3232-9831</t>
  </si>
  <si>
    <t>I250044</t>
  </si>
  <si>
    <t>Ka Cecilia Shelvy</t>
  </si>
  <si>
    <t>+62 813-3931-2306</t>
  </si>
  <si>
    <t>I250045</t>
  </si>
  <si>
    <t>Ka Aditya</t>
  </si>
  <si>
    <t>+62 821-3104-4084</t>
  </si>
  <si>
    <t>KT 1334 BA</t>
  </si>
  <si>
    <t>I250046</t>
  </si>
  <si>
    <t>Ka Alice</t>
  </si>
  <si>
    <t>+62 838-7015-8023</t>
  </si>
  <si>
    <t>I250047</t>
  </si>
  <si>
    <t>LFW-BRV22AGC</t>
  </si>
  <si>
    <t>Iva Afiati Rahma</t>
  </si>
  <si>
    <t>+62 822-2874-0088</t>
  </si>
  <si>
    <t>I250048</t>
  </si>
  <si>
    <t>P. Ali Wafa</t>
  </si>
  <si>
    <t>+62 812-3456-4049</t>
  </si>
  <si>
    <t>N 8288 RH</t>
  </si>
  <si>
    <t>I250049</t>
  </si>
  <si>
    <t>P. Bahrul Ulum</t>
  </si>
  <si>
    <t>+62 823-3019-0538</t>
  </si>
  <si>
    <t>I250050</t>
  </si>
  <si>
    <t>Maliq Motor</t>
  </si>
  <si>
    <t>I250051</t>
  </si>
  <si>
    <t>B. Zena</t>
  </si>
  <si>
    <t>‪+62 812‑9852‑5442‬</t>
  </si>
  <si>
    <t>I250052</t>
  </si>
  <si>
    <t>TRW-BRV16AGC</t>
  </si>
  <si>
    <t>I250053</t>
  </si>
  <si>
    <t>P. Wino</t>
  </si>
  <si>
    <t>+62 813-4654-5641</t>
  </si>
  <si>
    <t>I250054</t>
  </si>
  <si>
    <t>Kak Ongky</t>
  </si>
  <si>
    <t>082132745522</t>
  </si>
  <si>
    <t>I250055</t>
  </si>
  <si>
    <t>I250056</t>
  </si>
  <si>
    <t>TRW-AVANZA11XYG</t>
  </si>
  <si>
    <t>Ka Dwi</t>
  </si>
  <si>
    <t>I250057</t>
  </si>
  <si>
    <t>Ka Aldi</t>
  </si>
  <si>
    <t>+62 812-4613-7085</t>
  </si>
  <si>
    <t>L 1968 DBC</t>
  </si>
  <si>
    <t>I250058</t>
  </si>
  <si>
    <t>P. Bambang Ugeng Madiunio</t>
  </si>
  <si>
    <t>+62 822-3489-7556</t>
  </si>
  <si>
    <t>AE 1783 CQ</t>
  </si>
  <si>
    <t>I250059</t>
  </si>
  <si>
    <t>P. Endi</t>
  </si>
  <si>
    <t>‪+62 831‑3432‑9846‬</t>
  </si>
  <si>
    <t>I250060</t>
  </si>
  <si>
    <t>580467955614123905</t>
  </si>
  <si>
    <t>I250061</t>
  </si>
  <si>
    <t>P. Hogin</t>
  </si>
  <si>
    <t>+62 853-3418-0527</t>
  </si>
  <si>
    <t>I250062</t>
  </si>
  <si>
    <t>P. Jho</t>
  </si>
  <si>
    <t>SJI250005</t>
  </si>
  <si>
    <t>LFW-CX5GEN2RS3NSG</t>
  </si>
  <si>
    <t>SENTRA AUTOGLASS BEKASI</t>
  </si>
  <si>
    <t>+62 812-9262-2276</t>
  </si>
  <si>
    <t>I250063</t>
  </si>
  <si>
    <t>P. Wahyu Imam</t>
  </si>
  <si>
    <t>081333116530</t>
  </si>
  <si>
    <t>N 1646 LC</t>
  </si>
  <si>
    <t>I250064</t>
  </si>
  <si>
    <t>Margono Honda Panji</t>
  </si>
  <si>
    <t>+62 813-3068-6195</t>
  </si>
  <si>
    <t>L 9921 BX</t>
  </si>
  <si>
    <t>I250065</t>
  </si>
  <si>
    <t>RDR-WAGON13AGC</t>
  </si>
  <si>
    <t xml:space="preserve">Ka Fatur </t>
  </si>
  <si>
    <t>+62 858-1244-3231</t>
  </si>
  <si>
    <t>I250066</t>
  </si>
  <si>
    <t>ARIES MOTOR</t>
  </si>
  <si>
    <t>+62 813-5887-7779</t>
  </si>
  <si>
    <t>I250067</t>
  </si>
  <si>
    <t>Davindo Anugrah Unggul</t>
  </si>
  <si>
    <t>+62 896-8154-0605</t>
  </si>
  <si>
    <t>L 8805 A</t>
  </si>
  <si>
    <t>I250068</t>
  </si>
  <si>
    <t>TRW-ALPHARD15BLACKFR</t>
  </si>
  <si>
    <t>H. Mamat</t>
  </si>
  <si>
    <t>+62 813-9946-0946</t>
  </si>
  <si>
    <t>B 2279 STA</t>
  </si>
  <si>
    <t>I250069</t>
  </si>
  <si>
    <t>Kak Via</t>
  </si>
  <si>
    <t>+62 822-2727-4223</t>
  </si>
  <si>
    <t>L 1435 QU</t>
  </si>
  <si>
    <t>I250070</t>
  </si>
  <si>
    <t>I250071</t>
  </si>
  <si>
    <t>P. Fauzi Prahardinata</t>
  </si>
  <si>
    <t>+62 852-3300-6623</t>
  </si>
  <si>
    <t>W 1980 VW</t>
  </si>
  <si>
    <t>I250072</t>
  </si>
  <si>
    <t>P. Asep</t>
  </si>
  <si>
    <t>081232374031</t>
  </si>
  <si>
    <t>M 1615 HA</t>
  </si>
  <si>
    <t>I250073</t>
  </si>
  <si>
    <t>PT PETRO KARYA MANDIRI</t>
  </si>
  <si>
    <t>+62 822-3340-3117</t>
  </si>
  <si>
    <t>I250074</t>
  </si>
  <si>
    <t>+62 817-7073-1065</t>
  </si>
  <si>
    <t>I250075</t>
  </si>
  <si>
    <t>P. Mazza Putra</t>
  </si>
  <si>
    <t>+6281217361552</t>
  </si>
  <si>
    <t>I250076</t>
  </si>
  <si>
    <t>Yuli Namlea/Borny</t>
  </si>
  <si>
    <t>'+62 821-1200-9612</t>
  </si>
  <si>
    <t>+62 821-1200-9612</t>
  </si>
  <si>
    <t>I250077</t>
  </si>
  <si>
    <t>P. Roji</t>
  </si>
  <si>
    <t>+62 896-7644-4618</t>
  </si>
  <si>
    <t>I250078</t>
  </si>
  <si>
    <t>Achmad Faisal</t>
  </si>
  <si>
    <t>+62 819-3699-2032</t>
  </si>
  <si>
    <t>I250079</t>
  </si>
  <si>
    <t>+62 815-5198-734</t>
  </si>
  <si>
    <t>I250080</t>
  </si>
  <si>
    <t>TRW-TERIOS06XYG</t>
  </si>
  <si>
    <t xml:space="preserve">HASTRAT MULIA GARAGE </t>
  </si>
  <si>
    <t>+62 823-3050-6070</t>
  </si>
  <si>
    <t>I250081</t>
  </si>
  <si>
    <t>Sapril Pamungkas</t>
  </si>
  <si>
    <t>+62 856-0435-9085</t>
  </si>
  <si>
    <t>W 1654 ZO</t>
  </si>
  <si>
    <t>I250082</t>
  </si>
  <si>
    <t>+62 821-4003-1075</t>
  </si>
  <si>
    <t>W 1746 VQ</t>
  </si>
  <si>
    <t>I250083</t>
  </si>
  <si>
    <t>Ka Agnes</t>
  </si>
  <si>
    <t>+62 822-3390-0919</t>
  </si>
  <si>
    <t>AG 1735 XC</t>
  </si>
  <si>
    <t>I250084</t>
  </si>
  <si>
    <t>Nayla hanifa</t>
  </si>
  <si>
    <t>+62 895-3082-4808</t>
  </si>
  <si>
    <t>I250085</t>
  </si>
  <si>
    <t>Nawikan</t>
  </si>
  <si>
    <t>+62 822-3119-6102</t>
  </si>
  <si>
    <t>I250086</t>
  </si>
  <si>
    <t>+62 895-3536-46664</t>
  </si>
  <si>
    <t>I250087</t>
  </si>
  <si>
    <t>P. Yohanes</t>
  </si>
  <si>
    <t xml:space="preserve">085607775894 </t>
  </si>
  <si>
    <t>RDR-TERIOS06ASH</t>
  </si>
  <si>
    <t>SWR-TERIOS06AGC</t>
  </si>
  <si>
    <t>I250088</t>
  </si>
  <si>
    <t>Adelisa</t>
  </si>
  <si>
    <t>082122012003</t>
  </si>
  <si>
    <t>AD 1786 AC</t>
  </si>
  <si>
    <t>I250089</t>
  </si>
  <si>
    <t>P. Muhib</t>
  </si>
  <si>
    <t>+62 896-9402-0705</t>
  </si>
  <si>
    <t>W 1361 EF</t>
  </si>
  <si>
    <t>I250090</t>
  </si>
  <si>
    <t>Bpk Darwes</t>
  </si>
  <si>
    <t>+62 821-4172-3434</t>
  </si>
  <si>
    <t>I250091</t>
  </si>
  <si>
    <t>B. Mam Titin</t>
  </si>
  <si>
    <t>+62 859-1062-00008</t>
  </si>
  <si>
    <t>I250092</t>
  </si>
  <si>
    <t>Bu Susilawati</t>
  </si>
  <si>
    <t>+62 816-4805-880</t>
  </si>
  <si>
    <t>I250093</t>
  </si>
  <si>
    <t>+62 822-3103-0471</t>
  </si>
  <si>
    <t>W 1579 NM</t>
  </si>
  <si>
    <t>J250001</t>
  </si>
  <si>
    <t>Ka Friska</t>
  </si>
  <si>
    <t>+62 812-2122-2968</t>
  </si>
  <si>
    <t>W 1882 YI</t>
  </si>
  <si>
    <t>FRISKARINE GITY CL</t>
  </si>
  <si>
    <t>J250002</t>
  </si>
  <si>
    <t>Ka Afif</t>
  </si>
  <si>
    <t>+62 821-4100-0687</t>
  </si>
  <si>
    <t>L 1306 WH</t>
  </si>
  <si>
    <t>CASH</t>
  </si>
  <si>
    <t>J250003</t>
  </si>
  <si>
    <t>Ka Dani</t>
  </si>
  <si>
    <t>‪+62 813‑2536‑6021‬</t>
  </si>
  <si>
    <t>ZIDANE ZIDAN</t>
  </si>
  <si>
    <t>J250004</t>
  </si>
  <si>
    <t xml:space="preserve">P. Tino </t>
  </si>
  <si>
    <t>081237985235</t>
  </si>
  <si>
    <t>NUGROHO JATI KUSUM</t>
  </si>
  <si>
    <t>J250005</t>
  </si>
  <si>
    <t>TRW-SWIFT04XYG</t>
  </si>
  <si>
    <t>Mashaid</t>
  </si>
  <si>
    <t>082144808814</t>
  </si>
  <si>
    <t>W 1020 WQ</t>
  </si>
  <si>
    <t>MASHAID AHMED</t>
  </si>
  <si>
    <t>J250006</t>
  </si>
  <si>
    <t>TRW-BRIO10HOLEAGC</t>
  </si>
  <si>
    <t xml:space="preserve">HMH BINTANG TERANG MOTOR </t>
  </si>
  <si>
    <t>'081357658827</t>
  </si>
  <si>
    <t>TOKOPEDIA BEKASI</t>
  </si>
  <si>
    <t>J250007</t>
  </si>
  <si>
    <t>Auto 77 Body Repair</t>
  </si>
  <si>
    <t>'+62 856-0608-8887</t>
  </si>
  <si>
    <t>J250008</t>
  </si>
  <si>
    <t>TRW-ERTIGA12AGC</t>
  </si>
  <si>
    <t>P. Yudistiro</t>
  </si>
  <si>
    <t>+62 821-4374-2313</t>
  </si>
  <si>
    <t>DIAN YUDISTIRO</t>
  </si>
  <si>
    <t>J250009</t>
  </si>
  <si>
    <t>P. Hendra</t>
  </si>
  <si>
    <t>+62 852-0313-1719</t>
  </si>
  <si>
    <t>HENDRA PUTRA WIJAY</t>
  </si>
  <si>
    <t>J250010</t>
  </si>
  <si>
    <t>Giono Tenda</t>
  </si>
  <si>
    <t>+62 821-4245-8282</t>
  </si>
  <si>
    <t>MUHAMMAD DIDHAN AR / SUSWITA DWI JAYANT</t>
  </si>
  <si>
    <t>J250011</t>
  </si>
  <si>
    <t>+62 857-3333-1831</t>
  </si>
  <si>
    <t>N 1674 XI</t>
  </si>
  <si>
    <t>J250012</t>
  </si>
  <si>
    <t>+62 858-1201-9430</t>
  </si>
  <si>
    <t>L 1547 ABX</t>
  </si>
  <si>
    <t>STEFANUS SOEGIHART / 30K LIA KURANG TF</t>
  </si>
  <si>
    <t>J250013</t>
  </si>
  <si>
    <t>P. Fitroni</t>
  </si>
  <si>
    <t>+62 822-2698-0008</t>
  </si>
  <si>
    <t>L 1092 ADX</t>
  </si>
  <si>
    <t>FITRONI LESMONO</t>
  </si>
  <si>
    <t>J250014</t>
  </si>
  <si>
    <t>P. Jack</t>
  </si>
  <si>
    <t>‪+62 822‑6475‑4053‬</t>
  </si>
  <si>
    <t>DWI NANDA SUDARTO</t>
  </si>
  <si>
    <t>J250015</t>
  </si>
  <si>
    <t>P. Dany Permana</t>
  </si>
  <si>
    <t>‪+62 813‑3216‑7995‬</t>
  </si>
  <si>
    <t>DANI PERMANA</t>
  </si>
  <si>
    <t>J250016</t>
  </si>
  <si>
    <t>SATRIA EKA NANDA</t>
  </si>
  <si>
    <t>SWR-FORTUNER05BLACKXYG</t>
  </si>
  <si>
    <t>J250017</t>
  </si>
  <si>
    <t>Arya Bayu</t>
  </si>
  <si>
    <t>+62 822-3397-2088</t>
  </si>
  <si>
    <t>S 1996 JM</t>
  </si>
  <si>
    <t>J250018</t>
  </si>
  <si>
    <t>+62 812-1657-3464</t>
  </si>
  <si>
    <t>AD 1893 UD</t>
  </si>
  <si>
    <t>RASHIT WAHYU SAPUT</t>
  </si>
  <si>
    <t>FILM-80STD</t>
  </si>
  <si>
    <t>J250019</t>
  </si>
  <si>
    <t>P. Hansen Shindiarta</t>
  </si>
  <si>
    <t>+62 812-3264-3335</t>
  </si>
  <si>
    <t>S 1506 EO</t>
  </si>
  <si>
    <t>HANSEN SHINDIARTA</t>
  </si>
  <si>
    <t>J250020</t>
  </si>
  <si>
    <t>P. Jefri / Japrak</t>
  </si>
  <si>
    <t>+62 838-5674-2905</t>
  </si>
  <si>
    <t>L 1726 PY</t>
  </si>
  <si>
    <t>JEFRI ARYANTO</t>
  </si>
  <si>
    <t>J250021</t>
  </si>
  <si>
    <t>P.Adi</t>
  </si>
  <si>
    <t>+62 818-0328-7014</t>
  </si>
  <si>
    <t>W 1816 VB</t>
  </si>
  <si>
    <t>JOHAN IMANUEL SUBA</t>
  </si>
  <si>
    <t>J250022</t>
  </si>
  <si>
    <t>P. Rofinus</t>
  </si>
  <si>
    <t>+62 822-3432-5751</t>
  </si>
  <si>
    <t>L 1556 WA</t>
  </si>
  <si>
    <t>ROFINUS PANGARIBUA</t>
  </si>
  <si>
    <t>J250023</t>
  </si>
  <si>
    <t>085236692500</t>
  </si>
  <si>
    <t>DIDIK SUGIHARTO</t>
  </si>
  <si>
    <t>J250024</t>
  </si>
  <si>
    <t>Kak Reggina Salsa</t>
  </si>
  <si>
    <t>+62 815-3264-5779</t>
  </si>
  <si>
    <t>N 1454 IA</t>
  </si>
  <si>
    <t>REGGINA SALSABILA</t>
  </si>
  <si>
    <t>J250025</t>
  </si>
  <si>
    <t>J250026</t>
  </si>
  <si>
    <t xml:space="preserve">Kak Calvin </t>
  </si>
  <si>
    <t>+62 813-3002-9936</t>
  </si>
  <si>
    <t>L 1506 CAQ</t>
  </si>
  <si>
    <t>J250027</t>
  </si>
  <si>
    <t>Kak Gesit</t>
  </si>
  <si>
    <t>+62 811-6219-457</t>
  </si>
  <si>
    <t>W 1636 NT</t>
  </si>
  <si>
    <t>RISKA PUTRI ARMAYA</t>
  </si>
  <si>
    <t>J250028</t>
  </si>
  <si>
    <t>Ka Brian</t>
  </si>
  <si>
    <t>082269690769</t>
  </si>
  <si>
    <t>ANANDA ARYO SURYO</t>
  </si>
  <si>
    <t>J250029</t>
  </si>
  <si>
    <t>+62 813-3300-4446</t>
  </si>
  <si>
    <t>J250030</t>
  </si>
  <si>
    <t>PT. Asal Jaya</t>
  </si>
  <si>
    <t>+62 812-3363-2340</t>
  </si>
  <si>
    <t>J250031</t>
  </si>
  <si>
    <t>P. Kuat Subagja</t>
  </si>
  <si>
    <t>+62 812-5419-261</t>
  </si>
  <si>
    <t>D 1528 YCD</t>
  </si>
  <si>
    <t>KUAT SUBAGJA</t>
  </si>
  <si>
    <t>J250032</t>
  </si>
  <si>
    <t>Ka Rizky</t>
  </si>
  <si>
    <t>089677719023</t>
  </si>
  <si>
    <t>ABDUL MUJIB       MOBILE BANK / CASH</t>
  </si>
  <si>
    <t>J250033</t>
  </si>
  <si>
    <t>MOCHAMMAD HASAN AR</t>
  </si>
  <si>
    <t>J250034</t>
  </si>
  <si>
    <t>Ka Oscar Panji</t>
  </si>
  <si>
    <t>+62 813-5856-5088</t>
  </si>
  <si>
    <t>AA 1756 AK</t>
  </si>
  <si>
    <t>OSCAR PANJI SAPTA</t>
  </si>
  <si>
    <t>J250035</t>
  </si>
  <si>
    <t>TRW-FIESTAFR</t>
  </si>
  <si>
    <t>Ka Wega</t>
  </si>
  <si>
    <t>+62 877-5113-5477</t>
  </si>
  <si>
    <t>WEGA AGUSTIAN SINA</t>
  </si>
  <si>
    <t>J250036</t>
  </si>
  <si>
    <t>+62 857-7000-0282</t>
  </si>
  <si>
    <t>J250037</t>
  </si>
  <si>
    <t>P. Harmiko</t>
  </si>
  <si>
    <t>08112781272</t>
  </si>
  <si>
    <t>L 1646 CAL</t>
  </si>
  <si>
    <t>HARMIKO</t>
  </si>
  <si>
    <t>J250038</t>
  </si>
  <si>
    <t>P. Rusmin</t>
  </si>
  <si>
    <t>+62 812-5996-3928</t>
  </si>
  <si>
    <t>L 1240 NE</t>
  </si>
  <si>
    <t>AKWINATA MAGDALENA</t>
  </si>
  <si>
    <t>J250039</t>
  </si>
  <si>
    <t>MLDG-FDRCRV02HON</t>
  </si>
  <si>
    <t>P. Hintoro</t>
  </si>
  <si>
    <t>+62 813-3172-8527</t>
  </si>
  <si>
    <t>NJOO LIANAWATI</t>
  </si>
  <si>
    <t>MLDG-FDLCRV02HON</t>
  </si>
  <si>
    <t>J250040</t>
  </si>
  <si>
    <t>LFW-CRV05ASH</t>
  </si>
  <si>
    <t>P. Cahyani Icsan P.</t>
  </si>
  <si>
    <t>+62 822-4852-2417</t>
  </si>
  <si>
    <t>CAHYANI ICSAN PRAT</t>
  </si>
  <si>
    <t>J250041</t>
  </si>
  <si>
    <t>P. Obet</t>
  </si>
  <si>
    <t>+62 822-4442-2177</t>
  </si>
  <si>
    <t xml:space="preserve">DP TRSF E-BANKING CR 1110/FTSCY/WS95031          30000.00Tanda jadi home service             DZULFIKRI FAHMI ST / CASH PELUNASAN
</t>
  </si>
  <si>
    <t>J250042</t>
  </si>
  <si>
    <t>P. Sofyan</t>
  </si>
  <si>
    <t>+62 852-4469-5629</t>
  </si>
  <si>
    <t>tokokpedia</t>
  </si>
  <si>
    <t>J250043</t>
  </si>
  <si>
    <t>Anas Rossi Saputra</t>
  </si>
  <si>
    <t>+62 823-3259-5459</t>
  </si>
  <si>
    <t>J250044</t>
  </si>
  <si>
    <t>P. Bagus A</t>
  </si>
  <si>
    <t>+62 818-593-947</t>
  </si>
  <si>
    <t>W 1799 AT</t>
  </si>
  <si>
    <t>MUSLICH ANSARI</t>
  </si>
  <si>
    <t>J250045</t>
  </si>
  <si>
    <t>P. Edi</t>
  </si>
  <si>
    <t>+62 812-3597-3557</t>
  </si>
  <si>
    <t>W 1157 BG</t>
  </si>
  <si>
    <t>J250046</t>
  </si>
  <si>
    <t>P.  Indra Tirta</t>
  </si>
  <si>
    <t>+62 813-5534-8065</t>
  </si>
  <si>
    <t>S 1104 NJ</t>
  </si>
  <si>
    <t>INDRA TIRTA KUSUMA</t>
  </si>
  <si>
    <t>J250047</t>
  </si>
  <si>
    <t>P. Reksa</t>
  </si>
  <si>
    <t>+62 812-1728-0770</t>
  </si>
  <si>
    <t>J250048</t>
  </si>
  <si>
    <t>INDRA RUTENG</t>
  </si>
  <si>
    <t>(+62)85238147391</t>
  </si>
  <si>
    <t>J250049</t>
  </si>
  <si>
    <t>+62 838-4933-1300</t>
  </si>
  <si>
    <t>J250050</t>
  </si>
  <si>
    <t>P. Irawan</t>
  </si>
  <si>
    <t>085172341984</t>
  </si>
  <si>
    <t xml:space="preserve">CASH / BI-FAST CR TRANSFER   DR 002 SHALLIE IRAWAN
</t>
  </si>
  <si>
    <t>J250051</t>
  </si>
  <si>
    <t>P. Roy Herdiarto</t>
  </si>
  <si>
    <t>+62 811-3034-785</t>
  </si>
  <si>
    <t>N 1365 ACO</t>
  </si>
  <si>
    <t>J250052</t>
  </si>
  <si>
    <t>P. Mokhamad Rikko Setiawan</t>
  </si>
  <si>
    <t>085162670950/081381758546</t>
  </si>
  <si>
    <t>ALFIN ADITIA TAUFI</t>
  </si>
  <si>
    <t>J250053</t>
  </si>
  <si>
    <t>P. Sugeng Widodo</t>
  </si>
  <si>
    <t>+62 812-1749-0253</t>
  </si>
  <si>
    <t>SUGENG WIDODO</t>
  </si>
  <si>
    <t>J250054</t>
  </si>
  <si>
    <t>P. Ahi</t>
  </si>
  <si>
    <t>+62818376922</t>
  </si>
  <si>
    <t>L 8690 DAA</t>
  </si>
  <si>
    <t>J250055</t>
  </si>
  <si>
    <t>Kak Melania</t>
  </si>
  <si>
    <t>087847371891/ 082145482986</t>
  </si>
  <si>
    <t>L 1070 DAW</t>
  </si>
  <si>
    <t>MELANIA SAFITRI</t>
  </si>
  <si>
    <t>J250056</t>
  </si>
  <si>
    <t>PT. SuperIndo Jaya Makmur</t>
  </si>
  <si>
    <t>+62 818-305-490</t>
  </si>
  <si>
    <t xml:space="preserve">TRSF E-BANKING CR 1510/FTSCY/WS95031          30000.00dp pasang kaca Dina                 JOHAN OEMAN SANTOS / TRSF E-BANKING CR 1610/FTSCY/WS95031        1270000.00pelunasan pasang kaca Dina          JOHAN OEMAN SANTOS
</t>
  </si>
  <si>
    <t>J250057</t>
  </si>
  <si>
    <t>P. Suli</t>
  </si>
  <si>
    <t>+62 878-5702-7365</t>
  </si>
  <si>
    <t>N 1644 TA</t>
  </si>
  <si>
    <t>J250058</t>
  </si>
  <si>
    <t>P. Mufid</t>
  </si>
  <si>
    <t>+62 823-3498-7883</t>
  </si>
  <si>
    <t>M 1247 TR</t>
  </si>
  <si>
    <t>J250059</t>
  </si>
  <si>
    <t>Kak Vio</t>
  </si>
  <si>
    <t>+62 812-3245-6360</t>
  </si>
  <si>
    <t>L 1437 WE</t>
  </si>
  <si>
    <t xml:space="preserve">TRSF E-BANKING CR 1710/FTSCY/WS95271        1630000.00kaca vios         MUHAMMAD AMMAR AFI
</t>
  </si>
  <si>
    <t>J250060</t>
  </si>
  <si>
    <t>+62 813-3668-1105</t>
  </si>
  <si>
    <t xml:space="preserve">TRSF E-BANKING CR 1710/FTSCY/WS95031         500000.00perbaikan kaca    YULIATI MESERAN
</t>
  </si>
  <si>
    <t>J250061</t>
  </si>
  <si>
    <t>'+62 823-3498-7883</t>
  </si>
  <si>
    <t>J250062</t>
  </si>
  <si>
    <t>P. Budi Utomo</t>
  </si>
  <si>
    <t>+62 822-1615-5194</t>
  </si>
  <si>
    <t>W 1187 YE</t>
  </si>
  <si>
    <t>J250063</t>
  </si>
  <si>
    <t>+62 851-0012-5159</t>
  </si>
  <si>
    <t>L 1577 CAJ</t>
  </si>
  <si>
    <t xml:space="preserve">TRSF E-BANKING CR 1710/FTSCY/WS95031         750000.00AARON TJANDRA SETI
</t>
  </si>
  <si>
    <t>J250064</t>
  </si>
  <si>
    <t>P. Totok</t>
  </si>
  <si>
    <t>+62 822-6632-0468</t>
  </si>
  <si>
    <t xml:space="preserve">BI-FAST CR TRANSFER   DR 008 SUPRAPTO / BI-FAST CR TRANSFER   DR 008 SUPRAPTO
</t>
  </si>
  <si>
    <t>J250065</t>
  </si>
  <si>
    <t>P. Husain</t>
  </si>
  <si>
    <t>+62 812-3290-594</t>
  </si>
  <si>
    <t xml:space="preserve"> W 1328 DY</t>
  </si>
  <si>
    <t>J250066</t>
  </si>
  <si>
    <t>LFW-HIUXYG</t>
  </si>
  <si>
    <t>J250067</t>
  </si>
  <si>
    <t xml:space="preserve">Ka Derta </t>
  </si>
  <si>
    <t>+62 823-3800-3796</t>
  </si>
  <si>
    <t>J250068</t>
  </si>
  <si>
    <t>P. Sudarno / Cillo Motor</t>
  </si>
  <si>
    <t>+62 812-3507-008</t>
  </si>
  <si>
    <t xml:space="preserve">TRSF E-BANKING CR 1910/FTSCY/WS95031        1121000.00kaca belakang xpander gls 2021      RUDYANTO ANWAR
</t>
  </si>
  <si>
    <t>J250069</t>
  </si>
  <si>
    <t>Ka Nery</t>
  </si>
  <si>
    <t>+62 878-8491-7559</t>
  </si>
  <si>
    <t>D 1373 AJR</t>
  </si>
  <si>
    <t xml:space="preserve">BI-FAST CR TRANSFER   DR 028 MICHELLE THONG
</t>
  </si>
  <si>
    <t>J250070</t>
  </si>
  <si>
    <t>B 1020 KLQ</t>
  </si>
  <si>
    <t>KEDIRI</t>
  </si>
  <si>
    <t xml:space="preserve">TRSF E-BANKING CR 2010/FTSCY/WS95031        1450000.00pasang kaca       IMAN GARNIDA
</t>
  </si>
  <si>
    <t>J250071</t>
  </si>
  <si>
    <t>+62 813-5800-6920</t>
  </si>
  <si>
    <t>AG 1120 FN</t>
  </si>
  <si>
    <t>J250072</t>
  </si>
  <si>
    <t>TRW-ALPHARD18XYG</t>
  </si>
  <si>
    <t>+62 812-3077-9888</t>
  </si>
  <si>
    <t>L 188 JEM</t>
  </si>
  <si>
    <t xml:space="preserve">TRSF E-BANKING CR 2110/FTSCY/WS95271          30000.00JAMES HARTONO SETI
 / TRSF E-BANKING CR 2110/FTSCY/WS95031        3213000.00RENDY ADIJAYA
</t>
  </si>
  <si>
    <t>J250073</t>
  </si>
  <si>
    <t>PT. Alam Mulya</t>
  </si>
  <si>
    <t>J250074</t>
  </si>
  <si>
    <t>TRW-CIVIC05PIL</t>
  </si>
  <si>
    <t>P. Ilhamsyah</t>
  </si>
  <si>
    <t>+62 823-3302-1991</t>
  </si>
  <si>
    <t>L 1677 BBJ</t>
  </si>
  <si>
    <t xml:space="preserve">TRSF E-BANKING CR 2110/FTSCY/WS95031          30000.00ILHAMSYAH / TRSF E-BANKING CR 2210/FTSCY/WS95031        2069000.00ILHAMSYAH
</t>
  </si>
  <si>
    <t>J250075</t>
  </si>
  <si>
    <t>P. Rizal</t>
  </si>
  <si>
    <t>+62 853-3613-9933</t>
  </si>
  <si>
    <t>W 1931 AB</t>
  </si>
  <si>
    <t xml:space="preserve">TRSF E-BANKING CR 2210/FTSCY/WS95271        1420000.00Ganti kaca innova13 w1931ab         MOHAMMAD RIZAL GHI
</t>
  </si>
  <si>
    <t>J250076</t>
  </si>
  <si>
    <t>Kak Umam</t>
  </si>
  <si>
    <t>+62 857-9212-4064</t>
  </si>
  <si>
    <t>DA 1517 TCU</t>
  </si>
  <si>
    <t>J250077</t>
  </si>
  <si>
    <t>Kak Upik Wijayanti</t>
  </si>
  <si>
    <t>+62 895-3648-00353</t>
  </si>
  <si>
    <t xml:space="preserve">TRSF E-BANKING CR 2210/FTSCY/WS95271          30000.00ADHIYA KENNANDA
</t>
  </si>
  <si>
    <t>J250078</t>
  </si>
  <si>
    <t>P. Anang</t>
  </si>
  <si>
    <t>+62 856-0856-0422</t>
  </si>
  <si>
    <t xml:space="preserve">TRSF E-BANKING CR 2210/FTSCY/WS95031        1668000.00ANANG SISWONDO
</t>
  </si>
  <si>
    <t>J250079</t>
  </si>
  <si>
    <t xml:space="preserve">TRSF E-BANKING CR 2310/FTSCY/WS95271         150000.00IVANA TANUWIJAYA
</t>
  </si>
  <si>
    <t>J250080</t>
  </si>
  <si>
    <t>LFW-QUESTERASH</t>
  </si>
  <si>
    <t xml:space="preserve">Rendra/Mitra Transindo </t>
  </si>
  <si>
    <t>+62 821-3936-5992</t>
  </si>
  <si>
    <t xml:space="preserve">TRSF E-BANKING CR 2110/FTSCY/WS95031         100000.00RENDRA CHRISTIAN DP / CASH PELUNASAN
</t>
  </si>
  <si>
    <t>J250081</t>
  </si>
  <si>
    <t>Bu Lince</t>
  </si>
  <si>
    <t>+62 851-0809-1068</t>
  </si>
  <si>
    <t xml:space="preserve">TRSF E-BANKING CR 2110/FTSCY/WS95031          30000.00tanda jadi kaca mobil               LINCE GONIMASELA
 / TRSF E-BANKING CR 2110/FTSCY/WS95031          30000.00tanda jadi kaca mobil               LINCE GONIMASELA
</t>
  </si>
  <si>
    <t>J250082</t>
  </si>
  <si>
    <t>FDR-SWIFT04ASH</t>
  </si>
  <si>
    <t>P. Andika</t>
  </si>
  <si>
    <t>+62 857-3219-3439</t>
  </si>
  <si>
    <t xml:space="preserve">BI-FAST CR TRANSFER   DR 002 ANDIKA SURYANEGARA
</t>
  </si>
  <si>
    <t>J250083</t>
  </si>
  <si>
    <t>P. Dody</t>
  </si>
  <si>
    <t>J250084</t>
  </si>
  <si>
    <t>+62 811-310-694</t>
  </si>
  <si>
    <t xml:space="preserve">TRSF E-BANKING CR 2310/FTSCY/WS95031        1448000.00kacahilux         BUJUNG AGUS SUBROT
</t>
  </si>
  <si>
    <t>J250085</t>
  </si>
  <si>
    <t>P. Januar</t>
  </si>
  <si>
    <t>+62 813-5712-1085</t>
  </si>
  <si>
    <t>J250086</t>
  </si>
  <si>
    <t>P. Nanang Hartono</t>
  </si>
  <si>
    <t>+62 822-2525-8122</t>
  </si>
  <si>
    <t xml:space="preserve">BI-FAST CR TRANSFER   DR 008 NANANG HARTONO
</t>
  </si>
  <si>
    <t>J250087</t>
  </si>
  <si>
    <t xml:space="preserve">Pak Huda </t>
  </si>
  <si>
    <t>+62 812-3113-8855</t>
  </si>
  <si>
    <t>W 1419 CM</t>
  </si>
  <si>
    <t xml:space="preserve">SWITCHING CR TRF kekuranDR 114 CHOIRUL HUDA      MOBILE BANK
</t>
  </si>
  <si>
    <t>J250088</t>
  </si>
  <si>
    <t>Ibu Hera Novita</t>
  </si>
  <si>
    <t>+62 851-0075-0127</t>
  </si>
  <si>
    <t xml:space="preserve">TRSF E-BANKING CR 2410/FTSCY/WS95271        1050000.00inv J250088       DESI OKTACIAN
</t>
  </si>
  <si>
    <t>J250089</t>
  </si>
  <si>
    <t>+62 897-7958-911</t>
  </si>
  <si>
    <t xml:space="preserve">TRSF E-BANKING CR 2510/FTSCY/WS95271        1290000.00RIO FERIANGGA KURN
</t>
  </si>
  <si>
    <t>J250090</t>
  </si>
  <si>
    <t>P. Kusbinarto</t>
  </si>
  <si>
    <t>+62 818-0310-2513</t>
  </si>
  <si>
    <t>L 1928 ABR</t>
  </si>
  <si>
    <t xml:space="preserve">BI-FAST CR TRANSFER   DR 009 YUSTISIA AKHRIATI
</t>
  </si>
  <si>
    <t>J250091</t>
  </si>
  <si>
    <t>J250092</t>
  </si>
  <si>
    <t>P. Riwanto</t>
  </si>
  <si>
    <t>+62 813-3064-4422</t>
  </si>
  <si>
    <t xml:space="preserve">TRSF E-BANKING CR 2510/FTSCY/WS95031        1500000.00kaca depan        RIWANTO
</t>
  </si>
  <si>
    <t>J250093</t>
  </si>
  <si>
    <t>P. Dany Ahmad</t>
  </si>
  <si>
    <t>+62 821-3277-9815</t>
  </si>
  <si>
    <t>S 1274 PN</t>
  </si>
  <si>
    <t xml:space="preserve">BI-FAST CR TRANSFER   DR 008 DANY AHMAD ROSYADI
</t>
  </si>
  <si>
    <t>J250094</t>
  </si>
  <si>
    <t>P. Rivaldo</t>
  </si>
  <si>
    <t>+62 822-1166-9089</t>
  </si>
  <si>
    <t>Flores</t>
  </si>
  <si>
    <t xml:space="preserve">BI-FAST CR TRANSFER   DR 008 PETER RIVALDO RATU
</t>
  </si>
  <si>
    <t>J250095</t>
  </si>
  <si>
    <t>TOKO BAJO VARIASI</t>
  </si>
  <si>
    <t>'+62 812-3609-2077</t>
  </si>
  <si>
    <t>BI-FAST CR TRANSFER DR 009 SERVOLUS TONY ORBI</t>
  </si>
  <si>
    <t>J250096</t>
  </si>
  <si>
    <t>‪+62 857‑8487‑7944‬</t>
  </si>
  <si>
    <t>W 1499 ZN</t>
  </si>
  <si>
    <t xml:space="preserve">BI-FAST CR TRANSFER   DR 022 GUSTIYAR PANDU SAT
</t>
  </si>
  <si>
    <t>J250097</t>
  </si>
  <si>
    <t>P. Nofel</t>
  </si>
  <si>
    <t>‪+62 821‑3224‑7206‬</t>
  </si>
  <si>
    <t xml:space="preserve">TRSF E-BANKING CR 2610/FTSCY/WS95031         500000.00Nofel             ANGGUN LILIAN ADEK
</t>
  </si>
  <si>
    <t>J250098</t>
  </si>
  <si>
    <t>‪+62 813‑3073‑5633‬</t>
  </si>
  <si>
    <t xml:space="preserve">TRSF E-BANKING CR 2610/FTSCY/WS95031          30000.00tanda jadi        DARMAWAN CAHYO RIY
 / TRSF E-BANKING CR 2810/FTSCY/WS95031        2830000.00pelunasan kaca Innova reborn        DARMAWAN CAHYO RIY
</t>
  </si>
  <si>
    <t>J250099</t>
  </si>
  <si>
    <t>P. Reza Herlianto</t>
  </si>
  <si>
    <t>+62 895-3271-28638</t>
  </si>
  <si>
    <t xml:space="preserve">CASH / TRSF E-BANKING CR 2710/FTSCY/WS95031          30000.00DP pasang kaca xenia Reza herlia    MUHAMAD RUDY FIRMA
</t>
  </si>
  <si>
    <t>J250100</t>
  </si>
  <si>
    <t>P. Vally Diky Paticelona</t>
  </si>
  <si>
    <t>+62 812-9443-4185</t>
  </si>
  <si>
    <t>S 1156 NH</t>
  </si>
  <si>
    <t xml:space="preserve">KR OTOMATIS NTRF@974501599X0Z6041@BCA25103469283@Pembacara kaca mob @AFR            Vally Diky Paticel
</t>
  </si>
  <si>
    <t>J250101</t>
  </si>
  <si>
    <t>P. Randy Andrean</t>
  </si>
  <si>
    <t>+62 877-7008-0023</t>
  </si>
  <si>
    <t>M 1830 GG</t>
  </si>
  <si>
    <t>sidoarjo</t>
  </si>
  <si>
    <t>J250102</t>
  </si>
  <si>
    <t>Ka Andi Rini Ayu</t>
  </si>
  <si>
    <t>+62 821-8962-9030</t>
  </si>
  <si>
    <t xml:space="preserve">TRSF E-BANKING CR 2810/FTSCY/WS95031         100000.00ongkir pengiriman kaca mobil        ANDI RINI AYU WULA / TRSF E-BANKING CR 2810/FTSCY/WS95031        1278000.00MARJAN AGUSSALIM
</t>
  </si>
  <si>
    <t>J250103</t>
  </si>
  <si>
    <t>P. Asen</t>
  </si>
  <si>
    <t>+62 822-3220-3889</t>
  </si>
  <si>
    <t>L 1870 MW</t>
  </si>
  <si>
    <t xml:space="preserve">TRSF E-BANKING CR 2810/FTSCY/WS95031        1619000.00kaca yaris        JAHJA GUNAWAN
</t>
  </si>
  <si>
    <t>J250104</t>
  </si>
  <si>
    <t>+62 895-3303-30905</t>
  </si>
  <si>
    <t>J250105</t>
  </si>
  <si>
    <t>P. Iskandar</t>
  </si>
  <si>
    <t>+62 821-4007-8766</t>
  </si>
  <si>
    <t>J250106</t>
  </si>
  <si>
    <t>P. Dotomo</t>
  </si>
  <si>
    <t>+62 813-3173-1008</t>
  </si>
  <si>
    <t xml:space="preserve">TRSF E-BANKING CR 2810/FTSCY/WS95271          30000.00DHARMA KUSUMA / TRSF E-BANKING CR 2910/FTSCY/WS95271        3093000.00DHARMA KUSUMA
</t>
  </si>
  <si>
    <t>J250107</t>
  </si>
  <si>
    <t>LFW-AXORXYG</t>
  </si>
  <si>
    <t>P. Faktul Amin</t>
  </si>
  <si>
    <t>+62 822-2866-5844</t>
  </si>
  <si>
    <t xml:space="preserve">SWITCHING CR TRF        DR 002 FATKUL AMIN       NEW BRI MOB
 / BI-FAST CR TRANSFER   DR 002 FATKUL AMIN
</t>
  </si>
  <si>
    <t>J250108</t>
  </si>
  <si>
    <t>FDL-E36XYG</t>
  </si>
  <si>
    <t>P. Oki</t>
  </si>
  <si>
    <t>+62 816-5417-696</t>
  </si>
  <si>
    <t xml:space="preserve">DP TRSF E-BANKING CR 2910/FTSCY/WS95031         405000.00kaca pintu depan E36                ABE OKIANUGROHO
 / PELUNASAN TRSF E-BANKING CR 0311/FTSCY/WS95031         945000.00pelunasan kaca bmwABE OKIANUGROHO
</t>
  </si>
  <si>
    <t>J250109</t>
  </si>
  <si>
    <t>"Ka Layla</t>
  </si>
  <si>
    <t>+62 881-0264-82625</t>
  </si>
  <si>
    <t>N 1997 WO</t>
  </si>
  <si>
    <t xml:space="preserve">"Ka Layla
</t>
  </si>
  <si>
    <t>J250110</t>
  </si>
  <si>
    <t>P. Rikko</t>
  </si>
  <si>
    <t>+62 813-8175-8546</t>
  </si>
  <si>
    <t xml:space="preserve">BI-FAST CR TRANSFER   DR 008 MOKHAMAD RIKKO SET
</t>
  </si>
  <si>
    <t>J250111</t>
  </si>
  <si>
    <t>Sinar Olympic Maumere</t>
  </si>
  <si>
    <t>+62 812-4666-1647</t>
  </si>
  <si>
    <t xml:space="preserve">TRSF E-BANKING CR 3010/FTSCY/WS95011        1280000.00YUSIDRI BOKY
</t>
  </si>
  <si>
    <t>J250112</t>
  </si>
  <si>
    <t>P. Fahry</t>
  </si>
  <si>
    <t>+62 821-4625-1880</t>
  </si>
  <si>
    <t>L 1020 AR</t>
  </si>
  <si>
    <t xml:space="preserve">TRSF E-BANKING CR 3110/FTSCY/WS95031          30000.00YAYUK TRIASTUTI / TRSF E-BANKING CR 3110/FTSCY/WS95031         970000.00YAYUK TRIASTUTI
</t>
  </si>
  <si>
    <t>J250113</t>
  </si>
  <si>
    <t>+62 822-4468-3470</t>
  </si>
  <si>
    <t>K250001</t>
  </si>
  <si>
    <t>P. Bryan Angka</t>
  </si>
  <si>
    <t>+62 812-3467-6053</t>
  </si>
  <si>
    <t>L 1371 YZ</t>
  </si>
  <si>
    <t>K250002</t>
  </si>
  <si>
    <t>P. Sunli</t>
  </si>
  <si>
    <t>087849701599</t>
  </si>
  <si>
    <t>M 1767 HX</t>
  </si>
  <si>
    <t>K250003</t>
  </si>
  <si>
    <t>P. Krismon</t>
  </si>
  <si>
    <t>085959522073</t>
  </si>
  <si>
    <t>L 1599 HI</t>
  </si>
  <si>
    <t>K250004</t>
  </si>
  <si>
    <t>Kak Safa</t>
  </si>
  <si>
    <t>+62 823-3393-2595</t>
  </si>
  <si>
    <t>S 1003 XH</t>
  </si>
  <si>
    <t>K250005</t>
  </si>
  <si>
    <t>P.  Eko widi Saputra</t>
  </si>
  <si>
    <t>+62 813-3941-4019</t>
  </si>
  <si>
    <t>K 1626 DT</t>
  </si>
  <si>
    <t>K250006</t>
  </si>
  <si>
    <t>Kak Shofi</t>
  </si>
  <si>
    <t>+62 822-1072-4040</t>
  </si>
  <si>
    <t>B 1521 TTI</t>
  </si>
  <si>
    <t>K250007</t>
  </si>
  <si>
    <t>Bp. Jemmy Satria</t>
  </si>
  <si>
    <t>+62 813-3299-6886</t>
  </si>
  <si>
    <t>L 1976 SL</t>
  </si>
  <si>
    <t>K250008</t>
  </si>
  <si>
    <t xml:space="preserve">P. Ismail </t>
  </si>
  <si>
    <t>+62 896-0344-3243</t>
  </si>
  <si>
    <t>W 9453 NZ</t>
  </si>
  <si>
    <t>K250009</t>
  </si>
  <si>
    <t>Ka Aldo</t>
  </si>
  <si>
    <t>+62 812-1738-6535</t>
  </si>
  <si>
    <t>L 1907 JC</t>
  </si>
  <si>
    <t>K250010</t>
  </si>
  <si>
    <t>K250011</t>
  </si>
  <si>
    <t>P.Sutrisno</t>
  </si>
  <si>
    <t>+62 851-0035-6391</t>
  </si>
  <si>
    <t>L 1571 ZQ</t>
  </si>
  <si>
    <t>K250012</t>
  </si>
  <si>
    <t>B Lia</t>
  </si>
  <si>
    <t>+62 877-0332-2255</t>
  </si>
  <si>
    <t>L 1267 WN</t>
  </si>
  <si>
    <t>K250013</t>
  </si>
  <si>
    <t>+62 817-0370-4849</t>
  </si>
  <si>
    <t>K250014</t>
  </si>
  <si>
    <t>FDL-NAVARA15XYG</t>
  </si>
  <si>
    <t>+62 895-3543-03222</t>
  </si>
  <si>
    <t>K250015</t>
  </si>
  <si>
    <t>M. Abduh</t>
  </si>
  <si>
    <t>‪+62 813‑9343‑7747‬</t>
  </si>
  <si>
    <t>W 1204 ZU</t>
  </si>
  <si>
    <t>K250016</t>
  </si>
  <si>
    <t>P. Kholili/ B. roni</t>
  </si>
  <si>
    <t>+62 838-5691-5532</t>
  </si>
  <si>
    <t>K250017</t>
  </si>
  <si>
    <t>Pengadilan Agama Kangean</t>
  </si>
  <si>
    <t>'+62 821-3715-7933</t>
  </si>
  <si>
    <t>K250018</t>
  </si>
  <si>
    <t>P. Alvin</t>
  </si>
  <si>
    <t>+62 851-6267-0950</t>
  </si>
  <si>
    <t>K250019</t>
  </si>
  <si>
    <t>P. Hendy</t>
  </si>
  <si>
    <t>+62 895-1589-8769</t>
  </si>
  <si>
    <t>K250020</t>
  </si>
  <si>
    <t>Aceng</t>
  </si>
  <si>
    <t>+62 813-1958-4938</t>
  </si>
  <si>
    <t>W 1663 CR</t>
  </si>
  <si>
    <t>WA</t>
  </si>
  <si>
    <t>Thar</t>
  </si>
  <si>
    <t>K250021</t>
  </si>
  <si>
    <t>Sarinah Autoparts Surabaya</t>
  </si>
  <si>
    <t>+62 821-2012-0125</t>
  </si>
  <si>
    <t>K250022</t>
  </si>
  <si>
    <t>P. Djoko</t>
  </si>
  <si>
    <t>081358805022</t>
  </si>
  <si>
    <t>L 1526 NU</t>
  </si>
  <si>
    <t>K250023</t>
  </si>
  <si>
    <t>P. Erik</t>
  </si>
  <si>
    <t>+62 813-3647-8244</t>
  </si>
  <si>
    <t>L 1637 MF</t>
  </si>
  <si>
    <t>K250024</t>
  </si>
  <si>
    <t>Andi Wiyanto</t>
  </si>
  <si>
    <t>+62 812-3115-9198</t>
  </si>
  <si>
    <t>L 1874 KQ</t>
  </si>
  <si>
    <t>K250025</t>
  </si>
  <si>
    <t>LFW-VIOS13XYG</t>
  </si>
  <si>
    <t>+62 813-3224-6115</t>
  </si>
  <si>
    <t>K250026</t>
  </si>
  <si>
    <t>+62 853-3000-3211</t>
  </si>
  <si>
    <t>M 8984 HC</t>
  </si>
  <si>
    <t>K250027</t>
  </si>
  <si>
    <t>LFW-FJ100RSXYG</t>
  </si>
  <si>
    <t>P. Yoyok Suwarno</t>
  </si>
  <si>
    <t>+62 812-3000-140</t>
  </si>
  <si>
    <t>K250028</t>
  </si>
  <si>
    <t>K250029</t>
  </si>
  <si>
    <t>+62 838-3152-1777</t>
  </si>
  <si>
    <t>L 1697 DBB</t>
  </si>
  <si>
    <t>K250030</t>
  </si>
  <si>
    <t>P. Maryono</t>
  </si>
  <si>
    <t>+62 812-3044-923</t>
  </si>
  <si>
    <t>W 1885 K</t>
  </si>
  <si>
    <t>K250031</t>
  </si>
  <si>
    <t>Ka Shafira</t>
  </si>
  <si>
    <t>AG 1407 CZ</t>
  </si>
  <si>
    <t>K250032</t>
  </si>
  <si>
    <t>P.Alwi</t>
  </si>
  <si>
    <t>+62 813-3654-9701</t>
  </si>
  <si>
    <t>K250033</t>
  </si>
  <si>
    <t>L 1340 WV</t>
  </si>
  <si>
    <t>K250034</t>
  </si>
  <si>
    <t>P. Imam Hanafi</t>
  </si>
  <si>
    <t>+62 823-3712-5197</t>
  </si>
  <si>
    <t>K250035</t>
  </si>
  <si>
    <t xml:space="preserve">Marhawi </t>
  </si>
  <si>
    <t>+62 877-5084-3088</t>
  </si>
  <si>
    <t>M 1472 NF</t>
  </si>
  <si>
    <t>K250036</t>
  </si>
  <si>
    <t>P. Vino</t>
  </si>
  <si>
    <t>+62 821-3167-3060</t>
  </si>
  <si>
    <t>K250037</t>
  </si>
  <si>
    <t>K250038</t>
  </si>
  <si>
    <t>Ka Rama Soetomo</t>
  </si>
  <si>
    <t>081336628252</t>
  </si>
  <si>
    <t>L 1793 DBB</t>
  </si>
  <si>
    <t>K250039</t>
  </si>
  <si>
    <t>K250040</t>
  </si>
  <si>
    <t>JFJ SBY (Nikky Saumlaki)</t>
  </si>
  <si>
    <t>(+62)83850563080</t>
  </si>
  <si>
    <t>K250041</t>
  </si>
  <si>
    <t>Ka Hans</t>
  </si>
  <si>
    <t>L 1761 JF</t>
  </si>
  <si>
    <t>K250042</t>
  </si>
  <si>
    <t>+62 812-1719-9888</t>
  </si>
  <si>
    <t>W 9611 CA</t>
  </si>
  <si>
    <t>K250043</t>
  </si>
  <si>
    <t>+62 821-3912-1119</t>
  </si>
  <si>
    <t>W 1736 VH</t>
  </si>
  <si>
    <t>K250044</t>
  </si>
  <si>
    <t>P. Khoirum</t>
  </si>
  <si>
    <t>+62 822-5755-7644</t>
  </si>
  <si>
    <t>L 1504 ABS</t>
  </si>
  <si>
    <t>K250045</t>
  </si>
  <si>
    <t>W 1375 CT</t>
  </si>
  <si>
    <t>K250046</t>
  </si>
  <si>
    <t>Ka Dian</t>
  </si>
  <si>
    <t>+62 811-3038-757</t>
  </si>
  <si>
    <t>S 1495 WW</t>
  </si>
  <si>
    <t>K250047</t>
  </si>
  <si>
    <t>K250048</t>
  </si>
  <si>
    <t>+62 813-3326-1996</t>
  </si>
  <si>
    <t>K250049</t>
  </si>
  <si>
    <t>P. Samsul Efendi</t>
  </si>
  <si>
    <t>+62 812-3026-2228</t>
  </si>
  <si>
    <t>L 1734 GO</t>
  </si>
  <si>
    <t>K250050</t>
  </si>
  <si>
    <t>P. Hamsyah</t>
  </si>
  <si>
    <t>K250051</t>
  </si>
  <si>
    <t>Ka Trita</t>
  </si>
  <si>
    <t>+62 821-4677-2846</t>
  </si>
  <si>
    <t>S 1958 HY</t>
  </si>
  <si>
    <t>K250052</t>
  </si>
  <si>
    <t>K250053</t>
  </si>
  <si>
    <t>+62 858-5050-2898</t>
  </si>
  <si>
    <t>K250054</t>
  </si>
  <si>
    <t>Ka Jovian</t>
  </si>
  <si>
    <t>+62 812-1769-2855</t>
  </si>
  <si>
    <t>K250055</t>
  </si>
  <si>
    <t>PT Sarana Lintang Langgeng Lestari</t>
  </si>
  <si>
    <t>+62 851-0472-0001</t>
  </si>
  <si>
    <t>L 1950 CL</t>
  </si>
  <si>
    <t>K250056</t>
  </si>
  <si>
    <t>P. Nuki</t>
  </si>
  <si>
    <t>K250057</t>
  </si>
  <si>
    <t>Agus Riyanto</t>
  </si>
  <si>
    <t>+62 851-0078-4049</t>
  </si>
  <si>
    <t>K250058</t>
  </si>
  <si>
    <t>Ka Firdaus</t>
  </si>
  <si>
    <t>+62 812-1656-211</t>
  </si>
  <si>
    <t>W 1599 AF</t>
  </si>
  <si>
    <t>K250059</t>
  </si>
  <si>
    <t>RDR-TARUNAASH</t>
  </si>
  <si>
    <t>Dimas Ruswadun Pratama</t>
  </si>
  <si>
    <t>+62 878-6544-6912</t>
  </si>
  <si>
    <t>K250060</t>
  </si>
  <si>
    <t>K250061</t>
  </si>
  <si>
    <t>KPU KAB. BANGKALAN</t>
  </si>
  <si>
    <t>+62 857-4602-4597</t>
  </si>
  <si>
    <t>M 1246 GP</t>
  </si>
  <si>
    <t>K250062</t>
  </si>
  <si>
    <t>Fahmi Ingong Wisata</t>
  </si>
  <si>
    <t>+62 813-3336-6356</t>
  </si>
  <si>
    <t>W 1766 NB</t>
  </si>
  <si>
    <t>K250063</t>
  </si>
  <si>
    <t>Ka Ferdi</t>
  </si>
  <si>
    <t>+62 859-2108-4467</t>
  </si>
  <si>
    <t>W 1233 DD</t>
  </si>
  <si>
    <t>K250064</t>
  </si>
  <si>
    <t>Al Mahdi</t>
  </si>
  <si>
    <t>+62 821-3919-2844</t>
  </si>
  <si>
    <t>L 8485 BG</t>
  </si>
  <si>
    <t>K250065</t>
  </si>
  <si>
    <t>Haidir Ende</t>
  </si>
  <si>
    <t>+6281339218378</t>
  </si>
  <si>
    <t>K250066</t>
  </si>
  <si>
    <t>Agus Tirawan / P.Aji</t>
  </si>
  <si>
    <t>+62 819-1609-6969</t>
  </si>
  <si>
    <t>K250067</t>
  </si>
  <si>
    <t xml:space="preserve">P. Steven / Cakra Inti Plastik </t>
  </si>
  <si>
    <t>K250068</t>
  </si>
  <si>
    <t>+62 838-2908-9477</t>
  </si>
  <si>
    <t>K250069</t>
  </si>
  <si>
    <t>TRW-STARGAZERFY</t>
  </si>
  <si>
    <t>P. Mudhofir</t>
  </si>
  <si>
    <t>+62 811-854-272</t>
  </si>
  <si>
    <t>K250070</t>
  </si>
  <si>
    <t xml:space="preserve">Pengecekan Kaca Mobil Samping                                </t>
  </si>
  <si>
    <t>P. Hartono</t>
  </si>
  <si>
    <t>+62 856-0801-0617</t>
  </si>
  <si>
    <t>K250071</t>
  </si>
  <si>
    <t>P. Mufarichul Anam</t>
  </si>
  <si>
    <t>+62 858-5228-8822</t>
  </si>
  <si>
    <t>jombang</t>
  </si>
  <si>
    <t>K250072</t>
  </si>
  <si>
    <t>P. Faisal</t>
  </si>
  <si>
    <t>+62 816-5413-530</t>
  </si>
  <si>
    <t>L 1873 DA</t>
  </si>
  <si>
    <t>K250073</t>
  </si>
  <si>
    <t>BAZNAS</t>
  </si>
  <si>
    <t>+62 895-3204-88880</t>
  </si>
  <si>
    <t>L 1223 AOB</t>
  </si>
  <si>
    <t>K250074</t>
  </si>
  <si>
    <t>Ka Dzikri</t>
  </si>
  <si>
    <t>+62 812-1680-2317</t>
  </si>
  <si>
    <t>S 1909 EZ</t>
  </si>
  <si>
    <t>K250075</t>
  </si>
  <si>
    <t xml:space="preserve">Pengecekan Kaca Mobil Depan                                </t>
  </si>
  <si>
    <t>Bu Winda</t>
  </si>
  <si>
    <t>+62 896-6601-1000</t>
  </si>
  <si>
    <t>K250076</t>
  </si>
  <si>
    <t>Ibu Nur Hanyani/ P. Domi</t>
  </si>
  <si>
    <t>+62 821-1996-3581</t>
  </si>
  <si>
    <t>K250077</t>
  </si>
  <si>
    <t>P. Gundol</t>
  </si>
  <si>
    <t>W 1061 SO</t>
  </si>
  <si>
    <t>K250078</t>
  </si>
  <si>
    <t>K250079</t>
  </si>
  <si>
    <t>TRW-INNOVA15AGC</t>
  </si>
  <si>
    <t>P. Pemekar Hunga</t>
  </si>
  <si>
    <t>+62 852-3700-7139</t>
  </si>
  <si>
    <t>K250080</t>
  </si>
  <si>
    <t>W 1809 PS</t>
  </si>
  <si>
    <t>K250081</t>
  </si>
  <si>
    <t>TRW-XPANDER22HAGC</t>
  </si>
  <si>
    <t>Dito William</t>
  </si>
  <si>
    <t>‪+62 822‑4643‑4403‬</t>
  </si>
  <si>
    <t>BK 1721 NS</t>
  </si>
  <si>
    <t>K250082</t>
  </si>
  <si>
    <t>P. Hafi</t>
  </si>
  <si>
    <t>+62 877-5021-9021</t>
  </si>
  <si>
    <t>K250083</t>
  </si>
  <si>
    <t>Sakti Purbawasesa</t>
  </si>
  <si>
    <t>N 74 FA</t>
  </si>
  <si>
    <t>K250084</t>
  </si>
  <si>
    <t>P. Kriss</t>
  </si>
  <si>
    <t>+62 821-4158-5336</t>
  </si>
  <si>
    <t>K250085</t>
  </si>
  <si>
    <t>+62 812-5219-4748</t>
  </si>
  <si>
    <t>K250086</t>
  </si>
  <si>
    <t>H. Denny TMC</t>
  </si>
  <si>
    <t>082342823967/+62 851-0441-1688</t>
  </si>
  <si>
    <t>K250087</t>
  </si>
  <si>
    <t>P. Kadafi</t>
  </si>
  <si>
    <t>+62 838-5451-3976</t>
  </si>
  <si>
    <t>K250088</t>
  </si>
  <si>
    <t>K250089</t>
  </si>
  <si>
    <t>P. Didik P.</t>
  </si>
  <si>
    <t>+62 822-4576-7229</t>
  </si>
  <si>
    <t>K250090</t>
  </si>
  <si>
    <t>Mochammad Ravalio F.</t>
  </si>
  <si>
    <t>kediri</t>
  </si>
  <si>
    <t>1500000+4,599,000</t>
  </si>
  <si>
    <t>K250091</t>
  </si>
  <si>
    <t>+62 823-0011-1060</t>
  </si>
  <si>
    <t>N 1219 SZ</t>
  </si>
  <si>
    <t>K250092</t>
  </si>
  <si>
    <t>P. Prabowo</t>
  </si>
  <si>
    <t>+62 857-8585-1437</t>
  </si>
  <si>
    <t>W 1795 QY</t>
  </si>
  <si>
    <t>K250093</t>
  </si>
  <si>
    <t>TRW-HRV14PIL</t>
  </si>
  <si>
    <t>Ka Selda</t>
  </si>
  <si>
    <t>+62 857-3017-8661</t>
  </si>
  <si>
    <t>W 1713 ZN</t>
  </si>
  <si>
    <t>K250094</t>
  </si>
  <si>
    <t>K250095</t>
  </si>
  <si>
    <t>P. Ginanjar</t>
  </si>
  <si>
    <t>+62 811-2632-602</t>
  </si>
  <si>
    <t>K250096</t>
  </si>
  <si>
    <t>P. Zairusji</t>
  </si>
  <si>
    <t>+62 811-329-453</t>
  </si>
  <si>
    <t>L 1948 ABR</t>
  </si>
  <si>
    <t>K250097</t>
  </si>
  <si>
    <t>+62 856-4947-7794</t>
  </si>
  <si>
    <t>L 1101 DBH</t>
  </si>
  <si>
    <t>K250098</t>
  </si>
  <si>
    <t>+62811310694</t>
  </si>
  <si>
    <t>K250099</t>
  </si>
  <si>
    <t>TRW-BALENO15XYG</t>
  </si>
  <si>
    <t>Ka Adeline</t>
  </si>
  <si>
    <t>+62 812-8508-8877</t>
  </si>
  <si>
    <t>K250100</t>
  </si>
  <si>
    <t>+62 838-5688-5288</t>
  </si>
  <si>
    <t>K250101</t>
  </si>
  <si>
    <t>P. Arif Budiman</t>
  </si>
  <si>
    <t>+62 852-3556-4177</t>
  </si>
  <si>
    <t>K250102</t>
  </si>
  <si>
    <t>LFW-STARLETXYG</t>
  </si>
  <si>
    <t>+62 812-3482-2211</t>
  </si>
  <si>
    <t>K250103</t>
  </si>
  <si>
    <t>P. Henry</t>
  </si>
  <si>
    <t>"+62 856-4708-4008</t>
  </si>
  <si>
    <t>K250104</t>
  </si>
  <si>
    <t>P. Steven</t>
  </si>
  <si>
    <t>K250105</t>
  </si>
  <si>
    <t>Bu Widya</t>
  </si>
  <si>
    <t>+62 813-3551-2320</t>
  </si>
  <si>
    <t>K250106</t>
  </si>
  <si>
    <t>K250107</t>
  </si>
  <si>
    <t>+62 811-3148-835</t>
  </si>
  <si>
    <t>L 1432 LK</t>
  </si>
  <si>
    <t>K250108</t>
  </si>
  <si>
    <t>+62 812-1619-8869</t>
  </si>
  <si>
    <t>W 1097 FE</t>
  </si>
  <si>
    <t>L250001</t>
  </si>
  <si>
    <t>P. Samsudin</t>
  </si>
  <si>
    <t>v</t>
  </si>
  <si>
    <t>L250002</t>
  </si>
  <si>
    <t>SWL-PAJERO08ASH</t>
  </si>
  <si>
    <t>+62 878-2552-0841</t>
  </si>
  <si>
    <t>L250003</t>
  </si>
  <si>
    <t>P. Nasron</t>
  </si>
  <si>
    <t>089696300082</t>
  </si>
  <si>
    <t>L250004</t>
  </si>
  <si>
    <t>TRW-CONFEROXYG</t>
  </si>
  <si>
    <t>P. Ongky</t>
  </si>
  <si>
    <t>+62 895-4259-33535</t>
  </si>
  <si>
    <t>L250005</t>
  </si>
  <si>
    <t>P. Agus Dianto</t>
  </si>
  <si>
    <t>+62 858-1583-5163</t>
  </si>
  <si>
    <t>L250006</t>
  </si>
  <si>
    <t>Pak Januardi/Ibu Erika</t>
  </si>
  <si>
    <t>+62 812-3030-4130</t>
  </si>
  <si>
    <t>L250007</t>
  </si>
  <si>
    <t>TRW-PAJERO16AGC</t>
  </si>
  <si>
    <t>P. Supriyadi</t>
  </si>
  <si>
    <t>+62 813-3358-6888</t>
  </si>
  <si>
    <t>L250008</t>
  </si>
  <si>
    <t>H. Syamsul Marlin BIak</t>
  </si>
  <si>
    <t>+62 889-7667-9020</t>
  </si>
  <si>
    <t>L250009</t>
  </si>
  <si>
    <t>P. Khorik</t>
  </si>
  <si>
    <t>081999070992</t>
  </si>
  <si>
    <t>L250010</t>
  </si>
  <si>
    <t>Daya marketing /CP :Joko setyono</t>
  </si>
  <si>
    <t>+67073106325</t>
  </si>
  <si>
    <t>L250011</t>
  </si>
  <si>
    <t>Fani MIG</t>
  </si>
  <si>
    <t>+62 812-3519-6801</t>
  </si>
  <si>
    <t>L250012</t>
  </si>
  <si>
    <t>LFW-CHRXYG</t>
  </si>
  <si>
    <t>P. Fadhil</t>
  </si>
  <si>
    <t>+62 877-5453-0486</t>
  </si>
  <si>
    <t xml:space="preserve">S 1445 N </t>
  </si>
  <si>
    <t>L250013</t>
  </si>
  <si>
    <t>P. Sidharta</t>
  </si>
  <si>
    <t>+62 812-1603-8499</t>
  </si>
  <si>
    <t>L250014</t>
  </si>
  <si>
    <t>P. Khoiri</t>
  </si>
  <si>
    <t>L250015</t>
  </si>
  <si>
    <t>Ka Daery</t>
  </si>
  <si>
    <t>+62 878-5122-2706</t>
  </si>
  <si>
    <t>L250016</t>
  </si>
  <si>
    <t>TRW-W117XYG</t>
  </si>
  <si>
    <t xml:space="preserve">P. Edison </t>
  </si>
  <si>
    <t>+62 823-3099-9910</t>
  </si>
  <si>
    <t>L250017</t>
  </si>
  <si>
    <t>+62 811-3541-900</t>
  </si>
  <si>
    <t>L250018</t>
  </si>
  <si>
    <t>Toko Bajo Variasi</t>
  </si>
  <si>
    <t>L250019</t>
  </si>
  <si>
    <t>P. Galih</t>
  </si>
  <si>
    <t>+62 812-9901-5994</t>
  </si>
  <si>
    <t>L250020</t>
  </si>
  <si>
    <t>P. Wiwin</t>
  </si>
  <si>
    <t>+62 813-3112-2204</t>
  </si>
  <si>
    <t>L250021</t>
  </si>
  <si>
    <t>L250022</t>
  </si>
  <si>
    <t>P. Ari Wibowo</t>
  </si>
  <si>
    <t>085646071900</t>
  </si>
  <si>
    <t>L250023</t>
  </si>
  <si>
    <t>LFW-G11RS1XYG</t>
  </si>
  <si>
    <t>P. Stendly</t>
  </si>
  <si>
    <t>+62 812-4150-1450</t>
  </si>
  <si>
    <t>L250024</t>
  </si>
  <si>
    <t>LFW-INNOVA22RSAGC</t>
  </si>
  <si>
    <t>L250025</t>
  </si>
  <si>
    <t>P. Shomad</t>
  </si>
  <si>
    <t>+62 852-3402-0258</t>
  </si>
  <si>
    <t>L250026</t>
  </si>
  <si>
    <t>P. Wanto</t>
  </si>
  <si>
    <t>081230548046</t>
  </si>
  <si>
    <t>L250027</t>
  </si>
  <si>
    <t>SAND CAR ACCESORIES</t>
  </si>
  <si>
    <t>+62 812-3234-8422</t>
  </si>
  <si>
    <t>L250028</t>
  </si>
  <si>
    <t>TRW-VITARA05XYG</t>
  </si>
  <si>
    <t>P. Supiryanto</t>
  </si>
  <si>
    <t>+62 811-1550-899</t>
  </si>
  <si>
    <t>L250029</t>
  </si>
  <si>
    <t>P. Robby</t>
  </si>
  <si>
    <t>+62 896-0204-0885</t>
  </si>
  <si>
    <t>L250030</t>
  </si>
  <si>
    <t>L250031</t>
  </si>
  <si>
    <t>Pak Aynul Musthofa</t>
  </si>
  <si>
    <t>+62 813-5896-2088</t>
  </si>
  <si>
    <t>L250032</t>
  </si>
  <si>
    <t>Pak Zaenal Arifin</t>
  </si>
  <si>
    <t>085746623361</t>
  </si>
  <si>
    <t>L250033</t>
  </si>
  <si>
    <t>P. Sapri</t>
  </si>
  <si>
    <t>+62 853-2782-9098</t>
  </si>
  <si>
    <t>L250034</t>
  </si>
  <si>
    <t>+62 815-5676-7437</t>
  </si>
  <si>
    <t>L250035</t>
  </si>
  <si>
    <t>P. Tony</t>
  </si>
  <si>
    <t>L250036</t>
  </si>
  <si>
    <t>L250037</t>
  </si>
  <si>
    <t>LFW-FJ80MU</t>
  </si>
  <si>
    <t>P.  Kusuma Atmadja</t>
  </si>
  <si>
    <t>L250038</t>
  </si>
  <si>
    <t>UD Anugrah Sejahtera</t>
  </si>
  <si>
    <t>+62 853-3512-9080</t>
  </si>
  <si>
    <t>L250039</t>
  </si>
  <si>
    <t>P. Mohs Sukkur</t>
  </si>
  <si>
    <t>+62 881-0361-77711</t>
  </si>
  <si>
    <t>L250040</t>
  </si>
  <si>
    <t>L250041</t>
  </si>
  <si>
    <t xml:space="preserve">P. Suryo
</t>
  </si>
  <si>
    <t>L250042</t>
  </si>
  <si>
    <t>LFW-DYNABY40ASH</t>
  </si>
  <si>
    <t>FDL-DYNABY40ASH</t>
  </si>
  <si>
    <t>L250043</t>
  </si>
  <si>
    <t>L250044</t>
  </si>
  <si>
    <t>P. Zaenal</t>
  </si>
  <si>
    <t>+62 813-3676-6133</t>
  </si>
  <si>
    <t>L250045</t>
  </si>
  <si>
    <t>FDR-VIOS13PIL</t>
  </si>
  <si>
    <t>P. Kiday</t>
  </si>
  <si>
    <t>087825631706</t>
  </si>
  <si>
    <t>L250046</t>
  </si>
  <si>
    <t>P.  Wildhan</t>
  </si>
  <si>
    <t>+62 878-8558-3353</t>
  </si>
  <si>
    <t>L250047</t>
  </si>
  <si>
    <t>Bpk. Rosydin</t>
  </si>
  <si>
    <t>+62 823-3466-0078</t>
  </si>
  <si>
    <t>L250048</t>
  </si>
  <si>
    <t>P. Lukman Hakim</t>
  </si>
  <si>
    <t>Lampung</t>
  </si>
  <si>
    <t>L250049</t>
  </si>
  <si>
    <t>P. Muchlis</t>
  </si>
  <si>
    <t>+62 813-5773-3532</t>
  </si>
  <si>
    <t>L250050</t>
  </si>
  <si>
    <t>P.  Martinus Alexander</t>
  </si>
  <si>
    <t>+62 812-3318-5358</t>
  </si>
  <si>
    <t>L250051</t>
  </si>
  <si>
    <t>"P. Sebastian
"</t>
  </si>
  <si>
    <t>+62 812-1681-1223</t>
  </si>
  <si>
    <t>L250052</t>
  </si>
  <si>
    <t>TRW-ALTIS13XYG</t>
  </si>
  <si>
    <t>P. Kaloka</t>
  </si>
  <si>
    <t>+62 856-6057-377</t>
  </si>
  <si>
    <t>FILM-60STD</t>
  </si>
  <si>
    <t>L250053</t>
  </si>
  <si>
    <t>P. Akbr</t>
  </si>
  <si>
    <t>081333377200</t>
  </si>
  <si>
    <t>toko</t>
  </si>
  <si>
    <t>L250054</t>
  </si>
  <si>
    <t>LFW-RANGER04XYG</t>
  </si>
  <si>
    <t>P. Martinus</t>
  </si>
  <si>
    <t>L250055</t>
  </si>
  <si>
    <t>P. Anas</t>
  </si>
  <si>
    <t>+62 878-8881-7898</t>
  </si>
  <si>
    <t>L250056</t>
  </si>
  <si>
    <t>Pak Adi /Bu Asmaul Husnah</t>
  </si>
  <si>
    <t>+62 895-1209-5387</t>
  </si>
  <si>
    <t>L250057</t>
  </si>
  <si>
    <t xml:space="preserve">P. Panca
</t>
  </si>
  <si>
    <t>+62 813-5756-3047</t>
  </si>
  <si>
    <t>L250058</t>
  </si>
  <si>
    <t>P. Riko</t>
  </si>
  <si>
    <t>+62 822-3427-9675</t>
  </si>
  <si>
    <t>V</t>
  </si>
  <si>
    <t>L250059</t>
  </si>
  <si>
    <t>LFW-AVEGA01XYG</t>
  </si>
  <si>
    <t>P. Farhan Kamal</t>
  </si>
  <si>
    <t>L250060</t>
  </si>
  <si>
    <t>B. Nayy</t>
  </si>
  <si>
    <t>+62 813-3013-9137</t>
  </si>
  <si>
    <t>gresik</t>
  </si>
  <si>
    <t>L250061</t>
  </si>
  <si>
    <t>LFW-FJ150RS2XYG</t>
  </si>
  <si>
    <t>+62 813-8350-3787</t>
  </si>
  <si>
    <t>L250062</t>
  </si>
  <si>
    <t>P. Jackson</t>
  </si>
  <si>
    <t>+62 812-4585-9988</t>
  </si>
  <si>
    <t>L250063</t>
  </si>
  <si>
    <t>P. Luhung</t>
  </si>
  <si>
    <t>+62 822-2840-0084</t>
  </si>
  <si>
    <t>L250064</t>
  </si>
  <si>
    <t>P. Jimmy Gozali</t>
  </si>
  <si>
    <t>Sumatra Barat</t>
  </si>
  <si>
    <t>L250065</t>
  </si>
  <si>
    <t>P. Muji</t>
  </si>
  <si>
    <t>+62 857-0635-7188</t>
  </si>
  <si>
    <t>L250066</t>
  </si>
  <si>
    <t>P. Husnan</t>
  </si>
  <si>
    <t>+62 813-2936-9780</t>
  </si>
  <si>
    <t xml:space="preserve"> Probolinggo</t>
  </si>
  <si>
    <t>L250067</t>
  </si>
  <si>
    <t>+62 851-0244-5902</t>
  </si>
  <si>
    <t>L250068</t>
  </si>
  <si>
    <t>P. Ariq</t>
  </si>
  <si>
    <t>+62 857-4944-3275</t>
  </si>
  <si>
    <t>L250069</t>
  </si>
  <si>
    <t>Angky Imoliana</t>
  </si>
  <si>
    <t>+62 821-9940-3151</t>
  </si>
  <si>
    <t>L250070</t>
  </si>
  <si>
    <t>LFW-AVANZA16XYG</t>
  </si>
  <si>
    <t xml:space="preserve">P. Babai Racdmal </t>
  </si>
  <si>
    <t>+62 821-4581-7666</t>
  </si>
  <si>
    <t>L250071</t>
  </si>
  <si>
    <t>62 821-5022-2416</t>
  </si>
  <si>
    <t>L250072</t>
  </si>
  <si>
    <t>B. Sicilia</t>
  </si>
  <si>
    <t>+62 838-4922-0063</t>
  </si>
  <si>
    <t>L250073</t>
  </si>
  <si>
    <t>L250074</t>
  </si>
  <si>
    <t>P. Ananta</t>
  </si>
  <si>
    <t>+62 812-1683-940</t>
  </si>
  <si>
    <t>L250075</t>
  </si>
  <si>
    <t>Citra ADV</t>
  </si>
  <si>
    <t>+62 812-9633-0007</t>
  </si>
  <si>
    <t>L250076</t>
  </si>
  <si>
    <t>TRW-FORTUNER15BLACKXYG</t>
  </si>
  <si>
    <t>Ka Dana</t>
  </si>
  <si>
    <t>+62 815-8887-993</t>
  </si>
  <si>
    <t>L250077</t>
  </si>
  <si>
    <t>+62 878-6999-4944</t>
  </si>
  <si>
    <t>L250078</t>
  </si>
  <si>
    <t>P. Khusairi</t>
  </si>
  <si>
    <t>085346849072</t>
  </si>
  <si>
    <t>L250079</t>
  </si>
  <si>
    <t>TRW-CIVIC00XYG</t>
  </si>
  <si>
    <t>Winda/Hendra</t>
  </si>
  <si>
    <t>+62 838-5600-3142</t>
  </si>
  <si>
    <t>L250080</t>
  </si>
  <si>
    <t>P. Dibyo</t>
  </si>
  <si>
    <t>+62 813-5708-2929</t>
  </si>
  <si>
    <t>L250081</t>
  </si>
  <si>
    <t>TRW-HRV22PIL</t>
  </si>
  <si>
    <t>Abah Sholihin</t>
  </si>
  <si>
    <t>+62 838-6175-1393</t>
  </si>
  <si>
    <t>L250082</t>
  </si>
  <si>
    <t>P. Ong</t>
  </si>
  <si>
    <t>+62 811-8811-262</t>
  </si>
  <si>
    <t>L250083</t>
  </si>
  <si>
    <t>+62 817-5063-070</t>
  </si>
  <si>
    <t>L250084</t>
  </si>
  <si>
    <t>P. Kusuma</t>
  </si>
  <si>
    <t>+62 852-4002-5207</t>
  </si>
  <si>
    <t>L250085</t>
  </si>
  <si>
    <t>LFW-AVANZA11XYG</t>
  </si>
  <si>
    <t>P. Mukhlis</t>
  </si>
  <si>
    <t>+62 813-3630-1191</t>
  </si>
  <si>
    <t>L250086</t>
  </si>
  <si>
    <t>P. Hendri Laxo</t>
  </si>
  <si>
    <t>+62 878-6610-2318</t>
  </si>
  <si>
    <t>L250087</t>
  </si>
  <si>
    <t>‪+62 878‑5676‑9112‬</t>
  </si>
  <si>
    <t>L250088</t>
  </si>
  <si>
    <t>P. Lexy</t>
  </si>
  <si>
    <t>+62 812-3235-044</t>
  </si>
  <si>
    <t>L250089</t>
  </si>
  <si>
    <t>081917188154</t>
  </si>
  <si>
    <t>lombok</t>
  </si>
  <si>
    <t>L250090</t>
  </si>
  <si>
    <t>B. Mamik</t>
  </si>
  <si>
    <t>+62 856-4878-0220</t>
  </si>
  <si>
    <t>L250091</t>
  </si>
  <si>
    <t>L250092</t>
  </si>
  <si>
    <t>B. Arum Safitri</t>
  </si>
  <si>
    <t>+62 812-1653-969</t>
  </si>
  <si>
    <t>L250093</t>
  </si>
  <si>
    <t>P. Umam</t>
  </si>
  <si>
    <t>+62 821-3247-5367</t>
  </si>
  <si>
    <t>L250094</t>
  </si>
  <si>
    <t>+62 813-1678-0008</t>
  </si>
  <si>
    <t>L250095</t>
  </si>
  <si>
    <t>P.Ahmad</t>
  </si>
  <si>
    <t>+62 857-9090-7197</t>
  </si>
  <si>
    <t>L250096</t>
  </si>
  <si>
    <t>P. Hafid</t>
  </si>
  <si>
    <t>+62 878-5096-5046</t>
  </si>
  <si>
    <t>L250097</t>
  </si>
  <si>
    <t>+62 813-3210-1088</t>
  </si>
  <si>
    <t>L250098</t>
  </si>
  <si>
    <t>P. Surya</t>
  </si>
  <si>
    <t>+62 821-1111-7745</t>
  </si>
  <si>
    <t>L250099</t>
  </si>
  <si>
    <t>LFW-VITARA05XYG</t>
  </si>
  <si>
    <t>+62 857-3034-5321</t>
  </si>
  <si>
    <t>L250100</t>
  </si>
  <si>
    <t>Mitra Niaga</t>
  </si>
  <si>
    <t>+62 812-3485-4568</t>
  </si>
  <si>
    <t>L250101</t>
  </si>
  <si>
    <t>+62 819-3719-8361</t>
  </si>
  <si>
    <t>L250102</t>
  </si>
  <si>
    <t>LFW-L300XYG</t>
  </si>
  <si>
    <t>P. Johanes Hartono</t>
  </si>
  <si>
    <t>+62 896-7776-0276</t>
  </si>
  <si>
    <t>L250103</t>
  </si>
  <si>
    <t>P. Lee</t>
  </si>
  <si>
    <t>+62 812-8020-7038</t>
  </si>
  <si>
    <t>L250104</t>
  </si>
  <si>
    <t>P.  Muhammad Syarif</t>
  </si>
  <si>
    <t>+62 813-3965-7747</t>
  </si>
  <si>
    <t>L250105</t>
  </si>
  <si>
    <t>P.  Agung</t>
  </si>
  <si>
    <t>+62 812-1573-0969</t>
  </si>
  <si>
    <t>A260001</t>
  </si>
  <si>
    <t>P.  Daniel</t>
  </si>
  <si>
    <t>+62 813-2931-2677</t>
  </si>
  <si>
    <t>A260002</t>
  </si>
  <si>
    <t>P. Mahmud</t>
  </si>
  <si>
    <t>+62 822-2988-8440</t>
  </si>
  <si>
    <t>A260003</t>
  </si>
  <si>
    <t>P. Zulfikar</t>
  </si>
  <si>
    <t>081332344556</t>
  </si>
  <si>
    <t>A260004</t>
  </si>
  <si>
    <t>Rental DzulCar</t>
  </si>
  <si>
    <t>+62 821-4027-5118</t>
  </si>
  <si>
    <t>A260005</t>
  </si>
  <si>
    <t>A260006</t>
  </si>
  <si>
    <t>P.Didik</t>
  </si>
  <si>
    <t>082234064606</t>
  </si>
  <si>
    <t>A260007</t>
  </si>
  <si>
    <t>TRW-JUKEXYG</t>
  </si>
  <si>
    <t>P. Faisol</t>
  </si>
  <si>
    <t>+62 857-3127-4144</t>
  </si>
  <si>
    <t>A260008</t>
  </si>
  <si>
    <t>FDR-SIGRA16AGC</t>
  </si>
  <si>
    <t>Ka. Alfa</t>
  </si>
  <si>
    <t>+62 896-8700-0250</t>
  </si>
  <si>
    <t>A260009</t>
  </si>
  <si>
    <t>P. Herman Bejo</t>
  </si>
  <si>
    <t>A260010</t>
  </si>
  <si>
    <t>B. Susi / Apollo Ende</t>
  </si>
  <si>
    <t>A260011</t>
  </si>
  <si>
    <t>RVL-XU30FY</t>
  </si>
  <si>
    <t>Ka Gabriela M S</t>
  </si>
  <si>
    <t>+62 821-3141-9918</t>
  </si>
  <si>
    <t>A260012</t>
  </si>
  <si>
    <t>P. Bowo</t>
  </si>
  <si>
    <t>+62 812-8603-3405</t>
  </si>
  <si>
    <t>A260013</t>
  </si>
  <si>
    <t>Pak Lisin</t>
  </si>
  <si>
    <t>+62 853-3600-0650</t>
  </si>
  <si>
    <t>A260014</t>
  </si>
  <si>
    <t>LFW-BRIOXYG</t>
  </si>
  <si>
    <t>Radit / Ajis</t>
  </si>
  <si>
    <t>+62 821-3224-6313</t>
  </si>
  <si>
    <t>A260015</t>
  </si>
  <si>
    <t>+62 858-5064-6981</t>
  </si>
  <si>
    <t>A260016</t>
  </si>
  <si>
    <t>LFW-FJ150FY</t>
  </si>
  <si>
    <t xml:space="preserve">P. Jimmy Theodore Surjadi </t>
  </si>
  <si>
    <t>+62 822-2912-3488</t>
  </si>
  <si>
    <t>A260017</t>
  </si>
  <si>
    <t>A260018</t>
  </si>
  <si>
    <t>P. Adrian</t>
  </si>
  <si>
    <t>+62 812-3333-3805</t>
  </si>
  <si>
    <t>A260019</t>
  </si>
  <si>
    <t>A260020</t>
  </si>
  <si>
    <t>A260021</t>
  </si>
  <si>
    <t>LFW-W246XYG</t>
  </si>
  <si>
    <t>P. Yudi Chandra</t>
  </si>
  <si>
    <t>+62 811-3344-390</t>
  </si>
  <si>
    <t>A260022</t>
  </si>
  <si>
    <t>P. Eddi</t>
  </si>
  <si>
    <t>+62 813-5731-3055</t>
  </si>
  <si>
    <t>L 1627 EM</t>
  </si>
  <si>
    <t>A260023</t>
  </si>
  <si>
    <t>+62 812-3260-054</t>
  </si>
  <si>
    <t>A260024</t>
  </si>
  <si>
    <t>LFW-AVANZA03XYG</t>
  </si>
  <si>
    <t>Anisah Hardijanti</t>
  </si>
  <si>
    <t>+62 821-3287-8017</t>
  </si>
  <si>
    <t>A260025</t>
  </si>
  <si>
    <t>Zainul arifin</t>
  </si>
  <si>
    <t>+62 813-2627-3959</t>
  </si>
  <si>
    <t>A260026</t>
  </si>
  <si>
    <t>+62 812-7565-4222</t>
  </si>
  <si>
    <t>A260027</t>
  </si>
  <si>
    <t>+62 822-4515-7771</t>
  </si>
  <si>
    <t>A260028</t>
  </si>
  <si>
    <t>Mitra Sejati Distribusi</t>
  </si>
  <si>
    <t>+62 811-318-878</t>
  </si>
  <si>
    <t>A260029</t>
  </si>
  <si>
    <t>LFW-FJ120XYG</t>
  </si>
  <si>
    <t xml:space="preserve">P. Puji (ilfad nb grup merauke)
</t>
  </si>
  <si>
    <t>'+62 823-3139-7704</t>
  </si>
  <si>
    <t>PAPUA</t>
  </si>
  <si>
    <t>+62 823-3139-7704</t>
  </si>
  <si>
    <t>A260030</t>
  </si>
  <si>
    <t>P. Abrori</t>
  </si>
  <si>
    <t>A260031</t>
  </si>
  <si>
    <t>Aries Motor</t>
  </si>
  <si>
    <t>A260032</t>
  </si>
  <si>
    <t>LFW-INNOVA15XYG</t>
  </si>
  <si>
    <t>P. Victor</t>
  </si>
  <si>
    <t>+62 852-2444-5598</t>
  </si>
  <si>
    <t>A260033</t>
  </si>
  <si>
    <t>+62 878-3511-0236</t>
  </si>
  <si>
    <t>A260034</t>
  </si>
  <si>
    <t>+62 812-4961-5269</t>
  </si>
  <si>
    <t>A260035</t>
  </si>
  <si>
    <t>PT. SSP</t>
  </si>
  <si>
    <t>083857941771</t>
  </si>
  <si>
    <t>A260036</t>
  </si>
  <si>
    <t xml:space="preserve">P. Dzaky </t>
  </si>
  <si>
    <t>+62 812-3025-8711</t>
  </si>
  <si>
    <t>A260037</t>
  </si>
  <si>
    <t>+62 812-4666-5989</t>
  </si>
  <si>
    <t>SWL-ALPHARD15HITAMXYG</t>
  </si>
  <si>
    <t>SWR-ALPHARD15HITAMXYG</t>
  </si>
  <si>
    <t>A260038</t>
  </si>
  <si>
    <t>+62 878-5150-5065</t>
  </si>
  <si>
    <t>A260039</t>
  </si>
  <si>
    <t xml:space="preserve">B. Ningrum </t>
  </si>
  <si>
    <t>+62 852-4602-7997</t>
  </si>
  <si>
    <t>A260040</t>
  </si>
  <si>
    <t>Pak Musta'in</t>
  </si>
  <si>
    <t>+62 821-4426-0077</t>
  </si>
  <si>
    <t>A260041</t>
  </si>
  <si>
    <t>P.Harianto</t>
  </si>
  <si>
    <t>'+62 813-5825-1144</t>
  </si>
  <si>
    <t>A260042</t>
  </si>
  <si>
    <t>+62 882-1798-6462</t>
  </si>
  <si>
    <t>A260043</t>
  </si>
  <si>
    <t>P. Ragil Sukoco</t>
  </si>
  <si>
    <t>+62 852-3598-8842</t>
  </si>
  <si>
    <t>A260044</t>
  </si>
  <si>
    <t>LFW-TERIOS06XYG</t>
  </si>
  <si>
    <t>P. Didik Gunawan</t>
  </si>
  <si>
    <t>+62 852-3617-2271</t>
  </si>
  <si>
    <t>A260045</t>
  </si>
  <si>
    <t>P.Dwi</t>
  </si>
  <si>
    <t>+62 857-0777-7709</t>
  </si>
  <si>
    <t>A260046</t>
  </si>
  <si>
    <t>P. Ferri</t>
  </si>
  <si>
    <t>+62 877-5109-1599</t>
  </si>
  <si>
    <t>A260047</t>
  </si>
  <si>
    <t>B. Astutik</t>
  </si>
  <si>
    <t>+62 813-9128-0004</t>
  </si>
  <si>
    <t>A260048</t>
  </si>
  <si>
    <t>+62 823-3660-2366</t>
  </si>
  <si>
    <t>A260049</t>
  </si>
  <si>
    <t>+62 878-6169-2428</t>
  </si>
  <si>
    <t>A260050</t>
  </si>
  <si>
    <t>P. Fikri Fadhilah</t>
  </si>
  <si>
    <t>+62 878-5395-1288</t>
  </si>
  <si>
    <t>A260051</t>
  </si>
  <si>
    <t>H. Aminin</t>
  </si>
  <si>
    <t>A260052</t>
  </si>
  <si>
    <t>A260053</t>
  </si>
  <si>
    <t>LFW-JAZZ01XYG</t>
  </si>
  <si>
    <t>PECAH KO RIAN</t>
  </si>
  <si>
    <t>A260054</t>
  </si>
  <si>
    <t>P. Rogib</t>
  </si>
  <si>
    <t>+62 819-4412-4140</t>
  </si>
  <si>
    <t>A260055</t>
  </si>
  <si>
    <t>PT. Sukses Perkasa Forestama</t>
  </si>
  <si>
    <t>A260056</t>
  </si>
  <si>
    <t>P. Fikri Mahzumi</t>
  </si>
  <si>
    <t>+62 812-3079-9033</t>
  </si>
  <si>
    <t>A260057</t>
  </si>
  <si>
    <t>P. Tonny</t>
  </si>
  <si>
    <t>+62 851-0870-3333</t>
  </si>
  <si>
    <t>A260058</t>
  </si>
  <si>
    <t>P. Haikal</t>
  </si>
  <si>
    <t>+62 858-0445-1334</t>
  </si>
  <si>
    <t>A260059</t>
  </si>
  <si>
    <t>P. Santo</t>
  </si>
  <si>
    <t>0895345593388</t>
  </si>
  <si>
    <t>A260060</t>
  </si>
  <si>
    <t>P. Ferik</t>
  </si>
  <si>
    <t>082313322221</t>
  </si>
  <si>
    <t>A260061</t>
  </si>
  <si>
    <t>A260062</t>
  </si>
  <si>
    <t>P. Salam</t>
  </si>
  <si>
    <t>+62 858-0845-0869</t>
  </si>
  <si>
    <t>A260063</t>
  </si>
  <si>
    <t>P. Iwan Ariansyah</t>
  </si>
  <si>
    <t>+62 858-7233-8936</t>
  </si>
  <si>
    <t>A260064</t>
  </si>
  <si>
    <t>A260065</t>
  </si>
  <si>
    <t>LFW-JAZZ13AGC</t>
  </si>
  <si>
    <t>P. Benny</t>
  </si>
  <si>
    <t>+62 821-3288-8501</t>
  </si>
  <si>
    <t>A260066</t>
  </si>
  <si>
    <t>Ulul Rosyad/Pmm Garage</t>
  </si>
  <si>
    <t>+62 812-3268-7314</t>
  </si>
  <si>
    <t>A260067</t>
  </si>
  <si>
    <t>P. Stiven</t>
  </si>
  <si>
    <t>+62 823-3366-5388</t>
  </si>
  <si>
    <t>A260068</t>
  </si>
  <si>
    <t>TRW-CX3XYG</t>
  </si>
  <si>
    <t>P. Erdyanto</t>
  </si>
  <si>
    <t>+62 812-3576-678</t>
  </si>
  <si>
    <t>A260069</t>
  </si>
  <si>
    <t>B. Felesia</t>
  </si>
  <si>
    <t>+62 812-2882-2777</t>
  </si>
  <si>
    <t>A260070</t>
  </si>
  <si>
    <t>Kak John</t>
  </si>
  <si>
    <t>+62 896-1238-0625</t>
  </si>
  <si>
    <t>A260071</t>
  </si>
  <si>
    <t>A260072</t>
  </si>
  <si>
    <t>Bpk Asero</t>
  </si>
  <si>
    <t>+62 813-3104-5596</t>
  </si>
  <si>
    <t>A260073</t>
  </si>
  <si>
    <t>PT. Erico Indonesia</t>
  </si>
  <si>
    <t>+62 813-3055-9983</t>
  </si>
  <si>
    <t>A260074</t>
  </si>
  <si>
    <t>Rici Afriki</t>
  </si>
  <si>
    <t>+62 812-8787-8001</t>
  </si>
  <si>
    <t>A260075</t>
  </si>
  <si>
    <t>A260076</t>
  </si>
  <si>
    <t>Kiki/ KARMAWAN BAJAWA</t>
  </si>
  <si>
    <t>A260077</t>
  </si>
  <si>
    <t>A260078</t>
  </si>
  <si>
    <t>A260079</t>
  </si>
  <si>
    <t>TRW-CRV12PRESTIGEXYG</t>
  </si>
  <si>
    <t xml:space="preserve"> Ka Vidho</t>
  </si>
  <si>
    <t>+62 812-3047-4999</t>
  </si>
  <si>
    <t>A260080</t>
  </si>
  <si>
    <t xml:space="preserve">P. Rifai </t>
  </si>
  <si>
    <t>+62 811-2513-005</t>
  </si>
  <si>
    <t>A260081</t>
  </si>
  <si>
    <t>PT Mazuta Bima Tek/PIC P.Irul</t>
  </si>
  <si>
    <t>+62 811-3336-9032</t>
  </si>
  <si>
    <t>A260082</t>
  </si>
  <si>
    <t>Bengkel nusa jaya/Saiful Anam</t>
  </si>
  <si>
    <t>+62 818-300-974</t>
  </si>
  <si>
    <t>A260083</t>
  </si>
  <si>
    <t>Kak Riezka</t>
  </si>
  <si>
    <t>+62 812-3209-2786</t>
  </si>
  <si>
    <t>A260084</t>
  </si>
  <si>
    <t xml:space="preserve">PT Pusri </t>
  </si>
  <si>
    <t>+62 813-5091-2605</t>
  </si>
  <si>
    <t>A260085</t>
  </si>
  <si>
    <t>P. Rizki</t>
  </si>
  <si>
    <t>+62 813-3190-9030</t>
  </si>
  <si>
    <t>A260086</t>
  </si>
  <si>
    <t>085203424656</t>
  </si>
  <si>
    <t>A260087</t>
  </si>
  <si>
    <t>NGM GLORY</t>
  </si>
  <si>
    <t>A260088</t>
  </si>
  <si>
    <t>A260089</t>
  </si>
  <si>
    <t>P. Fandy</t>
  </si>
  <si>
    <t>+62 856-0859-1231</t>
  </si>
  <si>
    <t>A260090</t>
  </si>
  <si>
    <t>LFW-FJ100FY</t>
  </si>
  <si>
    <t>PECAH PENGIRIMAN LNP ASURANSI 1JT , GNTI ADIN , ADE , DIMAS ,ALDI,  KORIAN , LIA</t>
  </si>
  <si>
    <t>A260091</t>
  </si>
  <si>
    <t>FDR-HARRIER480NFR</t>
  </si>
  <si>
    <t>PECAH GANTI , ADIN , ADE , DIMAS , ALDI , LIA</t>
  </si>
  <si>
    <t>A260092</t>
  </si>
  <si>
    <t>PECAH GANTI ALDI</t>
  </si>
  <si>
    <t>A260093</t>
  </si>
  <si>
    <t>B260001</t>
  </si>
  <si>
    <t>P. Naair Usman.</t>
  </si>
  <si>
    <t>+62 823-3157-0299</t>
  </si>
  <si>
    <t xml:space="preserve">   </t>
  </si>
  <si>
    <t>B260002</t>
  </si>
  <si>
    <t>B260003</t>
  </si>
  <si>
    <t>P. Kriswanto</t>
  </si>
  <si>
    <t>+62 812-1629-800</t>
  </si>
  <si>
    <t>B260004</t>
  </si>
  <si>
    <t>B. Dian</t>
  </si>
  <si>
    <t>+62 822-4591-9676</t>
  </si>
  <si>
    <t>B260005</t>
  </si>
  <si>
    <t>+62 858-8885-7085</t>
  </si>
  <si>
    <t>B260006</t>
  </si>
  <si>
    <t>Pak Hadi</t>
  </si>
  <si>
    <t>+62 821-3916-8200</t>
  </si>
  <si>
    <t>B260007</t>
  </si>
  <si>
    <t>Pak Adi</t>
  </si>
  <si>
    <t>+62 821-1525-1774</t>
  </si>
  <si>
    <t>B260008</t>
  </si>
  <si>
    <t>B260009</t>
  </si>
  <si>
    <t>PT. SARUNG MANGGA</t>
  </si>
  <si>
    <t>+62 878-6160-0413</t>
  </si>
  <si>
    <t>B260010</t>
  </si>
  <si>
    <t>P. Ibrahim Ahmad</t>
  </si>
  <si>
    <t>+62 812-3575-2936</t>
  </si>
  <si>
    <t>B260011</t>
  </si>
  <si>
    <t>P.Azro</t>
  </si>
  <si>
    <t>+62 822-3166-0743</t>
  </si>
  <si>
    <t>B260012</t>
  </si>
  <si>
    <t>LFW-HRV14AGC</t>
  </si>
  <si>
    <t>Ratri Wulanmayasari</t>
  </si>
  <si>
    <t>+62 811-506-979</t>
  </si>
  <si>
    <t>B260013</t>
  </si>
  <si>
    <t>+62 822-3081-1401</t>
  </si>
  <si>
    <t>B260014</t>
  </si>
  <si>
    <t>+62 822-1831-6303</t>
  </si>
  <si>
    <t>B260015</t>
  </si>
  <si>
    <t>B260016</t>
  </si>
  <si>
    <t>Exp. Titipan Illahi Trans</t>
  </si>
  <si>
    <t>+62 822-3466-2903</t>
  </si>
  <si>
    <t>B260017</t>
  </si>
  <si>
    <t>+62 812-3997-1652</t>
  </si>
  <si>
    <t>B260018</t>
  </si>
  <si>
    <t>Pradiyasa</t>
  </si>
  <si>
    <t>+62 858-5455-2195</t>
  </si>
  <si>
    <t>B260019</t>
  </si>
  <si>
    <t>+62 812-1658-2265</t>
  </si>
  <si>
    <t>B260020</t>
  </si>
  <si>
    <t>P. Suyanto</t>
  </si>
  <si>
    <t>62 878-5242-9444</t>
  </si>
  <si>
    <t>B260021</t>
  </si>
  <si>
    <t>Ka Venny</t>
  </si>
  <si>
    <t>+62 813-3388-1989</t>
  </si>
  <si>
    <t>B260022</t>
  </si>
  <si>
    <t>P. Hamdan</t>
  </si>
  <si>
    <t>+62 856-4552-8593</t>
  </si>
  <si>
    <t>B260023</t>
  </si>
  <si>
    <t>P. Akmalia Rilis</t>
  </si>
  <si>
    <t>+62 877-8117-8695</t>
  </si>
  <si>
    <t>LFW-DYNAXYG</t>
  </si>
  <si>
    <t>B260024</t>
  </si>
  <si>
    <t xml:space="preserve">Ka Adip </t>
  </si>
  <si>
    <t>+62 857-7390-9702</t>
  </si>
  <si>
    <t>B260025</t>
  </si>
  <si>
    <t>Bu Naning</t>
  </si>
  <si>
    <t>+62 852-5756-6618</t>
  </si>
  <si>
    <t>B260026</t>
  </si>
  <si>
    <t>B260027</t>
  </si>
  <si>
    <t>B260028</t>
  </si>
  <si>
    <t>+62 878-4977-7040</t>
  </si>
  <si>
    <t>B260029</t>
  </si>
  <si>
    <t>PT. MULTICLEAN JAYA LESTARI</t>
  </si>
  <si>
    <t>+62 896-7744-6353</t>
  </si>
  <si>
    <t>B260030</t>
  </si>
  <si>
    <t>DIDIK SISWANTO</t>
  </si>
  <si>
    <t>+62 831-2237-4401</t>
  </si>
  <si>
    <t>B260031</t>
  </si>
  <si>
    <t>+62 852-3026-6118</t>
  </si>
  <si>
    <t>B260032</t>
  </si>
  <si>
    <t>B260033</t>
  </si>
  <si>
    <t>P. Dori</t>
  </si>
  <si>
    <t>+62 853-3138-7982</t>
  </si>
  <si>
    <t>B260034</t>
  </si>
  <si>
    <t>BENGKELLAS kharisma</t>
  </si>
  <si>
    <t>+62 822-3428-7240</t>
  </si>
  <si>
    <t>B260035</t>
  </si>
  <si>
    <t>Bpk. Yansen</t>
  </si>
  <si>
    <t>+62 822-3236-2729</t>
  </si>
  <si>
    <t>B260036</t>
  </si>
  <si>
    <t>Cipta Pesona Internusa</t>
  </si>
  <si>
    <t>B260037</t>
  </si>
  <si>
    <t>B260038</t>
  </si>
  <si>
    <t>Ka Vio</t>
  </si>
  <si>
    <t>B260039</t>
  </si>
  <si>
    <t>P. Yen</t>
  </si>
  <si>
    <t>+62 812-1226-2601</t>
  </si>
  <si>
    <t>B260040</t>
  </si>
  <si>
    <t>PT. KAWAN KERJA SEJAHTERA</t>
  </si>
  <si>
    <t>+62 838-5434-5260</t>
  </si>
  <si>
    <t>B260041</t>
  </si>
  <si>
    <t>P. Endarto</t>
  </si>
  <si>
    <t>B260042</t>
  </si>
  <si>
    <t>+62 857-0754-6730</t>
  </si>
  <si>
    <t>B260043</t>
  </si>
  <si>
    <t>P. M. Zidqi</t>
  </si>
  <si>
    <t>+62 812-1709-5185</t>
  </si>
  <si>
    <t>B260044</t>
  </si>
  <si>
    <t>P. Hasto</t>
  </si>
  <si>
    <t>+62 813-6325-2168</t>
  </si>
  <si>
    <t>B260045</t>
  </si>
  <si>
    <t>Moh Andriansyah</t>
  </si>
  <si>
    <t>+62 877-7477-7567</t>
  </si>
  <si>
    <t>B260046</t>
  </si>
  <si>
    <t>B260047</t>
  </si>
  <si>
    <t>Kak Fitrah</t>
  </si>
  <si>
    <t>+62 813-3300-8990</t>
  </si>
  <si>
    <t>B260048</t>
  </si>
  <si>
    <t>TRW-EVERESTXYG</t>
  </si>
  <si>
    <t>Bayu Hidayat</t>
  </si>
  <si>
    <t>+62 852-3256-2737</t>
  </si>
  <si>
    <t>B260049</t>
  </si>
  <si>
    <t>P. Fanny</t>
  </si>
  <si>
    <t>+62 857-1078-7771</t>
  </si>
  <si>
    <t>B260050</t>
  </si>
  <si>
    <t>P. Hanif</t>
  </si>
  <si>
    <t>+62 857-4914-4770</t>
  </si>
  <si>
    <t>B260051</t>
  </si>
  <si>
    <t>P. Rohman</t>
  </si>
  <si>
    <t>+62 857-5862-8347</t>
  </si>
  <si>
    <t>B260052</t>
  </si>
  <si>
    <t>P.  Ismail</t>
  </si>
  <si>
    <t>+62 819-0473-1925</t>
  </si>
  <si>
    <t>B260053</t>
  </si>
  <si>
    <t>Ardhy Suryawan</t>
  </si>
  <si>
    <t>B260054</t>
  </si>
  <si>
    <t>B260055</t>
  </si>
  <si>
    <t>B. Cacik</t>
  </si>
  <si>
    <t>+62 822-2874-3049</t>
  </si>
  <si>
    <t>B260056</t>
  </si>
  <si>
    <t>P. Bima</t>
  </si>
  <si>
    <t>+62 813-2626-2636</t>
  </si>
  <si>
    <t>B260057</t>
  </si>
  <si>
    <t>P.  Soegeng Hartono</t>
  </si>
  <si>
    <t>+62 851-0199-8234</t>
  </si>
  <si>
    <t>B260058</t>
  </si>
  <si>
    <t xml:space="preserve">P. Bilba </t>
  </si>
  <si>
    <t>+62 813-3029-7000</t>
  </si>
  <si>
    <t>B260059</t>
  </si>
  <si>
    <t>P. Edward</t>
  </si>
  <si>
    <t>+62 823-3504-0573</t>
  </si>
  <si>
    <t>B260060</t>
  </si>
  <si>
    <t>LFW-SALSARS1XYG</t>
  </si>
  <si>
    <t>P. Tama</t>
  </si>
  <si>
    <t>+62 857-4816-6246</t>
  </si>
  <si>
    <t>B260061</t>
  </si>
  <si>
    <t>P. Moreno</t>
  </si>
  <si>
    <t>+62 813-5731-5922</t>
  </si>
  <si>
    <t>B260062</t>
  </si>
  <si>
    <t>Bpk Koerniawan</t>
  </si>
  <si>
    <t>+62 817-0313-3358</t>
  </si>
  <si>
    <t>B260063</t>
  </si>
  <si>
    <t>B260064</t>
  </si>
  <si>
    <t>LFW-ALPHARD08RSXYG</t>
  </si>
  <si>
    <t>P. Michael</t>
  </si>
  <si>
    <t>+62 811-3306-081</t>
  </si>
  <si>
    <t>B260065</t>
  </si>
  <si>
    <t>P. Raka</t>
  </si>
  <si>
    <t>+62 896-6049-1503</t>
  </si>
  <si>
    <t>B260066</t>
  </si>
  <si>
    <t xml:space="preserve">P. Ferly </t>
  </si>
  <si>
    <t>+62 819-5443-888</t>
  </si>
  <si>
    <t>B260067</t>
  </si>
  <si>
    <t>P. Andreas</t>
  </si>
  <si>
    <t>+62 815-5300-4013</t>
  </si>
  <si>
    <t>B260068</t>
  </si>
  <si>
    <t>P. Kitto</t>
  </si>
  <si>
    <t>+62 878-4772-6536</t>
  </si>
  <si>
    <t>B260069</t>
  </si>
  <si>
    <t>P. Hary</t>
  </si>
  <si>
    <t>+62 817-7513-7787</t>
  </si>
  <si>
    <t>B260070</t>
  </si>
  <si>
    <t>+62 878-2196-7070</t>
  </si>
  <si>
    <t>B260071</t>
  </si>
  <si>
    <t>Tata Anugerah</t>
  </si>
  <si>
    <t>+62 819-0187-7999</t>
  </si>
  <si>
    <t>B260072</t>
  </si>
  <si>
    <t xml:space="preserve">P. Ervinda </t>
  </si>
  <si>
    <t>+62 822-5764-9555</t>
  </si>
  <si>
    <t>B260073</t>
  </si>
  <si>
    <t>B260074</t>
  </si>
  <si>
    <t>B260075</t>
  </si>
  <si>
    <t>P. Santoso</t>
  </si>
  <si>
    <t>+62 823-3083-1122</t>
  </si>
  <si>
    <t>B260076</t>
  </si>
  <si>
    <t>SWR-RAIZEMU</t>
  </si>
  <si>
    <t>+62 812-3535-2824</t>
  </si>
  <si>
    <t>B260077</t>
  </si>
  <si>
    <t xml:space="preserve">P. Adit </t>
  </si>
  <si>
    <t>+62 811-1529-650</t>
  </si>
  <si>
    <t>B260078</t>
  </si>
  <si>
    <t>B260079</t>
  </si>
  <si>
    <t>P. Dafa</t>
  </si>
  <si>
    <t>+62 813-3348-8658</t>
  </si>
  <si>
    <t>B260080</t>
  </si>
  <si>
    <t>P. Hanief</t>
  </si>
  <si>
    <t>+62 813-9098-5022</t>
  </si>
  <si>
    <t>B260081</t>
  </si>
  <si>
    <t xml:space="preserve">P. Dwi </t>
  </si>
  <si>
    <t>B260082</t>
  </si>
  <si>
    <t>Bpk Zeini</t>
  </si>
  <si>
    <t>+62 878-2939-0427</t>
  </si>
  <si>
    <t>B260083</t>
  </si>
  <si>
    <t>Feaannadia Solid Garage</t>
  </si>
  <si>
    <t>+62 823-1332-5471</t>
  </si>
  <si>
    <t>B260084</t>
  </si>
  <si>
    <t>P.INDRA</t>
  </si>
  <si>
    <t>+62 823-1511-1213</t>
  </si>
  <si>
    <t>B260085</t>
  </si>
  <si>
    <t>B260086</t>
  </si>
  <si>
    <t>P. Tohar</t>
  </si>
  <si>
    <t>B260087</t>
  </si>
  <si>
    <t>P. Fahmi</t>
  </si>
  <si>
    <t>62 857-7738-3967</t>
  </si>
  <si>
    <t>B260088</t>
  </si>
  <si>
    <t>P. Tonny Andreas</t>
  </si>
  <si>
    <t>+62 895-1000-3728</t>
  </si>
  <si>
    <t>B260089</t>
  </si>
  <si>
    <t>FDL-SIGRA16AGC</t>
  </si>
  <si>
    <t>Zainal Solihin</t>
  </si>
  <si>
    <t>62 813-1087-2141</t>
  </si>
  <si>
    <t>B260090</t>
  </si>
  <si>
    <t>LFW-SPARK98XYG</t>
  </si>
  <si>
    <t>+62 838-5650-6427</t>
  </si>
  <si>
    <t>B260091</t>
  </si>
  <si>
    <t>B260092</t>
  </si>
  <si>
    <t>+62 815-5044-946</t>
  </si>
  <si>
    <t>B260093</t>
  </si>
  <si>
    <t>+62 812-5229-9980</t>
  </si>
  <si>
    <t>B260094</t>
  </si>
  <si>
    <t>+62 882-0090-77463</t>
  </si>
  <si>
    <t>B260095</t>
  </si>
  <si>
    <t>Bpk. Rian</t>
  </si>
  <si>
    <t>+62 895-3960-35058</t>
  </si>
  <si>
    <t>B260096</t>
  </si>
  <si>
    <t>Pak Djoni</t>
  </si>
  <si>
    <t>+62 881-0279-71818</t>
  </si>
  <si>
    <t>B260097</t>
  </si>
  <si>
    <t>+62 822-4449-7246</t>
  </si>
  <si>
    <t>B260098</t>
  </si>
  <si>
    <t>P. Edi Wijono</t>
  </si>
  <si>
    <t>+62 823-4838-2255</t>
  </si>
  <si>
    <t>P.  Ramdhan</t>
  </si>
  <si>
    <t>+62 822-2968-3789</t>
  </si>
  <si>
    <t>B260099</t>
  </si>
  <si>
    <t>C260001</t>
  </si>
  <si>
    <t>62 853-3415-9888</t>
  </si>
  <si>
    <t>C260002</t>
  </si>
  <si>
    <t>C260003</t>
  </si>
  <si>
    <t>+62 817-0307-5555</t>
  </si>
  <si>
    <t>C260004</t>
  </si>
  <si>
    <t xml:space="preserve">P.Bismo </t>
  </si>
  <si>
    <t>+62 823-3213-4068</t>
  </si>
  <si>
    <t>C260005</t>
  </si>
  <si>
    <t>C260006</t>
  </si>
  <si>
    <t>+62 895-1219-9193</t>
  </si>
  <si>
    <t>C260007</t>
  </si>
  <si>
    <t>P. Irza</t>
  </si>
  <si>
    <t>+62 819-3459-9351</t>
  </si>
  <si>
    <t>C260008</t>
  </si>
  <si>
    <t>C260009</t>
  </si>
  <si>
    <t>C260010</t>
  </si>
  <si>
    <t>+62 857-3318-9558</t>
  </si>
  <si>
    <t>C260011</t>
  </si>
  <si>
    <t>P. Fafan</t>
  </si>
  <si>
    <t>+62 811-395-755</t>
  </si>
  <si>
    <t>C260012</t>
  </si>
  <si>
    <t>P. Bobby</t>
  </si>
  <si>
    <t>+62 812-1111-7058</t>
  </si>
  <si>
    <t>C260013</t>
  </si>
  <si>
    <t>P. STANILAUS</t>
  </si>
  <si>
    <t>+62 816-565-708</t>
  </si>
  <si>
    <t>C260014</t>
  </si>
  <si>
    <t>C260015</t>
  </si>
  <si>
    <t>P. Nanok</t>
  </si>
  <si>
    <t>+62 895-3970-44792</t>
  </si>
  <si>
    <t>C260016</t>
  </si>
  <si>
    <t xml:space="preserve">Anom Wicaksono </t>
  </si>
  <si>
    <t>+62 812-1212-1163</t>
  </si>
  <si>
    <t>C260017</t>
  </si>
  <si>
    <t>P. Joe</t>
  </si>
  <si>
    <t>C260018</t>
  </si>
  <si>
    <t>C260019</t>
  </si>
  <si>
    <t>SWR-BALENOSX408XYG</t>
  </si>
  <si>
    <t>B. Dianne</t>
  </si>
  <si>
    <t>+62 813-3089-1282</t>
  </si>
  <si>
    <t>C260020</t>
  </si>
  <si>
    <t>P. Gusti</t>
  </si>
  <si>
    <t>+62 812-5252-5699</t>
  </si>
  <si>
    <t>C260021</t>
  </si>
  <si>
    <t>CV. MAJU BERSAMA</t>
  </si>
  <si>
    <t>+62 878-1122-0888</t>
  </si>
  <si>
    <t>C260022</t>
  </si>
  <si>
    <t>P. M Fauzi Lubis</t>
  </si>
  <si>
    <t>+62 813-3055-3095</t>
  </si>
  <si>
    <t>C260023</t>
  </si>
  <si>
    <t xml:space="preserve">P. Ricky </t>
  </si>
  <si>
    <t>+62 852-3887-1730</t>
  </si>
  <si>
    <t>C260024</t>
  </si>
  <si>
    <t>C260025</t>
  </si>
  <si>
    <t xml:space="preserve">Ka Dian </t>
  </si>
  <si>
    <t>+62 856-4981-8278</t>
  </si>
  <si>
    <t>C260026</t>
  </si>
  <si>
    <t>STOK KESELIP MASIH DICARI</t>
  </si>
  <si>
    <t>C260027</t>
  </si>
  <si>
    <t>+62 897-8550-348</t>
  </si>
  <si>
    <t>C260028</t>
  </si>
  <si>
    <t>Pak Wahyu</t>
  </si>
  <si>
    <t>+62 852-3611-9817</t>
  </si>
  <si>
    <t>C260029</t>
  </si>
  <si>
    <t>P. Hasan</t>
  </si>
  <si>
    <t>+62 813-2527-3112</t>
  </si>
  <si>
    <t>C260030</t>
  </si>
  <si>
    <t>Ka Kelvin</t>
  </si>
  <si>
    <t>+62 851-5671-6370</t>
  </si>
  <si>
    <t>C260031</t>
  </si>
  <si>
    <t>B. Eni</t>
  </si>
  <si>
    <t>+62 812-5027-6688</t>
  </si>
  <si>
    <t>C260032</t>
  </si>
  <si>
    <t>P. Banu</t>
  </si>
  <si>
    <t>+62 813-8815-2327</t>
  </si>
  <si>
    <t>C260033</t>
  </si>
  <si>
    <t>+62 877-7611-8446</t>
  </si>
  <si>
    <t>C260034</t>
  </si>
  <si>
    <t>C260035</t>
  </si>
  <si>
    <t>LFW-XPANDERXYG</t>
  </si>
  <si>
    <t xml:space="preserve">Ka Widha </t>
  </si>
  <si>
    <t>+62 895-3339-00900</t>
  </si>
  <si>
    <t>C260036</t>
  </si>
  <si>
    <t>Amirul Akbar</t>
  </si>
  <si>
    <t>+62 887-7000-600</t>
  </si>
  <si>
    <t>C260037</t>
  </si>
  <si>
    <t>Ka Tio</t>
  </si>
  <si>
    <t>+62 815-6396-0532</t>
  </si>
  <si>
    <t>C260038</t>
  </si>
  <si>
    <t>P. Mokhamad Farid Hidayat</t>
  </si>
  <si>
    <t>+62 881-3573-077</t>
  </si>
  <si>
    <t>C260039</t>
  </si>
  <si>
    <t>Ka Agung</t>
  </si>
  <si>
    <t>+62 821-4366-5578</t>
  </si>
  <si>
    <t>C260040</t>
  </si>
  <si>
    <t>P. Aris Windarko S</t>
  </si>
  <si>
    <t>+62 812-3010-6022</t>
  </si>
  <si>
    <t>C260041</t>
  </si>
  <si>
    <t>Dieselsply Autoparts</t>
  </si>
  <si>
    <t xml:space="preserve">+62 896-6601-1000 </t>
  </si>
  <si>
    <t>C260042</t>
  </si>
  <si>
    <t>P. Bambang Widiyanto</t>
  </si>
  <si>
    <t>+62 812-3573-6414</t>
  </si>
  <si>
    <t>C260043</t>
  </si>
  <si>
    <t>'+62 812-3400-7237</t>
  </si>
  <si>
    <t>C260044</t>
  </si>
  <si>
    <t>P. Icang</t>
  </si>
  <si>
    <t>+62 859-4042-2121</t>
  </si>
  <si>
    <t>C260045</t>
  </si>
  <si>
    <t>LFW-SPLASHXYG</t>
  </si>
  <si>
    <t>Pak Agus</t>
  </si>
  <si>
    <t>+62 818-577-370</t>
  </si>
  <si>
    <t>C260046</t>
  </si>
  <si>
    <t>LFW-ETIOSAGC</t>
  </si>
  <si>
    <t>Ka lady</t>
  </si>
  <si>
    <t>+62 822-3382-6005</t>
  </si>
  <si>
    <t>C260047</t>
  </si>
  <si>
    <t>+62 857-2973-4882</t>
  </si>
  <si>
    <t>C260048</t>
  </si>
  <si>
    <t>LFW-F90XYG</t>
  </si>
  <si>
    <t>P. Suciapto</t>
  </si>
  <si>
    <t>+62 811-308-899</t>
  </si>
  <si>
    <t>C260049</t>
  </si>
  <si>
    <t>P. Fatoni</t>
  </si>
  <si>
    <t>+62 831-9945-5693</t>
  </si>
  <si>
    <t>C260050</t>
  </si>
  <si>
    <t>P. Yuda Asta Negara</t>
  </si>
  <si>
    <t>C260051</t>
  </si>
  <si>
    <t>P. Ach Bukhari</t>
  </si>
  <si>
    <t>+62 818-0465-0904</t>
  </si>
  <si>
    <t>C260052</t>
  </si>
  <si>
    <t>C260053</t>
  </si>
  <si>
    <t xml:space="preserve">P. Bintang </t>
  </si>
  <si>
    <t>+62 822-2916-7669</t>
  </si>
  <si>
    <t>C260054</t>
  </si>
  <si>
    <t>P. Golda</t>
  </si>
  <si>
    <t>+62 812-1658-2583</t>
  </si>
  <si>
    <t>C260055</t>
  </si>
  <si>
    <t>P. Hubbyl</t>
  </si>
  <si>
    <t>+62 852-3368-4041</t>
  </si>
  <si>
    <t>C260056</t>
  </si>
  <si>
    <t>C260057</t>
  </si>
  <si>
    <t>+62 819-9932-0797</t>
  </si>
  <si>
    <t>C260058</t>
  </si>
  <si>
    <t>P. Mai Setiono</t>
  </si>
  <si>
    <t>+62 812-3023-3224</t>
  </si>
  <si>
    <t>C260059</t>
  </si>
  <si>
    <t>P. Irfan NDS</t>
  </si>
  <si>
    <t>+62 852-3558-0464</t>
  </si>
  <si>
    <t>C260060</t>
  </si>
  <si>
    <t>P. Aditya Arya</t>
  </si>
  <si>
    <t>+62 819-1344-2145</t>
  </si>
  <si>
    <t>C260061</t>
  </si>
  <si>
    <t>P. Ferdian</t>
  </si>
  <si>
    <t>+62 852-3454-4447</t>
  </si>
  <si>
    <t>C260062</t>
  </si>
  <si>
    <t>C260063</t>
  </si>
  <si>
    <t>P. khitam</t>
  </si>
  <si>
    <t>+62 878-7193-7666</t>
  </si>
  <si>
    <t>C260064</t>
  </si>
  <si>
    <t>+62 813-3881-8518</t>
  </si>
  <si>
    <t>C260065</t>
  </si>
  <si>
    <t>P. Ivan</t>
  </si>
  <si>
    <t>+62 812-3342-0468</t>
  </si>
  <si>
    <t>C260066</t>
  </si>
  <si>
    <t>KHUSNUL KHOTIMAH</t>
  </si>
  <si>
    <t>+62 813-3536-4620</t>
  </si>
  <si>
    <t>C260067</t>
  </si>
  <si>
    <t>C260068</t>
  </si>
  <si>
    <t>C260069</t>
  </si>
  <si>
    <t>C260070</t>
  </si>
  <si>
    <t>C260071</t>
  </si>
  <si>
    <t>+62 819-890-595</t>
  </si>
  <si>
    <t>C260072</t>
  </si>
  <si>
    <t>C260073</t>
  </si>
  <si>
    <t>P. Afif Kurniawan</t>
  </si>
  <si>
    <t>+62 811-3177-014</t>
  </si>
  <si>
    <t>C260074</t>
  </si>
  <si>
    <t xml:space="preserve">P. Mery Rulianto </t>
  </si>
  <si>
    <t>+62 812-3590-9269</t>
  </si>
  <si>
    <t>C260075</t>
  </si>
  <si>
    <t>P. Felix</t>
  </si>
  <si>
    <t>+62 822-7164-5088</t>
  </si>
  <si>
    <t>C260076</t>
  </si>
  <si>
    <t>+62 811-614-596</t>
  </si>
  <si>
    <t>C260077</t>
  </si>
  <si>
    <t>P. Risky Dwi</t>
  </si>
  <si>
    <t>+62 857-3533-3390</t>
  </si>
  <si>
    <t>C260078</t>
  </si>
  <si>
    <t>P.Haryono</t>
  </si>
  <si>
    <t>+62 812-3115-3242</t>
  </si>
  <si>
    <t>C260079</t>
  </si>
  <si>
    <t>P.  Ahmad</t>
  </si>
  <si>
    <t>+62 821-1987-5758</t>
  </si>
  <si>
    <t>C260080</t>
  </si>
  <si>
    <t>P.  Anton</t>
  </si>
  <si>
    <t>+62 877-8840-6221</t>
  </si>
  <si>
    <t>C260081</t>
  </si>
  <si>
    <t xml:space="preserve">P. Adhitya </t>
  </si>
  <si>
    <t>+62 822-3447-5630</t>
  </si>
  <si>
    <t>C260082</t>
  </si>
  <si>
    <t>P.  Anto</t>
  </si>
  <si>
    <t>+62 821-3125-3883</t>
  </si>
  <si>
    <t>C260083</t>
  </si>
  <si>
    <t>Bpk Agus</t>
  </si>
  <si>
    <t>+62 851-0010-5033</t>
  </si>
  <si>
    <t>C260084</t>
  </si>
  <si>
    <t>Ka Asepta</t>
  </si>
  <si>
    <t>+62 856-4582-1105</t>
  </si>
  <si>
    <t>C260085</t>
  </si>
  <si>
    <t>B. Manggalih</t>
  </si>
  <si>
    <t>+62 813-3399-4177</t>
  </si>
  <si>
    <t>pandaan</t>
  </si>
  <si>
    <t>C260086</t>
  </si>
  <si>
    <t>+62 896-6823-0085</t>
  </si>
  <si>
    <t>C260087</t>
  </si>
  <si>
    <t xml:space="preserve">P. Ghifari </t>
  </si>
  <si>
    <t>+62 878‑6096‑3314‬</t>
  </si>
  <si>
    <t>C260088</t>
  </si>
  <si>
    <t>P. Sigit</t>
  </si>
  <si>
    <t>+62 856-4567-6793</t>
  </si>
  <si>
    <t>C260089</t>
  </si>
  <si>
    <t>P. Dzaky</t>
  </si>
  <si>
    <t>+62 821‑6971‑3762‬</t>
  </si>
  <si>
    <t>C260090</t>
  </si>
  <si>
    <t>P. Singgih</t>
  </si>
  <si>
    <t>‪+62 813‑8772‑4907‬</t>
  </si>
  <si>
    <t>C260091</t>
  </si>
  <si>
    <t>P. Tony Prasetyo</t>
  </si>
  <si>
    <t>+62 888‑0320‑1147‬</t>
  </si>
  <si>
    <t>C260092</t>
  </si>
  <si>
    <t>+62 899‑0500‑265</t>
  </si>
  <si>
    <t>C260093</t>
  </si>
  <si>
    <t>+62 895-6358-90302</t>
  </si>
  <si>
    <t>C260094</t>
  </si>
  <si>
    <t>C260095</t>
  </si>
  <si>
    <t>P. Topan</t>
  </si>
  <si>
    <t>+62 852-4760-0315</t>
  </si>
  <si>
    <t>C260096</t>
  </si>
  <si>
    <t>P. Triswanto</t>
  </si>
  <si>
    <t>+62 812-3087-504</t>
  </si>
  <si>
    <t>C260097</t>
  </si>
  <si>
    <t>P. Afandy</t>
  </si>
  <si>
    <t>+62 851-5942-2767</t>
  </si>
  <si>
    <t>C260098</t>
  </si>
  <si>
    <t>P. Danny</t>
  </si>
  <si>
    <t>+62 856-4877-7300</t>
  </si>
  <si>
    <t>C260099</t>
  </si>
  <si>
    <t>Eka Sudiyanto</t>
  </si>
  <si>
    <t>+62 812-3427-1991</t>
  </si>
  <si>
    <t>C260100</t>
  </si>
  <si>
    <t xml:space="preserve">+62 858-5555-9550 </t>
  </si>
  <si>
    <t>C260101</t>
  </si>
  <si>
    <t>TRW-PANTHER00KRTASH</t>
  </si>
  <si>
    <t>P. Bagas</t>
  </si>
  <si>
    <t>+62 878-6591-4140</t>
  </si>
  <si>
    <t>C260102</t>
  </si>
  <si>
    <t>+62 878-8353-1805</t>
  </si>
  <si>
    <t>C260103</t>
  </si>
  <si>
    <t>C260104</t>
  </si>
  <si>
    <t>P. Muhammad Ilyas</t>
  </si>
  <si>
    <t>+62 821-3215-1525</t>
  </si>
  <si>
    <t>C260105</t>
  </si>
  <si>
    <t>C260106</t>
  </si>
  <si>
    <t>YK EXPLORE</t>
  </si>
  <si>
    <t>+62 822-4004-7558</t>
  </si>
  <si>
    <t>C260107</t>
  </si>
  <si>
    <t>Ferry Leksono</t>
  </si>
  <si>
    <t>+62 822-4443-1554</t>
  </si>
  <si>
    <t>C260108</t>
  </si>
  <si>
    <t>P. Samsul</t>
  </si>
  <si>
    <t>+62 817-0310-0107</t>
  </si>
  <si>
    <t>C260109</t>
  </si>
  <si>
    <t>+62 813-8076-3500</t>
  </si>
  <si>
    <t>B 1320 NB</t>
  </si>
  <si>
    <t>C260110</t>
  </si>
  <si>
    <t>Pak Hardi / Dedy</t>
  </si>
  <si>
    <t>+62 812-3199-9720</t>
  </si>
  <si>
    <t>C260111</t>
  </si>
  <si>
    <t>+62 813-8931-1845</t>
  </si>
  <si>
    <t>C260112</t>
  </si>
  <si>
    <t>P. Aditya</t>
  </si>
  <si>
    <t>+62 856-4830-0282</t>
  </si>
  <si>
    <t>C260113</t>
  </si>
  <si>
    <t>+62 823-3676-1722</t>
  </si>
  <si>
    <t>C260114</t>
  </si>
  <si>
    <t>+62 819-2119-500</t>
  </si>
  <si>
    <t>C260115</t>
  </si>
  <si>
    <t>Adam</t>
  </si>
  <si>
    <t>+62 851-6138-4241</t>
  </si>
  <si>
    <t>C260116</t>
  </si>
  <si>
    <t>P. Soewardi</t>
  </si>
  <si>
    <t>+62 812-3270-4163</t>
  </si>
  <si>
    <t>C260117</t>
  </si>
  <si>
    <t>Adin , Ade , Dimas , Aldi , Lia</t>
  </si>
  <si>
    <t>C260118</t>
  </si>
  <si>
    <t>Ka Dzaki</t>
  </si>
  <si>
    <t>'+62 857-0796-6250</t>
  </si>
  <si>
    <t>C260119</t>
  </si>
  <si>
    <t>LFW-CX3RS2XYG</t>
  </si>
  <si>
    <t xml:space="preserve">Sanistu </t>
  </si>
  <si>
    <t>+62 812-3866-8436</t>
  </si>
  <si>
    <t>D260001</t>
  </si>
  <si>
    <t xml:space="preserve">P. Fahmi Himran </t>
  </si>
  <si>
    <t>+62 819-1815-8582</t>
  </si>
  <si>
    <t>D260002</t>
  </si>
  <si>
    <t>+62 811-330-927</t>
  </si>
  <si>
    <t>L 1620 BBG</t>
  </si>
  <si>
    <t>D260003</t>
  </si>
  <si>
    <t>P.  Defriano Risky</t>
  </si>
  <si>
    <t>+62 812-1702-4849</t>
  </si>
  <si>
    <t>D260004</t>
  </si>
  <si>
    <t>D260005</t>
  </si>
  <si>
    <t xml:space="preserve">P. Mohammad Fais </t>
  </si>
  <si>
    <t>+62 838-5012-4481</t>
  </si>
  <si>
    <t>D260006</t>
  </si>
  <si>
    <t xml:space="preserve">P. Deri </t>
  </si>
  <si>
    <t>+62 819-4357-7658</t>
  </si>
  <si>
    <t>D260007</t>
  </si>
  <si>
    <t>LFW-PAJERO08XYG</t>
  </si>
  <si>
    <t>P.Rusdi</t>
  </si>
  <si>
    <t>+62 812-5291-7857</t>
  </si>
  <si>
    <t>D260008</t>
  </si>
  <si>
    <t>D260009</t>
  </si>
  <si>
    <t>P. Fified</t>
  </si>
  <si>
    <t>+62 857-2984-1000</t>
  </si>
  <si>
    <t>D260010</t>
  </si>
  <si>
    <t>P. Yulius</t>
  </si>
  <si>
    <t>+62 858-5250-2666</t>
  </si>
  <si>
    <t>D260011</t>
  </si>
  <si>
    <t>LFW-TRAXRSXYG</t>
  </si>
  <si>
    <t>P. Yahya</t>
  </si>
  <si>
    <t>+62 896-9825-0707</t>
  </si>
  <si>
    <t>D260012</t>
  </si>
  <si>
    <t>+62 812-5937-2539</t>
  </si>
  <si>
    <t>D260013</t>
  </si>
  <si>
    <t>P. Arief</t>
  </si>
  <si>
    <t>D260014</t>
  </si>
  <si>
    <t>Pak Sugroto</t>
  </si>
  <si>
    <t xml:space="preserve">+62 813-3290-0042 </t>
  </si>
  <si>
    <t>D260015</t>
  </si>
  <si>
    <t>+62 852-3365-0055</t>
  </si>
  <si>
    <t>D260016</t>
  </si>
  <si>
    <t>SWR-LIVINA07LONGXYG</t>
  </si>
  <si>
    <t>Bu Lady</t>
  </si>
  <si>
    <t>+62 813-8326-1501</t>
  </si>
  <si>
    <t>D260017</t>
  </si>
  <si>
    <t>LFW-CRV17RSXYG</t>
  </si>
  <si>
    <t>D260018</t>
  </si>
  <si>
    <t>Johan Donni Ansori</t>
  </si>
  <si>
    <t>+62 851-5978-8967</t>
  </si>
  <si>
    <t>D260019</t>
  </si>
  <si>
    <t>Marlon trans</t>
  </si>
  <si>
    <t>+62 822-2158-7068</t>
  </si>
  <si>
    <t>D260020</t>
  </si>
  <si>
    <t>Bu Suyanik</t>
  </si>
  <si>
    <t>+62 852-3143-3928</t>
  </si>
  <si>
    <t>D260021</t>
  </si>
  <si>
    <t>P. Abdul Rozak</t>
  </si>
  <si>
    <t>D260022</t>
  </si>
  <si>
    <t>D260023</t>
  </si>
  <si>
    <t>LFW-TRITON23SMLAGC</t>
  </si>
  <si>
    <t>PT. ALTRAK</t>
  </si>
  <si>
    <t>+62 812-3202-0468</t>
  </si>
  <si>
    <t>D260024</t>
  </si>
  <si>
    <t>P. Alvin T.</t>
  </si>
  <si>
    <t>+62 822-3187-0270</t>
  </si>
  <si>
    <t>D260025</t>
  </si>
  <si>
    <t>D260026</t>
  </si>
  <si>
    <t>RVR-INNOVA15ASH</t>
  </si>
  <si>
    <t>P. Marco tantomo</t>
  </si>
  <si>
    <t>+62 818-372-723</t>
  </si>
  <si>
    <t>D260027</t>
  </si>
  <si>
    <t>D260028</t>
  </si>
  <si>
    <t>P. Zein</t>
  </si>
  <si>
    <t>+62 857-0821-3183</t>
  </si>
  <si>
    <t>D260029</t>
  </si>
  <si>
    <t>P. Okta</t>
  </si>
  <si>
    <t>+62 813-9105-5492</t>
  </si>
  <si>
    <t>D260030</t>
  </si>
  <si>
    <t>+62 813-5902-9223</t>
  </si>
  <si>
    <t>D260031</t>
  </si>
  <si>
    <t>PECAH ALDI</t>
  </si>
  <si>
    <t>D260032</t>
  </si>
  <si>
    <t>P. Sahala</t>
  </si>
  <si>
    <t>+62 812-9600-005</t>
  </si>
  <si>
    <t>D260033</t>
  </si>
  <si>
    <t>B. Ika Nuryati</t>
  </si>
  <si>
    <t>+62 813-3336-4254</t>
  </si>
  <si>
    <t>D260034</t>
  </si>
  <si>
    <t>P. Boy Wicaksono</t>
  </si>
  <si>
    <t>+62 822-2855-3936</t>
  </si>
  <si>
    <t>D260035</t>
  </si>
  <si>
    <t>+62 881-9692-250</t>
  </si>
  <si>
    <t>D260036</t>
  </si>
  <si>
    <t>D260037</t>
  </si>
  <si>
    <t>Ka Wainpi</t>
  </si>
  <si>
    <t>+62 822-4455-7511</t>
  </si>
  <si>
    <t>D260038</t>
  </si>
  <si>
    <t>+62 858-0426-7203</t>
  </si>
  <si>
    <t>D260039</t>
  </si>
  <si>
    <t>P. Zaki</t>
  </si>
  <si>
    <t>+62 882-1731-4638</t>
  </si>
  <si>
    <t>D260040</t>
  </si>
  <si>
    <t>P. Ozie</t>
  </si>
  <si>
    <t>+62 877-6665-5159</t>
  </si>
  <si>
    <t>D260041</t>
  </si>
  <si>
    <t>LFW-SANTAFE21RS2XYG</t>
  </si>
  <si>
    <t>P. Pulung</t>
  </si>
  <si>
    <t>+62 811-8226-060</t>
  </si>
  <si>
    <t>D260042</t>
  </si>
  <si>
    <t>P. Salahudin</t>
  </si>
  <si>
    <t>+62 812-2932-0874</t>
  </si>
  <si>
    <t>D260043</t>
  </si>
  <si>
    <t>P. Evan Rizal</t>
  </si>
  <si>
    <t>+62 889-8992-4741</t>
  </si>
  <si>
    <t>D260044</t>
  </si>
  <si>
    <t>P. Junaedi Kusnandar</t>
  </si>
  <si>
    <t>+62 838-7907-6709</t>
  </si>
  <si>
    <t>D260045</t>
  </si>
  <si>
    <t>D260046</t>
  </si>
  <si>
    <t>+62 896-1607-6846</t>
  </si>
  <si>
    <t>D260047</t>
  </si>
  <si>
    <t xml:space="preserve">Yesi Yunita </t>
  </si>
  <si>
    <t>+62 856-0608-5525</t>
  </si>
  <si>
    <t>D260048</t>
  </si>
  <si>
    <t>P. Alle</t>
  </si>
  <si>
    <t>+62 822-2010-3366</t>
  </si>
  <si>
    <t>D260049</t>
  </si>
  <si>
    <t>+62 819-3159-7543</t>
  </si>
  <si>
    <t>D260050</t>
  </si>
  <si>
    <t>D260051</t>
  </si>
  <si>
    <t>D260052</t>
  </si>
  <si>
    <t>+62 852-3434-4934</t>
  </si>
  <si>
    <t>D260053</t>
  </si>
  <si>
    <t>CRIUS SINERGI INDONESIA</t>
  </si>
  <si>
    <t>+62 811-3105-896</t>
  </si>
  <si>
    <t>D260054</t>
  </si>
  <si>
    <t>LFW-W205RS3XYG</t>
  </si>
  <si>
    <t xml:space="preserve"> P. Sahirul</t>
  </si>
  <si>
    <t>+62 812-3156-7334</t>
  </si>
  <si>
    <t>D260055</t>
  </si>
  <si>
    <t>D260056</t>
  </si>
  <si>
    <t>Expedisi Karya Bersama(CV Abirama)</t>
  </si>
  <si>
    <t>D260057</t>
  </si>
  <si>
    <t>Pak Slamet</t>
  </si>
  <si>
    <t>+62 815-5366-5289</t>
  </si>
  <si>
    <t>D260058</t>
  </si>
  <si>
    <t>B. Yuyun</t>
  </si>
  <si>
    <t>+62 817-6639-069</t>
  </si>
  <si>
    <t>D260059</t>
  </si>
  <si>
    <t xml:space="preserve"> P. Steven</t>
  </si>
  <si>
    <t>+62 822-3145-0365</t>
  </si>
  <si>
    <t>D260060</t>
  </si>
  <si>
    <t xml:space="preserve">Prima Jaya Ban </t>
  </si>
  <si>
    <t>D260061</t>
  </si>
  <si>
    <t>P. Fachri</t>
  </si>
  <si>
    <t>+62 821-5310-6265</t>
  </si>
  <si>
    <t>D260062</t>
  </si>
  <si>
    <t xml:space="preserve"> P. Abdul</t>
  </si>
  <si>
    <t>D260063</t>
  </si>
  <si>
    <t>P. Harri</t>
  </si>
  <si>
    <t>+62 895-6227-19638</t>
  </si>
  <si>
    <t>D260064</t>
  </si>
  <si>
    <t>P. Zakiy</t>
  </si>
  <si>
    <t>+62 813-3255-4581</t>
  </si>
  <si>
    <t>D260065</t>
  </si>
  <si>
    <t>P. Hj Shom</t>
  </si>
  <si>
    <t>+62 851-0405-5873</t>
  </si>
  <si>
    <t>D260066</t>
  </si>
  <si>
    <t xml:space="preserve"> P. Maksom</t>
  </si>
  <si>
    <t>+62 838-5110-2502</t>
  </si>
  <si>
    <t>D260067</t>
  </si>
  <si>
    <t>+62 813-3136-8888</t>
  </si>
  <si>
    <t>D260068</t>
  </si>
  <si>
    <t>B. Dwi Putri Tariyati</t>
  </si>
  <si>
    <t>D260069</t>
  </si>
  <si>
    <t>P. Rangga Manggala</t>
  </si>
  <si>
    <t>+62 857-9590-8250</t>
  </si>
  <si>
    <t>D260070</t>
  </si>
  <si>
    <t>+62 812-1701-8552</t>
  </si>
  <si>
    <t>D260071</t>
  </si>
  <si>
    <t>LFW-FJ200RS1PSHXYG</t>
  </si>
  <si>
    <t>+62 852-5986-0534</t>
  </si>
  <si>
    <t>D260072</t>
  </si>
  <si>
    <t>Pak Cung</t>
  </si>
  <si>
    <t>+62 819-9911-1000</t>
  </si>
  <si>
    <t>D260073</t>
  </si>
  <si>
    <t>D260074</t>
  </si>
  <si>
    <t>D260075</t>
  </si>
  <si>
    <t xml:space="preserve">P. Richard </t>
  </si>
  <si>
    <t>D260076</t>
  </si>
  <si>
    <t>Lukbis</t>
  </si>
  <si>
    <t>+62 813-3615-2552</t>
  </si>
  <si>
    <t>D260077</t>
  </si>
  <si>
    <t xml:space="preserve">P. Rudi Yuana </t>
  </si>
  <si>
    <t>+62 812-3164-769</t>
  </si>
  <si>
    <t>D260078</t>
  </si>
  <si>
    <t>KARMAWAN BAJAWA(Amel)</t>
  </si>
  <si>
    <t>D260079</t>
  </si>
  <si>
    <t xml:space="preserve"> P. Tasman</t>
  </si>
  <si>
    <t>+62 813-3530-5670/+62 895-2979-8351</t>
  </si>
  <si>
    <t>D260080</t>
  </si>
  <si>
    <t>Ka Angga</t>
  </si>
  <si>
    <t>+62 821-2322-5003</t>
  </si>
  <si>
    <t>cerme</t>
  </si>
  <si>
    <t>D260081</t>
  </si>
  <si>
    <t>Muhammad Arief Budiman Akib</t>
  </si>
  <si>
    <t>+62 813-3343-6737</t>
  </si>
  <si>
    <t>D260082</t>
  </si>
  <si>
    <t>P. Tawang Brata</t>
  </si>
  <si>
    <t>+62 813-5749-4463</t>
  </si>
  <si>
    <t>D260083</t>
  </si>
  <si>
    <t>Jagad Nazar</t>
  </si>
  <si>
    <t>+62 812-1651-4340</t>
  </si>
  <si>
    <t>D260084</t>
  </si>
  <si>
    <t>P. M Shaleh</t>
  </si>
  <si>
    <t>+62 852-3043-0099</t>
  </si>
  <si>
    <t>D260085</t>
  </si>
  <si>
    <t>P.Luki</t>
  </si>
  <si>
    <t>+62 811-653-288</t>
  </si>
  <si>
    <t>D260086</t>
  </si>
  <si>
    <t>D260087</t>
  </si>
  <si>
    <t xml:space="preserve">P. Fierman Hadinata </t>
  </si>
  <si>
    <t>+62 812-5098-1789</t>
  </si>
  <si>
    <t>D260088</t>
  </si>
  <si>
    <t>LFW-ALPHARD15XYG</t>
  </si>
  <si>
    <t>Bpk Anjar</t>
  </si>
  <si>
    <t>+62 813-3330-5067</t>
  </si>
  <si>
    <t>D260089</t>
  </si>
  <si>
    <t>LFW-E36XYG</t>
  </si>
  <si>
    <t>malang</t>
  </si>
  <si>
    <t>D260090</t>
  </si>
  <si>
    <t>LFW-AVEO11XYG</t>
  </si>
  <si>
    <t>+62 878-5909-0907</t>
  </si>
  <si>
    <t>bali</t>
  </si>
  <si>
    <t>D260091</t>
  </si>
  <si>
    <t>P. Faiq</t>
  </si>
  <si>
    <t>+62 821-4078-3175</t>
  </si>
  <si>
    <t>D260092</t>
  </si>
  <si>
    <t>D260093</t>
  </si>
  <si>
    <t>Bpk Piter candra</t>
  </si>
  <si>
    <t>+62 818-542-003</t>
  </si>
  <si>
    <t>D260094</t>
  </si>
  <si>
    <t>+62 857-3050-8510</t>
  </si>
  <si>
    <t>SENTRA AUTOGLASS SURABAYA</t>
  </si>
  <si>
    <t>Jl. Bratang Gede No.138, Ngagelrejo, Kec. Wonokromo, Surabaya, Jawa Timur 60245</t>
  </si>
  <si>
    <t>Kepada Yth.</t>
  </si>
  <si>
    <t xml:space="preserve">  (+62) 81288009878 | sentraautoglass.sby@gmail.com</t>
  </si>
  <si>
    <t>NOTA PENJUALAN</t>
  </si>
  <si>
    <t>NO POL</t>
  </si>
  <si>
    <t>No</t>
  </si>
  <si>
    <t>Kode</t>
  </si>
  <si>
    <t>Qty</t>
  </si>
  <si>
    <t>Harga Satuan</t>
  </si>
  <si>
    <t xml:space="preserve">BCA 6041794388 an Alvin Wijaya                                        </t>
  </si>
  <si>
    <t>TOTAL</t>
  </si>
  <si>
    <t>Penerima</t>
  </si>
  <si>
    <t>Kaca yang sudah dipesan/dipasang
tidak dapat dibatalkan/dikembalikan. Tidak ada garansi kaca.</t>
  </si>
  <si>
    <t>DP</t>
  </si>
  <si>
    <t>NETTO</t>
  </si>
  <si>
    <t>Ket</t>
  </si>
  <si>
    <t>Trust the Experts, Drive Safer and Clearer</t>
  </si>
  <si>
    <t>....................</t>
  </si>
  <si>
    <t xml:space="preserve">JASA BONGKAR </t>
  </si>
  <si>
    <t>Nama Barang</t>
  </si>
  <si>
    <t>EXCLUDE BIAYA CARGO</t>
  </si>
  <si>
    <t xml:space="preserve">             </t>
  </si>
  <si>
    <t>LUNAS</t>
  </si>
  <si>
    <t>KIRIM</t>
  </si>
  <si>
    <t xml:space="preserve">Jl. Bratang Gede No.138, Ngagelrejo, Kec. Wonokromo, Surabaya, Jawa Timur </t>
  </si>
  <si>
    <t>SURAT JALAN</t>
  </si>
  <si>
    <t>NO</t>
  </si>
  <si>
    <t>QTY</t>
  </si>
  <si>
    <t>Total</t>
  </si>
  <si>
    <t>Kaca yang sudah dipesan tidak dapat dibatalkan/dikembalikan.</t>
  </si>
  <si>
    <t>KET :</t>
  </si>
  <si>
    <t>Terima</t>
  </si>
  <si>
    <t>DONE</t>
  </si>
  <si>
    <t>Supplier</t>
  </si>
  <si>
    <t>Keterangan/Nota no</t>
  </si>
  <si>
    <t xml:space="preserve">BGI </t>
  </si>
  <si>
    <t>READY SBY</t>
  </si>
  <si>
    <t>READY JKT</t>
  </si>
  <si>
    <t>PMK</t>
  </si>
  <si>
    <t xml:space="preserve">PO 3-4 HARI </t>
  </si>
  <si>
    <t>3pc , lunas</t>
  </si>
  <si>
    <t>BGI</t>
  </si>
  <si>
    <t>+62 813-3530-5670</t>
  </si>
  <si>
    <t>DEPOSIT</t>
  </si>
  <si>
    <t>...................</t>
  </si>
  <si>
    <t>Jalan Simo Jawar No. 108, Simomulyo Baru, Sukomanunggal, Surabaya</t>
  </si>
  <si>
    <t>BCA 6041794388 an Alvin Wijaya</t>
  </si>
  <si>
    <t>Kaca yang sudah dipesan/dipasang 
tidak dapat dibatalkan/dikembalikan.</t>
  </si>
  <si>
    <t>DISKON</t>
  </si>
  <si>
    <t>ORDER</t>
  </si>
  <si>
    <t xml:space="preserve">Automotive Film Standard - Black 40%				</t>
  </si>
  <si>
    <t xml:space="preserve">B5T3 </t>
  </si>
  <si>
    <t>Mers-Benz B-Class 11-17 W246</t>
  </si>
  <si>
    <t>SWL-LIVINA</t>
  </si>
  <si>
    <t>Nissan Livina 07-18 L10/L11 (Ujung Panjang)</t>
  </si>
  <si>
    <t>SWR-LIVINA</t>
  </si>
  <si>
    <t>ada mu 3</t>
  </si>
  <si>
    <t>LFW-CAMRY11NORS</t>
  </si>
  <si>
    <t>ada mu 1</t>
  </si>
  <si>
    <t>A2T3 | PETI 1PC</t>
  </si>
  <si>
    <t>ada mu 7</t>
  </si>
  <si>
    <t>B2T3 1PC DI B1T3</t>
  </si>
  <si>
    <t>ada xyg 1</t>
  </si>
  <si>
    <t>2PC PETI</t>
  </si>
  <si>
    <r>
      <rPr>
        <rFont val="Calibri"/>
        <color theme="1"/>
        <sz val="10.0"/>
      </rPr>
      <t>Honda Civic 96-00 SO4/SO6 (Ferio)</t>
    </r>
  </si>
  <si>
    <t>1pc pecah</t>
  </si>
  <si>
    <t>*2pcs baret tengah bawah, +- 20cm, terlihat</t>
  </si>
  <si>
    <t>* 5pc tdk ada MB *7</t>
  </si>
  <si>
    <t>1pc ☆3</t>
  </si>
  <si>
    <r>
      <rPr>
        <rFont val="Calibri"/>
        <color theme="1"/>
        <sz val="10.0"/>
      </rPr>
      <t>Kia Rio 00-05 DC Sedan/Hatchback</t>
    </r>
  </si>
  <si>
    <r>
      <rPr>
        <rFont val="Calibri"/>
        <color theme="1"/>
        <sz val="10.0"/>
      </rPr>
      <t>Kia Rio 11-17 UB Hatchback</t>
    </r>
  </si>
  <si>
    <r>
      <rPr>
        <rFont val="Calibri"/>
        <color theme="1"/>
        <sz val="10.0"/>
      </rPr>
      <t>FORD/MAZDA MX6 1987-92 COUPE/HB FHG</t>
    </r>
  </si>
  <si>
    <r>
      <rPr>
        <rFont val="Calibri"/>
        <color theme="1"/>
        <sz val="10.0"/>
      </rPr>
      <t>Mazda INTERPLAY 1992-97 FHG</t>
    </r>
  </si>
  <si>
    <t>* 1pc kurang ceramic *8</t>
  </si>
  <si>
    <r>
      <rPr>
        <rFont val="Calibri"/>
        <color theme="1"/>
        <sz val="10.0"/>
      </rPr>
      <t>Mers-Benz C-Class 07-14 W204 (1 Sensor/ □)</t>
    </r>
  </si>
  <si>
    <r>
      <rPr>
        <rFont val="Calibri"/>
        <color theme="1"/>
        <sz val="10.0"/>
      </rPr>
      <t>Mers-Benz E-Class 88-92 W124 4Door</t>
    </r>
  </si>
  <si>
    <r>
      <rPr>
        <rFont val="Calibri"/>
        <color theme="1"/>
        <sz val="10.0"/>
      </rPr>
      <t>Mers-Benz E-Class 95-02 W210</t>
    </r>
  </si>
  <si>
    <r>
      <rPr>
        <rFont val="Calibri"/>
        <color theme="1"/>
        <sz val="10.0"/>
      </rPr>
      <t>Mers-Benz E-Class 02-09 W211</t>
    </r>
  </si>
  <si>
    <r>
      <rPr>
        <rFont val="Calibri"/>
        <color theme="1"/>
        <sz val="10.0"/>
      </rPr>
      <t>Mers-Benz S-Class 98-05 W220 4D (1 Sensor)</t>
    </r>
  </si>
  <si>
    <r>
      <rPr>
        <rFont val="Calibri"/>
        <color theme="1"/>
        <sz val="10.0"/>
      </rPr>
      <t>Mitsubishi Lancer 91-96 LE41 CB4/5 (Evo3)</t>
    </r>
  </si>
  <si>
    <r>
      <rPr>
        <rFont val="Calibri"/>
        <color theme="1"/>
        <sz val="10.0"/>
      </rPr>
      <t>Mitsubishi Mirage 12-</t>
    </r>
  </si>
  <si>
    <t>B8T2, B9T2</t>
  </si>
  <si>
    <t>B9T2 keluar duluan</t>
  </si>
  <si>
    <t>* 2pc ada titik *6</t>
  </si>
  <si>
    <t>KF 1PC</t>
  </si>
  <si>
    <t xml:space="preserve"> B5T3</t>
  </si>
  <si>
    <t>8 PC Peti |  1PC KF</t>
  </si>
  <si>
    <t>* 1pc kurang seramik</t>
  </si>
  <si>
    <t>B14T2</t>
  </si>
  <si>
    <t>ada xyg 2</t>
  </si>
  <si>
    <t>A14T2</t>
  </si>
  <si>
    <t>*-1 ada titik tengah atas</t>
  </si>
  <si>
    <t>* CERAMIC SAMPING REGES</t>
  </si>
  <si>
    <t>A14T4</t>
  </si>
  <si>
    <t>RQL-SIGRA16</t>
  </si>
  <si>
    <t>RQR-SIGRA16</t>
  </si>
  <si>
    <t>5PC PETI</t>
  </si>
  <si>
    <r>
      <rPr>
        <rFont val="Calibri"/>
        <color theme="1"/>
        <sz val="10.0"/>
      </rPr>
      <t xml:space="preserve">Nissan Livina  07-12 L10 (Tanpa Lubang) </t>
    </r>
    <r>
      <rPr>
        <rFont val="Calibri"/>
        <b/>
        <color theme="1"/>
        <sz val="10.0"/>
      </rPr>
      <t>Nissan</t>
    </r>
  </si>
  <si>
    <t>B8T3 2PC B1T3 2PC</t>
  </si>
  <si>
    <t>Braket beda</t>
  </si>
  <si>
    <t>SENTRA AUTOGLASS</t>
  </si>
  <si>
    <t>08/04/2026</t>
  </si>
  <si>
    <t>P. Badrus</t>
  </si>
  <si>
    <t>TANDA TERIMA BARANG</t>
  </si>
  <si>
    <t>UIRAN SAMPAH</t>
  </si>
  <si>
    <t>IURAN SAMPAH BULAN APRIL</t>
  </si>
  <si>
    <t>total</t>
  </si>
  <si>
    <t>SBY Code</t>
  </si>
  <si>
    <t>Posisi</t>
  </si>
  <si>
    <t>Pos</t>
  </si>
  <si>
    <t>New</t>
  </si>
  <si>
    <t>FY JKT</t>
  </si>
  <si>
    <t>FY SBY</t>
  </si>
  <si>
    <t>XYG JKT</t>
  </si>
  <si>
    <t>XYG SBY</t>
  </si>
  <si>
    <t>MUL JKT</t>
  </si>
  <si>
    <t>MUL SBY</t>
  </si>
  <si>
    <t>PL Nov22</t>
  </si>
  <si>
    <t>MUL JKT - Feb</t>
  </si>
  <si>
    <t>MUL SBY - Feb</t>
  </si>
  <si>
    <t>MUL JKT - Mar</t>
  </si>
  <si>
    <t>MUL SBY - Mar</t>
  </si>
  <si>
    <t>XYG JKT Mar</t>
  </si>
  <si>
    <t>XYG SBY Mar</t>
  </si>
  <si>
    <t>XYG JKT Mei</t>
  </si>
  <si>
    <t>AUDI</t>
  </si>
  <si>
    <t>- X -</t>
  </si>
  <si>
    <t>Depan</t>
  </si>
  <si>
    <t>Audi A3  96-03</t>
  </si>
  <si>
    <t>Audi A4 06-08 B7</t>
  </si>
  <si>
    <t>LFW-AUDIB808</t>
  </si>
  <si>
    <t>Audi A4 08-15 B8 (08-11 RS Bulat Air Hujan)</t>
  </si>
  <si>
    <t>LFW-AUDIB811</t>
  </si>
  <si>
    <t>F X -</t>
  </si>
  <si>
    <t>Audi A4 08-15 B8 (11-15 RS Bulat Sempurna)</t>
  </si>
  <si>
    <t>F - -</t>
  </si>
  <si>
    <t>Bagasi</t>
  </si>
  <si>
    <t>TRW-AUDIC6</t>
  </si>
  <si>
    <t>Audi A6 11-18 C7 (11-13 RS Bulat Air Hujan)</t>
  </si>
  <si>
    <t>X/Heater/List</t>
  </si>
  <si>
    <t>LFW-AUDIQ312</t>
  </si>
  <si>
    <t>Audi Q3 12-17</t>
  </si>
  <si>
    <t>Audi Q7 15-</t>
  </si>
  <si>
    <t>BMW</t>
  </si>
  <si>
    <t>BMW 3 Series  82-94 E30</t>
  </si>
  <si>
    <t>Heater</t>
  </si>
  <si>
    <t>BMW 3 Series  90-99 E36</t>
  </si>
  <si>
    <t>&gt;10</t>
  </si>
  <si>
    <t>Smpg</t>
  </si>
  <si>
    <t>BMW 3 Series  98-06 E46 (2D Coupe / Cabrio)</t>
  </si>
  <si>
    <t>BMW 3 Series  98-06 E46</t>
  </si>
  <si>
    <t>BMW 3 Series 05-12 E90 / E91</t>
  </si>
  <si>
    <t>LFW-G20RS1</t>
  </si>
  <si>
    <t>BMW 3 Series 18- G20/G21 (1 Sensor / O )</t>
  </si>
  <si>
    <t>LFW-G20RS2</t>
  </si>
  <si>
    <t>BMW 3 Series 18- G20/G21 (2 Sensor / Big /\ O )</t>
  </si>
  <si>
    <t>BMW 5 Series  95-03 E39</t>
  </si>
  <si>
    <t>BMW 5 Series 03-10  E60 (1 Sensor / [] )</t>
  </si>
  <si>
    <t>BMW 5 Series 03-10  E60 (1 Sensor / O)</t>
  </si>
  <si>
    <t>BMW 5 Series 10-16  F10 (1 Sensor / ꓳ Tengah)</t>
  </si>
  <si>
    <t>BMW 5 Series 10-16  F10 (1 Sensor / ꓳ Bawah)</t>
  </si>
  <si>
    <t>BMW 5 Series 10-16  F10</t>
  </si>
  <si>
    <t>LFW-G30RS2</t>
  </si>
  <si>
    <t>BMW 5 Series 17-24 G30 (2 Sensor / Big /\ O )</t>
  </si>
  <si>
    <t>BMW 7 Series 09-15  F01 (1 Sensor / O)</t>
  </si>
  <si>
    <t>LFW-E84NONRS</t>
  </si>
  <si>
    <t>BMW X1 Series 09-14  E84</t>
  </si>
  <si>
    <t>BMW X1 Series 09-14  E84 (1 Sensor / [] )</t>
  </si>
  <si>
    <t>BMW X1 Series 15-22 F48</t>
  </si>
  <si>
    <t>TRW-F48</t>
  </si>
  <si>
    <t>BMW X1 Series 15-22 F48 (Hitam)</t>
  </si>
  <si>
    <t>TRW-F25</t>
  </si>
  <si>
    <t>BMW X3 Series 11-17 F25 (Hitam)</t>
  </si>
  <si>
    <t>X/Heater/A/1hole</t>
  </si>
  <si>
    <t>BMW X5 Series 07-13  E70 (1 Sensor / ꓳ)</t>
  </si>
  <si>
    <t>X/Heater/A/3Hole</t>
  </si>
  <si>
    <t>TRW-F15</t>
  </si>
  <si>
    <t>X/H/1Hole/List</t>
  </si>
  <si>
    <t>TRW-Z4</t>
  </si>
  <si>
    <t>BYD</t>
  </si>
  <si>
    <t>LFW-ATTO</t>
  </si>
  <si>
    <t>BYD Atto 3 23- (1 Sensor / Big /\ )</t>
  </si>
  <si>
    <t>LFW-SEAL</t>
  </si>
  <si>
    <t>BYD Seal 23- (2 Sensor / /\ O )</t>
  </si>
  <si>
    <t>CHERY</t>
  </si>
  <si>
    <t>LFW-OMODARS</t>
  </si>
  <si>
    <t>Chery Omoda 5 23- (2 Sensor O /\ )</t>
  </si>
  <si>
    <t>F X M</t>
  </si>
  <si>
    <t>Chery QQ  03-15 S11 5D / Spark 98-05</t>
  </si>
  <si>
    <t>CHEVROLET</t>
  </si>
  <si>
    <t>Chevrolet Aveo  99-08  T200 Hatch. (Panjang)</t>
  </si>
  <si>
    <t>Chevrolet Aveo  99-11 T200 Hatch.</t>
  </si>
  <si>
    <t>TRW-KALOS</t>
  </si>
  <si>
    <t>Chevrolet Aveo  99-11 T200 Sedan (Kalos) (Lampu [] )</t>
  </si>
  <si>
    <t>Chevrolet Aveo 08-11  T250 Hatch. / (Kalos/Lova) (Pendek)</t>
  </si>
  <si>
    <t>TRW-LOVA</t>
  </si>
  <si>
    <t>Chevrolet Aveo 08-11  T250 Sedan (Lova) (Lampu /\ )</t>
  </si>
  <si>
    <t>Chevrolet Captiva 06-18</t>
  </si>
  <si>
    <t>X/Heater/6Hole</t>
  </si>
  <si>
    <t>LFW-COLORADORS</t>
  </si>
  <si>
    <t>Chevrolet Colorado 12-16</t>
  </si>
  <si>
    <t>TRW-COLORADO</t>
  </si>
  <si>
    <t>Chevrolet Orlando 12-</t>
  </si>
  <si>
    <t>TRW-ORLANDO</t>
  </si>
  <si>
    <t>Chevrolet Spark  98-05 M100 1stGen (800cc) / QQ</t>
  </si>
  <si>
    <t>Chevrolet Spark 16- M400 4th Gen (1400cc)</t>
  </si>
  <si>
    <t>Chevrolet TrailBlazer 13- / Isuzu MUX 13-19</t>
  </si>
  <si>
    <t>SWR-TRAILBLAZER</t>
  </si>
  <si>
    <t>Chevrolet Trax  13-</t>
  </si>
  <si>
    <t>Chevrolet Zafira 99-05</t>
  </si>
  <si>
    <t>- - M</t>
  </si>
  <si>
    <t>- X M</t>
  </si>
  <si>
    <t>LFW-SIRION3</t>
  </si>
  <si>
    <t>TRW-SIRION3</t>
  </si>
  <si>
    <t>DFSK</t>
  </si>
  <si>
    <t>LFW-GELORA</t>
  </si>
  <si>
    <t>DFSK Gelora</t>
  </si>
  <si>
    <t>DODGE</t>
  </si>
  <si>
    <t>FDL-DODGE</t>
  </si>
  <si>
    <t>RDR-DODGE</t>
  </si>
  <si>
    <t>FIAT</t>
  </si>
  <si>
    <t>LFW-FIAT500</t>
  </si>
  <si>
    <t>Fiat 500 Hatchback 07- (3 Door)</t>
  </si>
  <si>
    <t>FORD</t>
  </si>
  <si>
    <t>Ford EcoSport 13-</t>
  </si>
  <si>
    <t>Ford Escape 00-12 / Mazda Tribute</t>
  </si>
  <si>
    <t>Ford Everest 04-15</t>
  </si>
  <si>
    <t>LFW-EVEREST15</t>
  </si>
  <si>
    <t>Ford Everest 15-21</t>
  </si>
  <si>
    <t>Ford Focus 04-11  Hatchback/Sedan</t>
  </si>
  <si>
    <t>TRW-FOCUS08</t>
  </si>
  <si>
    <t>Ford Focus 08-11 Hatchback (Lampu Putih Full)</t>
  </si>
  <si>
    <t>Ford Mustang 15-23 2D Coupe (Sensor 1 / O)</t>
  </si>
  <si>
    <t>GEELY</t>
  </si>
  <si>
    <t>Honda Accord  86-89 SE3/SE5 3rd Gen (Prestige)</t>
  </si>
  <si>
    <t>Honda Accord  90-93 SM4 4th Gen (Maestro)</t>
  </si>
  <si>
    <t>Honda Accord  93-98 SV4 5th Gen (Cielo)</t>
  </si>
  <si>
    <t>Honda Accord  93-98 SV4 5th Gen (Cielo) (93-95) 77cm</t>
  </si>
  <si>
    <t>Honda Accord  93-98 SV4 5th Gen (Cielo) (96-98) 73cm</t>
  </si>
  <si>
    <t>Honda Accord  98-02 S84/S86 6th Gen</t>
  </si>
  <si>
    <t>LFW-ACCORD17RS2</t>
  </si>
  <si>
    <t>Honda Accord 17-23 10th Gen (2 Sensor / /\ O )</t>
  </si>
  <si>
    <t>LFW-BRV</t>
  </si>
  <si>
    <t>Honda BR-V 16-21</t>
  </si>
  <si>
    <t>TRW-BRV</t>
  </si>
  <si>
    <t>Honda BR-V 22- 2nd Gen / WRV (1 Sensor / Big /\ )</t>
  </si>
  <si>
    <t>Honda City  96-02 3rdGen (City Z)</t>
  </si>
  <si>
    <t>Honda Civic  92-95 3D SR0/SR3 (Estilo)</t>
  </si>
  <si>
    <t>X/Heater/10Hole</t>
  </si>
  <si>
    <t>Honda Civic  92-95 SR1/SR4 (Genio)</t>
  </si>
  <si>
    <t>Honda Civic  96-00 SO4/SO6 (Ferio)</t>
  </si>
  <si>
    <t>Honda Civic 00-05 VTIS S5A 7th Gen (Venturi) Sedan 4D</t>
  </si>
  <si>
    <t>Honda Civic 00-05 VTIS S5A 7th Gen Hatchback 3D</t>
  </si>
  <si>
    <t>Honda Civic 11-15 9th Gen (Civic FB All New)</t>
  </si>
  <si>
    <t>Honda Civic 16-21 10th Gen</t>
  </si>
  <si>
    <t>Honda Civic 16-21 10th Gen Hatchback (Hitam)</t>
  </si>
  <si>
    <t>Honda Civic 16-21 10th Gen Sedan</t>
  </si>
  <si>
    <t>LFW-CIVIC22RS</t>
  </si>
  <si>
    <t>Honda Civic 22- 11th Gen Hatch/Sedan (2 Sensor/ Big /\ O )</t>
  </si>
  <si>
    <t>Honda CR-V   95-01 1st Gen</t>
  </si>
  <si>
    <t>Honda CR-V  02-04 2nd Gen (Spion Jepit)</t>
  </si>
  <si>
    <t>Honda CR-V  04-06 2nd Gen (Spion Biasa)</t>
  </si>
  <si>
    <t>X/Heater/2Hole</t>
  </si>
  <si>
    <t>Honda CR-V 12-16  4th Gen</t>
  </si>
  <si>
    <t>Honda CR-V 12-16  4th Gen [Rata]</t>
  </si>
  <si>
    <t>Honda CR-V 12-16  4th Gen [Lengkung]</t>
  </si>
  <si>
    <t>LFW-CRV23</t>
  </si>
  <si>
    <t>Honda CR-V 23- 6th Gen (2 Sensor / O /\ )</t>
  </si>
  <si>
    <t>Honda Freed 08-16 1st Gen</t>
  </si>
  <si>
    <t>LFW-HRV</t>
  </si>
  <si>
    <t>TRW-HRV</t>
  </si>
  <si>
    <t>Honda HR-V 22- 5D SUV (Ada Bracket RS)</t>
  </si>
  <si>
    <t>Honda Legend 04-12</t>
  </si>
  <si>
    <t>TRW-ODYSSEY94</t>
  </si>
  <si>
    <t>Honda Odyssey  94-99 1st Gen RA1-RA5</t>
  </si>
  <si>
    <t>Honda Odyssey  99-03 2nd Gen RA6-RA9</t>
  </si>
  <si>
    <t>Honda Odyssey 13- 5th Gen  RC1/RC2</t>
  </si>
  <si>
    <t>HYUNDAI</t>
  </si>
  <si>
    <t>Hyundai   Accent / Excel 1/ Cakra 94-01 Sedan</t>
  </si>
  <si>
    <t>Hyundai  Accent Verna / Excel 2 / Avega 01-12 Sedan</t>
  </si>
  <si>
    <t>Hyundai  Accent Verna 01-05 Sedan</t>
  </si>
  <si>
    <t>Hyundai  Avega 06-12 Sedan</t>
  </si>
  <si>
    <t>Hyundai Creta 22-</t>
  </si>
  <si>
    <t>TRW-CRETAH</t>
  </si>
  <si>
    <t>Hyundai Grand Avega 11-16 RB / Excel 3</t>
  </si>
  <si>
    <t>Hyundai i10 08-13</t>
  </si>
  <si>
    <t>Hyundai i20 09-14</t>
  </si>
  <si>
    <t>LFW-I2015</t>
  </si>
  <si>
    <t>Hyundai i20 15-20</t>
  </si>
  <si>
    <t>LFW-IONIQ5RS1</t>
  </si>
  <si>
    <t>Hyundai Ioniq 5 SUV 22- (1 Sensor / O )</t>
  </si>
  <si>
    <t>LFW-IONIQ5RS</t>
  </si>
  <si>
    <t>Hyundai Ioniq 5 SUV 22- (2 Sensor / O /\ )</t>
  </si>
  <si>
    <t>TRW-IONIQ5</t>
  </si>
  <si>
    <t>Hyundai Ioniq 5 SUV 22- (Hitam)</t>
  </si>
  <si>
    <t>LFW-PALISADERS</t>
  </si>
  <si>
    <t>Hyundai Palisade 20- (tahun 20-22) (2 Sensor O /\ tinggi)</t>
  </si>
  <si>
    <t>LFW-PALISADERS23</t>
  </si>
  <si>
    <t>Hyundai Palisade 20- (tahun 23-) (2 Sensor O /\ pendek)</t>
  </si>
  <si>
    <t>LFW-SANTAFE19RS</t>
  </si>
  <si>
    <t>Hyundai Santa Fe 18- (2 Sensor / O /\ )</t>
  </si>
  <si>
    <t>LFW-SANTAFE19RS1</t>
  </si>
  <si>
    <t>Hyundai Santa Fe 18- (1 Sensor / O)</t>
  </si>
  <si>
    <t>ISUZU</t>
  </si>
  <si>
    <t>Isuzu D-Max 12-19 2nd Gen / MUX (Spion atas keramik)</t>
  </si>
  <si>
    <t>Isuzu MUX 13-19 / Colorado Non RS (---Spion---)</t>
  </si>
  <si>
    <t>JAGUAR</t>
  </si>
  <si>
    <t>Jaguar XF 07-15</t>
  </si>
  <si>
    <t>JEEP</t>
  </si>
  <si>
    <t>LFW-COMPASS17</t>
  </si>
  <si>
    <t>Jeep Compass 17-</t>
  </si>
  <si>
    <t>Jeep Wrangler Rubicon  07-18 JK</t>
  </si>
  <si>
    <t>Jeep Wrangler Rubicon  07-11 JK (Hitam)</t>
  </si>
  <si>
    <t>X/Heater/8Hole</t>
  </si>
  <si>
    <t>KIA</t>
  </si>
  <si>
    <t>Kia Carnival /Sedona 15-21</t>
  </si>
  <si>
    <t>Kia Picanto  04-11 1st Gen (Spion Besi)</t>
  </si>
  <si>
    <t>Kia Picanto  04-11 1st Gen (Spion Hitam)</t>
  </si>
  <si>
    <t>Kia Rio 00-05  DC Sedan/Hatchback</t>
  </si>
  <si>
    <t>Kia Rio 05-11  JB Sedan/Hatchback (Kia Pride)</t>
  </si>
  <si>
    <t>LFW-SELTOS</t>
  </si>
  <si>
    <t>Kia Seltos 20-</t>
  </si>
  <si>
    <t>TRW-SELTOS</t>
  </si>
  <si>
    <t>LFW-SPORTAGE05</t>
  </si>
  <si>
    <t>LEXUS</t>
  </si>
  <si>
    <t>Lexus NX 200T 15-20 AG10</t>
  </si>
  <si>
    <t>Lexus RX (Harrier)  97-03 XU10</t>
  </si>
  <si>
    <t>Lexus RX (Harrier)  97-03 XU10 (Hitam)</t>
  </si>
  <si>
    <t>Lexus RX (Harrier) 03-08  XU30</t>
  </si>
  <si>
    <t>Lexus RX (Harrier) 03-08  XU30 (Spoiler atas) (Hitam)</t>
  </si>
  <si>
    <t>X/Heater/A/1Hole</t>
  </si>
  <si>
    <t>Lexus RX (Harrier) 03-08  XU31 (Spoiler 3 sisi)</t>
  </si>
  <si>
    <t>Lexus RX (Harrier) 13-20  CU6 [2 Sensor / /\ [] ]</t>
  </si>
  <si>
    <t>Lexus RX (Harrier) 13-20 CU6</t>
  </si>
  <si>
    <t>FDL-CU6</t>
  </si>
  <si>
    <t>FDR-CU6</t>
  </si>
  <si>
    <t>Lexus RX (Harrier) 15-21 AL20</t>
  </si>
  <si>
    <t>TRW-AL20</t>
  </si>
  <si>
    <t>MAZDA</t>
  </si>
  <si>
    <t>Mazda 2 09-14 3rd Gen Hatchback / Sedan</t>
  </si>
  <si>
    <t>Mazda 2 14-  Skyactiv 4th Gen (1 Sensor/ □ )</t>
  </si>
  <si>
    <t>Mazda 2 14-  Skyactiv 4th Gen (3 Sensor/ /\8 )</t>
  </si>
  <si>
    <t>Mazda 2 14-  Skyactiv 4th Gen (4 Sensor/ □/\8 )</t>
  </si>
  <si>
    <t>LFW-MAZDA3-19RS</t>
  </si>
  <si>
    <t>Mazda 3 19- 3D/5D (2 Sensor / [] /\ )</t>
  </si>
  <si>
    <t>TRW-MAZDA3-19</t>
  </si>
  <si>
    <t>Mazda 3 19- 5D Hatchback</t>
  </si>
  <si>
    <t>LFW-MAZDA323</t>
  </si>
  <si>
    <t>Mazda 323 88-94</t>
  </si>
  <si>
    <t>Mazda 323 Interplay 92-97 (Note: Lampu blkg full body)</t>
  </si>
  <si>
    <t>Mazda 6 12- GJ/GL 3rd Gen</t>
  </si>
  <si>
    <t>Mazda 6 12-16 GJ/GL 3rd Gen (4 Sensor)</t>
  </si>
  <si>
    <t>LFW-MAZDA618RS</t>
  </si>
  <si>
    <t>Mazda 6 18-23 GJ/GL 3rd Gen (2 Sensor/ [] /=\ )</t>
  </si>
  <si>
    <t>Mazda Biante  08-</t>
  </si>
  <si>
    <t>Mazda Biante  08- (Bening)</t>
  </si>
  <si>
    <t>Mazda Biante  08- (Hitam)</t>
  </si>
  <si>
    <t>LFW-CX3RS2</t>
  </si>
  <si>
    <t>Mazda CX-3 15- (2 Sensor / □ /\ )</t>
  </si>
  <si>
    <t>Mazda CX-3 15-</t>
  </si>
  <si>
    <t>Mazda CX-5 12-17 1st Gen KE Pre</t>
  </si>
  <si>
    <t>Mazda CX-5 12-17 1st Gen KE Pre - (1 Sensor/ □ )</t>
  </si>
  <si>
    <t>Mazda CX-5 12-17 1st Gen KE Facelift - (3 Sensor/ /\8 )</t>
  </si>
  <si>
    <t>Mazda CX-5  17- 2nd Gen KF (1 Sensor/ □ )</t>
  </si>
  <si>
    <t>Mazda CX-5  17- 2nd Gen KF (2 Sensor/ □Δ )</t>
  </si>
  <si>
    <t>Mazda CX-7  07- (1 Sensor / [] )</t>
  </si>
  <si>
    <t>Mazda CX-7  07-</t>
  </si>
  <si>
    <t>Mazda CX-9 07-15 1st Gen (1 Sensor / [] )</t>
  </si>
  <si>
    <t>LFW-CX9GEN1RS2</t>
  </si>
  <si>
    <t>Mazda CX-9 07-15 1st Gen (2 Sensor / [] /\ )</t>
  </si>
  <si>
    <t>LFW-CX9GEN2</t>
  </si>
  <si>
    <t>Mazda CX-9 16- 2nd Gen (2 Sensor / [] /\ )</t>
  </si>
  <si>
    <t>Mazda MX-5/Miata/Roadster 2D 05-15</t>
  </si>
  <si>
    <t>MERCEDES</t>
  </si>
  <si>
    <t>Mers-Benz A-Class 97-04 W168</t>
  </si>
  <si>
    <t>LFW-W169NRS</t>
  </si>
  <si>
    <t>Mers-Benz A-Class 13-18 W176 / W156 / W117 (1 Sensor [] )</t>
  </si>
  <si>
    <t>LFW-W176RS2</t>
  </si>
  <si>
    <t>Mers-Benz A-Class 13-18 W176 / W156 / W117 (2 Sensor/ [] /\ )</t>
  </si>
  <si>
    <t>TRW-W176</t>
  </si>
  <si>
    <t>Mers-Benz A-Class 13-18 W176</t>
  </si>
  <si>
    <t>LFW-W177</t>
  </si>
  <si>
    <t>Mers-Benz A-Class 18- W177 / CLA 19- W118 (1 Sensor / O)</t>
  </si>
  <si>
    <t>LFW-W246TRAPES</t>
  </si>
  <si>
    <t>Mers-Benz B-Class 11-17 W246 (1 Sensor / /=\ )</t>
  </si>
  <si>
    <t>Mers-Benz C-Class  93-00 W202</t>
  </si>
  <si>
    <t>Mers-Benz C-Class  00-07 CL/W203 2D Coupe (1 Sensor □ )</t>
  </si>
  <si>
    <t>Mers-Benz C-Class  00-07 W203 4D (2 Sensor/ □ Pinggir)</t>
  </si>
  <si>
    <t>Mers-Benz C-Class  00-07 W203 4D (1 Sensor/ □ Tengah)</t>
  </si>
  <si>
    <t>Mers-Benz C-Class  00-07 W203 4D</t>
  </si>
  <si>
    <t>LFW-W204RS12D</t>
  </si>
  <si>
    <t>Mers-Benz C-Class 07-14 CL/W204 2D Coupe (1 Sensor/ O )</t>
  </si>
  <si>
    <t>LFW-W204RS22D</t>
  </si>
  <si>
    <t>Mers-Benz C-Class 07-14 CL/W204 2D Coupe (2 Sensor □Δ)</t>
  </si>
  <si>
    <t>Mers-Benz C-Class  07-14 W204 4D (2 Sensor/ □Δ)</t>
  </si>
  <si>
    <t>Mers-Benz C-Class  07-14 W204 4D</t>
  </si>
  <si>
    <t>Mers-Benz C-Class 14-21 W205 (1 Sensor/ □)</t>
  </si>
  <si>
    <t>Mers-Benz C-Class 14-21 W205 (2 Sensor/ □Δ)</t>
  </si>
  <si>
    <t>X/RS/List/Cam.</t>
  </si>
  <si>
    <t>Mers-Benz C-Class 14-21 W205 (3 Sensor/ Δ□Δ)</t>
  </si>
  <si>
    <t>Mers-Benz C-Class 14-21 W205</t>
  </si>
  <si>
    <t>LFW-C216</t>
  </si>
  <si>
    <t>Mers-Benz CL-Class 06-14 CL/C216 2D Coupe (2 Sensor /\ □ )</t>
  </si>
  <si>
    <t>Mers-Benz CLA-Class 13-19 W117 / W156 / W176 (Sensor /=\ )</t>
  </si>
  <si>
    <t>Mers-Benz E-Class   88-95 W124 2D Coupe</t>
  </si>
  <si>
    <t>Mers-Benz E-Class   88-95 W124 4D</t>
  </si>
  <si>
    <t>Mers-Benz E-Class   88-95 W124 2D Coupe (Lami)</t>
  </si>
  <si>
    <t>TRW-W1244DOOR</t>
  </si>
  <si>
    <t>Mers-Benz E-Class   88-95 W124 4D (Lami)</t>
  </si>
  <si>
    <t>Mers-Benz E-Class   95-02 W210</t>
  </si>
  <si>
    <t>LFW-W210-NONRS</t>
  </si>
  <si>
    <t>LFW-W211ROOF</t>
  </si>
  <si>
    <t>Mers-Benz E-Class  02-09 W211 (Model Sunroof)</t>
  </si>
  <si>
    <t>Mers-Benz E-Class  02-09 W211 (Tanpa Sunroof)</t>
  </si>
  <si>
    <t>Mers-Benz E-Class  02-09 W211</t>
  </si>
  <si>
    <t>X/Heater/A/List</t>
  </si>
  <si>
    <t>Mers-Benz E-Class  09-16  W212 (1 Sensor/ □)</t>
  </si>
  <si>
    <t>LFW-W212RS2LANCIP</t>
  </si>
  <si>
    <t>Mers-Benz E-Class  09-16  W212 (2 Sensor/ □Δ) Lancip</t>
  </si>
  <si>
    <t>Mers-Benz E-Class  09-16 W212</t>
  </si>
  <si>
    <t>Mers-Benz E-Class  17-23 W213 (1 Sensor/ □ )</t>
  </si>
  <si>
    <t>Mers-Benz E-Class  17-23 W213</t>
  </si>
  <si>
    <t>TRW-W156</t>
  </si>
  <si>
    <t>Mers-Benz GLA SUV 13-19 W156 (Hitam)</t>
  </si>
  <si>
    <t>Mers-Benz GLC SUV 16-22 W253 (1 Sensor /=\ )</t>
  </si>
  <si>
    <t>LFW-W253RS2</t>
  </si>
  <si>
    <t>Mers-Benz GLC SUV 16-22 W253 (2 Sensor/ [] /=\ )</t>
  </si>
  <si>
    <t>Mers-Benz GLC SUV 16-22 W253</t>
  </si>
  <si>
    <t>Mers-Benz GLE SUV 11-18 W166 (1 Sensor/ □ )</t>
  </si>
  <si>
    <t>Mers-Benz GLE SUV 11-18 W166 (2 Sensor / □Δ)</t>
  </si>
  <si>
    <t>LFW-W166RS2TIPE2</t>
  </si>
  <si>
    <t>Mers-Benz GLE SUV 11-18 W166 (2 Sensor / □Δ sejajar)</t>
  </si>
  <si>
    <t>TRW-W166</t>
  </si>
  <si>
    <t>Mers-Benz GLE SUV 11-18 W166 (Hitam) (Lampu Segi 4)</t>
  </si>
  <si>
    <t>TRW-X166</t>
  </si>
  <si>
    <t>Mers-Benz GLS SUV 13-19 W166 (Hitam) (Lampu Segi 5)</t>
  </si>
  <si>
    <t>Mers-Benz S-Class   91-98 W140 4D</t>
  </si>
  <si>
    <t>Mers-Benz S-Class   91-98 W140 4D (1 Sensor/ □ )</t>
  </si>
  <si>
    <t>Mers-Benz S-Class   91-98 W140 4D (Lami)</t>
  </si>
  <si>
    <t>Mers-Benz S-Class   98-05 W220 4D (1 Sensor / 2 O)</t>
  </si>
  <si>
    <t>LFW-W220RS1</t>
  </si>
  <si>
    <t>Mers-Benz S-Class   98-05 W220 4D (1 Sensor / □ )</t>
  </si>
  <si>
    <t>Mers-Benz S-Class   98-05 W220 4D (Lami)</t>
  </si>
  <si>
    <t>Mers-Benz S-Class  06-13 W221 4D (1 Sensor/ □ )</t>
  </si>
  <si>
    <t>LFW-W221RS2</t>
  </si>
  <si>
    <t>Mers-Benz S-Class  06-13 W221 4D (2 Sensor/ □ /\ )</t>
  </si>
  <si>
    <t>X/RS3/H/A/List</t>
  </si>
  <si>
    <t>TRW-W447</t>
  </si>
  <si>
    <t>Mers-Benz Vito 14- W447</t>
  </si>
  <si>
    <t>MG</t>
  </si>
  <si>
    <t>LFW-MGZS</t>
  </si>
  <si>
    <t>MG ZS SUV 17-</t>
  </si>
  <si>
    <t>MINI COOPER</t>
  </si>
  <si>
    <t>Mini Cooper 14-23 F55/56/57  3D/5D/Cab. RS2 ( O /\ ) HBK</t>
  </si>
  <si>
    <t>Mini Cooper 14-23 F55/56/57  3D/5D/Cab. RS1 ( O ) HBK</t>
  </si>
  <si>
    <t>LFW-MINIR60</t>
  </si>
  <si>
    <t>Mini Countryman 10-16 R60- 5D HBK</t>
  </si>
  <si>
    <t>MITSUBISHI</t>
  </si>
  <si>
    <t>Mitsubishi Delica 07- 5th Gen (Bening)</t>
  </si>
  <si>
    <t>Mitsubishi Galant  87-93 YH/E31 6th Gen (Eterna)</t>
  </si>
  <si>
    <t>Mitsubishi Grandis  97-03 (Grandis Lama)</t>
  </si>
  <si>
    <t>Mitsubishi L200 02-07  Single Cabin</t>
  </si>
  <si>
    <t>Mitsubishi Lancer  91-96 LE41 CB4/5 (Evo3)</t>
  </si>
  <si>
    <t>Mitsubishi Lancer  95-03 LG41/CK2/CK4(Evo4)</t>
  </si>
  <si>
    <t>Mitsubishi Pajero Montero/Shogun  91-00 V40</t>
  </si>
  <si>
    <t>Mitsubishi Pajero Montero/Shogun  99-05 V60/V70</t>
  </si>
  <si>
    <t>LFW-PAJEROV8090RS</t>
  </si>
  <si>
    <t>Mitsubishi Pajero 20- (1 Sensor / □ ) (sama dgn 16-)</t>
  </si>
  <si>
    <t>Mitsubishi Pajero 20- (2 Sensor / □ [] ) (sama dgn 16-)</t>
  </si>
  <si>
    <t>NISSAN</t>
  </si>
  <si>
    <t>LFW-DATSUN</t>
  </si>
  <si>
    <t>Nissan Elgrand  02-10 E51 2nd Gen</t>
  </si>
  <si>
    <t>RDR-EVALIAFRAME</t>
  </si>
  <si>
    <t>Nissan Evalia 10- X11M (Frame)</t>
  </si>
  <si>
    <t>X/Frame</t>
  </si>
  <si>
    <t>Nissan Frontier Navara  97-04 D22 1st Gen</t>
  </si>
  <si>
    <t>LFW-KICKS21</t>
  </si>
  <si>
    <t>Nissan Kicks SUV 21-</t>
  </si>
  <si>
    <t>Nissan Livina  07-18 L10/L11</t>
  </si>
  <si>
    <t>Nissan Livina  07-12 L10 (Tanpa Lubang)</t>
  </si>
  <si>
    <t>Nissan Livina  13-18 L11 (Lubang)</t>
  </si>
  <si>
    <t>RQL-LIVINA</t>
  </si>
  <si>
    <t>RQR-LIVINA</t>
  </si>
  <si>
    <t>Nissan Serena  91-00 MKI C23</t>
  </si>
  <si>
    <t>Nissan Serena  99-10 MKII C24</t>
  </si>
  <si>
    <t>LFW-TEANA03</t>
  </si>
  <si>
    <t>Nissan Teana 03-08 J31</t>
  </si>
  <si>
    <t>LFW-TEANA08</t>
  </si>
  <si>
    <t>TRW-TERRA</t>
  </si>
  <si>
    <t>TRW-TERRANOLBG</t>
  </si>
  <si>
    <t>OPEL</t>
  </si>
  <si>
    <t>PEUGEUOT</t>
  </si>
  <si>
    <t>PEUGEOT</t>
  </si>
  <si>
    <t>LFW-P206</t>
  </si>
  <si>
    <t>Peugeot 206 98-  3D/5D</t>
  </si>
  <si>
    <t>PROTON</t>
  </si>
  <si>
    <t>TRW-PROTONGEN2</t>
  </si>
  <si>
    <t>Proton Gen2 04- Hatchback</t>
  </si>
  <si>
    <t>RANGE ROVER</t>
  </si>
  <si>
    <t>LFW-ROVER94</t>
  </si>
  <si>
    <t>Range Rover 95-00 SALPA 5D</t>
  </si>
  <si>
    <t>Range Rover Evoque 11-18  SALVA 2D (1 Sensor / [] )</t>
  </si>
  <si>
    <t>Range Rover Evoque 11-18  SALVA (2Door) (Hitam)</t>
  </si>
  <si>
    <t>Range Rover Evoque 11-18  SALVA (2Door)</t>
  </si>
  <si>
    <t>LFW-RANGEROVER4DTPS</t>
  </si>
  <si>
    <t>Range Rover Evoque 11-18 SALVA 4Door (1 Sensor / /=\)</t>
  </si>
  <si>
    <t>TRW-SALSA</t>
  </si>
  <si>
    <t>Range Rover Sport 05-13 L320 SALSA 5D</t>
  </si>
  <si>
    <t>LFW-SALMA</t>
  </si>
  <si>
    <t>Range Rover Vogue 02-07 L322 SALMA 4D</t>
  </si>
  <si>
    <t>RENAULT</t>
  </si>
  <si>
    <t>LFW-DUSTER18</t>
  </si>
  <si>
    <t>Renault Duster 18- SUV</t>
  </si>
  <si>
    <t>TRW-KOLEOS16</t>
  </si>
  <si>
    <t>Renault Koleos HZG 16-</t>
  </si>
  <si>
    <t>RDR-KOLEOS16</t>
  </si>
  <si>
    <t>SUBARU</t>
  </si>
  <si>
    <t>Subaru XV 12-21 / WRX 15-20 / Impreza 12-17</t>
  </si>
  <si>
    <t>SUZUKI</t>
  </si>
  <si>
    <t>Suzuki Baleno  96-01</t>
  </si>
  <si>
    <t>Suzuki Baleno 08-15 SX4 / X-Over / Neo Baleno</t>
  </si>
  <si>
    <t>Suzuki Baleno 08-15 SX4 / X-Over Hatchback</t>
  </si>
  <si>
    <t>Suzuki Baleno 15-22 Hatchback</t>
  </si>
  <si>
    <t>LFW-SCROSS16</t>
  </si>
  <si>
    <t>Suzuki Baleno 16- SX4 Scross Hatchback</t>
  </si>
  <si>
    <t>LFW-SCROSS16RS</t>
  </si>
  <si>
    <t>TRW-SCROSS16</t>
  </si>
  <si>
    <t>Suzuki Carry Futura 91-98 (1300cc) / Mitsubishi Colt T120</t>
  </si>
  <si>
    <t>Suzuki Esteem / Amenity</t>
  </si>
  <si>
    <t>TATA</t>
  </si>
  <si>
    <t>TOYOTA</t>
  </si>
  <si>
    <t>LFW-AGYA</t>
  </si>
  <si>
    <t>Toyota Alphard 02-08 ANH10  1st Gen (Bening)</t>
  </si>
  <si>
    <t>Toyota Alphard 02-08 ANH10  1st Gen (Hitam)</t>
  </si>
  <si>
    <t>SWR-ALPHARD02RATAHITAM</t>
  </si>
  <si>
    <t>Toyota Alphard 15-17 ANH30 3rd Gen (Bening)</t>
  </si>
  <si>
    <t>Toyota Alphard 15-23 ANH30 3rd Gen</t>
  </si>
  <si>
    <t>Toyota Alphard 15-23 ANH30 3rd Gen (Hitam)</t>
  </si>
  <si>
    <t>Toyota Alphard 18-23 ANH30 3rd Gen</t>
  </si>
  <si>
    <t>Toyota Alphard 18-23 ANH30 3rd Gen (Sensor bwh keramik)</t>
  </si>
  <si>
    <t>Toyota Alphard 18-23 ANH30 3rd Gen (2 Sensor / □Δ )</t>
  </si>
  <si>
    <t>Toyota Alphard 18-23 ANH30 3rd Gen (Camera)</t>
  </si>
  <si>
    <t>X/Heater/Cam</t>
  </si>
  <si>
    <t>LFW-ALPHARD24RS</t>
  </si>
  <si>
    <t>Toyota Alphard 23- ANH40 4th Gen (2 Sensor/ [] /\ )</t>
  </si>
  <si>
    <t>TRW-ALPHARD23</t>
  </si>
  <si>
    <t>Toyota Alphard 23- ANH40 4th Gen (Camera)</t>
  </si>
  <si>
    <t>Toyota Altis 00-07 E120/130 9th Gen</t>
  </si>
  <si>
    <t>Toyota Altis 06-13  E140 10th Gen (DZ055)</t>
  </si>
  <si>
    <t>Toyota Altis 18- E210 12th Gen (1 Sensor / [] )</t>
  </si>
  <si>
    <t>LFW-ALTIS18RS2</t>
  </si>
  <si>
    <t>Toyota Altis 18- E210 12th Gen (2 Sensor / [] /\ )</t>
  </si>
  <si>
    <t>TRW-ALTIS18</t>
  </si>
  <si>
    <t>TRW-AVANZA11-H</t>
  </si>
  <si>
    <t>LFW-SIGRA</t>
  </si>
  <si>
    <t>TRW-SIGRA</t>
  </si>
  <si>
    <t>SWL-SIGRA</t>
  </si>
  <si>
    <t>SWR-SIGRA</t>
  </si>
  <si>
    <t>Toyota Camry  96-01 XV20 2nd Gen</t>
  </si>
  <si>
    <t>Toyota Corolla  AE92/EE90 87-92 6th Gen Twincam</t>
  </si>
  <si>
    <t>Toyota Corolla  Great E100  91-96 7th Gen</t>
  </si>
  <si>
    <t>LFW-CRESTA96</t>
  </si>
  <si>
    <t>Toyota Cresta 96-01</t>
  </si>
  <si>
    <t>LFW-FJCRUISER</t>
  </si>
  <si>
    <t>Toyota FJ Cruiser 07-18</t>
  </si>
  <si>
    <t>Toyota Fortuner 05-15  1st Gen</t>
  </si>
  <si>
    <t>Toyota Fortuner 05-15  1st Gen (Hitam)</t>
  </si>
  <si>
    <t>Toyota Fortuner 15-  2nd Gen (Hitam)</t>
  </si>
  <si>
    <t>Toyota FT86 / Subaru BRZ 13-21</t>
  </si>
  <si>
    <t>LFW-GRANACE19</t>
  </si>
  <si>
    <t>Toyota Granace 19- (2 Sensor / [] / \ )</t>
  </si>
  <si>
    <t>Toyota Hi-Ace 04-20 Commuter (Bening) Tipe 1</t>
  </si>
  <si>
    <t>Toyota Hi-Ace 04-20 Commuter (Hitam) Tipe 1</t>
  </si>
  <si>
    <t>Toyota Hi-Ace 20- Commuter (Bening) Tipe 2</t>
  </si>
  <si>
    <t>RDL-HIACEFRAME</t>
  </si>
  <si>
    <t>Toyota Hi-Ace 19- Premio (Hitam) (Tinggi 59.5cm)</t>
  </si>
  <si>
    <t>Toyota Hi-Ace 19- Premio (Bening) (Tinggi 59.5cm)</t>
  </si>
  <si>
    <t>LFW-HILUX97</t>
  </si>
  <si>
    <t>Toyota Hilux Pickup 97-04</t>
  </si>
  <si>
    <t>Toyota Innova 22- Zenyx 3rd Gen (1 Sensor / /\ )</t>
  </si>
  <si>
    <t>LFW-INNOVA22</t>
  </si>
  <si>
    <t>Toyota Innova 22- Zenyx 3rd Gen</t>
  </si>
  <si>
    <t>Toyota Kijang 02-04 Kapsul Lem Efi (7K)</t>
  </si>
  <si>
    <t>Toyota LandCruiser 84- FJ70 / LC Bundera</t>
  </si>
  <si>
    <t>Toyota LandCruiser  90-97 FJ80</t>
  </si>
  <si>
    <t>Toyota LandCruiser  98-07 FJ100 (Signus) [Sensor]</t>
  </si>
  <si>
    <t>Toyota LandCruiser  98-07 FJ100 (Signus) [No Sensor]</t>
  </si>
  <si>
    <t>Toyota LandCruiser  98-07 FJ100 (Signus)</t>
  </si>
  <si>
    <t>Toyota LandCruiser 07-21 FJ200 (1 Sensor / u ) Tipe 1 / Lxs</t>
  </si>
  <si>
    <t>Toyota LandCruiser 07-21 FJ200 (1 Sensor / I I ) Tipe 2 / Lxs</t>
  </si>
  <si>
    <t>Toyota LandCruiser 07-21 FJ200</t>
  </si>
  <si>
    <t>Toyota LandCruiser 07-21 FJ200 / Lexus</t>
  </si>
  <si>
    <t>Toyota LandCruiser Prado   96-02 FJ90</t>
  </si>
  <si>
    <t>FDR-FJ120</t>
  </si>
  <si>
    <t>FDL-FJ120</t>
  </si>
  <si>
    <t>X/Heater/17hole</t>
  </si>
  <si>
    <t>LFW-PRIUS09</t>
  </si>
  <si>
    <t>Toyota Prius 09-15 XW30</t>
  </si>
  <si>
    <t>Toyota RAV4 00-05 XA20 2th Gen / Chery Tiggo 05-10</t>
  </si>
  <si>
    <t>Toyota Vios 13-17 3rd Gen (Lampu \=\ /=/ )</t>
  </si>
  <si>
    <t>TRW-VIOS18</t>
  </si>
  <si>
    <t>Toyota Vios 18-22 3rd Gen (Lampu - - )</t>
  </si>
  <si>
    <t>LFW-VIOS23</t>
  </si>
  <si>
    <t>Toyota Vios 23- 4th Gen</t>
  </si>
  <si>
    <t>TRW-VIOS23</t>
  </si>
  <si>
    <t>Toyota Voxy 17-21 1st Gen</t>
  </si>
  <si>
    <t>Toyota Voxy 17-21 1st Gen (Hitam)</t>
  </si>
  <si>
    <t>Toyota Yaris 13-17 2nd Gen  / Vios 14-22 3rd Gen</t>
  </si>
  <si>
    <t>Toyota Yaris 13-17 2nd Gen (Lampu C) XP150</t>
  </si>
  <si>
    <t>VW</t>
  </si>
  <si>
    <t>LFW-T4</t>
  </si>
  <si>
    <t>VW Caravelle T4 90-03</t>
  </si>
  <si>
    <t>TRW-T6</t>
  </si>
  <si>
    <t>VW Caravelle T6 17-</t>
  </si>
  <si>
    <t>VW Golf MK6 Hatchback 08-12 / MK5 03-08</t>
  </si>
  <si>
    <t>VW New Beetle 3D Hatchback A5 11-19</t>
  </si>
  <si>
    <t>WULING</t>
  </si>
  <si>
    <t>TRW-AIREV</t>
  </si>
  <si>
    <t>Wuling Air EV 22-</t>
  </si>
  <si>
    <t>TRW-ALMAZNOH</t>
  </si>
  <si>
    <t>SWR-CONFEROKARET</t>
  </si>
  <si>
    <t>Wuling Confero [Karet]</t>
  </si>
  <si>
    <t>X/List Karet</t>
  </si>
  <si>
    <t>SWL-CONFEROKARET</t>
  </si>
  <si>
    <t>SWR-CONFEROCHROME</t>
  </si>
  <si>
    <t>Wuling Confero [Chrome]</t>
  </si>
  <si>
    <t>X/List Chrome</t>
  </si>
  <si>
    <t>SWL-CONFEROCHROME</t>
  </si>
  <si>
    <t>TRW-CORTEZH</t>
  </si>
  <si>
    <t>SWR-CORTEZKARET</t>
  </si>
  <si>
    <t>Wuling Cortez [Karet]</t>
  </si>
  <si>
    <t>SWL-CORTEZKARET</t>
  </si>
  <si>
    <t>SWR-CORTEZCHROME</t>
  </si>
  <si>
    <t>Wuling Cortez [Chrome]</t>
  </si>
  <si>
    <t>SWL-CORTEZCHROME</t>
  </si>
  <si>
    <t>TRUCK</t>
  </si>
  <si>
    <t>LFW-PROVIA</t>
  </si>
  <si>
    <t>Hino Provia Truck</t>
  </si>
  <si>
    <t>Hino Ranger Louhan 03- / Hino 500  (MULIA)</t>
  </si>
  <si>
    <t>With Klip</t>
  </si>
  <si>
    <t>LFW-HINO700</t>
  </si>
  <si>
    <t>Hino 700 17-</t>
  </si>
  <si>
    <t>LFW-ELF</t>
  </si>
  <si>
    <t>Isuzu Elf  93- NKR NHR</t>
  </si>
  <si>
    <t>LFW-ELFNEW</t>
  </si>
  <si>
    <t>LFW-IVECOTRK</t>
  </si>
  <si>
    <t>Iveco Eurotech/Eurotrakker 91- (2180x832)</t>
  </si>
  <si>
    <t>LFW-AROCS</t>
  </si>
  <si>
    <t>Mers-Benz Arocs Truck 12-</t>
  </si>
  <si>
    <t>Mers-Benz Axor 98- Truck / Fuso FJ25</t>
  </si>
  <si>
    <t>Mitsubishi Fuso Fighter FK40 82- (PS190,220)</t>
  </si>
  <si>
    <t>LFW-FIGHTERX</t>
  </si>
  <si>
    <t>Mitsubishi Fuso Fighter X 22- (Mata Kucing) / FK70 / FN62</t>
  </si>
  <si>
    <t>LFW-SANY14</t>
  </si>
  <si>
    <t>Sany Truck 14- SY440/412/408/ CB380</t>
  </si>
  <si>
    <t>LFW-SCANIA96</t>
  </si>
  <si>
    <t>Scania 96-03 S114 (Karet) (2256x870)</t>
  </si>
  <si>
    <t>LFW-SCANIA04LEM</t>
  </si>
  <si>
    <t>Scania 04-15 P380/R420 (Lem) (2270x870)</t>
  </si>
  <si>
    <t>LFW-SCANIA16RS</t>
  </si>
  <si>
    <t>Scania 16- P500/R580 (Lem + RS) (2370x900)</t>
  </si>
  <si>
    <t>Klip (X), Tnp Klip (M)</t>
  </si>
  <si>
    <t>LFW-VV20</t>
  </si>
  <si>
    <t>Volvo Truck FH16 Tipe VV20</t>
  </si>
  <si>
    <t>LFW-VV727</t>
  </si>
  <si>
    <t>Volvo Truck LH Series VV727 / Volvo MH VLMH</t>
  </si>
  <si>
    <t>BUS</t>
  </si>
  <si>
    <t>LFW-NKING</t>
  </si>
  <si>
    <t>LFW-RSNV</t>
  </si>
  <si>
    <t>Bus RSNV</t>
  </si>
  <si>
    <t>LFW-NTOUR</t>
  </si>
  <si>
    <t>Bus NTOUR</t>
  </si>
  <si>
    <t>SENTRA AUTOGLASS TANGERANG</t>
  </si>
  <si>
    <t>Taman Royal, Ruko Permata Niaga II No. 17,  Kota Tangerang, Banten 15119</t>
  </si>
  <si>
    <t xml:space="preserve">Daftar Piket Sentra Autoglass Surabaya             </t>
  </si>
  <si>
    <t>Hari</t>
  </si>
  <si>
    <t>Penyapu Luar Dalam &amp;
Pengelola Sampah</t>
  </si>
  <si>
    <t>Merapikan Meja-Meja, Trolley, Peralatan Teknisi/ Lap</t>
  </si>
  <si>
    <t>Penyapu Dalam Ruangan</t>
  </si>
  <si>
    <t>Pengepel Dalam Ruangan</t>
  </si>
  <si>
    <t>Senin</t>
  </si>
  <si>
    <t>Selasa</t>
  </si>
  <si>
    <t>Flea</t>
  </si>
  <si>
    <t>Adin</t>
  </si>
  <si>
    <t>Rabu</t>
  </si>
  <si>
    <t>Kamis</t>
  </si>
  <si>
    <t>Jumat</t>
  </si>
  <si>
    <t>Piket Mingguan</t>
  </si>
  <si>
    <t>Sapu pel luar dalam</t>
  </si>
  <si>
    <t>Cuci Mobil &amp; Motor kantor</t>
  </si>
  <si>
    <t>Bersihkan Kipas</t>
  </si>
  <si>
    <t>Cek kelengkapan toolkit dan inventory</t>
  </si>
  <si>
    <t>Membersihkan sudut-sudut yang jarang disentuh (misalnya, ventilasi atau plafon).</t>
  </si>
  <si>
    <t>Mengecek dan merapikan seluruh ruangan.</t>
  </si>
  <si>
    <t>Mengelap kaca</t>
  </si>
  <si>
    <t>10/12/2025</t>
  </si>
  <si>
    <t>Cv.Titipan Illahi Trans</t>
  </si>
  <si>
    <t xml:space="preserve">Jl. Achmad Jais No.66, </t>
  </si>
  <si>
    <t>RT.009/RW.02, Peneleh</t>
  </si>
  <si>
    <t>SJ</t>
  </si>
  <si>
    <t>SJL250030</t>
  </si>
  <si>
    <t xml:space="preserve">Honda BR-V 16-21 (Honda)                                                                </t>
  </si>
  <si>
    <t xml:space="preserve">                                                 </t>
  </si>
  <si>
    <t>QTY KIRIM</t>
  </si>
  <si>
    <t xml:space="preserve">SO </t>
  </si>
  <si>
    <t>RQL-SIGRA16ASH</t>
  </si>
  <si>
    <t>RQR-SIGRA16ASH</t>
  </si>
  <si>
    <t>CANCEL</t>
  </si>
  <si>
    <t>Tambahan</t>
  </si>
  <si>
    <t>RETUR PENJUALAN</t>
  </si>
  <si>
    <t>INV :</t>
  </si>
  <si>
    <t>RETUR NO : RTN-F240001</t>
  </si>
  <si>
    <t>Rear Window Toyota Hi-Ace 04-20 Tempered</t>
  </si>
  <si>
    <t>Return to</t>
  </si>
  <si>
    <t>BCA 4480245542 an Tirtahamidjaja Rahardja</t>
  </si>
  <si>
    <t>Kaca yang sudah dipesan/dipasang tidak dapat dibatalkan/dikembalikan.</t>
  </si>
  <si>
    <t xml:space="preserve">                                                                                                                               ,</t>
  </si>
  <si>
    <t xml:space="preserve">PENERIMA : </t>
  </si>
  <si>
    <r>
      <rPr>
        <rFont val="Calibri"/>
        <b/>
        <color theme="1"/>
        <sz val="82.0"/>
      </rPr>
      <t xml:space="preserve">P. OKTA
</t>
    </r>
    <r>
      <rPr>
        <rFont val="Calibri"/>
        <b/>
        <color theme="1"/>
        <sz val="60.0"/>
      </rPr>
      <t>+62 813-9105-5492</t>
    </r>
  </si>
  <si>
    <t>Petty Cash Surabaya</t>
  </si>
  <si>
    <t>Cek</t>
  </si>
  <si>
    <t>POS KAS</t>
  </si>
  <si>
    <t>Debit</t>
  </si>
  <si>
    <t>Kredit</t>
  </si>
  <si>
    <t>Sisa</t>
  </si>
  <si>
    <t>Input by</t>
  </si>
  <si>
    <t>Terima uang</t>
  </si>
  <si>
    <t>Transportasi</t>
  </si>
  <si>
    <t>Perlengkapan Workshop</t>
  </si>
  <si>
    <t>Administrasi &amp; Kantor</t>
  </si>
  <si>
    <t>Konsumsi</t>
  </si>
  <si>
    <t>Perawatan Fasilitas</t>
  </si>
  <si>
    <t>Biaya Tak terduga</t>
  </si>
  <si>
    <t>Juni 2024</t>
  </si>
  <si>
    <t>Uang Masuk</t>
  </si>
  <si>
    <t>Via &amp; Lia</t>
  </si>
  <si>
    <t>Lalamove</t>
  </si>
  <si>
    <t>dari BGI ambil TRW-H1XYG</t>
  </si>
  <si>
    <t>Supir</t>
  </si>
  <si>
    <t>dari Maspion ambil LFW-HRV22PIL</t>
  </si>
  <si>
    <t>parkir lalamove</t>
  </si>
  <si>
    <t>Air minum</t>
  </si>
  <si>
    <t>Air minum Karyawan Sentra 3 galon</t>
  </si>
  <si>
    <t>Wisman</t>
  </si>
  <si>
    <t>Parkir</t>
  </si>
  <si>
    <t>parkir granmax kirim expedisi</t>
  </si>
  <si>
    <t>Kape</t>
  </si>
  <si>
    <t>Kape @12000/pc</t>
  </si>
  <si>
    <t>Air minum Karyawan Sentra 1 galon</t>
  </si>
  <si>
    <t>Tukang galon</t>
  </si>
  <si>
    <t>Ganti bensin</t>
  </si>
  <si>
    <t xml:space="preserve">Ganti bensin lia </t>
  </si>
  <si>
    <t>Ganti bensin guntur</t>
  </si>
  <si>
    <t>dimas</t>
  </si>
  <si>
    <t>Ganti bensin Dimas</t>
  </si>
  <si>
    <t>Bensin granmax</t>
  </si>
  <si>
    <t>Beli bensin granmax (oprasional)</t>
  </si>
  <si>
    <t>Mata gerenda</t>
  </si>
  <si>
    <t>Mata gerenda kayu</t>
  </si>
  <si>
    <t>List Ertiga</t>
  </si>
  <si>
    <t>List karet kaca depan Ertiga</t>
  </si>
  <si>
    <t xml:space="preserve">Parkir </t>
  </si>
  <si>
    <t>Alat listrik</t>
  </si>
  <si>
    <t>Alat Listrik (Toko Jaya Abadi)</t>
  </si>
  <si>
    <t>Lembur pemasangan kaca</t>
  </si>
  <si>
    <t>Wisman dan ade</t>
  </si>
  <si>
    <t>Air minum Karyawan Sentra 2 galon</t>
  </si>
  <si>
    <t>ok</t>
  </si>
  <si>
    <t>kembalian</t>
  </si>
  <si>
    <t>Kembalian uang customer</t>
  </si>
  <si>
    <t>customer</t>
  </si>
  <si>
    <t>Kasbon ADE</t>
  </si>
  <si>
    <t>Kasbon Ade</t>
  </si>
  <si>
    <t xml:space="preserve">Lembur pemasangan kaca depan </t>
  </si>
  <si>
    <t>Wisman dan Dimas</t>
  </si>
  <si>
    <t>wisman</t>
  </si>
  <si>
    <t>ok/reim</t>
  </si>
  <si>
    <t>Alat kebersihan</t>
  </si>
  <si>
    <t>Pewangi kamar mandi dan sabun cuci</t>
  </si>
  <si>
    <t>Beli bensin granmax (oprasional) (NOTA 287.450 DIBULATKAN 287.500)</t>
  </si>
  <si>
    <t>Air minum Karyawan Sentra 4 galon @8500</t>
  </si>
  <si>
    <t>Super pel (NOTA 17.100 DIBULATKAN 17.000)</t>
  </si>
  <si>
    <t>Juli 2024</t>
  </si>
  <si>
    <t>Air minum Karyawan Sentra 3 galon @8500</t>
  </si>
  <si>
    <t>Beli kaca</t>
  </si>
  <si>
    <t>Kaca belakang new carry pick up</t>
  </si>
  <si>
    <t>Parkir motor beli kaca</t>
  </si>
  <si>
    <t>OK/ reim 10/8/24</t>
  </si>
  <si>
    <t>Untuk kasir</t>
  </si>
  <si>
    <t>OK/reim 10/8/24</t>
  </si>
  <si>
    <t>Kasir</t>
  </si>
  <si>
    <t>Ganti cash</t>
  </si>
  <si>
    <t>OK</t>
  </si>
  <si>
    <t>parkir granmax pasang kaca</t>
  </si>
  <si>
    <t>OK/reim 12/7/24</t>
  </si>
  <si>
    <t>Ganti uang</t>
  </si>
  <si>
    <t>Ganti uang dimas</t>
  </si>
  <si>
    <t>Beli kaca truk Louhan</t>
  </si>
  <si>
    <t>Bensin motor</t>
  </si>
  <si>
    <t>Beli bensin motor Ade</t>
  </si>
  <si>
    <t>Kasbon Wisman</t>
  </si>
  <si>
    <t>E-toll</t>
  </si>
  <si>
    <t>E-toll gran max</t>
  </si>
  <si>
    <t>parkir granmax beli kaca</t>
  </si>
  <si>
    <t>ok/ dari penjualan/reim 10/8/24</t>
  </si>
  <si>
    <t>Sabun cuci mama lemon</t>
  </si>
  <si>
    <t>ok/ reim, 10/8/24</t>
  </si>
  <si>
    <t>Kasbon Dimas</t>
  </si>
  <si>
    <t>Kasbon Guntur</t>
  </si>
  <si>
    <t>Kasbon Via</t>
  </si>
  <si>
    <t>Kasbon Lia</t>
  </si>
  <si>
    <t>Ongkir JNT</t>
  </si>
  <si>
    <t>Ongkir JNT CARGO</t>
  </si>
  <si>
    <t>ok/ reim 14/8/24</t>
  </si>
  <si>
    <t>Gantin bensin guntur</t>
  </si>
  <si>
    <t>Agustus 2024</t>
  </si>
  <si>
    <t>ok / reim 14/8/24</t>
  </si>
  <si>
    <t>Kos wisman</t>
  </si>
  <si>
    <t>Uang Bensin</t>
  </si>
  <si>
    <t>Ganti uang bensin motor ade</t>
  </si>
  <si>
    <t>Uang hilang</t>
  </si>
  <si>
    <t>MALING</t>
  </si>
  <si>
    <t>maling</t>
  </si>
  <si>
    <t>OK/ reis 8/8/24</t>
  </si>
  <si>
    <t>Alfamidi</t>
  </si>
  <si>
    <t>Mama Lemon</t>
  </si>
  <si>
    <t>MICHELLE</t>
  </si>
  <si>
    <t>reim 14/8/24</t>
  </si>
  <si>
    <t>ade</t>
  </si>
  <si>
    <t>Print dan fc</t>
  </si>
  <si>
    <t>Print spk dan nota manual</t>
  </si>
  <si>
    <t>guntur</t>
  </si>
  <si>
    <t>Ganti Uang Kasir curian Maling</t>
  </si>
  <si>
    <t>reim 10/8/24</t>
  </si>
  <si>
    <t>Uang keluar</t>
  </si>
  <si>
    <t>Uang Kasir</t>
  </si>
  <si>
    <t>Kasbon</t>
  </si>
  <si>
    <t>ads</t>
  </si>
  <si>
    <t>Iklan</t>
  </si>
  <si>
    <t>google ads</t>
  </si>
  <si>
    <t>Uang masuk</t>
  </si>
  <si>
    <t>Rak besi</t>
  </si>
  <si>
    <t>UD Rama Putra</t>
  </si>
  <si>
    <t>UD RPJ</t>
  </si>
  <si>
    <t>reim 19/8/24</t>
  </si>
  <si>
    <t>Raja OS shop</t>
  </si>
  <si>
    <t>CCTV</t>
  </si>
  <si>
    <t>Shopee</t>
  </si>
  <si>
    <t>Peralatan Operasional</t>
  </si>
  <si>
    <t>Toko bendera</t>
  </si>
  <si>
    <t>Bendera dan tiangnya</t>
  </si>
  <si>
    <t>Toko Madura</t>
  </si>
  <si>
    <t>Air Minum Asli AQUA</t>
  </si>
  <si>
    <t>Air minum Karyawan Sentra 2 galon @8500</t>
  </si>
  <si>
    <t>Beli kursi dan meja kantor</t>
  </si>
  <si>
    <t>Baraka</t>
  </si>
  <si>
    <t>Ongkir kaca film</t>
  </si>
  <si>
    <t>Kurir</t>
  </si>
  <si>
    <t>Akari</t>
  </si>
  <si>
    <t>Tip untuk teknisi akari</t>
  </si>
  <si>
    <t>teknisi akari</t>
  </si>
  <si>
    <t>Bensin Motor Dimas</t>
  </si>
  <si>
    <t>JNT Cargo</t>
  </si>
  <si>
    <t>Ongkir JNT Cargo dari MJD</t>
  </si>
  <si>
    <t>Ekspedisi</t>
  </si>
  <si>
    <t>Ongkir Ekspedisi barang boyou</t>
  </si>
  <si>
    <t>Ads</t>
  </si>
  <si>
    <t>michelle</t>
  </si>
  <si>
    <t>google</t>
  </si>
  <si>
    <t>reim 31/8/24</t>
  </si>
  <si>
    <t>Toko bangunan</t>
  </si>
  <si>
    <t>Cairan WD</t>
  </si>
  <si>
    <t>Ekspedisi LPL</t>
  </si>
  <si>
    <t>Bayar kerani/kuli ekspedisi</t>
  </si>
  <si>
    <t xml:space="preserve">Ekspedisi </t>
  </si>
  <si>
    <t>Portal</t>
  </si>
  <si>
    <t>Portal granmax pasang kaca</t>
  </si>
  <si>
    <t>Ongkir lalamove pengambilan kaca</t>
  </si>
  <si>
    <t>Ace</t>
  </si>
  <si>
    <t>gembok</t>
  </si>
  <si>
    <t>ace</t>
  </si>
  <si>
    <t>Indomaret</t>
  </si>
  <si>
    <t>Soklin detergen cair</t>
  </si>
  <si>
    <t>Sampoo lifeboy</t>
  </si>
  <si>
    <t>September 2024</t>
  </si>
  <si>
    <t>reim 2/9/24</t>
  </si>
  <si>
    <t>Lembur Minggu</t>
  </si>
  <si>
    <t>Lembur minggu Lia , Wisman , Dimas</t>
  </si>
  <si>
    <t>lia,wisman, dimas</t>
  </si>
  <si>
    <t>Toko Jaya Abadi</t>
  </si>
  <si>
    <t>Peralatan listrik</t>
  </si>
  <si>
    <t>reim 14/9/24</t>
  </si>
  <si>
    <t>reim 17/9/24</t>
  </si>
  <si>
    <t>Ardi jaya</t>
  </si>
  <si>
    <t>Pembayaran muat kaca bekas</t>
  </si>
  <si>
    <t>Muhlisin</t>
  </si>
  <si>
    <t>Kasbon ade</t>
  </si>
  <si>
    <t>Parkir beli kaca di kedungdoro</t>
  </si>
  <si>
    <t>Soklin cair &amp; super pell</t>
  </si>
  <si>
    <t>PJB Kedungdoro</t>
  </si>
  <si>
    <t>Parkir granmax beli kaca</t>
  </si>
  <si>
    <t>SMM Kedungdoro</t>
  </si>
  <si>
    <t>Lembur minggu Lia , Guntur , Ade</t>
  </si>
  <si>
    <t>guntur,ade,lia</t>
  </si>
  <si>
    <t>Oktober 2024</t>
  </si>
  <si>
    <t>Kemasan.id</t>
  </si>
  <si>
    <t>Bubble wrap bening 125cmx50m</t>
  </si>
  <si>
    <t>Gunawangsa tidar</t>
  </si>
  <si>
    <t>Parkir pemasangan kaca mobil</t>
  </si>
  <si>
    <t>Nawasana teknik</t>
  </si>
  <si>
    <t>Cuci AC</t>
  </si>
  <si>
    <t>Kang AC</t>
  </si>
  <si>
    <t>Parkir pasang kaca</t>
  </si>
  <si>
    <t>Parkir kirim kaca</t>
  </si>
  <si>
    <t>Alat litrik</t>
  </si>
  <si>
    <t>alfamidi</t>
  </si>
  <si>
    <t>Top up e-toll</t>
  </si>
  <si>
    <t>Bensin motor Guntur</t>
  </si>
  <si>
    <t>Tampar/ tali tambang</t>
  </si>
  <si>
    <t>Expedisi</t>
  </si>
  <si>
    <t>Bayar kerani/kuli</t>
  </si>
  <si>
    <t>Parkir kirim kaca ekspedisi</t>
  </si>
  <si>
    <t>Perabotan</t>
  </si>
  <si>
    <t>Beli gayung mandi</t>
  </si>
  <si>
    <t>Lembur minggu</t>
  </si>
  <si>
    <t>Lembur minggu Lia , Wisman , Ade</t>
  </si>
  <si>
    <t>Lia , Wisman , Ade</t>
  </si>
  <si>
    <t>Materai</t>
  </si>
  <si>
    <t>Buat Surat Kir</t>
  </si>
  <si>
    <t>Ganti uang bensin guntur</t>
  </si>
  <si>
    <t>Beli kaca di kedungdoro</t>
  </si>
  <si>
    <t>Toko Gnet</t>
  </si>
  <si>
    <t>beli timah</t>
  </si>
  <si>
    <t>So klin detergen cair dan WPC</t>
  </si>
  <si>
    <t>hansaplast dan alcohol</t>
  </si>
  <si>
    <t>TPS</t>
  </si>
  <si>
    <t>Buang sampah kaca kecil</t>
  </si>
  <si>
    <t>November 2024</t>
  </si>
  <si>
    <t>Gunawangsa Merr</t>
  </si>
  <si>
    <t>Parkir granmax</t>
  </si>
  <si>
    <t>WPC</t>
  </si>
  <si>
    <t>kedungdoro</t>
  </si>
  <si>
    <t>Lembur Teknisi</t>
  </si>
  <si>
    <t>wisman dan ade</t>
  </si>
  <si>
    <t>lia, guntur, wisman</t>
  </si>
  <si>
    <t>shampoo lifeboy</t>
  </si>
  <si>
    <t>Top Up Etoll</t>
  </si>
  <si>
    <t>SPBU Simo Pomahan</t>
  </si>
  <si>
    <t>Bensin Granmax</t>
  </si>
  <si>
    <t>lia,wisman,ade</t>
  </si>
  <si>
    <t>Desember 2024</t>
  </si>
  <si>
    <t>Beli Mama lemon</t>
  </si>
  <si>
    <t>Isi angin Granmax</t>
  </si>
  <si>
    <t>isi angin ban Granmax</t>
  </si>
  <si>
    <t>Perkakas</t>
  </si>
  <si>
    <t>Paku untuk packing @18.000/kg 5 kg</t>
  </si>
  <si>
    <t>bubble warp</t>
  </si>
  <si>
    <t>bubble warp untuk packing</t>
  </si>
  <si>
    <t>Lembur jangkrik</t>
  </si>
  <si>
    <t>Lembur Wisman dan Ade</t>
  </si>
  <si>
    <t>wisman,ade</t>
  </si>
  <si>
    <t>Clink pembersih kaca</t>
  </si>
  <si>
    <t xml:space="preserve">Kasbon Dimas </t>
  </si>
  <si>
    <t xml:space="preserve">Kasbon Guntur </t>
  </si>
  <si>
    <t>reim 17/12/24</t>
  </si>
  <si>
    <t>Wpc porselen &amp; Baygon</t>
  </si>
  <si>
    <t>Epoxy NP dan Alfaglos</t>
  </si>
  <si>
    <t>Indah Cargo</t>
  </si>
  <si>
    <t>Ongkir</t>
  </si>
  <si>
    <t>sopir</t>
  </si>
  <si>
    <t>Nusa Board</t>
  </si>
  <si>
    <t>Tali/ Tampar 5M</t>
  </si>
  <si>
    <t>top up flash etoll</t>
  </si>
  <si>
    <t>Beli Materai 10rb</t>
  </si>
  <si>
    <t>Pom bensin</t>
  </si>
  <si>
    <t>ganti uang</t>
  </si>
  <si>
    <t>Uang bensin guntur</t>
  </si>
  <si>
    <t>Nad keramik</t>
  </si>
  <si>
    <t>sekrup drilling</t>
  </si>
  <si>
    <t>Januari 2025</t>
  </si>
  <si>
    <t xml:space="preserve">UD HA RACHMAN </t>
  </si>
  <si>
    <t>Sekrup 40 cm</t>
  </si>
  <si>
    <t>additon</t>
  </si>
  <si>
    <t>Beli sekrup 23pcs</t>
  </si>
  <si>
    <t>Kedungdoro</t>
  </si>
  <si>
    <t>diambil koko</t>
  </si>
  <si>
    <t>koko</t>
  </si>
  <si>
    <t>UD HA Rachman</t>
  </si>
  <si>
    <t xml:space="preserve">Paku besar dan paku kecil </t>
  </si>
  <si>
    <t>Uang satpam</t>
  </si>
  <si>
    <t>TBMO</t>
  </si>
  <si>
    <t>Beli kertas HVS &amp; double tip</t>
  </si>
  <si>
    <t>beli ekonomi dan materai</t>
  </si>
  <si>
    <t>Kasbon guntur</t>
  </si>
  <si>
    <t>Kasbon adin</t>
  </si>
  <si>
    <t>Kasbon lia</t>
  </si>
  <si>
    <t>Lembur minggu @125.000</t>
  </si>
  <si>
    <t>adin, ade</t>
  </si>
  <si>
    <t>Paku 5kg</t>
  </si>
  <si>
    <t>Kuas, sikat besi, amplas, dll</t>
  </si>
  <si>
    <t>Air minum Karyawan Sentra 4 galon @9000</t>
  </si>
  <si>
    <t>Teh pucuk 13 pc</t>
  </si>
  <si>
    <t>Bensin Granmax berangkat solo</t>
  </si>
  <si>
    <t>Bensin Granmax balik solo</t>
  </si>
  <si>
    <t>Tambal ban</t>
  </si>
  <si>
    <t>Tambah angin</t>
  </si>
  <si>
    <t>Ambil kaca BGI</t>
  </si>
  <si>
    <t>Air minum Karyawan Sentra 3 galon @9000</t>
  </si>
  <si>
    <t>Febuari 2025</t>
  </si>
  <si>
    <t>Uang sampah</t>
  </si>
  <si>
    <t>Bensin Granmax hs Malang</t>
  </si>
  <si>
    <t>Ekonomi dan Vixal</t>
  </si>
  <si>
    <t>Bakpao</t>
  </si>
  <si>
    <t>Cuci Ac</t>
  </si>
  <si>
    <t>tukang ac</t>
  </si>
  <si>
    <t xml:space="preserve">guntur </t>
  </si>
  <si>
    <t>kurangan lembur minggu</t>
  </si>
  <si>
    <t>margomulyo</t>
  </si>
  <si>
    <t>adin</t>
  </si>
  <si>
    <t>J&amp;T Express</t>
  </si>
  <si>
    <t>Uang paket</t>
  </si>
  <si>
    <t>ETOLL</t>
  </si>
  <si>
    <t>Betoneser</t>
  </si>
  <si>
    <t>TB Jaya abadi</t>
  </si>
  <si>
    <t>Besi ukuran 12ml</t>
  </si>
  <si>
    <t>Aneka Baru</t>
  </si>
  <si>
    <t>kasbon ade</t>
  </si>
  <si>
    <t>kasbon guntur</t>
  </si>
  <si>
    <t>kasbon flea</t>
  </si>
  <si>
    <t>flea</t>
  </si>
  <si>
    <t>kasbon adin</t>
  </si>
  <si>
    <t>kasbon lia</t>
  </si>
  <si>
    <t>kasbon via</t>
  </si>
  <si>
    <t>Baterai A3 Alkaline 2 pasang</t>
  </si>
  <si>
    <t>Etoll</t>
  </si>
  <si>
    <t>Isi Etoll</t>
  </si>
  <si>
    <t>panadol dan hansaplast</t>
  </si>
  <si>
    <t>Maret 2025</t>
  </si>
  <si>
    <t xml:space="preserve">Pengampon </t>
  </si>
  <si>
    <t xml:space="preserve">Iuran </t>
  </si>
  <si>
    <t>Iuran Bulan Maret</t>
  </si>
  <si>
    <t>Heriyanto</t>
  </si>
  <si>
    <t>Palu 2pc @Rp.50.000</t>
  </si>
  <si>
    <t>Adin, guntur</t>
  </si>
  <si>
    <t>lalamove</t>
  </si>
  <si>
    <t xml:space="preserve">Pembelian Pembersih lantai </t>
  </si>
  <si>
    <t>Meteran</t>
  </si>
  <si>
    <t>Amplop</t>
  </si>
  <si>
    <t>Isi Angin Granmax</t>
  </si>
  <si>
    <t>Buang sampah kaca</t>
  </si>
  <si>
    <t>Krani</t>
  </si>
  <si>
    <t xml:space="preserve">setor tunai </t>
  </si>
  <si>
    <t>April 2025</t>
  </si>
  <si>
    <t>Ganti gojek Adin</t>
  </si>
  <si>
    <t>Bubble warp</t>
  </si>
  <si>
    <t>Pasar turi</t>
  </si>
  <si>
    <t>kasbon dimas</t>
  </si>
  <si>
    <t>Biaya Gesek Kir</t>
  </si>
  <si>
    <t>materai 10.000</t>
  </si>
  <si>
    <t xml:space="preserve">Iuran Bulan April </t>
  </si>
  <si>
    <t>kasbon Ade</t>
  </si>
  <si>
    <t>kasbon Adin</t>
  </si>
  <si>
    <t>kasbon Dimas</t>
  </si>
  <si>
    <t>kasbon Guntur</t>
  </si>
  <si>
    <t>Pembayaran paket flea</t>
  </si>
  <si>
    <t>ade,flea</t>
  </si>
  <si>
    <t xml:space="preserve">Mata Grinda besi </t>
  </si>
  <si>
    <t>@6000</t>
  </si>
  <si>
    <t>Amplas</t>
  </si>
  <si>
    <t>Amplas 1M</t>
  </si>
  <si>
    <t>kasbon Flea</t>
  </si>
  <si>
    <t>Guntur , dimas</t>
  </si>
  <si>
    <t>expedisi baraka</t>
  </si>
  <si>
    <t>baraka</t>
  </si>
  <si>
    <t>expedisi kib cepat</t>
  </si>
  <si>
    <t>kib cepat</t>
  </si>
  <si>
    <t>ADIN</t>
  </si>
  <si>
    <t>DIMAS</t>
  </si>
  <si>
    <t>Mei 2025</t>
  </si>
  <si>
    <t>Iuran Bulan Mei</t>
  </si>
  <si>
    <t>Poles/cat Ade</t>
  </si>
  <si>
    <t>Kelalaian Nota E250034</t>
  </si>
  <si>
    <t>Ganti bensin Flea</t>
  </si>
  <si>
    <t>FLEA</t>
  </si>
  <si>
    <t>Tali tambang</t>
  </si>
  <si>
    <t>perlengkapan pasang</t>
  </si>
  <si>
    <t>Juni 2025</t>
  </si>
  <si>
    <t xml:space="preserve">Paket baraka </t>
  </si>
  <si>
    <t>Baju sentra</t>
  </si>
  <si>
    <t>,</t>
  </si>
  <si>
    <t>Tambal ban granmax</t>
  </si>
  <si>
    <t>Granmax</t>
  </si>
  <si>
    <t>Kasbon Flea</t>
  </si>
  <si>
    <t xml:space="preserve">Tambahan kurangan jangkrik minggu </t>
  </si>
  <si>
    <t>Dimas dan Flea</t>
  </si>
  <si>
    <t>Iuran Bulan Juni</t>
  </si>
  <si>
    <t>Ongkir LNP</t>
  </si>
  <si>
    <t>LNP</t>
  </si>
  <si>
    <t>Margomulyo</t>
  </si>
  <si>
    <t>pakuwon mall</t>
  </si>
  <si>
    <t>Paku untuk packing @20.000/kg 5 kg</t>
  </si>
  <si>
    <t>Darmo / tmbo</t>
  </si>
  <si>
    <t>Aneka baru</t>
  </si>
  <si>
    <t>Ade dan Adin</t>
  </si>
  <si>
    <t>ade, adin</t>
  </si>
  <si>
    <t>Juli 2025</t>
  </si>
  <si>
    <t>Uang ganti klip adin flea</t>
  </si>
  <si>
    <t>Lakban kuning</t>
  </si>
  <si>
    <t>perak</t>
  </si>
  <si>
    <t>Semut</t>
  </si>
  <si>
    <t xml:space="preserve">Vitamin </t>
  </si>
  <si>
    <t>Rebovit 1btl, ester c 30tab</t>
  </si>
  <si>
    <t>@7500 1pc</t>
  </si>
  <si>
    <t>Bali prima</t>
  </si>
  <si>
    <t>@73.000 beli 2 roll</t>
  </si>
  <si>
    <t>Paket LNP</t>
  </si>
  <si>
    <t>Nawasena Teknik 1.5pk</t>
  </si>
  <si>
    <t>Nawasena Teknik</t>
  </si>
  <si>
    <t xml:space="preserve">Ganti tunai </t>
  </si>
  <si>
    <t>ganti tunai token listrik rukko @adin</t>
  </si>
  <si>
    <t>Agustus 2025</t>
  </si>
  <si>
    <t>Depo sampah benowo</t>
  </si>
  <si>
    <t>Hansaplast roll 1.2cmx5m</t>
  </si>
  <si>
    <t>apotik k24</t>
  </si>
  <si>
    <t>Pergudangan lagon H250021</t>
  </si>
  <si>
    <t>Expedsisi FF JAYA TRANS</t>
  </si>
  <si>
    <t>Iuran Bulan Agustus</t>
  </si>
  <si>
    <t xml:space="preserve">pembelian wpc , dan pembersih lantai </t>
  </si>
  <si>
    <t>Selaras Margomulyo</t>
  </si>
  <si>
    <t>Ganti Pulsa Token</t>
  </si>
  <si>
    <t>Paket LNP H250062</t>
  </si>
  <si>
    <t>Ganti bensin dimas H250041</t>
  </si>
  <si>
    <t>September 2025</t>
  </si>
  <si>
    <t xml:space="preserve">Jangkrik minggu </t>
  </si>
  <si>
    <t>Iuran Bulan September</t>
  </si>
  <si>
    <t>Beli bubble warp</t>
  </si>
  <si>
    <t>Beli stearofom</t>
  </si>
  <si>
    <t xml:space="preserve">Sterofoam </t>
  </si>
  <si>
    <t>@65.000 . beli 2pc</t>
  </si>
  <si>
    <t xml:space="preserve">Bubble Warp </t>
  </si>
  <si>
    <t>1roll</t>
  </si>
  <si>
    <t>Wipol</t>
  </si>
  <si>
    <t>Alfamart</t>
  </si>
  <si>
    <t>Biaya paket</t>
  </si>
  <si>
    <t>Baraka expedisi</t>
  </si>
  <si>
    <t>PAKU</t>
  </si>
  <si>
    <t>UD HA RACHMAN , PAKU 5KG @20/KG</t>
  </si>
  <si>
    <t>ADE</t>
  </si>
  <si>
    <t>I250073 (slah kirim kaca)</t>
  </si>
  <si>
    <t>Depo temas exp PT. timur prima abadi</t>
  </si>
  <si>
    <t>Oktober 2025</t>
  </si>
  <si>
    <t>@5000/pc</t>
  </si>
  <si>
    <t xml:space="preserve">Iuran Bulan Oktober </t>
  </si>
  <si>
    <t>Krani transpapua J250006</t>
  </si>
  <si>
    <t>Solatip</t>
  </si>
  <si>
    <t xml:space="preserve">@5000/pc </t>
  </si>
  <si>
    <t>Mr Muscle</t>
  </si>
  <si>
    <t>materai untuk kir granmax</t>
  </si>
  <si>
    <t>Gesek Mesin</t>
  </si>
  <si>
    <t>Gesek mesin kir granmax</t>
  </si>
  <si>
    <t xml:space="preserve">Isi angin </t>
  </si>
  <si>
    <t>exp FF DJAYA TRANS</t>
  </si>
  <si>
    <t>@65.000 . beli 3pc</t>
  </si>
  <si>
    <t>aneka baru</t>
  </si>
  <si>
    <t>SAKURA EXPRESS</t>
  </si>
  <si>
    <t>Tali Tampar</t>
  </si>
  <si>
    <t>Toko jaya abadi 7000/M (20m)</t>
  </si>
  <si>
    <t xml:space="preserve">Buang sampah kaca </t>
  </si>
  <si>
    <t>Tambak lagon</t>
  </si>
  <si>
    <t>Ganti biaya lalamove ce tharina</t>
  </si>
  <si>
    <t>OK CASH</t>
  </si>
  <si>
    <t>Expedisi  Permata Hokky Expedisi Flores NTT</t>
  </si>
  <si>
    <t>FF DJAYA TRANS</t>
  </si>
  <si>
    <t>Paku untuk packing 20.000/kg 5 kg</t>
  </si>
  <si>
    <t>November 2025</t>
  </si>
  <si>
    <t>Ganti tunai</t>
  </si>
  <si>
    <t>ganti tunai uang parkir gojek koko</t>
  </si>
  <si>
    <t>GOJEK</t>
  </si>
  <si>
    <t>Air minum Karyawan Sentra 2 galon @9000</t>
  </si>
  <si>
    <t>KIRIM KACA BGI KE SENTRASBY</t>
  </si>
  <si>
    <t>LALAMOVE</t>
  </si>
  <si>
    <t>1 BOX 20PC</t>
  </si>
  <si>
    <t>142500 + tol 12500</t>
  </si>
  <si>
    <t>BARAKA</t>
  </si>
  <si>
    <t>Iuran bulanan</t>
  </si>
  <si>
    <t xml:space="preserve">Iuran bulan November </t>
  </si>
  <si>
    <t xml:space="preserve">Gabus </t>
  </si>
  <si>
    <t>streafoam @65.000</t>
  </si>
  <si>
    <t>Buble warp</t>
  </si>
  <si>
    <t>@69.950</t>
  </si>
  <si>
    <t>gabus</t>
  </si>
  <si>
    <t>bubble</t>
  </si>
  <si>
    <t xml:space="preserve">Hottin cream </t>
  </si>
  <si>
    <t>holor</t>
  </si>
  <si>
    <t>toko bangunan @14.000 5PC</t>
  </si>
  <si>
    <t>aldi</t>
  </si>
  <si>
    <t xml:space="preserve">bintang jaya </t>
  </si>
  <si>
    <t>cat hijau</t>
  </si>
  <si>
    <t>kuas</t>
  </si>
  <si>
    <t>tiner</t>
  </si>
  <si>
    <t>tutup kran</t>
  </si>
  <si>
    <t>Ganti bensin dimas</t>
  </si>
  <si>
    <t>Kasbon tukang</t>
  </si>
  <si>
    <t>Pak budi</t>
  </si>
  <si>
    <t>pak budi</t>
  </si>
  <si>
    <t>Ganti tunai lalamove K250027</t>
  </si>
  <si>
    <t xml:space="preserve">toko jaya abadi </t>
  </si>
  <si>
    <t>cat hijau 1kg</t>
  </si>
  <si>
    <t>DOP 1/2</t>
  </si>
  <si>
    <t>LEM PVC</t>
  </si>
  <si>
    <t>GERGAJI</t>
  </si>
  <si>
    <t>SPIDOL PUTIH DAN ES JERUK CICI</t>
  </si>
  <si>
    <t>KARUNG 20PC</t>
  </si>
  <si>
    <t>KARUNG 20PC @1000/PC</t>
  </si>
  <si>
    <t>Aplus</t>
  </si>
  <si>
    <t>karung 50pc</t>
  </si>
  <si>
    <t>KARUNG 50PC @1000/PC</t>
  </si>
  <si>
    <t>Ud. Mega Bangunan</t>
  </si>
  <si>
    <t>Baut driling 1dus</t>
  </si>
  <si>
    <t>cahaya abadi</t>
  </si>
  <si>
    <t>Lem PVC</t>
  </si>
  <si>
    <t>Dop 1 dim</t>
  </si>
  <si>
    <t xml:space="preserve">dop 3/4 </t>
  </si>
  <si>
    <t>K250064 (POTONG GAJI LIA)</t>
  </si>
  <si>
    <t>kartu nama cici koko</t>
  </si>
  <si>
    <t xml:space="preserve">kran air </t>
  </si>
  <si>
    <t>Jaya abadi</t>
  </si>
  <si>
    <t>Skrup 1dus</t>
  </si>
  <si>
    <t>Skrup 2dus</t>
  </si>
  <si>
    <t>Mitra jaya</t>
  </si>
  <si>
    <t>Isolasi hitam/listrik @12.000</t>
  </si>
  <si>
    <t xml:space="preserve">scrup </t>
  </si>
  <si>
    <t>isi 1200pc</t>
  </si>
  <si>
    <t>Paku</t>
  </si>
  <si>
    <t>paku 5kg @20.000/kg</t>
  </si>
  <si>
    <t>Batu bata</t>
  </si>
  <si>
    <t>batu bata 50pc</t>
  </si>
  <si>
    <t>Hollow</t>
  </si>
  <si>
    <t>Hollow gilavnis</t>
  </si>
  <si>
    <t>mata grinda mesin</t>
  </si>
  <si>
    <t>kurangan 23.000</t>
  </si>
  <si>
    <t>Parkir Granmax</t>
  </si>
  <si>
    <t>Ganti uang pos</t>
  </si>
  <si>
    <t>K250050 biaya pengiriman pos kirim sealant yang ketinggalan potong gaji lia</t>
  </si>
  <si>
    <t>Antangin</t>
  </si>
  <si>
    <t>1 dus</t>
  </si>
  <si>
    <t>paracetamol</t>
  </si>
  <si>
    <t>1 set</t>
  </si>
  <si>
    <t>enervon c</t>
  </si>
  <si>
    <t>2 set @6500</t>
  </si>
  <si>
    <t>20pc ukuran 6cm</t>
  </si>
  <si>
    <t>piser</t>
  </si>
  <si>
    <t>10pc</t>
  </si>
  <si>
    <t>amplas 2m @8000/m</t>
  </si>
  <si>
    <t>ganti bensin aldi</t>
  </si>
  <si>
    <t>50pc</t>
  </si>
  <si>
    <t xml:space="preserve">parkir granmax </t>
  </si>
  <si>
    <t>Scrup 200pc</t>
  </si>
  <si>
    <t>Bongkar AC</t>
  </si>
  <si>
    <t xml:space="preserve">lalamove </t>
  </si>
  <si>
    <t>Isi angin granmax</t>
  </si>
  <si>
    <t>ud putera sejati</t>
  </si>
  <si>
    <t xml:space="preserve">tiner kaleng 1L dn kuas 1pc 2 1/2 dim </t>
  </si>
  <si>
    <t>scrup</t>
  </si>
  <si>
    <t>LNP K250069</t>
  </si>
  <si>
    <t>20pc</t>
  </si>
  <si>
    <t>JAYA ABADI</t>
  </si>
  <si>
    <t>SCRUP</t>
  </si>
  <si>
    <t>kirim kaca LFW-AVANZA16 BGI KE SENTRA</t>
  </si>
  <si>
    <t>klom kabel 10mm</t>
  </si>
  <si>
    <t>@35000</t>
  </si>
  <si>
    <t>expedisi tambak langon</t>
  </si>
  <si>
    <t xml:space="preserve">expedisi </t>
  </si>
  <si>
    <t>baut scrup untuk ac</t>
  </si>
  <si>
    <t>sealent untuk ruang kaca</t>
  </si>
  <si>
    <t>@25rb beli 6tube</t>
  </si>
  <si>
    <t>@2biji</t>
  </si>
  <si>
    <t>keni 3in lem pvc</t>
  </si>
  <si>
    <t xml:space="preserve">Scrup </t>
  </si>
  <si>
    <t xml:space="preserve">Adaptor </t>
  </si>
  <si>
    <t>untuk gun sosis</t>
  </si>
  <si>
    <t>WD</t>
  </si>
  <si>
    <t>Tali rafia</t>
  </si>
  <si>
    <t>Keperluan bakar bakar acara sentra 31/12/2025</t>
  </si>
  <si>
    <t xml:space="preserve"> paket besi meja koko</t>
  </si>
  <si>
    <t>ganti uang pettycash untuk paket besi meja koko</t>
  </si>
  <si>
    <t>fotocopy</t>
  </si>
  <si>
    <t>fotocopy spk printer tinta hbis</t>
  </si>
  <si>
    <t>beli aqua</t>
  </si>
  <si>
    <t>ganti galon yng pecah beli aqua diindomert</t>
  </si>
  <si>
    <t>tambal ban granmax</t>
  </si>
  <si>
    <t>@65000/lmbr</t>
  </si>
  <si>
    <t>@69950/roll</t>
  </si>
  <si>
    <t>darmo</t>
  </si>
  <si>
    <t>jaya baru</t>
  </si>
  <si>
    <t>expedisi</t>
  </si>
  <si>
    <t>daihatsu jaya</t>
  </si>
  <si>
    <t>obat</t>
  </si>
  <si>
    <t>beli antangin 1pack</t>
  </si>
  <si>
    <t>Platik sampah</t>
  </si>
  <si>
    <t>Kalianak</t>
  </si>
  <si>
    <t xml:space="preserve">ganti bensin dimas </t>
  </si>
  <si>
    <t xml:space="preserve">Iuran sampah bulanan sentra </t>
  </si>
  <si>
    <t xml:space="preserve">Bensin untuk membersihkan ruko </t>
  </si>
  <si>
    <t>sapu taman</t>
  </si>
  <si>
    <t>over stkr</t>
  </si>
  <si>
    <t>colokan lampu</t>
  </si>
  <si>
    <t>minum untuk tamu org xyg</t>
  </si>
  <si>
    <t>aqua @4000 2pc tabs @8000 2pc</t>
  </si>
  <si>
    <t>isi grinda</t>
  </si>
  <si>
    <t xml:space="preserve">1pack </t>
  </si>
  <si>
    <t>Duplikat kunci</t>
  </si>
  <si>
    <t>untuk kunci gerbang</t>
  </si>
  <si>
    <t>ALDI</t>
  </si>
  <si>
    <t>Iuran bulanan RT</t>
  </si>
  <si>
    <t>RT 01/RW07</t>
  </si>
  <si>
    <t>pak rt</t>
  </si>
  <si>
    <t xml:space="preserve">bulan februari </t>
  </si>
  <si>
    <t>p. badrus</t>
  </si>
  <si>
    <t>Handsplast</t>
  </si>
  <si>
    <t>untuk teknisi</t>
  </si>
  <si>
    <t>Lem besi/epoxy</t>
  </si>
  <si>
    <t>@25.000 2pc</t>
  </si>
  <si>
    <t>sisa setor tunai</t>
  </si>
  <si>
    <t>bulan Maret</t>
  </si>
  <si>
    <t>BGI - SENTRA</t>
  </si>
  <si>
    <t>LFW-FJ90XYG</t>
  </si>
  <si>
    <t>alfa topup etoll</t>
  </si>
  <si>
    <t xml:space="preserve">Semen 4kg </t>
  </si>
  <si>
    <t>untuk pagar</t>
  </si>
  <si>
    <t>alfamart</t>
  </si>
  <si>
    <t>wpc</t>
  </si>
  <si>
    <t xml:space="preserve">KEMBALIAN TUNAI </t>
  </si>
  <si>
    <t>SUDAH TERLANJUR DUIT DI REKENING INV C260104</t>
  </si>
  <si>
    <t>Parkir box shopee</t>
  </si>
  <si>
    <t>royal plaza</t>
  </si>
  <si>
    <t>Sampo</t>
  </si>
  <si>
    <t>untuk kaca film</t>
  </si>
  <si>
    <t>Amplas 3M</t>
  </si>
  <si>
    <t>8000/M</t>
  </si>
  <si>
    <t xml:space="preserve">gosok kir </t>
  </si>
  <si>
    <t>ganti bensin dimas</t>
  </si>
  <si>
    <t>semen 5kg</t>
  </si>
  <si>
    <t>Raimbuse ADIN</t>
  </si>
  <si>
    <t>JAHIT LUKA , SUNTIK TITANUS , OBAT</t>
  </si>
  <si>
    <t>homeservice</t>
  </si>
  <si>
    <t>Sabun cuci dan pewangi ruangan</t>
  </si>
  <si>
    <t>Air minum Karyawan Sentra 4 galon @10000</t>
  </si>
  <si>
    <t>mitra jaya</t>
  </si>
  <si>
    <t>watermor + lem pipa</t>
  </si>
  <si>
    <t>aneka baru @87500</t>
  </si>
  <si>
    <t>JT FEB 25</t>
  </si>
  <si>
    <t>JT MAR 25</t>
  </si>
  <si>
    <t>SUP</t>
  </si>
  <si>
    <t>Harga</t>
  </si>
  <si>
    <t>Total Harga</t>
  </si>
  <si>
    <t>Hutang</t>
  </si>
  <si>
    <t>Jatuh Tempo</t>
  </si>
  <si>
    <t>Check</t>
  </si>
  <si>
    <t>Bayar?</t>
  </si>
  <si>
    <t>Kode Sistem</t>
  </si>
  <si>
    <t>SI2024B000252/SKBB033</t>
  </si>
  <si>
    <t xml:space="preserve">PR-00001	</t>
  </si>
  <si>
    <t xml:space="preserve">RJG03022024
</t>
  </si>
  <si>
    <t xml:space="preserve">PR-00003	</t>
  </si>
  <si>
    <t>SJ000930</t>
  </si>
  <si>
    <t>TF BCA 33</t>
  </si>
  <si>
    <t xml:space="preserve">PR-00004	</t>
  </si>
  <si>
    <t>FDL-ALPHARD08FR</t>
  </si>
  <si>
    <t>FDR-ALPHARD08FR</t>
  </si>
  <si>
    <t>RDL-ALPHARD15FR</t>
  </si>
  <si>
    <t>RDR-ALPHARD15FR</t>
  </si>
  <si>
    <t>TRW-CAPTIVAFR</t>
  </si>
  <si>
    <t>FDL-HARRIER480NFR</t>
  </si>
  <si>
    <t>RDL-HARRIER480NFR</t>
  </si>
  <si>
    <t>RDR-HARRIER480NFR</t>
  </si>
  <si>
    <t>RDL-HIACEFBLACKFR</t>
  </si>
  <si>
    <t>RDL-HIACEFFR</t>
  </si>
  <si>
    <t>TRW-RX270/350FR</t>
  </si>
  <si>
    <t>FDL-HIACE19FR</t>
  </si>
  <si>
    <t>FDR-HIACE19FR</t>
  </si>
  <si>
    <t>SI2024C000112</t>
  </si>
  <si>
    <t>PR-00005</t>
  </si>
  <si>
    <t>M202403014</t>
  </si>
  <si>
    <t xml:space="preserve">PR-00006	</t>
  </si>
  <si>
    <t xml:space="preserve">PR-00009	</t>
  </si>
  <si>
    <t xml:space="preserve">PR-00010	</t>
  </si>
  <si>
    <t xml:space="preserve">PR-00011	</t>
  </si>
  <si>
    <t>SI2024C000113</t>
  </si>
  <si>
    <t xml:space="preserve">PR-00012	</t>
  </si>
  <si>
    <t>SI2024C000242</t>
  </si>
  <si>
    <t>18/4/24 1,068,430
30/5/24 256,070</t>
  </si>
  <si>
    <t>SJ000942</t>
  </si>
  <si>
    <t xml:space="preserve">TF BCA 33 </t>
  </si>
  <si>
    <t xml:space="preserve">PR-00013	</t>
  </si>
  <si>
    <t xml:space="preserve">PR-00014	</t>
  </si>
  <si>
    <t xml:space="preserve">PR-00015	</t>
  </si>
  <si>
    <t xml:space="preserve">PR-00016	</t>
  </si>
  <si>
    <t>SJ000943</t>
  </si>
  <si>
    <t xml:space="preserve">PR-00017	</t>
  </si>
  <si>
    <t>SI2024C000126</t>
  </si>
  <si>
    <t>PR-00018</t>
  </si>
  <si>
    <t>SI2024C000258</t>
  </si>
  <si>
    <t>18/4/24 3,353,515
30/5/24 803,735</t>
  </si>
  <si>
    <t xml:space="preserve">PR-00019	</t>
  </si>
  <si>
    <t>28-Mar-43</t>
  </si>
  <si>
    <t xml:space="preserve">PR-00020	</t>
  </si>
  <si>
    <t>SJ000954</t>
  </si>
  <si>
    <t>RGJ</t>
  </si>
  <si>
    <t xml:space="preserve">PR-00021	</t>
  </si>
  <si>
    <t xml:space="preserve">PR-00022	</t>
  </si>
  <si>
    <t>601924040600002695</t>
  </si>
  <si>
    <t>LIBERTY</t>
  </si>
  <si>
    <t>SJ000957</t>
  </si>
  <si>
    <t>FDL-HRV14PIL</t>
  </si>
  <si>
    <t>RDL-HRV14PIL</t>
  </si>
  <si>
    <t>N24-0692</t>
  </si>
  <si>
    <t>HNR</t>
  </si>
  <si>
    <t>SWL-LUXIOASH</t>
  </si>
  <si>
    <t>FDL-TARUNAASH</t>
  </si>
  <si>
    <t>FDR-TARUNAASH</t>
  </si>
  <si>
    <t>FDL-DATSUNASH</t>
  </si>
  <si>
    <t>RDL-RANGER02ASH</t>
  </si>
  <si>
    <t>FDR-RANGER06ASH</t>
  </si>
  <si>
    <t>FDR-RANGER11ASH</t>
  </si>
  <si>
    <t>RDL-BRIO10ASH</t>
  </si>
  <si>
    <t>FDL-CRV02ASH</t>
  </si>
  <si>
    <t>FDR-CRV02ASH</t>
  </si>
  <si>
    <t>RDR-CRV02ASH</t>
  </si>
  <si>
    <t>FDR-CRV07ASH</t>
  </si>
  <si>
    <t>SJLE240001/RTN24-017</t>
  </si>
  <si>
    <t>RETUR/HNR</t>
  </si>
  <si>
    <t>RDL-CRV07ASH</t>
  </si>
  <si>
    <t>RDR-CRV07ASH</t>
  </si>
  <si>
    <t>N24-0693</t>
  </si>
  <si>
    <t>RDL-JAZZ13ASH</t>
  </si>
  <si>
    <t>TRW-GIGAPUASH</t>
  </si>
  <si>
    <t>RDL-TRITON05ASH</t>
  </si>
  <si>
    <t>FDL-XPANDERASH</t>
  </si>
  <si>
    <t>FDR-XPANDERASH</t>
  </si>
  <si>
    <t>RDL-XPANDERASH</t>
  </si>
  <si>
    <t>RDR-XPANDERASH</t>
  </si>
  <si>
    <t>SJLE240001/RTN24-019</t>
  </si>
  <si>
    <t>N24-0694</t>
  </si>
  <si>
    <t>SWL-XPANDERASH</t>
  </si>
  <si>
    <t>RDL-LIVINA07ASH</t>
  </si>
  <si>
    <t>RDR-LIVINA07ASH</t>
  </si>
  <si>
    <t>FDL-APVASH</t>
  </si>
  <si>
    <t>SWL-APVASH</t>
  </si>
  <si>
    <t>FDL-CARRY19ASH</t>
  </si>
  <si>
    <t>FDR-CARRY19ASH</t>
  </si>
  <si>
    <t>SJLE240001/RTN24-016</t>
  </si>
  <si>
    <t>FVL-ERTIGA12ASH</t>
  </si>
  <si>
    <t>FVR-ERTIGA12ASH</t>
  </si>
  <si>
    <t>SWR-ERTIGA12ASH</t>
  </si>
  <si>
    <t>RVR-AGYA13ASH</t>
  </si>
  <si>
    <t>FDL-FORTUNER05ASH</t>
  </si>
  <si>
    <t>RDR-FORTUNER15ASH</t>
  </si>
  <si>
    <t>N24-0695</t>
  </si>
  <si>
    <t>SWR-CRV07ASH</t>
  </si>
  <si>
    <t>FDL-CRV12ASH</t>
  </si>
  <si>
    <t>FDR-CRV12ASH</t>
  </si>
  <si>
    <t>RDL-CRV12ASH</t>
  </si>
  <si>
    <t>RDL-FREEDASH</t>
  </si>
  <si>
    <t>RTN24-012</t>
  </si>
  <si>
    <t>RDR-FREEDASH</t>
  </si>
  <si>
    <t>SWR-FREEDASH</t>
  </si>
  <si>
    <t>SJLE240001/RTN24-018</t>
  </si>
  <si>
    <t>FVL-JAZZ01ASH</t>
  </si>
  <si>
    <t>FVR-JAZZ01ASH</t>
  </si>
  <si>
    <t>FVL-JAZZ07ASH</t>
  </si>
  <si>
    <t>RDR-JAZZ07ASH</t>
  </si>
  <si>
    <t>FDL-JAZZ13ASH</t>
  </si>
  <si>
    <t>N24-0696</t>
  </si>
  <si>
    <t>FDL-RAIZEASH</t>
  </si>
  <si>
    <t>TRW-KAPSUL97ASH</t>
  </si>
  <si>
    <t>FDR-KAPSUL97ASH</t>
  </si>
  <si>
    <t>RVR-KAPSUL97ASH</t>
  </si>
  <si>
    <t>TGA-KIJANGK125ASH</t>
  </si>
  <si>
    <t>TRW-L300PUASH</t>
  </si>
  <si>
    <t>N24-0697</t>
  </si>
  <si>
    <t>RVL-INNOVA04ASH</t>
  </si>
  <si>
    <t>FVL-INNOVA15ASH</t>
  </si>
  <si>
    <t>FVR-INNOVA15ASH</t>
  </si>
  <si>
    <t>FDL-VIOS07ASH</t>
  </si>
  <si>
    <t>FDL-YARIS05ASH</t>
  </si>
  <si>
    <t>FDR-YARIS05ASH</t>
  </si>
  <si>
    <t>PT24-0561</t>
  </si>
  <si>
    <t>02012/2024</t>
  </si>
  <si>
    <t>PJB</t>
  </si>
  <si>
    <t>02014/2024</t>
  </si>
  <si>
    <t>4/7/24 - 1.196.250 x2</t>
  </si>
  <si>
    <t>RDR-FORTUNER05XYG</t>
  </si>
  <si>
    <t>RDL-FORTUNER05XYG</t>
  </si>
  <si>
    <t>N24-0767</t>
  </si>
  <si>
    <t>02193/2024</t>
  </si>
  <si>
    <t>ARAY</t>
  </si>
  <si>
    <t>SJ000971</t>
  </si>
  <si>
    <t>SKS140524</t>
  </si>
  <si>
    <t>SKS</t>
  </si>
  <si>
    <t>PSC-24050176</t>
  </si>
  <si>
    <t>IMS</t>
  </si>
  <si>
    <t>30/04/24 - 4,950,877
13/5/24 - 1,333,943</t>
  </si>
  <si>
    <t>RDR-BRIO18AGC</t>
  </si>
  <si>
    <t>02441/2024</t>
  </si>
  <si>
    <t>GLD-D0100</t>
  </si>
  <si>
    <t>GLD</t>
  </si>
  <si>
    <t>SJ000983</t>
  </si>
  <si>
    <t>SJ000984</t>
  </si>
  <si>
    <t>TRW-CAMRY11PIL</t>
  </si>
  <si>
    <t>SI2024E000137</t>
  </si>
  <si>
    <t>SI2024E000159</t>
  </si>
  <si>
    <t>SJ000986</t>
  </si>
  <si>
    <t>M202406004</t>
  </si>
  <si>
    <t>SI2024F000049</t>
  </si>
  <si>
    <t>SJ000991</t>
  </si>
  <si>
    <t>02871/2024</t>
  </si>
  <si>
    <t>SJ000995</t>
  </si>
  <si>
    <t>02906/2024</t>
  </si>
  <si>
    <t>SMM-120624</t>
  </si>
  <si>
    <t>SMM</t>
  </si>
  <si>
    <t>SI2024E000076</t>
  </si>
  <si>
    <t>FDL-ERTIGA18MU</t>
  </si>
  <si>
    <t>FDR-ERTIGA18MU</t>
  </si>
  <si>
    <t>RDL-ERTIGA18MU</t>
  </si>
  <si>
    <t>RDR-ERTIGA18MU</t>
  </si>
  <si>
    <t>0375/2024</t>
  </si>
  <si>
    <t>TF BCA</t>
  </si>
  <si>
    <t>SKS100624</t>
  </si>
  <si>
    <t>RDL-PAJERO16AGC</t>
  </si>
  <si>
    <t>RDR-PAJERO16AGC</t>
  </si>
  <si>
    <t>FDR-PAJERO16AGC</t>
  </si>
  <si>
    <t>SI2024F000168</t>
  </si>
  <si>
    <t>SJ001006</t>
  </si>
  <si>
    <t>SI2024F000186</t>
  </si>
  <si>
    <t>1/7/2024 - lebih 200</t>
  </si>
  <si>
    <t>03254/2024</t>
  </si>
  <si>
    <t>BY-260624</t>
  </si>
  <si>
    <t>BYO</t>
  </si>
  <si>
    <t>Lakban Kecil 50m</t>
  </si>
  <si>
    <t>Kop Sepasang</t>
  </si>
  <si>
    <t>Sling 200m</t>
  </si>
  <si>
    <t>22/8/8/24</t>
  </si>
  <si>
    <t>SI2024G000005</t>
  </si>
  <si>
    <t>6/7/24 - 200 DR LEBIH SI2024F000186</t>
  </si>
  <si>
    <t>SI2024G00000024</t>
  </si>
  <si>
    <t>03622/2024</t>
  </si>
  <si>
    <t>03660/2024</t>
  </si>
  <si>
    <t>240713-001</t>
  </si>
  <si>
    <t>MPA</t>
  </si>
  <si>
    <t>03705/2024</t>
  </si>
  <si>
    <t>03805/2024</t>
  </si>
  <si>
    <t>SI2024E000255</t>
  </si>
  <si>
    <t>M202407065</t>
  </si>
  <si>
    <t>03988/2024</t>
  </si>
  <si>
    <t>LLGAKB-300724</t>
  </si>
  <si>
    <t>AKB</t>
  </si>
  <si>
    <t>04089/2024</t>
  </si>
  <si>
    <t>SI2024G000274</t>
  </si>
  <si>
    <t>SMM-070824</t>
  </si>
  <si>
    <t>SMM-030724</t>
  </si>
  <si>
    <t>SJ001038</t>
  </si>
  <si>
    <t>BYO-100724</t>
  </si>
  <si>
    <t>KAPE TUSUK</t>
  </si>
  <si>
    <t>ULM</t>
  </si>
  <si>
    <t>SJ001033</t>
  </si>
  <si>
    <t>SI2024H000142</t>
  </si>
  <si>
    <t>BY-190824</t>
  </si>
  <si>
    <t>MEJA KACA</t>
  </si>
  <si>
    <t>PRIMER</t>
  </si>
  <si>
    <t>SPATULA</t>
  </si>
  <si>
    <t>MESIN</t>
  </si>
  <si>
    <t>SI2024H000195</t>
  </si>
  <si>
    <t>SJ001032</t>
  </si>
  <si>
    <t>M202409022</t>
  </si>
  <si>
    <t>OTH-</t>
  </si>
  <si>
    <t>lunas 7/11/24</t>
  </si>
  <si>
    <t>SJ001048</t>
  </si>
  <si>
    <t>MKS-140924</t>
  </si>
  <si>
    <t>MKS</t>
  </si>
  <si>
    <t>SI2024I000100</t>
  </si>
  <si>
    <t>05024/2024</t>
  </si>
  <si>
    <t>SMM-190924</t>
  </si>
  <si>
    <t>SI2024I000124</t>
  </si>
  <si>
    <t>SI2024I000145</t>
  </si>
  <si>
    <t>MM-QXD23</t>
  </si>
  <si>
    <t>MM</t>
  </si>
  <si>
    <t>PSC-24090134</t>
  </si>
  <si>
    <r>
      <rPr>
        <rFont val="docs-Calibri"/>
        <color rgb="FF000000"/>
        <sz val="11.0"/>
      </rPr>
      <t>LFW-BRIOAGC</t>
    </r>
  </si>
  <si>
    <t>SJ001062</t>
  </si>
  <si>
    <t>SJ001045</t>
  </si>
  <si>
    <t>TRW-JAZZ13PIL</t>
  </si>
  <si>
    <t>SJ001063</t>
  </si>
  <si>
    <t>05358/2024</t>
  </si>
  <si>
    <t>MKS-15102024</t>
  </si>
  <si>
    <t>SI2024J000080</t>
  </si>
  <si>
    <t>SI2024J0000125</t>
  </si>
  <si>
    <t>PM-001161</t>
  </si>
  <si>
    <t>PM</t>
  </si>
  <si>
    <t>05606/2024</t>
  </si>
  <si>
    <t>05666/2024</t>
  </si>
  <si>
    <t>REQ</t>
  </si>
  <si>
    <t>SWL-CIVICESTXYG</t>
  </si>
  <si>
    <t>SWR-CIVICESTXYG</t>
  </si>
  <si>
    <t>M202410027</t>
  </si>
  <si>
    <t>SI2024K000048</t>
  </si>
  <si>
    <t>MKS-061124</t>
  </si>
  <si>
    <t>06011/2024</t>
  </si>
  <si>
    <t>LFW-GIGASHORTXYG</t>
  </si>
  <si>
    <t>SJ001088</t>
  </si>
  <si>
    <t>TF BCA 88</t>
  </si>
  <si>
    <t>MKS-111124</t>
  </si>
  <si>
    <t>M202411029</t>
  </si>
  <si>
    <t>SI2024K000091</t>
  </si>
  <si>
    <t>SI2024K000121</t>
  </si>
  <si>
    <t>SJ001098</t>
  </si>
  <si>
    <t>MKS-181124</t>
  </si>
  <si>
    <t>MKS-191124</t>
  </si>
  <si>
    <t>06196/2024</t>
  </si>
  <si>
    <t>06303/2024</t>
  </si>
  <si>
    <t>MKS-231124</t>
  </si>
  <si>
    <t>TBM-251124</t>
  </si>
  <si>
    <t>TBM</t>
  </si>
  <si>
    <t>MKS-041224</t>
  </si>
  <si>
    <t>SMM-061224</t>
  </si>
  <si>
    <t>06557/2024</t>
  </si>
  <si>
    <t xml:space="preserve">TF BCA 88 </t>
  </si>
  <si>
    <t>MKS-061224</t>
  </si>
  <si>
    <t>SJ001108</t>
  </si>
  <si>
    <t>MKS-091224</t>
  </si>
  <si>
    <t>M202412027</t>
  </si>
  <si>
    <t>BY-121224</t>
  </si>
  <si>
    <t>KOP BESAR</t>
  </si>
  <si>
    <t>SELING 200M</t>
  </si>
  <si>
    <t>PRIMER 250ML</t>
  </si>
  <si>
    <t>MATA PISAU KAPE</t>
  </si>
  <si>
    <t>SI2024L000108</t>
  </si>
  <si>
    <t>SI2024L000128</t>
  </si>
  <si>
    <t>SO241002728</t>
  </si>
  <si>
    <t>OCS</t>
  </si>
  <si>
    <t>SO241002728/SJBKS250010</t>
  </si>
  <si>
    <t>LFW-PAJERO20RS2AGC</t>
  </si>
  <si>
    <t>SI2024L000156</t>
  </si>
  <si>
    <t>BM-191224</t>
  </si>
  <si>
    <t xml:space="preserve">BM </t>
  </si>
  <si>
    <t>TRW-BALENO01XYG</t>
  </si>
  <si>
    <t>TRW-PICANTO11XYG</t>
  </si>
  <si>
    <t>FDL-PICANTO04FY</t>
  </si>
  <si>
    <t>FDR-PICANTO04XYG</t>
  </si>
  <si>
    <t>RDL-PICANTO04FY</t>
  </si>
  <si>
    <t>TRW-E46FY</t>
  </si>
  <si>
    <t>SJ001107</t>
  </si>
  <si>
    <t>M202412071</t>
  </si>
  <si>
    <t>00064/2025</t>
  </si>
  <si>
    <t>SJ001123</t>
  </si>
  <si>
    <t>00148/2025</t>
  </si>
  <si>
    <t>SMM-100125</t>
  </si>
  <si>
    <t>TRW-SWIFT04AGC</t>
  </si>
  <si>
    <t>SJ001120</t>
  </si>
  <si>
    <t>MKS-220125</t>
  </si>
  <si>
    <t>00362/2025</t>
  </si>
  <si>
    <t>LFW-RUSH17XYG</t>
  </si>
  <si>
    <t>FDR-LOUHANMU</t>
  </si>
  <si>
    <t>RPU-010225</t>
  </si>
  <si>
    <t>RPU</t>
  </si>
  <si>
    <t>00539/2025</t>
  </si>
  <si>
    <t>COPOTAN</t>
  </si>
  <si>
    <t>LFW-INNOVA04COP</t>
  </si>
  <si>
    <t>LFW-XPANDERCOP</t>
  </si>
  <si>
    <t>SO-030225</t>
  </si>
  <si>
    <t>M202502025</t>
  </si>
  <si>
    <t>SI20250200209</t>
  </si>
  <si>
    <t>TDJ</t>
  </si>
  <si>
    <t xml:space="preserve">TF 388 </t>
  </si>
  <si>
    <t>RENDY KURNIAWAN</t>
  </si>
  <si>
    <t>M202502039</t>
  </si>
  <si>
    <t>LFW-ODYSSEY13XYG</t>
  </si>
  <si>
    <t>SI20250200420</t>
  </si>
  <si>
    <t>TRW-T30XYG</t>
  </si>
  <si>
    <t>0002454</t>
  </si>
  <si>
    <t>SI20250200647</t>
  </si>
  <si>
    <t>PENYESUAIAN SO</t>
  </si>
  <si>
    <t>SI202503388</t>
  </si>
  <si>
    <t>DTM</t>
  </si>
  <si>
    <t>LFW-SIRION18XYG</t>
  </si>
  <si>
    <t>MKS-180325</t>
  </si>
  <si>
    <t>MKS-1803251</t>
  </si>
  <si>
    <t>MKS-190325</t>
  </si>
  <si>
    <t>SI2025C000122</t>
  </si>
  <si>
    <t>BM-220325</t>
  </si>
  <si>
    <t>SJBKS250015</t>
  </si>
  <si>
    <t>BKS</t>
  </si>
  <si>
    <t>SJBY-240325</t>
  </si>
  <si>
    <t>LAKBAN KUNING</t>
  </si>
  <si>
    <t>SI2025C000246</t>
  </si>
  <si>
    <t>MKS-100425</t>
  </si>
  <si>
    <t>SI2025D000120</t>
  </si>
  <si>
    <t>SJ001187</t>
  </si>
  <si>
    <t>SI2025D000176</t>
  </si>
  <si>
    <t>007737</t>
  </si>
  <si>
    <t>SJ001192</t>
  </si>
  <si>
    <t>BM-210425</t>
  </si>
  <si>
    <t>BM</t>
  </si>
  <si>
    <t>01647/2025</t>
  </si>
  <si>
    <t>COP-220425</t>
  </si>
  <si>
    <t>SJ001206</t>
  </si>
  <si>
    <t>01775/2025</t>
  </si>
  <si>
    <t>SI2025D000302</t>
  </si>
  <si>
    <t>SI2025D000300</t>
  </si>
  <si>
    <t>SJBKS250006</t>
  </si>
  <si>
    <t>01829/2025</t>
  </si>
  <si>
    <t>BM-300425</t>
  </si>
  <si>
    <t>MKS-050525</t>
  </si>
  <si>
    <t>SJ001207</t>
  </si>
  <si>
    <t>02037/2025</t>
  </si>
  <si>
    <t>0006640</t>
  </si>
  <si>
    <t>FDR-APVAGC</t>
  </si>
  <si>
    <t>SJ001223</t>
  </si>
  <si>
    <t>0006791</t>
  </si>
  <si>
    <t>MKS-150525</t>
  </si>
  <si>
    <t>0006908</t>
  </si>
  <si>
    <t>007354</t>
  </si>
  <si>
    <t>SI2025F000009</t>
  </si>
  <si>
    <t>000565</t>
  </si>
  <si>
    <t>MKS-050625</t>
  </si>
  <si>
    <t>B000652</t>
  </si>
  <si>
    <t>PMS</t>
  </si>
  <si>
    <t>FDL-TRAGAAGC</t>
  </si>
  <si>
    <t>BY-270525</t>
  </si>
  <si>
    <t>B000667</t>
  </si>
  <si>
    <t>RPU-0008227</t>
  </si>
  <si>
    <t>petty cash</t>
  </si>
  <si>
    <t>000853</t>
  </si>
  <si>
    <t>13/06/25</t>
  </si>
  <si>
    <t>SJ001159</t>
  </si>
  <si>
    <t>0008740</t>
  </si>
  <si>
    <t>23/06/25</t>
  </si>
  <si>
    <t>046058</t>
  </si>
  <si>
    <t>KMK</t>
  </si>
  <si>
    <t>28/06/25</t>
  </si>
  <si>
    <t>MKS-280625</t>
  </si>
  <si>
    <t>02954/2025</t>
  </si>
  <si>
    <t>MKS-300625</t>
  </si>
  <si>
    <t>SWL-RAIZEMU</t>
  </si>
  <si>
    <t>BM-020725</t>
  </si>
  <si>
    <t>BY-020725</t>
  </si>
  <si>
    <t>LAKBAN KUNING BESAR</t>
  </si>
  <si>
    <t>03012/2025</t>
  </si>
  <si>
    <t>MKS-050725</t>
  </si>
  <si>
    <t>MKS-110725</t>
  </si>
  <si>
    <t>LUNAS 11/07/25</t>
  </si>
  <si>
    <t>LI26.250707.002</t>
  </si>
  <si>
    <t>BM-070725</t>
  </si>
  <si>
    <t>03118/2025</t>
  </si>
  <si>
    <t>M202507028</t>
  </si>
  <si>
    <t>03199/2025</t>
  </si>
  <si>
    <t>SJ001266</t>
  </si>
  <si>
    <t>SMM-120725</t>
  </si>
  <si>
    <t>MKS-140725</t>
  </si>
  <si>
    <t>MKS-150725</t>
  </si>
  <si>
    <t>TRW-INNOVA04HAGC</t>
  </si>
  <si>
    <t>SMM-170725</t>
  </si>
  <si>
    <t>17/07/25</t>
  </si>
  <si>
    <t>MKS-170725</t>
  </si>
  <si>
    <t>SWL-INNOVA04AGC</t>
  </si>
  <si>
    <t>03325/2025</t>
  </si>
  <si>
    <t>LFW-KATANA84MU</t>
  </si>
  <si>
    <t>BM-230725</t>
  </si>
  <si>
    <t>03424/2025</t>
  </si>
  <si>
    <t>SMM-260725</t>
  </si>
  <si>
    <t>FDR-CARRYFUTURAASH</t>
  </si>
  <si>
    <t>26/07/25</t>
  </si>
  <si>
    <t>SI2025G000211</t>
  </si>
  <si>
    <t>30/07/25</t>
  </si>
  <si>
    <t>SMM-280725</t>
  </si>
  <si>
    <t>28/07/25</t>
  </si>
  <si>
    <t>03548/2025</t>
  </si>
  <si>
    <t>MKS-300725</t>
  </si>
  <si>
    <t>BM-310725</t>
  </si>
  <si>
    <t>BM-010825</t>
  </si>
  <si>
    <t>BM-040825</t>
  </si>
  <si>
    <t>BM-040825-2</t>
  </si>
  <si>
    <t>TRW-CITY02XYG</t>
  </si>
  <si>
    <t>03714/2025</t>
  </si>
  <si>
    <t>002926</t>
  </si>
  <si>
    <t>BM-130825</t>
  </si>
  <si>
    <t>SJTGRH250002</t>
  </si>
  <si>
    <t>SENTRATGR</t>
  </si>
  <si>
    <t>BY-210825</t>
  </si>
  <si>
    <t>KOP POMPA HIJAU</t>
  </si>
  <si>
    <t>SI2025H000152</t>
  </si>
  <si>
    <t>04120/2025</t>
  </si>
  <si>
    <t>MKS-030925</t>
  </si>
  <si>
    <t>04401/2025</t>
  </si>
  <si>
    <t>SJTGRI250005</t>
  </si>
  <si>
    <t>BM-160925</t>
  </si>
  <si>
    <t>SJTGRI250002</t>
  </si>
  <si>
    <t>SJ001363</t>
  </si>
  <si>
    <t>FDR-CIVIC16PIL</t>
  </si>
  <si>
    <t>BM-180925</t>
  </si>
  <si>
    <t>04546/2025</t>
  </si>
  <si>
    <t>SJ001362</t>
  </si>
  <si>
    <t>0013418</t>
  </si>
  <si>
    <t>04629/2025</t>
  </si>
  <si>
    <t>M202509095</t>
  </si>
  <si>
    <t>MKS-290925</t>
  </si>
  <si>
    <t>04767/2025</t>
  </si>
  <si>
    <t>04793/2025</t>
  </si>
  <si>
    <t>04799/2025</t>
  </si>
  <si>
    <t>SI20251000107</t>
  </si>
  <si>
    <t>SMM-061025</t>
  </si>
  <si>
    <t>BM-061025</t>
  </si>
  <si>
    <t>04871/2025</t>
  </si>
  <si>
    <t>SJTGRJ0002</t>
  </si>
  <si>
    <t>SJTGRJ0001</t>
  </si>
  <si>
    <t>04924/2025</t>
  </si>
  <si>
    <t>LI26.251009.001</t>
  </si>
  <si>
    <t>SI-BRM/2025/10/11/00096</t>
  </si>
  <si>
    <t>BMK</t>
  </si>
  <si>
    <t>BM-131025</t>
  </si>
  <si>
    <t>MKS-161025</t>
  </si>
  <si>
    <t>05081/2025</t>
  </si>
  <si>
    <t>UTM/JL/1025/0448</t>
  </si>
  <si>
    <t>NFM</t>
  </si>
  <si>
    <t>TRW-FIESTAXYG</t>
  </si>
  <si>
    <t>SJ001383</t>
  </si>
  <si>
    <t>LI26.251023.001</t>
  </si>
  <si>
    <t>SMM-231025</t>
  </si>
  <si>
    <t>05243/2025</t>
  </si>
  <si>
    <t>MKS-271025</t>
  </si>
  <si>
    <t>PMK-005165</t>
  </si>
  <si>
    <t>TRW-INNOVA22HAGC</t>
  </si>
  <si>
    <t>SI2025J000244</t>
  </si>
  <si>
    <t>TRW-MARCHXYG</t>
  </si>
  <si>
    <t>UTM/JL/1025/0834</t>
  </si>
  <si>
    <t>MKS-011125</t>
  </si>
  <si>
    <t>SJTGRK250002</t>
  </si>
  <si>
    <t>BY-061125</t>
  </si>
  <si>
    <t>CORONG BOYOU</t>
  </si>
  <si>
    <t>BY-041125</t>
  </si>
  <si>
    <t>BY SOSIS</t>
  </si>
  <si>
    <t>SELING</t>
  </si>
  <si>
    <t>SI2025K000069</t>
  </si>
  <si>
    <t>MKS-221125</t>
  </si>
  <si>
    <t>05891/2025</t>
  </si>
  <si>
    <t>NN26251126002</t>
  </si>
  <si>
    <t>BM-281125</t>
  </si>
  <si>
    <t>SM-011225</t>
  </si>
  <si>
    <t>SM</t>
  </si>
  <si>
    <t>RPU-017487</t>
  </si>
  <si>
    <t>LIST KARET LFW-SWIFT11</t>
  </si>
  <si>
    <t>SJTGRL250004</t>
  </si>
  <si>
    <t>MKS-081225</t>
  </si>
  <si>
    <t>TRW-TRITON14XYG</t>
  </si>
  <si>
    <t>SI2025L000158</t>
  </si>
  <si>
    <t>ID-XY-AS-ISAG2501SUB</t>
  </si>
  <si>
    <t>LFW-FIESTAXYG</t>
  </si>
  <si>
    <t>LFW-MAZDA214XYG</t>
  </si>
  <si>
    <t>LFW-PAJERO16XYG</t>
  </si>
  <si>
    <t>LFW-TERRANOXYG</t>
  </si>
  <si>
    <t>LFW-FORTUNER05XYG</t>
  </si>
  <si>
    <t>LFW-FORTUNER15XYG</t>
  </si>
  <si>
    <t>LFW-ALPHARD02XYG</t>
  </si>
  <si>
    <t>LFW-CORTEZXYG</t>
  </si>
  <si>
    <t>06404/2025</t>
  </si>
  <si>
    <t>SJTGRL250010</t>
  </si>
  <si>
    <t>M202512097</t>
  </si>
  <si>
    <t>SJ001457</t>
  </si>
  <si>
    <t>SI20260100081</t>
  </si>
  <si>
    <t>M202601015</t>
  </si>
  <si>
    <t>MKS-060126</t>
  </si>
  <si>
    <t>BM-060126</t>
  </si>
  <si>
    <t>00083/2026</t>
  </si>
  <si>
    <t>BY-190126</t>
  </si>
  <si>
    <t>SOSIS</t>
  </si>
  <si>
    <t>BM-200126</t>
  </si>
  <si>
    <t>MKS-200126</t>
  </si>
  <si>
    <t>SJTGRA260008</t>
  </si>
  <si>
    <t>SJ001475</t>
  </si>
  <si>
    <t>SJTGRA260010</t>
  </si>
  <si>
    <t>BM-030226</t>
  </si>
  <si>
    <t>LFW-TRAGAXYG</t>
  </si>
  <si>
    <t>BY-090226</t>
  </si>
  <si>
    <t>SOSIS BY</t>
  </si>
  <si>
    <t>MKS-190226</t>
  </si>
  <si>
    <t>MKS-230226</t>
  </si>
  <si>
    <t>FDR-INNOVA15AGC</t>
  </si>
  <si>
    <t>MKS-250226</t>
  </si>
  <si>
    <t>TRW-XFORCEXYG</t>
  </si>
  <si>
    <t>M202603032</t>
  </si>
  <si>
    <t>PM-070326</t>
  </si>
  <si>
    <t>PM-110326</t>
  </si>
  <si>
    <t>003945</t>
  </si>
  <si>
    <t>MJD26C060</t>
  </si>
  <si>
    <t>LFW-VIOS07XYG</t>
  </si>
  <si>
    <t>01447/2026</t>
  </si>
  <si>
    <t>LFW-F30FY</t>
  </si>
  <si>
    <t>LFW-CIVIC96XYG</t>
  </si>
  <si>
    <t>TRW-OUTLANDERXYG</t>
  </si>
  <si>
    <t>M202603061</t>
  </si>
  <si>
    <t>TRW-AGYA13MU</t>
  </si>
  <si>
    <t>SJTGRC260006</t>
  </si>
  <si>
    <t>BM-170326</t>
  </si>
  <si>
    <t>MKS-260326</t>
  </si>
  <si>
    <t>SWL-RUSH17AGC</t>
  </si>
  <si>
    <t>SWR-RUSH17AGC</t>
  </si>
  <si>
    <t>MKS-310326</t>
  </si>
  <si>
    <t>PENYESUAIAN STOK SENTRA DARI KO ALVIN</t>
  </si>
  <si>
    <t>SENTRSBY</t>
  </si>
  <si>
    <t>ACC KO ALVIN</t>
  </si>
  <si>
    <t>DA260400431</t>
  </si>
  <si>
    <t>M202603081</t>
  </si>
  <si>
    <t>M202604032</t>
  </si>
  <si>
    <t>MKS-290426</t>
  </si>
  <si>
    <t>G-000026</t>
  </si>
  <si>
    <t>SJTGRC260015</t>
  </si>
  <si>
    <t>MJD26D097</t>
  </si>
  <si>
    <t>Tambahan Uang Kasir</t>
  </si>
  <si>
    <t>Sisa penjualan</t>
  </si>
  <si>
    <t>Sisa kurang tf penjualan cash</t>
  </si>
  <si>
    <t>Hilang</t>
  </si>
  <si>
    <t>Uang kasir hilang</t>
  </si>
  <si>
    <t>Maling</t>
  </si>
  <si>
    <t>No.</t>
  </si>
  <si>
    <t>Nama Toolkit</t>
  </si>
  <si>
    <t>1.</t>
  </si>
  <si>
    <t>Obeng Kancing</t>
  </si>
  <si>
    <t>4 PC</t>
  </si>
  <si>
    <t>2.</t>
  </si>
  <si>
    <t>Kape Plastik Doortrim</t>
  </si>
  <si>
    <t>3 Set (12 PC)</t>
  </si>
  <si>
    <t>3.</t>
  </si>
  <si>
    <t>Seling</t>
  </si>
  <si>
    <t>13 PC</t>
  </si>
  <si>
    <t>4.</t>
  </si>
  <si>
    <t>Lem G / Lem Korea</t>
  </si>
  <si>
    <t>12 PC</t>
  </si>
  <si>
    <t>5.</t>
  </si>
  <si>
    <t>Lakban Fragile</t>
  </si>
  <si>
    <t>8 PC</t>
  </si>
  <si>
    <t>6.</t>
  </si>
  <si>
    <t>Gel Sensor Besar</t>
  </si>
  <si>
    <t>2 PC</t>
  </si>
  <si>
    <t>7.</t>
  </si>
  <si>
    <t>Gel Sensor Kecil</t>
  </si>
  <si>
    <t>3 PC</t>
  </si>
  <si>
    <t>8.</t>
  </si>
  <si>
    <t>Lakban Kertas</t>
  </si>
  <si>
    <t>5 PC</t>
  </si>
  <si>
    <t>9.</t>
  </si>
  <si>
    <t>Lakban Bening</t>
  </si>
  <si>
    <t>10.</t>
  </si>
  <si>
    <t>Double Tape Foam Kecil</t>
  </si>
  <si>
    <t>11.</t>
  </si>
  <si>
    <t>Double Tape Foam Besar</t>
  </si>
  <si>
    <t>1 PC</t>
  </si>
  <si>
    <t>12.</t>
  </si>
  <si>
    <t>Isi Cutter</t>
  </si>
  <si>
    <t>4 Pack</t>
  </si>
  <si>
    <t>13.</t>
  </si>
  <si>
    <t>Tape Bening Kecil</t>
  </si>
  <si>
    <t>11 PC</t>
  </si>
  <si>
    <t>14.</t>
  </si>
  <si>
    <t>Isi Staples</t>
  </si>
  <si>
    <t>3 Pack</t>
  </si>
  <si>
    <t>15.</t>
  </si>
  <si>
    <t>Sarung Tangan</t>
  </si>
  <si>
    <t>2 Pack</t>
  </si>
  <si>
    <t>16.</t>
  </si>
  <si>
    <t>Lem Epoxy Dextone</t>
  </si>
  <si>
    <t>6 Pack/Set</t>
  </si>
  <si>
    <t>17.</t>
  </si>
  <si>
    <t>Kacamata</t>
  </si>
  <si>
    <t>18.</t>
  </si>
  <si>
    <t>Seling Bawaan dodotan</t>
  </si>
  <si>
    <t>19.</t>
  </si>
  <si>
    <t>Kape Tusuk</t>
  </si>
  <si>
    <t>20.</t>
  </si>
  <si>
    <t>Lakban Merah/ Safety Tape</t>
  </si>
  <si>
    <t>32 1/2 Roll</t>
  </si>
  <si>
    <t>21.</t>
  </si>
  <si>
    <t>List TA 04</t>
  </si>
  <si>
    <t>24 PC</t>
  </si>
  <si>
    <t>22.</t>
  </si>
  <si>
    <t>List TA 11</t>
  </si>
  <si>
    <t>9 PC</t>
  </si>
  <si>
    <t>23.</t>
  </si>
  <si>
    <t xml:space="preserve">List Innova </t>
  </si>
  <si>
    <t>24.</t>
  </si>
  <si>
    <t>25.</t>
  </si>
  <si>
    <t>Sealant Teroson</t>
  </si>
  <si>
    <t>11 1/2 Tube</t>
  </si>
  <si>
    <t>26.</t>
  </si>
  <si>
    <t>Sealant XYG</t>
  </si>
  <si>
    <t>62 Tube</t>
  </si>
  <si>
    <t>27.</t>
  </si>
  <si>
    <t>Sarung Tangan Merah</t>
  </si>
  <si>
    <t>2 Pasang</t>
  </si>
  <si>
    <t>28.</t>
  </si>
  <si>
    <t>Bor</t>
  </si>
  <si>
    <t>29.</t>
  </si>
  <si>
    <t>Tali Rafia</t>
  </si>
  <si>
    <t>30.</t>
  </si>
  <si>
    <t>Kape Pahat</t>
  </si>
  <si>
    <t>31.</t>
  </si>
  <si>
    <t>Kape Dodot</t>
  </si>
  <si>
    <t>32.</t>
  </si>
  <si>
    <t>Kape Doortrim Besar</t>
  </si>
  <si>
    <t>33.</t>
  </si>
  <si>
    <t>Tape Listrik</t>
  </si>
  <si>
    <t>34.</t>
  </si>
  <si>
    <t>Kunci Y S 17,12,14</t>
  </si>
  <si>
    <t>35.</t>
  </si>
  <si>
    <t>Tang Buaya</t>
  </si>
  <si>
    <t>36.</t>
  </si>
  <si>
    <t>37.</t>
  </si>
  <si>
    <t>Lap Bersih</t>
  </si>
  <si>
    <t>16 PC</t>
  </si>
  <si>
    <t>38.</t>
  </si>
  <si>
    <t>Kunci Y 10,12,14</t>
  </si>
  <si>
    <t>39.</t>
  </si>
  <si>
    <t>Kunci L Bintang-9Pcs</t>
  </si>
  <si>
    <t>40.</t>
  </si>
  <si>
    <t>Kunci sock set - 46 Pcs</t>
  </si>
  <si>
    <t>41.</t>
  </si>
  <si>
    <t>Kunci T 10mm</t>
  </si>
  <si>
    <t>42.</t>
  </si>
  <si>
    <t>Kunci T 12mm</t>
  </si>
  <si>
    <t>43.</t>
  </si>
  <si>
    <t>Kunci T 8mm</t>
  </si>
  <si>
    <t>Kanebo</t>
  </si>
  <si>
    <t>20 PC</t>
  </si>
  <si>
    <t>Cutter</t>
  </si>
  <si>
    <t>Solder Tembak</t>
  </si>
  <si>
    <t>1 Bungkus</t>
  </si>
  <si>
    <t>Sealant Boyou B501</t>
  </si>
  <si>
    <t>20 Tube</t>
  </si>
  <si>
    <t>Sealant R 68</t>
  </si>
  <si>
    <t>1 Tube</t>
  </si>
  <si>
    <t>Seling Boyou</t>
  </si>
  <si>
    <t>1 Roll</t>
  </si>
  <si>
    <t>No Adhesiv Tape</t>
  </si>
  <si>
    <t>Kop Kaca 2 kaki</t>
  </si>
  <si>
    <t>1 Set</t>
  </si>
  <si>
    <t>Fender Cover Mobil</t>
  </si>
  <si>
    <t>2 Set</t>
  </si>
  <si>
    <t>Kuas</t>
  </si>
  <si>
    <t>Tinta Spidol Permanent</t>
  </si>
  <si>
    <t>Tinta Printer Hitam</t>
  </si>
  <si>
    <t>BOX 1</t>
  </si>
  <si>
    <t>BOX 2</t>
  </si>
  <si>
    <t>Lakban Merah</t>
  </si>
  <si>
    <t>Lakban Foam Hijau</t>
  </si>
  <si>
    <t>1 Set (4 PC)</t>
  </si>
  <si>
    <t>Asahan</t>
  </si>
  <si>
    <t>Obeng +- Pendek</t>
  </si>
  <si>
    <t>Set Kunci Bintang</t>
  </si>
  <si>
    <t xml:space="preserve">Dodotan </t>
  </si>
  <si>
    <t>Kape tusuk</t>
  </si>
  <si>
    <t>Craker</t>
  </si>
  <si>
    <t>Lem Epoxy</t>
  </si>
  <si>
    <t xml:space="preserve">Kacamata </t>
  </si>
  <si>
    <t>Dumpkin</t>
  </si>
  <si>
    <t>Tang Potong</t>
  </si>
  <si>
    <t>Tang Heco BMW</t>
  </si>
  <si>
    <t>Lem G Korea</t>
  </si>
  <si>
    <t>Lap Kotor</t>
  </si>
  <si>
    <t>Cat Mp Kecil</t>
  </si>
  <si>
    <t>SURAT PERINTAH KERJA</t>
  </si>
  <si>
    <t>PASANG KACA / JASA PASANG / BONGKAR POLA</t>
  </si>
  <si>
    <r>
      <rPr>
        <rFont val="Calibri"/>
        <color theme="1"/>
        <sz val="9.0"/>
      </rPr>
      <t xml:space="preserve">NO SPK </t>
    </r>
    <r>
      <rPr>
        <rFont val="Calibri"/>
        <color theme="1"/>
        <sz val="9.0"/>
      </rPr>
      <t>1</t>
    </r>
  </si>
  <si>
    <t xml:space="preserve">: </t>
  </si>
  <si>
    <t>TGL 1 :</t>
  </si>
  <si>
    <t xml:space="preserve">(1=admin) (2=teknisi) (3=konsumen)                                </t>
  </si>
  <si>
    <r>
      <rPr>
        <rFont val="Calibri"/>
        <color theme="1"/>
        <sz val="9.0"/>
      </rPr>
      <t xml:space="preserve">NAMA KONSUMEN </t>
    </r>
    <r>
      <rPr>
        <rFont val="Calibri"/>
        <color theme="1"/>
        <sz val="9.0"/>
      </rPr>
      <t>3</t>
    </r>
  </si>
  <si>
    <r>
      <rPr>
        <rFont val="Calibri"/>
        <color theme="1"/>
        <sz val="9.0"/>
      </rPr>
      <t xml:space="preserve">ALAMAT </t>
    </r>
    <r>
      <rPr>
        <rFont val="Calibri"/>
        <color theme="1"/>
        <sz val="9.0"/>
      </rPr>
      <t>3</t>
    </r>
  </si>
  <si>
    <r>
      <rPr>
        <rFont val="Calibri"/>
        <b/>
        <color theme="1"/>
        <sz val="9.0"/>
      </rPr>
      <t>CATATAN</t>
    </r>
    <r>
      <rPr>
        <rFont val="Calibri"/>
        <color theme="1"/>
        <sz val="9.0"/>
      </rPr>
      <t>:</t>
    </r>
  </si>
  <si>
    <r>
      <rPr>
        <rFont val="Calibri"/>
        <color theme="1"/>
        <sz val="9.0"/>
      </rPr>
      <t xml:space="preserve">NO TELP/WA </t>
    </r>
    <r>
      <rPr>
        <rFont val="Calibri"/>
        <color theme="1"/>
        <sz val="9.0"/>
      </rPr>
      <t>3</t>
    </r>
  </si>
  <si>
    <t>- SPK wajib diisi sebelum dan sesudah pemasangan kaca mobil</t>
  </si>
  <si>
    <r>
      <rPr>
        <rFont val="Calibri"/>
        <color theme="1"/>
        <sz val="9.0"/>
      </rPr>
      <t xml:space="preserve">EMAIL </t>
    </r>
    <r>
      <rPr>
        <rFont val="Calibri"/>
        <color theme="1"/>
        <sz val="9.0"/>
      </rPr>
      <t>3</t>
    </r>
  </si>
  <si>
    <t>- SPK diisi dengan kondisi sebenar-benarnya dan disaksikan oleh pihak konsumen</t>
  </si>
  <si>
    <t>BARANG BERHARGA 3</t>
  </si>
  <si>
    <t>ADA  / TIDAK ADA</t>
  </si>
  <si>
    <t>- Dokumentasikan bila perlu dan infokan ke kantor</t>
  </si>
  <si>
    <r>
      <rPr>
        <rFont val="Calibri"/>
        <color theme="1"/>
        <sz val="9.0"/>
      </rPr>
      <t xml:space="preserve">MERK &amp; TYPE MOBIL </t>
    </r>
    <r>
      <rPr>
        <rFont val="Calibri"/>
        <color theme="1"/>
        <sz val="9.0"/>
      </rPr>
      <t>1</t>
    </r>
  </si>
  <si>
    <t xml:space="preserve">- SPK ini ditanda-tangani oleh pihak Kaca Mobil dan Konsumen agar menjadi </t>
  </si>
  <si>
    <r>
      <rPr>
        <rFont val="Calibri"/>
        <color theme="1"/>
        <sz val="9.0"/>
      </rPr>
      <t xml:space="preserve">NO POLISI </t>
    </r>
    <r>
      <rPr>
        <rFont val="Calibri"/>
        <color theme="1"/>
        <sz val="9.0"/>
      </rPr>
      <t>2</t>
    </r>
  </si>
  <si>
    <t>bukti sah dari segala kondisi yang ada pada mobil</t>
  </si>
  <si>
    <r>
      <rPr>
        <rFont val="Calibri"/>
        <color theme="1"/>
        <sz val="9.0"/>
      </rPr>
      <t xml:space="preserve">PART, MERK, JENIS KACA </t>
    </r>
    <r>
      <rPr>
        <rFont val="Calibri"/>
        <color theme="1"/>
        <sz val="9.0"/>
      </rPr>
      <t>1</t>
    </r>
  </si>
  <si>
    <t>- contoh kondisi = baik / patah / retak / regas / baret / tidak ada / dll</t>
  </si>
  <si>
    <r>
      <rPr>
        <rFont val="Calibri"/>
        <color theme="1"/>
        <sz val="9.0"/>
      </rPr>
      <t xml:space="preserve">SEALANT </t>
    </r>
    <r>
      <rPr>
        <rFont val="Calibri"/>
        <color theme="1"/>
        <sz val="9.0"/>
      </rPr>
      <t>1</t>
    </r>
  </si>
  <si>
    <r>
      <rPr>
        <rFont val="Calibri"/>
        <color theme="1"/>
        <sz val="9.0"/>
      </rPr>
      <t xml:space="preserve">LIST KARET </t>
    </r>
    <r>
      <rPr>
        <rFont val="Calibri"/>
        <color theme="1"/>
        <sz val="9.0"/>
      </rPr>
      <t>2</t>
    </r>
  </si>
  <si>
    <t>GANTI / TIDAK</t>
  </si>
  <si>
    <r>
      <rPr>
        <rFont val="Calibri"/>
        <color theme="1"/>
        <sz val="9.0"/>
      </rPr>
      <t xml:space="preserve">NAMA TEKSINI </t>
    </r>
    <r>
      <rPr>
        <rFont val="Calibri"/>
        <color theme="1"/>
        <sz val="9.0"/>
      </rPr>
      <t>2</t>
    </r>
  </si>
  <si>
    <t>&amp;</t>
  </si>
  <si>
    <t>KETERANGAN</t>
  </si>
  <si>
    <t>SEBELUM</t>
  </si>
  <si>
    <t>SESUDAH</t>
  </si>
  <si>
    <t>DEPAN/BELAKANG</t>
  </si>
  <si>
    <t>KONDISI</t>
  </si>
  <si>
    <t>TECH</t>
  </si>
  <si>
    <t>CUST</t>
  </si>
  <si>
    <t>KACA SAMPING</t>
  </si>
  <si>
    <t>KACA YG AKAN DIPASANG</t>
  </si>
  <si>
    <t>SPION DALAM</t>
  </si>
  <si>
    <t>BAUT BAUT</t>
  </si>
  <si>
    <t>TUTUP TULANG KI/KA</t>
  </si>
  <si>
    <t>POWER WINDOW</t>
  </si>
  <si>
    <t>AKSESORIS LAIN</t>
  </si>
  <si>
    <t>REGULATOR</t>
  </si>
  <si>
    <t>WIPER KANAN/KIRI</t>
  </si>
  <si>
    <t>DUDUKAN KACA</t>
  </si>
  <si>
    <t>TUTUP WIPER KA/KI</t>
  </si>
  <si>
    <t>KARET RUN CHANNEL</t>
  </si>
  <si>
    <t>TALANG/PANGGANGAN</t>
  </si>
  <si>
    <t>TEST TURUN NAIK PW</t>
  </si>
  <si>
    <t>LIST/KARET</t>
  </si>
  <si>
    <t>TURUN NAIK KACA</t>
  </si>
  <si>
    <t>BODY ATAS &amp; SAMPING</t>
  </si>
  <si>
    <t>BODY DISEKITAR</t>
  </si>
  <si>
    <t>KAP MOBIL</t>
  </si>
  <si>
    <t>LAIN LAIN/KM</t>
  </si>
  <si>
    <t>LIST SAMPING</t>
  </si>
  <si>
    <t>JAM PENGERJAAN</t>
  </si>
  <si>
    <t>SENSOR KACA</t>
  </si>
  <si>
    <t>Keterangan kondisi lain :</t>
  </si>
  <si>
    <t>ADMIN</t>
  </si>
  <si>
    <t>TEKNISI</t>
  </si>
  <si>
    <t>CUSTOMER</t>
  </si>
  <si>
    <t>LAIN-LAIN/KM</t>
  </si>
  <si>
    <r>
      <rPr>
        <rFont val="Calibri"/>
        <color theme="1"/>
        <sz val="9.0"/>
      </rPr>
      <t xml:space="preserve">NO SPK </t>
    </r>
    <r>
      <rPr>
        <rFont val="Calibri"/>
        <color theme="1"/>
        <sz val="9.0"/>
      </rPr>
      <t>1</t>
    </r>
  </si>
  <si>
    <r>
      <rPr>
        <rFont val="Calibri"/>
        <color theme="1"/>
        <sz val="9.0"/>
      </rPr>
      <t xml:space="preserve">NAMA KONSUMEN </t>
    </r>
    <r>
      <rPr>
        <rFont val="Calibri"/>
        <color theme="1"/>
        <sz val="9.0"/>
      </rPr>
      <t>3</t>
    </r>
  </si>
  <si>
    <r>
      <rPr>
        <rFont val="Calibri"/>
        <color theme="1"/>
        <sz val="9.0"/>
      </rPr>
      <t xml:space="preserve">ALAMAT </t>
    </r>
    <r>
      <rPr>
        <rFont val="Calibri"/>
        <color theme="1"/>
        <sz val="9.0"/>
      </rPr>
      <t>3</t>
    </r>
  </si>
  <si>
    <r>
      <rPr>
        <rFont val="Calibri"/>
        <b/>
        <color theme="1"/>
        <sz val="9.0"/>
      </rPr>
      <t>CATATAN</t>
    </r>
    <r>
      <rPr>
        <rFont val="Calibri"/>
        <color theme="1"/>
        <sz val="9.0"/>
      </rPr>
      <t>:</t>
    </r>
  </si>
  <si>
    <r>
      <rPr>
        <rFont val="Calibri"/>
        <color theme="1"/>
        <sz val="9.0"/>
      </rPr>
      <t xml:space="preserve">NO TELP/WA </t>
    </r>
    <r>
      <rPr>
        <rFont val="Calibri"/>
        <color theme="1"/>
        <sz val="9.0"/>
      </rPr>
      <t>3</t>
    </r>
  </si>
  <si>
    <r>
      <rPr>
        <rFont val="Calibri"/>
        <color theme="1"/>
        <sz val="9.0"/>
      </rPr>
      <t xml:space="preserve">EMAIL </t>
    </r>
    <r>
      <rPr>
        <rFont val="Calibri"/>
        <color theme="1"/>
        <sz val="9.0"/>
      </rPr>
      <t>3</t>
    </r>
  </si>
  <si>
    <r>
      <rPr>
        <rFont val="Calibri"/>
        <color theme="1"/>
        <sz val="9.0"/>
      </rPr>
      <t xml:space="preserve">MERK &amp; TYPE MOBIL </t>
    </r>
    <r>
      <rPr>
        <rFont val="Calibri"/>
        <color theme="1"/>
        <sz val="9.0"/>
      </rPr>
      <t>1</t>
    </r>
  </si>
  <si>
    <r>
      <rPr>
        <rFont val="Calibri"/>
        <color theme="1"/>
        <sz val="9.0"/>
      </rPr>
      <t xml:space="preserve">NO POLISI </t>
    </r>
    <r>
      <rPr>
        <rFont val="Calibri"/>
        <color theme="1"/>
        <sz val="9.0"/>
      </rPr>
      <t>2</t>
    </r>
  </si>
  <si>
    <r>
      <rPr>
        <rFont val="Calibri"/>
        <color theme="1"/>
        <sz val="9.0"/>
      </rPr>
      <t xml:space="preserve">PART, MERK, JENIS KACA </t>
    </r>
    <r>
      <rPr>
        <rFont val="Calibri"/>
        <color theme="1"/>
        <sz val="9.0"/>
      </rPr>
      <t>1</t>
    </r>
  </si>
  <si>
    <r>
      <rPr>
        <rFont val="Calibri"/>
        <color theme="1"/>
        <sz val="9.0"/>
      </rPr>
      <t xml:space="preserve">SEALANT </t>
    </r>
    <r>
      <rPr>
        <rFont val="Calibri"/>
        <color theme="1"/>
        <sz val="9.0"/>
      </rPr>
      <t>1</t>
    </r>
  </si>
  <si>
    <r>
      <rPr>
        <rFont val="Calibri"/>
        <color theme="1"/>
        <sz val="9.0"/>
      </rPr>
      <t xml:space="preserve">LIST KARET </t>
    </r>
    <r>
      <rPr>
        <rFont val="Calibri"/>
        <color theme="1"/>
        <sz val="9.0"/>
      </rPr>
      <t>2</t>
    </r>
  </si>
  <si>
    <t>contoh kondisi = baik / patah / retak / regas / baret / tidak ada / dll</t>
  </si>
  <si>
    <r>
      <rPr>
        <rFont val="Calibri"/>
        <color theme="1"/>
        <sz val="9.0"/>
      </rPr>
      <t xml:space="preserve">NAMA TEKSINI </t>
    </r>
    <r>
      <rPr>
        <rFont val="Calibri"/>
        <color theme="1"/>
        <sz val="9.0"/>
      </rPr>
      <t>2</t>
    </r>
  </si>
  <si>
    <t>PT Karunia Jaya Distribusindo</t>
  </si>
  <si>
    <t xml:space="preserve"> (+62) 81288009878 </t>
  </si>
  <si>
    <t>MEMO PENGAMBILAN BARANG</t>
  </si>
  <si>
    <t xml:space="preserve">PD Jaya Baru </t>
  </si>
  <si>
    <t>Di- Tempat</t>
  </si>
  <si>
    <t>Salam Hormat,</t>
  </si>
  <si>
    <t xml:space="preserve">Melalui memo ini mohon untuk diberikan : </t>
  </si>
  <si>
    <t>-  3TR04M-AFDRTA1 5pc</t>
  </si>
  <si>
    <t>- 3SR32M-3FDLTT1 5pc</t>
  </si>
  <si>
    <t>- 3DGM7M-3FDLTA1 5pc</t>
  </si>
  <si>
    <t>- 3DGM7M-3FDRTA1 5pc</t>
  </si>
  <si>
    <t>- 3TR04M-AFDRTA1 5pc</t>
  </si>
  <si>
    <t>- 3SR32M-3RDRTT1 5pc</t>
  </si>
  <si>
    <t>- 3TR18M-3FDLTA0 5pc</t>
  </si>
  <si>
    <t>Kepada tim kami atas nama Dimas</t>
  </si>
  <si>
    <t>Mohon untuk memberikan Nota dalam amplop kepada tim kami.</t>
  </si>
  <si>
    <t>Terima kasih atas perhatian dan kerjasamanya.</t>
  </si>
  <si>
    <t>Hormat Kami</t>
  </si>
  <si>
    <t>d</t>
  </si>
  <si>
    <t>JANGAN DIBALIK - PETI HADAP ATAS</t>
  </si>
  <si>
    <t>BARANG PECAH BELAH !!</t>
  </si>
  <si>
    <t>JANGAN BANTING</t>
  </si>
  <si>
    <t>PCS</t>
  </si>
  <si>
    <t>SISA QTY KJD</t>
  </si>
  <si>
    <t>KEEP</t>
  </si>
  <si>
    <t>KF 2PC</t>
  </si>
  <si>
    <t>KF 1PC ngelipet</t>
  </si>
  <si>
    <t>2pc *1</t>
  </si>
  <si>
    <t>PRORATE</t>
  </si>
  <si>
    <t>bnyk yg tnya</t>
  </si>
  <si>
    <t>order bgi lagi</t>
  </si>
  <si>
    <t>Sering keluar</t>
  </si>
  <si>
    <t>sering keluar</t>
  </si>
  <si>
    <t>Stok Keluar</t>
  </si>
  <si>
    <t>Sold?</t>
  </si>
  <si>
    <t>Harga Pokok</t>
  </si>
  <si>
    <t>Total HK</t>
  </si>
  <si>
    <t>Total Terjual</t>
  </si>
  <si>
    <t>Total Nilai Nota Terkirim</t>
  </si>
  <si>
    <t>Total Stok Yang Sudah Terjual</t>
  </si>
  <si>
    <t>+</t>
  </si>
  <si>
    <t>Total NIlai Retur</t>
  </si>
  <si>
    <t>Sisa yg dibayar</t>
  </si>
  <si>
    <t>Total Nilai dikeep</t>
  </si>
  <si>
    <t>Awal</t>
  </si>
  <si>
    <t>QTY terjual</t>
  </si>
  <si>
    <t>QTY Kirim</t>
  </si>
  <si>
    <t>Qty Keep</t>
  </si>
  <si>
    <t>Total kirim</t>
  </si>
  <si>
    <t>Kirim Truck</t>
  </si>
  <si>
    <t>Kirim GM</t>
  </si>
  <si>
    <t>H. Nota</t>
  </si>
  <si>
    <t>HPP</t>
  </si>
  <si>
    <t>Sub Nota</t>
  </si>
  <si>
    <t>Sub Biaya</t>
  </si>
  <si>
    <t>Sub Terjual</t>
  </si>
  <si>
    <t>Sub Nilai After</t>
  </si>
  <si>
    <t>Sub Nilai Retur</t>
  </si>
  <si>
    <t>Sub Nilai Keep</t>
  </si>
  <si>
    <t>Diambil SBY</t>
  </si>
  <si>
    <t>Total Beli</t>
  </si>
  <si>
    <t>Truck 1 &amp; 2</t>
  </si>
  <si>
    <t>Truck &amp; Granmax</t>
  </si>
  <si>
    <t>Mers-Benz E-Class 09-16 W212 (2 Sensor/ ??) Trapes.</t>
  </si>
  <si>
    <t>Mazda CX-5 .12-14 1st Gen KE Pre - (1 Sensor/ ? )</t>
  </si>
  <si>
    <t>Ford Ranger 02-06</t>
  </si>
  <si>
    <t>TRW-PANTHER00ASH</t>
  </si>
  <si>
    <t>Toyota Fortuner 05-15 1st Gen / Hilux Pickup 05-15</t>
  </si>
  <si>
    <t>Toyota Fortuner 15- 2nd Gen / Toyota Hilux Pickup 15- (Revo)</t>
  </si>
  <si>
    <t>Toyota Kijang 98- Kapsul Karet (7K)</t>
  </si>
  <si>
    <t>OTH-SEALANTTR</t>
  </si>
  <si>
    <t>Sealant Polyurethane Teroson Tube</t>
  </si>
  <si>
    <t>Mazda INTERPLAY 1992-97 FHG</t>
  </si>
  <si>
    <t>TUSUKAN SLING</t>
  </si>
  <si>
    <t>Mazda 2 14- Skyactiv 4th Gen (1 Sensor/ ? )</t>
  </si>
  <si>
    <t>Mitsubishi Pajero 20- (1 Sensor / ? ) (Mitsubishi)</t>
  </si>
  <si>
    <t>Nissan Livina 07-12 L10 (Tanpa Lubang) Nissan</t>
  </si>
  <si>
    <t>Windshield Moulding Alphard ANH10</t>
  </si>
  <si>
    <t>Wuling Cortez (Tanpa Spionnya)</t>
  </si>
  <si>
    <t>Toyota Fortuner 15- 2nd Gen (Toyota)</t>
  </si>
  <si>
    <t>Mers-Benz C-Class 00-07 W203 (1 Sensor/ ? Tengah)</t>
  </si>
  <si>
    <t>Mers-Benz C-Class 07-14 W204 (1 Sensor/ ?)</t>
  </si>
  <si>
    <t>yg k</t>
  </si>
  <si>
    <t>Tugas</t>
  </si>
  <si>
    <t>Keterangan Tambahan</t>
  </si>
  <si>
    <t>Jam</t>
  </si>
  <si>
    <t>Lokasi</t>
  </si>
  <si>
    <t>Status</t>
  </si>
  <si>
    <t>Kirim
-LFW-TERIOS06MU
-FDL-TERIOS06ASH</t>
  </si>
  <si>
    <t>Sebelum Dzuhur (sekitar jam 10-11)</t>
  </si>
  <si>
    <t>Workshop</t>
  </si>
  <si>
    <t>Pasang
TRW-CX7XYG</t>
  </si>
  <si>
    <t>Pasang
LFW-VIOS07MU
+62 822-3030-2036</t>
  </si>
  <si>
    <t>1,4jt berikut pasang</t>
  </si>
  <si>
    <t>Pasang
Nama : P. Hasan
wa : +62 852-4224-7608
LFW-AVANZA16MU</t>
  </si>
  <si>
    <t>14:00/15:00</t>
  </si>
  <si>
    <t>Firman Firdhousi Soetanto
+62 811-3000-842
LFW-CAMRY06RS        Toyota Camry 06-11 XV40 4th Gen ORDER BGI</t>
  </si>
  <si>
    <t>Sudah DP 3jt via BCA 33</t>
  </si>
  <si>
    <t>Pasang SIdoarjo
LFW-AGYA13MU
+62 812-1634-6005</t>
  </si>
  <si>
    <t xml:space="preserve">Sudah DP 100 via BCA </t>
  </si>
  <si>
    <t>14.00</t>
  </si>
  <si>
    <t>Pasang Sidoarjo
jasa pasang ar Toyota GT86 FT86
+62 816-973-761</t>
  </si>
  <si>
    <t>Home Service</t>
  </si>
  <si>
    <t>Pasang
TRW-INNOVA04HXYG
+62 897-8888-228</t>
  </si>
  <si>
    <t>10.00</t>
  </si>
  <si>
    <t>Kirim dan Pasang
LFW-TEANAXYG
+62 813-5868-4040
Bu. Niken Pramesti</t>
  </si>
  <si>
    <t>Sudah Bayar 3,998,000 via BCA</t>
  </si>
  <si>
    <t>Pasang
Nama : Bpk. Bernat
wa : +62 813-4312-1332
Pasang
LFW-LFW-RUSH17MU</t>
  </si>
  <si>
    <t>habis dhuhur (jam 13:00/14:00)</t>
  </si>
  <si>
    <t>Pasang
LFW-ATOZMU
+62 821-9488-6261
Ibu Yulia Gresik</t>
  </si>
  <si>
    <t>13.00</t>
  </si>
  <si>
    <t>Pasang
LFW-GRANMAXMU
+62 857-4588-2817</t>
  </si>
  <si>
    <t>packing tokopedia
trw-crv02pil
lfw-crv02fy</t>
  </si>
  <si>
    <t>KACA TRW PESAN DULU DI RAJAWALI</t>
  </si>
  <si>
    <t>WORKSHOP</t>
  </si>
  <si>
    <t>Pasang
TRW-AVANZA03XYG
+62 881-9823-766
Ramadhani</t>
  </si>
  <si>
    <t>B4T3
850RB</t>
  </si>
  <si>
    <t>Pasang
LFW-MIRAGEMU
Pak Eko
+62 831-1973-0930</t>
  </si>
  <si>
    <t>Rak B13T2</t>
  </si>
  <si>
    <t>Pasang
LFW-SWIFT04XYG
P.iwan
+62 811-370-016</t>
  </si>
  <si>
    <t>KACA READY</t>
  </si>
  <si>
    <t>Pasang
TRW-LIVINA13XYG
Kevin
+62 857-7127-7827</t>
  </si>
  <si>
    <t>17.00</t>
  </si>
  <si>
    <t>Pasang
LFW-ERTIGA18MU
Utbah
+62 857-9091-6561</t>
  </si>
  <si>
    <t>Rak B11T1</t>
  </si>
  <si>
    <t>11.00</t>
  </si>
  <si>
    <t>PASANG
TRW-INNOVA04HXYG
+62 852-3257-8999</t>
  </si>
  <si>
    <t>ORANGNYA NANTI KE PASURAN TERLEBIH DAHULU BARU NANTI DATANG KE WORKSHOP</t>
  </si>
  <si>
    <t>JAM MENYUSUL</t>
  </si>
  <si>
    <t>PASANG
TRW-ERTIGA18ASH
FERDIAN
+62 812-4986-1316</t>
  </si>
  <si>
    <t xml:space="preserve">B11T3
1.022.000 </t>
  </si>
  <si>
    <t>Pasang
LFW-JAZZ07MU
P. Syaiful Rizal
+62 857-3038-2838</t>
  </si>
  <si>
    <t>Rak B6T1</t>
  </si>
  <si>
    <t>Jam 14.00/ 
jam 15.00</t>
  </si>
  <si>
    <t>pasang
LFW-BALENO15XYG
ANDIKA
+62 811-3000-806</t>
  </si>
  <si>
    <t>kaca ready
1.618.000 DGN PASANG</t>
  </si>
  <si>
    <t>09:00/10:00</t>
  </si>
  <si>
    <t>Pasang
LFW-T30MU
P. Dinol
+62 822-4441-5569</t>
  </si>
  <si>
    <t>Rak B9T1
1.882.000</t>
  </si>
  <si>
    <t>Jam 14.30</t>
  </si>
  <si>
    <t>Pasang
LFW-AVANZA11MU
+62 819-9900-5269
Muhyidin Achmad</t>
  </si>
  <si>
    <t>Rak B2T1</t>
  </si>
  <si>
    <t>09.00/10.00</t>
  </si>
  <si>
    <t xml:space="preserve">Packing
TRW-T31XYG
+62 853-3746-7889
Bp Husin Sudarta
</t>
  </si>
  <si>
    <t xml:space="preserve">A4T3
Alamat..
PABRIK KECAP MELIWIS..
Ds Temukus - kec. Banjar kab.Buleleng .
Singaraja - Bali
0818500508
SUDAH TF
KIRIM KE EXPEDISI [Name] Bali Prima Cargo Surabaya
[Ponsel] +62 853-3567-7599 </t>
  </si>
  <si>
    <t xml:space="preserve">PAGI </t>
  </si>
  <si>
    <t>PASANG
SWR-AVANZA11MU
YOSSY
+62 812-1702-4717</t>
  </si>
  <si>
    <t>B5T4
450rb</t>
  </si>
  <si>
    <t>Adi SUJARWO
'+62 896-1687-0934</t>
  </si>
  <si>
    <t>PASANG
LFW-FIESTAMU
+62 857-0433-5276
H Nur Ilyas</t>
  </si>
  <si>
    <t>A3T1
1702
MADURA</t>
  </si>
  <si>
    <t>PASANG
TRW-INNOVA04HXYG
JOHN
+62 812-3334-2227</t>
  </si>
  <si>
    <t>A3T3
1.322.000</t>
  </si>
  <si>
    <t>Menyusul</t>
  </si>
  <si>
    <t>PASANG
LFW-W176XYG
YIMMY K
+62 811-311-718</t>
  </si>
  <si>
    <t xml:space="preserve"> 9,328,000 GARANSI 3 THN 
DP 1,865,600</t>
  </si>
  <si>
    <t>PASANG
TRW-AVANZA03XYG
+62 822-3355-8048
MAHFUD</t>
  </si>
  <si>
    <t>850000
B4T3</t>
  </si>
  <si>
    <t>Pasang 
LFW-ERTIGA12MU
Ilham
+62 822-3049-1113</t>
  </si>
  <si>
    <t>B11T1 HARGA 1.310</t>
  </si>
  <si>
    <t>MENYUSUL</t>
  </si>
  <si>
    <t xml:space="preserve">PASANG
LFW-CONFEROMU
+62 851-0170-3848
 Olviandy indra wahyudy
</t>
  </si>
  <si>
    <r>
      <rPr>
        <color rgb="FF000000"/>
        <u/>
      </rPr>
      <t>A8T1 1522 +50 TRANSPORT
TUNDA PASANG SETELAH REPAIR</t>
    </r>
    <r>
      <rPr>
        <color rgb="FF0563C1"/>
        <u/>
      </rPr>
      <t xml:space="preserve">
</t>
    </r>
  </si>
  <si>
    <t>Pasang
RDR-AVANZA21ASH
P. Basri
+62 812-2660-0901</t>
  </si>
  <si>
    <t>A14T3
515.000</t>
  </si>
  <si>
    <t>done</t>
  </si>
  <si>
    <t>pasang kaca
LFW-CRV07XYG
+62 813-3638-2809
Indra</t>
  </si>
  <si>
    <t>1902
B7T2</t>
  </si>
  <si>
    <t>pasang
LFW-FREEDXYG
+62 857-0012-0093
ardi</t>
  </si>
  <si>
    <t>1,798,000
B7T1</t>
  </si>
  <si>
    <t>PASANG
TRW-NAVARA04XYG
FARID
+62 817-4181-999 / +62 877-5074-8787</t>
  </si>
  <si>
    <t>1,636,000
PESAN BGI TERLEBIH DAHULU</t>
  </si>
  <si>
    <t>PASANG
FDR-DYNAASH
PT Megaduta Artha Megah
+62 878-9659-6525</t>
  </si>
  <si>
    <t>550+100 TR
A8T3</t>
  </si>
  <si>
    <t xml:space="preserve">pasang
TRW-XPANDERHXYG
+62 822-3025-7709
Rizki firmansyah
</t>
  </si>
  <si>
    <t>950
B14T3</t>
  </si>
  <si>
    <t>pasang
lfw-avanza03mu
+62 812-3125-9125
marQo</t>
  </si>
  <si>
    <t>Pasang
TRW-HIACE19BNGXYG
Rajawali
+62 821-3180-4088</t>
  </si>
  <si>
    <t>Ambil di BGI</t>
  </si>
  <si>
    <t>16.00</t>
  </si>
  <si>
    <t>Pasang
TRW-TAFTGT
Bpk. Hotib
+62 819-1359-7377</t>
  </si>
  <si>
    <t>Ambil di jaya baru</t>
  </si>
  <si>
    <t>Pasang
FDL-PAJERO08ASH
P. Sukmo
+62 823-3291-0100</t>
  </si>
  <si>
    <t>A13T3
505 dengan pasang</t>
  </si>
  <si>
    <t>nanang
LFW-HIACEPIL
RDL-HIACEFXYG
SFL-HIACEXYG</t>
  </si>
  <si>
    <t>Depan 1.680.000
Rdl frame 2.945.000 A2T3</t>
  </si>
  <si>
    <t>Pasang
FDL-ERTIGAASH
ANDRE
+62 821-3932-0838</t>
  </si>
  <si>
    <t>Ambi di jaya baru</t>
  </si>
  <si>
    <t>jam 15.00</t>
  </si>
  <si>
    <t>Pasang
LFW-APVMU
Bang Itong
+62 818-511-359</t>
  </si>
  <si>
    <t>Antara jam 1-jam
 3 sore</t>
  </si>
  <si>
    <t>Packing
TRW-ALPHARD02BLACK
Bengkel Rossi Motor
+62 853-3607-9731</t>
  </si>
  <si>
    <t>NUNGGU DI KIRIM DARI BGI/ DIIKUTKAN 
SEKALIAN PAKAI LALAMOVE</t>
  </si>
  <si>
    <t>PASANG
LFW-GRANMAXMU
Bambang Hermanto
+62 813-3180-2660</t>
  </si>
  <si>
    <t>1JT
B8T1</t>
  </si>
  <si>
    <t>ambil kaca 
TRW-ERTIGA12XYG
dzikri
+62 877-2500-4731</t>
  </si>
  <si>
    <t>700
B11T3</t>
  </si>
  <si>
    <t>pasang
LFW-VIOS13MU
+62 813-3645-6900
SANTOS</t>
  </si>
  <si>
    <t>1700000
B4T1</t>
  </si>
  <si>
    <t>pasang
LFW-HILUX15MU
+62 822-3135-0134
ARDI</t>
  </si>
  <si>
    <t>B3T2
1800 + 100 LM</t>
  </si>
  <si>
    <t>pasang
LFW-AVANZA21MU
+62 822-3481-3217
Elim Lugito</t>
  </si>
  <si>
    <t>B1T2
1500</t>
  </si>
  <si>
    <t>PASANG
TRW-CRV17PIL
+62 852-3682-7555
Heru</t>
  </si>
  <si>
    <t>B7T3
2,182,000</t>
  </si>
  <si>
    <t>09:00/11:00</t>
  </si>
  <si>
    <t>Pasang 
LFW-ALTIS13RSXYG
Bella
+62 877-7056-7222</t>
  </si>
  <si>
    <t>harga 2.448
rak A1T2</t>
  </si>
  <si>
    <t>12.00</t>
  </si>
  <si>
    <t>pasang
LFW-RUSH17MU
Doni aris
+62 852-3682-3902</t>
  </si>
  <si>
    <t>B2T2
1,312,000</t>
  </si>
  <si>
    <t>PASANG
TRW-GRANMAXVANMU
Nohan
+62 813-5712-6808</t>
  </si>
  <si>
    <t>B8T3
799</t>
  </si>
  <si>
    <t>Pasang
LFW-SIGRA16MU
+62 823-3072-1178
P. ABUSIRI</t>
  </si>
  <si>
    <t>HARGA 1150
RAK B1T1</t>
  </si>
  <si>
    <t>ambil kaca
LFW-RANGER04MU
+62 813-5799-6761
Lazuardi</t>
  </si>
  <si>
    <t>A3T2
1.261.000</t>
  </si>
  <si>
    <t>Ambil kaca
LFW-SIRION2MU
+62 813-3281-7319
amarzuki</t>
  </si>
  <si>
    <t>B8T2
1.539</t>
  </si>
  <si>
    <t>Pasang
LFW-STARGAZERRSXYG
Nama : Abdullah
+62 819-3822-0440</t>
  </si>
  <si>
    <t>yg datang dari bgi kmarin</t>
  </si>
  <si>
    <t>PASANG
LFW-SWIFT04XYG
agam
+62 812-6999-7757</t>
  </si>
  <si>
    <t>1694000
B11T2</t>
  </si>
  <si>
    <t>pasang
LFW-COROLLA95MU
+62 881-0363-42670
Dhaniel Paundra</t>
  </si>
  <si>
    <t>ORDER BGI DULU
1,839,000</t>
  </si>
  <si>
    <t>Packing
TRW-KIJANGK125PUASH
Pandu
+62 813-4471-1900</t>
  </si>
  <si>
    <t>tidak di kirim diambil sendiri pastikan aman
seperti saat kirim ke cargo</t>
  </si>
  <si>
    <t>pasang
LFW-VIOS13MU
+62 822-3104-7436
Yudha</t>
  </si>
  <si>
    <t>B4T1
1719</t>
  </si>
  <si>
    <t>08:00/09:00</t>
  </si>
  <si>
    <t>Pasang
LFW-SIGRA16MU dan LFW-INNOVA04MU
P. Kusmandar
+62 823-3411-1992</t>
  </si>
  <si>
    <t>Sigra : B1T1
Innova : A2T1</t>
  </si>
  <si>
    <t>PASANG
LFW-INNOVA04MU
+62 812-5288-8082
Ferry bramastu</t>
  </si>
  <si>
    <t>1,449,000 + 250 TR DISKON 49RB
Perum natura recidences cluster winterland blok E2 no 9
A2T1</t>
  </si>
  <si>
    <t>pasang
lfw-w211
+62 819-1331-1666
yudhi</t>
  </si>
  <si>
    <r>
      <rPr/>
      <t xml:space="preserve">  3.426.000  sdh dp 685.200 krg 2,740,800
tr 75k
</t>
    </r>
    <r>
      <rPr>
        <color rgb="FF1155CC"/>
        <u/>
      </rPr>
      <t>https://maps.app.goo.gl/pBKEyxTmagqGVRXB7</t>
    </r>
  </si>
  <si>
    <t>pasang 
LFW-RIO11XYG 
Maurice
+62 817-0306-0534</t>
  </si>
  <si>
    <t xml:space="preserve">  2.334.000  sdh dp 466.800 krg 1,867,200
</t>
  </si>
  <si>
    <t>PASANG
TRW-ALPHARD08BLACKFR
+62 812-3071-119
FAIRUZ FAHMI</t>
  </si>
  <si>
    <t>2,844,000
A1T3</t>
  </si>
  <si>
    <t>Pasang
SWR-SIGRA16MU
Bu Lidya
+62 822-4529-8962</t>
  </si>
  <si>
    <t>Rak B5T4
HARGA 429,000</t>
  </si>
  <si>
    <t>pasang
LFW-HILUX15MU
+62 823-2233-6608
Nizhar</t>
  </si>
  <si>
    <t>1800
B3T2</t>
  </si>
  <si>
    <t>pasang
FDR-INNOVA15ASH
+62 856-5706-7629
RISAL</t>
  </si>
  <si>
    <t>pasang
TRW-INNOVA04XYG
Fahreza Nugraha
+62 812-3600-1807</t>
  </si>
  <si>
    <t>Rak A3T3
1322</t>
  </si>
  <si>
    <t>10,30/11,00</t>
  </si>
  <si>
    <t>pasang
LFW-JAZZ13MU
+62 816-5447-687
melani</t>
  </si>
  <si>
    <t>B6T1
1657.000</t>
  </si>
  <si>
    <t>PASANG
LFW-QQ03MU
+62 853-3113-0518
ROFII</t>
  </si>
  <si>
    <t>1600
KACA AMBIL BGI</t>
  </si>
  <si>
    <t>PASANG
indra
+62 857-4803-8078
TRW-SIGRA16MU</t>
  </si>
  <si>
    <t>B1T3
899</t>
  </si>
  <si>
    <t>Pasang
LFW-SIGRA16MU
Farid
+62 853-3564-4401</t>
  </si>
  <si>
    <t>RAK B1T1
1.149.000</t>
  </si>
  <si>
    <t>08.00-10.00</t>
  </si>
  <si>
    <t>AMBIL KACA
FDR-SWIFT04
P. SUDIK
+62 812-8516-7897</t>
  </si>
  <si>
    <t>Ambil di suzuki kedungdoro</t>
  </si>
  <si>
    <t>PASANG
FDR-L300ASH
Kk Ricki
+62 858-4393-9992</t>
  </si>
  <si>
    <t>pasang
LFW-GRANMAXMU
+62 822-4563-9777
Sany Indrianto</t>
  </si>
  <si>
    <t>B8T1
1048</t>
  </si>
  <si>
    <t>PASANG
LFW-SIENTAXYG
+62 856-3098-972
KRISTANTO</t>
  </si>
  <si>
    <r>
      <rPr/>
      <t xml:space="preserve">A1T1
1,638,000
</t>
    </r>
    <r>
      <rPr>
        <color rgb="FF1155CC"/>
        <u/>
      </rPr>
      <t>https://maps.app.goo.gl/PL6uA2RNB7EZVgfm8</t>
    </r>
  </si>
  <si>
    <t>pasang
LFW-GRANMAXMU
+62 813-3214-5799
ERIC</t>
  </si>
  <si>
    <r>
      <rPr/>
      <t xml:space="preserve">1100 +PSNG FREE ONGKIR
B8T1
jl raya kendang sari blok 1 no 3 depan kpu
</t>
    </r>
    <r>
      <rPr>
        <color rgb="FF1155CC"/>
        <u/>
      </rPr>
      <t>https://maps.app.goo.gl/6GhZE1X3yC8GMQzB7</t>
    </r>
  </si>
  <si>
    <t xml:space="preserve">pasang
TRW-SIGRA16MU
+62 812-8886-3023
Vincen </t>
  </si>
  <si>
    <t>899
B1T3</t>
  </si>
  <si>
    <t>pasang
LFW-HIACEPIL
+62 812-4978-3393
BONDAN</t>
  </si>
  <si>
    <t>A12T1
1.6</t>
  </si>
  <si>
    <t>Pasang
LFW-L300MU
P. Burhan
+62 812-3274-6524</t>
  </si>
  <si>
    <t>RAK A14T2</t>
  </si>
  <si>
    <t>10.00-11.00</t>
  </si>
  <si>
    <t>Pasang
LFW-SPLASHMU
Rachmad Andreyanto
+62 819-9902-6095</t>
  </si>
  <si>
    <t>RAK B11T2
HARGA 1.995.000</t>
  </si>
  <si>
    <t>09.00</t>
  </si>
  <si>
    <t xml:space="preserve">pasang
lfw-granmaxmu
+62 853-3546-2505
</t>
  </si>
  <si>
    <t>b8t1
1048</t>
  </si>
  <si>
    <t>pasang
LFW-LIVINA07MU
+62 878-5553-8339
IQBAL</t>
  </si>
  <si>
    <t>B8T2
1422</t>
  </si>
  <si>
    <t>pasang
SRL-HIACEXYG
+62 823-3840-2222
SUMEKAR</t>
  </si>
  <si>
    <t>B3T3
1,410,00</t>
  </si>
  <si>
    <t>menyusul</t>
  </si>
  <si>
    <t>PASANG
LFW-TRAGAMU
+62 857-4889-6917
Supristiono.</t>
  </si>
  <si>
    <t>A13T2
1300</t>
  </si>
  <si>
    <t>14/08/2024 / 15/08/2024</t>
  </si>
  <si>
    <t>PASANG
TRW-INNOVA15XYG</t>
  </si>
  <si>
    <t>B2T3
1,319,000</t>
  </si>
  <si>
    <t>Pasang 
LFW-ALMAZXYG
P. Leo
+62 813-6867-5859</t>
  </si>
  <si>
    <t>Ambil di BGI 
Ke kurangan 1.908.000</t>
  </si>
  <si>
    <t>15.00</t>
  </si>
  <si>
    <t>pasang\
LFW-CRV07XYG
+62 812-5281-9090
imam</t>
  </si>
  <si>
    <t>B7T2
1902</t>
  </si>
  <si>
    <t>Pasang
LFW-DYNAMU
PT Mega Niaga Sejahtera
+62 811-8167-644</t>
  </si>
  <si>
    <t>RAK B14T2
1.300.000</t>
  </si>
  <si>
    <t>11.30</t>
  </si>
  <si>
    <t>Pasang
LFW-FREEDXYG
+62 814-5904-3862
Sunarsih</t>
  </si>
  <si>
    <t>Datang dri bgi B7T1
1.818.000
Sudah DP 363.600</t>
  </si>
  <si>
    <t>pasang
LFW-SIRION1
kamil
+62 895-3141-6465</t>
  </si>
  <si>
    <t>order bgi
1,668,000</t>
  </si>
  <si>
    <t>16/208/2024</t>
  </si>
  <si>
    <t>Pasang
TRW-AVANZA11MU
+62 822-3393-9972
Ibu Lina Sekrek UK Petra</t>
  </si>
  <si>
    <t>RAK B5T3
HARGA 880.000</t>
  </si>
  <si>
    <t>13.00 
keberangkatan dari
workshop</t>
  </si>
  <si>
    <t>Homeservice</t>
  </si>
  <si>
    <t>Pasang
LFW-GRANMAXMU
Yogi
+62 856-0611-9304</t>
  </si>
  <si>
    <t>RAK A8T1
HARGA 1.048.000</t>
  </si>
  <si>
    <t>Jasa bongkar pasang Hiace
Pak Ali
+62 817-0388-9696</t>
  </si>
  <si>
    <t>Bongkar pasang kaca depan
mobil hiace 
500.000</t>
  </si>
  <si>
    <t>pasang
LFW-BRV16MU
+62 823-3889-1755
Artiniwati</t>
  </si>
  <si>
    <t>1533000
B3T1</t>
  </si>
  <si>
    <t>pasang
TRW-INNOVA15HXYG
+62 811-397-400
Buyung</t>
  </si>
  <si>
    <t>1319
B2T3</t>
  </si>
  <si>
    <t xml:space="preserve">pasang
LFW-LIVINA07MU
+62 878-3300-8388
tedy
</t>
  </si>
  <si>
    <t>Pasang
LFW-OPTRAXYG
P. Aris
+62 821-3203-5352</t>
  </si>
  <si>
    <t>kaca yg baru datang dari bandung
Sudah dp 500rb, sisa pembayaran 1.797rb</t>
  </si>
  <si>
    <t>Pasang
TRW-INNOVA04XYG
P. Zainal
+62 823-3411-1992</t>
  </si>
  <si>
    <t>RAK A3T3
1.322</t>
  </si>
  <si>
    <t>Jasa bongkar pasang kaca depan baleno
Bu atin
+62 856-4578-3647</t>
  </si>
  <si>
    <t>PASANG
LFW-PICANTO11PIL
+62 857-4904-1004
IQBAL</t>
  </si>
  <si>
    <t>A8T1
2.268.000</t>
  </si>
  <si>
    <t>Pasang
LFW-DATSUNGOMU
Cahya
+62 821-3981-1693</t>
  </si>
  <si>
    <t>Rak B8T2
HARGA KACA : 1.370
KACA FILM : 350
DISKON 50RB</t>
  </si>
  <si>
    <t>pasang 
LFW-INNOVA04MU
+62 812-3423-2749
Suwantoro</t>
  </si>
  <si>
    <t xml:space="preserve">A2T1
1,449,000
</t>
  </si>
  <si>
    <t>pasang
LFW-CAMRY06RSXYG
Taufik 
+62 813-2300-0858</t>
  </si>
  <si>
    <t>B1T2
3,173,000</t>
  </si>
  <si>
    <t xml:space="preserve">PASANG
LFW-HIACEPIL
+62 813-3269-6518
Gereja Katolik keuskupan sby / Herusis
</t>
  </si>
  <si>
    <t>1600
A12T1</t>
  </si>
  <si>
    <t>Pasang 
LFW-AVANZA16MU
Pak Herman
+62 896-1226-7606</t>
  </si>
  <si>
    <t>B2T1
1070 + TRASNPORT
Western village a7/4
Masuk pondok benowo indah rel kereta 
belok kanan
Pak herman jual beli</t>
  </si>
  <si>
    <t>PASANG
LFW-SIENTAXYG
P. Reo
+62 813-3352-5998</t>
  </si>
  <si>
    <t xml:space="preserve">A1T1
</t>
  </si>
  <si>
    <t>08.30</t>
  </si>
  <si>
    <t>Pasang 
LFW-CRETAXYG
Bu. Siska
+62 821-4092-5758</t>
  </si>
  <si>
    <t xml:space="preserve">Ambil dari bgi dlu
2.400, sudah dp 100
</t>
  </si>
  <si>
    <t xml:space="preserve">Pasang
LFW-HILUX15MU
+62 812-3497-5140
Pak hendra kurniawan 
</t>
  </si>
  <si>
    <t>Alamat jalan desa pugeran gang 2 no 09 kecamatan gondang kabupaten mojokerto kode pos 61372
1812 + 100 TR
B3T2</t>
  </si>
  <si>
    <t>pasang
LFW-NAV07XYG
Josef
+62 813-5479-9200</t>
  </si>
  <si>
    <t>pasang
LFW-BRIOAGC
ari
+62 822-3128-8313</t>
  </si>
  <si>
    <t>1698000
B5T1</t>
  </si>
  <si>
    <t>pasang
LFW-TRAGAMU
CV. ARDENT / ADI PURWANTO 
c</t>
  </si>
  <si>
    <t>a13t2</t>
  </si>
  <si>
    <t xml:space="preserve">pasang
TRW-FORTUNER05BLACKXYG
+62 857-3383-3412
Rifki </t>
  </si>
  <si>
    <t>B9T3
2,250,000
sudah lunas pending pasang karena mau diketok megic</t>
  </si>
  <si>
    <t>Jasa Bongkar Pasang
Kaca depan Nissan Livina 2019
Louis
+62 819-9954-7123</t>
  </si>
  <si>
    <t>400Rb jasa pasang saja</t>
  </si>
  <si>
    <t>pasang
LFW-AGYA13MU
+62 813-3513-1395
DIMAS</t>
  </si>
  <si>
    <t>- Kaca depan berikut pemasangan Rp.1.015.000
- Kaca film standar kegelapan 40% Rp. 350.000
- Transport Rp.50.000
TOTAL = 1.415.000</t>
  </si>
  <si>
    <t>PASANG
LFW-AVANZA03MU + ganti karet list
+62 811-3330-341
RD. HERIBERTUS WINARTO</t>
  </si>
  <si>
    <t>B2T1
1070
275
tr free</t>
  </si>
  <si>
    <t>Pasang 
LFW-BRIOAGC + kaca film
Adi Kurniawan 
+62 858-2780-0443</t>
  </si>
  <si>
    <t>B5T1
1.698 + 350</t>
  </si>
  <si>
    <t>Pasang
LFW-AVANZA03MU
+62 895-3671-13416/+62 812-5217-7946
Andre</t>
  </si>
  <si>
    <t xml:space="preserve">1020
TR 50
</t>
  </si>
  <si>
    <t>Pasang 
RDL-CRV02ASH
Arif
+62 812-3598-5504</t>
  </si>
  <si>
    <t>B11T4
HARGA 550RB</t>
  </si>
  <si>
    <t>PASANG
TRW-BALENO96XYG
Ikhwan
+62 889-8973-7854</t>
  </si>
  <si>
    <t>1.293.000
Kaxa dikirim bgi jumat</t>
  </si>
  <si>
    <t>Pasang
LFW-BALENO08XYG
M. Susanto
+62 857-8595-1751</t>
  </si>
  <si>
    <t>B9T1
1,736,000</t>
  </si>
  <si>
    <t>pasang
TRW-T30FR
+62 899-3137-796
Budi subiantoro</t>
  </si>
  <si>
    <t>A5T3
2050</t>
  </si>
  <si>
    <t>pasang
LFW-CAMRY06XYG
+62 813-5715-0100
Gesha</t>
  </si>
  <si>
    <t>order kaca ke bgi
2,987,000</t>
  </si>
  <si>
    <t>pasang
LFW-ALMAZRSXYG
Muvida
+62 823-3727-3434</t>
  </si>
  <si>
    <t>Kaca order bgi
3100.000 dp 620.000 sisa 2.480.000</t>
  </si>
  <si>
    <t>pasang
TRW-PAJERO08XYG
+62 878-4114-8129
Bpk Roziq</t>
  </si>
  <si>
    <t>Pasang
TRW-GRANMAXVANMU
P. Wafiq
+62 813-9252-6728</t>
  </si>
  <si>
    <t>B8T3
799RB</t>
  </si>
  <si>
    <t>10.30</t>
  </si>
  <si>
    <t>PASANG
SRL-HIACEXYG
 Angga Satya Nugraha
+62 877-1488-1748</t>
  </si>
  <si>
    <t>B3T3
1.410.000</t>
  </si>
  <si>
    <t>15;00</t>
  </si>
  <si>
    <t>Pasang
LFW-JAZZ01MU
Yosi
+62 851-6110-1604</t>
  </si>
  <si>
    <t>B4T1
1648</t>
  </si>
  <si>
    <t>14.30
Keberangkatan dari
workshop</t>
  </si>
  <si>
    <t>pasang
LFW-PAJERO16
VALEN
+62 812-1655-9204</t>
  </si>
  <si>
    <t xml:space="preserve">- Orisinil Pabrik Mulia Glass: 1,580,000 B12T1
</t>
  </si>
  <si>
    <t>pasang
LFW-AVANZA11MU
DADANG
+62 852-3433-3888</t>
  </si>
  <si>
    <t>Pasang
TRW-XPANDERXYG
P. Antok
+62 821-8312-4949</t>
  </si>
  <si>
    <t>B14T3
950.000</t>
  </si>
  <si>
    <t>pasang
TRW-AVANZA11MU
Syahrul
+62 815-6767-0970</t>
  </si>
  <si>
    <t>kaca sudah dibawa tinggal dipasang
pembayaran sudah lunas</t>
  </si>
  <si>
    <t>pasang
LFW-CARRY19MU
Tedy himawan
+62 821-1772-8926</t>
  </si>
  <si>
    <t>1150
B10T1</t>
  </si>
  <si>
    <t>Pasang
LFW-FORTUNER05MU
Bpk. Pangbangle
+62 813-3655-6793</t>
  </si>
  <si>
    <t>B3T2
1492</t>
  </si>
  <si>
    <t>Pasang
LFW-VIOS02MU
Dian
+62 812-3489-5606</t>
  </si>
  <si>
    <t>B4T2
1455</t>
  </si>
  <si>
    <t>Pasang
TRW-FORTUNER05BLACKXYG
+62 812-2332-2554
P. Faid</t>
  </si>
  <si>
    <t>B9T3
2,2JT</t>
  </si>
  <si>
    <t>Pasang
LFW-AVANZA11MU
P. Mujib
+62 878-5528-8700</t>
  </si>
  <si>
    <t>B2T1
1120</t>
  </si>
  <si>
    <t>08.00</t>
  </si>
  <si>
    <t>Pasang
LFW-AVANZA03MU
Dwi Lanang
+62 819-1681-9194</t>
  </si>
  <si>
    <t>Ambil Kaca
LFW-AVANZA11MU
P. Muhammad Sohirin
+62 821-1695-0404</t>
  </si>
  <si>
    <t>B2T1
800</t>
  </si>
  <si>
    <t>Pasang
LFW-CONFEROMU
Abrori PRC MOTOR
+62 817-0048-111</t>
  </si>
  <si>
    <t>A8T1
1.600</t>
  </si>
  <si>
    <t>pasang
LFW-GRANMAXMU
+62 856-4565-3467
Matalim</t>
  </si>
  <si>
    <t>Pasang
LFW-VOXY17XYG
Pak Budi
+62 813-3075-8213</t>
  </si>
  <si>
    <t>a1t2
3,676,000</t>
  </si>
  <si>
    <t>Pasang
LFW-HRV22PIL
Pramudita
+62 822-3306-5129</t>
  </si>
  <si>
    <t>A2T2
3,7 + 100 TRANSPORT</t>
  </si>
  <si>
    <t>pasang
TRW-RUSH17HMU
62 812-5980-1095
Ornan</t>
  </si>
  <si>
    <t>1052000
B2T3</t>
  </si>
  <si>
    <t>Pasang
TRW-LIVINA07XYG
Reni
+62 813-4628-6905</t>
  </si>
  <si>
    <t>B10T3
1249</t>
  </si>
  <si>
    <t>Pasang
TRW-CRV12NONPXYG
Narendra
+62 812-9438-1579</t>
  </si>
  <si>
    <t>B6T3
1699</t>
  </si>
  <si>
    <t>jasa bongkar pasang
lfw-innova15mu
+62 877-8813-9979
Yudha</t>
  </si>
  <si>
    <t>450
oth transport 50</t>
  </si>
  <si>
    <t xml:space="preserve">Pasang
LFW-INNOVA04MSG
+62 813-5717-5556
Arvin Lingga
</t>
  </si>
  <si>
    <r>
      <rPr/>
      <t xml:space="preserve">Original Toyota: 2,640,000 A2T2
alamat Jalan Jawa Asri 1 no 22, Perum Puri Jawa Asri, GKB, Gresik
</t>
    </r>
    <r>
      <rPr>
        <color rgb="FF1155CC"/>
        <u/>
      </rPr>
      <t>https://maps.app.goo.gl/qdzK5S9j5i3TJpmr7?g_st=iw</t>
    </r>
  </si>
  <si>
    <t xml:space="preserve">done </t>
  </si>
  <si>
    <t>Ambil Kaca
LFW-AVANZA16MU
P. Muhammad Sohirin
+62 821-1695-0404</t>
  </si>
  <si>
    <t>B2T1
sealant A4 DN A5</t>
  </si>
  <si>
    <t>PASANG
LFW-XPANDERMU
+62 812-3289-204
P. Idi</t>
  </si>
  <si>
    <t>B13T1
1698</t>
  </si>
  <si>
    <t>pagi</t>
  </si>
  <si>
    <t>pasang
LFW-W169NRS
+62 877-7888-5136
Bp. Suprapto</t>
  </si>
  <si>
    <t xml:space="preserve">4.950.000 sdh dp 100.000
Ambil bgi 
</t>
  </si>
  <si>
    <t>Pasang
LFW-CIVIC96MU
P. Tikno
+62 813-6348-2316</t>
  </si>
  <si>
    <t>B7T2
1620</t>
  </si>
  <si>
    <t xml:space="preserve">PASANG
LFW-VIOS07MU
NUGRAHA
</t>
  </si>
  <si>
    <t>Pasang
LFW-BRIOMU
Dhimas
+62 822-2524-0746</t>
  </si>
  <si>
    <t>B5T1
1.542.000</t>
  </si>
  <si>
    <t>Done</t>
  </si>
  <si>
    <t>Pasang
TRW-INNOVA04XYG
Mifta
+62 857-3383-3099</t>
  </si>
  <si>
    <t>A3T3
1319</t>
  </si>
  <si>
    <t>Pasang
LFW-INNOVA15MU
P. David
+62 851-7328-8055</t>
  </si>
  <si>
    <t>A2T2
1764</t>
  </si>
  <si>
    <t>pasang
trw-freedxyg
+62 816-1525-9777
MMSPORT</t>
  </si>
  <si>
    <t>KACA DN JASA PASANG SUDAH LUNAS
TR 100K</t>
  </si>
  <si>
    <t>pasang
LFW-CRV05XYG
putra
+62 878-1705-0414</t>
  </si>
  <si>
    <t>pasang
TRW-STARGAZERXYG
+62 812-3400-978
Yusuf firmansyah</t>
  </si>
  <si>
    <t xml:space="preserve">1650.000 + 100TR 
KACA ORDER BGI </t>
  </si>
  <si>
    <t>HOMESERVICE</t>
  </si>
  <si>
    <t>Antar kaca 
LFW-BRIOMU
P. Ansori
+62 851-0058-2268</t>
  </si>
  <si>
    <t>b5t1</t>
  </si>
  <si>
    <t>driyorejo</t>
  </si>
  <si>
    <t>Pasang
TRW-BRIOXYG
Rere
+62 818-588-586</t>
  </si>
  <si>
    <t>A4T3
1318</t>
  </si>
  <si>
    <t>pasang
TRW-BIANTEBLACK
+62 819-9882-3888
Yasin Madura</t>
  </si>
  <si>
    <t>3,443,000
sdh dp 443.000</t>
  </si>
  <si>
    <t xml:space="preserve">pasang
TRW-HIACEBLACKXYG
+62 813-3269-6518
Gereja Katolik keuskupan sby / Herusis
</t>
  </si>
  <si>
    <t>A1T3
2.902.000
https://maps.app.goo.gl/woHK96tQAALcLBeTA
Jl. Polisi istimewa no 17</t>
  </si>
  <si>
    <t>Pasang
LFW-CRV12XYG
Agung
+62 857-3009-3008</t>
  </si>
  <si>
    <t>B7T1
1999+150 TRANSPORT</t>
  </si>
  <si>
    <t>Pasang 
LFW-SIGRA16MU
Gilang
+62 858-1414-0122</t>
  </si>
  <si>
    <t>kaca sudah dibawa 
1250 sudah lunas
direpair dulu menunggu setelah direpair</t>
  </si>
  <si>
    <t>19/09/2024
20/09/2024</t>
  </si>
  <si>
    <t>pasang
LFW-RUBICON18XYG
+62 812-1361-4765
Zidan chvavez.</t>
  </si>
  <si>
    <t>5461000 (DP 1.686.300)
TR 221500</t>
  </si>
  <si>
    <t>pasang
LFW-FORTUNER05MSG
+62 818-520-538
Gunadi</t>
  </si>
  <si>
    <t>2998000
A2T2</t>
  </si>
  <si>
    <t>PASANG
LFW-GRANMAXMU
 Budi Hartono
+62 821-3131-9275</t>
  </si>
  <si>
    <t>1100000
B8T1</t>
  </si>
  <si>
    <t>Pasang
LFW-PAJERO16AGC
P. Silan
+62 823-3177-1194</t>
  </si>
  <si>
    <t>A2T2
3299+150 TRANSPORT</t>
  </si>
  <si>
    <t>pasang
SWR-PANTHER
+62 822-3081-0121
jopan</t>
  </si>
  <si>
    <t>535,000
order kaca pjb</t>
  </si>
  <si>
    <t xml:space="preserve">pasang
LFW-MAZDA214RSXYG
+62 811-9001-852
Anton tri putranto
</t>
  </si>
  <si>
    <t>3,208,000 - diskon 3% = Rp. 3,111,760
Dp  Rp, 622,352 (Sisa 2,489,408)</t>
  </si>
  <si>
    <t>Pasang
LFW-CARRY19MU
P. Yogi
+62 813-3324-0098</t>
  </si>
  <si>
    <t>B10T1
1190+100 TRANSPORT</t>
  </si>
  <si>
    <t>pasang
TRW-ERTIGA12XYG
+6285704763450
Ana</t>
  </si>
  <si>
    <t>kaca aja 700 
sama pasang 900
B11T3</t>
  </si>
  <si>
    <t>Pasang 
LFW-AVANZA16MU
P. Dani
+62 856-9508-7004</t>
  </si>
  <si>
    <t>B2T1
1.120</t>
  </si>
  <si>
    <t>pasang
LFW-CRV07MU
+62 821-3168-4257
Trining/ Arina Hidayati</t>
  </si>
  <si>
    <t>1950000
B7T2</t>
  </si>
  <si>
    <t>Pasang
LFW-AGYA13MU
Hana
+62 821-2000-6417</t>
  </si>
  <si>
    <t>B1T1
1249</t>
  </si>
  <si>
    <t>Pasang
LFW-INNOVA04MSG
P. Mursidi
+62 878-8681-8000</t>
  </si>
  <si>
    <t>A2T2
2640</t>
  </si>
  <si>
    <t>pasang
LFW-APVMU
+62 813-3066-4213
Bapak Suharno Kedungadem Bojonegoro</t>
  </si>
  <si>
    <t>1,244,000
B12T2</t>
  </si>
  <si>
    <t>Pasang
LFW-INNOVA04MU
Abrori PRC MOTOR
+62 817-0048-111</t>
  </si>
  <si>
    <t>A2T1
1449+100 TRANSPOT</t>
  </si>
  <si>
    <t>pasang
LFW-SORENTOXYG
P. Gilang Trisnasswala        +62 851-5673-0977</t>
  </si>
  <si>
    <t xml:space="preserve"> kca 2.901.000 
  peti 160.000 
cargo 408.800 =3,490,800 dp (612.200)</t>
  </si>
  <si>
    <t>Pasang
LFW-PAJERO16RS1AGC
P. Armin
+62 851-5711-5872</t>
  </si>
  <si>
    <t>3922 
Ambil kaca dulu</t>
  </si>
  <si>
    <t>13.00/14</t>
  </si>
  <si>
    <t>Pasang
LFW-LANTISMU
P. Sueb
+62 812-3235-1828</t>
  </si>
  <si>
    <t>A4T2
1722+150 TRANSPORT</t>
  </si>
  <si>
    <t>pasang
TRW-INNOVA04XYG
'+62 857-3383-3099
P. Mifta</t>
  </si>
  <si>
    <t>Kaca sudah dibawa dan lunas sisa pasang</t>
  </si>
  <si>
    <t>pasang
LFW-HRV14PIL
+62 857-5575-3582
safa</t>
  </si>
  <si>
    <t xml:space="preserve">B6T2
3.056.000 
</t>
  </si>
  <si>
    <t>Pasang
LFW-XPANDERMU
P. Ismadiyanto
+62 897-8888-228</t>
  </si>
  <si>
    <t>B13T1
1.720</t>
  </si>
  <si>
    <t>10.00
Sebelum jumatan</t>
  </si>
  <si>
    <t>Pasang
TRW-INNOVA04HXYG
P. Arif
+62 858-5219-9477</t>
  </si>
  <si>
    <t>A3T3
1392</t>
  </si>
  <si>
    <t>pasang
Bu Lili
LFW-PAJERO16AGC
+62 856-4636-1989</t>
  </si>
  <si>
    <t>https://maps.app.goo.gl/55UiwqLYa5La3ad97
Eastwood 6 No.63
3299 + 75 TR</t>
  </si>
  <si>
    <t>Pasang
LFW-ERTIGA12MU
P. Trias Hartono
+62 812-3397-8667</t>
  </si>
  <si>
    <t>B11T1
1360</t>
  </si>
  <si>
    <t>pasang
LFW-CIVICGENIOXYG 
+62 857-7003-0087
Rizky Saktian Octaviyanto</t>
  </si>
  <si>
    <t xml:space="preserve">B5T2
</t>
  </si>
  <si>
    <t>Pasang
LFW-AVANZA11MU
P. John
+62 895-6317-95988</t>
  </si>
  <si>
    <t>A5T1
1020</t>
  </si>
  <si>
    <t>pasang 
TRW-FREEDXYG
Qusnul hadi
+62 813-3368-6833</t>
  </si>
  <si>
    <t>Pasang
FDR-HRV14PIL
Fifi
+62 821-1166-6817</t>
  </si>
  <si>
    <t>785.000
A10T4</t>
  </si>
  <si>
    <t>11.45 Sampai
lokasi</t>
  </si>
  <si>
    <t>pasang
TRW-AVANZA11MU
+62 812-1690-0152
Fais</t>
  </si>
  <si>
    <t>ak 900
no ak 880</t>
  </si>
  <si>
    <t>Pasang 
LFW-GRANMAXMU
Heri subandrio
+62 858-5391-7637</t>
  </si>
  <si>
    <t>1100
B8T1</t>
  </si>
  <si>
    <t>pasang
TRW-AVANZA11MU
+62 857-3206-6228
wahyu</t>
  </si>
  <si>
    <t>Pasang 
LFW-HRV14
Ibu Lena
+62 822-1111-5660</t>
  </si>
  <si>
    <t>10.00-
11.00</t>
  </si>
  <si>
    <t>Pasang
LFW-XPANDERMU
P. Ruswanto
+62 815-1501-8869</t>
  </si>
  <si>
    <t>1.800 B13T1</t>
  </si>
  <si>
    <t>Paking
TRW-AVANZA11MU
Serilus Pili Ito
085239813838</t>
  </si>
  <si>
    <t>Packing
TRW-FORTUNER05BLACKXYG
OTH-SERBY 5pcs
Toko Bajo variasi 
+62 812-3609-2077</t>
  </si>
  <si>
    <t>pasang
LFW-PANTHER00XYG
081330555528
B. iswanto</t>
  </si>
  <si>
    <t>1338
350 (Sudah dp 100)</t>
  </si>
  <si>
    <t xml:space="preserve">packing
LFW-XPANDER
</t>
  </si>
  <si>
    <t xml:space="preserve">Kirim expedisi </t>
  </si>
  <si>
    <t xml:space="preserve">lia
</t>
  </si>
  <si>
    <t>packing
Packing ya jd 1 peti
Lfw-datsungomu 1pc (B8T2)
Lfw-marchmu 1pc (B10T2)
Trw-livina07xyg 1pc (B10T3)
Fdl-carryash carry 1000 1pc (Ambil di jaya baru dulu besok)</t>
  </si>
  <si>
    <t>Pasang
LFW-GRANMAXMU
P. Halim
+62 878-5295-0062</t>
  </si>
  <si>
    <t>B8T1 1100+50 TRANSPORT</t>
  </si>
  <si>
    <t>09.00 
Sampai di lokasi</t>
  </si>
  <si>
    <t>Pasang
LFW-AVANZA16MU
P. David Kurniadi
+62 813-3312-5673</t>
  </si>
  <si>
    <t>order ke BGI
1.100</t>
  </si>
  <si>
    <t>PASANG
LFW-FE800
P.FEBY
+62 812-6603-6933</t>
  </si>
  <si>
    <t>1422
TR 50</t>
  </si>
  <si>
    <t xml:space="preserve">Packing
LFW-AVANZA16MU
</t>
  </si>
  <si>
    <t>750
160
50</t>
  </si>
  <si>
    <t>LFW-JUKEMU
Radit
+62 811-3227-6493</t>
  </si>
  <si>
    <t>2,032,000
150</t>
  </si>
  <si>
    <t xml:space="preserve">PASANG
LFW-SIGRA16MU
+62 821-4219-9433
PT. Sariguna Primatirta
</t>
  </si>
  <si>
    <t>1249
350 Kaca film</t>
  </si>
  <si>
    <t>pasang
LFW-SIGRA16MU
marjuki
+62 858-2617-1405</t>
  </si>
  <si>
    <t>1199
B1T1</t>
  </si>
  <si>
    <t>pasang
LFW-AGYA13MU
SISCA
+62 815-1518-4471</t>
  </si>
  <si>
    <t>1115
B1T1</t>
  </si>
  <si>
    <t>pasang
TRW-ESTILO
Eddo yunianto purnomo
+62 813-3006-8899</t>
  </si>
  <si>
    <t xml:space="preserve">pasang
LFW-SIGRA14MU
+62 819-0102-0205
Yogi Adityo
</t>
  </si>
  <si>
    <t>1149
b1t1</t>
  </si>
  <si>
    <t>pasang
P. Hari
LFW-C26XYG
'+62 813-3346-6604</t>
  </si>
  <si>
    <t>2754000
sudah dp 550800</t>
  </si>
  <si>
    <t>LFW-BALENO08XYG
Pak. Nur
085855104263</t>
  </si>
  <si>
    <t>1736
b9t1</t>
  </si>
  <si>
    <t>Pasang
LFW-INNOVA04MSG
Lestari
+62 812-3022-773</t>
  </si>
  <si>
    <t>PASANG
TRW-INNOVA04HXYG
+62 857-3190-0009
habibi</t>
  </si>
  <si>
    <t>B3T1
1,442,00</t>
  </si>
  <si>
    <t>10:00/11:00</t>
  </si>
  <si>
    <t>pasang
LFW-AVANZA16MU
+62 822-2866-7977
Daniel</t>
  </si>
  <si>
    <t>1020 
b2t1</t>
  </si>
  <si>
    <t>Pasang
TRW-HIACE19
P. Fuad
+62 812-5278-8208</t>
  </si>
  <si>
    <t>Ambil ke BGI
3.002.000</t>
  </si>
  <si>
    <t>Pasang 
TRW-TERIOS06HOLEXYG
P. Faris 
+62 857-3238-6136</t>
  </si>
  <si>
    <t>1005
B2T3</t>
  </si>
  <si>
    <t>pasang
LFW-CARRY1000
Bunda ifa
+62 856-4907-1407</t>
  </si>
  <si>
    <t>1050 tr 100
ambil kaca ke pjb</t>
  </si>
  <si>
    <t>Pasang
LFW-ALPHARD02PIL
P. David
+62 818-371-202</t>
  </si>
  <si>
    <t>A1T1
Sudah dp kaca 1365 sisa 3187
Sudah dp list atas 329.500 sisa 455.500</t>
  </si>
  <si>
    <t>pasang
LFW-DMAX1MU
P. Azis
+62 813-3058-5700</t>
  </si>
  <si>
    <t>1789
ambil kaca bgi</t>
  </si>
  <si>
    <t>Pasang
LFW-PAJERO16MU
P. Umar
+62 822-2821-7877</t>
  </si>
  <si>
    <t>1680 B12T1</t>
  </si>
  <si>
    <t>Pasang
trw-panther00ash
P. Jazuli
+62 823-3390-0295</t>
  </si>
  <si>
    <t>SUDAH LUNAS KE BODY REPAIR DULU BARU DIPASANG KEMBALI</t>
  </si>
  <si>
    <t>Pasang
LFW-SIGRA16MU
P. Minto
+62 858-8888-5282</t>
  </si>
  <si>
    <t>B1T1
1.149 tanpa kaca film
1.449 dengan kaca fllm</t>
  </si>
  <si>
    <t>pasang
TRW-XPANDERXYG
+62 812-3497-2820
YANTO</t>
  </si>
  <si>
    <t>950000
B14T3</t>
  </si>
  <si>
    <t>PASANG
TRW-AGYA13ASH
P. Kanto
+62 812-8173-6244</t>
  </si>
  <si>
    <t>890
B2T3</t>
  </si>
  <si>
    <t>Pasang
LFW-LIVINA07MU
P. Gondo
+62 821-4055-1212</t>
  </si>
  <si>
    <t>pasang
lfw-granmaxmu
Ninio
+62 823-2230-0350</t>
  </si>
  <si>
    <t>b8t1
1100</t>
  </si>
  <si>
    <t>pasang
LFW-TERRA18RSXYG
 H.Syaiful
+62 813-5713-8929</t>
  </si>
  <si>
    <t>B10T2
3360 (DP 640)
CARGO 360</t>
  </si>
  <si>
    <t>Pasang
LFW-FORTUNER05MSG
Pak Supriyanto
+62 853-3074-0302</t>
  </si>
  <si>
    <t>A2T2
2998</t>
  </si>
  <si>
    <t>pasang
LFW-ELFNMRXYG
ADAM
+62 857-0804-7525</t>
  </si>
  <si>
    <t>1464000
A13T1</t>
  </si>
  <si>
    <t>15:00/16:00</t>
  </si>
  <si>
    <t>Pasang
LFW-GRANMAXMU
P. Roy 
+62 811-3693-756</t>
  </si>
  <si>
    <t>B8T1
1020</t>
  </si>
  <si>
    <t>10.00/11.00</t>
  </si>
  <si>
    <t xml:space="preserve">pasang
LFW-INNOVA15AGC
+62 822-3341-8017
Bambang Adiyanto
</t>
  </si>
  <si>
    <t> 2.988.000
a2t2</t>
  </si>
  <si>
    <t xml:space="preserve">pasang
LFW-HIACEPIL
+62 822-8299-8849
Hari Mulyo
</t>
  </si>
  <si>
    <t>Pasang
LFW-SPINMU
Agus Sutiono
+62 813-3639-2900</t>
  </si>
  <si>
    <t>A9T2
1750</t>
  </si>
  <si>
    <t>Pasang
LFW-W212RS2FR
P. Sean
+62 878-5777-8866</t>
  </si>
  <si>
    <t>A8T2
4.600 FREE transport</t>
  </si>
  <si>
    <t>Pasang
LFW-PAJERO08MU
P. David
+62 899-3300-123</t>
  </si>
  <si>
    <t>B14T1
1.800</t>
  </si>
  <si>
    <t>09.00 
Keberangkatan dari
workshop</t>
  </si>
  <si>
    <t xml:space="preserve">pasang
LFW-CITY02MU
GUNAWAN
+62 838-3000-9251
</t>
  </si>
  <si>
    <t>2148000
B5T1</t>
  </si>
  <si>
    <t>Pasang
LFW-AVANZA16MU
P. Yuda
+62 823-2648-6144</t>
  </si>
  <si>
    <t>B2T1
1.020</t>
  </si>
  <si>
    <t>pasang
LFW-CRV02XYG
Agus Budi Utomo
+62 853-3657-8362</t>
  </si>
  <si>
    <t>B7T2
1.882.000</t>
  </si>
  <si>
    <t>Pasang
LFW-RANGER04MU
P. Andy 
+62 822-4488-0314</t>
  </si>
  <si>
    <t>A3T2
1.450</t>
  </si>
  <si>
    <t xml:space="preserve">PASANG
LFW-CITY19
+62 813-3090-3838
Bpk. Arya
</t>
  </si>
  <si>
    <t>2.922.000 sdh dp 100
tunggu kirim bgi besok</t>
  </si>
  <si>
    <t>Pasang
FDR-AVANZA11ASH
P. Habib
+62 813-3429-3323</t>
  </si>
  <si>
    <t>550
A11T3</t>
  </si>
  <si>
    <t>Pasang
LFW-ESTEEMMU
P. Lavisar
+62 831-6305-0069</t>
  </si>
  <si>
    <t>Kaca ambil di bgi
1660
free transport</t>
  </si>
  <si>
    <t>pasang
Fahrurazie
LFW-XU30XYG
'+62 813-3161-2713</t>
  </si>
  <si>
    <t xml:space="preserve">  4.365.000 dp 436.500</t>
  </si>
  <si>
    <t>10:00/12:00</t>
  </si>
  <si>
    <t xml:space="preserve">PASANG
LFW-HRV14
+62 812-3551-4016
Agung prabowo
</t>
  </si>
  <si>
    <t xml:space="preserve">- Orisinil pabrik Rp.2.156.000 
- Orisinil Honda Rp.3.106.000 </t>
  </si>
  <si>
    <t>pasang
TRW-HRV14XYG
+62 813-3438-7434
AFANDI</t>
  </si>
  <si>
    <t>1,365,000
AMBIL KACA BGI</t>
  </si>
  <si>
    <t>pasang
TRW-BIANTEXYG
'+62 857-7577-0222
Putri Kartika Sari</t>
  </si>
  <si>
    <t>3443000
TR 100</t>
  </si>
  <si>
    <t>PASANG
LFW-HILUX15MU
+62 812-3497-779
Bryan</t>
  </si>
  <si>
    <t>Pasang
LFW-AVANZA03MU
Adi
+62 857-4574-5177</t>
  </si>
  <si>
    <t>1050
B2T1</t>
  </si>
  <si>
    <t>PASANG
LFW-CORTEZXYG
+62 812-3540-0989
P. Didit</t>
  </si>
  <si>
    <t>2,187,000</t>
  </si>
  <si>
    <t>pasang
LFW-VIOS07MU
Mahrus
+62 878-5688-6113</t>
  </si>
  <si>
    <t>B4T2
1.483.000</t>
  </si>
  <si>
    <t>Pasang/jasa bongkar
LFW-AGYAMU
P. Rendy
+62 838-2443-2125</t>
  </si>
  <si>
    <t>B1T1
1020/400</t>
  </si>
  <si>
    <t xml:space="preserve">PASANG
LFW-AVANZA03MU
+62 813-4641-9154
Dwi Listiono
</t>
  </si>
  <si>
    <t>1020
B2T1</t>
  </si>
  <si>
    <t>Pasang
LFW-INNOVA04MU/ LFW-INNOVA04MSG
P. Arie
+62 812-1608-8088</t>
  </si>
  <si>
    <t>A2T1/A2T2
1449/2640</t>
  </si>
  <si>
    <t>Pasang
LFW-AVANZA16MU
P. H. Haidar
+62 819-9900-1002</t>
  </si>
  <si>
    <t>1120
B2T1</t>
  </si>
  <si>
    <t>PASANG
TRW-AVANZA03XYG
Rino rahardian
+62 857-8426-4351</t>
  </si>
  <si>
    <t>880
B4T3</t>
  </si>
  <si>
    <t>pasang
FDR-FORTUNER15AGC
+62 812-9126-0487
P. Azis</t>
  </si>
  <si>
    <t>756
ambil kaca</t>
  </si>
  <si>
    <t>13:00-15:00</t>
  </si>
  <si>
    <t>Pasang
TRW-XPANDERH
P. Choirul
+62 831-2927-2000</t>
  </si>
  <si>
    <t>Ambil di BGI
980</t>
  </si>
  <si>
    <t>14.00/15.00</t>
  </si>
  <si>
    <t>Pasang 
LFW-SIGRA16MU
P. Dany
+62 821-1859-7754</t>
  </si>
  <si>
    <t>1249
B1T1</t>
  </si>
  <si>
    <t xml:space="preserve">Pasang
LFW-W222XYG
+62 812-3546-923
Autohaus Prapen
</t>
  </si>
  <si>
    <t>12.718.000
Jasa pasang 950
sudah dp 5.000
alat2 harus lengkap, bawa fender
pemasangan yang bagus dan rapi</t>
  </si>
  <si>
    <t>Pasang
TRW-LIVINA07PIL
P. Yusni
+62 812-1783-0913</t>
  </si>
  <si>
    <t>kaca baru datang dari rajawali
1620</t>
  </si>
  <si>
    <t>Pasang
LFW-GRANMAXMU + Kaca film
P. HENDRY
+62 858-1386-7709</t>
  </si>
  <si>
    <t>1450 dengan kaca film
B8T1</t>
  </si>
  <si>
    <t xml:space="preserve">RUDI
FDR-ELFNKRASH
+62 822-3008-7011
PASANG
</t>
  </si>
  <si>
    <t>A6T3
hrga  465.000</t>
  </si>
  <si>
    <t xml:space="preserve">Lutfi
TRW-ALPHARD02
+62 819-3828-9412
</t>
  </si>
  <si>
    <t>ORDER KACA BGI/RJG
3300</t>
  </si>
  <si>
    <t xml:space="preserve">pasang
LFW-FE300
+62 822-3102-2332
Muhammad Gus Wahyu
</t>
  </si>
  <si>
    <t xml:space="preserve">jadi ambil kaca sja </t>
  </si>
  <si>
    <t xml:space="preserve">JASA BONGKAR PASANG
kaca depan traga
+62 813-3187-7553
Sri Mamabear
</t>
  </si>
  <si>
    <t xml:space="preserve">     </t>
  </si>
  <si>
    <t>PASANG
TRW-LIVINA07PIL
+62 812-1783-0913
P. Yusni</t>
  </si>
  <si>
    <t>1620 SDH DP 324
kaca tunggu rjg ready</t>
  </si>
  <si>
    <t xml:space="preserve">pasang
+62 877-0206-0863
hakim
LFW-AVANZA11MU / LFW-AVANZA15MU </t>
  </si>
  <si>
    <t>LFW-AVANZA11MU / LFW-AVANZA15MU 
1.120.000 disc jadi 1.050.000</t>
  </si>
  <si>
    <t>pasang
sw sigra16mu
Janoko
+62 858-4789-6459</t>
  </si>
  <si>
    <t>B5T4
450</t>
  </si>
  <si>
    <t>pasang
LFW-PANTHER00XYG
Heroe Tjahjopramono
+62 813-3137-3643</t>
  </si>
  <si>
    <t>Pasang
LFW-JAZZ13PIL
ANI
+62 819-3459-4888</t>
  </si>
  <si>
    <t>2590
A2T2</t>
  </si>
  <si>
    <t>pasang
LFW-AGYA13MU
YOCKE/Ferlytha 
+62 821-3308-0911/081331888688</t>
  </si>
  <si>
    <t>B1T1
1115</t>
  </si>
  <si>
    <t xml:space="preserve">jasa bongkar pasang
granmax
+62 823-3799-8243
Indra Harjono
</t>
  </si>
  <si>
    <t>pasang
LFW-YARIS05MU
+62 856-3361-482
Rey</t>
  </si>
  <si>
    <t>1588000
B3T1</t>
  </si>
  <si>
    <t>jasa bongkar pasang
kaca belakang hiace
Bu Ita
+62 811-330-185</t>
  </si>
  <si>
    <t>Ambil kaca saja
LFW-COROLLA95XYG
P. Rohiem
+62 856-0700-7789</t>
  </si>
  <si>
    <t>1589
DIAMBIL DI BGI</t>
  </si>
  <si>
    <t>13.00/ Setelah
dzuhur</t>
  </si>
  <si>
    <t>pasang
LFW-CROSSXYG
P. David khalik
'+62 856-0777-4888</t>
  </si>
  <si>
    <t xml:space="preserve">pasang
LFW-FORTUNER15
+62 813-4965-9888
Ibu fitri / Bp Parlin
</t>
  </si>
  <si>
    <t>2998
order mitra</t>
  </si>
  <si>
    <t>Pasang
TRW-AGYA13ASH
P. Rio
+62 877-5300-7764</t>
  </si>
  <si>
    <t>890
ambil di jaya baru</t>
  </si>
  <si>
    <t>pasang
LFW-GRANMAXMU
+62 878-8273-3855
Indra</t>
  </si>
  <si>
    <t>1048
b8t1</t>
  </si>
  <si>
    <t>pasang
LFW-TIMORMU
Dhaniel Paundra
+62 881-0363-42670</t>
  </si>
  <si>
    <t>ORDER BGI
1600</t>
  </si>
  <si>
    <t>Pasang
TRW-T32XYG
P. Owen
+62 822-4477-9288</t>
  </si>
  <si>
    <t>B10T3
2650</t>
  </si>
  <si>
    <t>pasang
TRW-C24XYG
+62 821-1546-6619
BUDI</t>
  </si>
  <si>
    <t>Pasang 
LFW-CITY02XYG
Ibu Apriana
+62 813-3027-3482</t>
  </si>
  <si>
    <t>2148
B5T1</t>
  </si>
  <si>
    <t>pasang
TRW-KIJANGASH
+62 813-3218-7668
P Rouf</t>
  </si>
  <si>
    <t>965.000
tr 75
ambil kaca pjb</t>
  </si>
  <si>
    <t xml:space="preserve">pasang
LFW-TATAACEXYG
+62 812-1648-0758
Pak Stefans
</t>
  </si>
  <si>
    <t>1.480.000 
AMBIL BGI</t>
  </si>
  <si>
    <t>LFW-LIVINA07MU
P. Joni
081703672342</t>
  </si>
  <si>
    <t>1422
B8T2</t>
  </si>
  <si>
    <t>TRW-PANTHER00SEALASH
Yesaya 
+62 819-9988-5606</t>
  </si>
  <si>
    <t>B11T3
850.000</t>
  </si>
  <si>
    <t xml:space="preserve">+62 858-3123-5000
TRW-RUSH17HMU
</t>
  </si>
  <si>
    <t>1052
250</t>
  </si>
  <si>
    <t>+62 812-3088-585
ANDI
LFW-SANTAFE12XYG</t>
  </si>
  <si>
    <t>pasang
LFW-XPANDERAGC
+62 812-3065-3937
Joustian </t>
  </si>
  <si>
    <t>AMBIL KACA DITBM
2850</t>
  </si>
  <si>
    <t>pasang
+62 822-3365-1500
elvin
LFW-SIENTAXYG</t>
  </si>
  <si>
    <t>1688000
A1T1</t>
  </si>
  <si>
    <t>Pasang
LFW-AVANZA03MU
Bapak Johari
+62 813-2573-1353</t>
  </si>
  <si>
    <t>harga 1098 + 150 transport
B2T1</t>
  </si>
  <si>
    <t>pasang
LFW-CITY02MU
+62 851-5502-5590
Eky Laksono</t>
  </si>
  <si>
    <t xml:space="preserve">B5T1
</t>
  </si>
  <si>
    <t>Pasang
LFW-GRANMAXMU
P. Erfan
+62 858-1588-1880</t>
  </si>
  <si>
    <t>12.00 ESTIMASI</t>
  </si>
  <si>
    <t>pasang
LFW-YARIS05MU
+62 822-3270-2184
Hiriyanto</t>
  </si>
  <si>
    <t>B3T1
1.588.000</t>
  </si>
  <si>
    <t>pasang
TRW-AVANZA03XYG
+62 815-5012-504
Jurianto</t>
  </si>
  <si>
    <t xml:space="preserve">880 +160
</t>
  </si>
  <si>
    <t>pasang
+62 859-5676-2189
Rony Chandra 
LFW-AVANZA03MU</t>
  </si>
  <si>
    <t>B2T1
1050</t>
  </si>
  <si>
    <t>perbaikan bocor (garansi )
LFW-AVANZA03MU
Bapak Johari
+62 813-2573-1353</t>
  </si>
  <si>
    <t>pasang
TRW-F30FY
+62 812-3686-9988
P. Richard</t>
  </si>
  <si>
    <t>sisa bayar jasa bongkar pasang 450rb</t>
  </si>
  <si>
    <t>PASANG
TRW-PAJERO08XYG
P. Nurdin
+62 812-3179-5719</t>
  </si>
  <si>
    <t>1755
B9T3</t>
  </si>
  <si>
    <t xml:space="preserve">jasa cek bocor seal ulang lfw-confero
+62 813-3567-8484
Candra </t>
  </si>
  <si>
    <t>pasang
LFW-SIGRA16MU
+62 878-5204-4400</t>
  </si>
  <si>
    <t>B1T1
1200</t>
  </si>
  <si>
    <t>pasang
LFW-GRANMAXAGC
+62 895-2669-4525
ARIF</t>
  </si>
  <si>
    <t>1587
AMBIL KACA MITRA</t>
  </si>
  <si>
    <t>+62 821-4198-6158
agung
TRW-SIGRA16MU</t>
  </si>
  <si>
    <t>B1T3
950</t>
  </si>
  <si>
    <t xml:space="preserve">pasang
trw-ertiga18h
+62 822-3210-2039
Harjo </t>
  </si>
  <si>
    <t>1350
ambil kaca smm</t>
  </si>
  <si>
    <t>PASANG
TRW-INNOVA04AGC
+62 878-5777-8866
Pak Juwana/ Pak. Sean</t>
  </si>
  <si>
    <t>2000jt</t>
  </si>
  <si>
    <t>pasang
+62 818-0511-1555
Paulina
LFW-PANTHER00XYG</t>
  </si>
  <si>
    <t>1338
A13T2</t>
  </si>
  <si>
    <t>pasang
LFW-BRV22ASH
+62 812-1710-3208</t>
  </si>
  <si>
    <t>pasang
TRW-BRV16XYG
+62 821-3990-4896
Jojo</t>
  </si>
  <si>
    <t>1411
50 TR</t>
  </si>
  <si>
    <t>pasang
LFW-FORTUNER15AGC +  RDL-FORTUNER15ASH
+62 822-4426-5747</t>
  </si>
  <si>
    <t>RDL A12T4
LFW B3T2</t>
  </si>
  <si>
    <t>pasang
+62 811-3080-357
LFW-W204RSXYG
Bu Arinda Hadi</t>
  </si>
  <si>
    <t>pasang 
Adi Nugroho
LFW-INNOVA15AGC
+62 859-3664-9009</t>
  </si>
  <si>
    <t>PACKING
LFW-CIVIC05PIL
'+62 812-3209-9981
+62 812-3078-4982</t>
  </si>
  <si>
    <t>pak gatot Sugianto bengkel cat mobil cahaya motor.jalan Kendedes 7 kecamatan Singosari kabupaten malang</t>
  </si>
  <si>
    <t>pasang
TRW-HIACE19XYG
+62 812-4904-0151
ARIEF</t>
  </si>
  <si>
    <t>3005
A1T3</t>
  </si>
  <si>
    <t>pasang
LFW-TERIOS06MU
SAMUEL
+62 821-3478-0409</t>
  </si>
  <si>
    <t>1448
200TR
B3T2</t>
  </si>
  <si>
    <t>kirim kaca LFW-RANGER11RSXYG</t>
  </si>
  <si>
    <t>https://maps.app.goo.gl/LwL7KHoPbthAjjqj6
TR 100</t>
  </si>
  <si>
    <t>FDR-SIGRA16MU
Evan
+62 817-5090-027</t>
  </si>
  <si>
    <t>500
B9T4</t>
  </si>
  <si>
    <t xml:space="preserve">pasang
LFW-SIGRA16MU
+62 853-6283-4542
Afizan Haris Pratama 
</t>
  </si>
  <si>
    <t>pasang
LFW-APVMU
+62 857-3307-6140
Nyoto</t>
  </si>
  <si>
    <t>B12T2
1244</t>
  </si>
  <si>
    <t>pasang 
LFW-AVANZA11MU
Budi
+62 811-353-507</t>
  </si>
  <si>
    <t>pasang
LFW-CAMRY06XYG
+62 816-5401-991
Kuncoro</t>
  </si>
  <si>
    <t>2950
a1t2</t>
  </si>
  <si>
    <t>pasang
TRW-AGYA13ASH
Juniarto
+62 813-3191-3555</t>
  </si>
  <si>
    <t>890
B4T3</t>
  </si>
  <si>
    <t>pasang
TRW-SIGRA16MU
Agung indra jaya
+62 878-5380-0480</t>
  </si>
  <si>
    <t>950
B1T3</t>
  </si>
  <si>
    <t>pasang
LFW-JAZZ07AGC
DARSONO
+62 812-3573-7367</t>
  </si>
  <si>
    <t>3288
Ambil benua</t>
  </si>
  <si>
    <t>pasang
+62 822-2841-6483
bagus 
swl-fortuner15ash</t>
  </si>
  <si>
    <t>20/12-/2024</t>
  </si>
  <si>
    <t>pasang 
+62 822-4444-2151
Bu Theresia Setyowati
LFW-SIGRA16MU</t>
  </si>
  <si>
    <t>1150
75</t>
  </si>
  <si>
    <t xml:space="preserve">pasang
+62 821-3199-6999
LFW-BRIOAGC
Taufik (UD. CITRA MOTOR)
</t>
  </si>
  <si>
    <t>1748 , TR 100</t>
  </si>
  <si>
    <t>LFW-VIOS02MU
082257397980
P.Anton</t>
  </si>
  <si>
    <t>B4T2
1455
TR 50 LUNAS
GRAHA ASRI SAMBI KEREP</t>
  </si>
  <si>
    <t xml:space="preserve">pasang
+62 812-4984-6880
LFW-AVANZA11MU
P.Agus
</t>
  </si>
  <si>
    <t>1100
B5T1</t>
  </si>
  <si>
    <t>PASANG
+62 812-5290-7267
LFW-XPANDERMU
P. Yoyok</t>
  </si>
  <si>
    <t>1800
b13t1</t>
  </si>
  <si>
    <t>pasang
+62 821-4398-9474
Firman
LFW-SIGRA16MU</t>
  </si>
  <si>
    <t>pasang
+62 823-3563-4162
dana
TRW-VIOS02XYG</t>
  </si>
  <si>
    <t>1,556,000
AMBIL BGI</t>
  </si>
  <si>
    <t>pasang
+62 812-5928-3391
haidar
LFW-SWIFT04XYG</t>
  </si>
  <si>
    <t> 1.694.000 
100 lmbr</t>
  </si>
  <si>
    <t>Pasang
LFW-AVANZA16MU
P. Yas Ulum
+62 812-1777-7199</t>
  </si>
  <si>
    <t>Pasang
LFW-BRIOAGC
Kafil
+62 859-6433-1362</t>
  </si>
  <si>
    <t>B5T1
1.748</t>
  </si>
  <si>
    <t>13.00/14.00</t>
  </si>
  <si>
    <t>Ambil kaca saja
LFW-AVANZA16MU
BP. Sofian
+62 813-5708-8554</t>
  </si>
  <si>
    <t>Pasang
LFW-CONFERO
P. Khoiri
+62 812-3207-7786</t>
  </si>
  <si>
    <t>1.540
ambil di bgi</t>
  </si>
  <si>
    <t>Pasang
TRW-AVANZA11MU
Anna
+62 819-1698-2021</t>
  </si>
  <si>
    <t>880 diskon 850
B5 T3</t>
  </si>
  <si>
    <t>pasang
LFW-CX5GEN1RSXYG
P. Antok
+62 812-3036-6252</t>
  </si>
  <si>
    <t>3,376,000
A4T1</t>
  </si>
  <si>
    <t>Pasang
SWL-FEROZA
Jufri
+62 823-3277-7863</t>
  </si>
  <si>
    <t>500
Ambil kedungdoro</t>
  </si>
  <si>
    <t xml:space="preserve">
VW Tiguan depan saja
Andy
+62 812-2662-2211</t>
  </si>
  <si>
    <t>1.000.000 free trasnport</t>
  </si>
  <si>
    <t>09.00
keberangkatan
dari workshop</t>
  </si>
  <si>
    <t>Jasa bongkar pasang
kaca belakang jazz 2012
Restu Ardian
+62 812-5989-9201</t>
  </si>
  <si>
    <t>450rb
sudah diinfokan regulasi</t>
  </si>
  <si>
    <t xml:space="preserve">pasang
TRW-ESCUDO00MU
LFW-ESCUDO00MU
+62 831-3469-8825
Fikri Firmansyah
</t>
  </si>
  <si>
    <t>Berikut kami rincikan ka
- Kaca depan berikut pemasangan Rp,1.830.000 
- Kaca belakang berikut pemasangan Rp,1,873,000
- Transport Rp,100.000
Total = Rp,3,803,000
KACA  TRW  ORDER BGI</t>
  </si>
  <si>
    <t>Pasang 
TRW-T30FR
P. Izol
+62 813-3158-1644</t>
  </si>
  <si>
    <t>2050
A5T3</t>
  </si>
  <si>
    <t>pasang
+62 856-4840-5275
Bagus April Febrianti
LFW-RUSH17MU</t>
  </si>
  <si>
    <t>13:00/15:00</t>
  </si>
  <si>
    <t>Pasang
TRW-VOXYXYG
Solid Garage
+62 878-5360-6660</t>
  </si>
  <si>
    <t>kaca bru datang
sudah dp 1jt
sisa bayar 2.035.000 + cargo 300rb</t>
  </si>
  <si>
    <t>Pasang
RDL-TERIOS06ASH
P. Walid
+62 822-4592-3284</t>
  </si>
  <si>
    <t>A12T4
550RB</t>
  </si>
  <si>
    <t>Pasang
LFW-AGYA13MU
P. Hamzah
+62 852-3692-0742</t>
  </si>
  <si>
    <t>B1 T1
1.115.000</t>
  </si>
  <si>
    <t>Pasang
LFW-CX9GEN1XYG
P. Rozaq
+62 812-3008-2599</t>
  </si>
  <si>
    <t>Kaca ambil di BGI
5.440</t>
  </si>
  <si>
    <t xml:space="preserve">pasang
TRW-ALMAZXYG
+62 896-5156-3133
Gatut Ilham Pratama 
</t>
  </si>
  <si>
    <t>B13T3
1519 + 75 TR</t>
  </si>
  <si>
    <t>27/28/12/2024</t>
  </si>
  <si>
    <t xml:space="preserve">LFW-SIGRA16MU
+62 859-1812-28377
Akhmad </t>
  </si>
  <si>
    <t>Pasang
TRW-LUXIODAIHATSU
Dr. Wisnu/ Dr Latifah
081333233213</t>
  </si>
  <si>
    <t>B8 T3
1050</t>
  </si>
  <si>
    <t>pasang
LFW-W204RSFY
P. Eddy Taufiq
+62 811-316-747</t>
  </si>
  <si>
    <t>a8t2</t>
  </si>
  <si>
    <t>pasang
+62 812-1678-636
TRW-ALTIS06XYG
P. Sigit Widjaya</t>
  </si>
  <si>
    <t>214 cargo ( total sisa pembayaran 2,882)</t>
  </si>
  <si>
    <t>pasang
+62 896-8338-2220
P. Sucahyo
RDR-PICANTO04FY</t>
  </si>
  <si>
    <t>Pasang
TRW-AVANZA11MU
P. Andrew
+62 822-2822-2936</t>
  </si>
  <si>
    <t>B5T3
900RB</t>
  </si>
  <si>
    <t>pasang
+62 878-1524-6380
TRW-HRV14XYG
P. wildan</t>
  </si>
  <si>
    <t xml:space="preserve">1365000
B5T3 </t>
  </si>
  <si>
    <t>08.00/09.00</t>
  </si>
  <si>
    <t>Jasa Pasang 
Kaca depan Terios 2016
Bpk. Ricky
+62 813-5719-0220</t>
  </si>
  <si>
    <t>450rb</t>
  </si>
  <si>
    <t xml:space="preserve">pasang
TRW-SPORTAGE10S
+62 812-3227-209
Fatkhur Rozaq
</t>
  </si>
  <si>
    <t>2,970,000
AMBIL KACA BGI</t>
  </si>
  <si>
    <t>Perbaikan List
P. darsono
+62 812-3573-7367</t>
  </si>
  <si>
    <t>list sudah beli yg baru</t>
  </si>
  <si>
    <t>PASANG
LFW-AVANZA16MU
+62 838-3993-6603
ANDREW</t>
  </si>
  <si>
    <t>pasang
LFW-ERTIGA12MU
+62 821-1062-2266
Sony</t>
  </si>
  <si>
    <t>1310
B11T1</t>
  </si>
  <si>
    <t>pasang
TRW-RUSH17MU
+62 878-5070-6595
Bu Yulia</t>
  </si>
  <si>
    <t>Pasang
LFW-PAJERO16MU
P. Ryan Waskito
+62 857-3055-8925</t>
  </si>
  <si>
    <t>B12T1
1.800 DISKON 1.700</t>
  </si>
  <si>
    <t>PASANG
LFW-KAPSUL02MU
+62 821-1220-9425
Dimas</t>
  </si>
  <si>
    <t>1400
A5T2</t>
  </si>
  <si>
    <t>10:00/10:30</t>
  </si>
  <si>
    <t>pasang 
+62 888-3572-200
Pak Edy Sutanto
jasa bongkar pasang trw-xpander</t>
  </si>
  <si>
    <t>Pasang
SWR-AVANZA11MU
P. Huda
+62 857-8400-5755</t>
  </si>
  <si>
    <t>450
B5T4</t>
  </si>
  <si>
    <t>pasang
LFW-CIVIC05PIL
Zain
+62 877-0471-3337</t>
  </si>
  <si>
    <t>3298 promo 3198</t>
  </si>
  <si>
    <t>Pasang
LFW-ERTIGA12MU + KACA FILM
P. Yazid
+62 823-3491-8186</t>
  </si>
  <si>
    <t>1360 + kf 350
sudah dp 100rb
B11T1</t>
  </si>
  <si>
    <t xml:space="preserve">packing
LFW-TRITON05MU
</t>
  </si>
  <si>
    <t>pasang
Bongkar pasang Kaca belakang E46 dan Bongkar pasang list kaca depan E46
+62 812-3484-7888
P. Didik</t>
  </si>
  <si>
    <t>550 &amp; 550</t>
  </si>
  <si>
    <t>Pasang
LFW-SONETXYG
Sapingi
+62 813-3328-9090</t>
  </si>
  <si>
    <t>A6T1
2050</t>
  </si>
  <si>
    <t>pasang
LFW-INNOVA15MU
+62 877-5075-8400
P. Arifin</t>
  </si>
  <si>
    <t>1700
a8t2</t>
  </si>
  <si>
    <t>Pasang
LFW-PAJERO16AGC
P. Warjono
+62 812-1677-877</t>
  </si>
  <si>
    <t>A2T2
3299</t>
  </si>
  <si>
    <t>Pasang
LFW-CORTEZXYG
P. Herman
+62 818-307-893</t>
  </si>
  <si>
    <t>Pasang
LFW-DYNAMU
P. Safii
+62 821-4004-0045</t>
  </si>
  <si>
    <t>B14T2
1200 TRANSPORT 70</t>
  </si>
  <si>
    <t>15.00
Keberangkatan 
dari workshop</t>
  </si>
  <si>
    <t>Homeservis</t>
  </si>
  <si>
    <t>Pasang
TRW-AVANZA11HXYG
P. Hermanto
+62 821-3234-9598</t>
  </si>
  <si>
    <t>880
B5T3</t>
  </si>
  <si>
    <t>Pasang
LFW-GRANMAXMU
P. Pram Rendra Indarto
+62 812-1423-7898</t>
  </si>
  <si>
    <t>1098 TRANSPORT 150</t>
  </si>
  <si>
    <t>09.00
Keberangkatan
dari workshop</t>
  </si>
  <si>
    <t>Pasang
TRW-OUTLANDERFR
B. Melisa
+62 813-3666-9522</t>
  </si>
  <si>
    <t>Pasang
LFW-GRANMAXMU
P. Abu Bakar
+62 878-0444-4981</t>
  </si>
  <si>
    <t>b8t1
1098</t>
  </si>
  <si>
    <t>Pasang
LFW-ODYSSEY09XYG
P. Arnold
+62 822-3035-6688</t>
  </si>
  <si>
    <t>ambil di BGI dulu
3929 + transport 250k
Sudah dp 100k</t>
  </si>
  <si>
    <t>pasang
+62 821-1234-8845
LFW-ALPHARD08RSFR
082112348845</t>
  </si>
  <si>
    <t xml:space="preserve">4,652,000
a1t1
</t>
  </si>
  <si>
    <t>Pasang 
SWL-GRANMAXASH
P. Ervan
+62 857-0729-1744</t>
  </si>
  <si>
    <t>A9T3
420</t>
  </si>
  <si>
    <t>LFW-AGYA13MU
+62 812-3061-775
AAT</t>
  </si>
  <si>
    <t>B1T1
1050</t>
  </si>
  <si>
    <t>Pasang
LFW-CAREN99MU
Fajar Budi Prasetyo
+62 896-8069-9931</t>
  </si>
  <si>
    <t>A7T1
1723</t>
  </si>
  <si>
    <t xml:space="preserve">pasang
TRW-ERTIGA18ASH
+62 812-3173-687
Srai Dwi Joyanto
 </t>
  </si>
  <si>
    <t>1222
B11T3</t>
  </si>
  <si>
    <t>Ambil kaca saja
TRW-SWIFT05 ORI
P. Adip
+62 856-4501-7304</t>
  </si>
  <si>
    <t>Ambil di SNM
1.330</t>
  </si>
  <si>
    <t>Pasang
LFW-PANDAXYG
Mumut
+62 813-5333-4106</t>
  </si>
  <si>
    <t xml:space="preserve">2579 sudah dp 515.800
</t>
  </si>
  <si>
    <t>LFW-JAZZ13PIL
+62 857-3319-6882
Vio Fajar</t>
  </si>
  <si>
    <t>a2t1
2590 lunas</t>
  </si>
  <si>
    <t>pasang
+62 857-8478-3357
P. Karsimo
TRW-SIGRA16MU</t>
  </si>
  <si>
    <t>Pasang
FDR-VIOS07ASH
P. Mutarim
+62 812-1723-660</t>
  </si>
  <si>
    <t>600 sma pasang
A11T4</t>
  </si>
  <si>
    <t>Pasang
LFW-INNOVA04MU
P. Tetta
+62 817-0273-774</t>
  </si>
  <si>
    <t>1450
A2T1</t>
  </si>
  <si>
    <t>Pasang
LFW-AVANZA16MU
Bu Elly
+62 812-5272-5300</t>
  </si>
  <si>
    <t>pasang
LFW-ODYSSEY99
+62 856-4970-3668
Pak Ali</t>
  </si>
  <si>
    <t>3.575.000
ambil kaca BGI</t>
  </si>
  <si>
    <t>Pengecekan kebocoran
LFW-ERTIGA12MU
Ervita
+62 812-1785-393</t>
  </si>
  <si>
    <t>homeservis</t>
  </si>
  <si>
    <t>Pasang
LFW-W204RSXYG
P. Eddy Taufiq
+62 811-316-747</t>
  </si>
  <si>
    <t>Pasang
LFW-TARUNAMU
P. Mukrim Supriyanto
+62 857-4500-6426</t>
  </si>
  <si>
    <t>B8T2
1.500 TRANSPORT 150RB</t>
  </si>
  <si>
    <t>09.00
Keberangkatan
workshop</t>
  </si>
  <si>
    <t>Pasang
TRW-MOBILIOXYG
P. Farid
+62 823-3100-1876</t>
  </si>
  <si>
    <t>B7T3
1201</t>
  </si>
  <si>
    <t>ambil kaca
LFW-LOUHANMU
FDL-LOUHANMU</t>
  </si>
  <si>
    <t>ambil bgi</t>
  </si>
  <si>
    <t>pasang
OTH-RPLXLFW (CIVICFD)
+62 821-4309-7804
AHMAD</t>
  </si>
  <si>
    <t>Bongkar pasang kaca depan
Mobil Espass 2003
P. Yulius
+62 899-3926-393</t>
  </si>
  <si>
    <t xml:space="preserve">pasang
TRW-AVANZA11HXYGH
+62 812-5290-7848
Demas Zhafran Zharif
</t>
  </si>
  <si>
    <t>900
B5t3</t>
  </si>
  <si>
    <t>Pasang
LFW-FREEDXYG
P. Danis
+62 856-4836-4000</t>
  </si>
  <si>
    <t>B7T1
1818</t>
  </si>
  <si>
    <t>Ambil kaca
TRW-HIUFY
P. Aries
+62 817-7008-8111</t>
  </si>
  <si>
    <t>1926
SUDAH LUNAS</t>
  </si>
  <si>
    <t>pasang
LFW-AVANZA11MU
+62 852-3295-2120
Adrian Marco</t>
  </si>
  <si>
    <t>1050
A5T1</t>
  </si>
  <si>
    <t>pasang
LFW-E36MU
+62 822-3134-4383
P. Hery</t>
  </si>
  <si>
    <t>1.914.000 promo 1.864.000 
A6T2</t>
  </si>
  <si>
    <t>pasang
TRW-BRIO18XYG
Jeffry
+62 813-3385-1912</t>
  </si>
  <si>
    <t>Pasang
TRW-AVANZA21ASH
P. Hoirul Anam
+62 877-0280-9555</t>
  </si>
  <si>
    <t>880
yg hbis ambil dari pjb</t>
  </si>
  <si>
    <t>Pasang
LFW-TRITON05MU
P. Amnan
+62 813-3338-5024</t>
  </si>
  <si>
    <t>B14T1
1490</t>
  </si>
  <si>
    <t>EST 10.00</t>
  </si>
  <si>
    <t>jasa service seal ulang honda freed
+62 821-4064-4032
hendri</t>
  </si>
  <si>
    <t>Pasang
TRW-FREEDXYG
P. Witantyo
+62 816-5405-389</t>
  </si>
  <si>
    <t>B6T3
1446</t>
  </si>
  <si>
    <t>Pasang
LFW-PANTHER00XYG
Siti Nur'aini Atau Bambang Edy Suprasetyo
+62 812-3390-3471</t>
  </si>
  <si>
    <t xml:space="preserve">pasang
LFW-HIACEPIL
+62 812-4636-0707
Yusfiyan
</t>
  </si>
  <si>
    <t>Ambil kaca saja
LFW-KAPSUL97MU
P. Rudy
+62 851-0400-3500</t>
  </si>
  <si>
    <t>1178
A5T2</t>
  </si>
  <si>
    <t>HBIS DZUHUR OTW
DARI BANGKALAN</t>
  </si>
  <si>
    <t>pasang
TRW-RUSH17MU
Albani
+62 821-4366-6812</t>
  </si>
  <si>
    <t>pasang
Ibu Shela
+6285218330854
TRW-YARIS05XYG</t>
  </si>
  <si>
    <t>Pasang
LFW-MARCHMU
P. Imam Farikhin
+62 813-3231-0959</t>
  </si>
  <si>
    <t>B10T2
1593</t>
  </si>
  <si>
    <t>Pasang
LFW-RUSH17MU
P. Nazil
+62 822-5859-7572</t>
  </si>
  <si>
    <t>Ambil lalamove
1360</t>
  </si>
  <si>
    <t>P. Agus
+62 811-3342-271
pasang 
LFW-GRANMAXMU</t>
  </si>
  <si>
    <t>1050
750 TR</t>
  </si>
  <si>
    <t>pasang
+62 813-2278-9919
thaufik 
LFW-CIVIC16RSXYG</t>
  </si>
  <si>
    <t>2741
B7T1</t>
  </si>
  <si>
    <t>pasang
TRW-FORTUNER05
+62 821-7600-9808
Albert</t>
  </si>
  <si>
    <t xml:space="preserve">- Kaca belakang ori pabrik riben/ hitam Rp. 2,250,000
- Kaca belakang ori pabrik bening Rp. 2.048.000 </t>
  </si>
  <si>
    <t>PAK TAMAT
+62 852-3205-2226
TRW-APVVANMU</t>
  </si>
  <si>
    <t>PASANG 
TRW-ERTIGA12XYG
+62 888-0390-0390
Chairul</t>
  </si>
  <si>
    <t>pasang
TRW-INNOVA15HXYG
+62 858-5044-5513
Diky</t>
  </si>
  <si>
    <t>1319
ambil bgi</t>
  </si>
  <si>
    <t>P. Deny kusuma
081336430707
LFW-AGYA13MU
PASANG</t>
  </si>
  <si>
    <t>1020
B1T1</t>
  </si>
  <si>
    <t>pasang
LFW-RANGER04MU
P.Albert
+62 812-3430-3503</t>
  </si>
  <si>
    <t>1461 (minta diup 100rb saat pembayaran)</t>
  </si>
  <si>
    <t>08:00/08:30</t>
  </si>
  <si>
    <t>Pasang
LFW-PANTHER00XYG
P. Tommy
+62 856-3316-750</t>
  </si>
  <si>
    <t>PASANG
TRW-SIENTAXYG
+62 856-2138-035
P. Dadi</t>
  </si>
  <si>
    <t xml:space="preserve">1283
tunggu bgi </t>
  </si>
  <si>
    <t>pasang
LFW-SPORTAGE10XYG
+62 822-1920-2023
TAUFIK</t>
  </si>
  <si>
    <t>3661 SDH DP 1100</t>
  </si>
  <si>
    <t>pasang
LFW-JAZZ07MU
P. Fendi
+62 881-0267-23750</t>
  </si>
  <si>
    <t>B6T1
1818, TR 150K</t>
  </si>
  <si>
    <t>Pasang
LFW-TRAGAMU
P. Rudi
+62 896-0482-4541</t>
  </si>
  <si>
    <t>A13T2
1.300</t>
  </si>
  <si>
    <t>pasang
+62 838-4887-9997
lius
LFW-ALMAZXYG</t>
  </si>
  <si>
    <t>1998 tokped
300 jasa pasang</t>
  </si>
  <si>
    <t>pasang
+62 819-9952-9636
Aziz
LFW-AVANZA03MU</t>
  </si>
  <si>
    <t>jasa pasang
+62 812-3316-0662
 Agum Gumelar
innova reborn</t>
  </si>
  <si>
    <t>Pasang
LFW-AVANZA16MU
P. Febri
+62 812-3505-7070</t>
  </si>
  <si>
    <t>1020
b2t1</t>
  </si>
  <si>
    <t>Pasang
TRW-SIGRA16MU
P. Ridhoi
+62 817-5066-456</t>
  </si>
  <si>
    <t>B1T3
900RB</t>
  </si>
  <si>
    <t>LFW-LIVINA07MU
+62 822-4591-9565
DIAN</t>
  </si>
  <si>
    <t>1442000
B8T2</t>
  </si>
  <si>
    <t>pasang
+62 812-8028-0874
Faqih
LFW-GRANMAXMU &amp; TRW-GRANMAXPUASH</t>
  </si>
  <si>
    <t>B8T4
B8T1</t>
  </si>
  <si>
    <t>PASANG
+62 822-4414-6116
SWL-ERTIGA12ASH
Yohanna </t>
  </si>
  <si>
    <t>500
Beli kaca bgi</t>
  </si>
  <si>
    <t>pasang
+62 895-1710-6677
LFW-VIOS13MU
Anggi/Abu</t>
  </si>
  <si>
    <t>1669000
B4T1</t>
  </si>
  <si>
    <t>pasang
+62 821-4120-4585
Pak Ardhan
LFW-FORTUNER15AGC</t>
  </si>
  <si>
    <t>2998000
B3T2</t>
  </si>
  <si>
    <t>13:30/14:00</t>
  </si>
  <si>
    <t xml:space="preserve">Pasang
LFW-LIVINA07MU
Eggo
+62 813-3378-3500 </t>
  </si>
  <si>
    <t>B8T2
1442</t>
  </si>
  <si>
    <t>pasang
+62 812-4943-2980
ilham
LFW-CORTEZRSXYG</t>
  </si>
  <si>
    <t>A7T1
2.187.000 </t>
  </si>
  <si>
    <t>13:00/14:00</t>
  </si>
  <si>
    <t>pasang
LFW-JAZZ01MU
Eko Budi Utomo
+62 859-5617-0137</t>
  </si>
  <si>
    <t>B4T1
1.624.000</t>
  </si>
  <si>
    <t>Pasang
LFW-LIVINA07XYG
Minan
+62 853-3074-6040</t>
  </si>
  <si>
    <t xml:space="preserve">pasang
+62 858-5445-7948
LFW-TERIOS06AGC
IMAM
</t>
  </si>
  <si>
    <t>2087
AMBIL KACA KEDUNG DORO</t>
  </si>
  <si>
    <t>Pasang
LFW-CONFEROXYG
P. Akhmad
+62 818-395-766</t>
  </si>
  <si>
    <t>A8T1
1522</t>
  </si>
  <si>
    <t>pasang
+62 897-1572-727
Nonik
LFW-RAIZERSXYG</t>
  </si>
  <si>
    <t>1,950,000
Ambil bgi</t>
  </si>
  <si>
    <t>pasang
LFW-TARUNAMU
'+62 821-4083-0808
Gabriel Wismanto</t>
  </si>
  <si>
    <t xml:space="preserve">1250 TOKPED 250 JASA </t>
  </si>
  <si>
    <t>pasang
LFW-ERTIGA12MU
+62 823-3286-6943
P.adi</t>
  </si>
  <si>
    <t>1360000
B11T1</t>
  </si>
  <si>
    <t xml:space="preserve">PASANG
LFW-XPANDERMU
+62 877-8755-5002
Dwi Aguswira P.
</t>
  </si>
  <si>
    <t>pasang
+62 822-3333-3503
LFW-CIVIC16RSXYG
Helmi</t>
  </si>
  <si>
    <t>2,741,000 
B7T1</t>
  </si>
  <si>
    <t>Pasang
LFW-SIGRA16MU
P. Kasun (Gresik)
+62 813-3616-7585</t>
  </si>
  <si>
    <t>B1T1
1150</t>
  </si>
  <si>
    <t>Pasang
LFW-GRANMAXMU
N. M. Alfaris
+62 88-1938-8079</t>
  </si>
  <si>
    <t>B8T1
LUNAS</t>
  </si>
  <si>
    <t>menunggu info</t>
  </si>
  <si>
    <t>Pasang
LFW-JAZZ07MU
Latif
+62 819-1332-6439</t>
  </si>
  <si>
    <t>B6T1
1818</t>
  </si>
  <si>
    <t>09.30</t>
  </si>
  <si>
    <t>Ambil kaca saja
TRW-RUSH17XYG
P. Malik
+62 812-9069-8041</t>
  </si>
  <si>
    <t>B2T3
760</t>
  </si>
  <si>
    <t xml:space="preserve">pasang
+62 851-0090-3911
LFW-VIOS13MU
Alfa Motor/Pak Denni
</t>
  </si>
  <si>
    <t>B4T
1719 DIS = 1,669,000 </t>
  </si>
  <si>
    <t>Pasang
LFW-CAPTIVAXYG
P. Panji
+62 896-7564-7106</t>
  </si>
  <si>
    <t>A9T1
2,163</t>
  </si>
  <si>
    <t>Pasang
+62 813-1073-6261
TRW-MOBILIOXYG
SWR-MOBILIOAGC</t>
  </si>
  <si>
    <t>B7T3
B13T4</t>
  </si>
  <si>
    <t>pasang
+62 823-0165-3576
TRW-MOBILIOXYG
Johan</t>
  </si>
  <si>
    <t>b7t3
 1.151.000</t>
  </si>
  <si>
    <t>Pasang
LFW-TRITON05XYG/ LFW-PAJERO08MU
P. Sakti
+62 813-3319-3954</t>
  </si>
  <si>
    <t>b14t1</t>
  </si>
  <si>
    <t>pasang 
+62 821-1071-0911
jasa perbaikan seal t31
Adhie</t>
  </si>
  <si>
    <t>250-550</t>
  </si>
  <si>
    <t>Pasang
LFW-AVANZA21MU
P. Taufik
+62 813-3378-2777</t>
  </si>
  <si>
    <t>1688 diskon jadi 1553
b1t2</t>
  </si>
  <si>
    <t>Pasang
LFW-PAJERO16MU
P. Satria
+62 812-3194-2326</t>
  </si>
  <si>
    <t>B12T1
1800</t>
  </si>
  <si>
    <t>Pasang
LFW-APVMU
P. Pras
+62 857-3199-8855</t>
  </si>
  <si>
    <t>Pasang
TRW-MAZDA612FY
P. Fuad
+62 818-0313-8283</t>
  </si>
  <si>
    <t>ambil bgi
3914</t>
  </si>
  <si>
    <t>pasang
+62 812-1750-6517
LFW-FORTUNER05
P. Agus</t>
  </si>
  <si>
    <t>ori/pabrik</t>
  </si>
  <si>
    <t xml:space="preserve">pasang
TRW-CAMRY02XYG
+62 812-4666-3142
Bu Nur Ika Sari Rakhmawati
</t>
  </si>
  <si>
    <t>2710
Ambil bgi</t>
  </si>
  <si>
    <t>pasang
+62 857-4618-1704
P. Julianto
LFW-GAVEGAXYG</t>
  </si>
  <si>
    <t>DP 438.600
SISA 1,754.4
A10T2</t>
  </si>
  <si>
    <t xml:space="preserve">pasang
LFW-AVANZA16MU
+62 857-8458-5525
Anandra Septiyani
</t>
  </si>
  <si>
    <t>tokped 908
jasa 250</t>
  </si>
  <si>
    <t xml:space="preserve">pasang
+62 821-3222-2568
LFW-AVANZA11MU
H.Rufi'i
</t>
  </si>
  <si>
    <t>pasang
+62 859-5262-4893
Bangga
TRW-JAZZ07XYG</t>
  </si>
  <si>
    <t>1300 B7T3</t>
  </si>
  <si>
    <t>Pasang
LFW-JAZZ07MU
P. Agus
+62 851-5786-6404</t>
  </si>
  <si>
    <t>1818
B6T1</t>
  </si>
  <si>
    <t>08.01</t>
  </si>
  <si>
    <t xml:space="preserve">pasang 
LFW-ERTIGA17MU
LFW-AVANZA21MU
+62 859-7540-4058
Abdussalam
</t>
  </si>
  <si>
    <t>LFW-ERTIGA17MU Rp.1.554.000 B11T1
LFW-AVANZA21MU 1.688.000  B1T2
Total = Rp.3,242,000 
Diskon 3% = Rp.3,144.740</t>
  </si>
  <si>
    <t>PASANG
TRW-AVANZA03XYG
+62 813-3624-4158
LIDO</t>
  </si>
  <si>
    <t xml:space="preserve">880 B4T3
TR 100
</t>
  </si>
  <si>
    <t>Pasang
LFW-HIACEPIL
P. Aldian
+62 823-3259-4293</t>
  </si>
  <si>
    <t>A11T1
1680</t>
  </si>
  <si>
    <t>Pasang
TRW-TRITON05XYG
P. Eko
+62 813-9547-4808</t>
  </si>
  <si>
    <t>b14t3
1110</t>
  </si>
  <si>
    <t>pasang
LFW-TERIOS06MU
+62 899-9857-171
FARA</t>
  </si>
  <si>
    <t>B2T2
1448</t>
  </si>
  <si>
    <t>Pasang
LFW-AVANZA11MU
P. Teguh
+62 877-1654-8919</t>
  </si>
  <si>
    <t>Pasang
LFW-AVANZA11MU
Gilang
+62 856-4871-2675</t>
  </si>
  <si>
    <t>pasang
LFW-SIRION3
+62 812-3311-4991
P. Sandy</t>
  </si>
  <si>
    <t>1800
tr 100
kaca bgi</t>
  </si>
  <si>
    <t>homeserivce</t>
  </si>
  <si>
    <t>Cek kaca dulu klo oke pasang
LFW-INNOVA04MU
Ibu Heni
+62 823-3822-4809</t>
  </si>
  <si>
    <t>A2T1
1449</t>
  </si>
  <si>
    <t xml:space="preserve">pasang
LFW-INNOVA15AGC
+62 813-3161-3991
Agus Saputro
</t>
  </si>
  <si>
    <t>Pasang
LFW-CONFEROXYG
P. Nobel
+62 856-3333-695</t>
  </si>
  <si>
    <t>pasang
+62 821-3996-2050
Cipta Fastener 
TRW-AVANZA11MU</t>
  </si>
  <si>
    <t xml:space="preserve"> B5T3
880 up 1,232,000 </t>
  </si>
  <si>
    <t>Pasang
LFW-E46NORS
Abhista Bima
+62 813-5866-1596</t>
  </si>
  <si>
    <t>2355
dp 471
biaya cargo 320k</t>
  </si>
  <si>
    <t>Pasang
LFW-FREEDXYG
Jojo
+62 857-4590-0009</t>
  </si>
  <si>
    <t>b7t1
1818</t>
  </si>
  <si>
    <t>PASANG
LFW-LIVINA07MU
NIXON
+62 851-0001-5919</t>
  </si>
  <si>
    <t xml:space="preserve"> 1,422,000
B8T2</t>
  </si>
  <si>
    <t>PASANG KACA JASA SAJA
kak Iponk
+62 821-3183-8464</t>
  </si>
  <si>
    <t xml:space="preserve">jasa pasang  Rp. 750.000
tranport 70000
Jl. Kanoman 2 no 102n (shareloc)
</t>
  </si>
  <si>
    <t>paking
LFW-TERRANOMU
2 sealant terason</t>
  </si>
  <si>
    <t>kirim ke Sindo Express, Ruko Klampis Megah, Blok A Jl. Klampis Jaya No.33 &amp; 34, Klampis Ngasem, Kec. Sukolilo, Surabaya, Jawa Timur 60117
alamat paket = JL EOBOLIFO I RT/033 RW013 KECAMATAN MAULAFA KEL. SIKUMANA</t>
  </si>
  <si>
    <t>Kirim kaca
LFW-ELFNMRXYG
PT. Motors Sentral Indonesia
'+62 821-2222-1544</t>
  </si>
  <si>
    <t>PT. Motors Sentral Indonesia
kirim ke Workshop 2
Jl. Raya kandangan gang masjid no. 9 paling ujung
(Belakang Masjid Hidayatullah)</t>
  </si>
  <si>
    <t>pasang
honda city 2021
LFW-CITY19
+62 813-3767-2370
I Made Aindrea Mahaputra Widiastawa</t>
  </si>
  <si>
    <t xml:space="preserve">pesan dimjd jnt cargo estimasi harga 350.000
dengan packing peti kayu 200.000
kaca depan Honda City 2021 2.922.000
Total = Rp.3.472.000
sudah dp = 2.430.000
</t>
  </si>
  <si>
    <t>PASANG KACA
RDL-BRIO18AGC
+62 857-0478-5025
Johan</t>
  </si>
  <si>
    <t xml:space="preserve">B11T4
685 </t>
  </si>
  <si>
    <t>Pasang
TRW-XPANDERHAGC
Gandhi
+62 812-4485-1700</t>
  </si>
  <si>
    <t>PASANG
TRW-SIRION2XYG
Muamar
+62 838-5221-7142</t>
  </si>
  <si>
    <t>sudah ready
1,098,000</t>
  </si>
  <si>
    <t>PASANG
TRW-AVANZA03XYG
+62 852-5755-8959
Saipul</t>
  </si>
  <si>
    <t>B4T3
880.000</t>
  </si>
  <si>
    <t>Pasang
LFW-BALENO08XXYG
+62 812-3463-7272
Muhamad novianto</t>
  </si>
  <si>
    <t>1636000
B9T1</t>
  </si>
  <si>
    <t>PASANG
TRW-AVEGA99XYG
KOMANG ADI
+62 812-3144-984</t>
  </si>
  <si>
    <t>2098.000 Sdh dp 420.000
kurang 1678</t>
  </si>
  <si>
    <t>pasang 
LFW-PANTHER00XYG
Achmad Fariz
+62 821-1500-8370</t>
  </si>
  <si>
    <t>A13T2
1.338.000 </t>
  </si>
  <si>
    <t>Pasang
TRW-XPANDERAGC
P Ahmad
+62 821-4467-3151</t>
  </si>
  <si>
    <t>pasang
LFW-AVANZA21MU
+62 812-8875-1819
Munawar</t>
  </si>
  <si>
    <t>1590
B1T2</t>
  </si>
  <si>
    <t>pasang
LFW-YARIS05MU
+62 895-0577-0804
deny</t>
  </si>
  <si>
    <t>BELI KACA
LFW-CITY02MU 
+62 821-4114-1825
Achmad Efendi</t>
  </si>
  <si>
    <t>1.500.000 
B5T1</t>
  </si>
  <si>
    <t>beli kaca
LFW-GRANMAX
'+62 812-1636-6620
Kurniawan Santoso</t>
  </si>
  <si>
    <t>B8T1
855</t>
  </si>
  <si>
    <t>PASANG
LFW-FORTUNER15MU
PRASETYA
+62 815-5283-300</t>
  </si>
  <si>
    <t>PESAN KACA BAGI SHADE GREEN
1800 + 30TRSNPRT</t>
  </si>
  <si>
    <t>cek kaca tidak bisa turun 
+62 857-0478-5025
Johan</t>
  </si>
  <si>
    <t>perbaikan kaca setelah ganti tidak bisa turun</t>
  </si>
  <si>
    <t>Pasang
SWR-AVANZA11MU
+62 851-0661-0059
Muhammad</t>
  </si>
  <si>
    <t>Pasang 
LFW-AVANZA16MU
P. Indra
+62 819-3849-6171</t>
  </si>
  <si>
    <t>A5T1
1050</t>
  </si>
  <si>
    <t>Pasang
LFW-FORTUNER15AGC
P. Widianto
+62 851-0019-3900</t>
  </si>
  <si>
    <t>Order MKS
2998 tr 50</t>
  </si>
  <si>
    <t xml:space="preserve">pasang
TRW-XPANDERAGC
+62 877-8668-8714
Kak Icha
</t>
  </si>
  <si>
    <t>1200
B10T3</t>
  </si>
  <si>
    <t>HOMESERVIS</t>
  </si>
  <si>
    <t>PASANG
+62 878-5516-5956
Suliswanto
TRW-INNOVA15XYG</t>
  </si>
  <si>
    <t>A5T3
1319</t>
  </si>
  <si>
    <t>PASANG
+62 813-5784-8777
Taufiq Hidayat
LFW-AVANZA11AGC</t>
  </si>
  <si>
    <t>1000 AMBIL KEDUNGDORO</t>
  </si>
  <si>
    <t xml:space="preserve">TRW-CRV17PIL
+62 822-3167-7184
Bu Yani Saiful
</t>
  </si>
  <si>
    <t>B6T3
2.182.000 , 50  (sdh dp 100)</t>
  </si>
  <si>
    <t xml:space="preserve">pasang
LFW-CARRY19MU
+62 857-3552-7120
P. Deki
</t>
  </si>
  <si>
    <t>B10T1
1200</t>
  </si>
  <si>
    <t>kirim LFW-DMAX2</t>
  </si>
  <si>
    <t>Penerima: Pak Sherwin atau Bu Tutik (*********1310)
Jl. Gatotan No.20, Krembangan Sel., Kec. Krembangan, Surabaya, Jawa Timur 60175 (UD. Sari Indah, Ibu Tutik /Pak Sherwin)
Krembangan, Kota Surabaya, Jawa Timur, 60175</t>
  </si>
  <si>
    <t>Pasang
SWL-MOBILIOAGC 
P. Imam Hambali
+62 857-1420-8018</t>
  </si>
  <si>
    <t>B13T4
1035</t>
  </si>
  <si>
    <t>Nasrul Yayasan Assalaam
LFW-INNOVA04MU
+62 822-4400-5757</t>
  </si>
  <si>
    <t>A2T1
1449 TR 150</t>
  </si>
  <si>
    <t>pasang 
+62 852-0405-0912
Agung
FDL-BRIOAGC</t>
  </si>
  <si>
    <t>615
B12T4</t>
  </si>
  <si>
    <t xml:space="preserve">pasang
OTH-RPLXLFW ERTIGA12
+62 856-4545-3559
 P. Nonok Afandi
</t>
  </si>
  <si>
    <t>Pasang
LFW-ESCUDO00MU
P. Dicky
+62 878-5291-2888</t>
  </si>
  <si>
    <t>1.830.000 disc 1.800
B11T2</t>
  </si>
  <si>
    <t>P. Buyung
+62 811-3414-574
LFW-FORTUNER15MU</t>
  </si>
  <si>
    <t>B3T2
1800</t>
  </si>
  <si>
    <t>Pasang
LFW-AVANZA11MU
P. Bahtiar
+62 822-3444-4279</t>
  </si>
  <si>
    <t xml:space="preserve">Packing
</t>
  </si>
  <si>
    <t xml:space="preserve">pasang
LFW-TRAGAMU
+62 813-3232-2720
PT BAS
</t>
  </si>
  <si>
    <t>1300
A13T2</t>
  </si>
  <si>
    <t>Pasang
LFW-AVANZA11MU
Achmad Annas
+62 813-3199-3972</t>
  </si>
  <si>
    <t>pasang
+62 821-4348-0992
 Titik koma / Pak Jemmy
LFW-BRIOMU</t>
  </si>
  <si>
    <t>1442
 B4T1</t>
  </si>
  <si>
    <t xml:space="preserve">LFW-INNOVA04MU
+62 878-5558-0551
Bpk. Jonathan
</t>
  </si>
  <si>
    <t>1,449,000</t>
  </si>
  <si>
    <t>pasang
+62 812-5911-4863
Ryan
LFW-LIVINA07MU</t>
  </si>
  <si>
    <t>1422000
B8T2</t>
  </si>
  <si>
    <t>pasang
LFW-FREEDXYG
JOJO
+62 857-4590-0009</t>
  </si>
  <si>
    <t>800
B7T1</t>
  </si>
  <si>
    <t>Pasang
LFW-PAJERO08MU
+62 811-3135-639
P. Sujarwo</t>
  </si>
  <si>
    <t>1.800
B14T1</t>
  </si>
  <si>
    <t>11.OO</t>
  </si>
  <si>
    <t>Jasa pasang kaca depan innova reborn
Jovian
+62 878-5383-5228</t>
  </si>
  <si>
    <t>500rb transport 100</t>
  </si>
  <si>
    <t>Pasang
TRW-CONFEROHHOLEXYG
P. Robert Jostan
+62 851-0050-7051</t>
  </si>
  <si>
    <t>B13T3
1350</t>
  </si>
  <si>
    <t xml:space="preserve">pasang
FDR-AVANZA03ASH
+62 815-1502-0136
Achmad Anshor
</t>
  </si>
  <si>
    <t>500
A11T3</t>
  </si>
  <si>
    <t>Kak Welly 
+62 818-0318-5925
LFW-BRV16XYG</t>
  </si>
  <si>
    <t>1533000 tr 100 dp 100
B3T1</t>
  </si>
  <si>
    <t xml:space="preserve">Pasang
LFW-INNOVA15MU
P. John
+62 816-501-133
</t>
  </si>
  <si>
    <t>1764 diskon jadi 1750
A8T2</t>
  </si>
  <si>
    <t>pasang
+62 813-3073-0298
LFW-RAIZERS
P. Firman</t>
  </si>
  <si>
    <t> 2.638.000
ambil toyota kedungdoro</t>
  </si>
  <si>
    <t xml:space="preserve">psang
+62 852-8010-8578
LFW-SPORTAGE04MU
P. Mujiono
</t>
  </si>
  <si>
    <t>2.400.000 dP. 480.000
A7T1</t>
  </si>
  <si>
    <t>pasang
+62 822-3399-4083
B. Alifia Primasari
TRW-C27XYG</t>
  </si>
  <si>
    <t>Pasang
FDR-INNOVA15ASH
P. Fikri
+62 838-0836-3833</t>
  </si>
  <si>
    <t>B10T4
740</t>
  </si>
  <si>
    <t>Pasang
LFW-AVANZA16MU
P. Renaldi
+62 813-8168-6266</t>
  </si>
  <si>
    <t>TRW-GRANMAXVANMU
P.  Ferry Febriyanto
+62 857-5666-6679</t>
  </si>
  <si>
    <t>B8T3
1350</t>
  </si>
  <si>
    <t>kirim peti kayu 
TRW-HILUX15HXYG DN TRW-HILUX15XYG
'+62 813-5115-3798</t>
  </si>
  <si>
    <t>Kirim ke :
Viktor - malinau
Pelayaran SATYA PERMAI
 jln kalimas baru gudang 152 Pos 3 Kiri.
Dimas 082233262226
Sentot 081331047959
Ibu Lis 081330214632</t>
  </si>
  <si>
    <t>Pasang
LFW-PAJERO16AGC
P. Ainun
+62 856-4512-2212</t>
  </si>
  <si>
    <t>a2t2
3299</t>
  </si>
  <si>
    <t>Packing LFW-DYNAMU</t>
  </si>
  <si>
    <t>PT. Global Yupiter Indonesia (628155267999)
Pergudangan Ritz Gate, Blok BC 26-28. Taman, Sidoarjo, Jawa Timur 61257 (Ibu Milla / Leon Dili)
Taman, Kab. Sidoarjo, Jawa Timur 61257
Tambahan tulisan di peti 
Tulis di peti : Milla Leon dili</t>
  </si>
  <si>
    <t>pasang
+62 815-5672-1208
P. Reza
TRW-INNOVA04HXYG</t>
  </si>
  <si>
    <t>1400
A3T3</t>
  </si>
  <si>
    <t>pasang
+62 851-5658-7204
Kak Aan
LFW-HRV14MU</t>
  </si>
  <si>
    <t>2056
bgi</t>
  </si>
  <si>
    <t>RVR-RAIZEAGC
P. Laksmana Damar
+62 857-4825-6370</t>
  </si>
  <si>
    <t>828
dp 166,400
sisa 662,400</t>
  </si>
  <si>
    <t xml:space="preserve">pasamg
+62 812-3413-8433
LFW-INNOVA04MU
Kak Acik/P. Subandi
</t>
  </si>
  <si>
    <t>LFW-AVANZA03MU
P. Abdul
+62 813-5757-5399</t>
  </si>
  <si>
    <t>LFW-ELFNMRXYG
PT GMP
+62 812-5000-2531</t>
  </si>
  <si>
    <t>A13T1
1400</t>
  </si>
  <si>
    <t>LFW-AVANZA16MU
P. Christ
+62 817-0378-7066</t>
  </si>
  <si>
    <t>LFW-YARIS05MU
P. Hardi
+62 812-3137-7305</t>
  </si>
  <si>
    <t>b3t1
1550</t>
  </si>
  <si>
    <t>TRW-JAZZ07XYG
P. Gozai
+62 813-3153-3853</t>
  </si>
  <si>
    <t>B7T3
1387</t>
  </si>
  <si>
    <t>LFW-INNOVA15MU
P. Budi Hartanto
+62 812-3513-343</t>
  </si>
  <si>
    <t>a8t2
1764</t>
  </si>
  <si>
    <t>pasang
+62 856-0850-1458
Kak Alim
LFW-VIOS13MU</t>
  </si>
  <si>
    <t>1619
B4T1</t>
  </si>
  <si>
    <t>pasang
Aldhi 
+62 895-3217-74300
TRW-AVANZA03HXYG</t>
  </si>
  <si>
    <t>B4T3
820</t>
  </si>
  <si>
    <t>08:00/08:300</t>
  </si>
  <si>
    <t>LFW-T30PIL
Rizky
+62 838-5666-9984</t>
  </si>
  <si>
    <t>Order ke RJG
1882</t>
  </si>
  <si>
    <t>09:00-11:00</t>
  </si>
  <si>
    <t>TRW-INNOVA15XYG
Rio
+62 821-4675-6287</t>
  </si>
  <si>
    <t>A4T3
1319</t>
  </si>
  <si>
    <t>PASANG
LFW-MAZDA209XYG
+62 813-1448-4147
Kak Febrie</t>
  </si>
  <si>
    <t>1,949,000
kaca order bgi</t>
  </si>
  <si>
    <t>ambil kaca
pak salim</t>
  </si>
  <si>
    <t>LFW-HIACEPIL A11T1 - T2
FDR-HIACEXYG A12T3
RDR-HIACEXYG B3T3
SRR-HIACEFXYG A2T3
DP 1500 SISA 4732</t>
  </si>
  <si>
    <t>LFW-VOXY17XYG
P. Riza Sofian
+62 838-2722-0024</t>
  </si>
  <si>
    <t>A1T2
3726</t>
  </si>
  <si>
    <t xml:space="preserve">pasang
TRW-ERTIGA18HAGC
+62 812-3042-3474
Jabbaar SS </t>
  </si>
  <si>
    <t>1350
AMBIL KD</t>
  </si>
  <si>
    <t>TRW-AVANZA11MU
P. Donny
+62 822-9947-6468</t>
  </si>
  <si>
    <t>880 disc nett 850
B5T3</t>
  </si>
  <si>
    <t>TRW-CAMRY06XYG
P. Yamadi Malang
+62 858-5530-0066</t>
  </si>
  <si>
    <t>3297 diskon jadi 3250
order bgi</t>
  </si>
  <si>
    <t xml:space="preserve">pasang
LFW-ERTIGA12AGC
+62 857-3099-4565
Ka Hamid
</t>
  </si>
  <si>
    <t>1800
AMBIL KD</t>
  </si>
  <si>
    <t xml:space="preserve">LFW-BRV16XYG
+62 811-583-230
Leoni Angela
</t>
  </si>
  <si>
    <r>
      <rPr/>
      <t xml:space="preserve">1.533.000 + TR 100
B3T1
</t>
    </r>
    <r>
      <rPr>
        <color rgb="FF1155CC"/>
        <u/>
      </rPr>
      <t>https://maps.app.goo.gl/uZbEKp8Y1V4ia9X97?g_st=iw</t>
    </r>
  </si>
  <si>
    <t>pasang
+62 813-3699-7052
 P. Bayu
LFW-AGYA13MU</t>
  </si>
  <si>
    <t>b1t1
1050</t>
  </si>
  <si>
    <t xml:space="preserve">P. Dadang
LFW-INNOVA15AGC
+62 812-3423-3573
</t>
  </si>
  <si>
    <t>2988
A2T2</t>
  </si>
  <si>
    <t xml:space="preserve">P. Pujianto
085336176798
LFW-CARRY19XYG
</t>
  </si>
  <si>
    <t xml:space="preserve">1200
KACA BGI </t>
  </si>
  <si>
    <t>LFW-LOUHANMU
PT. Eka Jaya Transindo
+62 882-0083-69717</t>
  </si>
  <si>
    <t>Pasang
+62 813-3269-4251
Ka Wahyu
LFW-JAZZ07MU</t>
  </si>
  <si>
    <t>1,918,000
B6T1</t>
  </si>
  <si>
    <t xml:space="preserve">LFW-PAJERO08
+62 822-0828-7233
Bu Maira
</t>
  </si>
  <si>
    <t>1650
B14T1</t>
  </si>
  <si>
    <t>TRW-SIGRA16MU
Dinda
+62 858-5725-6500</t>
  </si>
  <si>
    <t>850
B1T3</t>
  </si>
  <si>
    <t>pasang 
TRW-JAZZ13XYG
+62 816-5447-687
Melani</t>
  </si>
  <si>
    <t>B7T3
1300 TR 30</t>
  </si>
  <si>
    <t>pasang
Rendi Indra saputra
LFW-STREAM
+62 812-4960-7474</t>
  </si>
  <si>
    <t>2093000
B7T1</t>
  </si>
  <si>
    <t>LFW-JAZZ07XYG
P. Fathoni
+62 812-1717-5857</t>
  </si>
  <si>
    <t>B6T1
1768</t>
  </si>
  <si>
    <t>LFW-AVANZA11MU
P. Agus Fattah
+62 852-5833-9964</t>
  </si>
  <si>
    <t>A5T1
1050 + TR 30
sudah dp 100</t>
  </si>
  <si>
    <t>LFW-JAZZ01MU
P. Romi
+62 882-1739-0829</t>
  </si>
  <si>
    <t>B4T1
1574</t>
  </si>
  <si>
    <t>LFW-HRV14XYG
Ibu Lenny
+62 823-2366-1888</t>
  </si>
  <si>
    <t>Ambil di BGI
1956</t>
  </si>
  <si>
    <t>pasang
LFW-GRANMAXMU
+62 896-1608-1999
P. TAUFIQ</t>
  </si>
  <si>
    <t>1050
B8T1</t>
  </si>
  <si>
    <t>LFW-CRV12XYG
+62 851-0624-2500
P. Simon</t>
  </si>
  <si>
    <t>1999000
B5T2</t>
  </si>
  <si>
    <t>pasang
P. Suwarno
+62 822-4577-5676
LFW-ERTIGA12MU</t>
  </si>
  <si>
    <t>LFW-VIOS02MU
+62 812-3013-6619
saskia</t>
  </si>
  <si>
    <t>B4T2
1,455</t>
  </si>
  <si>
    <t>pasang
+62 813-3415-4180
P. Darmin
TRW-PICANTO04XYG</t>
  </si>
  <si>
    <t>lunas</t>
  </si>
  <si>
    <t>pasang
+62 851-0208-0567
Yonatan
LFW-SPIN</t>
  </si>
  <si>
    <t>1700
AMBIL BGI</t>
  </si>
  <si>
    <t>LFW-GRANMAXMU
CV. Graha Cat
+62 852-3690-0210</t>
  </si>
  <si>
    <t xml:space="preserve">ambil di bgi 
1000
</t>
  </si>
  <si>
    <t>LFW-W212RS2XYG
P. Fredy
+62 821-3900-1988</t>
  </si>
  <si>
    <t>Ambil bgi
4732 diskon jadi 4600</t>
  </si>
  <si>
    <t>LFW-GRANMAXMU
P. Adhitia
+62 821-4165-2418</t>
  </si>
  <si>
    <t>B8T1
1050</t>
  </si>
  <si>
    <t>LFW-TERIOS06MU
P. Abd Qodir
+62 858-8880-4108</t>
  </si>
  <si>
    <t>B2T2
1398</t>
  </si>
  <si>
    <t>LFW-LIVINA07XYG
P. Yudhi
+62 857-4845-9000</t>
  </si>
  <si>
    <t>LFW-T30MU
Kak Billa
+62 812-1123-4209</t>
  </si>
  <si>
    <t>B9T1
1880</t>
  </si>
  <si>
    <t>pasang
+62 856-5598-6180
P. Jaun 
LFW-JAZZ07</t>
  </si>
  <si>
    <t>1768000
B6T1</t>
  </si>
  <si>
    <t>pasang
+62 856-0735-2226
P. Rapik
LFW-INNOVA04MSG</t>
  </si>
  <si>
    <t xml:space="preserve">A2T1
 2,640,000
</t>
  </si>
  <si>
    <t>LFW-GRANMAXMU
P. Sondang
+62 811-8508-085</t>
  </si>
  <si>
    <t>LFW-ACCORD03XYG
P. Adryan sachrul
+62 821-8888-0506</t>
  </si>
  <si>
    <t>B5T2
2233 DISC 2200</t>
  </si>
  <si>
    <t xml:space="preserve">JASA BONGKAR PASANG LFW
+62 813-3532-5758
Ka Dony
</t>
  </si>
  <si>
    <t xml:space="preserve">550+100
</t>
  </si>
  <si>
    <t>LFW-AVANZA16MU
P. Abrori
+62 817-0048-111</t>
  </si>
  <si>
    <t>B2T1
1050 + 100 TR</t>
  </si>
  <si>
    <t>pasang
081904199606
P. Usman</t>
  </si>
  <si>
    <t>1518
B9T1</t>
  </si>
  <si>
    <t>LFW-TRAGAAGC
Kak Era
+62 896-4478-6851</t>
  </si>
  <si>
    <t>Ambil di kedungdoro
1600</t>
  </si>
  <si>
    <t>LFW-PAJERO08MU
P. Acenk
+62 822-6498-5860</t>
  </si>
  <si>
    <t>1800 disc jadi 1600
Ambil di bgi dulu</t>
  </si>
  <si>
    <t>workshop</t>
  </si>
  <si>
    <t>pasang
TRW-ERTIGA12XYG
+62 812-3284-574</t>
  </si>
  <si>
    <t>950+TR 75 
B11T3</t>
  </si>
  <si>
    <t>pasang
FVL-INNOVA04AGC
+62 821-4344-5068
  Caesar </t>
  </si>
  <si>
    <t>Jasa pasang kaca depan granmax dan APV
XLMEDIA
+62 816-5402-028</t>
  </si>
  <si>
    <t>800rb 2 mobil
tr 100
Sudah dp 100</t>
  </si>
  <si>
    <t>SWR-FORTUNER15ASH
P. Adib
+62 852-3614-3785</t>
  </si>
  <si>
    <t>A12T4
1040</t>
  </si>
  <si>
    <t>pasang 
Mofi 
+62 878-4667-2007
LFW-ACCORD93XYG</t>
  </si>
  <si>
    <t>1803
B7T1</t>
  </si>
  <si>
    <t>Hutang Pasang TRW-JAZZ13
Bu Melani
'+62 816-5447-687</t>
  </si>
  <si>
    <t>hutang pasang saja
bawa vakum</t>
  </si>
  <si>
    <t>09:00/09:30</t>
  </si>
  <si>
    <t>Homeservise</t>
  </si>
  <si>
    <t xml:space="preserve">pasang
LFW-ERTIGA18MU
+62 812-5234-7999
</t>
  </si>
  <si>
    <t> 1.554.000
B11T1</t>
  </si>
  <si>
    <t>TRW-CITY08XYG
P. Andre
+62 813-3078-6290</t>
  </si>
  <si>
    <t>ambil di BGI
1625 DISC 1600</t>
  </si>
  <si>
    <t>pasang
+62 819-3161-4720
Willy
LFW-AVANZA11MU</t>
  </si>
  <si>
    <t>TRW-HIACE
P. Anton
+62 823-3686-0371</t>
  </si>
  <si>
    <t xml:space="preserve">TRW-HIACEXYG A1T3
TRW-HIACEBLACKXYG A1T3
Untuk kaca belakang Hiace Commuter kami ready 2 macam kak:
- Kaca belakang bening Rp. 2.537.000
- kaca belakang riben/hitam Rp. 2.902.000
</t>
  </si>
  <si>
    <t>Perbaikan bocor TRW-ERTIGA12
Bu Debby
+62 812-3036-0700</t>
  </si>
  <si>
    <t>Perbaikan saja
nirwana eksekutif blok ee nomor 100</t>
  </si>
  <si>
    <t>pasang
+62 813-3265-8799
Albert Aldo K
LFW-CORTEZRSXYG</t>
  </si>
  <si>
    <t>2300
A7T1</t>
  </si>
  <si>
    <t>LFW-SPINXYG
P. Rahman
+62 819-3677-8844</t>
  </si>
  <si>
    <t>A9T2
1700</t>
  </si>
  <si>
    <t>10:00-11:00</t>
  </si>
  <si>
    <t>pasang 
+62 812-3238-6400
LFW-XPANDERMU
Edho</t>
  </si>
  <si>
    <t>1800
B13T1</t>
  </si>
  <si>
    <t>LFW-ERTIGA18AGC
P. Budi (invoice a/n Giorgia atau Hendy)
+62 878-5151-0606</t>
  </si>
  <si>
    <t>Ambil di kedungdoro
harga 1885 disc 1785
nota minta harga normal</t>
  </si>
  <si>
    <t>PASANG
+62 813-2527-5016
Wisnu Tri D
SRR-HIACEFXYG</t>
  </si>
  <si>
    <t>A2T3
2945 DP 445.000</t>
  </si>
  <si>
    <t xml:space="preserve">pasang
+62 813-3006-8860
LFW-AVANZA03MU
Wawan Sugianto
</t>
  </si>
  <si>
    <t>ambil kaca
RDL-GRANMAXASH
+62 812-5936-8938
P. Edy</t>
  </si>
  <si>
    <t>A13T3 
370</t>
  </si>
  <si>
    <t>P. Yudo
TRW-TRAJETXYG
+62 822-1488-8860</t>
  </si>
  <si>
    <t xml:space="preserve">1,550,000 + lembur 100rb 
</t>
  </si>
  <si>
    <t>pasang
+62 811-3141-448
B. Rena
LFW-GRANMAXMU</t>
  </si>
  <si>
    <t>pasang
+62 821-4000-6474
Shandy
SWL-FORTUNER15ASH</t>
  </si>
  <si>
    <t>A12T4
890,000</t>
  </si>
  <si>
    <t>13;00</t>
  </si>
  <si>
    <t>pasang
+62 838-3052-7978
 P. Adi Mulyo
LFW-GETZXYG</t>
  </si>
  <si>
    <t>2,347,000 
Ambil kedung doro</t>
  </si>
  <si>
    <t>pasang
+62 857-1465-7024
 Edy Hamid 
TRW-VIOS07LIMOXYG</t>
  </si>
  <si>
    <t>A6T3
1,392,000</t>
  </si>
  <si>
    <t>pasang
+62 822-2000-7317
Andreanto Surya Putra
LFW-ALMAZXYG</t>
  </si>
  <si>
    <t>PASANG
LFW-HIACEPIL
TRW-HIACEBLACKXYG / TRW-HIACE20XYG
P.FIAN
+62 822-4243-6878</t>
  </si>
  <si>
    <t>4.700.000
4,335,000
A1T3</t>
  </si>
  <si>
    <t>HOMESERIVCE</t>
  </si>
  <si>
    <t xml:space="preserve">Bu Anik Ruwaida
TRW-STARGAZERXYG
+62 813-7222-6202
</t>
  </si>
  <si>
    <t>pasang
+62 812-1766-4825
Edward
LFW-XPANDERMU</t>
  </si>
  <si>
    <t>B13T1
1700</t>
  </si>
  <si>
    <t>pasang
+62 812-3577-7762
P. Abdul
LFW-CITY02MU</t>
  </si>
  <si>
    <t>B5T1
2021</t>
  </si>
  <si>
    <t>PACKING
TRW-LIVINA07PIL
Widya / Toko Daventa
'081254911817</t>
  </si>
  <si>
    <t>Widya / Toko Daventa Hp. 081254911817
Jln Husein Hamzah No. 187-188 Pal 3, Kel. Sei Jawi Dalam, Kec. PontianakBarat, Kota Pontianak, Kalimantan Barat</t>
  </si>
  <si>
    <t>pasang
+62 857-3220-7999
LFW-BRV16XYG/MU 
P. Dani</t>
  </si>
  <si>
    <t>1533
B3T1</t>
  </si>
  <si>
    <t>kak Taufiq dari RS Hasyim Asyari Jombang
 ‪+62 857-0764-0473‬
LFW-HIACEPIL</t>
  </si>
  <si>
    <t>LFW-INNOVA15AGC
+62 857-3008-9333
P. Muklis</t>
  </si>
  <si>
    <t>A2T2
2988 , LMBR 100</t>
  </si>
  <si>
    <t>16:00/17:00</t>
  </si>
  <si>
    <t>pasang
kak Fikri
+62 815-2953-4320
TRW-INNOVA04XYG</t>
  </si>
  <si>
    <t>siang</t>
  </si>
  <si>
    <t>LFW-INNOVA15MU
+62 877-8813-9979
jasa bongkar psang</t>
  </si>
  <si>
    <t>450+50 tr
sudah bayar 50 sisa 450</t>
  </si>
  <si>
    <t>PASANG
TRW-CRV02XYG
Bu Sulis/Bu Baria
081252324070</t>
  </si>
  <si>
    <t>2085 DP 100
AMBIL BGI
Jl. Dukuh Kupang Barat I No.241, Dukuh Pakis, Kec. Dukuhpakis, Surabaya, Jawa Timur 60189</t>
  </si>
  <si>
    <t>pasang
‪+62 813-3324-4707‬
Cindy
lfw-almazfy 3.696.000
tr 100.000
disc 100.000
dp 30.000
Senin, 7 Juli 2025 jam 11.00</t>
  </si>
  <si>
    <t>pasang
Bpk Kuntjoro
+62 853-3559-9392
LFW-INNOVA15MU</t>
  </si>
  <si>
    <t>A8T2
1700</t>
  </si>
  <si>
    <t>09/07/2-25</t>
  </si>
  <si>
    <t>KACA SAJA
LFW-AVANZA11MU , SWL-AVANZA11MU</t>
  </si>
  <si>
    <t>800,400 UP 950, 950</t>
  </si>
  <si>
    <t>Pasang
Candra
TRW-XPANDERHXYG
+62 812-3085-6788</t>
  </si>
  <si>
    <t>885000
B14T3</t>
  </si>
  <si>
    <t>11:00/12:00</t>
  </si>
  <si>
    <t>pasang
FDL-PAJERO08ASH
Syaiful
+62 812-4366-0578</t>
  </si>
  <si>
    <t>A13T3 695</t>
  </si>
  <si>
    <t>TRW-HRV14XYG
ULFA
‪+62 821‑1345‑6390‬</t>
  </si>
  <si>
    <t xml:space="preserve">1365
B5T3 </t>
  </si>
  <si>
    <t>Imam Hidayat / Aditya
LFW-AVANZA11MU
+62 857-3210-9996</t>
  </si>
  <si>
    <t>1049
A5T1</t>
  </si>
  <si>
    <t xml:space="preserve">CICI
</t>
  </si>
  <si>
    <t>lfw-briomu
yusril</t>
  </si>
  <si>
    <t>pasang
LFW-GRANMAXMU
Ach Rofiqi 
‪+62 877‑0100‑7408‬</t>
  </si>
  <si>
    <t>1000
b8t1</t>
  </si>
  <si>
    <t xml:space="preserve">pasang
LFW-XPANDERMU
Isnu
‪+62 813‑3610‑9023‬
</t>
  </si>
  <si>
    <t>b13t1
1629 , tr 80 dp 30</t>
  </si>
  <si>
    <t>TRW-PANTHER00SEALASH
P. Dadang Yudianto
+62 812-6971-3903</t>
  </si>
  <si>
    <t>B12T3
900</t>
  </si>
  <si>
    <t xml:space="preserve">LFW-ERTIGA18MU
pk. Adi  ‪‪+62 895‑3292‑65876‬‬
</t>
  </si>
  <si>
    <t xml:space="preserve">pasang
LFW-CIVIC05PIL
+62 812-4900-9846
M.Deddy Firdian
</t>
  </si>
  <si>
    <t>2,998
B7T1</t>
  </si>
  <si>
    <t xml:space="preserve">LFW-BRIOAGC
+62 822-4568-7117
 Ibu Yulin
</t>
  </si>
  <si>
    <t>LFW-JAZZ13PIL
Farhan
+62 822-3217-1515</t>
  </si>
  <si>
    <t>A2T2
2590</t>
  </si>
  <si>
    <t xml:space="preserve">pasang
LFW-JAZZ07MU
+62 812-1666-3333
Agung Prasetyo
</t>
  </si>
  <si>
    <t xml:space="preserve">pasang
LFW-FORTUNER15MU
+62 821-3215-8825
Kak Ilham 
</t>
  </si>
  <si>
    <t xml:space="preserve">pasang
LFW-INNOVA15AGC
Ka Raphael
+62 821-4406-0209
</t>
  </si>
  <si>
    <t xml:space="preserve">2900+PSG </t>
  </si>
  <si>
    <t>Pasang
LFW-TRAGAMU
P. Aziz
+62 877-6949-5544</t>
  </si>
  <si>
    <t>09.0/10.00</t>
  </si>
  <si>
    <t xml:space="preserve">SWL-MOBILIOAGC
+62 857-0032-1238
Kak Zam
</t>
  </si>
  <si>
    <t>1035000
B13T4</t>
  </si>
  <si>
    <t>pasang
+62 877-2607-9333
Almaunah
LFW-GRANMAXMU</t>
  </si>
  <si>
    <t>a8t1
1050</t>
  </si>
  <si>
    <t>LFW-CRV17PIL B5T2
LFW-CX5GEN1RS2XYG A4T1</t>
  </si>
  <si>
    <t>yg perlu di evaluasi :
- tidak boleh tidur di jam kerja
- harus pakai sepatu gk boleh pakai sandal
- foto before tidak boleh lupa
- foto km wajib
- saat cs menegecek kaca perlu di tekankan jika kaca yg sudah di pasang tidak bisa di tukar/komplain,
jadi setelah melakukan pemasangan cs wajib cek betul2 dan di tekankan kembali jika kita tidak ada garansi kaca pecah
- bantu review ke cs</t>
  </si>
  <si>
    <t>LFW-FORTUNER05 DAN TRW-FORTUNER05
P. Dicky
+62 812-2148-7905</t>
  </si>
  <si>
    <t>Pagi kak, Untuk kaca depan fortuner 2013 kami ada 2 macam ka
- Orisinil Pabrik =   1.492.000 (LFW-FORTUNER05MU B3T2)
- Orisinil Toyota =   2.998.000 (LFW-FORTUNER05MSG A2T2)
Harga sudah termasuk pemasangan include sealant jasa dan garansi ka
Untuk kaca belakang fortuner kami ready 2 macam kak :
- Kaca belakang bening di 1.967.000 (TRW-FORTUNER05XYG B9T3)
- Kaca belakang Riben/hitam di 2.250.000 (TRW-FORTUNER05BLACKXYG B2T3)
Harga berikut sudah dengan pemasangan di workshop kami</t>
  </si>
  <si>
    <t>fdr-tragaagc (a7t3)
fdl-tragaagc (a7t3)</t>
  </si>
  <si>
    <t>LFW-XPANDERAGC
P. Arik
+62 812-3208-6462</t>
  </si>
  <si>
    <t>Ambil di kedungdoro
2850</t>
  </si>
  <si>
    <t>Brand</t>
  </si>
  <si>
    <t>Model</t>
  </si>
  <si>
    <t>Part Number</t>
  </si>
  <si>
    <t>Unit Price</t>
  </si>
  <si>
    <t>Total Bekasi</t>
  </si>
  <si>
    <t>SURABAYA</t>
  </si>
  <si>
    <t>Total Surabaya</t>
  </si>
  <si>
    <t>All New Pajero 2016-</t>
  </si>
  <si>
    <t>6102B612</t>
  </si>
  <si>
    <t>All New Pajero 2020- (Rain Sensor)</t>
  </si>
  <si>
    <t>72700WB50P</t>
  </si>
  <si>
    <t>Kaca Depan Dengan Rain Sensor</t>
  </si>
  <si>
    <t>Kaca Depan</t>
  </si>
  <si>
    <t>5736A809</t>
  </si>
  <si>
    <t>Kaca Pintu  Penumpang Kiri</t>
  </si>
  <si>
    <t>5736A810</t>
  </si>
  <si>
    <t>Kaca Pintu Penumpang Kanan</t>
  </si>
  <si>
    <t>5706A909</t>
  </si>
  <si>
    <t>Kaca Pintu Kiri Supir</t>
  </si>
  <si>
    <t>5706A910</t>
  </si>
  <si>
    <t>Kaca Pintu Kanan Supir</t>
  </si>
  <si>
    <t>6121A750</t>
  </si>
  <si>
    <t>Kaca Mati Pojok Belakang Kanan</t>
  </si>
  <si>
    <t>5805A543</t>
  </si>
  <si>
    <t>Xpander</t>
  </si>
  <si>
    <t>5736A762</t>
  </si>
  <si>
    <t>RDL-XPANDERAGC</t>
  </si>
  <si>
    <t>5805A528</t>
  </si>
  <si>
    <t>Kaca Belakang</t>
  </si>
  <si>
    <t>5805A701</t>
  </si>
  <si>
    <t xml:space="preserve">Kaca Belakang </t>
  </si>
  <si>
    <t>New Xpander 2022-</t>
  </si>
  <si>
    <t>5805AW020P</t>
  </si>
  <si>
    <t>TRW-NEWXPANDERAGC</t>
  </si>
  <si>
    <t>Mobilio</t>
  </si>
  <si>
    <t>73501-TE7-K01</t>
  </si>
  <si>
    <t>Brio/Mobilio</t>
  </si>
  <si>
    <t>73101-TG4-U01</t>
  </si>
  <si>
    <t>73300-TG4-U11</t>
  </si>
  <si>
    <t>73350-TG4-P00</t>
  </si>
  <si>
    <t>73400-TG4-T01</t>
  </si>
  <si>
    <t>73450-TG4-T01</t>
  </si>
  <si>
    <t>73551-TE7-K07</t>
  </si>
  <si>
    <t>T3211-TG4-U60</t>
  </si>
  <si>
    <t>PICANTO TA18 KIA - R86110-14930</t>
  </si>
  <si>
    <t>Taft GT / Hiline / Feroza (Daihatsu)</t>
  </si>
  <si>
    <t>62712-87602-T01</t>
  </si>
  <si>
    <t>FDL-TAFTGTASH</t>
  </si>
  <si>
    <t>PROMO MULIA OKT 2022</t>
  </si>
  <si>
    <t>KATASIKI</t>
  </si>
  <si>
    <t>TYPE MOBIL</t>
  </si>
  <si>
    <t>&lt;--COD+UT-LO%</t>
  </si>
  <si>
    <t>&lt;--COD+IT-NT%</t>
  </si>
  <si>
    <t>&lt;--COD+NT-DT%</t>
  </si>
  <si>
    <t>&lt;--COD+DT-UTT%</t>
  </si>
  <si>
    <t>ORI OKT22</t>
  </si>
  <si>
    <t>PPN 11%</t>
  </si>
  <si>
    <t>COD OKT22+ 15RB</t>
  </si>
  <si>
    <t>COD+20-39%</t>
  </si>
  <si>
    <t>RU</t>
  </si>
  <si>
    <t>PRM MIN.10</t>
  </si>
  <si>
    <t>COD+40-60%</t>
  </si>
  <si>
    <t>PRM MIN. 5</t>
  </si>
  <si>
    <r>
      <rPr>
        <rFont val="Calibri"/>
        <b/>
        <color theme="1"/>
        <sz val="10.0"/>
      </rPr>
      <t>COD+</t>
    </r>
    <r>
      <rPr>
        <rFont val="Calibri"/>
        <b/>
        <color rgb="FFFF0000"/>
        <sz val="10.0"/>
      </rPr>
      <t>60</t>
    </r>
    <r>
      <rPr>
        <rFont val="Calibri"/>
        <b/>
        <color theme="1"/>
        <sz val="10.0"/>
      </rPr>
      <t>-80%</t>
    </r>
  </si>
  <si>
    <t>PRM MIN.3</t>
  </si>
  <si>
    <t>COD+80-200%</t>
  </si>
  <si>
    <t>PRM 1PC</t>
  </si>
  <si>
    <t>PEMBULATAN</t>
  </si>
  <si>
    <t>BGI GROSS</t>
  </si>
  <si>
    <t>SELISIH</t>
  </si>
  <si>
    <t>GM</t>
  </si>
  <si>
    <t>GRANDMAX 2008-</t>
  </si>
  <si>
    <t>DAI/TOY</t>
  </si>
  <si>
    <t>AX020</t>
  </si>
  <si>
    <t>AVANZA1/XENIA1 2003-11/TA04</t>
  </si>
  <si>
    <t>AX311</t>
  </si>
  <si>
    <t>AVANZA2/XENIA2 2011-15/TA11</t>
  </si>
  <si>
    <t>AG40</t>
  </si>
  <si>
    <t>AVANZA3/XENIA3 2015-20/TA15</t>
  </si>
  <si>
    <t>AX60</t>
  </si>
  <si>
    <t>AVANZA4/XENIA4 2021-/TA21 NONRS</t>
  </si>
  <si>
    <t>AY50</t>
  </si>
  <si>
    <t>AGYA/AYLA 2013-</t>
  </si>
  <si>
    <t>CS80</t>
  </si>
  <si>
    <t>CALYA/SIGRA 2016-</t>
  </si>
  <si>
    <t>D99</t>
  </si>
  <si>
    <t>RUSH1/TERIOS1 2006-17</t>
  </si>
  <si>
    <t>RUSH</t>
  </si>
  <si>
    <t>RUSH2/TERIOS2 2018-</t>
  </si>
  <si>
    <t>MBLO</t>
  </si>
  <si>
    <t>MOBILIO 2014-</t>
  </si>
  <si>
    <t>HA2708(0)</t>
  </si>
  <si>
    <t>JAZZ1 2001-07</t>
  </si>
  <si>
    <t>JAZZ</t>
  </si>
  <si>
    <t>JAZZ2 2008-12</t>
  </si>
  <si>
    <t>HJAZZ</t>
  </si>
  <si>
    <t>JAZZ3 2013-</t>
  </si>
  <si>
    <t>MS146(2)</t>
  </si>
  <si>
    <t>PAJEROSPORT1 2006-15</t>
  </si>
  <si>
    <t>MS146(0)</t>
  </si>
  <si>
    <t>TRITON 2006-15</t>
  </si>
  <si>
    <t>NTRI</t>
  </si>
  <si>
    <t>PAJEROSPORT2 2015-</t>
  </si>
  <si>
    <t>NTRI(0)</t>
  </si>
  <si>
    <t>TRITON2 2015-</t>
  </si>
  <si>
    <t>XPAND</t>
  </si>
  <si>
    <t>XPANDER 2018-</t>
  </si>
  <si>
    <t>LVN</t>
  </si>
  <si>
    <t>LIVINA 2007-18</t>
  </si>
  <si>
    <t>LIVINA 2018-</t>
  </si>
  <si>
    <t>FTR</t>
  </si>
  <si>
    <t>FUTURA/T120SS 1991-18</t>
  </si>
  <si>
    <t>SUFTR</t>
  </si>
  <si>
    <t>FUTURANEW/CARRYNEW 2019-</t>
  </si>
  <si>
    <t>SUWAG</t>
  </si>
  <si>
    <t>KARIMUNWAGONR</t>
  </si>
  <si>
    <t>APV</t>
  </si>
  <si>
    <t>APV 2004-</t>
  </si>
  <si>
    <t>ERTG</t>
  </si>
  <si>
    <t>ERTIGA1 2013-17</t>
  </si>
  <si>
    <t>NERTG</t>
  </si>
  <si>
    <t>ERTIGA2 2018-</t>
  </si>
  <si>
    <t>TT738</t>
  </si>
  <si>
    <t>FORTUNER1/HILUX2 2005-15</t>
  </si>
  <si>
    <t>TT739</t>
  </si>
  <si>
    <t>FORTUNER2/HILUX3 2015-</t>
  </si>
  <si>
    <t>TOVIM</t>
  </si>
  <si>
    <t>VIOS1 2002-07</t>
  </si>
  <si>
    <t>NVIOS</t>
  </si>
  <si>
    <t>VIOS2 2007-13</t>
  </si>
  <si>
    <t>NLIMO</t>
  </si>
  <si>
    <t>VIOS3 2013-</t>
  </si>
  <si>
    <t>YARIS</t>
  </si>
  <si>
    <t>YARIS1 2005-13</t>
  </si>
  <si>
    <t>YARIS2 2013-17</t>
  </si>
  <si>
    <t>YARIS3 2018-</t>
  </si>
  <si>
    <t>IMV</t>
  </si>
  <si>
    <t>INNOVA1 2005-14</t>
  </si>
  <si>
    <t>INVN</t>
  </si>
  <si>
    <t>INNOVA2 2015-</t>
  </si>
  <si>
    <t>HINO</t>
  </si>
  <si>
    <t>HSL</t>
  </si>
  <si>
    <t>TRUCK LOUHAN</t>
  </si>
  <si>
    <t>HINO/TOY</t>
  </si>
  <si>
    <t>NDYNA</t>
  </si>
  <si>
    <t>TRUCK DUTRO/ NEWDYNA2004-</t>
  </si>
  <si>
    <t>FK40</t>
  </si>
  <si>
    <t>TRUCK FIGTHER/FK40</t>
  </si>
  <si>
    <t>MS700</t>
  </si>
  <si>
    <t>TRUCK FE700</t>
  </si>
  <si>
    <t>FE300</t>
  </si>
  <si>
    <t>TRUCK FE300 1994</t>
  </si>
  <si>
    <t>PROMO SM NOV22</t>
  </si>
  <si>
    <t>KATASHIKI</t>
  </si>
  <si>
    <t>TIPE &amp; PART</t>
  </si>
  <si>
    <t>&lt;--COD ST-UT</t>
  </si>
  <si>
    <t>&lt;--COD LT-IT</t>
  </si>
  <si>
    <t>&lt;--COD AT-DT</t>
  </si>
  <si>
    <t>&lt;--COD+DS-STT</t>
  </si>
  <si>
    <t>PPN OKT22</t>
  </si>
  <si>
    <t>COD+10-20%</t>
  </si>
  <si>
    <t>MIN.10PCS</t>
  </si>
  <si>
    <t>COD+30-50%</t>
  </si>
  <si>
    <t>MIN.5 PCS</t>
  </si>
  <si>
    <t>COD+51-80%</t>
  </si>
  <si>
    <t>MIN.3PCS</t>
  </si>
  <si>
    <t>COD+81-100%</t>
  </si>
  <si>
    <t>1PCS</t>
  </si>
  <si>
    <t>E46</t>
  </si>
  <si>
    <t>E46 FHG</t>
  </si>
  <si>
    <t>E87</t>
  </si>
  <si>
    <t>E87 FHG</t>
  </si>
  <si>
    <t>HB09</t>
  </si>
  <si>
    <t>AVEOT250/LOVA/KALOS FHN</t>
  </si>
  <si>
    <t>CHERRY</t>
  </si>
  <si>
    <t>QQ</t>
  </si>
  <si>
    <t>QQ FHC</t>
  </si>
  <si>
    <t>FDRG</t>
  </si>
  <si>
    <t>RANGER1 2002-11 FHN</t>
  </si>
  <si>
    <t>FD2501</t>
  </si>
  <si>
    <t>FOCUS 2004-11 FHN</t>
  </si>
  <si>
    <t>FORD/MAZDA</t>
  </si>
  <si>
    <t>BC1</t>
  </si>
  <si>
    <t>LIATA/LANTIS/FAMILIA FHN</t>
  </si>
  <si>
    <t>HNCRV</t>
  </si>
  <si>
    <t>CRV4 2013-17 FHN</t>
  </si>
  <si>
    <t>AE4</t>
  </si>
  <si>
    <t>CRV3 ADA CAT RS FHN</t>
  </si>
  <si>
    <t>SX8</t>
  </si>
  <si>
    <t>CITYZ 1996-02 FHG</t>
  </si>
  <si>
    <t>MX</t>
  </si>
  <si>
    <t>ATOZ FHN</t>
  </si>
  <si>
    <t>AUV</t>
  </si>
  <si>
    <t>PANTHER1 1990- FHN</t>
  </si>
  <si>
    <t>WS268</t>
  </si>
  <si>
    <t>GRANDCHEROOKE 1196- FHC</t>
  </si>
  <si>
    <t>KIARIO</t>
  </si>
  <si>
    <t>RIO TAXI 2000-05 FHN</t>
  </si>
  <si>
    <t>MERCY</t>
  </si>
  <si>
    <t>C180</t>
  </si>
  <si>
    <t>W202 C180 FHC</t>
  </si>
  <si>
    <t>L300</t>
  </si>
  <si>
    <t>L300 FHC</t>
  </si>
  <si>
    <t>C24</t>
  </si>
  <si>
    <t>SERENA2/C24 FHN</t>
  </si>
  <si>
    <t>SZ114</t>
  </si>
  <si>
    <t>JIMNYKATANA FHG/C</t>
  </si>
  <si>
    <t>FJ70</t>
  </si>
  <si>
    <t>LC FJ70 1984 FHC</t>
  </si>
  <si>
    <t>TT166</t>
  </si>
  <si>
    <t>LC FJ40 FHC</t>
  </si>
  <si>
    <t>NL</t>
  </si>
  <si>
    <t>ALTIS1 2000-07 FHG</t>
  </si>
  <si>
    <t>TTCAM</t>
  </si>
  <si>
    <t>CAMRY4 2011-17 FHC</t>
  </si>
  <si>
    <t>908T</t>
  </si>
  <si>
    <t>SOLUNA FHN</t>
  </si>
  <si>
    <t>SLOW        MOVING       NOVEMBER    2022</t>
  </si>
  <si>
    <t>&lt;--COD+UA-DT%</t>
  </si>
  <si>
    <t>&lt;--COD LA-DT%</t>
  </si>
  <si>
    <t>&lt;--COD LA-STT%</t>
  </si>
  <si>
    <t>&lt;--COD+AT-UTT&amp;</t>
  </si>
  <si>
    <t>KATASHIKI KUNING TDK ADA DI BGI, ANGKA DIMERAHIN HARGA MEPET</t>
  </si>
  <si>
    <t>OKT22</t>
  </si>
  <si>
    <t>+PPN 11%</t>
  </si>
  <si>
    <t>COD+25-60%</t>
  </si>
  <si>
    <r>
      <rPr>
        <rFont val="Times New Roman"/>
        <b/>
        <color rgb="FF000000"/>
        <sz val="8.0"/>
      </rPr>
      <t>COD+</t>
    </r>
    <r>
      <rPr>
        <rFont val="Times New Roman"/>
        <b/>
        <color rgb="FFFF0000"/>
        <sz val="8.0"/>
      </rPr>
      <t>35</t>
    </r>
    <r>
      <rPr>
        <rFont val="Times New Roman"/>
        <b/>
        <color rgb="FF000000"/>
        <sz val="8.0"/>
      </rPr>
      <t>-80%</t>
    </r>
  </si>
  <si>
    <t>MIN.5PCS</t>
  </si>
  <si>
    <r>
      <rPr>
        <rFont val="Times New Roman"/>
        <b/>
        <color rgb="FF000000"/>
        <sz val="8.0"/>
      </rPr>
      <t>COD+</t>
    </r>
    <r>
      <rPr>
        <rFont val="Times New Roman"/>
        <b/>
        <color rgb="FFFF0000"/>
        <sz val="8.0"/>
      </rPr>
      <t>35</t>
    </r>
    <r>
      <rPr>
        <rFont val="Times New Roman"/>
        <b/>
        <color rgb="FF000000"/>
        <sz val="8.0"/>
      </rPr>
      <t>-100%</t>
    </r>
  </si>
  <si>
    <t>COD+50-200%</t>
  </si>
  <si>
    <t>1PC</t>
  </si>
  <si>
    <t>JASA</t>
  </si>
  <si>
    <t>A4</t>
  </si>
  <si>
    <t>A4 SEDAN 1994-01 FHG</t>
  </si>
  <si>
    <t>PS PU 450,STP 675 BYR</t>
  </si>
  <si>
    <t>E34</t>
  </si>
  <si>
    <t>E34 1987-96 FHG</t>
  </si>
  <si>
    <t>BM519</t>
  </si>
  <si>
    <t>E36 1990 - 2000 FHG</t>
  </si>
  <si>
    <t>E46 1997-06 FHG</t>
  </si>
  <si>
    <t>E87 2004-13 FHG</t>
  </si>
  <si>
    <t>QQ 2007- FHC</t>
  </si>
  <si>
    <t>CHEV/HOLDEN</t>
  </si>
  <si>
    <t>AVEOT250/BARINA 2005-11 FHN</t>
  </si>
  <si>
    <t>TRO</t>
  </si>
  <si>
    <t>TROOPER 1990 FH0</t>
  </si>
  <si>
    <t>KARET PAKAI YANG LAMA</t>
  </si>
  <si>
    <t>SPIN</t>
  </si>
  <si>
    <t>SPIN 2012 FHN</t>
  </si>
  <si>
    <t>GRANDMAX 2008 - FHN</t>
  </si>
  <si>
    <t>GMD</t>
  </si>
  <si>
    <t>GRANDMAX 2008- AR</t>
  </si>
  <si>
    <t>PS PU 250 STP 475 BYR</t>
  </si>
  <si>
    <t>SIRION</t>
  </si>
  <si>
    <t>SIRION1 2007-11 FHN</t>
  </si>
  <si>
    <t>NSRN</t>
  </si>
  <si>
    <t>SIRION2 2011-18 FHN</t>
  </si>
  <si>
    <t>X626</t>
  </si>
  <si>
    <t>TARUNA 1999-07 FHN</t>
  </si>
  <si>
    <t>LIATA/LANTIS/FAMILIA 1995 FHN</t>
  </si>
  <si>
    <t>RANGER/EVEREST 2002-06 FHN</t>
  </si>
  <si>
    <t>F2398</t>
  </si>
  <si>
    <t>RANGER 2012- FHN</t>
  </si>
  <si>
    <t>FOCUSPOLISI 2004-11 FHN</t>
  </si>
  <si>
    <t>FIEST</t>
  </si>
  <si>
    <t>FIESTA 2008- FHN</t>
  </si>
  <si>
    <t>GTO</t>
  </si>
  <si>
    <t>TELSTAR 1992- FHC</t>
  </si>
  <si>
    <t>MA009</t>
  </si>
  <si>
    <t>TELSTAR TX5 1990-92 FHC</t>
  </si>
  <si>
    <t>HINO LOUHAN FH0</t>
  </si>
  <si>
    <t>Y078</t>
  </si>
  <si>
    <t>LOUHAN FDL/R</t>
  </si>
  <si>
    <t>HINO-DYNA DUTRO 2004- FH0</t>
  </si>
  <si>
    <t>SV4</t>
  </si>
  <si>
    <t>ACCORDCIELO 1993-97 FHC</t>
  </si>
  <si>
    <t>BRIO1/BRIO2/MOBILIO 2014- FHN</t>
  </si>
  <si>
    <t>BRV</t>
  </si>
  <si>
    <t>BRV 2015 FHN</t>
  </si>
  <si>
    <t>NCITY</t>
  </si>
  <si>
    <t>NEWCITY 2002-08 FHN</t>
  </si>
  <si>
    <t>SO4</t>
  </si>
  <si>
    <t>CIVICFERIO 1996-00 FHC</t>
  </si>
  <si>
    <t>SH4</t>
  </si>
  <si>
    <t>CIVICGRAND 4D 1987-91 FHG</t>
  </si>
  <si>
    <t>SH3</t>
  </si>
  <si>
    <t>CIVICGRAND 2D/NOUVA 1998-FHC</t>
  </si>
  <si>
    <t>P/PS</t>
  </si>
  <si>
    <t>CRV3 2007 - 2011 FHC</t>
  </si>
  <si>
    <t>CRV4 2012-16 FHC</t>
  </si>
  <si>
    <t>HRV</t>
  </si>
  <si>
    <t>HRV 2015- FHC</t>
  </si>
  <si>
    <t>HA2708</t>
  </si>
  <si>
    <t>JAZZ1 2001-07 FHN</t>
  </si>
  <si>
    <t>JAZZ2 2008-13 FHN</t>
  </si>
  <si>
    <t>JAZZ3 2014- FHN</t>
  </si>
  <si>
    <t>AC5</t>
  </si>
  <si>
    <t>ACCENT/EXCEL 1994-00 FHN</t>
  </si>
  <si>
    <t>ATOZ 1997-14 FHN</t>
  </si>
  <si>
    <t>GETZ</t>
  </si>
  <si>
    <t>GETZ 2002-11 FHC</t>
  </si>
  <si>
    <t>X4</t>
  </si>
  <si>
    <t>VERNA/AVEGA FHC</t>
  </si>
  <si>
    <t>HDMT</t>
  </si>
  <si>
    <t>MIGHTY TRUCK FH0</t>
  </si>
  <si>
    <t>DMAX</t>
  </si>
  <si>
    <t>D-MAX1 2003-14 FHN</t>
  </si>
  <si>
    <t>NKR58</t>
  </si>
  <si>
    <t>ELF/NKR 1993-17 FH0</t>
  </si>
  <si>
    <t>NLR55</t>
  </si>
  <si>
    <t>ELFNEW/ELF NLR558 2017- FHN</t>
  </si>
  <si>
    <t>GM588</t>
  </si>
  <si>
    <t>NPR SERIES 1994 FHN</t>
  </si>
  <si>
    <t>PANTHER1 1991-00 FH0</t>
  </si>
  <si>
    <t>NPANT</t>
  </si>
  <si>
    <t>PANTHER2 2000-FHN</t>
  </si>
  <si>
    <t>WS266</t>
  </si>
  <si>
    <t>CHEROKEE 1994-96 FHC</t>
  </si>
  <si>
    <t>GRAND CHEROKEE 1996 FHC</t>
  </si>
  <si>
    <t>KCRT</t>
  </si>
  <si>
    <t>CERATO 2004-09 FHN</t>
  </si>
  <si>
    <t>CRS</t>
  </si>
  <si>
    <t>CARENS1/CARENS2 2000-07 FHC</t>
  </si>
  <si>
    <t>KIAPIC</t>
  </si>
  <si>
    <t>PICANTO1 2004-10 FHC</t>
  </si>
  <si>
    <t>NKPC</t>
  </si>
  <si>
    <t>PICANTO2 2012-17 FHN</t>
  </si>
  <si>
    <t>PREGIO</t>
  </si>
  <si>
    <t>PREGIO 2004- FHN</t>
  </si>
  <si>
    <t>RIOTAXI 2000-05 FHN</t>
  </si>
  <si>
    <t>NKRIO</t>
  </si>
  <si>
    <t>RIOUB 2012-17 FHN</t>
  </si>
  <si>
    <t>KI804</t>
  </si>
  <si>
    <t>SPORTAGE1 1993-05 FHC</t>
  </si>
  <si>
    <t>K2539</t>
  </si>
  <si>
    <t>SPORTAGE2 2004-10 FHC</t>
  </si>
  <si>
    <t>K27</t>
  </si>
  <si>
    <t>TRAVELLO 2004- FHN</t>
  </si>
  <si>
    <t>S515I</t>
  </si>
  <si>
    <t>TIMOR 1992- FHN</t>
  </si>
  <si>
    <t>SANT</t>
  </si>
  <si>
    <t>VISTO 2001- FHG</t>
  </si>
  <si>
    <t>MA323</t>
  </si>
  <si>
    <t>INTERPLAY 1992-97 FHG</t>
  </si>
  <si>
    <t>B457</t>
  </si>
  <si>
    <t>LASER 323 1989-94 FHC</t>
  </si>
  <si>
    <t>MA706</t>
  </si>
  <si>
    <t>MX6 1987-92 COUPE/HB FHG</t>
  </si>
  <si>
    <t>W202 1993- FHC</t>
  </si>
  <si>
    <t>C230</t>
  </si>
  <si>
    <t>W203 1997-FHC</t>
  </si>
  <si>
    <t>MB305</t>
  </si>
  <si>
    <t>W210 1995-03 RSFHC</t>
  </si>
  <si>
    <t>MB361</t>
  </si>
  <si>
    <t>W123 1976-86 FHC</t>
  </si>
  <si>
    <t>KARET PAKAI YANG LAMA, LIST CHROME BISA BENGKOK</t>
  </si>
  <si>
    <t>W211</t>
  </si>
  <si>
    <t>W211 2002-09 FHG</t>
  </si>
  <si>
    <t>FRE</t>
  </si>
  <si>
    <t>KUDA 1998 FHC0</t>
  </si>
  <si>
    <t>E41</t>
  </si>
  <si>
    <t>LANCEREVO3 1993- FHG</t>
  </si>
  <si>
    <t>L300 1980- FH0</t>
  </si>
  <si>
    <t>MMIRA</t>
  </si>
  <si>
    <t>MIRAGE 2014- FHN</t>
  </si>
  <si>
    <t>PJR</t>
  </si>
  <si>
    <t>PAJEROSPORT1 2006-15 FHN</t>
  </si>
  <si>
    <t>PAJEROSPORT2 2015- FHN</t>
  </si>
  <si>
    <t>TRUCK FK40 FH0</t>
  </si>
  <si>
    <t xml:space="preserve"> FE300/RAGASA 1994 FH0</t>
  </si>
  <si>
    <t xml:space="preserve"> F700/CANTER 2007- FH0</t>
  </si>
  <si>
    <t>XPANDER 2018- FHN</t>
  </si>
  <si>
    <t>MORRIS</t>
  </si>
  <si>
    <t>LY001</t>
  </si>
  <si>
    <t>MINI SEDAN 1961-66 FHC0</t>
  </si>
  <si>
    <t>KARET PAKAI YG LAMA</t>
  </si>
  <si>
    <t>B13</t>
  </si>
  <si>
    <t>SENTRA/SUNNY 1991- FHC</t>
  </si>
  <si>
    <t>Y31</t>
  </si>
  <si>
    <t>CEDRIC 1987-04FHN</t>
  </si>
  <si>
    <t>NICEF</t>
  </si>
  <si>
    <t>CEFIRO 1988-FHG</t>
  </si>
  <si>
    <t>D22</t>
  </si>
  <si>
    <t>FRONTIERD22 1997-04 FHN</t>
  </si>
  <si>
    <t>N2510</t>
  </si>
  <si>
    <t>NAVARAD40 2005-2010 FHN</t>
  </si>
  <si>
    <t>NSOB</t>
  </si>
  <si>
    <t>NAVARAD23 2015-FHC</t>
  </si>
  <si>
    <t>SERENA2C24 1999-12 FHN</t>
  </si>
  <si>
    <t>GRANDLIVINA FHN</t>
  </si>
  <si>
    <t>MAXI/A32</t>
  </si>
  <si>
    <t>INFINITY/MAXIMA 1996- FHG</t>
  </si>
  <si>
    <t>NJUKE</t>
  </si>
  <si>
    <t>JUKE 2010-19 FHN</t>
  </si>
  <si>
    <t>C11</t>
  </si>
  <si>
    <t>LATIO 2015- FHC</t>
  </si>
  <si>
    <t>MARCH</t>
  </si>
  <si>
    <t>MARCH 2011- FHN</t>
  </si>
  <si>
    <t>Y60</t>
  </si>
  <si>
    <t>PATROL 1980  FHC0</t>
  </si>
  <si>
    <t>WD21</t>
  </si>
  <si>
    <t>TERRANO 1986-95 FHC</t>
  </si>
  <si>
    <t>ZR30</t>
  </si>
  <si>
    <t>XTRAIL1T30 2004-08 FHC</t>
  </si>
  <si>
    <t>XT07</t>
  </si>
  <si>
    <t>XTRAIL2T31 2007-13FHC</t>
  </si>
  <si>
    <t>UD NISSAN</t>
  </si>
  <si>
    <t>UDQST</t>
  </si>
  <si>
    <t>UD QUESTER FHN</t>
  </si>
  <si>
    <t>APV 2004- FHN</t>
  </si>
  <si>
    <t>S1AP</t>
  </si>
  <si>
    <t>APV 2004- AR</t>
  </si>
  <si>
    <t>SZ687</t>
  </si>
  <si>
    <t>BALENO1 1995-01 FHG</t>
  </si>
  <si>
    <t>SL410</t>
  </si>
  <si>
    <t>CARRY 1991-17 FDL/R</t>
  </si>
  <si>
    <t>ERTIGA1 2013-17 FHN</t>
  </si>
  <si>
    <t>ERTIGA2 2018- FHN</t>
  </si>
  <si>
    <t>ERTIGA2 2018- FDL/R</t>
  </si>
  <si>
    <t>ASH IKUT R31</t>
  </si>
  <si>
    <t>ERTIGA2 2018- RDL/R</t>
  </si>
  <si>
    <t>YOG</t>
  </si>
  <si>
    <t>ESTEEM 1989-90 FHG</t>
  </si>
  <si>
    <t>FUTURA/SS 1991-2018 FH0</t>
  </si>
  <si>
    <t>Y9B</t>
  </si>
  <si>
    <t>FUTURA 1991-18 FDL/R</t>
  </si>
  <si>
    <t>FUTURANEWCARRYNEW 2019- FHN</t>
  </si>
  <si>
    <t>SUESC</t>
  </si>
  <si>
    <t>GRANDESCUDO 2001 FHN</t>
  </si>
  <si>
    <t>JIMNYKATANA 1986-91 FH0</t>
  </si>
  <si>
    <t>KARIMUNWAGONR 2014- FHN</t>
  </si>
  <si>
    <t>SUSPL</t>
  </si>
  <si>
    <t>SPLASH 2010- FHN</t>
  </si>
  <si>
    <t>SWIFT</t>
  </si>
  <si>
    <t>SWIFT2 2011- FHN</t>
  </si>
  <si>
    <t>YA7</t>
  </si>
  <si>
    <t>VITARA/ESCUDOYA7 1988-98 FHN</t>
  </si>
  <si>
    <t>TOY/DAI</t>
  </si>
  <si>
    <t>AGYA/AYLA 2013- FHN</t>
  </si>
  <si>
    <t>AY80</t>
  </si>
  <si>
    <t>AGYA/AYLA 2013- AR</t>
  </si>
  <si>
    <t>AVANZA1/XENIA1/TA04 2003-11 FHN</t>
  </si>
  <si>
    <t>AVANZA2/XENIA2/TA11 2011-15 FHN</t>
  </si>
  <si>
    <t>AX210</t>
  </si>
  <si>
    <t>AVANZA2/XENIA2/TA11 2011-20 SWL</t>
  </si>
  <si>
    <t>AX220</t>
  </si>
  <si>
    <t>AVANZA2/XENIA2/TA11 2011-20 SWR</t>
  </si>
  <si>
    <t>BZ420</t>
  </si>
  <si>
    <t>AVANZA2/XENIA2/TA11 2011-20 AR</t>
  </si>
  <si>
    <t>AVANZA3/XENIA3/TA15 2015-20 FHN</t>
  </si>
  <si>
    <r>
      <rPr>
        <rFont val="Calibri"/>
        <color theme="1"/>
        <sz val="6.0"/>
      </rPr>
      <t>AX60</t>
    </r>
  </si>
  <si>
    <t>AVANZA4/XENIA4/TA21 FHN</t>
  </si>
  <si>
    <t>CALYA/SIGRA 2016- FHN</t>
  </si>
  <si>
    <t>CAS20</t>
  </si>
  <si>
    <t>CALYA/SIGRA 2016- AR</t>
  </si>
  <si>
    <t>CS330</t>
  </si>
  <si>
    <t>CALYA/SIGRA 2016- FDL/R</t>
  </si>
  <si>
    <t>CS300</t>
  </si>
  <si>
    <t>CALYA/SIGRA 2016- SWL/R</t>
  </si>
  <si>
    <t>RUSH1/TERIOS1 2007-18 FHN</t>
  </si>
  <si>
    <t>RUSH2/TERIOS2 2018- FHN</t>
  </si>
  <si>
    <t>TR31 RMCB</t>
  </si>
  <si>
    <t>RUSH2/TERIOS2 2018- AR</t>
  </si>
  <si>
    <t>ALTIS 2000-06 FHG</t>
  </si>
  <si>
    <t>CAMRY4 2011-16 FHC</t>
  </si>
  <si>
    <t>KE70</t>
  </si>
  <si>
    <t>COROLLA KE70 1983-87/DX FHC0</t>
  </si>
  <si>
    <t>KE92</t>
  </si>
  <si>
    <t>COROLLATWINCAMKE92 1988 FHC</t>
  </si>
  <si>
    <t>KE100</t>
  </si>
  <si>
    <t>COROLLAGREAT 1988-94 FHC</t>
  </si>
  <si>
    <t>KE120</t>
  </si>
  <si>
    <t>COROLLAALLNEW 1996- FHC</t>
  </si>
  <si>
    <t>TCS</t>
  </si>
  <si>
    <t>CRESSIDA 1976-92 FHG</t>
  </si>
  <si>
    <t>AT170</t>
  </si>
  <si>
    <t>CORONA AT17 1988 FHC</t>
  </si>
  <si>
    <t>AT190</t>
  </si>
  <si>
    <t>CORONA AT19 1993-94 FHC</t>
  </si>
  <si>
    <t>LC FJ40/45 1976-84 FHC0</t>
  </si>
  <si>
    <t>FJ79</t>
  </si>
  <si>
    <t>HZJ78/79 2002-07 FHN</t>
  </si>
  <si>
    <t>LC FJ70 1984- FHC0</t>
  </si>
  <si>
    <t>FORTUNER1/HILUX2 2005-15 FHG</t>
  </si>
  <si>
    <t>FORTUNER2/HILUX3 2015- FHG</t>
  </si>
  <si>
    <t>INNOVA1 2005-14 FHN</t>
  </si>
  <si>
    <t>INNOVA2 2015- FHN</t>
  </si>
  <si>
    <t>K125</t>
  </si>
  <si>
    <t>KIJANGSUPER/GRAND K125 FHN</t>
  </si>
  <si>
    <t>510T</t>
  </si>
  <si>
    <t>KIJANGKAPSUL 510T FHN</t>
  </si>
  <si>
    <t>KIKAP</t>
  </si>
  <si>
    <t>KIJANGKAPSULEFI 2002-04 FHN</t>
  </si>
  <si>
    <t>SOLUNA 1997-03 FHN</t>
  </si>
  <si>
    <t>VIOS1 2002-07 FHN</t>
  </si>
  <si>
    <t>VIOS2 2007-13 FHN</t>
  </si>
  <si>
    <t>VIOS3 2013-/YARIS2 2013-/YARIS3 2018- FHN</t>
  </si>
  <si>
    <t>YARIS 2006-12 FHN</t>
  </si>
  <si>
    <t>WCON</t>
  </si>
  <si>
    <t>CONFERO 2016- FHC</t>
  </si>
  <si>
    <t>FYG Code</t>
  </si>
  <si>
    <t>BGI Code</t>
  </si>
  <si>
    <t>MULIA Code</t>
  </si>
  <si>
    <t>PL KHUSUS* QTY</t>
  </si>
  <si>
    <t>PL</t>
  </si>
  <si>
    <t>A3-96-LFW-GTN/M</t>
  </si>
  <si>
    <t>A07-A303-8P-LFW-GTY/M</t>
  </si>
  <si>
    <t>AUDIA4-2001 LFW/X-GTN/M</t>
  </si>
  <si>
    <t>AUDIA4-B7-LFWRS-GTY/R</t>
  </si>
  <si>
    <t>A4B8-LFWRS2-GTY/R</t>
  </si>
  <si>
    <t>5601ELFWGBN</t>
  </si>
  <si>
    <t>A05-A408 -B8-LFWRS-GTY/R</t>
  </si>
  <si>
    <t>75200TRWGTN</t>
  </si>
  <si>
    <t>A02-A604-C6-LFWRS-GTN/R</t>
  </si>
  <si>
    <t>A604-TRWH-GTN</t>
  </si>
  <si>
    <t>59110LFWCGN</t>
  </si>
  <si>
    <t>A04-A611-C7-LFWRS-GTY/R</t>
  </si>
  <si>
    <t>7586ATRWGTY</t>
  </si>
  <si>
    <t>Q3-LFWRS-GTY/R</t>
  </si>
  <si>
    <t>A03-Q508-LFWRS-GTY/R</t>
  </si>
  <si>
    <t>A02-Q508-TRWH-YPN</t>
  </si>
  <si>
    <t>A01-Q706-LFW/RS-GTY/R</t>
  </si>
  <si>
    <t>Q719-LFWRS-GTY/RK</t>
  </si>
  <si>
    <t>03640LFWCGN</t>
  </si>
  <si>
    <t>E30-LFW-GGN</t>
  </si>
  <si>
    <t>03620TRWGTN</t>
  </si>
  <si>
    <t>03780LFWGTN</t>
  </si>
  <si>
    <t>E36-LFW-GTN/M</t>
  </si>
  <si>
    <t>1318BTRWGTN</t>
  </si>
  <si>
    <t>E36-TRWH-GTN</t>
  </si>
  <si>
    <t>13180TDR1CLN</t>
  </si>
  <si>
    <t>E36-FDL-GTN/W</t>
  </si>
  <si>
    <t>13180TDR2CLN</t>
  </si>
  <si>
    <t>E36-FDR-GTN/W</t>
  </si>
  <si>
    <t>13180TDR3CLN</t>
  </si>
  <si>
    <t>13180TDR4GTN</t>
  </si>
  <si>
    <t>24530LFWGTN</t>
  </si>
  <si>
    <t>5057DLFWGTN</t>
  </si>
  <si>
    <t>E46-LFW-GTN/M</t>
  </si>
  <si>
    <t>2453ATRWGTN</t>
  </si>
  <si>
    <t>FD20440CLN</t>
  </si>
  <si>
    <t>FD20439CLN</t>
  </si>
  <si>
    <t>FD20442CLN</t>
  </si>
  <si>
    <t>FD20441CLN</t>
  </si>
  <si>
    <t>30910LFWGBN</t>
  </si>
  <si>
    <t>E46-LFWCOUPE-GBN</t>
  </si>
  <si>
    <t>BMW 3 Series 98-06 E46 (2-Door Coupe / Cabrio)</t>
  </si>
  <si>
    <t>5291DLFWGTN</t>
  </si>
  <si>
    <t>E90-LFWRS-GTY/R</t>
  </si>
  <si>
    <t>5291ALFWGTN</t>
  </si>
  <si>
    <t>E90-LFW-GTY/M</t>
  </si>
  <si>
    <t>52910TRWGTN</t>
  </si>
  <si>
    <t>FD22617CLN</t>
  </si>
  <si>
    <t>FD22616CLN</t>
  </si>
  <si>
    <t>FD22619CLN</t>
  </si>
  <si>
    <t>FD22618CLN</t>
  </si>
  <si>
    <t>E90-TRWHA-GTN</t>
  </si>
  <si>
    <t>5934GLFWGTY</t>
  </si>
  <si>
    <t>F30-LFWRS-GTY/R</t>
  </si>
  <si>
    <t>59340TRWGTN</t>
  </si>
  <si>
    <t>59340TDR1CLN</t>
  </si>
  <si>
    <t>F30-FDL-GTN</t>
  </si>
  <si>
    <t>59340TDR2CLN</t>
  </si>
  <si>
    <t>59340TDR3CLN</t>
  </si>
  <si>
    <t>FD25624CLN</t>
  </si>
  <si>
    <t>E39-LFW-GTN/M</t>
  </si>
  <si>
    <t>5088CLFWGBN</t>
  </si>
  <si>
    <t>5088ALFWGBN</t>
  </si>
  <si>
    <t>E560-LFWRSO-GBY/MR</t>
  </si>
  <si>
    <t>50880TRWFGTN</t>
  </si>
  <si>
    <t>E60-TRWH-GTN</t>
  </si>
  <si>
    <t>FD22191CLN</t>
  </si>
  <si>
    <t>FD22190CLN</t>
  </si>
  <si>
    <t>FD22197CLN</t>
  </si>
  <si>
    <t>FD22196CLN</t>
  </si>
  <si>
    <t>5831FLFWGTN</t>
  </si>
  <si>
    <t>F10-LFWRS-GTY/MR</t>
  </si>
  <si>
    <t>BMW-F10-13-LFWRSK-GTY/R</t>
  </si>
  <si>
    <t>BMW-F10-TRWH-GTY</t>
  </si>
  <si>
    <t>FD24760CLN</t>
  </si>
  <si>
    <t>FD24759CLN</t>
  </si>
  <si>
    <t>FD24762CLN</t>
  </si>
  <si>
    <t>FD24761CLN</t>
  </si>
  <si>
    <t>BMW7-F02-LFWRS-GTY/MR</t>
  </si>
  <si>
    <t>5810BLFWGTN</t>
  </si>
  <si>
    <t>E84-LFWRS-GTN/MR</t>
  </si>
  <si>
    <t>FB24634GTN</t>
  </si>
  <si>
    <t>X1-E84-TRWH-GTN</t>
  </si>
  <si>
    <t>A116ALFWGTN</t>
  </si>
  <si>
    <t>F48-LFWRS1-GTY/R</t>
  </si>
  <si>
    <t>F48-TRWH-YPN</t>
  </si>
  <si>
    <t>X3-F25-LFWRS-GTY/R</t>
  </si>
  <si>
    <t>X3-F25-TRWH-YPN</t>
  </si>
  <si>
    <t>28860LFWGBN</t>
  </si>
  <si>
    <t>X5-E53-LFWRS-GBY/MR</t>
  </si>
  <si>
    <t>FB20928FYPN</t>
  </si>
  <si>
    <t>E53-TRWH-YPN/K</t>
  </si>
  <si>
    <t>5573ELFWGTN</t>
  </si>
  <si>
    <t>X5-E70-LFW-RS1-GTY/MR</t>
  </si>
  <si>
    <t>55730TRWGTN</t>
  </si>
  <si>
    <t>E70-TRWH-GTY/K</t>
  </si>
  <si>
    <t>55730TDR3CLN</t>
  </si>
  <si>
    <t>55730TDR7GTN</t>
  </si>
  <si>
    <t>A031DLFWGTN</t>
  </si>
  <si>
    <t>X5-F15-LFWRS-GTY/R</t>
  </si>
  <si>
    <t>A0310TDR3CLN</t>
  </si>
  <si>
    <t>A0310TDR4CLN</t>
  </si>
  <si>
    <t>E89-CAB-LFW/RS-GTN/MR</t>
  </si>
  <si>
    <t>Z4-E89-TRWH-GTN</t>
  </si>
  <si>
    <t>7000BLFWGGN</t>
  </si>
  <si>
    <t>SPARK98-LFW-GBN/M</t>
  </si>
  <si>
    <t>QQFWCD</t>
  </si>
  <si>
    <t>7000CTRWGTN</t>
  </si>
  <si>
    <t>QQ-S11-TRW-GTN</t>
  </si>
  <si>
    <t>28170LFWGBN</t>
  </si>
  <si>
    <t>AVEOT200-LFW-GBN/M</t>
  </si>
  <si>
    <t>28170TDR1CLN</t>
  </si>
  <si>
    <t>AVEO-T250-FDL-GTN/K</t>
  </si>
  <si>
    <t>28170TDR2CLN</t>
  </si>
  <si>
    <t>AVEO-T250-FDR-GTN/K</t>
  </si>
  <si>
    <t>2817ATRWGTN</t>
  </si>
  <si>
    <t>AVEO-T250-TRW/H-GTN</t>
  </si>
  <si>
    <t>KALOS4D-TRWH-GTN</t>
  </si>
  <si>
    <t>Chevrolet Aveo 99-11 T200 Sedan (Kalos) (Lampu [] )</t>
  </si>
  <si>
    <t>DW1695GBN</t>
  </si>
  <si>
    <t>T250-LFW-GBN/M</t>
  </si>
  <si>
    <t>Chevrolet Aveo 08-11 T250 Hatch. / (Kalos/Lova) (Pendek)</t>
  </si>
  <si>
    <t>LOVA-TRWH-GTN</t>
  </si>
  <si>
    <t>Chevrolet Aveo 08-11 T250 Sedan (Lova) (Lampu /\ )</t>
  </si>
  <si>
    <t>8717ALFWGTN</t>
  </si>
  <si>
    <t>AVEO-T300-LFW-GTN/M</t>
  </si>
  <si>
    <t>87170TRWGTN</t>
  </si>
  <si>
    <t>AVEO-T300-TRWH-GTN</t>
  </si>
  <si>
    <t>54960LFWGBN</t>
  </si>
  <si>
    <t>CAPTIVA06-LFW-GBN/M</t>
  </si>
  <si>
    <t>5496ALFWGBN</t>
  </si>
  <si>
    <t>CAPTIVA06-LFW/RS-GBN/MR</t>
  </si>
  <si>
    <t>5496CTRWGTN</t>
  </si>
  <si>
    <t>CAPTIVA06-TRW/H/6-GTN</t>
  </si>
  <si>
    <t>5496DTRWGTN</t>
  </si>
  <si>
    <t>54960TDR1CLN</t>
  </si>
  <si>
    <t>C01-CAPTIVA06-FDL-GTN/K</t>
  </si>
  <si>
    <t>54960TDR2CLN</t>
  </si>
  <si>
    <t>C04-CAPTIVA06-FD/R-GTN/K</t>
  </si>
  <si>
    <t>54960TDR3CLY</t>
  </si>
  <si>
    <t>C03-CAPTIVA06-RDL-GTN/K</t>
  </si>
  <si>
    <t>54960TDR4CLY</t>
  </si>
  <si>
    <t>CAPTIVA-RDR-GTN/K</t>
  </si>
  <si>
    <t>54960TDR5CLN</t>
  </si>
  <si>
    <t>54960TDR6CLN</t>
  </si>
  <si>
    <t>COLORADO12-LFW-GBN/M</t>
  </si>
  <si>
    <t>50500LFWCGN</t>
  </si>
  <si>
    <t>OPTRA-LFW-GGN/M</t>
  </si>
  <si>
    <t>5856ALFWGBN</t>
  </si>
  <si>
    <t>ORLANDO12-LFWRS-GBN/MRK</t>
  </si>
  <si>
    <t>58560LFWGTN</t>
  </si>
  <si>
    <t>58560TDR4CLN</t>
  </si>
  <si>
    <t>58560TDR5CLN</t>
  </si>
  <si>
    <t>20820LFWAGBN</t>
  </si>
  <si>
    <t>Chevrolet Spark 98-05 M100 1stGen (800cc) / QQ</t>
  </si>
  <si>
    <t>20820TRWGTN</t>
  </si>
  <si>
    <t>SPARK98-TRWH-GTN</t>
  </si>
  <si>
    <t>57240LFWGBN</t>
  </si>
  <si>
    <t>57240TRWGTN</t>
  </si>
  <si>
    <t>57240TDR3CLN</t>
  </si>
  <si>
    <t>57240TDR4CLN</t>
  </si>
  <si>
    <t>57240TDR6CLN</t>
  </si>
  <si>
    <t>5837BLFWGBN</t>
  </si>
  <si>
    <t>SPARK10-LFW-GBN/M</t>
  </si>
  <si>
    <t>58370TRWGTN</t>
  </si>
  <si>
    <t>58370TDR3CLN</t>
  </si>
  <si>
    <t>58370TDR4CLN</t>
  </si>
  <si>
    <t>58370TDR5CLN</t>
  </si>
  <si>
    <t>C02-SPARK10-RDL-GTN/K</t>
  </si>
  <si>
    <t>58370TDR6CLN</t>
  </si>
  <si>
    <t>SPARKM400-LFW-GTN/M</t>
  </si>
  <si>
    <t>SPARKM400-TRWH-GTN</t>
  </si>
  <si>
    <t>46510LFWGTN</t>
  </si>
  <si>
    <t>SPIN13-LFW-GTN/M</t>
  </si>
  <si>
    <t>SPINFWCD</t>
  </si>
  <si>
    <t>SPIN13-TRW/H/1-GTN</t>
  </si>
  <si>
    <t>TRALBLAZER-LFW-GBN/RW</t>
  </si>
  <si>
    <t>45940TRWGTN</t>
  </si>
  <si>
    <t>TRAILBLAZER-TRW-GTN</t>
  </si>
  <si>
    <t>45940TDR3CLN</t>
  </si>
  <si>
    <t>TRAILBLAZER-RDL-GTN</t>
  </si>
  <si>
    <t>45940TDR4CLN</t>
  </si>
  <si>
    <t>TRAILBLAZER-RDR-GTN</t>
  </si>
  <si>
    <t>4683DLFWGBN</t>
  </si>
  <si>
    <t>TRAX-LFW-GBN/M</t>
  </si>
  <si>
    <t>TRAX17-LFWRS-GBN/M</t>
  </si>
  <si>
    <t>46830TRWGTN</t>
  </si>
  <si>
    <t>TRAX-TRWH-GTN</t>
  </si>
  <si>
    <t>2700CLFWGTN</t>
  </si>
  <si>
    <t>ZAFIRA-LFW-GTN/M</t>
  </si>
  <si>
    <t>27000TRWGTN</t>
  </si>
  <si>
    <t>58810LFWGTN</t>
  </si>
  <si>
    <t>D04-GMAX-LFW-GTN</t>
  </si>
  <si>
    <t>GMFWCB</t>
  </si>
  <si>
    <t>GMDRCB</t>
  </si>
  <si>
    <t>D06-SIRION-LFW-GTN/M</t>
  </si>
  <si>
    <t>SIRIONFWCB</t>
  </si>
  <si>
    <t>51430TRWGTN</t>
  </si>
  <si>
    <t>D06-SIRION07-TRWH-GTN</t>
  </si>
  <si>
    <t>NSRNFWCB</t>
  </si>
  <si>
    <t>D02-SIRION2-TRWH-GTY</t>
  </si>
  <si>
    <t>SIRION3-LFW-GTN</t>
  </si>
  <si>
    <t>X626FWCB</t>
  </si>
  <si>
    <t>D05-TARUNA-TRW-GTN</t>
  </si>
  <si>
    <t>27220LFWGTN</t>
  </si>
  <si>
    <t>YRV-LFW-GTN</t>
  </si>
  <si>
    <t>59920LFWGTN</t>
  </si>
  <si>
    <t>DB11559GTN</t>
  </si>
  <si>
    <t>DODGEJOURNEY-TRW-GTN</t>
  </si>
  <si>
    <t>DODGEJOURNEY-FDL-GTN</t>
  </si>
  <si>
    <t>DODGEJOURNEY-RDR-GTN</t>
  </si>
  <si>
    <t>FIAT500-LFW-GTY/M</t>
  </si>
  <si>
    <t>4684ALFWGTN</t>
  </si>
  <si>
    <t>ECOSPORT-LFW-GTN/M</t>
  </si>
  <si>
    <t>4684BLFWGTN</t>
  </si>
  <si>
    <t>ECOSPORT15-LFW/RS-GTN/MR</t>
  </si>
  <si>
    <t>9245ATRWGTN</t>
  </si>
  <si>
    <t>ECOSPORT15-TRW-GTN</t>
  </si>
  <si>
    <t>92450TDR3CLN</t>
  </si>
  <si>
    <t>ECOSPORT13-FDL-GTN</t>
  </si>
  <si>
    <t>92450TDR4CLN</t>
  </si>
  <si>
    <t>ECOSPORT13-FDR-GTN</t>
  </si>
  <si>
    <t>92450TDR5GTY</t>
  </si>
  <si>
    <t>ECOSPORT-RDL-GTN</t>
  </si>
  <si>
    <t>92450TDR6CLN</t>
  </si>
  <si>
    <t>ECOSPORT13-RDR-GTN</t>
  </si>
  <si>
    <t>DW1397AGBN</t>
  </si>
  <si>
    <t>ESCAPE01-LFW-GBN/M</t>
  </si>
  <si>
    <t>5239ATRWGTN</t>
  </si>
  <si>
    <t>ESCAPE01-TRWH-GTN</t>
  </si>
  <si>
    <t>EVEREST04-LFW-GTN</t>
  </si>
  <si>
    <t>FDRGFWCD</t>
  </si>
  <si>
    <t>3074BTRWGTN</t>
  </si>
  <si>
    <t>F01-EVEREST04-TRW/H-GTN</t>
  </si>
  <si>
    <t>EVEREST15-LFWRS-GTY/R</t>
  </si>
  <si>
    <t>6326NLFWGTN</t>
  </si>
  <si>
    <t>FIESTA08-LFW-GTN/M</t>
  </si>
  <si>
    <t>FIESTFWCB</t>
  </si>
  <si>
    <t>DB11812GTN</t>
  </si>
  <si>
    <t>F06-FIESTA08-TRWH-GTN</t>
  </si>
  <si>
    <t>63260TDR3CLN</t>
  </si>
  <si>
    <t>F04-FIESTA08-FDL-GTN</t>
  </si>
  <si>
    <t>63260TDR4CLN</t>
  </si>
  <si>
    <t>F05-FIESTA08-FDR-GTN</t>
  </si>
  <si>
    <t>DD11807CLN</t>
  </si>
  <si>
    <t>FIESTA08-RD/L-GTN</t>
  </si>
  <si>
    <t>DD11806CLN</t>
  </si>
  <si>
    <t>FIESTA08-RD/R-GTN</t>
  </si>
  <si>
    <t>6326HLFWGTN</t>
  </si>
  <si>
    <t>F02-FIESTA13-LFWRSO-GTY/MR</t>
  </si>
  <si>
    <t>95610LFWGTN</t>
  </si>
  <si>
    <t>F03-FIESTA08-LFWRS[]-GTY/MR</t>
  </si>
  <si>
    <t>53380LFWGTN</t>
  </si>
  <si>
    <t>F08-FOCUS04-LFW-GTN/M</t>
  </si>
  <si>
    <t>2560ATRWGTN</t>
  </si>
  <si>
    <t>DW02206GTY</t>
  </si>
  <si>
    <t>F07-FOCUS11-LFWRS-GTY/MK</t>
  </si>
  <si>
    <t>DB11879GTY</t>
  </si>
  <si>
    <t>MUSTANG-LFWRS-GTN/MR</t>
  </si>
  <si>
    <t>Ford Mustang 2D Coupe 15-23</t>
  </si>
  <si>
    <t>59500LFWGTN</t>
  </si>
  <si>
    <t>RANGERT6-LFWRS-GTN/MR</t>
  </si>
  <si>
    <t>RANGER-T6-LFW-GTN/M</t>
  </si>
  <si>
    <t>F2398FWCD0</t>
  </si>
  <si>
    <t>F02-RANGER11-TRW/H-GTN</t>
  </si>
  <si>
    <t>8410ALFWGTN</t>
  </si>
  <si>
    <t>GEELYMK-LFW-GTN/M</t>
  </si>
  <si>
    <t>83640LFWGTN</t>
  </si>
  <si>
    <t>PANDA-LFW-GTN/M</t>
  </si>
  <si>
    <t>G01-PANDA-LC-TRWH6-GTN</t>
  </si>
  <si>
    <t>FW520GTN</t>
  </si>
  <si>
    <t>ACCORD86-LFW-GTN</t>
  </si>
  <si>
    <t>02880TRWGTN</t>
  </si>
  <si>
    <t>02880TDR1CLN</t>
  </si>
  <si>
    <t>02880TDR2CLN</t>
  </si>
  <si>
    <t>ACCORD86-FD/R-GTN</t>
  </si>
  <si>
    <t>02880TDR3CLN</t>
  </si>
  <si>
    <t>02880TDR4CLN</t>
  </si>
  <si>
    <t>02840LFWGTN</t>
  </si>
  <si>
    <t>H03-MAESTRO-LFW-GTN</t>
  </si>
  <si>
    <t>02840TRWGTN</t>
  </si>
  <si>
    <t>MAESTRO-TRW/H-GTN</t>
  </si>
  <si>
    <t>03110LFWGBN</t>
  </si>
  <si>
    <t>CIELO-LFW-GBN</t>
  </si>
  <si>
    <t>03110TRWGTN</t>
  </si>
  <si>
    <t>CIELO-TRW-GTN</t>
  </si>
  <si>
    <t>CIELO2-TRW-GTN</t>
  </si>
  <si>
    <t>1644ALFWGBN</t>
  </si>
  <si>
    <t>H14-ACCORD98-S84-LFW-GBN/M</t>
  </si>
  <si>
    <t>3056ATRWGTN</t>
  </si>
  <si>
    <t>H16-ACCORD98-S84-TRWH-GTN</t>
  </si>
  <si>
    <t>FD20318CLN</t>
  </si>
  <si>
    <t>FD20317CLN</t>
  </si>
  <si>
    <t>H15-ACCORD98-S84-RDR-GTN/K</t>
  </si>
  <si>
    <t>50630LFWGTN</t>
  </si>
  <si>
    <t>ACCORD03-LFW-GTN/M</t>
  </si>
  <si>
    <t>50630TRWGTN</t>
  </si>
  <si>
    <t>ACCORD03-TRW-GTN</t>
  </si>
  <si>
    <t>5572CLFWGBN</t>
  </si>
  <si>
    <t>ACCORD08-LFW-GBN/M</t>
  </si>
  <si>
    <t>H17-ACCORD08-LFWRS-GBY/MR</t>
  </si>
  <si>
    <t>55720TRWGTN</t>
  </si>
  <si>
    <t>ACCORD08-TRW-GTN</t>
  </si>
  <si>
    <t>4629GLFWGBN</t>
  </si>
  <si>
    <t>ACCORD13-LFWRS-GBN/MRK</t>
  </si>
  <si>
    <t>46290LFWCGN</t>
  </si>
  <si>
    <t>46290TRWGTN</t>
  </si>
  <si>
    <t>ACCORD13-TRWH-GTY/K</t>
  </si>
  <si>
    <t>46290TDR2CLN</t>
  </si>
  <si>
    <t>46290TDR3CLN</t>
  </si>
  <si>
    <t>H04-BRV-LFW-GTN</t>
  </si>
  <si>
    <t>BRV-TRW/1-GTN</t>
  </si>
  <si>
    <t>BRV22-LFWRS-GTN/K</t>
  </si>
  <si>
    <t>Honda BR-V 22- 2nd Gen (1 Sensor / /\ )</t>
  </si>
  <si>
    <t>46910LFWGTN</t>
  </si>
  <si>
    <t>BRIO12-LFW-GTN</t>
  </si>
  <si>
    <t>MBLOFWCB</t>
  </si>
  <si>
    <t>BRIO12-TRWN-GTN</t>
  </si>
  <si>
    <t>H09-BRIO1-TRW9-GTN</t>
  </si>
  <si>
    <t>BRIO19-TRW-GTN</t>
  </si>
  <si>
    <t>12490LFWGTN</t>
  </si>
  <si>
    <t>CITYZ-LFW-GTN</t>
  </si>
  <si>
    <t>SX8FWCD</t>
  </si>
  <si>
    <t>1249ATRWGTN</t>
  </si>
  <si>
    <t>CITYZ-TRW/H-GTN</t>
  </si>
  <si>
    <t>50510LFWGTN</t>
  </si>
  <si>
    <t>CITY02-LFW-GTN</t>
  </si>
  <si>
    <t>NCITYFWCB</t>
  </si>
  <si>
    <t>50510TRWGTN</t>
  </si>
  <si>
    <t>CITY02-TRW/H-GTN</t>
  </si>
  <si>
    <t>5706ALFWGTN</t>
  </si>
  <si>
    <t>CITY08-LFW-GTN</t>
  </si>
  <si>
    <t>57060TRWGTN</t>
  </si>
  <si>
    <t>CITY08-TRWH-GTN</t>
  </si>
  <si>
    <t>A017BLFWGTN</t>
  </si>
  <si>
    <t>H18-CITY14-LFW-GTN/M</t>
  </si>
  <si>
    <t>CITY14-TRWH-GTN</t>
  </si>
  <si>
    <t>CITY20-LFW-GTN/M</t>
  </si>
  <si>
    <t>SH4FWCB</t>
  </si>
  <si>
    <t>FW732GTN</t>
  </si>
  <si>
    <t>H19-ESTILO-LFW-GTN/M</t>
  </si>
  <si>
    <t>02920TRWGTN</t>
  </si>
  <si>
    <t>ESTILO-TRWH-GTN</t>
  </si>
  <si>
    <t>02920TDR1CLN</t>
  </si>
  <si>
    <t>ESTILO-FDL-GTN/K</t>
  </si>
  <si>
    <t>02920TDR2CLN</t>
  </si>
  <si>
    <t>H20-ESTILO-FDR-GTN</t>
  </si>
  <si>
    <t>02920TDR3CLN</t>
  </si>
  <si>
    <t>02920TDR4CLN</t>
  </si>
  <si>
    <t>FW709GTN</t>
  </si>
  <si>
    <t>GENIO-LFW-GTN/M</t>
  </si>
  <si>
    <t>FD4597CLN</t>
  </si>
  <si>
    <t>0318ATRWGTN</t>
  </si>
  <si>
    <t>GENIO-TRW/H-GTN</t>
  </si>
  <si>
    <t>1067ALFWGGN</t>
  </si>
  <si>
    <t>FERIO-LFW-GGN</t>
  </si>
  <si>
    <t>10670TRWGTN</t>
  </si>
  <si>
    <t>H05-CIVIC96-TRWH-GTN</t>
  </si>
  <si>
    <t>10670TDR4CLN</t>
  </si>
  <si>
    <t>10670TDR5CLN</t>
  </si>
  <si>
    <t>10670TDR6CLN</t>
  </si>
  <si>
    <t>2616ALFWGBY</t>
  </si>
  <si>
    <t>CIVIC00-LFW-GBN</t>
  </si>
  <si>
    <t>FB21072GTN</t>
  </si>
  <si>
    <t>H06-CIVIC00-TRWHA-GTN</t>
  </si>
  <si>
    <t>CIVIC05-HB-TRW-GTN</t>
  </si>
  <si>
    <t>5373CLFWGBN</t>
  </si>
  <si>
    <t>CIVIC05-LFW-GBN/M</t>
  </si>
  <si>
    <t>53730TRWGTN</t>
  </si>
  <si>
    <t>CIVIC05-TRW/H/A-GTN</t>
  </si>
  <si>
    <t>FD22694CLY</t>
  </si>
  <si>
    <t>CIVIC05-FD/L-GTN/K</t>
  </si>
  <si>
    <t>FD22693CLY</t>
  </si>
  <si>
    <t>CIVIC05-FD/R-GTN/K</t>
  </si>
  <si>
    <t>53730TDR1CLN</t>
  </si>
  <si>
    <t>53730TDR2CLN</t>
  </si>
  <si>
    <t>FV22698CLN</t>
  </si>
  <si>
    <t>FV22697CLN</t>
  </si>
  <si>
    <t>8713ALFWGBN</t>
  </si>
  <si>
    <t>CIVIC11-LFW-GBN/M</t>
  </si>
  <si>
    <t>8713ATRWGTN</t>
  </si>
  <si>
    <t>CIVIC11-TRWH-GTN</t>
  </si>
  <si>
    <t>CIVIC16-LFW/RS-GBN/MR</t>
  </si>
  <si>
    <t>H07-CIVIC16HB-TRWH-YPN</t>
  </si>
  <si>
    <t>8912JTRWGTN</t>
  </si>
  <si>
    <t>17860LFWGTN</t>
  </si>
  <si>
    <t>CRV95-LFW-GTN</t>
  </si>
  <si>
    <t>17860TRWGTN</t>
  </si>
  <si>
    <t>CRV95-TRWH-GTN</t>
  </si>
  <si>
    <t>17860TDR1CLN</t>
  </si>
  <si>
    <t>17860TDR2CLN</t>
  </si>
  <si>
    <t>17860TDR5CLN</t>
  </si>
  <si>
    <t>17860TDR6CLN</t>
  </si>
  <si>
    <t>17860TDR7CLN</t>
  </si>
  <si>
    <t>CRV95-SWL-GTN</t>
  </si>
  <si>
    <t>17860TDR8CLN</t>
  </si>
  <si>
    <t>CRV95-SWR-GTN</t>
  </si>
  <si>
    <t>2809FLFWGTN</t>
  </si>
  <si>
    <t>CRV02-LFW-GTN/M</t>
  </si>
  <si>
    <t>2809ELFWGTN</t>
  </si>
  <si>
    <t>CRV-04-LFW-GTN/M</t>
  </si>
  <si>
    <t>28090TRWGTY</t>
  </si>
  <si>
    <t>CRV02-TRW/H/6-GTN</t>
  </si>
  <si>
    <t>28090TDR3CLY</t>
  </si>
  <si>
    <t>28090TDR4CLY</t>
  </si>
  <si>
    <t>28090TDR7CLN</t>
  </si>
  <si>
    <t>CRV02-SW/L-GTN</t>
  </si>
  <si>
    <t>28090TDR8CLN</t>
  </si>
  <si>
    <t>CRV02-SW/R-GTN</t>
  </si>
  <si>
    <t>5459ALFWGBN</t>
  </si>
  <si>
    <t>CRV07-LFW-GBN/M</t>
  </si>
  <si>
    <t>AE4FWCD2</t>
  </si>
  <si>
    <t>54590TRWGTN</t>
  </si>
  <si>
    <t>CRV07-TRWH-GTN</t>
  </si>
  <si>
    <t>54590TDR5CLN</t>
  </si>
  <si>
    <t>CRV07-SWL-GTN</t>
  </si>
  <si>
    <t>54590TDR6CLN</t>
  </si>
  <si>
    <t>CRV07-SWR-GTN</t>
  </si>
  <si>
    <t>4578CLFWGBN</t>
  </si>
  <si>
    <t>CRV12-LFW-GBN/M</t>
  </si>
  <si>
    <t>HNCRVFWCD</t>
  </si>
  <si>
    <t>45780TRWGTN</t>
  </si>
  <si>
    <t>CRV12-TRWH-FLAT-GTN</t>
  </si>
  <si>
    <t>4578ATRWGTN</t>
  </si>
  <si>
    <t>CRV12-TRWH-CURVE-GTN</t>
  </si>
  <si>
    <t>45780TDR1CLY</t>
  </si>
  <si>
    <t>45780TDR2CLY</t>
  </si>
  <si>
    <t>45780TDR3CLY</t>
  </si>
  <si>
    <t>45780TDR4CLY</t>
  </si>
  <si>
    <t>CRV-18-LFWRS-GBN/MRKW</t>
  </si>
  <si>
    <t>FW04534GBN</t>
  </si>
  <si>
    <t>H21-CRV17-LFW-GBN/M</t>
  </si>
  <si>
    <t>FB27125GTN</t>
  </si>
  <si>
    <t>CRV17-TRWH-GTN</t>
  </si>
  <si>
    <t>CRV23-LFWRS-GTN/MRK</t>
  </si>
  <si>
    <t>5825ALFWGBN</t>
  </si>
  <si>
    <t>CR-Z-R-VCPS LFW/X-GTN</t>
  </si>
  <si>
    <t>51050LFWGBN</t>
  </si>
  <si>
    <t>ELYSION04-LFW-GTN/M</t>
  </si>
  <si>
    <t>51050TRWGTN</t>
  </si>
  <si>
    <t>ELYSION04-TRW/H/1-GTN</t>
  </si>
  <si>
    <t>5105ATRWGTN</t>
  </si>
  <si>
    <t>H24-ELYSION07-TRW/H1-GTN</t>
  </si>
  <si>
    <t>56240LFWGTN</t>
  </si>
  <si>
    <t>FREED-LFW-GTN/M</t>
  </si>
  <si>
    <t>FREEDFWCB</t>
  </si>
  <si>
    <t>56240TRWGTN</t>
  </si>
  <si>
    <t>FREED-TRW-GTN</t>
  </si>
  <si>
    <t>56240TDR7CLN</t>
  </si>
  <si>
    <t>56240TDR8CLN</t>
  </si>
  <si>
    <t>4672CLFWGBN</t>
  </si>
  <si>
    <t>H02-HRV-LFW-GBN/M</t>
  </si>
  <si>
    <t>46720TRWGTN</t>
  </si>
  <si>
    <t>H22-HRV-TRWH-GTN</t>
  </si>
  <si>
    <t>HRV22-LFWRS-GTN/MRK</t>
  </si>
  <si>
    <t>27080LFWGTN</t>
  </si>
  <si>
    <t>JAZZ-1-LFW-GTN</t>
  </si>
  <si>
    <t>HA2708FWCB</t>
  </si>
  <si>
    <t>27080TRWGTN</t>
  </si>
  <si>
    <t>JAZZ-1-TRW/H-GTY</t>
  </si>
  <si>
    <t>27080TDR3CLY</t>
  </si>
  <si>
    <t>27080TDR1CLN</t>
  </si>
  <si>
    <t>27080TDR5CLY</t>
  </si>
  <si>
    <t>27080TDR6CLY</t>
  </si>
  <si>
    <t>55670LFWGTN</t>
  </si>
  <si>
    <t>JAZZ-2-LFW-GTN/M</t>
  </si>
  <si>
    <t>JAZZFW</t>
  </si>
  <si>
    <t>55670TRWGTN</t>
  </si>
  <si>
    <t>JAZZ2-TRW/H-GTN</t>
  </si>
  <si>
    <t>55670TDR3CLY</t>
  </si>
  <si>
    <t>55670TDR7CLN</t>
  </si>
  <si>
    <t>55670TDR8CLN</t>
  </si>
  <si>
    <t>46620LFWGTN</t>
  </si>
  <si>
    <t>JAZZ3-LFW-GTN/M</t>
  </si>
  <si>
    <t>46620TRWGTN</t>
  </si>
  <si>
    <t>H08-JAZZ3-TRW/H-GTN</t>
  </si>
  <si>
    <t>51940LFWCGN</t>
  </si>
  <si>
    <t>MOBILIO-TRW-GTN</t>
  </si>
  <si>
    <t>ODYSSEY94-TRWH-GTN</t>
  </si>
  <si>
    <t>Honda Odyssey 94-99 1st Gen RA1-RA5</t>
  </si>
  <si>
    <t>22930LFWGBN</t>
  </si>
  <si>
    <t>ODYSSEY99-LFW-GBN/M</t>
  </si>
  <si>
    <t>22930TRWGTN</t>
  </si>
  <si>
    <t>ODYSSEY99-TRWH-GTN</t>
  </si>
  <si>
    <t>50760LFWGBN</t>
  </si>
  <si>
    <t>ODYSSEY03-LFW-GBN/M</t>
  </si>
  <si>
    <t>50760TRWGTN</t>
  </si>
  <si>
    <t>ODYSSEY03-TRWH-GTN</t>
  </si>
  <si>
    <t>50760TDR3CLN</t>
  </si>
  <si>
    <t>50760TDR4CLN</t>
  </si>
  <si>
    <t>50760TDR5CLN</t>
  </si>
  <si>
    <t>50760TDR6CLN</t>
  </si>
  <si>
    <t>50760TDR7CLN</t>
  </si>
  <si>
    <t>50760TDR8CLN</t>
  </si>
  <si>
    <t>57020LFWGBN</t>
  </si>
  <si>
    <t>ODYSSEY09-LFW-GTN/M</t>
  </si>
  <si>
    <t>RB3-R RW/H/X-GTN</t>
  </si>
  <si>
    <t>57020TDR3CLN</t>
  </si>
  <si>
    <t>57020TDR4CLN</t>
  </si>
  <si>
    <t>57020TDR5CLN</t>
  </si>
  <si>
    <t>57020TDR6CLN</t>
  </si>
  <si>
    <t>57020TDR7CLN</t>
  </si>
  <si>
    <t>57020TDR8CLN</t>
  </si>
  <si>
    <t>46630LFWGBN</t>
  </si>
  <si>
    <t>ODYSSEY13-LFW-GBN/M</t>
  </si>
  <si>
    <t>46630TRWGTN</t>
  </si>
  <si>
    <t>ODYSSEY13-TRWH-GTN</t>
  </si>
  <si>
    <t>46630TDR5CLN</t>
  </si>
  <si>
    <t>46630TDR6CLN</t>
  </si>
  <si>
    <t>46630TDR7CLN</t>
  </si>
  <si>
    <t>26900TRWGTN</t>
  </si>
  <si>
    <t>STREAM00-TRW/H-GTN</t>
  </si>
  <si>
    <t>26900TDR4CLN</t>
  </si>
  <si>
    <t>STREAMNOMB-LFW-GTN</t>
  </si>
  <si>
    <t>2690CLFWGTN</t>
  </si>
  <si>
    <t>STREAM00-LFW-GTN/M</t>
  </si>
  <si>
    <t>AC5FWCD4</t>
  </si>
  <si>
    <t>Hyundai Accent / Excel 1/ Cakra 94-01 Sedan</t>
  </si>
  <si>
    <t>ACCENT95-TRWH-GTN</t>
  </si>
  <si>
    <t>AVEGA03-LFW-GTN/M</t>
  </si>
  <si>
    <t>Hyundai Accent Verna / Excel 2 / Avega 01-12 Sedan</t>
  </si>
  <si>
    <t>26530TRWGTN</t>
  </si>
  <si>
    <t>VERNA-TRW-GTN</t>
  </si>
  <si>
    <t>H25-AVEGA03-TRWH-GTN</t>
  </si>
  <si>
    <t>MXFWCD</t>
  </si>
  <si>
    <t>CRETA21-LFWRS-GTN/MK</t>
  </si>
  <si>
    <t>CRETA-LFW-GTN/M</t>
  </si>
  <si>
    <t>CRETA-TRW-GTN</t>
  </si>
  <si>
    <t>5878BLFWGTN</t>
  </si>
  <si>
    <t>ELANTRA11-LFW-GTN/M</t>
  </si>
  <si>
    <t>50690LFWGTN</t>
  </si>
  <si>
    <t>GETZ LFW/X-GTN/M</t>
  </si>
  <si>
    <t>GETZFWCB0</t>
  </si>
  <si>
    <t>50690TRWGTN</t>
  </si>
  <si>
    <t>GETZ-TRW/H-GTN</t>
  </si>
  <si>
    <t>H10-GETZ-FDL-GTN/K</t>
  </si>
  <si>
    <t>H11-GETZ-FDR-GTN/K</t>
  </si>
  <si>
    <t>25180TDR3CLN</t>
  </si>
  <si>
    <t>25180TDR4CLN</t>
  </si>
  <si>
    <t>H12-GETZ-RDR-GTN</t>
  </si>
  <si>
    <t>8651ALFWGTN</t>
  </si>
  <si>
    <t>AVEGA11-RB-LFW-GTN/M</t>
  </si>
  <si>
    <t>8651ATRWGTN</t>
  </si>
  <si>
    <t>AVEGA11-RB-TRWH-GTN</t>
  </si>
  <si>
    <t>8651ATDR3CLN</t>
  </si>
  <si>
    <t>AVEGA11-RB-RDL-GTN/K</t>
  </si>
  <si>
    <t>8651ATDR4GTY</t>
  </si>
  <si>
    <t>5598ALFWGBN</t>
  </si>
  <si>
    <t>H13-STAREXH108-LFW-GBN/M</t>
  </si>
  <si>
    <t>5598BTRWGTN</t>
  </si>
  <si>
    <t>H26-H1-TRWH-GTN</t>
  </si>
  <si>
    <t>H1-NH-TRWH-GTN</t>
  </si>
  <si>
    <t>55980TDR5CLN</t>
  </si>
  <si>
    <t>H1-SFL-FZ-GTN</t>
  </si>
  <si>
    <t>H1-SFR-FZ-GTN</t>
  </si>
  <si>
    <t>55980TDR7CLN</t>
  </si>
  <si>
    <t>5694ALFWGTN</t>
  </si>
  <si>
    <t>H27-i10-08-LFW-GTN/M</t>
  </si>
  <si>
    <t>56940TRWGTN</t>
  </si>
  <si>
    <t>HYU-I10-08-TRWH-GTN</t>
  </si>
  <si>
    <t>56940TDR1CLN</t>
  </si>
  <si>
    <t>56940TDR2CLN</t>
  </si>
  <si>
    <t>56940TDR3CLN</t>
  </si>
  <si>
    <t>56940TDR4CLN</t>
  </si>
  <si>
    <t>BLR4976ALFWGTN</t>
  </si>
  <si>
    <t>HYUNDAI-I10-LFW-GTN/M</t>
  </si>
  <si>
    <t>49760TRWGTN</t>
  </si>
  <si>
    <t>I10-13-TRWH-GTN</t>
  </si>
  <si>
    <t>49760TDR3GTN</t>
  </si>
  <si>
    <t>I10-08-RDL-GTN/W</t>
  </si>
  <si>
    <t>49760TDR4CLN</t>
  </si>
  <si>
    <t>I10-08-RDR-GTN/W</t>
  </si>
  <si>
    <t>49760TDR5CLN</t>
  </si>
  <si>
    <t>49760TDR6CLN</t>
  </si>
  <si>
    <t>I20-08PB-LFW-GTN/M</t>
  </si>
  <si>
    <t>Hyundai i20 09-14 Hatchback</t>
  </si>
  <si>
    <t>I20-15V2-LFW-GTY/M</t>
  </si>
  <si>
    <t>Hyundai i20 15-20 Hatchback</t>
  </si>
  <si>
    <t>IONIQ5-LFWRS-GTN/MRQKG</t>
  </si>
  <si>
    <t>IONIQ5-TRWH-YPN</t>
  </si>
  <si>
    <t>28470LFWGTN</t>
  </si>
  <si>
    <t>MATRIX01-LFW-GTN/M</t>
  </si>
  <si>
    <t>2847ATRWGTN</t>
  </si>
  <si>
    <t>28470TRWGTN</t>
  </si>
  <si>
    <t>PALISADE-LFW-GTN/M</t>
  </si>
  <si>
    <t>Hyundai Palisade 20- 1st Gen</t>
  </si>
  <si>
    <t>PALISADE-LFWRS-GTN/M</t>
  </si>
  <si>
    <t>Hyundai Palisade 20- 1st Gen (tahun 20-22)</t>
  </si>
  <si>
    <t>PALISADE23-LFWRS-GTN/MGK</t>
  </si>
  <si>
    <t>PALISADE-TRWH-GTN</t>
  </si>
  <si>
    <t>55090LFWGTN</t>
  </si>
  <si>
    <t>SANTAFE07-LFW-GTN/M</t>
  </si>
  <si>
    <t>FB23086GTN</t>
  </si>
  <si>
    <t>FD23071CLN</t>
  </si>
  <si>
    <t>FD23074CLN</t>
  </si>
  <si>
    <t>FQ23082CLN</t>
  </si>
  <si>
    <t>8786MLFWGBN</t>
  </si>
  <si>
    <t>SANTAFE12-LFW-GTN/M</t>
  </si>
  <si>
    <t>FB25743GTN</t>
  </si>
  <si>
    <t>SANTAFE13-TRWH-GTN</t>
  </si>
  <si>
    <t>87860TDR2CLN</t>
  </si>
  <si>
    <t>87860TDR3CLN</t>
  </si>
  <si>
    <t>87860TDR4CLN</t>
  </si>
  <si>
    <t>SANTAFE12-RDR-GTN/K</t>
  </si>
  <si>
    <t>SANTAFE19-LFWRS-GTN/MRQKG</t>
  </si>
  <si>
    <t>SANTAFE19-LFW-GBN/M</t>
  </si>
  <si>
    <t>SANTAFE19-TRWH-GTN/O</t>
  </si>
  <si>
    <t>STARGAZER-LFW-GTN/M</t>
  </si>
  <si>
    <t>STARGAZER-LFWRS-GTN/MK</t>
  </si>
  <si>
    <t>STARGAZER-TRW-GTN</t>
  </si>
  <si>
    <t>TRAJET-TRWH-GTN</t>
  </si>
  <si>
    <t>5137ALFWGBN</t>
  </si>
  <si>
    <t>TUCSON05-LFW-GBN/M</t>
  </si>
  <si>
    <t>5789FLFWGBN</t>
  </si>
  <si>
    <t>TUCSON10-LFW-GBN/M</t>
  </si>
  <si>
    <t>57890TRWGTN</t>
  </si>
  <si>
    <t>TUCSON10-TRWH-GTN</t>
  </si>
  <si>
    <t>A087ELFWGBN</t>
  </si>
  <si>
    <t>TUCSON16-LFW-GBN/MG</t>
  </si>
  <si>
    <t>A0870TRWGTN</t>
  </si>
  <si>
    <t>DMAXFWCB</t>
  </si>
  <si>
    <t>DMAX12-LFW-GBN/M</t>
  </si>
  <si>
    <t>DMAX3-LFW-GBN/M</t>
  </si>
  <si>
    <t>5936CLFWGBN</t>
  </si>
  <si>
    <t>I02-DMAX2-LFW-GBN/M</t>
  </si>
  <si>
    <t>Isuzu MUX 13-19</t>
  </si>
  <si>
    <t>AUVFW</t>
  </si>
  <si>
    <t>I04-PANTHER00-LFW-GGN</t>
  </si>
  <si>
    <t>JAGUARXF11-LFWRS-GTY/MRW</t>
  </si>
  <si>
    <t>WS266FWCB</t>
  </si>
  <si>
    <t>WS268FWCB</t>
  </si>
  <si>
    <t>COMPASS-17-LFWRSGTY/MRK</t>
  </si>
  <si>
    <t>JEEP-TJ-TRWH-YPN/K</t>
  </si>
  <si>
    <t>46120LFWGTN</t>
  </si>
  <si>
    <t>WRANGLER-JK-LFW-GTN/M</t>
  </si>
  <si>
    <t>RUBICON07JK-TRW-YPY/K</t>
  </si>
  <si>
    <t>RUBICON11JK-TRW-YPY/K</t>
  </si>
  <si>
    <t>RUBICON18JL-LFW-GTN</t>
  </si>
  <si>
    <t>RUBICON18JL-TRW-YPY/KW</t>
  </si>
  <si>
    <t>2465ATRWGTN</t>
  </si>
  <si>
    <t>CAREN99-TRWH-GTN</t>
  </si>
  <si>
    <t>55130LFWGBN</t>
  </si>
  <si>
    <t>CARENS03-LFW-GBN/M</t>
  </si>
  <si>
    <t>5513ATRWGTN</t>
  </si>
  <si>
    <t>46530TRWGTN</t>
  </si>
  <si>
    <t>SEDONA15-LFW-GBN/M</t>
  </si>
  <si>
    <t>K06-CARNIVAL15-TRWH1-GTN</t>
  </si>
  <si>
    <t>K01-CERATO09-LFW-GTN/M</t>
  </si>
  <si>
    <t>KCRTFWCB2</t>
  </si>
  <si>
    <t>K10-CERATO09-TRWH-GTN</t>
  </si>
  <si>
    <t>5138ALFWGBN</t>
  </si>
  <si>
    <t>K08-PICANTO04-LFW-GBN/M</t>
  </si>
  <si>
    <t>51380TRWGTN</t>
  </si>
  <si>
    <t>PICANTO04-TRW/H-GTN</t>
  </si>
  <si>
    <t>51380TDR1CLN</t>
  </si>
  <si>
    <t>K11-PICANTO04-FDL-GTN/K</t>
  </si>
  <si>
    <t>51380TDR2CLN</t>
  </si>
  <si>
    <t>K12-PICANTO04-FDR-GTN/K</t>
  </si>
  <si>
    <t>51380TDR3CLN</t>
  </si>
  <si>
    <t>51380TDR4CLN</t>
  </si>
  <si>
    <t>PICANTO04-RDR-GTN</t>
  </si>
  <si>
    <t>58970LFWGBN</t>
  </si>
  <si>
    <t>PICANTO11-LFW-GTN/M</t>
  </si>
  <si>
    <t>58970TRWGTN</t>
  </si>
  <si>
    <t>PICANTO11-TRW/H-GTN</t>
  </si>
  <si>
    <t>58970TDR1CLY</t>
  </si>
  <si>
    <t>PICANTO11-FD/L-GTN/K</t>
  </si>
  <si>
    <t>58970TDR2CLY</t>
  </si>
  <si>
    <t>PICANTO11-FD/R-GTN/K</t>
  </si>
  <si>
    <t>58970TDR3CLY</t>
  </si>
  <si>
    <t>PICANTO11-RD/L-GTN/W</t>
  </si>
  <si>
    <t>58970TDR4GTY</t>
  </si>
  <si>
    <t>PREGIOFWCB</t>
  </si>
  <si>
    <t>12980TDR1CLN</t>
  </si>
  <si>
    <t>12980TDR2CLN</t>
  </si>
  <si>
    <t>PREGIO95-FDR-GTN/K</t>
  </si>
  <si>
    <t>12980TRWGTN</t>
  </si>
  <si>
    <t>PREGIO96-TRWH-GTN</t>
  </si>
  <si>
    <t>24660LFWGGN</t>
  </si>
  <si>
    <t>RIO-00-LFW-GGN/M</t>
  </si>
  <si>
    <t>24660TRWGTN</t>
  </si>
  <si>
    <t>FW3226GTN</t>
  </si>
  <si>
    <t>RIO-05-VCP LFW/X-GTN/M</t>
  </si>
  <si>
    <t>5398ATRWGTN</t>
  </si>
  <si>
    <t>RIOPRIDE-TRWH-GTN</t>
  </si>
  <si>
    <t>5966CLFWGTN</t>
  </si>
  <si>
    <t>RIO11-LFW-GTN/M</t>
  </si>
  <si>
    <t>5966BTRWGTY</t>
  </si>
  <si>
    <t>RIO11-TRW-GTN/O</t>
  </si>
  <si>
    <t>59660TDR3GTN</t>
  </si>
  <si>
    <t>RIO11-FDL-GTN/K</t>
  </si>
  <si>
    <t>59660TDR4GTN</t>
  </si>
  <si>
    <t>RIO11-FDR-GTN/K</t>
  </si>
  <si>
    <t>5966BTDR5CLN</t>
  </si>
  <si>
    <t>RIO11-RDL-GTN/K</t>
  </si>
  <si>
    <t>5966BTDR6CLN</t>
  </si>
  <si>
    <t>RIO11-RDR-GTN/K</t>
  </si>
  <si>
    <t>K09-RIO17-YB-LFW-GTY/M</t>
  </si>
  <si>
    <t>K13-RIO17-YB-TRWH1-GTN/0</t>
  </si>
  <si>
    <t>23720LFWGBN</t>
  </si>
  <si>
    <t>K07-CARNIVAL98-LFW-GBN/M</t>
  </si>
  <si>
    <t>FB21440GTN</t>
  </si>
  <si>
    <t>SELTOS20-LFW-GTN/M</t>
  </si>
  <si>
    <t>SELTOS20-TRWH-GTN</t>
  </si>
  <si>
    <t>SONET21-LFW-GBN/M</t>
  </si>
  <si>
    <t>SONET21-TRW-GTN</t>
  </si>
  <si>
    <t>5941DLFWGBN</t>
  </si>
  <si>
    <t>SORENTO09-LFW-GBN/M</t>
  </si>
  <si>
    <t>FB25774GTN</t>
  </si>
  <si>
    <t>SPORTAGE04-LFW-GBN/M</t>
  </si>
  <si>
    <t>58290LFWGBN</t>
  </si>
  <si>
    <t>SPORTAGE10-LFW-GBY/M</t>
  </si>
  <si>
    <t>5829ATDR1CLN</t>
  </si>
  <si>
    <t>K14-SPORTAGE10-FDL-GTN/K</t>
  </si>
  <si>
    <t>5829ATDR2CLN</t>
  </si>
  <si>
    <t>58290TDR3CLN</t>
  </si>
  <si>
    <t>58290TDR4CLN</t>
  </si>
  <si>
    <t>K03-SPORTAGE10-RDR-GTN/K</t>
  </si>
  <si>
    <t>FB24834GTN</t>
  </si>
  <si>
    <t>SPORTAGE11-TRWH-GTN</t>
  </si>
  <si>
    <t>K05-SPORTAGE10-TRWH-GTN</t>
  </si>
  <si>
    <t>A122PLFWGBN</t>
  </si>
  <si>
    <t>A1220TRWGTN</t>
  </si>
  <si>
    <t>A1220TDR2CLN</t>
  </si>
  <si>
    <t>A1220TDR3CLN</t>
  </si>
  <si>
    <t>A1220TDR4CLN</t>
  </si>
  <si>
    <t>S515IFWCD3</t>
  </si>
  <si>
    <t>08740TRWGTN</t>
  </si>
  <si>
    <t>K27FWCD</t>
  </si>
  <si>
    <t>2724ALFWGBN</t>
  </si>
  <si>
    <t>VISTO99-LFW-GGN</t>
  </si>
  <si>
    <t>2011ATRWGTN</t>
  </si>
  <si>
    <t>VISTO-TRW-GTN</t>
  </si>
  <si>
    <t>NX-LFWRS1-GBY/MR</t>
  </si>
  <si>
    <t>23730LFWGBN</t>
  </si>
  <si>
    <t>XU10-LFW-GBN/M</t>
  </si>
  <si>
    <t>23730TRWYPN</t>
  </si>
  <si>
    <t>2990ALFWGBN</t>
  </si>
  <si>
    <t>XU30-LFWRS-GBN/MR</t>
  </si>
  <si>
    <t>2990BLFWGBN</t>
  </si>
  <si>
    <t>HARRIERXU30-LFW-GBN/M</t>
  </si>
  <si>
    <t>L01-HARRIERXU30-TRWH-YPN</t>
  </si>
  <si>
    <t>Lexus RX (Harrier) 03-08 XU30 (Spoiler atas) (Hitam)</t>
  </si>
  <si>
    <t>2990ATRWFGTY</t>
  </si>
  <si>
    <t>29900TDR1CLY</t>
  </si>
  <si>
    <t>HARRIERXU30-FD/L-GTN</t>
  </si>
  <si>
    <t>29900TDR2CLN</t>
  </si>
  <si>
    <t>HARRIERXU30-FD/R-GTN</t>
  </si>
  <si>
    <t>29900TDR3CLY</t>
  </si>
  <si>
    <t>29900TDR4CLY</t>
  </si>
  <si>
    <t>HARRIERXU30-RD/R-GTN/W</t>
  </si>
  <si>
    <t>29900TDR5CLN</t>
  </si>
  <si>
    <t>29900TDR6CLN</t>
  </si>
  <si>
    <t>29900TDR7CLN</t>
  </si>
  <si>
    <t>29900TDR8CLN</t>
  </si>
  <si>
    <t>57010LFWGBN</t>
  </si>
  <si>
    <t>LEXUS-RX-AL10-LFWRS-GBN/MR</t>
  </si>
  <si>
    <t>57010TRWYPN</t>
  </si>
  <si>
    <t>LEXUS-RX-AL10-TRWH-YPN</t>
  </si>
  <si>
    <t>4660CLFWGBN</t>
  </si>
  <si>
    <t>HARRIER-CU6-LFWRS-GBN/MRW</t>
  </si>
  <si>
    <t>Lexus RX (Harrier) 13-20 CU6 [2 Sensor / /\ [] ]</t>
  </si>
  <si>
    <t>46600TRWGTN</t>
  </si>
  <si>
    <t>HARRIER-CU6-TRW-YPN</t>
  </si>
  <si>
    <t>HARRIER-CU6-FDL-GTN/K</t>
  </si>
  <si>
    <t>HARRIER-CU6-FDR-GTN/K</t>
  </si>
  <si>
    <t>46600TDR3CLN</t>
  </si>
  <si>
    <t>46600TDR4CLN</t>
  </si>
  <si>
    <t>46600TDR5CLN</t>
  </si>
  <si>
    <t>46600TDR6CLN</t>
  </si>
  <si>
    <t>46600TDR7CLN</t>
  </si>
  <si>
    <t>46600TDR8CLN</t>
  </si>
  <si>
    <t>L02-RX-AL20-LFWRSH-GTN/MR</t>
  </si>
  <si>
    <t>AL20-TRWH-YPN</t>
  </si>
  <si>
    <t>5560ALFWGTN</t>
  </si>
  <si>
    <t>MAZ2-07-LFW-GTN/M</t>
  </si>
  <si>
    <t>MAZ2FWCD</t>
  </si>
  <si>
    <t>MAZDA2-4D-TRWH-GTN</t>
  </si>
  <si>
    <t>55600TRWGTN</t>
  </si>
  <si>
    <t>D651 RW/H/X-GTN</t>
  </si>
  <si>
    <t>55600TDR1CLN</t>
  </si>
  <si>
    <t>M33-MAZ209-FDL-GTN/K</t>
  </si>
  <si>
    <t>55600TDR2CLN</t>
  </si>
  <si>
    <t>M34-MAZ209-FDR-GTN/K</t>
  </si>
  <si>
    <t>55600TDR3CLN</t>
  </si>
  <si>
    <t>M50-MAZ09-RDL-GTN/K</t>
  </si>
  <si>
    <t>55600TDR4CLN</t>
  </si>
  <si>
    <t>M35-MAZ209-RDR-GTN/K</t>
  </si>
  <si>
    <t>A014DLFWGTN</t>
  </si>
  <si>
    <t>M18-MAZ2-15-LFW-GTN/M</t>
  </si>
  <si>
    <t>MAZ214-LFWRS1-GTN/MR</t>
  </si>
  <si>
    <t>A014JLFWGTY</t>
  </si>
  <si>
    <t>MAZ14-LFWRS3-GTY/MRK</t>
  </si>
  <si>
    <t>M37-MAZ214-LFWRS3-GTY/MRK</t>
  </si>
  <si>
    <t>A0140TRWGTN</t>
  </si>
  <si>
    <t>M36-MAZ214-TRWH1-GTN</t>
  </si>
  <si>
    <t>A0140TDR1CLN</t>
  </si>
  <si>
    <t>MAZDA2-15-FD/L-GTN/K</t>
  </si>
  <si>
    <t>A0140TDR2CLN</t>
  </si>
  <si>
    <t>MAZDA2-15-FD/R-GTN/K</t>
  </si>
  <si>
    <t>A0140TDR3CLN</t>
  </si>
  <si>
    <t>MAZ2-14-RDL-GTN/K</t>
  </si>
  <si>
    <t>A0140TDR4CLN</t>
  </si>
  <si>
    <t>MAZ2-14-RDR-GTN/K</t>
  </si>
  <si>
    <t>MAZDA3-19-LFWRS-GTY/MRK</t>
  </si>
  <si>
    <t>MAZDA3-19-TRWH1-GTN</t>
  </si>
  <si>
    <t>323FWCB1</t>
  </si>
  <si>
    <t>Mazda 323 / Ford Laser 88-94</t>
  </si>
  <si>
    <t>29170LFWGTN</t>
  </si>
  <si>
    <t>29170TRWGTN</t>
  </si>
  <si>
    <t>56200LFWCLY</t>
  </si>
  <si>
    <t>75260TRWGTN</t>
  </si>
  <si>
    <t>75260TDR1CLN</t>
  </si>
  <si>
    <t>75260TDR2CLN</t>
  </si>
  <si>
    <t>5620CLFWGTY</t>
  </si>
  <si>
    <t>45920LFWGTN</t>
  </si>
  <si>
    <t>MAZ6-13-LFW-GTN/M</t>
  </si>
  <si>
    <t>4592GLFWGTN</t>
  </si>
  <si>
    <t>MAZ6-13-LFWRS-GTY/MR</t>
  </si>
  <si>
    <t>45920TRWGTN</t>
  </si>
  <si>
    <t>45920TDR1CLN</t>
  </si>
  <si>
    <t>45920TDR2CLN</t>
  </si>
  <si>
    <t>54130LFWCLN</t>
  </si>
  <si>
    <t>MAZDA8-LFWRS-GTN/MR</t>
  </si>
  <si>
    <t>54130TRWGTN</t>
  </si>
  <si>
    <t>MAZDA8-06-TRWH-GTN</t>
  </si>
  <si>
    <t>5627ALFWGTY</t>
  </si>
  <si>
    <t>BIANTE08-LFWRS-GTY/MR</t>
  </si>
  <si>
    <t>56270LFWGTY</t>
  </si>
  <si>
    <t>BIANTE08-LFW-GTN/M</t>
  </si>
  <si>
    <t>A1730TRWGTN</t>
  </si>
  <si>
    <t>Mazda Biante 08- (Bening)</t>
  </si>
  <si>
    <t>A1730TRWYPN</t>
  </si>
  <si>
    <t>BIANTE08-TRW/H-YPN</t>
  </si>
  <si>
    <t>A1730TDR5CLY</t>
  </si>
  <si>
    <t>A1730TDR6CLY</t>
  </si>
  <si>
    <t>A1730TDR7CLN</t>
  </si>
  <si>
    <t>A173ATDR8CLN</t>
  </si>
  <si>
    <t>M38-BIANTE08-SWL-YPN</t>
  </si>
  <si>
    <t>M39-BIANTE08-SWR-YPN</t>
  </si>
  <si>
    <t>CX3-15-LFW/X/RS-GTY/MR</t>
  </si>
  <si>
    <t>CX3-15-TRWH-GTN</t>
  </si>
  <si>
    <t>5968ALFWGTY</t>
  </si>
  <si>
    <t>CX5-LFW-GTN/M</t>
  </si>
  <si>
    <t>5968BLFWGTY</t>
  </si>
  <si>
    <t>M19-CX5-12-LFWRS1-GTY/MR</t>
  </si>
  <si>
    <t>5968PLFWGTY</t>
  </si>
  <si>
    <t>CX5-12-LFWRS3-GTY/MRKW</t>
  </si>
  <si>
    <t>59680TRWGTN</t>
  </si>
  <si>
    <t>CX5-12-TRWH-GTN</t>
  </si>
  <si>
    <t>59680TDR1CLY</t>
  </si>
  <si>
    <t>CX5-12-FDL-GTN/K</t>
  </si>
  <si>
    <t>59680TDR2CLY</t>
  </si>
  <si>
    <t>CX5-12-FDR-GTN/K</t>
  </si>
  <si>
    <t>59680TDR3GTY</t>
  </si>
  <si>
    <t>CX5-12-RDL-GTN/K</t>
  </si>
  <si>
    <t>59680TDR4CLY</t>
  </si>
  <si>
    <t>CX5-12-RDR-GTN/K</t>
  </si>
  <si>
    <t>59680TDR5CLN</t>
  </si>
  <si>
    <t>59680TDR6CLN</t>
  </si>
  <si>
    <t>CX517-LFWRS1-GTY/MR</t>
  </si>
  <si>
    <t>M01-CX5-17-LFW/RS2-GTY/MRK</t>
  </si>
  <si>
    <t>M09-CX517-TRWH-GTN</t>
  </si>
  <si>
    <t>CX517-FDL-GTN/K</t>
  </si>
  <si>
    <t>CX517-FDR-GTN/K</t>
  </si>
  <si>
    <t>CX517-RDL-GTN/K</t>
  </si>
  <si>
    <t>CX517-RDR-GTN/K</t>
  </si>
  <si>
    <t>CX517-SWL-GTN</t>
  </si>
  <si>
    <t>CX517-SWR-GTN</t>
  </si>
  <si>
    <t>5478CLFWGTN</t>
  </si>
  <si>
    <t>CX707-LFWRS-GTN/MR</t>
  </si>
  <si>
    <t>54780LFWGTY</t>
  </si>
  <si>
    <t>CX07-LFW-GTN/M</t>
  </si>
  <si>
    <t>54780TRWGTN</t>
  </si>
  <si>
    <t>CX7-07-TRWH-GTN</t>
  </si>
  <si>
    <t>54780TDR4CLN</t>
  </si>
  <si>
    <t>54780TDR5CLN</t>
  </si>
  <si>
    <t>54780TDR6CLN</t>
  </si>
  <si>
    <t>54780TDR7CLN</t>
  </si>
  <si>
    <t>54780TDR8CLN</t>
  </si>
  <si>
    <t>57960LFWGTN</t>
  </si>
  <si>
    <t>M40-CX907-LFWRS-GTN/MR</t>
  </si>
  <si>
    <t>FB23457GTN</t>
  </si>
  <si>
    <t>CX908-TRWH-GTN/O</t>
  </si>
  <si>
    <t>CX918-LFWRS2-GTY/MRK</t>
  </si>
  <si>
    <t>M41-CX918-TRWH-GTN</t>
  </si>
  <si>
    <t>MAZDA323-89-LFW-GTN</t>
  </si>
  <si>
    <t>MA323FWCB</t>
  </si>
  <si>
    <t>Mazda Interplay 92-97</t>
  </si>
  <si>
    <t>53690LFWGTN</t>
  </si>
  <si>
    <t>MX5-05-LFW-GTN/M</t>
  </si>
  <si>
    <t>23010LFWACLN</t>
  </si>
  <si>
    <t>W168-LFW-GTN/M</t>
  </si>
  <si>
    <t>23010TRWGTN</t>
  </si>
  <si>
    <t>W169-LFW-GTY/M</t>
  </si>
  <si>
    <t>M22-W169-LFWRS-GTY/R</t>
  </si>
  <si>
    <t>FW4039GTY</t>
  </si>
  <si>
    <t>W176-LFWRS-GTY/MRK</t>
  </si>
  <si>
    <t>Mers-Benz A-Class 13-18 W176 / W156 / W117 (Sensor [] )</t>
  </si>
  <si>
    <t>W177118-LFWRS-GTY/MR</t>
  </si>
  <si>
    <t>W246-LFWRS-GTY/MRK</t>
  </si>
  <si>
    <t>W202-LFW-GTN</t>
  </si>
  <si>
    <t>C203-LFWRS-GTY/R</t>
  </si>
  <si>
    <t>2666DLFWGBY</t>
  </si>
  <si>
    <t>W203-LFWRS2-GBY/R</t>
  </si>
  <si>
    <t>W203-RS1-LFW-GTY/R</t>
  </si>
  <si>
    <t>FB20935GTN</t>
  </si>
  <si>
    <t>W203-TRWHA-GTN</t>
  </si>
  <si>
    <t>55740LFWGTY</t>
  </si>
  <si>
    <t>W204-LFW/RS-GTY/R</t>
  </si>
  <si>
    <t>Mers-Benz C-Class 07-14 W204 4D (1 Sensor/ □)</t>
  </si>
  <si>
    <t>W204-LFW/H/RS2-GTY/R</t>
  </si>
  <si>
    <t>Mers-Benz C-Class 07-14 W204 4D (2 Sensor/ □Δ)</t>
  </si>
  <si>
    <t>W204-CPE-VCSA-1ZLFW/R/W/X-GTY</t>
  </si>
  <si>
    <t>Mers-Benz C-Class 07-14 W204 2D Coupe (2 Sensor/ □Δ)</t>
  </si>
  <si>
    <t>75350TRWGTN</t>
  </si>
  <si>
    <t>W204-TRWH-GTN</t>
  </si>
  <si>
    <t>FW4365GTY</t>
  </si>
  <si>
    <t>M51-W205-LFWRS1-GTY/R</t>
  </si>
  <si>
    <t>4981JLFWGTY</t>
  </si>
  <si>
    <t>M52-W205-LFWRS2-GTY/K</t>
  </si>
  <si>
    <t>4981HLFWGTY</t>
  </si>
  <si>
    <t>M53-W205-LFWRS3-GTY/R</t>
  </si>
  <si>
    <t>W205-TRWH-GTY</t>
  </si>
  <si>
    <t>4620CLFWGTY</t>
  </si>
  <si>
    <t>C117-LFWRS-GTY/RK</t>
  </si>
  <si>
    <t>W117 RW/H/X-GTY</t>
  </si>
  <si>
    <t>W124-2D LFW/X-GTY</t>
  </si>
  <si>
    <t>Mers-Benz E-Class 88-95 W124 2Door Coupe</t>
  </si>
  <si>
    <t>E300 LFW/X-GTY</t>
  </si>
  <si>
    <t>Mers-Benz E-Class 88-95 W124 4Door</t>
  </si>
  <si>
    <t>03520LRWGTN</t>
  </si>
  <si>
    <t>W124-2D-LRWH-GTN</t>
  </si>
  <si>
    <t>Mers-Benz E-Class 88-95 W124 2Door Coupe (Lami)</t>
  </si>
  <si>
    <t>W124-4D-LRWH-GTN</t>
  </si>
  <si>
    <t>Mers-Benz E-Class 88-95 W124 4Door (Lami)</t>
  </si>
  <si>
    <t>11870LFWGTN</t>
  </si>
  <si>
    <t>W210-LFWRS-GTN/R</t>
  </si>
  <si>
    <t>W210-LFW-GTN</t>
  </si>
  <si>
    <t>11870TRWGTN</t>
  </si>
  <si>
    <t>W211-ROOF-LFWRS-GTN/R</t>
  </si>
  <si>
    <t>Mers-Benz E-Class 02-09 W211 (Model Sunroof)</t>
  </si>
  <si>
    <t>28850LFWGTN</t>
  </si>
  <si>
    <t>W211-LFWRS1-GTY/R</t>
  </si>
  <si>
    <t>Mers-Benz E-Class 02-09 W211 (Tanpa Sunroof)</t>
  </si>
  <si>
    <t>W211-TRWH-GTY</t>
  </si>
  <si>
    <t>5766BLFWGTY</t>
  </si>
  <si>
    <t>W212-LFWRS1-GTY/R</t>
  </si>
  <si>
    <t>5766HLFWGTY</t>
  </si>
  <si>
    <t>W212-LFWRS2-GTY/RK</t>
  </si>
  <si>
    <t>Mers-Benz E-Class 09-16 W212 (2 Sensor/ □Δ) Trapes.</t>
  </si>
  <si>
    <t>W212-LFW2RS2-V2-GTY/RK</t>
  </si>
  <si>
    <t>Mers-Benz E-Class 09-16 W212 (2 Sensor/ □Δ) Lancip</t>
  </si>
  <si>
    <t>57660TRWGTN</t>
  </si>
  <si>
    <t>W213-TRW-GTN</t>
  </si>
  <si>
    <t>W213-LFWRS-GTY/R</t>
  </si>
  <si>
    <t>M17-W156-TRWH-YPY</t>
  </si>
  <si>
    <t>FW04473GTY</t>
  </si>
  <si>
    <t>W253-LFWRS1-GTY/R</t>
  </si>
  <si>
    <t>Mers-Benz GLC-Class SUV 16-22 W253</t>
  </si>
  <si>
    <t>4886BTRWGTN</t>
  </si>
  <si>
    <t>W166-LFWRSH-GTY/MRK</t>
  </si>
  <si>
    <t>Mers-Benz GLE-Class SUV 11-18 W166 (1 Sensor/ □ )</t>
  </si>
  <si>
    <t>W166-LFWRS2H-GTY/MRK</t>
  </si>
  <si>
    <t>Mers-Benz GLE-Class SUV 11-18 W166 (2 Sensor / □Δ)</t>
  </si>
  <si>
    <t>W166-GLE-TRWH-YPN</t>
  </si>
  <si>
    <t>W166-TRWH-YPN</t>
  </si>
  <si>
    <t>03710LFWGTN</t>
  </si>
  <si>
    <t>M12-W140-LFW-GTN</t>
  </si>
  <si>
    <t>W140-LFWRS2-GTN</t>
  </si>
  <si>
    <t>Mers-Benz S-Class 91-98 W140 4D (1 Sensor/ □ )</t>
  </si>
  <si>
    <t>03710LRWBGTN</t>
  </si>
  <si>
    <t>W140-1-LRW/W/X-GTN</t>
  </si>
  <si>
    <t>W220-LFW/H/RS-GTY/R</t>
  </si>
  <si>
    <t>Mers-Benz S-Class 98-05 W220 4D (1 Sensor / 2 O)</t>
  </si>
  <si>
    <t>W220-LFWRS1-GTY/R</t>
  </si>
  <si>
    <t>Mers-Benz S-Class 98-05 W220 4D (1 Sensor / □ )</t>
  </si>
  <si>
    <t>33620LRWAGTN</t>
  </si>
  <si>
    <t>W221-LFWRSH-GTY/R</t>
  </si>
  <si>
    <t>W221-LFWRS2-GTY/RK</t>
  </si>
  <si>
    <t>Mers-Benz S-Class 06-13 W221 4D [2 Sensor/ □ /\ ]</t>
  </si>
  <si>
    <t>M23-W222-LFWRS3HA-GTY/K</t>
  </si>
  <si>
    <t>M16-SLKR171-LFWRS-GTY/MR</t>
  </si>
  <si>
    <t>MG-ZS-17-VCP LFW/X-GTN/M</t>
  </si>
  <si>
    <t>MINI-F57-LFWRS2-GTY/RK</t>
  </si>
  <si>
    <t>Mini Cooper 14- F55/F56/F57 3D/5D/Cab. RS2 ( O /\ ) HBK</t>
  </si>
  <si>
    <t>MINI-F55-LFWRS-GTY/RK</t>
  </si>
  <si>
    <t>Mini Cooper 14- F55/F56/F57 3D/5D/Cab. RS1 ( O ) HBK</t>
  </si>
  <si>
    <t>MINI-R60-LFWRS-GTY/R</t>
  </si>
  <si>
    <t>54990LFWCBN</t>
  </si>
  <si>
    <t>DELICA-LFW-GBN/M</t>
  </si>
  <si>
    <t>M14-DELICA-TRWH-GTN</t>
  </si>
  <si>
    <t>M14-DELICA-TRWH-YPN</t>
  </si>
  <si>
    <t>ETERNA-LFW-GTN</t>
  </si>
  <si>
    <t>12440TRWGTN</t>
  </si>
  <si>
    <t>09440TDR1CLN</t>
  </si>
  <si>
    <t>09440TDR2CLN</t>
  </si>
  <si>
    <t>GALANT92-LFW-GTN/M</t>
  </si>
  <si>
    <t>GAL98FWCD</t>
  </si>
  <si>
    <t>08970TRWGTN</t>
  </si>
  <si>
    <t>GALANT92-TRWH-GTN</t>
  </si>
  <si>
    <t>08970TDR1CLN</t>
  </si>
  <si>
    <t>08970TDR2CLN</t>
  </si>
  <si>
    <t>08970TDR3CLN</t>
  </si>
  <si>
    <t>08970TDR4CLN</t>
  </si>
  <si>
    <t>M42-GALANT92-RDR-GTN</t>
  </si>
  <si>
    <t>22150LFWGTN</t>
  </si>
  <si>
    <t>GALANT96-LFW-GTN/M</t>
  </si>
  <si>
    <t>22150TRWGTN</t>
  </si>
  <si>
    <t>GALANT96-TRWH-GTN</t>
  </si>
  <si>
    <t>22150TDR1CLN</t>
  </si>
  <si>
    <t>22150TDR2CLN</t>
  </si>
  <si>
    <t>22150TDR3CLN</t>
  </si>
  <si>
    <t>22150TDR4CLN</t>
  </si>
  <si>
    <t>M43-GRANDIS97-LFW-GTN/M</t>
  </si>
  <si>
    <t>M44-GRANDIS97-TRWH-GTN</t>
  </si>
  <si>
    <t>50110LFWAGTN</t>
  </si>
  <si>
    <t>GRANDIS03-LFW-GTN/M</t>
  </si>
  <si>
    <t>50110TRWGTN</t>
  </si>
  <si>
    <t>GRANDIS-TRWH-GTN</t>
  </si>
  <si>
    <t>50110TDR3CLN</t>
  </si>
  <si>
    <t>50110TDR4CLN</t>
  </si>
  <si>
    <t>50110TDR5CLN</t>
  </si>
  <si>
    <t>50110TDR6CLN</t>
  </si>
  <si>
    <t>50110TDR7CLN</t>
  </si>
  <si>
    <t>50110TDR8CLN</t>
  </si>
  <si>
    <t>GRANDIS03-SW/R-GTN</t>
  </si>
  <si>
    <t>FREFW</t>
  </si>
  <si>
    <t>L200-97-LFW-GTN</t>
  </si>
  <si>
    <t>L200-03-LFW-GGN/M</t>
  </si>
  <si>
    <t>02060LFWGTN</t>
  </si>
  <si>
    <t>EVO3-LFW-GTN</t>
  </si>
  <si>
    <t>02060TRWGTN</t>
  </si>
  <si>
    <t>EVO3-TRWH-GTN</t>
  </si>
  <si>
    <t>02130TDR1CLN</t>
  </si>
  <si>
    <t>EVO3-FD/L-GTN</t>
  </si>
  <si>
    <t>02130TDR2CLN</t>
  </si>
  <si>
    <t>EVO3-FD/R-GTN</t>
  </si>
  <si>
    <t>02130TDR3CLN</t>
  </si>
  <si>
    <t>EVO3-RDL-GTN/K</t>
  </si>
  <si>
    <t>02130TDR4CLN</t>
  </si>
  <si>
    <t>EVO3-RD/R-GTN</t>
  </si>
  <si>
    <t>02130TDR5CLN</t>
  </si>
  <si>
    <t>02130TDR6CLN</t>
  </si>
  <si>
    <t>16940LFWGTN</t>
  </si>
  <si>
    <t>EVO4-LFW-GTN/M</t>
  </si>
  <si>
    <t>12750TRWGTN</t>
  </si>
  <si>
    <t>EVO4-TRWH-GTN</t>
  </si>
  <si>
    <t>12750TDR1CLN</t>
  </si>
  <si>
    <t>12750TDR2CLN</t>
  </si>
  <si>
    <t>2617BLFWGTN</t>
  </si>
  <si>
    <t>LANCER00-LFW-GTN/M</t>
  </si>
  <si>
    <t>FB21447GTN</t>
  </si>
  <si>
    <t>LANCER00-TRWH-GTN</t>
  </si>
  <si>
    <t>26170TDR1CLN</t>
  </si>
  <si>
    <t>EVO5-FD/L-GTN/K</t>
  </si>
  <si>
    <t>26170TDR2CLN</t>
  </si>
  <si>
    <t>EVO5-FD/R-GTN/K</t>
  </si>
  <si>
    <t>26170TDR3CLN</t>
  </si>
  <si>
    <t>26170TDR4CLN</t>
  </si>
  <si>
    <t>5566BLFWGTN</t>
  </si>
  <si>
    <t>LANCER07-LFW-GTN/M</t>
  </si>
  <si>
    <t>5566GLFWGTN</t>
  </si>
  <si>
    <t>55660TRWGTN</t>
  </si>
  <si>
    <t>LANCER07-TRWH-GTN</t>
  </si>
  <si>
    <t>55660TDR1CLN</t>
  </si>
  <si>
    <t>55660TDR2CLN</t>
  </si>
  <si>
    <t>55660TDR3CLN</t>
  </si>
  <si>
    <t>55660TDR4CLN</t>
  </si>
  <si>
    <t>46090LFWGTN</t>
  </si>
  <si>
    <t>MIRAGE12-LFW-GTN/M</t>
  </si>
  <si>
    <t>46090TRWGTN</t>
  </si>
  <si>
    <t>MIRAGE-TRW/H-GTN</t>
  </si>
  <si>
    <t>58240LFWGTN</t>
  </si>
  <si>
    <t>OUTLANDER-LFW-GTN/M</t>
  </si>
  <si>
    <t>FB25085GTN</t>
  </si>
  <si>
    <t>OUTLANDER-TRW-GTN</t>
  </si>
  <si>
    <t>V40-LFW-GBN</t>
  </si>
  <si>
    <t>M30-PAJERO-V80-LFW-GBN/M</t>
  </si>
  <si>
    <t>V90-LFW-GBN/M</t>
  </si>
  <si>
    <t>54270LFWGTN</t>
  </si>
  <si>
    <t>M45-PAJERO08-LFW-GTN/M</t>
  </si>
  <si>
    <t>PJRFWCB</t>
  </si>
  <si>
    <t>5427CTRWGTN</t>
  </si>
  <si>
    <t>PAJERO08-TRW/H-GTN</t>
  </si>
  <si>
    <t>M46-PAJERO08-SWL-GTN</t>
  </si>
  <si>
    <t>M47-PAJERO08-SWR-GTN</t>
  </si>
  <si>
    <t>A0760LFWGTN</t>
  </si>
  <si>
    <t>M15-PAJERO16-LFW-GTN/M</t>
  </si>
  <si>
    <t>NTRIFWCB</t>
  </si>
  <si>
    <t>A1820TRWGTN</t>
  </si>
  <si>
    <t>M48-PAJERO16-TRWH-GTN</t>
  </si>
  <si>
    <t>PAJERO16-RDR-GTN/K</t>
  </si>
  <si>
    <t>PAJERO16-RDL-GTN/K</t>
  </si>
  <si>
    <t>PAJERO16-LFWRS1-GTN/MR</t>
  </si>
  <si>
    <t>PAJERO16-LFWRS2-GTN/MRK</t>
  </si>
  <si>
    <t>54270LFWGGN</t>
  </si>
  <si>
    <t>TRITON06-LFW-GGN/M</t>
  </si>
  <si>
    <t>MS146FWCB0</t>
  </si>
  <si>
    <t>54270TRWGTN</t>
  </si>
  <si>
    <t>TRITON06-TRW/H-GTN</t>
  </si>
  <si>
    <t>A0760LFWGGN</t>
  </si>
  <si>
    <t>TRITON16-LFW-GGN/M</t>
  </si>
  <si>
    <t>NTRIFWCBSHD</t>
  </si>
  <si>
    <t>A0760TRWGTN</t>
  </si>
  <si>
    <t>M07-TRITON16-TRW/H-GTN</t>
  </si>
  <si>
    <t>M06-TRITON16-TRW-GTN</t>
  </si>
  <si>
    <t>A0760TDR3CLY</t>
  </si>
  <si>
    <t>TRITON16-RD/L-GTN/K</t>
  </si>
  <si>
    <t>A0760TDR4CLY</t>
  </si>
  <si>
    <t>TRITON16-RD/R-GTN/K</t>
  </si>
  <si>
    <t>M31-XPD17-LFW-GTN/M</t>
  </si>
  <si>
    <t>XPANDFWCB</t>
  </si>
  <si>
    <t>M08-XPD17-TRW-GTN</t>
  </si>
  <si>
    <t>XPANDER17-TRWH-GTN</t>
  </si>
  <si>
    <t>N03-ALMERA11-LFW-GTN/M</t>
  </si>
  <si>
    <t>NSDATFWCD</t>
  </si>
  <si>
    <t>A0080TDR1CLY</t>
  </si>
  <si>
    <t>A0080TDR3CLY</t>
  </si>
  <si>
    <t>A0080TDR4CLY</t>
  </si>
  <si>
    <t>28260LFWCLN</t>
  </si>
  <si>
    <t>E51-LFW-GTN</t>
  </si>
  <si>
    <t>28260TRWGTN</t>
  </si>
  <si>
    <t>E51-TRWH-GTN</t>
  </si>
  <si>
    <t>28260TDR1CLY</t>
  </si>
  <si>
    <t>28260TDR2CLY</t>
  </si>
  <si>
    <t>28260TDR3CLN</t>
  </si>
  <si>
    <t>28260TDR4CLN</t>
  </si>
  <si>
    <t>2826ATDR5CLN</t>
  </si>
  <si>
    <t>2826ATDR6CLN</t>
  </si>
  <si>
    <t>58260LFWGTN</t>
  </si>
  <si>
    <t>E52-LFW-GTN/M</t>
  </si>
  <si>
    <t>58260TRWGTN</t>
  </si>
  <si>
    <t>E52-TRWH-GTN</t>
  </si>
  <si>
    <t>58260TDR5CLY</t>
  </si>
  <si>
    <t>58260TDR6CLY</t>
  </si>
  <si>
    <t>58260TDR7CLN</t>
  </si>
  <si>
    <t>58260TDR8CLN</t>
  </si>
  <si>
    <t>57230LFWGTN</t>
  </si>
  <si>
    <t>EVALIA10-LFW-GTN</t>
  </si>
  <si>
    <t>N08-EVALIA10-TRWH-GTN</t>
  </si>
  <si>
    <t>EVALIA-RDR-GTN/F</t>
  </si>
  <si>
    <t>EVALIA-RDL-GTN/F</t>
  </si>
  <si>
    <t>57230TDR7CLN</t>
  </si>
  <si>
    <t>D22FWCB</t>
  </si>
  <si>
    <t>20690TRWGTN</t>
  </si>
  <si>
    <t>53770LFWGTN</t>
  </si>
  <si>
    <t>N05-NAVARA04-LFW-GTN/M</t>
  </si>
  <si>
    <t>FB22478GTN</t>
  </si>
  <si>
    <t>N01-NAVARA04-TRW/H-GTN</t>
  </si>
  <si>
    <t>5844BLFWGTN</t>
  </si>
  <si>
    <t>JUKE-LFW-GTN/M</t>
  </si>
  <si>
    <t>FB24810GTN</t>
  </si>
  <si>
    <t>JUKE-TRWH-GTN</t>
  </si>
  <si>
    <t>FD24807CLY</t>
  </si>
  <si>
    <t>FD24806CLY</t>
  </si>
  <si>
    <t>FD24809CLY</t>
  </si>
  <si>
    <t>FD24808CLY</t>
  </si>
  <si>
    <t>C11FWCD</t>
  </si>
  <si>
    <t>52770LFWGTN</t>
  </si>
  <si>
    <t>LIVINA07-LFW-GTN/M</t>
  </si>
  <si>
    <t>LVNFWCD2</t>
  </si>
  <si>
    <t>5277DTRWGTN</t>
  </si>
  <si>
    <t>LIVINA07-TRW/H-GTN</t>
  </si>
  <si>
    <t>N02-LIVINAL11-TRW/H/1-GTN</t>
  </si>
  <si>
    <t>52770TDR1CLN</t>
  </si>
  <si>
    <t>LIVINA07-SW/L-GTN</t>
  </si>
  <si>
    <t>LIVINA07-SW/R-GTN</t>
  </si>
  <si>
    <t>5815ALFWGTN</t>
  </si>
  <si>
    <t>MARCH10-LFW/X-GTN/M</t>
  </si>
  <si>
    <t>MARCHFW</t>
  </si>
  <si>
    <t>58150TRWGTN</t>
  </si>
  <si>
    <t>MARCH10-TRW/H-GTN</t>
  </si>
  <si>
    <t>58150TDR1CLY</t>
  </si>
  <si>
    <t>58150TDR2CLY</t>
  </si>
  <si>
    <t>MARCH10-FDR-GTN/K</t>
  </si>
  <si>
    <t>58150TDR3CLY</t>
  </si>
  <si>
    <t>58150TDR4CLY</t>
  </si>
  <si>
    <t>52760LFWCGN</t>
  </si>
  <si>
    <t>MURANO03-LFW-GGN/M</t>
  </si>
  <si>
    <t>FB21914GTN</t>
  </si>
  <si>
    <t>5680BLFWCGN</t>
  </si>
  <si>
    <t>MURANO08-LFW-GGN/M</t>
  </si>
  <si>
    <t>5680ATRWGTN</t>
  </si>
  <si>
    <t>FD23779CLN</t>
  </si>
  <si>
    <t>FD23778CLN</t>
  </si>
  <si>
    <t>A108ALFWGTN</t>
  </si>
  <si>
    <t>NAVARA15-LFW-GTN/M</t>
  </si>
  <si>
    <t>A1080TRWGTN</t>
  </si>
  <si>
    <t>N09-NAVARA15-D23-TRWH-GTN</t>
  </si>
  <si>
    <t>A1080TDR1CLN</t>
  </si>
  <si>
    <t>N16-NAVARAD15-FDL-GTN/K</t>
  </si>
  <si>
    <t>A1080TDR2CLN</t>
  </si>
  <si>
    <t>N11-NAVARAD15-FDR-GTN/K</t>
  </si>
  <si>
    <t>A1080TDR3GTN</t>
  </si>
  <si>
    <t>A1080TDR4GTN</t>
  </si>
  <si>
    <t>13510TRWGTN</t>
  </si>
  <si>
    <t>22880LFWGTN</t>
  </si>
  <si>
    <t>C24-LFW/X-GTN</t>
  </si>
  <si>
    <t>C24FWCD</t>
  </si>
  <si>
    <t>2288ATRWGTN</t>
  </si>
  <si>
    <t>C24-TRW/H-GTN</t>
  </si>
  <si>
    <t>N12-C24-SWL-GTN</t>
  </si>
  <si>
    <t>N13-C24-SWR-GTN</t>
  </si>
  <si>
    <t>53890LFWGTY</t>
  </si>
  <si>
    <t>C25-LFW-GTN/M</t>
  </si>
  <si>
    <t>53890TRWGTN</t>
  </si>
  <si>
    <t>C25-TRWH-GTN</t>
  </si>
  <si>
    <t>53890TDR5CLY</t>
  </si>
  <si>
    <t>53890TDR6CLY</t>
  </si>
  <si>
    <t>53890TDR7CLN</t>
  </si>
  <si>
    <t>53890TDR8CLN</t>
  </si>
  <si>
    <t>58690LFWGTN</t>
  </si>
  <si>
    <t>C26-LFW-GTN/M</t>
  </si>
  <si>
    <t>58690TRWGTN</t>
  </si>
  <si>
    <t>C26-TRWH-GTN</t>
  </si>
  <si>
    <t>58690TDR3CLN</t>
  </si>
  <si>
    <t>C26-FDL-GTN/K</t>
  </si>
  <si>
    <t>58690TDR4CLN</t>
  </si>
  <si>
    <t>C26-FDR-GTN/K</t>
  </si>
  <si>
    <t>58690TDR5CLY</t>
  </si>
  <si>
    <t>C26-RDL-GTN/K</t>
  </si>
  <si>
    <t>58690TDR6CLY</t>
  </si>
  <si>
    <t>C26-RDR-GTN/K</t>
  </si>
  <si>
    <t>58690TDR7CLN</t>
  </si>
  <si>
    <t>C26-SWL-GTN</t>
  </si>
  <si>
    <t>58690TDR8CLN</t>
  </si>
  <si>
    <t>C26-SWR-GTN</t>
  </si>
  <si>
    <t>C27-LFW-GTN/M</t>
  </si>
  <si>
    <t>C27-TRW-GTN</t>
  </si>
  <si>
    <t>TEANA03-J31-LFW-GTN/M</t>
  </si>
  <si>
    <t>N10-TEANA08-J32-LFW-GBN/M</t>
  </si>
  <si>
    <t>TERRA18-LFWRS-GTN/M</t>
  </si>
  <si>
    <t>WD21FWCB2</t>
  </si>
  <si>
    <t>TERRANO85-TRWH8-GTN</t>
  </si>
  <si>
    <t>28270LFWGTN</t>
  </si>
  <si>
    <t>T30-LFW-GTN</t>
  </si>
  <si>
    <t>ZR30FWCD1</t>
  </si>
  <si>
    <t>28270TRWGTN</t>
  </si>
  <si>
    <t>T30-TRW/H-GTN</t>
  </si>
  <si>
    <t>28270TDR1CLY</t>
  </si>
  <si>
    <t>T30-FDL-GTN/K</t>
  </si>
  <si>
    <t>T30-FDR-GTN/K</t>
  </si>
  <si>
    <t>28270TDR3CLN</t>
  </si>
  <si>
    <t>T30-RDL-GTN/K</t>
  </si>
  <si>
    <t>28270TDR4CLN</t>
  </si>
  <si>
    <t>T30-RDR-GTN/K</t>
  </si>
  <si>
    <t>28270TDR5CLN</t>
  </si>
  <si>
    <t>T30-SWL-GTN</t>
  </si>
  <si>
    <t>28270TDR6CLN</t>
  </si>
  <si>
    <t>T30-SWR-GTN</t>
  </si>
  <si>
    <t>55750LFWGTN</t>
  </si>
  <si>
    <t>N06-T31-LFW-GTN/M</t>
  </si>
  <si>
    <t>XT07FWCD</t>
  </si>
  <si>
    <t>5575ATRWGTN</t>
  </si>
  <si>
    <t>N07-T31-TRWH-GTN</t>
  </si>
  <si>
    <t>5575ATDR1CLY</t>
  </si>
  <si>
    <t>N14-T31-FDL-GTN/K</t>
  </si>
  <si>
    <t>5575ATDR2CLY</t>
  </si>
  <si>
    <t>T31-FDR-GTN/K</t>
  </si>
  <si>
    <t>5575ATDR3CLN</t>
  </si>
  <si>
    <t>T31-RDL-GTN/K</t>
  </si>
  <si>
    <t>5575ATDR4CLN</t>
  </si>
  <si>
    <t>N15-T31-RDR-GTN/K</t>
  </si>
  <si>
    <t>46970LFWGTN</t>
  </si>
  <si>
    <t>T32-LFWRS-GTN/MR</t>
  </si>
  <si>
    <t>T32-LFWRS2-GTN/MR</t>
  </si>
  <si>
    <t>T32-LFW-GTN/M</t>
  </si>
  <si>
    <t>46970TRWGTN</t>
  </si>
  <si>
    <t>T32-TRWH1-GTN</t>
  </si>
  <si>
    <t>46970TDR1CLY</t>
  </si>
  <si>
    <t>T32-FDL-GTN/K</t>
  </si>
  <si>
    <t>46970TDR2CLY</t>
  </si>
  <si>
    <t>T32-FDR-GTN/K</t>
  </si>
  <si>
    <t>46970TDR3CLY</t>
  </si>
  <si>
    <t>T32-RDL-GTN/K</t>
  </si>
  <si>
    <t>46970TDR4CLY</t>
  </si>
  <si>
    <t>T32-RDR-GTN/K</t>
  </si>
  <si>
    <t>1123BLFWGGN</t>
  </si>
  <si>
    <t>O1-BLAZERS10-LFW-GBN/M</t>
  </si>
  <si>
    <t>P206-LFW-GTN/M</t>
  </si>
  <si>
    <t>P03-2065D-TRWH1-GTN</t>
  </si>
  <si>
    <t>27710LFWGTY</t>
  </si>
  <si>
    <t>P04-307-LFWRS-GTY/MR</t>
  </si>
  <si>
    <t>2771GLFWGTY</t>
  </si>
  <si>
    <t>P05-307-LFWRSK-GTY/MRK</t>
  </si>
  <si>
    <t>2771ATRWGTN</t>
  </si>
  <si>
    <t>27710TRWGTN</t>
  </si>
  <si>
    <t>P01-EXORA-LFW-GTN/M</t>
  </si>
  <si>
    <t>EXORAFWCD</t>
  </si>
  <si>
    <t>P02-EXORA-TRWH-GTN</t>
  </si>
  <si>
    <t>PGEN-LFW-GTN/M</t>
  </si>
  <si>
    <t>SAGA08-LFW-GTN/M</t>
  </si>
  <si>
    <t>SAVVY-LFW-GTN/M</t>
  </si>
  <si>
    <t>RANGEROVER94-LFWH-GTY/MR</t>
  </si>
  <si>
    <t>Range Rover 95-00 SALLPA 5D</t>
  </si>
  <si>
    <t>R01-EVOQUE112D-LFWRS-GTY/MRK</t>
  </si>
  <si>
    <t>Range Rover Evoque 11-18 SALVA 2D (1 Sensor / [] )</t>
  </si>
  <si>
    <t>EVOQUE3D-TRW-YPN</t>
  </si>
  <si>
    <t>Range Rover Evoque 11-18 SALVA (2Door) (Hitam)</t>
  </si>
  <si>
    <t>R10-EVOQUE112D-FDL-GTN</t>
  </si>
  <si>
    <t>Range Rover Evoque 11-18 SALVA (2Door)</t>
  </si>
  <si>
    <t>R11-EVOQUE112D-FDR-GTN</t>
  </si>
  <si>
    <t>R12-EVOQUE112D-SWL-YPY</t>
  </si>
  <si>
    <t>R13-EVOQUE112D-SWR-YPY</t>
  </si>
  <si>
    <t>FW03689GTY</t>
  </si>
  <si>
    <t>R20-EVOQUE114D-LFWRS-GTY/MRW</t>
  </si>
  <si>
    <t>R15-EVOQUE114D-LFWRS-GTY/MRW</t>
  </si>
  <si>
    <t>R16-EVOQUE144D-LFWRS3-GTY/RK</t>
  </si>
  <si>
    <t>5884ATRWYPN</t>
  </si>
  <si>
    <t>RANGEL320-TRWH-GTN</t>
  </si>
  <si>
    <t>VOGUE02-LFWRS-GTY/MR</t>
  </si>
  <si>
    <t>DUSTER18-LFW-GTN/M</t>
  </si>
  <si>
    <t>S1512FWCD</t>
  </si>
  <si>
    <t>S07-SUBARUXV-LFW-GTY/M</t>
  </si>
  <si>
    <t>S08-AERIO01-LFW-GTN/M</t>
  </si>
  <si>
    <t>29010TRWGTN</t>
  </si>
  <si>
    <t>S01-AERIO01-TRW/H-GTN</t>
  </si>
  <si>
    <t>54260LFWGTN</t>
  </si>
  <si>
    <t>APV-LFW-GTN</t>
  </si>
  <si>
    <t>S1APRCB</t>
  </si>
  <si>
    <t>S09-BALENO96-LFW-GTN/M</t>
  </si>
  <si>
    <t>SZ687FWCD0</t>
  </si>
  <si>
    <t>BALENO96-TRWH-GTN</t>
  </si>
  <si>
    <t>BALENO02-TRW-GTN</t>
  </si>
  <si>
    <t>SX4-LFW-GTN/M</t>
  </si>
  <si>
    <t>SX4-TRW-GTN</t>
  </si>
  <si>
    <t>SX4-SWR-GTN</t>
  </si>
  <si>
    <t>SX4-SWL-GTN</t>
  </si>
  <si>
    <t>NEOBALENO08-TRW-GTN</t>
  </si>
  <si>
    <t>BALENO16-LFW-GTN/M</t>
  </si>
  <si>
    <t>Suzuki Baleno 15-21 Hatchback</t>
  </si>
  <si>
    <t>BALENO16-TRWH-GTN</t>
  </si>
  <si>
    <t>SCROSS14-LFW-GTN/M</t>
  </si>
  <si>
    <t>SCROSS14-LFWRS-GTN/MR</t>
  </si>
  <si>
    <t>S05-CFUTURA-LFW-GTN</t>
  </si>
  <si>
    <t>FTRFW</t>
  </si>
  <si>
    <t>S06-NEWCARRY-LFW-GTN</t>
  </si>
  <si>
    <t>A2560LFWGTN</t>
  </si>
  <si>
    <t>S04-ERTIGA12-LFW-GTN</t>
  </si>
  <si>
    <t>ERTGFWCB</t>
  </si>
  <si>
    <t>S02-ERTIGA12-TRW-GTN</t>
  </si>
  <si>
    <t>ERTGFDL</t>
  </si>
  <si>
    <t>ERTGFDR</t>
  </si>
  <si>
    <t>ERTGRDL</t>
  </si>
  <si>
    <t>ERTGRDR</t>
  </si>
  <si>
    <t>S03-ERTIGA17-LFW-GTN</t>
  </si>
  <si>
    <t>NERTGFW</t>
  </si>
  <si>
    <t>ERTIGA17-TRWH-GTN</t>
  </si>
  <si>
    <t>YOGFWCD</t>
  </si>
  <si>
    <t>S10-GESCUDO-LFW-GBN/M</t>
  </si>
  <si>
    <t>SUESCFWCD</t>
  </si>
  <si>
    <t>GESCUDO-TRWH-GTN</t>
  </si>
  <si>
    <t>GVITARA05-LFW-GTN/M</t>
  </si>
  <si>
    <t>GVITARA05-TRWH-GTN</t>
  </si>
  <si>
    <t>IGNIS17-LFW-GTN</t>
  </si>
  <si>
    <t>IGNISFWCB</t>
  </si>
  <si>
    <t>IGNIS17-TRWH-GTN</t>
  </si>
  <si>
    <t>JIMNY19-LFW-GTN</t>
  </si>
  <si>
    <t>JIMNY19-TRW-GTN</t>
  </si>
  <si>
    <t>KARIMUN99-LFW-GTN</t>
  </si>
  <si>
    <t>KARIMUN99-TRWH-GTN</t>
  </si>
  <si>
    <t>S02-KARESTIL06-LFW-GTN</t>
  </si>
  <si>
    <t>KARESTILO-TRW-GTN</t>
  </si>
  <si>
    <t>SZ114FW</t>
  </si>
  <si>
    <t>S03-SPLASH-LFW-GTN</t>
  </si>
  <si>
    <t>SUSPLFW</t>
  </si>
  <si>
    <t>SWIFT04-LFW-GTN</t>
  </si>
  <si>
    <t>SWIFT04-TRWH-GTN/O</t>
  </si>
  <si>
    <t>SWIFTFWCB0</t>
  </si>
  <si>
    <t>SWIFT11-TRWH-GTN</t>
  </si>
  <si>
    <t>YA7FWCB0</t>
  </si>
  <si>
    <t>WAGONR-TRW-GTN</t>
  </si>
  <si>
    <t>TATAACE-LFW-GTN/M</t>
  </si>
  <si>
    <t>AY50FWCB</t>
  </si>
  <si>
    <t>AIOAY5FWCB</t>
  </si>
  <si>
    <t>2825ALFWGTN</t>
  </si>
  <si>
    <t>ALPHARD02-LFW-GTN/M</t>
  </si>
  <si>
    <t>28250TRWFGTN</t>
  </si>
  <si>
    <t>Toyota Alphard 02-08 ANH10 1st Gen (Bening)</t>
  </si>
  <si>
    <t>28250TRWFYPN</t>
  </si>
  <si>
    <t>ALPHARD1-TRW/H-YPN</t>
  </si>
  <si>
    <t>ALPHARD1-FVL-GTN</t>
  </si>
  <si>
    <t>ALPHARD1-FVR-GTN</t>
  </si>
  <si>
    <t>28250TDR3CLY</t>
  </si>
  <si>
    <t>ALPHARD02-FDL-GTN/K</t>
  </si>
  <si>
    <t>28250TDR4CLY</t>
  </si>
  <si>
    <t>T39-ALPHARD02-FDR-GTN/K</t>
  </si>
  <si>
    <t>28250TDR5CLY</t>
  </si>
  <si>
    <t>28250TDR6CLY</t>
  </si>
  <si>
    <t>28250TDR7CLN</t>
  </si>
  <si>
    <t>28250TDR8CLN</t>
  </si>
  <si>
    <t>28250TDR7YPN</t>
  </si>
  <si>
    <t>28250TDR8YPN</t>
  </si>
  <si>
    <t>28250TDR5YPY</t>
  </si>
  <si>
    <t>28250TDR6YPY</t>
  </si>
  <si>
    <t>ALPHARD1-SWL-YPN</t>
  </si>
  <si>
    <t>ALPHARD1-SWR-YPN</t>
  </si>
  <si>
    <t>55940LFWGGN</t>
  </si>
  <si>
    <t>ALPHARD2-LFWRS-GGN/MR</t>
  </si>
  <si>
    <t>5594ALFWGGN</t>
  </si>
  <si>
    <t>ALPHARD2-LFW-GGN/M</t>
  </si>
  <si>
    <t>55940TRWFYPN</t>
  </si>
  <si>
    <t>ALPHARD2-TRW/H-YPN</t>
  </si>
  <si>
    <t>55940TDR3CLN</t>
  </si>
  <si>
    <t>ALPHARD08-FDL-GTN/K</t>
  </si>
  <si>
    <t>55940TDR4CLN</t>
  </si>
  <si>
    <t>ALPHARD2-FVL-GTN</t>
  </si>
  <si>
    <t>ALPHARD2-FVR-GTN</t>
  </si>
  <si>
    <t>55940TDR7CLN</t>
  </si>
  <si>
    <t>55940TDR8CLN</t>
  </si>
  <si>
    <t>55940TDR5CLY</t>
  </si>
  <si>
    <t>T21-ALPHARD2-RDL-GTN/K</t>
  </si>
  <si>
    <t>55940TDR6CLY</t>
  </si>
  <si>
    <t>T22-ALPHARD2-RDR-GTN/K</t>
  </si>
  <si>
    <t>55940TDR7YPN</t>
  </si>
  <si>
    <t>ALPHARD08-SWL-YPN</t>
  </si>
  <si>
    <t>55940TDR8YPN</t>
  </si>
  <si>
    <t>ALPHARD08-SWR-YPN</t>
  </si>
  <si>
    <t>A0240LFWGBN</t>
  </si>
  <si>
    <t>ALPHARD15-LFWRS-GBN/MR</t>
  </si>
  <si>
    <t>A0240TRWYPN</t>
  </si>
  <si>
    <t>ALPHARD15-TRW-YPN</t>
  </si>
  <si>
    <t>A0240TRWGTN</t>
  </si>
  <si>
    <t>A0240TDR3CLY</t>
  </si>
  <si>
    <t>ALPHARD3-FDL-GTNK</t>
  </si>
  <si>
    <t>A0240TDR4CLY</t>
  </si>
  <si>
    <t>ALPHARD3-FDR-GTNK</t>
  </si>
  <si>
    <t>A0240TDR5CLY</t>
  </si>
  <si>
    <t>ALPHARD3-RDL-GTNK</t>
  </si>
  <si>
    <t>A0240TDR6CLY</t>
  </si>
  <si>
    <t>ALPHARD3-RDR-GTNK</t>
  </si>
  <si>
    <t>A0240TDR7CLN</t>
  </si>
  <si>
    <t>A0240TDR8CLN</t>
  </si>
  <si>
    <t>A0240TDR5YPY</t>
  </si>
  <si>
    <t>A0240TDR6YPY</t>
  </si>
  <si>
    <t>ALPHARD3-SWL-YPY</t>
  </si>
  <si>
    <t>ALPHARD3-SWR-YPY</t>
  </si>
  <si>
    <t>ALPHARD18-LFW-GBN/M</t>
  </si>
  <si>
    <t>ALPHARD18-LFWRS1-GBN/MR</t>
  </si>
  <si>
    <t>ALPHARD18-LFWRS2-GBN/MRK</t>
  </si>
  <si>
    <t>ALPHARD3-18-TRWH-YPN</t>
  </si>
  <si>
    <t>2673CLFWGTN</t>
  </si>
  <si>
    <t>ALTIS00-LFW-GTN</t>
  </si>
  <si>
    <t>1176ATRWGTN</t>
  </si>
  <si>
    <t>ALTIS00-TRW/H-GTN</t>
  </si>
  <si>
    <t>55490LFWGBN</t>
  </si>
  <si>
    <t>ALTIS06-LFW-GBN/M</t>
  </si>
  <si>
    <t>5549ALFWGBY</t>
  </si>
  <si>
    <t>ALTIS06-LFW/RS-GBN/MR</t>
  </si>
  <si>
    <t>55490TRWGTY</t>
  </si>
  <si>
    <t>T40-ALTIS06-TRWH-GTN</t>
  </si>
  <si>
    <t>55490TDR1CLY</t>
  </si>
  <si>
    <t>ALTIS06-FD/L-GTN/K</t>
  </si>
  <si>
    <t>55490TDR2CLY</t>
  </si>
  <si>
    <t>ALTIS06-FD/R-GTN/K</t>
  </si>
  <si>
    <t>55490TDR3GTY</t>
  </si>
  <si>
    <t>ALTIS06-RD/L-GTN/W</t>
  </si>
  <si>
    <t>55490TDR4CLN</t>
  </si>
  <si>
    <t>ALTIS06-RD/R-GTN/W</t>
  </si>
  <si>
    <t>55490TDR5CLN</t>
  </si>
  <si>
    <t>55490TDR6CLN</t>
  </si>
  <si>
    <t>4965BLFWGTY</t>
  </si>
  <si>
    <t>T41-ALTIS13-LFWRS-GTN/MR</t>
  </si>
  <si>
    <t>49650TRWGTN</t>
  </si>
  <si>
    <t>T42-ALTIS13-TRWH-GTN</t>
  </si>
  <si>
    <t>49650TDR1CLY</t>
  </si>
  <si>
    <t>49650TDR2CLY</t>
  </si>
  <si>
    <t>ALTIS13-FDR-GTN/K</t>
  </si>
  <si>
    <t>49650TDR3CLY</t>
  </si>
  <si>
    <t>ALTIS13-RDL-GTN/W</t>
  </si>
  <si>
    <t>49650TDR4CLY</t>
  </si>
  <si>
    <t>ALTIS13-RDR-GTN/W</t>
  </si>
  <si>
    <t>49650TDR5CLN</t>
  </si>
  <si>
    <t>49650TDR6CLN</t>
  </si>
  <si>
    <t>ALTIS18-LFWRS-GTY/MR</t>
  </si>
  <si>
    <t>ALTIS18-TRWH-GTN</t>
  </si>
  <si>
    <t>53930LFWGTN</t>
  </si>
  <si>
    <t>T01-AVANZA03-LFW-GTN</t>
  </si>
  <si>
    <t>AX020FWCB</t>
  </si>
  <si>
    <t>5393ATRWGTN</t>
  </si>
  <si>
    <t>T02-AVANZA03-TRW-GTN</t>
  </si>
  <si>
    <t>53930TRWGTN</t>
  </si>
  <si>
    <t>T23-AVANZA03-TRWH-GTN</t>
  </si>
  <si>
    <t>45980LFWGTN</t>
  </si>
  <si>
    <t>T03-AVANZA12-LFW-GTN</t>
  </si>
  <si>
    <t>AX311FWCB0</t>
  </si>
  <si>
    <t>4598ATRWGTN</t>
  </si>
  <si>
    <t>AVANZA2-TRW-GTN</t>
  </si>
  <si>
    <t>264rb (100)</t>
  </si>
  <si>
    <t>45980TRWGTN</t>
  </si>
  <si>
    <t>T04-AVANZA12-TRW/H-GTN</t>
  </si>
  <si>
    <t>A1840LFWGTN</t>
  </si>
  <si>
    <t>T05-AVANZA16-LFW-GTN</t>
  </si>
  <si>
    <t>AG40FWCB0</t>
  </si>
  <si>
    <t>AX60FWCB</t>
  </si>
  <si>
    <t>CS80FWCB</t>
  </si>
  <si>
    <t>CAS20RCB</t>
  </si>
  <si>
    <t>CS300RQ/L</t>
  </si>
  <si>
    <t>CS300RQ/R</t>
  </si>
  <si>
    <t>11330LFWGBN</t>
  </si>
  <si>
    <t>CAMRY96-LFW-GBN/M</t>
  </si>
  <si>
    <t>11330TRWGTN</t>
  </si>
  <si>
    <t>3320FLFWGBN</t>
  </si>
  <si>
    <t>CAMRY02-LFW-GBN/M</t>
  </si>
  <si>
    <t>33200TRWGTN</t>
  </si>
  <si>
    <t>CAMRY02-TRWHA-GTN</t>
  </si>
  <si>
    <t>33200TDR1CLN</t>
  </si>
  <si>
    <t>33200TDR2CLN</t>
  </si>
  <si>
    <t>CAMRY02-FDR-GTN/K</t>
  </si>
  <si>
    <t>54120LFWGTY</t>
  </si>
  <si>
    <t>CAMRY06-LFW-GBN/M</t>
  </si>
  <si>
    <t>5412BLFWGBN</t>
  </si>
  <si>
    <t>CAMRY06-LFW/RS-GBN/MR</t>
  </si>
  <si>
    <t>54120TRWGTN</t>
  </si>
  <si>
    <t>CAMRY06-TRWH-GTN</t>
  </si>
  <si>
    <t>5921FLFWGBN</t>
  </si>
  <si>
    <t>T06-CAMRY11-LFW/RS-GBN/MR</t>
  </si>
  <si>
    <t>CAMRY11-LFW-GBN/M</t>
  </si>
  <si>
    <t>FB25221GTN</t>
  </si>
  <si>
    <t>CAMRY11-TRWH-GTN</t>
  </si>
  <si>
    <t>47440TDR1CLN</t>
  </si>
  <si>
    <t>47440TDR2CLN</t>
  </si>
  <si>
    <t>CAMRY11-FDR-GTN/K</t>
  </si>
  <si>
    <t>T49-CAMRY18-LFWRS-GBN/MR</t>
  </si>
  <si>
    <t>T44-CHR-LFW-GTY/M</t>
  </si>
  <si>
    <t>TWINCAM-LFW-GTN</t>
  </si>
  <si>
    <t>KE92FWCB</t>
  </si>
  <si>
    <t>00680TRWGTN</t>
  </si>
  <si>
    <t>TWINCAM-TRWH-GTN</t>
  </si>
  <si>
    <t>00170LFWGTN</t>
  </si>
  <si>
    <t>CGREAT91-LFW-GTN</t>
  </si>
  <si>
    <t>00170TRWGTN</t>
  </si>
  <si>
    <t>CGREAT91-TRWH-GTN</t>
  </si>
  <si>
    <t>CGREAT91-FDL-GTN/K</t>
  </si>
  <si>
    <t>CGREAT91-FDR-GTN/K</t>
  </si>
  <si>
    <t>CGREAT91-RDL-GTN/W</t>
  </si>
  <si>
    <t>CGREAT91-RDR-GTN/W</t>
  </si>
  <si>
    <t>T43-NEWCOROLLA-LFW-GTN</t>
  </si>
  <si>
    <t>KE120FWCB4</t>
  </si>
  <si>
    <t>T42-NEWCOROLLA-TRW/H-GTN</t>
  </si>
  <si>
    <t>CROSS21-LFWRS-GTN/MR</t>
  </si>
  <si>
    <t>5947BTRWGTN</t>
  </si>
  <si>
    <t>59470TRWGTN</t>
  </si>
  <si>
    <t>52420LFWGGN</t>
  </si>
  <si>
    <t>T43-FORTUNER05-LFW-GGN/M</t>
  </si>
  <si>
    <t>TT738FWCD</t>
  </si>
  <si>
    <t>5242BTRWGTN</t>
  </si>
  <si>
    <t>FORTUNER05-TRWH-GTN</t>
  </si>
  <si>
    <t>5242CTRWYPN</t>
  </si>
  <si>
    <t>FORTUNER05-TRWH-YPN</t>
  </si>
  <si>
    <t>5242ETDR3CLN</t>
  </si>
  <si>
    <t>FORTUNER05-RD/L-GTN</t>
  </si>
  <si>
    <t>5242ETDR4CLN</t>
  </si>
  <si>
    <t>FORTUNER05-RD/R-GTN</t>
  </si>
  <si>
    <t>5242ETDR7YPN</t>
  </si>
  <si>
    <t>FORTUNER05-SW/L-YPN</t>
  </si>
  <si>
    <t>5242ETDR8YPN</t>
  </si>
  <si>
    <t>FORTUNER05-SW/R/A-YPN</t>
  </si>
  <si>
    <t>A077ALFWGGN</t>
  </si>
  <si>
    <t>T44-FORTUNER15-LFW-GGN/M</t>
  </si>
  <si>
    <t>TT739FWCB</t>
  </si>
  <si>
    <t>A1060TRWGTN</t>
  </si>
  <si>
    <t>FORTUNER2-TRW-GTN</t>
  </si>
  <si>
    <t>A1060TRWYPN</t>
  </si>
  <si>
    <t>T45-FORTUNER15-TRWH-YPN</t>
  </si>
  <si>
    <t>A1060TDR3CLN</t>
  </si>
  <si>
    <t>T26-FORTUNER15-RDL-GTN</t>
  </si>
  <si>
    <t>A1060TDR4CLN</t>
  </si>
  <si>
    <t>T27-FORTUNER15-RDR-GTN</t>
  </si>
  <si>
    <t>T24-FT86-LFW-GTY/M</t>
  </si>
  <si>
    <t>T25-FT86-TRW-GTN</t>
  </si>
  <si>
    <t>5176CLFWGTN</t>
  </si>
  <si>
    <t>HIACE05-LFW-GTN/M</t>
  </si>
  <si>
    <t>HIACEFWCB</t>
  </si>
  <si>
    <t>5176ATRWGTN</t>
  </si>
  <si>
    <t>T10-HIACE05-TRW/H/1-GTN</t>
  </si>
  <si>
    <t>Toyota Hi-Ace 04-20 Commuter (Bening)</t>
  </si>
  <si>
    <t>5176ATRWYPN</t>
  </si>
  <si>
    <t>HIACE05-TRW/H/1-YPN</t>
  </si>
  <si>
    <t>HIACE20TYPE2-TRW-GTN</t>
  </si>
  <si>
    <t>51760TDR1GTY</t>
  </si>
  <si>
    <t>HIACE05-FD/L-GTN/K</t>
  </si>
  <si>
    <t>F X</t>
  </si>
  <si>
    <t>51760TDR2CLY</t>
  </si>
  <si>
    <t>HIACE05-FD/R-GTN/K</t>
  </si>
  <si>
    <t>T07-HIACE05-RD/L/F-GTN</t>
  </si>
  <si>
    <t>T08-HIACE05-RD/R-GTN</t>
  </si>
  <si>
    <t>HIACE05-SF/L-GTN</t>
  </si>
  <si>
    <t>HIACE05-SF/R-GTN</t>
  </si>
  <si>
    <t>5176NTDR5CLN</t>
  </si>
  <si>
    <t>HIACE05-SR/L-GTN</t>
  </si>
  <si>
    <t>5176NTDR6CLN</t>
  </si>
  <si>
    <t>HIACE05-SR/R-GTN</t>
  </si>
  <si>
    <t>T09-HIACE05-SR/R/F-GTN</t>
  </si>
  <si>
    <t>T11-HIACE19-LFW-GTN/M</t>
  </si>
  <si>
    <t>T28-HIACE19-TRWH1-YPN</t>
  </si>
  <si>
    <t>HIACE19-TRWH-GTN</t>
  </si>
  <si>
    <t>T45-HIACE19-FDL-GTN/K</t>
  </si>
  <si>
    <t>T46-HIACE19-FDR-GTN/K</t>
  </si>
  <si>
    <t>HIACE19-RDL-F-GTN/F</t>
  </si>
  <si>
    <t>HIACE19-RDR-GTN</t>
  </si>
  <si>
    <t>HIACE19-SRL-GTN</t>
  </si>
  <si>
    <t>HIACE19-SRR-F-GTN/F</t>
  </si>
  <si>
    <t>HILUX97-LFW-GTN</t>
  </si>
  <si>
    <t>HILUX05-LFW-GTN/M</t>
  </si>
  <si>
    <t>TT738FWCD2</t>
  </si>
  <si>
    <t>52420TRWGTN</t>
  </si>
  <si>
    <t>T12-HILUX05-TRW/H-GTY</t>
  </si>
  <si>
    <t>A077ALFWGTN</t>
  </si>
  <si>
    <t>HILUX15-LFW-GTN/M</t>
  </si>
  <si>
    <t>TT739FWCB1</t>
  </si>
  <si>
    <t>F - M</t>
  </si>
  <si>
    <t>A0770TRWGTN</t>
  </si>
  <si>
    <t>HILUX15-TRW/H-GTN</t>
  </si>
  <si>
    <t>A077ATRWGTN</t>
  </si>
  <si>
    <t>HILUX15-TRW/N-GTN</t>
  </si>
  <si>
    <t>HILUX15-RDL-GTN/W</t>
  </si>
  <si>
    <t>HILUX15-RDR-GTN/W</t>
  </si>
  <si>
    <t>HILUX15-RQL-GTN</t>
  </si>
  <si>
    <t>HILUX15-RQR-GTN</t>
  </si>
  <si>
    <t>5286ALFWGTN</t>
  </si>
  <si>
    <t>INNOVA1-LFW-GTN/M</t>
  </si>
  <si>
    <t>IMVFWCB</t>
  </si>
  <si>
    <t>52860TRWGTN</t>
  </si>
  <si>
    <t>T46-INNOVA04-TRWH-GTY</t>
  </si>
  <si>
    <t>52860TRWCGTN</t>
  </si>
  <si>
    <t>T13-INNOVA1-TRW-GTY</t>
  </si>
  <si>
    <t>52860TDR7CLN</t>
  </si>
  <si>
    <t>52860TDR8CLN</t>
  </si>
  <si>
    <t>52860TDR10CLN</t>
  </si>
  <si>
    <t>A2580LFWGTN</t>
  </si>
  <si>
    <t>T34-INNOVA2-LFW-GTN/M</t>
  </si>
  <si>
    <t>INVNFWCB</t>
  </si>
  <si>
    <t>T35-INNOVA2-TRW-GTN</t>
  </si>
  <si>
    <t>AN140 RW/H/X-GTN</t>
  </si>
  <si>
    <t>INNOVA23-LFWRS-GTN/M</t>
  </si>
  <si>
    <t>INNOVA23-LFW-GTN/M</t>
  </si>
  <si>
    <t>2878BLFWGTN</t>
  </si>
  <si>
    <t>IST-LFW-GTN/M</t>
  </si>
  <si>
    <t>28780TRWGTN</t>
  </si>
  <si>
    <t>T14-KIJANG97-LFW-GTN</t>
  </si>
  <si>
    <t>510TFW</t>
  </si>
  <si>
    <t>T15-KIJANGEFI-LFW-GTN</t>
  </si>
  <si>
    <t>TKKAPFWCB</t>
  </si>
  <si>
    <t>FJ40-LFW-GTN</t>
  </si>
  <si>
    <t>0069ALFWGGN</t>
  </si>
  <si>
    <t>FJ80-LFW-GGN</t>
  </si>
  <si>
    <t>00690TRWGTN</t>
  </si>
  <si>
    <t>FJ80-TRW-GTN</t>
  </si>
  <si>
    <t>00690TDR3CLN</t>
  </si>
  <si>
    <t>00690TDR4CLN</t>
  </si>
  <si>
    <t>00690TDR7CLN</t>
  </si>
  <si>
    <t>FJ80-SFL-GTN</t>
  </si>
  <si>
    <t>0069ATDR8CLN</t>
  </si>
  <si>
    <t>00690TDR9CLN</t>
  </si>
  <si>
    <t>FJ80-SRL-GTN</t>
  </si>
  <si>
    <t>00690TDR10CLN</t>
  </si>
  <si>
    <t>FJ80-SRR-GTN</t>
  </si>
  <si>
    <t>FJ100-LFWRS-GTN/MR</t>
  </si>
  <si>
    <t>17130LFWGBN</t>
  </si>
  <si>
    <t>17130TRWGTN</t>
  </si>
  <si>
    <t>17130TDR3CLN</t>
  </si>
  <si>
    <t>FJ100-RDL-GTN/W</t>
  </si>
  <si>
    <t>17130TDR4CLN</t>
  </si>
  <si>
    <t>FJ100-RDR-GTN/W</t>
  </si>
  <si>
    <t>17130TDR7CLN</t>
  </si>
  <si>
    <t>17130TDR8CLN</t>
  </si>
  <si>
    <t>5569DLFWGBN</t>
  </si>
  <si>
    <t>FJ200-LFW-GBN/MR</t>
  </si>
  <si>
    <t>FJ200-16-LFWRSV2-GBN/MR</t>
  </si>
  <si>
    <t>5569ALFWGGN</t>
  </si>
  <si>
    <t>FJ200-LFW-GGN/M</t>
  </si>
  <si>
    <t>55690TRWGTN</t>
  </si>
  <si>
    <t>FJ200-TRWH1-GTN</t>
  </si>
  <si>
    <t>55690TDR1CLN</t>
  </si>
  <si>
    <t>55690TDR2CLN</t>
  </si>
  <si>
    <t>55690TDR3CLN</t>
  </si>
  <si>
    <t>55690TDR4CLN</t>
  </si>
  <si>
    <t>55690TDR5CLN</t>
  </si>
  <si>
    <t>55690TDR6CLN</t>
  </si>
  <si>
    <t>FJ70FW3</t>
  </si>
  <si>
    <t>T54-FJ90-LFW-GTY</t>
  </si>
  <si>
    <t>28220LFWGTN</t>
  </si>
  <si>
    <t>FJ120-LFW-GTY/M</t>
  </si>
  <si>
    <t>FJ120-FDL-GTN/K</t>
  </si>
  <si>
    <t>FJ120-FDR-GTN/K</t>
  </si>
  <si>
    <t>28220TDR3CLN</t>
  </si>
  <si>
    <t>28220TDR4CLN</t>
  </si>
  <si>
    <t>2822BTDR7CLN</t>
  </si>
  <si>
    <t>28220TDR8CLN</t>
  </si>
  <si>
    <t>2822ATRWGTN</t>
  </si>
  <si>
    <t>T55-FJ120-TRWH1-GTN</t>
  </si>
  <si>
    <t>T53-FJ120-TRWH-GTN</t>
  </si>
  <si>
    <t>5769ALFWGGY</t>
  </si>
  <si>
    <t>FJ150-LFWRS-GGY/MR</t>
  </si>
  <si>
    <t>57690TRWGTN</t>
  </si>
  <si>
    <t>57690TDR3CLN</t>
  </si>
  <si>
    <t>57690TDR4CLN</t>
  </si>
  <si>
    <t>55460LFWGTN</t>
  </si>
  <si>
    <t>NAV107-LFW-GTN/M</t>
  </si>
  <si>
    <t>55460TRWGTN</t>
  </si>
  <si>
    <t>NAV107-TRW-GTN</t>
  </si>
  <si>
    <t>55460TDR5CLN</t>
  </si>
  <si>
    <t>55460TDR6CLN</t>
  </si>
  <si>
    <t>2756ALFWCLN</t>
  </si>
  <si>
    <t>NOAH01-LFW-GTN/M</t>
  </si>
  <si>
    <t>2756ATRWGTN</t>
  </si>
  <si>
    <t>NOAH01-TRWH-GTN</t>
  </si>
  <si>
    <t>2756ATDR5CLN</t>
  </si>
  <si>
    <t>2756ATDR6CLN</t>
  </si>
  <si>
    <t>2756ATDR7CLN</t>
  </si>
  <si>
    <t>22890LFWCLN</t>
  </si>
  <si>
    <t>T47-PREVIA00-LFW-GTN</t>
  </si>
  <si>
    <t>2289ATRWGTN</t>
  </si>
  <si>
    <t>53910LFWCGY</t>
  </si>
  <si>
    <t>T48-PREVIA06-LFW-GTN</t>
  </si>
  <si>
    <t>53910TRWFGTN</t>
  </si>
  <si>
    <t>PRIUS09-LFWRS-GTY/MR</t>
  </si>
  <si>
    <t>RR73FWCB</t>
  </si>
  <si>
    <t>RAIZE-LFWRS-GTN/K</t>
  </si>
  <si>
    <t>26260TRWGTN</t>
  </si>
  <si>
    <t>RAV4-XA20-TRWH-GTN</t>
  </si>
  <si>
    <t>26260LFWGTN</t>
  </si>
  <si>
    <t>T47-RAV00-LFW-GTY/M</t>
  </si>
  <si>
    <t>5382ALFWCLY</t>
  </si>
  <si>
    <t>53820TRWGTN</t>
  </si>
  <si>
    <t>53820TDR1CLY</t>
  </si>
  <si>
    <t>53820TDR2CLY</t>
  </si>
  <si>
    <t>53820TDR3CLY</t>
  </si>
  <si>
    <t>53820TDR4CLY</t>
  </si>
  <si>
    <t>53820TDR7CLN</t>
  </si>
  <si>
    <t>53820TDR8CLN</t>
  </si>
  <si>
    <t>5411CLFWGTN</t>
  </si>
  <si>
    <t>TERIOS-1-LFW-GTN</t>
  </si>
  <si>
    <t>D99FWCB</t>
  </si>
  <si>
    <t>5411CTRWGTN</t>
  </si>
  <si>
    <t>D01-TERIOS1-TRW/1-GTN</t>
  </si>
  <si>
    <t>54110TRWGTN</t>
  </si>
  <si>
    <t>D03-TERIOS1-TRWH1-GTN</t>
  </si>
  <si>
    <t>5411BTRWGTN</t>
  </si>
  <si>
    <t>D04-TERIOS1-TRW-GTN</t>
  </si>
  <si>
    <t>TERIOS1-SWL-GTN</t>
  </si>
  <si>
    <t>TERIOS1-SWR-GTN</t>
  </si>
  <si>
    <t>T48-TERIOS18-LFW-GTN</t>
  </si>
  <si>
    <t>RUSHFWCB</t>
  </si>
  <si>
    <t>TY-F800 RW/H/X-GTN</t>
  </si>
  <si>
    <t>TR31RMCB</t>
  </si>
  <si>
    <t>T36-TERIOS18-TRW-GTN</t>
  </si>
  <si>
    <t>A1440LFWCLN</t>
  </si>
  <si>
    <t>T49-SIENTA-LFW-GTN/M</t>
  </si>
  <si>
    <t>A1440TRWGTN</t>
  </si>
  <si>
    <t>T50-SIENTA-TRWH-GTN</t>
  </si>
  <si>
    <t>24210LFWGTN</t>
  </si>
  <si>
    <t>SOLUNA-LFW/X-GTN</t>
  </si>
  <si>
    <t>908TFWCB</t>
  </si>
  <si>
    <t>T16-SOLUNA-TRW/H-GTN</t>
  </si>
  <si>
    <t>06300LFWGGN</t>
  </si>
  <si>
    <t>STARLET-EP80-LFW-GGN</t>
  </si>
  <si>
    <t>06300TRWHGTN</t>
  </si>
  <si>
    <t>STARLET-EP80-TRW/H-GTN</t>
  </si>
  <si>
    <t>06300TDR3CLN</t>
  </si>
  <si>
    <t>STARLET-RDL-GTN</t>
  </si>
  <si>
    <t>06300TDR4CLN</t>
  </si>
  <si>
    <t>STARLET-RDR-GTN</t>
  </si>
  <si>
    <t>T17-VIOS02-LFW-GTN/M</t>
  </si>
  <si>
    <t>TOVIMFWCB</t>
  </si>
  <si>
    <t>34920TRWGTN</t>
  </si>
  <si>
    <t>T18-VIOS02-TRW/H-GTN</t>
  </si>
  <si>
    <t>T37-VIOS02-FDL-GTN</t>
  </si>
  <si>
    <t>T38-VIOS02-FDR-GTN</t>
  </si>
  <si>
    <t>34920TDR3GTY</t>
  </si>
  <si>
    <t>VIOS02-RDL-GTN/W</t>
  </si>
  <si>
    <t>34920TDR4GTY</t>
  </si>
  <si>
    <t>VIOS02-RDR-GTN/W</t>
  </si>
  <si>
    <t>53870LFWGTN</t>
  </si>
  <si>
    <t>VIOS2-LFW-GTN/M</t>
  </si>
  <si>
    <t>NVIOSFWCD</t>
  </si>
  <si>
    <t>53870TRWGTN</t>
  </si>
  <si>
    <t>5387ATRWGTN</t>
  </si>
  <si>
    <t>T19-VIOS07-TRW/H-GTN</t>
  </si>
  <si>
    <t>53870TDR3GTY</t>
  </si>
  <si>
    <t>VIOS2-RDL-GTN/W</t>
  </si>
  <si>
    <t>53870TDR4GTY</t>
  </si>
  <si>
    <t>VIOS2-RDR-GTN/W</t>
  </si>
  <si>
    <t>53870TDR5CLN</t>
  </si>
  <si>
    <t>VIOS2-RV/L-GTN</t>
  </si>
  <si>
    <t>VIOS2-RV/R-GTN</t>
  </si>
  <si>
    <t>T51-VIOS07-TRW-GTN</t>
  </si>
  <si>
    <t>VIOS3-TRW-GTN</t>
  </si>
  <si>
    <t>46760LFWGTN</t>
  </si>
  <si>
    <t>VOXY17-LFW-GTN/M</t>
  </si>
  <si>
    <t>46760TRWGTN</t>
  </si>
  <si>
    <t>T41-VOXY17-TRWH-YPN</t>
  </si>
  <si>
    <t>VOXY22-LFW-GTN/MK</t>
  </si>
  <si>
    <t>VOXY22-TRWH-YPN</t>
  </si>
  <si>
    <t>28190LFWAGTN</t>
  </si>
  <si>
    <t>WISH03-LFW-GTN/M</t>
  </si>
  <si>
    <t>28190TRWGTN</t>
  </si>
  <si>
    <t>WISH03-TRW-GTN</t>
  </si>
  <si>
    <t>52810LFWGTN</t>
  </si>
  <si>
    <t>YARIS-LFW-GTN/M</t>
  </si>
  <si>
    <t>YARRISFWCD</t>
  </si>
  <si>
    <t>52810TRWGTN</t>
  </si>
  <si>
    <t>YARIS-TRW/H-GTY</t>
  </si>
  <si>
    <t>8796BLFWGTN</t>
  </si>
  <si>
    <t>VIOS3-LFW-GTN/M</t>
  </si>
  <si>
    <t>NLIMOFWCB</t>
  </si>
  <si>
    <t>T52-YARIS13-TRWH-GTY</t>
  </si>
  <si>
    <t>T20-YARIS17-TRW/H-GTN</t>
  </si>
  <si>
    <t>VW-T4-LFW-GTN/M</t>
  </si>
  <si>
    <t>5101CLFWGTN</t>
  </si>
  <si>
    <t>VW-T5-LFW-GTN/M</t>
  </si>
  <si>
    <t>5101BTRWYPN</t>
  </si>
  <si>
    <t>CARAVELLE03-TRW-GTN</t>
  </si>
  <si>
    <t>T6-TRWH-GTN/O</t>
  </si>
  <si>
    <t>51610TRWGTN</t>
  </si>
  <si>
    <t>5788ALFWGTY</t>
  </si>
  <si>
    <t>V03-GOLFMK6-LFWRS-GTY/R</t>
  </si>
  <si>
    <t>57880TRWGTN</t>
  </si>
  <si>
    <t>GOLFMK6-TRWH-GTN</t>
  </si>
  <si>
    <t>46170LFWGTY</t>
  </si>
  <si>
    <t>GOLF-MK7-LFRS-GTY/R</t>
  </si>
  <si>
    <t>59800LFWGTY</t>
  </si>
  <si>
    <t>VW New Beetle 2D Hatchback A5 11-19</t>
  </si>
  <si>
    <t>5787GLFWGTY</t>
  </si>
  <si>
    <t>POLO15-LFWRS-GTY/R</t>
  </si>
  <si>
    <t>57870LFWGTY</t>
  </si>
  <si>
    <t>POLO15-LFW-GTY/M</t>
  </si>
  <si>
    <t>5787CTRWGTN</t>
  </si>
  <si>
    <t>57860LFWGTN</t>
  </si>
  <si>
    <t>SCIROCCO-LFWRS-GTN/R</t>
  </si>
  <si>
    <t>V04-SCIROCCO08-TRWH-GTN</t>
  </si>
  <si>
    <t>57200LFWGTY</t>
  </si>
  <si>
    <t>V01-TIGUAN17-LFW/RS-GTY/R</t>
  </si>
  <si>
    <t>TIGUAN07-TRW-GTN</t>
  </si>
  <si>
    <t>TIGUAN-17-LFWRS-GTY/R</t>
  </si>
  <si>
    <t>TIGUAN-17 RW/H/X-GTN</t>
  </si>
  <si>
    <t>ALMAZ-LFWRS-GTN/M</t>
  </si>
  <si>
    <t>ALMAZ-19-VC LFW/X-GTN/M</t>
  </si>
  <si>
    <t>ALMAZ-TRWH-GTN</t>
  </si>
  <si>
    <t>8455BLFWGTN</t>
  </si>
  <si>
    <t>W01-CONFERO-LFW-GBN/M</t>
  </si>
  <si>
    <t>WCONFWCD</t>
  </si>
  <si>
    <t>W04-CONFERO-TRW-GTN</t>
  </si>
  <si>
    <t>W02-CONFERO-TRW-GTN</t>
  </si>
  <si>
    <t>W03-CONFERO-TRWN-GTN</t>
  </si>
  <si>
    <t>CORTEZ-VCPS LFW/X-GBN</t>
  </si>
  <si>
    <t>CORTEZ-TRW-GTN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</si>
</sst>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5">
    <numFmt numFmtId="164" formatCode="dd/mm/yyyy"/>
    <numFmt numFmtId="165" formatCode="d&quot;-&quot;mmm&quot;-&quot;yyyy"/>
    <numFmt numFmtId="166" formatCode="d/m/yyyy"/>
    <numFmt numFmtId="167" formatCode="dd/MM/yyyy"/>
    <numFmt numFmtId="168" formatCode="[$Rp]#,##0"/>
    <numFmt numFmtId="169" formatCode="_(* #,##0_);_(* \(#,##0\);_(* &quot;-&quot;??_);_(@_)"/>
    <numFmt numFmtId="170" formatCode="d/m/yy"/>
    <numFmt numFmtId="171" formatCode="m/d/yy"/>
    <numFmt numFmtId="172" formatCode="yyyy-mm"/>
    <numFmt numFmtId="173" formatCode="dd/mm"/>
    <numFmt numFmtId="174" formatCode="_([$Rp-421]* #,##0_);_([$Rp-421]* \(#,##0\);_([$Rp-421]* &quot;-&quot;??_);_(@_)"/>
    <numFmt numFmtId="175" formatCode="&quot;Rp&quot;#,##0"/>
    <numFmt numFmtId="176" formatCode="_([$Rp-421]* #,##0.00_);_([$Rp-421]* \(#,##0.00\);_([$Rp-421]* &quot;-&quot;??_);_(@_)"/>
    <numFmt numFmtId="177" formatCode="dd/mm/yy"/>
    <numFmt numFmtId="178" formatCode="[$-409]d\-mmm\-yy"/>
    <numFmt numFmtId="179" formatCode="yyyy/m/d"/>
    <numFmt numFmtId="180" formatCode="d-mmmm-yy"/>
    <numFmt numFmtId="181" formatCode="mm/dd/yy"/>
    <numFmt numFmtId="182" formatCode="mm/dd/yyyy"/>
    <numFmt numFmtId="183" formatCode="d-mmm-yy"/>
    <numFmt numFmtId="184" formatCode="_-[$Rp-421]* #,##0.00_-;_-[$Rp-421]* \-#,##0.00_-;_-[$Rp-421]* &quot;-&quot;??_-;_-@"/>
    <numFmt numFmtId="185" formatCode="_-[$Rp-421]* #,##0_-;_-[$Rp-421]* \-#,##0_-;_-[$Rp-421]* &quot;-&quot;??_-;_-@"/>
    <numFmt numFmtId="186" formatCode="d/m"/>
    <numFmt numFmtId="187" formatCode="[$Rp-421]#,##0.00"/>
    <numFmt numFmtId="188" formatCode="_(* #,##0.00_);_(* \(#,##0.00\);_(* &quot;-&quot;??_);_(@_)"/>
  </numFmts>
  <fonts count="140">
    <font>
      <sz val="11.0"/>
      <color theme="1"/>
      <name val="Calibri"/>
      <scheme val="minor"/>
    </font>
    <font>
      <sz val="11.0"/>
      <color theme="1"/>
      <name val="Calibri"/>
    </font>
    <font/>
    <font>
      <sz val="10.0"/>
      <color theme="1"/>
      <name val="Calibri"/>
    </font>
    <font>
      <color theme="1"/>
      <name val="Calibri"/>
      <scheme val="minor"/>
    </font>
    <font>
      <b/>
      <i/>
      <sz val="10.0"/>
      <color rgb="FFFFFFFF"/>
      <name val="Calibri"/>
    </font>
    <font>
      <b/>
      <i/>
      <sz val="10.0"/>
      <color theme="0"/>
      <name val="Calibri"/>
    </font>
    <font>
      <color rgb="FF000000"/>
      <name val="Docs-Calibri"/>
    </font>
    <font>
      <sz val="10.0"/>
      <color rgb="FF000000"/>
      <name val="Calibri"/>
    </font>
    <font>
      <color rgb="FF000000"/>
      <name val="Arial"/>
    </font>
    <font>
      <color theme="1"/>
      <name val="Arial"/>
    </font>
    <font>
      <color theme="1"/>
      <name val="Calibri"/>
    </font>
    <font>
      <sz val="10.0"/>
      <color theme="1"/>
      <name val="Calibri"/>
      <scheme val="minor"/>
    </font>
    <font>
      <b/>
      <sz val="10.0"/>
      <color theme="1"/>
      <name val="Calibri"/>
    </font>
    <font>
      <b/>
      <color theme="1"/>
      <name val="Calibri"/>
      <scheme val="minor"/>
    </font>
    <font>
      <sz val="9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b/>
      <sz val="11.0"/>
      <color rgb="FF9900FF"/>
      <name val="Calibri"/>
    </font>
    <font>
      <b/>
      <sz val="10.0"/>
      <color rgb="FFFFFFFF"/>
      <name val="Calibri"/>
    </font>
    <font>
      <b/>
      <sz val="10.0"/>
      <color theme="1"/>
      <name val="Calibri"/>
      <scheme val="minor"/>
    </font>
    <font>
      <b/>
      <sz val="10.0"/>
      <color theme="1"/>
      <name val="Arial"/>
    </font>
    <font>
      <b/>
      <sz val="10.0"/>
      <color rgb="FFF94D63"/>
      <name val="Arial"/>
    </font>
    <font>
      <sz val="10.0"/>
      <color rgb="FF000000"/>
      <name val="Docs-Calibri"/>
    </font>
    <font>
      <b/>
      <sz val="10.0"/>
      <color rgb="FFF94D63"/>
      <name val="&quot;Open Sauce One&quot;"/>
    </font>
    <font>
      <sz val="10.0"/>
      <color rgb="FF1F1F1F"/>
      <name val="Calibri"/>
    </font>
    <font>
      <sz val="10.0"/>
      <color rgb="FF000000"/>
      <name val="Calibri"/>
      <scheme val="minor"/>
    </font>
    <font>
      <b/>
      <sz val="10.0"/>
      <color rgb="FFF94D63"/>
      <name val="Calibri"/>
    </font>
    <font>
      <sz val="11.0"/>
      <color rgb="FF000000"/>
      <name val="Docs-Calibri"/>
    </font>
    <font>
      <u/>
      <sz val="10.0"/>
      <color theme="1"/>
      <name val="Calibri"/>
    </font>
    <font>
      <sz val="11.0"/>
      <color rgb="FF000000"/>
      <name val="Calibri"/>
    </font>
    <font>
      <u/>
      <sz val="10.0"/>
      <color theme="1"/>
      <name val="Calibri"/>
    </font>
    <font>
      <sz val="11.0"/>
      <color rgb="FF1F1F1F"/>
      <name val="Calibri"/>
    </font>
    <font>
      <color rgb="FF000000"/>
      <name val="Calibri"/>
    </font>
    <font>
      <u/>
      <color rgb="FF000000"/>
      <name val="Docs-Calibri"/>
    </font>
    <font>
      <sz val="11.0"/>
      <color rgb="FF1F1F1F"/>
      <name val="Docs-Calibri"/>
    </font>
    <font>
      <sz val="10.0"/>
      <color rgb="FF1F1F1F"/>
      <name val="Calibri"/>
      <scheme val="minor"/>
    </font>
    <font>
      <u/>
      <sz val="10.0"/>
      <color theme="1"/>
      <name val="Calibri"/>
      <scheme val="minor"/>
    </font>
    <font>
      <sz val="9.0"/>
      <color theme="1"/>
      <name val="Calibri"/>
      <scheme val="minor"/>
    </font>
    <font>
      <b/>
      <sz val="11.0"/>
      <color rgb="FFF94D63"/>
      <name val="&quot;Open Sauce One&quot;"/>
    </font>
    <font>
      <sz val="10.0"/>
      <color theme="1"/>
      <name val="Arial"/>
    </font>
    <font>
      <sz val="11.0"/>
      <color rgb="FF000000"/>
      <name val="Calibri"/>
      <scheme val="minor"/>
    </font>
    <font>
      <b/>
      <sz val="12.0"/>
      <color theme="1"/>
      <name val="Calibri"/>
    </font>
    <font>
      <sz val="8.0"/>
      <color theme="1"/>
      <name val="Calibri"/>
    </font>
    <font>
      <b/>
      <i/>
      <sz val="10.0"/>
      <color theme="1"/>
      <name val="Calibri"/>
    </font>
    <font>
      <b/>
      <sz val="9.0"/>
      <color theme="1"/>
      <name val="Calibri"/>
    </font>
    <font>
      <sz val="7.0"/>
      <color theme="1"/>
      <name val="Calibri"/>
    </font>
    <font>
      <i/>
      <sz val="10.0"/>
      <color theme="1"/>
      <name val="Calibri"/>
    </font>
    <font>
      <sz val="6.0"/>
      <color theme="1"/>
      <name val="Calibri"/>
    </font>
    <font>
      <b/>
      <i/>
      <sz val="9.0"/>
      <color theme="1"/>
      <name val="Calibri"/>
    </font>
    <font>
      <b/>
      <i/>
      <sz val="10.0"/>
      <color theme="1"/>
      <name val="Calibri"/>
      <scheme val="minor"/>
    </font>
    <font>
      <b/>
      <sz val="8.0"/>
      <color theme="1"/>
      <name val="Calibri"/>
    </font>
    <font>
      <sz val="12.0"/>
      <color theme="1"/>
      <name val="Calibri"/>
    </font>
    <font>
      <b/>
      <color rgb="FFFFFFFF"/>
      <name val="Arial"/>
    </font>
    <font>
      <sz val="17.0"/>
      <color theme="1"/>
      <name val="Arial"/>
    </font>
    <font>
      <b/>
      <color theme="1"/>
      <name val="Arial"/>
    </font>
    <font>
      <sz val="9.0"/>
      <color theme="1"/>
      <name val="Arial"/>
    </font>
    <font>
      <b/>
      <i/>
      <sz val="8.0"/>
      <color theme="1"/>
      <name val="Calibri"/>
    </font>
    <font>
      <b/>
      <sz val="19.0"/>
      <color theme="1"/>
      <name val="Calibri"/>
    </font>
    <font>
      <b/>
      <sz val="17.0"/>
      <color theme="1"/>
      <name val="Calibri"/>
    </font>
    <font>
      <sz val="18.0"/>
      <color theme="1"/>
      <name val="Calibri"/>
    </font>
    <font>
      <b/>
      <sz val="60.0"/>
      <color theme="1"/>
      <name val="Calibri"/>
    </font>
    <font>
      <sz val="22.0"/>
      <color rgb="FF6D7588"/>
      <name val="Calibri"/>
    </font>
    <font>
      <sz val="12.0"/>
      <color theme="1"/>
      <name val="Calibri"/>
      <scheme val="minor"/>
    </font>
    <font>
      <sz val="7.0"/>
      <color theme="1"/>
      <name val="Calibri"/>
      <scheme val="minor"/>
    </font>
    <font>
      <b/>
      <sz val="11.0"/>
      <color rgb="FFFFFFFF"/>
      <name val="Arial"/>
    </font>
    <font>
      <u/>
      <color rgb="FF0000FF"/>
    </font>
    <font>
      <b/>
      <sz val="11.0"/>
      <color rgb="FFFFFFFF"/>
      <name val="Calibri"/>
    </font>
    <font>
      <b/>
      <sz val="11.0"/>
      <color theme="0"/>
      <name val="Calibri"/>
    </font>
    <font>
      <sz val="11.0"/>
      <color rgb="FFFFFFFF"/>
      <name val="Calibri"/>
    </font>
    <font>
      <sz val="11.0"/>
      <color theme="0"/>
      <name val="Calibri"/>
    </font>
    <font>
      <sz val="11.0"/>
      <color rgb="FFD9EAD3"/>
      <name val="Calibri"/>
    </font>
    <font>
      <sz val="10.0"/>
      <color rgb="FF000000"/>
      <name val="Arial"/>
    </font>
    <font>
      <color rgb="FFD9EAD3"/>
      <name val="Calibri"/>
      <scheme val="minor"/>
    </font>
    <font>
      <b/>
      <sz val="11.0"/>
      <color theme="1"/>
      <name val="Calibri"/>
      <scheme val="minor"/>
    </font>
    <font>
      <u/>
      <sz val="9.0"/>
      <color theme="1"/>
      <name val="Calibri"/>
      <scheme val="minor"/>
    </font>
    <font>
      <b/>
      <i/>
      <sz val="9.0"/>
      <color theme="1"/>
      <name val="Calibri"/>
      <scheme val="minor"/>
    </font>
    <font>
      <u/>
      <sz val="9.0"/>
      <color theme="1"/>
      <name val="Calibri"/>
      <scheme val="minor"/>
    </font>
    <font>
      <i/>
      <sz val="9.0"/>
      <color theme="1"/>
      <name val="Calibri"/>
      <scheme val="minor"/>
    </font>
    <font>
      <b/>
      <sz val="9.0"/>
      <color theme="1"/>
      <name val="Calibri"/>
      <scheme val="minor"/>
    </font>
    <font>
      <b/>
      <i/>
      <sz val="14.0"/>
      <color rgb="FF000000"/>
      <name val="Docs-Calibri"/>
    </font>
    <font>
      <b/>
      <i/>
      <sz val="14.0"/>
      <color rgb="FF000000"/>
      <name val="Calibri"/>
    </font>
    <font>
      <b/>
      <sz val="17.0"/>
      <color rgb="FFFF0000"/>
      <name val="Arial"/>
    </font>
    <font>
      <b/>
      <sz val="28.0"/>
      <color theme="1"/>
      <name val="Arial"/>
    </font>
    <font>
      <b/>
      <sz val="17.0"/>
      <color theme="1"/>
      <name val="Arial"/>
    </font>
    <font>
      <b/>
      <sz val="17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color theme="1"/>
      <name val="Calibri"/>
    </font>
    <font>
      <u/>
      <color rgb="FF0563C1"/>
    </font>
    <font>
      <u/>
      <color rgb="FF0000FF"/>
    </font>
    <font>
      <u/>
      <color rgb="FF0563C1"/>
      <name val="Calibri"/>
      <scheme val="minor"/>
    </font>
    <font>
      <b/>
      <sz val="22.0"/>
      <color theme="0"/>
      <name val="Calibri"/>
    </font>
    <font>
      <b/>
      <sz val="12.0"/>
      <color theme="0"/>
      <name val="Calibri"/>
    </font>
    <font>
      <b/>
      <sz val="10.0"/>
      <color theme="0"/>
      <name val="Calibri"/>
    </font>
    <font>
      <b/>
      <sz val="8.0"/>
      <color rgb="FF7030A0"/>
      <name val="Calibri"/>
    </font>
    <font>
      <sz val="9.0"/>
      <color theme="0"/>
      <name val="Arial"/>
    </font>
    <font>
      <sz val="8.0"/>
      <color theme="0"/>
      <name val="Calibri"/>
    </font>
    <font>
      <sz val="9.0"/>
      <color theme="0"/>
      <name val="Calibri"/>
    </font>
    <font>
      <sz val="9.0"/>
      <color rgb="FFFF0000"/>
      <name val="Arial"/>
    </font>
    <font>
      <b/>
      <sz val="18.0"/>
      <color theme="0"/>
      <name val="Calibri"/>
    </font>
    <font>
      <b/>
      <sz val="9.0"/>
      <color theme="0"/>
      <name val="Calibri"/>
    </font>
    <font>
      <sz val="14.0"/>
      <color theme="1"/>
      <name val="Calibri"/>
    </font>
    <font>
      <sz val="11.0"/>
      <color rgb="FF632423"/>
      <name val="Calibri"/>
    </font>
    <font>
      <sz val="9.0"/>
      <color rgb="FF632423"/>
      <name val="Calibri"/>
    </font>
    <font>
      <sz val="10.0"/>
      <color theme="0"/>
      <name val="Calibri"/>
    </font>
    <font>
      <sz val="6.0"/>
      <color theme="0"/>
      <name val="Carlito"/>
    </font>
    <font>
      <sz val="11.0"/>
      <color rgb="FF000000"/>
      <name val="Times New Roman"/>
    </font>
    <font>
      <sz val="10.0"/>
      <color theme="1"/>
      <name val="Times New Roman"/>
    </font>
    <font>
      <sz val="11.0"/>
      <color rgb="FFFF0000"/>
      <name val="Times New Roman"/>
    </font>
    <font>
      <sz val="11.0"/>
      <color rgb="FFFF0000"/>
      <name val="Calibri"/>
    </font>
    <font>
      <sz val="6.0"/>
      <color theme="0"/>
      <name val="Arial"/>
    </font>
    <font>
      <sz val="11.0"/>
      <color theme="1"/>
      <name val="Times New Roman"/>
    </font>
    <font>
      <b/>
      <sz val="28.0"/>
      <color theme="1"/>
      <name val="Calibri"/>
    </font>
    <font>
      <b/>
      <sz val="6.0"/>
      <color theme="1"/>
      <name val="Arial"/>
    </font>
    <font>
      <b/>
      <sz val="8.0"/>
      <color theme="1"/>
      <name val="Arial"/>
    </font>
    <font>
      <sz val="8.0"/>
      <color rgb="FFFF0000"/>
      <name val="Calibri"/>
    </font>
    <font>
      <b/>
      <sz val="8.0"/>
      <color rgb="FFFFFF00"/>
      <name val="Times New Roman"/>
    </font>
    <font>
      <b/>
      <sz val="8.0"/>
      <color rgb="FF00B050"/>
      <name val="Times New Roman"/>
    </font>
    <font>
      <sz val="8.0"/>
      <color rgb="FF00B0F0"/>
      <name val="Calibri"/>
    </font>
    <font>
      <b/>
      <sz val="11.0"/>
      <color rgb="FF000000"/>
      <name val="Times New Roman"/>
    </font>
    <font>
      <b/>
      <sz val="8.0"/>
      <color rgb="FF000000"/>
      <name val="Times New Roman"/>
    </font>
    <font>
      <sz val="6.0"/>
      <color theme="1"/>
      <name val="Carlito"/>
    </font>
    <font>
      <sz val="8.0"/>
      <color theme="1"/>
      <name val="Carlito"/>
    </font>
    <font>
      <sz val="6.0"/>
      <color theme="1"/>
      <name val="Arial"/>
    </font>
    <font>
      <sz val="8.0"/>
      <color theme="1"/>
      <name val="Arial"/>
    </font>
    <font>
      <sz val="6.0"/>
      <color rgb="FFFF0000"/>
      <name val="Arial"/>
    </font>
    <font>
      <sz val="8.0"/>
      <color rgb="FFFF0000"/>
      <name val="Arial"/>
    </font>
    <font>
      <sz val="6.0"/>
      <color rgb="FF000000"/>
      <name val="Arial"/>
    </font>
    <font>
      <sz val="6.0"/>
      <color rgb="FFFF0000"/>
      <name val="Carlito"/>
    </font>
    <font>
      <sz val="8.0"/>
      <color rgb="FFFF0000"/>
      <name val="Carlito"/>
    </font>
    <font>
      <sz val="10.0"/>
      <color rgb="FFFF0000"/>
      <name val="Times New Roman"/>
    </font>
    <font>
      <sz val="6.0"/>
      <color rgb="FF000000"/>
      <name val="Calibri"/>
    </font>
    <font>
      <sz val="10.0"/>
      <color rgb="FF000000"/>
      <name val="Times New Roman"/>
    </font>
    <font>
      <sz val="6.0"/>
      <color rgb="FFFF0000"/>
      <name val="Times New Roman"/>
    </font>
    <font>
      <sz val="8.0"/>
      <color rgb="FFFF0000"/>
      <name val="Times New Roman"/>
    </font>
    <font>
      <sz val="6.0"/>
      <color theme="1"/>
      <name val="Times New Roman"/>
    </font>
    <font>
      <sz val="8.0"/>
      <color theme="1"/>
      <name val="Times New Roman"/>
    </font>
    <font>
      <b/>
      <color rgb="FF000000"/>
      <name val="Arial"/>
    </font>
    <font>
      <sz val="11.0"/>
      <color rgb="FF000000"/>
      <name val="Arial"/>
    </font>
  </fonts>
  <fills count="51">
    <fill>
      <patternFill patternType="none"/>
    </fill>
    <fill>
      <patternFill patternType="lightGray"/>
    </fill>
    <fill>
      <patternFill patternType="solid">
        <fgColor rgb="FF990033"/>
        <bgColor rgb="FF990033"/>
      </patternFill>
    </fill>
    <fill>
      <patternFill patternType="solid">
        <fgColor rgb="FFA8D08D"/>
        <bgColor rgb="FFA8D08D"/>
      </patternFill>
    </fill>
    <fill>
      <patternFill patternType="solid">
        <fgColor rgb="FF4A86E8"/>
        <bgColor rgb="FF4A86E8"/>
      </patternFill>
    </fill>
    <fill>
      <patternFill patternType="solid">
        <fgColor rgb="FF8EAADB"/>
        <bgColor rgb="FF8EAADB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92D050"/>
        <bgColor rgb="FF92D050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548135"/>
        <bgColor rgb="FF548135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FF6D01"/>
        <bgColor rgb="FFFF6D01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76A5AF"/>
        <bgColor rgb="FF76A5AF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72319F"/>
        <bgColor rgb="FF72319F"/>
      </patternFill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  <fill>
      <patternFill patternType="solid">
        <fgColor rgb="FF632423"/>
        <bgColor rgb="FF632423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right/>
      <top/>
      <bottom/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7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3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4" fillId="2" fontId="5" numFmtId="0" xfId="0" applyAlignment="1" applyBorder="1" applyFill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ill="1" applyFont="1">
      <alignment shrinkToFit="0" vertical="center" wrapText="1"/>
    </xf>
    <xf borderId="4" fillId="4" fontId="6" numFmtId="0" xfId="0" applyAlignment="1" applyBorder="1" applyFill="1" applyFont="1">
      <alignment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4" fillId="6" fontId="3" numFmtId="0" xfId="0" applyAlignment="1" applyBorder="1" applyFill="1" applyFont="1">
      <alignment horizontal="center" shrinkToFit="0" wrapText="1"/>
    </xf>
    <xf borderId="4" fillId="7" fontId="3" numFmtId="0" xfId="0" applyAlignment="1" applyBorder="1" applyFill="1" applyFont="1">
      <alignment readingOrder="0" shrinkToFit="0" wrapText="1"/>
    </xf>
    <xf borderId="4" fillId="0" fontId="3" numFmtId="0" xfId="0" applyAlignment="1" applyBorder="1" applyFont="1">
      <alignment horizontal="left"/>
    </xf>
    <xf borderId="4" fillId="0" fontId="3" numFmtId="0" xfId="0" applyAlignment="1" applyBorder="1" applyFont="1">
      <alignment readingOrder="0"/>
    </xf>
    <xf borderId="4" fillId="8" fontId="3" numFmtId="0" xfId="0" applyBorder="1" applyFill="1" applyFont="1"/>
    <xf borderId="4" fillId="9" fontId="7" numFmtId="0" xfId="0" applyAlignment="1" applyBorder="1" applyFill="1" applyFont="1">
      <alignment horizontal="left" readingOrder="0"/>
    </xf>
    <xf borderId="4" fillId="0" fontId="3" numFmtId="0" xfId="0" applyBorder="1" applyFont="1"/>
    <xf borderId="4" fillId="0" fontId="3" numFmtId="0" xfId="0" applyAlignment="1" applyBorder="1" applyFont="1">
      <alignment horizontal="left" readingOrder="0"/>
    </xf>
    <xf borderId="4" fillId="10" fontId="3" numFmtId="0" xfId="0" applyBorder="1" applyFill="1" applyFont="1"/>
    <xf borderId="4" fillId="10" fontId="3" numFmtId="0" xfId="0" applyAlignment="1" applyBorder="1" applyFont="1">
      <alignment horizontal="left"/>
    </xf>
    <xf borderId="4" fillId="10" fontId="3" numFmtId="0" xfId="0" applyAlignment="1" applyBorder="1" applyFont="1">
      <alignment readingOrder="0"/>
    </xf>
    <xf borderId="4" fillId="10" fontId="3" numFmtId="0" xfId="0" applyAlignment="1" applyBorder="1" applyFont="1">
      <alignment horizontal="center"/>
    </xf>
    <xf borderId="4" fillId="10" fontId="8" numFmtId="0" xfId="0" applyAlignment="1" applyBorder="1" applyFont="1">
      <alignment readingOrder="0" vertical="bottom"/>
    </xf>
    <xf borderId="4" fillId="10" fontId="3" numFmtId="0" xfId="0" applyBorder="1" applyFont="1"/>
    <xf borderId="5" fillId="0" fontId="9" numFmtId="0" xfId="0" applyAlignment="1" applyBorder="1" applyFont="1">
      <alignment horizontal="center" vertical="center"/>
    </xf>
    <xf borderId="4" fillId="0" fontId="8" numFmtId="0" xfId="0" applyAlignment="1" applyBorder="1" applyFont="1">
      <alignment readingOrder="0" vertical="center"/>
    </xf>
    <xf borderId="4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horizontal="left" shrinkToFit="0" wrapText="1"/>
    </xf>
    <xf borderId="4" fillId="9" fontId="3" numFmtId="0" xfId="0" applyAlignment="1" applyBorder="1" applyFont="1">
      <alignment shrinkToFit="0" wrapText="1"/>
    </xf>
    <xf borderId="4" fillId="0" fontId="3" numFmtId="0" xfId="0" applyAlignment="1" applyBorder="1" applyFont="1">
      <alignment horizontal="left" readingOrder="0" shrinkToFit="0" wrapText="1"/>
    </xf>
    <xf borderId="4" fillId="0" fontId="8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 shrinkToFit="0" wrapText="1"/>
    </xf>
    <xf borderId="4" fillId="9" fontId="3" numFmtId="0" xfId="0" applyAlignment="1" applyBorder="1" applyFont="1">
      <alignment shrinkToFit="0" vertical="top" wrapText="1"/>
    </xf>
    <xf borderId="4" fillId="10" fontId="8" numFmtId="0" xfId="0" applyAlignment="1" applyBorder="1" applyFont="1">
      <alignment horizontal="left" readingOrder="0"/>
    </xf>
    <xf borderId="4" fillId="0" fontId="10" numFmtId="0" xfId="0" applyAlignment="1" applyBorder="1" applyFont="1">
      <alignment horizontal="center"/>
    </xf>
    <xf borderId="4" fillId="0" fontId="10" numFmtId="0" xfId="0" applyBorder="1" applyFont="1"/>
    <xf borderId="4" fillId="9" fontId="10" numFmtId="0" xfId="0" applyBorder="1" applyFont="1"/>
    <xf borderId="4" fillId="10" fontId="3" numFmtId="0" xfId="0" applyAlignment="1" applyBorder="1" applyFont="1">
      <alignment shrinkToFit="0" wrapText="1"/>
    </xf>
    <xf borderId="0" fillId="10" fontId="3" numFmtId="0" xfId="0" applyAlignment="1" applyFont="1">
      <alignment readingOrder="0"/>
    </xf>
    <xf borderId="4" fillId="9" fontId="3" numFmtId="0" xfId="0" applyAlignment="1" applyBorder="1" applyFont="1">
      <alignment horizontal="left" shrinkToFit="0" wrapText="1"/>
    </xf>
    <xf borderId="4" fillId="0" fontId="11" numFmtId="0" xfId="0" applyAlignment="1" applyBorder="1" applyFont="1">
      <alignment readingOrder="0" vertical="bottom"/>
    </xf>
    <xf borderId="4" fillId="9" fontId="3" numFmtId="0" xfId="0" applyAlignment="1" applyBorder="1" applyFont="1">
      <alignment readingOrder="0" shrinkToFit="0" wrapText="1"/>
    </xf>
    <xf borderId="4" fillId="10" fontId="11" numFmtId="0" xfId="0" applyAlignment="1" applyBorder="1" applyFont="1">
      <alignment readingOrder="0" vertical="bottom"/>
    </xf>
    <xf borderId="0" fillId="0" fontId="3" numFmtId="0" xfId="0" applyFont="1"/>
    <xf borderId="5" fillId="9" fontId="10" numFmtId="0" xfId="0" applyAlignment="1" applyBorder="1" applyFont="1">
      <alignment horizontal="center"/>
    </xf>
    <xf borderId="5" fillId="9" fontId="10" numFmtId="0" xfId="0" applyBorder="1" applyFont="1"/>
    <xf borderId="5" fillId="10" fontId="3" numFmtId="0" xfId="0" applyAlignment="1" applyBorder="1" applyFont="1">
      <alignment readingOrder="0"/>
    </xf>
    <xf borderId="5" fillId="10" fontId="3" numFmtId="0" xfId="0" applyBorder="1" applyFont="1"/>
    <xf borderId="5" fillId="0" fontId="10" numFmtId="0" xfId="0" applyAlignment="1" applyBorder="1" applyFont="1">
      <alignment horizontal="center"/>
    </xf>
    <xf borderId="5" fillId="0" fontId="10" numFmtId="0" xfId="0" applyBorder="1" applyFont="1"/>
    <xf borderId="5" fillId="9" fontId="3" numFmtId="0" xfId="0" applyAlignment="1" applyBorder="1" applyFont="1">
      <alignment horizontal="left"/>
    </xf>
    <xf borderId="5" fillId="0" fontId="3" numFmtId="0" xfId="0" applyBorder="1" applyFont="1"/>
    <xf borderId="5" fillId="0" fontId="3" numFmtId="0" xfId="0" applyAlignment="1" applyBorder="1" applyFont="1">
      <alignment readingOrder="0"/>
    </xf>
    <xf borderId="5" fillId="0" fontId="3" numFmtId="0" xfId="0" applyBorder="1" applyFont="1"/>
    <xf borderId="0" fillId="0" fontId="3" numFmtId="0" xfId="0" applyAlignment="1" applyFont="1">
      <alignment readingOrder="0"/>
    </xf>
    <xf borderId="4" fillId="9" fontId="3" numFmtId="0" xfId="0" applyBorder="1" applyFont="1"/>
    <xf borderId="4" fillId="9" fontId="3" numFmtId="0" xfId="0" applyAlignment="1" applyBorder="1" applyFont="1">
      <alignment horizontal="left"/>
    </xf>
    <xf borderId="4" fillId="0" fontId="4" numFmtId="0" xfId="0" applyAlignment="1" applyBorder="1" applyFont="1">
      <alignment readingOrder="0"/>
    </xf>
    <xf borderId="4" fillId="11" fontId="1" numFmtId="0" xfId="0" applyAlignment="1" applyBorder="1" applyFill="1" applyFont="1">
      <alignment vertical="bottom"/>
    </xf>
    <xf borderId="4" fillId="9" fontId="3" numFmtId="0" xfId="0" applyAlignment="1" applyBorder="1" applyFont="1">
      <alignment horizontal="left" readingOrder="0" shrinkToFit="0" wrapText="1"/>
    </xf>
    <xf borderId="4" fillId="9" fontId="3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readingOrder="0"/>
    </xf>
    <xf borderId="4" fillId="0" fontId="12" numFmtId="0" xfId="0" applyAlignment="1" applyBorder="1" applyFont="1">
      <alignment readingOrder="0"/>
    </xf>
    <xf borderId="4" fillId="0" fontId="3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13" numFmtId="0" xfId="0" applyBorder="1" applyFont="1"/>
    <xf borderId="4" fillId="0" fontId="3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center" vertical="top"/>
    </xf>
    <xf borderId="4" fillId="0" fontId="1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12" fontId="3" numFmtId="0" xfId="0" applyBorder="1" applyFill="1" applyFont="1"/>
    <xf borderId="0" fillId="0" fontId="3" numFmtId="0" xfId="0" applyFont="1"/>
    <xf borderId="4" fillId="12" fontId="3" numFmtId="0" xfId="0" applyAlignment="1" applyBorder="1" applyFont="1">
      <alignment readingOrder="0"/>
    </xf>
    <xf borderId="4" fillId="0" fontId="3" numFmtId="0" xfId="0" applyAlignment="1" applyBorder="1" applyFont="1">
      <alignment horizontal="left" readingOrder="0" vertical="top"/>
    </xf>
    <xf borderId="4" fillId="10" fontId="3" numFmtId="0" xfId="0" applyAlignment="1" applyBorder="1" applyFont="1">
      <alignment horizontal="left" readingOrder="0" shrinkToFit="0" wrapText="1"/>
    </xf>
    <xf borderId="4" fillId="10" fontId="3" numFmtId="0" xfId="0" applyAlignment="1" applyBorder="1" applyFont="1">
      <alignment readingOrder="0" shrinkToFit="0" wrapText="1"/>
    </xf>
    <xf borderId="4" fillId="9" fontId="8" numFmtId="0" xfId="0" applyAlignment="1" applyBorder="1" applyFont="1">
      <alignment vertical="center"/>
    </xf>
    <xf borderId="4" fillId="0" fontId="8" numFmtId="0" xfId="0" applyAlignment="1" applyBorder="1" applyFont="1">
      <alignment vertical="center"/>
    </xf>
    <xf borderId="4" fillId="9" fontId="8" numFmtId="0" xfId="0" applyAlignment="1" applyBorder="1" applyFont="1">
      <alignment readingOrder="0" vertical="center"/>
    </xf>
    <xf borderId="4" fillId="0" fontId="8" numFmtId="0" xfId="0" applyAlignment="1" applyBorder="1" applyFont="1">
      <alignment horizontal="left" readingOrder="0"/>
    </xf>
    <xf borderId="4" fillId="0" fontId="4" numFmtId="0" xfId="0" applyBorder="1" applyFont="1"/>
    <xf borderId="4" fillId="10" fontId="3" numFmtId="0" xfId="0" applyAlignment="1" applyBorder="1" applyFont="1">
      <alignment horizontal="left" readingOrder="0"/>
    </xf>
    <xf borderId="4" fillId="10" fontId="13" numFmtId="0" xfId="0" applyAlignment="1" applyBorder="1" applyFont="1">
      <alignment readingOrder="0"/>
    </xf>
    <xf borderId="4" fillId="0" fontId="3" numFmtId="0" xfId="0" applyAlignment="1" applyBorder="1" applyFont="1">
      <alignment readingOrder="0" vertical="bottom"/>
    </xf>
    <xf borderId="4" fillId="9" fontId="8" numFmtId="0" xfId="0" applyAlignment="1" applyBorder="1" applyFont="1">
      <alignment horizontal="left"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 shrinkToFit="0" wrapText="1"/>
    </xf>
    <xf borderId="0" fillId="11" fontId="3" numFmtId="0" xfId="0" applyAlignment="1" applyFont="1">
      <alignment readingOrder="0" shrinkToFit="0" wrapText="1"/>
    </xf>
    <xf borderId="0" fillId="11" fontId="3" numFmtId="0" xfId="0" applyAlignment="1" applyFont="1">
      <alignment readingOrder="0"/>
    </xf>
    <xf borderId="4" fillId="8" fontId="3" numFmtId="0" xfId="0" applyBorder="1" applyFont="1"/>
    <xf borderId="4" fillId="13" fontId="4" numFmtId="0" xfId="0" applyAlignment="1" applyBorder="1" applyFill="1" applyFont="1">
      <alignment horizontal="left"/>
    </xf>
    <xf borderId="4" fillId="13" fontId="4" numFmtId="0" xfId="0" applyAlignment="1" applyBorder="1" applyFont="1">
      <alignment readingOrder="0"/>
    </xf>
    <xf borderId="4" fillId="13" fontId="3" numFmtId="0" xfId="0" applyAlignment="1" applyBorder="1" applyFont="1">
      <alignment horizontal="center" readingOrder="0" shrinkToFit="0" vertical="center" wrapText="1"/>
    </xf>
    <xf borderId="4" fillId="13" fontId="4" numFmtId="0" xfId="0" applyAlignment="1" applyBorder="1" applyFont="1">
      <alignment horizontal="center" readingOrder="0" shrinkToFit="0" wrapText="1"/>
    </xf>
    <xf borderId="4" fillId="13" fontId="4" numFmtId="0" xfId="0" applyAlignment="1" applyBorder="1" applyFont="1">
      <alignment horizontal="center" readingOrder="0"/>
    </xf>
    <xf borderId="0" fillId="13" fontId="4" numFmtId="0" xfId="0" applyAlignment="1" applyFont="1">
      <alignment readingOrder="0"/>
    </xf>
    <xf borderId="0" fillId="13" fontId="4" numFmtId="0" xfId="0" applyFont="1"/>
    <xf borderId="4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center" readingOrder="0"/>
    </xf>
    <xf borderId="0" fillId="0" fontId="4" numFmtId="0" xfId="0" applyFont="1"/>
    <xf borderId="4" fillId="8" fontId="4" numFmtId="0" xfId="0" applyAlignment="1" applyBorder="1" applyFont="1">
      <alignment horizontal="left" readingOrder="0"/>
    </xf>
    <xf borderId="4" fillId="8" fontId="4" numFmtId="0" xfId="0" applyAlignment="1" applyBorder="1" applyFont="1">
      <alignment readingOrder="0"/>
    </xf>
    <xf borderId="4" fillId="8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left"/>
    </xf>
    <xf borderId="4" fillId="0" fontId="4" numFmtId="0" xfId="0" applyAlignment="1" applyBorder="1" applyFont="1">
      <alignment horizontal="center"/>
    </xf>
    <xf borderId="4" fillId="0" fontId="0" numFmtId="0" xfId="0" applyAlignment="1" applyBorder="1" applyFont="1">
      <alignment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14" numFmtId="0" xfId="0" applyAlignment="1" applyFont="1">
      <alignment readingOrder="0"/>
    </xf>
    <xf borderId="4" fillId="7" fontId="14" numFmtId="0" xfId="0" applyAlignment="1" applyBorder="1" applyFont="1">
      <alignment horizontal="center" readingOrder="0"/>
    </xf>
    <xf borderId="4" fillId="7" fontId="4" numFmtId="0" xfId="0" applyAlignment="1" applyBorder="1" applyFont="1">
      <alignment horizontal="center" readingOrder="0"/>
    </xf>
    <xf borderId="0" fillId="0" fontId="4" numFmtId="164" xfId="0" applyAlignment="1" applyFont="1" applyNumberFormat="1">
      <alignment readingOrder="0"/>
    </xf>
    <xf borderId="4" fillId="0" fontId="15" numFmtId="0" xfId="0" applyAlignment="1" applyBorder="1" applyFont="1">
      <alignment shrinkToFit="0" wrapText="1"/>
    </xf>
    <xf borderId="0" fillId="0" fontId="8" numFmtId="0" xfId="0" applyAlignment="1" applyFont="1">
      <alignment readingOrder="0" vertical="bottom"/>
    </xf>
    <xf borderId="0" fillId="0" fontId="16" numFmtId="165" xfId="0" applyAlignment="1" applyFont="1" applyNumberFormat="1">
      <alignment shrinkToFit="0" wrapText="1"/>
    </xf>
    <xf borderId="0" fillId="14" fontId="16" numFmtId="3" xfId="0" applyAlignment="1" applyFill="1" applyFont="1" applyNumberFormat="1">
      <alignment shrinkToFit="0" wrapText="1"/>
    </xf>
    <xf borderId="0" fillId="0" fontId="17" numFmtId="3" xfId="0" applyAlignment="1" applyFont="1" applyNumberFormat="1">
      <alignment shrinkToFit="0" wrapText="1"/>
    </xf>
    <xf borderId="0" fillId="0" fontId="18" numFmtId="3" xfId="0" applyAlignment="1" applyFont="1" applyNumberFormat="1">
      <alignment shrinkToFit="0" wrapText="1"/>
    </xf>
    <xf borderId="0" fillId="0" fontId="16" numFmtId="3" xfId="0" applyAlignment="1" applyFont="1" applyNumberFormat="1">
      <alignment shrinkToFit="0" wrapText="1"/>
    </xf>
    <xf borderId="0" fillId="0" fontId="16" numFmtId="3" xfId="0" applyAlignment="1" applyFont="1" applyNumberFormat="1">
      <alignment readingOrder="0" shrinkToFit="0" wrapText="1"/>
    </xf>
    <xf borderId="0" fillId="0" fontId="16" numFmtId="3" xfId="0" applyAlignment="1" applyFont="1" applyNumberFormat="1">
      <alignment shrinkToFit="0" wrapText="1"/>
    </xf>
    <xf borderId="0" fillId="7" fontId="16" numFmtId="3" xfId="0" applyAlignment="1" applyFont="1" applyNumberFormat="1">
      <alignment readingOrder="0" shrinkToFit="0" wrapText="1"/>
    </xf>
    <xf borderId="0" fillId="0" fontId="1" numFmtId="0" xfId="0" applyFont="1"/>
    <xf borderId="0" fillId="0" fontId="1" numFmtId="3" xfId="0" applyFont="1" applyNumberFormat="1"/>
    <xf borderId="0" fillId="0" fontId="1" numFmtId="166" xfId="0" applyFont="1" applyNumberFormat="1"/>
    <xf borderId="0" fillId="0" fontId="3" numFmtId="167" xfId="0" applyAlignment="1" applyFont="1" applyNumberFormat="1">
      <alignment readingOrder="0"/>
    </xf>
    <xf borderId="0" fillId="14" fontId="1" numFmtId="0" xfId="0" applyAlignment="1" applyFont="1">
      <alignment readingOrder="0" shrinkToFit="0" wrapText="1"/>
    </xf>
    <xf borderId="0" fillId="0" fontId="1" numFmtId="168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167" xfId="0" applyAlignment="1" applyFont="1" applyNumberFormat="1">
      <alignment readingOrder="0" shrinkToFit="0" wrapText="1"/>
    </xf>
    <xf borderId="0" fillId="0" fontId="1" numFmtId="168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1" numFmtId="168" xfId="0" applyAlignment="1" applyFont="1" applyNumberFormat="1">
      <alignment horizontal="left" readingOrder="0" shrinkToFit="0" wrapText="1"/>
    </xf>
    <xf borderId="0" fillId="0" fontId="1" numFmtId="167" xfId="0" applyAlignment="1" applyFont="1" applyNumberFormat="1">
      <alignment shrinkToFit="0" wrapText="1"/>
    </xf>
    <xf borderId="0" fillId="14" fontId="1" numFmtId="0" xfId="0" applyAlignment="1" applyFont="1">
      <alignment shrinkToFit="0" wrapText="1"/>
    </xf>
    <xf borderId="0" fillId="0" fontId="1" numFmtId="168" xfId="0" applyFont="1" applyNumberFormat="1"/>
    <xf borderId="0" fillId="0" fontId="1" numFmtId="166" xfId="0" applyAlignment="1" applyFont="1" applyNumberFormat="1">
      <alignment shrinkToFit="0" wrapText="1"/>
    </xf>
    <xf borderId="0" fillId="14" fontId="1" numFmtId="0" xfId="0" applyFont="1"/>
    <xf borderId="6" fillId="15" fontId="19" numFmtId="0" xfId="0" applyAlignment="1" applyBorder="1" applyFill="1" applyFont="1">
      <alignment horizontal="center" readingOrder="0"/>
    </xf>
    <xf borderId="7" fillId="0" fontId="2" numFmtId="0" xfId="0" applyBorder="1" applyFont="1"/>
    <xf borderId="8" fillId="16" fontId="3" numFmtId="167" xfId="0" applyAlignment="1" applyBorder="1" applyFill="1" applyFont="1" applyNumberFormat="1">
      <alignment horizontal="center" readingOrder="0" vertical="center"/>
    </xf>
    <xf borderId="8" fillId="16" fontId="3" numFmtId="0" xfId="0" applyAlignment="1" applyBorder="1" applyFont="1">
      <alignment horizontal="center" readingOrder="0" vertical="center"/>
    </xf>
    <xf borderId="1" fillId="16" fontId="3" numFmtId="0" xfId="0" applyAlignment="1" applyBorder="1" applyFont="1">
      <alignment horizontal="center" readingOrder="0"/>
    </xf>
    <xf borderId="1" fillId="16" fontId="3" numFmtId="169" xfId="0" applyAlignment="1" applyBorder="1" applyFont="1" applyNumberFormat="1">
      <alignment horizontal="center" readingOrder="0"/>
    </xf>
    <xf borderId="1" fillId="17" fontId="3" numFmtId="0" xfId="0" applyAlignment="1" applyBorder="1" applyFill="1" applyFont="1">
      <alignment horizontal="center" readingOrder="0"/>
    </xf>
    <xf borderId="8" fillId="17" fontId="3" numFmtId="0" xfId="0" applyAlignment="1" applyBorder="1" applyFont="1">
      <alignment horizontal="center" readingOrder="0" vertical="center"/>
    </xf>
    <xf borderId="0" fillId="18" fontId="20" numFmtId="3" xfId="0" applyAlignment="1" applyFill="1" applyFont="1" applyNumberFormat="1">
      <alignment horizontal="center" readingOrder="0"/>
    </xf>
    <xf borderId="9" fillId="19" fontId="21" numFmtId="0" xfId="0" applyAlignment="1" applyBorder="1" applyFill="1" applyFont="1">
      <alignment horizontal="center" vertical="center"/>
    </xf>
    <xf borderId="9" fillId="20" fontId="21" numFmtId="0" xfId="0" applyAlignment="1" applyBorder="1" applyFill="1" applyFont="1">
      <alignment horizontal="center" readingOrder="0" vertical="center"/>
    </xf>
    <xf borderId="9" fillId="21" fontId="21" numFmtId="0" xfId="0" applyAlignment="1" applyBorder="1" applyFill="1" applyFont="1">
      <alignment horizontal="center" readingOrder="0" vertical="center"/>
    </xf>
    <xf borderId="10" fillId="0" fontId="2" numFmtId="0" xfId="0" applyBorder="1" applyFont="1"/>
    <xf borderId="4" fillId="16" fontId="3" numFmtId="0" xfId="0" applyAlignment="1" applyBorder="1" applyFont="1">
      <alignment readingOrder="0"/>
    </xf>
    <xf borderId="4" fillId="16" fontId="3" numFmtId="0" xfId="0" applyBorder="1" applyFont="1"/>
    <xf borderId="4" fillId="16" fontId="3" numFmtId="169" xfId="0" applyAlignment="1" applyBorder="1" applyFont="1" applyNumberFormat="1">
      <alignment readingOrder="0"/>
    </xf>
    <xf borderId="4" fillId="17" fontId="3" numFmtId="0" xfId="0" applyAlignment="1" applyBorder="1" applyFont="1">
      <alignment readingOrder="0"/>
    </xf>
    <xf borderId="3" fillId="18" fontId="21" numFmtId="3" xfId="0" applyAlignment="1" applyBorder="1" applyFont="1" applyNumberFormat="1">
      <alignment horizontal="center" vertical="bottom"/>
    </xf>
    <xf borderId="3" fillId="18" fontId="21" numFmtId="3" xfId="0" applyAlignment="1" applyBorder="1" applyFont="1" applyNumberFormat="1">
      <alignment horizontal="center" readingOrder="0" vertical="bottom"/>
    </xf>
    <xf borderId="5" fillId="0" fontId="2" numFmtId="0" xfId="0" applyBorder="1" applyFont="1"/>
    <xf borderId="0" fillId="0" fontId="3" numFmtId="169" xfId="0" applyAlignment="1" applyFont="1" applyNumberFormat="1">
      <alignment readingOrder="0"/>
    </xf>
    <xf borderId="0" fillId="0" fontId="3" numFmtId="169" xfId="0" applyFont="1" applyNumberFormat="1"/>
    <xf borderId="0" fillId="22" fontId="3" numFmtId="169" xfId="0" applyFill="1" applyFont="1" applyNumberFormat="1"/>
    <xf borderId="11" fillId="0" fontId="3" numFmtId="169" xfId="0" applyBorder="1" applyFont="1" applyNumberFormat="1"/>
    <xf quotePrefix="1" borderId="0" fillId="0" fontId="3" numFmtId="0" xfId="0" applyAlignment="1" applyFont="1">
      <alignment readingOrder="0"/>
    </xf>
    <xf borderId="11" fillId="0" fontId="3" numFmtId="0" xfId="0" applyAlignment="1" applyBorder="1" applyFont="1">
      <alignment readingOrder="0"/>
    </xf>
    <xf borderId="0" fillId="0" fontId="12" numFmtId="3" xfId="0" applyAlignment="1" applyFont="1" applyNumberFormat="1">
      <alignment readingOrder="0"/>
    </xf>
    <xf borderId="11" fillId="0" fontId="12" numFmtId="0" xfId="0" applyAlignment="1" applyBorder="1" applyFont="1">
      <alignment readingOrder="0"/>
    </xf>
    <xf borderId="0" fillId="0" fontId="12" numFmtId="0" xfId="0" applyAlignment="1" applyFont="1">
      <alignment readingOrder="0"/>
    </xf>
    <xf quotePrefix="1" borderId="0" fillId="0" fontId="12" numFmtId="0" xfId="0" applyAlignment="1" applyFont="1">
      <alignment readingOrder="0"/>
    </xf>
    <xf borderId="0" fillId="0" fontId="12" numFmtId="0" xfId="0" applyFont="1"/>
    <xf borderId="0" fillId="9" fontId="22" numFmtId="3" xfId="0" applyAlignment="1" applyFont="1" applyNumberFormat="1">
      <alignment readingOrder="0"/>
    </xf>
    <xf borderId="0" fillId="0" fontId="12" numFmtId="3" xfId="0" applyFont="1" applyNumberFormat="1"/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wrapText="1"/>
    </xf>
    <xf quotePrefix="1"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1" fillId="0" fontId="3" numFmtId="0" xfId="0" applyAlignment="1" applyBorder="1" applyFont="1">
      <alignment vertical="bottom"/>
    </xf>
    <xf borderId="0" fillId="0" fontId="3" numFmtId="0" xfId="0" applyAlignment="1" applyFont="1">
      <alignment horizontal="left" readingOrder="0"/>
    </xf>
    <xf borderId="0" fillId="0" fontId="3" numFmtId="3" xfId="0" applyFont="1" applyNumberFormat="1"/>
    <xf borderId="0" fillId="23" fontId="3" numFmtId="167" xfId="0" applyAlignment="1" applyFill="1" applyFont="1" applyNumberFormat="1">
      <alignment readingOrder="0"/>
    </xf>
    <xf borderId="0" fillId="23" fontId="3" numFmtId="0" xfId="0" applyAlignment="1" applyFont="1">
      <alignment readingOrder="0"/>
    </xf>
    <xf borderId="0" fillId="23" fontId="3" numFmtId="0" xfId="0" applyAlignment="1" applyFont="1">
      <alignment horizontal="left" readingOrder="0"/>
    </xf>
    <xf borderId="0" fillId="23" fontId="3" numFmtId="0" xfId="0" applyFont="1"/>
    <xf borderId="0" fillId="23" fontId="3" numFmtId="169" xfId="0" applyAlignment="1" applyFont="1" applyNumberFormat="1">
      <alignment readingOrder="0"/>
    </xf>
    <xf borderId="0" fillId="23" fontId="3" numFmtId="169" xfId="0" applyFont="1" applyNumberFormat="1"/>
    <xf borderId="11" fillId="23" fontId="3" numFmtId="169" xfId="0" applyBorder="1" applyFont="1" applyNumberFormat="1"/>
    <xf borderId="11" fillId="23" fontId="3" numFmtId="0" xfId="0" applyBorder="1" applyFont="1"/>
    <xf borderId="0" fillId="23" fontId="3" numFmtId="3" xfId="0" applyFont="1" applyNumberFormat="1"/>
    <xf borderId="11" fillId="23" fontId="12" numFmtId="0" xfId="0" applyAlignment="1" applyBorder="1" applyFont="1">
      <alignment readingOrder="0"/>
    </xf>
    <xf borderId="0" fillId="23" fontId="12" numFmtId="0" xfId="0" applyAlignment="1" applyFont="1">
      <alignment readingOrder="0"/>
    </xf>
    <xf borderId="0" fillId="0" fontId="12" numFmtId="169" xfId="0" applyFont="1" applyNumberFormat="1"/>
    <xf borderId="11" fillId="0" fontId="3" numFmtId="169" xfId="0" applyAlignment="1" applyBorder="1" applyFont="1" applyNumberFormat="1">
      <alignment readingOrder="0"/>
    </xf>
    <xf quotePrefix="1" borderId="0" fillId="9" fontId="8" numFmtId="0" xfId="0" applyAlignment="1" applyFont="1">
      <alignment horizontal="left" readingOrder="0"/>
    </xf>
    <xf borderId="0" fillId="9" fontId="8" numFmtId="0" xfId="0" applyAlignment="1" applyFont="1">
      <alignment horizontal="left" readingOrder="0"/>
    </xf>
    <xf borderId="0" fillId="8" fontId="3" numFmtId="169" xfId="0" applyFont="1" applyNumberForma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12" numFmtId="169" xfId="0" applyAlignment="1" applyFont="1" applyNumberFormat="1">
      <alignment readingOrder="0"/>
    </xf>
    <xf borderId="11" fillId="0" fontId="12" numFmtId="0" xfId="0" applyBorder="1" applyFont="1"/>
    <xf borderId="0" fillId="0" fontId="3" numFmtId="0" xfId="0" applyAlignment="1" applyFont="1">
      <alignment horizontal="center" readingOrder="0"/>
    </xf>
    <xf borderId="0" fillId="8" fontId="3" numFmtId="169" xfId="0" applyAlignment="1" applyFont="1" applyNumberFormat="1">
      <alignment readingOrder="0"/>
    </xf>
    <xf borderId="0" fillId="9" fontId="23" numFmtId="0" xfId="0" applyAlignment="1" applyFont="1">
      <alignment horizontal="left" readingOrder="0"/>
    </xf>
    <xf borderId="0" fillId="9" fontId="24" numFmtId="3" xfId="0" applyAlignment="1" applyFont="1" applyNumberFormat="1">
      <alignment readingOrder="0"/>
    </xf>
    <xf quotePrefix="1" borderId="0" fillId="9" fontId="23" numFmtId="0" xfId="0" applyAlignment="1" applyFont="1">
      <alignment horizontal="left" readingOrder="0"/>
    </xf>
    <xf borderId="0" fillId="9" fontId="8" numFmtId="0" xfId="0" applyAlignment="1" applyFont="1">
      <alignment readingOrder="0" shrinkToFit="0" wrapText="1"/>
    </xf>
    <xf borderId="0" fillId="9" fontId="8" numFmtId="167" xfId="0" applyAlignment="1" applyFont="1" applyNumberFormat="1">
      <alignment horizontal="right" readingOrder="0"/>
    </xf>
    <xf borderId="0" fillId="23" fontId="12" numFmtId="169" xfId="0" applyFont="1" applyNumberFormat="1"/>
    <xf quotePrefix="1" borderId="0" fillId="23" fontId="3" numFmtId="0" xfId="0" applyAlignment="1" applyFont="1">
      <alignment readingOrder="0"/>
    </xf>
    <xf borderId="0" fillId="23" fontId="12" numFmtId="0" xfId="0" applyFont="1"/>
    <xf borderId="0" fillId="23" fontId="12" numFmtId="3" xfId="0" applyFont="1" applyNumberFormat="1"/>
    <xf borderId="11" fillId="23" fontId="12" numFmtId="0" xfId="0" applyBorder="1" applyFont="1"/>
    <xf borderId="0" fillId="0" fontId="3" numFmtId="167" xfId="0" applyAlignment="1" applyFont="1" applyNumberFormat="1">
      <alignment horizontal="right" vertical="bottom"/>
    </xf>
    <xf borderId="0" fillId="9" fontId="23" numFmtId="167" xfId="0" applyAlignment="1" applyFont="1" applyNumberFormat="1">
      <alignment horizontal="right" readingOrder="0"/>
    </xf>
    <xf quotePrefix="1" borderId="0" fillId="9" fontId="25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12" numFmtId="170" xfId="0" applyAlignment="1" applyFont="1" applyNumberFormat="1">
      <alignment readingOrder="0"/>
    </xf>
    <xf borderId="0" fillId="9" fontId="26" numFmtId="0" xfId="0" applyAlignment="1" applyFont="1">
      <alignment readingOrder="0" shrinkToFit="0" wrapText="1"/>
    </xf>
    <xf borderId="0" fillId="9" fontId="27" numFmtId="3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center" readingOrder="0" shrinkToFit="0" vertical="center" wrapText="1"/>
    </xf>
    <xf borderId="0" fillId="9" fontId="3" numFmtId="169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center" wrapText="1"/>
    </xf>
    <xf borderId="0" fillId="23" fontId="3" numFmtId="0" xfId="0" applyAlignment="1" applyFont="1">
      <alignment horizontal="left"/>
    </xf>
    <xf borderId="0" fillId="23" fontId="12" numFmtId="3" xfId="0" applyAlignment="1" applyFont="1" applyNumberFormat="1">
      <alignment readingOrder="0"/>
    </xf>
    <xf borderId="0" fillId="0" fontId="8" numFmtId="0" xfId="0" applyAlignment="1" applyFont="1">
      <alignment horizontal="left" readingOrder="0"/>
    </xf>
    <xf borderId="0" fillId="0" fontId="12" numFmtId="0" xfId="0" applyAlignment="1" applyFont="1">
      <alignment readingOrder="0" shrinkToFit="0" wrapText="0"/>
    </xf>
    <xf borderId="0" fillId="9" fontId="3" numFmtId="0" xfId="0" applyAlignment="1" applyFont="1">
      <alignment readingOrder="0"/>
    </xf>
    <xf borderId="0" fillId="9" fontId="25" numFmtId="0" xfId="0" applyAlignment="1" applyFont="1">
      <alignment readingOrder="0"/>
    </xf>
    <xf borderId="0" fillId="24" fontId="3" numFmtId="167" xfId="0" applyAlignment="1" applyFill="1" applyFont="1" applyNumberFormat="1">
      <alignment readingOrder="0"/>
    </xf>
    <xf borderId="0" fillId="24" fontId="3" numFmtId="0" xfId="0" applyAlignment="1" applyFont="1">
      <alignment horizontal="left" readingOrder="0"/>
    </xf>
    <xf borderId="0" fillId="24" fontId="3" numFmtId="0" xfId="0" applyAlignment="1" applyFont="1">
      <alignment readingOrder="0"/>
    </xf>
    <xf borderId="0" fillId="24" fontId="3" numFmtId="0" xfId="0" applyFont="1"/>
    <xf borderId="0" fillId="24" fontId="3" numFmtId="169" xfId="0" applyAlignment="1" applyFont="1" applyNumberFormat="1">
      <alignment readingOrder="0"/>
    </xf>
    <xf borderId="0" fillId="24" fontId="3" numFmtId="169" xfId="0" applyFont="1" applyNumberFormat="1"/>
    <xf borderId="0" fillId="24" fontId="12" numFmtId="169" xfId="0" applyFont="1" applyNumberFormat="1"/>
    <xf borderId="11" fillId="24" fontId="3" numFmtId="169" xfId="0" applyBorder="1" applyFont="1" applyNumberFormat="1"/>
    <xf quotePrefix="1" borderId="0" fillId="24" fontId="3" numFmtId="0" xfId="0" applyAlignment="1" applyFont="1">
      <alignment readingOrder="0"/>
    </xf>
    <xf borderId="0" fillId="24" fontId="12" numFmtId="0" xfId="0" applyFont="1"/>
    <xf borderId="0" fillId="24" fontId="12" numFmtId="0" xfId="0" applyAlignment="1" applyFont="1">
      <alignment readingOrder="0"/>
    </xf>
    <xf borderId="11" fillId="24" fontId="12" numFmtId="0" xfId="0" applyAlignment="1" applyBorder="1" applyFont="1">
      <alignment readingOrder="0"/>
    </xf>
    <xf borderId="0" fillId="24" fontId="12" numFmtId="3" xfId="0" applyFont="1" applyNumberFormat="1"/>
    <xf borderId="0" fillId="24" fontId="12" numFmtId="3" xfId="0" applyAlignment="1" applyFont="1" applyNumberFormat="1">
      <alignment readingOrder="0"/>
    </xf>
    <xf borderId="0" fillId="24" fontId="12" numFmtId="170" xfId="0" applyAlignment="1" applyFont="1" applyNumberFormat="1">
      <alignment readingOrder="0"/>
    </xf>
    <xf borderId="0" fillId="11" fontId="12" numFmtId="3" xfId="0" applyAlignment="1" applyFont="1" applyNumberFormat="1">
      <alignment readingOrder="0"/>
    </xf>
    <xf borderId="0" fillId="0" fontId="12" numFmtId="171" xfId="0" applyAlignment="1" applyFont="1" applyNumberFormat="1">
      <alignment horizontal="left" readingOrder="0"/>
    </xf>
    <xf borderId="0" fillId="9" fontId="23" numFmtId="0" xfId="0" applyAlignment="1" applyFont="1">
      <alignment horizontal="center" readingOrder="0"/>
    </xf>
    <xf borderId="0" fillId="0" fontId="26" numFmtId="0" xfId="0" applyAlignment="1" applyFont="1">
      <alignment readingOrder="0" shrinkToFit="0" wrapText="1"/>
    </xf>
    <xf borderId="0" fillId="0" fontId="12" numFmtId="0" xfId="0" applyAlignment="1" applyFont="1">
      <alignment horizontal="left" readingOrder="0"/>
    </xf>
    <xf borderId="0" fillId="25" fontId="3" numFmtId="167" xfId="0" applyAlignment="1" applyFill="1" applyFont="1" applyNumberFormat="1">
      <alignment readingOrder="0"/>
    </xf>
    <xf borderId="0" fillId="25" fontId="3" numFmtId="0" xfId="0" applyAlignment="1" applyFont="1">
      <alignment horizontal="left" readingOrder="0"/>
    </xf>
    <xf borderId="0" fillId="25" fontId="12" numFmtId="0" xfId="0" applyAlignment="1" applyFont="1">
      <alignment horizontal="left" readingOrder="0"/>
    </xf>
    <xf borderId="0" fillId="25" fontId="3" numFmtId="0" xfId="0" applyFont="1"/>
    <xf borderId="0" fillId="25" fontId="3" numFmtId="0" xfId="0" applyAlignment="1" applyFont="1">
      <alignment readingOrder="0"/>
    </xf>
    <xf borderId="0" fillId="25" fontId="3" numFmtId="169" xfId="0" applyAlignment="1" applyFont="1" applyNumberFormat="1">
      <alignment readingOrder="0"/>
    </xf>
    <xf borderId="0" fillId="25" fontId="3" numFmtId="169" xfId="0" applyFont="1" applyNumberFormat="1"/>
    <xf borderId="0" fillId="25" fontId="12" numFmtId="169" xfId="0" applyFont="1" applyNumberFormat="1"/>
    <xf borderId="11" fillId="25" fontId="3" numFmtId="169" xfId="0" applyBorder="1" applyFont="1" applyNumberFormat="1"/>
    <xf quotePrefix="1" borderId="0" fillId="25" fontId="3" numFmtId="0" xfId="0" applyAlignment="1" applyFont="1">
      <alignment readingOrder="0"/>
    </xf>
    <xf borderId="0" fillId="25" fontId="12" numFmtId="0" xfId="0" applyAlignment="1" applyFont="1">
      <alignment readingOrder="0"/>
    </xf>
    <xf borderId="11" fillId="25" fontId="12" numFmtId="0" xfId="0" applyAlignment="1" applyBorder="1" applyFont="1">
      <alignment readingOrder="0"/>
    </xf>
    <xf borderId="0" fillId="25" fontId="12" numFmtId="3" xfId="0" applyFont="1" applyNumberFormat="1"/>
    <xf borderId="0" fillId="25" fontId="12" numFmtId="3" xfId="0" applyAlignment="1" applyFont="1" applyNumberFormat="1">
      <alignment readingOrder="0"/>
    </xf>
    <xf borderId="0" fillId="25" fontId="12" numFmtId="170" xfId="0" applyAlignment="1" applyFont="1" applyNumberFormat="1">
      <alignment readingOrder="0"/>
    </xf>
    <xf quotePrefix="1" borderId="0" fillId="0" fontId="12" numFmtId="0" xfId="0" applyAlignment="1" applyFont="1">
      <alignment horizontal="left" readingOrder="0"/>
    </xf>
    <xf borderId="0" fillId="0" fontId="8" numFmtId="0" xfId="0" applyAlignment="1" applyFont="1">
      <alignment horizontal="left" readingOrder="0" shrinkToFit="0" wrapText="0"/>
    </xf>
    <xf borderId="0" fillId="26" fontId="3" numFmtId="167" xfId="0" applyAlignment="1" applyFill="1" applyFont="1" applyNumberFormat="1">
      <alignment readingOrder="0"/>
    </xf>
    <xf borderId="0" fillId="26" fontId="3" numFmtId="0" xfId="0" applyAlignment="1" applyFont="1">
      <alignment horizontal="left" readingOrder="0"/>
    </xf>
    <xf borderId="0" fillId="26" fontId="12" numFmtId="0" xfId="0" applyAlignment="1" applyFont="1">
      <alignment horizontal="left" readingOrder="0"/>
    </xf>
    <xf borderId="0" fillId="26" fontId="3" numFmtId="0" xfId="0" applyFont="1"/>
    <xf borderId="0" fillId="26" fontId="3" numFmtId="0" xfId="0" applyAlignment="1" applyFont="1">
      <alignment readingOrder="0"/>
    </xf>
    <xf borderId="0" fillId="26" fontId="3" numFmtId="169" xfId="0" applyAlignment="1" applyFont="1" applyNumberFormat="1">
      <alignment readingOrder="0"/>
    </xf>
    <xf borderId="0" fillId="26" fontId="3" numFmtId="169" xfId="0" applyFont="1" applyNumberFormat="1"/>
    <xf borderId="0" fillId="26" fontId="12" numFmtId="169" xfId="0" applyFont="1" applyNumberFormat="1"/>
    <xf borderId="11" fillId="26" fontId="3" numFmtId="169" xfId="0" applyBorder="1" applyFont="1" applyNumberFormat="1"/>
    <xf quotePrefix="1" borderId="0" fillId="26" fontId="3" numFmtId="0" xfId="0" applyAlignment="1" applyFont="1">
      <alignment readingOrder="0"/>
    </xf>
    <xf borderId="0" fillId="26" fontId="12" numFmtId="0" xfId="0" applyFont="1"/>
    <xf borderId="0" fillId="26" fontId="12" numFmtId="0" xfId="0" applyAlignment="1" applyFont="1">
      <alignment readingOrder="0"/>
    </xf>
    <xf borderId="11" fillId="26" fontId="12" numFmtId="0" xfId="0" applyAlignment="1" applyBorder="1" applyFont="1">
      <alignment readingOrder="0"/>
    </xf>
    <xf borderId="0" fillId="26" fontId="12" numFmtId="3" xfId="0" applyFont="1" applyNumberFormat="1"/>
    <xf borderId="0" fillId="26" fontId="12" numFmtId="3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23" fontId="12" numFmtId="0" xfId="0" applyAlignment="1" applyFont="1">
      <alignment horizontal="left" readingOrder="0"/>
    </xf>
    <xf borderId="0" fillId="23" fontId="4" numFmtId="0" xfId="0" applyAlignment="1" applyFont="1">
      <alignment horizontal="left" readingOrder="0"/>
    </xf>
    <xf borderId="0" fillId="23" fontId="4" numFmtId="0" xfId="0" applyFont="1"/>
    <xf quotePrefix="1" borderId="0" fillId="0" fontId="4" numFmtId="0" xfId="0" applyAlignment="1" applyFont="1">
      <alignment horizontal="left" readingOrder="0"/>
    </xf>
    <xf borderId="0" fillId="0" fontId="12" numFmtId="0" xfId="0" applyAlignment="1" applyFont="1">
      <alignment horizontal="center" readingOrder="0"/>
    </xf>
    <xf borderId="0" fillId="14" fontId="3" numFmtId="167" xfId="0" applyAlignment="1" applyFont="1" applyNumberFormat="1">
      <alignment readingOrder="0"/>
    </xf>
    <xf borderId="0" fillId="14" fontId="3" numFmtId="0" xfId="0" applyAlignment="1" applyFont="1">
      <alignment horizontal="left" readingOrder="0"/>
    </xf>
    <xf borderId="0" fillId="14" fontId="3" numFmtId="0" xfId="0" applyAlignment="1" applyFont="1">
      <alignment readingOrder="0"/>
    </xf>
    <xf borderId="0" fillId="14" fontId="3" numFmtId="0" xfId="0" applyFont="1"/>
    <xf borderId="0" fillId="14" fontId="3" numFmtId="169" xfId="0" applyAlignment="1" applyFont="1" applyNumberFormat="1">
      <alignment readingOrder="0"/>
    </xf>
    <xf borderId="0" fillId="14" fontId="3" numFmtId="169" xfId="0" applyFont="1" applyNumberFormat="1"/>
    <xf borderId="0" fillId="14" fontId="12" numFmtId="169" xfId="0" applyFont="1" applyNumberFormat="1"/>
    <xf borderId="11" fillId="14" fontId="3" numFmtId="169" xfId="0" applyBorder="1" applyFont="1" applyNumberFormat="1"/>
    <xf quotePrefix="1" borderId="0" fillId="14" fontId="3" numFmtId="0" xfId="0" applyAlignment="1" applyFont="1">
      <alignment readingOrder="0"/>
    </xf>
    <xf borderId="0" fillId="14" fontId="12" numFmtId="0" xfId="0" applyFont="1"/>
    <xf borderId="0" fillId="14" fontId="12" numFmtId="0" xfId="0" applyAlignment="1" applyFont="1">
      <alignment readingOrder="0"/>
    </xf>
    <xf borderId="11" fillId="14" fontId="12" numFmtId="0" xfId="0" applyAlignment="1" applyBorder="1" applyFont="1">
      <alignment readingOrder="0"/>
    </xf>
    <xf borderId="0" fillId="14" fontId="12" numFmtId="3" xfId="0" applyFont="1" applyNumberFormat="1"/>
    <xf borderId="0" fillId="14" fontId="12" numFmtId="3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wrapText="0"/>
    </xf>
    <xf borderId="0" fillId="9" fontId="28" numFmtId="0" xfId="0" applyAlignment="1" applyFont="1">
      <alignment horizontal="left" readingOrder="0"/>
    </xf>
    <xf borderId="0" fillId="0" fontId="29" numFmtId="0" xfId="0" applyAlignment="1" applyFont="1">
      <alignment readingOrder="0"/>
    </xf>
    <xf borderId="0" fillId="9" fontId="30" numFmtId="0" xfId="0" applyAlignment="1" applyFont="1">
      <alignment horizontal="left" readingOrder="0"/>
    </xf>
    <xf borderId="11" fillId="0" fontId="4" numFmtId="0" xfId="0" applyAlignment="1" applyBorder="1" applyFont="1">
      <alignment readingOrder="0"/>
    </xf>
    <xf quotePrefix="1" borderId="0" fillId="0" fontId="28" numFmtId="0" xfId="0" applyAlignment="1" applyFont="1">
      <alignment horizontal="left" readingOrder="0"/>
    </xf>
    <xf borderId="0" fillId="0" fontId="30" numFmtId="0" xfId="0" applyAlignment="1" applyFont="1">
      <alignment horizontal="left" readingOrder="0"/>
    </xf>
    <xf borderId="0" fillId="0" fontId="3" numFmtId="166" xfId="0" applyAlignment="1" applyFont="1" applyNumberFormat="1">
      <alignment horizontal="left" readingOrder="0"/>
    </xf>
    <xf borderId="0" fillId="27" fontId="12" numFmtId="0" xfId="0" applyAlignment="1" applyFill="1" applyFont="1">
      <alignment readingOrder="0"/>
    </xf>
    <xf borderId="0" fillId="0" fontId="31" numFmtId="0" xfId="0" applyAlignment="1" applyFont="1">
      <alignment readingOrder="0"/>
    </xf>
    <xf borderId="0" fillId="0" fontId="12" numFmtId="166" xfId="0" applyAlignment="1" applyFont="1" applyNumberFormat="1">
      <alignment readingOrder="0"/>
    </xf>
    <xf borderId="0" fillId="0" fontId="28" numFmtId="0" xfId="0" applyAlignment="1" applyFont="1">
      <alignment horizontal="left" readingOrder="0"/>
    </xf>
    <xf borderId="0" fillId="0" fontId="32" numFmtId="0" xfId="0" applyAlignment="1" applyFont="1">
      <alignment horizontal="left" readingOrder="0"/>
    </xf>
    <xf borderId="0" fillId="21" fontId="12" numFmtId="0" xfId="0" applyAlignment="1" applyFont="1">
      <alignment readingOrder="0"/>
    </xf>
    <xf quotePrefix="1" borderId="0" fillId="0" fontId="33" numFmtId="0" xfId="0" applyAlignment="1" applyFont="1">
      <alignment horizontal="left" readingOrder="0"/>
    </xf>
    <xf borderId="0" fillId="9" fontId="33" numFmtId="0" xfId="0" applyAlignment="1" applyFont="1">
      <alignment horizontal="left" readingOrder="0"/>
    </xf>
    <xf borderId="0" fillId="9" fontId="34" numFmtId="0" xfId="0" applyAlignment="1" applyFont="1">
      <alignment horizontal="left" readingOrder="0"/>
    </xf>
    <xf borderId="0" fillId="9" fontId="28" numFmtId="0" xfId="0" applyAlignment="1" applyFont="1">
      <alignment horizontal="left"/>
    </xf>
    <xf borderId="0" fillId="9" fontId="7" numFmtId="0" xfId="0" applyAlignment="1" applyFont="1">
      <alignment horizontal="left" readingOrder="0"/>
    </xf>
    <xf borderId="0" fillId="28" fontId="12" numFmtId="0" xfId="0" applyFill="1" applyFont="1"/>
    <xf borderId="0" fillId="0" fontId="35" numFmtId="0" xfId="0" applyAlignment="1" applyFont="1">
      <alignment horizontal="left" readingOrder="0"/>
    </xf>
    <xf borderId="0" fillId="0" fontId="12" numFmtId="172" xfId="0" applyAlignment="1" applyFont="1" applyNumberFormat="1">
      <alignment horizontal="center" readingOrder="0"/>
    </xf>
    <xf borderId="0" fillId="0" fontId="23" numFmtId="0" xfId="0" applyAlignment="1" applyFont="1">
      <alignment horizontal="left" readingOrder="0"/>
    </xf>
    <xf borderId="0" fillId="0" fontId="26" numFmtId="0" xfId="0" applyAlignment="1" applyFont="1">
      <alignment horizontal="left" readingOrder="0"/>
    </xf>
    <xf borderId="0" fillId="7" fontId="3" numFmtId="0" xfId="0" applyAlignment="1" applyFont="1">
      <alignment horizontal="left" readingOrder="0"/>
    </xf>
    <xf borderId="0" fillId="9" fontId="32" numFmtId="0" xfId="0" applyAlignment="1" applyFont="1">
      <alignment horizontal="left" readingOrder="0"/>
    </xf>
    <xf borderId="0" fillId="9" fontId="26" numFmtId="0" xfId="0" applyAlignment="1" applyFont="1">
      <alignment horizontal="left" readingOrder="0"/>
    </xf>
    <xf borderId="0" fillId="0" fontId="25" numFmtId="0" xfId="0" applyAlignment="1" applyFont="1">
      <alignment horizontal="left" readingOrder="0"/>
    </xf>
    <xf borderId="0" fillId="0" fontId="12" numFmtId="167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2" numFmtId="169" xfId="0" applyAlignment="1" applyFont="1" applyNumberFormat="1">
      <alignment horizontal="right" vertical="bottom"/>
    </xf>
    <xf borderId="11" fillId="0" fontId="12" numFmtId="169" xfId="0" applyAlignment="1" applyBorder="1" applyFont="1" applyNumberFormat="1">
      <alignment horizontal="right" vertical="bottom"/>
    </xf>
    <xf quotePrefix="1"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11" fillId="0" fontId="12" numFmtId="0" xfId="0" applyAlignment="1" applyBorder="1" applyFont="1">
      <alignment vertical="bottom"/>
    </xf>
    <xf borderId="0" fillId="0" fontId="12" numFmtId="3" xfId="0" applyAlignment="1" applyFont="1" applyNumberFormat="1">
      <alignment vertical="bottom"/>
    </xf>
    <xf borderId="0" fillId="0" fontId="12" numFmtId="3" xfId="0" applyAlignment="1" applyFont="1" applyNumberFormat="1">
      <alignment horizontal="right" vertical="bottom"/>
    </xf>
    <xf borderId="0" fillId="0" fontId="12" numFmtId="0" xfId="0" applyAlignment="1" applyFont="1">
      <alignment horizontal="right" vertical="bottom"/>
    </xf>
    <xf borderId="0" fillId="0" fontId="12" numFmtId="169" xfId="0" applyAlignment="1" applyFont="1" applyNumberFormat="1">
      <alignment vertical="bottom"/>
    </xf>
    <xf quotePrefix="1" borderId="0" fillId="0" fontId="12" numFmtId="0" xfId="0" applyAlignment="1" applyFont="1">
      <alignment vertical="bottom"/>
    </xf>
    <xf borderId="0" fillId="0" fontId="12" numFmtId="3" xfId="0" applyAlignment="1" applyFont="1" applyNumberFormat="1">
      <alignment readingOrder="0" vertical="bottom"/>
    </xf>
    <xf borderId="0" fillId="0" fontId="12" numFmtId="167" xfId="0" applyAlignment="1" applyFont="1" applyNumberFormat="1">
      <alignment horizontal="right" readingOrder="0" vertical="bottom"/>
    </xf>
    <xf borderId="11" fillId="0" fontId="12" numFmtId="0" xfId="0" applyAlignment="1" applyBorder="1" applyFont="1">
      <alignment readingOrder="0" vertical="bottom"/>
    </xf>
    <xf quotePrefix="1" borderId="0" fillId="9" fontId="25" numFmtId="0" xfId="0" applyAlignment="1" applyFont="1">
      <alignment horizontal="left" readingOrder="0"/>
    </xf>
    <xf borderId="0" fillId="14" fontId="12" numFmtId="169" xfId="0" applyAlignment="1" applyFont="1" applyNumberFormat="1">
      <alignment readingOrder="0"/>
    </xf>
    <xf borderId="0" fillId="14" fontId="12" numFmtId="0" xfId="0" applyAlignment="1" applyFont="1">
      <alignment horizontal="center" readingOrder="0"/>
    </xf>
    <xf borderId="11" fillId="14" fontId="12" numFmtId="0" xfId="0" applyAlignment="1" applyBorder="1" applyFont="1">
      <alignment readingOrder="0" vertical="bottom"/>
    </xf>
    <xf borderId="0" fillId="14" fontId="12" numFmtId="170" xfId="0" applyAlignment="1" applyFont="1" applyNumberFormat="1">
      <alignment readingOrder="0"/>
    </xf>
    <xf quotePrefix="1" borderId="0" fillId="0" fontId="36" numFmtId="0" xfId="0" applyAlignment="1" applyFont="1">
      <alignment horizontal="left" readingOrder="0"/>
    </xf>
    <xf borderId="0" fillId="0" fontId="12" numFmtId="164" xfId="0" applyAlignment="1" applyFont="1" applyNumberFormat="1">
      <alignment readingOrder="0"/>
    </xf>
    <xf borderId="0" fillId="8" fontId="3" numFmtId="167" xfId="0" applyAlignment="1" applyFont="1" applyNumberFormat="1">
      <alignment readingOrder="0"/>
    </xf>
    <xf borderId="0" fillId="8" fontId="3" numFmtId="0" xfId="0" applyAlignment="1" applyFont="1">
      <alignment horizontal="left" readingOrder="0"/>
    </xf>
    <xf borderId="0" fillId="8" fontId="3" numFmtId="0" xfId="0" applyAlignment="1" applyFont="1">
      <alignment readingOrder="0"/>
    </xf>
    <xf borderId="0" fillId="8" fontId="3" numFmtId="0" xfId="0" applyFont="1"/>
    <xf borderId="0" fillId="8" fontId="12" numFmtId="169" xfId="0" applyFont="1" applyNumberFormat="1"/>
    <xf quotePrefix="1" borderId="0" fillId="8" fontId="3" numFmtId="0" xfId="0" applyAlignment="1" applyFont="1">
      <alignment readingOrder="0"/>
    </xf>
    <xf borderId="0" fillId="8" fontId="12" numFmtId="0" xfId="0" applyFont="1"/>
    <xf borderId="0" fillId="8" fontId="12" numFmtId="0" xfId="0" applyAlignment="1" applyFont="1">
      <alignment readingOrder="0"/>
    </xf>
    <xf borderId="11" fillId="8" fontId="12" numFmtId="0" xfId="0" applyAlignment="1" applyBorder="1" applyFont="1">
      <alignment readingOrder="0" vertical="bottom"/>
    </xf>
    <xf borderId="0" fillId="8" fontId="12" numFmtId="3" xfId="0" applyFont="1" applyNumberFormat="1"/>
    <xf borderId="0" fillId="8" fontId="12" numFmtId="3" xfId="0" applyAlignment="1" applyFont="1" applyNumberFormat="1">
      <alignment readingOrder="0"/>
    </xf>
    <xf borderId="11" fillId="8" fontId="12" numFmtId="0" xfId="0" applyAlignment="1" applyBorder="1" applyFont="1">
      <alignment readingOrder="0"/>
    </xf>
    <xf borderId="0" fillId="14" fontId="13" numFmtId="0" xfId="0" applyAlignment="1" applyFont="1">
      <alignment horizontal="left" readingOrder="0"/>
    </xf>
    <xf borderId="0" fillId="14" fontId="26" numFmtId="0" xfId="0" applyAlignment="1" applyFont="1">
      <alignment horizontal="left" readingOrder="0"/>
    </xf>
    <xf borderId="0" fillId="14" fontId="8" numFmtId="0" xfId="0" applyAlignment="1" applyFont="1">
      <alignment horizontal="left" readingOrder="0"/>
    </xf>
    <xf borderId="0" fillId="9" fontId="25" numFmtId="0" xfId="0" applyAlignment="1" applyFont="1">
      <alignment horizontal="left" readingOrder="0"/>
    </xf>
    <xf borderId="0" fillId="12" fontId="3" numFmtId="167" xfId="0" applyAlignment="1" applyFont="1" applyNumberFormat="1">
      <alignment readingOrder="0"/>
    </xf>
    <xf borderId="0" fillId="12" fontId="3" numFmtId="0" xfId="0" applyAlignment="1" applyFont="1">
      <alignment horizontal="left" readingOrder="0"/>
    </xf>
    <xf borderId="0" fillId="12" fontId="12" numFmtId="0" xfId="0" applyAlignment="1" applyFont="1">
      <alignment horizontal="left" readingOrder="0"/>
    </xf>
    <xf borderId="0" fillId="12" fontId="3" numFmtId="0" xfId="0" applyFont="1"/>
    <xf borderId="0" fillId="12" fontId="3" numFmtId="0" xfId="0" applyAlignment="1" applyFont="1">
      <alignment readingOrder="0"/>
    </xf>
    <xf borderId="0" fillId="12" fontId="3" numFmtId="169" xfId="0" applyAlignment="1" applyFont="1" applyNumberFormat="1">
      <alignment readingOrder="0"/>
    </xf>
    <xf borderId="0" fillId="12" fontId="3" numFmtId="169" xfId="0" applyFont="1" applyNumberFormat="1"/>
    <xf borderId="0" fillId="12" fontId="12" numFmtId="169" xfId="0" applyAlignment="1" applyFont="1" applyNumberFormat="1">
      <alignment readingOrder="0"/>
    </xf>
    <xf borderId="11" fillId="12" fontId="3" numFmtId="169" xfId="0" applyBorder="1" applyFont="1" applyNumberFormat="1"/>
    <xf quotePrefix="1" borderId="0" fillId="12" fontId="3" numFmtId="0" xfId="0" applyAlignment="1" applyFont="1">
      <alignment readingOrder="0"/>
    </xf>
    <xf borderId="0" fillId="12" fontId="12" numFmtId="0" xfId="0" applyFont="1"/>
    <xf borderId="0" fillId="12" fontId="12" numFmtId="0" xfId="0" applyAlignment="1" applyFont="1">
      <alignment readingOrder="0"/>
    </xf>
    <xf borderId="11" fillId="12" fontId="12" numFmtId="0" xfId="0" applyAlignment="1" applyBorder="1" applyFont="1">
      <alignment readingOrder="0"/>
    </xf>
    <xf borderId="0" fillId="12" fontId="12" numFmtId="3" xfId="0" applyFont="1" applyNumberFormat="1"/>
    <xf borderId="11" fillId="12" fontId="12" numFmtId="0" xfId="0" applyBorder="1" applyFont="1"/>
    <xf borderId="0" fillId="23" fontId="8" numFmtId="0" xfId="0" applyAlignment="1" applyFont="1">
      <alignment horizontal="left" readingOrder="0"/>
    </xf>
    <xf borderId="0" fillId="0" fontId="3" numFmtId="169" xfId="0" applyAlignment="1" applyFont="1" applyNumberFormat="1">
      <alignment horizontal="center" readingOrder="0" vertical="center"/>
    </xf>
    <xf borderId="0" fillId="0" fontId="12" numFmtId="0" xfId="0" applyAlignment="1" applyFont="1">
      <alignment readingOrder="0" vertical="bottom"/>
    </xf>
    <xf borderId="0" fillId="0" fontId="12" numFmtId="0" xfId="0" applyFont="1"/>
    <xf borderId="0" fillId="29" fontId="3" numFmtId="167" xfId="0" applyAlignment="1" applyFill="1" applyFont="1" applyNumberFormat="1">
      <alignment readingOrder="0"/>
    </xf>
    <xf borderId="0" fillId="29" fontId="3" numFmtId="0" xfId="0" applyAlignment="1" applyFont="1">
      <alignment horizontal="left" readingOrder="0"/>
    </xf>
    <xf borderId="0" fillId="29" fontId="12" numFmtId="0" xfId="0" applyFont="1"/>
    <xf borderId="0" fillId="29" fontId="3" numFmtId="0" xfId="0" applyFont="1"/>
    <xf borderId="0" fillId="29" fontId="12" numFmtId="0" xfId="0" applyAlignment="1" applyFont="1">
      <alignment horizontal="center" readingOrder="0"/>
    </xf>
    <xf borderId="0" fillId="29" fontId="3" numFmtId="169" xfId="0" applyFont="1" applyNumberFormat="1"/>
    <xf borderId="0" fillId="29" fontId="12" numFmtId="169" xfId="0" applyFont="1" applyNumberFormat="1"/>
    <xf borderId="0" fillId="29" fontId="3" numFmtId="169" xfId="0" applyAlignment="1" applyFont="1" applyNumberFormat="1">
      <alignment readingOrder="0"/>
    </xf>
    <xf borderId="11" fillId="29" fontId="3" numFmtId="169" xfId="0" applyBorder="1" applyFont="1" applyNumberFormat="1"/>
    <xf borderId="0" fillId="29" fontId="3" numFmtId="0" xfId="0" applyAlignment="1" applyFont="1">
      <alignment readingOrder="0"/>
    </xf>
    <xf borderId="0" fillId="29" fontId="12" numFmtId="0" xfId="0" applyFont="1"/>
    <xf borderId="0" fillId="29" fontId="12" numFmtId="0" xfId="0" applyAlignment="1" applyFont="1">
      <alignment readingOrder="0"/>
    </xf>
    <xf borderId="11" fillId="29" fontId="12" numFmtId="0" xfId="0" applyBorder="1" applyFont="1"/>
    <xf borderId="0" fillId="6" fontId="3" numFmtId="167" xfId="0" applyAlignment="1" applyFont="1" applyNumberFormat="1">
      <alignment readingOrder="0"/>
    </xf>
    <xf borderId="0" fillId="6" fontId="3" numFmtId="0" xfId="0" applyAlignment="1" applyFont="1">
      <alignment horizontal="left" readingOrder="0"/>
    </xf>
    <xf borderId="0" fillId="6" fontId="12" numFmtId="0" xfId="0" applyFont="1"/>
    <xf borderId="0" fillId="6" fontId="3" numFmtId="0" xfId="0" applyFont="1"/>
    <xf borderId="0" fillId="6" fontId="12" numFmtId="0" xfId="0" applyAlignment="1" applyFont="1">
      <alignment horizontal="center" readingOrder="0"/>
    </xf>
    <xf borderId="0" fillId="6" fontId="3" numFmtId="169" xfId="0" applyFont="1" applyNumberFormat="1"/>
    <xf borderId="0" fillId="6" fontId="12" numFmtId="169" xfId="0" applyFont="1" applyNumberFormat="1"/>
    <xf borderId="0" fillId="6" fontId="3" numFmtId="169" xfId="0" applyAlignment="1" applyFont="1" applyNumberFormat="1">
      <alignment readingOrder="0"/>
    </xf>
    <xf borderId="11" fillId="6" fontId="3" numFmtId="169" xfId="0" applyBorder="1" applyFont="1" applyNumberFormat="1"/>
    <xf borderId="0" fillId="6" fontId="3" numFmtId="0" xfId="0" applyAlignment="1" applyFont="1">
      <alignment readingOrder="0"/>
    </xf>
    <xf borderId="0" fillId="6" fontId="12" numFmtId="0" xfId="0" applyFont="1"/>
    <xf borderId="0" fillId="6" fontId="12" numFmtId="0" xfId="0" applyAlignment="1" applyFont="1">
      <alignment readingOrder="0"/>
    </xf>
    <xf borderId="11" fillId="6" fontId="12" numFmtId="0" xfId="0" applyBorder="1" applyFont="1"/>
    <xf borderId="0" fillId="6" fontId="12" numFmtId="3" xfId="0" applyFont="1" applyNumberFormat="1"/>
    <xf borderId="0" fillId="0" fontId="37" numFmtId="0" xfId="0" applyAlignment="1" applyFont="1">
      <alignment readingOrder="0"/>
    </xf>
    <xf borderId="0" fillId="0" fontId="38" numFmtId="0" xfId="0" applyAlignment="1" applyFont="1">
      <alignment horizontal="center" readingOrder="0"/>
    </xf>
    <xf borderId="12" fillId="0" fontId="12" numFmtId="3" xfId="0" applyBorder="1" applyFont="1" applyNumberFormat="1"/>
    <xf quotePrefix="1" borderId="0" fillId="9" fontId="32" numFmtId="0" xfId="0" applyAlignment="1" applyFont="1">
      <alignment horizontal="left" readingOrder="0"/>
    </xf>
    <xf borderId="0" fillId="21" fontId="12" numFmtId="0" xfId="0" applyFont="1"/>
    <xf borderId="0" fillId="11" fontId="3" numFmtId="167" xfId="0" applyAlignment="1" applyFont="1" applyNumberFormat="1">
      <alignment readingOrder="0"/>
    </xf>
    <xf borderId="0" fillId="11" fontId="3" numFmtId="0" xfId="0" applyAlignment="1" applyFont="1">
      <alignment horizontal="left" readingOrder="0"/>
    </xf>
    <xf borderId="0" fillId="11" fontId="3" numFmtId="0" xfId="0" applyFont="1"/>
    <xf borderId="0" fillId="11" fontId="3" numFmtId="169" xfId="0" applyAlignment="1" applyFont="1" applyNumberFormat="1">
      <alignment readingOrder="0"/>
    </xf>
    <xf borderId="0" fillId="11" fontId="3" numFmtId="169" xfId="0" applyFont="1" applyNumberFormat="1"/>
    <xf borderId="0" fillId="11" fontId="12" numFmtId="169" xfId="0" applyFont="1" applyNumberFormat="1"/>
    <xf borderId="11" fillId="11" fontId="3" numFmtId="169" xfId="0" applyBorder="1" applyFont="1" applyNumberFormat="1"/>
    <xf borderId="0" fillId="11" fontId="8" numFmtId="0" xfId="0" applyAlignment="1" applyFont="1">
      <alignment horizontal="left" readingOrder="0"/>
    </xf>
    <xf quotePrefix="1" borderId="0" fillId="11" fontId="3" numFmtId="0" xfId="0" applyAlignment="1" applyFont="1">
      <alignment readingOrder="0"/>
    </xf>
    <xf borderId="0" fillId="11" fontId="12" numFmtId="0" xfId="0" applyFont="1"/>
    <xf borderId="0" fillId="11" fontId="12" numFmtId="0" xfId="0" applyAlignment="1" applyFont="1">
      <alignment readingOrder="0"/>
    </xf>
    <xf borderId="11" fillId="11" fontId="12" numFmtId="0" xfId="0" applyAlignment="1" applyBorder="1" applyFont="1">
      <alignment readingOrder="0"/>
    </xf>
    <xf borderId="0" fillId="11" fontId="12" numFmtId="3" xfId="0" applyFont="1" applyNumberFormat="1"/>
    <xf borderId="0" fillId="11" fontId="1" numFmtId="0" xfId="0" applyAlignment="1" applyFont="1">
      <alignment readingOrder="0"/>
    </xf>
    <xf borderId="0" fillId="11" fontId="12" numFmtId="0" xfId="0" applyAlignment="1" applyFont="1">
      <alignment horizontal="center" readingOrder="0"/>
    </xf>
    <xf borderId="0" fillId="20" fontId="3" numFmtId="167" xfId="0" applyAlignment="1" applyFont="1" applyNumberFormat="1">
      <alignment readingOrder="0"/>
    </xf>
    <xf borderId="0" fillId="20" fontId="3" numFmtId="0" xfId="0" applyAlignment="1" applyFont="1">
      <alignment horizontal="left" readingOrder="0"/>
    </xf>
    <xf borderId="0" fillId="20" fontId="3" numFmtId="0" xfId="0" applyAlignment="1" applyFont="1">
      <alignment readingOrder="0"/>
    </xf>
    <xf borderId="0" fillId="20" fontId="3" numFmtId="0" xfId="0" applyFont="1"/>
    <xf borderId="0" fillId="20" fontId="3" numFmtId="169" xfId="0" applyFont="1" applyNumberFormat="1"/>
    <xf borderId="0" fillId="20" fontId="12" numFmtId="169" xfId="0" applyFont="1" applyNumberFormat="1"/>
    <xf borderId="0" fillId="20" fontId="3" numFmtId="169" xfId="0" applyAlignment="1" applyFont="1" applyNumberFormat="1">
      <alignment readingOrder="0"/>
    </xf>
    <xf borderId="11" fillId="20" fontId="3" numFmtId="169" xfId="0" applyBorder="1" applyFont="1" applyNumberFormat="1"/>
    <xf borderId="0" fillId="20" fontId="12" numFmtId="0" xfId="0" applyFont="1"/>
    <xf borderId="11" fillId="20" fontId="12" numFmtId="0" xfId="0" applyBorder="1" applyFont="1"/>
    <xf borderId="0" fillId="20" fontId="12" numFmtId="3" xfId="0" applyFont="1" applyNumberFormat="1"/>
    <xf borderId="0" fillId="9" fontId="39" numFmtId="3" xfId="0" applyAlignment="1" applyFont="1" applyNumberFormat="1">
      <alignment readingOrder="0"/>
    </xf>
    <xf borderId="0" fillId="0" fontId="3" numFmtId="0" xfId="0" applyAlignment="1" applyFont="1">
      <alignment horizontal="left" readingOrder="0"/>
    </xf>
    <xf quotePrefix="1" borderId="0" fillId="0" fontId="1" numFmtId="0" xfId="0" applyAlignment="1" applyFont="1">
      <alignment readingOrder="0"/>
    </xf>
    <xf borderId="0" fillId="21" fontId="3" numFmtId="167" xfId="0" applyAlignment="1" applyFont="1" applyNumberFormat="1">
      <alignment readingOrder="0"/>
    </xf>
    <xf borderId="0" fillId="21" fontId="3" numFmtId="0" xfId="0" applyAlignment="1" applyFont="1">
      <alignment horizontal="left" readingOrder="0"/>
    </xf>
    <xf borderId="0" fillId="21" fontId="3" numFmtId="0" xfId="0" applyAlignment="1" applyFont="1">
      <alignment readingOrder="0"/>
    </xf>
    <xf borderId="0" fillId="21" fontId="3" numFmtId="0" xfId="0" applyFont="1"/>
    <xf borderId="0" fillId="21" fontId="3" numFmtId="169" xfId="0" applyAlignment="1" applyFont="1" applyNumberFormat="1">
      <alignment readingOrder="0"/>
    </xf>
    <xf borderId="0" fillId="21" fontId="3" numFmtId="169" xfId="0" applyFont="1" applyNumberFormat="1"/>
    <xf borderId="0" fillId="21" fontId="12" numFmtId="169" xfId="0" applyFont="1" applyNumberFormat="1"/>
    <xf borderId="11" fillId="21" fontId="3" numFmtId="169" xfId="0" applyBorder="1" applyFont="1" applyNumberFormat="1"/>
    <xf quotePrefix="1" borderId="0" fillId="21" fontId="3" numFmtId="0" xfId="0" applyAlignment="1" applyFont="1">
      <alignment readingOrder="0"/>
    </xf>
    <xf borderId="11" fillId="21" fontId="12" numFmtId="0" xfId="0" applyAlignment="1" applyBorder="1" applyFont="1">
      <alignment readingOrder="0"/>
    </xf>
    <xf borderId="0" fillId="21" fontId="12" numFmtId="3" xfId="0" applyFont="1" applyNumberFormat="1"/>
    <xf borderId="0" fillId="21" fontId="12" numFmtId="3" xfId="0" applyAlignment="1" applyFont="1" applyNumberFormat="1">
      <alignment readingOrder="0"/>
    </xf>
    <xf borderId="0" fillId="21" fontId="39" numFmtId="3" xfId="0" applyAlignment="1" applyFont="1" applyNumberFormat="1">
      <alignment readingOrder="0"/>
    </xf>
    <xf borderId="0" fillId="21" fontId="12" numFmtId="0" xfId="0" applyAlignment="1" applyFont="1">
      <alignment horizontal="center" readingOrder="0"/>
    </xf>
    <xf borderId="0" fillId="0" fontId="12" numFmtId="173" xfId="0" applyAlignment="1" applyFont="1" applyNumberFormat="1">
      <alignment readingOrder="0"/>
    </xf>
    <xf borderId="0" fillId="11" fontId="30" numFmtId="0" xfId="0" applyAlignment="1" applyFont="1">
      <alignment horizontal="left" readingOrder="0"/>
    </xf>
    <xf borderId="0" fillId="11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11" fontId="30" numFmtId="169" xfId="0" applyAlignment="1" applyFont="1" applyNumberFormat="1">
      <alignment horizontal="right" readingOrder="0"/>
    </xf>
    <xf borderId="0" fillId="0" fontId="40" numFmtId="0" xfId="0" applyAlignment="1" applyFont="1">
      <alignment readingOrder="0"/>
    </xf>
    <xf borderId="0" fillId="11" fontId="32" numFmtId="0" xfId="0" applyAlignment="1" applyFont="1">
      <alignment horizontal="left" readingOrder="0"/>
    </xf>
    <xf borderId="0" fillId="11" fontId="3" numFmtId="169" xfId="0" applyAlignment="1" applyFont="1" applyNumberFormat="1">
      <alignment horizontal="right" readingOrder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23" fontId="13" numFmtId="0" xfId="0" applyAlignment="1" applyFont="1">
      <alignment readingOrder="0" shrinkToFit="0" wrapText="1"/>
    </xf>
    <xf borderId="11" fillId="0" fontId="4" numFmtId="0" xfId="0" applyBorder="1" applyFont="1"/>
    <xf borderId="0" fillId="21" fontId="13" numFmtId="0" xfId="0" applyAlignment="1" applyFont="1">
      <alignment readingOrder="0" shrinkToFit="0" wrapText="1"/>
    </xf>
    <xf borderId="0" fillId="9" fontId="41" numFmtId="0" xfId="0" applyAlignment="1" applyFont="1">
      <alignment horizontal="left" readingOrder="0"/>
    </xf>
    <xf borderId="11" fillId="11" fontId="12" numFmtId="0" xfId="0" applyBorder="1" applyFont="1"/>
    <xf borderId="0" fillId="0" fontId="41" numFmtId="0" xfId="0" applyAlignment="1" applyFont="1">
      <alignment horizontal="left" readingOrder="0"/>
    </xf>
    <xf borderId="0" fillId="30" fontId="3" numFmtId="0" xfId="0" applyAlignment="1" applyFill="1" applyFont="1">
      <alignment horizontal="left" readingOrder="0"/>
    </xf>
    <xf borderId="0" fillId="0" fontId="3" numFmtId="0" xfId="0" applyAlignment="1" applyFont="1">
      <alignment readingOrder="0" shrinkToFit="0" wrapText="1"/>
    </xf>
    <xf borderId="0" fillId="21" fontId="3" numFmtId="0" xfId="0" applyAlignment="1" applyFont="1">
      <alignment readingOrder="0" shrinkToFit="0" wrapText="1"/>
    </xf>
    <xf borderId="0" fillId="21" fontId="12" numFmtId="169" xfId="0" applyAlignment="1" applyFont="1" applyNumberFormat="1">
      <alignment readingOrder="0"/>
    </xf>
    <xf borderId="0" fillId="9" fontId="30" numFmtId="0" xfId="0" applyAlignment="1" applyFont="1">
      <alignment horizontal="left" readingOrder="0" shrinkToFit="0" vertical="top" wrapText="0"/>
    </xf>
    <xf borderId="0" fillId="0" fontId="30" numFmtId="0" xfId="0" applyAlignment="1" applyFont="1">
      <alignment horizontal="left" readingOrder="0" shrinkToFit="0" vertical="top" wrapText="0"/>
    </xf>
    <xf quotePrefix="1" borderId="0" fillId="9" fontId="30" numFmtId="0" xfId="0" applyAlignment="1" applyFont="1">
      <alignment horizontal="left" readingOrder="0" shrinkToFit="0" vertical="top" wrapText="0"/>
    </xf>
    <xf borderId="0" fillId="23" fontId="3" numFmtId="0" xfId="0" applyAlignment="1" applyFont="1">
      <alignment readingOrder="0" shrinkToFit="0" wrapText="1"/>
    </xf>
    <xf borderId="0" fillId="23" fontId="12" numFmtId="169" xfId="0" applyAlignment="1" applyFont="1" applyNumberFormat="1">
      <alignment readingOrder="0"/>
    </xf>
    <xf borderId="0" fillId="21" fontId="3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/>
    </xf>
    <xf borderId="0" fillId="0" fontId="11" numFmtId="167" xfId="0" applyAlignment="1" applyFont="1" applyNumberFormat="1">
      <alignment horizontal="right" vertical="bottom"/>
    </xf>
    <xf borderId="0" fillId="0" fontId="11" numFmtId="167" xfId="0" applyAlignment="1" applyFont="1" applyNumberFormat="1">
      <alignment horizontal="right" readingOrder="0" vertical="bottom"/>
    </xf>
    <xf borderId="0" fillId="0" fontId="13" numFmtId="0" xfId="0" applyAlignment="1" applyFont="1">
      <alignment horizontal="left" readingOrder="0"/>
    </xf>
    <xf borderId="0" fillId="7" fontId="11" numFmtId="167" xfId="0" applyAlignment="1" applyFont="1" applyNumberFormat="1">
      <alignment horizontal="right" readingOrder="0" vertical="bottom"/>
    </xf>
    <xf borderId="0" fillId="7" fontId="3" numFmtId="0" xfId="0" applyAlignment="1" applyFont="1">
      <alignment readingOrder="0"/>
    </xf>
    <xf borderId="0" fillId="7" fontId="3" numFmtId="0" xfId="0" applyFont="1"/>
    <xf borderId="0" fillId="7" fontId="3" numFmtId="169" xfId="0" applyFont="1" applyNumberFormat="1"/>
    <xf borderId="0" fillId="7" fontId="12" numFmtId="169" xfId="0" applyFont="1" applyNumberFormat="1"/>
    <xf borderId="0" fillId="7" fontId="3" numFmtId="169" xfId="0" applyAlignment="1" applyFont="1" applyNumberFormat="1">
      <alignment readingOrder="0"/>
    </xf>
    <xf borderId="11" fillId="7" fontId="3" numFmtId="169" xfId="0" applyBorder="1" applyFont="1" applyNumberFormat="1"/>
    <xf borderId="0" fillId="7" fontId="12" numFmtId="0" xfId="0" applyFont="1"/>
    <xf borderId="0" fillId="7" fontId="12" numFmtId="3" xfId="0" applyFont="1" applyNumberFormat="1"/>
    <xf borderId="0" fillId="0" fontId="3" numFmtId="167" xfId="0" applyFont="1" applyNumberFormat="1"/>
    <xf borderId="0" fillId="0" fontId="42" numFmtId="0" xfId="0" applyAlignment="1" applyFont="1">
      <alignment readingOrder="0"/>
    </xf>
    <xf borderId="0" fillId="0" fontId="43" numFmtId="1" xfId="0" applyFont="1" applyNumberFormat="1"/>
    <xf borderId="0" fillId="0" fontId="43" numFmtId="0" xfId="0" applyFont="1"/>
    <xf borderId="13" fillId="0" fontId="43" numFmtId="0" xfId="0" applyBorder="1" applyFont="1"/>
    <xf borderId="0" fillId="0" fontId="1" numFmtId="0" xfId="0" applyFont="1"/>
    <xf borderId="0" fillId="0" fontId="1" numFmtId="167" xfId="0" applyAlignment="1" applyFont="1" applyNumberFormat="1">
      <alignment readingOrder="0"/>
    </xf>
    <xf borderId="14" fillId="0" fontId="3" numFmtId="0" xfId="0" applyAlignment="1" applyBorder="1" applyFont="1">
      <alignment readingOrder="0"/>
    </xf>
    <xf borderId="14" fillId="0" fontId="3" numFmtId="1" xfId="0" applyBorder="1" applyFont="1" applyNumberFormat="1"/>
    <xf borderId="14" fillId="0" fontId="43" numFmtId="0" xfId="0" applyBorder="1" applyFont="1"/>
    <xf borderId="0" fillId="0" fontId="15" numFmtId="0" xfId="0" applyFont="1"/>
    <xf borderId="0" fillId="0" fontId="3" numFmtId="1" xfId="0" applyAlignment="1" applyFont="1" applyNumberFormat="1">
      <alignment readingOrder="0"/>
    </xf>
    <xf borderId="0" fillId="0" fontId="3" numFmtId="1" xfId="0" applyFont="1" applyNumberFormat="1"/>
    <xf borderId="0" fillId="0" fontId="42" numFmtId="0" xfId="0" applyFont="1"/>
    <xf borderId="0" fillId="0" fontId="43" numFmtId="1" xfId="0" applyAlignment="1" applyFont="1" applyNumberFormat="1">
      <alignment horizontal="center"/>
    </xf>
    <xf borderId="0" fillId="9" fontId="3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top" wrapText="1"/>
    </xf>
    <xf borderId="0" fillId="0" fontId="44" numFmtId="0" xfId="0" applyAlignment="1" applyFont="1">
      <alignment horizontal="center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44" numFmtId="0" xfId="0" applyFont="1"/>
    <xf borderId="0" fillId="0" fontId="13" numFmtId="0" xfId="0" applyAlignment="1" applyFont="1">
      <alignment shrinkToFit="0" vertical="center" wrapText="1"/>
    </xf>
    <xf borderId="13" fillId="0" fontId="13" numFmtId="0" xfId="0" applyAlignment="1" applyBorder="1" applyFont="1">
      <alignment shrinkToFit="0" wrapText="1"/>
    </xf>
    <xf borderId="0" fillId="0" fontId="13" numFmtId="0" xfId="0" applyFont="1"/>
    <xf borderId="13" fillId="0" fontId="3" numFmtId="0" xfId="0" applyAlignment="1" applyBorder="1" applyFont="1">
      <alignment horizontal="center"/>
    </xf>
    <xf borderId="13" fillId="0" fontId="2" numFmtId="0" xfId="0" applyBorder="1" applyFont="1"/>
    <xf borderId="2" fillId="0" fontId="3" numFmtId="0" xfId="0" applyAlignment="1" applyBorder="1" applyFont="1">
      <alignment horizontal="center"/>
    </xf>
    <xf borderId="2" fillId="0" fontId="3" numFmtId="1" xfId="0" applyAlignment="1" applyBorder="1" applyFont="1" applyNumberFormat="1">
      <alignment horizontal="center"/>
    </xf>
    <xf borderId="2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horizontal="center"/>
    </xf>
    <xf borderId="14" fillId="0" fontId="2" numFmtId="0" xfId="0" applyBorder="1" applyFont="1"/>
    <xf borderId="0" fillId="0" fontId="1" numFmtId="0" xfId="0" applyAlignment="1" applyFont="1">
      <alignment horizontal="center" readingOrder="0" vertical="center"/>
    </xf>
    <xf borderId="14" fillId="0" fontId="3" numFmtId="0" xfId="0" applyAlignment="1" applyBorder="1" applyFont="1">
      <alignment horizontal="center" readingOrder="0"/>
    </xf>
    <xf borderId="14" fillId="0" fontId="3" numFmtId="169" xfId="0" applyAlignment="1" applyBorder="1" applyFont="1" applyNumberFormat="1">
      <alignment horizontal="center" readingOrder="0" vertical="center"/>
    </xf>
    <xf borderId="0" fillId="0" fontId="3" numFmtId="169" xfId="0" applyAlignment="1" applyFont="1" applyNumberFormat="1">
      <alignment horizontal="right" vertical="center"/>
    </xf>
    <xf borderId="0" fillId="0" fontId="1" numFmtId="0" xfId="0" applyAlignment="1" applyFont="1">
      <alignment horizontal="center" readingOrder="0"/>
    </xf>
    <xf borderId="0" fillId="0" fontId="3" numFmtId="169" xfId="0" applyAlignment="1" applyFont="1" applyNumberFormat="1">
      <alignment horizontal="center" readingOrder="0"/>
    </xf>
    <xf borderId="0" fillId="0" fontId="13" numFmtId="0" xfId="0" applyAlignment="1" applyFont="1">
      <alignment horizontal="left" vertical="center"/>
    </xf>
    <xf borderId="13" fillId="0" fontId="3" numFmtId="0" xfId="0" applyAlignment="1" applyBorder="1" applyFont="1">
      <alignment horizontal="left" readingOrder="0" shrinkToFit="0" wrapText="1"/>
    </xf>
    <xf borderId="13" fillId="0" fontId="3" numFmtId="169" xfId="0" applyAlignment="1" applyBorder="1" applyFont="1" applyNumberFormat="1">
      <alignment horizontal="center"/>
    </xf>
    <xf borderId="14" fillId="0" fontId="45" numFmtId="0" xfId="0" applyAlignment="1" applyBorder="1" applyFont="1">
      <alignment horizontal="left" shrinkToFit="0" vertical="center" wrapText="1"/>
    </xf>
    <xf borderId="14" fillId="0" fontId="45" numFmtId="0" xfId="0" applyAlignment="1" applyBorder="1" applyFont="1">
      <alignment vertical="center"/>
    </xf>
    <xf borderId="0" fillId="0" fontId="15" numFmtId="0" xfId="0" applyAlignment="1" applyFont="1">
      <alignment horizontal="center" vertical="center"/>
    </xf>
    <xf borderId="0" fillId="0" fontId="15" numFmtId="169" xfId="0" applyFont="1" applyNumberFormat="1"/>
    <xf borderId="15" fillId="0" fontId="3" numFmtId="174" xfId="0" applyAlignment="1" applyBorder="1" applyFont="1" applyNumberFormat="1">
      <alignment horizontal="left" vertical="center"/>
    </xf>
    <xf borderId="0" fillId="0" fontId="15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0" fontId="43" numFmtId="0" xfId="0" applyAlignment="1" applyFont="1">
      <alignment shrinkToFit="0" vertical="top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169" xfId="0" applyAlignment="1" applyFont="1" applyNumberFormat="1">
      <alignment vertical="center"/>
    </xf>
    <xf borderId="12" fillId="0" fontId="3" numFmtId="168" xfId="0" applyAlignment="1" applyBorder="1" applyFont="1" applyNumberFormat="1">
      <alignment horizontal="right" readingOrder="0" vertical="center"/>
    </xf>
    <xf borderId="0" fillId="0" fontId="3" numFmtId="0" xfId="0" applyAlignment="1" applyFont="1">
      <alignment horizontal="center"/>
    </xf>
    <xf borderId="0" fillId="0" fontId="43" numFmtId="0" xfId="0" applyAlignment="1" applyFont="1">
      <alignment readingOrder="0" shrinkToFit="0" vertical="top" wrapText="1"/>
    </xf>
    <xf borderId="0" fillId="0" fontId="43" numFmtId="0" xfId="0" applyAlignment="1" applyFont="1">
      <alignment shrinkToFit="0" vertical="center" wrapText="1"/>
    </xf>
    <xf borderId="0" fillId="0" fontId="13" numFmtId="0" xfId="0" applyAlignment="1" applyFont="1">
      <alignment horizontal="left"/>
    </xf>
    <xf borderId="4" fillId="0" fontId="13" numFmtId="174" xfId="0" applyAlignment="1" applyBorder="1" applyFont="1" applyNumberFormat="1">
      <alignment horizontal="right" readingOrder="0" vertical="center"/>
    </xf>
    <xf borderId="0" fillId="0" fontId="43" numFmtId="1" xfId="0" applyAlignment="1" applyFont="1" applyNumberFormat="1">
      <alignment horizontal="center" readingOrder="0"/>
    </xf>
    <xf borderId="0" fillId="0" fontId="43" numFmtId="1" xfId="0" applyAlignment="1" applyFont="1" applyNumberFormat="1">
      <alignment horizontal="right"/>
    </xf>
    <xf borderId="0" fillId="0" fontId="46" numFmtId="0" xfId="0" applyAlignment="1" applyFont="1">
      <alignment vertical="top"/>
    </xf>
    <xf borderId="0" fillId="0" fontId="3" numFmtId="174" xfId="0" applyAlignment="1" applyFont="1" applyNumberFormat="1">
      <alignment horizontal="center" vertical="center"/>
    </xf>
    <xf borderId="0" fillId="0" fontId="47" numFmtId="0" xfId="0" applyAlignment="1" applyFont="1">
      <alignment horizontal="left"/>
    </xf>
    <xf quotePrefix="1" borderId="0" fillId="0" fontId="43" numFmtId="1" xfId="0" applyFont="1" applyNumberFormat="1"/>
    <xf borderId="0" fillId="0" fontId="43" numFmtId="1" xfId="0" applyAlignment="1" applyFont="1" applyNumberFormat="1">
      <alignment readingOrder="0"/>
    </xf>
    <xf borderId="0" fillId="0" fontId="48" numFmtId="0" xfId="0" applyAlignment="1" applyFont="1">
      <alignment shrinkToFit="0" vertical="top" wrapText="1"/>
    </xf>
    <xf borderId="0" fillId="0" fontId="49" numFmtId="0" xfId="0" applyFont="1"/>
    <xf borderId="0" fillId="0" fontId="50" numFmtId="0" xfId="0" applyAlignment="1" applyFont="1">
      <alignment horizontal="left" readingOrder="0"/>
    </xf>
    <xf borderId="0" fillId="0" fontId="50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15" fillId="0" fontId="3" numFmtId="174" xfId="0" applyAlignment="1" applyBorder="1" applyFont="1" applyNumberFormat="1">
      <alignment horizontal="right" vertical="center"/>
    </xf>
    <xf borderId="0" fillId="0" fontId="44" numFmtId="0" xfId="0" applyAlignment="1" applyFont="1">
      <alignment horizontal="left" readingOrder="0"/>
    </xf>
    <xf borderId="0" fillId="0" fontId="50" numFmtId="0" xfId="0" applyFont="1"/>
    <xf borderId="0" fillId="0" fontId="3" numFmtId="169" xfId="0" applyAlignment="1" applyFont="1" applyNumberFormat="1">
      <alignment horizontal="right" readingOrder="0" vertical="center"/>
    </xf>
    <xf borderId="14" fillId="0" fontId="45" numFmtId="0" xfId="0" applyAlignment="1" applyBorder="1" applyFont="1">
      <alignment horizontal="left" readingOrder="0" shrinkToFit="0" vertical="center" wrapText="0"/>
    </xf>
    <xf borderId="0" fillId="0" fontId="44" numFmtId="0" xfId="0" applyAlignment="1" applyFont="1">
      <alignment horizontal="left" readingOrder="0" shrinkToFit="0" wrapText="0"/>
    </xf>
    <xf borderId="0" fillId="0" fontId="13" numFmtId="0" xfId="0" applyAlignment="1" applyFont="1">
      <alignment shrinkToFit="0" wrapText="1"/>
    </xf>
    <xf borderId="13" fillId="0" fontId="13" numFmtId="0" xfId="0" applyAlignment="1" applyBorder="1" applyFont="1">
      <alignment horizontal="left" vertical="center"/>
    </xf>
    <xf borderId="0" fillId="0" fontId="45" numFmtId="0" xfId="0" applyAlignment="1" applyFont="1">
      <alignment horizontal="left" readingOrder="0" shrinkToFit="0" vertical="center" wrapText="1"/>
    </xf>
    <xf borderId="0" fillId="0" fontId="50" numFmtId="0" xfId="0" applyAlignment="1" applyFont="1">
      <alignment readingOrder="0" shrinkToFit="0" wrapText="0"/>
    </xf>
    <xf borderId="0" fillId="0" fontId="3" numFmtId="1" xfId="0" applyAlignment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45" numFmtId="0" xfId="0" applyAlignment="1" applyFont="1">
      <alignment horizontal="left" shrinkToFit="0" vertical="center" wrapText="1"/>
    </xf>
    <xf borderId="0" fillId="0" fontId="45" numFmtId="0" xfId="0" applyAlignment="1" applyFont="1">
      <alignment vertical="center"/>
    </xf>
    <xf borderId="0" fillId="0" fontId="3" numFmtId="174" xfId="0" applyAlignment="1" applyFont="1" applyNumberFormat="1">
      <alignment horizontal="right" vertical="center"/>
    </xf>
    <xf borderId="0" fillId="0" fontId="3" numFmtId="168" xfId="0" applyAlignment="1" applyFont="1" applyNumberFormat="1">
      <alignment horizontal="right" readingOrder="0" vertical="center"/>
    </xf>
    <xf borderId="0" fillId="0" fontId="13" numFmtId="174" xfId="0" applyAlignment="1" applyFont="1" applyNumberFormat="1">
      <alignment horizontal="right" readingOrder="0" vertical="center"/>
    </xf>
    <xf borderId="0" fillId="0" fontId="1" numFmtId="166" xfId="0" applyAlignment="1" applyFont="1" applyNumberFormat="1">
      <alignment horizontal="center" readingOrder="0"/>
    </xf>
    <xf borderId="13" fillId="0" fontId="3" numFmtId="0" xfId="0" applyAlignment="1" applyBorder="1" applyFont="1">
      <alignment horizontal="center" readingOrder="0"/>
    </xf>
    <xf borderId="0" fillId="0" fontId="3" numFmtId="0" xfId="0" applyAlignment="1" applyFont="1">
      <alignment shrinkToFit="0" vertical="bottom" wrapText="1"/>
    </xf>
    <xf borderId="0" fillId="0" fontId="3" numFmtId="169" xfId="0" applyAlignment="1" applyFont="1" applyNumberFormat="1">
      <alignment horizontal="right"/>
    </xf>
    <xf borderId="0" fillId="0" fontId="1" numFmtId="0" xfId="0" applyAlignment="1" applyFont="1">
      <alignment horizontal="center" readingOrder="0" vertical="bottom"/>
    </xf>
    <xf borderId="0" fillId="0" fontId="1" numFmtId="169" xfId="0" applyAlignment="1" applyFont="1" applyNumberFormat="1">
      <alignment readingOrder="0" vertical="bottom"/>
    </xf>
    <xf borderId="13" fillId="0" fontId="43" numFmtId="0" xfId="0" applyAlignment="1" applyBorder="1" applyFont="1">
      <alignment horizontal="left" readingOrder="0" shrinkToFit="0" wrapText="1"/>
    </xf>
    <xf borderId="14" fillId="0" fontId="15" numFmtId="0" xfId="0" applyAlignment="1" applyBorder="1" applyFont="1">
      <alignment horizontal="center" vertical="center"/>
    </xf>
    <xf borderId="14" fillId="0" fontId="15" numFmtId="0" xfId="0" applyBorder="1" applyFont="1"/>
    <xf borderId="15" fillId="0" fontId="3" numFmtId="174" xfId="0" applyAlignment="1" applyBorder="1" applyFont="1" applyNumberFormat="1">
      <alignment vertical="center"/>
    </xf>
    <xf borderId="12" fillId="0" fontId="3" numFmtId="174" xfId="0" applyAlignment="1" applyBorder="1" applyFont="1" applyNumberFormat="1">
      <alignment horizontal="center" readingOrder="0" vertical="center"/>
    </xf>
    <xf borderId="1" fillId="0" fontId="13" numFmtId="174" xfId="0" applyAlignment="1" applyBorder="1" applyFont="1" applyNumberFormat="1">
      <alignment horizontal="left" vertical="center"/>
    </xf>
    <xf borderId="0" fillId="0" fontId="47" numFmtId="0" xfId="0" applyAlignment="1" applyFont="1">
      <alignment horizontal="left" readingOrder="0"/>
    </xf>
    <xf borderId="0" fillId="0" fontId="1" numFmtId="1" xfId="0" applyFont="1" applyNumberFormat="1"/>
    <xf borderId="0" fillId="0" fontId="51" numFmtId="0" xfId="0" applyAlignment="1" applyFont="1">
      <alignment horizontal="center"/>
    </xf>
    <xf borderId="0" fillId="0" fontId="50" numFmtId="0" xfId="0" applyAlignment="1" applyFont="1">
      <alignment readingOrder="0" shrinkToFit="0" vertical="center" wrapText="0"/>
    </xf>
    <xf borderId="0" fillId="0" fontId="50" numFmtId="175" xfId="0" applyAlignment="1" applyFont="1" applyNumberFormat="1">
      <alignment readingOrder="0" shrinkToFit="0" wrapText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0" numFmtId="0" xfId="0" applyAlignment="1" applyFont="1">
      <alignment readingOrder="0"/>
    </xf>
    <xf borderId="0" fillId="0" fontId="12" numFmtId="0" xfId="0" applyAlignment="1" applyFont="1">
      <alignment horizontal="left" shrinkToFit="0" vertical="top" wrapText="1"/>
    </xf>
    <xf borderId="0" fillId="0" fontId="12" numFmtId="0" xfId="0" applyAlignment="1" applyFont="1">
      <alignment horizontal="left" readingOrder="0" shrinkToFit="0" vertical="top" wrapText="1"/>
    </xf>
    <xf borderId="13" fillId="0" fontId="12" numFmtId="0" xfId="0" applyAlignment="1" applyBorder="1" applyFont="1">
      <alignment readingOrder="0"/>
    </xf>
    <xf borderId="13" fillId="0" fontId="12" numFmtId="0" xfId="0" applyAlignment="1" applyBorder="1" applyFont="1">
      <alignment horizontal="left" shrinkToFit="0" vertical="top" wrapText="1"/>
    </xf>
    <xf borderId="13" fillId="0" fontId="12" numFmtId="0" xfId="0" applyAlignment="1" applyBorder="1" applyFont="1">
      <alignment horizontal="right" readingOrder="0"/>
    </xf>
    <xf borderId="0" fillId="0" fontId="15" numFmtId="0" xfId="0" applyAlignment="1" applyFont="1">
      <alignment horizontal="center"/>
    </xf>
    <xf borderId="0" fillId="0" fontId="3" numFmtId="0" xfId="0" applyAlignment="1" applyFont="1">
      <alignment readingOrder="0" vertical="center"/>
    </xf>
    <xf borderId="0" fillId="0" fontId="46" numFmtId="0" xfId="0" applyAlignment="1" applyFont="1">
      <alignment shrinkToFit="0" vertical="center" wrapText="1"/>
    </xf>
    <xf borderId="15" fillId="0" fontId="15" numFmtId="169" xfId="0" applyAlignment="1" applyBorder="1" applyFont="1" applyNumberFormat="1">
      <alignment horizontal="center" shrinkToFit="0" vertical="center" wrapText="1"/>
    </xf>
    <xf borderId="9" fillId="0" fontId="2" numFmtId="0" xfId="0" applyBorder="1" applyFont="1"/>
    <xf borderId="16" fillId="0" fontId="2" numFmtId="0" xfId="0" applyBorder="1" applyFont="1"/>
    <xf quotePrefix="1" borderId="0" fillId="0" fontId="43" numFmtId="0" xfId="0" applyAlignment="1" applyFont="1">
      <alignment horizontal="center" readingOrder="0"/>
    </xf>
    <xf borderId="0" fillId="0" fontId="43" numFmtId="0" xfId="0" applyAlignment="1" applyFont="1">
      <alignment horizontal="center" readingOrder="0"/>
    </xf>
    <xf borderId="0" fillId="0" fontId="52" numFmtId="0" xfId="0" applyAlignment="1" applyFont="1">
      <alignment readingOrder="0" shrinkToFit="0" vertical="top" wrapText="0"/>
    </xf>
    <xf borderId="0" fillId="0" fontId="13" numFmtId="174" xfId="0" applyAlignment="1" applyFont="1" applyNumberFormat="1">
      <alignment horizontal="left" vertical="center"/>
    </xf>
    <xf borderId="0" fillId="0" fontId="43" numFmtId="1" xfId="0" applyAlignment="1" applyFont="1" applyNumberFormat="1">
      <alignment horizontal="left"/>
    </xf>
    <xf borderId="0" fillId="0" fontId="44" numFmtId="174" xfId="0" applyAlignment="1" applyFont="1" applyNumberFormat="1">
      <alignment horizontal="left" vertical="center"/>
    </xf>
    <xf borderId="0" fillId="0" fontId="4" numFmtId="14" xfId="0" applyAlignment="1" applyFont="1" applyNumberFormat="1">
      <alignment readingOrder="0"/>
    </xf>
    <xf borderId="0" fillId="0" fontId="1" numFmtId="174" xfId="0" applyFont="1" applyNumberFormat="1"/>
    <xf borderId="0" fillId="0" fontId="1" numFmtId="176" xfId="0" applyFont="1" applyNumberFormat="1"/>
    <xf borderId="1" fillId="31" fontId="4" numFmtId="0" xfId="0" applyAlignment="1" applyBorder="1" applyFill="1" applyFont="1">
      <alignment horizontal="center" readingOrder="0"/>
    </xf>
    <xf borderId="1" fillId="19" fontId="4" numFmtId="0" xfId="0" applyAlignment="1" applyBorder="1" applyFont="1">
      <alignment horizontal="center" readingOrder="0"/>
    </xf>
    <xf borderId="12" fillId="21" fontId="4" numFmtId="0" xfId="0" applyAlignment="1" applyBorder="1" applyFont="1">
      <alignment horizontal="center" readingOrder="0" vertical="center"/>
    </xf>
    <xf borderId="4" fillId="31" fontId="4" numFmtId="0" xfId="0" applyAlignment="1" applyBorder="1" applyFont="1">
      <alignment horizontal="center" readingOrder="0"/>
    </xf>
    <xf borderId="4" fillId="19" fontId="4" numFmtId="0" xfId="0" applyAlignment="1" applyBorder="1" applyFont="1">
      <alignment horizontal="center" readingOrder="0"/>
    </xf>
    <xf borderId="12" fillId="0" fontId="2" numFmtId="0" xfId="0" applyBorder="1" applyFont="1"/>
    <xf borderId="12" fillId="0" fontId="4" numFmtId="0" xfId="0" applyAlignment="1" applyBorder="1" applyFont="1">
      <alignment readingOrder="0"/>
    </xf>
    <xf borderId="12" fillId="0" fontId="4" numFmtId="0" xfId="0" applyBorder="1" applyFont="1"/>
    <xf borderId="0" fillId="0" fontId="1" numFmtId="0" xfId="0" applyAlignment="1" applyFont="1">
      <alignment horizontal="left" shrinkToFit="0" vertical="center" wrapText="1"/>
    </xf>
    <xf borderId="0" fillId="0" fontId="12" numFmtId="0" xfId="0" applyAlignment="1" applyFont="1">
      <alignment readingOrder="0" shrinkToFit="0" wrapText="1"/>
    </xf>
    <xf borderId="13" fillId="0" fontId="3" numFmtId="169" xfId="0" applyAlignment="1" applyBorder="1" applyFont="1" applyNumberFormat="1">
      <alignment horizontal="left" readingOrder="0"/>
    </xf>
    <xf borderId="14" fillId="0" fontId="51" numFmtId="0" xfId="0" applyAlignment="1" applyBorder="1" applyFont="1">
      <alignment readingOrder="0" vertical="center"/>
    </xf>
    <xf borderId="14" fillId="0" fontId="15" numFmtId="0" xfId="0" applyAlignment="1" applyBorder="1" applyFont="1">
      <alignment horizontal="center"/>
    </xf>
    <xf borderId="0" fillId="0" fontId="15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quotePrefix="1" borderId="0" fillId="0" fontId="4" numFmtId="0" xfId="0" applyAlignment="1" applyFont="1">
      <alignment readingOrder="0"/>
    </xf>
    <xf borderId="14" fillId="0" fontId="3" numFmtId="1" xfId="0" applyAlignment="1" applyBorder="1" applyFont="1" applyNumberFormat="1">
      <alignment horizontal="center"/>
    </xf>
    <xf borderId="0" fillId="0" fontId="3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/>
    </xf>
    <xf borderId="0" fillId="0" fontId="49" numFmtId="0" xfId="0" applyAlignment="1" applyFont="1">
      <alignment horizontal="left" readingOrder="0"/>
    </xf>
    <xf borderId="4" fillId="3" fontId="5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readingOrder="0" vertical="bottom"/>
    </xf>
    <xf borderId="0" fillId="10" fontId="11" numFmtId="0" xfId="0" applyAlignment="1" applyFont="1">
      <alignment readingOrder="0" vertical="bottom"/>
    </xf>
    <xf quotePrefix="1" borderId="0" fillId="0" fontId="1" numFmtId="0" xfId="0" applyAlignment="1" applyFont="1">
      <alignment horizontal="center" readingOrder="0"/>
    </xf>
    <xf borderId="0" fillId="0" fontId="44" numFmtId="0" xfId="0" applyAlignment="1" applyFont="1">
      <alignment horizontal="center" readingOrder="0"/>
    </xf>
    <xf borderId="13" fillId="0" fontId="1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0" fontId="13" numFmtId="0" xfId="0" applyAlignment="1" applyFont="1">
      <alignment horizontal="left" readingOrder="0" vertical="center"/>
    </xf>
    <xf borderId="13" fillId="9" fontId="3" numFmtId="169" xfId="0" applyBorder="1" applyFont="1" applyNumberFormat="1"/>
    <xf borderId="13" fillId="0" fontId="3" numFmtId="169" xfId="0" applyBorder="1" applyFont="1" applyNumberFormat="1"/>
    <xf borderId="13" fillId="0" fontId="3" numFmtId="0" xfId="0" applyAlignment="1" applyBorder="1" applyFont="1">
      <alignment horizontal="center" readingOrder="0" shrinkToFit="0" vertical="top" wrapText="1"/>
    </xf>
    <xf borderId="14" fillId="0" fontId="3" numFmtId="169" xfId="0" applyAlignment="1" applyBorder="1" applyFont="1" applyNumberFormat="1">
      <alignment readingOrder="0" vertical="center"/>
    </xf>
    <xf quotePrefix="1" borderId="0" fillId="0" fontId="43" numFmtId="1" xfId="0" applyAlignment="1" applyFont="1" applyNumberFormat="1">
      <alignment horizontal="left"/>
    </xf>
    <xf borderId="4" fillId="32" fontId="53" numFmtId="3" xfId="0" applyAlignment="1" applyBorder="1" applyFill="1" applyFont="1" applyNumberFormat="1">
      <alignment horizontal="center" shrinkToFit="0" wrapText="1"/>
    </xf>
    <xf borderId="4" fillId="33" fontId="10" numFmtId="3" xfId="0" applyBorder="1" applyFill="1" applyFont="1" applyNumberFormat="1"/>
    <xf borderId="4" fillId="9" fontId="10" numFmtId="3" xfId="0" applyAlignment="1" applyBorder="1" applyFont="1" applyNumberFormat="1">
      <alignment horizontal="right"/>
    </xf>
    <xf borderId="4" fillId="9" fontId="10" numFmtId="3" xfId="0" applyBorder="1" applyFont="1" applyNumberFormat="1"/>
    <xf borderId="0" fillId="0" fontId="10" numFmtId="3" xfId="0" applyFont="1" applyNumberFormat="1"/>
    <xf borderId="0" fillId="9" fontId="10" numFmtId="3" xfId="0" applyFont="1" applyNumberFormat="1"/>
    <xf borderId="0" fillId="0" fontId="20" numFmtId="0" xfId="0" applyAlignment="1" applyFont="1">
      <alignment readingOrder="0"/>
    </xf>
    <xf borderId="0" fillId="0" fontId="54" numFmtId="0" xfId="0" applyAlignment="1" applyFont="1">
      <alignment horizontal="center" readingOrder="0" shrinkToFit="0" vertical="bottom" wrapText="0"/>
    </xf>
    <xf borderId="4" fillId="0" fontId="55" numFmtId="0" xfId="0" applyAlignment="1" applyBorder="1" applyFont="1">
      <alignment horizontal="center" shrinkToFit="0" wrapText="1"/>
    </xf>
    <xf borderId="1" fillId="0" fontId="55" numFmtId="0" xfId="0" applyAlignment="1" applyBorder="1" applyFont="1">
      <alignment horizontal="center" shrinkToFit="0" wrapText="1"/>
    </xf>
    <xf borderId="4" fillId="0" fontId="55" numFmtId="0" xfId="0" applyAlignment="1" applyBorder="1" applyFont="1">
      <alignment horizontal="center" readingOrder="0" shrinkToFit="0" wrapText="1"/>
    </xf>
    <xf borderId="4" fillId="0" fontId="10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readingOrder="0" vertical="bottom"/>
    </xf>
    <xf borderId="8" fillId="0" fontId="10" numFmtId="0" xfId="0" applyAlignment="1" applyBorder="1" applyFont="1">
      <alignment horizontal="center" vertical="bottom"/>
    </xf>
    <xf borderId="15" fillId="0" fontId="10" numFmtId="0" xfId="0" applyAlignment="1" applyBorder="1" applyFont="1">
      <alignment horizontal="center" vertical="bottom"/>
    </xf>
    <xf borderId="14" fillId="0" fontId="10" numFmtId="0" xfId="0" applyAlignment="1" applyBorder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25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56" numFmtId="0" xfId="0" applyAlignment="1" applyFont="1">
      <alignment readingOrder="0"/>
    </xf>
    <xf borderId="0" fillId="0" fontId="56" numFmtId="0" xfId="0" applyAlignment="1" applyFont="1">
      <alignment readingOrder="0"/>
    </xf>
    <xf borderId="14" fillId="0" fontId="3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vertical="center"/>
    </xf>
    <xf borderId="13" fillId="0" fontId="3" numFmtId="0" xfId="0" applyAlignment="1" applyBorder="1" applyFont="1">
      <alignment horizontal="left" shrinkToFit="0" vertical="top" wrapText="1"/>
    </xf>
    <xf borderId="14" fillId="0" fontId="3" numFmtId="0" xfId="0" applyAlignment="1" applyBorder="1" applyFont="1">
      <alignment horizontal="left"/>
    </xf>
    <xf borderId="14" fillId="0" fontId="3" numFmtId="174" xfId="0" applyAlignment="1" applyBorder="1" applyFont="1" applyNumberFormat="1">
      <alignment vertical="center"/>
    </xf>
    <xf borderId="0" fillId="10" fontId="20" numFmtId="0" xfId="0" applyAlignment="1" applyFont="1">
      <alignment horizontal="center" readingOrder="0" vertical="center"/>
    </xf>
    <xf borderId="0" fillId="8" fontId="20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8" fontId="12" numFmtId="0" xfId="0" applyAlignment="1" applyFont="1">
      <alignment horizontal="center" readingOrder="0"/>
    </xf>
    <xf borderId="14" fillId="0" fontId="12" numFmtId="0" xfId="0" applyAlignment="1" applyBorder="1" applyFont="1">
      <alignment readingOrder="0"/>
    </xf>
    <xf borderId="0" fillId="0" fontId="3" numFmtId="0" xfId="0" applyAlignment="1" applyFont="1">
      <alignment horizontal="right" readingOrder="0"/>
    </xf>
    <xf borderId="0" fillId="0" fontId="46" numFmtId="0" xfId="0" applyAlignment="1" applyFont="1">
      <alignment horizontal="center" shrinkToFit="0" vertical="center" wrapText="1"/>
    </xf>
    <xf borderId="0" fillId="0" fontId="57" numFmtId="0" xfId="0" applyAlignment="1" applyFont="1">
      <alignment horizontal="left" readingOrder="0"/>
    </xf>
    <xf borderId="0" fillId="0" fontId="58" numFmtId="0" xfId="0" applyAlignment="1" applyFont="1">
      <alignment readingOrder="0" vertical="top"/>
    </xf>
    <xf borderId="0" fillId="0" fontId="59" numFmtId="0" xfId="0" applyAlignment="1" applyFont="1">
      <alignment vertical="top"/>
    </xf>
    <xf borderId="0" fillId="0" fontId="60" numFmtId="0" xfId="0" applyAlignment="1" applyFont="1">
      <alignment vertical="top"/>
    </xf>
    <xf borderId="0" fillId="0" fontId="61" numFmtId="0" xfId="0" applyAlignment="1" applyFont="1">
      <alignment horizontal="left" readingOrder="0" shrinkToFit="0" vertical="top" wrapText="1"/>
    </xf>
    <xf borderId="0" fillId="0" fontId="60" numFmtId="0" xfId="0" applyFont="1"/>
    <xf borderId="0" fillId="0" fontId="62" numFmtId="0" xfId="0" applyAlignment="1" applyFont="1">
      <alignment vertical="top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63" numFmtId="0" xfId="0" applyFont="1"/>
    <xf borderId="0" fillId="0" fontId="64" numFmtId="0" xfId="0" applyFont="1"/>
    <xf borderId="0" fillId="34" fontId="65" numFmtId="0" xfId="0" applyAlignment="1" applyFill="1" applyFont="1">
      <alignment horizontal="center" readingOrder="0" shrinkToFit="0" vertical="bottom" wrapText="1"/>
    </xf>
    <xf borderId="0" fillId="10" fontId="14" numFmtId="0" xfId="0" applyAlignment="1" applyFont="1">
      <alignment readingOrder="0"/>
    </xf>
    <xf borderId="0" fillId="29" fontId="16" numFmtId="3" xfId="0" applyAlignment="1" applyFont="1" applyNumberFormat="1">
      <alignment horizontal="center" vertical="bottom"/>
    </xf>
    <xf borderId="0" fillId="14" fontId="55" numFmtId="0" xfId="0" applyAlignment="1" applyFont="1">
      <alignment horizontal="center" readingOrder="0" shrinkToFit="0" wrapText="1"/>
    </xf>
    <xf borderId="0" fillId="14" fontId="55" numFmtId="0" xfId="0" applyAlignment="1" applyFont="1">
      <alignment horizontal="center" shrinkToFit="0" wrapText="1"/>
    </xf>
    <xf borderId="0" fillId="11" fontId="55" numFmtId="3" xfId="0" applyAlignment="1" applyFont="1" applyNumberFormat="1">
      <alignment horizontal="center" shrinkToFit="0" wrapText="1"/>
    </xf>
    <xf borderId="0" fillId="35" fontId="55" numFmtId="3" xfId="0" applyAlignment="1" applyFill="1" applyFont="1" applyNumberFormat="1">
      <alignment horizontal="center" shrinkToFit="0" wrapText="1"/>
    </xf>
    <xf borderId="0" fillId="22" fontId="55" numFmtId="3" xfId="0" applyAlignment="1" applyFont="1" applyNumberFormat="1">
      <alignment horizontal="center" shrinkToFit="0" wrapText="1"/>
    </xf>
    <xf borderId="0" fillId="36" fontId="14" numFmtId="0" xfId="0" applyAlignment="1" applyFill="1" applyFont="1">
      <alignment readingOrder="0"/>
    </xf>
    <xf borderId="0" fillId="29" fontId="1" numFmtId="3" xfId="0" applyAlignment="1" applyFont="1" applyNumberFormat="1">
      <alignment horizontal="center" shrinkToFit="0" wrapText="1"/>
    </xf>
    <xf borderId="0" fillId="25" fontId="14" numFmtId="49" xfId="0" applyAlignment="1" applyFont="1" applyNumberFormat="1">
      <alignment readingOrder="0"/>
    </xf>
    <xf borderId="0" fillId="0" fontId="4" numFmtId="3" xfId="0" applyFont="1" applyNumberFormat="1"/>
    <xf borderId="0" fillId="0" fontId="4" numFmtId="167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9" fontId="28" numFmtId="164" xfId="0" applyAlignment="1" applyFont="1" applyNumberFormat="1">
      <alignment horizontal="right" readingOrder="0"/>
    </xf>
    <xf borderId="0" fillId="9" fontId="30" numFmtId="164" xfId="0" applyAlignment="1" applyFont="1" applyNumberFormat="1">
      <alignment horizontal="right" readingOrder="0"/>
    </xf>
    <xf borderId="0" fillId="0" fontId="4" numFmtId="0" xfId="0" applyAlignment="1" applyFont="1">
      <alignment readingOrder="0" shrinkToFit="0" wrapText="1"/>
    </xf>
    <xf borderId="0" fillId="0" fontId="4" numFmtId="166" xfId="0" applyAlignment="1" applyFont="1" applyNumberFormat="1">
      <alignment readingOrder="0"/>
    </xf>
    <xf borderId="0" fillId="0" fontId="4" numFmtId="170" xfId="0" applyAlignment="1" applyFont="1" applyNumberFormat="1">
      <alignment readingOrder="0"/>
    </xf>
    <xf borderId="0" fillId="37" fontId="4" numFmtId="0" xfId="0" applyAlignment="1" applyFill="1" applyFont="1">
      <alignment readingOrder="0"/>
    </xf>
    <xf borderId="0" fillId="0" fontId="4" numFmtId="177" xfId="0" applyAlignment="1" applyFont="1" applyNumberFormat="1">
      <alignment readingOrder="0"/>
    </xf>
    <xf borderId="0" fillId="0" fontId="66" numFmtId="0" xfId="0" applyAlignment="1" applyFont="1">
      <alignment readingOrder="0"/>
    </xf>
    <xf borderId="0" fillId="11" fontId="4" numFmtId="3" xfId="0" applyAlignment="1" applyFont="1" applyNumberFormat="1">
      <alignment readingOrder="0"/>
    </xf>
    <xf borderId="0" fillId="20" fontId="14" numFmtId="49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bottom"/>
    </xf>
    <xf borderId="0" fillId="0" fontId="1" numFmtId="3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horizontal="right" vertical="bottom"/>
    </xf>
    <xf borderId="0" fillId="0" fontId="14" numFmtId="49" xfId="0" applyAlignment="1" applyFont="1" applyNumberFormat="1">
      <alignment readingOrder="0"/>
    </xf>
    <xf borderId="0" fillId="20" fontId="4" numFmtId="3" xfId="0" applyAlignment="1" applyFont="1" applyNumberFormat="1">
      <alignment readingOrder="0"/>
    </xf>
    <xf borderId="0" fillId="38" fontId="67" numFmtId="0" xfId="0" applyAlignment="1" applyFill="1" applyFont="1">
      <alignment horizontal="left" readingOrder="0"/>
    </xf>
    <xf borderId="0" fillId="38" fontId="68" numFmtId="4" xfId="0" applyAlignment="1" applyFont="1" applyNumberFormat="1">
      <alignment horizontal="right"/>
    </xf>
    <xf borderId="0" fillId="38" fontId="67" numFmtId="0" xfId="0" applyAlignment="1" applyFont="1">
      <alignment horizontal="center" readingOrder="0"/>
    </xf>
    <xf borderId="0" fillId="38" fontId="68" numFmtId="4" xfId="0" applyAlignment="1" applyFont="1" applyNumberFormat="1">
      <alignment horizontal="center"/>
    </xf>
    <xf borderId="0" fillId="38" fontId="68" numFmtId="178" xfId="0" applyAlignment="1" applyFont="1" applyNumberFormat="1">
      <alignment horizontal="center"/>
    </xf>
    <xf borderId="0" fillId="38" fontId="4" numFmtId="0" xfId="0" applyFont="1"/>
    <xf borderId="13" fillId="38" fontId="67" numFmtId="0" xfId="0" applyAlignment="1" applyBorder="1" applyFont="1">
      <alignment horizontal="left" readingOrder="0"/>
    </xf>
    <xf borderId="13" fillId="38" fontId="67" numFmtId="4" xfId="0" applyAlignment="1" applyBorder="1" applyFont="1" applyNumberFormat="1">
      <alignment horizontal="right" readingOrder="0" vertical="center"/>
    </xf>
    <xf borderId="13" fillId="38" fontId="1" numFmtId="0" xfId="0" applyAlignment="1" applyBorder="1" applyFont="1">
      <alignment horizontal="center" readingOrder="0" vertical="center"/>
    </xf>
    <xf borderId="13" fillId="38" fontId="1" numFmtId="0" xfId="0" applyAlignment="1" applyBorder="1" applyFont="1">
      <alignment horizontal="center"/>
    </xf>
    <xf borderId="13" fillId="38" fontId="1" numFmtId="169" xfId="0" applyAlignment="1" applyBorder="1" applyFont="1" applyNumberFormat="1">
      <alignment horizontal="center" readingOrder="0" vertical="center"/>
    </xf>
    <xf borderId="13" fillId="38" fontId="1" numFmtId="169" xfId="0" applyAlignment="1" applyBorder="1" applyFont="1" applyNumberFormat="1">
      <alignment horizontal="center" vertical="center"/>
    </xf>
    <xf borderId="13" fillId="38" fontId="1" numFmtId="0" xfId="0" applyAlignment="1" applyBorder="1" applyFont="1">
      <alignment horizontal="center" shrinkToFit="0" vertical="center" wrapText="1"/>
    </xf>
    <xf borderId="13" fillId="38" fontId="4" numFmtId="0" xfId="0" applyAlignment="1" applyBorder="1" applyFont="1">
      <alignment readingOrder="0"/>
    </xf>
    <xf borderId="17" fillId="17" fontId="1" numFmtId="0" xfId="0" applyAlignment="1" applyBorder="1" applyFont="1">
      <alignment horizontal="center" readingOrder="0" vertical="center"/>
    </xf>
    <xf borderId="8" fillId="17" fontId="1" numFmtId="0" xfId="0" applyAlignment="1" applyBorder="1" applyFont="1">
      <alignment horizontal="center" readingOrder="0" vertical="center"/>
    </xf>
    <xf borderId="8" fillId="17" fontId="1" numFmtId="0" xfId="0" applyAlignment="1" applyBorder="1" applyFont="1">
      <alignment horizontal="center" vertical="center"/>
    </xf>
    <xf borderId="17" fillId="16" fontId="1" numFmtId="169" xfId="0" applyAlignment="1" applyBorder="1" applyFont="1" applyNumberFormat="1">
      <alignment horizontal="center" readingOrder="0" vertical="center"/>
    </xf>
    <xf borderId="17" fillId="16" fontId="1" numFmtId="169" xfId="0" applyAlignment="1" applyBorder="1" applyFont="1" applyNumberFormat="1">
      <alignment horizontal="center" vertical="center"/>
    </xf>
    <xf borderId="17" fillId="16" fontId="1" numFmtId="0" xfId="0" applyAlignment="1" applyBorder="1" applyFont="1">
      <alignment horizontal="center" shrinkToFit="0" vertical="center" wrapText="1"/>
    </xf>
    <xf borderId="17" fillId="24" fontId="4" numFmtId="0" xfId="0" applyAlignment="1" applyBorder="1" applyFont="1">
      <alignment horizontal="center" readingOrder="0" vertical="center"/>
    </xf>
    <xf borderId="17" fillId="8" fontId="4" numFmtId="0" xfId="0" applyAlignment="1" applyBorder="1" applyFont="1">
      <alignment horizontal="center" readingOrder="0" vertical="center"/>
    </xf>
    <xf borderId="0" fillId="8" fontId="4" numFmtId="0" xfId="0" applyAlignment="1" applyFont="1">
      <alignment horizontal="center" readingOrder="0" vertical="center"/>
    </xf>
    <xf borderId="4" fillId="0" fontId="1" numFmtId="164" xfId="0" applyAlignment="1" applyBorder="1" applyFont="1" applyNumberFormat="1">
      <alignment readingOrder="0"/>
    </xf>
    <xf borderId="4" fillId="0" fontId="1" numFmtId="0" xfId="0" applyAlignment="1" applyBorder="1" applyFont="1">
      <alignment horizontal="left" readingOrder="0"/>
    </xf>
    <xf borderId="4" fillId="0" fontId="1" numFmtId="0" xfId="0" applyBorder="1" applyFont="1"/>
    <xf borderId="4" fillId="0" fontId="69" numFmtId="169" xfId="0" applyAlignment="1" applyBorder="1" applyFont="1" applyNumberFormat="1">
      <alignment readingOrder="0"/>
    </xf>
    <xf borderId="4" fillId="0" fontId="69" numFmtId="169" xfId="0" applyBorder="1" applyFont="1" applyNumberFormat="1"/>
    <xf borderId="4" fillId="0" fontId="30" numFmtId="169" xfId="0" applyBorder="1" applyFont="1" applyNumberFormat="1"/>
    <xf borderId="4" fillId="0" fontId="30" numFmtId="14" xfId="0" applyAlignment="1" applyBorder="1" applyFont="1" applyNumberFormat="1">
      <alignment horizontal="center"/>
    </xf>
    <xf borderId="18" fillId="0" fontId="1" numFmtId="0" xfId="0" applyBorder="1" applyFont="1"/>
    <xf borderId="19" fillId="0" fontId="1" numFmtId="0" xfId="0" applyAlignment="1" applyBorder="1" applyFont="1">
      <alignment readingOrder="0"/>
    </xf>
    <xf borderId="4" fillId="0" fontId="30" numFmtId="0" xfId="0" applyAlignment="1" applyBorder="1" applyFont="1">
      <alignment horizontal="center"/>
    </xf>
    <xf borderId="4" fillId="14" fontId="1" numFmtId="178" xfId="0" applyAlignment="1" applyBorder="1" applyFont="1" applyNumberFormat="1">
      <alignment readingOrder="0"/>
    </xf>
    <xf borderId="4" fillId="14" fontId="1" numFmtId="0" xfId="0" applyAlignment="1" applyBorder="1" applyFont="1">
      <alignment horizontal="left" readingOrder="0"/>
    </xf>
    <xf borderId="4" fillId="14" fontId="1" numFmtId="0" xfId="0" applyAlignment="1" applyBorder="1" applyFont="1">
      <alignment readingOrder="0"/>
    </xf>
    <xf borderId="4" fillId="14" fontId="1" numFmtId="0" xfId="0" applyBorder="1" applyFont="1"/>
    <xf borderId="4" fillId="14" fontId="30" numFmtId="169" xfId="0" applyAlignment="1" applyBorder="1" applyFont="1" applyNumberFormat="1">
      <alignment readingOrder="0"/>
    </xf>
    <xf borderId="4" fillId="14" fontId="30" numFmtId="169" xfId="0" applyBorder="1" applyFont="1" applyNumberFormat="1"/>
    <xf borderId="4" fillId="14" fontId="30" numFmtId="0" xfId="0" applyAlignment="1" applyBorder="1" applyFont="1">
      <alignment horizontal="center"/>
    </xf>
    <xf borderId="18" fillId="14" fontId="1" numFmtId="0" xfId="0" applyBorder="1" applyFont="1"/>
    <xf borderId="19" fillId="14" fontId="1" numFmtId="0" xfId="0" applyAlignment="1" applyBorder="1" applyFont="1">
      <alignment readingOrder="0"/>
    </xf>
    <xf borderId="4" fillId="11" fontId="1" numFmtId="178" xfId="0" applyAlignment="1" applyBorder="1" applyFont="1" applyNumberFormat="1">
      <alignment readingOrder="0"/>
    </xf>
    <xf borderId="4" fillId="11" fontId="1" numFmtId="0" xfId="0" applyAlignment="1" applyBorder="1" applyFont="1">
      <alignment horizontal="left" readingOrder="0"/>
    </xf>
    <xf borderId="4" fillId="11" fontId="1" numFmtId="0" xfId="0" applyAlignment="1" applyBorder="1" applyFont="1">
      <alignment readingOrder="0"/>
    </xf>
    <xf borderId="4" fillId="11" fontId="1" numFmtId="0" xfId="0" applyBorder="1" applyFont="1"/>
    <xf borderId="4" fillId="11" fontId="30" numFmtId="169" xfId="0" applyAlignment="1" applyBorder="1" applyFont="1" applyNumberFormat="1">
      <alignment readingOrder="0"/>
    </xf>
    <xf borderId="4" fillId="11" fontId="30" numFmtId="169" xfId="0" applyBorder="1" applyFont="1" applyNumberFormat="1"/>
    <xf borderId="4" fillId="11" fontId="30" numFmtId="0" xfId="0" applyAlignment="1" applyBorder="1" applyFont="1">
      <alignment horizontal="center"/>
    </xf>
    <xf borderId="18" fillId="11" fontId="1" numFmtId="0" xfId="0" applyAlignment="1" applyBorder="1" applyFont="1">
      <alignment readingOrder="0"/>
    </xf>
    <xf borderId="18" fillId="11" fontId="1" numFmtId="170" xfId="0" applyAlignment="1" applyBorder="1" applyFont="1" applyNumberFormat="1">
      <alignment readingOrder="0"/>
    </xf>
    <xf borderId="19" fillId="11" fontId="1" numFmtId="0" xfId="0" applyAlignment="1" applyBorder="1" applyFont="1">
      <alignment readingOrder="0"/>
    </xf>
    <xf borderId="4" fillId="11" fontId="4" numFmtId="0" xfId="0" applyAlignment="1" applyBorder="1" applyFont="1">
      <alignment readingOrder="0"/>
    </xf>
    <xf borderId="4" fillId="11" fontId="30" numFmtId="0" xfId="0" applyAlignment="1" applyBorder="1" applyFont="1">
      <alignment horizontal="left" readingOrder="0"/>
    </xf>
    <xf borderId="4" fillId="11" fontId="1" numFmtId="170" xfId="0" applyAlignment="1" applyBorder="1" applyFont="1" applyNumberFormat="1">
      <alignment readingOrder="0"/>
    </xf>
    <xf borderId="4" fillId="0" fontId="1" numFmtId="178" xfId="0" applyAlignment="1" applyBorder="1" applyFont="1" applyNumberFormat="1">
      <alignment readingOrder="0"/>
    </xf>
    <xf borderId="4" fillId="0" fontId="30" numFmtId="0" xfId="0" applyAlignment="1" applyBorder="1" applyFont="1">
      <alignment horizontal="left" readingOrder="0" shrinkToFit="0" wrapText="0"/>
    </xf>
    <xf borderId="4" fillId="0" fontId="30" numFmtId="0" xfId="0" applyAlignment="1" applyBorder="1" applyFont="1">
      <alignment readingOrder="0" shrinkToFit="0" wrapText="0"/>
    </xf>
    <xf borderId="4" fillId="0" fontId="30" numFmtId="0" xfId="0" applyAlignment="1" applyBorder="1" applyFont="1">
      <alignment horizontal="center" readingOrder="0" shrinkToFit="0" wrapText="0"/>
    </xf>
    <xf borderId="4" fillId="0" fontId="69" numFmtId="169" xfId="0" applyAlignment="1" applyBorder="1" applyFont="1" applyNumberFormat="1">
      <alignment horizontal="right" readingOrder="0" shrinkToFit="0" wrapText="0"/>
    </xf>
    <xf borderId="4" fillId="0" fontId="1" numFmtId="169" xfId="0" applyBorder="1" applyFont="1" applyNumberFormat="1"/>
    <xf borderId="4" fillId="0" fontId="1" numFmtId="0" xfId="0" applyAlignment="1" applyBorder="1" applyFont="1">
      <alignment horizontal="center"/>
    </xf>
    <xf borderId="4" fillId="11" fontId="1" numFmtId="169" xfId="0" applyAlignment="1" applyBorder="1" applyFont="1" applyNumberFormat="1">
      <alignment readingOrder="0"/>
    </xf>
    <xf borderId="4" fillId="10" fontId="1" numFmtId="169" xfId="0" applyBorder="1" applyFont="1" applyNumberFormat="1"/>
    <xf borderId="4" fillId="11" fontId="1" numFmtId="169" xfId="0" applyBorder="1" applyFont="1" applyNumberFormat="1"/>
    <xf borderId="4" fillId="11" fontId="1" numFmtId="0" xfId="0" applyAlignment="1" applyBorder="1" applyFont="1">
      <alignment horizontal="center"/>
    </xf>
    <xf borderId="4" fillId="11" fontId="1" numFmtId="170" xfId="0" applyAlignment="1" applyBorder="1" applyFont="1" applyNumberFormat="1">
      <alignment horizontal="center" readingOrder="0"/>
    </xf>
    <xf borderId="4" fillId="0" fontId="1" numFmtId="170" xfId="0" applyAlignment="1" applyBorder="1" applyFont="1" applyNumberFormat="1">
      <alignment horizontal="center" readingOrder="0"/>
    </xf>
    <xf borderId="4" fillId="11" fontId="30" numFmtId="0" xfId="0" applyAlignment="1" applyBorder="1" applyFont="1">
      <alignment readingOrder="0" shrinkToFit="0" wrapText="0"/>
    </xf>
    <xf borderId="4" fillId="11" fontId="30" numFmtId="0" xfId="0" applyAlignment="1" applyBorder="1" applyFont="1">
      <alignment horizontal="center" readingOrder="0" shrinkToFit="0" wrapText="0"/>
    </xf>
    <xf borderId="4" fillId="11" fontId="30" numFmtId="169" xfId="0" applyAlignment="1" applyBorder="1" applyFont="1" applyNumberFormat="1">
      <alignment horizontal="right" readingOrder="0" shrinkToFit="0" wrapText="0"/>
    </xf>
    <xf borderId="0" fillId="11" fontId="4" numFmtId="0" xfId="0" applyAlignment="1" applyFont="1">
      <alignment readingOrder="0"/>
    </xf>
    <xf borderId="4" fillId="11" fontId="4" numFmtId="0" xfId="0" applyBorder="1" applyFont="1"/>
    <xf borderId="0" fillId="11" fontId="4" numFmtId="170" xfId="0" applyAlignment="1" applyFont="1" applyNumberFormat="1">
      <alignment readingOrder="0"/>
    </xf>
    <xf borderId="4" fillId="0" fontId="70" numFmtId="169" xfId="0" applyAlignment="1" applyBorder="1" applyFont="1" applyNumberFormat="1">
      <alignment readingOrder="0"/>
    </xf>
    <xf borderId="4" fillId="0" fontId="70" numFmtId="169" xfId="0" applyBorder="1" applyFont="1" applyNumberFormat="1"/>
    <xf borderId="0" fillId="11" fontId="4" numFmtId="0" xfId="0" applyFont="1"/>
    <xf borderId="4" fillId="11" fontId="3" numFmtId="0" xfId="0" applyAlignment="1" applyBorder="1" applyFont="1">
      <alignment horizontal="left" readingOrder="0"/>
    </xf>
    <xf borderId="4" fillId="11" fontId="1" numFmtId="178" xfId="0" applyBorder="1" applyFont="1" applyNumberFormat="1"/>
    <xf borderId="4" fillId="11" fontId="1" numFmtId="0" xfId="0" applyAlignment="1" applyBorder="1" applyFont="1">
      <alignment horizontal="left"/>
    </xf>
    <xf borderId="4" fillId="11" fontId="0" numFmtId="0" xfId="0" applyAlignment="1" applyBorder="1" applyFont="1">
      <alignment readingOrder="0"/>
    </xf>
    <xf borderId="19" fillId="11" fontId="1" numFmtId="0" xfId="0" applyBorder="1" applyFont="1"/>
    <xf quotePrefix="1" borderId="4" fillId="11" fontId="1" numFmtId="0" xfId="0" applyAlignment="1" applyBorder="1" applyFont="1">
      <alignment horizontal="left" readingOrder="0"/>
    </xf>
    <xf borderId="0" fillId="11" fontId="4" numFmtId="166" xfId="0" applyAlignment="1" applyFont="1" applyNumberFormat="1">
      <alignment readingOrder="0"/>
    </xf>
    <xf borderId="4" fillId="11" fontId="71" numFmtId="169" xfId="0" applyAlignment="1" applyBorder="1" applyFont="1" applyNumberFormat="1">
      <alignment readingOrder="0"/>
    </xf>
    <xf borderId="4" fillId="11" fontId="71" numFmtId="169" xfId="0" applyBorder="1" applyFont="1" applyNumberFormat="1"/>
    <xf borderId="4" fillId="11" fontId="1" numFmtId="164" xfId="0" applyAlignment="1" applyBorder="1" applyFont="1" applyNumberFormat="1">
      <alignment horizontal="center" readingOrder="0"/>
    </xf>
    <xf borderId="4" fillId="0" fontId="1" numFmtId="178" xfId="0" applyBorder="1" applyFont="1" applyNumberFormat="1"/>
    <xf borderId="4" fillId="0" fontId="1" numFmtId="0" xfId="0" applyAlignment="1" applyBorder="1" applyFont="1">
      <alignment horizontal="left"/>
    </xf>
    <xf borderId="4" fillId="11" fontId="72" numFmtId="3" xfId="0" applyAlignment="1" applyBorder="1" applyFont="1" applyNumberFormat="1">
      <alignment horizontal="right" readingOrder="0" shrinkToFit="0" wrapText="0"/>
    </xf>
    <xf borderId="4" fillId="11" fontId="1" numFmtId="177" xfId="0" applyAlignment="1" applyBorder="1" applyFont="1" applyNumberFormat="1">
      <alignment horizontal="center" readingOrder="0"/>
    </xf>
    <xf borderId="4" fillId="11" fontId="1" numFmtId="170" xfId="0" applyAlignment="1" applyBorder="1" applyFont="1" applyNumberFormat="1">
      <alignment readingOrder="0" vertical="bottom"/>
    </xf>
    <xf borderId="0" fillId="11" fontId="4" numFmtId="177" xfId="0" applyAlignment="1" applyFont="1" applyNumberFormat="1">
      <alignment readingOrder="0"/>
    </xf>
    <xf borderId="4" fillId="11" fontId="1" numFmtId="164" xfId="0" applyAlignment="1" applyBorder="1" applyFont="1" applyNumberFormat="1">
      <alignment horizontal="center" vertical="bottom"/>
    </xf>
    <xf borderId="4" fillId="11" fontId="1" numFmtId="164" xfId="0" applyAlignment="1" applyBorder="1" applyFont="1" applyNumberFormat="1">
      <alignment horizontal="center" readingOrder="0" vertical="bottom"/>
    </xf>
    <xf borderId="4" fillId="11" fontId="4" numFmtId="3" xfId="0" applyAlignment="1" applyBorder="1" applyFont="1" applyNumberFormat="1">
      <alignment readingOrder="0"/>
    </xf>
    <xf borderId="4" fillId="11" fontId="4" numFmtId="0" xfId="0" applyAlignment="1" applyBorder="1" applyFont="1">
      <alignment horizontal="left" readingOrder="0"/>
    </xf>
    <xf borderId="4" fillId="11" fontId="4" numFmtId="164" xfId="0" applyAlignment="1" applyBorder="1" applyFont="1" applyNumberFormat="1">
      <alignment readingOrder="0"/>
    </xf>
    <xf borderId="4" fillId="11" fontId="73" numFmtId="3" xfId="0" applyAlignment="1" applyBorder="1" applyFont="1" applyNumberFormat="1">
      <alignment readingOrder="0"/>
    </xf>
    <xf borderId="0" fillId="11" fontId="1" numFmtId="0" xfId="0" applyAlignment="1" applyFont="1">
      <alignment vertical="bottom"/>
    </xf>
    <xf borderId="0" fillId="11" fontId="1" numFmtId="170" xfId="0" applyAlignment="1" applyFont="1" applyNumberFormat="1">
      <alignment horizontal="right" vertical="bottom"/>
    </xf>
    <xf borderId="4" fillId="11" fontId="4" numFmtId="166" xfId="0" applyAlignment="1" applyBorder="1" applyFont="1" applyNumberFormat="1">
      <alignment readingOrder="0"/>
    </xf>
    <xf borderId="0" fillId="11" fontId="4" numFmtId="0" xfId="0" applyAlignment="1" applyFont="1">
      <alignment horizontal="left" readingOrder="0"/>
    </xf>
    <xf borderId="0" fillId="11" fontId="7" numFmtId="0" xfId="0" applyAlignment="1" applyFont="1">
      <alignment horizontal="left" readingOrder="0"/>
    </xf>
    <xf borderId="4" fillId="6" fontId="1" numFmtId="169" xfId="0" applyBorder="1" applyFont="1" applyNumberFormat="1"/>
    <xf borderId="4" fillId="14" fontId="4" numFmtId="3" xfId="0" applyAlignment="1" applyBorder="1" applyFont="1" applyNumberFormat="1">
      <alignment readingOrder="0"/>
    </xf>
    <xf borderId="4" fillId="14" fontId="1" numFmtId="169" xfId="0" applyBorder="1" applyFont="1" applyNumberFormat="1"/>
    <xf borderId="4" fillId="14" fontId="1" numFmtId="169" xfId="0" applyAlignment="1" applyBorder="1" applyFont="1" applyNumberFormat="1">
      <alignment readingOrder="0"/>
    </xf>
    <xf borderId="4" fillId="14" fontId="4" numFmtId="0" xfId="0" applyBorder="1" applyFont="1"/>
    <xf borderId="4" fillId="14" fontId="4" numFmtId="0" xfId="0" applyAlignment="1" applyBorder="1" applyFont="1">
      <alignment readingOrder="0"/>
    </xf>
    <xf borderId="0" fillId="14" fontId="4" numFmtId="0" xfId="0" applyAlignment="1" applyFont="1">
      <alignment readingOrder="0"/>
    </xf>
    <xf borderId="0" fillId="14" fontId="4" numFmtId="0" xfId="0" applyFont="1"/>
    <xf borderId="0" fillId="11" fontId="4" numFmtId="179" xfId="0" applyAlignment="1" applyFont="1" applyNumberFormat="1">
      <alignment readingOrder="0"/>
    </xf>
    <xf borderId="4" fillId="11" fontId="11" numFmtId="0" xfId="0" applyAlignment="1" applyBorder="1" applyFont="1">
      <alignment vertical="bottom"/>
    </xf>
    <xf borderId="4" fillId="11" fontId="1" numFmtId="0" xfId="0" applyAlignment="1" applyBorder="1" applyFont="1">
      <alignment readingOrder="0" vertical="bottom"/>
    </xf>
    <xf borderId="0" fillId="11" fontId="4" numFmtId="164" xfId="0" applyAlignment="1" applyFont="1" applyNumberFormat="1">
      <alignment readingOrder="0"/>
    </xf>
    <xf borderId="4" fillId="10" fontId="1" numFmtId="178" xfId="0" applyAlignment="1" applyBorder="1" applyFont="1" applyNumberFormat="1">
      <alignment readingOrder="0"/>
    </xf>
    <xf borderId="4" fillId="10" fontId="1" numFmtId="0" xfId="0" applyAlignment="1" applyBorder="1" applyFont="1">
      <alignment horizontal="left" readingOrder="0"/>
    </xf>
    <xf borderId="4" fillId="10" fontId="1" numFmtId="0" xfId="0" applyAlignment="1" applyBorder="1" applyFont="1">
      <alignment readingOrder="0"/>
    </xf>
    <xf borderId="4" fillId="10" fontId="1" numFmtId="0" xfId="0" applyBorder="1" applyFont="1"/>
    <xf borderId="4" fillId="10" fontId="4" numFmtId="3" xfId="0" applyAlignment="1" applyBorder="1" applyFont="1" applyNumberFormat="1">
      <alignment readingOrder="0"/>
    </xf>
    <xf borderId="4" fillId="10" fontId="1" numFmtId="169" xfId="0" applyAlignment="1" applyBorder="1" applyFont="1" applyNumberFormat="1">
      <alignment readingOrder="0"/>
    </xf>
    <xf borderId="4" fillId="10" fontId="4" numFmtId="0" xfId="0" applyBorder="1" applyFont="1"/>
    <xf borderId="4" fillId="10" fontId="4" numFmtId="0" xfId="0" applyAlignment="1" applyBorder="1" applyFont="1">
      <alignment readingOrder="0"/>
    </xf>
    <xf borderId="0" fillId="10" fontId="4" numFmtId="0" xfId="0" applyFont="1"/>
    <xf borderId="4" fillId="11" fontId="4" numFmtId="180" xfId="0" applyAlignment="1" applyBorder="1" applyFont="1" applyNumberFormat="1">
      <alignment readingOrder="0"/>
    </xf>
    <xf borderId="4" fillId="11" fontId="4" numFmtId="167" xfId="0" applyAlignment="1" applyBorder="1" applyFont="1" applyNumberFormat="1">
      <alignment readingOrder="0"/>
    </xf>
    <xf borderId="0" fillId="11" fontId="1" numFmtId="0" xfId="0" applyAlignment="1" applyFont="1">
      <alignment vertical="bottom"/>
    </xf>
    <xf borderId="0" fillId="11" fontId="1" numFmtId="177" xfId="0" applyAlignment="1" applyFont="1" applyNumberFormat="1">
      <alignment horizontal="right" vertical="bottom"/>
    </xf>
    <xf borderId="4" fillId="11" fontId="3" numFmtId="0" xfId="0" applyAlignment="1" applyBorder="1" applyFont="1">
      <alignment readingOrder="0"/>
    </xf>
    <xf borderId="0" fillId="11" fontId="12" numFmtId="0" xfId="0" applyAlignment="1" applyFont="1">
      <alignment horizontal="left" readingOrder="0"/>
    </xf>
    <xf borderId="0" fillId="11" fontId="4" numFmtId="181" xfId="0" applyAlignment="1" applyFont="1" applyNumberFormat="1">
      <alignment readingOrder="0"/>
    </xf>
    <xf borderId="0" fillId="11" fontId="4" numFmtId="181" xfId="0" applyAlignment="1" applyFont="1" applyNumberFormat="1">
      <alignment horizontal="right" readingOrder="0"/>
    </xf>
    <xf borderId="0" fillId="11" fontId="4" numFmtId="0" xfId="0" applyAlignment="1" applyFont="1">
      <alignment horizontal="right" readingOrder="0"/>
    </xf>
    <xf borderId="0" fillId="11" fontId="4" numFmtId="182" xfId="0" applyAlignment="1" applyFont="1" applyNumberFormat="1">
      <alignment readingOrder="0"/>
    </xf>
    <xf borderId="4" fillId="11" fontId="4" numFmtId="183" xfId="0" applyAlignment="1" applyBorder="1" applyFont="1" applyNumberFormat="1">
      <alignment readingOrder="0"/>
    </xf>
    <xf borderId="4" fillId="7" fontId="1" numFmtId="178" xfId="0" applyAlignment="1" applyBorder="1" applyFont="1" applyNumberFormat="1">
      <alignment readingOrder="0"/>
    </xf>
    <xf borderId="4" fillId="7" fontId="1" numFmtId="0" xfId="0" applyAlignment="1" applyBorder="1" applyFont="1">
      <alignment horizontal="left" readingOrder="0"/>
    </xf>
    <xf borderId="4" fillId="7" fontId="1" numFmtId="0" xfId="0" applyAlignment="1" applyBorder="1" applyFont="1">
      <alignment readingOrder="0"/>
    </xf>
    <xf borderId="4" fillId="7" fontId="1" numFmtId="0" xfId="0" applyBorder="1" applyFont="1"/>
    <xf borderId="4" fillId="7" fontId="4" numFmtId="3" xfId="0" applyAlignment="1" applyBorder="1" applyFont="1" applyNumberFormat="1">
      <alignment readingOrder="0"/>
    </xf>
    <xf borderId="4" fillId="7" fontId="1" numFmtId="169" xfId="0" applyBorder="1" applyFont="1" applyNumberFormat="1"/>
    <xf borderId="4" fillId="7" fontId="1" numFmtId="169" xfId="0" applyAlignment="1" applyBorder="1" applyFont="1" applyNumberFormat="1">
      <alignment readingOrder="0"/>
    </xf>
    <xf borderId="4" fillId="7" fontId="4" numFmtId="180" xfId="0" applyAlignment="1" applyBorder="1" applyFont="1" applyNumberFormat="1">
      <alignment readingOrder="0"/>
    </xf>
    <xf borderId="4" fillId="7" fontId="4" numFmtId="0" xfId="0" applyAlignment="1" applyBorder="1" applyFont="1">
      <alignment readingOrder="0"/>
    </xf>
    <xf borderId="0" fillId="7" fontId="4" numFmtId="0" xfId="0" applyAlignment="1" applyFont="1">
      <alignment readingOrder="0"/>
    </xf>
    <xf borderId="0" fillId="7" fontId="4" numFmtId="0" xfId="0" applyFont="1"/>
    <xf borderId="4" fillId="0" fontId="4" numFmtId="3" xfId="0" applyAlignment="1" applyBorder="1" applyFont="1" applyNumberFormat="1">
      <alignment readingOrder="0"/>
    </xf>
    <xf borderId="4" fillId="0" fontId="1" numFmtId="169" xfId="0" applyAlignment="1" applyBorder="1" applyFont="1" applyNumberFormat="1">
      <alignment readingOrder="0"/>
    </xf>
    <xf borderId="4" fillId="11" fontId="1" numFmtId="183" xfId="0" applyAlignment="1" applyBorder="1" applyFont="1" applyNumberFormat="1">
      <alignment readingOrder="0"/>
    </xf>
    <xf borderId="4" fillId="0" fontId="1" numFmtId="183" xfId="0" applyAlignment="1" applyBorder="1" applyFont="1" applyNumberFormat="1">
      <alignment readingOrder="0"/>
    </xf>
    <xf borderId="4" fillId="0" fontId="4" numFmtId="180" xfId="0" applyAlignment="1" applyBorder="1" applyFont="1" applyNumberFormat="1">
      <alignment readingOrder="0"/>
    </xf>
    <xf borderId="4" fillId="11" fontId="12" numFmtId="0" xfId="0" applyAlignment="1" applyBorder="1" applyFont="1">
      <alignment horizontal="left" readingOrder="0"/>
    </xf>
    <xf borderId="11" fillId="11" fontId="1" numFmtId="0" xfId="0" applyAlignment="1" applyBorder="1" applyFont="1">
      <alignment vertical="bottom"/>
    </xf>
    <xf borderId="11" fillId="11" fontId="1" numFmtId="0" xfId="0" applyAlignment="1" applyBorder="1" applyFont="1">
      <alignment horizontal="right" vertical="bottom"/>
    </xf>
    <xf borderId="0" fillId="11" fontId="1" numFmtId="3" xfId="0" applyAlignment="1" applyFont="1" applyNumberFormat="1">
      <alignment readingOrder="0" vertical="bottom"/>
    </xf>
    <xf borderId="0" fillId="11" fontId="1" numFmtId="169" xfId="0" applyAlignment="1" applyFont="1" applyNumberFormat="1">
      <alignment vertical="bottom"/>
    </xf>
    <xf borderId="0" fillId="11" fontId="1" numFmtId="167" xfId="0" applyAlignment="1" applyFont="1" applyNumberFormat="1">
      <alignment vertical="bottom"/>
    </xf>
    <xf borderId="11" fillId="11" fontId="1" numFmtId="0" xfId="0" applyAlignment="1" applyBorder="1" applyFont="1">
      <alignment readingOrder="0" vertical="bottom"/>
    </xf>
    <xf borderId="0" fillId="11" fontId="1" numFmtId="0" xfId="0" applyAlignment="1" applyFont="1">
      <alignment readingOrder="0" vertical="bottom"/>
    </xf>
    <xf borderId="0" fillId="11" fontId="1" numFmtId="177" xfId="0" applyAlignment="1" applyFont="1" applyNumberFormat="1">
      <alignment readingOrder="0" vertical="bottom"/>
    </xf>
    <xf quotePrefix="1" borderId="4" fillId="0" fontId="1" numFmtId="0" xfId="0" applyAlignment="1" applyBorder="1" applyFont="1">
      <alignment horizontal="left" readingOrder="0"/>
    </xf>
    <xf borderId="0" fillId="0" fontId="4" numFmtId="180" xfId="0" applyAlignment="1" applyFont="1" applyNumberFormat="1">
      <alignment readingOrder="0"/>
    </xf>
    <xf borderId="0" fillId="14" fontId="55" numFmtId="165" xfId="0" applyAlignment="1" applyFont="1" applyNumberFormat="1">
      <alignment horizontal="center" shrinkToFit="0" wrapText="1"/>
    </xf>
    <xf borderId="4" fillId="9" fontId="14" numFmtId="0" xfId="0" applyAlignment="1" applyBorder="1" applyFont="1">
      <alignment readingOrder="0"/>
    </xf>
    <xf borderId="4" fillId="9" fontId="14" numFmtId="0" xfId="0" applyAlignment="1" applyBorder="1" applyFont="1">
      <alignment horizontal="center" readingOrder="0"/>
    </xf>
    <xf borderId="4" fillId="9" fontId="14" numFmtId="170" xfId="0" applyAlignment="1" applyBorder="1" applyFont="1" applyNumberFormat="1">
      <alignment horizontal="center" readingOrder="0"/>
    </xf>
    <xf borderId="4" fillId="0" fontId="14" numFmtId="170" xfId="0" applyAlignment="1" applyBorder="1" applyFont="1" applyNumberFormat="1">
      <alignment horizontal="center" readingOrder="0"/>
    </xf>
    <xf borderId="4" fillId="9" fontId="4" numFmtId="0" xfId="0" applyAlignment="1" applyBorder="1" applyFont="1">
      <alignment horizontal="center" readingOrder="0"/>
    </xf>
    <xf borderId="4" fillId="0" fontId="14" numFmtId="0" xfId="0" applyAlignment="1" applyBorder="1" applyFont="1">
      <alignment horizontal="center" readingOrder="0"/>
    </xf>
    <xf borderId="0" fillId="0" fontId="74" numFmtId="0" xfId="0" applyAlignment="1" applyFont="1">
      <alignment horizontal="center" readingOrder="0"/>
    </xf>
    <xf borderId="0" fillId="0" fontId="38" numFmtId="0" xfId="0" applyAlignment="1" applyFont="1">
      <alignment readingOrder="0" vertical="center"/>
    </xf>
    <xf borderId="13" fillId="0" fontId="38" numFmtId="0" xfId="0" applyAlignment="1" applyBorder="1" applyFont="1">
      <alignment vertical="center"/>
    </xf>
    <xf borderId="0" fillId="0" fontId="75" numFmtId="0" xfId="0" applyAlignment="1" applyFont="1">
      <alignment readingOrder="0" vertical="center"/>
    </xf>
    <xf borderId="0" fillId="0" fontId="38" numFmtId="0" xfId="0" applyAlignment="1" applyFont="1">
      <alignment readingOrder="0" vertical="center"/>
    </xf>
    <xf borderId="13" fillId="0" fontId="38" numFmtId="0" xfId="0" applyAlignment="1" applyBorder="1" applyFont="1">
      <alignment readingOrder="0" shrinkToFit="0" vertical="center" wrapText="1"/>
    </xf>
    <xf borderId="0" fillId="0" fontId="38" numFmtId="0" xfId="0" applyAlignment="1" applyFont="1">
      <alignment readingOrder="0" shrinkToFit="0" vertical="center" wrapText="1"/>
    </xf>
    <xf borderId="0" fillId="0" fontId="38" numFmtId="0" xfId="0" applyAlignment="1" applyFont="1">
      <alignment vertical="center"/>
    </xf>
    <xf borderId="0" fillId="0" fontId="76" numFmtId="0" xfId="0" applyAlignment="1" applyFont="1">
      <alignment horizontal="left" readingOrder="0" vertical="center"/>
    </xf>
    <xf borderId="13" fillId="0" fontId="77" numFmtId="0" xfId="0" applyAlignment="1" applyBorder="1" applyFont="1">
      <alignment readingOrder="0" vertical="center"/>
    </xf>
    <xf borderId="13" fillId="0" fontId="38" numFmtId="0" xfId="0" applyAlignment="1" applyBorder="1" applyFont="1">
      <alignment horizontal="left" readingOrder="0" vertical="center"/>
    </xf>
    <xf borderId="0" fillId="0" fontId="38" numFmtId="0" xfId="0" applyAlignment="1" applyFont="1">
      <alignment horizontal="left" readingOrder="0" vertical="center"/>
    </xf>
    <xf borderId="0" fillId="0" fontId="78" numFmtId="0" xfId="0" applyAlignment="1" applyFont="1">
      <alignment readingOrder="0" vertical="center"/>
    </xf>
    <xf borderId="13" fillId="0" fontId="38" numFmtId="0" xfId="0" applyAlignment="1" applyBorder="1" applyFont="1">
      <alignment readingOrder="0" vertical="center"/>
    </xf>
    <xf borderId="0" fillId="0" fontId="38" numFmtId="0" xfId="0" applyAlignment="1" applyFont="1">
      <alignment horizontal="center" readingOrder="0" vertical="center"/>
    </xf>
    <xf borderId="1" fillId="0" fontId="38" numFmtId="0" xfId="0" applyAlignment="1" applyBorder="1" applyFont="1">
      <alignment horizontal="left" readingOrder="0" vertical="center"/>
    </xf>
    <xf borderId="2" fillId="0" fontId="38" numFmtId="0" xfId="0" applyAlignment="1" applyBorder="1" applyFont="1">
      <alignment horizontal="center" readingOrder="0" vertical="center"/>
    </xf>
    <xf borderId="1" fillId="0" fontId="38" numFmtId="0" xfId="0" applyAlignment="1" applyBorder="1" applyFont="1">
      <alignment horizontal="center" readingOrder="0" vertical="center"/>
    </xf>
    <xf borderId="4" fillId="0" fontId="38" numFmtId="0" xfId="0" applyAlignment="1" applyBorder="1" applyFont="1">
      <alignment readingOrder="0" vertical="center"/>
    </xf>
    <xf borderId="1" fillId="33" fontId="79" numFmtId="0" xfId="0" applyAlignment="1" applyBorder="1" applyFont="1">
      <alignment readingOrder="0" vertical="center"/>
    </xf>
    <xf borderId="10" fillId="0" fontId="38" numFmtId="0" xfId="0" applyAlignment="1" applyBorder="1" applyFont="1">
      <alignment horizontal="center" readingOrder="0" vertical="center"/>
    </xf>
    <xf borderId="4" fillId="0" fontId="38" numFmtId="0" xfId="0" applyAlignment="1" applyBorder="1" applyFont="1">
      <alignment horizontal="center" readingOrder="0" vertical="center"/>
    </xf>
    <xf borderId="4" fillId="33" fontId="79" numFmtId="0" xfId="0" applyAlignment="1" applyBorder="1" applyFont="1">
      <alignment readingOrder="0" vertical="center"/>
    </xf>
    <xf borderId="1" fillId="0" fontId="38" numFmtId="0" xfId="0" applyAlignment="1" applyBorder="1" applyFont="1">
      <alignment readingOrder="0" vertical="center"/>
    </xf>
    <xf borderId="4" fillId="0" fontId="38" numFmtId="0" xfId="0" applyAlignment="1" applyBorder="1" applyFont="1">
      <alignment vertical="center"/>
    </xf>
    <xf borderId="8" fillId="0" fontId="38" numFmtId="0" xfId="0" applyAlignment="1" applyBorder="1" applyFont="1">
      <alignment vertical="center"/>
    </xf>
    <xf borderId="17" fillId="0" fontId="2" numFmtId="0" xfId="0" applyBorder="1" applyFont="1"/>
    <xf borderId="4" fillId="35" fontId="38" numFmtId="0" xfId="0" applyAlignment="1" applyBorder="1" applyFont="1">
      <alignment readingOrder="0" vertical="center"/>
    </xf>
    <xf borderId="3" fillId="35" fontId="38" numFmtId="0" xfId="0" applyAlignment="1" applyBorder="1" applyFont="1">
      <alignment readingOrder="0" vertical="center"/>
    </xf>
    <xf borderId="15" fillId="0" fontId="38" numFmtId="0" xfId="0" applyAlignment="1" applyBorder="1" applyFont="1">
      <alignment horizontal="left" readingOrder="0" vertical="top"/>
    </xf>
    <xf borderId="15" fillId="0" fontId="38" numFmtId="0" xfId="0" applyAlignment="1" applyBorder="1" applyFont="1">
      <alignment horizontal="center" readingOrder="0" vertical="top"/>
    </xf>
    <xf borderId="8" fillId="0" fontId="38" numFmtId="0" xfId="0" applyAlignment="1" applyBorder="1" applyFont="1">
      <alignment horizontal="center" readingOrder="0" vertical="top"/>
    </xf>
    <xf borderId="2" fillId="0" fontId="38" numFmtId="0" xfId="0" applyAlignment="1" applyBorder="1" applyFont="1">
      <alignment vertical="center"/>
    </xf>
    <xf borderId="17" fillId="0" fontId="38" numFmtId="0" xfId="0" applyAlignment="1" applyBorder="1" applyFont="1">
      <alignment vertical="center"/>
    </xf>
    <xf borderId="11" fillId="0" fontId="2" numFmtId="0" xfId="0" applyBorder="1" applyFont="1"/>
    <xf borderId="1" fillId="35" fontId="38" numFmtId="0" xfId="0" applyAlignment="1" applyBorder="1" applyFont="1">
      <alignment readingOrder="0" vertical="center"/>
    </xf>
    <xf borderId="0" fillId="0" fontId="38" numFmtId="0" xfId="0" applyFont="1"/>
    <xf borderId="0" fillId="0" fontId="42" numFmtId="1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14" fillId="0" fontId="3" numFmtId="1" xfId="0" applyAlignment="1" applyBorder="1" applyFont="1" applyNumberFormat="1">
      <alignment readingOrder="0"/>
    </xf>
    <xf borderId="14" fillId="0" fontId="42" numFmtId="0" xfId="0" applyBorder="1" applyFont="1"/>
    <xf borderId="14" fillId="0" fontId="1" numFmtId="0" xfId="0" applyAlignment="1" applyBorder="1" applyFont="1">
      <alignment horizontal="left" readingOrder="0" shrinkToFit="0" vertical="center" wrapText="1"/>
    </xf>
    <xf borderId="0" fillId="9" fontId="80" numFmtId="1" xfId="0" applyAlignment="1" applyFont="1" applyNumberFormat="1">
      <alignment horizontal="right" readingOrder="0"/>
    </xf>
    <xf borderId="0" fillId="9" fontId="81" numFmtId="1" xfId="0" applyAlignment="1" applyFont="1" applyNumberFormat="1">
      <alignment horizontal="right" readingOrder="0" shrinkToFit="0" wrapText="0"/>
    </xf>
    <xf borderId="0" fillId="0" fontId="3" numFmtId="167" xfId="0" applyAlignment="1" applyFont="1" applyNumberFormat="1">
      <alignment readingOrder="0" shrinkToFit="0" vertical="center" wrapText="1"/>
    </xf>
    <xf borderId="0" fillId="0" fontId="1" numFmtId="167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1" xfId="0" applyAlignment="1" applyFont="1" applyNumberFormat="1">
      <alignment horizontal="left" readingOrder="0"/>
    </xf>
    <xf borderId="0" fillId="0" fontId="3" numFmtId="1" xfId="0" applyAlignment="1" applyFont="1" applyNumberFormat="1">
      <alignment horizontal="left" readingOrder="0"/>
    </xf>
    <xf borderId="0" fillId="0" fontId="1" numFmtId="1" xfId="0" applyAlignment="1" applyFont="1" applyNumberFormat="1">
      <alignment readingOrder="0" shrinkToFit="0" wrapText="0"/>
    </xf>
    <xf borderId="0" fillId="0" fontId="12" numFmtId="1" xfId="0" applyAlignment="1" applyFont="1" applyNumberFormat="1">
      <alignment readingOrder="0"/>
    </xf>
    <xf borderId="0" fillId="0" fontId="15" numFmtId="0" xfId="0" applyAlignment="1" applyFont="1">
      <alignment shrinkToFit="0" vertical="center" wrapText="1"/>
    </xf>
    <xf borderId="0" fillId="0" fontId="3" numFmtId="0" xfId="0" applyAlignment="1" applyFont="1">
      <alignment horizontal="left" vertical="top"/>
    </xf>
    <xf borderId="0" fillId="0" fontId="3" numFmtId="174" xfId="0" applyAlignment="1" applyFont="1" applyNumberFormat="1">
      <alignment vertical="center"/>
    </xf>
    <xf borderId="0" fillId="0" fontId="15" numFmtId="169" xfId="0" applyAlignment="1" applyFont="1" applyNumberFormat="1">
      <alignment horizontal="center" shrinkToFit="0" vertical="center" wrapText="1"/>
    </xf>
    <xf borderId="0" fillId="0" fontId="25" numFmtId="0" xfId="0" applyAlignment="1" applyFont="1">
      <alignment horizontal="left" vertical="top"/>
    </xf>
    <xf borderId="0" fillId="0" fontId="3" numFmtId="169" xfId="0" applyAlignment="1" applyFont="1" applyNumberFormat="1">
      <alignment horizontal="left" vertical="top"/>
    </xf>
    <xf borderId="0" fillId="0" fontId="82" numFmtId="0" xfId="0" applyAlignment="1" applyFont="1">
      <alignment horizontal="center" readingOrder="0" shrinkToFit="0" wrapText="1"/>
    </xf>
    <xf borderId="0" fillId="0" fontId="83" numFmtId="0" xfId="0" applyAlignment="1" applyFont="1">
      <alignment horizontal="center" readingOrder="0" shrinkToFit="0" wrapText="1"/>
    </xf>
    <xf borderId="0" fillId="0" fontId="84" numFmtId="0" xfId="0" applyAlignment="1" applyFont="1">
      <alignment horizontal="center" readingOrder="0" shrinkToFit="0" wrapText="1"/>
    </xf>
    <xf borderId="0" fillId="0" fontId="85" numFmtId="0" xfId="0" applyAlignment="1" applyFont="1">
      <alignment horizontal="center" readingOrder="0" shrinkToFit="0" wrapText="1"/>
    </xf>
    <xf borderId="4" fillId="30" fontId="86" numFmtId="0" xfId="0" applyAlignment="1" applyBorder="1" applyFont="1">
      <alignment horizontal="center" vertical="bottom"/>
    </xf>
    <xf borderId="4" fillId="30" fontId="87" numFmtId="0" xfId="0" applyAlignment="1" applyBorder="1" applyFont="1">
      <alignment vertical="bottom"/>
    </xf>
    <xf borderId="0" fillId="0" fontId="10" numFmtId="3" xfId="0" applyAlignment="1" applyFont="1" applyNumberFormat="1">
      <alignment horizontal="right" vertical="bottom"/>
    </xf>
    <xf borderId="0" fillId="21" fontId="10" numFmtId="3" xfId="0" applyAlignment="1" applyFont="1" applyNumberFormat="1">
      <alignment horizontal="right" vertical="bottom"/>
    </xf>
    <xf borderId="4" fillId="11" fontId="1" numFmtId="0" xfId="0" applyAlignment="1" applyBorder="1" applyFont="1">
      <alignment vertical="bottom"/>
    </xf>
    <xf borderId="4" fillId="11" fontId="1" numFmtId="0" xfId="0" applyAlignment="1" applyBorder="1" applyFont="1">
      <alignment horizontal="center" vertical="bottom"/>
    </xf>
    <xf borderId="4" fillId="35" fontId="10" numFmtId="0" xfId="0" applyAlignment="1" applyBorder="1" applyFont="1">
      <alignment horizontal="right" vertical="bottom"/>
    </xf>
    <xf borderId="4" fillId="0" fontId="10" numFmtId="0" xfId="0" applyAlignment="1" applyBorder="1" applyFont="1">
      <alignment vertical="bottom"/>
    </xf>
    <xf borderId="0" fillId="0" fontId="10" numFmtId="169" xfId="0" applyAlignment="1" applyFont="1" applyNumberFormat="1">
      <alignment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4" fillId="0" fontId="87" numFmtId="0" xfId="0" applyAlignment="1" applyBorder="1" applyFont="1">
      <alignment horizontal="right" vertical="bottom"/>
    </xf>
    <xf borderId="4" fillId="0" fontId="87" numFmtId="0" xfId="0" applyAlignment="1" applyBorder="1" applyFont="1">
      <alignment vertical="bottom"/>
    </xf>
    <xf borderId="0" fillId="0" fontId="10" numFmtId="169" xfId="0" applyAlignment="1" applyFont="1" applyNumberFormat="1">
      <alignment horizontal="right" vertical="bottom"/>
    </xf>
    <xf borderId="0" fillId="0" fontId="1" numFmtId="169" xfId="0" applyAlignment="1" applyFont="1" applyNumberFormat="1">
      <alignment horizontal="right" vertical="bottom"/>
    </xf>
    <xf borderId="4" fillId="0" fontId="1" numFmtId="0" xfId="0" applyAlignment="1" applyBorder="1" applyFont="1">
      <alignment readingOrder="0" vertical="bottom"/>
    </xf>
    <xf borderId="4" fillId="11" fontId="11" numFmtId="0" xfId="0" applyAlignment="1" applyBorder="1" applyFont="1">
      <alignment shrinkToFit="0" vertical="bottom" wrapText="1"/>
    </xf>
    <xf borderId="4" fillId="30" fontId="86" numFmtId="0" xfId="0" applyAlignment="1" applyBorder="1" applyFont="1">
      <alignment horizontal="center" readingOrder="0" vertical="bottom"/>
    </xf>
    <xf borderId="0" fillId="0" fontId="10" numFmtId="0" xfId="0" applyAlignment="1" applyFont="1">
      <alignment readingOrder="0" vertical="bottom"/>
    </xf>
    <xf borderId="0" fillId="0" fontId="10" numFmtId="3" xfId="0" applyAlignment="1" applyFont="1" applyNumberFormat="1">
      <alignment horizontal="right" readingOrder="0" vertical="bottom"/>
    </xf>
    <xf borderId="0" fillId="21" fontId="10" numFmtId="184" xfId="0" applyAlignment="1" applyFont="1" applyNumberFormat="1">
      <alignment horizontal="right" readingOrder="0" vertical="bottom"/>
    </xf>
    <xf borderId="0" fillId="0" fontId="10" numFmtId="184" xfId="0" applyAlignment="1" applyFont="1" applyNumberFormat="1">
      <alignment vertical="bottom"/>
    </xf>
    <xf borderId="4" fillId="0" fontId="87" numFmtId="0" xfId="0" applyAlignment="1" applyBorder="1" applyFont="1">
      <alignment readingOrder="0" vertical="bottom"/>
    </xf>
    <xf borderId="4" fillId="0" fontId="87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readingOrder="0"/>
    </xf>
    <xf borderId="0" fillId="0" fontId="4" numFmtId="184" xfId="0" applyFont="1" applyNumberFormat="1"/>
    <xf borderId="20" fillId="39" fontId="42" numFmtId="0" xfId="0" applyAlignment="1" applyBorder="1" applyFill="1" applyFont="1">
      <alignment horizontal="right" readingOrder="0"/>
    </xf>
    <xf borderId="21" fillId="0" fontId="2" numFmtId="0" xfId="0" applyBorder="1" applyFont="1"/>
    <xf borderId="20" fillId="39" fontId="42" numFmtId="0" xfId="0" applyAlignment="1" applyBorder="1" applyFont="1">
      <alignment horizontal="center"/>
    </xf>
    <xf borderId="20" fillId="39" fontId="42" numFmtId="0" xfId="0" applyAlignment="1" applyBorder="1" applyFont="1">
      <alignment horizontal="center" readingOrder="0"/>
    </xf>
    <xf borderId="20" fillId="39" fontId="42" numFmtId="185" xfId="0" applyAlignment="1" applyBorder="1" applyFont="1" applyNumberFormat="1">
      <alignment horizontal="center"/>
    </xf>
    <xf borderId="22" fillId="39" fontId="42" numFmtId="185" xfId="0" applyAlignment="1" applyBorder="1" applyFont="1" applyNumberFormat="1">
      <alignment horizontal="center"/>
    </xf>
    <xf borderId="21" fillId="39" fontId="42" numFmtId="0" xfId="0" applyAlignment="1" applyBorder="1" applyFont="1">
      <alignment horizontal="right" readingOrder="0"/>
    </xf>
    <xf borderId="0" fillId="0" fontId="11" numFmtId="184" xfId="0" applyAlignment="1" applyFont="1" applyNumberFormat="1">
      <alignment horizontal="left"/>
    </xf>
    <xf borderId="0" fillId="0" fontId="11" numFmtId="0" xfId="0" applyFont="1"/>
    <xf borderId="0" fillId="0" fontId="11" numFmtId="0" xfId="0" applyAlignment="1" applyFont="1">
      <alignment horizontal="center"/>
    </xf>
    <xf borderId="0" fillId="0" fontId="11" numFmtId="3" xfId="0" applyFont="1" applyNumberFormat="1"/>
    <xf borderId="1" fillId="40" fontId="42" numFmtId="0" xfId="0" applyAlignment="1" applyBorder="1" applyFill="1" applyFont="1">
      <alignment horizontal="right" readingOrder="0"/>
    </xf>
    <xf borderId="1" fillId="40" fontId="42" numFmtId="0" xfId="0" applyAlignment="1" applyBorder="1" applyFont="1">
      <alignment horizontal="center"/>
    </xf>
    <xf borderId="1" fillId="40" fontId="42" numFmtId="0" xfId="0" applyAlignment="1" applyBorder="1" applyFont="1">
      <alignment horizontal="center" readingOrder="0"/>
    </xf>
    <xf borderId="1" fillId="40" fontId="42" numFmtId="185" xfId="0" applyAlignment="1" applyBorder="1" applyFont="1" applyNumberFormat="1">
      <alignment horizontal="center"/>
    </xf>
    <xf borderId="4" fillId="40" fontId="42" numFmtId="185" xfId="0" applyAlignment="1" applyBorder="1" applyFont="1" applyNumberFormat="1">
      <alignment horizontal="center"/>
    </xf>
    <xf borderId="2" fillId="40" fontId="42" numFmtId="0" xfId="0" applyAlignment="1" applyBorder="1" applyFont="1">
      <alignment horizontal="right" readingOrder="0"/>
    </xf>
    <xf borderId="2" fillId="40" fontId="42" numFmtId="3" xfId="0" applyAlignment="1" applyBorder="1" applyFont="1" applyNumberFormat="1">
      <alignment horizontal="right" readingOrder="0"/>
    </xf>
    <xf borderId="0" fillId="0" fontId="14" numFmtId="185" xfId="0" applyFont="1" applyNumberFormat="1"/>
    <xf quotePrefix="1" borderId="0" fillId="0" fontId="14" numFmtId="0" xfId="0" applyAlignment="1" applyFont="1">
      <alignment horizontal="center" readingOrder="0"/>
    </xf>
    <xf borderId="0" fillId="0" fontId="88" numFmtId="3" xfId="0" applyFont="1" applyNumberFormat="1"/>
    <xf borderId="0" fillId="0" fontId="88" numFmtId="184" xfId="0" applyAlignment="1" applyFont="1" applyNumberFormat="1">
      <alignment horizontal="left"/>
    </xf>
    <xf borderId="0" fillId="41" fontId="88" numFmtId="185" xfId="0" applyFill="1" applyFont="1" applyNumberFormat="1"/>
    <xf borderId="1" fillId="19" fontId="42" numFmtId="0" xfId="0" applyAlignment="1" applyBorder="1" applyFont="1">
      <alignment horizontal="right" readingOrder="0"/>
    </xf>
    <xf borderId="1" fillId="19" fontId="42" numFmtId="0" xfId="0" applyAlignment="1" applyBorder="1" applyFont="1">
      <alignment horizontal="center"/>
    </xf>
    <xf borderId="1" fillId="19" fontId="42" numFmtId="0" xfId="0" applyAlignment="1" applyBorder="1" applyFont="1">
      <alignment horizontal="center" readingOrder="0"/>
    </xf>
    <xf borderId="1" fillId="19" fontId="42" numFmtId="185" xfId="0" applyAlignment="1" applyBorder="1" applyFont="1" applyNumberFormat="1">
      <alignment horizontal="center"/>
    </xf>
    <xf borderId="4" fillId="19" fontId="42" numFmtId="185" xfId="0" applyAlignment="1" applyBorder="1" applyFont="1" applyNumberFormat="1">
      <alignment horizontal="center"/>
    </xf>
    <xf borderId="2" fillId="19" fontId="42" numFmtId="0" xfId="0" applyAlignment="1" applyBorder="1" applyFont="1">
      <alignment horizontal="right" readingOrder="0"/>
    </xf>
    <xf borderId="0" fillId="0" fontId="14" numFmtId="0" xfId="0" applyFont="1"/>
    <xf borderId="0" fillId="41" fontId="88" numFmtId="0" xfId="0" applyAlignment="1" applyFont="1">
      <alignment readingOrder="0"/>
    </xf>
    <xf borderId="15" fillId="27" fontId="42" numFmtId="0" xfId="0" applyAlignment="1" applyBorder="1" applyFont="1">
      <alignment horizontal="right" readingOrder="0"/>
    </xf>
    <xf borderId="15" fillId="27" fontId="42" numFmtId="0" xfId="0" applyAlignment="1" applyBorder="1" applyFont="1">
      <alignment horizontal="center"/>
    </xf>
    <xf borderId="15" fillId="27" fontId="42" numFmtId="0" xfId="0" applyAlignment="1" applyBorder="1" applyFont="1">
      <alignment horizontal="center" readingOrder="0"/>
    </xf>
    <xf borderId="15" fillId="27" fontId="42" numFmtId="185" xfId="0" applyAlignment="1" applyBorder="1" applyFont="1" applyNumberFormat="1">
      <alignment horizontal="center" readingOrder="0"/>
    </xf>
    <xf borderId="8" fillId="27" fontId="42" numFmtId="185" xfId="0" applyAlignment="1" applyBorder="1" applyFont="1" applyNumberFormat="1">
      <alignment horizontal="center" readingOrder="0"/>
    </xf>
    <xf borderId="14" fillId="27" fontId="42" numFmtId="0" xfId="0" applyAlignment="1" applyBorder="1" applyFont="1">
      <alignment horizontal="right" readingOrder="0"/>
    </xf>
    <xf borderId="0" fillId="0" fontId="88" numFmtId="0" xfId="0" applyFont="1"/>
    <xf borderId="4" fillId="30" fontId="16" numFmtId="0" xfId="0" applyAlignment="1" applyBorder="1" applyFont="1">
      <alignment horizontal="center" vertical="bottom"/>
    </xf>
    <xf borderId="4" fillId="30" fontId="16" numFmtId="0" xfId="0" applyAlignment="1" applyBorder="1" applyFont="1">
      <alignment horizontal="center" readingOrder="0" vertical="bottom"/>
    </xf>
    <xf borderId="4" fillId="23" fontId="16" numFmtId="0" xfId="0" applyAlignment="1" applyBorder="1" applyFont="1">
      <alignment horizontal="center" readingOrder="0" vertical="bottom"/>
    </xf>
    <xf borderId="4" fillId="23" fontId="16" numFmtId="0" xfId="0" applyAlignment="1" applyBorder="1" applyFont="1">
      <alignment horizontal="center" vertical="bottom"/>
    </xf>
    <xf borderId="4" fillId="23" fontId="16" numFmtId="0" xfId="0" applyAlignment="1" applyBorder="1" applyFont="1">
      <alignment horizontal="center" vertical="bottom"/>
    </xf>
    <xf borderId="4" fillId="25" fontId="16" numFmtId="0" xfId="0" applyAlignment="1" applyBorder="1" applyFont="1">
      <alignment readingOrder="0" vertical="bottom"/>
    </xf>
    <xf borderId="4" fillId="23" fontId="16" numFmtId="0" xfId="0" applyAlignment="1" applyBorder="1" applyFont="1">
      <alignment readingOrder="0" vertical="bottom"/>
    </xf>
    <xf borderId="4" fillId="37" fontId="16" numFmtId="185" xfId="0" applyAlignment="1" applyBorder="1" applyFont="1" applyNumberFormat="1">
      <alignment horizontal="center" readingOrder="0" vertical="bottom"/>
    </xf>
    <xf borderId="4" fillId="20" fontId="16" numFmtId="185" xfId="0" applyAlignment="1" applyBorder="1" applyFont="1" applyNumberFormat="1">
      <alignment horizontal="center" readingOrder="0" vertical="bottom"/>
    </xf>
    <xf borderId="4" fillId="0" fontId="16" numFmtId="0" xfId="0" applyAlignment="1" applyBorder="1" applyFont="1">
      <alignment horizontal="center" readingOrder="0" vertical="bottom"/>
    </xf>
    <xf borderId="4" fillId="39" fontId="16" numFmtId="0" xfId="0" applyAlignment="1" applyBorder="1" applyFont="1">
      <alignment horizontal="center" readingOrder="0" vertical="bottom"/>
    </xf>
    <xf borderId="4" fillId="40" fontId="16" numFmtId="3" xfId="0" applyAlignment="1" applyBorder="1" applyFont="1" applyNumberFormat="1">
      <alignment horizontal="center" readingOrder="0" vertical="bottom"/>
    </xf>
    <xf borderId="4" fillId="19" fontId="88" numFmtId="3" xfId="0" applyAlignment="1" applyBorder="1" applyFont="1" applyNumberFormat="1">
      <alignment horizontal="center" readingOrder="0" vertical="bottom"/>
    </xf>
    <xf borderId="4" fillId="27" fontId="88" numFmtId="3" xfId="0" applyAlignment="1" applyBorder="1" applyFont="1" applyNumberFormat="1">
      <alignment horizontal="right" readingOrder="0" vertical="bottom"/>
    </xf>
    <xf borderId="4" fillId="23" fontId="88" numFmtId="184" xfId="0" applyAlignment="1" applyBorder="1" applyFont="1" applyNumberFormat="1">
      <alignment horizontal="center" readingOrder="0" vertical="bottom"/>
    </xf>
    <xf borderId="4" fillId="42" fontId="88" numFmtId="3" xfId="0" applyAlignment="1" applyBorder="1" applyFill="1" applyFont="1" applyNumberFormat="1">
      <alignment horizontal="right" readingOrder="0" vertical="bottom"/>
    </xf>
    <xf borderId="4" fillId="8" fontId="88" numFmtId="0" xfId="0" applyAlignment="1" applyBorder="1" applyFont="1">
      <alignment horizontal="center" readingOrder="0"/>
    </xf>
    <xf borderId="4" fillId="8" fontId="88" numFmtId="3" xfId="0" applyAlignment="1" applyBorder="1" applyFont="1" applyNumberFormat="1">
      <alignment readingOrder="0"/>
    </xf>
    <xf borderId="0" fillId="0" fontId="88" numFmtId="0" xfId="0" applyAlignment="1" applyFont="1">
      <alignment readingOrder="0"/>
    </xf>
    <xf borderId="4" fillId="35" fontId="1" numFmtId="0" xfId="0" applyAlignment="1" applyBorder="1" applyFont="1">
      <alignment horizontal="right" vertical="bottom"/>
    </xf>
    <xf borderId="4" fillId="35" fontId="1" numFmtId="0" xfId="0" applyAlignment="1" applyBorder="1" applyFont="1">
      <alignment horizontal="center" vertical="bottom"/>
    </xf>
    <xf borderId="4" fillId="0" fontId="30" numFmtId="169" xfId="0" applyAlignment="1" applyBorder="1" applyFont="1" applyNumberFormat="1">
      <alignment horizontal="center" vertical="bottom"/>
    </xf>
    <xf borderId="4" fillId="0" fontId="30" numFmtId="169" xfId="0" applyAlignment="1" applyBorder="1" applyFont="1" applyNumberFormat="1">
      <alignment horizontal="right" vertical="bottom"/>
    </xf>
    <xf borderId="4" fillId="0" fontId="30" numFmtId="185" xfId="0" applyAlignment="1" applyBorder="1" applyFont="1" applyNumberFormat="1">
      <alignment horizontal="center" vertical="bottom"/>
    </xf>
    <xf borderId="4" fillId="0" fontId="1" numFmtId="3" xfId="0" applyAlignment="1" applyBorder="1" applyFont="1" applyNumberFormat="1">
      <alignment horizontal="center" vertical="bottom"/>
    </xf>
    <xf borderId="4" fillId="0" fontId="11" numFmtId="169" xfId="0" applyAlignment="1" applyBorder="1" applyFont="1" applyNumberFormat="1">
      <alignment horizontal="center" vertical="bottom"/>
    </xf>
    <xf borderId="4" fillId="0" fontId="11" numFmtId="3" xfId="0" applyAlignment="1" applyBorder="1" applyFont="1" applyNumberFormat="1">
      <alignment vertical="bottom"/>
    </xf>
    <xf borderId="4" fillId="17" fontId="11" numFmtId="184" xfId="0" applyAlignment="1" applyBorder="1" applyFont="1" applyNumberFormat="1">
      <alignment horizontal="left" vertical="bottom"/>
    </xf>
    <xf borderId="4" fillId="0" fontId="11" numFmtId="0" xfId="0" applyAlignment="1" applyBorder="1" applyFont="1">
      <alignment vertical="bottom"/>
    </xf>
    <xf borderId="4" fillId="0" fontId="11" numFmtId="169" xfId="0" applyAlignment="1" applyBorder="1" applyFont="1" applyNumberFormat="1">
      <alignment horizontal="center"/>
    </xf>
    <xf borderId="4" fillId="0" fontId="11" numFmtId="3" xfId="0" applyBorder="1" applyFont="1" applyNumberFormat="1"/>
    <xf borderId="0" fillId="0" fontId="11" numFmtId="169" xfId="0" applyFont="1" applyNumberFormat="1"/>
    <xf borderId="4" fillId="17" fontId="15" numFmtId="184" xfId="0" applyAlignment="1" applyBorder="1" applyFont="1" applyNumberFormat="1">
      <alignment horizontal="left" vertical="bottom"/>
    </xf>
    <xf borderId="4" fillId="0" fontId="30" numFmtId="169" xfId="0" applyAlignment="1" applyBorder="1" applyFont="1" applyNumberFormat="1">
      <alignment horizontal="right" readingOrder="0" vertical="bottom"/>
    </xf>
    <xf borderId="4" fillId="0" fontId="30" numFmtId="185" xfId="0" applyAlignment="1" applyBorder="1" applyFont="1" applyNumberForma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0" fontId="30" numFmtId="169" xfId="0" applyAlignment="1" applyBorder="1" applyFont="1" applyNumberFormat="1">
      <alignment horizontal="center" readingOrder="0" vertical="bottom"/>
    </xf>
    <xf borderId="4" fillId="22" fontId="30" numFmtId="169" xfId="0" applyAlignment="1" applyBorder="1" applyFont="1" applyNumberFormat="1">
      <alignment horizontal="right" readingOrder="0" vertical="bottom"/>
    </xf>
    <xf borderId="4" fillId="11" fontId="1" numFmtId="0" xfId="0" applyAlignment="1" applyBorder="1" applyFont="1">
      <alignment vertical="bottom"/>
    </xf>
    <xf borderId="4" fillId="11" fontId="30" numFmtId="0" xfId="0" applyAlignment="1" applyBorder="1" applyFont="1">
      <alignment readingOrder="0" shrinkToFit="0" wrapText="0"/>
    </xf>
    <xf borderId="4" fillId="11" fontId="30" numFmtId="0" xfId="0" applyAlignment="1" applyBorder="1" applyFont="1">
      <alignment horizontal="center" readingOrder="0" shrinkToFit="0" wrapText="0"/>
    </xf>
    <xf borderId="4" fillId="0" fontId="30" numFmtId="185" xfId="0" applyAlignment="1" applyBorder="1" applyFont="1" applyNumberFormat="1">
      <alignment horizontal="center" readingOrder="0" shrinkToFit="0" wrapText="0"/>
    </xf>
    <xf borderId="4" fillId="0" fontId="1" numFmtId="185" xfId="0" applyAlignment="1" applyBorder="1" applyFont="1" applyNumberFormat="1">
      <alignment horizontal="center" vertical="bottom"/>
    </xf>
    <xf borderId="4" fillId="11" fontId="1" numFmtId="0" xfId="0" applyAlignment="1" applyBorder="1" applyFont="1">
      <alignment horizontal="center" vertical="bottom"/>
    </xf>
    <xf borderId="4" fillId="0" fontId="11" numFmtId="0" xfId="0" applyBorder="1" applyFont="1"/>
    <xf borderId="4" fillId="11" fontId="1" numFmtId="3" xfId="0" applyAlignment="1" applyBorder="1" applyFont="1" applyNumberFormat="1">
      <alignment vertical="bottom"/>
    </xf>
    <xf borderId="4" fillId="11" fontId="1" numFmtId="0" xfId="0" applyAlignment="1" applyBorder="1" applyFont="1">
      <alignment shrinkToFit="0" vertical="bottom" wrapText="1"/>
    </xf>
    <xf borderId="4" fillId="0" fontId="11" numFmtId="184" xfId="0" applyAlignment="1" applyBorder="1" applyFont="1" applyNumberFormat="1">
      <alignment readingOrder="0"/>
    </xf>
    <xf borderId="4" fillId="11" fontId="1" numFmtId="0" xfId="0" applyAlignment="1" applyBorder="1" applyFont="1">
      <alignment horizontal="center" readingOrder="0"/>
    </xf>
    <xf borderId="4" fillId="35" fontId="1" numFmtId="0" xfId="0" applyAlignment="1" applyBorder="1" applyFont="1">
      <alignment horizontal="center" readingOrder="0" vertical="bottom"/>
    </xf>
    <xf borderId="4" fillId="0" fontId="1" numFmtId="185" xfId="0" applyAlignment="1" applyBorder="1" applyFont="1" applyNumberFormat="1">
      <alignment horizontal="center" readingOrder="0"/>
    </xf>
    <xf borderId="4" fillId="0" fontId="11" numFmtId="0" xfId="0" applyAlignment="1" applyBorder="1" applyFont="1">
      <alignment horizontal="center"/>
    </xf>
    <xf borderId="0" fillId="0" fontId="11" numFmtId="185" xfId="0" applyAlignment="1" applyFont="1" applyNumberFormat="1">
      <alignment horizontal="center"/>
    </xf>
    <xf borderId="0" fillId="0" fontId="30" numFmtId="0" xfId="0" applyAlignment="1" applyFont="1">
      <alignment readingOrder="0" shrinkToFit="0" vertical="bottom" wrapText="0"/>
    </xf>
    <xf borderId="0" fillId="0" fontId="30" numFmtId="184" xfId="0" applyAlignment="1" applyFont="1" applyNumberFormat="1">
      <alignment readingOrder="0" shrinkToFit="0" vertical="bottom" wrapText="0"/>
    </xf>
    <xf borderId="0" fillId="0" fontId="30" numFmtId="0" xfId="0" applyAlignment="1" applyFont="1">
      <alignment shrinkToFit="0" vertical="bottom" wrapText="0"/>
    </xf>
    <xf borderId="0" fillId="0" fontId="30" numFmtId="0" xfId="0" applyAlignment="1" applyFont="1">
      <alignment shrinkToFit="0" vertical="bottom" wrapText="0"/>
    </xf>
    <xf borderId="0" fillId="43" fontId="4" numFmtId="0" xfId="0" applyAlignment="1" applyFill="1" applyFont="1">
      <alignment readingOrder="0"/>
    </xf>
    <xf borderId="0" fillId="11" fontId="4" numFmtId="0" xfId="0" applyAlignment="1" applyFont="1">
      <alignment readingOrder="0" shrinkToFit="0" wrapText="1"/>
    </xf>
    <xf borderId="0" fillId="11" fontId="4" numFmtId="20" xfId="0" applyAlignment="1" applyFont="1" applyNumberFormat="1">
      <alignment readingOrder="0"/>
    </xf>
    <xf borderId="0" fillId="11" fontId="4" numFmtId="20" xfId="0" applyAlignment="1" applyFont="1" applyNumberFormat="1">
      <alignment readingOrder="0" shrinkToFit="0" wrapText="1"/>
    </xf>
    <xf borderId="0" fillId="11" fontId="4" numFmtId="0" xfId="0" applyAlignment="1" applyFont="1">
      <alignment horizontal="right" readingOrder="0" shrinkToFit="0" wrapText="1"/>
    </xf>
    <xf borderId="0" fillId="11" fontId="4" numFmtId="20" xfId="0" applyAlignment="1" applyFont="1" applyNumberFormat="1">
      <alignment horizontal="right" readingOrder="0" shrinkToFit="0" wrapText="1"/>
    </xf>
    <xf borderId="0" fillId="11" fontId="1" numFmtId="0" xfId="0" applyAlignment="1" applyFont="1">
      <alignment horizontal="left" readingOrder="0"/>
    </xf>
    <xf borderId="0" fillId="11" fontId="4" numFmtId="164" xfId="0" applyAlignment="1" applyFont="1" applyNumberFormat="1">
      <alignment horizontal="right" readingOrder="0"/>
    </xf>
    <xf borderId="0" fillId="11" fontId="4" numFmtId="186" xfId="0" applyAlignment="1" applyFont="1" applyNumberFormat="1">
      <alignment readingOrder="0"/>
    </xf>
    <xf borderId="0" fillId="11" fontId="89" numFmtId="0" xfId="0" applyAlignment="1" applyFont="1">
      <alignment readingOrder="0"/>
    </xf>
    <xf borderId="0" fillId="11" fontId="90" numFmtId="0" xfId="0" applyAlignment="1" applyFont="1">
      <alignment readingOrder="0"/>
    </xf>
    <xf borderId="0" fillId="11" fontId="4" numFmtId="0" xfId="0" applyAlignment="1" applyFont="1">
      <alignment readingOrder="0"/>
    </xf>
    <xf quotePrefix="1" borderId="0" fillId="11" fontId="4" numFmtId="0" xfId="0" applyAlignment="1" applyFont="1">
      <alignment readingOrder="0"/>
    </xf>
    <xf borderId="0" fillId="11" fontId="4" numFmtId="3" xfId="0" applyAlignment="1" applyFont="1" applyNumberFormat="1">
      <alignment horizontal="left" readingOrder="0"/>
    </xf>
    <xf borderId="0" fillId="11" fontId="91" numFmtId="0" xfId="0" applyAlignment="1" applyFont="1">
      <alignment readingOrder="0"/>
    </xf>
    <xf borderId="0" fillId="40" fontId="4" numFmtId="164" xfId="0" applyAlignment="1" applyFont="1" applyNumberFormat="1">
      <alignment readingOrder="0"/>
    </xf>
    <xf borderId="0" fillId="40" fontId="4" numFmtId="0" xfId="0" applyAlignment="1" applyFont="1">
      <alignment readingOrder="0"/>
    </xf>
    <xf borderId="0" fillId="40" fontId="4" numFmtId="0" xfId="0" applyFont="1"/>
    <xf borderId="0" fillId="0" fontId="4" numFmtId="20" xfId="0" applyAlignment="1" applyFont="1" applyNumberFormat="1">
      <alignment readingOrder="0"/>
    </xf>
    <xf borderId="4" fillId="0" fontId="14" numFmtId="0" xfId="0" applyAlignment="1" applyBorder="1" applyFont="1">
      <alignment readingOrder="0"/>
    </xf>
    <xf borderId="4" fillId="0" fontId="14" numFmtId="187" xfId="0" applyAlignment="1" applyBorder="1" applyFont="1" applyNumberFormat="1">
      <alignment readingOrder="0"/>
    </xf>
    <xf borderId="4" fillId="0" fontId="4" numFmtId="187" xfId="0" applyBorder="1" applyFont="1" applyNumberFormat="1"/>
    <xf borderId="4" fillId="0" fontId="4" numFmtId="187" xfId="0" applyAlignment="1" applyBorder="1" applyFont="1" applyNumberFormat="1">
      <alignment readingOrder="0"/>
    </xf>
    <xf borderId="0" fillId="0" fontId="4" numFmtId="187" xfId="0" applyFont="1" applyNumberFormat="1"/>
    <xf borderId="8" fillId="44" fontId="92" numFmtId="0" xfId="0" applyAlignment="1" applyBorder="1" applyFill="1" applyFont="1">
      <alignment horizontal="center" textRotation="255" vertical="center"/>
    </xf>
    <xf borderId="8" fillId="45" fontId="93" numFmtId="169" xfId="0" applyAlignment="1" applyBorder="1" applyFill="1" applyFont="1" applyNumberFormat="1">
      <alignment horizontal="center" vertical="center"/>
    </xf>
    <xf borderId="8" fillId="45" fontId="94" numFmtId="169" xfId="0" applyAlignment="1" applyBorder="1" applyFont="1" applyNumberFormat="1">
      <alignment horizontal="center" vertical="center"/>
    </xf>
    <xf borderId="4" fillId="45" fontId="93" numFmtId="169" xfId="0" applyAlignment="1" applyBorder="1" applyFont="1" applyNumberFormat="1">
      <alignment horizontal="center" vertical="center"/>
    </xf>
    <xf borderId="4" fillId="0" fontId="16" numFmtId="0" xfId="0" applyBorder="1" applyFont="1"/>
    <xf borderId="4" fillId="46" fontId="16" numFmtId="0" xfId="0" applyBorder="1" applyFill="1" applyFont="1"/>
    <xf borderId="4" fillId="45" fontId="95" numFmtId="169" xfId="0" applyAlignment="1" applyBorder="1" applyFont="1" applyNumberFormat="1">
      <alignment horizontal="center"/>
    </xf>
    <xf borderId="0" fillId="0" fontId="30" numFmtId="0" xfId="0" applyFont="1"/>
    <xf borderId="4" fillId="0" fontId="16" numFmtId="169" xfId="0" applyBorder="1" applyFont="1" applyNumberFormat="1"/>
    <xf borderId="4" fillId="47" fontId="16" numFmtId="169" xfId="0" applyAlignment="1" applyBorder="1" applyFill="1" applyFont="1" applyNumberFormat="1">
      <alignment readingOrder="0"/>
    </xf>
    <xf borderId="4" fillId="46" fontId="51" numFmtId="169" xfId="0" applyBorder="1" applyFont="1" applyNumberFormat="1"/>
    <xf borderId="4" fillId="46" fontId="51" numFmtId="169" xfId="0" applyAlignment="1" applyBorder="1" applyFont="1" applyNumberFormat="1">
      <alignment readingOrder="0"/>
    </xf>
    <xf borderId="4" fillId="45" fontId="94" numFmtId="0" xfId="0" applyAlignment="1" applyBorder="1" applyFont="1">
      <alignment horizontal="center" vertical="center"/>
    </xf>
    <xf borderId="4" fillId="46" fontId="13" numFmtId="169" xfId="0" applyAlignment="1" applyBorder="1" applyFont="1" applyNumberFormat="1">
      <alignment vertical="center"/>
    </xf>
    <xf borderId="4" fillId="45" fontId="94" numFmtId="0" xfId="0" applyAlignment="1" applyBorder="1" applyFont="1">
      <alignment vertical="center"/>
    </xf>
    <xf borderId="0" fillId="0" fontId="30" numFmtId="10" xfId="0" applyAlignment="1" applyFont="1" applyNumberFormat="1">
      <alignment readingOrder="0"/>
    </xf>
    <xf borderId="0" fillId="0" fontId="30" numFmtId="0" xfId="0" applyAlignment="1" applyFont="1">
      <alignment readingOrder="0"/>
    </xf>
    <xf borderId="4" fillId="44" fontId="96" numFmtId="0" xfId="0" applyAlignment="1" applyBorder="1" applyFont="1">
      <alignment horizontal="left" shrinkToFit="0" vertical="top" wrapText="1"/>
    </xf>
    <xf borderId="4" fillId="45" fontId="97" numFmtId="0" xfId="0" applyAlignment="1" applyBorder="1" applyFont="1">
      <alignment horizontal="left" shrinkToFit="0" vertical="top" wrapText="1"/>
    </xf>
    <xf borderId="4" fillId="46" fontId="56" numFmtId="169" xfId="0" applyAlignment="1" applyBorder="1" applyFont="1" applyNumberFormat="1">
      <alignment horizontal="left" shrinkToFit="0" vertical="top" wrapText="1"/>
    </xf>
    <xf borderId="4" fillId="47" fontId="56" numFmtId="169" xfId="0" applyAlignment="1" applyBorder="1" applyFont="1" applyNumberFormat="1">
      <alignment horizontal="left" shrinkToFit="0" vertical="top" wrapText="1"/>
    </xf>
    <xf borderId="4" fillId="46" fontId="56" numFmtId="169" xfId="0" applyAlignment="1" applyBorder="1" applyFont="1" applyNumberFormat="1">
      <alignment horizontal="left" readingOrder="0" shrinkToFit="0" vertical="top" wrapText="1"/>
    </xf>
    <xf borderId="4" fillId="45" fontId="96" numFmtId="169" xfId="0" applyAlignment="1" applyBorder="1" applyFont="1" applyNumberFormat="1">
      <alignment horizontal="right" shrinkToFit="1" vertical="top" wrapText="0"/>
    </xf>
    <xf borderId="4" fillId="46" fontId="56" numFmtId="169" xfId="0" applyAlignment="1" applyBorder="1" applyFont="1" applyNumberFormat="1">
      <alignment horizontal="right" shrinkToFit="1" vertical="top" wrapText="0"/>
    </xf>
    <xf borderId="0" fillId="46" fontId="30" numFmtId="0" xfId="0" applyAlignment="1" applyFont="1">
      <alignment readingOrder="0"/>
    </xf>
    <xf borderId="18" fillId="46" fontId="30" numFmtId="0" xfId="0" applyAlignment="1" applyBorder="1" applyFont="1">
      <alignment readingOrder="0"/>
    </xf>
    <xf borderId="18" fillId="46" fontId="30" numFmtId="169" xfId="0" applyAlignment="1" applyBorder="1" applyFont="1" applyNumberFormat="1">
      <alignment horizontal="left"/>
    </xf>
    <xf borderId="18" fillId="46" fontId="30" numFmtId="0" xfId="0" applyBorder="1" applyFont="1"/>
    <xf borderId="4" fillId="45" fontId="96" numFmtId="0" xfId="0" applyAlignment="1" applyBorder="1" applyFont="1">
      <alignment horizontal="left" shrinkToFit="0" vertical="top" wrapText="1"/>
    </xf>
    <xf borderId="0" fillId="46" fontId="30" numFmtId="0" xfId="0" applyFont="1"/>
    <xf borderId="4" fillId="45" fontId="98" numFmtId="0" xfId="0" applyAlignment="1" applyBorder="1" applyFont="1">
      <alignment horizontal="left" shrinkToFit="0" vertical="top" wrapText="1"/>
    </xf>
    <xf borderId="4" fillId="46" fontId="99" numFmtId="169" xfId="0" applyAlignment="1" applyBorder="1" applyFont="1" applyNumberFormat="1">
      <alignment horizontal="right" shrinkToFit="1" vertical="top" wrapText="0"/>
    </xf>
    <xf borderId="4" fillId="45" fontId="99" numFmtId="169" xfId="0" applyAlignment="1" applyBorder="1" applyFont="1" applyNumberFormat="1">
      <alignment horizontal="right" shrinkToFit="1" vertical="top" wrapText="0"/>
    </xf>
    <xf borderId="4" fillId="46" fontId="99" numFmtId="169" xfId="0" applyAlignment="1" applyBorder="1" applyFont="1" applyNumberFormat="1">
      <alignment horizontal="left" shrinkToFit="0" vertical="top" wrapText="1"/>
    </xf>
    <xf borderId="4" fillId="46" fontId="99" numFmtId="169" xfId="0" applyAlignment="1" applyBorder="1" applyFont="1" applyNumberFormat="1">
      <alignment horizontal="left" readingOrder="0" shrinkToFit="0" vertical="top" wrapText="1"/>
    </xf>
    <xf borderId="18" fillId="46" fontId="92" numFmtId="0" xfId="0" applyAlignment="1" applyBorder="1" applyFont="1">
      <alignment horizontal="center" textRotation="255" vertical="center"/>
    </xf>
    <xf borderId="18" fillId="46" fontId="96" numFmtId="0" xfId="0" applyAlignment="1" applyBorder="1" applyFont="1">
      <alignment horizontal="left" shrinkToFit="0" vertical="top" wrapText="1"/>
    </xf>
    <xf borderId="18" fillId="46" fontId="56" numFmtId="169" xfId="0" applyAlignment="1" applyBorder="1" applyFont="1" applyNumberFormat="1">
      <alignment horizontal="left" shrinkToFit="0" vertical="top" wrapText="1"/>
    </xf>
    <xf borderId="4" fillId="0" fontId="56" numFmtId="169" xfId="0" applyAlignment="1" applyBorder="1" applyFont="1" applyNumberFormat="1">
      <alignment horizontal="left" shrinkToFit="0" vertical="top" wrapText="1"/>
    </xf>
    <xf borderId="18" fillId="46" fontId="96" numFmtId="169" xfId="0" applyAlignment="1" applyBorder="1" applyFont="1" applyNumberFormat="1">
      <alignment horizontal="right" shrinkToFit="1" vertical="top" wrapText="0"/>
    </xf>
    <xf borderId="18" fillId="46" fontId="56" numFmtId="169" xfId="0" applyAlignment="1" applyBorder="1" applyFont="1" applyNumberFormat="1">
      <alignment horizontal="right" shrinkToFit="1" vertical="top" wrapText="0"/>
    </xf>
    <xf borderId="8" fillId="48" fontId="100" numFmtId="0" xfId="0" applyAlignment="1" applyBorder="1" applyFill="1" applyFont="1">
      <alignment horizontal="center" shrinkToFit="0" textRotation="255" vertical="center" wrapText="1"/>
    </xf>
    <xf borderId="8" fillId="48" fontId="68" numFmtId="0" xfId="0" applyAlignment="1" applyBorder="1" applyFont="1">
      <alignment horizontal="center" vertical="center"/>
    </xf>
    <xf borderId="8" fillId="48" fontId="101" numFmtId="0" xfId="0" applyAlignment="1" applyBorder="1" applyFont="1">
      <alignment horizontal="center" vertical="center"/>
    </xf>
    <xf borderId="4" fillId="48" fontId="68" numFmtId="0" xfId="0" applyAlignment="1" applyBorder="1" applyFont="1">
      <alignment horizontal="center" vertical="center"/>
    </xf>
    <xf borderId="4" fillId="48" fontId="102" numFmtId="0" xfId="0" applyBorder="1" applyFont="1"/>
    <xf borderId="4" fillId="48" fontId="30" numFmtId="0" xfId="0" applyBorder="1" applyFont="1"/>
    <xf borderId="4" fillId="46" fontId="30" numFmtId="0" xfId="0" applyBorder="1" applyFont="1"/>
    <xf borderId="4" fillId="48" fontId="103" numFmtId="0" xfId="0" applyBorder="1" applyFont="1"/>
    <xf borderId="4" fillId="0" fontId="30" numFmtId="0" xfId="0" applyBorder="1" applyFont="1"/>
    <xf borderId="4" fillId="48" fontId="104" numFmtId="0" xfId="0" applyAlignment="1" applyBorder="1" applyFont="1">
      <alignment horizontal="center"/>
    </xf>
    <xf borderId="0" fillId="46" fontId="105" numFmtId="0" xfId="0" applyAlignment="1" applyFont="1">
      <alignment horizontal="center"/>
    </xf>
    <xf borderId="18" fillId="46" fontId="105" numFmtId="0" xfId="0" applyAlignment="1" applyBorder="1" applyFont="1">
      <alignment horizontal="center"/>
    </xf>
    <xf borderId="18" fillId="46" fontId="98" numFmtId="0" xfId="0" applyAlignment="1" applyBorder="1" applyFont="1">
      <alignment horizontal="center"/>
    </xf>
    <xf borderId="4" fillId="0" fontId="43" numFmtId="0" xfId="0" applyAlignment="1" applyBorder="1" applyFont="1">
      <alignment horizontal="center"/>
    </xf>
    <xf borderId="4" fillId="48" fontId="68" numFmtId="169" xfId="0" applyAlignment="1" applyBorder="1" applyFont="1" applyNumberFormat="1">
      <alignment horizontal="center"/>
    </xf>
    <xf borderId="4" fillId="48" fontId="70" numFmtId="0" xfId="0" applyBorder="1" applyFont="1"/>
    <xf borderId="4" fillId="48" fontId="106" numFmtId="0" xfId="0" applyAlignment="1" applyBorder="1" applyFont="1">
      <alignment horizontal="left" shrinkToFit="0" vertical="center" wrapText="1"/>
    </xf>
    <xf borderId="4" fillId="0" fontId="107" numFmtId="169" xfId="0" applyAlignment="1" applyBorder="1" applyFont="1" applyNumberFormat="1">
      <alignment horizontal="left" vertical="center"/>
    </xf>
    <xf borderId="4" fillId="48" fontId="70" numFmtId="169" xfId="0" applyBorder="1" applyFont="1" applyNumberFormat="1"/>
    <xf borderId="0" fillId="0" fontId="30" numFmtId="169" xfId="0" applyFont="1" applyNumberFormat="1"/>
    <xf borderId="4" fillId="0" fontId="108" numFmtId="169" xfId="0" applyAlignment="1" applyBorder="1" applyFont="1" applyNumberFormat="1">
      <alignment horizontal="right" vertical="top"/>
    </xf>
    <xf borderId="4" fillId="0" fontId="109" numFmtId="169" xfId="0" applyAlignment="1" applyBorder="1" applyFont="1" applyNumberFormat="1">
      <alignment horizontal="left" vertical="center"/>
    </xf>
    <xf borderId="4" fillId="48" fontId="110" numFmtId="169" xfId="0" applyBorder="1" applyFont="1" applyNumberFormat="1"/>
    <xf borderId="4" fillId="48" fontId="111" numFmtId="0" xfId="0" applyAlignment="1" applyBorder="1" applyFont="1">
      <alignment horizontal="left" shrinkToFit="0" vertical="center" wrapText="1"/>
    </xf>
    <xf borderId="4" fillId="0" fontId="112" numFmtId="169" xfId="0" applyAlignment="1" applyBorder="1" applyFont="1" applyNumberFormat="1">
      <alignment horizontal="left" vertical="center"/>
    </xf>
    <xf borderId="0" fillId="0" fontId="30" numFmtId="0" xfId="0" applyAlignment="1" applyFont="1">
      <alignment horizontal="left"/>
    </xf>
    <xf borderId="8" fillId="0" fontId="113" numFmtId="0" xfId="0" applyAlignment="1" applyBorder="1" applyFont="1">
      <alignment horizontal="center" shrinkToFit="0" textRotation="255" vertical="center" wrapText="1"/>
    </xf>
    <xf borderId="8" fillId="0" fontId="114" numFmtId="0" xfId="0" applyAlignment="1" applyBorder="1" applyFont="1">
      <alignment horizontal="center" shrinkToFit="0" vertical="center" wrapText="1"/>
    </xf>
    <xf borderId="4" fillId="0" fontId="115" numFmtId="0" xfId="0" applyAlignment="1" applyBorder="1" applyFont="1">
      <alignment horizontal="center" shrinkToFit="0" vertical="center" wrapText="1"/>
    </xf>
    <xf borderId="4" fillId="7" fontId="116" numFmtId="0" xfId="0" applyBorder="1" applyFont="1"/>
    <xf quotePrefix="1" borderId="4" fillId="30" fontId="117" numFmtId="169" xfId="0" applyAlignment="1" applyBorder="1" applyFont="1" applyNumberFormat="1">
      <alignment horizontal="center" vertical="center"/>
    </xf>
    <xf quotePrefix="1" borderId="4" fillId="49" fontId="118" numFmtId="169" xfId="0" applyAlignment="1" applyBorder="1" applyFill="1" applyFont="1" applyNumberFormat="1">
      <alignment horizontal="center" vertical="center"/>
    </xf>
    <xf borderId="4" fillId="50" fontId="119" numFmtId="0" xfId="0" applyBorder="1" applyFill="1" applyFont="1"/>
    <xf quotePrefix="1" borderId="4" fillId="0" fontId="120" numFmtId="169" xfId="0" applyAlignment="1" applyBorder="1" applyFont="1" applyNumberFormat="1">
      <alignment horizontal="center" vertical="center"/>
    </xf>
    <xf borderId="4" fillId="7" fontId="43" numFmtId="0" xfId="0" applyAlignment="1" applyBorder="1" applyFont="1">
      <alignment horizontal="center"/>
    </xf>
    <xf quotePrefix="1" borderId="4" fillId="7" fontId="121" numFmtId="169" xfId="0" applyAlignment="1" applyBorder="1" applyFont="1" applyNumberFormat="1">
      <alignment horizontal="center" vertical="center"/>
    </xf>
    <xf borderId="4" fillId="30" fontId="121" numFmtId="169" xfId="0" applyAlignment="1" applyBorder="1" applyFont="1" applyNumberFormat="1">
      <alignment horizontal="center" vertical="center"/>
    </xf>
    <xf quotePrefix="1" borderId="4" fillId="30" fontId="121" numFmtId="169" xfId="0" applyAlignment="1" applyBorder="1" applyFont="1" applyNumberFormat="1">
      <alignment horizontal="center" vertical="center"/>
    </xf>
    <xf quotePrefix="1" borderId="4" fillId="49" fontId="121" numFmtId="169" xfId="0" applyAlignment="1" applyBorder="1" applyFont="1" applyNumberFormat="1">
      <alignment horizontal="center" vertical="center"/>
    </xf>
    <xf quotePrefix="1" borderId="4" fillId="50" fontId="121" numFmtId="169" xfId="0" applyAlignment="1" applyBorder="1" applyFont="1" applyNumberFormat="1">
      <alignment horizontal="center" vertical="center"/>
    </xf>
    <xf borderId="4" fillId="46" fontId="121" numFmtId="169" xfId="0" applyAlignment="1" applyBorder="1" applyFont="1" applyNumberFormat="1">
      <alignment vertical="center"/>
    </xf>
    <xf quotePrefix="1" borderId="4" fillId="46" fontId="121" numFmtId="169" xfId="0" applyAlignment="1" applyBorder="1" applyFont="1" applyNumberFormat="1">
      <alignment vertical="center"/>
    </xf>
    <xf quotePrefix="1" borderId="4" fillId="46" fontId="121" numFmtId="169" xfId="0" applyAlignment="1" applyBorder="1" applyFont="1" applyNumberFormat="1">
      <alignment horizontal="center" vertical="center"/>
    </xf>
    <xf borderId="4" fillId="0" fontId="122" numFmtId="0" xfId="0" applyAlignment="1" applyBorder="1" applyFont="1">
      <alignment horizontal="left" shrinkToFit="0" vertical="center" wrapText="1"/>
    </xf>
    <xf borderId="4" fillId="30" fontId="122" numFmtId="0" xfId="0" applyAlignment="1" applyBorder="1" applyFont="1">
      <alignment horizontal="left" shrinkToFit="0" vertical="center" wrapText="1"/>
    </xf>
    <xf borderId="4" fillId="0" fontId="123" numFmtId="0" xfId="0" applyAlignment="1" applyBorder="1" applyFont="1">
      <alignment horizontal="left" shrinkToFit="0" vertical="center" wrapText="1"/>
    </xf>
    <xf borderId="4" fillId="46" fontId="107" numFmtId="169" xfId="0" applyAlignment="1" applyBorder="1" applyFont="1" applyNumberFormat="1">
      <alignment horizontal="left" vertical="center"/>
    </xf>
    <xf borderId="4" fillId="46" fontId="107" numFmtId="169" xfId="0" applyAlignment="1" applyBorder="1" applyFont="1" applyNumberFormat="1">
      <alignment vertical="center"/>
    </xf>
    <xf borderId="4" fillId="0" fontId="124" numFmtId="0" xfId="0" applyAlignment="1" applyBorder="1" applyFont="1">
      <alignment horizontal="left" shrinkToFit="0" vertical="center" wrapText="1"/>
    </xf>
    <xf borderId="4" fillId="0" fontId="125" numFmtId="0" xfId="0" applyAlignment="1" applyBorder="1" applyFont="1">
      <alignment horizontal="left" shrinkToFit="0" vertical="center" wrapText="1"/>
    </xf>
    <xf borderId="4" fillId="48" fontId="107" numFmtId="169" xfId="0" applyAlignment="1" applyBorder="1" applyFont="1" applyNumberFormat="1">
      <alignment horizontal="left" vertical="center"/>
    </xf>
    <xf borderId="4" fillId="0" fontId="126" numFmtId="0" xfId="0" applyAlignment="1" applyBorder="1" applyFont="1">
      <alignment horizontal="left" shrinkToFit="0" vertical="center" wrapText="1"/>
    </xf>
    <xf borderId="4" fillId="0" fontId="127" numFmtId="0" xfId="0" applyAlignment="1" applyBorder="1" applyFont="1">
      <alignment horizontal="left" shrinkToFit="0" vertical="center" wrapText="1"/>
    </xf>
    <xf borderId="4" fillId="7" fontId="107" numFmtId="169" xfId="0" applyAlignment="1" applyBorder="1" applyFont="1" applyNumberFormat="1">
      <alignment horizontal="left" vertical="center"/>
    </xf>
    <xf borderId="4" fillId="45" fontId="109" numFmtId="169" xfId="0" applyAlignment="1" applyBorder="1" applyFont="1" applyNumberFormat="1">
      <alignment horizontal="left" vertical="center"/>
    </xf>
    <xf borderId="4" fillId="45" fontId="107" numFmtId="169" xfId="0" applyAlignment="1" applyBorder="1" applyFont="1" applyNumberFormat="1">
      <alignment horizontal="left" vertical="center"/>
    </xf>
    <xf borderId="4" fillId="45" fontId="107" numFmtId="169" xfId="0" applyAlignment="1" applyBorder="1" applyFont="1" applyNumberFormat="1">
      <alignment vertical="center"/>
    </xf>
    <xf borderId="4" fillId="46" fontId="109" numFmtId="169" xfId="0" applyAlignment="1" applyBorder="1" applyFont="1" applyNumberFormat="1">
      <alignment horizontal="left" vertical="center"/>
    </xf>
    <xf borderId="4" fillId="0" fontId="30" numFmtId="169" xfId="0" applyAlignment="1" applyBorder="1" applyFont="1" applyNumberFormat="1">
      <alignment horizontal="right" vertical="top"/>
    </xf>
    <xf borderId="4" fillId="0" fontId="128" numFmtId="9" xfId="0" applyAlignment="1" applyBorder="1" applyFont="1" applyNumberFormat="1">
      <alignment horizontal="left" shrinkToFit="0" vertical="center" wrapText="1"/>
    </xf>
    <xf borderId="4" fillId="0" fontId="124" numFmtId="9" xfId="0" applyAlignment="1" applyBorder="1" applyFont="1" applyNumberFormat="1">
      <alignment horizontal="left" shrinkToFit="0" vertical="center" wrapText="1"/>
    </xf>
    <xf borderId="4" fillId="0" fontId="125" numFmtId="9" xfId="0" applyAlignment="1" applyBorder="1" applyFont="1" applyNumberFormat="1">
      <alignment horizontal="left" shrinkToFit="0" vertical="center" wrapText="1"/>
    </xf>
    <xf borderId="4" fillId="0" fontId="129" numFmtId="0" xfId="0" applyAlignment="1" applyBorder="1" applyFont="1">
      <alignment horizontal="left" shrinkToFit="0" vertical="center" wrapText="1"/>
    </xf>
    <xf borderId="4" fillId="0" fontId="130" numFmtId="0" xfId="0" applyAlignment="1" applyBorder="1" applyFont="1">
      <alignment horizontal="left" shrinkToFit="0" vertical="center" wrapText="1"/>
    </xf>
    <xf borderId="4" fillId="0" fontId="131" numFmtId="169" xfId="0" applyAlignment="1" applyBorder="1" applyFont="1" applyNumberFormat="1">
      <alignment horizontal="left" vertical="top"/>
    </xf>
    <xf borderId="4" fillId="0" fontId="128" numFmtId="0" xfId="0" applyAlignment="1" applyBorder="1" applyFont="1">
      <alignment horizontal="left" shrinkToFit="0" vertical="center" wrapText="1"/>
    </xf>
    <xf borderId="4" fillId="30" fontId="124" numFmtId="0" xfId="0" applyAlignment="1" applyBorder="1" applyFont="1">
      <alignment horizontal="left" shrinkToFit="0" vertical="center" wrapText="1"/>
    </xf>
    <xf borderId="4" fillId="0" fontId="128" numFmtId="1" xfId="0" applyAlignment="1" applyBorder="1" applyFont="1" applyNumberFormat="1">
      <alignment horizontal="left" shrinkToFit="1" vertical="center" wrapText="0"/>
    </xf>
    <xf borderId="4" fillId="0" fontId="30" numFmtId="169" xfId="0" applyAlignment="1" applyBorder="1" applyFont="1" applyNumberFormat="1">
      <alignment horizontal="left" vertical="top"/>
    </xf>
    <xf borderId="4" fillId="30" fontId="132" numFmtId="0" xfId="0" applyAlignment="1" applyBorder="1" applyFont="1">
      <alignment horizontal="left" vertical="top"/>
    </xf>
    <xf borderId="4" fillId="46" fontId="123" numFmtId="0" xfId="0" applyAlignment="1" applyBorder="1" applyFont="1">
      <alignment horizontal="left" shrinkToFit="0" vertical="center" wrapText="1"/>
    </xf>
    <xf borderId="4" fillId="46" fontId="112" numFmtId="169" xfId="0" applyAlignment="1" applyBorder="1" applyFont="1" applyNumberFormat="1">
      <alignment horizontal="left" vertical="center"/>
    </xf>
    <xf borderId="4" fillId="0" fontId="133" numFmtId="169" xfId="0" applyAlignment="1" applyBorder="1" applyFont="1" applyNumberFormat="1">
      <alignment horizontal="left" vertical="center"/>
    </xf>
    <xf borderId="4" fillId="0" fontId="30" numFmtId="169" xfId="0" applyAlignment="1" applyBorder="1" applyFont="1" applyNumberFormat="1">
      <alignment vertical="center"/>
    </xf>
    <xf borderId="4" fillId="0" fontId="134" numFmtId="0" xfId="0" applyAlignment="1" applyBorder="1" applyFont="1">
      <alignment horizontal="left" shrinkToFit="0" vertical="center" wrapText="1"/>
    </xf>
    <xf borderId="4" fillId="0" fontId="135" numFmtId="0" xfId="0" applyAlignment="1" applyBorder="1" applyFont="1">
      <alignment horizontal="left" shrinkToFit="0" vertical="center" wrapText="1"/>
    </xf>
    <xf borderId="4" fillId="0" fontId="48" numFmtId="0" xfId="0" applyAlignment="1" applyBorder="1" applyFont="1">
      <alignment horizontal="left" shrinkToFit="0" vertical="top" wrapText="1"/>
    </xf>
    <xf borderId="4" fillId="47" fontId="107" numFmtId="169" xfId="0" applyAlignment="1" applyBorder="1" applyFont="1" applyNumberFormat="1">
      <alignment horizontal="left" vertical="center"/>
    </xf>
    <xf borderId="4" fillId="0" fontId="136" numFmtId="0" xfId="0" applyAlignment="1" applyBorder="1" applyFont="1">
      <alignment horizontal="left" shrinkToFit="0" vertical="center" wrapText="1"/>
    </xf>
    <xf borderId="4" fillId="0" fontId="137" numFmtId="0" xfId="0" applyAlignment="1" applyBorder="1" applyFont="1">
      <alignment horizontal="left" shrinkToFit="0" vertical="center" wrapText="1"/>
    </xf>
    <xf borderId="4" fillId="48" fontId="107" numFmtId="188" xfId="0" applyAlignment="1" applyBorder="1" applyFont="1" applyNumberFormat="1">
      <alignment horizontal="left" vertical="center"/>
    </xf>
    <xf borderId="4" fillId="0" fontId="107" numFmtId="188" xfId="0" applyAlignment="1" applyBorder="1" applyFont="1" applyNumberFormat="1">
      <alignment horizontal="left" vertical="center"/>
    </xf>
    <xf borderId="4" fillId="48" fontId="109" numFmtId="169" xfId="0" applyAlignment="1" applyBorder="1" applyFont="1" applyNumberFormat="1">
      <alignment horizontal="left" vertical="center"/>
    </xf>
    <xf borderId="4" fillId="32" fontId="53" numFmtId="0" xfId="0" applyAlignment="1" applyBorder="1" applyFont="1">
      <alignment readingOrder="0" shrinkToFit="0" wrapText="0"/>
    </xf>
    <xf borderId="3" fillId="32" fontId="53" numFmtId="0" xfId="0" applyAlignment="1" applyBorder="1" applyFont="1">
      <alignment readingOrder="0" shrinkToFit="0" wrapText="0"/>
    </xf>
    <xf borderId="3" fillId="32" fontId="53" numFmtId="0" xfId="0" applyAlignment="1" applyBorder="1" applyFont="1">
      <alignment horizontal="center" readingOrder="0" shrinkToFit="0" wrapText="0"/>
    </xf>
    <xf borderId="10" fillId="33" fontId="138" numFmtId="0" xfId="0" applyAlignment="1" applyBorder="1" applyFont="1">
      <alignment readingOrder="0" shrinkToFit="0" wrapText="0"/>
    </xf>
    <xf borderId="5" fillId="33" fontId="138" numFmtId="0" xfId="0" applyAlignment="1" applyBorder="1" applyFont="1">
      <alignment readingOrder="0" shrinkToFit="0" wrapText="0"/>
    </xf>
    <xf borderId="5" fillId="33" fontId="9" numFmtId="0" xfId="0" applyAlignment="1" applyBorder="1" applyFont="1">
      <alignment shrinkToFit="0" wrapText="0"/>
    </xf>
    <xf borderId="10" fillId="0" fontId="9" numFmtId="0" xfId="0" applyAlignment="1" applyBorder="1" applyFont="1">
      <alignment readingOrder="0" shrinkToFit="0" wrapText="0"/>
    </xf>
    <xf borderId="5" fillId="9" fontId="9" numFmtId="0" xfId="0" applyAlignment="1" applyBorder="1" applyFont="1">
      <alignment readingOrder="0" shrinkToFit="0" wrapText="0"/>
    </xf>
    <xf borderId="5" fillId="0" fontId="9" numFmtId="0" xfId="0" applyAlignment="1" applyBorder="1" applyFont="1">
      <alignment horizontal="center" readingOrder="0" shrinkToFit="0" wrapText="0"/>
    </xf>
    <xf borderId="5" fillId="9" fontId="9" numFmtId="0" xfId="0" applyAlignment="1" applyBorder="1" applyFont="1">
      <alignment shrinkToFit="0" wrapText="0"/>
    </xf>
    <xf borderId="5" fillId="9" fontId="9" numFmtId="3" xfId="0" applyAlignment="1" applyBorder="1" applyFont="1" applyNumberFormat="1">
      <alignment horizontal="right" readingOrder="0" shrinkToFit="0" wrapText="0"/>
    </xf>
    <xf borderId="5" fillId="0" fontId="9" numFmtId="0" xfId="0" applyAlignment="1" applyBorder="1" applyFont="1">
      <alignment readingOrder="0" shrinkToFit="0" wrapText="0"/>
    </xf>
    <xf borderId="5" fillId="0" fontId="9" numFmtId="0" xfId="0" applyAlignment="1" applyBorder="1" applyFont="1">
      <alignment shrinkToFit="0" wrapText="0"/>
    </xf>
    <xf borderId="5" fillId="9" fontId="9" numFmtId="0" xfId="0" applyAlignment="1" applyBorder="1" applyFont="1">
      <alignment horizontal="center" readingOrder="0" shrinkToFit="0" wrapText="0"/>
    </xf>
    <xf borderId="10" fillId="0" fontId="9" numFmtId="0" xfId="0" applyAlignment="1" applyBorder="1" applyFont="1">
      <alignment horizontal="center" readingOrder="0" shrinkToFit="0" wrapText="0"/>
    </xf>
    <xf borderId="5" fillId="35" fontId="9" numFmtId="0" xfId="0" applyAlignment="1" applyBorder="1" applyFont="1">
      <alignment readingOrder="0" shrinkToFit="0" wrapText="0"/>
    </xf>
    <xf borderId="10" fillId="9" fontId="9" numFmtId="0" xfId="0" applyAlignment="1" applyBorder="1" applyFont="1">
      <alignment readingOrder="0" shrinkToFit="0" wrapText="0"/>
    </xf>
    <xf borderId="10" fillId="33" fontId="9" numFmtId="0" xfId="0" applyAlignment="1" applyBorder="1" applyFont="1">
      <alignment readingOrder="0" shrinkToFit="0" wrapText="0"/>
    </xf>
    <xf borderId="5" fillId="33" fontId="9" numFmtId="0" xfId="0" applyAlignment="1" applyBorder="1" applyFont="1">
      <alignment readingOrder="0" shrinkToFit="0" wrapText="0"/>
    </xf>
    <xf borderId="5" fillId="0" fontId="139" numFmtId="3" xfId="0" applyAlignment="1" applyBorder="1" applyFont="1" applyNumberFormat="1">
      <alignment readingOrder="0" shrinkToFit="0" vertical="top" wrapText="0"/>
    </xf>
    <xf borderId="5" fillId="0" fontId="9" numFmtId="3" xfId="0" applyAlignment="1" applyBorder="1" applyFont="1" applyNumberFormat="1">
      <alignment horizontal="right" readingOrder="0" shrinkToFit="0" wrapText="0"/>
    </xf>
    <xf borderId="5" fillId="9" fontId="9" numFmtId="3" xfId="0" applyAlignment="1" applyBorder="1" applyFont="1" applyNumberFormat="1">
      <alignment horizontal="center" readingOrder="0" shrinkToFit="0" wrapText="0"/>
    </xf>
    <xf borderId="10" fillId="0" fontId="9" numFmtId="0" xfId="0" applyAlignment="1" applyBorder="1" applyFont="1">
      <alignment shrinkToFit="0" wrapText="0"/>
    </xf>
    <xf borderId="10" fillId="33" fontId="9" numFmtId="0" xfId="0" applyAlignment="1" applyBorder="1" applyFont="1">
      <alignment shrinkToFit="0" wrapText="0"/>
    </xf>
    <xf borderId="5" fillId="0" fontId="139" numFmtId="0" xfId="0" applyAlignment="1" applyBorder="1" applyFont="1">
      <alignment readingOrder="0" shrinkToFit="0" vertical="top" wrapText="0"/>
    </xf>
    <xf borderId="5" fillId="0" fontId="139" numFmtId="0" xfId="0" applyAlignment="1" applyBorder="1" applyFont="1">
      <alignment shrinkToFit="0" vertical="top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6ac20d03-03fa-4d92-8774-1513710e0d84}">
    <Anchor>
      <Comment id="{c546b255-1a04-4482-bbe9-a8e7ab71d879}"/>
    </Anchor>
    <History>
      <Event time="2025-01-04T07:10:01.00" id="{b1e4e19f-4fcc-4a5c-a002-f056c4d8ed74}">
        <Attribution userId="placeholder@email.com" userName="Si Karudon" userProvider="google-sheets"/>
        <Anchor>
          <Comment id="{c546b255-1a04-4482-bbe9-a8e7ab71d879}"/>
        </Anchor>
        <Create/>
      </Event>
      <Event time="2025-01-04T07:10:01.00" id="{235e9710-ccd2-4730-a01e-2e99e0295cb6}">
        <Attribution userId="placeholder@email.com" userName="Si Karudon" userProvider="google-sheets"/>
        <Anchor>
          <Comment id="{c546b255-1a04-4482-bbe9-a8e7ab71d879}"/>
        </Anchor>
        <Assign userId="iliarizqy.sentra@gmail.com" userName="iliarizqy.sentra@gmail.com" userProvider="google-sheets"/>
      </Event>
    </History>
  </Task>
  <Task id="{50938a89-56cb-4457-95af-8a565811ef83}">
    <Anchor>
      <Comment id="{55df5039-617f-4b45-b87b-e1c3adfd0dc8}"/>
    </Anchor>
    <History>
      <Event time="2024-12-17T11:32:40.00" id="{c29c5dfe-8cba-48de-96ce-9a8aced8f694}">
        <Attribution userId="placeholder@email.com" userName="Si Karudon" userProvider="google-sheets"/>
        <Anchor>
          <Comment id="{55df5039-617f-4b45-b87b-e1c3adfd0dc8}"/>
        </Anchor>
        <Create/>
      </Event>
      <Event time="2024-12-17T11:32:40.00" id="{74b8838c-65e7-4d35-b56e-28d558b36bc6}">
        <Attribution userId="placeholder@email.com" userName="Si Karudon" userProvider="google-sheets"/>
        <Anchor>
          <Comment id="{55df5039-617f-4b45-b87b-e1c3adfd0dc8}"/>
        </Anchor>
        <Assign userId="iliarizqy.sentra@gmail.com" userName="iliarizqy.sentra@gmail.com" userProvider="google-sheets"/>
      </Event>
    </History>
  </Task>
</Tasks>
</file>

<file path=xl/documenttasks/documenttask3.xml><?xml version="1.0" encoding="utf-8"?>
<Tasks xmlns="http://schemas.microsoft.com/office/tasks/2019/documenttasks">
  <Task id="{481a08bc-02b1-4aff-bd5e-1b2184a57be7}">
    <Anchor>
      <Comment id="{e35df7b5-8e2b-45f3-bf34-3734f87dad6d}"/>
    </Anchor>
    <History>
      <Event time="2024-07-15T09:21:28.00" id="{62bbca2c-406e-4919-ad05-b6a8ec7003ce}">
        <Attribution userId="placeholder@email.com" userName="Si Karudon" userProvider="google-sheets"/>
        <Anchor>
          <Comment id="{e35df7b5-8e2b-45f3-bf34-3734f87dad6d}"/>
        </Anchor>
        <Create/>
      </Event>
      <Event time="2024-07-15T09:21:28.00" id="{9a116faa-1353-4044-8f1f-7c763a64c87a}">
        <Attribution userId="placeholder@email.com" userName="Si Karudon" userProvider="google-sheets"/>
        <Anchor>
          <Comment id="{e35df7b5-8e2b-45f3-bf34-3734f87dad6d}"/>
        </Anchor>
        <Assign userId="viandasariramadhani.sentra@gmail.com" userName="viandasariramadhani.sentra@gmail.com" userProvider="google-sheets"/>
      </Event>
    </History>
  </Task>
  <Task id="{c3f230be-1f08-4b55-85ba-a36a0ddbb0bc}">
    <Anchor>
      <Comment id="{691bbdf4-da8e-4401-ba5f-c54bff9c3083}"/>
    </Anchor>
    <History>
      <Event time="2024-07-15T09:22:38.00" id="{e6ecd2a9-034e-4dcc-8c74-f43bd4a2a3c1}">
        <Attribution userId="placeholder@email.com" userName="Si Karudon" userProvider="google-sheets"/>
        <Anchor>
          <Comment id="{691bbdf4-da8e-4401-ba5f-c54bff9c3083}"/>
        </Anchor>
        <Create/>
      </Event>
      <Event time="2024-07-15T09:22:38.00" id="{8dd0c335-d8b0-4321-a778-fc1f4654509f}">
        <Attribution userId="placeholder@email.com" userName="Si Karudon" userProvider="google-sheets"/>
        <Anchor>
          <Comment id="{691bbdf4-da8e-4401-ba5f-c54bff9c3083}"/>
        </Anchor>
        <Assign userId="viandasariramadhani.sentra@gmail.com" userName="viandasariramadhani.sentra@gmail.com" userProvider="google-sheets"/>
      </Event>
    </History>
  </Task>
  <Task id="{da2fa96b-0de7-4b57-9d60-bd8fada08572}">
    <Anchor>
      <Comment id="{1cf6a566-9c6c-4132-a247-3a4c6cf34565}"/>
    </Anchor>
    <History>
      <Event time="2024-09-03T13:51:05.00" id="{049e41c1-a3f9-404b-8342-d910eda52690}">
        <Attribution userId="placeholder@email.com" userName="Si Karudon" userProvider="google-sheets"/>
        <Anchor>
          <Comment id="{1cf6a566-9c6c-4132-a247-3a4c6cf34565}"/>
        </Anchor>
        <Create/>
      </Event>
      <Event time="2024-09-03T13:51:05.00" id="{7131dcff-a2c2-4b89-b713-8bdedb8588e2}">
        <Attribution userId="placeholder@email.com" userName="Si Karudon" userProvider="google-sheets"/>
        <Anchor>
          <Comment id="{1cf6a566-9c6c-4132-a247-3a4c6cf34565}"/>
        </Anchor>
        <Assign userId="viandasariramadhani.sentra@gmail.com" userName="viandasariramadhani.sentra@gmail.com" userProvider="google-sheets"/>
      </Event>
    </History>
  </Task>
  <Task id="{62f1ab6e-e4ae-4581-88e6-66665bdf01f1}">
    <Anchor>
      <Comment id="{170a5b1f-214e-4bfe-8f90-b12f1017b7fd}"/>
    </Anchor>
    <History>
      <Event time="2024-09-03T13:52:54.00" id="{6706cdf7-1c9a-4b1e-b690-d6ffb5451932}">
        <Attribution userId="placeholder@email.com" userName="Si Karudon" userProvider="google-sheets"/>
        <Anchor>
          <Comment id="{170a5b1f-214e-4bfe-8f90-b12f1017b7fd}"/>
        </Anchor>
        <Create/>
      </Event>
      <Event time="2024-09-03T13:52:54.00" id="{83cc0398-0fe9-4eab-8797-e634cf876edc}">
        <Attribution userId="placeholder@email.com" userName="Si Karudon" userProvider="google-sheets"/>
        <Anchor>
          <Comment id="{170a5b1f-214e-4bfe-8f90-b12f1017b7fd}"/>
        </Anchor>
        <Assign userId="viandasariramadhani.sentra@gmail.com" userName="viandasariramadhani.sentra@gmail.com" userProvider="google-sheets"/>
      </Event>
    </History>
  </Task>
  <Task id="{27c0f327-969d-466d-b37a-d9954550be01}">
    <Anchor>
      <Comment id="{afe24b9e-ea33-4f9c-bec9-cdde7b6dde20}"/>
    </Anchor>
    <History>
      <Event time="2024-07-01T08:43:35.00" id="{6928e14f-f7fa-4c9b-9ef2-902d680f4982}">
        <Attribution userId="placeholder@email.com" userName="Si Karudon" userProvider="google-sheets"/>
        <Anchor>
          <Comment id="{afe24b9e-ea33-4f9c-bec9-cdde7b6dde20}"/>
        </Anchor>
        <Create/>
      </Event>
      <Event time="2024-07-01T08:43:35.00" id="{01abf007-e996-47de-bc7c-f181f42bb047}">
        <Attribution userId="placeholder@email.com" userName="Si Karudon" userProvider="google-sheets"/>
        <Anchor>
          <Comment id="{afe24b9e-ea33-4f9c-bec9-cdde7b6dde20}"/>
        </Anchor>
        <Assign userId="viandasariramadhani.sentra@gmail.com" userName="viandasariramadhani.sentra@gmail.com" userProvider="google-sheets"/>
      </Event>
    </History>
  </Task>
  <Task id="{a56f1145-429e-490c-8a3e-510866194470}">
    <Anchor>
      <Comment id="{002b4e5e-3d20-4534-9d41-1ace7b877295}"/>
    </Anchor>
    <History>
      <Event time="2024-07-01T08:43:25.00" id="{4cada4ee-e2ef-4e8e-9153-8e16c4d53de0}">
        <Attribution userId="placeholder@email.com" userName="Si Karudon" userProvider="google-sheets"/>
        <Anchor>
          <Comment id="{002b4e5e-3d20-4534-9d41-1ace7b877295}"/>
        </Anchor>
        <Create/>
      </Event>
      <Event time="2024-07-01T08:43:25.00" id="{498a7748-443d-4f43-a410-eccef676451c}">
        <Attribution userId="placeholder@email.com" userName="Si Karudon" userProvider="google-sheets"/>
        <Anchor>
          <Comment id="{002b4e5e-3d20-4534-9d41-1ace7b877295}"/>
        </Anchor>
        <Assign userId="viandasariramadhani.sentra@gmail.com" userName="viandasariramadhani.sentra@gmail.com" userProvider="google-sheets"/>
      </Event>
    </History>
  </Task>
  <Task id="{0b3d887c-fc49-4a10-9083-eea6d19abea9}">
    <Anchor>
      <Comment id="{3d8b3a4a-235f-42b4-bb02-4492262f2667}"/>
    </Anchor>
    <History>
      <Event time="2025-01-16T07:31:56.00" id="{0a8dd62f-26d6-4bf6-8104-44fe4f5ec8d4}">
        <Attribution userId="placeholder@email.com" userName="Si Karudon" userProvider="google-sheets"/>
        <Anchor>
          <Comment id="{3d8b3a4a-235f-42b4-bb02-4492262f2667}"/>
        </Anchor>
        <Create/>
      </Event>
      <Event time="2025-01-16T07:31:56.00" id="{69d63967-db74-495b-a834-58e25c6920de}">
        <Attribution userId="placeholder@email.com" userName="Si Karudon" userProvider="google-sheets"/>
        <Anchor>
          <Comment id="{3d8b3a4a-235f-42b4-bb02-4492262f2667}"/>
        </Anchor>
        <Assign userId="viandasariramadhani.sentra@gmail.com" userName="viandasariramadhani.sentra@gmail.com" userProvider="google-sheets"/>
      </Event>
    </History>
  </Task>
</Task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19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47</xdr:row>
      <xdr:rowOff>142875</xdr:rowOff>
    </xdr:from>
    <xdr:ext cx="1019175" cy="371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20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48</xdr:row>
      <xdr:rowOff>142875</xdr:rowOff>
    </xdr:from>
    <xdr:ext cx="1019175" cy="371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18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17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17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16</xdr:row>
      <xdr:rowOff>76200</xdr:rowOff>
    </xdr:from>
    <xdr:ext cx="1171575" cy="45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19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49</xdr:row>
      <xdr:rowOff>142875</xdr:rowOff>
    </xdr:from>
    <xdr:ext cx="1019175" cy="371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17</xdr:row>
      <xdr:rowOff>95250</xdr:rowOff>
    </xdr:from>
    <xdr:ext cx="11715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20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19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228600</xdr:colOff>
      <xdr:row>16</xdr:row>
      <xdr:rowOff>133350</xdr:rowOff>
    </xdr:from>
    <xdr:ext cx="2257425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2</xdr:row>
      <xdr:rowOff>38100</xdr:rowOff>
    </xdr:from>
    <xdr:ext cx="1838325" cy="18383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561975</xdr:colOff>
      <xdr:row>2</xdr:row>
      <xdr:rowOff>38100</xdr:rowOff>
    </xdr:from>
    <xdr:ext cx="1838325" cy="18383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561975</xdr:colOff>
      <xdr:row>20</xdr:row>
      <xdr:rowOff>19050</xdr:rowOff>
    </xdr:from>
    <xdr:ext cx="1838325" cy="18383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20</xdr:row>
      <xdr:rowOff>19050</xdr:rowOff>
    </xdr:from>
    <xdr:ext cx="1838325" cy="18383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lia Rizqy" id="{6d3a79e2-d999-4b22-95ec-2fc48c55f0fc}" providerId="google-sheets"/>
  <x18tc:person displayName="viandasariramadhani.sentra@gmail.com" id="{b1395b3e-778a-4821-bea9-4f632a62acf7}" userId="viandasariramadhani.sentra@gmail.com" providerId="google-sheets"/>
  <x18tc:person displayName="Sentra Kaca Mobil" id="{0cc01bb6-d4ca-46db-a46f-fc9e6473871d}" providerId="google-sheets"/>
  <x18tc:person displayName="Viandasari Ramadhani" id="{d677a7da-80f6-45a9-b94d-44162cc58c30}" providerId="google-sheets"/>
  <x18tc:person displayName="iliarizqy.sentra@gmail.com" id="{c03258b8-c588-4341-87b2-e5b5d56b1e21}" userId="iliarizqy.sentra@gmail.com" providerId="google-sheets"/>
  <x18tc:person displayName="Si Karudon" id="{8a70c216-acc7-42b7-9aa6-c067e56014b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6-04T09:44:48.00" personId="{8a70c216-acc7-42b7-9aa6-c067e56014ba}" id="{cd35301f-e103-4bbf-84ff-9faf858a3d48}" done="1">
    <x18tc:text xml:space="preserve">kemana?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V1233" dT="2025-01-04T07:10:01.00" personId="{8a70c216-acc7-42b7-9aa6-c067e56014ba}" id="{c546b255-1a04-4482-bbe9-a8e7ab71d879}" done="1">
    <x18tc:text xml:space="preserve">ini apa mba lia @iliarizqy.sentra@gmail.com
Ditugaskan kepada iliarizqy.sentra@gmail.com</x18tc:text>
    <x18tc:mentions>
      <x18tc:mention mentionpersonId="{c03258b8-c588-4341-87b2-e5b5d56b1e21}" mentionId="{e14c34cf-e0f4-4dfe-9142-3e2e9dde4430}" startIndex="16" length="27"/>
    </x18tc:mentions>
  </x18tc:threadedComment>
  <x18tc:threadedComment ref="V1233" dT="2025-01-04T07:52:41.00" personId="{6d3a79e2-d999-4b22-95ec-2fc48c55f0fc}" id="{f5c253cc-7e44-4269-a8f8-e656694eb64f}" parentId="{c546b255-1a04-4482-bbe9-a8e7ab71d879}">
    <x18tc:text xml:space="preserve">Salah copy ci</x18tc:text>
  </x18tc:threadedComment>
  <x18tc:threadedComment ref="X500" dT="2024-08-10T06:23:53.00" personId="{8a70c216-acc7-42b7-9aa6-c067e56014ba}" id="{046af781-75d8-4cd0-86f1-a0af0720923c}" done="1">
    <x18tc:text xml:space="preserve">blm tf</x18tc:text>
  </x18tc:threadedComment>
  <x18tc:threadedComment ref="X500" dT="2024-09-03T12:28:55.00" personId="{8a70c216-acc7-42b7-9aa6-c067e56014ba}" id="{047f24d3-72af-4295-ae27-1e8f486e7e3e}" parentId="{046af781-75d8-4cd0-86f1-a0af0720923c}">
    <x18tc:text xml:space="preserve">DONE 3/9/24</x18tc:text>
  </x18tc:threadedComment>
  <x18tc:threadedComment ref="H2601" dT="2025-12-04T10:47:03.00" personId="{0cc01bb6-d4ca-46db-a46f-fc9e6473871d}" id="{b323cfdc-bbe8-4f5d-9ab6-e01577ccab23}" done="1">
    <x18tc:text xml:space="preserve">cek</x18tc:text>
  </x18tc:threadedComment>
  <x18tc:threadedComment ref="X1153" dT="2025-01-04T07:08:40.00" personId="{8a70c216-acc7-42b7-9aa6-c067e56014ba}" id="{48637fcc-9cf3-4040-8f77-e05f4be2f003}" done="1">
    <x18tc:text xml:space="preserve">belum ketarik</x18tc:text>
  </x18tc:threadedComment>
  <x18tc:threadedComment ref="X1153" dT="2025-01-09T08:34:53.00" personId="{8a70c216-acc7-42b7-9aa6-c067e56014ba}" id="{07ec0963-101c-4272-a0df-c0a57eab42dd}" parentId="{48637fcc-9cf3-4040-8f77-e05f4be2f003}">
    <x18tc:text xml:space="preserve">done</x18tc:text>
  </x18tc:threadedComment>
  <x18tc:threadedComment ref="X1133" dT="2025-01-04T07:07:49.00" personId="{8a70c216-acc7-42b7-9aa6-c067e56014ba}" id="{25f8e860-ef75-4067-869f-6afe02c9ec59}" done="1">
    <x18tc:text xml:space="preserve">belu ketarik</x18tc:text>
  </x18tc:threadedComment>
  <x18tc:threadedComment ref="X1133" dT="2025-01-07T10:03:57.00" personId="{8a70c216-acc7-42b7-9aa6-c067e56014ba}" id="{231216c3-2273-4830-a24a-9e67396ef782}" parentId="{25f8e860-ef75-4067-869f-6afe02c9ec59}">
    <x18tc:text xml:space="preserve">done</x18tc:text>
  </x18tc:threadedComment>
  <x18tc:threadedComment ref="T779" dT="2024-09-23T10:16:44.00" personId="{8a70c216-acc7-42b7-9aa6-c067e56014ba}" id="{e253f9e2-3c41-4498-aecd-eafec090de51}" done="1">
    <x18tc:text xml:space="preserve">Potongan tokped</x18tc:text>
  </x18tc:threadedComment>
  <x18tc:threadedComment ref="T779" dT="2024-09-25T04:41:12.00" personId="{d677a7da-80f6-45a9-b94d-44162cc58c30}" id="{2443be80-535d-4207-a880-bc34b503ccf0}" parentId="{e253f9e2-3c41-4498-aecd-eafec090de51}">
    <x18tc:text xml:space="preserve">DONE</x18tc:text>
  </x18tc:threadedComment>
  <x18tc:threadedComment ref="B798" dT="2024-10-03T10:13:39.00" personId="{8a70c216-acc7-42b7-9aa6-c067e56014ba}" id="{42e19de1-f1f4-4a3f-b457-1edacf4d29df}" done="1">
    <x18tc:text xml:space="preserve">tips 100k uang pribadi</x18tc:text>
  </x18tc:threadedComment>
  <x18tc:threadedComment ref="B798" dT="2024-10-15T11:21:55.00" personId="{8a70c216-acc7-42b7-9aa6-c067e56014ba}" id="{bd6fce1f-5884-4f52-a49a-001ef130523d}" parentId="{42e19de1-f1f4-4a3f-b457-1edacf4d29df}">
    <x18tc:text xml:space="preserve">DONE 15/10/24</x18tc:text>
  </x18tc:threadedComment>
  <x18tc:threadedComment ref="B723" dT="2024-10-03T10:28:35.00" personId="{8a70c216-acc7-42b7-9aa6-c067e56014ba}" id="{5c4217ca-713f-42a9-8f7b-391d9d6bca9b}" done="1">
    <x18tc:text xml:space="preserve">refund 100 pribadi</x18tc:text>
  </x18tc:threadedComment>
  <x18tc:threadedComment ref="R833" dT="2024-10-08T10:18:43.00" personId="{8a70c216-acc7-42b7-9aa6-c067e56014ba}" id="{862c98c1-b380-4b1f-9e3c-eacc2dbdec09}" done="1">
    <x18tc:text xml:space="preserve">terima 1.450.000 upping nota, 350.000 uang petty cash. hrs reimburse</x18tc:text>
  </x18tc:threadedComment>
  <x18tc:threadedComment ref="R833" dT="2024-10-15T11:23:14.00" personId="{8a70c216-acc7-42b7-9aa6-c067e56014ba}" id="{cccba5d1-37f0-46dd-a642-02246a5218c5}" parentId="{862c98c1-b380-4b1f-9e3c-eacc2dbdec09}">
    <x18tc:text xml:space="preserve">done 15/10/24 petty cash 711</x18tc:text>
  </x18tc:threadedComment>
  <x18tc:threadedComment ref="B1340" dT="2025-02-14T04:20:14.00" personId="{6d3a79e2-d999-4b22-95ec-2fc48c55f0fc}" id="{28b76d69-a68c-4b1f-bd04-85cf3343cc53}" done="0">
    <x18tc:text xml:space="preserve">REVIEW GOOGLE MAPS
GARANSI KEBOCORAN 15 BULAN</x18tc:text>
  </x18tc:threadedComment>
  <x18tc:threadedComment ref="B1340" dT="2025-02-14T04:20:27.00" personId="{6d3a79e2-d999-4b22-95ec-2fc48c55f0fc}" id="{0f0b2efc-4bf0-4e4c-b65a-d38ba07a51dc}" parentId="{28b76d69-a68c-4b1f-bd04-85cf3343cc53}">
    <x18tc:text xml:space="preserve">tidak bisa edit ci</x18tc:text>
  </x18tc:threadedComment>
  <x18tc:threadedComment ref="R994" dT="2024-11-12T07:25:38.00" personId="{8a70c216-acc7-42b7-9aa6-c067e56014ba}" id="{de4e71e0-4878-4356-a991-795ddd23bc05}" done="0">
    <x18tc:text xml:space="preserve">TEMPO 60 HARI</x18tc:text>
  </x18tc:threadedComment>
  <x18tc:threadedComment ref="R994" dT="2025-01-14T10:16:58.00" personId="{6d3a79e2-d999-4b22-95ec-2fc48c55f0fc}" id="{3e91df5a-555f-4975-82bc-93bd7745caa9}" parentId="{de4e71e0-4878-4356-a991-795ddd23bc05}">
    <x18tc:text xml:space="preserve">Sudah dibayarkan 14/1/2025</x18tc:text>
  </x18tc:threadedComment>
  <x18tc:threadedComment ref="B1490" dT="2025-02-12T05:01:10.00" personId="{6d3a79e2-d999-4b22-95ec-2fc48c55f0fc}" id="{60fcdb2c-e12b-44bd-ad74-f9d2ada6e8d5}" done="0">
    <x18tc:text xml:space="preserve">SJB250003</x18tc:text>
  </x18tc:threadedComment>
  <x18tc:threadedComment ref="R798" dT="2024-10-08T10:23:33.00" personId="{8a70c216-acc7-42b7-9aa6-c067e56014ba}" id="{c93a54c1-353d-44bb-ad37-4e6cca8303e5}" done="1">
    <x18tc:text xml:space="preserve">Tips 100k uang pribadi perlu reimburse</x18tc:text>
  </x18tc:threadedComment>
  <x18tc:threadedComment ref="B1203" dT="2025-01-04T05:20:38.00" personId="{8a70c216-acc7-42b7-9aa6-c067e56014ba}" id="{0af908ed-3662-4b94-9e36-97aa7a4fbc38}" done="0">
    <x18tc:text xml:space="preserve">LEMBUR PAKAI?</x18tc:text>
  </x18tc:threadedComment>
  <x18tc:threadedComment ref="T1086" dT="2024-11-28T04:42:34.00" personId="{8a70c216-acc7-42b7-9aa6-c067e56014ba}" id="{f537d59d-52ed-4d12-bd6f-a9e935606cfa}" done="1">
    <x18tc:text xml:space="preserve">POTONGAN</x18tc:text>
  </x18tc:threadedComment>
  <x18tc:threadedComment ref="T1086" dT="2024-12-02T02:53:17.00" personId="{6d3a79e2-d999-4b22-95ec-2fc48c55f0fc}" id="{439b08e6-5533-4a95-9743-109c56dd80de}" parentId="{f537d59d-52ed-4d12-bd6f-a9e935606cfa}">
    <x18tc:text xml:space="preserve">Sudah update</x18tc:text>
  </x18tc:threadedComment>
  <x18tc:threadedComment ref="X1121" dT="2024-12-17T11:32:40.00" personId="{8a70c216-acc7-42b7-9aa6-c067e56014ba}" id="{55df5039-617f-4b45-b87b-e1c3adfd0dc8}" done="1">
    <x18tc:text xml:space="preserve">tf kmn? @iliarizqy.sentra@gmail.com
Ditugaskan kepada iliarizqy.sentra@gmail.com</x18tc:text>
    <x18tc:mentions>
      <x18tc:mention mentionpersonId="{c03258b8-c588-4341-87b2-e5b5d56b1e21}" mentionId="{448a13d5-5601-430f-b178-e52db62d827c}" startIndex="8" length="27"/>
    </x18tc:mentions>
  </x18tc:threadedComment>
  <x18tc:threadedComment ref="T861" dT="2024-10-09T06:49:46.00" personId="{8a70c216-acc7-42b7-9aa6-c067e56014ba}" id="{eeadda89-922f-44c3-b133-bf4b1f8a401a}" done="1">
    <x18tc:text xml:space="preserve">potongan</x18tc:text>
  </x18tc:threadedComment>
  <x18tc:threadedComment ref="T861" dT="2024-10-17T03:43:39.00" personId="{6d3a79e2-d999-4b22-95ec-2fc48c55f0fc}" id="{162b7535-d68e-4af3-84e7-6821b20d9c0c}" parentId="{eeadda89-922f-44c3-b133-bf4b1f8a401a}">
    <x18tc:text xml:space="preserve">sudah update</x18tc:text>
  </x18tc:threadedComment>
  <x18tc:threadedComment ref="X1086" dT="2025-01-04T07:05:11.00" personId="{8a70c216-acc7-42b7-9aa6-c067e56014ba}" id="{8dcb9bd4-14cb-42e1-88d4-417f245e6460}" done="1">
    <x18tc:text xml:space="preserve">belum ketarik</x18tc:text>
  </x18tc:threadedComment>
  <x18tc:threadedComment ref="F398" dT="2024-07-17T13:41:03.00" personId="{8a70c216-acc7-42b7-9aa6-c067e56014ba}" id="{11d4a5b1-ed3e-4b04-bc2d-622f03cfd9c2}" done="1">
    <x18tc:text xml:space="preserve">cek rek kjd masuk</x18tc:text>
  </x18tc:threadedComment>
  <x18tc:threadedComment ref="T857" dT="2024-10-08T09:18:08.00" personId="{8a70c216-acc7-42b7-9aa6-c067e56014ba}" id="{468e475d-197e-4f79-9507-fb7952ed1f5d}" done="1">
    <x18tc:text xml:space="preserve">potongan</x18tc:text>
  </x18tc:threadedComment>
  <x18tc:threadedComment ref="T857" dT="2024-10-14T01:56:50.00" personId="{6d3a79e2-d999-4b22-95ec-2fc48c55f0fc}" id="{d3a56d2e-c335-4593-bef8-4ac2685f863b}" parentId="{468e475d-197e-4f79-9507-fb7952ed1f5d}">
    <x18tc:text xml:space="preserve">sudah update</x18tc:text>
  </x18tc:threadedComment>
  <x18tc:threadedComment ref="C1210" dT="2025-01-04T06:48:11.00" personId="{8a70c216-acc7-42b7-9aa6-c067e56014ba}" id="{6a2f5f63-8879-4c3c-b3ae-718e56d33f95}" done="0">
    <x18tc:text xml:space="preserve">info jika ada XYG</x18tc:text>
  </x18tc:threadedComment>
  <x18tc:threadedComment ref="C1210" dT="2025-01-14T02:22:58.00" personId="{6d3a79e2-d999-4b22-95ec-2fc48c55f0fc}" id="{305a24f8-d083-469b-a7fd-6ffe932c6cd2}" parentId="{6a2f5f63-8879-4c3c-b3ae-718e56d33f95}">
    <x18tc:text xml:space="preserve">Sudah update dari FR - XYG</x18tc:text>
  </x18tc:threadedComment>
  <x18tc:threadedComment ref="T1013" dT="2024-11-12T07:21:27.00" personId="{8a70c216-acc7-42b7-9aa6-c067e56014ba}" id="{03c81bf6-1b26-4390-84fa-01f2bd52994e}" done="1">
    <x18tc:text xml:space="preserve">potongan tokped</x18tc:text>
  </x18tc:threadedComment>
  <x18tc:threadedComment ref="T1013" dT="2024-11-30T00:48:24.00" personId="{6d3a79e2-d999-4b22-95ec-2fc48c55f0fc}" id="{370c0f4e-957a-4b32-beb6-fc8fbb79d9f2}" parentId="{03c81bf6-1b26-4390-84fa-01f2bd52994e}">
    <x18tc:text xml:space="preserve">sudah update</x18tc:text>
  </x18tc:threadedComment>
  <x18tc:threadedComment ref="T973" dT="2024-11-05T12:21:18.00" personId="{8a70c216-acc7-42b7-9aa6-c067e56014ba}" id="{444d6af2-dfe3-4057-95ca-e63c4b87c08d}" done="1">
    <x18tc:text xml:space="preserve">potongan tokped</x18tc:text>
  </x18tc:threadedComment>
  <x18tc:threadedComment ref="T973" dT="2024-11-11T08:33:05.00" personId="{6d3a79e2-d999-4b22-95ec-2fc48c55f0fc}" id="{e3de063d-933d-4565-a821-809aabe40c74}" parentId="{444d6af2-dfe3-4057-95ca-e63c4b87c08d}">
    <x18tc:text xml:space="preserve">Sudah update</x18tc:text>
  </x18tc:threadedComment>
  <x18tc:threadedComment ref="T1008" dT="2024-11-12T07:15:05.00" personId="{8a70c216-acc7-42b7-9aa6-c067e56014ba}" id="{be76457f-bacd-40ff-bdf4-2e5b2ddc06a7}" done="1">
    <x18tc:text xml:space="preserve">potongan tokped</x18tc:text>
  </x18tc:threadedComment>
  <x18tc:threadedComment ref="T1008" dT="2024-11-18T01:44:09.00" personId="{6d3a79e2-d999-4b22-95ec-2fc48c55f0fc}" id="{a3271946-e93e-4997-bea4-b8d89a5b509f}" parentId="{be76457f-bacd-40ff-bdf4-2e5b2ddc06a7}">
    <x18tc:text xml:space="preserve">sudah update</x18tc:text>
  </x18tc:threadedComment>
  <x18tc:threadedComment ref="T975" dT="2024-11-05T12:21:45.00" personId="{8a70c216-acc7-42b7-9aa6-c067e56014ba}" id="{810b3da7-b171-456d-97f7-b360516b8d33}" done="1">
    <x18tc:text xml:space="preserve">potongan tokped</x18tc:text>
  </x18tc:threadedComment>
  <x18tc:threadedComment ref="R398" dT="2024-07-17T13:42:22.00" personId="{8a70c216-acc7-42b7-9aa6-c067e56014ba}" id="{867057c2-b929-447a-9056-0a9c58ee2614}" done="0">
    <x18tc:text xml:space="preserve">CEK REK</x18tc:text>
  </x18tc:threadedComment>
  <x18tc:threadedComment ref="T1099" dT="2024-12-03T11:17:18.00" personId="{8a70c216-acc7-42b7-9aa6-c067e56014ba}" id="{0f4832a0-e2c4-43b9-8e0d-ca498117a5c8}" done="1">
    <x18tc:text xml:space="preserve">potongan</x18tc:text>
  </x18tc:threadedComment>
  <x18tc:threadedComment ref="T1099" dT="2024-12-04T06:56:35.00" personId="{6d3a79e2-d999-4b22-95ec-2fc48c55f0fc}" id="{8d55672d-4991-40e8-a251-0ecba96ef9e8}" parentId="{0f4832a0-e2c4-43b9-8e0d-ca498117a5c8}">
    <x18tc:text xml:space="preserve">Sudah update</x18tc:text>
  </x18tc:threadedComment>
  <x18tc:threadedComment ref="X403" dT="2024-07-17T13:48:04.00" personId="{8a70c216-acc7-42b7-9aa6-c067e56014ba}" id="{9925b90b-b22b-491b-b2c9-283c655a5b20}" done="1">
    <x18tc:text xml:space="preserve">cek rek</x18tc:text>
  </x18tc:threadedComment>
  <x18tc:threadedComment ref="X403" dT="2024-09-03T12:44:40.00" personId="{8a70c216-acc7-42b7-9aa6-c067e56014ba}" id="{05511889-4556-4752-a431-2d75a53a995b}" parentId="{9925b90b-b22b-491b-b2c9-283c655a5b20}">
    <x18tc:text xml:space="preserve">bareng pembayaran 04/07/2024 - G240011</x18tc:text>
  </x18tc:threadedComment>
  <x18tc:threadedComment ref="C1133" dT="2025-03-04T03:08:08.00" personId="{6d3a79e2-d999-4b22-95ec-2fc48c55f0fc}" id="{aa2ae7ab-767c-4eeb-b767-0c7fd5e86cea}" done="1">
    <x18tc:text xml:space="preserve">tidak bisa diganti</x18tc:text>
  </x18tc:threadedComment>
  <x18tc:threadedComment ref="R727" dT="2024-10-31T14:19:01.00" personId="{8a70c216-acc7-42b7-9aa6-c067e56014ba}" id="{e59e1c40-66c7-4ba7-a780-863539b6367a}" done="0">
    <x18tc:text xml:space="preserve">Pelunasan kapan</x18tc:text>
  </x18tc:threadedComment>
  <x18tc:threadedComment ref="X406" dT="2024-07-17T13:49:44.00" personId="{8a70c216-acc7-42b7-9aa6-c067e56014ba}" id="{050babd2-4d07-4fe7-9876-d8063e4e19bb}" done="1">
    <x18tc:text xml:space="preserve">cek rek</x18tc:text>
  </x18tc:threadedComment>
  <x18tc:threadedComment ref="T816" dT="2024-09-30T13:09:31.00" personId="{8a70c216-acc7-42b7-9aa6-c067e56014ba}" id="{2246fdeb-6f1b-4620-87bc-7a25eb2f3f86}" done="1">
    <x18tc:text xml:space="preserve">Potongan</x18tc:text>
  </x18tc:threadedComment>
  <x18tc:threadedComment ref="T816" dT="2024-10-09T02:23:53.00" personId="{6d3a79e2-d999-4b22-95ec-2fc48c55f0fc}" id="{ce4a3a87-bfcd-47a6-a647-2cb2ff781df3}" parentId="{2246fdeb-6f1b-4620-87bc-7a25eb2f3f86}">
    <x18tc:text xml:space="preserve">sudah update</x18tc:text>
  </x18tc:threadedComment>
  <x18tc:threadedComment ref="R428" dT="2024-07-17T13:54:45.00" personId="{8a70c216-acc7-42b7-9aa6-c067e56014ba}" id="{96c113c4-2dcf-49ee-90da-3aad1f92c147}" done="1">
    <x18tc:text xml:space="preserve">cek rek</x18tc:text>
  </x18tc:threadedComment>
  <x18tc:threadedComment ref="R428" dT="2024-09-03T12:54:26.00" personId="{8a70c216-acc7-42b7-9aa6-c067e56014ba}" id="{fe07027e-87a3-470a-ad61-61eeec7765e2}" parentId="{96c113c4-2dcf-49ee-90da-3aad1f92c147}">
    <x18tc:text xml:space="preserve">Pembayaran TF 33 1.778.000 5/7/24 berbarengan F240074
Ditandai selesai</x18tc:text>
  </x18tc:threadedComment>
  <x18tc:threadedComment ref="X1118" dT="2025-01-04T07:06:58.00" personId="{8a70c216-acc7-42b7-9aa6-c067e56014ba}" id="{b8ac8cf0-f05b-4768-a2a1-a9ab16ecdc31}" done="1">
    <x18tc:text xml:space="preserve">belum ketarik</x18tc:text>
  </x18tc:threadedComment>
  <x18tc:threadedComment ref="X1118" dT="2025-01-06T10:24:35.00" personId="{8a70c216-acc7-42b7-9aa6-c067e56014ba}" id="{84a8119d-0f11-472b-9d56-c7486cf01919}" parentId="{b8ac8cf0-f05b-4768-a2a1-a9ab16ecdc31}">
    <x18tc:text xml:space="preserve">done</x18tc:text>
  </x18tc:threadedComment>
  <x18tc:threadedComment ref="C532" dT="2024-09-27T04:22:35.00" personId="{8a70c216-acc7-42b7-9aa6-c067e56014ba}" id="{b0b0ec32-166c-4134-ae6b-26122df45a45}" done="0">
    <x18tc:text xml:space="preserve">BELUM UBAH DI SISTEM DARI LFW-FORTUNER05MU</x18tc:text>
  </x18tc:threadedComment>
  <x18tc:threadedComment ref="X1099" dT="2025-01-04T07:06:08.00" personId="{8a70c216-acc7-42b7-9aa6-c067e56014ba}" id="{fe540a8d-6a00-42ec-84f6-f10709fd945d}" done="1">
    <x18tc:text xml:space="preserve">belum ketarik</x18tc:text>
  </x18tc:threadedComment>
  <x18tc:threadedComment ref="X1099" dT="2025-01-06T06:37:23.00" personId="{8a70c216-acc7-42b7-9aa6-c067e56014ba}" id="{fd33b46e-e2c3-4273-a864-a53a7482159c}" parentId="{fe540a8d-6a00-42ec-84f6-f10709fd945d}">
    <x18tc:text xml:space="preserve">done</x18tc:text>
  </x18tc:threadedComment>
  <x18tc:threadedComment ref="T1060" dT="2024-11-23T09:14:09.00" personId="{8a70c216-acc7-42b7-9aa6-c067e56014ba}" id="{06720027-6fb0-441d-8ea3-34397a15aa21}" done="0">
    <x18tc:text xml:space="preserve">potongan tokped</x18tc:text>
  </x18tc:threadedComment>
  <x18tc:threadedComment ref="T1060" dT="2024-11-26T03:21:26.00" personId="{6d3a79e2-d999-4b22-95ec-2fc48c55f0fc}" id="{871bac48-a8e1-4ee5-8e89-6c9574be562c}" parentId="{06720027-6fb0-441d-8ea3-34397a15aa21}">
    <x18tc:text xml:space="preserve">sudah update</x18tc:text>
  </x18tc:threadedComment>
  <x18tc:threadedComment ref="T683" dT="2024-09-06T05:02:13.00" personId="{8a70c216-acc7-42b7-9aa6-c067e56014ba}" id="{64a0dcfc-df81-4c9a-b40b-9b4c25d2a82d}" done="1">
    <x18tc:text xml:space="preserve">cek potongan tokped</x18tc:text>
  </x18tc:threadedComment>
  <x18tc:threadedComment ref="T683" dT="2024-09-10T02:04:12.00" personId="{6d3a79e2-d999-4b22-95ec-2fc48c55f0fc}" id="{65f29515-5abd-48d4-b49a-d840969932c7}" parentId="{64a0dcfc-df81-4c9a-b40b-9b4c25d2a82d}">
    <x18tc:text xml:space="preserve">sudah cek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36" dT="2024-11-23T09:58:47.00" personId="{8a70c216-acc7-42b7-9aa6-c067e56014ba}" id="{0efd3d69-80dc-4da6-ac29-b8ed558192c0}" done="0">
    <x18tc:text xml:space="preserve">CEK SISTEM</x18tc:text>
  </x18tc:threadedComment>
  <x18tc:threadedComment ref="L864" dT="2025-03-03T04:33:27.00" personId="{6d3a79e2-d999-4b22-95ec-2fc48c55f0fc}" id="{1ee599f9-656a-41fd-b253-e0ded9747159}" done="1">
    <x18tc:text xml:space="preserve">tidak bisa pindahkan keteranganya</x18tc:text>
  </x18tc:threadedComment>
  <x18tc:threadedComment ref="B475" dT="2024-09-08T13:13:39.00" personId="{8a70c216-acc7-42b7-9aa6-c067e56014ba}" id="{287ad227-0acf-44f8-8d6a-a3c0c382c2b7}" done="1">
    <x18tc:text xml:space="preserve">BELUM GANTI PETTY CASH 26/6/24</x18tc:text>
  </x18tc:threadedComment>
  <x18tc:threadedComment ref="B475" dT="2024-09-27T03:34:39.00" personId="{8a70c216-acc7-42b7-9aa6-c067e56014ba}" id="{b81153cf-f1f6-4fcc-bfdc-2b91568f5deb}" parentId="{287ad227-0acf-44f8-8d6a-a3c0c382c2b7}">
    <x18tc:text xml:space="preserve">DONE 27/9/24
Ditandai selesai</x18tc:text>
  </x18tc:threadedComment>
  <x18tc:threadedComment ref="B493" dT="2024-07-15T09:21:28.00" personId="{8a70c216-acc7-42b7-9aa6-c067e56014ba}" id="{e35df7b5-8e2b-45f3-bf34-3734f87dad6d}" done="1">
    <x18tc:text xml:space="preserve">@viandasariramadhani.sentra@gmail.com no nota?
Ditugaskan kepada viandasariramadhani.sentra@gmail.com</x18tc:text>
    <x18tc:mentions>
      <x18tc:mention mentionpersonId="{b1395b3e-778a-4821-bea9-4f632a62acf7}" mentionId="{a7ebfabf-b645-447d-bcc2-f4ef3d296ab8}" startIndex="0" length="37"/>
    </x18tc:mentions>
  </x18tc:threadedComment>
  <x18tc:threadedComment ref="B493" dT="2024-07-15T09:47:03.00" personId="{d677a7da-80f6-45a9-b94d-44162cc58c30}" id="{46520fe0-d75c-434b-b8c6-5e9b79a2a84d}" parentId="{e35df7b5-8e2b-45f3-bf34-3734f87dad6d}">
    <x18tc:text xml:space="preserve">Done</x18tc:text>
  </x18tc:threadedComment>
  <x18tc:threadedComment ref="B529" dT="2024-08-08T03:51:37.00" personId="{8a70c216-acc7-42b7-9aa6-c067e56014ba}" id="{1198f5f5-3e55-40fb-a4fa-3ad54774bc5a}" done="1">
    <x18tc:text xml:space="preserve">ganti uang petty cash</x18tc:text>
  </x18tc:threadedComment>
  <x18tc:threadedComment ref="D594" dT="2024-09-13T11:54:40.00" personId="{8a70c216-acc7-42b7-9aa6-c067e56014ba}" id="{0d4b7b8c-b5fd-4f76-9e55-73a8d6e9de93}" done="1">
    <x18tc:text xml:space="preserve">@alvin</x18tc:text>
  </x18tc:threadedComment>
  <x18tc:threadedComment ref="D594" dT="2024-09-13T11:55:31.00" personId="{8a70c216-acc7-42b7-9aa6-c067e56014ba}" id="{237a7fcb-542e-4083-9b54-b9717214f1e3}" parentId="{0d4b7b8c-b5fd-4f76-9e55-73a8d6e9de93}">
    <x18tc:text xml:space="preserve">penjualan  26/8/24</x18tc:text>
  </x18tc:threadedComment>
  <x18tc:threadedComment ref="B400" dT="2024-09-08T12:59:08.00" personId="{8a70c216-acc7-42b7-9aa6-c067e56014ba}" id="{4d9d3ab5-20e3-4f6d-b534-6c207ca8b2f9}" done="1">
    <x18tc:text xml:space="preserve">BELUM petty cash</x18tc:text>
  </x18tc:threadedComment>
  <x18tc:threadedComment ref="B400" dT="2024-09-27T03:32:16.00" personId="{8a70c216-acc7-42b7-9aa6-c067e56014ba}" id="{bc81d755-ff0f-429a-8c7e-d6e71be465a4}" parentId="{4d9d3ab5-20e3-4f6d-b534-6c207ca8b2f9}">
    <x18tc:text xml:space="preserve">done 27/9/24
Ditandai selesai</x18tc:text>
  </x18tc:threadedComment>
  <x18tc:threadedComment ref="G494" dT="2024-07-15T09:22:38.00" personId="{8a70c216-acc7-42b7-9aa6-c067e56014ba}" id="{691bbdf4-da8e-4401-ba5f-c54bff9c3083}" done="1">
    <x18tc:text xml:space="preserve">@viandasariramadhani.sentra@gmail.com minta foto nota ke bgi
Ditugaskan kepada viandasariramadhani.sentra@gmail.com</x18tc:text>
    <x18tc:mentions>
      <x18tc:mention mentionpersonId="{b1395b3e-778a-4821-bea9-4f632a62acf7}" mentionId="{6b557ed5-1ba8-42b0-98ef-45daca03cb30}" startIndex="0" length="37"/>
    </x18tc:mentions>
  </x18tc:threadedComment>
  <x18tc:threadedComment ref="G494" dT="2024-07-15T09:46:54.00" personId="{d677a7da-80f6-45a9-b94d-44162cc58c30}" id="{8b612fbb-6c5c-46f6-9780-1b5ff99fc1d9}" parentId="{691bbdf4-da8e-4401-ba5f-c54bff9c3083}">
    <x18tc:text xml:space="preserve">Done ci</x18tc:text>
  </x18tc:threadedComment>
  <x18tc:threadedComment ref="F328" dT="2024-05-21T08:08:17.00" personId="{8a70c216-acc7-42b7-9aa6-c067e56014ba}" id="{8f3f780f-5a10-4305-8637-7b0b6880d7f6}" done="1">
    <x18tc:text xml:space="preserve">-1</x18tc:text>
  </x18tc:threadedComment>
  <x18tc:threadedComment ref="F328" dT="2024-05-21T08:08:30.00" personId="{8a70c216-acc7-42b7-9aa6-c067e56014ba}" id="{d02f9320-2f12-4e1b-9ed2-a474d494c3a2}" parentId="{8f3f780f-5a10-4305-8637-7b0b6880d7f6}">
    <x18tc:text xml:space="preserve">Minta nota revisi ke BGI</x18tc:text>
  </x18tc:threadedComment>
  <x18tc:threadedComment ref="F328" dT="2024-06-11T06:04:47.00" personId="{8a70c216-acc7-42b7-9aa6-c067e56014ba}" id="{e96ec195-c95c-4813-b533-33b27c8cea2d}" parentId="{8f3f780f-5a10-4305-8637-7b0b6880d7f6}">
    <x18tc:text xml:space="preserve">sudah di tukar guling kaca bagus</x18tc:text>
  </x18tc:threadedComment>
  <x18tc:threadedComment ref="H598" dT="2024-10-08T10:03:00.00" personId="{8a70c216-acc7-42b7-9aa6-c067e56014ba}" id="{767fcba9-cd40-4770-bf91-daaaec057d80}" done="1">
    <x18tc:text xml:space="preserve">sisa 994,038</x18tc:text>
  </x18tc:threadedComment>
  <x18tc:threadedComment ref="H598" dT="2024-11-15T04:53:59.00" personId="{8a70c216-acc7-42b7-9aa6-c067e56014ba}" id="{9ab2d544-ae2b-41cd-ab8a-8037f41ad6de}" parentId="{767fcba9-cd40-4770-bf91-daaaec057d80}">
    <x18tc:text xml:space="preserve">lunas 7/11/24</x18tc:text>
  </x18tc:threadedComment>
  <x18tc:threadedComment ref="G381" dT="2024-05-29T01:58:31.00" personId="{8a70c216-acc7-42b7-9aa6-c067e56014ba}" id="{2c28686b-a3ad-4cd9-b931-fa9e2cdab89c}" done="1">
    <x18tc:text xml:space="preserve">Cek MJD</x18tc:text>
  </x18tc:threadedComment>
  <x18tc:threadedComment ref="B826" dT="2025-02-28T09:12:44.00" personId="{8a70c216-acc7-42b7-9aa6-c067e56014ba}" id="{e8dad04d-c06a-4b75-b697-d5497ac950e7}" done="1">
    <x18tc:text xml:space="preserve">ini nomor nota salah, tolong revisi</x18tc:text>
  </x18tc:threadedComment>
  <x18tc:threadedComment ref="B826" dT="2025-02-28T09:21:51.00" personId="{8a70c216-acc7-42b7-9aa6-c067e56014ba}" id="{f5fe219a-1bcc-4d77-9e13-c9f90cce2dd3}" parentId="{e8dad04d-c06a-4b75-b697-d5497ac950e7}">
    <x18tc:text xml:space="preserve">@iliarizqy.sentra@gmail.com</x18tc:text>
    <x18tc:mentions>
      <x18tc:mention mentionpersonId="{c03258b8-c588-4341-87b2-e5b5d56b1e21}" mentionId="{d4b2805c-8cd4-493b-8c7e-ec92c5e048df}" startIndex="0" length="27"/>
    </x18tc:mentions>
  </x18tc:threadedComment>
  <x18tc:threadedComment ref="B826" dT="2025-02-28T09:51:25.00" personId="{6d3a79e2-d999-4b22-95ec-2fc48c55f0fc}" id="{eca0666d-1d59-426f-a984-4b9be0f3711f}" parentId="{e8dad04d-c06a-4b75-b697-d5497ac950e7}">
    <x18tc:text xml:space="preserve">sudah diperbaiki</x18tc:text>
  </x18tc:threadedComment>
  <x18tc:threadedComment ref="B495" dT="2024-09-03T13:54:51.00" personId="{8a70c216-acc7-42b7-9aa6-c067e56014ba}" id="{907a9673-41c6-4a44-9f8a-64f2329111de}" done="1">
    <x18tc:text xml:space="preserve">ganti uang petty cash</x18tc:text>
  </x18tc:threadedComment>
  <x18tc:threadedComment ref="G364" dT="2024-05-28T01:59:05.00" personId="{8a70c216-acc7-42b7-9aa6-c067e56014ba}" id="{c305d6d1-78a5-46e1-bccc-68d6de91b728}" done="1">
    <x18tc:text xml:space="preserve">Cek harga MJD</x18tc:text>
  </x18tc:threadedComment>
  <x18tc:threadedComment ref="B160" dT="2024-09-08T13:37:14.00" personId="{8a70c216-acc7-42b7-9aa6-c067e56014ba}" id="{f2dde767-b034-47d8-8d8a-69cd32fcd219}" done="1">
    <x18tc:text xml:space="preserve">BELUM GANTI PETTY CASH</x18tc:text>
  </x18tc:threadedComment>
  <x18tc:threadedComment ref="B160" dT="2024-09-27T03:28:35.00" personId="{8a70c216-acc7-42b7-9aa6-c067e56014ba}" id="{637581de-c3a4-45e7-96b0-66e873f6debd}" parentId="{f2dde767-b034-47d8-8d8a-69cd32fcd219}">
    <x18tc:text xml:space="preserve">ganti pribadi 27/9/24</x18tc:text>
  </x18tc:threadedComment>
  <x18tc:threadedComment ref="B625" dT="2024-09-27T02:42:45.00" personId="{8a70c216-acc7-42b7-9aa6-c067e56014ba}" id="{8bb11300-ab8f-43e3-befa-01857af8fb68}" done="1">
    <x18tc:text xml:space="preserve">blm reim pribadi</x18tc:text>
  </x18tc:threadedComment>
  <x18tc:threadedComment ref="G332" dT="2024-05-22T03:49:57.00" personId="{8a70c216-acc7-42b7-9aa6-c067e56014ba}" id="{9109a0dd-8fe5-41c8-850c-50743c67e3c9}" done="1">
    <x18tc:text xml:space="preserve">yang benar 212.200</x18tc:text>
  </x18tc:threadedComment>
  <x18tc:threadedComment ref="G579" dT="2024-09-03T13:51:05.00" personId="{8a70c216-acc7-42b7-9aa6-c067e56014ba}" id="{1cf6a566-9c6c-4132-a247-3a4c6cf34565}" done="1">
    <x18tc:text xml:space="preserve">@viandasariramadhani.sentra@gmail.com cek ke rajawali harga lama 558.764
Ditugaskan kepada viandasariramadhani.sentra@gmail.com</x18tc:text>
    <x18tc:mentions>
      <x18tc:mention mentionpersonId="{b1395b3e-778a-4821-bea9-4f632a62acf7}" mentionId="{c15f4a86-a25a-4366-a703-a3af97419503}" startIndex="0" length="37"/>
    </x18tc:mentions>
  </x18tc:threadedComment>
  <x18tc:threadedComment ref="G579" dT="2024-09-27T04:07:32.00" personId="{8a70c216-acc7-42b7-9aa6-c067e56014ba}" id="{73154aa3-7998-4af8-b38c-e7d637a28da1}" parentId="{1cf6a566-9c6c-4132-a247-3a4c6cf34565}">
    <x18tc:text xml:space="preserve">harga baru ada kenaikan dari pihak gudangnya Rp. 614.640</x18tc:text>
  </x18tc:threadedComment>
  <x18tc:threadedComment ref="B359" dT="2024-09-08T12:35:37.00" personId="{8a70c216-acc7-42b7-9aa6-c067e56014ba}" id="{9b717159-88ee-4951-a017-0d6c534e0ba7}" done="1">
    <x18tc:text xml:space="preserve">BELUM GANTI PETTY CASH 27/05/24</x18tc:text>
  </x18tc:threadedComment>
  <x18tc:threadedComment ref="B359" dT="2024-09-27T03:31:44.00" personId="{8a70c216-acc7-42b7-9aa6-c067e56014ba}" id="{682664b6-c408-47fe-88fa-5312ad897837}" parentId="{9b717159-88ee-4951-a017-0d6c534e0ba7}">
    <x18tc:text xml:space="preserve">done 27/9/24
Ditandai selesai</x18tc:text>
  </x18tc:threadedComment>
  <x18tc:threadedComment ref="G556" dT="2024-09-03T13:52:54.00" personId="{8a70c216-acc7-42b7-9aa6-c067e56014ba}" id="{170a5b1f-214e-4bfe-8f90-b12f1017b7fd}" done="1">
    <x18tc:text xml:space="preserve">CRV 2HX 700.000 harga lama, cek rajawali @viandasariramadhani.sentra@gmail.com
Ditugaskan kepada viandasariramadhani.sentra@gmail.com</x18tc:text>
    <x18tc:mentions>
      <x18tc:mention mentionpersonId="{b1395b3e-778a-4821-bea9-4f632a62acf7}" mentionId="{1d28836c-7239-47c5-8616-ddb92218b677}" startIndex="41" length="37"/>
    </x18tc:mentions>
  </x18tc:threadedComment>
  <x18tc:threadedComment ref="G556" dT="2024-09-28T08:56:10.00" personId="{d677a7da-80f6-45a9-b94d-44162cc58c30}" id="{ce24c872-230e-4b13-ba38-fe3dedf3eec7}" parentId="{170a5b1f-214e-4bfe-8f90-b12f1017b7fd}">
    <x18tc:text xml:space="preserve">done, sudah di revisi notanya</x18tc:text>
  </x18tc:threadedComment>
  <x18tc:threadedComment ref="N466" dT="2024-07-04T04:27:04.00" personId="{8a70c216-acc7-42b7-9aa6-c067e56014ba}" id="{e60e0918-b7da-4a4c-b0fe-435dfe67a985}" done="1">
    <x18tc:text xml:space="preserve">lebih 200k</x18tc:text>
  </x18tc:threadedComment>
  <x18tc:threadedComment ref="D480" dT="2024-07-01T08:43:35.00" personId="{8a70c216-acc7-42b7-9aa6-c067e56014ba}" id="{afe24b9e-ea33-4f9c-bec9-cdde7b6dde20}" done="1">
    <x18tc:text xml:space="preserve">@viandasariramadhani.sentra@gmail.com MULIA
Ditugaskan kepada viandasariramadhani.sentra@gmail.com</x18tc:text>
    <x18tc:mentions>
      <x18tc:mention mentionpersonId="{b1395b3e-778a-4821-bea9-4f632a62acf7}" mentionId="{85291fcc-b218-43b1-a209-7bda088ef240}" startIndex="0" length="37"/>
    </x18tc:mentions>
  </x18tc:threadedComment>
  <x18tc:threadedComment ref="D480" dT="2024-07-01T08:51:27.00" personId="{d677a7da-80f6-45a9-b94d-44162cc58c30}" id="{00cead19-1983-4868-9bab-d9ecff2376fb}" parentId="{afe24b9e-ea33-4f9c-bec9-cdde7b6dde20}">
    <x18tc:text xml:space="preserve">DONE</x18tc:text>
  </x18tc:threadedComment>
  <x18tc:threadedComment ref="G376" dT="2024-05-28T03:47:40.00" personId="{8a70c216-acc7-42b7-9aa6-c067e56014ba}" id="{1f57d281-ee3a-4a8c-a123-a8a6e2844752}" done="1">
    <x18tc:text xml:space="preserve">568.500</x18tc:text>
  </x18tc:threadedComment>
  <x18tc:threadedComment ref="A472" dT="2024-07-01T08:43:25.00" personId="{8a70c216-acc7-42b7-9aa6-c067e56014ba}" id="{002b4e5e-3d20-4534-9d41-1ace7b877295}" done="1">
    <x18tc:text xml:space="preserve">@viandasariramadhani.sentra@gmail.com Input tgl nota
Ditugaskan kepada viandasariramadhani.sentra@gmail.com</x18tc:text>
    <x18tc:mentions>
      <x18tc:mention mentionpersonId="{b1395b3e-778a-4821-bea9-4f632a62acf7}" mentionId="{e277c272-a496-47be-bda7-54b4dd7da429}" startIndex="0" length="37"/>
    </x18tc:mentions>
  </x18tc:threadedComment>
  <x18tc:threadedComment ref="A472" dT="2024-07-01T08:51:36.00" personId="{d677a7da-80f6-45a9-b94d-44162cc58c30}" id="{1536df1b-76b9-4271-8dd8-e84346a7734c}" parentId="{002b4e5e-3d20-4534-9d41-1ace7b877295}">
    <x18tc:text xml:space="preserve">DONE</x18tc:text>
  </x18tc:threadedComment>
  <x18tc:threadedComment ref="G378" dT="2024-05-28T03:47:46.00" personId="{8a70c216-acc7-42b7-9aa6-c067e56014ba}" id="{b8493aa0-26db-450d-9159-aea676f41cf3}" done="1">
    <x18tc:text xml:space="preserve">tidak di charge</x18tc:text>
  </x18tc:threadedComment>
  <x18tc:threadedComment ref="G331" dT="2024-05-22T03:25:35.00" personId="{8a70c216-acc7-42b7-9aa6-c067e56014ba}" id="{cc03999f-0f97-4e68-9dc1-c84536175efa}" done="1">
    <x18tc:text xml:space="preserve">harga benar 141.100</x18tc:text>
  </x18tc:threadedComment>
  <x18tc:threadedComment ref="B528" dT="2024-08-08T08:41:37.00" personId="{8a70c216-acc7-42b7-9aa6-c067e56014ba}" id="{7c7fe98e-b10b-4bb8-a1e9-1c394fdb8a0e}" done="1">
    <x18tc:text xml:space="preserve">ganti uang petty cash</x18tc:text>
  </x18tc:threadedComment>
  <x18tc:threadedComment ref="B528" dT="2024-08-22T07:35:39.00" personId="{8a70c216-acc7-42b7-9aa6-c067e56014ba}" id="{85ba89cc-084f-4770-a77c-2ea956574990}" parentId="{7c7fe98e-b10b-4bb8-a1e9-1c394fdb8a0e}">
    <x18tc:text xml:space="preserve">pribadi</x18tc:text>
  </x18tc:threadedComment>
  <x18tc:threadedComment ref="B730" dT="2024-12-18T10:43:01.00" personId="{8a70c216-acc7-42b7-9aa6-c067e56014ba}" id="{2a82acf1-f7bd-48fa-acb3-c95882f33288}" done="1">
    <x18tc:text xml:space="preserve">NOTA</x18tc:text>
  </x18tc:threadedComment>
  <x18tc:threadedComment ref="B592" dT="2024-09-27T04:03:59.00" personId="{8a70c216-acc7-42b7-9aa6-c067e56014ba}" id="{aa038ec3-5b7b-4201-9913-9a0fb49268f6}" done="0">
    <x18tc:text xml:space="preserve">mulai dari sini belum input sistem</x18tc:text>
  </x18tc:threadedComment>
  <x18tc:threadedComment ref="B615" dT="2024-09-19T08:19:03.00" personId="{8a70c216-acc7-42b7-9aa6-c067e56014ba}" id="{3d2d4297-8ec9-4e5f-b383-cc6b25c2839b}" done="1">
    <x18tc:text xml:space="preserve">ganti petty cash</x18tc:text>
  </x18tc:threadedComment>
  <x18tc:threadedComment ref="B780" dT="2025-01-25T06:23:46.00" personId="{8a70c216-acc7-42b7-9aa6-c067e56014ba}" id="{0c9df5c2-fd1d-450d-a914-6dfbddfb36ea}" done="1">
    <x18tc:text xml:space="preserve">salah</x18tc:text>
  </x18tc:threadedComment>
  <x18tc:threadedComment ref="B780" dT="2025-01-25T06:23:54.00" personId="{8a70c216-acc7-42b7-9aa6-c067e56014ba}" id="{2013d554-fb5f-48f4-8132-26731a283ead}" parentId="{0c9df5c2-fd1d-450d-a914-6dfbddfb36ea}">
    <x18tc:text xml:space="preserve">@viandasariramadhani.sentra@gmail.com</x18tc:text>
    <x18tc:mentions>
      <x18tc:mention mentionpersonId="{b1395b3e-778a-4821-bea9-4f632a62acf7}" mentionId="{6ac4889e-7c4f-4ca2-ae80-844e33f79ebc}" startIndex="0" length="37"/>
    </x18tc:mentions>
  </x18tc:threadedComment>
  <x18tc:threadedComment ref="B780" dT="2025-01-25T06:41:09.00" personId="{d677a7da-80f6-45a9-b94d-44162cc58c30}" id="{ba3cb0ff-5992-424c-aef3-8d703304c5fe}" parentId="{0c9df5c2-fd1d-450d-a914-6dfbddfb36ea}">
    <x18tc:text xml:space="preserve">DONE CI</x18tc:text>
  </x18tc:threadedComment>
  <x18tc:threadedComment ref="B800" dT="2025-01-16T07:29:34.00" personId="{8a70c216-acc7-42b7-9aa6-c067e56014ba}" id="{feeedbc3-1ebb-4730-afc3-4de1309db815}" done="1">
    <x18tc:text xml:space="preserve">salah</x18tc:text>
  </x18tc:threadedComment>
  <x18tc:threadedComment ref="B800" dT="2025-01-16T07:30:23.00" personId="{8a70c216-acc7-42b7-9aa6-c067e56014ba}" id="{c5cabe5d-3cda-4eda-8d36-474650a4adc1}" parentId="{feeedbc3-1ebb-4730-afc3-4de1309db815}">
    <x18tc:text xml:space="preserve">@viandasariramadhani.sentra@gmail.com</x18tc:text>
    <x18tc:mentions>
      <x18tc:mention mentionpersonId="{b1395b3e-778a-4821-bea9-4f632a62acf7}" mentionId="{af657530-4802-4722-af0b-b50a93302d57}" startIndex="0" length="37"/>
    </x18tc:mentions>
  </x18tc:threadedComment>
  <x18tc:threadedComment ref="B800" dT="2025-01-16T07:38:59.00" personId="{d677a7da-80f6-45a9-b94d-44162cc58c30}" id="{b9c741eb-4649-4a3f-be26-688c06787628}" parentId="{feeedbc3-1ebb-4730-afc3-4de1309db815}">
    <x18tc:text xml:space="preserve">done ci</x18tc:text>
  </x18tc:threadedComment>
  <x18tc:threadedComment ref="B781" dT="2025-01-16T07:31:56.00" personId="{8a70c216-acc7-42b7-9aa6-c067e56014ba}" id="{3d8b3a4a-235f-42b4-bb02-4492262f2667}" done="1">
    <x18tc:text xml:space="preserve">masih salah @viandasariramadhani.sentra@gmail.com
Ditugaskan kepada viandasariramadhani.sentra@gmail.com</x18tc:text>
    <x18tc:mentions>
      <x18tc:mention mentionpersonId="{b1395b3e-778a-4821-bea9-4f632a62acf7}" mentionId="{f25bd798-5ec0-4089-9fc7-cfe5561076fa}" startIndex="12" length="37"/>
    </x18tc:mentions>
  </x18tc:threadedComment>
  <x18tc:threadedComment ref="B345" dT="2024-09-08T12:18:37.00" personId="{8a70c216-acc7-42b7-9aa6-c067e56014ba}" id="{8c272eb8-413f-4b0b-b939-6b1eac729b3f}" done="1">
    <x18tc:text xml:space="preserve">belum reimburser petty cash di 711</x18tc:text>
  </x18tc:threadedComment>
  <x18tc:threadedComment ref="B345" dT="2024-09-27T03:30:13.00" personId="{8a70c216-acc7-42b7-9aa6-c067e56014ba}" id="{78ae0e51-a88e-47c5-9fed-0dbd172b3f49}" parentId="{8c272eb8-413f-4b0b-b939-6b1eac729b3f}">
    <x18tc:text xml:space="preserve">done 27/9/24</x18tc:text>
  </x18tc:threadedComment>
  <x18tc:threadedComment ref="G354" dT="2024-05-21T08:35:12.00" personId="{8a70c216-acc7-42b7-9aa6-c067e56014ba}" id="{4685f097-f0e7-4453-99af-f5c1fcd44fa0}" done="1">
    <x18tc:text xml:space="preserve">788.000 nett</x18tc:text>
  </x18tc:threadedComment>
  <x18tc:threadedComment ref="B535" dT="2024-08-13T10:09:34.00" personId="{8a70c216-acc7-42b7-9aa6-c067e56014ba}" id="{a08dea84-5121-430b-a12d-9ddbe7912725}" done="1">
    <x18tc:text xml:space="preserve">blm reimburse, pakai pribadi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mailto:aa9715969@gmail.com" TargetMode="External"/><Relationship Id="rId42" Type="http://schemas.openxmlformats.org/officeDocument/2006/relationships/hyperlink" Target="mailto:dianmayasarigunawan@gmail.com" TargetMode="External"/><Relationship Id="rId41" Type="http://schemas.openxmlformats.org/officeDocument/2006/relationships/hyperlink" Target="mailto:dianmayasarigunawan@gmail.com" TargetMode="External"/><Relationship Id="rId44" Type="http://schemas.openxmlformats.org/officeDocument/2006/relationships/hyperlink" Target="mailto:faqihguntorodjati@gmail.com" TargetMode="External"/><Relationship Id="rId43" Type="http://schemas.openxmlformats.org/officeDocument/2006/relationships/hyperlink" Target="mailto:bgl.fahmiumar@gmail.com" TargetMode="External"/><Relationship Id="rId46" Type="http://schemas.openxmlformats.org/officeDocument/2006/relationships/hyperlink" Target="mailto:yoan.yohanna@gmail.com" TargetMode="External"/><Relationship Id="rId45" Type="http://schemas.openxmlformats.org/officeDocument/2006/relationships/hyperlink" Target="mailto:faqihguntorodjati@gmail.com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://gmail.com/" TargetMode="External"/><Relationship Id="rId9" Type="http://schemas.openxmlformats.org/officeDocument/2006/relationships/hyperlink" Target="mailto:gunawanwibisonoloekman@gmail.com" TargetMode="External"/><Relationship Id="rId48" Type="http://schemas.openxmlformats.org/officeDocument/2006/relationships/hyperlink" Target="mailto:gagahwardhana@gmail.com" TargetMode="External"/><Relationship Id="rId47" Type="http://schemas.openxmlformats.org/officeDocument/2006/relationships/hyperlink" Target="mailto:ab.solihin@gmail.com" TargetMode="External"/><Relationship Id="rId49" Type="http://schemas.openxmlformats.org/officeDocument/2006/relationships/hyperlink" Target="mailto:eggotaja@gmail.com" TargetMode="External"/><Relationship Id="rId5" Type="http://schemas.openxmlformats.org/officeDocument/2006/relationships/hyperlink" Target="http://gmail.com/" TargetMode="External"/><Relationship Id="rId6" Type="http://schemas.openxmlformats.org/officeDocument/2006/relationships/hyperlink" Target="http://gmail.com/" TargetMode="External"/><Relationship Id="rId7" Type="http://schemas.openxmlformats.org/officeDocument/2006/relationships/hyperlink" Target="mailto:irvanwahyu33@gmail.com" TargetMode="External"/><Relationship Id="rId8" Type="http://schemas.openxmlformats.org/officeDocument/2006/relationships/hyperlink" Target="mailto:aryagagahs690@gmail.com" TargetMode="External"/><Relationship Id="rId31" Type="http://schemas.openxmlformats.org/officeDocument/2006/relationships/hyperlink" Target="mailto:karsimoaja@gmail.com" TargetMode="External"/><Relationship Id="rId30" Type="http://schemas.openxmlformats.org/officeDocument/2006/relationships/hyperlink" Target="mailto:aurevoir_13@yahoo.co.id" TargetMode="External"/><Relationship Id="rId33" Type="http://schemas.openxmlformats.org/officeDocument/2006/relationships/hyperlink" Target="mailto:starjayafurniture@gmail.com" TargetMode="External"/><Relationship Id="rId32" Type="http://schemas.openxmlformats.org/officeDocument/2006/relationships/hyperlink" Target="mailto:yasulum17@gmail.com" TargetMode="External"/><Relationship Id="rId35" Type="http://schemas.openxmlformats.org/officeDocument/2006/relationships/hyperlink" Target="mailto:jufriramayana37@gmail.com" TargetMode="External"/><Relationship Id="rId34" Type="http://schemas.openxmlformats.org/officeDocument/2006/relationships/hyperlink" Target="mailto:cahcepoe.group81@gmail.com" TargetMode="External"/><Relationship Id="rId37" Type="http://schemas.openxmlformats.org/officeDocument/2006/relationships/hyperlink" Target="mailto:burhanuddinridha@gmail.com" TargetMode="External"/><Relationship Id="rId36" Type="http://schemas.openxmlformats.org/officeDocument/2006/relationships/hyperlink" Target="mailto:burhanuddinridha@gmail.com" TargetMode="External"/><Relationship Id="rId39" Type="http://schemas.openxmlformats.org/officeDocument/2006/relationships/hyperlink" Target="mailto:aa9715969@gmail.com" TargetMode="External"/><Relationship Id="rId38" Type="http://schemas.openxmlformats.org/officeDocument/2006/relationships/hyperlink" Target="mailto:trisnakiswadi@gmail.com" TargetMode="External"/><Relationship Id="rId62" Type="http://schemas.openxmlformats.org/officeDocument/2006/relationships/hyperlink" Target="mailto:ekoaslan@gmail.com" TargetMode="External"/><Relationship Id="rId61" Type="http://schemas.openxmlformats.org/officeDocument/2006/relationships/hyperlink" Target="mailto:aldianrijal15@gmail.com" TargetMode="External"/><Relationship Id="rId20" Type="http://schemas.openxmlformats.org/officeDocument/2006/relationships/hyperlink" Target="mailto:rendykrisdianto@yahoo.com" TargetMode="External"/><Relationship Id="rId64" Type="http://schemas.openxmlformats.org/officeDocument/2006/relationships/vmlDrawing" Target="../drawings/vmlDrawing3.vml"/><Relationship Id="rId63" Type="http://schemas.openxmlformats.org/officeDocument/2006/relationships/drawing" Target="../drawings/drawing5.xml"/><Relationship Id="rId22" Type="http://schemas.openxmlformats.org/officeDocument/2006/relationships/hyperlink" Target="mailto:arya.rist@gmail.com" TargetMode="External"/><Relationship Id="rId21" Type="http://schemas.openxmlformats.org/officeDocument/2006/relationships/hyperlink" Target="mailto:arielhani@gmail.com" TargetMode="External"/><Relationship Id="rId24" Type="http://schemas.openxmlformats.org/officeDocument/2006/relationships/hyperlink" Target="mailto:caturirul19011986@gmail.com" TargetMode="External"/><Relationship Id="rId23" Type="http://schemas.openxmlformats.org/officeDocument/2006/relationships/hyperlink" Target="mailto:r.rahardian1997@gmail.com" TargetMode="External"/><Relationship Id="rId60" Type="http://schemas.openxmlformats.org/officeDocument/2006/relationships/hyperlink" Target="mailto:ahmadaminin@gmail.com" TargetMode="External"/><Relationship Id="rId26" Type="http://schemas.openxmlformats.org/officeDocument/2006/relationships/hyperlink" Target="mailto:j91192@gmail.com" TargetMode="External"/><Relationship Id="rId25" Type="http://schemas.openxmlformats.org/officeDocument/2006/relationships/hyperlink" Target="mailto:pututsupri@gmail.com" TargetMode="External"/><Relationship Id="rId28" Type="http://schemas.openxmlformats.org/officeDocument/2006/relationships/hyperlink" Target="mailto:birbarhakim@gmail.com" TargetMode="External"/><Relationship Id="rId27" Type="http://schemas.openxmlformats.org/officeDocument/2006/relationships/hyperlink" Target="mailto:birbarhakim@gmail.com" TargetMode="External"/><Relationship Id="rId29" Type="http://schemas.openxmlformats.org/officeDocument/2006/relationships/hyperlink" Target="mailto:hanapratamamandiri@gmail.com" TargetMode="External"/><Relationship Id="rId51" Type="http://schemas.openxmlformats.org/officeDocument/2006/relationships/hyperlink" Target="mailto:ilhamsuhartono081@gmail.com" TargetMode="External"/><Relationship Id="rId50" Type="http://schemas.openxmlformats.org/officeDocument/2006/relationships/hyperlink" Target="mailto:eggotaja@gmail.com" TargetMode="External"/><Relationship Id="rId53" Type="http://schemas.openxmlformats.org/officeDocument/2006/relationships/hyperlink" Target="mailto:saktiawan@gmail.com" TargetMode="External"/><Relationship Id="rId52" Type="http://schemas.openxmlformats.org/officeDocument/2006/relationships/hyperlink" Target="mailto:ekobudi0725@gmail.com" TargetMode="External"/><Relationship Id="rId11" Type="http://schemas.openxmlformats.org/officeDocument/2006/relationships/hyperlink" Target="mailto:andy.siregar13@gmail.com" TargetMode="External"/><Relationship Id="rId55" Type="http://schemas.openxmlformats.org/officeDocument/2006/relationships/hyperlink" Target="mailto:minansaja@gmail.com" TargetMode="External"/><Relationship Id="rId10" Type="http://schemas.openxmlformats.org/officeDocument/2006/relationships/hyperlink" Target="mailto:budi33519@gmail.com" TargetMode="External"/><Relationship Id="rId54" Type="http://schemas.openxmlformats.org/officeDocument/2006/relationships/hyperlink" Target="mailto:minansaja@gmail.com" TargetMode="External"/><Relationship Id="rId13" Type="http://schemas.openxmlformats.org/officeDocument/2006/relationships/hyperlink" Target="mailto:morenosoeprapto132@gmail.com" TargetMode="External"/><Relationship Id="rId57" Type="http://schemas.openxmlformats.org/officeDocument/2006/relationships/hyperlink" Target="mailto:imanuddinrahman15@gmail.com" TargetMode="External"/><Relationship Id="rId12" Type="http://schemas.openxmlformats.org/officeDocument/2006/relationships/hyperlink" Target="mailto:mohammadchabib7@gmail.com" TargetMode="External"/><Relationship Id="rId56" Type="http://schemas.openxmlformats.org/officeDocument/2006/relationships/hyperlink" Target="mailto:sachiokevin16@gmail.com" TargetMode="External"/><Relationship Id="rId15" Type="http://schemas.openxmlformats.org/officeDocument/2006/relationships/hyperlink" Target="mailto:ibnudwisufajar@gmail.com" TargetMode="External"/><Relationship Id="rId59" Type="http://schemas.openxmlformats.org/officeDocument/2006/relationships/hyperlink" Target="mailto:gabriel.wismanto@gmail.com" TargetMode="External"/><Relationship Id="rId14" Type="http://schemas.openxmlformats.org/officeDocument/2006/relationships/hyperlink" Target="mailto:ibnudwisufajar@gmail.com" TargetMode="External"/><Relationship Id="rId58" Type="http://schemas.openxmlformats.org/officeDocument/2006/relationships/hyperlink" Target="mailto:gabriel.wismanto@gmail.com" TargetMode="External"/><Relationship Id="rId17" Type="http://schemas.openxmlformats.org/officeDocument/2006/relationships/hyperlink" Target="mailto:bryanwj4@gmail.com" TargetMode="External"/><Relationship Id="rId16" Type="http://schemas.openxmlformats.org/officeDocument/2006/relationships/hyperlink" Target="mailto:bryanwj4@gmail.com" TargetMode="External"/><Relationship Id="rId19" Type="http://schemas.openxmlformats.org/officeDocument/2006/relationships/hyperlink" Target="mailto:m.ilhamhardadi@gmail.com" TargetMode="External"/><Relationship Id="rId18" Type="http://schemas.openxmlformats.org/officeDocument/2006/relationships/hyperlink" Target="mailto:adisubangkit7@gmail.com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://kemasan.id/" TargetMode="External"/><Relationship Id="rId3" Type="http://schemas.openxmlformats.org/officeDocument/2006/relationships/drawing" Target="../drawings/drawing23.xml"/><Relationship Id="rId4" Type="http://schemas.openxmlformats.org/officeDocument/2006/relationships/vmlDrawing" Target="../drawings/vmlDrawing4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24.xml"/><Relationship Id="rId5" Type="http://schemas.openxmlformats.org/officeDocument/2006/relationships/vmlDrawing" Target="../drawings/vmlDrawing5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6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WKm8MaeFzASMCG7Y9" TargetMode="External"/><Relationship Id="rId2" Type="http://schemas.openxmlformats.org/officeDocument/2006/relationships/hyperlink" Target="https://maps.app.goo.gl/pBKEyxTmagqGVRXB7" TargetMode="External"/><Relationship Id="rId3" Type="http://schemas.openxmlformats.org/officeDocument/2006/relationships/hyperlink" Target="https://maps.app.goo.gl/PL6uA2RNB7EZVgfm8" TargetMode="External"/><Relationship Id="rId4" Type="http://schemas.openxmlformats.org/officeDocument/2006/relationships/hyperlink" Target="https://maps.app.goo.gl/6GhZE1X3yC8GMQzB7" TargetMode="External"/><Relationship Id="rId5" Type="http://schemas.openxmlformats.org/officeDocument/2006/relationships/hyperlink" Target="https://maps.app.goo.gl/qdzK5S9j5i3TJpmr7?g_st=iw" TargetMode="External"/><Relationship Id="rId6" Type="http://schemas.openxmlformats.org/officeDocument/2006/relationships/hyperlink" Target="https://maps.app.goo.gl/uZbEKp8Y1V4ia9X97?g_st=iw" TargetMode="External"/><Relationship Id="rId7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71"/>
    <col customWidth="1" min="2" max="2" width="20.71"/>
    <col customWidth="1" min="3" max="3" width="53.43"/>
    <col customWidth="1" min="4" max="4" width="6.29"/>
    <col customWidth="1" min="5" max="5" width="9.0"/>
    <col customWidth="1" min="6" max="6" width="23.57"/>
    <col customWidth="1" min="7" max="7" width="6.71"/>
    <col customWidth="1" min="8" max="8" width="6.57"/>
    <col customWidth="1" min="9" max="9" width="5.71"/>
    <col customWidth="1" min="10" max="10" width="25.43"/>
    <col customWidth="1" min="11" max="11" width="3.29"/>
    <col customWidth="1" min="12" max="12" width="6.57"/>
    <col customWidth="1" min="13" max="13" width="35.14"/>
  </cols>
  <sheetData>
    <row r="1" ht="13.5" customHeight="1">
      <c r="A1" s="1">
        <v>4.0</v>
      </c>
      <c r="B1" s="2"/>
      <c r="C1" s="2"/>
      <c r="D1" s="2"/>
      <c r="E1" s="2"/>
      <c r="F1" s="2"/>
      <c r="G1" s="2"/>
      <c r="H1" s="2"/>
      <c r="I1" s="3"/>
      <c r="J1" s="4"/>
      <c r="K1" s="4"/>
      <c r="L1" s="5"/>
      <c r="M1" s="6"/>
    </row>
    <row r="2" ht="13.5" customHeight="1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9" t="s">
        <v>6</v>
      </c>
      <c r="H2" s="9" t="s">
        <v>7</v>
      </c>
      <c r="I2" s="10" t="s">
        <v>8</v>
      </c>
      <c r="J2" s="11" t="s">
        <v>9</v>
      </c>
      <c r="K2" s="11" t="s">
        <v>10</v>
      </c>
      <c r="L2" s="12" t="s">
        <v>11</v>
      </c>
      <c r="M2" s="13" t="s">
        <v>12</v>
      </c>
    </row>
    <row r="3" ht="13.5" customHeight="1">
      <c r="A3" s="4" t="str">
        <f t="shared" ref="A3:A2234" si="1">CONCATENATE(B3,E3)</f>
        <v>OTH-SEALANTXYG</v>
      </c>
      <c r="B3" s="14" t="s">
        <v>13</v>
      </c>
      <c r="C3" s="15" t="s">
        <v>14</v>
      </c>
      <c r="D3" s="4" t="s">
        <v>15</v>
      </c>
      <c r="E3" s="4" t="s">
        <v>16</v>
      </c>
      <c r="F3" s="4"/>
      <c r="G3" s="4">
        <f>SUMIFS(X!$F$5:$F$3100,X!$D$5:$D$3100,'Current Stock'!A3)</f>
        <v>1067</v>
      </c>
      <c r="H3" s="4">
        <f>SUMIFS(PENJUALAN!$E$4:$E$11000,PENJUALAN!$C$4:$C$11000,'Current Stock'!A3)</f>
        <v>271</v>
      </c>
      <c r="I3" s="16">
        <f t="shared" ref="I3:I2215" si="2">G3-H3</f>
        <v>796</v>
      </c>
      <c r="J3" s="4"/>
      <c r="K3" s="4"/>
      <c r="L3" s="5">
        <v>10.0</v>
      </c>
      <c r="M3" s="4"/>
    </row>
    <row r="4" ht="13.5" customHeight="1">
      <c r="A4" s="4" t="str">
        <f t="shared" si="1"/>
        <v>OTH-PETIKAYU</v>
      </c>
      <c r="B4" s="14" t="s">
        <v>17</v>
      </c>
      <c r="C4" s="4" t="s">
        <v>18</v>
      </c>
      <c r="D4" s="4" t="s">
        <v>15</v>
      </c>
      <c r="E4" s="4" t="s">
        <v>19</v>
      </c>
      <c r="F4" s="4"/>
      <c r="G4" s="4">
        <f>SUMIFS(X!$F$5:$F$2005,X!$D$5:$D$2005,'Current Stock'!A4)</f>
        <v>32</v>
      </c>
      <c r="H4" s="4">
        <f>SUMIFS(PENJUALAN!$E$4:$E$11000,PENJUALAN!$C$4:$C$11000,'Current Stock'!A4)</f>
        <v>211</v>
      </c>
      <c r="I4" s="16">
        <f t="shared" si="2"/>
        <v>-179</v>
      </c>
      <c r="J4" s="4"/>
      <c r="K4" s="4"/>
      <c r="L4" s="5">
        <v>10.0</v>
      </c>
      <c r="M4" s="4"/>
    </row>
    <row r="5" ht="13.5" customHeight="1">
      <c r="A5" s="4" t="str">
        <f t="shared" si="1"/>
        <v>LFW-ALTIS18RSXYG</v>
      </c>
      <c r="B5" s="15" t="s">
        <v>20</v>
      </c>
      <c r="C5" s="15" t="s">
        <v>21</v>
      </c>
      <c r="D5" s="15" t="s">
        <v>22</v>
      </c>
      <c r="E5" s="15" t="s">
        <v>16</v>
      </c>
      <c r="F5" s="17" t="s">
        <v>23</v>
      </c>
      <c r="G5" s="4">
        <f>SUMIFS(X!$F$5:$F$2005,X!$D$5:$D$2005,'Current Stock'!A5)</f>
        <v>1</v>
      </c>
      <c r="H5" s="4">
        <f>SUMIFS(PENJUALAN!$E$4:$E$11000,PENJUALAN!$C$4:$C$11000,'Current Stock'!A5)</f>
        <v>1</v>
      </c>
      <c r="I5" s="16">
        <f t="shared" si="2"/>
        <v>0</v>
      </c>
      <c r="J5" s="18"/>
      <c r="K5" s="18"/>
      <c r="L5" s="18"/>
      <c r="M5" s="18"/>
    </row>
    <row r="6" ht="13.5" customHeight="1">
      <c r="A6" s="4" t="str">
        <f t="shared" si="1"/>
        <v>OTH-SERSK</v>
      </c>
      <c r="B6" s="19" t="s">
        <v>24</v>
      </c>
      <c r="C6" s="15" t="s">
        <v>25</v>
      </c>
      <c r="D6" s="15" t="s">
        <v>15</v>
      </c>
      <c r="E6" s="15" t="s">
        <v>26</v>
      </c>
      <c r="F6" s="4"/>
      <c r="G6" s="4">
        <f>SUMIFS(X!$F$5:$F$2005,X!$D$5:$D$2005,'Current Stock'!A6)</f>
        <v>0</v>
      </c>
      <c r="H6" s="4">
        <f>SUMIFS(PENJUALAN!$E$4:$E$11000,PENJUALAN!$C$4:$C$11000,'Current Stock'!A6)</f>
        <v>0</v>
      </c>
      <c r="I6" s="16">
        <f t="shared" si="2"/>
        <v>0</v>
      </c>
      <c r="J6" s="4"/>
      <c r="K6" s="4"/>
      <c r="L6" s="5"/>
      <c r="M6" s="4"/>
    </row>
    <row r="7" ht="13.5" customHeight="1">
      <c r="A7" s="4" t="str">
        <f t="shared" si="1"/>
        <v>OTH-SERBY</v>
      </c>
      <c r="B7" s="19" t="s">
        <v>24</v>
      </c>
      <c r="C7" s="15" t="s">
        <v>27</v>
      </c>
      <c r="D7" s="15" t="s">
        <v>15</v>
      </c>
      <c r="E7" s="15" t="s">
        <v>28</v>
      </c>
      <c r="F7" s="4"/>
      <c r="G7" s="4">
        <f>SUMIFS(X!$F$5:$F$2005,X!$D$5:$D$2005,'Current Stock'!A7)</f>
        <v>780</v>
      </c>
      <c r="H7" s="4">
        <f>SUMIFS(PENJUALAN!$E$4:$E$11000,PENJUALAN!$C$4:$C$11000,'Current Stock'!A7)</f>
        <v>156</v>
      </c>
      <c r="I7" s="16">
        <f t="shared" si="2"/>
        <v>624</v>
      </c>
      <c r="J7" s="4"/>
      <c r="K7" s="4"/>
      <c r="L7" s="5"/>
      <c r="M7" s="4"/>
    </row>
    <row r="8" ht="13.5" customHeight="1">
      <c r="A8" s="4" t="str">
        <f t="shared" si="1"/>
        <v>OTH-SERTRANSPORT</v>
      </c>
      <c r="B8" s="19" t="s">
        <v>24</v>
      </c>
      <c r="C8" s="15" t="s">
        <v>29</v>
      </c>
      <c r="D8" s="4" t="s">
        <v>15</v>
      </c>
      <c r="E8" s="15" t="s">
        <v>30</v>
      </c>
      <c r="F8" s="4"/>
      <c r="G8" s="4">
        <f>SUMIFS(X!$F$5:$F$2005,X!$D$5:$D$2005,'Current Stock'!A8)</f>
        <v>0</v>
      </c>
      <c r="H8" s="4">
        <f>SUMIFS(PENJUALAN!$E$4:$E$11000,PENJUALAN!$C$4:$C$11000,'Current Stock'!A8)</f>
        <v>358</v>
      </c>
      <c r="I8" s="16">
        <f t="shared" si="2"/>
        <v>-358</v>
      </c>
      <c r="J8" s="4"/>
      <c r="K8" s="4"/>
      <c r="L8" s="5"/>
      <c r="M8" s="4"/>
    </row>
    <row r="9" ht="13.5" customHeight="1">
      <c r="A9" s="4" t="str">
        <f t="shared" si="1"/>
        <v>OTH-LIST04TOYDAI</v>
      </c>
      <c r="B9" s="14" t="s">
        <v>31</v>
      </c>
      <c r="C9" s="15" t="s">
        <v>32</v>
      </c>
      <c r="D9" s="4" t="s">
        <v>15</v>
      </c>
      <c r="E9" s="4" t="s">
        <v>33</v>
      </c>
      <c r="F9" s="4"/>
      <c r="G9" s="4">
        <f>SUMIFS(X!$F$5:$F$2005,X!$D$5:$D$2005,'Current Stock'!A9)</f>
        <v>60</v>
      </c>
      <c r="H9" s="4">
        <f>SUMIFS(PENJUALAN!$E$4:$E$11000,PENJUALAN!$C$4:$C$11000,'Current Stock'!A9)</f>
        <v>58</v>
      </c>
      <c r="I9" s="16">
        <f t="shared" si="2"/>
        <v>2</v>
      </c>
      <c r="J9" s="4"/>
      <c r="K9" s="4"/>
      <c r="L9" s="5">
        <v>2.0</v>
      </c>
      <c r="M9" s="4"/>
    </row>
    <row r="10" ht="13.5" customHeight="1">
      <c r="A10" s="4" t="str">
        <f t="shared" si="1"/>
        <v>OTH-LIST11TOYDAI</v>
      </c>
      <c r="B10" s="14" t="s">
        <v>34</v>
      </c>
      <c r="C10" s="15" t="s">
        <v>35</v>
      </c>
      <c r="D10" s="4" t="s">
        <v>15</v>
      </c>
      <c r="E10" s="4" t="s">
        <v>33</v>
      </c>
      <c r="F10" s="4"/>
      <c r="G10" s="4">
        <f>SUMIFS(X!$F$5:$F$2005,X!$D$5:$D$2005,'Current Stock'!A10)</f>
        <v>37</v>
      </c>
      <c r="H10" s="4">
        <f>SUMIFS(PENJUALAN!$E$4:$E$11000,PENJUALAN!$C$4:$C$11000,'Current Stock'!A10)</f>
        <v>32</v>
      </c>
      <c r="I10" s="16">
        <f t="shared" si="2"/>
        <v>5</v>
      </c>
      <c r="J10" s="4"/>
      <c r="K10" s="4"/>
      <c r="L10" s="5">
        <v>2.0</v>
      </c>
      <c r="M10" s="4"/>
    </row>
    <row r="11" ht="13.5" customHeight="1">
      <c r="A11" s="4" t="str">
        <f t="shared" si="1"/>
        <v>OTH-LISTINVTOY</v>
      </c>
      <c r="B11" s="14" t="s">
        <v>36</v>
      </c>
      <c r="C11" s="4" t="s">
        <v>37</v>
      </c>
      <c r="D11" s="4" t="s">
        <v>15</v>
      </c>
      <c r="E11" s="4" t="s">
        <v>38</v>
      </c>
      <c r="F11" s="4"/>
      <c r="G11" s="4">
        <f>SUMIFS(X!$F$5:$F$2005,X!$D$5:$D$2005,'Current Stock'!A11)</f>
        <v>30</v>
      </c>
      <c r="H11" s="4">
        <f>SUMIFS(PENJUALAN!$E$4:$E$11000,PENJUALAN!$C$4:$C$11000,'Current Stock'!A11)</f>
        <v>27</v>
      </c>
      <c r="I11" s="16">
        <f t="shared" si="2"/>
        <v>3</v>
      </c>
      <c r="J11" s="4"/>
      <c r="K11" s="4"/>
      <c r="L11" s="5">
        <v>2.0</v>
      </c>
      <c r="M11" s="4"/>
    </row>
    <row r="12" ht="13.5" customHeight="1">
      <c r="A12" s="4" t="str">
        <f t="shared" si="1"/>
        <v>TRW-DMAX1MSG</v>
      </c>
      <c r="B12" s="15" t="s">
        <v>39</v>
      </c>
      <c r="C12" s="15" t="s">
        <v>40</v>
      </c>
      <c r="D12" s="15" t="s">
        <v>41</v>
      </c>
      <c r="E12" s="15" t="s">
        <v>42</v>
      </c>
      <c r="F12" s="18"/>
      <c r="G12" s="4">
        <f>SUMIFS(X!$F$5:$F$2005,X!$D$5:$D$2005,'Current Stock'!A12)</f>
        <v>2</v>
      </c>
      <c r="H12" s="4">
        <f>SUMIFS(PENJUALAN!$E$4:$E$11000,PENJUALAN!$C$4:$C$11000,'Current Stock'!A12)</f>
        <v>2</v>
      </c>
      <c r="I12" s="16">
        <f t="shared" si="2"/>
        <v>0</v>
      </c>
      <c r="J12" s="15" t="s">
        <v>43</v>
      </c>
      <c r="K12" s="15"/>
      <c r="L12" s="18"/>
      <c r="M12" s="18"/>
    </row>
    <row r="13" ht="13.5" customHeight="1">
      <c r="A13" s="4" t="str">
        <f t="shared" si="1"/>
        <v>FDR-DMAX1MSG</v>
      </c>
      <c r="B13" s="15" t="s">
        <v>44</v>
      </c>
      <c r="C13" s="15" t="s">
        <v>40</v>
      </c>
      <c r="D13" s="15" t="s">
        <v>45</v>
      </c>
      <c r="E13" s="15" t="s">
        <v>42</v>
      </c>
      <c r="F13" s="18"/>
      <c r="G13" s="4">
        <f>SUMIFS(X!$F$5:$F$2005,X!$D$5:$D$2005,'Current Stock'!A13)</f>
        <v>1</v>
      </c>
      <c r="H13" s="4">
        <f>SUMIFS(PENJUALAN!$E$4:$E$11000,PENJUALAN!$C$4:$C$11000,'Current Stock'!A13)</f>
        <v>1</v>
      </c>
      <c r="I13" s="16">
        <f t="shared" si="2"/>
        <v>0</v>
      </c>
      <c r="J13" s="18"/>
      <c r="K13" s="18"/>
      <c r="L13" s="18"/>
      <c r="M13" s="18"/>
    </row>
    <row r="14" ht="13.5" customHeight="1">
      <c r="A14" s="4" t="str">
        <f t="shared" si="1"/>
        <v>RDL-DMAX1MSG</v>
      </c>
      <c r="B14" s="15" t="s">
        <v>46</v>
      </c>
      <c r="C14" s="15" t="s">
        <v>40</v>
      </c>
      <c r="D14" s="15" t="s">
        <v>47</v>
      </c>
      <c r="E14" s="15" t="s">
        <v>42</v>
      </c>
      <c r="F14" s="18"/>
      <c r="G14" s="4">
        <f>SUMIFS(X!$F$5:$F$2005,X!$D$5:$D$2005,'Current Stock'!A14)</f>
        <v>2</v>
      </c>
      <c r="H14" s="4">
        <f>SUMIFS(PENJUALAN!$E$4:$E$11000,PENJUALAN!$C$4:$C$11000,'Current Stock'!A14)</f>
        <v>1</v>
      </c>
      <c r="I14" s="16">
        <f t="shared" si="2"/>
        <v>1</v>
      </c>
      <c r="J14" s="15" t="s">
        <v>48</v>
      </c>
      <c r="K14" s="15"/>
      <c r="L14" s="18"/>
      <c r="M14" s="18"/>
    </row>
    <row r="15" ht="13.5" customHeight="1">
      <c r="A15" s="4" t="str">
        <f t="shared" si="1"/>
        <v>OTH-RPLXLFW</v>
      </c>
      <c r="B15" s="19" t="s">
        <v>49</v>
      </c>
      <c r="C15" s="4" t="s">
        <v>50</v>
      </c>
      <c r="D15" s="4" t="s">
        <v>15</v>
      </c>
      <c r="E15" s="15" t="s">
        <v>22</v>
      </c>
      <c r="F15" s="4"/>
      <c r="G15" s="4">
        <f>SUMIFS(X!$F$5:$F$2005,X!$D$5:$D$2005,'Current Stock'!A15)</f>
        <v>0</v>
      </c>
      <c r="H15" s="4">
        <f>SUMIFS(PENJUALAN!$E$4:$E$11000,PENJUALAN!$C$4:$C$11000,'Current Stock'!A15)</f>
        <v>101</v>
      </c>
      <c r="I15" s="16">
        <f t="shared" si="2"/>
        <v>-101</v>
      </c>
      <c r="J15" s="4"/>
      <c r="K15" s="4"/>
      <c r="L15" s="5">
        <v>100.0</v>
      </c>
      <c r="M15" s="4"/>
    </row>
    <row r="16" ht="13.5" customHeight="1">
      <c r="A16" s="4" t="str">
        <f t="shared" si="1"/>
        <v>OTH-RPLXTRW</v>
      </c>
      <c r="B16" s="19" t="s">
        <v>49</v>
      </c>
      <c r="C16" s="4" t="s">
        <v>51</v>
      </c>
      <c r="D16" s="4" t="s">
        <v>15</v>
      </c>
      <c r="E16" s="15" t="s">
        <v>41</v>
      </c>
      <c r="F16" s="4"/>
      <c r="G16" s="4">
        <f>SUMIFS(X!$F$5:$F$2005,X!$D$5:$D$2005,'Current Stock'!A16)</f>
        <v>0</v>
      </c>
      <c r="H16" s="4">
        <f>SUMIFS(PENJUALAN!$E$4:$E$11000,PENJUALAN!$C$4:$C$11000,'Current Stock'!A16)</f>
        <v>26</v>
      </c>
      <c r="I16" s="16">
        <f t="shared" si="2"/>
        <v>-26</v>
      </c>
      <c r="J16" s="4"/>
      <c r="K16" s="4"/>
      <c r="L16" s="5">
        <v>100.0</v>
      </c>
      <c r="M16" s="4"/>
    </row>
    <row r="17" ht="13.5" customHeight="1">
      <c r="A17" s="4" t="str">
        <f t="shared" si="1"/>
        <v>OTH-RPLXSIDE</v>
      </c>
      <c r="B17" s="19" t="s">
        <v>49</v>
      </c>
      <c r="C17" s="4" t="s">
        <v>52</v>
      </c>
      <c r="D17" s="4" t="s">
        <v>15</v>
      </c>
      <c r="E17" s="4" t="s">
        <v>53</v>
      </c>
      <c r="F17" s="4"/>
      <c r="G17" s="4">
        <f>SUMIFS(X!$F$5:$F$2005,X!$D$5:$D$2005,'Current Stock'!A17)</f>
        <v>0</v>
      </c>
      <c r="H17" s="4">
        <f>SUMIFS(PENJUALAN!$E$4:$E$11000,PENJUALAN!$C$4:$C$11000,'Current Stock'!A17)</f>
        <v>12</v>
      </c>
      <c r="I17" s="16">
        <f t="shared" si="2"/>
        <v>-12</v>
      </c>
      <c r="J17" s="4"/>
      <c r="K17" s="4"/>
      <c r="L17" s="5">
        <v>100.0</v>
      </c>
      <c r="M17" s="4"/>
    </row>
    <row r="18" ht="13.5" customHeight="1">
      <c r="A18" s="4" t="str">
        <f t="shared" si="1"/>
        <v>OTH-SERLMB</v>
      </c>
      <c r="B18" s="19" t="s">
        <v>24</v>
      </c>
      <c r="C18" s="15" t="s">
        <v>54</v>
      </c>
      <c r="D18" s="15" t="s">
        <v>15</v>
      </c>
      <c r="E18" s="15" t="s">
        <v>55</v>
      </c>
      <c r="F18" s="4"/>
      <c r="G18" s="4">
        <f>SUMIFS(X!$F$5:$F$2005,X!$D$5:$D$2005,'Current Stock'!A18)</f>
        <v>0</v>
      </c>
      <c r="H18" s="4">
        <f>SUMIFS(PENJUALAN!$E$4:$E$11000,PENJUALAN!$C$4:$C$11000,'Current Stock'!A18)</f>
        <v>37</v>
      </c>
      <c r="I18" s="16">
        <f t="shared" si="2"/>
        <v>-37</v>
      </c>
      <c r="J18" s="4"/>
      <c r="K18" s="4"/>
      <c r="L18" s="5"/>
      <c r="M18" s="4"/>
    </row>
    <row r="19" ht="13.5" customHeight="1">
      <c r="A19" s="4" t="str">
        <f t="shared" si="1"/>
        <v>FILM-40STD</v>
      </c>
      <c r="B19" s="19" t="s">
        <v>56</v>
      </c>
      <c r="C19" s="15" t="s">
        <v>57</v>
      </c>
      <c r="D19" s="15" t="s">
        <v>58</v>
      </c>
      <c r="E19" s="15" t="s">
        <v>59</v>
      </c>
      <c r="F19" s="4"/>
      <c r="G19" s="4">
        <f>SUMIFS(X!$F$5:$F$2005,X!$D$5:$D$2005,'Current Stock'!A19)</f>
        <v>0</v>
      </c>
      <c r="H19" s="4">
        <f>SUMIFS(PENJUALAN!$E$4:$E$11000,PENJUALAN!$C$4:$C$11000,'Current Stock'!A19)</f>
        <v>17</v>
      </c>
      <c r="I19" s="16">
        <f t="shared" si="2"/>
        <v>-17</v>
      </c>
      <c r="J19" s="4"/>
      <c r="K19" s="4"/>
      <c r="L19" s="5"/>
      <c r="M19" s="4"/>
    </row>
    <row r="20" ht="13.5" customHeight="1">
      <c r="A20" s="4" t="str">
        <f t="shared" si="1"/>
        <v>FILM-60STD</v>
      </c>
      <c r="B20" s="19" t="s">
        <v>60</v>
      </c>
      <c r="C20" s="15" t="s">
        <v>61</v>
      </c>
      <c r="D20" s="15" t="s">
        <v>58</v>
      </c>
      <c r="E20" s="15" t="s">
        <v>59</v>
      </c>
      <c r="F20" s="4"/>
      <c r="G20" s="4">
        <f>SUMIFS(X!$F$5:$F$2005,X!$D$5:$D$2005,'Current Stock'!A20)</f>
        <v>0</v>
      </c>
      <c r="H20" s="4">
        <f>SUMIFS(PENJUALAN!$E$4:$E$11000,PENJUALAN!$C$4:$C$11000,'Current Stock'!A20)</f>
        <v>29</v>
      </c>
      <c r="I20" s="16">
        <f t="shared" si="2"/>
        <v>-29</v>
      </c>
      <c r="J20" s="4"/>
      <c r="K20" s="4"/>
      <c r="L20" s="5"/>
      <c r="M20" s="4"/>
    </row>
    <row r="21" ht="13.5" customHeight="1">
      <c r="A21" s="4" t="str">
        <f t="shared" si="1"/>
        <v>FILM-80STD</v>
      </c>
      <c r="B21" s="19" t="s">
        <v>62</v>
      </c>
      <c r="C21" s="15" t="s">
        <v>63</v>
      </c>
      <c r="D21" s="15" t="s">
        <v>58</v>
      </c>
      <c r="E21" s="15" t="s">
        <v>59</v>
      </c>
      <c r="F21" s="4"/>
      <c r="G21" s="4">
        <f>SUMIFS(X!$F$5:$F$2005,X!$D$5:$D$2005,'Current Stock'!A21)</f>
        <v>0</v>
      </c>
      <c r="H21" s="4">
        <f>SUMIFS(PENJUALAN!$E$4:$E$11000,PENJUALAN!$C$4:$C$11000,'Current Stock'!A21)</f>
        <v>9</v>
      </c>
      <c r="I21" s="16">
        <f t="shared" si="2"/>
        <v>-9</v>
      </c>
      <c r="J21" s="4"/>
      <c r="K21" s="4"/>
      <c r="L21" s="5"/>
      <c r="M21" s="4"/>
    </row>
    <row r="22" ht="13.5" customHeight="1">
      <c r="A22" s="4" t="str">
        <f t="shared" si="1"/>
        <v>TRW-AVANZA03HAUTO</v>
      </c>
      <c r="B22" s="14" t="s">
        <v>64</v>
      </c>
      <c r="C22" s="4" t="s">
        <v>65</v>
      </c>
      <c r="D22" s="4" t="s">
        <v>41</v>
      </c>
      <c r="E22" s="4" t="s">
        <v>66</v>
      </c>
      <c r="F22" s="4" t="s">
        <v>67</v>
      </c>
      <c r="G22" s="4">
        <f>SUMIFS(X!$F$5:$F$2005,X!$D$5:$D$2005,'Current Stock'!A22)</f>
        <v>0</v>
      </c>
      <c r="H22" s="4">
        <f>SUMIFS(PENJUALAN!$E$4:$E$11000,PENJUALAN!$C$4:$C$11000,'Current Stock'!A22)</f>
        <v>0</v>
      </c>
      <c r="I22" s="16">
        <f t="shared" si="2"/>
        <v>0</v>
      </c>
      <c r="J22" s="4"/>
      <c r="K22" s="4"/>
      <c r="L22" s="5"/>
      <c r="M22" s="4"/>
    </row>
    <row r="23" ht="13.5" customHeight="1">
      <c r="A23" s="4" t="str">
        <f t="shared" si="1"/>
        <v>RDR-CRV12SG</v>
      </c>
      <c r="B23" s="14" t="s">
        <v>68</v>
      </c>
      <c r="C23" s="4" t="s">
        <v>69</v>
      </c>
      <c r="D23" s="4" t="s">
        <v>70</v>
      </c>
      <c r="E23" s="4" t="s">
        <v>71</v>
      </c>
      <c r="F23" s="4"/>
      <c r="G23" s="4">
        <f>SUMIFS(X!$F$5:$F$2005,X!$D$5:$D$2005,'Current Stock'!A23)</f>
        <v>0</v>
      </c>
      <c r="H23" s="4">
        <f>SUMIFS(PENJUALAN!$E$4:$E$11000,PENJUALAN!$C$4:$C$11000,'Current Stock'!A23)</f>
        <v>0</v>
      </c>
      <c r="I23" s="16">
        <f t="shared" si="2"/>
        <v>0</v>
      </c>
      <c r="J23" s="4"/>
      <c r="K23" s="4"/>
      <c r="L23" s="5"/>
      <c r="M23" s="4"/>
    </row>
    <row r="24" ht="13.5" customHeight="1">
      <c r="A24" s="4" t="str">
        <f t="shared" si="1"/>
        <v>LFW-ALPHARD08RSPIL</v>
      </c>
      <c r="B24" s="14" t="s">
        <v>72</v>
      </c>
      <c r="C24" s="4" t="s">
        <v>73</v>
      </c>
      <c r="D24" s="4" t="s">
        <v>22</v>
      </c>
      <c r="E24" s="4" t="s">
        <v>74</v>
      </c>
      <c r="F24" s="4" t="s">
        <v>75</v>
      </c>
      <c r="G24" s="4">
        <f>SUMIFS(X!$F$5:$F$2005,X!$D$5:$D$2005,'Current Stock'!A24)</f>
        <v>0</v>
      </c>
      <c r="H24" s="4">
        <f>SUMIFS(PENJUALAN!$E$4:$E$11000,PENJUALAN!$C$4:$C$11000,'Current Stock'!A24)</f>
        <v>0</v>
      </c>
      <c r="I24" s="16">
        <f t="shared" si="2"/>
        <v>0</v>
      </c>
      <c r="J24" s="4"/>
      <c r="K24" s="4"/>
      <c r="L24" s="5"/>
      <c r="M24" s="4"/>
    </row>
    <row r="25" ht="13.5" customHeight="1">
      <c r="A25" s="4" t="str">
        <f t="shared" si="1"/>
        <v>LFW-JAZZ07AGC</v>
      </c>
      <c r="B25" s="15" t="s">
        <v>76</v>
      </c>
      <c r="C25" s="15" t="s">
        <v>77</v>
      </c>
      <c r="D25" s="15" t="s">
        <v>22</v>
      </c>
      <c r="E25" s="15" t="s">
        <v>78</v>
      </c>
      <c r="F25" s="15" t="s">
        <v>79</v>
      </c>
      <c r="G25" s="4">
        <f>SUMIFS(X!$F$5:$F$2005,X!$D$5:$D$2005,'Current Stock'!A25)</f>
        <v>1</v>
      </c>
      <c r="H25" s="4">
        <f>SUMIFS(PENJUALAN!$E$4:$E$11000,PENJUALAN!$C$4:$C$11000,'Current Stock'!A25)</f>
        <v>1</v>
      </c>
      <c r="I25" s="16">
        <f t="shared" si="2"/>
        <v>0</v>
      </c>
      <c r="J25" s="18"/>
      <c r="K25" s="18"/>
      <c r="L25" s="18"/>
      <c r="M25" s="18"/>
    </row>
    <row r="26" ht="13.5" customHeight="1">
      <c r="A26" s="20" t="str">
        <f t="shared" si="1"/>
        <v>RDR-AVANZA11ASH</v>
      </c>
      <c r="B26" s="21" t="s">
        <v>80</v>
      </c>
      <c r="C26" s="20" t="s">
        <v>81</v>
      </c>
      <c r="D26" s="20" t="s">
        <v>70</v>
      </c>
      <c r="E26" s="20" t="s">
        <v>82</v>
      </c>
      <c r="F26" s="20"/>
      <c r="G26" s="4">
        <f>SUMIFS(X!$F$5:$F$2005,X!$D$5:$D$2005,'Current Stock'!A26)</f>
        <v>10</v>
      </c>
      <c r="H26" s="4">
        <f>SUMIFS(PENJUALAN!$E$4:$E$11000,PENJUALAN!$C$4:$C$11000,'Current Stock'!A26)</f>
        <v>9</v>
      </c>
      <c r="I26" s="16">
        <f t="shared" si="2"/>
        <v>1</v>
      </c>
      <c r="J26" s="22" t="s">
        <v>83</v>
      </c>
      <c r="K26" s="22"/>
      <c r="L26" s="23"/>
      <c r="M26" s="20"/>
    </row>
    <row r="27" ht="13.5" customHeight="1">
      <c r="A27" s="20" t="str">
        <f t="shared" si="1"/>
        <v>RDL-AGYA13ASH</v>
      </c>
      <c r="B27" s="24" t="s">
        <v>84</v>
      </c>
      <c r="C27" s="22" t="s">
        <v>85</v>
      </c>
      <c r="D27" s="25" t="str">
        <f>LEFT(A27,FIND("-",A27) - 1)</f>
        <v>RDL</v>
      </c>
      <c r="E27" s="22" t="s">
        <v>82</v>
      </c>
      <c r="F27" s="25"/>
      <c r="G27" s="4">
        <f>SUMIFS(X!$F$5:$F$2005,X!$D$5:$D$2005,'Current Stock'!A27)</f>
        <v>5</v>
      </c>
      <c r="H27" s="4">
        <f>SUMIFS(PENJUALAN!$E$4:$E$11000,PENJUALAN!$C$4:$C$11000,'Current Stock'!A27)</f>
        <v>4</v>
      </c>
      <c r="I27" s="16">
        <f t="shared" si="2"/>
        <v>1</v>
      </c>
      <c r="J27" s="22" t="s">
        <v>86</v>
      </c>
      <c r="K27" s="22"/>
      <c r="L27" s="25"/>
      <c r="M27" s="25"/>
    </row>
    <row r="28" ht="13.5" customHeight="1">
      <c r="A28" s="4" t="str">
        <f t="shared" si="1"/>
        <v>TRW-AVANZA11ORI</v>
      </c>
      <c r="B28" s="14" t="s">
        <v>87</v>
      </c>
      <c r="C28" s="4" t="s">
        <v>88</v>
      </c>
      <c r="D28" s="4" t="s">
        <v>41</v>
      </c>
      <c r="E28" s="4" t="s">
        <v>89</v>
      </c>
      <c r="F28" s="4" t="s">
        <v>90</v>
      </c>
      <c r="G28" s="4">
        <f>SUMIFS(X!$F$5:$F$2005,X!$D$5:$D$2005,'Current Stock'!A28)</f>
        <v>0</v>
      </c>
      <c r="H28" s="4">
        <f>SUMIFS(PENJUALAN!$E$4:$E$11000,PENJUALAN!$C$4:$C$11000,'Current Stock'!A28)</f>
        <v>0</v>
      </c>
      <c r="I28" s="16">
        <f t="shared" si="2"/>
        <v>0</v>
      </c>
      <c r="J28" s="4"/>
      <c r="K28" s="4"/>
      <c r="L28" s="5"/>
      <c r="M28" s="4"/>
    </row>
    <row r="29" ht="13.5" customHeight="1">
      <c r="A29" s="4" t="str">
        <f t="shared" si="1"/>
        <v>RDL-AVANZA11ORI</v>
      </c>
      <c r="B29" s="14" t="s">
        <v>91</v>
      </c>
      <c r="C29" s="4" t="s">
        <v>88</v>
      </c>
      <c r="D29" s="4" t="s">
        <v>47</v>
      </c>
      <c r="E29" s="4" t="s">
        <v>89</v>
      </c>
      <c r="F29" s="4"/>
      <c r="G29" s="4">
        <f>SUMIFS(X!$F$5:$F$2005,X!$D$5:$D$2005,'Current Stock'!A29)</f>
        <v>0</v>
      </c>
      <c r="H29" s="4">
        <f>SUMIFS(PENJUALAN!$E$4:$E$11000,PENJUALAN!$C$4:$C$11000,'Current Stock'!A29)</f>
        <v>0</v>
      </c>
      <c r="I29" s="16">
        <f t="shared" si="2"/>
        <v>0</v>
      </c>
      <c r="J29" s="4"/>
      <c r="K29" s="4"/>
      <c r="L29" s="5"/>
      <c r="M29" s="4"/>
    </row>
    <row r="30" ht="13.5" customHeight="1">
      <c r="A30" s="4" t="str">
        <f t="shared" si="1"/>
        <v>RDR-AVANZA11ORI</v>
      </c>
      <c r="B30" s="14" t="s">
        <v>80</v>
      </c>
      <c r="C30" s="4" t="s">
        <v>88</v>
      </c>
      <c r="D30" s="4" t="s">
        <v>70</v>
      </c>
      <c r="E30" s="4" t="s">
        <v>89</v>
      </c>
      <c r="F30" s="4"/>
      <c r="G30" s="4">
        <f>SUMIFS(X!$F$5:$F$2005,X!$D$5:$D$2005,'Current Stock'!A30)</f>
        <v>0</v>
      </c>
      <c r="H30" s="4">
        <f>SUMIFS(PENJUALAN!$E$4:$E$11000,PENJUALAN!$C$4:$C$11000,'Current Stock'!A30)</f>
        <v>0</v>
      </c>
      <c r="I30" s="16">
        <f t="shared" si="2"/>
        <v>0</v>
      </c>
      <c r="J30" s="4"/>
      <c r="K30" s="4"/>
      <c r="L30" s="5"/>
      <c r="M30" s="4"/>
    </row>
    <row r="31" ht="13.5" customHeight="1">
      <c r="A31" s="4" t="str">
        <f t="shared" si="1"/>
        <v>FDL-AVANZA11ORI</v>
      </c>
      <c r="B31" s="14" t="s">
        <v>92</v>
      </c>
      <c r="C31" s="4" t="s">
        <v>88</v>
      </c>
      <c r="D31" s="4" t="s">
        <v>93</v>
      </c>
      <c r="E31" s="4" t="s">
        <v>89</v>
      </c>
      <c r="F31" s="4"/>
      <c r="G31" s="4">
        <f>SUMIFS(X!$F$5:$F$2005,X!$D$5:$D$2005,'Current Stock'!A31)</f>
        <v>0</v>
      </c>
      <c r="H31" s="4">
        <f>SUMIFS(PENJUALAN!$E$4:$E$11000,PENJUALAN!$C$4:$C$11000,'Current Stock'!A31)</f>
        <v>0</v>
      </c>
      <c r="I31" s="16">
        <f t="shared" si="2"/>
        <v>0</v>
      </c>
      <c r="J31" s="4"/>
      <c r="K31" s="4"/>
      <c r="L31" s="5"/>
      <c r="M31" s="4"/>
    </row>
    <row r="32" ht="13.5" customHeight="1">
      <c r="A32" s="4" t="str">
        <f t="shared" si="1"/>
        <v>FDR-AVANZA11ORI</v>
      </c>
      <c r="B32" s="14" t="s">
        <v>94</v>
      </c>
      <c r="C32" s="4" t="s">
        <v>88</v>
      </c>
      <c r="D32" s="4" t="s">
        <v>45</v>
      </c>
      <c r="E32" s="4" t="s">
        <v>89</v>
      </c>
      <c r="F32" s="4"/>
      <c r="G32" s="4">
        <f>SUMIFS(X!$F$5:$F$2005,X!$D$5:$D$2005,'Current Stock'!A32)</f>
        <v>0</v>
      </c>
      <c r="H32" s="4">
        <f>SUMIFS(PENJUALAN!$E$4:$E$11000,PENJUALAN!$C$4:$C$11000,'Current Stock'!A32)</f>
        <v>0</v>
      </c>
      <c r="I32" s="16">
        <f t="shared" si="2"/>
        <v>0</v>
      </c>
      <c r="J32" s="4"/>
      <c r="K32" s="4"/>
      <c r="L32" s="5"/>
      <c r="M32" s="4"/>
    </row>
    <row r="33" ht="13.5" customHeight="1">
      <c r="A33" s="4" t="str">
        <f t="shared" si="1"/>
        <v>LFW-ETIOSASH</v>
      </c>
      <c r="B33" s="14" t="s">
        <v>95</v>
      </c>
      <c r="C33" s="4" t="s">
        <v>96</v>
      </c>
      <c r="D33" s="4" t="s">
        <v>22</v>
      </c>
      <c r="E33" s="4" t="s">
        <v>82</v>
      </c>
      <c r="F33" s="4" t="s">
        <v>97</v>
      </c>
      <c r="G33" s="4">
        <f>SUMIFS(X!$F$5:$F$2005,X!$D$5:$D$2005,'Current Stock'!A33)</f>
        <v>0</v>
      </c>
      <c r="H33" s="4">
        <f>SUMIFS(PENJUALAN!$E$4:$E$11000,PENJUALAN!$C$4:$C$11000,'Current Stock'!A33)</f>
        <v>0</v>
      </c>
      <c r="I33" s="16">
        <f t="shared" si="2"/>
        <v>0</v>
      </c>
      <c r="J33" s="26"/>
      <c r="K33" s="26"/>
      <c r="L33" s="5">
        <v>1.0</v>
      </c>
      <c r="M33" s="4"/>
    </row>
    <row r="34" ht="13.5" customHeight="1">
      <c r="A34" s="4" t="str">
        <f t="shared" si="1"/>
        <v>TRW-XPANDERAGC</v>
      </c>
      <c r="B34" s="15" t="s">
        <v>98</v>
      </c>
      <c r="C34" s="27" t="s">
        <v>99</v>
      </c>
      <c r="D34" s="15" t="s">
        <v>41</v>
      </c>
      <c r="E34" s="15" t="s">
        <v>78</v>
      </c>
      <c r="F34" s="15" t="s">
        <v>100</v>
      </c>
      <c r="G34" s="4">
        <f>SUMIFS(X!$F$5:$F$2005,X!$D$5:$D$2005,'Current Stock'!A34)</f>
        <v>6</v>
      </c>
      <c r="H34" s="4">
        <f>SUMIFS(PENJUALAN!$E$4:$E$11000,PENJUALAN!$C$4:$C$11000,'Current Stock'!A34)</f>
        <v>5</v>
      </c>
      <c r="I34" s="16">
        <f t="shared" si="2"/>
        <v>1</v>
      </c>
      <c r="J34" s="15" t="s">
        <v>101</v>
      </c>
      <c r="K34" s="15"/>
      <c r="L34" s="18"/>
      <c r="M34" s="15"/>
    </row>
    <row r="35" ht="13.5" customHeight="1">
      <c r="A35" s="4" t="str">
        <f t="shared" si="1"/>
        <v>SWR-RAIZEORI</v>
      </c>
      <c r="B35" s="14" t="s">
        <v>102</v>
      </c>
      <c r="C35" s="4" t="s">
        <v>103</v>
      </c>
      <c r="D35" s="4" t="s">
        <v>104</v>
      </c>
      <c r="E35" s="4" t="s">
        <v>89</v>
      </c>
      <c r="F35" s="4" t="s">
        <v>97</v>
      </c>
      <c r="G35" s="4">
        <f>SUMIFS(X!$F$5:$F$2005,X!$D$5:$D$2005,'Current Stock'!A35)</f>
        <v>0</v>
      </c>
      <c r="H35" s="4">
        <f>SUMIFS(PENJUALAN!$E$4:$E$11000,PENJUALAN!$C$4:$C$11000,'Current Stock'!A35)</f>
        <v>0</v>
      </c>
      <c r="I35" s="16">
        <f t="shared" si="2"/>
        <v>0</v>
      </c>
      <c r="J35" s="4"/>
      <c r="K35" s="4"/>
      <c r="L35" s="5">
        <v>1.0</v>
      </c>
      <c r="M35" s="4"/>
    </row>
    <row r="36" ht="13.5" customHeight="1">
      <c r="A36" s="4" t="str">
        <f t="shared" si="1"/>
        <v>TRW-BRV16HONDA</v>
      </c>
      <c r="B36" s="14" t="s">
        <v>105</v>
      </c>
      <c r="C36" s="28" t="s">
        <v>106</v>
      </c>
      <c r="D36" s="4" t="s">
        <v>41</v>
      </c>
      <c r="E36" s="4" t="s">
        <v>107</v>
      </c>
      <c r="F36" s="4" t="s">
        <v>108</v>
      </c>
      <c r="G36" s="4">
        <f>SUMIFS(X!$F$5:$F$2005,X!$D$5:$D$2005,'Current Stock'!A36)</f>
        <v>0</v>
      </c>
      <c r="H36" s="4">
        <f>SUMIFS(PENJUALAN!$E$4:$E$11000,PENJUALAN!$C$4:$C$11000,'Current Stock'!A36)</f>
        <v>0</v>
      </c>
      <c r="I36" s="16">
        <f t="shared" si="2"/>
        <v>0</v>
      </c>
      <c r="J36" s="4"/>
      <c r="K36" s="4"/>
      <c r="L36" s="5">
        <v>1.0</v>
      </c>
      <c r="M36" s="4"/>
    </row>
    <row r="37" ht="13.5" customHeight="1">
      <c r="A37" s="4" t="str">
        <f t="shared" si="1"/>
        <v>LFW-AUDIB8FY</v>
      </c>
      <c r="B37" s="29" t="s">
        <v>109</v>
      </c>
      <c r="C37" s="28" t="s">
        <v>110</v>
      </c>
      <c r="D37" s="28" t="s">
        <v>22</v>
      </c>
      <c r="E37" s="4" t="s">
        <v>111</v>
      </c>
      <c r="F37" s="28" t="s">
        <v>112</v>
      </c>
      <c r="G37" s="4">
        <f>SUMIFS(X!$F$5:$F$2005,X!$D$5:$D$2005,'Current Stock'!A37)</f>
        <v>0</v>
      </c>
      <c r="H37" s="4">
        <f>SUMIFS(PENJUALAN!$E$4:$E$11000,PENJUALAN!$C$4:$C$11000,'Current Stock'!A37)</f>
        <v>0</v>
      </c>
      <c r="I37" s="16">
        <f t="shared" si="2"/>
        <v>0</v>
      </c>
      <c r="J37" s="4"/>
      <c r="K37" s="4"/>
      <c r="L37" s="4"/>
      <c r="M37" s="4"/>
    </row>
    <row r="38" ht="13.5" customHeight="1">
      <c r="A38" s="4" t="str">
        <f t="shared" si="1"/>
        <v>TRW-AUDIB8FY</v>
      </c>
      <c r="B38" s="29" t="s">
        <v>113</v>
      </c>
      <c r="C38" s="28" t="s">
        <v>110</v>
      </c>
      <c r="D38" s="28" t="s">
        <v>41</v>
      </c>
      <c r="E38" s="4" t="s">
        <v>111</v>
      </c>
      <c r="F38" s="28" t="s">
        <v>114</v>
      </c>
      <c r="G38" s="4">
        <f>SUMIFS(X!$F$5:$F$2005,X!$D$5:$D$2005,'Current Stock'!A38)</f>
        <v>0</v>
      </c>
      <c r="H38" s="4">
        <f>SUMIFS(PENJUALAN!$E$4:$E$11000,PENJUALAN!$C$4:$C$11000,'Current Stock'!A38)</f>
        <v>0</v>
      </c>
      <c r="I38" s="16">
        <f t="shared" si="2"/>
        <v>0</v>
      </c>
      <c r="J38" s="4"/>
      <c r="K38" s="4"/>
      <c r="L38" s="4"/>
      <c r="M38" s="4"/>
    </row>
    <row r="39" ht="13.5" customHeight="1">
      <c r="A39" s="4" t="str">
        <f t="shared" si="1"/>
        <v>LFW-AUDIC7FY</v>
      </c>
      <c r="B39" s="29" t="s">
        <v>115</v>
      </c>
      <c r="C39" s="28" t="s">
        <v>116</v>
      </c>
      <c r="D39" s="28" t="s">
        <v>22</v>
      </c>
      <c r="E39" s="4" t="s">
        <v>111</v>
      </c>
      <c r="F39" s="28" t="s">
        <v>112</v>
      </c>
      <c r="G39" s="4">
        <f>SUMIFS(X!$F$5:$F$2005,X!$D$5:$D$2005,'Current Stock'!A39)</f>
        <v>0</v>
      </c>
      <c r="H39" s="4">
        <f>SUMIFS(PENJUALAN!$E$4:$E$11000,PENJUALAN!$C$4:$C$11000,'Current Stock'!A39)</f>
        <v>0</v>
      </c>
      <c r="I39" s="16">
        <f t="shared" si="2"/>
        <v>0</v>
      </c>
      <c r="J39" s="4"/>
      <c r="K39" s="4"/>
      <c r="L39" s="4"/>
      <c r="M39" s="4"/>
    </row>
    <row r="40" ht="13.5" customHeight="1">
      <c r="A40" s="4" t="str">
        <f t="shared" si="1"/>
        <v>TRW-AUDIC7FY</v>
      </c>
      <c r="B40" s="29" t="s">
        <v>117</v>
      </c>
      <c r="C40" s="28" t="s">
        <v>116</v>
      </c>
      <c r="D40" s="28" t="s">
        <v>41</v>
      </c>
      <c r="E40" s="4" t="s">
        <v>111</v>
      </c>
      <c r="F40" s="28" t="s">
        <v>118</v>
      </c>
      <c r="G40" s="4">
        <f>SUMIFS(X!$F$5:$F$2005,X!$D$5:$D$2005,'Current Stock'!A40)</f>
        <v>0</v>
      </c>
      <c r="H40" s="4">
        <f>SUMIFS(PENJUALAN!$E$4:$E$11000,PENJUALAN!$C$4:$C$11000,'Current Stock'!A40)</f>
        <v>0</v>
      </c>
      <c r="I40" s="16">
        <f t="shared" si="2"/>
        <v>0</v>
      </c>
      <c r="J40" s="4"/>
      <c r="K40" s="4"/>
      <c r="L40" s="4"/>
      <c r="M40" s="4"/>
    </row>
    <row r="41" ht="13.5" customHeight="1">
      <c r="A41" s="4" t="str">
        <f t="shared" si="1"/>
        <v>LFW-E30FY</v>
      </c>
      <c r="B41" s="29" t="s">
        <v>119</v>
      </c>
      <c r="C41" s="28" t="s">
        <v>120</v>
      </c>
      <c r="D41" s="28" t="s">
        <v>22</v>
      </c>
      <c r="E41" s="4" t="s">
        <v>111</v>
      </c>
      <c r="F41" s="28"/>
      <c r="G41" s="4">
        <f>SUMIFS(X!$F$5:$F$2005,X!$D$5:$D$2005,'Current Stock'!A41)</f>
        <v>0</v>
      </c>
      <c r="H41" s="4">
        <f>SUMIFS(PENJUALAN!$E$4:$E$11000,PENJUALAN!$C$4:$C$11000,'Current Stock'!A41)</f>
        <v>0</v>
      </c>
      <c r="I41" s="16">
        <f t="shared" si="2"/>
        <v>0</v>
      </c>
      <c r="J41" s="4"/>
      <c r="K41" s="4"/>
      <c r="L41" s="4"/>
      <c r="M41" s="4"/>
    </row>
    <row r="42" ht="13.5" customHeight="1">
      <c r="A42" s="4" t="str">
        <f t="shared" si="1"/>
        <v>TRW-E30FY</v>
      </c>
      <c r="B42" s="29" t="s">
        <v>121</v>
      </c>
      <c r="C42" s="28" t="s">
        <v>120</v>
      </c>
      <c r="D42" s="28" t="s">
        <v>41</v>
      </c>
      <c r="E42" s="4" t="s">
        <v>111</v>
      </c>
      <c r="F42" s="28" t="s">
        <v>122</v>
      </c>
      <c r="G42" s="4">
        <f>SUMIFS(X!$F$5:$F$2005,X!$D$5:$D$2005,'Current Stock'!A42)</f>
        <v>0</v>
      </c>
      <c r="H42" s="4">
        <f>SUMIFS(PENJUALAN!$E$4:$E$11000,PENJUALAN!$C$4:$C$11000,'Current Stock'!A42)</f>
        <v>0</v>
      </c>
      <c r="I42" s="16">
        <f t="shared" si="2"/>
        <v>0</v>
      </c>
      <c r="J42" s="4"/>
      <c r="K42" s="4"/>
      <c r="L42" s="4"/>
      <c r="M42" s="4"/>
    </row>
    <row r="43" ht="13.5" customHeight="1">
      <c r="A43" s="4" t="str">
        <f t="shared" si="1"/>
        <v>LFW-E36FY</v>
      </c>
      <c r="B43" s="29" t="s">
        <v>123</v>
      </c>
      <c r="C43" s="28" t="s">
        <v>124</v>
      </c>
      <c r="D43" s="28" t="s">
        <v>22</v>
      </c>
      <c r="E43" s="4" t="s">
        <v>111</v>
      </c>
      <c r="F43" s="28" t="s">
        <v>125</v>
      </c>
      <c r="G43" s="4">
        <f>SUMIFS(X!$F$5:$F$2005,X!$D$5:$D$2005,'Current Stock'!A43)</f>
        <v>0</v>
      </c>
      <c r="H43" s="4">
        <f>SUMIFS(PENJUALAN!$E$4:$E$11000,PENJUALAN!$C$4:$C$11000,'Current Stock'!A43)</f>
        <v>0</v>
      </c>
      <c r="I43" s="16">
        <f t="shared" si="2"/>
        <v>0</v>
      </c>
      <c r="J43" s="4"/>
      <c r="K43" s="4"/>
      <c r="L43" s="4"/>
      <c r="M43" s="4"/>
    </row>
    <row r="44" ht="13.5" customHeight="1">
      <c r="A44" s="4" t="str">
        <f t="shared" si="1"/>
        <v>TRW-E36FY</v>
      </c>
      <c r="B44" s="29" t="s">
        <v>126</v>
      </c>
      <c r="C44" s="28" t="s">
        <v>124</v>
      </c>
      <c r="D44" s="28" t="s">
        <v>41</v>
      </c>
      <c r="E44" s="4" t="s">
        <v>111</v>
      </c>
      <c r="F44" s="28" t="s">
        <v>67</v>
      </c>
      <c r="G44" s="4">
        <f>SUMIFS(X!$F$5:$F$2005,X!$D$5:$D$2005,'Current Stock'!A44)</f>
        <v>0</v>
      </c>
      <c r="H44" s="4">
        <f>SUMIFS(PENJUALAN!$E$4:$E$11000,PENJUALAN!$C$4:$C$11000,'Current Stock'!A44)</f>
        <v>0</v>
      </c>
      <c r="I44" s="16">
        <f t="shared" si="2"/>
        <v>0</v>
      </c>
      <c r="J44" s="4"/>
      <c r="K44" s="4"/>
      <c r="L44" s="4"/>
      <c r="M44" s="4"/>
    </row>
    <row r="45" ht="13.5" customHeight="1">
      <c r="A45" s="4" t="str">
        <f t="shared" si="1"/>
        <v>FDL-E36FY</v>
      </c>
      <c r="B45" s="29" t="s">
        <v>127</v>
      </c>
      <c r="C45" s="28" t="s">
        <v>124</v>
      </c>
      <c r="D45" s="28" t="s">
        <v>128</v>
      </c>
      <c r="E45" s="4" t="s">
        <v>111</v>
      </c>
      <c r="F45" s="28"/>
      <c r="G45" s="4">
        <f>SUMIFS(X!$F$5:$F$2005,X!$D$5:$D$2005,'Current Stock'!A45)</f>
        <v>0</v>
      </c>
      <c r="H45" s="4">
        <f>SUMIFS(PENJUALAN!$E$4:$E$11000,PENJUALAN!$C$4:$C$11000,'Current Stock'!A45)</f>
        <v>0</v>
      </c>
      <c r="I45" s="16">
        <f t="shared" si="2"/>
        <v>0</v>
      </c>
      <c r="J45" s="4"/>
      <c r="K45" s="4"/>
      <c r="L45" s="4"/>
      <c r="M45" s="4"/>
    </row>
    <row r="46" ht="13.5" customHeight="1">
      <c r="A46" s="4" t="str">
        <f t="shared" si="1"/>
        <v>FDR-E36FY</v>
      </c>
      <c r="B46" s="29" t="s">
        <v>129</v>
      </c>
      <c r="C46" s="28" t="s">
        <v>124</v>
      </c>
      <c r="D46" s="28" t="s">
        <v>130</v>
      </c>
      <c r="E46" s="4" t="s">
        <v>111</v>
      </c>
      <c r="F46" s="28"/>
      <c r="G46" s="4">
        <f>SUMIFS(X!$F$5:$F$2005,X!$D$5:$D$2005,'Current Stock'!A46)</f>
        <v>0</v>
      </c>
      <c r="H46" s="4">
        <f>SUMIFS(PENJUALAN!$E$4:$E$11000,PENJUALAN!$C$4:$C$11000,'Current Stock'!A46)</f>
        <v>0</v>
      </c>
      <c r="I46" s="16">
        <f t="shared" si="2"/>
        <v>0</v>
      </c>
      <c r="J46" s="4"/>
      <c r="K46" s="4"/>
      <c r="L46" s="4"/>
      <c r="M46" s="4"/>
    </row>
    <row r="47" ht="13.5" customHeight="1">
      <c r="A47" s="4" t="str">
        <f t="shared" si="1"/>
        <v>RDL-E36FY</v>
      </c>
      <c r="B47" s="29" t="s">
        <v>131</v>
      </c>
      <c r="C47" s="28" t="s">
        <v>124</v>
      </c>
      <c r="D47" s="28" t="s">
        <v>132</v>
      </c>
      <c r="E47" s="4" t="s">
        <v>111</v>
      </c>
      <c r="F47" s="28"/>
      <c r="G47" s="4">
        <f>SUMIFS(X!$F$5:$F$2005,X!$D$5:$D$2005,'Current Stock'!A47)</f>
        <v>0</v>
      </c>
      <c r="H47" s="4">
        <f>SUMIFS(PENJUALAN!$E$4:$E$11000,PENJUALAN!$C$4:$C$11000,'Current Stock'!A47)</f>
        <v>0</v>
      </c>
      <c r="I47" s="16">
        <f t="shared" si="2"/>
        <v>0</v>
      </c>
      <c r="J47" s="4"/>
      <c r="K47" s="4"/>
      <c r="L47" s="4"/>
      <c r="M47" s="4"/>
    </row>
    <row r="48" ht="13.5" customHeight="1">
      <c r="A48" s="4" t="str">
        <f t="shared" si="1"/>
        <v>RDR-E36FY</v>
      </c>
      <c r="B48" s="29" t="s">
        <v>133</v>
      </c>
      <c r="C48" s="28" t="s">
        <v>124</v>
      </c>
      <c r="D48" s="28" t="s">
        <v>134</v>
      </c>
      <c r="E48" s="4" t="s">
        <v>111</v>
      </c>
      <c r="F48" s="28"/>
      <c r="G48" s="4">
        <f>SUMIFS(X!$F$5:$F$2005,X!$D$5:$D$2005,'Current Stock'!A48)</f>
        <v>0</v>
      </c>
      <c r="H48" s="4">
        <f>SUMIFS(PENJUALAN!$E$4:$E$11000,PENJUALAN!$C$4:$C$11000,'Current Stock'!A48)</f>
        <v>0</v>
      </c>
      <c r="I48" s="16">
        <f t="shared" si="2"/>
        <v>0</v>
      </c>
      <c r="J48" s="4"/>
      <c r="K48" s="4"/>
      <c r="L48" s="4"/>
      <c r="M48" s="4"/>
    </row>
    <row r="49" ht="13.5" customHeight="1">
      <c r="A49" s="4" t="str">
        <f t="shared" si="1"/>
        <v>LFW-E46RSFY</v>
      </c>
      <c r="B49" s="29" t="s">
        <v>135</v>
      </c>
      <c r="C49" s="28" t="s">
        <v>136</v>
      </c>
      <c r="D49" s="28" t="s">
        <v>22</v>
      </c>
      <c r="E49" s="4" t="s">
        <v>111</v>
      </c>
      <c r="F49" s="28" t="s">
        <v>75</v>
      </c>
      <c r="G49" s="4">
        <f>SUMIFS(X!$F$5:$F$2005,X!$D$5:$D$2005,'Current Stock'!A49)</f>
        <v>0</v>
      </c>
      <c r="H49" s="4">
        <f>SUMIFS(PENJUALAN!$E$4:$E$11000,PENJUALAN!$C$4:$C$11000,'Current Stock'!A49)</f>
        <v>0</v>
      </c>
      <c r="I49" s="16">
        <f t="shared" si="2"/>
        <v>0</v>
      </c>
      <c r="J49" s="4"/>
      <c r="K49" s="4"/>
      <c r="L49" s="4"/>
      <c r="M49" s="4"/>
    </row>
    <row r="50" ht="13.5" customHeight="1">
      <c r="A50" s="4" t="str">
        <f t="shared" si="1"/>
        <v>LFW-E46FY</v>
      </c>
      <c r="B50" s="29" t="s">
        <v>137</v>
      </c>
      <c r="C50" s="28" t="s">
        <v>136</v>
      </c>
      <c r="D50" s="28" t="s">
        <v>22</v>
      </c>
      <c r="E50" s="4" t="s">
        <v>111</v>
      </c>
      <c r="F50" s="28" t="s">
        <v>125</v>
      </c>
      <c r="G50" s="4">
        <f>SUMIFS(X!$F$5:$F$2005,X!$D$5:$D$2005,'Current Stock'!A50)</f>
        <v>0</v>
      </c>
      <c r="H50" s="4">
        <f>SUMIFS(PENJUALAN!$E$4:$E$11000,PENJUALAN!$C$4:$C$11000,'Current Stock'!A50)</f>
        <v>0</v>
      </c>
      <c r="I50" s="16">
        <f t="shared" si="2"/>
        <v>0</v>
      </c>
      <c r="J50" s="4"/>
      <c r="K50" s="4"/>
      <c r="L50" s="4"/>
      <c r="M50" s="4"/>
    </row>
    <row r="51" ht="13.5" customHeight="1">
      <c r="A51" s="4" t="str">
        <f t="shared" si="1"/>
        <v>TRW-E46FY</v>
      </c>
      <c r="B51" s="29" t="s">
        <v>138</v>
      </c>
      <c r="C51" s="28" t="s">
        <v>136</v>
      </c>
      <c r="D51" s="28" t="s">
        <v>41</v>
      </c>
      <c r="E51" s="4" t="s">
        <v>111</v>
      </c>
      <c r="F51" s="28" t="s">
        <v>67</v>
      </c>
      <c r="G51" s="4">
        <f>SUMIFS(X!$F$5:$F$2005,X!$D$5:$D$2005,'Current Stock'!A51)</f>
        <v>2</v>
      </c>
      <c r="H51" s="4">
        <f>SUMIFS(PENJUALAN!$E$4:$E$11000,PENJUALAN!$C$4:$C$11000,'Current Stock'!A51)</f>
        <v>0</v>
      </c>
      <c r="I51" s="16">
        <f t="shared" si="2"/>
        <v>2</v>
      </c>
      <c r="J51" s="15" t="s">
        <v>139</v>
      </c>
      <c r="K51" s="15"/>
      <c r="L51" s="4"/>
      <c r="M51" s="4"/>
    </row>
    <row r="52" ht="13.5" customHeight="1">
      <c r="A52" s="4" t="str">
        <f t="shared" si="1"/>
        <v>FDL-E46FY</v>
      </c>
      <c r="B52" s="29" t="s">
        <v>140</v>
      </c>
      <c r="C52" s="28" t="s">
        <v>136</v>
      </c>
      <c r="D52" s="28" t="s">
        <v>128</v>
      </c>
      <c r="E52" s="4" t="s">
        <v>111</v>
      </c>
      <c r="F52" s="28" t="s">
        <v>141</v>
      </c>
      <c r="G52" s="4">
        <f>SUMIFS(X!$F$5:$F$2005,X!$D$5:$D$2005,'Current Stock'!A52)</f>
        <v>0</v>
      </c>
      <c r="H52" s="4">
        <f>SUMIFS(PENJUALAN!$E$4:$E$11000,PENJUALAN!$C$4:$C$11000,'Current Stock'!A52)</f>
        <v>0</v>
      </c>
      <c r="I52" s="16">
        <f t="shared" si="2"/>
        <v>0</v>
      </c>
      <c r="J52" s="4"/>
      <c r="K52" s="4"/>
      <c r="L52" s="4"/>
      <c r="M52" s="4"/>
    </row>
    <row r="53" ht="13.5" customHeight="1">
      <c r="A53" s="4" t="str">
        <f t="shared" si="1"/>
        <v>FDR-E46FY</v>
      </c>
      <c r="B53" s="29" t="s">
        <v>142</v>
      </c>
      <c r="C53" s="28" t="s">
        <v>136</v>
      </c>
      <c r="D53" s="28" t="s">
        <v>130</v>
      </c>
      <c r="E53" s="4" t="s">
        <v>111</v>
      </c>
      <c r="F53" s="28" t="s">
        <v>141</v>
      </c>
      <c r="G53" s="4">
        <f>SUMIFS(X!$F$5:$F$2005,X!$D$5:$D$2005,'Current Stock'!A53)</f>
        <v>0</v>
      </c>
      <c r="H53" s="4">
        <f>SUMIFS(PENJUALAN!$E$4:$E$11000,PENJUALAN!$C$4:$C$11000,'Current Stock'!A53)</f>
        <v>0</v>
      </c>
      <c r="I53" s="16">
        <f t="shared" si="2"/>
        <v>0</v>
      </c>
      <c r="J53" s="4"/>
      <c r="K53" s="4"/>
      <c r="L53" s="4"/>
      <c r="M53" s="4"/>
    </row>
    <row r="54" ht="13.5" customHeight="1">
      <c r="A54" s="4" t="str">
        <f t="shared" si="1"/>
        <v>RDL-E46FY</v>
      </c>
      <c r="B54" s="29" t="s">
        <v>143</v>
      </c>
      <c r="C54" s="28" t="s">
        <v>136</v>
      </c>
      <c r="D54" s="28" t="s">
        <v>132</v>
      </c>
      <c r="E54" s="4" t="s">
        <v>111</v>
      </c>
      <c r="F54" s="28" t="s">
        <v>144</v>
      </c>
      <c r="G54" s="4">
        <f>SUMIFS(X!$F$5:$F$2005,X!$D$5:$D$2005,'Current Stock'!A54)</f>
        <v>0</v>
      </c>
      <c r="H54" s="4">
        <f>SUMIFS(PENJUALAN!$E$4:$E$11000,PENJUALAN!$C$4:$C$11000,'Current Stock'!A54)</f>
        <v>0</v>
      </c>
      <c r="I54" s="16">
        <f t="shared" si="2"/>
        <v>0</v>
      </c>
      <c r="J54" s="4"/>
      <c r="K54" s="4"/>
      <c r="L54" s="4"/>
      <c r="M54" s="4"/>
    </row>
    <row r="55" ht="13.5" customHeight="1">
      <c r="A55" s="4" t="str">
        <f t="shared" si="1"/>
        <v>RDR-E46FY</v>
      </c>
      <c r="B55" s="29" t="s">
        <v>145</v>
      </c>
      <c r="C55" s="28" t="s">
        <v>136</v>
      </c>
      <c r="D55" s="28" t="s">
        <v>134</v>
      </c>
      <c r="E55" s="4" t="s">
        <v>111</v>
      </c>
      <c r="F55" s="28" t="s">
        <v>144</v>
      </c>
      <c r="G55" s="4">
        <f>SUMIFS(X!$F$5:$F$2005,X!$D$5:$D$2005,'Current Stock'!A55)</f>
        <v>0</v>
      </c>
      <c r="H55" s="4">
        <f>SUMIFS(PENJUALAN!$E$4:$E$11000,PENJUALAN!$C$4:$C$11000,'Current Stock'!A55)</f>
        <v>0</v>
      </c>
      <c r="I55" s="16">
        <f t="shared" si="2"/>
        <v>0</v>
      </c>
      <c r="J55" s="4"/>
      <c r="K55" s="4"/>
      <c r="L55" s="4"/>
      <c r="M55" s="4"/>
    </row>
    <row r="56" ht="13.5" customHeight="1">
      <c r="A56" s="4" t="str">
        <f t="shared" si="1"/>
        <v>LFW-E46RS2DOORFY</v>
      </c>
      <c r="B56" s="29" t="s">
        <v>146</v>
      </c>
      <c r="C56" s="28" t="s">
        <v>147</v>
      </c>
      <c r="D56" s="28" t="s">
        <v>22</v>
      </c>
      <c r="E56" s="4" t="s">
        <v>111</v>
      </c>
      <c r="F56" s="28" t="s">
        <v>125</v>
      </c>
      <c r="G56" s="4">
        <f>SUMIFS(X!$F$5:$F$2005,X!$D$5:$D$2005,'Current Stock'!A56)</f>
        <v>0</v>
      </c>
      <c r="H56" s="4">
        <f>SUMIFS(PENJUALAN!$E$4:$E$11000,PENJUALAN!$C$4:$C$11000,'Current Stock'!A56)</f>
        <v>0</v>
      </c>
      <c r="I56" s="16">
        <f t="shared" si="2"/>
        <v>0</v>
      </c>
      <c r="J56" s="4"/>
      <c r="K56" s="4"/>
      <c r="L56" s="4"/>
      <c r="M56" s="4"/>
    </row>
    <row r="57" ht="13.5" customHeight="1">
      <c r="A57" s="4" t="str">
        <f t="shared" si="1"/>
        <v>LFW-E90RSFY</v>
      </c>
      <c r="B57" s="29" t="s">
        <v>148</v>
      </c>
      <c r="C57" s="28" t="s">
        <v>149</v>
      </c>
      <c r="D57" s="28" t="s">
        <v>22</v>
      </c>
      <c r="E57" s="4" t="s">
        <v>111</v>
      </c>
      <c r="F57" s="28" t="s">
        <v>75</v>
      </c>
      <c r="G57" s="4">
        <f>SUMIFS(X!$F$5:$F$2005,X!$D$5:$D$2005,'Current Stock'!A57)</f>
        <v>0</v>
      </c>
      <c r="H57" s="4">
        <f>SUMIFS(PENJUALAN!$E$4:$E$11000,PENJUALAN!$C$4:$C$11000,'Current Stock'!A57)</f>
        <v>0</v>
      </c>
      <c r="I57" s="16">
        <f t="shared" si="2"/>
        <v>0</v>
      </c>
      <c r="J57" s="4"/>
      <c r="K57" s="4"/>
      <c r="L57" s="4"/>
      <c r="M57" s="4"/>
    </row>
    <row r="58" ht="13.5" customHeight="1">
      <c r="A58" s="4" t="str">
        <f t="shared" si="1"/>
        <v>LFW-E90FY</v>
      </c>
      <c r="B58" s="29" t="s">
        <v>150</v>
      </c>
      <c r="C58" s="28" t="s">
        <v>149</v>
      </c>
      <c r="D58" s="28" t="s">
        <v>22</v>
      </c>
      <c r="E58" s="4" t="s">
        <v>111</v>
      </c>
      <c r="F58" s="28" t="s">
        <v>125</v>
      </c>
      <c r="G58" s="4">
        <f>SUMIFS(X!$F$5:$F$2005,X!$D$5:$D$2005,'Current Stock'!A58)</f>
        <v>0</v>
      </c>
      <c r="H58" s="4">
        <f>SUMIFS(PENJUALAN!$E$4:$E$11000,PENJUALAN!$C$4:$C$11000,'Current Stock'!A58)</f>
        <v>0</v>
      </c>
      <c r="I58" s="16">
        <f t="shared" si="2"/>
        <v>0</v>
      </c>
      <c r="J58" s="4"/>
      <c r="K58" s="4"/>
      <c r="L58" s="4"/>
      <c r="M58" s="4"/>
    </row>
    <row r="59" ht="13.5" customHeight="1">
      <c r="A59" s="4" t="str">
        <f t="shared" si="1"/>
        <v>TRW-E90FY</v>
      </c>
      <c r="B59" s="29" t="s">
        <v>151</v>
      </c>
      <c r="C59" s="28" t="s">
        <v>149</v>
      </c>
      <c r="D59" s="28" t="s">
        <v>41</v>
      </c>
      <c r="E59" s="4" t="s">
        <v>111</v>
      </c>
      <c r="F59" s="28" t="s">
        <v>67</v>
      </c>
      <c r="G59" s="4">
        <f>SUMIFS(X!$F$5:$F$2005,X!$D$5:$D$2005,'Current Stock'!A59)</f>
        <v>0</v>
      </c>
      <c r="H59" s="4">
        <f>SUMIFS(PENJUALAN!$E$4:$E$11000,PENJUALAN!$C$4:$C$11000,'Current Stock'!A59)</f>
        <v>0</v>
      </c>
      <c r="I59" s="16">
        <f t="shared" si="2"/>
        <v>0</v>
      </c>
      <c r="J59" s="4"/>
      <c r="K59" s="4"/>
      <c r="L59" s="4"/>
      <c r="M59" s="4"/>
    </row>
    <row r="60" ht="13.5" customHeight="1">
      <c r="A60" s="4" t="str">
        <f t="shared" si="1"/>
        <v>FDL-E90FY</v>
      </c>
      <c r="B60" s="29" t="s">
        <v>152</v>
      </c>
      <c r="C60" s="28" t="s">
        <v>149</v>
      </c>
      <c r="D60" s="28" t="s">
        <v>128</v>
      </c>
      <c r="E60" s="4" t="s">
        <v>111</v>
      </c>
      <c r="F60" s="28" t="s">
        <v>141</v>
      </c>
      <c r="G60" s="4">
        <f>SUMIFS(X!$F$5:$F$2005,X!$D$5:$D$2005,'Current Stock'!A60)</f>
        <v>0</v>
      </c>
      <c r="H60" s="4">
        <f>SUMIFS(PENJUALAN!$E$4:$E$11000,PENJUALAN!$C$4:$C$11000,'Current Stock'!A60)</f>
        <v>0</v>
      </c>
      <c r="I60" s="16">
        <f t="shared" si="2"/>
        <v>0</v>
      </c>
      <c r="J60" s="4"/>
      <c r="K60" s="4"/>
      <c r="L60" s="4"/>
      <c r="M60" s="4"/>
    </row>
    <row r="61" ht="13.5" customHeight="1">
      <c r="A61" s="4" t="str">
        <f t="shared" si="1"/>
        <v>FDR-E90FY</v>
      </c>
      <c r="B61" s="29" t="s">
        <v>153</v>
      </c>
      <c r="C61" s="28" t="s">
        <v>149</v>
      </c>
      <c r="D61" s="28" t="s">
        <v>130</v>
      </c>
      <c r="E61" s="4" t="s">
        <v>111</v>
      </c>
      <c r="F61" s="28" t="s">
        <v>141</v>
      </c>
      <c r="G61" s="4">
        <f>SUMIFS(X!$F$5:$F$2005,X!$D$5:$D$2005,'Current Stock'!A61)</f>
        <v>0</v>
      </c>
      <c r="H61" s="4">
        <f>SUMIFS(PENJUALAN!$E$4:$E$11000,PENJUALAN!$C$4:$C$11000,'Current Stock'!A61)</f>
        <v>0</v>
      </c>
      <c r="I61" s="16">
        <f t="shared" si="2"/>
        <v>0</v>
      </c>
      <c r="J61" s="4"/>
      <c r="K61" s="4"/>
      <c r="L61" s="4"/>
      <c r="M61" s="4"/>
    </row>
    <row r="62" ht="13.5" customHeight="1">
      <c r="A62" s="4" t="str">
        <f t="shared" si="1"/>
        <v>RDL-E90FY</v>
      </c>
      <c r="B62" s="29" t="s">
        <v>154</v>
      </c>
      <c r="C62" s="28" t="s">
        <v>149</v>
      </c>
      <c r="D62" s="28" t="s">
        <v>132</v>
      </c>
      <c r="E62" s="4" t="s">
        <v>111</v>
      </c>
      <c r="F62" s="28" t="s">
        <v>144</v>
      </c>
      <c r="G62" s="4">
        <f>SUMIFS(X!$F$5:$F$2005,X!$D$5:$D$2005,'Current Stock'!A62)</f>
        <v>0</v>
      </c>
      <c r="H62" s="4">
        <f>SUMIFS(PENJUALAN!$E$4:$E$11000,PENJUALAN!$C$4:$C$11000,'Current Stock'!A62)</f>
        <v>0</v>
      </c>
      <c r="I62" s="16">
        <f t="shared" si="2"/>
        <v>0</v>
      </c>
      <c r="J62" s="4"/>
      <c r="K62" s="4"/>
      <c r="L62" s="4"/>
      <c r="M62" s="4"/>
    </row>
    <row r="63" ht="13.5" customHeight="1">
      <c r="A63" s="4" t="str">
        <f t="shared" si="1"/>
        <v>RDR-E90FY</v>
      </c>
      <c r="B63" s="29" t="s">
        <v>155</v>
      </c>
      <c r="C63" s="28" t="s">
        <v>149</v>
      </c>
      <c r="D63" s="28" t="s">
        <v>134</v>
      </c>
      <c r="E63" s="4" t="s">
        <v>111</v>
      </c>
      <c r="F63" s="28" t="s">
        <v>144</v>
      </c>
      <c r="G63" s="4">
        <f>SUMIFS(X!$F$5:$F$2005,X!$D$5:$D$2005,'Current Stock'!A63)</f>
        <v>0</v>
      </c>
      <c r="H63" s="4">
        <f>SUMIFS(PENJUALAN!$E$4:$E$11000,PENJUALAN!$C$4:$C$11000,'Current Stock'!A63)</f>
        <v>0</v>
      </c>
      <c r="I63" s="16">
        <f t="shared" si="2"/>
        <v>0</v>
      </c>
      <c r="J63" s="4"/>
      <c r="K63" s="4"/>
      <c r="L63" s="4"/>
      <c r="M63" s="4"/>
    </row>
    <row r="64" ht="13.5" customHeight="1">
      <c r="A64" s="4" t="str">
        <f t="shared" si="1"/>
        <v>LFW-F30FY</v>
      </c>
      <c r="B64" s="29" t="s">
        <v>156</v>
      </c>
      <c r="C64" s="28" t="s">
        <v>157</v>
      </c>
      <c r="D64" s="28" t="s">
        <v>22</v>
      </c>
      <c r="E64" s="4" t="s">
        <v>111</v>
      </c>
      <c r="F64" s="28" t="s">
        <v>112</v>
      </c>
      <c r="G64" s="4">
        <f>SUMIFS(X!$F$5:$F$2005,X!$D$5:$D$2005,'Current Stock'!A64)</f>
        <v>1</v>
      </c>
      <c r="H64" s="4">
        <f>SUMIFS(PENJUALAN!$E$4:$E$11000,PENJUALAN!$C$4:$C$11000,'Current Stock'!A64)</f>
        <v>0</v>
      </c>
      <c r="I64" s="16">
        <f t="shared" si="2"/>
        <v>1</v>
      </c>
      <c r="J64" s="15" t="s">
        <v>158</v>
      </c>
      <c r="K64" s="4"/>
      <c r="L64" s="4"/>
      <c r="M64" s="4"/>
    </row>
    <row r="65" ht="13.5" customHeight="1">
      <c r="A65" s="4" t="str">
        <f t="shared" si="1"/>
        <v>LFW-W222XYG</v>
      </c>
      <c r="B65" s="29" t="s">
        <v>159</v>
      </c>
      <c r="C65" s="28" t="s">
        <v>160</v>
      </c>
      <c r="D65" s="28" t="s">
        <v>22</v>
      </c>
      <c r="E65" s="4" t="s">
        <v>16</v>
      </c>
      <c r="F65" s="28" t="s">
        <v>161</v>
      </c>
      <c r="G65" s="4">
        <f>SUMIFS(X!$F$5:$F$2005,X!$D$5:$D$2005,'Current Stock'!A65)</f>
        <v>1</v>
      </c>
      <c r="H65" s="4">
        <f>SUMIFS(PENJUALAN!$E$4:$E$11000,PENJUALAN!$C$4:$C$11000,'Current Stock'!A65)</f>
        <v>1</v>
      </c>
      <c r="I65" s="16">
        <f t="shared" si="2"/>
        <v>0</v>
      </c>
      <c r="J65" s="4"/>
      <c r="K65" s="4"/>
      <c r="L65" s="4"/>
      <c r="M65" s="4"/>
    </row>
    <row r="66" ht="13.5" customHeight="1">
      <c r="A66" s="4" t="str">
        <f t="shared" si="1"/>
        <v>FDL-F30FY</v>
      </c>
      <c r="B66" s="29" t="s">
        <v>162</v>
      </c>
      <c r="C66" s="28" t="s">
        <v>157</v>
      </c>
      <c r="D66" s="28" t="s">
        <v>128</v>
      </c>
      <c r="E66" s="4" t="s">
        <v>111</v>
      </c>
      <c r="F66" s="28" t="s">
        <v>141</v>
      </c>
      <c r="G66" s="4">
        <f>SUMIFS(X!$F$5:$F$2005,X!$D$5:$D$2005,'Current Stock'!A66)</f>
        <v>0</v>
      </c>
      <c r="H66" s="4">
        <f>SUMIFS(PENJUALAN!$E$4:$E$11000,PENJUALAN!$C$4:$C$11000,'Current Stock'!A66)</f>
        <v>0</v>
      </c>
      <c r="I66" s="16">
        <f t="shared" si="2"/>
        <v>0</v>
      </c>
      <c r="J66" s="4"/>
      <c r="K66" s="4"/>
      <c r="L66" s="4"/>
      <c r="M66" s="4"/>
    </row>
    <row r="67" ht="13.5" customHeight="1">
      <c r="A67" s="4" t="str">
        <f t="shared" si="1"/>
        <v>FDR-F30FY</v>
      </c>
      <c r="B67" s="29" t="s">
        <v>163</v>
      </c>
      <c r="C67" s="28" t="s">
        <v>157</v>
      </c>
      <c r="D67" s="28" t="s">
        <v>130</v>
      </c>
      <c r="E67" s="4" t="s">
        <v>111</v>
      </c>
      <c r="F67" s="28" t="s">
        <v>141</v>
      </c>
      <c r="G67" s="4">
        <f>SUMIFS(X!$F$5:$F$2005,X!$D$5:$D$2005,'Current Stock'!A67)</f>
        <v>0</v>
      </c>
      <c r="H67" s="4">
        <f>SUMIFS(PENJUALAN!$E$4:$E$11000,PENJUALAN!$C$4:$C$11000,'Current Stock'!A67)</f>
        <v>0</v>
      </c>
      <c r="I67" s="16">
        <f t="shared" si="2"/>
        <v>0</v>
      </c>
      <c r="J67" s="4"/>
      <c r="K67" s="4"/>
      <c r="L67" s="4"/>
      <c r="M67" s="4"/>
    </row>
    <row r="68" ht="13.5" customHeight="1">
      <c r="A68" s="4" t="str">
        <f t="shared" si="1"/>
        <v>RDL-F30FY</v>
      </c>
      <c r="B68" s="29" t="s">
        <v>164</v>
      </c>
      <c r="C68" s="28" t="s">
        <v>157</v>
      </c>
      <c r="D68" s="28" t="s">
        <v>132</v>
      </c>
      <c r="E68" s="4" t="s">
        <v>111</v>
      </c>
      <c r="F68" s="28" t="s">
        <v>144</v>
      </c>
      <c r="G68" s="4">
        <f>SUMIFS(X!$F$5:$F$2005,X!$D$5:$D$2005,'Current Stock'!A68)</f>
        <v>0</v>
      </c>
      <c r="H68" s="4">
        <f>SUMIFS(PENJUALAN!$E$4:$E$11000,PENJUALAN!$C$4:$C$11000,'Current Stock'!A68)</f>
        <v>0</v>
      </c>
      <c r="I68" s="16">
        <f t="shared" si="2"/>
        <v>0</v>
      </c>
      <c r="J68" s="4"/>
      <c r="K68" s="4"/>
      <c r="L68" s="4"/>
      <c r="M68" s="4"/>
    </row>
    <row r="69" ht="13.5" customHeight="1">
      <c r="A69" s="4" t="str">
        <f t="shared" si="1"/>
        <v>RDR-F30FY</v>
      </c>
      <c r="B69" s="29" t="s">
        <v>165</v>
      </c>
      <c r="C69" s="28" t="s">
        <v>157</v>
      </c>
      <c r="D69" s="28" t="s">
        <v>134</v>
      </c>
      <c r="E69" s="4" t="s">
        <v>111</v>
      </c>
      <c r="F69" s="28" t="s">
        <v>144</v>
      </c>
      <c r="G69" s="4">
        <f>SUMIFS(X!$F$5:$F$2005,X!$D$5:$D$2005,'Current Stock'!A69)</f>
        <v>0</v>
      </c>
      <c r="H69" s="4">
        <f>SUMIFS(PENJUALAN!$E$4:$E$11000,PENJUALAN!$C$4:$C$11000,'Current Stock'!A69)</f>
        <v>0</v>
      </c>
      <c r="I69" s="16">
        <f t="shared" si="2"/>
        <v>0</v>
      </c>
      <c r="J69" s="4"/>
      <c r="K69" s="4"/>
      <c r="L69" s="4"/>
      <c r="M69" s="4"/>
    </row>
    <row r="70" ht="13.5" customHeight="1">
      <c r="A70" s="4" t="str">
        <f t="shared" si="1"/>
        <v>LFW-E60RSKFY</v>
      </c>
      <c r="B70" s="29" t="s">
        <v>166</v>
      </c>
      <c r="C70" s="28" t="s">
        <v>167</v>
      </c>
      <c r="D70" s="28" t="s">
        <v>22</v>
      </c>
      <c r="E70" s="4" t="s">
        <v>111</v>
      </c>
      <c r="F70" s="28" t="s">
        <v>75</v>
      </c>
      <c r="G70" s="4">
        <f>SUMIFS(X!$F$5:$F$2005,X!$D$5:$D$2005,'Current Stock'!A70)</f>
        <v>0</v>
      </c>
      <c r="H70" s="4">
        <f>SUMIFS(PENJUALAN!$E$4:$E$11000,PENJUALAN!$C$4:$C$11000,'Current Stock'!A70)</f>
        <v>0</v>
      </c>
      <c r="I70" s="16">
        <f t="shared" si="2"/>
        <v>0</v>
      </c>
      <c r="J70" s="4"/>
      <c r="K70" s="4"/>
      <c r="L70" s="4"/>
      <c r="M70" s="4"/>
    </row>
    <row r="71" ht="13.5" customHeight="1">
      <c r="A71" s="4" t="str">
        <f t="shared" si="1"/>
        <v>LFW-E60RSOFY</v>
      </c>
      <c r="B71" s="29" t="s">
        <v>168</v>
      </c>
      <c r="C71" s="28" t="s">
        <v>169</v>
      </c>
      <c r="D71" s="28" t="s">
        <v>22</v>
      </c>
      <c r="E71" s="4" t="s">
        <v>111</v>
      </c>
      <c r="F71" s="28" t="s">
        <v>75</v>
      </c>
      <c r="G71" s="4">
        <f>SUMIFS(X!$F$5:$F$2005,X!$D$5:$D$2005,'Current Stock'!A71)</f>
        <v>0</v>
      </c>
      <c r="H71" s="4">
        <f>SUMIFS(PENJUALAN!$E$4:$E$11000,PENJUALAN!$C$4:$C$11000,'Current Stock'!A71)</f>
        <v>0</v>
      </c>
      <c r="I71" s="16">
        <f t="shared" si="2"/>
        <v>0</v>
      </c>
      <c r="J71" s="4"/>
      <c r="K71" s="4"/>
      <c r="L71" s="4"/>
      <c r="M71" s="4"/>
    </row>
    <row r="72" ht="13.5" customHeight="1">
      <c r="A72" s="4" t="str">
        <f t="shared" si="1"/>
        <v>TRW-E60FY</v>
      </c>
      <c r="B72" s="29" t="s">
        <v>170</v>
      </c>
      <c r="C72" s="28" t="s">
        <v>171</v>
      </c>
      <c r="D72" s="28" t="s">
        <v>41</v>
      </c>
      <c r="E72" s="4" t="s">
        <v>111</v>
      </c>
      <c r="F72" s="28" t="s">
        <v>67</v>
      </c>
      <c r="G72" s="4">
        <f>SUMIFS(X!$F$5:$F$2005,X!$D$5:$D$2005,'Current Stock'!A72)</f>
        <v>0</v>
      </c>
      <c r="H72" s="4">
        <f>SUMIFS(PENJUALAN!$E$4:$E$11000,PENJUALAN!$C$4:$C$11000,'Current Stock'!A72)</f>
        <v>0</v>
      </c>
      <c r="I72" s="16">
        <f t="shared" si="2"/>
        <v>0</v>
      </c>
      <c r="J72" s="4"/>
      <c r="K72" s="4"/>
      <c r="L72" s="4"/>
      <c r="M72" s="4"/>
    </row>
    <row r="73" ht="13.5" customHeight="1">
      <c r="A73" s="4" t="str">
        <f t="shared" si="1"/>
        <v>FDL-E60FY</v>
      </c>
      <c r="B73" s="29" t="s">
        <v>172</v>
      </c>
      <c r="C73" s="28" t="s">
        <v>171</v>
      </c>
      <c r="D73" s="28" t="s">
        <v>128</v>
      </c>
      <c r="E73" s="4" t="s">
        <v>111</v>
      </c>
      <c r="F73" s="28"/>
      <c r="G73" s="4">
        <f>SUMIFS(X!$F$5:$F$2005,X!$D$5:$D$2005,'Current Stock'!A73)</f>
        <v>0</v>
      </c>
      <c r="H73" s="4">
        <f>SUMIFS(PENJUALAN!$E$4:$E$11000,PENJUALAN!$C$4:$C$11000,'Current Stock'!A73)</f>
        <v>0</v>
      </c>
      <c r="I73" s="16">
        <f t="shared" si="2"/>
        <v>0</v>
      </c>
      <c r="J73" s="4"/>
      <c r="K73" s="4"/>
      <c r="L73" s="4"/>
      <c r="M73" s="4"/>
    </row>
    <row r="74" ht="13.5" customHeight="1">
      <c r="A74" s="4" t="str">
        <f t="shared" si="1"/>
        <v>FDR-E60FY</v>
      </c>
      <c r="B74" s="29" t="s">
        <v>173</v>
      </c>
      <c r="C74" s="28" t="s">
        <v>171</v>
      </c>
      <c r="D74" s="28" t="s">
        <v>130</v>
      </c>
      <c r="E74" s="4" t="s">
        <v>111</v>
      </c>
      <c r="F74" s="28"/>
      <c r="G74" s="4">
        <f>SUMIFS(X!$F$5:$F$2005,X!$D$5:$D$2005,'Current Stock'!A74)</f>
        <v>0</v>
      </c>
      <c r="H74" s="4">
        <f>SUMIFS(PENJUALAN!$E$4:$E$11000,PENJUALAN!$C$4:$C$11000,'Current Stock'!A74)</f>
        <v>0</v>
      </c>
      <c r="I74" s="16">
        <f t="shared" si="2"/>
        <v>0</v>
      </c>
      <c r="J74" s="4"/>
      <c r="K74" s="4"/>
      <c r="L74" s="4"/>
      <c r="M74" s="4"/>
    </row>
    <row r="75" ht="13.5" customHeight="1">
      <c r="A75" s="4" t="str">
        <f t="shared" si="1"/>
        <v>RDL-E60FY</v>
      </c>
      <c r="B75" s="29" t="s">
        <v>174</v>
      </c>
      <c r="C75" s="28" t="s">
        <v>171</v>
      </c>
      <c r="D75" s="28" t="s">
        <v>132</v>
      </c>
      <c r="E75" s="4" t="s">
        <v>111</v>
      </c>
      <c r="F75" s="28" t="s">
        <v>144</v>
      </c>
      <c r="G75" s="4">
        <f>SUMIFS(X!$F$5:$F$2005,X!$D$5:$D$2005,'Current Stock'!A75)</f>
        <v>0</v>
      </c>
      <c r="H75" s="4">
        <f>SUMIFS(PENJUALAN!$E$4:$E$11000,PENJUALAN!$C$4:$C$11000,'Current Stock'!A75)</f>
        <v>0</v>
      </c>
      <c r="I75" s="16">
        <f t="shared" si="2"/>
        <v>0</v>
      </c>
      <c r="J75" s="4"/>
      <c r="K75" s="4"/>
      <c r="L75" s="4"/>
      <c r="M75" s="4"/>
    </row>
    <row r="76" ht="13.5" customHeight="1">
      <c r="A76" s="4" t="str">
        <f t="shared" si="1"/>
        <v>RDR-E60FY</v>
      </c>
      <c r="B76" s="29" t="s">
        <v>175</v>
      </c>
      <c r="C76" s="28" t="s">
        <v>171</v>
      </c>
      <c r="D76" s="28" t="s">
        <v>134</v>
      </c>
      <c r="E76" s="4" t="s">
        <v>111</v>
      </c>
      <c r="F76" s="28" t="s">
        <v>144</v>
      </c>
      <c r="G76" s="4">
        <f>SUMIFS(X!$F$5:$F$2005,X!$D$5:$D$2005,'Current Stock'!A76)</f>
        <v>0</v>
      </c>
      <c r="H76" s="4">
        <f>SUMIFS(PENJUALAN!$E$4:$E$11000,PENJUALAN!$C$4:$C$11000,'Current Stock'!A76)</f>
        <v>0</v>
      </c>
      <c r="I76" s="16">
        <f t="shared" si="2"/>
        <v>0</v>
      </c>
      <c r="J76" s="4"/>
      <c r="K76" s="4"/>
      <c r="L76" s="4"/>
      <c r="M76" s="4"/>
    </row>
    <row r="77" ht="13.5" customHeight="1">
      <c r="A77" s="4" t="str">
        <f t="shared" si="1"/>
        <v>LFW-F10FY</v>
      </c>
      <c r="B77" s="29" t="s">
        <v>176</v>
      </c>
      <c r="C77" s="28" t="s">
        <v>177</v>
      </c>
      <c r="D77" s="28" t="s">
        <v>22</v>
      </c>
      <c r="E77" s="4" t="s">
        <v>111</v>
      </c>
      <c r="F77" s="28" t="s">
        <v>75</v>
      </c>
      <c r="G77" s="4">
        <f>SUMIFS(X!$F$5:$F$2005,X!$D$5:$D$2005,'Current Stock'!A77)</f>
        <v>0</v>
      </c>
      <c r="H77" s="4">
        <f>SUMIFS(PENJUALAN!$E$4:$E$11000,PENJUALAN!$C$4:$C$11000,'Current Stock'!A77)</f>
        <v>0</v>
      </c>
      <c r="I77" s="16">
        <f t="shared" si="2"/>
        <v>0</v>
      </c>
      <c r="J77" s="4"/>
      <c r="K77" s="4"/>
      <c r="L77" s="4"/>
      <c r="M77" s="4"/>
    </row>
    <row r="78" ht="13.5" customHeight="1">
      <c r="A78" s="4" t="str">
        <f t="shared" si="1"/>
        <v>FDL-F10FY</v>
      </c>
      <c r="B78" s="29" t="s">
        <v>178</v>
      </c>
      <c r="C78" s="28" t="s">
        <v>179</v>
      </c>
      <c r="D78" s="28" t="s">
        <v>128</v>
      </c>
      <c r="E78" s="4" t="s">
        <v>111</v>
      </c>
      <c r="F78" s="28" t="s">
        <v>141</v>
      </c>
      <c r="G78" s="4">
        <f>SUMIFS(X!$F$5:$F$2005,X!$D$5:$D$2005,'Current Stock'!A78)</f>
        <v>0</v>
      </c>
      <c r="H78" s="4">
        <f>SUMIFS(PENJUALAN!$E$4:$E$11000,PENJUALAN!$C$4:$C$11000,'Current Stock'!A78)</f>
        <v>0</v>
      </c>
      <c r="I78" s="16">
        <f t="shared" si="2"/>
        <v>0</v>
      </c>
      <c r="J78" s="4"/>
      <c r="K78" s="4"/>
      <c r="L78" s="4"/>
      <c r="M78" s="4"/>
    </row>
    <row r="79" ht="13.5" customHeight="1">
      <c r="A79" s="4" t="str">
        <f t="shared" si="1"/>
        <v>FDR-F10FY</v>
      </c>
      <c r="B79" s="29" t="s">
        <v>180</v>
      </c>
      <c r="C79" s="28" t="s">
        <v>179</v>
      </c>
      <c r="D79" s="28" t="s">
        <v>130</v>
      </c>
      <c r="E79" s="4" t="s">
        <v>111</v>
      </c>
      <c r="F79" s="28" t="s">
        <v>141</v>
      </c>
      <c r="G79" s="4">
        <f>SUMIFS(X!$F$5:$F$2005,X!$D$5:$D$2005,'Current Stock'!A79)</f>
        <v>0</v>
      </c>
      <c r="H79" s="4">
        <f>SUMIFS(PENJUALAN!$E$4:$E$11000,PENJUALAN!$C$4:$C$11000,'Current Stock'!A79)</f>
        <v>0</v>
      </c>
      <c r="I79" s="16">
        <f t="shared" si="2"/>
        <v>0</v>
      </c>
      <c r="J79" s="4"/>
      <c r="K79" s="4"/>
      <c r="L79" s="4"/>
      <c r="M79" s="4"/>
    </row>
    <row r="80" ht="13.5" customHeight="1">
      <c r="A80" s="4" t="str">
        <f t="shared" si="1"/>
        <v>RDL-F10FY</v>
      </c>
      <c r="B80" s="29" t="s">
        <v>181</v>
      </c>
      <c r="C80" s="28" t="s">
        <v>179</v>
      </c>
      <c r="D80" s="28" t="s">
        <v>132</v>
      </c>
      <c r="E80" s="4" t="s">
        <v>111</v>
      </c>
      <c r="F80" s="28" t="s">
        <v>144</v>
      </c>
      <c r="G80" s="4">
        <f>SUMIFS(X!$F$5:$F$2005,X!$D$5:$D$2005,'Current Stock'!A80)</f>
        <v>0</v>
      </c>
      <c r="H80" s="4">
        <f>SUMIFS(PENJUALAN!$E$4:$E$11000,PENJUALAN!$C$4:$C$11000,'Current Stock'!A80)</f>
        <v>0</v>
      </c>
      <c r="I80" s="16">
        <f t="shared" si="2"/>
        <v>0</v>
      </c>
      <c r="J80" s="4"/>
      <c r="K80" s="4"/>
      <c r="L80" s="4"/>
      <c r="M80" s="4"/>
    </row>
    <row r="81" ht="13.5" customHeight="1">
      <c r="A81" s="4" t="str">
        <f t="shared" si="1"/>
        <v>RDR-F10FY</v>
      </c>
      <c r="B81" s="29" t="s">
        <v>182</v>
      </c>
      <c r="C81" s="28" t="s">
        <v>179</v>
      </c>
      <c r="D81" s="28" t="s">
        <v>134</v>
      </c>
      <c r="E81" s="4" t="s">
        <v>111</v>
      </c>
      <c r="F81" s="28" t="s">
        <v>144</v>
      </c>
      <c r="G81" s="4">
        <f>SUMIFS(X!$F$5:$F$2005,X!$D$5:$D$2005,'Current Stock'!A81)</f>
        <v>0</v>
      </c>
      <c r="H81" s="4">
        <f>SUMIFS(PENJUALAN!$E$4:$E$11000,PENJUALAN!$C$4:$C$11000,'Current Stock'!A81)</f>
        <v>0</v>
      </c>
      <c r="I81" s="16">
        <f t="shared" si="2"/>
        <v>0</v>
      </c>
      <c r="J81" s="4"/>
      <c r="K81" s="4"/>
      <c r="L81" s="4"/>
      <c r="M81" s="4"/>
    </row>
    <row r="82" ht="13.5" customHeight="1">
      <c r="A82" s="4" t="str">
        <f t="shared" si="1"/>
        <v>LFW-E84FY</v>
      </c>
      <c r="B82" s="29" t="s">
        <v>183</v>
      </c>
      <c r="C82" s="28" t="s">
        <v>184</v>
      </c>
      <c r="D82" s="28" t="s">
        <v>22</v>
      </c>
      <c r="E82" s="4" t="s">
        <v>111</v>
      </c>
      <c r="F82" s="28" t="s">
        <v>75</v>
      </c>
      <c r="G82" s="4">
        <f>SUMIFS(X!$F$5:$F$2005,X!$D$5:$D$2005,'Current Stock'!A82)</f>
        <v>0</v>
      </c>
      <c r="H82" s="4">
        <f>SUMIFS(PENJUALAN!$E$4:$E$11000,PENJUALAN!$C$4:$C$11000,'Current Stock'!A82)</f>
        <v>0</v>
      </c>
      <c r="I82" s="16">
        <f t="shared" si="2"/>
        <v>0</v>
      </c>
      <c r="J82" s="4"/>
      <c r="K82" s="4"/>
      <c r="L82" s="4"/>
      <c r="M82" s="4"/>
    </row>
    <row r="83" ht="13.5" customHeight="1">
      <c r="A83" s="4" t="str">
        <f t="shared" si="1"/>
        <v>TRW-E84FY</v>
      </c>
      <c r="B83" s="29" t="s">
        <v>185</v>
      </c>
      <c r="C83" s="28" t="s">
        <v>186</v>
      </c>
      <c r="D83" s="28" t="s">
        <v>41</v>
      </c>
      <c r="E83" s="4" t="s">
        <v>111</v>
      </c>
      <c r="F83" s="28" t="s">
        <v>67</v>
      </c>
      <c r="G83" s="4">
        <f>SUMIFS(X!$F$5:$F$2005,X!$D$5:$D$2005,'Current Stock'!A83)</f>
        <v>0</v>
      </c>
      <c r="H83" s="4">
        <f>SUMIFS(PENJUALAN!$E$4:$E$11000,PENJUALAN!$C$4:$C$11000,'Current Stock'!A83)</f>
        <v>0</v>
      </c>
      <c r="I83" s="16">
        <f t="shared" si="2"/>
        <v>0</v>
      </c>
      <c r="J83" s="4"/>
      <c r="K83" s="4"/>
      <c r="L83" s="4"/>
      <c r="M83" s="4"/>
    </row>
    <row r="84" ht="13.5" customHeight="1">
      <c r="A84" s="4" t="str">
        <f t="shared" si="1"/>
        <v>LFW-F48FY</v>
      </c>
      <c r="B84" s="29" t="s">
        <v>187</v>
      </c>
      <c r="C84" s="28" t="s">
        <v>188</v>
      </c>
      <c r="D84" s="28" t="s">
        <v>22</v>
      </c>
      <c r="E84" s="4" t="s">
        <v>111</v>
      </c>
      <c r="F84" s="28" t="s">
        <v>189</v>
      </c>
      <c r="G84" s="4">
        <f>SUMIFS(X!$F$5:$F$2005,X!$D$5:$D$2005,'Current Stock'!A84)</f>
        <v>0</v>
      </c>
      <c r="H84" s="4">
        <f>SUMIFS(PENJUALAN!$E$4:$E$11000,PENJUALAN!$C$4:$C$11000,'Current Stock'!A84)</f>
        <v>0</v>
      </c>
      <c r="I84" s="16">
        <f t="shared" si="2"/>
        <v>0</v>
      </c>
      <c r="J84" s="4"/>
      <c r="K84" s="4"/>
      <c r="L84" s="4"/>
      <c r="M84" s="4"/>
    </row>
    <row r="85" ht="13.5" customHeight="1">
      <c r="A85" s="4" t="str">
        <f t="shared" si="1"/>
        <v>LFW-E53FY</v>
      </c>
      <c r="B85" s="29" t="s">
        <v>190</v>
      </c>
      <c r="C85" s="28" t="s">
        <v>191</v>
      </c>
      <c r="D85" s="28" t="s">
        <v>22</v>
      </c>
      <c r="E85" s="4" t="s">
        <v>111</v>
      </c>
      <c r="F85" s="28" t="s">
        <v>75</v>
      </c>
      <c r="G85" s="4">
        <f>SUMIFS(X!$F$5:$F$2005,X!$D$5:$D$2005,'Current Stock'!A85)</f>
        <v>0</v>
      </c>
      <c r="H85" s="4">
        <f>SUMIFS(PENJUALAN!$E$4:$E$11000,PENJUALAN!$C$4:$C$11000,'Current Stock'!A85)</f>
        <v>0</v>
      </c>
      <c r="I85" s="16">
        <f t="shared" si="2"/>
        <v>0</v>
      </c>
      <c r="J85" s="4"/>
      <c r="K85" s="4"/>
      <c r="L85" s="4"/>
      <c r="M85" s="4"/>
    </row>
    <row r="86" ht="13.5" customHeight="1">
      <c r="A86" s="4" t="str">
        <f t="shared" si="1"/>
        <v>TRW-E53BLACKFY</v>
      </c>
      <c r="B86" s="29" t="s">
        <v>192</v>
      </c>
      <c r="C86" s="28" t="s">
        <v>193</v>
      </c>
      <c r="D86" s="28" t="s">
        <v>41</v>
      </c>
      <c r="E86" s="4" t="s">
        <v>111</v>
      </c>
      <c r="F86" s="28" t="s">
        <v>194</v>
      </c>
      <c r="G86" s="4">
        <f>SUMIFS(X!$F$5:$F$2005,X!$D$5:$D$2005,'Current Stock'!A86)</f>
        <v>0</v>
      </c>
      <c r="H86" s="4">
        <f>SUMIFS(PENJUALAN!$E$4:$E$11000,PENJUALAN!$C$4:$C$11000,'Current Stock'!A86)</f>
        <v>0</v>
      </c>
      <c r="I86" s="16">
        <f t="shared" si="2"/>
        <v>0</v>
      </c>
      <c r="J86" s="4"/>
      <c r="K86" s="4"/>
      <c r="L86" s="4"/>
      <c r="M86" s="4"/>
    </row>
    <row r="87" ht="13.5" customHeight="1">
      <c r="A87" s="4" t="str">
        <f t="shared" si="1"/>
        <v>LFW-E70RSFY</v>
      </c>
      <c r="B87" s="29" t="s">
        <v>195</v>
      </c>
      <c r="C87" s="28" t="s">
        <v>196</v>
      </c>
      <c r="D87" s="28" t="s">
        <v>22</v>
      </c>
      <c r="E87" s="4" t="s">
        <v>111</v>
      </c>
      <c r="F87" s="28" t="s">
        <v>75</v>
      </c>
      <c r="G87" s="4">
        <f>SUMIFS(X!$F$5:$F$2005,X!$D$5:$D$2005,'Current Stock'!A87)</f>
        <v>0</v>
      </c>
      <c r="H87" s="4">
        <f>SUMIFS(PENJUALAN!$E$4:$E$11000,PENJUALAN!$C$4:$C$11000,'Current Stock'!A87)</f>
        <v>0</v>
      </c>
      <c r="I87" s="16">
        <f t="shared" si="2"/>
        <v>0</v>
      </c>
      <c r="J87" s="4"/>
      <c r="K87" s="4"/>
      <c r="L87" s="4"/>
      <c r="M87" s="4"/>
    </row>
    <row r="88" ht="13.5" customHeight="1">
      <c r="A88" s="4" t="str">
        <f t="shared" si="1"/>
        <v>TRW-E70FY</v>
      </c>
      <c r="B88" s="29" t="s">
        <v>197</v>
      </c>
      <c r="C88" s="28" t="s">
        <v>198</v>
      </c>
      <c r="D88" s="28" t="s">
        <v>41</v>
      </c>
      <c r="E88" s="4" t="s">
        <v>111</v>
      </c>
      <c r="F88" s="28" t="s">
        <v>199</v>
      </c>
      <c r="G88" s="4">
        <f>SUMIFS(X!$F$5:$F$2005,X!$D$5:$D$2005,'Current Stock'!A88)</f>
        <v>0</v>
      </c>
      <c r="H88" s="4">
        <f>SUMIFS(PENJUALAN!$E$4:$E$11000,PENJUALAN!$C$4:$C$11000,'Current Stock'!A88)</f>
        <v>0</v>
      </c>
      <c r="I88" s="16">
        <f t="shared" si="2"/>
        <v>0</v>
      </c>
      <c r="J88" s="4"/>
      <c r="K88" s="4"/>
      <c r="L88" s="4"/>
      <c r="M88" s="4"/>
    </row>
    <row r="89" ht="13.5" customHeight="1">
      <c r="A89" s="4" t="str">
        <f t="shared" si="1"/>
        <v>RDL-E70FY</v>
      </c>
      <c r="B89" s="29" t="s">
        <v>200</v>
      </c>
      <c r="C89" s="28" t="s">
        <v>198</v>
      </c>
      <c r="D89" s="28" t="s">
        <v>132</v>
      </c>
      <c r="E89" s="4" t="s">
        <v>111</v>
      </c>
      <c r="F89" s="28" t="s">
        <v>144</v>
      </c>
      <c r="G89" s="4">
        <f>SUMIFS(X!$F$5:$F$2005,X!$D$5:$D$2005,'Current Stock'!A89)</f>
        <v>0</v>
      </c>
      <c r="H89" s="4">
        <f>SUMIFS(PENJUALAN!$E$4:$E$11000,PENJUALAN!$C$4:$C$11000,'Current Stock'!A89)</f>
        <v>0</v>
      </c>
      <c r="I89" s="16">
        <f t="shared" si="2"/>
        <v>0</v>
      </c>
      <c r="J89" s="4"/>
      <c r="K89" s="4"/>
      <c r="L89" s="4"/>
      <c r="M89" s="4"/>
    </row>
    <row r="90" ht="13.5" customHeight="1">
      <c r="A90" s="4" t="str">
        <f t="shared" si="1"/>
        <v>SWL-E70FY</v>
      </c>
      <c r="B90" s="29" t="s">
        <v>201</v>
      </c>
      <c r="C90" s="28" t="s">
        <v>198</v>
      </c>
      <c r="D90" s="28" t="s">
        <v>202</v>
      </c>
      <c r="E90" s="4" t="s">
        <v>111</v>
      </c>
      <c r="F90" s="28" t="s">
        <v>97</v>
      </c>
      <c r="G90" s="4">
        <f>SUMIFS(X!$F$5:$F$2005,X!$D$5:$D$2005,'Current Stock'!A90)</f>
        <v>0</v>
      </c>
      <c r="H90" s="4">
        <f>SUMIFS(PENJUALAN!$E$4:$E$11000,PENJUALAN!$C$4:$C$11000,'Current Stock'!A90)</f>
        <v>0</v>
      </c>
      <c r="I90" s="16">
        <f t="shared" si="2"/>
        <v>0</v>
      </c>
      <c r="J90" s="4"/>
      <c r="K90" s="4"/>
      <c r="L90" s="4"/>
      <c r="M90" s="4"/>
    </row>
    <row r="91" ht="13.5" customHeight="1">
      <c r="A91" s="4" t="str">
        <f t="shared" si="1"/>
        <v>LFW-F15FY</v>
      </c>
      <c r="B91" s="29" t="s">
        <v>203</v>
      </c>
      <c r="C91" s="28" t="s">
        <v>204</v>
      </c>
      <c r="D91" s="28" t="s">
        <v>22</v>
      </c>
      <c r="E91" s="4" t="s">
        <v>111</v>
      </c>
      <c r="F91" s="28" t="s">
        <v>189</v>
      </c>
      <c r="G91" s="4">
        <f>SUMIFS(X!$F$5:$F$2005,X!$D$5:$D$2005,'Current Stock'!A91)</f>
        <v>0</v>
      </c>
      <c r="H91" s="4">
        <f>SUMIFS(PENJUALAN!$E$4:$E$11000,PENJUALAN!$C$4:$C$11000,'Current Stock'!A91)</f>
        <v>0</v>
      </c>
      <c r="I91" s="16">
        <f t="shared" si="2"/>
        <v>0</v>
      </c>
      <c r="J91" s="4"/>
      <c r="K91" s="4"/>
      <c r="L91" s="4"/>
      <c r="M91" s="4"/>
    </row>
    <row r="92" ht="13.5" customHeight="1">
      <c r="A92" s="4" t="str">
        <f t="shared" si="1"/>
        <v>RDL-F15FY</v>
      </c>
      <c r="B92" s="29" t="s">
        <v>205</v>
      </c>
      <c r="C92" s="28" t="s">
        <v>204</v>
      </c>
      <c r="D92" s="28" t="s">
        <v>132</v>
      </c>
      <c r="E92" s="4" t="s">
        <v>111</v>
      </c>
      <c r="F92" s="28" t="s">
        <v>144</v>
      </c>
      <c r="G92" s="4">
        <f>SUMIFS(X!$F$5:$F$2005,X!$D$5:$D$2005,'Current Stock'!A92)</f>
        <v>0</v>
      </c>
      <c r="H92" s="4">
        <f>SUMIFS(PENJUALAN!$E$4:$E$11000,PENJUALAN!$C$4:$C$11000,'Current Stock'!A92)</f>
        <v>0</v>
      </c>
      <c r="I92" s="16">
        <f t="shared" si="2"/>
        <v>0</v>
      </c>
      <c r="J92" s="4"/>
      <c r="K92" s="4"/>
      <c r="L92" s="4"/>
      <c r="M92" s="4"/>
    </row>
    <row r="93" ht="13.5" customHeight="1">
      <c r="A93" s="4" t="str">
        <f t="shared" si="1"/>
        <v>RDR-F15FY</v>
      </c>
      <c r="B93" s="29" t="s">
        <v>206</v>
      </c>
      <c r="C93" s="28" t="s">
        <v>204</v>
      </c>
      <c r="D93" s="28" t="s">
        <v>134</v>
      </c>
      <c r="E93" s="4" t="s">
        <v>111</v>
      </c>
      <c r="F93" s="28" t="s">
        <v>144</v>
      </c>
      <c r="G93" s="4">
        <f>SUMIFS(X!$F$5:$F$2005,X!$D$5:$D$2005,'Current Stock'!A93)</f>
        <v>0</v>
      </c>
      <c r="H93" s="4">
        <f>SUMIFS(PENJUALAN!$E$4:$E$11000,PENJUALAN!$C$4:$C$11000,'Current Stock'!A93)</f>
        <v>0</v>
      </c>
      <c r="I93" s="16">
        <f t="shared" si="2"/>
        <v>0</v>
      </c>
      <c r="J93" s="4"/>
      <c r="K93" s="4"/>
      <c r="L93" s="4"/>
      <c r="M93" s="4"/>
    </row>
    <row r="94" ht="13.5" customHeight="1">
      <c r="A94" s="4" t="str">
        <f t="shared" si="1"/>
        <v>LFW-QQ03FY</v>
      </c>
      <c r="B94" s="29" t="s">
        <v>207</v>
      </c>
      <c r="C94" s="28" t="s">
        <v>208</v>
      </c>
      <c r="D94" s="28" t="s">
        <v>22</v>
      </c>
      <c r="E94" s="4" t="s">
        <v>111</v>
      </c>
      <c r="F94" s="28" t="s">
        <v>125</v>
      </c>
      <c r="G94" s="4">
        <f>SUMIFS(X!$F$5:$F$2005,X!$D$5:$D$2005,'Current Stock'!A94)</f>
        <v>0</v>
      </c>
      <c r="H94" s="4">
        <f>SUMIFS(PENJUALAN!$E$4:$E$11000,PENJUALAN!$C$4:$C$11000,'Current Stock'!A94)</f>
        <v>0</v>
      </c>
      <c r="I94" s="16">
        <f t="shared" si="2"/>
        <v>0</v>
      </c>
      <c r="J94" s="4"/>
      <c r="K94" s="4"/>
      <c r="L94" s="4"/>
      <c r="M94" s="4"/>
    </row>
    <row r="95" ht="13.5" customHeight="1">
      <c r="A95" s="4" t="str">
        <f t="shared" si="1"/>
        <v>TRW-QQ03FY</v>
      </c>
      <c r="B95" s="29" t="s">
        <v>209</v>
      </c>
      <c r="C95" s="28" t="s">
        <v>208</v>
      </c>
      <c r="D95" s="28" t="s">
        <v>41</v>
      </c>
      <c r="E95" s="4" t="s">
        <v>111</v>
      </c>
      <c r="F95" s="28" t="s">
        <v>67</v>
      </c>
      <c r="G95" s="4">
        <f>SUMIFS(X!$F$5:$F$2005,X!$D$5:$D$2005,'Current Stock'!A95)</f>
        <v>0</v>
      </c>
      <c r="H95" s="4">
        <f>SUMIFS(PENJUALAN!$E$4:$E$11000,PENJUALAN!$C$4:$C$11000,'Current Stock'!A95)</f>
        <v>0</v>
      </c>
      <c r="I95" s="16">
        <f t="shared" si="2"/>
        <v>0</v>
      </c>
      <c r="J95" s="4"/>
      <c r="K95" s="4"/>
      <c r="L95" s="4"/>
      <c r="M95" s="4"/>
    </row>
    <row r="96" ht="13.5" customHeight="1">
      <c r="A96" s="4" t="str">
        <f t="shared" si="1"/>
        <v>LFW-AVEO99FY</v>
      </c>
      <c r="B96" s="29" t="s">
        <v>210</v>
      </c>
      <c r="C96" s="28" t="s">
        <v>211</v>
      </c>
      <c r="D96" s="28" t="s">
        <v>22</v>
      </c>
      <c r="E96" s="4" t="s">
        <v>111</v>
      </c>
      <c r="F96" s="28" t="s">
        <v>125</v>
      </c>
      <c r="G96" s="4">
        <f>SUMIFS(X!$F$5:$F$2005,X!$D$5:$D$2005,'Current Stock'!A96)</f>
        <v>0</v>
      </c>
      <c r="H96" s="4">
        <f>SUMIFS(PENJUALAN!$E$4:$E$11000,PENJUALAN!$C$4:$C$11000,'Current Stock'!A96)</f>
        <v>0</v>
      </c>
      <c r="I96" s="16">
        <f t="shared" si="2"/>
        <v>0</v>
      </c>
      <c r="J96" s="4"/>
      <c r="K96" s="4"/>
      <c r="L96" s="4"/>
      <c r="M96" s="4"/>
    </row>
    <row r="97" ht="13.5" customHeight="1">
      <c r="A97" s="4" t="str">
        <f t="shared" si="1"/>
        <v>FDL-AVEO99FY</v>
      </c>
      <c r="B97" s="29" t="s">
        <v>212</v>
      </c>
      <c r="C97" s="28" t="s">
        <v>213</v>
      </c>
      <c r="D97" s="28" t="s">
        <v>128</v>
      </c>
      <c r="E97" s="4" t="s">
        <v>111</v>
      </c>
      <c r="F97" s="28" t="s">
        <v>141</v>
      </c>
      <c r="G97" s="4">
        <f>SUMIFS(X!$F$5:$F$2005,X!$D$5:$D$2005,'Current Stock'!A97)</f>
        <v>0</v>
      </c>
      <c r="H97" s="4">
        <f>SUMIFS(PENJUALAN!$E$4:$E$11000,PENJUALAN!$C$4:$C$11000,'Current Stock'!A97)</f>
        <v>0</v>
      </c>
      <c r="I97" s="16">
        <f t="shared" si="2"/>
        <v>0</v>
      </c>
      <c r="J97" s="4"/>
      <c r="K97" s="4"/>
      <c r="L97" s="4"/>
      <c r="M97" s="4"/>
    </row>
    <row r="98" ht="13.5" customHeight="1">
      <c r="A98" s="4" t="str">
        <f t="shared" si="1"/>
        <v>FDR-AVEO99FY</v>
      </c>
      <c r="B98" s="29" t="s">
        <v>214</v>
      </c>
      <c r="C98" s="28" t="s">
        <v>213</v>
      </c>
      <c r="D98" s="28" t="s">
        <v>130</v>
      </c>
      <c r="E98" s="4" t="s">
        <v>111</v>
      </c>
      <c r="F98" s="28" t="s">
        <v>141</v>
      </c>
      <c r="G98" s="4">
        <f>SUMIFS(X!$F$5:$F$2005,X!$D$5:$D$2005,'Current Stock'!A98)</f>
        <v>0</v>
      </c>
      <c r="H98" s="4">
        <f>SUMIFS(PENJUALAN!$E$4:$E$11000,PENJUALAN!$C$4:$C$11000,'Current Stock'!A98)</f>
        <v>0</v>
      </c>
      <c r="I98" s="16">
        <f t="shared" si="2"/>
        <v>0</v>
      </c>
      <c r="J98" s="4"/>
      <c r="K98" s="4"/>
      <c r="L98" s="4"/>
      <c r="M98" s="4"/>
    </row>
    <row r="99" ht="13.5" customHeight="1">
      <c r="A99" s="4" t="str">
        <f t="shared" si="1"/>
        <v>TRW-AVEO99FY</v>
      </c>
      <c r="B99" s="29" t="s">
        <v>215</v>
      </c>
      <c r="C99" s="28" t="s">
        <v>213</v>
      </c>
      <c r="D99" s="28" t="s">
        <v>41</v>
      </c>
      <c r="E99" s="4" t="s">
        <v>111</v>
      </c>
      <c r="F99" s="28" t="s">
        <v>67</v>
      </c>
      <c r="G99" s="4">
        <f>SUMIFS(X!$F$5:$F$2005,X!$D$5:$D$2005,'Current Stock'!A99)</f>
        <v>0</v>
      </c>
      <c r="H99" s="4">
        <f>SUMIFS(PENJUALAN!$E$4:$E$11000,PENJUALAN!$C$4:$C$11000,'Current Stock'!A99)</f>
        <v>0</v>
      </c>
      <c r="I99" s="16">
        <f t="shared" si="2"/>
        <v>0</v>
      </c>
      <c r="J99" s="4"/>
      <c r="K99" s="4"/>
      <c r="L99" s="4"/>
      <c r="M99" s="4"/>
    </row>
    <row r="100" ht="13.5" customHeight="1">
      <c r="A100" s="4" t="str">
        <f t="shared" si="1"/>
        <v>LFW-AVEO08FY</v>
      </c>
      <c r="B100" s="29" t="s">
        <v>216</v>
      </c>
      <c r="C100" s="28" t="s">
        <v>217</v>
      </c>
      <c r="D100" s="28" t="s">
        <v>22</v>
      </c>
      <c r="E100" s="4" t="s">
        <v>111</v>
      </c>
      <c r="F100" s="28" t="s">
        <v>125</v>
      </c>
      <c r="G100" s="4">
        <f>SUMIFS(X!$F$5:$F$2005,X!$D$5:$D$2005,'Current Stock'!A100)</f>
        <v>0</v>
      </c>
      <c r="H100" s="4">
        <f>SUMIFS(PENJUALAN!$E$4:$E$11000,PENJUALAN!$C$4:$C$11000,'Current Stock'!A100)</f>
        <v>0</v>
      </c>
      <c r="I100" s="16">
        <f t="shared" si="2"/>
        <v>0</v>
      </c>
      <c r="J100" s="4"/>
      <c r="K100" s="4"/>
      <c r="L100" s="4"/>
      <c r="M100" s="4"/>
    </row>
    <row r="101" ht="13.5" customHeight="1">
      <c r="A101" s="4" t="str">
        <f t="shared" si="1"/>
        <v>LFW-AVEO11FY</v>
      </c>
      <c r="B101" s="29" t="s">
        <v>218</v>
      </c>
      <c r="C101" s="28" t="s">
        <v>219</v>
      </c>
      <c r="D101" s="28" t="s">
        <v>22</v>
      </c>
      <c r="E101" s="4" t="s">
        <v>111</v>
      </c>
      <c r="F101" s="28" t="s">
        <v>125</v>
      </c>
      <c r="G101" s="4">
        <f>SUMIFS(X!$F$5:$F$2005,X!$D$5:$D$2005,'Current Stock'!A101)</f>
        <v>0</v>
      </c>
      <c r="H101" s="4">
        <f>SUMIFS(PENJUALAN!$E$4:$E$11000,PENJUALAN!$C$4:$C$11000,'Current Stock'!A101)</f>
        <v>0</v>
      </c>
      <c r="I101" s="16">
        <f t="shared" si="2"/>
        <v>0</v>
      </c>
      <c r="J101" s="4"/>
      <c r="K101" s="4"/>
      <c r="L101" s="4"/>
      <c r="M101" s="4"/>
    </row>
    <row r="102" ht="13.5" customHeight="1">
      <c r="A102" s="4" t="str">
        <f t="shared" si="1"/>
        <v>TRW-AVEO11FY</v>
      </c>
      <c r="B102" s="29" t="s">
        <v>220</v>
      </c>
      <c r="C102" s="28" t="s">
        <v>219</v>
      </c>
      <c r="D102" s="28" t="s">
        <v>41</v>
      </c>
      <c r="E102" s="4" t="s">
        <v>111</v>
      </c>
      <c r="F102" s="28" t="s">
        <v>221</v>
      </c>
      <c r="G102" s="4">
        <f>SUMIFS(X!$F$5:$F$2005,X!$D$5:$D$2005,'Current Stock'!A102)</f>
        <v>0</v>
      </c>
      <c r="H102" s="4">
        <f>SUMIFS(PENJUALAN!$E$4:$E$11000,PENJUALAN!$C$4:$C$11000,'Current Stock'!A102)</f>
        <v>0</v>
      </c>
      <c r="I102" s="16">
        <f t="shared" si="2"/>
        <v>0</v>
      </c>
      <c r="J102" s="4"/>
      <c r="K102" s="4"/>
      <c r="L102" s="4"/>
      <c r="M102" s="4"/>
    </row>
    <row r="103" ht="13.5" customHeight="1">
      <c r="A103" s="4" t="str">
        <f t="shared" si="1"/>
        <v>LFW-CAPTIVARSAUTO</v>
      </c>
      <c r="B103" s="29" t="s">
        <v>222</v>
      </c>
      <c r="C103" s="28" t="s">
        <v>223</v>
      </c>
      <c r="D103" s="28" t="s">
        <v>22</v>
      </c>
      <c r="E103" s="4" t="s">
        <v>66</v>
      </c>
      <c r="F103" s="28" t="s">
        <v>224</v>
      </c>
      <c r="G103" s="4">
        <f>SUMIFS(X!$F$5:$F$2005,X!$D$5:$D$2005,'Current Stock'!A103)</f>
        <v>0</v>
      </c>
      <c r="H103" s="4">
        <f>SUMIFS(PENJUALAN!$E$4:$E$11000,PENJUALAN!$C$4:$C$11000,'Current Stock'!A103)</f>
        <v>0</v>
      </c>
      <c r="I103" s="16">
        <f t="shared" si="2"/>
        <v>0</v>
      </c>
      <c r="J103" s="4"/>
      <c r="K103" s="4"/>
      <c r="L103" s="4"/>
      <c r="M103" s="4"/>
    </row>
    <row r="104" ht="13.5" customHeight="1">
      <c r="A104" s="4" t="str">
        <f t="shared" si="1"/>
        <v>LFW-CAPTIVAFY</v>
      </c>
      <c r="B104" s="29" t="s">
        <v>225</v>
      </c>
      <c r="C104" s="28" t="s">
        <v>223</v>
      </c>
      <c r="D104" s="28" t="s">
        <v>22</v>
      </c>
      <c r="E104" s="4" t="s">
        <v>111</v>
      </c>
      <c r="F104" s="28" t="s">
        <v>125</v>
      </c>
      <c r="G104" s="4">
        <f>SUMIFS(X!$F$5:$F$2005,X!$D$5:$D$2005,'Current Stock'!A104)</f>
        <v>0</v>
      </c>
      <c r="H104" s="4">
        <f>SUMIFS(PENJUALAN!$E$4:$E$11000,PENJUALAN!$C$4:$C$11000,'Current Stock'!A104)</f>
        <v>0</v>
      </c>
      <c r="I104" s="16">
        <f t="shared" si="2"/>
        <v>0</v>
      </c>
      <c r="J104" s="4"/>
      <c r="K104" s="4"/>
      <c r="L104" s="4"/>
      <c r="M104" s="4"/>
    </row>
    <row r="105" ht="13.5" customHeight="1">
      <c r="A105" s="4" t="str">
        <f t="shared" si="1"/>
        <v>LFW-CAPTIVARSFY</v>
      </c>
      <c r="B105" s="29" t="s">
        <v>222</v>
      </c>
      <c r="C105" s="28" t="s">
        <v>223</v>
      </c>
      <c r="D105" s="28" t="s">
        <v>22</v>
      </c>
      <c r="E105" s="4" t="s">
        <v>111</v>
      </c>
      <c r="F105" s="28" t="s">
        <v>75</v>
      </c>
      <c r="G105" s="4">
        <f>SUMIFS(X!$F$5:$F$2005,X!$D$5:$D$2005,'Current Stock'!A105)</f>
        <v>0</v>
      </c>
      <c r="H105" s="4">
        <f>SUMIFS(PENJUALAN!$E$4:$E$11000,PENJUALAN!$C$4:$C$11000,'Current Stock'!A105)</f>
        <v>0</v>
      </c>
      <c r="I105" s="16">
        <f t="shared" si="2"/>
        <v>0</v>
      </c>
      <c r="J105" s="4"/>
      <c r="K105" s="4"/>
      <c r="L105" s="4"/>
      <c r="M105" s="4"/>
    </row>
    <row r="106" ht="13.5" customHeight="1">
      <c r="A106" s="4" t="str">
        <f t="shared" si="1"/>
        <v>TRW-CAPTIVA6HOLEFY</v>
      </c>
      <c r="B106" s="29" t="s">
        <v>226</v>
      </c>
      <c r="C106" s="28" t="s">
        <v>223</v>
      </c>
      <c r="D106" s="28" t="s">
        <v>41</v>
      </c>
      <c r="E106" s="4" t="s">
        <v>111</v>
      </c>
      <c r="F106" s="28" t="s">
        <v>227</v>
      </c>
      <c r="G106" s="4">
        <f>SUMIFS(X!$F$5:$F$2005,X!$D$5:$D$2005,'Current Stock'!A106)</f>
        <v>0</v>
      </c>
      <c r="H106" s="4">
        <f>SUMIFS(PENJUALAN!$E$4:$E$11000,PENJUALAN!$C$4:$C$11000,'Current Stock'!A106)</f>
        <v>0</v>
      </c>
      <c r="I106" s="16">
        <f t="shared" si="2"/>
        <v>0</v>
      </c>
      <c r="J106" s="4"/>
      <c r="K106" s="4"/>
      <c r="L106" s="4"/>
      <c r="M106" s="4"/>
    </row>
    <row r="107" ht="13.5" customHeight="1">
      <c r="A107" s="4" t="str">
        <f t="shared" si="1"/>
        <v>TRW-CAPTIVAFY</v>
      </c>
      <c r="B107" s="29" t="s">
        <v>228</v>
      </c>
      <c r="C107" s="28" t="s">
        <v>223</v>
      </c>
      <c r="D107" s="28" t="s">
        <v>41</v>
      </c>
      <c r="E107" s="4" t="s">
        <v>111</v>
      </c>
      <c r="F107" s="28" t="s">
        <v>67</v>
      </c>
      <c r="G107" s="4">
        <f>SUMIFS(X!$F$5:$F$2005,X!$D$5:$D$2005,'Current Stock'!A107)</f>
        <v>0</v>
      </c>
      <c r="H107" s="4">
        <f>SUMIFS(PENJUALAN!$E$4:$E$11000,PENJUALAN!$C$4:$C$11000,'Current Stock'!A107)</f>
        <v>0</v>
      </c>
      <c r="I107" s="16">
        <f t="shared" si="2"/>
        <v>0</v>
      </c>
      <c r="J107" s="4"/>
      <c r="K107" s="4"/>
      <c r="L107" s="4"/>
      <c r="M107" s="4"/>
    </row>
    <row r="108" ht="13.5" customHeight="1">
      <c r="A108" s="4" t="str">
        <f t="shared" si="1"/>
        <v>FDL2-CAPTIVAFY</v>
      </c>
      <c r="B108" s="29" t="s">
        <v>229</v>
      </c>
      <c r="C108" s="28" t="s">
        <v>223</v>
      </c>
      <c r="D108" s="28" t="s">
        <v>128</v>
      </c>
      <c r="E108" s="4" t="s">
        <v>111</v>
      </c>
      <c r="F108" s="28" t="s">
        <v>141</v>
      </c>
      <c r="G108" s="4">
        <f>SUMIFS(X!$F$5:$F$2005,X!$D$5:$D$2005,'Current Stock'!A108)</f>
        <v>0</v>
      </c>
      <c r="H108" s="4">
        <f>SUMIFS(PENJUALAN!$E$4:$E$11000,PENJUALAN!$C$4:$C$11000,'Current Stock'!A108)</f>
        <v>0</v>
      </c>
      <c r="I108" s="16">
        <f t="shared" si="2"/>
        <v>0</v>
      </c>
      <c r="J108" s="4"/>
      <c r="K108" s="4"/>
      <c r="L108" s="4"/>
      <c r="M108" s="4"/>
    </row>
    <row r="109" ht="13.5" customHeight="1">
      <c r="A109" s="4" t="str">
        <f t="shared" si="1"/>
        <v>FDR2-CAPTIVAFY</v>
      </c>
      <c r="B109" s="29" t="s">
        <v>230</v>
      </c>
      <c r="C109" s="28" t="s">
        <v>223</v>
      </c>
      <c r="D109" s="28" t="s">
        <v>130</v>
      </c>
      <c r="E109" s="4" t="s">
        <v>111</v>
      </c>
      <c r="F109" s="28" t="s">
        <v>141</v>
      </c>
      <c r="G109" s="4">
        <f>SUMIFS(X!$F$5:$F$2005,X!$D$5:$D$2005,'Current Stock'!A109)</f>
        <v>0</v>
      </c>
      <c r="H109" s="4">
        <f>SUMIFS(PENJUALAN!$E$4:$E$11000,PENJUALAN!$C$4:$C$11000,'Current Stock'!A109)</f>
        <v>0</v>
      </c>
      <c r="I109" s="16">
        <f t="shared" si="2"/>
        <v>0</v>
      </c>
      <c r="J109" s="4"/>
      <c r="K109" s="4"/>
      <c r="L109" s="4"/>
      <c r="M109" s="4"/>
    </row>
    <row r="110" ht="13.5" customHeight="1">
      <c r="A110" s="4" t="str">
        <f t="shared" si="1"/>
        <v>RDL2-CAPTIVAFY</v>
      </c>
      <c r="B110" s="29" t="s">
        <v>231</v>
      </c>
      <c r="C110" s="28" t="s">
        <v>223</v>
      </c>
      <c r="D110" s="28" t="s">
        <v>132</v>
      </c>
      <c r="E110" s="4" t="s">
        <v>111</v>
      </c>
      <c r="F110" s="28" t="s">
        <v>141</v>
      </c>
      <c r="G110" s="4">
        <f>SUMIFS(X!$F$5:$F$2005,X!$D$5:$D$2005,'Current Stock'!A110)</f>
        <v>0</v>
      </c>
      <c r="H110" s="4">
        <f>SUMIFS(PENJUALAN!$E$4:$E$11000,PENJUALAN!$C$4:$C$11000,'Current Stock'!A110)</f>
        <v>0</v>
      </c>
      <c r="I110" s="16">
        <f t="shared" si="2"/>
        <v>0</v>
      </c>
      <c r="J110" s="4"/>
      <c r="K110" s="4"/>
      <c r="L110" s="4"/>
      <c r="M110" s="4"/>
    </row>
    <row r="111" ht="13.5" customHeight="1">
      <c r="A111" s="4" t="str">
        <f t="shared" si="1"/>
        <v>RDR2-CAPTIVAFY</v>
      </c>
      <c r="B111" s="29" t="s">
        <v>232</v>
      </c>
      <c r="C111" s="28" t="s">
        <v>223</v>
      </c>
      <c r="D111" s="28" t="s">
        <v>134</v>
      </c>
      <c r="E111" s="4" t="s">
        <v>111</v>
      </c>
      <c r="F111" s="28" t="s">
        <v>141</v>
      </c>
      <c r="G111" s="4">
        <f>SUMIFS(X!$F$5:$F$2005,X!$D$5:$D$2005,'Current Stock'!A111)</f>
        <v>0</v>
      </c>
      <c r="H111" s="4">
        <f>SUMIFS(PENJUALAN!$E$4:$E$11000,PENJUALAN!$C$4:$C$11000,'Current Stock'!A111)</f>
        <v>0</v>
      </c>
      <c r="I111" s="16">
        <f t="shared" si="2"/>
        <v>0</v>
      </c>
      <c r="J111" s="4"/>
      <c r="K111" s="4"/>
      <c r="L111" s="4"/>
      <c r="M111" s="4"/>
    </row>
    <row r="112" ht="13.5" customHeight="1">
      <c r="A112" s="4" t="str">
        <f t="shared" si="1"/>
        <v>RQL-CAPTIVAFY</v>
      </c>
      <c r="B112" s="29" t="s">
        <v>233</v>
      </c>
      <c r="C112" s="28" t="s">
        <v>223</v>
      </c>
      <c r="D112" s="28" t="s">
        <v>202</v>
      </c>
      <c r="E112" s="4" t="s">
        <v>111</v>
      </c>
      <c r="F112" s="28" t="s">
        <v>234</v>
      </c>
      <c r="G112" s="4">
        <f>SUMIFS(X!$F$5:$F$2005,X!$D$5:$D$2005,'Current Stock'!A112)</f>
        <v>0</v>
      </c>
      <c r="H112" s="4">
        <f>SUMIFS(PENJUALAN!$E$4:$E$11000,PENJUALAN!$C$4:$C$11000,'Current Stock'!A112)</f>
        <v>0</v>
      </c>
      <c r="I112" s="16">
        <f t="shared" si="2"/>
        <v>0</v>
      </c>
      <c r="J112" s="4"/>
      <c r="K112" s="4"/>
      <c r="L112" s="4"/>
      <c r="M112" s="4"/>
    </row>
    <row r="113" ht="13.5" customHeight="1">
      <c r="A113" s="4" t="str">
        <f t="shared" si="1"/>
        <v>RQR-CAPTIVAFY</v>
      </c>
      <c r="B113" s="29" t="s">
        <v>235</v>
      </c>
      <c r="C113" s="28" t="s">
        <v>223</v>
      </c>
      <c r="D113" s="28" t="s">
        <v>236</v>
      </c>
      <c r="E113" s="4" t="s">
        <v>111</v>
      </c>
      <c r="F113" s="28" t="s">
        <v>97</v>
      </c>
      <c r="G113" s="4">
        <f>SUMIFS(X!$F$5:$F$2005,X!$D$5:$D$2005,'Current Stock'!A113)</f>
        <v>0</v>
      </c>
      <c r="H113" s="4">
        <f>SUMIFS(PENJUALAN!$E$4:$E$11000,PENJUALAN!$C$4:$C$11000,'Current Stock'!A113)</f>
        <v>0</v>
      </c>
      <c r="I113" s="16">
        <f t="shared" si="2"/>
        <v>0</v>
      </c>
      <c r="J113" s="4"/>
      <c r="K113" s="4"/>
      <c r="L113" s="4"/>
      <c r="M113" s="4"/>
    </row>
    <row r="114" ht="13.5" customHeight="1">
      <c r="A114" s="4" t="str">
        <f t="shared" si="1"/>
        <v>LFW-OPTRAFY</v>
      </c>
      <c r="B114" s="29" t="s">
        <v>237</v>
      </c>
      <c r="C114" s="28" t="s">
        <v>238</v>
      </c>
      <c r="D114" s="28" t="s">
        <v>22</v>
      </c>
      <c r="E114" s="4" t="s">
        <v>111</v>
      </c>
      <c r="F114" s="28" t="s">
        <v>125</v>
      </c>
      <c r="G114" s="4">
        <f>SUMIFS(X!$F$5:$F$2005,X!$D$5:$D$2005,'Current Stock'!A114)</f>
        <v>0</v>
      </c>
      <c r="H114" s="4">
        <f>SUMIFS(PENJUALAN!$E$4:$E$11000,PENJUALAN!$C$4:$C$11000,'Current Stock'!A114)</f>
        <v>0</v>
      </c>
      <c r="I114" s="16">
        <f t="shared" si="2"/>
        <v>0</v>
      </c>
      <c r="J114" s="4"/>
      <c r="K114" s="4"/>
      <c r="L114" s="4"/>
      <c r="M114" s="4"/>
    </row>
    <row r="115" ht="13.5" customHeight="1">
      <c r="A115" s="4" t="str">
        <f t="shared" si="1"/>
        <v>LFW-ORLANDORSFY</v>
      </c>
      <c r="B115" s="29" t="s">
        <v>239</v>
      </c>
      <c r="C115" s="28" t="s">
        <v>240</v>
      </c>
      <c r="D115" s="28" t="s">
        <v>22</v>
      </c>
      <c r="E115" s="4" t="s">
        <v>111</v>
      </c>
      <c r="F115" s="28" t="s">
        <v>75</v>
      </c>
      <c r="G115" s="4">
        <f>SUMIFS(X!$F$5:$F$2005,X!$D$5:$D$2005,'Current Stock'!A115)</f>
        <v>0</v>
      </c>
      <c r="H115" s="4">
        <f>SUMIFS(PENJUALAN!$E$4:$E$11000,PENJUALAN!$C$4:$C$11000,'Current Stock'!A115)</f>
        <v>0</v>
      </c>
      <c r="I115" s="16">
        <f t="shared" si="2"/>
        <v>0</v>
      </c>
      <c r="J115" s="4"/>
      <c r="K115" s="4"/>
      <c r="L115" s="4"/>
      <c r="M115" s="4"/>
    </row>
    <row r="116" ht="13.5" customHeight="1">
      <c r="A116" s="4" t="str">
        <f t="shared" si="1"/>
        <v>LFW-ORLANDOFY</v>
      </c>
      <c r="B116" s="29" t="s">
        <v>241</v>
      </c>
      <c r="C116" s="28" t="s">
        <v>240</v>
      </c>
      <c r="D116" s="28" t="s">
        <v>22</v>
      </c>
      <c r="E116" s="4" t="s">
        <v>111</v>
      </c>
      <c r="F116" s="28" t="s">
        <v>125</v>
      </c>
      <c r="G116" s="4">
        <f>SUMIFS(X!$F$5:$F$2005,X!$D$5:$D$2005,'Current Stock'!A116)</f>
        <v>0</v>
      </c>
      <c r="H116" s="4">
        <f>SUMIFS(PENJUALAN!$E$4:$E$11000,PENJUALAN!$C$4:$C$11000,'Current Stock'!A116)</f>
        <v>0</v>
      </c>
      <c r="I116" s="16">
        <f t="shared" si="2"/>
        <v>0</v>
      </c>
      <c r="J116" s="4"/>
      <c r="K116" s="4"/>
      <c r="L116" s="4"/>
      <c r="M116" s="4"/>
    </row>
    <row r="117" ht="13.5" customHeight="1">
      <c r="A117" s="4" t="str">
        <f t="shared" si="1"/>
        <v>FDR-ORLANDOFY</v>
      </c>
      <c r="B117" s="29" t="s">
        <v>242</v>
      </c>
      <c r="C117" s="28" t="s">
        <v>240</v>
      </c>
      <c r="D117" s="28" t="s">
        <v>130</v>
      </c>
      <c r="E117" s="4" t="s">
        <v>111</v>
      </c>
      <c r="F117" s="28"/>
      <c r="G117" s="4">
        <f>SUMIFS(X!$F$5:$F$2005,X!$D$5:$D$2005,'Current Stock'!A117)</f>
        <v>0</v>
      </c>
      <c r="H117" s="4">
        <f>SUMIFS(PENJUALAN!$E$4:$E$11000,PENJUALAN!$C$4:$C$11000,'Current Stock'!A117)</f>
        <v>0</v>
      </c>
      <c r="I117" s="16">
        <f t="shared" si="2"/>
        <v>0</v>
      </c>
      <c r="J117" s="4"/>
      <c r="K117" s="4"/>
      <c r="L117" s="4"/>
      <c r="M117" s="4"/>
    </row>
    <row r="118" ht="13.5" customHeight="1">
      <c r="A118" s="4" t="str">
        <f t="shared" si="1"/>
        <v>RDL-ORLANDOFY</v>
      </c>
      <c r="B118" s="29" t="s">
        <v>243</v>
      </c>
      <c r="C118" s="28" t="s">
        <v>240</v>
      </c>
      <c r="D118" s="28" t="s">
        <v>132</v>
      </c>
      <c r="E118" s="4" t="s">
        <v>111</v>
      </c>
      <c r="F118" s="28"/>
      <c r="G118" s="4">
        <f>SUMIFS(X!$F$5:$F$2005,X!$D$5:$D$2005,'Current Stock'!A118)</f>
        <v>0</v>
      </c>
      <c r="H118" s="4">
        <f>SUMIFS(PENJUALAN!$E$4:$E$11000,PENJUALAN!$C$4:$C$11000,'Current Stock'!A118)</f>
        <v>0</v>
      </c>
      <c r="I118" s="16">
        <f t="shared" si="2"/>
        <v>0</v>
      </c>
      <c r="J118" s="4"/>
      <c r="K118" s="4"/>
      <c r="L118" s="4"/>
      <c r="M118" s="4"/>
    </row>
    <row r="119" ht="13.5" customHeight="1">
      <c r="A119" s="4" t="str">
        <f t="shared" si="1"/>
        <v>LFW-SPARK98FY</v>
      </c>
      <c r="B119" s="29" t="s">
        <v>244</v>
      </c>
      <c r="C119" s="28" t="s">
        <v>245</v>
      </c>
      <c r="D119" s="28" t="s">
        <v>22</v>
      </c>
      <c r="E119" s="4" t="s">
        <v>111</v>
      </c>
      <c r="F119" s="28" t="s">
        <v>125</v>
      </c>
      <c r="G119" s="4">
        <f>SUMIFS(X!$F$5:$F$2005,X!$D$5:$D$2005,'Current Stock'!A119)</f>
        <v>0</v>
      </c>
      <c r="H119" s="4">
        <f>SUMIFS(PENJUALAN!$E$4:$E$11000,PENJUALAN!$C$4:$C$11000,'Current Stock'!A119)</f>
        <v>0</v>
      </c>
      <c r="I119" s="16">
        <f t="shared" si="2"/>
        <v>0</v>
      </c>
      <c r="J119" s="4"/>
      <c r="K119" s="4"/>
      <c r="L119" s="4"/>
      <c r="M119" s="4"/>
    </row>
    <row r="120" ht="13.5" customHeight="1">
      <c r="A120" s="4" t="str">
        <f t="shared" si="1"/>
        <v>TRW-SPARK98FY</v>
      </c>
      <c r="B120" s="29" t="s">
        <v>246</v>
      </c>
      <c r="C120" s="28" t="s">
        <v>245</v>
      </c>
      <c r="D120" s="28" t="s">
        <v>41</v>
      </c>
      <c r="E120" s="4" t="s">
        <v>111</v>
      </c>
      <c r="F120" s="28" t="s">
        <v>67</v>
      </c>
      <c r="G120" s="4">
        <f>SUMIFS(X!$F$5:$F$2005,X!$D$5:$D$2005,'Current Stock'!A120)</f>
        <v>0</v>
      </c>
      <c r="H120" s="4">
        <f>SUMIFS(PENJUALAN!$E$4:$E$11000,PENJUALAN!$C$4:$C$11000,'Current Stock'!A120)</f>
        <v>0</v>
      </c>
      <c r="I120" s="16">
        <f t="shared" si="2"/>
        <v>0</v>
      </c>
      <c r="J120" s="4"/>
      <c r="K120" s="4"/>
      <c r="L120" s="4"/>
      <c r="M120" s="4"/>
    </row>
    <row r="121" ht="13.5" customHeight="1">
      <c r="A121" s="4" t="str">
        <f t="shared" si="1"/>
        <v>LFW-SPARK05FY</v>
      </c>
      <c r="B121" s="29" t="s">
        <v>247</v>
      </c>
      <c r="C121" s="28" t="s">
        <v>248</v>
      </c>
      <c r="D121" s="28" t="s">
        <v>22</v>
      </c>
      <c r="E121" s="4" t="s">
        <v>111</v>
      </c>
      <c r="F121" s="28" t="s">
        <v>125</v>
      </c>
      <c r="G121" s="4">
        <f>SUMIFS(X!$F$5:$F$2005,X!$D$5:$D$2005,'Current Stock'!A121)</f>
        <v>0</v>
      </c>
      <c r="H121" s="4">
        <f>SUMIFS(PENJUALAN!$E$4:$E$11000,PENJUALAN!$C$4:$C$11000,'Current Stock'!A121)</f>
        <v>0</v>
      </c>
      <c r="I121" s="16">
        <f t="shared" si="2"/>
        <v>0</v>
      </c>
      <c r="J121" s="4"/>
      <c r="K121" s="4"/>
      <c r="L121" s="4"/>
      <c r="M121" s="4"/>
    </row>
    <row r="122" ht="13.5" customHeight="1">
      <c r="A122" s="4" t="str">
        <f t="shared" si="1"/>
        <v>TRW-SPARK05FY</v>
      </c>
      <c r="B122" s="29" t="s">
        <v>249</v>
      </c>
      <c r="C122" s="28" t="s">
        <v>248</v>
      </c>
      <c r="D122" s="28" t="s">
        <v>41</v>
      </c>
      <c r="E122" s="4" t="s">
        <v>111</v>
      </c>
      <c r="F122" s="28" t="s">
        <v>67</v>
      </c>
      <c r="G122" s="4">
        <f>SUMIFS(X!$F$5:$F$2005,X!$D$5:$D$2005,'Current Stock'!A122)</f>
        <v>0</v>
      </c>
      <c r="H122" s="4">
        <f>SUMIFS(PENJUALAN!$E$4:$E$11000,PENJUALAN!$C$4:$C$11000,'Current Stock'!A122)</f>
        <v>0</v>
      </c>
      <c r="I122" s="16">
        <f t="shared" si="2"/>
        <v>0</v>
      </c>
      <c r="J122" s="4"/>
      <c r="K122" s="4"/>
      <c r="L122" s="4"/>
      <c r="M122" s="4"/>
    </row>
    <row r="123" ht="13.5" customHeight="1">
      <c r="A123" s="4" t="str">
        <f t="shared" si="1"/>
        <v>FDL-SPARK05FY</v>
      </c>
      <c r="B123" s="29" t="s">
        <v>250</v>
      </c>
      <c r="C123" s="28" t="s">
        <v>248</v>
      </c>
      <c r="D123" s="28" t="s">
        <v>128</v>
      </c>
      <c r="E123" s="4" t="s">
        <v>111</v>
      </c>
      <c r="F123" s="28" t="s">
        <v>141</v>
      </c>
      <c r="G123" s="4">
        <f>SUMIFS(X!$F$5:$F$2005,X!$D$5:$D$2005,'Current Stock'!A123)</f>
        <v>0</v>
      </c>
      <c r="H123" s="4">
        <f>SUMIFS(PENJUALAN!$E$4:$E$11000,PENJUALAN!$C$4:$C$11000,'Current Stock'!A123)</f>
        <v>0</v>
      </c>
      <c r="I123" s="16">
        <f t="shared" si="2"/>
        <v>0</v>
      </c>
      <c r="J123" s="4"/>
      <c r="K123" s="4"/>
      <c r="L123" s="4"/>
      <c r="M123" s="4"/>
    </row>
    <row r="124" ht="13.5" customHeight="1">
      <c r="A124" s="4" t="str">
        <f t="shared" si="1"/>
        <v>FDR-SPARK05FY</v>
      </c>
      <c r="B124" s="29" t="s">
        <v>251</v>
      </c>
      <c r="C124" s="28" t="s">
        <v>248</v>
      </c>
      <c r="D124" s="28" t="s">
        <v>130</v>
      </c>
      <c r="E124" s="4" t="s">
        <v>111</v>
      </c>
      <c r="F124" s="28" t="s">
        <v>141</v>
      </c>
      <c r="G124" s="4">
        <f>SUMIFS(X!$F$5:$F$2005,X!$D$5:$D$2005,'Current Stock'!A124)</f>
        <v>0</v>
      </c>
      <c r="H124" s="4">
        <f>SUMIFS(PENJUALAN!$E$4:$E$11000,PENJUALAN!$C$4:$C$11000,'Current Stock'!A124)</f>
        <v>0</v>
      </c>
      <c r="I124" s="16">
        <f t="shared" si="2"/>
        <v>0</v>
      </c>
      <c r="J124" s="4"/>
      <c r="K124" s="4"/>
      <c r="L124" s="4"/>
      <c r="M124" s="4"/>
    </row>
    <row r="125" ht="13.5" customHeight="1">
      <c r="A125" s="4" t="str">
        <f t="shared" si="1"/>
        <v>RDR-SPARK05FY</v>
      </c>
      <c r="B125" s="29" t="s">
        <v>252</v>
      </c>
      <c r="C125" s="28" t="s">
        <v>248</v>
      </c>
      <c r="D125" s="28" t="s">
        <v>134</v>
      </c>
      <c r="E125" s="4" t="s">
        <v>111</v>
      </c>
      <c r="F125" s="28"/>
      <c r="G125" s="4">
        <f>SUMIFS(X!$F$5:$F$2005,X!$D$5:$D$2005,'Current Stock'!A125)</f>
        <v>0</v>
      </c>
      <c r="H125" s="4">
        <f>SUMIFS(PENJUALAN!$E$4:$E$11000,PENJUALAN!$C$4:$C$11000,'Current Stock'!A125)</f>
        <v>0</v>
      </c>
      <c r="I125" s="16">
        <f t="shared" si="2"/>
        <v>0</v>
      </c>
      <c r="J125" s="4"/>
      <c r="K125" s="4"/>
      <c r="L125" s="4"/>
      <c r="M125" s="4"/>
    </row>
    <row r="126" ht="13.5" customHeight="1">
      <c r="A126" s="4" t="str">
        <f t="shared" si="1"/>
        <v>LFW-SPARK10FY</v>
      </c>
      <c r="B126" s="29" t="s">
        <v>253</v>
      </c>
      <c r="C126" s="28" t="s">
        <v>254</v>
      </c>
      <c r="D126" s="28" t="s">
        <v>22</v>
      </c>
      <c r="E126" s="4" t="s">
        <v>111</v>
      </c>
      <c r="F126" s="28" t="s">
        <v>125</v>
      </c>
      <c r="G126" s="4">
        <f>SUMIFS(X!$F$5:$F$2005,X!$D$5:$D$2005,'Current Stock'!A126)</f>
        <v>0</v>
      </c>
      <c r="H126" s="4">
        <f>SUMIFS(PENJUALAN!$E$4:$E$11000,PENJUALAN!$C$4:$C$11000,'Current Stock'!A126)</f>
        <v>0</v>
      </c>
      <c r="I126" s="16">
        <f t="shared" si="2"/>
        <v>0</v>
      </c>
      <c r="J126" s="4"/>
      <c r="K126" s="4"/>
      <c r="L126" s="4"/>
      <c r="M126" s="4"/>
    </row>
    <row r="127" ht="13.5" customHeight="1">
      <c r="A127" s="4" t="str">
        <f t="shared" si="1"/>
        <v>TRW-SPARK10FY</v>
      </c>
      <c r="B127" s="29" t="s">
        <v>255</v>
      </c>
      <c r="C127" s="28" t="s">
        <v>254</v>
      </c>
      <c r="D127" s="28" t="s">
        <v>41</v>
      </c>
      <c r="E127" s="4" t="s">
        <v>111</v>
      </c>
      <c r="F127" s="28" t="s">
        <v>67</v>
      </c>
      <c r="G127" s="4">
        <f>SUMIFS(X!$F$5:$F$2005,X!$D$5:$D$2005,'Current Stock'!A127)</f>
        <v>0</v>
      </c>
      <c r="H127" s="4">
        <f>SUMIFS(PENJUALAN!$E$4:$E$11000,PENJUALAN!$C$4:$C$11000,'Current Stock'!A127)</f>
        <v>0</v>
      </c>
      <c r="I127" s="16">
        <f t="shared" si="2"/>
        <v>0</v>
      </c>
      <c r="J127" s="4"/>
      <c r="K127" s="4"/>
      <c r="L127" s="4"/>
      <c r="M127" s="4"/>
    </row>
    <row r="128" ht="13.5" customHeight="1">
      <c r="A128" s="4" t="str">
        <f t="shared" si="1"/>
        <v>FDL-SPARK10FY</v>
      </c>
      <c r="B128" s="29" t="s">
        <v>256</v>
      </c>
      <c r="C128" s="28" t="s">
        <v>254</v>
      </c>
      <c r="D128" s="28" t="s">
        <v>128</v>
      </c>
      <c r="E128" s="4" t="s">
        <v>111</v>
      </c>
      <c r="F128" s="28" t="s">
        <v>141</v>
      </c>
      <c r="G128" s="4">
        <f>SUMIFS(X!$F$5:$F$2005,X!$D$5:$D$2005,'Current Stock'!A128)</f>
        <v>0</v>
      </c>
      <c r="H128" s="4">
        <f>SUMIFS(PENJUALAN!$E$4:$E$11000,PENJUALAN!$C$4:$C$11000,'Current Stock'!A128)</f>
        <v>0</v>
      </c>
      <c r="I128" s="16">
        <f t="shared" si="2"/>
        <v>0</v>
      </c>
      <c r="J128" s="4"/>
      <c r="K128" s="4"/>
      <c r="L128" s="4"/>
      <c r="M128" s="4"/>
    </row>
    <row r="129" ht="13.5" customHeight="1">
      <c r="A129" s="4" t="str">
        <f t="shared" si="1"/>
        <v>FDR-SPARK10FY</v>
      </c>
      <c r="B129" s="29" t="s">
        <v>257</v>
      </c>
      <c r="C129" s="28" t="s">
        <v>254</v>
      </c>
      <c r="D129" s="28" t="s">
        <v>130</v>
      </c>
      <c r="E129" s="4" t="s">
        <v>111</v>
      </c>
      <c r="F129" s="28" t="s">
        <v>141</v>
      </c>
      <c r="G129" s="4">
        <f>SUMIFS(X!$F$5:$F$2005,X!$D$5:$D$2005,'Current Stock'!A129)</f>
        <v>0</v>
      </c>
      <c r="H129" s="4">
        <f>SUMIFS(PENJUALAN!$E$4:$E$11000,PENJUALAN!$C$4:$C$11000,'Current Stock'!A129)</f>
        <v>0</v>
      </c>
      <c r="I129" s="16">
        <f t="shared" si="2"/>
        <v>0</v>
      </c>
      <c r="J129" s="4"/>
      <c r="K129" s="4"/>
      <c r="L129" s="4"/>
      <c r="M129" s="4"/>
    </row>
    <row r="130" ht="13.5" customHeight="1">
      <c r="A130" s="4" t="str">
        <f t="shared" si="1"/>
        <v>RDL-SPARK10FY</v>
      </c>
      <c r="B130" s="29" t="s">
        <v>258</v>
      </c>
      <c r="C130" s="28" t="s">
        <v>254</v>
      </c>
      <c r="D130" s="28" t="s">
        <v>132</v>
      </c>
      <c r="E130" s="4" t="s">
        <v>111</v>
      </c>
      <c r="F130" s="28" t="s">
        <v>141</v>
      </c>
      <c r="G130" s="4">
        <f>SUMIFS(X!$F$5:$F$2005,X!$D$5:$D$2005,'Current Stock'!A130)</f>
        <v>0</v>
      </c>
      <c r="H130" s="4">
        <f>SUMIFS(PENJUALAN!$E$4:$E$11000,PENJUALAN!$C$4:$C$11000,'Current Stock'!A130)</f>
        <v>0</v>
      </c>
      <c r="I130" s="16">
        <f t="shared" si="2"/>
        <v>0</v>
      </c>
      <c r="J130" s="4"/>
      <c r="K130" s="4"/>
      <c r="L130" s="4"/>
      <c r="M130" s="4"/>
    </row>
    <row r="131" ht="13.5" customHeight="1">
      <c r="A131" s="4" t="str">
        <f t="shared" si="1"/>
        <v>RDR-SPARK10FY</v>
      </c>
      <c r="B131" s="29" t="s">
        <v>259</v>
      </c>
      <c r="C131" s="28" t="s">
        <v>254</v>
      </c>
      <c r="D131" s="28" t="s">
        <v>134</v>
      </c>
      <c r="E131" s="4" t="s">
        <v>111</v>
      </c>
      <c r="F131" s="28" t="s">
        <v>141</v>
      </c>
      <c r="G131" s="4">
        <f>SUMIFS(X!$F$5:$F$2005,X!$D$5:$D$2005,'Current Stock'!A131)</f>
        <v>0</v>
      </c>
      <c r="H131" s="4">
        <f>SUMIFS(PENJUALAN!$E$4:$E$11000,PENJUALAN!$C$4:$C$11000,'Current Stock'!A131)</f>
        <v>0</v>
      </c>
      <c r="I131" s="16">
        <f t="shared" si="2"/>
        <v>0</v>
      </c>
      <c r="J131" s="4"/>
      <c r="K131" s="4"/>
      <c r="L131" s="4"/>
      <c r="M131" s="4"/>
    </row>
    <row r="132" ht="13.5" customHeight="1">
      <c r="A132" s="4" t="str">
        <f t="shared" si="1"/>
        <v>LFW-SPINFY</v>
      </c>
      <c r="B132" s="29" t="s">
        <v>260</v>
      </c>
      <c r="C132" s="28" t="s">
        <v>261</v>
      </c>
      <c r="D132" s="28" t="s">
        <v>22</v>
      </c>
      <c r="E132" s="4" t="s">
        <v>111</v>
      </c>
      <c r="F132" s="28" t="s">
        <v>125</v>
      </c>
      <c r="G132" s="4">
        <f>SUMIFS(X!$F$5:$F$2005,X!$D$5:$D$2005,'Current Stock'!A132)</f>
        <v>0</v>
      </c>
      <c r="H132" s="4">
        <f>SUMIFS(PENJUALAN!$E$4:$E$11000,PENJUALAN!$C$4:$C$11000,'Current Stock'!A132)</f>
        <v>0</v>
      </c>
      <c r="I132" s="16">
        <f t="shared" si="2"/>
        <v>0</v>
      </c>
      <c r="J132" s="4"/>
      <c r="K132" s="4"/>
      <c r="L132" s="4"/>
      <c r="M132" s="4"/>
    </row>
    <row r="133" ht="13.5" customHeight="1">
      <c r="A133" s="4" t="str">
        <f t="shared" si="1"/>
        <v>RDL-TRAILBLAZERFY</v>
      </c>
      <c r="B133" s="29" t="s">
        <v>262</v>
      </c>
      <c r="C133" s="28" t="s">
        <v>263</v>
      </c>
      <c r="D133" s="28" t="s">
        <v>132</v>
      </c>
      <c r="E133" s="4" t="s">
        <v>111</v>
      </c>
      <c r="F133" s="28"/>
      <c r="G133" s="4">
        <f>SUMIFS(X!$F$5:$F$2005,X!$D$5:$D$2005,'Current Stock'!A133)</f>
        <v>0</v>
      </c>
      <c r="H133" s="4">
        <f>SUMIFS(PENJUALAN!$E$4:$E$11000,PENJUALAN!$C$4:$C$11000,'Current Stock'!A133)</f>
        <v>0</v>
      </c>
      <c r="I133" s="16">
        <f t="shared" si="2"/>
        <v>0</v>
      </c>
      <c r="J133" s="4"/>
      <c r="K133" s="4"/>
      <c r="L133" s="4"/>
      <c r="M133" s="4"/>
    </row>
    <row r="134" ht="13.5" customHeight="1">
      <c r="A134" s="4" t="str">
        <f t="shared" si="1"/>
        <v>RDR-TRAILBLAZERFY</v>
      </c>
      <c r="B134" s="29" t="s">
        <v>264</v>
      </c>
      <c r="C134" s="28" t="s">
        <v>263</v>
      </c>
      <c r="D134" s="28" t="s">
        <v>134</v>
      </c>
      <c r="E134" s="4" t="s">
        <v>111</v>
      </c>
      <c r="F134" s="28"/>
      <c r="G134" s="4">
        <f>SUMIFS(X!$F$5:$F$2005,X!$D$5:$D$2005,'Current Stock'!A134)</f>
        <v>0</v>
      </c>
      <c r="H134" s="4">
        <f>SUMIFS(PENJUALAN!$E$4:$E$11000,PENJUALAN!$C$4:$C$11000,'Current Stock'!A134)</f>
        <v>0</v>
      </c>
      <c r="I134" s="16">
        <f t="shared" si="2"/>
        <v>0</v>
      </c>
      <c r="J134" s="4"/>
      <c r="K134" s="4"/>
      <c r="L134" s="4"/>
      <c r="M134" s="4"/>
    </row>
    <row r="135" ht="13.5" customHeight="1">
      <c r="A135" s="4" t="str">
        <f t="shared" si="1"/>
        <v>TRW-TRAILBLAZERFY</v>
      </c>
      <c r="B135" s="29" t="s">
        <v>265</v>
      </c>
      <c r="C135" s="28" t="s">
        <v>266</v>
      </c>
      <c r="D135" s="28" t="s">
        <v>41</v>
      </c>
      <c r="E135" s="4" t="s">
        <v>111</v>
      </c>
      <c r="F135" s="28" t="s">
        <v>221</v>
      </c>
      <c r="G135" s="4">
        <f>SUMIFS(X!$F$5:$F$2005,X!$D$5:$D$2005,'Current Stock'!A135)</f>
        <v>0</v>
      </c>
      <c r="H135" s="4">
        <f>SUMIFS(PENJUALAN!$E$4:$E$11000,PENJUALAN!$C$4:$C$11000,'Current Stock'!A135)</f>
        <v>0</v>
      </c>
      <c r="I135" s="16">
        <f t="shared" si="2"/>
        <v>0</v>
      </c>
      <c r="J135" s="4"/>
      <c r="K135" s="4"/>
      <c r="L135" s="4"/>
      <c r="M135" s="4"/>
    </row>
    <row r="136" ht="13.5" customHeight="1">
      <c r="A136" s="4" t="str">
        <f t="shared" si="1"/>
        <v>LFW-TRAXFY</v>
      </c>
      <c r="B136" s="29" t="s">
        <v>267</v>
      </c>
      <c r="C136" s="28" t="s">
        <v>268</v>
      </c>
      <c r="D136" s="28" t="s">
        <v>22</v>
      </c>
      <c r="E136" s="4" t="s">
        <v>111</v>
      </c>
      <c r="F136" s="28" t="s">
        <v>125</v>
      </c>
      <c r="G136" s="4">
        <f>SUMIFS(X!$F$5:$F$2005,X!$D$5:$D$2005,'Current Stock'!A136)</f>
        <v>0</v>
      </c>
      <c r="H136" s="4">
        <f>SUMIFS(PENJUALAN!$E$4:$E$11000,PENJUALAN!$C$4:$C$11000,'Current Stock'!A136)</f>
        <v>0</v>
      </c>
      <c r="I136" s="16">
        <f t="shared" si="2"/>
        <v>0</v>
      </c>
      <c r="J136" s="4"/>
      <c r="K136" s="4"/>
      <c r="L136" s="4"/>
      <c r="M136" s="4"/>
    </row>
    <row r="137" ht="13.5" customHeight="1">
      <c r="A137" s="4" t="str">
        <f t="shared" si="1"/>
        <v>TRW-TRAXFY</v>
      </c>
      <c r="B137" s="29" t="s">
        <v>269</v>
      </c>
      <c r="C137" s="28" t="s">
        <v>270</v>
      </c>
      <c r="D137" s="28" t="s">
        <v>41</v>
      </c>
      <c r="E137" s="4" t="s">
        <v>111</v>
      </c>
      <c r="F137" s="28" t="s">
        <v>221</v>
      </c>
      <c r="G137" s="4">
        <f>SUMIFS(X!$F$5:$F$2005,X!$D$5:$D$2005,'Current Stock'!A137)</f>
        <v>0</v>
      </c>
      <c r="H137" s="4">
        <f>SUMIFS(PENJUALAN!$E$4:$E$11000,PENJUALAN!$C$4:$C$11000,'Current Stock'!A137)</f>
        <v>0</v>
      </c>
      <c r="I137" s="16">
        <f t="shared" si="2"/>
        <v>0</v>
      </c>
      <c r="J137" s="4"/>
      <c r="K137" s="4"/>
      <c r="L137" s="4"/>
      <c r="M137" s="4"/>
    </row>
    <row r="138" ht="13.5" customHeight="1">
      <c r="A138" s="4" t="str">
        <f t="shared" si="1"/>
        <v>LFW-ZAFIRAFY</v>
      </c>
      <c r="B138" s="29" t="s">
        <v>271</v>
      </c>
      <c r="C138" s="28" t="s">
        <v>272</v>
      </c>
      <c r="D138" s="28" t="s">
        <v>22</v>
      </c>
      <c r="E138" s="4" t="s">
        <v>111</v>
      </c>
      <c r="F138" s="28" t="s">
        <v>125</v>
      </c>
      <c r="G138" s="4">
        <f>SUMIFS(X!$F$5:$F$2005,X!$D$5:$D$2005,'Current Stock'!A138)</f>
        <v>0</v>
      </c>
      <c r="H138" s="4">
        <f>SUMIFS(PENJUALAN!$E$4:$E$11000,PENJUALAN!$C$4:$C$11000,'Current Stock'!A138)</f>
        <v>0</v>
      </c>
      <c r="I138" s="16">
        <f t="shared" si="2"/>
        <v>0</v>
      </c>
      <c r="J138" s="4"/>
      <c r="K138" s="4"/>
      <c r="L138" s="4"/>
      <c r="M138" s="4"/>
    </row>
    <row r="139" ht="13.5" customHeight="1">
      <c r="A139" s="4" t="str">
        <f t="shared" si="1"/>
        <v>TRW-ZAFIRAFY</v>
      </c>
      <c r="B139" s="29" t="s">
        <v>273</v>
      </c>
      <c r="C139" s="28" t="s">
        <v>272</v>
      </c>
      <c r="D139" s="28" t="s">
        <v>41</v>
      </c>
      <c r="E139" s="4" t="s">
        <v>111</v>
      </c>
      <c r="F139" s="28" t="s">
        <v>67</v>
      </c>
      <c r="G139" s="4">
        <f>SUMIFS(X!$F$5:$F$2005,X!$D$5:$D$2005,'Current Stock'!A139)</f>
        <v>0</v>
      </c>
      <c r="H139" s="4">
        <f>SUMIFS(PENJUALAN!$E$4:$E$11000,PENJUALAN!$C$4:$C$11000,'Current Stock'!A139)</f>
        <v>0</v>
      </c>
      <c r="I139" s="16">
        <f t="shared" si="2"/>
        <v>0</v>
      </c>
      <c r="J139" s="4"/>
      <c r="K139" s="4"/>
      <c r="L139" s="4"/>
      <c r="M139" s="4"/>
    </row>
    <row r="140" ht="13.5" customHeight="1">
      <c r="A140" s="4" t="str">
        <f t="shared" si="1"/>
        <v>LFW-GRANMAXFY</v>
      </c>
      <c r="B140" s="29" t="s">
        <v>274</v>
      </c>
      <c r="C140" s="28" t="s">
        <v>275</v>
      </c>
      <c r="D140" s="28" t="s">
        <v>22</v>
      </c>
      <c r="E140" s="4" t="s">
        <v>111</v>
      </c>
      <c r="F140" s="28" t="s">
        <v>97</v>
      </c>
      <c r="G140" s="4">
        <f>SUMIFS(X!$F$5:$F$2005,X!$D$5:$D$2005,'Current Stock'!A140)</f>
        <v>0</v>
      </c>
      <c r="H140" s="4">
        <f>SUMIFS(PENJUALAN!$E$4:$E$11000,PENJUALAN!$C$4:$C$11000,'Current Stock'!A140)</f>
        <v>0</v>
      </c>
      <c r="I140" s="16">
        <f t="shared" si="2"/>
        <v>0</v>
      </c>
      <c r="J140" s="4"/>
      <c r="K140" s="4"/>
      <c r="L140" s="4"/>
      <c r="M140" s="4"/>
    </row>
    <row r="141" ht="13.5" customHeight="1">
      <c r="A141" s="4" t="str">
        <f t="shared" si="1"/>
        <v>TRW-SIRION1FY</v>
      </c>
      <c r="B141" s="29" t="s">
        <v>276</v>
      </c>
      <c r="C141" s="28" t="s">
        <v>277</v>
      </c>
      <c r="D141" s="28" t="s">
        <v>41</v>
      </c>
      <c r="E141" s="4" t="s">
        <v>111</v>
      </c>
      <c r="F141" s="28" t="s">
        <v>67</v>
      </c>
      <c r="G141" s="4">
        <f>SUMIFS(X!$F$5:$F$2005,X!$D$5:$D$2005,'Current Stock'!A141)</f>
        <v>0</v>
      </c>
      <c r="H141" s="4">
        <f>SUMIFS(PENJUALAN!$E$4:$E$11000,PENJUALAN!$C$4:$C$11000,'Current Stock'!A141)</f>
        <v>0</v>
      </c>
      <c r="I141" s="16">
        <f t="shared" si="2"/>
        <v>0</v>
      </c>
      <c r="J141" s="4"/>
      <c r="K141" s="4"/>
      <c r="L141" s="4"/>
      <c r="M141" s="4"/>
    </row>
    <row r="142" ht="13.5" customHeight="1">
      <c r="A142" s="4" t="str">
        <f t="shared" si="1"/>
        <v>LFW-YRVFY</v>
      </c>
      <c r="B142" s="29" t="s">
        <v>278</v>
      </c>
      <c r="C142" s="28" t="s">
        <v>279</v>
      </c>
      <c r="D142" s="28" t="s">
        <v>22</v>
      </c>
      <c r="E142" s="4" t="s">
        <v>111</v>
      </c>
      <c r="F142" s="28" t="s">
        <v>97</v>
      </c>
      <c r="G142" s="4">
        <f>SUMIFS(X!$F$5:$F$2005,X!$D$5:$D$2005,'Current Stock'!A142)</f>
        <v>0</v>
      </c>
      <c r="H142" s="4">
        <f>SUMIFS(PENJUALAN!$E$4:$E$11000,PENJUALAN!$C$4:$C$11000,'Current Stock'!A142)</f>
        <v>0</v>
      </c>
      <c r="I142" s="16">
        <f t="shared" si="2"/>
        <v>0</v>
      </c>
      <c r="J142" s="4"/>
      <c r="K142" s="4"/>
      <c r="L142" s="4"/>
      <c r="M142" s="4"/>
    </row>
    <row r="143" ht="13.5" customHeight="1">
      <c r="A143" s="4" t="str">
        <f t="shared" si="1"/>
        <v>LFW-DODGEFY</v>
      </c>
      <c r="B143" s="29" t="s">
        <v>280</v>
      </c>
      <c r="C143" s="28" t="s">
        <v>281</v>
      </c>
      <c r="D143" s="28" t="s">
        <v>22</v>
      </c>
      <c r="E143" s="4" t="s">
        <v>111</v>
      </c>
      <c r="F143" s="28" t="s">
        <v>125</v>
      </c>
      <c r="G143" s="4">
        <f>SUMIFS(X!$F$5:$F$2005,X!$D$5:$D$2005,'Current Stock'!A143)</f>
        <v>0</v>
      </c>
      <c r="H143" s="4">
        <f>SUMIFS(PENJUALAN!$E$4:$E$11000,PENJUALAN!$C$4:$C$11000,'Current Stock'!A143)</f>
        <v>0</v>
      </c>
      <c r="I143" s="16">
        <f t="shared" si="2"/>
        <v>0</v>
      </c>
      <c r="J143" s="4"/>
      <c r="K143" s="4"/>
      <c r="L143" s="4"/>
      <c r="M143" s="4"/>
    </row>
    <row r="144" ht="13.5" customHeight="1">
      <c r="A144" s="4" t="str">
        <f t="shared" si="1"/>
        <v>TRW-DODGEFY</v>
      </c>
      <c r="B144" s="29" t="s">
        <v>282</v>
      </c>
      <c r="C144" s="28" t="s">
        <v>281</v>
      </c>
      <c r="D144" s="28" t="s">
        <v>41</v>
      </c>
      <c r="E144" s="4" t="s">
        <v>111</v>
      </c>
      <c r="F144" s="28" t="s">
        <v>67</v>
      </c>
      <c r="G144" s="4">
        <f>SUMIFS(X!$F$5:$F$2005,X!$D$5:$D$2005,'Current Stock'!A144)</f>
        <v>0</v>
      </c>
      <c r="H144" s="4">
        <f>SUMIFS(PENJUALAN!$E$4:$E$11000,PENJUALAN!$C$4:$C$11000,'Current Stock'!A144)</f>
        <v>0</v>
      </c>
      <c r="I144" s="16">
        <f t="shared" si="2"/>
        <v>0</v>
      </c>
      <c r="J144" s="4"/>
      <c r="K144" s="4"/>
      <c r="L144" s="4"/>
      <c r="M144" s="4"/>
    </row>
    <row r="145" ht="13.5" customHeight="1">
      <c r="A145" s="4" t="str">
        <f t="shared" si="1"/>
        <v>LFW-ECOSPORTFY</v>
      </c>
      <c r="B145" s="29" t="s">
        <v>283</v>
      </c>
      <c r="C145" s="28" t="s">
        <v>284</v>
      </c>
      <c r="D145" s="28" t="s">
        <v>22</v>
      </c>
      <c r="E145" s="4" t="s">
        <v>111</v>
      </c>
      <c r="F145" s="28" t="s">
        <v>125</v>
      </c>
      <c r="G145" s="4">
        <f>SUMIFS(X!$F$5:$F$2005,X!$D$5:$D$2005,'Current Stock'!A145)</f>
        <v>0</v>
      </c>
      <c r="H145" s="4">
        <f>SUMIFS(PENJUALAN!$E$4:$E$11000,PENJUALAN!$C$4:$C$11000,'Current Stock'!A145)</f>
        <v>0</v>
      </c>
      <c r="I145" s="16">
        <f t="shared" si="2"/>
        <v>0</v>
      </c>
      <c r="J145" s="4"/>
      <c r="K145" s="4"/>
      <c r="L145" s="4"/>
      <c r="M145" s="4"/>
    </row>
    <row r="146" ht="13.5" customHeight="1">
      <c r="A146" s="4" t="str">
        <f t="shared" si="1"/>
        <v>LFW-ECOSPORTRSFY</v>
      </c>
      <c r="B146" s="29" t="s">
        <v>285</v>
      </c>
      <c r="C146" s="28" t="s">
        <v>284</v>
      </c>
      <c r="D146" s="28" t="s">
        <v>22</v>
      </c>
      <c r="E146" s="4" t="s">
        <v>111</v>
      </c>
      <c r="F146" s="28" t="s">
        <v>75</v>
      </c>
      <c r="G146" s="4">
        <f>SUMIFS(X!$F$5:$F$2005,X!$D$5:$D$2005,'Current Stock'!A146)</f>
        <v>0</v>
      </c>
      <c r="H146" s="4">
        <f>SUMIFS(PENJUALAN!$E$4:$E$11000,PENJUALAN!$C$4:$C$11000,'Current Stock'!A146)</f>
        <v>0</v>
      </c>
      <c r="I146" s="16">
        <f t="shared" si="2"/>
        <v>0</v>
      </c>
      <c r="J146" s="4"/>
      <c r="K146" s="4"/>
      <c r="L146" s="4"/>
      <c r="M146" s="4"/>
    </row>
    <row r="147" ht="13.5" customHeight="1">
      <c r="A147" s="4" t="str">
        <f t="shared" si="1"/>
        <v>TRW-ECOSPORTFY</v>
      </c>
      <c r="B147" s="29" t="s">
        <v>286</v>
      </c>
      <c r="C147" s="28" t="s">
        <v>284</v>
      </c>
      <c r="D147" s="28" t="s">
        <v>41</v>
      </c>
      <c r="E147" s="4" t="s">
        <v>111</v>
      </c>
      <c r="F147" s="28" t="s">
        <v>221</v>
      </c>
      <c r="G147" s="4">
        <f>SUMIFS(X!$F$5:$F$2005,X!$D$5:$D$2005,'Current Stock'!A147)</f>
        <v>0</v>
      </c>
      <c r="H147" s="4">
        <f>SUMIFS(PENJUALAN!$E$4:$E$11000,PENJUALAN!$C$4:$C$11000,'Current Stock'!A147)</f>
        <v>0</v>
      </c>
      <c r="I147" s="16">
        <f t="shared" si="2"/>
        <v>0</v>
      </c>
      <c r="J147" s="4"/>
      <c r="K147" s="4"/>
      <c r="L147" s="4"/>
      <c r="M147" s="4"/>
    </row>
    <row r="148" ht="13.5" customHeight="1">
      <c r="A148" s="4" t="str">
        <f t="shared" si="1"/>
        <v>FDL-ECOSPORTFY</v>
      </c>
      <c r="B148" s="29" t="s">
        <v>287</v>
      </c>
      <c r="C148" s="28" t="s">
        <v>284</v>
      </c>
      <c r="D148" s="28" t="s">
        <v>128</v>
      </c>
      <c r="E148" s="4" t="s">
        <v>111</v>
      </c>
      <c r="F148" s="28"/>
      <c r="G148" s="4">
        <f>SUMIFS(X!$F$5:$F$2005,X!$D$5:$D$2005,'Current Stock'!A148)</f>
        <v>0</v>
      </c>
      <c r="H148" s="4">
        <f>SUMIFS(PENJUALAN!$E$4:$E$11000,PENJUALAN!$C$4:$C$11000,'Current Stock'!A148)</f>
        <v>0</v>
      </c>
      <c r="I148" s="16">
        <f t="shared" si="2"/>
        <v>0</v>
      </c>
      <c r="J148" s="4"/>
      <c r="K148" s="4"/>
      <c r="L148" s="4"/>
      <c r="M148" s="4"/>
    </row>
    <row r="149" ht="13.5" customHeight="1">
      <c r="A149" s="4" t="str">
        <f t="shared" si="1"/>
        <v>FDR-ECOSPORTFY</v>
      </c>
      <c r="B149" s="29" t="s">
        <v>288</v>
      </c>
      <c r="C149" s="28" t="s">
        <v>284</v>
      </c>
      <c r="D149" s="28" t="s">
        <v>130</v>
      </c>
      <c r="E149" s="4" t="s">
        <v>111</v>
      </c>
      <c r="F149" s="28"/>
      <c r="G149" s="4">
        <f>SUMIFS(X!$F$5:$F$2005,X!$D$5:$D$2005,'Current Stock'!A149)</f>
        <v>0</v>
      </c>
      <c r="H149" s="4">
        <f>SUMIFS(PENJUALAN!$E$4:$E$11000,PENJUALAN!$C$4:$C$11000,'Current Stock'!A149)</f>
        <v>0</v>
      </c>
      <c r="I149" s="16">
        <f t="shared" si="2"/>
        <v>0</v>
      </c>
      <c r="J149" s="4"/>
      <c r="K149" s="4"/>
      <c r="L149" s="4"/>
      <c r="M149" s="4"/>
    </row>
    <row r="150" ht="13.5" customHeight="1">
      <c r="A150" s="4" t="str">
        <f t="shared" si="1"/>
        <v>RDL-ECOSPORTFY</v>
      </c>
      <c r="B150" s="29" t="s">
        <v>289</v>
      </c>
      <c r="C150" s="28" t="s">
        <v>284</v>
      </c>
      <c r="D150" s="28" t="s">
        <v>132</v>
      </c>
      <c r="E150" s="4" t="s">
        <v>111</v>
      </c>
      <c r="F150" s="28" t="s">
        <v>144</v>
      </c>
      <c r="G150" s="4">
        <f>SUMIFS(X!$F$5:$F$2005,X!$D$5:$D$2005,'Current Stock'!A150)</f>
        <v>0</v>
      </c>
      <c r="H150" s="4">
        <f>SUMIFS(PENJUALAN!$E$4:$E$11000,PENJUALAN!$C$4:$C$11000,'Current Stock'!A150)</f>
        <v>0</v>
      </c>
      <c r="I150" s="16">
        <f t="shared" si="2"/>
        <v>0</v>
      </c>
      <c r="J150" s="4"/>
      <c r="K150" s="4"/>
      <c r="L150" s="4"/>
      <c r="M150" s="4"/>
    </row>
    <row r="151" ht="13.5" customHeight="1">
      <c r="A151" s="4" t="str">
        <f t="shared" si="1"/>
        <v>RDR-ECOSPORTFY</v>
      </c>
      <c r="B151" s="29" t="s">
        <v>290</v>
      </c>
      <c r="C151" s="28" t="s">
        <v>284</v>
      </c>
      <c r="D151" s="28" t="s">
        <v>134</v>
      </c>
      <c r="E151" s="4" t="s">
        <v>111</v>
      </c>
      <c r="F151" s="28" t="s">
        <v>144</v>
      </c>
      <c r="G151" s="4">
        <f>SUMIFS(X!$F$5:$F$2005,X!$D$5:$D$2005,'Current Stock'!A151)</f>
        <v>0</v>
      </c>
      <c r="H151" s="4">
        <f>SUMIFS(PENJUALAN!$E$4:$E$11000,PENJUALAN!$C$4:$C$11000,'Current Stock'!A151)</f>
        <v>0</v>
      </c>
      <c r="I151" s="16">
        <f t="shared" si="2"/>
        <v>0</v>
      </c>
      <c r="J151" s="4"/>
      <c r="K151" s="4"/>
      <c r="L151" s="4"/>
      <c r="M151" s="4"/>
    </row>
    <row r="152" ht="13.5" customHeight="1">
      <c r="A152" s="4" t="str">
        <f t="shared" si="1"/>
        <v>LFW-ESCAPEFY</v>
      </c>
      <c r="B152" s="29" t="s">
        <v>291</v>
      </c>
      <c r="C152" s="28" t="s">
        <v>292</v>
      </c>
      <c r="D152" s="28" t="s">
        <v>22</v>
      </c>
      <c r="E152" s="4" t="s">
        <v>111</v>
      </c>
      <c r="F152" s="28" t="s">
        <v>125</v>
      </c>
      <c r="G152" s="4">
        <f>SUMIFS(X!$F$5:$F$2005,X!$D$5:$D$2005,'Current Stock'!A152)</f>
        <v>0</v>
      </c>
      <c r="H152" s="4">
        <f>SUMIFS(PENJUALAN!$E$4:$E$11000,PENJUALAN!$C$4:$C$11000,'Current Stock'!A152)</f>
        <v>0</v>
      </c>
      <c r="I152" s="16">
        <f t="shared" si="2"/>
        <v>0</v>
      </c>
      <c r="J152" s="4"/>
      <c r="K152" s="4"/>
      <c r="L152" s="4"/>
      <c r="M152" s="4"/>
    </row>
    <row r="153" ht="13.5" customHeight="1">
      <c r="A153" s="4" t="str">
        <f t="shared" si="1"/>
        <v>TRW-ESCAPEFY</v>
      </c>
      <c r="B153" s="29" t="s">
        <v>293</v>
      </c>
      <c r="C153" s="28" t="s">
        <v>292</v>
      </c>
      <c r="D153" s="28" t="s">
        <v>41</v>
      </c>
      <c r="E153" s="4" t="s">
        <v>111</v>
      </c>
      <c r="F153" s="28" t="s">
        <v>227</v>
      </c>
      <c r="G153" s="4">
        <f>SUMIFS(X!$F$5:$F$2005,X!$D$5:$D$2005,'Current Stock'!A153)</f>
        <v>0</v>
      </c>
      <c r="H153" s="4">
        <f>SUMIFS(PENJUALAN!$E$4:$E$11000,PENJUALAN!$C$4:$C$11000,'Current Stock'!A153)</f>
        <v>0</v>
      </c>
      <c r="I153" s="16">
        <f t="shared" si="2"/>
        <v>0</v>
      </c>
      <c r="J153" s="4"/>
      <c r="K153" s="4"/>
      <c r="L153" s="4"/>
      <c r="M153" s="4"/>
    </row>
    <row r="154" ht="13.5" customHeight="1">
      <c r="A154" s="4" t="str">
        <f t="shared" si="1"/>
        <v>LFW-RANGER04FY</v>
      </c>
      <c r="B154" s="29" t="s">
        <v>294</v>
      </c>
      <c r="C154" s="28" t="s">
        <v>295</v>
      </c>
      <c r="D154" s="28" t="s">
        <v>22</v>
      </c>
      <c r="E154" s="4" t="s">
        <v>111</v>
      </c>
      <c r="F154" s="28" t="s">
        <v>97</v>
      </c>
      <c r="G154" s="4">
        <f>SUMIFS(X!$F$5:$F$2005,X!$D$5:$D$2005,'Current Stock'!A154)</f>
        <v>0</v>
      </c>
      <c r="H154" s="4">
        <f>SUMIFS(PENJUALAN!$E$4:$E$11000,PENJUALAN!$C$4:$C$11000,'Current Stock'!A154)</f>
        <v>0</v>
      </c>
      <c r="I154" s="16">
        <f t="shared" si="2"/>
        <v>0</v>
      </c>
      <c r="J154" s="4"/>
      <c r="K154" s="4"/>
      <c r="L154" s="4"/>
      <c r="M154" s="4"/>
    </row>
    <row r="155" ht="13.5" customHeight="1">
      <c r="A155" s="4" t="str">
        <f t="shared" si="1"/>
        <v>TRW-EVERESTFY</v>
      </c>
      <c r="B155" s="29" t="s">
        <v>296</v>
      </c>
      <c r="C155" s="28" t="s">
        <v>297</v>
      </c>
      <c r="D155" s="28" t="s">
        <v>41</v>
      </c>
      <c r="E155" s="4" t="s">
        <v>111</v>
      </c>
      <c r="F155" s="28" t="s">
        <v>67</v>
      </c>
      <c r="G155" s="4">
        <f>SUMIFS(X!$F$5:$F$2005,X!$D$5:$D$2005,'Current Stock'!A155)</f>
        <v>0</v>
      </c>
      <c r="H155" s="4">
        <f>SUMIFS(PENJUALAN!$E$4:$E$11000,PENJUALAN!$C$4:$C$11000,'Current Stock'!A155)</f>
        <v>0</v>
      </c>
      <c r="I155" s="16">
        <f t="shared" si="2"/>
        <v>0</v>
      </c>
      <c r="J155" s="4"/>
      <c r="K155" s="4"/>
      <c r="L155" s="4"/>
      <c r="M155" s="4"/>
    </row>
    <row r="156" ht="13.5" customHeight="1">
      <c r="A156" s="4" t="str">
        <f t="shared" si="1"/>
        <v>LFW-FIESTAFY</v>
      </c>
      <c r="B156" s="29" t="s">
        <v>298</v>
      </c>
      <c r="C156" s="28" t="s">
        <v>299</v>
      </c>
      <c r="D156" s="28" t="s">
        <v>22</v>
      </c>
      <c r="E156" s="4" t="s">
        <v>111</v>
      </c>
      <c r="F156" s="28" t="s">
        <v>125</v>
      </c>
      <c r="G156" s="4">
        <f>SUMIFS(X!$F$5:$F$2005,X!$D$5:$D$2005,'Current Stock'!A156)</f>
        <v>0</v>
      </c>
      <c r="H156" s="4">
        <f>SUMIFS(PENJUALAN!$E$4:$E$11000,PENJUALAN!$C$4:$C$11000,'Current Stock'!A156)</f>
        <v>0</v>
      </c>
      <c r="I156" s="16">
        <f t="shared" si="2"/>
        <v>0</v>
      </c>
      <c r="J156" s="4"/>
      <c r="K156" s="4"/>
      <c r="L156" s="4"/>
      <c r="M156" s="4"/>
    </row>
    <row r="157" ht="13.5" customHeight="1">
      <c r="A157" s="4" t="str">
        <f t="shared" si="1"/>
        <v>TRW-FIESTAFY</v>
      </c>
      <c r="B157" s="29" t="s">
        <v>300</v>
      </c>
      <c r="C157" s="28" t="s">
        <v>299</v>
      </c>
      <c r="D157" s="28" t="s">
        <v>41</v>
      </c>
      <c r="E157" s="4" t="s">
        <v>111</v>
      </c>
      <c r="F157" s="28" t="s">
        <v>67</v>
      </c>
      <c r="G157" s="4">
        <f>SUMIFS(X!$F$5:$F$2005,X!$D$5:$D$2005,'Current Stock'!A157)</f>
        <v>0</v>
      </c>
      <c r="H157" s="4">
        <f>SUMIFS(PENJUALAN!$E$4:$E$11000,PENJUALAN!$C$4:$C$11000,'Current Stock'!A157)</f>
        <v>0</v>
      </c>
      <c r="I157" s="16">
        <f t="shared" si="2"/>
        <v>0</v>
      </c>
      <c r="J157" s="4"/>
      <c r="K157" s="4"/>
      <c r="L157" s="4"/>
      <c r="M157" s="4"/>
    </row>
    <row r="158" ht="13.5" customHeight="1">
      <c r="A158" s="4" t="str">
        <f t="shared" si="1"/>
        <v>FDL-FIESTAFY</v>
      </c>
      <c r="B158" s="29" t="s">
        <v>301</v>
      </c>
      <c r="C158" s="28" t="s">
        <v>299</v>
      </c>
      <c r="D158" s="28" t="s">
        <v>128</v>
      </c>
      <c r="E158" s="4" t="s">
        <v>111</v>
      </c>
      <c r="F158" s="28" t="s">
        <v>144</v>
      </c>
      <c r="G158" s="4">
        <f>SUMIFS(X!$F$5:$F$2005,X!$D$5:$D$2005,'Current Stock'!A158)</f>
        <v>0</v>
      </c>
      <c r="H158" s="4">
        <f>SUMIFS(PENJUALAN!$E$4:$E$11000,PENJUALAN!$C$4:$C$11000,'Current Stock'!A158)</f>
        <v>0</v>
      </c>
      <c r="I158" s="16">
        <f t="shared" si="2"/>
        <v>0</v>
      </c>
      <c r="J158" s="4"/>
      <c r="K158" s="4"/>
      <c r="L158" s="4"/>
      <c r="M158" s="4"/>
    </row>
    <row r="159" ht="13.5" customHeight="1">
      <c r="A159" s="4" t="str">
        <f t="shared" si="1"/>
        <v>FDR-FIESTAFY</v>
      </c>
      <c r="B159" s="29" t="s">
        <v>302</v>
      </c>
      <c r="C159" s="28" t="s">
        <v>299</v>
      </c>
      <c r="D159" s="28" t="s">
        <v>130</v>
      </c>
      <c r="E159" s="4" t="s">
        <v>111</v>
      </c>
      <c r="F159" s="28" t="s">
        <v>144</v>
      </c>
      <c r="G159" s="4">
        <f>SUMIFS(X!$F$5:$F$2005,X!$D$5:$D$2005,'Current Stock'!A159)</f>
        <v>0</v>
      </c>
      <c r="H159" s="4">
        <f>SUMIFS(PENJUALAN!$E$4:$E$11000,PENJUALAN!$C$4:$C$11000,'Current Stock'!A159)</f>
        <v>0</v>
      </c>
      <c r="I159" s="16">
        <f t="shared" si="2"/>
        <v>0</v>
      </c>
      <c r="J159" s="4"/>
      <c r="K159" s="4"/>
      <c r="L159" s="4"/>
      <c r="M159" s="4"/>
    </row>
    <row r="160" ht="13.5" customHeight="1">
      <c r="A160" s="4" t="str">
        <f t="shared" si="1"/>
        <v>RDL-FIESTAFY</v>
      </c>
      <c r="B160" s="29" t="s">
        <v>303</v>
      </c>
      <c r="C160" s="28" t="s">
        <v>299</v>
      </c>
      <c r="D160" s="28" t="s">
        <v>132</v>
      </c>
      <c r="E160" s="4" t="s">
        <v>111</v>
      </c>
      <c r="F160" s="28"/>
      <c r="G160" s="4">
        <f>SUMIFS(X!$F$5:$F$2005,X!$D$5:$D$2005,'Current Stock'!A160)</f>
        <v>0</v>
      </c>
      <c r="H160" s="4">
        <f>SUMIFS(PENJUALAN!$E$4:$E$11000,PENJUALAN!$C$4:$C$11000,'Current Stock'!A160)</f>
        <v>0</v>
      </c>
      <c r="I160" s="16">
        <f t="shared" si="2"/>
        <v>0</v>
      </c>
      <c r="J160" s="4"/>
      <c r="K160" s="4"/>
      <c r="L160" s="4"/>
      <c r="M160" s="4"/>
    </row>
    <row r="161" ht="13.5" customHeight="1">
      <c r="A161" s="4" t="str">
        <f t="shared" si="1"/>
        <v>RDR-FIESTAFY</v>
      </c>
      <c r="B161" s="29" t="s">
        <v>304</v>
      </c>
      <c r="C161" s="28" t="s">
        <v>299</v>
      </c>
      <c r="D161" s="28" t="s">
        <v>134</v>
      </c>
      <c r="E161" s="4" t="s">
        <v>111</v>
      </c>
      <c r="F161" s="28"/>
      <c r="G161" s="4">
        <f>SUMIFS(X!$F$5:$F$2005,X!$D$5:$D$2005,'Current Stock'!A161)</f>
        <v>0</v>
      </c>
      <c r="H161" s="4">
        <f>SUMIFS(PENJUALAN!$E$4:$E$11000,PENJUALAN!$C$4:$C$11000,'Current Stock'!A161)</f>
        <v>0</v>
      </c>
      <c r="I161" s="16">
        <f t="shared" si="2"/>
        <v>0</v>
      </c>
      <c r="J161" s="4"/>
      <c r="K161" s="4"/>
      <c r="L161" s="4"/>
      <c r="M161" s="4"/>
    </row>
    <row r="162" ht="13.5" customHeight="1">
      <c r="A162" s="4" t="str">
        <f t="shared" si="1"/>
        <v>LFW-FIESTARSBULATFY</v>
      </c>
      <c r="B162" s="29" t="s">
        <v>305</v>
      </c>
      <c r="C162" s="28" t="s">
        <v>306</v>
      </c>
      <c r="D162" s="28" t="s">
        <v>22</v>
      </c>
      <c r="E162" s="4" t="s">
        <v>111</v>
      </c>
      <c r="F162" s="28" t="s">
        <v>23</v>
      </c>
      <c r="G162" s="4">
        <f>SUMIFS(X!$F$5:$F$2005,X!$D$5:$D$2005,'Current Stock'!A162)</f>
        <v>0</v>
      </c>
      <c r="H162" s="4">
        <f>SUMIFS(PENJUALAN!$E$4:$E$11000,PENJUALAN!$C$4:$C$11000,'Current Stock'!A162)</f>
        <v>0</v>
      </c>
      <c r="I162" s="16">
        <f t="shared" si="2"/>
        <v>0</v>
      </c>
      <c r="J162" s="4"/>
      <c r="K162" s="4"/>
      <c r="L162" s="4"/>
      <c r="M162" s="4"/>
    </row>
    <row r="163" ht="13.5" customHeight="1">
      <c r="A163" s="4" t="str">
        <f t="shared" si="1"/>
        <v>LFW-FIESTARSKOTAKFY</v>
      </c>
      <c r="B163" s="29" t="s">
        <v>307</v>
      </c>
      <c r="C163" s="28" t="s">
        <v>308</v>
      </c>
      <c r="D163" s="28" t="s">
        <v>22</v>
      </c>
      <c r="E163" s="4" t="s">
        <v>111</v>
      </c>
      <c r="F163" s="28" t="s">
        <v>75</v>
      </c>
      <c r="G163" s="4">
        <f>SUMIFS(X!$F$5:$F$2005,X!$D$5:$D$2005,'Current Stock'!A163)</f>
        <v>0</v>
      </c>
      <c r="H163" s="4">
        <f>SUMIFS(PENJUALAN!$E$4:$E$11000,PENJUALAN!$C$4:$C$11000,'Current Stock'!A163)</f>
        <v>0</v>
      </c>
      <c r="I163" s="16">
        <f t="shared" si="2"/>
        <v>0</v>
      </c>
      <c r="J163" s="4"/>
      <c r="K163" s="4"/>
      <c r="L163" s="4"/>
      <c r="M163" s="4"/>
    </row>
    <row r="164" ht="13.5" customHeight="1">
      <c r="A164" s="4" t="str">
        <f t="shared" si="1"/>
        <v>LFW-FOCUS04FY</v>
      </c>
      <c r="B164" s="29" t="s">
        <v>309</v>
      </c>
      <c r="C164" s="28" t="s">
        <v>310</v>
      </c>
      <c r="D164" s="28" t="s">
        <v>22</v>
      </c>
      <c r="E164" s="4" t="s">
        <v>111</v>
      </c>
      <c r="F164" s="28" t="s">
        <v>125</v>
      </c>
      <c r="G164" s="4">
        <f>SUMIFS(X!$F$5:$F$2005,X!$D$5:$D$2005,'Current Stock'!A164)</f>
        <v>0</v>
      </c>
      <c r="H164" s="4">
        <f>SUMIFS(PENJUALAN!$E$4:$E$11000,PENJUALAN!$C$4:$C$11000,'Current Stock'!A164)</f>
        <v>0</v>
      </c>
      <c r="I164" s="16">
        <f t="shared" si="2"/>
        <v>0</v>
      </c>
      <c r="J164" s="4"/>
      <c r="K164" s="4"/>
      <c r="L164" s="4"/>
      <c r="M164" s="4"/>
    </row>
    <row r="165" ht="13.5" customHeight="1">
      <c r="A165" s="4" t="str">
        <f t="shared" si="1"/>
        <v>TRW-FOCUS04FY</v>
      </c>
      <c r="B165" s="29" t="s">
        <v>311</v>
      </c>
      <c r="C165" s="28" t="s">
        <v>312</v>
      </c>
      <c r="D165" s="28" t="s">
        <v>41</v>
      </c>
      <c r="E165" s="4" t="s">
        <v>111</v>
      </c>
      <c r="F165" s="28" t="s">
        <v>221</v>
      </c>
      <c r="G165" s="4">
        <f>SUMIFS(X!$F$5:$F$2005,X!$D$5:$D$2005,'Current Stock'!A165)</f>
        <v>0</v>
      </c>
      <c r="H165" s="4">
        <f>SUMIFS(PENJUALAN!$E$4:$E$11000,PENJUALAN!$C$4:$C$11000,'Current Stock'!A165)</f>
        <v>0</v>
      </c>
      <c r="I165" s="16">
        <f t="shared" si="2"/>
        <v>0</v>
      </c>
      <c r="J165" s="4"/>
      <c r="K165" s="4"/>
      <c r="L165" s="4"/>
      <c r="M165" s="4"/>
    </row>
    <row r="166" ht="13.5" customHeight="1">
      <c r="A166" s="4" t="str">
        <f t="shared" si="1"/>
        <v>LFW-FOCUS11FY</v>
      </c>
      <c r="B166" s="29" t="s">
        <v>313</v>
      </c>
      <c r="C166" s="28" t="s">
        <v>314</v>
      </c>
      <c r="D166" s="28" t="s">
        <v>22</v>
      </c>
      <c r="E166" s="4" t="s">
        <v>111</v>
      </c>
      <c r="F166" s="28" t="s">
        <v>23</v>
      </c>
      <c r="G166" s="4">
        <f>SUMIFS(X!$F$5:$F$2005,X!$D$5:$D$2005,'Current Stock'!A166)</f>
        <v>0</v>
      </c>
      <c r="H166" s="4">
        <f>SUMIFS(PENJUALAN!$E$4:$E$11000,PENJUALAN!$C$4:$C$11000,'Current Stock'!A166)</f>
        <v>0</v>
      </c>
      <c r="I166" s="16">
        <f t="shared" si="2"/>
        <v>0</v>
      </c>
      <c r="J166" s="4"/>
      <c r="K166" s="4"/>
      <c r="L166" s="4"/>
      <c r="M166" s="4"/>
    </row>
    <row r="167" ht="13.5" customHeight="1">
      <c r="A167" s="4" t="str">
        <f t="shared" si="1"/>
        <v>TRW-FOCUS11FY</v>
      </c>
      <c r="B167" s="29" t="s">
        <v>315</v>
      </c>
      <c r="C167" s="28" t="s">
        <v>316</v>
      </c>
      <c r="D167" s="28" t="s">
        <v>41</v>
      </c>
      <c r="E167" s="4" t="s">
        <v>111</v>
      </c>
      <c r="F167" s="28" t="s">
        <v>221</v>
      </c>
      <c r="G167" s="4">
        <f>SUMIFS(X!$F$5:$F$2005,X!$D$5:$D$2005,'Current Stock'!A167)</f>
        <v>0</v>
      </c>
      <c r="H167" s="4">
        <f>SUMIFS(PENJUALAN!$E$4:$E$11000,PENJUALAN!$C$4:$C$11000,'Current Stock'!A167)</f>
        <v>0</v>
      </c>
      <c r="I167" s="16">
        <f t="shared" si="2"/>
        <v>0</v>
      </c>
      <c r="J167" s="4"/>
      <c r="K167" s="4"/>
      <c r="L167" s="4"/>
      <c r="M167" s="4"/>
    </row>
    <row r="168" ht="13.5" customHeight="1">
      <c r="A168" s="4" t="str">
        <f t="shared" si="1"/>
        <v>LFW-RANGER11RSFY</v>
      </c>
      <c r="B168" s="29" t="s">
        <v>317</v>
      </c>
      <c r="C168" s="28" t="s">
        <v>318</v>
      </c>
      <c r="D168" s="28" t="s">
        <v>22</v>
      </c>
      <c r="E168" s="4" t="s">
        <v>111</v>
      </c>
      <c r="F168" s="28" t="s">
        <v>75</v>
      </c>
      <c r="G168" s="4">
        <f>SUMIFS(X!$F$5:$F$2005,X!$D$5:$D$2005,'Current Stock'!A168)</f>
        <v>0</v>
      </c>
      <c r="H168" s="4">
        <f>SUMIFS(PENJUALAN!$E$4:$E$11000,PENJUALAN!$C$4:$C$11000,'Current Stock'!A168)</f>
        <v>0</v>
      </c>
      <c r="I168" s="16">
        <f t="shared" si="2"/>
        <v>0</v>
      </c>
      <c r="J168" s="4"/>
      <c r="K168" s="4"/>
      <c r="L168" s="4"/>
      <c r="M168" s="4"/>
    </row>
    <row r="169" ht="13.5" customHeight="1">
      <c r="A169" s="4" t="str">
        <f t="shared" si="1"/>
        <v>LFW-EMGRANDFY</v>
      </c>
      <c r="B169" s="29" t="s">
        <v>319</v>
      </c>
      <c r="C169" s="28" t="s">
        <v>320</v>
      </c>
      <c r="D169" s="28" t="s">
        <v>22</v>
      </c>
      <c r="E169" s="4" t="s">
        <v>111</v>
      </c>
      <c r="F169" s="28" t="s">
        <v>125</v>
      </c>
      <c r="G169" s="4">
        <f>SUMIFS(X!$F$5:$F$2005,X!$D$5:$D$2005,'Current Stock'!A169)</f>
        <v>0</v>
      </c>
      <c r="H169" s="4">
        <f>SUMIFS(PENJUALAN!$E$4:$E$11000,PENJUALAN!$C$4:$C$11000,'Current Stock'!A169)</f>
        <v>0</v>
      </c>
      <c r="I169" s="16">
        <f t="shared" si="2"/>
        <v>0</v>
      </c>
      <c r="J169" s="4"/>
      <c r="K169" s="4"/>
      <c r="L169" s="4"/>
      <c r="M169" s="4"/>
    </row>
    <row r="170" ht="13.5" customHeight="1">
      <c r="A170" s="4" t="str">
        <f t="shared" si="1"/>
        <v>LFW-PANDAFY</v>
      </c>
      <c r="B170" s="29" t="s">
        <v>321</v>
      </c>
      <c r="C170" s="28" t="s">
        <v>322</v>
      </c>
      <c r="D170" s="28" t="s">
        <v>22</v>
      </c>
      <c r="E170" s="4" t="s">
        <v>111</v>
      </c>
      <c r="F170" s="28" t="s">
        <v>125</v>
      </c>
      <c r="G170" s="4">
        <f>SUMIFS(X!$F$5:$F$2005,X!$D$5:$D$2005,'Current Stock'!A170)</f>
        <v>0</v>
      </c>
      <c r="H170" s="4">
        <f>SUMIFS(PENJUALAN!$E$4:$E$11000,PENJUALAN!$C$4:$C$11000,'Current Stock'!A170)</f>
        <v>0</v>
      </c>
      <c r="I170" s="16">
        <f t="shared" si="2"/>
        <v>0</v>
      </c>
      <c r="J170" s="4"/>
      <c r="K170" s="4"/>
      <c r="L170" s="4"/>
      <c r="M170" s="4"/>
    </row>
    <row r="171" ht="13.5" customHeight="1">
      <c r="A171" s="4" t="str">
        <f t="shared" si="1"/>
        <v>LFW-ACCORD86FY</v>
      </c>
      <c r="B171" s="29" t="s">
        <v>323</v>
      </c>
      <c r="C171" s="28" t="s">
        <v>324</v>
      </c>
      <c r="D171" s="28" t="s">
        <v>22</v>
      </c>
      <c r="E171" s="4" t="s">
        <v>111</v>
      </c>
      <c r="F171" s="28" t="s">
        <v>97</v>
      </c>
      <c r="G171" s="4">
        <f>SUMIFS(X!$F$5:$F$2005,X!$D$5:$D$2005,'Current Stock'!A171)</f>
        <v>0</v>
      </c>
      <c r="H171" s="4">
        <f>SUMIFS(PENJUALAN!$E$4:$E$11000,PENJUALAN!$C$4:$C$11000,'Current Stock'!A171)</f>
        <v>0</v>
      </c>
      <c r="I171" s="16">
        <f t="shared" si="2"/>
        <v>0</v>
      </c>
      <c r="J171" s="4"/>
      <c r="K171" s="4"/>
      <c r="L171" s="4"/>
      <c r="M171" s="4"/>
    </row>
    <row r="172" ht="13.5" customHeight="1">
      <c r="A172" s="4" t="str">
        <f t="shared" si="1"/>
        <v>TRW-ACCORD86FY</v>
      </c>
      <c r="B172" s="29" t="s">
        <v>325</v>
      </c>
      <c r="C172" s="28" t="s">
        <v>324</v>
      </c>
      <c r="D172" s="28" t="s">
        <v>41</v>
      </c>
      <c r="E172" s="4" t="s">
        <v>111</v>
      </c>
      <c r="F172" s="28" t="s">
        <v>67</v>
      </c>
      <c r="G172" s="4">
        <f>SUMIFS(X!$F$5:$F$2005,X!$D$5:$D$2005,'Current Stock'!A172)</f>
        <v>0</v>
      </c>
      <c r="H172" s="4">
        <f>SUMIFS(PENJUALAN!$E$4:$E$11000,PENJUALAN!$C$4:$C$11000,'Current Stock'!A172)</f>
        <v>0</v>
      </c>
      <c r="I172" s="16">
        <f t="shared" si="2"/>
        <v>0</v>
      </c>
      <c r="J172" s="4"/>
      <c r="K172" s="4"/>
      <c r="L172" s="4"/>
      <c r="M172" s="4"/>
    </row>
    <row r="173" ht="13.5" customHeight="1">
      <c r="A173" s="4" t="str">
        <f t="shared" si="1"/>
        <v>FDL-ACCORD86FY</v>
      </c>
      <c r="B173" s="29" t="s">
        <v>326</v>
      </c>
      <c r="C173" s="28" t="s">
        <v>324</v>
      </c>
      <c r="D173" s="28" t="s">
        <v>128</v>
      </c>
      <c r="E173" s="4" t="s">
        <v>111</v>
      </c>
      <c r="F173" s="28"/>
      <c r="G173" s="4">
        <f>SUMIFS(X!$F$5:$F$2005,X!$D$5:$D$2005,'Current Stock'!A173)</f>
        <v>0</v>
      </c>
      <c r="H173" s="4">
        <f>SUMIFS(PENJUALAN!$E$4:$E$11000,PENJUALAN!$C$4:$C$11000,'Current Stock'!A173)</f>
        <v>0</v>
      </c>
      <c r="I173" s="16">
        <f t="shared" si="2"/>
        <v>0</v>
      </c>
      <c r="J173" s="4"/>
      <c r="K173" s="4"/>
      <c r="L173" s="4"/>
      <c r="M173" s="4"/>
    </row>
    <row r="174" ht="13.5" customHeight="1">
      <c r="A174" s="4" t="str">
        <f t="shared" si="1"/>
        <v>FDR-ACCORD86FY</v>
      </c>
      <c r="B174" s="29" t="s">
        <v>327</v>
      </c>
      <c r="C174" s="28" t="s">
        <v>324</v>
      </c>
      <c r="D174" s="28" t="s">
        <v>130</v>
      </c>
      <c r="E174" s="4" t="s">
        <v>111</v>
      </c>
      <c r="F174" s="28"/>
      <c r="G174" s="4">
        <f>SUMIFS(X!$F$5:$F$2005,X!$D$5:$D$2005,'Current Stock'!A174)</f>
        <v>0</v>
      </c>
      <c r="H174" s="4">
        <f>SUMIFS(PENJUALAN!$E$4:$E$11000,PENJUALAN!$C$4:$C$11000,'Current Stock'!A174)</f>
        <v>0</v>
      </c>
      <c r="I174" s="16">
        <f t="shared" si="2"/>
        <v>0</v>
      </c>
      <c r="J174" s="4"/>
      <c r="K174" s="4"/>
      <c r="L174" s="4"/>
      <c r="M174" s="4"/>
    </row>
    <row r="175" ht="13.5" customHeight="1">
      <c r="A175" s="4" t="str">
        <f t="shared" si="1"/>
        <v>RDL-ACCORD86FY</v>
      </c>
      <c r="B175" s="29" t="s">
        <v>328</v>
      </c>
      <c r="C175" s="28" t="s">
        <v>324</v>
      </c>
      <c r="D175" s="28" t="s">
        <v>132</v>
      </c>
      <c r="E175" s="4" t="s">
        <v>111</v>
      </c>
      <c r="F175" s="28"/>
      <c r="G175" s="4">
        <f>SUMIFS(X!$F$5:$F$2005,X!$D$5:$D$2005,'Current Stock'!A175)</f>
        <v>0</v>
      </c>
      <c r="H175" s="4">
        <f>SUMIFS(PENJUALAN!$E$4:$E$11000,PENJUALAN!$C$4:$C$11000,'Current Stock'!A175)</f>
        <v>0</v>
      </c>
      <c r="I175" s="16">
        <f t="shared" si="2"/>
        <v>0</v>
      </c>
      <c r="J175" s="4"/>
      <c r="K175" s="4"/>
      <c r="L175" s="4"/>
      <c r="M175" s="4"/>
    </row>
    <row r="176" ht="13.5" customHeight="1">
      <c r="A176" s="4" t="str">
        <f t="shared" si="1"/>
        <v>RDR-ACCORD86FY</v>
      </c>
      <c r="B176" s="29" t="s">
        <v>329</v>
      </c>
      <c r="C176" s="28" t="s">
        <v>324</v>
      </c>
      <c r="D176" s="28" t="s">
        <v>134</v>
      </c>
      <c r="E176" s="4" t="s">
        <v>111</v>
      </c>
      <c r="F176" s="28"/>
      <c r="G176" s="4">
        <f>SUMIFS(X!$F$5:$F$2005,X!$D$5:$D$2005,'Current Stock'!A176)</f>
        <v>0</v>
      </c>
      <c r="H176" s="4">
        <f>SUMIFS(PENJUALAN!$E$4:$E$11000,PENJUALAN!$C$4:$C$11000,'Current Stock'!A176)</f>
        <v>0</v>
      </c>
      <c r="I176" s="16">
        <f t="shared" si="2"/>
        <v>0</v>
      </c>
      <c r="J176" s="4"/>
      <c r="K176" s="4"/>
      <c r="L176" s="4"/>
      <c r="M176" s="4"/>
    </row>
    <row r="177" ht="13.5" customHeight="1">
      <c r="A177" s="4" t="str">
        <f t="shared" si="1"/>
        <v>LFW-ACCORD90FY</v>
      </c>
      <c r="B177" s="29" t="s">
        <v>330</v>
      </c>
      <c r="C177" s="28" t="s">
        <v>331</v>
      </c>
      <c r="D177" s="28" t="s">
        <v>22</v>
      </c>
      <c r="E177" s="4" t="s">
        <v>111</v>
      </c>
      <c r="F177" s="28" t="s">
        <v>97</v>
      </c>
      <c r="G177" s="4">
        <f>SUMIFS(X!$F$5:$F$2005,X!$D$5:$D$2005,'Current Stock'!A177)</f>
        <v>0</v>
      </c>
      <c r="H177" s="4">
        <f>SUMIFS(PENJUALAN!$E$4:$E$11000,PENJUALAN!$C$4:$C$11000,'Current Stock'!A177)</f>
        <v>0</v>
      </c>
      <c r="I177" s="16">
        <f t="shared" si="2"/>
        <v>0</v>
      </c>
      <c r="J177" s="4"/>
      <c r="K177" s="4"/>
      <c r="L177" s="4"/>
      <c r="M177" s="4"/>
    </row>
    <row r="178" ht="13.5" customHeight="1">
      <c r="A178" s="4" t="str">
        <f t="shared" si="1"/>
        <v>TRW-ACCORD90FY</v>
      </c>
      <c r="B178" s="29" t="s">
        <v>332</v>
      </c>
      <c r="C178" s="28" t="s">
        <v>331</v>
      </c>
      <c r="D178" s="28" t="s">
        <v>41</v>
      </c>
      <c r="E178" s="4" t="s">
        <v>111</v>
      </c>
      <c r="F178" s="28" t="s">
        <v>67</v>
      </c>
      <c r="G178" s="4">
        <f>SUMIFS(X!$F$5:$F$2005,X!$D$5:$D$2005,'Current Stock'!A178)</f>
        <v>0</v>
      </c>
      <c r="H178" s="4">
        <f>SUMIFS(PENJUALAN!$E$4:$E$11000,PENJUALAN!$C$4:$C$11000,'Current Stock'!A178)</f>
        <v>0</v>
      </c>
      <c r="I178" s="16">
        <f t="shared" si="2"/>
        <v>0</v>
      </c>
      <c r="J178" s="4"/>
      <c r="K178" s="4"/>
      <c r="L178" s="4"/>
      <c r="M178" s="4"/>
    </row>
    <row r="179" ht="13.5" customHeight="1">
      <c r="A179" s="4" t="str">
        <f t="shared" si="1"/>
        <v>LFW-ACCORD93FY</v>
      </c>
      <c r="B179" s="29" t="s">
        <v>333</v>
      </c>
      <c r="C179" s="28" t="s">
        <v>334</v>
      </c>
      <c r="D179" s="28" t="s">
        <v>22</v>
      </c>
      <c r="E179" s="4" t="s">
        <v>111</v>
      </c>
      <c r="F179" s="28" t="s">
        <v>97</v>
      </c>
      <c r="G179" s="4">
        <f>SUMIFS(X!$F$5:$F$2005,X!$D$5:$D$2005,'Current Stock'!A179)</f>
        <v>0</v>
      </c>
      <c r="H179" s="4">
        <f>SUMIFS(PENJUALAN!$E$4:$E$11000,PENJUALAN!$C$4:$C$11000,'Current Stock'!A179)</f>
        <v>0</v>
      </c>
      <c r="I179" s="16">
        <f t="shared" si="2"/>
        <v>0</v>
      </c>
      <c r="J179" s="4"/>
      <c r="K179" s="4"/>
      <c r="L179" s="4"/>
      <c r="M179" s="4"/>
    </row>
    <row r="180" ht="13.5" customHeight="1">
      <c r="A180" s="4" t="str">
        <f t="shared" si="1"/>
        <v>TRW-ACCORD93FY</v>
      </c>
      <c r="B180" s="29" t="s">
        <v>335</v>
      </c>
      <c r="C180" s="28" t="s">
        <v>336</v>
      </c>
      <c r="D180" s="28" t="s">
        <v>41</v>
      </c>
      <c r="E180" s="4" t="s">
        <v>111</v>
      </c>
      <c r="F180" s="28" t="s">
        <v>67</v>
      </c>
      <c r="G180" s="4">
        <f>SUMIFS(X!$F$5:$F$2005,X!$D$5:$D$2005,'Current Stock'!A180)</f>
        <v>0</v>
      </c>
      <c r="H180" s="4">
        <f>SUMIFS(PENJUALAN!$E$4:$E$11000,PENJUALAN!$C$4:$C$11000,'Current Stock'!A180)</f>
        <v>0</v>
      </c>
      <c r="I180" s="16">
        <f t="shared" si="2"/>
        <v>0</v>
      </c>
      <c r="J180" s="4"/>
      <c r="K180" s="4"/>
      <c r="L180" s="4"/>
      <c r="M180" s="4"/>
    </row>
    <row r="181" ht="13.5" customHeight="1">
      <c r="A181" s="4" t="str">
        <f t="shared" si="1"/>
        <v>LFW-ACCORD98FY</v>
      </c>
      <c r="B181" s="29" t="s">
        <v>337</v>
      </c>
      <c r="C181" s="28" t="s">
        <v>338</v>
      </c>
      <c r="D181" s="28" t="s">
        <v>22</v>
      </c>
      <c r="E181" s="4" t="s">
        <v>111</v>
      </c>
      <c r="F181" s="28" t="s">
        <v>125</v>
      </c>
      <c r="G181" s="4">
        <f>SUMIFS(X!$F$5:$F$2005,X!$D$5:$D$2005,'Current Stock'!A181)</f>
        <v>0</v>
      </c>
      <c r="H181" s="4">
        <f>SUMIFS(PENJUALAN!$E$4:$E$11000,PENJUALAN!$C$4:$C$11000,'Current Stock'!A181)</f>
        <v>0</v>
      </c>
      <c r="I181" s="16">
        <f t="shared" si="2"/>
        <v>0</v>
      </c>
      <c r="J181" s="4"/>
      <c r="K181" s="4"/>
      <c r="L181" s="4"/>
      <c r="M181" s="4"/>
    </row>
    <row r="182" ht="13.5" customHeight="1">
      <c r="A182" s="4" t="str">
        <f t="shared" si="1"/>
        <v>TRW-ACCORD98FY</v>
      </c>
      <c r="B182" s="29" t="s">
        <v>339</v>
      </c>
      <c r="C182" s="28" t="s">
        <v>338</v>
      </c>
      <c r="D182" s="28" t="s">
        <v>41</v>
      </c>
      <c r="E182" s="4" t="s">
        <v>111</v>
      </c>
      <c r="F182" s="28" t="s">
        <v>67</v>
      </c>
      <c r="G182" s="4">
        <f>SUMIFS(X!$F$5:$F$2005,X!$D$5:$D$2005,'Current Stock'!A182)</f>
        <v>0</v>
      </c>
      <c r="H182" s="4">
        <f>SUMIFS(PENJUALAN!$E$4:$E$11000,PENJUALAN!$C$4:$C$11000,'Current Stock'!A182)</f>
        <v>0</v>
      </c>
      <c r="I182" s="16">
        <f t="shared" si="2"/>
        <v>0</v>
      </c>
      <c r="J182" s="4"/>
      <c r="K182" s="4"/>
      <c r="L182" s="4"/>
      <c r="M182" s="4"/>
    </row>
    <row r="183" ht="13.5" customHeight="1">
      <c r="A183" s="4" t="str">
        <f t="shared" si="1"/>
        <v>RDL-ACCORD98FY</v>
      </c>
      <c r="B183" s="29" t="s">
        <v>340</v>
      </c>
      <c r="C183" s="28" t="s">
        <v>338</v>
      </c>
      <c r="D183" s="28" t="s">
        <v>132</v>
      </c>
      <c r="E183" s="4" t="s">
        <v>111</v>
      </c>
      <c r="F183" s="28"/>
      <c r="G183" s="4">
        <f>SUMIFS(X!$F$5:$F$2005,X!$D$5:$D$2005,'Current Stock'!A183)</f>
        <v>0</v>
      </c>
      <c r="H183" s="4">
        <f>SUMIFS(PENJUALAN!$E$4:$E$11000,PENJUALAN!$C$4:$C$11000,'Current Stock'!A183)</f>
        <v>0</v>
      </c>
      <c r="I183" s="16">
        <f t="shared" si="2"/>
        <v>0</v>
      </c>
      <c r="J183" s="4"/>
      <c r="K183" s="4"/>
      <c r="L183" s="4"/>
      <c r="M183" s="4"/>
    </row>
    <row r="184" ht="13.5" customHeight="1">
      <c r="A184" s="4" t="str">
        <f t="shared" si="1"/>
        <v>RDR-ACCORD98FY</v>
      </c>
      <c r="B184" s="29" t="s">
        <v>341</v>
      </c>
      <c r="C184" s="28" t="s">
        <v>338</v>
      </c>
      <c r="D184" s="28" t="s">
        <v>134</v>
      </c>
      <c r="E184" s="4" t="s">
        <v>111</v>
      </c>
      <c r="F184" s="28"/>
      <c r="G184" s="4">
        <f>SUMIFS(X!$F$5:$F$2005,X!$D$5:$D$2005,'Current Stock'!A184)</f>
        <v>0</v>
      </c>
      <c r="H184" s="4">
        <f>SUMIFS(PENJUALAN!$E$4:$E$11000,PENJUALAN!$C$4:$C$11000,'Current Stock'!A184)</f>
        <v>0</v>
      </c>
      <c r="I184" s="16">
        <f t="shared" si="2"/>
        <v>0</v>
      </c>
      <c r="J184" s="4"/>
      <c r="K184" s="4"/>
      <c r="L184" s="4"/>
      <c r="M184" s="4"/>
    </row>
    <row r="185" ht="13.5" customHeight="1">
      <c r="A185" s="4" t="str">
        <f t="shared" si="1"/>
        <v>LFW-ACCORD03FY</v>
      </c>
      <c r="B185" s="29" t="s">
        <v>342</v>
      </c>
      <c r="C185" s="28" t="s">
        <v>343</v>
      </c>
      <c r="D185" s="28" t="s">
        <v>22</v>
      </c>
      <c r="E185" s="4" t="s">
        <v>111</v>
      </c>
      <c r="F185" s="28" t="s">
        <v>125</v>
      </c>
      <c r="G185" s="4">
        <f>SUMIFS(X!$F$5:$F$2005,X!$D$5:$D$2005,'Current Stock'!A185)</f>
        <v>0</v>
      </c>
      <c r="H185" s="4">
        <f>SUMIFS(PENJUALAN!$E$4:$E$11000,PENJUALAN!$C$4:$C$11000,'Current Stock'!A185)</f>
        <v>0</v>
      </c>
      <c r="I185" s="16">
        <f t="shared" si="2"/>
        <v>0</v>
      </c>
      <c r="J185" s="4"/>
      <c r="K185" s="4"/>
      <c r="L185" s="5">
        <v>1.0</v>
      </c>
      <c r="M185" s="4"/>
    </row>
    <row r="186" ht="13.5" customHeight="1">
      <c r="A186" s="4" t="str">
        <f t="shared" si="1"/>
        <v>TRW-ACCORD03FY</v>
      </c>
      <c r="B186" s="29" t="s">
        <v>344</v>
      </c>
      <c r="C186" s="28" t="s">
        <v>343</v>
      </c>
      <c r="D186" s="28" t="s">
        <v>41</v>
      </c>
      <c r="E186" s="4" t="s">
        <v>111</v>
      </c>
      <c r="F186" s="28" t="s">
        <v>114</v>
      </c>
      <c r="G186" s="4">
        <f>SUMIFS(X!$F$5:$F$2005,X!$D$5:$D$2005,'Current Stock'!A186)</f>
        <v>0</v>
      </c>
      <c r="H186" s="4">
        <f>SUMIFS(PENJUALAN!$E$4:$E$11000,PENJUALAN!$C$4:$C$11000,'Current Stock'!A186)</f>
        <v>0</v>
      </c>
      <c r="I186" s="16">
        <f t="shared" si="2"/>
        <v>0</v>
      </c>
      <c r="J186" s="4"/>
      <c r="K186" s="4"/>
      <c r="L186" s="4"/>
      <c r="M186" s="4"/>
    </row>
    <row r="187" ht="13.5" customHeight="1">
      <c r="A187" s="4" t="str">
        <f t="shared" si="1"/>
        <v>LFW-ACCORD08FY</v>
      </c>
      <c r="B187" s="29" t="s">
        <v>345</v>
      </c>
      <c r="C187" s="28" t="s">
        <v>346</v>
      </c>
      <c r="D187" s="28" t="s">
        <v>22</v>
      </c>
      <c r="E187" s="4" t="s">
        <v>111</v>
      </c>
      <c r="F187" s="28" t="s">
        <v>125</v>
      </c>
      <c r="G187" s="4">
        <f>SUMIFS(X!$F$5:$F$2005,X!$D$5:$D$2005,'Current Stock'!A187)</f>
        <v>0</v>
      </c>
      <c r="H187" s="4">
        <f>SUMIFS(PENJUALAN!$E$4:$E$11000,PENJUALAN!$C$4:$C$11000,'Current Stock'!A187)</f>
        <v>0</v>
      </c>
      <c r="I187" s="16">
        <f t="shared" si="2"/>
        <v>0</v>
      </c>
      <c r="J187" s="4"/>
      <c r="K187" s="4"/>
      <c r="L187" s="4"/>
      <c r="M187" s="4"/>
    </row>
    <row r="188" ht="13.5" customHeight="1">
      <c r="A188" s="4" t="str">
        <f t="shared" si="1"/>
        <v>TRW-ACCORD08FY</v>
      </c>
      <c r="B188" s="29" t="s">
        <v>347</v>
      </c>
      <c r="C188" s="28" t="s">
        <v>346</v>
      </c>
      <c r="D188" s="28" t="s">
        <v>41</v>
      </c>
      <c r="E188" s="4" t="s">
        <v>111</v>
      </c>
      <c r="F188" s="28" t="s">
        <v>114</v>
      </c>
      <c r="G188" s="4">
        <f>SUMIFS(X!$F$5:$F$2005,X!$D$5:$D$2005,'Current Stock'!A188)</f>
        <v>0</v>
      </c>
      <c r="H188" s="4">
        <f>SUMIFS(PENJUALAN!$E$4:$E$11000,PENJUALAN!$C$4:$C$11000,'Current Stock'!A188)</f>
        <v>0</v>
      </c>
      <c r="I188" s="16">
        <f t="shared" si="2"/>
        <v>0</v>
      </c>
      <c r="J188" s="4"/>
      <c r="K188" s="4"/>
      <c r="L188" s="4"/>
      <c r="M188" s="4"/>
    </row>
    <row r="189" ht="13.5" customHeight="1">
      <c r="A189" s="4" t="str">
        <f t="shared" si="1"/>
        <v>LFW-ACCORD13RSFY</v>
      </c>
      <c r="B189" s="29" t="s">
        <v>348</v>
      </c>
      <c r="C189" s="28" t="s">
        <v>349</v>
      </c>
      <c r="D189" s="28" t="s">
        <v>22</v>
      </c>
      <c r="E189" s="4" t="s">
        <v>111</v>
      </c>
      <c r="F189" s="28" t="s">
        <v>75</v>
      </c>
      <c r="G189" s="4">
        <f>SUMIFS(X!$F$5:$F$2005,X!$D$5:$D$2005,'Current Stock'!A189)</f>
        <v>0</v>
      </c>
      <c r="H189" s="4">
        <f>SUMIFS(PENJUALAN!$E$4:$E$11000,PENJUALAN!$C$4:$C$11000,'Current Stock'!A189)</f>
        <v>0</v>
      </c>
      <c r="I189" s="16">
        <f t="shared" si="2"/>
        <v>0</v>
      </c>
      <c r="J189" s="4"/>
      <c r="K189" s="4"/>
      <c r="L189" s="4"/>
      <c r="M189" s="4"/>
    </row>
    <row r="190" ht="13.5" customHeight="1">
      <c r="A190" s="4" t="str">
        <f t="shared" si="1"/>
        <v>LFW-ACCORD13FY</v>
      </c>
      <c r="B190" s="29" t="s">
        <v>350</v>
      </c>
      <c r="C190" s="28" t="s">
        <v>351</v>
      </c>
      <c r="D190" s="28" t="s">
        <v>22</v>
      </c>
      <c r="E190" s="4" t="s">
        <v>111</v>
      </c>
      <c r="F190" s="28" t="s">
        <v>125</v>
      </c>
      <c r="G190" s="4">
        <f>SUMIFS(X!$F$5:$F$2005,X!$D$5:$D$2005,'Current Stock'!A190)</f>
        <v>0</v>
      </c>
      <c r="H190" s="4">
        <f>SUMIFS(PENJUALAN!$E$4:$E$11000,PENJUALAN!$C$4:$C$11000,'Current Stock'!A190)</f>
        <v>0</v>
      </c>
      <c r="I190" s="16">
        <f t="shared" si="2"/>
        <v>0</v>
      </c>
      <c r="J190" s="4"/>
      <c r="K190" s="4"/>
      <c r="L190" s="4"/>
      <c r="M190" s="4"/>
    </row>
    <row r="191" ht="13.5" customHeight="1">
      <c r="A191" s="4" t="str">
        <f t="shared" si="1"/>
        <v>TRW-ACCORD13FY</v>
      </c>
      <c r="B191" s="29" t="s">
        <v>352</v>
      </c>
      <c r="C191" s="28" t="s">
        <v>353</v>
      </c>
      <c r="D191" s="28" t="s">
        <v>41</v>
      </c>
      <c r="E191" s="4" t="s">
        <v>111</v>
      </c>
      <c r="F191" s="28" t="s">
        <v>114</v>
      </c>
      <c r="G191" s="4">
        <f>SUMIFS(X!$F$5:$F$2005,X!$D$5:$D$2005,'Current Stock'!A191)</f>
        <v>0</v>
      </c>
      <c r="H191" s="4">
        <f>SUMIFS(PENJUALAN!$E$4:$E$11000,PENJUALAN!$C$4:$C$11000,'Current Stock'!A191)</f>
        <v>0</v>
      </c>
      <c r="I191" s="16">
        <f t="shared" si="2"/>
        <v>0</v>
      </c>
      <c r="J191" s="4"/>
      <c r="K191" s="4"/>
      <c r="L191" s="4"/>
      <c r="M191" s="4"/>
    </row>
    <row r="192" ht="13.5" customHeight="1">
      <c r="A192" s="4" t="str">
        <f t="shared" si="1"/>
        <v>FDR-ACCORD13FY</v>
      </c>
      <c r="B192" s="29" t="s">
        <v>354</v>
      </c>
      <c r="C192" s="28" t="s">
        <v>353</v>
      </c>
      <c r="D192" s="28" t="s">
        <v>130</v>
      </c>
      <c r="E192" s="4" t="s">
        <v>111</v>
      </c>
      <c r="F192" s="28"/>
      <c r="G192" s="4">
        <f>SUMIFS(X!$F$5:$F$2005,X!$D$5:$D$2005,'Current Stock'!A192)</f>
        <v>0</v>
      </c>
      <c r="H192" s="4">
        <f>SUMIFS(PENJUALAN!$E$4:$E$11000,PENJUALAN!$C$4:$C$11000,'Current Stock'!A192)</f>
        <v>0</v>
      </c>
      <c r="I192" s="16">
        <f t="shared" si="2"/>
        <v>0</v>
      </c>
      <c r="J192" s="4"/>
      <c r="K192" s="4"/>
      <c r="L192" s="4"/>
      <c r="M192" s="4"/>
    </row>
    <row r="193" ht="13.5" customHeight="1">
      <c r="A193" s="4" t="str">
        <f t="shared" si="1"/>
        <v>RDL-ACCORD13FY</v>
      </c>
      <c r="B193" s="29" t="s">
        <v>355</v>
      </c>
      <c r="C193" s="28" t="s">
        <v>353</v>
      </c>
      <c r="D193" s="28" t="s">
        <v>132</v>
      </c>
      <c r="E193" s="4" t="s">
        <v>111</v>
      </c>
      <c r="F193" s="28"/>
      <c r="G193" s="4">
        <f>SUMIFS(X!$F$5:$F$2005,X!$D$5:$D$2005,'Current Stock'!A193)</f>
        <v>0</v>
      </c>
      <c r="H193" s="4">
        <f>SUMIFS(PENJUALAN!$E$4:$E$11000,PENJUALAN!$C$4:$C$11000,'Current Stock'!A193)</f>
        <v>0</v>
      </c>
      <c r="I193" s="16">
        <f t="shared" si="2"/>
        <v>0</v>
      </c>
      <c r="J193" s="4"/>
      <c r="K193" s="4"/>
      <c r="L193" s="4"/>
      <c r="M193" s="4"/>
    </row>
    <row r="194" ht="13.5" customHeight="1">
      <c r="A194" s="4" t="str">
        <f t="shared" si="1"/>
        <v>LFW-BRIOFY</v>
      </c>
      <c r="B194" s="29" t="s">
        <v>356</v>
      </c>
      <c r="C194" s="28" t="s">
        <v>357</v>
      </c>
      <c r="D194" s="28" t="s">
        <v>22</v>
      </c>
      <c r="E194" s="4" t="s">
        <v>111</v>
      </c>
      <c r="F194" s="28" t="s">
        <v>97</v>
      </c>
      <c r="G194" s="4">
        <f>SUMIFS(X!$F$5:$F$2005,X!$D$5:$D$2005,'Current Stock'!A194)</f>
        <v>0</v>
      </c>
      <c r="H194" s="4">
        <f>SUMIFS(PENJUALAN!$E$4:$E$11000,PENJUALAN!$C$4:$C$11000,'Current Stock'!A194)</f>
        <v>0</v>
      </c>
      <c r="I194" s="16">
        <f t="shared" si="2"/>
        <v>0</v>
      </c>
      <c r="J194" s="4"/>
      <c r="K194" s="4"/>
      <c r="L194" s="4"/>
      <c r="M194" s="4"/>
    </row>
    <row r="195" ht="13.5" customHeight="1">
      <c r="A195" s="4" t="str">
        <f t="shared" si="1"/>
        <v>LFW-CITY96FY</v>
      </c>
      <c r="B195" s="29" t="s">
        <v>358</v>
      </c>
      <c r="C195" s="28" t="s">
        <v>359</v>
      </c>
      <c r="D195" s="28" t="s">
        <v>22</v>
      </c>
      <c r="E195" s="4" t="s">
        <v>111</v>
      </c>
      <c r="F195" s="28" t="s">
        <v>97</v>
      </c>
      <c r="G195" s="4">
        <f>SUMIFS(X!$F$5:$F$2005,X!$D$5:$D$2005,'Current Stock'!A195)</f>
        <v>0</v>
      </c>
      <c r="H195" s="4">
        <f>SUMIFS(PENJUALAN!$E$4:$E$11000,PENJUALAN!$C$4:$C$11000,'Current Stock'!A195)</f>
        <v>0</v>
      </c>
      <c r="I195" s="16">
        <f t="shared" si="2"/>
        <v>0</v>
      </c>
      <c r="J195" s="4"/>
      <c r="K195" s="4"/>
      <c r="L195" s="4"/>
      <c r="M195" s="4"/>
    </row>
    <row r="196" ht="13.5" customHeight="1">
      <c r="A196" s="4" t="str">
        <f t="shared" si="1"/>
        <v>TRW-CITY96FY</v>
      </c>
      <c r="B196" s="29" t="s">
        <v>360</v>
      </c>
      <c r="C196" s="28" t="s">
        <v>359</v>
      </c>
      <c r="D196" s="28" t="s">
        <v>41</v>
      </c>
      <c r="E196" s="4" t="s">
        <v>111</v>
      </c>
      <c r="F196" s="28" t="s">
        <v>67</v>
      </c>
      <c r="G196" s="4">
        <f>SUMIFS(X!$F$5:$F$2005,X!$D$5:$D$2005,'Current Stock'!A196)</f>
        <v>0</v>
      </c>
      <c r="H196" s="4">
        <f>SUMIFS(PENJUALAN!$E$4:$E$11000,PENJUALAN!$C$4:$C$11000,'Current Stock'!A196)</f>
        <v>0</v>
      </c>
      <c r="I196" s="16">
        <f t="shared" si="2"/>
        <v>0</v>
      </c>
      <c r="J196" s="4"/>
      <c r="K196" s="4"/>
      <c r="L196" s="4"/>
      <c r="M196" s="4"/>
    </row>
    <row r="197" ht="13.5" customHeight="1">
      <c r="A197" s="4" t="str">
        <f t="shared" si="1"/>
        <v>LFW-CITY02FY</v>
      </c>
      <c r="B197" s="29" t="s">
        <v>361</v>
      </c>
      <c r="C197" s="28" t="s">
        <v>362</v>
      </c>
      <c r="D197" s="28" t="s">
        <v>22</v>
      </c>
      <c r="E197" s="4" t="s">
        <v>111</v>
      </c>
      <c r="F197" s="28" t="s">
        <v>97</v>
      </c>
      <c r="G197" s="4">
        <f>SUMIFS(X!$F$5:$F$2005,X!$D$5:$D$2005,'Current Stock'!A197)</f>
        <v>0</v>
      </c>
      <c r="H197" s="4">
        <f>SUMIFS(PENJUALAN!$E$4:$E$11000,PENJUALAN!$C$4:$C$11000,'Current Stock'!A197)</f>
        <v>0</v>
      </c>
      <c r="I197" s="16">
        <f t="shared" si="2"/>
        <v>0</v>
      </c>
      <c r="J197" s="4"/>
      <c r="K197" s="4"/>
      <c r="L197" s="4"/>
      <c r="M197" s="4"/>
    </row>
    <row r="198" ht="13.5" customHeight="1">
      <c r="A198" s="4" t="str">
        <f t="shared" si="1"/>
        <v>TRW-CITY02FY</v>
      </c>
      <c r="B198" s="29" t="s">
        <v>363</v>
      </c>
      <c r="C198" s="28" t="s">
        <v>364</v>
      </c>
      <c r="D198" s="28" t="s">
        <v>41</v>
      </c>
      <c r="E198" s="4" t="s">
        <v>111</v>
      </c>
      <c r="F198" s="28" t="s">
        <v>67</v>
      </c>
      <c r="G198" s="4">
        <f>SUMIFS(X!$F$5:$F$2005,X!$D$5:$D$2005,'Current Stock'!A198)</f>
        <v>0</v>
      </c>
      <c r="H198" s="4">
        <f>SUMIFS(PENJUALAN!$E$4:$E$11000,PENJUALAN!$C$4:$C$11000,'Current Stock'!A198)</f>
        <v>0</v>
      </c>
      <c r="I198" s="16">
        <f t="shared" si="2"/>
        <v>0</v>
      </c>
      <c r="J198" s="4"/>
      <c r="K198" s="4"/>
      <c r="L198" s="4"/>
      <c r="M198" s="4"/>
    </row>
    <row r="199" ht="13.5" customHeight="1">
      <c r="A199" s="4" t="str">
        <f t="shared" si="1"/>
        <v>LFW-CITY08FY</v>
      </c>
      <c r="B199" s="29" t="s">
        <v>365</v>
      </c>
      <c r="C199" s="28" t="s">
        <v>366</v>
      </c>
      <c r="D199" s="28" t="s">
        <v>22</v>
      </c>
      <c r="E199" s="4" t="s">
        <v>111</v>
      </c>
      <c r="F199" s="28" t="s">
        <v>97</v>
      </c>
      <c r="G199" s="4">
        <f>SUMIFS(X!$F$5:$F$2005,X!$D$5:$D$2005,'Current Stock'!A199)</f>
        <v>0</v>
      </c>
      <c r="H199" s="4">
        <f>SUMIFS(PENJUALAN!$E$4:$E$11000,PENJUALAN!$C$4:$C$11000,'Current Stock'!A199)</f>
        <v>0</v>
      </c>
      <c r="I199" s="16">
        <f t="shared" si="2"/>
        <v>0</v>
      </c>
      <c r="J199" s="4"/>
      <c r="K199" s="4"/>
      <c r="L199" s="4"/>
      <c r="M199" s="4"/>
    </row>
    <row r="200" ht="13.5" customHeight="1">
      <c r="A200" s="4" t="str">
        <f t="shared" si="1"/>
        <v>TRW-CITY08FY</v>
      </c>
      <c r="B200" s="29" t="s">
        <v>367</v>
      </c>
      <c r="C200" s="28" t="s">
        <v>366</v>
      </c>
      <c r="D200" s="28" t="s">
        <v>41</v>
      </c>
      <c r="E200" s="4" t="s">
        <v>111</v>
      </c>
      <c r="F200" s="28" t="s">
        <v>67</v>
      </c>
      <c r="G200" s="4">
        <f>SUMIFS(X!$F$5:$F$2005,X!$D$5:$D$2005,'Current Stock'!A200)</f>
        <v>0</v>
      </c>
      <c r="H200" s="4">
        <f>SUMIFS(PENJUALAN!$E$4:$E$11000,PENJUALAN!$C$4:$C$11000,'Current Stock'!A200)</f>
        <v>0</v>
      </c>
      <c r="I200" s="16">
        <f t="shared" si="2"/>
        <v>0</v>
      </c>
      <c r="J200" s="4"/>
      <c r="K200" s="4"/>
      <c r="L200" s="4"/>
      <c r="M200" s="4"/>
    </row>
    <row r="201" ht="13.5" customHeight="1">
      <c r="A201" s="4" t="str">
        <f t="shared" si="1"/>
        <v>LFW-CITY14FY</v>
      </c>
      <c r="B201" s="29" t="s">
        <v>368</v>
      </c>
      <c r="C201" s="28" t="s">
        <v>369</v>
      </c>
      <c r="D201" s="28" t="s">
        <v>22</v>
      </c>
      <c r="E201" s="4" t="s">
        <v>111</v>
      </c>
      <c r="F201" s="28" t="s">
        <v>125</v>
      </c>
      <c r="G201" s="4">
        <f>SUMIFS(X!$F$5:$F$2005,X!$D$5:$D$2005,'Current Stock'!A201)</f>
        <v>0</v>
      </c>
      <c r="H201" s="4">
        <f>SUMIFS(PENJUALAN!$E$4:$E$11000,PENJUALAN!$C$4:$C$11000,'Current Stock'!A201)</f>
        <v>0</v>
      </c>
      <c r="I201" s="16">
        <f t="shared" si="2"/>
        <v>0</v>
      </c>
      <c r="J201" s="4"/>
      <c r="K201" s="4"/>
      <c r="L201" s="4"/>
      <c r="M201" s="4"/>
    </row>
    <row r="202" ht="13.5" customHeight="1">
      <c r="A202" s="4" t="str">
        <f t="shared" si="1"/>
        <v>LFW-CIVICESTFY</v>
      </c>
      <c r="B202" s="29" t="s">
        <v>370</v>
      </c>
      <c r="C202" s="28" t="s">
        <v>371</v>
      </c>
      <c r="D202" s="28" t="s">
        <v>22</v>
      </c>
      <c r="E202" s="4" t="s">
        <v>111</v>
      </c>
      <c r="F202" s="28" t="s">
        <v>125</v>
      </c>
      <c r="G202" s="4">
        <f>SUMIFS(X!$F$5:$F$2005,X!$D$5:$D$2005,'Current Stock'!A202)</f>
        <v>0</v>
      </c>
      <c r="H202" s="4">
        <f>SUMIFS(PENJUALAN!$E$4:$E$11000,PENJUALAN!$C$4:$C$11000,'Current Stock'!A202)</f>
        <v>0</v>
      </c>
      <c r="I202" s="16">
        <f t="shared" si="2"/>
        <v>0</v>
      </c>
      <c r="J202" s="4"/>
      <c r="K202" s="4"/>
      <c r="L202" s="4"/>
      <c r="M202" s="4"/>
    </row>
    <row r="203" ht="13.5" customHeight="1">
      <c r="A203" s="4" t="str">
        <f t="shared" si="1"/>
        <v>TRW-CIVICESTFY</v>
      </c>
      <c r="B203" s="29" t="s">
        <v>372</v>
      </c>
      <c r="C203" s="28" t="s">
        <v>371</v>
      </c>
      <c r="D203" s="28" t="s">
        <v>41</v>
      </c>
      <c r="E203" s="4" t="s">
        <v>111</v>
      </c>
      <c r="F203" s="28" t="s">
        <v>373</v>
      </c>
      <c r="G203" s="4">
        <f>SUMIFS(X!$F$5:$F$2005,X!$D$5:$D$2005,'Current Stock'!A203)</f>
        <v>0</v>
      </c>
      <c r="H203" s="4">
        <f>SUMIFS(PENJUALAN!$E$4:$E$11000,PENJUALAN!$C$4:$C$11000,'Current Stock'!A203)</f>
        <v>0</v>
      </c>
      <c r="I203" s="16">
        <f t="shared" si="2"/>
        <v>0</v>
      </c>
      <c r="J203" s="4"/>
      <c r="K203" s="4"/>
      <c r="L203" s="4"/>
      <c r="M203" s="4"/>
    </row>
    <row r="204" ht="13.5" customHeight="1">
      <c r="A204" s="4" t="str">
        <f t="shared" si="1"/>
        <v>FDL-CIVICESTFY</v>
      </c>
      <c r="B204" s="29" t="s">
        <v>374</v>
      </c>
      <c r="C204" s="28" t="s">
        <v>371</v>
      </c>
      <c r="D204" s="28" t="s">
        <v>128</v>
      </c>
      <c r="E204" s="4" t="s">
        <v>111</v>
      </c>
      <c r="F204" s="28"/>
      <c r="G204" s="4">
        <f>SUMIFS(X!$F$5:$F$2005,X!$D$5:$D$2005,'Current Stock'!A204)</f>
        <v>0</v>
      </c>
      <c r="H204" s="4">
        <f>SUMIFS(PENJUALAN!$E$4:$E$11000,PENJUALAN!$C$4:$C$11000,'Current Stock'!A204)</f>
        <v>0</v>
      </c>
      <c r="I204" s="16">
        <f t="shared" si="2"/>
        <v>0</v>
      </c>
      <c r="J204" s="4"/>
      <c r="K204" s="4"/>
      <c r="L204" s="4"/>
      <c r="M204" s="4"/>
    </row>
    <row r="205" ht="13.5" customHeight="1">
      <c r="A205" s="4" t="str">
        <f t="shared" si="1"/>
        <v>FDR-CIVICESTFY</v>
      </c>
      <c r="B205" s="29" t="s">
        <v>375</v>
      </c>
      <c r="C205" s="28" t="s">
        <v>371</v>
      </c>
      <c r="D205" s="30" t="s">
        <v>130</v>
      </c>
      <c r="E205" s="4" t="s">
        <v>111</v>
      </c>
      <c r="F205" s="28"/>
      <c r="G205" s="4">
        <f>SUMIFS(X!$F$5:$F$2005,X!$D$5:$D$2005,'Current Stock'!A205)</f>
        <v>0</v>
      </c>
      <c r="H205" s="4">
        <f>SUMIFS(PENJUALAN!$E$4:$E$11000,PENJUALAN!$C$4:$C$11000,'Current Stock'!A205)</f>
        <v>0</v>
      </c>
      <c r="I205" s="16">
        <f t="shared" si="2"/>
        <v>0</v>
      </c>
      <c r="J205" s="4"/>
      <c r="K205" s="4"/>
      <c r="L205" s="4"/>
      <c r="M205" s="4"/>
    </row>
    <row r="206" ht="13.5" customHeight="1">
      <c r="A206" s="4" t="str">
        <f t="shared" si="1"/>
        <v>RDL-CIVICESTFY</v>
      </c>
      <c r="B206" s="29" t="s">
        <v>376</v>
      </c>
      <c r="C206" s="28" t="s">
        <v>371</v>
      </c>
      <c r="D206" s="28" t="s">
        <v>202</v>
      </c>
      <c r="E206" s="4" t="s">
        <v>111</v>
      </c>
      <c r="F206" s="28" t="s">
        <v>97</v>
      </c>
      <c r="G206" s="4">
        <f>SUMIFS(X!$F$5:$F$2005,X!$D$5:$D$2005,'Current Stock'!A206)</f>
        <v>0</v>
      </c>
      <c r="H206" s="4">
        <f>SUMIFS(PENJUALAN!$E$4:$E$11000,PENJUALAN!$C$4:$C$11000,'Current Stock'!A206)</f>
        <v>0</v>
      </c>
      <c r="I206" s="16">
        <f t="shared" si="2"/>
        <v>0</v>
      </c>
      <c r="J206" s="4"/>
      <c r="K206" s="4"/>
      <c r="L206" s="4"/>
      <c r="M206" s="4"/>
    </row>
    <row r="207" ht="13.5" customHeight="1">
      <c r="A207" s="4" t="str">
        <f t="shared" si="1"/>
        <v>RDR-CIVICESTFY</v>
      </c>
      <c r="B207" s="29" t="s">
        <v>377</v>
      </c>
      <c r="C207" s="28" t="s">
        <v>371</v>
      </c>
      <c r="D207" s="28" t="s">
        <v>236</v>
      </c>
      <c r="E207" s="4" t="s">
        <v>111</v>
      </c>
      <c r="F207" s="28" t="s">
        <v>97</v>
      </c>
      <c r="G207" s="4">
        <f>SUMIFS(X!$F$5:$F$2005,X!$D$5:$D$2005,'Current Stock'!A207)</f>
        <v>0</v>
      </c>
      <c r="H207" s="4">
        <f>SUMIFS(PENJUALAN!$E$4:$E$11000,PENJUALAN!$C$4:$C$11000,'Current Stock'!A207)</f>
        <v>0</v>
      </c>
      <c r="I207" s="16">
        <f t="shared" si="2"/>
        <v>0</v>
      </c>
      <c r="J207" s="4"/>
      <c r="K207" s="4"/>
      <c r="L207" s="4"/>
      <c r="M207" s="4"/>
    </row>
    <row r="208" ht="13.5" customHeight="1">
      <c r="A208" s="4" t="str">
        <f t="shared" si="1"/>
        <v>LFW-CIVICGENIOFY</v>
      </c>
      <c r="B208" s="29" t="s">
        <v>378</v>
      </c>
      <c r="C208" s="28" t="s">
        <v>379</v>
      </c>
      <c r="D208" s="28" t="s">
        <v>22</v>
      </c>
      <c r="E208" s="4" t="s">
        <v>111</v>
      </c>
      <c r="F208" s="28" t="s">
        <v>125</v>
      </c>
      <c r="G208" s="4">
        <f>SUMIFS(X!$F$5:$F$2005,X!$D$5:$D$2005,'Current Stock'!A208)</f>
        <v>0</v>
      </c>
      <c r="H208" s="4">
        <f>SUMIFS(PENJUALAN!$E$4:$E$11000,PENJUALAN!$C$4:$C$11000,'Current Stock'!A208)</f>
        <v>0</v>
      </c>
      <c r="I208" s="16">
        <f t="shared" si="2"/>
        <v>0</v>
      </c>
      <c r="J208" s="4"/>
      <c r="K208" s="4"/>
      <c r="L208" s="4"/>
      <c r="M208" s="4"/>
    </row>
    <row r="209" ht="13.5" customHeight="1">
      <c r="A209" s="4" t="str">
        <f t="shared" si="1"/>
        <v>RDL-CIVICGENIOFY</v>
      </c>
      <c r="B209" s="29" t="s">
        <v>380</v>
      </c>
      <c r="C209" s="28" t="s">
        <v>379</v>
      </c>
      <c r="D209" s="28" t="s">
        <v>132</v>
      </c>
      <c r="E209" s="4" t="s">
        <v>111</v>
      </c>
      <c r="F209" s="28"/>
      <c r="G209" s="4">
        <f>SUMIFS(X!$F$5:$F$2005,X!$D$5:$D$2005,'Current Stock'!A209)</f>
        <v>0</v>
      </c>
      <c r="H209" s="4">
        <f>SUMIFS(PENJUALAN!$E$4:$E$11000,PENJUALAN!$C$4:$C$11000,'Current Stock'!A209)</f>
        <v>0</v>
      </c>
      <c r="I209" s="16">
        <f t="shared" si="2"/>
        <v>0</v>
      </c>
      <c r="J209" s="4"/>
      <c r="K209" s="4"/>
      <c r="L209" s="4"/>
      <c r="M209" s="4"/>
    </row>
    <row r="210" ht="13.5" customHeight="1">
      <c r="A210" s="4" t="str">
        <f t="shared" si="1"/>
        <v>TRW-CIVICGENIOFY</v>
      </c>
      <c r="B210" s="29" t="s">
        <v>381</v>
      </c>
      <c r="C210" s="28" t="s">
        <v>379</v>
      </c>
      <c r="D210" s="28" t="s">
        <v>41</v>
      </c>
      <c r="E210" s="4" t="s">
        <v>111</v>
      </c>
      <c r="F210" s="28" t="s">
        <v>67</v>
      </c>
      <c r="G210" s="4">
        <f>SUMIFS(X!$F$5:$F$2005,X!$D$5:$D$2005,'Current Stock'!A210)</f>
        <v>0</v>
      </c>
      <c r="H210" s="4">
        <f>SUMIFS(PENJUALAN!$E$4:$E$11000,PENJUALAN!$C$4:$C$11000,'Current Stock'!A210)</f>
        <v>0</v>
      </c>
      <c r="I210" s="16">
        <f t="shared" si="2"/>
        <v>0</v>
      </c>
      <c r="J210" s="4"/>
      <c r="K210" s="4"/>
      <c r="L210" s="4"/>
      <c r="M210" s="4"/>
    </row>
    <row r="211" ht="13.5" customHeight="1">
      <c r="A211" s="4" t="str">
        <f t="shared" si="1"/>
        <v>LFW-CIVIC96FY</v>
      </c>
      <c r="B211" s="29" t="s">
        <v>382</v>
      </c>
      <c r="C211" s="28" t="s">
        <v>383</v>
      </c>
      <c r="D211" s="28" t="s">
        <v>22</v>
      </c>
      <c r="E211" s="4" t="s">
        <v>111</v>
      </c>
      <c r="F211" s="28" t="s">
        <v>97</v>
      </c>
      <c r="G211" s="4">
        <f>SUMIFS(X!$F$5:$F$2005,X!$D$5:$D$2005,'Current Stock'!A211)</f>
        <v>0</v>
      </c>
      <c r="H211" s="4">
        <f>SUMIFS(PENJUALAN!$E$4:$E$11000,PENJUALAN!$C$4:$C$11000,'Current Stock'!A211)</f>
        <v>0</v>
      </c>
      <c r="I211" s="16">
        <f t="shared" si="2"/>
        <v>0</v>
      </c>
      <c r="J211" s="4"/>
      <c r="K211" s="4"/>
      <c r="L211" s="4"/>
      <c r="M211" s="4"/>
    </row>
    <row r="212" ht="13.5" customHeight="1">
      <c r="A212" s="4" t="str">
        <f t="shared" si="1"/>
        <v>TRW-CIVIC96FY</v>
      </c>
      <c r="B212" s="29" t="s">
        <v>384</v>
      </c>
      <c r="C212" s="28" t="s">
        <v>383</v>
      </c>
      <c r="D212" s="28" t="s">
        <v>41</v>
      </c>
      <c r="E212" s="4" t="s">
        <v>111</v>
      </c>
      <c r="F212" s="28" t="s">
        <v>67</v>
      </c>
      <c r="G212" s="4">
        <f>SUMIFS(X!$F$5:$F$2005,X!$D$5:$D$2005,'Current Stock'!A212)</f>
        <v>0</v>
      </c>
      <c r="H212" s="4">
        <f>SUMIFS(PENJUALAN!$E$4:$E$11000,PENJUALAN!$C$4:$C$11000,'Current Stock'!A212)</f>
        <v>0</v>
      </c>
      <c r="I212" s="16">
        <f t="shared" si="2"/>
        <v>0</v>
      </c>
      <c r="J212" s="4"/>
      <c r="K212" s="4"/>
      <c r="L212" s="4"/>
      <c r="M212" s="4"/>
    </row>
    <row r="213" ht="13.5" customHeight="1">
      <c r="A213" s="4" t="str">
        <f t="shared" si="1"/>
        <v>RDR-CIVIC96FY</v>
      </c>
      <c r="B213" s="29" t="s">
        <v>385</v>
      </c>
      <c r="C213" s="28" t="s">
        <v>383</v>
      </c>
      <c r="D213" s="28" t="s">
        <v>134</v>
      </c>
      <c r="E213" s="4" t="s">
        <v>111</v>
      </c>
      <c r="F213" s="28"/>
      <c r="G213" s="4">
        <f>SUMIFS(X!$F$5:$F$2005,X!$D$5:$D$2005,'Current Stock'!A213)</f>
        <v>0</v>
      </c>
      <c r="H213" s="4">
        <f>SUMIFS(PENJUALAN!$E$4:$E$11000,PENJUALAN!$C$4:$C$11000,'Current Stock'!A213)</f>
        <v>0</v>
      </c>
      <c r="I213" s="16">
        <f t="shared" si="2"/>
        <v>0</v>
      </c>
      <c r="J213" s="4"/>
      <c r="K213" s="4"/>
      <c r="L213" s="4"/>
      <c r="M213" s="4"/>
    </row>
    <row r="214" ht="13.5" customHeight="1">
      <c r="A214" s="4" t="str">
        <f t="shared" si="1"/>
        <v>RVL-CIVIC96FY</v>
      </c>
      <c r="B214" s="29" t="s">
        <v>386</v>
      </c>
      <c r="C214" s="28" t="s">
        <v>383</v>
      </c>
      <c r="D214" s="28" t="s">
        <v>387</v>
      </c>
      <c r="E214" s="4" t="s">
        <v>111</v>
      </c>
      <c r="F214" s="28" t="s">
        <v>97</v>
      </c>
      <c r="G214" s="4">
        <f>SUMIFS(X!$F$5:$F$2005,X!$D$5:$D$2005,'Current Stock'!A214)</f>
        <v>0</v>
      </c>
      <c r="H214" s="4">
        <f>SUMIFS(PENJUALAN!$E$4:$E$11000,PENJUALAN!$C$4:$C$11000,'Current Stock'!A214)</f>
        <v>0</v>
      </c>
      <c r="I214" s="16">
        <f t="shared" si="2"/>
        <v>0</v>
      </c>
      <c r="J214" s="4"/>
      <c r="K214" s="4"/>
      <c r="L214" s="4"/>
      <c r="M214" s="4"/>
    </row>
    <row r="215" ht="13.5" customHeight="1">
      <c r="A215" s="4" t="str">
        <f t="shared" si="1"/>
        <v>RVR-CIVIC96FY</v>
      </c>
      <c r="B215" s="29" t="s">
        <v>388</v>
      </c>
      <c r="C215" s="28" t="s">
        <v>383</v>
      </c>
      <c r="D215" s="28" t="s">
        <v>389</v>
      </c>
      <c r="E215" s="4" t="s">
        <v>111</v>
      </c>
      <c r="F215" s="28" t="s">
        <v>97</v>
      </c>
      <c r="G215" s="4">
        <f>SUMIFS(X!$F$5:$F$2005,X!$D$5:$D$2005,'Current Stock'!A215)</f>
        <v>0</v>
      </c>
      <c r="H215" s="4">
        <f>SUMIFS(PENJUALAN!$E$4:$E$11000,PENJUALAN!$C$4:$C$11000,'Current Stock'!A215)</f>
        <v>0</v>
      </c>
      <c r="I215" s="16">
        <f t="shared" si="2"/>
        <v>0</v>
      </c>
      <c r="J215" s="4"/>
      <c r="K215" s="4"/>
      <c r="L215" s="4"/>
      <c r="M215" s="4"/>
    </row>
    <row r="216" ht="13.5" customHeight="1">
      <c r="A216" s="4" t="str">
        <f t="shared" si="1"/>
        <v>LFW-CIVIC00FY</v>
      </c>
      <c r="B216" s="29" t="s">
        <v>390</v>
      </c>
      <c r="C216" s="28" t="s">
        <v>391</v>
      </c>
      <c r="D216" s="28" t="s">
        <v>22</v>
      </c>
      <c r="E216" s="4" t="s">
        <v>111</v>
      </c>
      <c r="F216" s="28" t="s">
        <v>97</v>
      </c>
      <c r="G216" s="4">
        <f>SUMIFS(X!$F$5:$F$2005,X!$D$5:$D$2005,'Current Stock'!A216)</f>
        <v>0</v>
      </c>
      <c r="H216" s="4">
        <f>SUMIFS(PENJUALAN!$E$4:$E$11000,PENJUALAN!$C$4:$C$11000,'Current Stock'!A216)</f>
        <v>0</v>
      </c>
      <c r="I216" s="16">
        <f t="shared" si="2"/>
        <v>0</v>
      </c>
      <c r="J216" s="4"/>
      <c r="K216" s="4"/>
      <c r="L216" s="4"/>
      <c r="M216" s="4"/>
    </row>
    <row r="217" ht="13.5" customHeight="1">
      <c r="A217" s="4" t="str">
        <f t="shared" si="1"/>
        <v>TRW-CIVIC00FY</v>
      </c>
      <c r="B217" s="29" t="s">
        <v>392</v>
      </c>
      <c r="C217" s="28" t="s">
        <v>391</v>
      </c>
      <c r="D217" s="28" t="s">
        <v>41</v>
      </c>
      <c r="E217" s="4" t="s">
        <v>111</v>
      </c>
      <c r="F217" s="28" t="s">
        <v>114</v>
      </c>
      <c r="G217" s="4">
        <f>SUMIFS(X!$F$5:$F$2005,X!$D$5:$D$2005,'Current Stock'!A217)</f>
        <v>0</v>
      </c>
      <c r="H217" s="4">
        <f>SUMIFS(PENJUALAN!$E$4:$E$11000,PENJUALAN!$C$4:$C$11000,'Current Stock'!A217)</f>
        <v>0</v>
      </c>
      <c r="I217" s="16">
        <f t="shared" si="2"/>
        <v>0</v>
      </c>
      <c r="J217" s="4"/>
      <c r="K217" s="4"/>
      <c r="L217" s="4"/>
      <c r="M217" s="4"/>
    </row>
    <row r="218" ht="13.5" customHeight="1">
      <c r="A218" s="4" t="str">
        <f t="shared" si="1"/>
        <v>LFW-CIVIC05FY</v>
      </c>
      <c r="B218" s="29" t="s">
        <v>393</v>
      </c>
      <c r="C218" s="28" t="s">
        <v>394</v>
      </c>
      <c r="D218" s="28" t="s">
        <v>22</v>
      </c>
      <c r="E218" s="4" t="s">
        <v>111</v>
      </c>
      <c r="F218" s="28" t="s">
        <v>125</v>
      </c>
      <c r="G218" s="4">
        <f>SUMIFS(X!$F$5:$F$2005,X!$D$5:$D$2005,'Current Stock'!A218)</f>
        <v>0</v>
      </c>
      <c r="H218" s="4">
        <f>SUMIFS(PENJUALAN!$E$4:$E$11000,PENJUALAN!$C$4:$C$11000,'Current Stock'!A218)</f>
        <v>0</v>
      </c>
      <c r="I218" s="16">
        <f t="shared" si="2"/>
        <v>0</v>
      </c>
      <c r="J218" s="4"/>
      <c r="K218" s="4"/>
      <c r="L218" s="4"/>
      <c r="M218" s="4"/>
    </row>
    <row r="219" ht="13.5" customHeight="1">
      <c r="A219" s="4" t="str">
        <f t="shared" si="1"/>
        <v>TRW-CIVIC05FY</v>
      </c>
      <c r="B219" s="29" t="s">
        <v>395</v>
      </c>
      <c r="C219" s="28" t="s">
        <v>394</v>
      </c>
      <c r="D219" s="28" t="s">
        <v>41</v>
      </c>
      <c r="E219" s="4" t="s">
        <v>111</v>
      </c>
      <c r="F219" s="28" t="s">
        <v>67</v>
      </c>
      <c r="G219" s="4">
        <f>SUMIFS(X!$F$5:$F$2005,X!$D$5:$D$2005,'Current Stock'!A219)</f>
        <v>0</v>
      </c>
      <c r="H219" s="4">
        <f>SUMIFS(PENJUALAN!$E$4:$E$11000,PENJUALAN!$C$4:$C$11000,'Current Stock'!A219)</f>
        <v>0</v>
      </c>
      <c r="I219" s="16">
        <f t="shared" si="2"/>
        <v>0</v>
      </c>
      <c r="J219" s="4"/>
      <c r="K219" s="4"/>
      <c r="L219" s="4"/>
      <c r="M219" s="4"/>
    </row>
    <row r="220" ht="13.5" customHeight="1">
      <c r="A220" s="4" t="str">
        <f t="shared" si="1"/>
        <v>FDL-CIVIC05FY</v>
      </c>
      <c r="B220" s="29" t="s">
        <v>396</v>
      </c>
      <c r="C220" s="28" t="s">
        <v>394</v>
      </c>
      <c r="D220" s="28" t="s">
        <v>128</v>
      </c>
      <c r="E220" s="4" t="s">
        <v>111</v>
      </c>
      <c r="F220" s="28" t="s">
        <v>397</v>
      </c>
      <c r="G220" s="4">
        <f>SUMIFS(X!$F$5:$F$2005,X!$D$5:$D$2005,'Current Stock'!A220)</f>
        <v>0</v>
      </c>
      <c r="H220" s="4">
        <f>SUMIFS(PENJUALAN!$E$4:$E$11000,PENJUALAN!$C$4:$C$11000,'Current Stock'!A220)</f>
        <v>0</v>
      </c>
      <c r="I220" s="16">
        <f t="shared" si="2"/>
        <v>0</v>
      </c>
      <c r="J220" s="4"/>
      <c r="K220" s="4"/>
      <c r="L220" s="4"/>
      <c r="M220" s="4"/>
    </row>
    <row r="221" ht="13.5" customHeight="1">
      <c r="A221" s="4" t="str">
        <f t="shared" si="1"/>
        <v>FDR-CIVIC05FY</v>
      </c>
      <c r="B221" s="29" t="s">
        <v>398</v>
      </c>
      <c r="C221" s="28" t="s">
        <v>394</v>
      </c>
      <c r="D221" s="28" t="s">
        <v>130</v>
      </c>
      <c r="E221" s="4" t="s">
        <v>111</v>
      </c>
      <c r="F221" s="28" t="s">
        <v>397</v>
      </c>
      <c r="G221" s="4">
        <f>SUMIFS(X!$F$5:$F$2005,X!$D$5:$D$2005,'Current Stock'!A221)</f>
        <v>0</v>
      </c>
      <c r="H221" s="4">
        <f>SUMIFS(PENJUALAN!$E$4:$E$11000,PENJUALAN!$C$4:$C$11000,'Current Stock'!A221)</f>
        <v>0</v>
      </c>
      <c r="I221" s="16">
        <f t="shared" si="2"/>
        <v>0</v>
      </c>
      <c r="J221" s="4"/>
      <c r="K221" s="4"/>
      <c r="L221" s="4"/>
      <c r="M221" s="4"/>
    </row>
    <row r="222" ht="13.5" customHeight="1">
      <c r="A222" s="4" t="str">
        <f t="shared" si="1"/>
        <v>FVL-CIVIC05FY</v>
      </c>
      <c r="B222" s="29" t="s">
        <v>399</v>
      </c>
      <c r="C222" s="28" t="s">
        <v>394</v>
      </c>
      <c r="D222" s="28" t="s">
        <v>400</v>
      </c>
      <c r="E222" s="4" t="s">
        <v>111</v>
      </c>
      <c r="F222" s="28" t="s">
        <v>97</v>
      </c>
      <c r="G222" s="4">
        <f>SUMIFS(X!$F$5:$F$2005,X!$D$5:$D$2005,'Current Stock'!A222)</f>
        <v>0</v>
      </c>
      <c r="H222" s="4">
        <f>SUMIFS(PENJUALAN!$E$4:$E$11000,PENJUALAN!$C$4:$C$11000,'Current Stock'!A222)</f>
        <v>0</v>
      </c>
      <c r="I222" s="16">
        <f t="shared" si="2"/>
        <v>0</v>
      </c>
      <c r="J222" s="4"/>
      <c r="K222" s="4"/>
      <c r="L222" s="4"/>
      <c r="M222" s="4"/>
    </row>
    <row r="223" ht="13.5" customHeight="1">
      <c r="A223" s="4" t="str">
        <f t="shared" si="1"/>
        <v>FVR-CIVIC05FY</v>
      </c>
      <c r="B223" s="29" t="s">
        <v>401</v>
      </c>
      <c r="C223" s="28" t="s">
        <v>394</v>
      </c>
      <c r="D223" s="28" t="s">
        <v>402</v>
      </c>
      <c r="E223" s="4" t="s">
        <v>111</v>
      </c>
      <c r="F223" s="28" t="s">
        <v>97</v>
      </c>
      <c r="G223" s="4">
        <f>SUMIFS(X!$F$5:$F$2005,X!$D$5:$D$2005,'Current Stock'!A223)</f>
        <v>0</v>
      </c>
      <c r="H223" s="4">
        <f>SUMIFS(PENJUALAN!$E$4:$E$11000,PENJUALAN!$C$4:$C$11000,'Current Stock'!A223)</f>
        <v>0</v>
      </c>
      <c r="I223" s="16">
        <f t="shared" si="2"/>
        <v>0</v>
      </c>
      <c r="J223" s="4"/>
      <c r="K223" s="4"/>
      <c r="L223" s="4"/>
      <c r="M223" s="4"/>
    </row>
    <row r="224" ht="13.5" customHeight="1">
      <c r="A224" s="4" t="str">
        <f t="shared" si="1"/>
        <v>RVL-CIVIC05FY</v>
      </c>
      <c r="B224" s="29" t="s">
        <v>403</v>
      </c>
      <c r="C224" s="28" t="s">
        <v>394</v>
      </c>
      <c r="D224" s="28" t="s">
        <v>387</v>
      </c>
      <c r="E224" s="4" t="s">
        <v>111</v>
      </c>
      <c r="F224" s="28"/>
      <c r="G224" s="4">
        <f>SUMIFS(X!$F$5:$F$2005,X!$D$5:$D$2005,'Current Stock'!A224)</f>
        <v>0</v>
      </c>
      <c r="H224" s="4">
        <f>SUMIFS(PENJUALAN!$E$4:$E$11000,PENJUALAN!$C$4:$C$11000,'Current Stock'!A224)</f>
        <v>0</v>
      </c>
      <c r="I224" s="16">
        <f t="shared" si="2"/>
        <v>0</v>
      </c>
      <c r="J224" s="4"/>
      <c r="K224" s="4"/>
      <c r="L224" s="4"/>
      <c r="M224" s="4"/>
    </row>
    <row r="225" ht="13.5" customHeight="1">
      <c r="A225" s="4" t="str">
        <f t="shared" si="1"/>
        <v>RVR-CIVIC05FY</v>
      </c>
      <c r="B225" s="29" t="s">
        <v>404</v>
      </c>
      <c r="C225" s="28" t="s">
        <v>394</v>
      </c>
      <c r="D225" s="28" t="s">
        <v>389</v>
      </c>
      <c r="E225" s="4" t="s">
        <v>111</v>
      </c>
      <c r="F225" s="28"/>
      <c r="G225" s="4">
        <f>SUMIFS(X!$F$5:$F$2005,X!$D$5:$D$2005,'Current Stock'!A225)</f>
        <v>0</v>
      </c>
      <c r="H225" s="4">
        <f>SUMIFS(PENJUALAN!$E$4:$E$11000,PENJUALAN!$C$4:$C$11000,'Current Stock'!A225)</f>
        <v>0</v>
      </c>
      <c r="I225" s="16">
        <f t="shared" si="2"/>
        <v>0</v>
      </c>
      <c r="J225" s="4"/>
      <c r="K225" s="4"/>
      <c r="L225" s="4"/>
      <c r="M225" s="4"/>
    </row>
    <row r="226" ht="13.5" customHeight="1">
      <c r="A226" s="4" t="str">
        <f t="shared" si="1"/>
        <v>LFW-CIVIC11FY</v>
      </c>
      <c r="B226" s="29" t="s">
        <v>405</v>
      </c>
      <c r="C226" s="28" t="s">
        <v>406</v>
      </c>
      <c r="D226" s="28" t="s">
        <v>22</v>
      </c>
      <c r="E226" s="4" t="s">
        <v>111</v>
      </c>
      <c r="F226" s="28" t="s">
        <v>125</v>
      </c>
      <c r="G226" s="4">
        <f>SUMIFS(X!$F$5:$F$2005,X!$D$5:$D$2005,'Current Stock'!A226)</f>
        <v>0</v>
      </c>
      <c r="H226" s="4">
        <f>SUMIFS(PENJUALAN!$E$4:$E$11000,PENJUALAN!$C$4:$C$11000,'Current Stock'!A226)</f>
        <v>0</v>
      </c>
      <c r="I226" s="16">
        <f t="shared" si="2"/>
        <v>0</v>
      </c>
      <c r="J226" s="4"/>
      <c r="K226" s="4"/>
      <c r="L226" s="4"/>
      <c r="M226" s="4"/>
    </row>
    <row r="227" ht="13.5" customHeight="1">
      <c r="A227" s="4" t="str">
        <f t="shared" si="1"/>
        <v>TRW-CIVIC11FY</v>
      </c>
      <c r="B227" s="29" t="s">
        <v>407</v>
      </c>
      <c r="C227" s="28" t="s">
        <v>406</v>
      </c>
      <c r="D227" s="28" t="s">
        <v>41</v>
      </c>
      <c r="E227" s="4" t="s">
        <v>111</v>
      </c>
      <c r="F227" s="28" t="s">
        <v>114</v>
      </c>
      <c r="G227" s="4">
        <f>SUMIFS(X!$F$5:$F$2005,X!$D$5:$D$2005,'Current Stock'!A227)</f>
        <v>0</v>
      </c>
      <c r="H227" s="4">
        <f>SUMIFS(PENJUALAN!$E$4:$E$11000,PENJUALAN!$C$4:$C$11000,'Current Stock'!A227)</f>
        <v>0</v>
      </c>
      <c r="I227" s="16">
        <f t="shared" si="2"/>
        <v>0</v>
      </c>
      <c r="J227" s="4"/>
      <c r="K227" s="4"/>
      <c r="L227" s="4"/>
      <c r="M227" s="4"/>
    </row>
    <row r="228" ht="13.5" customHeight="1">
      <c r="A228" s="4" t="str">
        <f t="shared" si="1"/>
        <v>TRW-CIVIC16SEDFY</v>
      </c>
      <c r="B228" s="29" t="s">
        <v>408</v>
      </c>
      <c r="C228" s="28" t="s">
        <v>409</v>
      </c>
      <c r="D228" s="28" t="s">
        <v>41</v>
      </c>
      <c r="E228" s="4" t="s">
        <v>111</v>
      </c>
      <c r="F228" s="28" t="s">
        <v>114</v>
      </c>
      <c r="G228" s="4">
        <f>SUMIFS(X!$F$5:$F$2005,X!$D$5:$D$2005,'Current Stock'!A228)</f>
        <v>0</v>
      </c>
      <c r="H228" s="4">
        <f>SUMIFS(PENJUALAN!$E$4:$E$11000,PENJUALAN!$C$4:$C$11000,'Current Stock'!A228)</f>
        <v>0</v>
      </c>
      <c r="I228" s="16">
        <f t="shared" si="2"/>
        <v>0</v>
      </c>
      <c r="J228" s="4"/>
      <c r="K228" s="4"/>
      <c r="L228" s="4"/>
      <c r="M228" s="4"/>
    </row>
    <row r="229" ht="13.5" customHeight="1">
      <c r="A229" s="4" t="str">
        <f t="shared" si="1"/>
        <v>LFW-CRV95FY</v>
      </c>
      <c r="B229" s="29" t="s">
        <v>410</v>
      </c>
      <c r="C229" s="28" t="s">
        <v>411</v>
      </c>
      <c r="D229" s="28" t="s">
        <v>22</v>
      </c>
      <c r="E229" s="4" t="s">
        <v>111</v>
      </c>
      <c r="F229" s="28" t="s">
        <v>97</v>
      </c>
      <c r="G229" s="4">
        <f>SUMIFS(X!$F$5:$F$2005,X!$D$5:$D$2005,'Current Stock'!A229)</f>
        <v>0</v>
      </c>
      <c r="H229" s="4">
        <f>SUMIFS(PENJUALAN!$E$4:$E$11000,PENJUALAN!$C$4:$C$11000,'Current Stock'!A229)</f>
        <v>0</v>
      </c>
      <c r="I229" s="16">
        <f t="shared" si="2"/>
        <v>0</v>
      </c>
      <c r="J229" s="4"/>
      <c r="K229" s="4"/>
      <c r="L229" s="4"/>
      <c r="M229" s="4"/>
    </row>
    <row r="230" ht="13.5" customHeight="1">
      <c r="A230" s="4" t="str">
        <f t="shared" si="1"/>
        <v>TRW-CRV95FY</v>
      </c>
      <c r="B230" s="29" t="s">
        <v>412</v>
      </c>
      <c r="C230" s="28" t="s">
        <v>411</v>
      </c>
      <c r="D230" s="28" t="s">
        <v>41</v>
      </c>
      <c r="E230" s="4" t="s">
        <v>111</v>
      </c>
      <c r="F230" s="28" t="s">
        <v>373</v>
      </c>
      <c r="G230" s="4">
        <f>SUMIFS(X!$F$5:$F$2005,X!$D$5:$D$2005,'Current Stock'!A230)</f>
        <v>0</v>
      </c>
      <c r="H230" s="4">
        <f>SUMIFS(PENJUALAN!$E$4:$E$11000,PENJUALAN!$C$4:$C$11000,'Current Stock'!A230)</f>
        <v>0</v>
      </c>
      <c r="I230" s="16">
        <f t="shared" si="2"/>
        <v>0</v>
      </c>
      <c r="J230" s="4"/>
      <c r="K230" s="4"/>
      <c r="L230" s="4"/>
      <c r="M230" s="4"/>
    </row>
    <row r="231" ht="13.5" customHeight="1">
      <c r="A231" s="4" t="str">
        <f t="shared" si="1"/>
        <v>FDL-CRV95FY</v>
      </c>
      <c r="B231" s="29" t="s">
        <v>413</v>
      </c>
      <c r="C231" s="28" t="s">
        <v>411</v>
      </c>
      <c r="D231" s="28" t="s">
        <v>128</v>
      </c>
      <c r="E231" s="4" t="s">
        <v>111</v>
      </c>
      <c r="F231" s="28"/>
      <c r="G231" s="4">
        <f>SUMIFS(X!$F$5:$F$2005,X!$D$5:$D$2005,'Current Stock'!A231)</f>
        <v>0</v>
      </c>
      <c r="H231" s="4">
        <f>SUMIFS(PENJUALAN!$E$4:$E$11000,PENJUALAN!$C$4:$C$11000,'Current Stock'!A231)</f>
        <v>0</v>
      </c>
      <c r="I231" s="16">
        <f t="shared" si="2"/>
        <v>0</v>
      </c>
      <c r="J231" s="4"/>
      <c r="K231" s="4"/>
      <c r="L231" s="4"/>
      <c r="M231" s="4"/>
    </row>
    <row r="232" ht="13.5" customHeight="1">
      <c r="A232" s="4" t="str">
        <f t="shared" si="1"/>
        <v>FDR-CRV95FY</v>
      </c>
      <c r="B232" s="29" t="s">
        <v>414</v>
      </c>
      <c r="C232" s="28" t="s">
        <v>411</v>
      </c>
      <c r="D232" s="28" t="s">
        <v>130</v>
      </c>
      <c r="E232" s="4" t="s">
        <v>111</v>
      </c>
      <c r="F232" s="28"/>
      <c r="G232" s="4">
        <f>SUMIFS(X!$F$5:$F$2005,X!$D$5:$D$2005,'Current Stock'!A232)</f>
        <v>0</v>
      </c>
      <c r="H232" s="4">
        <f>SUMIFS(PENJUALAN!$E$4:$E$11000,PENJUALAN!$C$4:$C$11000,'Current Stock'!A232)</f>
        <v>0</v>
      </c>
      <c r="I232" s="16">
        <f t="shared" si="2"/>
        <v>0</v>
      </c>
      <c r="J232" s="4"/>
      <c r="K232" s="4"/>
      <c r="L232" s="4"/>
      <c r="M232" s="4"/>
    </row>
    <row r="233" ht="13.5" customHeight="1">
      <c r="A233" s="4" t="str">
        <f t="shared" si="1"/>
        <v>RVL-CRV95FY</v>
      </c>
      <c r="B233" s="29" t="s">
        <v>415</v>
      </c>
      <c r="C233" s="28" t="s">
        <v>411</v>
      </c>
      <c r="D233" s="28" t="s">
        <v>387</v>
      </c>
      <c r="E233" s="4" t="s">
        <v>111</v>
      </c>
      <c r="F233" s="28"/>
      <c r="G233" s="4">
        <f>SUMIFS(X!$F$5:$F$2005,X!$D$5:$D$2005,'Current Stock'!A233)</f>
        <v>0</v>
      </c>
      <c r="H233" s="4">
        <f>SUMIFS(PENJUALAN!$E$4:$E$11000,PENJUALAN!$C$4:$C$11000,'Current Stock'!A233)</f>
        <v>0</v>
      </c>
      <c r="I233" s="16">
        <f t="shared" si="2"/>
        <v>0</v>
      </c>
      <c r="J233" s="4"/>
      <c r="K233" s="4"/>
      <c r="L233" s="4"/>
      <c r="M233" s="4"/>
    </row>
    <row r="234" ht="13.5" customHeight="1">
      <c r="A234" s="4" t="str">
        <f t="shared" si="1"/>
        <v>RVR-CRV95FY</v>
      </c>
      <c r="B234" s="29" t="s">
        <v>416</v>
      </c>
      <c r="C234" s="28" t="s">
        <v>411</v>
      </c>
      <c r="D234" s="28" t="s">
        <v>389</v>
      </c>
      <c r="E234" s="4" t="s">
        <v>111</v>
      </c>
      <c r="F234" s="28"/>
      <c r="G234" s="4">
        <f>SUMIFS(X!$F$5:$F$2005,X!$D$5:$D$2005,'Current Stock'!A234)</f>
        <v>0</v>
      </c>
      <c r="H234" s="4">
        <f>SUMIFS(PENJUALAN!$E$4:$E$11000,PENJUALAN!$C$4:$C$11000,'Current Stock'!A234)</f>
        <v>0</v>
      </c>
      <c r="I234" s="16">
        <f t="shared" si="2"/>
        <v>0</v>
      </c>
      <c r="J234" s="4"/>
      <c r="K234" s="4"/>
      <c r="L234" s="4"/>
      <c r="M234" s="4"/>
    </row>
    <row r="235" ht="13.5" customHeight="1">
      <c r="A235" s="4" t="str">
        <f t="shared" si="1"/>
        <v>SWL-CRV95FY</v>
      </c>
      <c r="B235" s="29" t="s">
        <v>417</v>
      </c>
      <c r="C235" s="28" t="s">
        <v>411</v>
      </c>
      <c r="D235" s="28" t="s">
        <v>202</v>
      </c>
      <c r="E235" s="4" t="s">
        <v>111</v>
      </c>
      <c r="F235" s="28" t="s">
        <v>97</v>
      </c>
      <c r="G235" s="4">
        <f>SUMIFS(X!$F$5:$F$2005,X!$D$5:$D$2005,'Current Stock'!A235)</f>
        <v>0</v>
      </c>
      <c r="H235" s="4">
        <f>SUMIFS(PENJUALAN!$E$4:$E$11000,PENJUALAN!$C$4:$C$11000,'Current Stock'!A235)</f>
        <v>0</v>
      </c>
      <c r="I235" s="16">
        <f t="shared" si="2"/>
        <v>0</v>
      </c>
      <c r="J235" s="4"/>
      <c r="K235" s="4"/>
      <c r="L235" s="4"/>
      <c r="M235" s="4"/>
    </row>
    <row r="236" ht="13.5" customHeight="1">
      <c r="A236" s="4" t="str">
        <f t="shared" si="1"/>
        <v>SWR-CRV95FY</v>
      </c>
      <c r="B236" s="29" t="s">
        <v>418</v>
      </c>
      <c r="C236" s="28" t="s">
        <v>411</v>
      </c>
      <c r="D236" s="28" t="s">
        <v>236</v>
      </c>
      <c r="E236" s="4" t="s">
        <v>111</v>
      </c>
      <c r="F236" s="28" t="s">
        <v>97</v>
      </c>
      <c r="G236" s="4">
        <f>SUMIFS(X!$F$5:$F$2005,X!$D$5:$D$2005,'Current Stock'!A236)</f>
        <v>0</v>
      </c>
      <c r="H236" s="4">
        <f>SUMIFS(PENJUALAN!$E$4:$E$11000,PENJUALAN!$C$4:$C$11000,'Current Stock'!A236)</f>
        <v>0</v>
      </c>
      <c r="I236" s="16">
        <f t="shared" si="2"/>
        <v>0</v>
      </c>
      <c r="J236" s="4"/>
      <c r="K236" s="4"/>
      <c r="L236" s="4"/>
      <c r="M236" s="4"/>
    </row>
    <row r="237" ht="13.5" customHeight="1">
      <c r="A237" s="4" t="str">
        <f t="shared" si="1"/>
        <v>RDR-DMAX1MSG</v>
      </c>
      <c r="B237" s="15" t="s">
        <v>419</v>
      </c>
      <c r="C237" s="15" t="s">
        <v>40</v>
      </c>
      <c r="D237" s="15" t="s">
        <v>70</v>
      </c>
      <c r="E237" s="15" t="s">
        <v>42</v>
      </c>
      <c r="F237" s="18"/>
      <c r="G237" s="4">
        <f>SUMIFS(X!$F$5:$F$2005,X!$D$5:$D$2005,'Current Stock'!A237)</f>
        <v>2</v>
      </c>
      <c r="H237" s="4">
        <f>SUMIFS(PENJUALAN!$E$4:$E$11000,PENJUALAN!$C$4:$C$11000,'Current Stock'!A237)</f>
        <v>1</v>
      </c>
      <c r="I237" s="16">
        <f t="shared" si="2"/>
        <v>1</v>
      </c>
      <c r="J237" s="15" t="s">
        <v>48</v>
      </c>
      <c r="K237" s="15"/>
      <c r="L237" s="18"/>
      <c r="M237" s="18"/>
    </row>
    <row r="238" ht="13.5" customHeight="1">
      <c r="A238" s="4" t="str">
        <f t="shared" si="1"/>
        <v>LFW-CRV05FY</v>
      </c>
      <c r="B238" s="29" t="s">
        <v>420</v>
      </c>
      <c r="C238" s="28" t="s">
        <v>421</v>
      </c>
      <c r="D238" s="28" t="s">
        <v>22</v>
      </c>
      <c r="E238" s="4" t="s">
        <v>111</v>
      </c>
      <c r="F238" s="28" t="s">
        <v>125</v>
      </c>
      <c r="G238" s="4">
        <f>SUMIFS(X!$F$5:$F$2005,X!$D$5:$D$2005,'Current Stock'!A238)</f>
        <v>0</v>
      </c>
      <c r="H238" s="4">
        <f>SUMIFS(PENJUALAN!$E$4:$E$11000,PENJUALAN!$C$4:$C$11000,'Current Stock'!A238)</f>
        <v>0</v>
      </c>
      <c r="I238" s="16">
        <f t="shared" si="2"/>
        <v>0</v>
      </c>
      <c r="J238" s="4"/>
      <c r="K238" s="4"/>
      <c r="L238" s="4"/>
      <c r="M238" s="4"/>
    </row>
    <row r="239" ht="13.5" customHeight="1">
      <c r="A239" s="4" t="str">
        <f t="shared" si="1"/>
        <v>TRW-CRV02FY</v>
      </c>
      <c r="B239" s="29" t="s">
        <v>422</v>
      </c>
      <c r="C239" s="28" t="s">
        <v>423</v>
      </c>
      <c r="D239" s="28" t="s">
        <v>41</v>
      </c>
      <c r="E239" s="4" t="s">
        <v>111</v>
      </c>
      <c r="F239" s="28" t="s">
        <v>227</v>
      </c>
      <c r="G239" s="4">
        <f>SUMIFS(X!$F$5:$F$2005,X!$D$5:$D$2005,'Current Stock'!A239)</f>
        <v>0</v>
      </c>
      <c r="H239" s="4">
        <f>SUMIFS(PENJUALAN!$E$4:$E$11000,PENJUALAN!$C$4:$C$11000,'Current Stock'!A239)</f>
        <v>0</v>
      </c>
      <c r="I239" s="16">
        <f t="shared" si="2"/>
        <v>0</v>
      </c>
      <c r="J239" s="4"/>
      <c r="K239" s="4"/>
      <c r="L239" s="4"/>
      <c r="M239" s="4"/>
    </row>
    <row r="240" ht="13.5" customHeight="1">
      <c r="A240" s="4" t="str">
        <f t="shared" si="1"/>
        <v>RDL-CRV02FY</v>
      </c>
      <c r="B240" s="29" t="s">
        <v>424</v>
      </c>
      <c r="C240" s="28" t="s">
        <v>423</v>
      </c>
      <c r="D240" s="28" t="s">
        <v>132</v>
      </c>
      <c r="E240" s="4" t="s">
        <v>111</v>
      </c>
      <c r="F240" s="28"/>
      <c r="G240" s="4">
        <f>SUMIFS(X!$F$5:$F$2005,X!$D$5:$D$2005,'Current Stock'!A240)</f>
        <v>0</v>
      </c>
      <c r="H240" s="4">
        <f>SUMIFS(PENJUALAN!$E$4:$E$11000,PENJUALAN!$C$4:$C$11000,'Current Stock'!A240)</f>
        <v>0</v>
      </c>
      <c r="I240" s="16">
        <f t="shared" si="2"/>
        <v>0</v>
      </c>
      <c r="J240" s="4"/>
      <c r="K240" s="4"/>
      <c r="L240" s="4"/>
      <c r="M240" s="4"/>
    </row>
    <row r="241" ht="13.5" customHeight="1">
      <c r="A241" s="4" t="str">
        <f t="shared" si="1"/>
        <v>RDR-CRV02FY</v>
      </c>
      <c r="B241" s="29" t="s">
        <v>425</v>
      </c>
      <c r="C241" s="28" t="s">
        <v>423</v>
      </c>
      <c r="D241" s="28" t="s">
        <v>134</v>
      </c>
      <c r="E241" s="4" t="s">
        <v>111</v>
      </c>
      <c r="F241" s="28"/>
      <c r="G241" s="4">
        <f>SUMIFS(X!$F$5:$F$2005,X!$D$5:$D$2005,'Current Stock'!A241)</f>
        <v>0</v>
      </c>
      <c r="H241" s="4">
        <f>SUMIFS(PENJUALAN!$E$4:$E$11000,PENJUALAN!$C$4:$C$11000,'Current Stock'!A241)</f>
        <v>0</v>
      </c>
      <c r="I241" s="16">
        <f t="shared" si="2"/>
        <v>0</v>
      </c>
      <c r="J241" s="4"/>
      <c r="K241" s="4"/>
      <c r="L241" s="4"/>
      <c r="M241" s="4"/>
    </row>
    <row r="242" ht="13.5" customHeight="1">
      <c r="A242" s="4" t="str">
        <f t="shared" si="1"/>
        <v>SWL-CRV02FY</v>
      </c>
      <c r="B242" s="29" t="s">
        <v>426</v>
      </c>
      <c r="C242" s="28" t="s">
        <v>423</v>
      </c>
      <c r="D242" s="28" t="s">
        <v>202</v>
      </c>
      <c r="E242" s="4" t="s">
        <v>111</v>
      </c>
      <c r="F242" s="28" t="s">
        <v>97</v>
      </c>
      <c r="G242" s="4">
        <f>SUMIFS(X!$F$5:$F$2005,X!$D$5:$D$2005,'Current Stock'!A242)</f>
        <v>0</v>
      </c>
      <c r="H242" s="4">
        <f>SUMIFS(PENJUALAN!$E$4:$E$11000,PENJUALAN!$C$4:$C$11000,'Current Stock'!A242)</f>
        <v>0</v>
      </c>
      <c r="I242" s="16">
        <f t="shared" si="2"/>
        <v>0</v>
      </c>
      <c r="J242" s="4"/>
      <c r="K242" s="4"/>
      <c r="L242" s="4"/>
      <c r="M242" s="4"/>
    </row>
    <row r="243" ht="13.5" customHeight="1">
      <c r="A243" s="4" t="str">
        <f t="shared" si="1"/>
        <v>SWR-CRV02FY</v>
      </c>
      <c r="B243" s="29" t="s">
        <v>427</v>
      </c>
      <c r="C243" s="28" t="s">
        <v>423</v>
      </c>
      <c r="D243" s="28" t="s">
        <v>236</v>
      </c>
      <c r="E243" s="4" t="s">
        <v>111</v>
      </c>
      <c r="F243" s="28" t="s">
        <v>97</v>
      </c>
      <c r="G243" s="4">
        <f>SUMIFS(X!$F$5:$F$2005,X!$D$5:$D$2005,'Current Stock'!A243)</f>
        <v>0</v>
      </c>
      <c r="H243" s="4">
        <f>SUMIFS(PENJUALAN!$E$4:$E$11000,PENJUALAN!$C$4:$C$11000,'Current Stock'!A243)</f>
        <v>0</v>
      </c>
      <c r="I243" s="16">
        <f t="shared" si="2"/>
        <v>0</v>
      </c>
      <c r="J243" s="4"/>
      <c r="K243" s="4"/>
      <c r="L243" s="4"/>
      <c r="M243" s="4"/>
    </row>
    <row r="244" ht="13.5" customHeight="1">
      <c r="A244" s="4" t="str">
        <f t="shared" si="1"/>
        <v>LFW-CRV07FY</v>
      </c>
      <c r="B244" s="29" t="s">
        <v>428</v>
      </c>
      <c r="C244" s="28" t="s">
        <v>429</v>
      </c>
      <c r="D244" s="28" t="s">
        <v>22</v>
      </c>
      <c r="E244" s="4" t="s">
        <v>111</v>
      </c>
      <c r="F244" s="28" t="s">
        <v>125</v>
      </c>
      <c r="G244" s="4">
        <f>SUMIFS(X!$F$5:$F$2005,X!$D$5:$D$2005,'Current Stock'!A244)</f>
        <v>0</v>
      </c>
      <c r="H244" s="4">
        <f>SUMIFS(PENJUALAN!$E$4:$E$11000,PENJUALAN!$C$4:$C$11000,'Current Stock'!A244)</f>
        <v>0</v>
      </c>
      <c r="I244" s="16">
        <f t="shared" si="2"/>
        <v>0</v>
      </c>
      <c r="J244" s="4"/>
      <c r="K244" s="4"/>
      <c r="L244" s="4"/>
      <c r="M244" s="4"/>
    </row>
    <row r="245" ht="13.5" customHeight="1">
      <c r="A245" s="4" t="str">
        <f t="shared" si="1"/>
        <v>TRW-CRV07FY</v>
      </c>
      <c r="B245" s="29" t="s">
        <v>430</v>
      </c>
      <c r="C245" s="28" t="s">
        <v>429</v>
      </c>
      <c r="D245" s="28" t="s">
        <v>41</v>
      </c>
      <c r="E245" s="4" t="s">
        <v>111</v>
      </c>
      <c r="F245" s="28" t="s">
        <v>431</v>
      </c>
      <c r="G245" s="4">
        <f>SUMIFS(X!$F$5:$F$2005,X!$D$5:$D$2005,'Current Stock'!A245)</f>
        <v>0</v>
      </c>
      <c r="H245" s="4">
        <f>SUMIFS(PENJUALAN!$E$4:$E$11000,PENJUALAN!$C$4:$C$11000,'Current Stock'!A245)</f>
        <v>0</v>
      </c>
      <c r="I245" s="16">
        <f t="shared" si="2"/>
        <v>0</v>
      </c>
      <c r="J245" s="4"/>
      <c r="K245" s="4"/>
      <c r="L245" s="4"/>
      <c r="M245" s="4"/>
    </row>
    <row r="246" ht="13.5" customHeight="1">
      <c r="A246" s="4" t="str">
        <f t="shared" si="1"/>
        <v>SWL-CRV07FY</v>
      </c>
      <c r="B246" s="29" t="s">
        <v>432</v>
      </c>
      <c r="C246" s="28" t="s">
        <v>429</v>
      </c>
      <c r="D246" s="28" t="s">
        <v>202</v>
      </c>
      <c r="E246" s="4" t="s">
        <v>111</v>
      </c>
      <c r="F246" s="28" t="s">
        <v>97</v>
      </c>
      <c r="G246" s="4">
        <f>SUMIFS(X!$F$5:$F$2005,X!$D$5:$D$2005,'Current Stock'!A246)</f>
        <v>0</v>
      </c>
      <c r="H246" s="4">
        <f>SUMIFS(PENJUALAN!$E$4:$E$11000,PENJUALAN!$C$4:$C$11000,'Current Stock'!A246)</f>
        <v>0</v>
      </c>
      <c r="I246" s="16">
        <f t="shared" si="2"/>
        <v>0</v>
      </c>
      <c r="J246" s="4"/>
      <c r="K246" s="4"/>
      <c r="L246" s="4"/>
      <c r="M246" s="4"/>
    </row>
    <row r="247" ht="13.5" customHeight="1">
      <c r="A247" s="4" t="str">
        <f t="shared" si="1"/>
        <v>SWR-CRV07FY</v>
      </c>
      <c r="B247" s="29" t="s">
        <v>433</v>
      </c>
      <c r="C247" s="28" t="s">
        <v>429</v>
      </c>
      <c r="D247" s="28" t="s">
        <v>236</v>
      </c>
      <c r="E247" s="4" t="s">
        <v>111</v>
      </c>
      <c r="F247" s="28" t="s">
        <v>97</v>
      </c>
      <c r="G247" s="4">
        <f>SUMIFS(X!$F$5:$F$2005,X!$D$5:$D$2005,'Current Stock'!A247)</f>
        <v>0</v>
      </c>
      <c r="H247" s="4">
        <f>SUMIFS(PENJUALAN!$E$4:$E$11000,PENJUALAN!$C$4:$C$11000,'Current Stock'!A247)</f>
        <v>0</v>
      </c>
      <c r="I247" s="16">
        <f t="shared" si="2"/>
        <v>0</v>
      </c>
      <c r="J247" s="4"/>
      <c r="K247" s="4"/>
      <c r="L247" s="4"/>
      <c r="M247" s="4"/>
    </row>
    <row r="248" ht="13.5" customHeight="1">
      <c r="A248" s="4" t="str">
        <f t="shared" si="1"/>
        <v>LFW-CRV12FY</v>
      </c>
      <c r="B248" s="29" t="s">
        <v>434</v>
      </c>
      <c r="C248" s="28" t="s">
        <v>69</v>
      </c>
      <c r="D248" s="28" t="s">
        <v>22</v>
      </c>
      <c r="E248" s="4" t="s">
        <v>111</v>
      </c>
      <c r="F248" s="28" t="s">
        <v>125</v>
      </c>
      <c r="G248" s="4">
        <f>SUMIFS(X!$F$5:$F$2005,X!$D$5:$D$2005,'Current Stock'!A248)</f>
        <v>0</v>
      </c>
      <c r="H248" s="4">
        <f>SUMIFS(PENJUALAN!$E$4:$E$11000,PENJUALAN!$C$4:$C$11000,'Current Stock'!A248)</f>
        <v>0</v>
      </c>
      <c r="I248" s="16">
        <f t="shared" si="2"/>
        <v>0</v>
      </c>
      <c r="J248" s="4"/>
      <c r="K248" s="4"/>
      <c r="L248" s="4"/>
      <c r="M248" s="4"/>
    </row>
    <row r="249" ht="13.5" customHeight="1">
      <c r="A249" s="4" t="str">
        <f t="shared" si="1"/>
        <v>TRW-CRV12NONPFY</v>
      </c>
      <c r="B249" s="29" t="s">
        <v>435</v>
      </c>
      <c r="C249" s="28" t="s">
        <v>436</v>
      </c>
      <c r="D249" s="28" t="s">
        <v>41</v>
      </c>
      <c r="E249" s="4" t="s">
        <v>111</v>
      </c>
      <c r="F249" s="28" t="s">
        <v>221</v>
      </c>
      <c r="G249" s="4">
        <f>SUMIFS(X!$F$5:$F$2005,X!$D$5:$D$2005,'Current Stock'!A249)</f>
        <v>0</v>
      </c>
      <c r="H249" s="4">
        <f>SUMIFS(PENJUALAN!$E$4:$E$11000,PENJUALAN!$C$4:$C$11000,'Current Stock'!A249)</f>
        <v>0</v>
      </c>
      <c r="I249" s="16">
        <f t="shared" si="2"/>
        <v>0</v>
      </c>
      <c r="J249" s="4"/>
      <c r="K249" s="4"/>
      <c r="L249" s="4"/>
      <c r="M249" s="4"/>
    </row>
    <row r="250" ht="13.5" customHeight="1">
      <c r="A250" s="4" t="str">
        <f t="shared" si="1"/>
        <v>TRW-CRV12PRESTIGEFY</v>
      </c>
      <c r="B250" s="29" t="s">
        <v>437</v>
      </c>
      <c r="C250" s="28" t="s">
        <v>438</v>
      </c>
      <c r="D250" s="28" t="s">
        <v>41</v>
      </c>
      <c r="E250" s="4" t="s">
        <v>111</v>
      </c>
      <c r="F250" s="28" t="s">
        <v>439</v>
      </c>
      <c r="G250" s="4">
        <f>SUMIFS(X!$F$5:$F$2005,X!$D$5:$D$2005,'Current Stock'!A250)</f>
        <v>0</v>
      </c>
      <c r="H250" s="4">
        <f>SUMIFS(PENJUALAN!$E$4:$E$11000,PENJUALAN!$C$4:$C$11000,'Current Stock'!A250)</f>
        <v>0</v>
      </c>
      <c r="I250" s="16">
        <f t="shared" si="2"/>
        <v>0</v>
      </c>
      <c r="J250" s="4"/>
      <c r="K250" s="4"/>
      <c r="L250" s="4"/>
      <c r="M250" s="4"/>
    </row>
    <row r="251" ht="13.5" customHeight="1">
      <c r="A251" s="4" t="str">
        <f t="shared" si="1"/>
        <v>FDL-CRV12FY</v>
      </c>
      <c r="B251" s="29" t="s">
        <v>440</v>
      </c>
      <c r="C251" s="28" t="s">
        <v>69</v>
      </c>
      <c r="D251" s="28" t="s">
        <v>128</v>
      </c>
      <c r="E251" s="4" t="s">
        <v>111</v>
      </c>
      <c r="F251" s="28"/>
      <c r="G251" s="4">
        <f>SUMIFS(X!$F$5:$F$2005,X!$D$5:$D$2005,'Current Stock'!A251)</f>
        <v>0</v>
      </c>
      <c r="H251" s="4">
        <f>SUMIFS(PENJUALAN!$E$4:$E$11000,PENJUALAN!$C$4:$C$11000,'Current Stock'!A251)</f>
        <v>0</v>
      </c>
      <c r="I251" s="16">
        <f t="shared" si="2"/>
        <v>0</v>
      </c>
      <c r="J251" s="4"/>
      <c r="K251" s="4"/>
      <c r="L251" s="4"/>
      <c r="M251" s="4"/>
    </row>
    <row r="252" ht="13.5" customHeight="1">
      <c r="A252" s="4" t="str">
        <f t="shared" si="1"/>
        <v>FDR-CRV12FY</v>
      </c>
      <c r="B252" s="29" t="s">
        <v>441</v>
      </c>
      <c r="C252" s="28" t="s">
        <v>69</v>
      </c>
      <c r="D252" s="28" t="s">
        <v>130</v>
      </c>
      <c r="E252" s="4" t="s">
        <v>111</v>
      </c>
      <c r="F252" s="28"/>
      <c r="G252" s="4">
        <f>SUMIFS(X!$F$5:$F$2005,X!$D$5:$D$2005,'Current Stock'!A252)</f>
        <v>0</v>
      </c>
      <c r="H252" s="4">
        <f>SUMIFS(PENJUALAN!$E$4:$E$11000,PENJUALAN!$C$4:$C$11000,'Current Stock'!A252)</f>
        <v>0</v>
      </c>
      <c r="I252" s="16">
        <f t="shared" si="2"/>
        <v>0</v>
      </c>
      <c r="J252" s="4"/>
      <c r="K252" s="4"/>
      <c r="L252" s="4"/>
      <c r="M252" s="4"/>
    </row>
    <row r="253" ht="13.5" customHeight="1">
      <c r="A253" s="4" t="str">
        <f t="shared" si="1"/>
        <v>RDL-CRV12FY</v>
      </c>
      <c r="B253" s="29" t="s">
        <v>442</v>
      </c>
      <c r="C253" s="28" t="s">
        <v>69</v>
      </c>
      <c r="D253" s="28" t="s">
        <v>132</v>
      </c>
      <c r="E253" s="4" t="s">
        <v>111</v>
      </c>
      <c r="F253" s="28"/>
      <c r="G253" s="4">
        <f>SUMIFS(X!$F$5:$F$2005,X!$D$5:$D$2005,'Current Stock'!A253)</f>
        <v>0</v>
      </c>
      <c r="H253" s="4">
        <f>SUMIFS(PENJUALAN!$E$4:$E$11000,PENJUALAN!$C$4:$C$11000,'Current Stock'!A253)</f>
        <v>0</v>
      </c>
      <c r="I253" s="16">
        <f t="shared" si="2"/>
        <v>0</v>
      </c>
      <c r="J253" s="4"/>
      <c r="K253" s="4"/>
      <c r="L253" s="4"/>
      <c r="M253" s="4"/>
    </row>
    <row r="254" ht="13.5" customHeight="1">
      <c r="A254" s="4" t="str">
        <f t="shared" si="1"/>
        <v>RDR-CRV12FY</v>
      </c>
      <c r="B254" s="29" t="s">
        <v>68</v>
      </c>
      <c r="C254" s="28" t="s">
        <v>69</v>
      </c>
      <c r="D254" s="28" t="s">
        <v>134</v>
      </c>
      <c r="E254" s="4" t="s">
        <v>111</v>
      </c>
      <c r="F254" s="28"/>
      <c r="G254" s="4">
        <f>SUMIFS(X!$F$5:$F$2005,X!$D$5:$D$2005,'Current Stock'!A254)</f>
        <v>0</v>
      </c>
      <c r="H254" s="4">
        <f>SUMIFS(PENJUALAN!$E$4:$E$11000,PENJUALAN!$C$4:$C$11000,'Current Stock'!A254)</f>
        <v>0</v>
      </c>
      <c r="I254" s="16">
        <f t="shared" si="2"/>
        <v>0</v>
      </c>
      <c r="J254" s="4"/>
      <c r="K254" s="4"/>
      <c r="L254" s="4"/>
      <c r="M254" s="4"/>
    </row>
    <row r="255" ht="13.5" customHeight="1">
      <c r="A255" s="4" t="str">
        <f t="shared" si="1"/>
        <v>LFW-CRV17FY</v>
      </c>
      <c r="B255" s="29" t="s">
        <v>443</v>
      </c>
      <c r="C255" s="28" t="s">
        <v>444</v>
      </c>
      <c r="D255" s="28" t="s">
        <v>22</v>
      </c>
      <c r="E255" s="4" t="s">
        <v>111</v>
      </c>
      <c r="F255" s="28" t="s">
        <v>125</v>
      </c>
      <c r="G255" s="4">
        <f>SUMIFS(X!$F$5:$F$2005,X!$D$5:$D$2005,'Current Stock'!A255)</f>
        <v>0</v>
      </c>
      <c r="H255" s="4">
        <f>SUMIFS(PENJUALAN!$E$4:$E$11000,PENJUALAN!$C$4:$C$11000,'Current Stock'!A255)</f>
        <v>0</v>
      </c>
      <c r="I255" s="16">
        <f t="shared" si="2"/>
        <v>0</v>
      </c>
      <c r="J255" s="4"/>
      <c r="K255" s="4"/>
      <c r="L255" s="4"/>
      <c r="M255" s="4"/>
    </row>
    <row r="256" ht="13.5" customHeight="1">
      <c r="A256" s="4" t="str">
        <f t="shared" si="1"/>
        <v>TRW-CRV17FY</v>
      </c>
      <c r="B256" s="29" t="s">
        <v>445</v>
      </c>
      <c r="C256" s="28" t="s">
        <v>444</v>
      </c>
      <c r="D256" s="28" t="s">
        <v>41</v>
      </c>
      <c r="E256" s="4" t="s">
        <v>111</v>
      </c>
      <c r="F256" s="28" t="s">
        <v>439</v>
      </c>
      <c r="G256" s="4">
        <f>SUMIFS(X!$F$5:$F$2005,X!$D$5:$D$2005,'Current Stock'!A256)</f>
        <v>0</v>
      </c>
      <c r="H256" s="4">
        <f>SUMIFS(PENJUALAN!$E$4:$E$11000,PENJUALAN!$C$4:$C$11000,'Current Stock'!A256)</f>
        <v>0</v>
      </c>
      <c r="I256" s="16">
        <f t="shared" si="2"/>
        <v>0</v>
      </c>
      <c r="J256" s="4"/>
      <c r="K256" s="4"/>
      <c r="L256" s="4"/>
      <c r="M256" s="4"/>
    </row>
    <row r="257" ht="13.5" customHeight="1">
      <c r="A257" s="4" t="str">
        <f t="shared" si="1"/>
        <v>LFW-CRZFY</v>
      </c>
      <c r="B257" s="29" t="s">
        <v>446</v>
      </c>
      <c r="C257" s="28" t="s">
        <v>447</v>
      </c>
      <c r="D257" s="28" t="s">
        <v>22</v>
      </c>
      <c r="E257" s="4" t="s">
        <v>111</v>
      </c>
      <c r="F257" s="28" t="s">
        <v>75</v>
      </c>
      <c r="G257" s="4">
        <f>SUMIFS(X!$F$5:$F$2005,X!$D$5:$D$2005,'Current Stock'!A257)</f>
        <v>0</v>
      </c>
      <c r="H257" s="4">
        <f>SUMIFS(PENJUALAN!$E$4:$E$11000,PENJUALAN!$C$4:$C$11000,'Current Stock'!A257)</f>
        <v>0</v>
      </c>
      <c r="I257" s="16">
        <f t="shared" si="2"/>
        <v>0</v>
      </c>
      <c r="J257" s="4"/>
      <c r="K257" s="4"/>
      <c r="L257" s="4"/>
      <c r="M257" s="4"/>
    </row>
    <row r="258" ht="13.5" customHeight="1">
      <c r="A258" s="4" t="str">
        <f t="shared" si="1"/>
        <v>LFW-ELYSIONFY</v>
      </c>
      <c r="B258" s="29" t="s">
        <v>448</v>
      </c>
      <c r="C258" s="28" t="s">
        <v>449</v>
      </c>
      <c r="D258" s="28" t="s">
        <v>22</v>
      </c>
      <c r="E258" s="4" t="s">
        <v>111</v>
      </c>
      <c r="F258" s="28" t="s">
        <v>125</v>
      </c>
      <c r="G258" s="4">
        <f>SUMIFS(X!$F$5:$F$2005,X!$D$5:$D$2005,'Current Stock'!A258)</f>
        <v>0</v>
      </c>
      <c r="H258" s="4">
        <f>SUMIFS(PENJUALAN!$E$4:$E$11000,PENJUALAN!$C$4:$C$11000,'Current Stock'!A258)</f>
        <v>0</v>
      </c>
      <c r="I258" s="16">
        <f t="shared" si="2"/>
        <v>0</v>
      </c>
      <c r="J258" s="4"/>
      <c r="K258" s="4"/>
      <c r="L258" s="4"/>
      <c r="M258" s="4"/>
    </row>
    <row r="259" ht="13.5" customHeight="1">
      <c r="A259" s="4" t="str">
        <f t="shared" si="1"/>
        <v>TRW-ELYSIONRATAFY</v>
      </c>
      <c r="B259" s="29" t="s">
        <v>450</v>
      </c>
      <c r="C259" s="28" t="s">
        <v>451</v>
      </c>
      <c r="D259" s="28" t="s">
        <v>41</v>
      </c>
      <c r="E259" s="4" t="s">
        <v>111</v>
      </c>
      <c r="F259" s="28" t="s">
        <v>221</v>
      </c>
      <c r="G259" s="4">
        <f>SUMIFS(X!$F$5:$F$2005,X!$D$5:$D$2005,'Current Stock'!A259)</f>
        <v>0</v>
      </c>
      <c r="H259" s="4">
        <f>SUMIFS(PENJUALAN!$E$4:$E$11000,PENJUALAN!$C$4:$C$11000,'Current Stock'!A259)</f>
        <v>0</v>
      </c>
      <c r="I259" s="16">
        <f t="shared" si="2"/>
        <v>0</v>
      </c>
      <c r="J259" s="4"/>
      <c r="K259" s="4"/>
      <c r="L259" s="4"/>
      <c r="M259" s="4"/>
    </row>
    <row r="260" ht="13.5" customHeight="1">
      <c r="A260" s="4" t="str">
        <f t="shared" si="1"/>
        <v>TRW-ELYSIONCURVEFY</v>
      </c>
      <c r="B260" s="29" t="s">
        <v>452</v>
      </c>
      <c r="C260" s="28" t="s">
        <v>453</v>
      </c>
      <c r="D260" s="28" t="s">
        <v>41</v>
      </c>
      <c r="E260" s="4" t="s">
        <v>111</v>
      </c>
      <c r="F260" s="28" t="s">
        <v>439</v>
      </c>
      <c r="G260" s="4">
        <f>SUMIFS(X!$F$5:$F$2005,X!$D$5:$D$2005,'Current Stock'!A260)</f>
        <v>0</v>
      </c>
      <c r="H260" s="4">
        <f>SUMIFS(PENJUALAN!$E$4:$E$11000,PENJUALAN!$C$4:$C$11000,'Current Stock'!A260)</f>
        <v>0</v>
      </c>
      <c r="I260" s="16">
        <f t="shared" si="2"/>
        <v>0</v>
      </c>
      <c r="J260" s="4"/>
      <c r="K260" s="4"/>
      <c r="L260" s="4"/>
      <c r="M260" s="4"/>
    </row>
    <row r="261" ht="13.5" customHeight="1">
      <c r="A261" s="4" t="str">
        <f t="shared" si="1"/>
        <v>LFW-FREEDFY</v>
      </c>
      <c r="B261" s="29" t="s">
        <v>454</v>
      </c>
      <c r="C261" s="28" t="s">
        <v>455</v>
      </c>
      <c r="D261" s="28" t="s">
        <v>22</v>
      </c>
      <c r="E261" s="4" t="s">
        <v>111</v>
      </c>
      <c r="F261" s="28" t="s">
        <v>125</v>
      </c>
      <c r="G261" s="4">
        <f>SUMIFS(X!$F$5:$F$2005,X!$D$5:$D$2005,'Current Stock'!A261)</f>
        <v>0</v>
      </c>
      <c r="H261" s="4">
        <f>SUMIFS(PENJUALAN!$E$4:$E$11000,PENJUALAN!$C$4:$C$11000,'Current Stock'!A261)</f>
        <v>0</v>
      </c>
      <c r="I261" s="16">
        <f t="shared" si="2"/>
        <v>0</v>
      </c>
      <c r="J261" s="4"/>
      <c r="K261" s="4"/>
      <c r="L261" s="4"/>
      <c r="M261" s="4"/>
    </row>
    <row r="262" ht="13.5" customHeight="1">
      <c r="A262" s="4" t="str">
        <f t="shared" si="1"/>
        <v>TRW-FREEDFY</v>
      </c>
      <c r="B262" s="29" t="s">
        <v>456</v>
      </c>
      <c r="C262" s="28" t="s">
        <v>455</v>
      </c>
      <c r="D262" s="28" t="s">
        <v>41</v>
      </c>
      <c r="E262" s="4" t="s">
        <v>111</v>
      </c>
      <c r="F262" s="28" t="s">
        <v>67</v>
      </c>
      <c r="G262" s="4">
        <f>SUMIFS(X!$F$5:$F$2005,X!$D$5:$D$2005,'Current Stock'!A262)</f>
        <v>0</v>
      </c>
      <c r="H262" s="4">
        <f>SUMIFS(PENJUALAN!$E$4:$E$11000,PENJUALAN!$C$4:$C$11000,'Current Stock'!A262)</f>
        <v>0</v>
      </c>
      <c r="I262" s="16">
        <f t="shared" si="2"/>
        <v>0</v>
      </c>
      <c r="J262" s="4"/>
      <c r="K262" s="4"/>
      <c r="L262" s="4"/>
      <c r="M262" s="4"/>
    </row>
    <row r="263" ht="13.5" customHeight="1">
      <c r="A263" s="4" t="str">
        <f t="shared" si="1"/>
        <v>SWL-FREEDFY</v>
      </c>
      <c r="B263" s="29" t="s">
        <v>457</v>
      </c>
      <c r="C263" s="28" t="s">
        <v>455</v>
      </c>
      <c r="D263" s="28" t="s">
        <v>202</v>
      </c>
      <c r="E263" s="4" t="s">
        <v>111</v>
      </c>
      <c r="F263" s="28" t="s">
        <v>97</v>
      </c>
      <c r="G263" s="4">
        <f>SUMIFS(X!$F$5:$F$2005,X!$D$5:$D$2005,'Current Stock'!A263)</f>
        <v>0</v>
      </c>
      <c r="H263" s="4">
        <f>SUMIFS(PENJUALAN!$E$4:$E$11000,PENJUALAN!$C$4:$C$11000,'Current Stock'!A263)</f>
        <v>0</v>
      </c>
      <c r="I263" s="16">
        <f t="shared" si="2"/>
        <v>0</v>
      </c>
      <c r="J263" s="4"/>
      <c r="K263" s="4"/>
      <c r="L263" s="4"/>
      <c r="M263" s="4"/>
    </row>
    <row r="264" ht="13.5" customHeight="1">
      <c r="A264" s="4" t="str">
        <f t="shared" si="1"/>
        <v>SWR-FREEDFY</v>
      </c>
      <c r="B264" s="29" t="s">
        <v>458</v>
      </c>
      <c r="C264" s="28" t="s">
        <v>455</v>
      </c>
      <c r="D264" s="28" t="s">
        <v>236</v>
      </c>
      <c r="E264" s="4" t="s">
        <v>111</v>
      </c>
      <c r="F264" s="28" t="s">
        <v>97</v>
      </c>
      <c r="G264" s="4">
        <f>SUMIFS(X!$F$5:$F$2005,X!$D$5:$D$2005,'Current Stock'!A264)</f>
        <v>0</v>
      </c>
      <c r="H264" s="4">
        <f>SUMIFS(PENJUALAN!$E$4:$E$11000,PENJUALAN!$C$4:$C$11000,'Current Stock'!A264)</f>
        <v>0</v>
      </c>
      <c r="I264" s="16">
        <f t="shared" si="2"/>
        <v>0</v>
      </c>
      <c r="J264" s="4"/>
      <c r="K264" s="4"/>
      <c r="L264" s="4"/>
      <c r="M264" s="4"/>
    </row>
    <row r="265" ht="13.5" customHeight="1">
      <c r="A265" s="4" t="str">
        <f t="shared" si="1"/>
        <v>LFW-HRV14FY</v>
      </c>
      <c r="B265" s="31" t="s">
        <v>459</v>
      </c>
      <c r="C265" s="28" t="s">
        <v>460</v>
      </c>
      <c r="D265" s="28" t="s">
        <v>22</v>
      </c>
      <c r="E265" s="4" t="s">
        <v>111</v>
      </c>
      <c r="F265" s="28" t="s">
        <v>125</v>
      </c>
      <c r="G265" s="4">
        <f>SUMIFS(X!$F$5:$F$2005,X!$D$5:$D$2005,'Current Stock'!A265)</f>
        <v>0</v>
      </c>
      <c r="H265" s="4">
        <f>SUMIFS(PENJUALAN!$E$4:$E$11000,PENJUALAN!$C$4:$C$11000,'Current Stock'!A265)</f>
        <v>0</v>
      </c>
      <c r="I265" s="16">
        <f t="shared" si="2"/>
        <v>0</v>
      </c>
      <c r="J265" s="4"/>
      <c r="K265" s="4"/>
      <c r="L265" s="4"/>
      <c r="M265" s="4"/>
    </row>
    <row r="266" ht="13.5" customHeight="1">
      <c r="A266" s="4" t="str">
        <f t="shared" si="1"/>
        <v>TRW-HRV14FY</v>
      </c>
      <c r="B266" s="31" t="s">
        <v>461</v>
      </c>
      <c r="C266" s="28" t="s">
        <v>460</v>
      </c>
      <c r="D266" s="28" t="s">
        <v>41</v>
      </c>
      <c r="E266" s="4" t="s">
        <v>111</v>
      </c>
      <c r="F266" s="28" t="s">
        <v>221</v>
      </c>
      <c r="G266" s="4">
        <f>SUMIFS(X!$F$5:$F$2005,X!$D$5:$D$2005,'Current Stock'!A266)</f>
        <v>0</v>
      </c>
      <c r="H266" s="4">
        <f>SUMIFS(PENJUALAN!$E$4:$E$11000,PENJUALAN!$C$4:$C$11000,'Current Stock'!A266)</f>
        <v>0</v>
      </c>
      <c r="I266" s="16">
        <f t="shared" si="2"/>
        <v>0</v>
      </c>
      <c r="J266" s="4"/>
      <c r="K266" s="4"/>
      <c r="L266" s="4"/>
      <c r="M266" s="4"/>
    </row>
    <row r="267" ht="13.5" customHeight="1">
      <c r="A267" s="4" t="str">
        <f t="shared" si="1"/>
        <v>LFW-JAZZ01FY</v>
      </c>
      <c r="B267" s="29" t="s">
        <v>462</v>
      </c>
      <c r="C267" s="28" t="s">
        <v>463</v>
      </c>
      <c r="D267" s="28" t="s">
        <v>22</v>
      </c>
      <c r="E267" s="4" t="s">
        <v>111</v>
      </c>
      <c r="F267" s="28" t="s">
        <v>97</v>
      </c>
      <c r="G267" s="4">
        <f>SUMIFS(X!$F$5:$F$2005,X!$D$5:$D$2005,'Current Stock'!A267)</f>
        <v>0</v>
      </c>
      <c r="H267" s="4">
        <f>SUMIFS(PENJUALAN!$E$4:$E$11000,PENJUALAN!$C$4:$C$11000,'Current Stock'!A267)</f>
        <v>0</v>
      </c>
      <c r="I267" s="16">
        <f t="shared" si="2"/>
        <v>0</v>
      </c>
      <c r="J267" s="4"/>
      <c r="K267" s="4"/>
      <c r="L267" s="4"/>
      <c r="M267" s="4"/>
    </row>
    <row r="268" ht="13.5" customHeight="1">
      <c r="A268" s="4" t="str">
        <f t="shared" si="1"/>
        <v>TRW-JAZZ01FY</v>
      </c>
      <c r="B268" s="29" t="s">
        <v>464</v>
      </c>
      <c r="C268" s="28" t="s">
        <v>463</v>
      </c>
      <c r="D268" s="28" t="s">
        <v>41</v>
      </c>
      <c r="E268" s="4" t="s">
        <v>111</v>
      </c>
      <c r="F268" s="28" t="s">
        <v>221</v>
      </c>
      <c r="G268" s="4">
        <f>SUMIFS(X!$F$5:$F$2005,X!$D$5:$D$2005,'Current Stock'!A268)</f>
        <v>0</v>
      </c>
      <c r="H268" s="4">
        <f>SUMIFS(PENJUALAN!$E$4:$E$11000,PENJUALAN!$C$4:$C$11000,'Current Stock'!A268)</f>
        <v>0</v>
      </c>
      <c r="I268" s="16">
        <f t="shared" si="2"/>
        <v>0</v>
      </c>
      <c r="J268" s="4"/>
      <c r="K268" s="4"/>
      <c r="L268" s="4"/>
      <c r="M268" s="4"/>
    </row>
    <row r="269" ht="13.5" customHeight="1">
      <c r="A269" s="4" t="str">
        <f t="shared" si="1"/>
        <v>FDL-JAZZ01FY</v>
      </c>
      <c r="B269" s="29" t="s">
        <v>465</v>
      </c>
      <c r="C269" s="28" t="s">
        <v>463</v>
      </c>
      <c r="D269" s="28" t="s">
        <v>128</v>
      </c>
      <c r="E269" s="4" t="s">
        <v>111</v>
      </c>
      <c r="F269" s="28" t="s">
        <v>466</v>
      </c>
      <c r="G269" s="4">
        <f>SUMIFS(X!$F$5:$F$2005,X!$D$5:$D$2005,'Current Stock'!A269)</f>
        <v>0</v>
      </c>
      <c r="H269" s="4">
        <f>SUMIFS(PENJUALAN!$E$4:$E$11000,PENJUALAN!$C$4:$C$11000,'Current Stock'!A269)</f>
        <v>0</v>
      </c>
      <c r="I269" s="16">
        <f t="shared" si="2"/>
        <v>0</v>
      </c>
      <c r="J269" s="4"/>
      <c r="K269" s="4"/>
      <c r="L269" s="4"/>
      <c r="M269" s="4"/>
    </row>
    <row r="270" ht="13.5" customHeight="1">
      <c r="A270" s="4" t="str">
        <f t="shared" si="1"/>
        <v>FVL-JAZZ01FY</v>
      </c>
      <c r="B270" s="29" t="s">
        <v>467</v>
      </c>
      <c r="C270" s="28" t="s">
        <v>463</v>
      </c>
      <c r="D270" s="28" t="s">
        <v>400</v>
      </c>
      <c r="E270" s="4" t="s">
        <v>111</v>
      </c>
      <c r="F270" s="28" t="s">
        <v>97</v>
      </c>
      <c r="G270" s="4">
        <f>SUMIFS(X!$F$5:$F$2005,X!$D$5:$D$2005,'Current Stock'!A270)</f>
        <v>0</v>
      </c>
      <c r="H270" s="4">
        <f>SUMIFS(PENJUALAN!$E$4:$E$11000,PENJUALAN!$C$4:$C$11000,'Current Stock'!A270)</f>
        <v>0</v>
      </c>
      <c r="I270" s="16">
        <f t="shared" si="2"/>
        <v>0</v>
      </c>
      <c r="J270" s="4"/>
      <c r="K270" s="4"/>
      <c r="L270" s="4"/>
      <c r="M270" s="4"/>
    </row>
    <row r="271" ht="13.5" customHeight="1">
      <c r="A271" s="4" t="str">
        <f t="shared" si="1"/>
        <v>RDL-JAZZ01FY</v>
      </c>
      <c r="B271" s="29" t="s">
        <v>468</v>
      </c>
      <c r="C271" s="28" t="s">
        <v>463</v>
      </c>
      <c r="D271" s="28" t="s">
        <v>132</v>
      </c>
      <c r="E271" s="4" t="s">
        <v>111</v>
      </c>
      <c r="F271" s="28" t="s">
        <v>466</v>
      </c>
      <c r="G271" s="4">
        <f>SUMIFS(X!$F$5:$F$2005,X!$D$5:$D$2005,'Current Stock'!A271)</f>
        <v>0</v>
      </c>
      <c r="H271" s="4">
        <f>SUMIFS(PENJUALAN!$E$4:$E$11000,PENJUALAN!$C$4:$C$11000,'Current Stock'!A271)</f>
        <v>0</v>
      </c>
      <c r="I271" s="16">
        <f t="shared" si="2"/>
        <v>0</v>
      </c>
      <c r="J271" s="4"/>
      <c r="K271" s="4"/>
      <c r="L271" s="4"/>
      <c r="M271" s="4"/>
    </row>
    <row r="272" ht="13.5" customHeight="1">
      <c r="A272" s="4" t="str">
        <f t="shared" si="1"/>
        <v>RDR-JAZZ01FY</v>
      </c>
      <c r="B272" s="29" t="s">
        <v>469</v>
      </c>
      <c r="C272" s="28" t="s">
        <v>463</v>
      </c>
      <c r="D272" s="28" t="s">
        <v>134</v>
      </c>
      <c r="E272" s="4" t="s">
        <v>111</v>
      </c>
      <c r="F272" s="28" t="s">
        <v>466</v>
      </c>
      <c r="G272" s="4">
        <f>SUMIFS(X!$F$5:$F$2005,X!$D$5:$D$2005,'Current Stock'!A272)</f>
        <v>0</v>
      </c>
      <c r="H272" s="4">
        <f>SUMIFS(PENJUALAN!$E$4:$E$11000,PENJUALAN!$C$4:$C$11000,'Current Stock'!A272)</f>
        <v>0</v>
      </c>
      <c r="I272" s="16">
        <f t="shared" si="2"/>
        <v>0</v>
      </c>
      <c r="J272" s="4"/>
      <c r="K272" s="4"/>
      <c r="L272" s="4"/>
      <c r="M272" s="4"/>
    </row>
    <row r="273" ht="13.5" customHeight="1">
      <c r="A273" s="4" t="str">
        <f t="shared" si="1"/>
        <v>LFW-JAZZ07FY</v>
      </c>
      <c r="B273" s="29" t="s">
        <v>76</v>
      </c>
      <c r="C273" s="28" t="s">
        <v>470</v>
      </c>
      <c r="D273" s="28" t="s">
        <v>22</v>
      </c>
      <c r="E273" s="4" t="s">
        <v>111</v>
      </c>
      <c r="F273" s="28" t="s">
        <v>125</v>
      </c>
      <c r="G273" s="4">
        <f>SUMIFS(X!$F$5:$F$2005,X!$D$5:$D$2005,'Current Stock'!A273)</f>
        <v>0</v>
      </c>
      <c r="H273" s="4">
        <f>SUMIFS(PENJUALAN!$E$4:$E$11000,PENJUALAN!$C$4:$C$11000,'Current Stock'!A273)</f>
        <v>0</v>
      </c>
      <c r="I273" s="16">
        <f t="shared" si="2"/>
        <v>0</v>
      </c>
      <c r="J273" s="4"/>
      <c r="K273" s="4"/>
      <c r="L273" s="4"/>
      <c r="M273" s="4"/>
    </row>
    <row r="274" ht="13.5" customHeight="1">
      <c r="A274" s="4" t="str">
        <f t="shared" si="1"/>
        <v>TRW-JAZZ07FY</v>
      </c>
      <c r="B274" s="29" t="s">
        <v>471</v>
      </c>
      <c r="C274" s="28" t="s">
        <v>470</v>
      </c>
      <c r="D274" s="28" t="s">
        <v>41</v>
      </c>
      <c r="E274" s="4" t="s">
        <v>111</v>
      </c>
      <c r="F274" s="28" t="s">
        <v>67</v>
      </c>
      <c r="G274" s="4">
        <f>SUMIFS(X!$F$5:$F$2005,X!$D$5:$D$2005,'Current Stock'!A274)</f>
        <v>0</v>
      </c>
      <c r="H274" s="4">
        <f>SUMIFS(PENJUALAN!$E$4:$E$11000,PENJUALAN!$C$4:$C$11000,'Current Stock'!A274)</f>
        <v>0</v>
      </c>
      <c r="I274" s="16">
        <f t="shared" si="2"/>
        <v>0</v>
      </c>
      <c r="J274" s="4"/>
      <c r="K274" s="4"/>
      <c r="L274" s="4"/>
      <c r="M274" s="4"/>
    </row>
    <row r="275" ht="13.5" customHeight="1">
      <c r="A275" s="4" t="str">
        <f t="shared" si="1"/>
        <v>FDL-JAZZ07FY</v>
      </c>
      <c r="B275" s="29" t="s">
        <v>472</v>
      </c>
      <c r="C275" s="28" t="s">
        <v>470</v>
      </c>
      <c r="D275" s="28" t="s">
        <v>128</v>
      </c>
      <c r="E275" s="4" t="s">
        <v>111</v>
      </c>
      <c r="F275" s="28"/>
      <c r="G275" s="4">
        <f>SUMIFS(X!$F$5:$F$2005,X!$D$5:$D$2005,'Current Stock'!A275)</f>
        <v>0</v>
      </c>
      <c r="H275" s="4">
        <f>SUMIFS(PENJUALAN!$E$4:$E$11000,PENJUALAN!$C$4:$C$11000,'Current Stock'!A275)</f>
        <v>0</v>
      </c>
      <c r="I275" s="16">
        <f t="shared" si="2"/>
        <v>0</v>
      </c>
      <c r="J275" s="4"/>
      <c r="K275" s="4"/>
      <c r="L275" s="4"/>
      <c r="M275" s="4"/>
    </row>
    <row r="276" ht="13.5" customHeight="1">
      <c r="A276" s="4" t="str">
        <f t="shared" si="1"/>
        <v>SWL-JAZZ07FY</v>
      </c>
      <c r="B276" s="29" t="s">
        <v>473</v>
      </c>
      <c r="C276" s="28" t="s">
        <v>470</v>
      </c>
      <c r="D276" s="28" t="s">
        <v>202</v>
      </c>
      <c r="E276" s="4" t="s">
        <v>111</v>
      </c>
      <c r="F276" s="28" t="s">
        <v>97</v>
      </c>
      <c r="G276" s="4">
        <f>SUMIFS(X!$F$5:$F$2005,X!$D$5:$D$2005,'Current Stock'!A276)</f>
        <v>0</v>
      </c>
      <c r="H276" s="4">
        <f>SUMIFS(PENJUALAN!$E$4:$E$11000,PENJUALAN!$C$4:$C$11000,'Current Stock'!A276)</f>
        <v>0</v>
      </c>
      <c r="I276" s="16">
        <f t="shared" si="2"/>
        <v>0</v>
      </c>
      <c r="J276" s="4"/>
      <c r="K276" s="4"/>
      <c r="L276" s="4"/>
      <c r="M276" s="4"/>
    </row>
    <row r="277" ht="13.5" customHeight="1">
      <c r="A277" s="4" t="str">
        <f t="shared" si="1"/>
        <v>SWR-JAZZ07FY</v>
      </c>
      <c r="B277" s="29" t="s">
        <v>474</v>
      </c>
      <c r="C277" s="28" t="s">
        <v>470</v>
      </c>
      <c r="D277" s="28" t="s">
        <v>236</v>
      </c>
      <c r="E277" s="4" t="s">
        <v>111</v>
      </c>
      <c r="F277" s="28" t="s">
        <v>97</v>
      </c>
      <c r="G277" s="4">
        <f>SUMIFS(X!$F$5:$F$2005,X!$D$5:$D$2005,'Current Stock'!A277)</f>
        <v>0</v>
      </c>
      <c r="H277" s="4">
        <f>SUMIFS(PENJUALAN!$E$4:$E$11000,PENJUALAN!$C$4:$C$11000,'Current Stock'!A277)</f>
        <v>0</v>
      </c>
      <c r="I277" s="16">
        <f t="shared" si="2"/>
        <v>0</v>
      </c>
      <c r="J277" s="4"/>
      <c r="K277" s="4"/>
      <c r="L277" s="4"/>
      <c r="M277" s="4"/>
    </row>
    <row r="278" ht="13.5" customHeight="1">
      <c r="A278" s="4" t="str">
        <f t="shared" si="1"/>
        <v>LFW-JAZZ13FY</v>
      </c>
      <c r="B278" s="29" t="s">
        <v>475</v>
      </c>
      <c r="C278" s="28" t="s">
        <v>476</v>
      </c>
      <c r="D278" s="28" t="s">
        <v>22</v>
      </c>
      <c r="E278" s="4" t="s">
        <v>111</v>
      </c>
      <c r="F278" s="28" t="s">
        <v>125</v>
      </c>
      <c r="G278" s="4">
        <f>SUMIFS(X!$F$5:$F$2005,X!$D$5:$D$2005,'Current Stock'!A278)</f>
        <v>0</v>
      </c>
      <c r="H278" s="4">
        <f>SUMIFS(PENJUALAN!$E$4:$E$11000,PENJUALAN!$C$4:$C$11000,'Current Stock'!A278)</f>
        <v>0</v>
      </c>
      <c r="I278" s="16">
        <f t="shared" si="2"/>
        <v>0</v>
      </c>
      <c r="J278" s="4"/>
      <c r="K278" s="4"/>
      <c r="L278" s="4"/>
      <c r="M278" s="4"/>
    </row>
    <row r="279" ht="13.5" customHeight="1">
      <c r="A279" s="4" t="str">
        <f t="shared" si="1"/>
        <v>TRW-JAZZ13FY</v>
      </c>
      <c r="B279" s="29" t="s">
        <v>477</v>
      </c>
      <c r="C279" s="28" t="s">
        <v>476</v>
      </c>
      <c r="D279" s="28" t="s">
        <v>41</v>
      </c>
      <c r="E279" s="4" t="s">
        <v>111</v>
      </c>
      <c r="F279" s="28" t="s">
        <v>67</v>
      </c>
      <c r="G279" s="4">
        <f>SUMIFS(X!$F$5:$F$2005,X!$D$5:$D$2005,'Current Stock'!A279)</f>
        <v>0</v>
      </c>
      <c r="H279" s="4">
        <f>SUMIFS(PENJUALAN!$E$4:$E$11000,PENJUALAN!$C$4:$C$11000,'Current Stock'!A279)</f>
        <v>0</v>
      </c>
      <c r="I279" s="16">
        <f t="shared" si="2"/>
        <v>0</v>
      </c>
      <c r="J279" s="4"/>
      <c r="K279" s="4"/>
      <c r="L279" s="4"/>
      <c r="M279" s="4"/>
    </row>
    <row r="280" ht="13.5" customHeight="1">
      <c r="A280" s="4" t="str">
        <f t="shared" si="1"/>
        <v>LFW-LEGENDFY</v>
      </c>
      <c r="B280" s="29" t="s">
        <v>478</v>
      </c>
      <c r="C280" s="28" t="s">
        <v>479</v>
      </c>
      <c r="D280" s="28" t="s">
        <v>22</v>
      </c>
      <c r="E280" s="4" t="s">
        <v>111</v>
      </c>
      <c r="F280" s="28" t="s">
        <v>75</v>
      </c>
      <c r="G280" s="4">
        <f>SUMIFS(X!$F$5:$F$2005,X!$D$5:$D$2005,'Current Stock'!A280)</f>
        <v>0</v>
      </c>
      <c r="H280" s="4">
        <f>SUMIFS(PENJUALAN!$E$4:$E$11000,PENJUALAN!$C$4:$C$11000,'Current Stock'!A280)</f>
        <v>0</v>
      </c>
      <c r="I280" s="16">
        <f t="shared" si="2"/>
        <v>0</v>
      </c>
      <c r="J280" s="4"/>
      <c r="K280" s="4"/>
      <c r="L280" s="4"/>
      <c r="M280" s="4"/>
    </row>
    <row r="281" ht="13.5" customHeight="1">
      <c r="A281" s="4" t="str">
        <f t="shared" si="1"/>
        <v>LFW-ODYSSEY99FY</v>
      </c>
      <c r="B281" s="29" t="s">
        <v>480</v>
      </c>
      <c r="C281" s="28" t="s">
        <v>481</v>
      </c>
      <c r="D281" s="28" t="s">
        <v>22</v>
      </c>
      <c r="E281" s="4" t="s">
        <v>111</v>
      </c>
      <c r="F281" s="28" t="s">
        <v>125</v>
      </c>
      <c r="G281" s="4">
        <f>SUMIFS(X!$F$5:$F$2005,X!$D$5:$D$2005,'Current Stock'!A281)</f>
        <v>0</v>
      </c>
      <c r="H281" s="4">
        <f>SUMIFS(PENJUALAN!$E$4:$E$11000,PENJUALAN!$C$4:$C$11000,'Current Stock'!A281)</f>
        <v>0</v>
      </c>
      <c r="I281" s="16">
        <f t="shared" si="2"/>
        <v>0</v>
      </c>
      <c r="J281" s="4"/>
      <c r="K281" s="4"/>
      <c r="L281" s="4"/>
      <c r="M281" s="4"/>
    </row>
    <row r="282" ht="13.5" customHeight="1">
      <c r="A282" s="4" t="str">
        <f t="shared" si="1"/>
        <v>TRW-ODYSSEY99FY</v>
      </c>
      <c r="B282" s="29" t="s">
        <v>482</v>
      </c>
      <c r="C282" s="28" t="s">
        <v>481</v>
      </c>
      <c r="D282" s="28" t="s">
        <v>41</v>
      </c>
      <c r="E282" s="4" t="s">
        <v>111</v>
      </c>
      <c r="F282" s="28" t="s">
        <v>221</v>
      </c>
      <c r="G282" s="4">
        <f>SUMIFS(X!$F$5:$F$2005,X!$D$5:$D$2005,'Current Stock'!A282)</f>
        <v>0</v>
      </c>
      <c r="H282" s="4">
        <f>SUMIFS(PENJUALAN!$E$4:$E$11000,PENJUALAN!$C$4:$C$11000,'Current Stock'!A282)</f>
        <v>0</v>
      </c>
      <c r="I282" s="16">
        <f t="shared" si="2"/>
        <v>0</v>
      </c>
      <c r="J282" s="4"/>
      <c r="K282" s="4"/>
      <c r="L282" s="4"/>
      <c r="M282" s="4"/>
    </row>
    <row r="283" ht="13.5" customHeight="1">
      <c r="A283" s="4" t="str">
        <f t="shared" si="1"/>
        <v>LFW-ODYSSEY03FY</v>
      </c>
      <c r="B283" s="29" t="s">
        <v>483</v>
      </c>
      <c r="C283" s="28" t="s">
        <v>484</v>
      </c>
      <c r="D283" s="28" t="s">
        <v>22</v>
      </c>
      <c r="E283" s="4" t="s">
        <v>111</v>
      </c>
      <c r="F283" s="28" t="s">
        <v>125</v>
      </c>
      <c r="G283" s="4">
        <f>SUMIFS(X!$F$5:$F$2005,X!$D$5:$D$2005,'Current Stock'!A283)</f>
        <v>0</v>
      </c>
      <c r="H283" s="4">
        <f>SUMIFS(PENJUALAN!$E$4:$E$11000,PENJUALAN!$C$4:$C$11000,'Current Stock'!A283)</f>
        <v>0</v>
      </c>
      <c r="I283" s="16">
        <f t="shared" si="2"/>
        <v>0</v>
      </c>
      <c r="J283" s="4"/>
      <c r="K283" s="4"/>
      <c r="L283" s="5">
        <v>1.0</v>
      </c>
      <c r="M283" s="4"/>
    </row>
    <row r="284" ht="13.5" customHeight="1">
      <c r="A284" s="4" t="str">
        <f t="shared" si="1"/>
        <v>TRW-ODYSSEY03FY</v>
      </c>
      <c r="B284" s="29" t="s">
        <v>485</v>
      </c>
      <c r="C284" s="28" t="s">
        <v>484</v>
      </c>
      <c r="D284" s="28" t="s">
        <v>41</v>
      </c>
      <c r="E284" s="4" t="s">
        <v>111</v>
      </c>
      <c r="F284" s="28" t="s">
        <v>221</v>
      </c>
      <c r="G284" s="4">
        <f>SUMIFS(X!$F$5:$F$2005,X!$D$5:$D$2005,'Current Stock'!A284)</f>
        <v>0</v>
      </c>
      <c r="H284" s="4">
        <f>SUMIFS(PENJUALAN!$E$4:$E$11000,PENJUALAN!$C$4:$C$11000,'Current Stock'!A284)</f>
        <v>0</v>
      </c>
      <c r="I284" s="16">
        <f t="shared" si="2"/>
        <v>0</v>
      </c>
      <c r="J284" s="4"/>
      <c r="K284" s="4"/>
      <c r="L284" s="4"/>
      <c r="M284" s="4"/>
    </row>
    <row r="285" ht="13.5" customHeight="1">
      <c r="A285" s="4" t="str">
        <f t="shared" si="1"/>
        <v>FDL-ODYSSEY03FY</v>
      </c>
      <c r="B285" s="29" t="s">
        <v>486</v>
      </c>
      <c r="C285" s="28" t="s">
        <v>484</v>
      </c>
      <c r="D285" s="28" t="s">
        <v>128</v>
      </c>
      <c r="E285" s="4" t="s">
        <v>111</v>
      </c>
      <c r="F285" s="28"/>
      <c r="G285" s="4">
        <f>SUMIFS(X!$F$5:$F$2005,X!$D$5:$D$2005,'Current Stock'!A285)</f>
        <v>0</v>
      </c>
      <c r="H285" s="4">
        <f>SUMIFS(PENJUALAN!$E$4:$E$11000,PENJUALAN!$C$4:$C$11000,'Current Stock'!A285)</f>
        <v>0</v>
      </c>
      <c r="I285" s="16">
        <f t="shared" si="2"/>
        <v>0</v>
      </c>
      <c r="J285" s="4"/>
      <c r="K285" s="4"/>
      <c r="L285" s="4"/>
      <c r="M285" s="4"/>
    </row>
    <row r="286" ht="13.5" customHeight="1">
      <c r="A286" s="4" t="str">
        <f t="shared" si="1"/>
        <v>FDR-ODYSSEY03FY</v>
      </c>
      <c r="B286" s="29" t="s">
        <v>487</v>
      </c>
      <c r="C286" s="28" t="s">
        <v>484</v>
      </c>
      <c r="D286" s="28" t="s">
        <v>130</v>
      </c>
      <c r="E286" s="4" t="s">
        <v>111</v>
      </c>
      <c r="F286" s="28"/>
      <c r="G286" s="4">
        <f>SUMIFS(X!$F$5:$F$2005,X!$D$5:$D$2005,'Current Stock'!A286)</f>
        <v>0</v>
      </c>
      <c r="H286" s="4">
        <f>SUMIFS(PENJUALAN!$E$4:$E$11000,PENJUALAN!$C$4:$C$11000,'Current Stock'!A286)</f>
        <v>0</v>
      </c>
      <c r="I286" s="16">
        <f t="shared" si="2"/>
        <v>0</v>
      </c>
      <c r="J286" s="4"/>
      <c r="K286" s="4"/>
      <c r="L286" s="4"/>
      <c r="M286" s="4"/>
    </row>
    <row r="287" ht="13.5" customHeight="1">
      <c r="A287" s="4" t="str">
        <f t="shared" si="1"/>
        <v>RDL-ODYSSEY03FY</v>
      </c>
      <c r="B287" s="29" t="s">
        <v>488</v>
      </c>
      <c r="C287" s="28" t="s">
        <v>484</v>
      </c>
      <c r="D287" s="28" t="s">
        <v>132</v>
      </c>
      <c r="E287" s="4" t="s">
        <v>111</v>
      </c>
      <c r="F287" s="28"/>
      <c r="G287" s="4">
        <f>SUMIFS(X!$F$5:$F$2005,X!$D$5:$D$2005,'Current Stock'!A287)</f>
        <v>0</v>
      </c>
      <c r="H287" s="4">
        <f>SUMIFS(PENJUALAN!$E$4:$E$11000,PENJUALAN!$C$4:$C$11000,'Current Stock'!A287)</f>
        <v>0</v>
      </c>
      <c r="I287" s="16">
        <f t="shared" si="2"/>
        <v>0</v>
      </c>
      <c r="J287" s="4"/>
      <c r="K287" s="4"/>
      <c r="L287" s="4"/>
      <c r="M287" s="4"/>
    </row>
    <row r="288" ht="13.5" customHeight="1">
      <c r="A288" s="4" t="str">
        <f t="shared" si="1"/>
        <v>RDR-ODYSSEY03FY</v>
      </c>
      <c r="B288" s="29" t="s">
        <v>489</v>
      </c>
      <c r="C288" s="28" t="s">
        <v>484</v>
      </c>
      <c r="D288" s="28" t="s">
        <v>134</v>
      </c>
      <c r="E288" s="4" t="s">
        <v>111</v>
      </c>
      <c r="F288" s="28"/>
      <c r="G288" s="4">
        <f>SUMIFS(X!$F$5:$F$2005,X!$D$5:$D$2005,'Current Stock'!A288)</f>
        <v>0</v>
      </c>
      <c r="H288" s="4">
        <f>SUMIFS(PENJUALAN!$E$4:$E$11000,PENJUALAN!$C$4:$C$11000,'Current Stock'!A288)</f>
        <v>0</v>
      </c>
      <c r="I288" s="16">
        <f t="shared" si="2"/>
        <v>0</v>
      </c>
      <c r="J288" s="4"/>
      <c r="K288" s="4"/>
      <c r="L288" s="4"/>
      <c r="M288" s="4"/>
    </row>
    <row r="289" ht="13.5" customHeight="1">
      <c r="A289" s="4" t="str">
        <f t="shared" si="1"/>
        <v>SWL-ODYSSEY03FY</v>
      </c>
      <c r="B289" s="29" t="s">
        <v>490</v>
      </c>
      <c r="C289" s="28" t="s">
        <v>484</v>
      </c>
      <c r="D289" s="28" t="s">
        <v>202</v>
      </c>
      <c r="E289" s="4" t="s">
        <v>111</v>
      </c>
      <c r="F289" s="28" t="s">
        <v>97</v>
      </c>
      <c r="G289" s="4">
        <f>SUMIFS(X!$F$5:$F$2005,X!$D$5:$D$2005,'Current Stock'!A289)</f>
        <v>0</v>
      </c>
      <c r="H289" s="4">
        <f>SUMIFS(PENJUALAN!$E$4:$E$11000,PENJUALAN!$C$4:$C$11000,'Current Stock'!A289)</f>
        <v>0</v>
      </c>
      <c r="I289" s="16">
        <f t="shared" si="2"/>
        <v>0</v>
      </c>
      <c r="J289" s="4"/>
      <c r="K289" s="4"/>
      <c r="L289" s="4"/>
      <c r="M289" s="4"/>
    </row>
    <row r="290" ht="13.5" customHeight="1">
      <c r="A290" s="4" t="str">
        <f t="shared" si="1"/>
        <v>SWR-ODYSSEY03FY</v>
      </c>
      <c r="B290" s="29" t="s">
        <v>491</v>
      </c>
      <c r="C290" s="28" t="s">
        <v>484</v>
      </c>
      <c r="D290" s="28" t="s">
        <v>236</v>
      </c>
      <c r="E290" s="4" t="s">
        <v>111</v>
      </c>
      <c r="F290" s="28" t="s">
        <v>234</v>
      </c>
      <c r="G290" s="4">
        <f>SUMIFS(X!$F$5:$F$2005,X!$D$5:$D$2005,'Current Stock'!A290)</f>
        <v>0</v>
      </c>
      <c r="H290" s="4">
        <f>SUMIFS(PENJUALAN!$E$4:$E$11000,PENJUALAN!$C$4:$C$11000,'Current Stock'!A290)</f>
        <v>0</v>
      </c>
      <c r="I290" s="16">
        <f t="shared" si="2"/>
        <v>0</v>
      </c>
      <c r="J290" s="4"/>
      <c r="K290" s="4"/>
      <c r="L290" s="4"/>
      <c r="M290" s="4"/>
    </row>
    <row r="291" ht="13.5" customHeight="1">
      <c r="A291" s="4" t="str">
        <f t="shared" si="1"/>
        <v>LFW-ODYSSEY09FY</v>
      </c>
      <c r="B291" s="29" t="s">
        <v>492</v>
      </c>
      <c r="C291" s="28" t="s">
        <v>493</v>
      </c>
      <c r="D291" s="28" t="s">
        <v>22</v>
      </c>
      <c r="E291" s="4" t="s">
        <v>111</v>
      </c>
      <c r="F291" s="28" t="s">
        <v>125</v>
      </c>
      <c r="G291" s="4">
        <f>SUMIFS(X!$F$5:$F$2005,X!$D$5:$D$2005,'Current Stock'!A291)</f>
        <v>0</v>
      </c>
      <c r="H291" s="4">
        <f>SUMIFS(PENJUALAN!$E$4:$E$11000,PENJUALAN!$C$4:$C$11000,'Current Stock'!A291)</f>
        <v>0</v>
      </c>
      <c r="I291" s="16">
        <f t="shared" si="2"/>
        <v>0</v>
      </c>
      <c r="J291" s="4"/>
      <c r="K291" s="4"/>
      <c r="L291" s="4"/>
      <c r="M291" s="4"/>
    </row>
    <row r="292" ht="13.5" customHeight="1">
      <c r="A292" s="4" t="str">
        <f t="shared" si="1"/>
        <v>FDL-ODYSSEY09FY</v>
      </c>
      <c r="B292" s="29" t="s">
        <v>494</v>
      </c>
      <c r="C292" s="28" t="s">
        <v>493</v>
      </c>
      <c r="D292" s="28" t="s">
        <v>128</v>
      </c>
      <c r="E292" s="4" t="s">
        <v>111</v>
      </c>
      <c r="F292" s="28"/>
      <c r="G292" s="4">
        <f>SUMIFS(X!$F$5:$F$2005,X!$D$5:$D$2005,'Current Stock'!A292)</f>
        <v>0</v>
      </c>
      <c r="H292" s="4">
        <f>SUMIFS(PENJUALAN!$E$4:$E$11000,PENJUALAN!$C$4:$C$11000,'Current Stock'!A292)</f>
        <v>0</v>
      </c>
      <c r="I292" s="16">
        <f t="shared" si="2"/>
        <v>0</v>
      </c>
      <c r="J292" s="4"/>
      <c r="K292" s="4"/>
      <c r="L292" s="4"/>
      <c r="M292" s="4"/>
    </row>
    <row r="293" ht="13.5" customHeight="1">
      <c r="A293" s="4" t="str">
        <f t="shared" si="1"/>
        <v>FDR-ODYSSEY09FY</v>
      </c>
      <c r="B293" s="29" t="s">
        <v>495</v>
      </c>
      <c r="C293" s="28" t="s">
        <v>493</v>
      </c>
      <c r="D293" s="28" t="s">
        <v>130</v>
      </c>
      <c r="E293" s="4" t="s">
        <v>111</v>
      </c>
      <c r="F293" s="28"/>
      <c r="G293" s="4">
        <f>SUMIFS(X!$F$5:$F$2005,X!$D$5:$D$2005,'Current Stock'!A293)</f>
        <v>0</v>
      </c>
      <c r="H293" s="4">
        <f>SUMIFS(PENJUALAN!$E$4:$E$11000,PENJUALAN!$C$4:$C$11000,'Current Stock'!A293)</f>
        <v>0</v>
      </c>
      <c r="I293" s="16">
        <f t="shared" si="2"/>
        <v>0</v>
      </c>
      <c r="J293" s="4"/>
      <c r="K293" s="4"/>
      <c r="L293" s="4"/>
      <c r="M293" s="4"/>
    </row>
    <row r="294" ht="13.5" customHeight="1">
      <c r="A294" s="4" t="str">
        <f t="shared" si="1"/>
        <v>RDL-ODYSSEY09FY</v>
      </c>
      <c r="B294" s="29" t="s">
        <v>496</v>
      </c>
      <c r="C294" s="28" t="s">
        <v>493</v>
      </c>
      <c r="D294" s="28" t="s">
        <v>132</v>
      </c>
      <c r="E294" s="4" t="s">
        <v>111</v>
      </c>
      <c r="F294" s="28"/>
      <c r="G294" s="4">
        <f>SUMIFS(X!$F$5:$F$2005,X!$D$5:$D$2005,'Current Stock'!A294)</f>
        <v>0</v>
      </c>
      <c r="H294" s="4">
        <f>SUMIFS(PENJUALAN!$E$4:$E$11000,PENJUALAN!$C$4:$C$11000,'Current Stock'!A294)</f>
        <v>0</v>
      </c>
      <c r="I294" s="16">
        <f t="shared" si="2"/>
        <v>0</v>
      </c>
      <c r="J294" s="4"/>
      <c r="K294" s="4"/>
      <c r="L294" s="4"/>
      <c r="M294" s="4"/>
    </row>
    <row r="295" ht="13.5" customHeight="1">
      <c r="A295" s="4" t="str">
        <f t="shared" si="1"/>
        <v>RDR-ODYSSEY09FY</v>
      </c>
      <c r="B295" s="29" t="s">
        <v>497</v>
      </c>
      <c r="C295" s="28" t="s">
        <v>493</v>
      </c>
      <c r="D295" s="28" t="s">
        <v>134</v>
      </c>
      <c r="E295" s="4" t="s">
        <v>111</v>
      </c>
      <c r="F295" s="28"/>
      <c r="G295" s="4">
        <f>SUMIFS(X!$F$5:$F$2005,X!$D$5:$D$2005,'Current Stock'!A295)</f>
        <v>0</v>
      </c>
      <c r="H295" s="4">
        <f>SUMIFS(PENJUALAN!$E$4:$E$11000,PENJUALAN!$C$4:$C$11000,'Current Stock'!A295)</f>
        <v>0</v>
      </c>
      <c r="I295" s="16">
        <f t="shared" si="2"/>
        <v>0</v>
      </c>
      <c r="J295" s="4"/>
      <c r="K295" s="4"/>
      <c r="L295" s="4"/>
      <c r="M295" s="4"/>
    </row>
    <row r="296" ht="13.5" customHeight="1">
      <c r="A296" s="4" t="str">
        <f t="shared" si="1"/>
        <v>SWL-ODYSSEY09FY</v>
      </c>
      <c r="B296" s="29" t="s">
        <v>498</v>
      </c>
      <c r="C296" s="28" t="s">
        <v>493</v>
      </c>
      <c r="D296" s="28" t="s">
        <v>202</v>
      </c>
      <c r="E296" s="4" t="s">
        <v>111</v>
      </c>
      <c r="F296" s="28" t="s">
        <v>97</v>
      </c>
      <c r="G296" s="4">
        <f>SUMIFS(X!$F$5:$F$2005,X!$D$5:$D$2005,'Current Stock'!A296)</f>
        <v>0</v>
      </c>
      <c r="H296" s="4">
        <f>SUMIFS(PENJUALAN!$E$4:$E$11000,PENJUALAN!$C$4:$C$11000,'Current Stock'!A296)</f>
        <v>0</v>
      </c>
      <c r="I296" s="16">
        <f t="shared" si="2"/>
        <v>0</v>
      </c>
      <c r="J296" s="4"/>
      <c r="K296" s="4"/>
      <c r="L296" s="4"/>
      <c r="M296" s="4"/>
    </row>
    <row r="297" ht="13.5" customHeight="1">
      <c r="A297" s="4" t="str">
        <f t="shared" si="1"/>
        <v>SWR-ODYSSEY09FY</v>
      </c>
      <c r="B297" s="29" t="s">
        <v>499</v>
      </c>
      <c r="C297" s="28" t="s">
        <v>493</v>
      </c>
      <c r="D297" s="28" t="s">
        <v>236</v>
      </c>
      <c r="E297" s="4" t="s">
        <v>111</v>
      </c>
      <c r="F297" s="28" t="s">
        <v>234</v>
      </c>
      <c r="G297" s="4">
        <f>SUMIFS(X!$F$5:$F$2005,X!$D$5:$D$2005,'Current Stock'!A297)</f>
        <v>0</v>
      </c>
      <c r="H297" s="4">
        <f>SUMIFS(PENJUALAN!$E$4:$E$11000,PENJUALAN!$C$4:$C$11000,'Current Stock'!A297)</f>
        <v>0</v>
      </c>
      <c r="I297" s="16">
        <f t="shared" si="2"/>
        <v>0</v>
      </c>
      <c r="J297" s="4"/>
      <c r="K297" s="4"/>
      <c r="L297" s="4"/>
      <c r="M297" s="4"/>
    </row>
    <row r="298" ht="13.5" customHeight="1">
      <c r="A298" s="4" t="str">
        <f t="shared" si="1"/>
        <v>LFW-ODYSSEY13FY</v>
      </c>
      <c r="B298" s="29" t="s">
        <v>500</v>
      </c>
      <c r="C298" s="28" t="s">
        <v>501</v>
      </c>
      <c r="D298" s="28" t="s">
        <v>22</v>
      </c>
      <c r="E298" s="4" t="s">
        <v>111</v>
      </c>
      <c r="F298" s="28" t="s">
        <v>125</v>
      </c>
      <c r="G298" s="4">
        <f>SUMIFS(X!$F$5:$F$2005,X!$D$5:$D$2005,'Current Stock'!A298)</f>
        <v>0</v>
      </c>
      <c r="H298" s="4">
        <f>SUMIFS(PENJUALAN!$E$4:$E$11000,PENJUALAN!$C$4:$C$11000,'Current Stock'!A298)</f>
        <v>0</v>
      </c>
      <c r="I298" s="16">
        <f t="shared" si="2"/>
        <v>0</v>
      </c>
      <c r="J298" s="4"/>
      <c r="K298" s="4"/>
      <c r="L298" s="4"/>
      <c r="M298" s="4"/>
    </row>
    <row r="299" ht="13.5" customHeight="1">
      <c r="A299" s="4" t="str">
        <f t="shared" si="1"/>
        <v>TRW-ODYSSEY13FY</v>
      </c>
      <c r="B299" s="29" t="s">
        <v>502</v>
      </c>
      <c r="C299" s="28" t="s">
        <v>501</v>
      </c>
      <c r="D299" s="28" t="s">
        <v>41</v>
      </c>
      <c r="E299" s="4" t="s">
        <v>111</v>
      </c>
      <c r="F299" s="28" t="s">
        <v>221</v>
      </c>
      <c r="G299" s="4">
        <f>SUMIFS(X!$F$5:$F$2005,X!$D$5:$D$2005,'Current Stock'!A299)</f>
        <v>0</v>
      </c>
      <c r="H299" s="4">
        <f>SUMIFS(PENJUALAN!$E$4:$E$11000,PENJUALAN!$C$4:$C$11000,'Current Stock'!A299)</f>
        <v>0</v>
      </c>
      <c r="I299" s="16">
        <f t="shared" si="2"/>
        <v>0</v>
      </c>
      <c r="J299" s="4"/>
      <c r="K299" s="4"/>
      <c r="L299" s="4"/>
      <c r="M299" s="4"/>
    </row>
    <row r="300" ht="13.5" customHeight="1">
      <c r="A300" s="4" t="str">
        <f t="shared" si="1"/>
        <v>RDL-ODYSSEY13FY</v>
      </c>
      <c r="B300" s="29" t="s">
        <v>503</v>
      </c>
      <c r="C300" s="28" t="s">
        <v>501</v>
      </c>
      <c r="D300" s="28" t="s">
        <v>132</v>
      </c>
      <c r="E300" s="4" t="s">
        <v>111</v>
      </c>
      <c r="F300" s="28"/>
      <c r="G300" s="4">
        <f>SUMIFS(X!$F$5:$F$2005,X!$D$5:$D$2005,'Current Stock'!A300)</f>
        <v>0</v>
      </c>
      <c r="H300" s="4">
        <f>SUMIFS(PENJUALAN!$E$4:$E$11000,PENJUALAN!$C$4:$C$11000,'Current Stock'!A300)</f>
        <v>0</v>
      </c>
      <c r="I300" s="16">
        <f t="shared" si="2"/>
        <v>0</v>
      </c>
      <c r="J300" s="4"/>
      <c r="K300" s="4"/>
      <c r="L300" s="4"/>
      <c r="M300" s="4"/>
    </row>
    <row r="301" ht="13.5" customHeight="1">
      <c r="A301" s="4" t="str">
        <f t="shared" si="1"/>
        <v>RDR-ODYSSEY13FY</v>
      </c>
      <c r="B301" s="29" t="s">
        <v>504</v>
      </c>
      <c r="C301" s="28" t="s">
        <v>501</v>
      </c>
      <c r="D301" s="28" t="s">
        <v>134</v>
      </c>
      <c r="E301" s="4" t="s">
        <v>111</v>
      </c>
      <c r="F301" s="28"/>
      <c r="G301" s="4">
        <f>SUMIFS(X!$F$5:$F$2005,X!$D$5:$D$2005,'Current Stock'!A301)</f>
        <v>0</v>
      </c>
      <c r="H301" s="4">
        <f>SUMIFS(PENJUALAN!$E$4:$E$11000,PENJUALAN!$C$4:$C$11000,'Current Stock'!A301)</f>
        <v>0</v>
      </c>
      <c r="I301" s="16">
        <f t="shared" si="2"/>
        <v>0</v>
      </c>
      <c r="J301" s="4"/>
      <c r="K301" s="4"/>
      <c r="L301" s="4"/>
      <c r="M301" s="4"/>
    </row>
    <row r="302" ht="13.5" customHeight="1">
      <c r="A302" s="4" t="str">
        <f t="shared" si="1"/>
        <v>SWL-ODYSSEY13FY</v>
      </c>
      <c r="B302" s="29" t="s">
        <v>505</v>
      </c>
      <c r="C302" s="28" t="s">
        <v>501</v>
      </c>
      <c r="D302" s="28" t="s">
        <v>202</v>
      </c>
      <c r="E302" s="4" t="s">
        <v>111</v>
      </c>
      <c r="F302" s="28" t="s">
        <v>234</v>
      </c>
      <c r="G302" s="4">
        <f>SUMIFS(X!$F$5:$F$2005,X!$D$5:$D$2005,'Current Stock'!A302)</f>
        <v>0</v>
      </c>
      <c r="H302" s="4">
        <f>SUMIFS(PENJUALAN!$E$4:$E$11000,PENJUALAN!$C$4:$C$11000,'Current Stock'!A302)</f>
        <v>0</v>
      </c>
      <c r="I302" s="16">
        <f t="shared" si="2"/>
        <v>0</v>
      </c>
      <c r="J302" s="4"/>
      <c r="K302" s="4"/>
      <c r="L302" s="4"/>
      <c r="M302" s="4"/>
    </row>
    <row r="303" ht="13.5" customHeight="1">
      <c r="A303" s="4" t="str">
        <f t="shared" si="1"/>
        <v>TRW-STREAM00FY</v>
      </c>
      <c r="B303" s="29" t="s">
        <v>506</v>
      </c>
      <c r="C303" s="28" t="s">
        <v>507</v>
      </c>
      <c r="D303" s="28" t="s">
        <v>41</v>
      </c>
      <c r="E303" s="4" t="s">
        <v>111</v>
      </c>
      <c r="F303" s="28" t="s">
        <v>221</v>
      </c>
      <c r="G303" s="4">
        <f>SUMIFS(X!$F$5:$F$2005,X!$D$5:$D$2005,'Current Stock'!A303)</f>
        <v>0</v>
      </c>
      <c r="H303" s="4">
        <f>SUMIFS(PENJUALAN!$E$4:$E$11000,PENJUALAN!$C$4:$C$11000,'Current Stock'!A303)</f>
        <v>0</v>
      </c>
      <c r="I303" s="16">
        <f t="shared" si="2"/>
        <v>0</v>
      </c>
      <c r="J303" s="4"/>
      <c r="K303" s="4"/>
      <c r="L303" s="4"/>
      <c r="M303" s="4"/>
    </row>
    <row r="304" ht="13.5" customHeight="1">
      <c r="A304" s="4" t="str">
        <f t="shared" si="1"/>
        <v>RDR-STREAM00FY</v>
      </c>
      <c r="B304" s="29" t="s">
        <v>508</v>
      </c>
      <c r="C304" s="28" t="s">
        <v>507</v>
      </c>
      <c r="D304" s="28" t="s">
        <v>134</v>
      </c>
      <c r="E304" s="4" t="s">
        <v>111</v>
      </c>
      <c r="F304" s="28"/>
      <c r="G304" s="4">
        <f>SUMIFS(X!$F$5:$F$2005,X!$D$5:$D$2005,'Current Stock'!A304)</f>
        <v>0</v>
      </c>
      <c r="H304" s="4">
        <f>SUMIFS(PENJUALAN!$E$4:$E$11000,PENJUALAN!$C$4:$C$11000,'Current Stock'!A304)</f>
        <v>0</v>
      </c>
      <c r="I304" s="16">
        <f t="shared" si="2"/>
        <v>0</v>
      </c>
      <c r="J304" s="4"/>
      <c r="K304" s="4"/>
      <c r="L304" s="4"/>
      <c r="M304" s="4"/>
    </row>
    <row r="305" ht="13.5" customHeight="1">
      <c r="A305" s="4" t="str">
        <f t="shared" si="1"/>
        <v>LFW-STREAM00MBFY</v>
      </c>
      <c r="B305" s="29" t="s">
        <v>509</v>
      </c>
      <c r="C305" s="28" t="s">
        <v>510</v>
      </c>
      <c r="D305" s="28" t="s">
        <v>22</v>
      </c>
      <c r="E305" s="4" t="s">
        <v>111</v>
      </c>
      <c r="F305" s="28" t="s">
        <v>125</v>
      </c>
      <c r="G305" s="4">
        <f>SUMIFS(X!$F$5:$F$2005,X!$D$5:$D$2005,'Current Stock'!A305)</f>
        <v>0</v>
      </c>
      <c r="H305" s="4">
        <f>SUMIFS(PENJUALAN!$E$4:$E$11000,PENJUALAN!$C$4:$C$11000,'Current Stock'!A305)</f>
        <v>0</v>
      </c>
      <c r="I305" s="16">
        <f t="shared" si="2"/>
        <v>0</v>
      </c>
      <c r="J305" s="4"/>
      <c r="K305" s="4"/>
      <c r="L305" s="4"/>
      <c r="M305" s="4"/>
    </row>
    <row r="306" ht="13.5" customHeight="1">
      <c r="A306" s="4" t="str">
        <f t="shared" si="1"/>
        <v>TRW-VERNA00FY</v>
      </c>
      <c r="B306" s="29" t="s">
        <v>511</v>
      </c>
      <c r="C306" s="28" t="s">
        <v>512</v>
      </c>
      <c r="D306" s="28" t="s">
        <v>41</v>
      </c>
      <c r="E306" s="4" t="s">
        <v>111</v>
      </c>
      <c r="F306" s="28" t="s">
        <v>67</v>
      </c>
      <c r="G306" s="4">
        <f>SUMIFS(X!$F$5:$F$2005,X!$D$5:$D$2005,'Current Stock'!A306)</f>
        <v>0</v>
      </c>
      <c r="H306" s="4">
        <f>SUMIFS(PENJUALAN!$E$4:$E$11000,PENJUALAN!$C$4:$C$11000,'Current Stock'!A306)</f>
        <v>0</v>
      </c>
      <c r="I306" s="16">
        <f t="shared" si="2"/>
        <v>0</v>
      </c>
      <c r="J306" s="4"/>
      <c r="K306" s="4"/>
      <c r="L306" s="4"/>
      <c r="M306" s="4"/>
    </row>
    <row r="307" ht="13.5" customHeight="1">
      <c r="A307" s="4" t="str">
        <f t="shared" si="1"/>
        <v>LFW-ELANTRAFY</v>
      </c>
      <c r="B307" s="29" t="s">
        <v>513</v>
      </c>
      <c r="C307" s="28" t="s">
        <v>514</v>
      </c>
      <c r="D307" s="28" t="s">
        <v>22</v>
      </c>
      <c r="E307" s="4" t="s">
        <v>111</v>
      </c>
      <c r="F307" s="28" t="s">
        <v>125</v>
      </c>
      <c r="G307" s="4">
        <f>SUMIFS(X!$F$5:$F$2005,X!$D$5:$D$2005,'Current Stock'!A307)</f>
        <v>0</v>
      </c>
      <c r="H307" s="4">
        <f>SUMIFS(PENJUALAN!$E$4:$E$11000,PENJUALAN!$C$4:$C$11000,'Current Stock'!A307)</f>
        <v>0</v>
      </c>
      <c r="I307" s="16">
        <f t="shared" si="2"/>
        <v>0</v>
      </c>
      <c r="J307" s="4"/>
      <c r="K307" s="4"/>
      <c r="L307" s="4"/>
      <c r="M307" s="4"/>
    </row>
    <row r="308" ht="13.5" customHeight="1">
      <c r="A308" s="4" t="str">
        <f t="shared" si="1"/>
        <v>LFW-GETZFY</v>
      </c>
      <c r="B308" s="29" t="s">
        <v>515</v>
      </c>
      <c r="C308" s="28" t="s">
        <v>516</v>
      </c>
      <c r="D308" s="28" t="s">
        <v>22</v>
      </c>
      <c r="E308" s="4" t="s">
        <v>111</v>
      </c>
      <c r="F308" s="28" t="s">
        <v>125</v>
      </c>
      <c r="G308" s="4">
        <f>SUMIFS(X!$F$5:$F$2005,X!$D$5:$D$2005,'Current Stock'!A308)</f>
        <v>0</v>
      </c>
      <c r="H308" s="4">
        <f>SUMIFS(PENJUALAN!$E$4:$E$11000,PENJUALAN!$C$4:$C$11000,'Current Stock'!A308)</f>
        <v>0</v>
      </c>
      <c r="I308" s="16">
        <f t="shared" si="2"/>
        <v>0</v>
      </c>
      <c r="J308" s="4"/>
      <c r="K308" s="4"/>
      <c r="L308" s="4"/>
      <c r="M308" s="4"/>
    </row>
    <row r="309" ht="13.5" customHeight="1">
      <c r="A309" s="4" t="str">
        <f t="shared" si="1"/>
        <v>TRW-GETZFY</v>
      </c>
      <c r="B309" s="29" t="s">
        <v>517</v>
      </c>
      <c r="C309" s="28" t="s">
        <v>516</v>
      </c>
      <c r="D309" s="28" t="s">
        <v>41</v>
      </c>
      <c r="E309" s="4" t="s">
        <v>111</v>
      </c>
      <c r="F309" s="28" t="s">
        <v>221</v>
      </c>
      <c r="G309" s="4">
        <f>SUMIFS(X!$F$5:$F$2005,X!$D$5:$D$2005,'Current Stock'!A309)</f>
        <v>0</v>
      </c>
      <c r="H309" s="4">
        <f>SUMIFS(PENJUALAN!$E$4:$E$11000,PENJUALAN!$C$4:$C$11000,'Current Stock'!A309)</f>
        <v>0</v>
      </c>
      <c r="I309" s="16">
        <f t="shared" si="2"/>
        <v>0</v>
      </c>
      <c r="J309" s="4"/>
      <c r="K309" s="4"/>
      <c r="L309" s="4"/>
      <c r="M309" s="4"/>
    </row>
    <row r="310" ht="13.5" customHeight="1">
      <c r="A310" s="4" t="str">
        <f t="shared" si="1"/>
        <v>FDL-GETZFY</v>
      </c>
      <c r="B310" s="29" t="s">
        <v>518</v>
      </c>
      <c r="C310" s="28" t="s">
        <v>516</v>
      </c>
      <c r="D310" s="28" t="s">
        <v>128</v>
      </c>
      <c r="E310" s="4" t="s">
        <v>111</v>
      </c>
      <c r="F310" s="28" t="s">
        <v>141</v>
      </c>
      <c r="G310" s="4">
        <f>SUMIFS(X!$F$5:$F$2005,X!$D$5:$D$2005,'Current Stock'!A310)</f>
        <v>0</v>
      </c>
      <c r="H310" s="4">
        <f>SUMIFS(PENJUALAN!$E$4:$E$11000,PENJUALAN!$C$4:$C$11000,'Current Stock'!A310)</f>
        <v>0</v>
      </c>
      <c r="I310" s="16">
        <f t="shared" si="2"/>
        <v>0</v>
      </c>
      <c r="J310" s="4"/>
      <c r="K310" s="4"/>
      <c r="L310" s="4"/>
      <c r="M310" s="4"/>
    </row>
    <row r="311" ht="13.5" customHeight="1">
      <c r="A311" s="4" t="str">
        <f t="shared" si="1"/>
        <v>FDR-GETZFY</v>
      </c>
      <c r="B311" s="29" t="s">
        <v>519</v>
      </c>
      <c r="C311" s="28" t="s">
        <v>516</v>
      </c>
      <c r="D311" s="28" t="s">
        <v>130</v>
      </c>
      <c r="E311" s="4" t="s">
        <v>111</v>
      </c>
      <c r="F311" s="28" t="s">
        <v>141</v>
      </c>
      <c r="G311" s="4">
        <f>SUMIFS(X!$F$5:$F$2005,X!$D$5:$D$2005,'Current Stock'!A311)</f>
        <v>0</v>
      </c>
      <c r="H311" s="4">
        <f>SUMIFS(PENJUALAN!$E$4:$E$11000,PENJUALAN!$C$4:$C$11000,'Current Stock'!A311)</f>
        <v>0</v>
      </c>
      <c r="I311" s="16">
        <f t="shared" si="2"/>
        <v>0</v>
      </c>
      <c r="J311" s="4"/>
      <c r="K311" s="4"/>
      <c r="L311" s="4"/>
      <c r="M311" s="4"/>
    </row>
    <row r="312" ht="13.5" customHeight="1">
      <c r="A312" s="4" t="str">
        <f t="shared" si="1"/>
        <v>RDL-GETZFY</v>
      </c>
      <c r="B312" s="29" t="s">
        <v>520</v>
      </c>
      <c r="C312" s="28" t="s">
        <v>516</v>
      </c>
      <c r="D312" s="28" t="s">
        <v>132</v>
      </c>
      <c r="E312" s="4" t="s">
        <v>111</v>
      </c>
      <c r="F312" s="28"/>
      <c r="G312" s="4">
        <f>SUMIFS(X!$F$5:$F$2005,X!$D$5:$D$2005,'Current Stock'!A312)</f>
        <v>0</v>
      </c>
      <c r="H312" s="4">
        <f>SUMIFS(PENJUALAN!$E$4:$E$11000,PENJUALAN!$C$4:$C$11000,'Current Stock'!A312)</f>
        <v>0</v>
      </c>
      <c r="I312" s="16">
        <f t="shared" si="2"/>
        <v>0</v>
      </c>
      <c r="J312" s="4"/>
      <c r="K312" s="4"/>
      <c r="L312" s="4"/>
      <c r="M312" s="4"/>
    </row>
    <row r="313" ht="13.5" customHeight="1">
      <c r="A313" s="4" t="str">
        <f t="shared" si="1"/>
        <v>RDR-GETZFY</v>
      </c>
      <c r="B313" s="29" t="s">
        <v>521</v>
      </c>
      <c r="C313" s="28" t="s">
        <v>516</v>
      </c>
      <c r="D313" s="28" t="s">
        <v>134</v>
      </c>
      <c r="E313" s="4" t="s">
        <v>111</v>
      </c>
      <c r="F313" s="28"/>
      <c r="G313" s="4">
        <f>SUMIFS(X!$F$5:$F$2005,X!$D$5:$D$2005,'Current Stock'!A313)</f>
        <v>0</v>
      </c>
      <c r="H313" s="4">
        <f>SUMIFS(PENJUALAN!$E$4:$E$11000,PENJUALAN!$C$4:$C$11000,'Current Stock'!A313)</f>
        <v>0</v>
      </c>
      <c r="I313" s="16">
        <f t="shared" si="2"/>
        <v>0</v>
      </c>
      <c r="J313" s="4"/>
      <c r="K313" s="4"/>
      <c r="L313" s="4"/>
      <c r="M313" s="4"/>
    </row>
    <row r="314" ht="13.5" customHeight="1">
      <c r="A314" s="4" t="str">
        <f t="shared" si="1"/>
        <v>LFW-GAVEGAFY</v>
      </c>
      <c r="B314" s="29" t="s">
        <v>522</v>
      </c>
      <c r="C314" s="28" t="s">
        <v>523</v>
      </c>
      <c r="D314" s="28" t="s">
        <v>22</v>
      </c>
      <c r="E314" s="4" t="s">
        <v>111</v>
      </c>
      <c r="F314" s="28" t="s">
        <v>125</v>
      </c>
      <c r="G314" s="4">
        <f>SUMIFS(X!$F$5:$F$2005,X!$D$5:$D$2005,'Current Stock'!A314)</f>
        <v>0</v>
      </c>
      <c r="H314" s="4">
        <f>SUMIFS(PENJUALAN!$E$4:$E$11000,PENJUALAN!$C$4:$C$11000,'Current Stock'!A314)</f>
        <v>0</v>
      </c>
      <c r="I314" s="16">
        <f t="shared" si="2"/>
        <v>0</v>
      </c>
      <c r="J314" s="4"/>
      <c r="K314" s="4"/>
      <c r="L314" s="4"/>
      <c r="M314" s="4"/>
    </row>
    <row r="315" ht="13.5" customHeight="1">
      <c r="A315" s="4" t="str">
        <f t="shared" si="1"/>
        <v>TRW-GAVEGAFY</v>
      </c>
      <c r="B315" s="29" t="s">
        <v>524</v>
      </c>
      <c r="C315" s="28" t="s">
        <v>523</v>
      </c>
      <c r="D315" s="28" t="s">
        <v>41</v>
      </c>
      <c r="E315" s="4" t="s">
        <v>111</v>
      </c>
      <c r="F315" s="28" t="s">
        <v>221</v>
      </c>
      <c r="G315" s="4">
        <f>SUMIFS(X!$F$5:$F$2005,X!$D$5:$D$2005,'Current Stock'!A315)</f>
        <v>0</v>
      </c>
      <c r="H315" s="4">
        <f>SUMIFS(PENJUALAN!$E$4:$E$11000,PENJUALAN!$C$4:$C$11000,'Current Stock'!A315)</f>
        <v>0</v>
      </c>
      <c r="I315" s="16">
        <f t="shared" si="2"/>
        <v>0</v>
      </c>
      <c r="J315" s="4"/>
      <c r="K315" s="4"/>
      <c r="L315" s="4"/>
      <c r="M315" s="4"/>
    </row>
    <row r="316" ht="13.5" customHeight="1">
      <c r="A316" s="4" t="str">
        <f t="shared" si="1"/>
        <v>RDL-GAVEGAFY</v>
      </c>
      <c r="B316" s="29" t="s">
        <v>525</v>
      </c>
      <c r="C316" s="28" t="s">
        <v>523</v>
      </c>
      <c r="D316" s="28" t="s">
        <v>132</v>
      </c>
      <c r="E316" s="4" t="s">
        <v>111</v>
      </c>
      <c r="F316" s="28" t="s">
        <v>141</v>
      </c>
      <c r="G316" s="4">
        <f>SUMIFS(X!$F$5:$F$2005,X!$D$5:$D$2005,'Current Stock'!A316)</f>
        <v>0</v>
      </c>
      <c r="H316" s="4">
        <f>SUMIFS(PENJUALAN!$E$4:$E$11000,PENJUALAN!$C$4:$C$11000,'Current Stock'!A316)</f>
        <v>0</v>
      </c>
      <c r="I316" s="16">
        <f t="shared" si="2"/>
        <v>0</v>
      </c>
      <c r="J316" s="4"/>
      <c r="K316" s="4"/>
      <c r="L316" s="4"/>
      <c r="M316" s="4"/>
    </row>
    <row r="317" ht="13.5" customHeight="1">
      <c r="A317" s="4" t="str">
        <f t="shared" si="1"/>
        <v>RDR-GAVEGAFY</v>
      </c>
      <c r="B317" s="29" t="s">
        <v>526</v>
      </c>
      <c r="C317" s="28" t="s">
        <v>523</v>
      </c>
      <c r="D317" s="28" t="s">
        <v>134</v>
      </c>
      <c r="E317" s="4" t="s">
        <v>111</v>
      </c>
      <c r="F317" s="28" t="s">
        <v>141</v>
      </c>
      <c r="G317" s="4">
        <f>SUMIFS(X!$F$5:$F$2005,X!$D$5:$D$2005,'Current Stock'!A317)</f>
        <v>0</v>
      </c>
      <c r="H317" s="4">
        <f>SUMIFS(PENJUALAN!$E$4:$E$11000,PENJUALAN!$C$4:$C$11000,'Current Stock'!A317)</f>
        <v>0</v>
      </c>
      <c r="I317" s="16">
        <f t="shared" si="2"/>
        <v>0</v>
      </c>
      <c r="J317" s="4"/>
      <c r="K317" s="4"/>
      <c r="L317" s="4"/>
      <c r="M317" s="4"/>
    </row>
    <row r="318" ht="13.5" customHeight="1">
      <c r="A318" s="4" t="str">
        <f t="shared" si="1"/>
        <v>LFW-H1FY</v>
      </c>
      <c r="B318" s="29" t="s">
        <v>527</v>
      </c>
      <c r="C318" s="28" t="s">
        <v>528</v>
      </c>
      <c r="D318" s="28" t="s">
        <v>22</v>
      </c>
      <c r="E318" s="4" t="s">
        <v>111</v>
      </c>
      <c r="F318" s="28" t="s">
        <v>125</v>
      </c>
      <c r="G318" s="4">
        <f>SUMIFS(X!$F$5:$F$2005,X!$D$5:$D$2005,'Current Stock'!A318)</f>
        <v>0</v>
      </c>
      <c r="H318" s="4">
        <f>SUMIFS(PENJUALAN!$E$4:$E$11000,PENJUALAN!$C$4:$C$11000,'Current Stock'!A318)</f>
        <v>0</v>
      </c>
      <c r="I318" s="16">
        <f t="shared" si="2"/>
        <v>0</v>
      </c>
      <c r="J318" s="4"/>
      <c r="K318" s="4"/>
      <c r="L318" s="4"/>
      <c r="M318" s="4"/>
    </row>
    <row r="319" ht="13.5" customHeight="1">
      <c r="A319" s="4" t="str">
        <f t="shared" si="1"/>
        <v>TRW-H1FY</v>
      </c>
      <c r="B319" s="29" t="s">
        <v>529</v>
      </c>
      <c r="C319" s="28" t="s">
        <v>530</v>
      </c>
      <c r="D319" s="28" t="s">
        <v>41</v>
      </c>
      <c r="E319" s="4" t="s">
        <v>111</v>
      </c>
      <c r="F319" s="28" t="s">
        <v>221</v>
      </c>
      <c r="G319" s="4">
        <f>SUMIFS(X!$F$5:$F$2005,X!$D$5:$D$2005,'Current Stock'!A319)</f>
        <v>0</v>
      </c>
      <c r="H319" s="4">
        <f>SUMIFS(PENJUALAN!$E$4:$E$11000,PENJUALAN!$C$4:$C$11000,'Current Stock'!A319)</f>
        <v>0</v>
      </c>
      <c r="I319" s="16">
        <f t="shared" si="2"/>
        <v>0</v>
      </c>
      <c r="J319" s="4"/>
      <c r="K319" s="4"/>
      <c r="L319" s="4"/>
      <c r="M319" s="4"/>
    </row>
    <row r="320" ht="13.5" customHeight="1">
      <c r="A320" s="4" t="str">
        <f t="shared" si="1"/>
        <v>RDL-H1FY</v>
      </c>
      <c r="B320" s="29" t="s">
        <v>531</v>
      </c>
      <c r="C320" s="28" t="s">
        <v>532</v>
      </c>
      <c r="D320" s="28" t="s">
        <v>132</v>
      </c>
      <c r="E320" s="4" t="s">
        <v>111</v>
      </c>
      <c r="F320" s="28" t="s">
        <v>533</v>
      </c>
      <c r="G320" s="4">
        <f>SUMIFS(X!$F$5:$F$2005,X!$D$5:$D$2005,'Current Stock'!A320)</f>
        <v>0</v>
      </c>
      <c r="H320" s="4">
        <f>SUMIFS(PENJUALAN!$E$4:$E$11000,PENJUALAN!$C$4:$C$11000,'Current Stock'!A320)</f>
        <v>0</v>
      </c>
      <c r="I320" s="16">
        <f t="shared" si="2"/>
        <v>0</v>
      </c>
      <c r="J320" s="4"/>
      <c r="K320" s="4"/>
      <c r="L320" s="4"/>
      <c r="M320" s="4"/>
    </row>
    <row r="321" ht="13.5" customHeight="1">
      <c r="A321" s="4" t="str">
        <f t="shared" si="1"/>
        <v>SWL-H1FY</v>
      </c>
      <c r="B321" s="29" t="s">
        <v>534</v>
      </c>
      <c r="C321" s="28" t="s">
        <v>528</v>
      </c>
      <c r="D321" s="28" t="s">
        <v>202</v>
      </c>
      <c r="E321" s="4" t="s">
        <v>111</v>
      </c>
      <c r="F321" s="28" t="s">
        <v>533</v>
      </c>
      <c r="G321" s="4">
        <f>SUMIFS(X!$F$5:$F$2005,X!$D$5:$D$2005,'Current Stock'!A321)</f>
        <v>0</v>
      </c>
      <c r="H321" s="4">
        <f>SUMIFS(PENJUALAN!$E$4:$E$11000,PENJUALAN!$C$4:$C$11000,'Current Stock'!A321)</f>
        <v>0</v>
      </c>
      <c r="I321" s="16">
        <f t="shared" si="2"/>
        <v>0</v>
      </c>
      <c r="J321" s="4"/>
      <c r="K321" s="4"/>
      <c r="L321" s="4"/>
      <c r="M321" s="4"/>
    </row>
    <row r="322" ht="13.5" customHeight="1">
      <c r="A322" s="4" t="str">
        <f t="shared" si="1"/>
        <v>LFW-I1008FY</v>
      </c>
      <c r="B322" s="29" t="s">
        <v>535</v>
      </c>
      <c r="C322" s="28" t="s">
        <v>536</v>
      </c>
      <c r="D322" s="28" t="s">
        <v>22</v>
      </c>
      <c r="E322" s="4" t="s">
        <v>111</v>
      </c>
      <c r="F322" s="28" t="s">
        <v>125</v>
      </c>
      <c r="G322" s="4">
        <f>SUMIFS(X!$F$5:$F$2005,X!$D$5:$D$2005,'Current Stock'!A322)</f>
        <v>0</v>
      </c>
      <c r="H322" s="4">
        <f>SUMIFS(PENJUALAN!$E$4:$E$11000,PENJUALAN!$C$4:$C$11000,'Current Stock'!A322)</f>
        <v>0</v>
      </c>
      <c r="I322" s="16">
        <f t="shared" si="2"/>
        <v>0</v>
      </c>
      <c r="J322" s="4"/>
      <c r="K322" s="4"/>
      <c r="L322" s="4"/>
      <c r="M322" s="4"/>
    </row>
    <row r="323" ht="13.5" customHeight="1">
      <c r="A323" s="4" t="str">
        <f t="shared" si="1"/>
        <v>TRW-I1008FY</v>
      </c>
      <c r="B323" s="29" t="s">
        <v>537</v>
      </c>
      <c r="C323" s="28" t="s">
        <v>536</v>
      </c>
      <c r="D323" s="28" t="s">
        <v>41</v>
      </c>
      <c r="E323" s="4" t="s">
        <v>111</v>
      </c>
      <c r="F323" s="28" t="s">
        <v>67</v>
      </c>
      <c r="G323" s="4">
        <f>SUMIFS(X!$F$5:$F$2005,X!$D$5:$D$2005,'Current Stock'!A323)</f>
        <v>0</v>
      </c>
      <c r="H323" s="4">
        <f>SUMIFS(PENJUALAN!$E$4:$E$11000,PENJUALAN!$C$4:$C$11000,'Current Stock'!A323)</f>
        <v>0</v>
      </c>
      <c r="I323" s="16">
        <f t="shared" si="2"/>
        <v>0</v>
      </c>
      <c r="J323" s="4"/>
      <c r="K323" s="4"/>
      <c r="L323" s="4"/>
      <c r="M323" s="4"/>
    </row>
    <row r="324" ht="13.5" customHeight="1">
      <c r="A324" s="4" t="str">
        <f t="shared" si="1"/>
        <v>FDL-I1008FY</v>
      </c>
      <c r="B324" s="29" t="s">
        <v>538</v>
      </c>
      <c r="C324" s="28" t="s">
        <v>536</v>
      </c>
      <c r="D324" s="28" t="s">
        <v>128</v>
      </c>
      <c r="E324" s="4" t="s">
        <v>111</v>
      </c>
      <c r="F324" s="28" t="s">
        <v>141</v>
      </c>
      <c r="G324" s="4">
        <f>SUMIFS(X!$F$5:$F$2005,X!$D$5:$D$2005,'Current Stock'!A324)</f>
        <v>0</v>
      </c>
      <c r="H324" s="4">
        <f>SUMIFS(PENJUALAN!$E$4:$E$11000,PENJUALAN!$C$4:$C$11000,'Current Stock'!A324)</f>
        <v>0</v>
      </c>
      <c r="I324" s="16">
        <f t="shared" si="2"/>
        <v>0</v>
      </c>
      <c r="J324" s="4"/>
      <c r="K324" s="4"/>
      <c r="L324" s="4"/>
      <c r="M324" s="4"/>
    </row>
    <row r="325" ht="13.5" customHeight="1">
      <c r="A325" s="4" t="str">
        <f t="shared" si="1"/>
        <v>FDR-I1008FY</v>
      </c>
      <c r="B325" s="29" t="s">
        <v>539</v>
      </c>
      <c r="C325" s="28" t="s">
        <v>536</v>
      </c>
      <c r="D325" s="28" t="s">
        <v>130</v>
      </c>
      <c r="E325" s="4" t="s">
        <v>111</v>
      </c>
      <c r="F325" s="28" t="s">
        <v>141</v>
      </c>
      <c r="G325" s="4">
        <f>SUMIFS(X!$F$5:$F$2005,X!$D$5:$D$2005,'Current Stock'!A325)</f>
        <v>0</v>
      </c>
      <c r="H325" s="4">
        <f>SUMIFS(PENJUALAN!$E$4:$E$11000,PENJUALAN!$C$4:$C$11000,'Current Stock'!A325)</f>
        <v>0</v>
      </c>
      <c r="I325" s="16">
        <f t="shared" si="2"/>
        <v>0</v>
      </c>
      <c r="J325" s="4"/>
      <c r="K325" s="4"/>
      <c r="L325" s="4"/>
      <c r="M325" s="4"/>
    </row>
    <row r="326" ht="13.5" customHeight="1">
      <c r="A326" s="4" t="str">
        <f t="shared" si="1"/>
        <v>RDL-I1008FY</v>
      </c>
      <c r="B326" s="29" t="s">
        <v>540</v>
      </c>
      <c r="C326" s="28" t="s">
        <v>536</v>
      </c>
      <c r="D326" s="28" t="s">
        <v>132</v>
      </c>
      <c r="E326" s="4" t="s">
        <v>111</v>
      </c>
      <c r="F326" s="28"/>
      <c r="G326" s="4">
        <f>SUMIFS(X!$F$5:$F$2005,X!$D$5:$D$2005,'Current Stock'!A326)</f>
        <v>0</v>
      </c>
      <c r="H326" s="4">
        <f>SUMIFS(PENJUALAN!$E$4:$E$11000,PENJUALAN!$C$4:$C$11000,'Current Stock'!A326)</f>
        <v>0</v>
      </c>
      <c r="I326" s="16">
        <f t="shared" si="2"/>
        <v>0</v>
      </c>
      <c r="J326" s="4"/>
      <c r="K326" s="4"/>
      <c r="L326" s="4"/>
      <c r="M326" s="4"/>
    </row>
    <row r="327" ht="13.5" customHeight="1">
      <c r="A327" s="4" t="str">
        <f t="shared" si="1"/>
        <v>RDR-I1008FY</v>
      </c>
      <c r="B327" s="29" t="s">
        <v>541</v>
      </c>
      <c r="C327" s="28" t="s">
        <v>536</v>
      </c>
      <c r="D327" s="28" t="s">
        <v>134</v>
      </c>
      <c r="E327" s="4" t="s">
        <v>111</v>
      </c>
      <c r="F327" s="28"/>
      <c r="G327" s="4">
        <f>SUMIFS(X!$F$5:$F$2005,X!$D$5:$D$2005,'Current Stock'!A327)</f>
        <v>0</v>
      </c>
      <c r="H327" s="4">
        <f>SUMIFS(PENJUALAN!$E$4:$E$11000,PENJUALAN!$C$4:$C$11000,'Current Stock'!A327)</f>
        <v>0</v>
      </c>
      <c r="I327" s="16">
        <f t="shared" si="2"/>
        <v>0</v>
      </c>
      <c r="J327" s="4"/>
      <c r="K327" s="4"/>
      <c r="L327" s="4"/>
      <c r="M327" s="4"/>
    </row>
    <row r="328" ht="13.5" customHeight="1">
      <c r="A328" s="4" t="str">
        <f t="shared" si="1"/>
        <v>LFW-I1013FY</v>
      </c>
      <c r="B328" s="29" t="s">
        <v>542</v>
      </c>
      <c r="C328" s="28" t="s">
        <v>543</v>
      </c>
      <c r="D328" s="28" t="s">
        <v>22</v>
      </c>
      <c r="E328" s="4" t="s">
        <v>111</v>
      </c>
      <c r="F328" s="28" t="s">
        <v>125</v>
      </c>
      <c r="G328" s="4">
        <f>SUMIFS(X!$F$5:$F$2005,X!$D$5:$D$2005,'Current Stock'!A328)</f>
        <v>0</v>
      </c>
      <c r="H328" s="4">
        <f>SUMIFS(PENJUALAN!$E$4:$E$11000,PENJUALAN!$C$4:$C$11000,'Current Stock'!A328)</f>
        <v>0</v>
      </c>
      <c r="I328" s="16">
        <f t="shared" si="2"/>
        <v>0</v>
      </c>
      <c r="J328" s="4"/>
      <c r="K328" s="4"/>
      <c r="L328" s="4"/>
      <c r="M328" s="4"/>
    </row>
    <row r="329" ht="13.5" customHeight="1">
      <c r="A329" s="4" t="str">
        <f t="shared" si="1"/>
        <v>TRW-I1013FY</v>
      </c>
      <c r="B329" s="29" t="s">
        <v>544</v>
      </c>
      <c r="C329" s="28" t="s">
        <v>543</v>
      </c>
      <c r="D329" s="28" t="s">
        <v>41</v>
      </c>
      <c r="E329" s="4" t="s">
        <v>111</v>
      </c>
      <c r="F329" s="28" t="s">
        <v>439</v>
      </c>
      <c r="G329" s="4">
        <f>SUMIFS(X!$F$5:$F$2005,X!$D$5:$D$2005,'Current Stock'!A329)</f>
        <v>0</v>
      </c>
      <c r="H329" s="4">
        <f>SUMIFS(PENJUALAN!$E$4:$E$11000,PENJUALAN!$C$4:$C$11000,'Current Stock'!A329)</f>
        <v>0</v>
      </c>
      <c r="I329" s="16">
        <f t="shared" si="2"/>
        <v>0</v>
      </c>
      <c r="J329" s="4"/>
      <c r="K329" s="4"/>
      <c r="L329" s="4"/>
      <c r="M329" s="4"/>
    </row>
    <row r="330" ht="13.5" customHeight="1">
      <c r="A330" s="4" t="str">
        <f t="shared" si="1"/>
        <v>RDL-I1013FY</v>
      </c>
      <c r="B330" s="29" t="s">
        <v>545</v>
      </c>
      <c r="C330" s="28" t="s">
        <v>543</v>
      </c>
      <c r="D330" s="28" t="s">
        <v>132</v>
      </c>
      <c r="E330" s="4" t="s">
        <v>111</v>
      </c>
      <c r="F330" s="28"/>
      <c r="G330" s="4">
        <f>SUMIFS(X!$F$5:$F$2005,X!$D$5:$D$2005,'Current Stock'!A330)</f>
        <v>0</v>
      </c>
      <c r="H330" s="4">
        <f>SUMIFS(PENJUALAN!$E$4:$E$11000,PENJUALAN!$C$4:$C$11000,'Current Stock'!A330)</f>
        <v>0</v>
      </c>
      <c r="I330" s="16">
        <f t="shared" si="2"/>
        <v>0</v>
      </c>
      <c r="J330" s="4"/>
      <c r="K330" s="4"/>
      <c r="L330" s="4"/>
      <c r="M330" s="4"/>
    </row>
    <row r="331" ht="13.5" customHeight="1">
      <c r="A331" s="4" t="str">
        <f t="shared" si="1"/>
        <v>RDR-I1013FY</v>
      </c>
      <c r="B331" s="29" t="s">
        <v>546</v>
      </c>
      <c r="C331" s="28" t="s">
        <v>543</v>
      </c>
      <c r="D331" s="28" t="s">
        <v>134</v>
      </c>
      <c r="E331" s="4" t="s">
        <v>111</v>
      </c>
      <c r="F331" s="28"/>
      <c r="G331" s="4">
        <f>SUMIFS(X!$F$5:$F$2005,X!$D$5:$D$2005,'Current Stock'!A331)</f>
        <v>0</v>
      </c>
      <c r="H331" s="4">
        <f>SUMIFS(PENJUALAN!$E$4:$E$11000,PENJUALAN!$C$4:$C$11000,'Current Stock'!A331)</f>
        <v>0</v>
      </c>
      <c r="I331" s="16">
        <f t="shared" si="2"/>
        <v>0</v>
      </c>
      <c r="J331" s="4"/>
      <c r="K331" s="4"/>
      <c r="L331" s="4"/>
      <c r="M331" s="4"/>
    </row>
    <row r="332" ht="13.5" customHeight="1">
      <c r="A332" s="4" t="str">
        <f t="shared" si="1"/>
        <v>RVL-I1013FY</v>
      </c>
      <c r="B332" s="29" t="s">
        <v>547</v>
      </c>
      <c r="C332" s="28" t="s">
        <v>543</v>
      </c>
      <c r="D332" s="28" t="s">
        <v>387</v>
      </c>
      <c r="E332" s="4" t="s">
        <v>111</v>
      </c>
      <c r="F332" s="28"/>
      <c r="G332" s="4">
        <f>SUMIFS(X!$F$5:$F$2005,X!$D$5:$D$2005,'Current Stock'!A332)</f>
        <v>0</v>
      </c>
      <c r="H332" s="4">
        <f>SUMIFS(PENJUALAN!$E$4:$E$11000,PENJUALAN!$C$4:$C$11000,'Current Stock'!A332)</f>
        <v>0</v>
      </c>
      <c r="I332" s="16">
        <f t="shared" si="2"/>
        <v>0</v>
      </c>
      <c r="J332" s="4"/>
      <c r="K332" s="4"/>
      <c r="L332" s="4"/>
      <c r="M332" s="4"/>
    </row>
    <row r="333" ht="13.5" customHeight="1">
      <c r="A333" s="4" t="str">
        <f t="shared" si="1"/>
        <v>RVR-I1013FY</v>
      </c>
      <c r="B333" s="29" t="s">
        <v>548</v>
      </c>
      <c r="C333" s="28" t="s">
        <v>543</v>
      </c>
      <c r="D333" s="28" t="s">
        <v>389</v>
      </c>
      <c r="E333" s="4" t="s">
        <v>111</v>
      </c>
      <c r="F333" s="28"/>
      <c r="G333" s="4">
        <f>SUMIFS(X!$F$5:$F$2005,X!$D$5:$D$2005,'Current Stock'!A333)</f>
        <v>0</v>
      </c>
      <c r="H333" s="4">
        <f>SUMIFS(PENJUALAN!$E$4:$E$11000,PENJUALAN!$C$4:$C$11000,'Current Stock'!A333)</f>
        <v>0</v>
      </c>
      <c r="I333" s="16">
        <f t="shared" si="2"/>
        <v>0</v>
      </c>
      <c r="J333" s="4"/>
      <c r="K333" s="4"/>
      <c r="L333" s="4"/>
      <c r="M333" s="4"/>
    </row>
    <row r="334" ht="13.5" customHeight="1">
      <c r="A334" s="4" t="str">
        <f t="shared" si="1"/>
        <v>LFW-MATRIXFY</v>
      </c>
      <c r="B334" s="29" t="s">
        <v>549</v>
      </c>
      <c r="C334" s="28" t="s">
        <v>550</v>
      </c>
      <c r="D334" s="28" t="s">
        <v>22</v>
      </c>
      <c r="E334" s="4" t="s">
        <v>111</v>
      </c>
      <c r="F334" s="28" t="s">
        <v>125</v>
      </c>
      <c r="G334" s="4">
        <f>SUMIFS(X!$F$5:$F$2005,X!$D$5:$D$2005,'Current Stock'!A334)</f>
        <v>0</v>
      </c>
      <c r="H334" s="4">
        <f>SUMIFS(PENJUALAN!$E$4:$E$11000,PENJUALAN!$C$4:$C$11000,'Current Stock'!A334)</f>
        <v>0</v>
      </c>
      <c r="I334" s="16">
        <f t="shared" si="2"/>
        <v>0</v>
      </c>
      <c r="J334" s="4"/>
      <c r="K334" s="4"/>
      <c r="L334" s="4"/>
      <c r="M334" s="4"/>
    </row>
    <row r="335" ht="13.5" customHeight="1">
      <c r="A335" s="4" t="str">
        <f t="shared" si="1"/>
        <v>TRW-MATRIXNOHOLEFY</v>
      </c>
      <c r="B335" s="29" t="s">
        <v>551</v>
      </c>
      <c r="C335" s="28" t="s">
        <v>550</v>
      </c>
      <c r="D335" s="28" t="s">
        <v>41</v>
      </c>
      <c r="E335" s="4" t="s">
        <v>111</v>
      </c>
      <c r="F335" s="28" t="s">
        <v>67</v>
      </c>
      <c r="G335" s="4">
        <f>SUMIFS(X!$F$5:$F$2005,X!$D$5:$D$2005,'Current Stock'!A335)</f>
        <v>0</v>
      </c>
      <c r="H335" s="4">
        <f>SUMIFS(PENJUALAN!$E$4:$E$11000,PENJUALAN!$C$4:$C$11000,'Current Stock'!A335)</f>
        <v>0</v>
      </c>
      <c r="I335" s="16">
        <f t="shared" si="2"/>
        <v>0</v>
      </c>
      <c r="J335" s="4"/>
      <c r="K335" s="4"/>
      <c r="L335" s="4"/>
      <c r="M335" s="4"/>
    </row>
    <row r="336" ht="13.5" customHeight="1">
      <c r="A336" s="4" t="str">
        <f t="shared" si="1"/>
        <v>TRW-MATRIXHOLEFY</v>
      </c>
      <c r="B336" s="29" t="s">
        <v>552</v>
      </c>
      <c r="C336" s="28" t="s">
        <v>550</v>
      </c>
      <c r="D336" s="28" t="s">
        <v>41</v>
      </c>
      <c r="E336" s="4" t="s">
        <v>111</v>
      </c>
      <c r="F336" s="28" t="s">
        <v>221</v>
      </c>
      <c r="G336" s="4">
        <f>SUMIFS(X!$F$5:$F$2005,X!$D$5:$D$2005,'Current Stock'!A336)</f>
        <v>0</v>
      </c>
      <c r="H336" s="4">
        <f>SUMIFS(PENJUALAN!$E$4:$E$11000,PENJUALAN!$C$4:$C$11000,'Current Stock'!A336)</f>
        <v>0</v>
      </c>
      <c r="I336" s="16">
        <f t="shared" si="2"/>
        <v>0</v>
      </c>
      <c r="J336" s="4"/>
      <c r="K336" s="4"/>
      <c r="L336" s="4"/>
      <c r="M336" s="4"/>
    </row>
    <row r="337" ht="13.5" customHeight="1">
      <c r="A337" s="4" t="str">
        <f t="shared" si="1"/>
        <v>LFW-SANTAFE07FY</v>
      </c>
      <c r="B337" s="29" t="s">
        <v>553</v>
      </c>
      <c r="C337" s="28" t="s">
        <v>554</v>
      </c>
      <c r="D337" s="28" t="s">
        <v>22</v>
      </c>
      <c r="E337" s="4" t="s">
        <v>111</v>
      </c>
      <c r="F337" s="28" t="s">
        <v>125</v>
      </c>
      <c r="G337" s="4">
        <f>SUMIFS(X!$F$5:$F$2005,X!$D$5:$D$2005,'Current Stock'!A337)</f>
        <v>0</v>
      </c>
      <c r="H337" s="4">
        <f>SUMIFS(PENJUALAN!$E$4:$E$11000,PENJUALAN!$C$4:$C$11000,'Current Stock'!A337)</f>
        <v>0</v>
      </c>
      <c r="I337" s="16">
        <f t="shared" si="2"/>
        <v>0</v>
      </c>
      <c r="J337" s="4"/>
      <c r="K337" s="4"/>
      <c r="L337" s="4"/>
      <c r="M337" s="4"/>
    </row>
    <row r="338" ht="13.5" customHeight="1">
      <c r="A338" s="4" t="str">
        <f t="shared" si="1"/>
        <v>TRW-SANTAFE07FY</v>
      </c>
      <c r="B338" s="29" t="s">
        <v>555</v>
      </c>
      <c r="C338" s="28" t="s">
        <v>554</v>
      </c>
      <c r="D338" s="28" t="s">
        <v>41</v>
      </c>
      <c r="E338" s="4" t="s">
        <v>111</v>
      </c>
      <c r="F338" s="28" t="s">
        <v>221</v>
      </c>
      <c r="G338" s="4">
        <f>SUMIFS(X!$F$5:$F$2005,X!$D$5:$D$2005,'Current Stock'!A338)</f>
        <v>0</v>
      </c>
      <c r="H338" s="4">
        <f>SUMIFS(PENJUALAN!$E$4:$E$11000,PENJUALAN!$C$4:$C$11000,'Current Stock'!A338)</f>
        <v>0</v>
      </c>
      <c r="I338" s="16">
        <f t="shared" si="2"/>
        <v>0</v>
      </c>
      <c r="J338" s="4"/>
      <c r="K338" s="4"/>
      <c r="L338" s="4"/>
      <c r="M338" s="4"/>
    </row>
    <row r="339" ht="13.5" customHeight="1">
      <c r="A339" s="4" t="str">
        <f t="shared" si="1"/>
        <v>FDR-SANTAFE07FY</v>
      </c>
      <c r="B339" s="29" t="s">
        <v>556</v>
      </c>
      <c r="C339" s="28" t="s">
        <v>554</v>
      </c>
      <c r="D339" s="28" t="s">
        <v>130</v>
      </c>
      <c r="E339" s="4" t="s">
        <v>111</v>
      </c>
      <c r="F339" s="28"/>
      <c r="G339" s="4">
        <f>SUMIFS(X!$F$5:$F$2005,X!$D$5:$D$2005,'Current Stock'!A339)</f>
        <v>0</v>
      </c>
      <c r="H339" s="4">
        <f>SUMIFS(PENJUALAN!$E$4:$E$11000,PENJUALAN!$C$4:$C$11000,'Current Stock'!A339)</f>
        <v>0</v>
      </c>
      <c r="I339" s="16">
        <f t="shared" si="2"/>
        <v>0</v>
      </c>
      <c r="J339" s="4"/>
      <c r="K339" s="4"/>
      <c r="L339" s="4"/>
      <c r="M339" s="4"/>
    </row>
    <row r="340" ht="13.5" customHeight="1">
      <c r="A340" s="4" t="str">
        <f t="shared" si="1"/>
        <v>RDL-SANTAFE07FY</v>
      </c>
      <c r="B340" s="29" t="s">
        <v>557</v>
      </c>
      <c r="C340" s="28" t="s">
        <v>554</v>
      </c>
      <c r="D340" s="28" t="s">
        <v>132</v>
      </c>
      <c r="E340" s="4" t="s">
        <v>111</v>
      </c>
      <c r="F340" s="28"/>
      <c r="G340" s="4">
        <f>SUMIFS(X!$F$5:$F$2005,X!$D$5:$D$2005,'Current Stock'!A340)</f>
        <v>0</v>
      </c>
      <c r="H340" s="4">
        <f>SUMIFS(PENJUALAN!$E$4:$E$11000,PENJUALAN!$C$4:$C$11000,'Current Stock'!A340)</f>
        <v>0</v>
      </c>
      <c r="I340" s="16">
        <f t="shared" si="2"/>
        <v>0</v>
      </c>
      <c r="J340" s="4"/>
      <c r="K340" s="4"/>
      <c r="L340" s="4"/>
      <c r="M340" s="4"/>
    </row>
    <row r="341" ht="13.5" customHeight="1">
      <c r="A341" s="4" t="str">
        <f t="shared" si="1"/>
        <v>SWL-SANTAFE07FY</v>
      </c>
      <c r="B341" s="29" t="s">
        <v>558</v>
      </c>
      <c r="C341" s="28" t="s">
        <v>554</v>
      </c>
      <c r="D341" s="28" t="s">
        <v>202</v>
      </c>
      <c r="E341" s="4" t="s">
        <v>111</v>
      </c>
      <c r="F341" s="28" t="s">
        <v>97</v>
      </c>
      <c r="G341" s="4">
        <f>SUMIFS(X!$F$5:$F$2005,X!$D$5:$D$2005,'Current Stock'!A341)</f>
        <v>0</v>
      </c>
      <c r="H341" s="4">
        <f>SUMIFS(PENJUALAN!$E$4:$E$11000,PENJUALAN!$C$4:$C$11000,'Current Stock'!A341)</f>
        <v>0</v>
      </c>
      <c r="I341" s="16">
        <f t="shared" si="2"/>
        <v>0</v>
      </c>
      <c r="J341" s="4"/>
      <c r="K341" s="4"/>
      <c r="L341" s="4"/>
      <c r="M341" s="4"/>
    </row>
    <row r="342" ht="13.5" customHeight="1">
      <c r="A342" s="4" t="str">
        <f t="shared" si="1"/>
        <v>LFW-SANTAFE12FY</v>
      </c>
      <c r="B342" s="29" t="s">
        <v>559</v>
      </c>
      <c r="C342" s="28" t="s">
        <v>560</v>
      </c>
      <c r="D342" s="28" t="s">
        <v>22</v>
      </c>
      <c r="E342" s="4" t="s">
        <v>111</v>
      </c>
      <c r="F342" s="28" t="s">
        <v>125</v>
      </c>
      <c r="G342" s="4">
        <f>SUMIFS(X!$F$5:$F$2005,X!$D$5:$D$2005,'Current Stock'!A342)</f>
        <v>0</v>
      </c>
      <c r="H342" s="4">
        <f>SUMIFS(PENJUALAN!$E$4:$E$11000,PENJUALAN!$C$4:$C$11000,'Current Stock'!A342)</f>
        <v>0</v>
      </c>
      <c r="I342" s="16">
        <f t="shared" si="2"/>
        <v>0</v>
      </c>
      <c r="J342" s="4"/>
      <c r="K342" s="4"/>
      <c r="L342" s="4"/>
      <c r="M342" s="4"/>
    </row>
    <row r="343" ht="13.5" customHeight="1">
      <c r="A343" s="4" t="str">
        <f t="shared" si="1"/>
        <v>TRW-SANTAFE12FY</v>
      </c>
      <c r="B343" s="29" t="s">
        <v>561</v>
      </c>
      <c r="C343" s="28" t="s">
        <v>560</v>
      </c>
      <c r="D343" s="28" t="s">
        <v>41</v>
      </c>
      <c r="E343" s="4" t="s">
        <v>111</v>
      </c>
      <c r="F343" s="28" t="s">
        <v>221</v>
      </c>
      <c r="G343" s="4">
        <f>SUMIFS(X!$F$5:$F$2005,X!$D$5:$D$2005,'Current Stock'!A343)</f>
        <v>0</v>
      </c>
      <c r="H343" s="4">
        <f>SUMIFS(PENJUALAN!$E$4:$E$11000,PENJUALAN!$C$4:$C$11000,'Current Stock'!A343)</f>
        <v>0</v>
      </c>
      <c r="I343" s="16">
        <f t="shared" si="2"/>
        <v>0</v>
      </c>
      <c r="J343" s="4"/>
      <c r="K343" s="4"/>
      <c r="L343" s="4"/>
      <c r="M343" s="4"/>
    </row>
    <row r="344" ht="13.5" customHeight="1">
      <c r="A344" s="4" t="str">
        <f t="shared" si="1"/>
        <v>FDR-SANTAFE12FY</v>
      </c>
      <c r="B344" s="29" t="s">
        <v>562</v>
      </c>
      <c r="C344" s="28" t="s">
        <v>560</v>
      </c>
      <c r="D344" s="28" t="s">
        <v>130</v>
      </c>
      <c r="E344" s="4" t="s">
        <v>111</v>
      </c>
      <c r="F344" s="28"/>
      <c r="G344" s="4">
        <f>SUMIFS(X!$F$5:$F$2005,X!$D$5:$D$2005,'Current Stock'!A344)</f>
        <v>0</v>
      </c>
      <c r="H344" s="4">
        <f>SUMIFS(PENJUALAN!$E$4:$E$11000,PENJUALAN!$C$4:$C$11000,'Current Stock'!A344)</f>
        <v>0</v>
      </c>
      <c r="I344" s="16">
        <f t="shared" si="2"/>
        <v>0</v>
      </c>
      <c r="J344" s="4"/>
      <c r="K344" s="4"/>
      <c r="L344" s="4"/>
      <c r="M344" s="4"/>
    </row>
    <row r="345" ht="13.5" customHeight="1">
      <c r="A345" s="4" t="str">
        <f t="shared" si="1"/>
        <v>RDL-SANTAFE12FY</v>
      </c>
      <c r="B345" s="29" t="s">
        <v>563</v>
      </c>
      <c r="C345" s="28" t="s">
        <v>560</v>
      </c>
      <c r="D345" s="28" t="s">
        <v>132</v>
      </c>
      <c r="E345" s="4" t="s">
        <v>111</v>
      </c>
      <c r="F345" s="28"/>
      <c r="G345" s="4">
        <f>SUMIFS(X!$F$5:$F$2005,X!$D$5:$D$2005,'Current Stock'!A345)</f>
        <v>0</v>
      </c>
      <c r="H345" s="4">
        <f>SUMIFS(PENJUALAN!$E$4:$E$11000,PENJUALAN!$C$4:$C$11000,'Current Stock'!A345)</f>
        <v>0</v>
      </c>
      <c r="I345" s="16">
        <f t="shared" si="2"/>
        <v>0</v>
      </c>
      <c r="J345" s="4"/>
      <c r="K345" s="4"/>
      <c r="L345" s="4"/>
      <c r="M345" s="4"/>
    </row>
    <row r="346" ht="13.5" customHeight="1">
      <c r="A346" s="4" t="str">
        <f t="shared" si="1"/>
        <v>RDR-SANTAFE12FY</v>
      </c>
      <c r="B346" s="29" t="s">
        <v>564</v>
      </c>
      <c r="C346" s="28" t="s">
        <v>560</v>
      </c>
      <c r="D346" s="28" t="s">
        <v>134</v>
      </c>
      <c r="E346" s="4" t="s">
        <v>111</v>
      </c>
      <c r="F346" s="28"/>
      <c r="G346" s="4">
        <f>SUMIFS(X!$F$5:$F$2005,X!$D$5:$D$2005,'Current Stock'!A346)</f>
        <v>0</v>
      </c>
      <c r="H346" s="4">
        <f>SUMIFS(PENJUALAN!$E$4:$E$11000,PENJUALAN!$C$4:$C$11000,'Current Stock'!A346)</f>
        <v>0</v>
      </c>
      <c r="I346" s="16">
        <f t="shared" si="2"/>
        <v>0</v>
      </c>
      <c r="J346" s="4"/>
      <c r="K346" s="4"/>
      <c r="L346" s="4"/>
      <c r="M346" s="4"/>
    </row>
    <row r="347" ht="13.5" customHeight="1">
      <c r="A347" s="4" t="str">
        <f t="shared" si="1"/>
        <v>LFW-TUCSON05FY</v>
      </c>
      <c r="B347" s="29" t="s">
        <v>565</v>
      </c>
      <c r="C347" s="28" t="s">
        <v>566</v>
      </c>
      <c r="D347" s="28" t="s">
        <v>22</v>
      </c>
      <c r="E347" s="4" t="s">
        <v>111</v>
      </c>
      <c r="F347" s="28" t="s">
        <v>125</v>
      </c>
      <c r="G347" s="4">
        <f>SUMIFS(X!$F$5:$F$2005,X!$D$5:$D$2005,'Current Stock'!A347)</f>
        <v>0</v>
      </c>
      <c r="H347" s="4">
        <f>SUMIFS(PENJUALAN!$E$4:$E$11000,PENJUALAN!$C$4:$C$11000,'Current Stock'!A347)</f>
        <v>0</v>
      </c>
      <c r="I347" s="16">
        <f t="shared" si="2"/>
        <v>0</v>
      </c>
      <c r="J347" s="4"/>
      <c r="K347" s="4"/>
      <c r="L347" s="4"/>
      <c r="M347" s="4"/>
    </row>
    <row r="348" ht="13.5" customHeight="1">
      <c r="A348" s="4" t="str">
        <f t="shared" si="1"/>
        <v>LFW-TUCSON10FY</v>
      </c>
      <c r="B348" s="29" t="s">
        <v>567</v>
      </c>
      <c r="C348" s="28" t="s">
        <v>568</v>
      </c>
      <c r="D348" s="28" t="s">
        <v>22</v>
      </c>
      <c r="E348" s="4" t="s">
        <v>111</v>
      </c>
      <c r="F348" s="28" t="s">
        <v>125</v>
      </c>
      <c r="G348" s="4">
        <f>SUMIFS(X!$F$5:$F$2005,X!$D$5:$D$2005,'Current Stock'!A348)</f>
        <v>0</v>
      </c>
      <c r="H348" s="4">
        <f>SUMIFS(PENJUALAN!$E$4:$E$11000,PENJUALAN!$C$4:$C$11000,'Current Stock'!A348)</f>
        <v>0</v>
      </c>
      <c r="I348" s="16">
        <f t="shared" si="2"/>
        <v>0</v>
      </c>
      <c r="J348" s="4"/>
      <c r="K348" s="4"/>
      <c r="L348" s="4"/>
      <c r="M348" s="4"/>
    </row>
    <row r="349" ht="13.5" customHeight="1">
      <c r="A349" s="4" t="str">
        <f t="shared" si="1"/>
        <v>TRW-TUCSON10FY</v>
      </c>
      <c r="B349" s="29" t="s">
        <v>569</v>
      </c>
      <c r="C349" s="28" t="s">
        <v>568</v>
      </c>
      <c r="D349" s="28" t="s">
        <v>41</v>
      </c>
      <c r="E349" s="4" t="s">
        <v>111</v>
      </c>
      <c r="F349" s="28" t="s">
        <v>221</v>
      </c>
      <c r="G349" s="4">
        <f>SUMIFS(X!$F$5:$F$2005,X!$D$5:$D$2005,'Current Stock'!A349)</f>
        <v>0</v>
      </c>
      <c r="H349" s="4">
        <f>SUMIFS(PENJUALAN!$E$4:$E$11000,PENJUALAN!$C$4:$C$11000,'Current Stock'!A349)</f>
        <v>0</v>
      </c>
      <c r="I349" s="16">
        <f t="shared" si="2"/>
        <v>0</v>
      </c>
      <c r="J349" s="4"/>
      <c r="K349" s="4"/>
      <c r="L349" s="4"/>
      <c r="M349" s="4"/>
    </row>
    <row r="350" ht="13.5" customHeight="1">
      <c r="A350" s="4" t="str">
        <f t="shared" si="1"/>
        <v>LFW-TUCSON16FY</v>
      </c>
      <c r="B350" s="29" t="s">
        <v>570</v>
      </c>
      <c r="C350" s="28" t="s">
        <v>571</v>
      </c>
      <c r="D350" s="28" t="s">
        <v>22</v>
      </c>
      <c r="E350" s="4" t="s">
        <v>111</v>
      </c>
      <c r="F350" s="28" t="s">
        <v>125</v>
      </c>
      <c r="G350" s="4">
        <f>SUMIFS(X!$F$5:$F$2005,X!$D$5:$D$2005,'Current Stock'!A350)</f>
        <v>0</v>
      </c>
      <c r="H350" s="4">
        <f>SUMIFS(PENJUALAN!$E$4:$E$11000,PENJUALAN!$C$4:$C$11000,'Current Stock'!A350)</f>
        <v>0</v>
      </c>
      <c r="I350" s="16">
        <f t="shared" si="2"/>
        <v>0</v>
      </c>
      <c r="J350" s="4"/>
      <c r="K350" s="4"/>
      <c r="L350" s="4"/>
      <c r="M350" s="4"/>
    </row>
    <row r="351" ht="13.5" customHeight="1">
      <c r="A351" s="4" t="str">
        <f t="shared" si="1"/>
        <v>TRW-TUCSON16FY</v>
      </c>
      <c r="B351" s="29" t="s">
        <v>572</v>
      </c>
      <c r="C351" s="28" t="s">
        <v>571</v>
      </c>
      <c r="D351" s="28" t="s">
        <v>41</v>
      </c>
      <c r="E351" s="4" t="s">
        <v>111</v>
      </c>
      <c r="F351" s="28" t="s">
        <v>221</v>
      </c>
      <c r="G351" s="4">
        <f>SUMIFS(X!$F$5:$F$2005,X!$D$5:$D$2005,'Current Stock'!A351)</f>
        <v>0</v>
      </c>
      <c r="H351" s="4">
        <f>SUMIFS(PENJUALAN!$E$4:$E$11000,PENJUALAN!$C$4:$C$11000,'Current Stock'!A351)</f>
        <v>0</v>
      </c>
      <c r="I351" s="16">
        <f t="shared" si="2"/>
        <v>0</v>
      </c>
      <c r="J351" s="4"/>
      <c r="K351" s="4"/>
      <c r="L351" s="4"/>
      <c r="M351" s="4"/>
    </row>
    <row r="352" ht="13.5" customHeight="1">
      <c r="A352" s="4" t="str">
        <f t="shared" si="1"/>
        <v>LFW-MUXFY</v>
      </c>
      <c r="B352" s="29" t="s">
        <v>573</v>
      </c>
      <c r="C352" s="28" t="s">
        <v>574</v>
      </c>
      <c r="D352" s="28" t="s">
        <v>22</v>
      </c>
      <c r="E352" s="4" t="s">
        <v>111</v>
      </c>
      <c r="F352" s="28" t="s">
        <v>125</v>
      </c>
      <c r="G352" s="4">
        <f>SUMIFS(X!$F$5:$F$2005,X!$D$5:$D$2005,'Current Stock'!A352)</f>
        <v>0</v>
      </c>
      <c r="H352" s="4">
        <f>SUMIFS(PENJUALAN!$E$4:$E$11000,PENJUALAN!$C$4:$C$11000,'Current Stock'!A352)</f>
        <v>0</v>
      </c>
      <c r="I352" s="16">
        <f t="shared" si="2"/>
        <v>0</v>
      </c>
      <c r="J352" s="4"/>
      <c r="K352" s="4"/>
      <c r="L352" s="4"/>
      <c r="M352" s="4"/>
    </row>
    <row r="353" ht="13.5" customHeight="1">
      <c r="A353" s="4" t="str">
        <f t="shared" si="1"/>
        <v>LFW-RUBICON07FY</v>
      </c>
      <c r="B353" s="29" t="s">
        <v>575</v>
      </c>
      <c r="C353" s="28" t="s">
        <v>576</v>
      </c>
      <c r="D353" s="28" t="s">
        <v>22</v>
      </c>
      <c r="E353" s="4" t="s">
        <v>111</v>
      </c>
      <c r="F353" s="28" t="s">
        <v>125</v>
      </c>
      <c r="G353" s="4">
        <f>SUMIFS(X!$F$5:$F$2005,X!$D$5:$D$2005,'Current Stock'!A353)</f>
        <v>0</v>
      </c>
      <c r="H353" s="4">
        <f>SUMIFS(PENJUALAN!$E$4:$E$11000,PENJUALAN!$C$4:$C$11000,'Current Stock'!A353)</f>
        <v>0</v>
      </c>
      <c r="I353" s="16">
        <f t="shared" si="2"/>
        <v>0</v>
      </c>
      <c r="J353" s="4"/>
      <c r="K353" s="4"/>
      <c r="L353" s="4"/>
      <c r="M353" s="4"/>
    </row>
    <row r="354" ht="13.5" customHeight="1">
      <c r="A354" s="4" t="str">
        <f t="shared" si="1"/>
        <v>TRW-CAREN99FY</v>
      </c>
      <c r="B354" s="29" t="s">
        <v>577</v>
      </c>
      <c r="C354" s="28" t="s">
        <v>578</v>
      </c>
      <c r="D354" s="28" t="s">
        <v>41</v>
      </c>
      <c r="E354" s="4" t="s">
        <v>111</v>
      </c>
      <c r="F354" s="28" t="s">
        <v>67</v>
      </c>
      <c r="G354" s="4">
        <f>SUMIFS(X!$F$5:$F$2005,X!$D$5:$D$2005,'Current Stock'!A354)</f>
        <v>0</v>
      </c>
      <c r="H354" s="4">
        <f>SUMIFS(PENJUALAN!$E$4:$E$11000,PENJUALAN!$C$4:$C$11000,'Current Stock'!A354)</f>
        <v>0</v>
      </c>
      <c r="I354" s="16">
        <f t="shared" si="2"/>
        <v>0</v>
      </c>
      <c r="J354" s="4"/>
      <c r="K354" s="4"/>
      <c r="L354" s="4"/>
      <c r="M354" s="4"/>
    </row>
    <row r="355" ht="13.5" customHeight="1">
      <c r="A355" s="4" t="str">
        <f t="shared" si="1"/>
        <v>LFW-CAREN99FY</v>
      </c>
      <c r="B355" s="29" t="s">
        <v>579</v>
      </c>
      <c r="C355" s="28" t="s">
        <v>580</v>
      </c>
      <c r="D355" s="28" t="s">
        <v>22</v>
      </c>
      <c r="E355" s="4" t="s">
        <v>111</v>
      </c>
      <c r="F355" s="28" t="s">
        <v>125</v>
      </c>
      <c r="G355" s="4">
        <f>SUMIFS(X!$F$5:$F$2005,X!$D$5:$D$2005,'Current Stock'!A355)</f>
        <v>0</v>
      </c>
      <c r="H355" s="4">
        <f>SUMIFS(PENJUALAN!$E$4:$E$11000,PENJUALAN!$C$4:$C$11000,'Current Stock'!A355)</f>
        <v>0</v>
      </c>
      <c r="I355" s="16">
        <f t="shared" si="2"/>
        <v>0</v>
      </c>
      <c r="J355" s="4"/>
      <c r="K355" s="4"/>
      <c r="L355" s="4"/>
      <c r="M355" s="4"/>
    </row>
    <row r="356" ht="13.5" customHeight="1">
      <c r="A356" s="4" t="str">
        <f t="shared" si="1"/>
        <v>TRW-CAREN04FY</v>
      </c>
      <c r="B356" s="29" t="s">
        <v>581</v>
      </c>
      <c r="C356" s="28" t="s">
        <v>582</v>
      </c>
      <c r="D356" s="28" t="s">
        <v>41</v>
      </c>
      <c r="E356" s="4" t="s">
        <v>111</v>
      </c>
      <c r="F356" s="28" t="s">
        <v>67</v>
      </c>
      <c r="G356" s="4">
        <f>SUMIFS(X!$F$5:$F$2005,X!$D$5:$D$2005,'Current Stock'!A356)</f>
        <v>0</v>
      </c>
      <c r="H356" s="4">
        <f>SUMIFS(PENJUALAN!$E$4:$E$11000,PENJUALAN!$C$4:$C$11000,'Current Stock'!A356)</f>
        <v>0</v>
      </c>
      <c r="I356" s="16">
        <f t="shared" si="2"/>
        <v>0</v>
      </c>
      <c r="J356" s="4"/>
      <c r="K356" s="4"/>
      <c r="L356" s="4"/>
      <c r="M356" s="4"/>
    </row>
    <row r="357" ht="13.5" customHeight="1">
      <c r="A357" s="4" t="str">
        <f t="shared" si="1"/>
        <v>TRW-CAREN13FY</v>
      </c>
      <c r="B357" s="29" t="s">
        <v>583</v>
      </c>
      <c r="C357" s="28" t="s">
        <v>584</v>
      </c>
      <c r="D357" s="28" t="s">
        <v>41</v>
      </c>
      <c r="E357" s="4" t="s">
        <v>111</v>
      </c>
      <c r="F357" s="28" t="s">
        <v>221</v>
      </c>
      <c r="G357" s="4">
        <f>SUMIFS(X!$F$5:$F$2005,X!$D$5:$D$2005,'Current Stock'!A357)</f>
        <v>0</v>
      </c>
      <c r="H357" s="4">
        <f>SUMIFS(PENJUALAN!$E$4:$E$11000,PENJUALAN!$C$4:$C$11000,'Current Stock'!A357)</f>
        <v>0</v>
      </c>
      <c r="I357" s="16">
        <f t="shared" si="2"/>
        <v>0</v>
      </c>
      <c r="J357" s="4"/>
      <c r="K357" s="4"/>
      <c r="L357" s="4"/>
      <c r="M357" s="4"/>
    </row>
    <row r="358" ht="13.5" customHeight="1">
      <c r="A358" s="4" t="str">
        <f t="shared" si="1"/>
        <v>LFW-PICANTO04BFY</v>
      </c>
      <c r="B358" s="29" t="s">
        <v>585</v>
      </c>
      <c r="C358" s="28" t="s">
        <v>586</v>
      </c>
      <c r="D358" s="28" t="s">
        <v>22</v>
      </c>
      <c r="E358" s="4" t="s">
        <v>111</v>
      </c>
      <c r="F358" s="28" t="s">
        <v>125</v>
      </c>
      <c r="G358" s="4">
        <f>SUMIFS(X!$F$5:$F$2005,X!$D$5:$D$2005,'Current Stock'!A358)</f>
        <v>0</v>
      </c>
      <c r="H358" s="4">
        <f>SUMIFS(PENJUALAN!$E$4:$E$11000,PENJUALAN!$C$4:$C$11000,'Current Stock'!A358)</f>
        <v>0</v>
      </c>
      <c r="I358" s="16">
        <f t="shared" si="2"/>
        <v>0</v>
      </c>
      <c r="J358" s="4"/>
      <c r="K358" s="4"/>
      <c r="L358" s="4"/>
      <c r="M358" s="4"/>
    </row>
    <row r="359" ht="13.5" customHeight="1">
      <c r="A359" s="4" t="str">
        <f t="shared" si="1"/>
        <v>LFW-PICANTO04HTMFY</v>
      </c>
      <c r="B359" s="29" t="s">
        <v>587</v>
      </c>
      <c r="C359" s="28" t="s">
        <v>588</v>
      </c>
      <c r="D359" s="28" t="s">
        <v>22</v>
      </c>
      <c r="E359" s="4" t="s">
        <v>111</v>
      </c>
      <c r="F359" s="28" t="s">
        <v>125</v>
      </c>
      <c r="G359" s="4">
        <f>SUMIFS(X!$F$5:$F$2005,X!$D$5:$D$2005,'Current Stock'!A359)</f>
        <v>0</v>
      </c>
      <c r="H359" s="4">
        <f>SUMIFS(PENJUALAN!$E$4:$E$11000,PENJUALAN!$C$4:$C$11000,'Current Stock'!A359)</f>
        <v>0</v>
      </c>
      <c r="I359" s="16">
        <f t="shared" si="2"/>
        <v>0</v>
      </c>
      <c r="J359" s="4"/>
      <c r="K359" s="4"/>
      <c r="L359" s="4"/>
      <c r="M359" s="4"/>
    </row>
    <row r="360" ht="13.5" customHeight="1">
      <c r="A360" s="4" t="str">
        <f t="shared" si="1"/>
        <v>TRW-PICANTO04FY</v>
      </c>
      <c r="B360" s="29" t="s">
        <v>589</v>
      </c>
      <c r="C360" s="28" t="s">
        <v>590</v>
      </c>
      <c r="D360" s="28" t="s">
        <v>41</v>
      </c>
      <c r="E360" s="4" t="s">
        <v>111</v>
      </c>
      <c r="F360" s="28" t="s">
        <v>221</v>
      </c>
      <c r="G360" s="4">
        <f>SUMIFS(X!$F$5:$F$2005,X!$D$5:$D$2005,'Current Stock'!A360)</f>
        <v>0</v>
      </c>
      <c r="H360" s="4">
        <f>SUMIFS(PENJUALAN!$E$4:$E$11000,PENJUALAN!$C$4:$C$11000,'Current Stock'!A360)</f>
        <v>0</v>
      </c>
      <c r="I360" s="16">
        <f t="shared" si="2"/>
        <v>0</v>
      </c>
      <c r="J360" s="4"/>
      <c r="K360" s="4"/>
      <c r="L360" s="4"/>
      <c r="M360" s="4"/>
    </row>
    <row r="361" ht="13.5" customHeight="1">
      <c r="A361" s="4" t="str">
        <f t="shared" si="1"/>
        <v>FDL-PICANTO04FY</v>
      </c>
      <c r="B361" s="29" t="s">
        <v>591</v>
      </c>
      <c r="C361" s="28" t="s">
        <v>590</v>
      </c>
      <c r="D361" s="28" t="s">
        <v>128</v>
      </c>
      <c r="E361" s="4" t="s">
        <v>111</v>
      </c>
      <c r="F361" s="28" t="s">
        <v>141</v>
      </c>
      <c r="G361" s="4">
        <f>SUMIFS(X!$F$5:$F$2005,X!$D$5:$D$2005,'Current Stock'!A361)</f>
        <v>1</v>
      </c>
      <c r="H361" s="4">
        <f>SUMIFS(PENJUALAN!$E$4:$E$11000,PENJUALAN!$C$4:$C$11000,'Current Stock'!A361)</f>
        <v>0</v>
      </c>
      <c r="I361" s="16">
        <f t="shared" si="2"/>
        <v>1</v>
      </c>
      <c r="J361" s="15" t="s">
        <v>48</v>
      </c>
      <c r="K361" s="15"/>
      <c r="L361" s="4"/>
      <c r="M361" s="4"/>
    </row>
    <row r="362" ht="13.5" customHeight="1">
      <c r="A362" s="4" t="str">
        <f t="shared" si="1"/>
        <v>FDR-PICANTO04FY</v>
      </c>
      <c r="B362" s="29" t="s">
        <v>592</v>
      </c>
      <c r="C362" s="28" t="s">
        <v>590</v>
      </c>
      <c r="D362" s="28" t="s">
        <v>130</v>
      </c>
      <c r="E362" s="4" t="s">
        <v>111</v>
      </c>
      <c r="F362" s="28" t="s">
        <v>141</v>
      </c>
      <c r="G362" s="4">
        <f>SUMIFS(X!$F$5:$F$2005,X!$D$5:$D$2005,'Current Stock'!A362)</f>
        <v>0</v>
      </c>
      <c r="H362" s="4">
        <f>SUMIFS(PENJUALAN!$E$4:$E$11000,PENJUALAN!$C$4:$C$11000,'Current Stock'!A362)</f>
        <v>0</v>
      </c>
      <c r="I362" s="16">
        <f t="shared" si="2"/>
        <v>0</v>
      </c>
      <c r="J362" s="4"/>
      <c r="K362" s="4"/>
      <c r="L362" s="4"/>
      <c r="M362" s="4"/>
    </row>
    <row r="363" ht="13.5" customHeight="1">
      <c r="A363" s="4" t="str">
        <f t="shared" si="1"/>
        <v>RDL-PICANTO04FY</v>
      </c>
      <c r="B363" s="29" t="s">
        <v>593</v>
      </c>
      <c r="C363" s="28" t="s">
        <v>590</v>
      </c>
      <c r="D363" s="28" t="s">
        <v>132</v>
      </c>
      <c r="E363" s="4" t="s">
        <v>111</v>
      </c>
      <c r="F363" s="28"/>
      <c r="G363" s="4">
        <f>SUMIFS(X!$F$5:$F$2005,X!$D$5:$D$2005,'Current Stock'!A363)</f>
        <v>1</v>
      </c>
      <c r="H363" s="4">
        <f>SUMIFS(PENJUALAN!$E$4:$E$11000,PENJUALAN!$C$4:$C$11000,'Current Stock'!A363)</f>
        <v>0</v>
      </c>
      <c r="I363" s="16">
        <f t="shared" si="2"/>
        <v>1</v>
      </c>
      <c r="J363" s="15" t="s">
        <v>594</v>
      </c>
      <c r="K363" s="4"/>
      <c r="L363" s="4"/>
      <c r="M363" s="4"/>
    </row>
    <row r="364" ht="13.5" customHeight="1">
      <c r="A364" s="4" t="str">
        <f t="shared" si="1"/>
        <v>FDR-HRV14PIL</v>
      </c>
      <c r="B364" s="15" t="s">
        <v>595</v>
      </c>
      <c r="C364" s="28" t="s">
        <v>460</v>
      </c>
      <c r="D364" s="15" t="str">
        <f>LEFT(A364,FIND("-",A364) - 1)</f>
        <v>FDR</v>
      </c>
      <c r="E364" s="15" t="s">
        <v>74</v>
      </c>
      <c r="F364" s="18"/>
      <c r="G364" s="4">
        <f>SUMIFS(X!$F$5:$F$2005,X!$D$5:$D$2005,'Current Stock'!A364)</f>
        <v>1</v>
      </c>
      <c r="H364" s="4">
        <f>SUMIFS(PENJUALAN!$E$4:$E$11000,PENJUALAN!$C$4:$C$11000,'Current Stock'!A364)</f>
        <v>1</v>
      </c>
      <c r="I364" s="16">
        <f t="shared" si="2"/>
        <v>0</v>
      </c>
      <c r="J364" s="15" t="s">
        <v>596</v>
      </c>
      <c r="K364" s="15"/>
      <c r="L364" s="18"/>
      <c r="M364" s="18"/>
    </row>
    <row r="365" ht="13.5" customHeight="1">
      <c r="A365" s="4" t="str">
        <f t="shared" si="1"/>
        <v>LFW-PICANTO11FY</v>
      </c>
      <c r="B365" s="29" t="s">
        <v>597</v>
      </c>
      <c r="C365" s="28" t="s">
        <v>598</v>
      </c>
      <c r="D365" s="28" t="s">
        <v>22</v>
      </c>
      <c r="E365" s="4" t="s">
        <v>111</v>
      </c>
      <c r="F365" s="28" t="s">
        <v>125</v>
      </c>
      <c r="G365" s="4">
        <f>SUMIFS(X!$F$5:$F$2005,X!$D$5:$D$2005,'Current Stock'!A365)</f>
        <v>0</v>
      </c>
      <c r="H365" s="4">
        <f>SUMIFS(PENJUALAN!$E$4:$E$11000,PENJUALAN!$C$4:$C$11000,'Current Stock'!A365)</f>
        <v>0</v>
      </c>
      <c r="I365" s="16">
        <f t="shared" si="2"/>
        <v>0</v>
      </c>
      <c r="J365" s="4"/>
      <c r="K365" s="4"/>
      <c r="L365" s="4"/>
      <c r="M365" s="4"/>
    </row>
    <row r="366" ht="13.5" customHeight="1">
      <c r="A366" s="4" t="str">
        <f t="shared" si="1"/>
        <v>TRW-PICANTO11FY</v>
      </c>
      <c r="B366" s="29" t="s">
        <v>599</v>
      </c>
      <c r="C366" s="28" t="s">
        <v>598</v>
      </c>
      <c r="D366" s="28" t="s">
        <v>41</v>
      </c>
      <c r="E366" s="4" t="s">
        <v>111</v>
      </c>
      <c r="F366" s="28" t="s">
        <v>221</v>
      </c>
      <c r="G366" s="4">
        <f>SUMIFS(X!$F$5:$F$2005,X!$D$5:$D$2005,'Current Stock'!A366)</f>
        <v>0</v>
      </c>
      <c r="H366" s="4">
        <f>SUMIFS(PENJUALAN!$E$4:$E$11000,PENJUALAN!$C$4:$C$11000,'Current Stock'!A366)</f>
        <v>0</v>
      </c>
      <c r="I366" s="16">
        <f t="shared" si="2"/>
        <v>0</v>
      </c>
      <c r="J366" s="4"/>
      <c r="K366" s="4"/>
      <c r="L366" s="4"/>
      <c r="M366" s="4"/>
    </row>
    <row r="367" ht="13.5" customHeight="1">
      <c r="A367" s="4" t="str">
        <f t="shared" si="1"/>
        <v>FDL-PICANTO11FY</v>
      </c>
      <c r="B367" s="29" t="s">
        <v>600</v>
      </c>
      <c r="C367" s="28" t="s">
        <v>598</v>
      </c>
      <c r="D367" s="28" t="s">
        <v>128</v>
      </c>
      <c r="E367" s="4" t="s">
        <v>111</v>
      </c>
      <c r="F367" s="28" t="s">
        <v>397</v>
      </c>
      <c r="G367" s="4">
        <f>SUMIFS(X!$F$5:$F$2005,X!$D$5:$D$2005,'Current Stock'!A367)</f>
        <v>0</v>
      </c>
      <c r="H367" s="4">
        <f>SUMIFS(PENJUALAN!$E$4:$E$11000,PENJUALAN!$C$4:$C$11000,'Current Stock'!A367)</f>
        <v>0</v>
      </c>
      <c r="I367" s="16">
        <f t="shared" si="2"/>
        <v>0</v>
      </c>
      <c r="J367" s="4"/>
      <c r="K367" s="4"/>
      <c r="L367" s="4"/>
      <c r="M367" s="4"/>
    </row>
    <row r="368" ht="13.5" customHeight="1">
      <c r="A368" s="4" t="str">
        <f t="shared" si="1"/>
        <v>FDR-PICANTO11FY</v>
      </c>
      <c r="B368" s="29" t="s">
        <v>601</v>
      </c>
      <c r="C368" s="28" t="s">
        <v>598</v>
      </c>
      <c r="D368" s="28" t="s">
        <v>130</v>
      </c>
      <c r="E368" s="4" t="s">
        <v>111</v>
      </c>
      <c r="F368" s="28" t="s">
        <v>397</v>
      </c>
      <c r="G368" s="4">
        <f>SUMIFS(X!$F$5:$F$2005,X!$D$5:$D$2005,'Current Stock'!A368)</f>
        <v>0</v>
      </c>
      <c r="H368" s="4">
        <f>SUMIFS(PENJUALAN!$E$4:$E$11000,PENJUALAN!$C$4:$C$11000,'Current Stock'!A368)</f>
        <v>0</v>
      </c>
      <c r="I368" s="16">
        <f t="shared" si="2"/>
        <v>0</v>
      </c>
      <c r="J368" s="4"/>
      <c r="K368" s="4"/>
      <c r="L368" s="4"/>
      <c r="M368" s="4"/>
    </row>
    <row r="369" ht="13.5" customHeight="1">
      <c r="A369" s="4" t="str">
        <f t="shared" si="1"/>
        <v>RDL-PICANTO11FY</v>
      </c>
      <c r="B369" s="29" t="s">
        <v>602</v>
      </c>
      <c r="C369" s="28" t="s">
        <v>598</v>
      </c>
      <c r="D369" s="28" t="s">
        <v>132</v>
      </c>
      <c r="E369" s="4" t="s">
        <v>111</v>
      </c>
      <c r="F369" s="28"/>
      <c r="G369" s="4">
        <f>SUMIFS(X!$F$5:$F$2005,X!$D$5:$D$2005,'Current Stock'!A369)</f>
        <v>0</v>
      </c>
      <c r="H369" s="4">
        <f>SUMIFS(PENJUALAN!$E$4:$E$11000,PENJUALAN!$C$4:$C$11000,'Current Stock'!A369)</f>
        <v>0</v>
      </c>
      <c r="I369" s="16">
        <f t="shared" si="2"/>
        <v>0</v>
      </c>
      <c r="J369" s="4"/>
      <c r="K369" s="4"/>
      <c r="L369" s="4"/>
      <c r="M369" s="4"/>
    </row>
    <row r="370" ht="13.5" customHeight="1">
      <c r="A370" s="4" t="str">
        <f t="shared" si="1"/>
        <v>RDR-PICANTO11FY</v>
      </c>
      <c r="B370" s="29" t="s">
        <v>603</v>
      </c>
      <c r="C370" s="28" t="s">
        <v>598</v>
      </c>
      <c r="D370" s="28" t="s">
        <v>134</v>
      </c>
      <c r="E370" s="4" t="s">
        <v>111</v>
      </c>
      <c r="F370" s="28"/>
      <c r="G370" s="4">
        <f>SUMIFS(X!$F$5:$F$2005,X!$D$5:$D$2005,'Current Stock'!A370)</f>
        <v>0</v>
      </c>
      <c r="H370" s="4">
        <f>SUMIFS(PENJUALAN!$E$4:$E$11000,PENJUALAN!$C$4:$C$11000,'Current Stock'!A370)</f>
        <v>0</v>
      </c>
      <c r="I370" s="16">
        <f t="shared" si="2"/>
        <v>0</v>
      </c>
      <c r="J370" s="4"/>
      <c r="K370" s="4"/>
      <c r="L370" s="4"/>
      <c r="M370" s="4"/>
    </row>
    <row r="371" ht="13.5" customHeight="1">
      <c r="A371" s="4" t="str">
        <f t="shared" si="1"/>
        <v>FDL2-PREGIOFY</v>
      </c>
      <c r="B371" s="29" t="s">
        <v>604</v>
      </c>
      <c r="C371" s="30" t="s">
        <v>605</v>
      </c>
      <c r="D371" s="28" t="s">
        <v>128</v>
      </c>
      <c r="E371" s="4" t="s">
        <v>111</v>
      </c>
      <c r="F371" s="28" t="s">
        <v>141</v>
      </c>
      <c r="G371" s="4">
        <f>SUMIFS(X!$F$5:$F$2005,X!$D$5:$D$2005,'Current Stock'!A371)</f>
        <v>0</v>
      </c>
      <c r="H371" s="4">
        <f>SUMIFS(PENJUALAN!$E$4:$E$11000,PENJUALAN!$C$4:$C$11000,'Current Stock'!A371)</f>
        <v>0</v>
      </c>
      <c r="I371" s="16">
        <f t="shared" si="2"/>
        <v>0</v>
      </c>
      <c r="J371" s="4"/>
      <c r="K371" s="4"/>
      <c r="L371" s="4"/>
      <c r="M371" s="4"/>
    </row>
    <row r="372" ht="13.5" customHeight="1">
      <c r="A372" s="4" t="str">
        <f t="shared" si="1"/>
        <v>FDR2-PREGIOFY</v>
      </c>
      <c r="B372" s="29" t="s">
        <v>606</v>
      </c>
      <c r="C372" s="30" t="s">
        <v>605</v>
      </c>
      <c r="D372" s="28" t="s">
        <v>130</v>
      </c>
      <c r="E372" s="4" t="s">
        <v>111</v>
      </c>
      <c r="F372" s="28" t="s">
        <v>141</v>
      </c>
      <c r="G372" s="4">
        <f>SUMIFS(X!$F$5:$F$2005,X!$D$5:$D$2005,'Current Stock'!A372)</f>
        <v>0</v>
      </c>
      <c r="H372" s="4">
        <f>SUMIFS(PENJUALAN!$E$4:$E$11000,PENJUALAN!$C$4:$C$11000,'Current Stock'!A372)</f>
        <v>0</v>
      </c>
      <c r="I372" s="16">
        <f t="shared" si="2"/>
        <v>0</v>
      </c>
      <c r="J372" s="4"/>
      <c r="K372" s="4"/>
      <c r="L372" s="4"/>
      <c r="M372" s="4"/>
    </row>
    <row r="373" ht="13.5" customHeight="1">
      <c r="A373" s="4" t="str">
        <f t="shared" si="1"/>
        <v>TRW-PREGIOFY</v>
      </c>
      <c r="B373" s="29" t="s">
        <v>607</v>
      </c>
      <c r="C373" s="28" t="s">
        <v>608</v>
      </c>
      <c r="D373" s="28" t="s">
        <v>41</v>
      </c>
      <c r="E373" s="4" t="s">
        <v>111</v>
      </c>
      <c r="F373" s="28" t="s">
        <v>67</v>
      </c>
      <c r="G373" s="4">
        <f>SUMIFS(X!$F$5:$F$2005,X!$D$5:$D$2005,'Current Stock'!A373)</f>
        <v>0</v>
      </c>
      <c r="H373" s="4">
        <f>SUMIFS(PENJUALAN!$E$4:$E$11000,PENJUALAN!$C$4:$C$11000,'Current Stock'!A373)</f>
        <v>0</v>
      </c>
      <c r="I373" s="16">
        <f t="shared" si="2"/>
        <v>0</v>
      </c>
      <c r="J373" s="4"/>
      <c r="K373" s="4"/>
      <c r="L373" s="4"/>
      <c r="M373" s="4"/>
    </row>
    <row r="374" ht="13.5" customHeight="1">
      <c r="A374" s="4" t="str">
        <f t="shared" si="1"/>
        <v>LFW-RIO00FY</v>
      </c>
      <c r="B374" s="29" t="s">
        <v>609</v>
      </c>
      <c r="C374" s="28" t="s">
        <v>610</v>
      </c>
      <c r="D374" s="28" t="s">
        <v>22</v>
      </c>
      <c r="E374" s="4" t="s">
        <v>111</v>
      </c>
      <c r="F374" s="28" t="s">
        <v>125</v>
      </c>
      <c r="G374" s="4">
        <f>SUMIFS(X!$F$5:$F$2005,X!$D$5:$D$2005,'Current Stock'!A374)</f>
        <v>0</v>
      </c>
      <c r="H374" s="4">
        <f>SUMIFS(PENJUALAN!$E$4:$E$11000,PENJUALAN!$C$4:$C$11000,'Current Stock'!A374)</f>
        <v>0</v>
      </c>
      <c r="I374" s="16">
        <f t="shared" si="2"/>
        <v>0</v>
      </c>
      <c r="J374" s="4"/>
      <c r="K374" s="4"/>
      <c r="L374" s="4"/>
      <c r="M374" s="4"/>
    </row>
    <row r="375" ht="13.5" customHeight="1">
      <c r="A375" s="4" t="str">
        <f t="shared" si="1"/>
        <v>TRW-RIO00FY</v>
      </c>
      <c r="B375" s="29" t="s">
        <v>611</v>
      </c>
      <c r="C375" s="28" t="s">
        <v>612</v>
      </c>
      <c r="D375" s="28" t="s">
        <v>41</v>
      </c>
      <c r="E375" s="4" t="s">
        <v>111</v>
      </c>
      <c r="F375" s="28" t="s">
        <v>67</v>
      </c>
      <c r="G375" s="4">
        <f>SUMIFS(X!$F$5:$F$2005,X!$D$5:$D$2005,'Current Stock'!A375)</f>
        <v>0</v>
      </c>
      <c r="H375" s="4">
        <f>SUMIFS(PENJUALAN!$E$4:$E$11000,PENJUALAN!$C$4:$C$11000,'Current Stock'!A375)</f>
        <v>0</v>
      </c>
      <c r="I375" s="16">
        <f t="shared" si="2"/>
        <v>0</v>
      </c>
      <c r="J375" s="4"/>
      <c r="K375" s="4"/>
      <c r="L375" s="4"/>
      <c r="M375" s="4"/>
    </row>
    <row r="376" ht="13.5" customHeight="1">
      <c r="A376" s="4" t="str">
        <f t="shared" si="1"/>
        <v>LFW-RIO05FY</v>
      </c>
      <c r="B376" s="29" t="s">
        <v>613</v>
      </c>
      <c r="C376" s="28" t="s">
        <v>614</v>
      </c>
      <c r="D376" s="28" t="s">
        <v>22</v>
      </c>
      <c r="E376" s="4" t="s">
        <v>111</v>
      </c>
      <c r="F376" s="28" t="s">
        <v>125</v>
      </c>
      <c r="G376" s="4">
        <f>SUMIFS(X!$F$5:$F$2005,X!$D$5:$D$2005,'Current Stock'!A376)</f>
        <v>0</v>
      </c>
      <c r="H376" s="4">
        <f>SUMIFS(PENJUALAN!$E$4:$E$11000,PENJUALAN!$C$4:$C$11000,'Current Stock'!A376)</f>
        <v>0</v>
      </c>
      <c r="I376" s="16">
        <f t="shared" si="2"/>
        <v>0</v>
      </c>
      <c r="J376" s="4"/>
      <c r="K376" s="4"/>
      <c r="L376" s="4"/>
      <c r="M376" s="4"/>
    </row>
    <row r="377" ht="13.5" customHeight="1">
      <c r="A377" s="4" t="str">
        <f t="shared" si="1"/>
        <v>TRW-RIO05FY</v>
      </c>
      <c r="B377" s="29" t="s">
        <v>615</v>
      </c>
      <c r="C377" s="28" t="s">
        <v>616</v>
      </c>
      <c r="D377" s="28" t="s">
        <v>41</v>
      </c>
      <c r="E377" s="4" t="s">
        <v>111</v>
      </c>
      <c r="F377" s="28" t="s">
        <v>221</v>
      </c>
      <c r="G377" s="4">
        <f>SUMIFS(X!$F$5:$F$2005,X!$D$5:$D$2005,'Current Stock'!A377)</f>
        <v>0</v>
      </c>
      <c r="H377" s="4">
        <f>SUMIFS(PENJUALAN!$E$4:$E$11000,PENJUALAN!$C$4:$C$11000,'Current Stock'!A377)</f>
        <v>0</v>
      </c>
      <c r="I377" s="16">
        <f t="shared" si="2"/>
        <v>0</v>
      </c>
      <c r="J377" s="4"/>
      <c r="K377" s="4"/>
      <c r="L377" s="4"/>
      <c r="M377" s="4"/>
    </row>
    <row r="378" ht="13.5" customHeight="1">
      <c r="A378" s="4" t="str">
        <f t="shared" si="1"/>
        <v>LFW-RIO11FY</v>
      </c>
      <c r="B378" s="29" t="s">
        <v>617</v>
      </c>
      <c r="C378" s="28" t="s">
        <v>618</v>
      </c>
      <c r="D378" s="28" t="s">
        <v>22</v>
      </c>
      <c r="E378" s="4" t="s">
        <v>111</v>
      </c>
      <c r="F378" s="28" t="s">
        <v>125</v>
      </c>
      <c r="G378" s="4">
        <f>SUMIFS(X!$F$5:$F$2005,X!$D$5:$D$2005,'Current Stock'!A378)</f>
        <v>0</v>
      </c>
      <c r="H378" s="4">
        <f>SUMIFS(PENJUALAN!$E$4:$E$11000,PENJUALAN!$C$4:$C$11000,'Current Stock'!A378)</f>
        <v>0</v>
      </c>
      <c r="I378" s="16">
        <f t="shared" si="2"/>
        <v>0</v>
      </c>
      <c r="J378" s="4"/>
      <c r="K378" s="4"/>
      <c r="L378" s="4"/>
      <c r="M378" s="4"/>
    </row>
    <row r="379" ht="13.5" customHeight="1">
      <c r="A379" s="4" t="str">
        <f t="shared" si="1"/>
        <v>TRW-RIO11FY</v>
      </c>
      <c r="B379" s="29" t="s">
        <v>619</v>
      </c>
      <c r="C379" s="28" t="s">
        <v>618</v>
      </c>
      <c r="D379" s="28" t="s">
        <v>41</v>
      </c>
      <c r="E379" s="4" t="s">
        <v>111</v>
      </c>
      <c r="F379" s="28" t="s">
        <v>221</v>
      </c>
      <c r="G379" s="4">
        <f>SUMIFS(X!$F$5:$F$2005,X!$D$5:$D$2005,'Current Stock'!A379)</f>
        <v>0</v>
      </c>
      <c r="H379" s="4">
        <f>SUMIFS(PENJUALAN!$E$4:$E$11000,PENJUALAN!$C$4:$C$11000,'Current Stock'!A379)</f>
        <v>0</v>
      </c>
      <c r="I379" s="16">
        <f t="shared" si="2"/>
        <v>0</v>
      </c>
      <c r="J379" s="4"/>
      <c r="K379" s="4"/>
      <c r="L379" s="4"/>
      <c r="M379" s="4"/>
    </row>
    <row r="380" ht="13.5" customHeight="1">
      <c r="A380" s="4" t="str">
        <f t="shared" si="1"/>
        <v>FDL-RIO11FY</v>
      </c>
      <c r="B380" s="29" t="s">
        <v>620</v>
      </c>
      <c r="C380" s="28" t="s">
        <v>618</v>
      </c>
      <c r="D380" s="28" t="s">
        <v>128</v>
      </c>
      <c r="E380" s="4" t="s">
        <v>111</v>
      </c>
      <c r="F380" s="28"/>
      <c r="G380" s="4">
        <f>SUMIFS(X!$F$5:$F$2005,X!$D$5:$D$2005,'Current Stock'!A380)</f>
        <v>0</v>
      </c>
      <c r="H380" s="4">
        <f>SUMIFS(PENJUALAN!$E$4:$E$11000,PENJUALAN!$C$4:$C$11000,'Current Stock'!A380)</f>
        <v>0</v>
      </c>
      <c r="I380" s="16">
        <f t="shared" si="2"/>
        <v>0</v>
      </c>
      <c r="J380" s="4"/>
      <c r="K380" s="4"/>
      <c r="L380" s="4"/>
      <c r="M380" s="4"/>
    </row>
    <row r="381" ht="13.5" customHeight="1">
      <c r="A381" s="4" t="str">
        <f t="shared" si="1"/>
        <v>FDR-RIO11FY</v>
      </c>
      <c r="B381" s="29" t="s">
        <v>621</v>
      </c>
      <c r="C381" s="28" t="s">
        <v>618</v>
      </c>
      <c r="D381" s="28" t="s">
        <v>130</v>
      </c>
      <c r="E381" s="4" t="s">
        <v>111</v>
      </c>
      <c r="F381" s="28"/>
      <c r="G381" s="4">
        <f>SUMIFS(X!$F$5:$F$2005,X!$D$5:$D$2005,'Current Stock'!A381)</f>
        <v>0</v>
      </c>
      <c r="H381" s="4">
        <f>SUMIFS(PENJUALAN!$E$4:$E$11000,PENJUALAN!$C$4:$C$11000,'Current Stock'!A381)</f>
        <v>0</v>
      </c>
      <c r="I381" s="16">
        <f t="shared" si="2"/>
        <v>0</v>
      </c>
      <c r="J381" s="4"/>
      <c r="K381" s="4"/>
      <c r="L381" s="4"/>
      <c r="M381" s="4"/>
    </row>
    <row r="382" ht="13.5" customHeight="1">
      <c r="A382" s="4" t="str">
        <f t="shared" si="1"/>
        <v>RDL-RIO11FY</v>
      </c>
      <c r="B382" s="29" t="s">
        <v>622</v>
      </c>
      <c r="C382" s="28" t="s">
        <v>618</v>
      </c>
      <c r="D382" s="28" t="s">
        <v>132</v>
      </c>
      <c r="E382" s="4" t="s">
        <v>111</v>
      </c>
      <c r="F382" s="28"/>
      <c r="G382" s="4">
        <f>SUMIFS(X!$F$5:$F$2005,X!$D$5:$D$2005,'Current Stock'!A382)</f>
        <v>0</v>
      </c>
      <c r="H382" s="4">
        <f>SUMIFS(PENJUALAN!$E$4:$E$11000,PENJUALAN!$C$4:$C$11000,'Current Stock'!A382)</f>
        <v>0</v>
      </c>
      <c r="I382" s="16">
        <f t="shared" si="2"/>
        <v>0</v>
      </c>
      <c r="J382" s="4"/>
      <c r="K382" s="4"/>
      <c r="L382" s="4"/>
      <c r="M382" s="4"/>
    </row>
    <row r="383" ht="13.5" customHeight="1">
      <c r="A383" s="4" t="str">
        <f t="shared" si="1"/>
        <v>RDR-RIO11FY</v>
      </c>
      <c r="B383" s="29" t="s">
        <v>623</v>
      </c>
      <c r="C383" s="28" t="s">
        <v>618</v>
      </c>
      <c r="D383" s="28" t="s">
        <v>134</v>
      </c>
      <c r="E383" s="4" t="s">
        <v>111</v>
      </c>
      <c r="F383" s="28"/>
      <c r="G383" s="4">
        <f>SUMIFS(X!$F$5:$F$2005,X!$D$5:$D$2005,'Current Stock'!A383)</f>
        <v>0</v>
      </c>
      <c r="H383" s="4">
        <f>SUMIFS(PENJUALAN!$E$4:$E$11000,PENJUALAN!$C$4:$C$11000,'Current Stock'!A383)</f>
        <v>0</v>
      </c>
      <c r="I383" s="16">
        <f t="shared" si="2"/>
        <v>0</v>
      </c>
      <c r="J383" s="4"/>
      <c r="K383" s="4"/>
      <c r="L383" s="4"/>
      <c r="M383" s="4"/>
    </row>
    <row r="384" ht="13.5" customHeight="1">
      <c r="A384" s="4" t="str">
        <f t="shared" si="1"/>
        <v>LFW-SEDONA98FY</v>
      </c>
      <c r="B384" s="29" t="s">
        <v>624</v>
      </c>
      <c r="C384" s="28" t="s">
        <v>625</v>
      </c>
      <c r="D384" s="28" t="s">
        <v>22</v>
      </c>
      <c r="E384" s="4" t="s">
        <v>111</v>
      </c>
      <c r="F384" s="28" t="s">
        <v>125</v>
      </c>
      <c r="G384" s="4">
        <f>SUMIFS(X!$F$5:$F$2005,X!$D$5:$D$2005,'Current Stock'!A384)</f>
        <v>0</v>
      </c>
      <c r="H384" s="4">
        <f>SUMIFS(PENJUALAN!$E$4:$E$11000,PENJUALAN!$C$4:$C$11000,'Current Stock'!A384)</f>
        <v>0</v>
      </c>
      <c r="I384" s="16">
        <f t="shared" si="2"/>
        <v>0</v>
      </c>
      <c r="J384" s="4"/>
      <c r="K384" s="4"/>
      <c r="L384" s="4"/>
      <c r="M384" s="4"/>
    </row>
    <row r="385" ht="13.5" customHeight="1">
      <c r="A385" s="4" t="str">
        <f t="shared" si="1"/>
        <v>TRW-CARNIVAL98FY</v>
      </c>
      <c r="B385" s="29" t="s">
        <v>626</v>
      </c>
      <c r="C385" s="28" t="s">
        <v>627</v>
      </c>
      <c r="D385" s="28" t="s">
        <v>41</v>
      </c>
      <c r="E385" s="4" t="s">
        <v>111</v>
      </c>
      <c r="F385" s="28" t="s">
        <v>67</v>
      </c>
      <c r="G385" s="4">
        <f>SUMIFS(X!$F$5:$F$2005,X!$D$5:$D$2005,'Current Stock'!A385)</f>
        <v>0</v>
      </c>
      <c r="H385" s="4">
        <f>SUMIFS(PENJUALAN!$E$4:$E$11000,PENJUALAN!$C$4:$C$11000,'Current Stock'!A385)</f>
        <v>0</v>
      </c>
      <c r="I385" s="16">
        <f t="shared" si="2"/>
        <v>0</v>
      </c>
      <c r="J385" s="4"/>
      <c r="K385" s="4"/>
      <c r="L385" s="4"/>
      <c r="M385" s="4"/>
    </row>
    <row r="386" ht="13.5" customHeight="1">
      <c r="A386" s="4" t="str">
        <f t="shared" si="1"/>
        <v>LFW-SORENTOFY</v>
      </c>
      <c r="B386" s="29" t="s">
        <v>628</v>
      </c>
      <c r="C386" s="28" t="s">
        <v>629</v>
      </c>
      <c r="D386" s="28" t="s">
        <v>22</v>
      </c>
      <c r="E386" s="4" t="s">
        <v>111</v>
      </c>
      <c r="F386" s="28" t="s">
        <v>125</v>
      </c>
      <c r="G386" s="4">
        <f>SUMIFS(X!$F$5:$F$2005,X!$D$5:$D$2005,'Current Stock'!A386)</f>
        <v>0</v>
      </c>
      <c r="H386" s="4">
        <f>SUMIFS(PENJUALAN!$E$4:$E$11000,PENJUALAN!$C$4:$C$11000,'Current Stock'!A386)</f>
        <v>0</v>
      </c>
      <c r="I386" s="16">
        <f t="shared" si="2"/>
        <v>0</v>
      </c>
      <c r="J386" s="4"/>
      <c r="K386" s="4"/>
      <c r="L386" s="4"/>
      <c r="M386" s="4"/>
    </row>
    <row r="387" ht="13.5" customHeight="1">
      <c r="A387" s="4" t="str">
        <f t="shared" si="1"/>
        <v>TRW-SORENTOFY</v>
      </c>
      <c r="B387" s="29" t="s">
        <v>630</v>
      </c>
      <c r="C387" s="28" t="s">
        <v>629</v>
      </c>
      <c r="D387" s="28" t="s">
        <v>41</v>
      </c>
      <c r="E387" s="4" t="s">
        <v>111</v>
      </c>
      <c r="F387" s="28" t="s">
        <v>221</v>
      </c>
      <c r="G387" s="4">
        <f>SUMIFS(X!$F$5:$F$2005,X!$D$5:$D$2005,'Current Stock'!A387)</f>
        <v>0</v>
      </c>
      <c r="H387" s="4">
        <f>SUMIFS(PENJUALAN!$E$4:$E$11000,PENJUALAN!$C$4:$C$11000,'Current Stock'!A387)</f>
        <v>0</v>
      </c>
      <c r="I387" s="16">
        <f t="shared" si="2"/>
        <v>0</v>
      </c>
      <c r="J387" s="4"/>
      <c r="K387" s="4"/>
      <c r="L387" s="4"/>
      <c r="M387" s="4"/>
    </row>
    <row r="388" ht="13.5" customHeight="1">
      <c r="A388" s="4" t="str">
        <f t="shared" si="1"/>
        <v>LFW-SPORTAGE10FY</v>
      </c>
      <c r="B388" s="29" t="s">
        <v>631</v>
      </c>
      <c r="C388" s="28" t="s">
        <v>632</v>
      </c>
      <c r="D388" s="28" t="s">
        <v>22</v>
      </c>
      <c r="E388" s="4" t="s">
        <v>111</v>
      </c>
      <c r="F388" s="28" t="s">
        <v>125</v>
      </c>
      <c r="G388" s="4">
        <f>SUMIFS(X!$F$5:$F$2005,X!$D$5:$D$2005,'Current Stock'!A388)</f>
        <v>0</v>
      </c>
      <c r="H388" s="4">
        <f>SUMIFS(PENJUALAN!$E$4:$E$11000,PENJUALAN!$C$4:$C$11000,'Current Stock'!A388)</f>
        <v>0</v>
      </c>
      <c r="I388" s="16">
        <f t="shared" si="2"/>
        <v>0</v>
      </c>
      <c r="J388" s="4"/>
      <c r="K388" s="4"/>
      <c r="L388" s="4"/>
      <c r="M388" s="4"/>
    </row>
    <row r="389" ht="13.5" customHeight="1">
      <c r="A389" s="4" t="str">
        <f t="shared" si="1"/>
        <v>FDL-SPORTAGE10FY</v>
      </c>
      <c r="B389" s="29" t="s">
        <v>633</v>
      </c>
      <c r="C389" s="28" t="s">
        <v>632</v>
      </c>
      <c r="D389" s="28" t="s">
        <v>128</v>
      </c>
      <c r="E389" s="4" t="s">
        <v>111</v>
      </c>
      <c r="F389" s="28"/>
      <c r="G389" s="4">
        <f>SUMIFS(X!$F$5:$F$2005,X!$D$5:$D$2005,'Current Stock'!A389)</f>
        <v>0</v>
      </c>
      <c r="H389" s="4">
        <f>SUMIFS(PENJUALAN!$E$4:$E$11000,PENJUALAN!$C$4:$C$11000,'Current Stock'!A389)</f>
        <v>0</v>
      </c>
      <c r="I389" s="16">
        <f t="shared" si="2"/>
        <v>0</v>
      </c>
      <c r="J389" s="4"/>
      <c r="K389" s="4"/>
      <c r="L389" s="4"/>
      <c r="M389" s="4"/>
    </row>
    <row r="390" ht="13.5" customHeight="1">
      <c r="A390" s="4" t="str">
        <f t="shared" si="1"/>
        <v>FDR-SPORTAGE10FY</v>
      </c>
      <c r="B390" s="29" t="s">
        <v>634</v>
      </c>
      <c r="C390" s="28" t="s">
        <v>632</v>
      </c>
      <c r="D390" s="28" t="s">
        <v>130</v>
      </c>
      <c r="E390" s="4" t="s">
        <v>111</v>
      </c>
      <c r="F390" s="28"/>
      <c r="G390" s="4">
        <f>SUMIFS(X!$F$5:$F$2005,X!$D$5:$D$2005,'Current Stock'!A390)</f>
        <v>0</v>
      </c>
      <c r="H390" s="4">
        <f>SUMIFS(PENJUALAN!$E$4:$E$11000,PENJUALAN!$C$4:$C$11000,'Current Stock'!A390)</f>
        <v>0</v>
      </c>
      <c r="I390" s="16">
        <f t="shared" si="2"/>
        <v>0</v>
      </c>
      <c r="J390" s="4"/>
      <c r="K390" s="4"/>
      <c r="L390" s="4"/>
      <c r="M390" s="4"/>
    </row>
    <row r="391" ht="13.5" customHeight="1">
      <c r="A391" s="4" t="str">
        <f t="shared" si="1"/>
        <v>RDL-SPORTAGE10FY</v>
      </c>
      <c r="B391" s="29" t="s">
        <v>635</v>
      </c>
      <c r="C391" s="28" t="s">
        <v>632</v>
      </c>
      <c r="D391" s="28" t="s">
        <v>132</v>
      </c>
      <c r="E391" s="4" t="s">
        <v>111</v>
      </c>
      <c r="F391" s="28"/>
      <c r="G391" s="4">
        <f>SUMIFS(X!$F$5:$F$2005,X!$D$5:$D$2005,'Current Stock'!A391)</f>
        <v>0</v>
      </c>
      <c r="H391" s="4">
        <f>SUMIFS(PENJUALAN!$E$4:$E$11000,PENJUALAN!$C$4:$C$11000,'Current Stock'!A391)</f>
        <v>0</v>
      </c>
      <c r="I391" s="16">
        <f t="shared" si="2"/>
        <v>0</v>
      </c>
      <c r="J391" s="4"/>
      <c r="K391" s="4"/>
      <c r="L391" s="4"/>
      <c r="M391" s="4"/>
    </row>
    <row r="392" ht="13.5" customHeight="1">
      <c r="A392" s="4" t="str">
        <f t="shared" si="1"/>
        <v>RDR-SPORTAGE10FY</v>
      </c>
      <c r="B392" s="29" t="s">
        <v>636</v>
      </c>
      <c r="C392" s="28" t="s">
        <v>632</v>
      </c>
      <c r="D392" s="28" t="s">
        <v>134</v>
      </c>
      <c r="E392" s="4" t="s">
        <v>111</v>
      </c>
      <c r="F392" s="28"/>
      <c r="G392" s="4">
        <f>SUMIFS(X!$F$5:$F$2005,X!$D$5:$D$2005,'Current Stock'!A392)</f>
        <v>0</v>
      </c>
      <c r="H392" s="4">
        <f>SUMIFS(PENJUALAN!$E$4:$E$11000,PENJUALAN!$C$4:$C$11000,'Current Stock'!A392)</f>
        <v>0</v>
      </c>
      <c r="I392" s="16">
        <f t="shared" si="2"/>
        <v>0</v>
      </c>
      <c r="J392" s="4"/>
      <c r="K392" s="4"/>
      <c r="L392" s="4"/>
      <c r="M392" s="4"/>
    </row>
    <row r="393" ht="13.5" customHeight="1">
      <c r="A393" s="4" t="str">
        <f t="shared" si="1"/>
        <v>TRW-SPORTAGE10SFY</v>
      </c>
      <c r="B393" s="29" t="s">
        <v>637</v>
      </c>
      <c r="C393" s="28" t="s">
        <v>638</v>
      </c>
      <c r="D393" s="28" t="s">
        <v>41</v>
      </c>
      <c r="E393" s="4" t="s">
        <v>111</v>
      </c>
      <c r="F393" s="28" t="s">
        <v>221</v>
      </c>
      <c r="G393" s="4">
        <f>SUMIFS(X!$F$5:$F$2005,X!$D$5:$D$2005,'Current Stock'!A393)</f>
        <v>0</v>
      </c>
      <c r="H393" s="4">
        <f>SUMIFS(PENJUALAN!$E$4:$E$11000,PENJUALAN!$C$4:$C$11000,'Current Stock'!A393)</f>
        <v>0</v>
      </c>
      <c r="I393" s="16">
        <f t="shared" si="2"/>
        <v>0</v>
      </c>
      <c r="J393" s="4"/>
      <c r="K393" s="4"/>
      <c r="L393" s="4"/>
      <c r="M393" s="4"/>
    </row>
    <row r="394" ht="13.5" customHeight="1">
      <c r="A394" s="4" t="str">
        <f t="shared" si="1"/>
        <v>LFW-SPORTAGE15FY</v>
      </c>
      <c r="B394" s="29" t="s">
        <v>639</v>
      </c>
      <c r="C394" s="28" t="s">
        <v>640</v>
      </c>
      <c r="D394" s="28" t="s">
        <v>22</v>
      </c>
      <c r="E394" s="4" t="s">
        <v>111</v>
      </c>
      <c r="F394" s="28" t="s">
        <v>75</v>
      </c>
      <c r="G394" s="4">
        <f>SUMIFS(X!$F$5:$F$2005,X!$D$5:$D$2005,'Current Stock'!A394)</f>
        <v>0</v>
      </c>
      <c r="H394" s="4">
        <f>SUMIFS(PENJUALAN!$E$4:$E$11000,PENJUALAN!$C$4:$C$11000,'Current Stock'!A394)</f>
        <v>0</v>
      </c>
      <c r="I394" s="16">
        <f t="shared" si="2"/>
        <v>0</v>
      </c>
      <c r="J394" s="4"/>
      <c r="K394" s="4"/>
      <c r="L394" s="4"/>
      <c r="M394" s="4"/>
    </row>
    <row r="395" ht="13.5" customHeight="1">
      <c r="A395" s="4" t="str">
        <f t="shared" si="1"/>
        <v>TRW-SPORTAGE15FY</v>
      </c>
      <c r="B395" s="29" t="s">
        <v>641</v>
      </c>
      <c r="C395" s="28" t="s">
        <v>640</v>
      </c>
      <c r="D395" s="28" t="s">
        <v>41</v>
      </c>
      <c r="E395" s="4" t="s">
        <v>111</v>
      </c>
      <c r="F395" s="28" t="s">
        <v>221</v>
      </c>
      <c r="G395" s="4">
        <f>SUMIFS(X!$F$5:$F$2005,X!$D$5:$D$2005,'Current Stock'!A395)</f>
        <v>0</v>
      </c>
      <c r="H395" s="4">
        <f>SUMIFS(PENJUALAN!$E$4:$E$11000,PENJUALAN!$C$4:$C$11000,'Current Stock'!A395)</f>
        <v>0</v>
      </c>
      <c r="I395" s="16">
        <f t="shared" si="2"/>
        <v>0</v>
      </c>
      <c r="J395" s="4"/>
      <c r="K395" s="4"/>
      <c r="L395" s="4"/>
      <c r="M395" s="4"/>
    </row>
    <row r="396" ht="13.5" customHeight="1">
      <c r="A396" s="4" t="str">
        <f t="shared" si="1"/>
        <v>FDR-SPORTAGE15FY</v>
      </c>
      <c r="B396" s="29" t="s">
        <v>642</v>
      </c>
      <c r="C396" s="28" t="s">
        <v>640</v>
      </c>
      <c r="D396" s="28" t="s">
        <v>130</v>
      </c>
      <c r="E396" s="4" t="s">
        <v>111</v>
      </c>
      <c r="F396" s="28"/>
      <c r="G396" s="4">
        <f>SUMIFS(X!$F$5:$F$2005,X!$D$5:$D$2005,'Current Stock'!A396)</f>
        <v>0</v>
      </c>
      <c r="H396" s="4">
        <f>SUMIFS(PENJUALAN!$E$4:$E$11000,PENJUALAN!$C$4:$C$11000,'Current Stock'!A396)</f>
        <v>0</v>
      </c>
      <c r="I396" s="16">
        <f t="shared" si="2"/>
        <v>0</v>
      </c>
      <c r="J396" s="4"/>
      <c r="K396" s="4"/>
      <c r="L396" s="4"/>
      <c r="M396" s="4"/>
    </row>
    <row r="397" ht="13.5" customHeight="1">
      <c r="A397" s="4" t="str">
        <f t="shared" si="1"/>
        <v>RDL-SPORTAGE15FY</v>
      </c>
      <c r="B397" s="29" t="s">
        <v>643</v>
      </c>
      <c r="C397" s="28" t="s">
        <v>640</v>
      </c>
      <c r="D397" s="28" t="s">
        <v>132</v>
      </c>
      <c r="E397" s="4" t="s">
        <v>111</v>
      </c>
      <c r="F397" s="28"/>
      <c r="G397" s="4">
        <f>SUMIFS(X!$F$5:$F$2005,X!$D$5:$D$2005,'Current Stock'!A397)</f>
        <v>0</v>
      </c>
      <c r="H397" s="4">
        <f>SUMIFS(PENJUALAN!$E$4:$E$11000,PENJUALAN!$C$4:$C$11000,'Current Stock'!A397)</f>
        <v>0</v>
      </c>
      <c r="I397" s="16">
        <f t="shared" si="2"/>
        <v>0</v>
      </c>
      <c r="J397" s="4"/>
      <c r="K397" s="4"/>
      <c r="L397" s="4"/>
      <c r="M397" s="4"/>
    </row>
    <row r="398" ht="13.5" customHeight="1">
      <c r="A398" s="4" t="str">
        <f t="shared" si="1"/>
        <v>RDR-SPORTAGE15FY</v>
      </c>
      <c r="B398" s="29" t="s">
        <v>644</v>
      </c>
      <c r="C398" s="28" t="s">
        <v>640</v>
      </c>
      <c r="D398" s="28" t="s">
        <v>134</v>
      </c>
      <c r="E398" s="4" t="s">
        <v>111</v>
      </c>
      <c r="F398" s="28"/>
      <c r="G398" s="4">
        <f>SUMIFS(X!$F$5:$F$2005,X!$D$5:$D$2005,'Current Stock'!A398)</f>
        <v>0</v>
      </c>
      <c r="H398" s="4">
        <f>SUMIFS(PENJUALAN!$E$4:$E$11000,PENJUALAN!$C$4:$C$11000,'Current Stock'!A398)</f>
        <v>0</v>
      </c>
      <c r="I398" s="16">
        <f t="shared" si="2"/>
        <v>0</v>
      </c>
      <c r="J398" s="4"/>
      <c r="K398" s="4"/>
      <c r="L398" s="4"/>
      <c r="M398" s="4"/>
    </row>
    <row r="399" ht="13.5" customHeight="1">
      <c r="A399" s="4" t="str">
        <f t="shared" si="1"/>
        <v>TRW-TIMORFY</v>
      </c>
      <c r="B399" s="29" t="s">
        <v>645</v>
      </c>
      <c r="C399" s="28" t="s">
        <v>646</v>
      </c>
      <c r="D399" s="28" t="s">
        <v>41</v>
      </c>
      <c r="E399" s="4" t="s">
        <v>111</v>
      </c>
      <c r="F399" s="28" t="s">
        <v>67</v>
      </c>
      <c r="G399" s="4">
        <f>SUMIFS(X!$F$5:$F$2005,X!$D$5:$D$2005,'Current Stock'!A399)</f>
        <v>0</v>
      </c>
      <c r="H399" s="4">
        <f>SUMIFS(PENJUALAN!$E$4:$E$11000,PENJUALAN!$C$4:$C$11000,'Current Stock'!A399)</f>
        <v>0</v>
      </c>
      <c r="I399" s="16">
        <f t="shared" si="2"/>
        <v>0</v>
      </c>
      <c r="J399" s="4"/>
      <c r="K399" s="4"/>
      <c r="L399" s="4"/>
      <c r="M399" s="4"/>
    </row>
    <row r="400" ht="13.5" customHeight="1">
      <c r="A400" s="4" t="str">
        <f t="shared" si="1"/>
        <v>LFW-VISTOFY</v>
      </c>
      <c r="B400" s="29" t="s">
        <v>647</v>
      </c>
      <c r="C400" s="28" t="s">
        <v>648</v>
      </c>
      <c r="D400" s="28" t="s">
        <v>22</v>
      </c>
      <c r="E400" s="4" t="s">
        <v>111</v>
      </c>
      <c r="F400" s="28" t="s">
        <v>97</v>
      </c>
      <c r="G400" s="4">
        <f>SUMIFS(X!$F$5:$F$2005,X!$D$5:$D$2005,'Current Stock'!A400)</f>
        <v>0</v>
      </c>
      <c r="H400" s="4">
        <f>SUMIFS(PENJUALAN!$E$4:$E$11000,PENJUALAN!$C$4:$C$11000,'Current Stock'!A400)</f>
        <v>0</v>
      </c>
      <c r="I400" s="16">
        <f t="shared" si="2"/>
        <v>0</v>
      </c>
      <c r="J400" s="4"/>
      <c r="K400" s="4"/>
      <c r="L400" s="4"/>
      <c r="M400" s="4"/>
    </row>
    <row r="401" ht="13.5" customHeight="1">
      <c r="A401" s="4" t="str">
        <f t="shared" si="1"/>
        <v>TRW-VISTOFY</v>
      </c>
      <c r="B401" s="29" t="s">
        <v>649</v>
      </c>
      <c r="C401" s="28" t="s">
        <v>648</v>
      </c>
      <c r="D401" s="28" t="s">
        <v>41</v>
      </c>
      <c r="E401" s="4" t="s">
        <v>111</v>
      </c>
      <c r="F401" s="28" t="s">
        <v>67</v>
      </c>
      <c r="G401" s="4">
        <f>SUMIFS(X!$F$5:$F$2005,X!$D$5:$D$2005,'Current Stock'!A401)</f>
        <v>0</v>
      </c>
      <c r="H401" s="4">
        <f>SUMIFS(PENJUALAN!$E$4:$E$11000,PENJUALAN!$C$4:$C$11000,'Current Stock'!A401)</f>
        <v>0</v>
      </c>
      <c r="I401" s="16">
        <f t="shared" si="2"/>
        <v>0</v>
      </c>
      <c r="J401" s="4"/>
      <c r="K401" s="4"/>
      <c r="L401" s="4"/>
      <c r="M401" s="4"/>
    </row>
    <row r="402" ht="13.5" customHeight="1">
      <c r="A402" s="4" t="str">
        <f t="shared" si="1"/>
        <v>LFW-XU10FY</v>
      </c>
      <c r="B402" s="29" t="s">
        <v>650</v>
      </c>
      <c r="C402" s="28" t="s">
        <v>651</v>
      </c>
      <c r="D402" s="28" t="s">
        <v>22</v>
      </c>
      <c r="E402" s="4" t="s">
        <v>111</v>
      </c>
      <c r="F402" s="28" t="s">
        <v>125</v>
      </c>
      <c r="G402" s="4">
        <f>SUMIFS(X!$F$5:$F$2005,X!$D$5:$D$2005,'Current Stock'!A402)</f>
        <v>0</v>
      </c>
      <c r="H402" s="4">
        <f>SUMIFS(PENJUALAN!$E$4:$E$11000,PENJUALAN!$C$4:$C$11000,'Current Stock'!A402)</f>
        <v>0</v>
      </c>
      <c r="I402" s="16">
        <f t="shared" si="2"/>
        <v>0</v>
      </c>
      <c r="J402" s="4"/>
      <c r="K402" s="4"/>
      <c r="L402" s="4"/>
      <c r="M402" s="4"/>
    </row>
    <row r="403" ht="13.5" customHeight="1">
      <c r="A403" s="4" t="str">
        <f t="shared" si="1"/>
        <v>TRW-XU10FY</v>
      </c>
      <c r="B403" s="29" t="s">
        <v>652</v>
      </c>
      <c r="C403" s="28" t="s">
        <v>653</v>
      </c>
      <c r="D403" s="28" t="s">
        <v>41</v>
      </c>
      <c r="E403" s="4" t="s">
        <v>111</v>
      </c>
      <c r="F403" s="28" t="s">
        <v>67</v>
      </c>
      <c r="G403" s="4">
        <f>SUMIFS(X!$F$5:$F$2005,X!$D$5:$D$2005,'Current Stock'!A403)</f>
        <v>0</v>
      </c>
      <c r="H403" s="4">
        <f>SUMIFS(PENJUALAN!$E$4:$E$11000,PENJUALAN!$C$4:$C$11000,'Current Stock'!A403)</f>
        <v>0</v>
      </c>
      <c r="I403" s="16">
        <f t="shared" si="2"/>
        <v>0</v>
      </c>
      <c r="J403" s="4"/>
      <c r="K403" s="4"/>
      <c r="L403" s="4"/>
      <c r="M403" s="4"/>
    </row>
    <row r="404" ht="13.5" customHeight="1">
      <c r="A404" s="4" t="str">
        <f t="shared" si="1"/>
        <v>LFW-XU30RSFY</v>
      </c>
      <c r="B404" s="29" t="s">
        <v>654</v>
      </c>
      <c r="C404" s="28" t="s">
        <v>655</v>
      </c>
      <c r="D404" s="28" t="s">
        <v>22</v>
      </c>
      <c r="E404" s="4" t="s">
        <v>111</v>
      </c>
      <c r="F404" s="28" t="s">
        <v>75</v>
      </c>
      <c r="G404" s="4">
        <f>SUMIFS(X!$F$5:$F$2005,X!$D$5:$D$2005,'Current Stock'!A404)</f>
        <v>0</v>
      </c>
      <c r="H404" s="4">
        <f>SUMIFS(PENJUALAN!$E$4:$E$11000,PENJUALAN!$C$4:$C$11000,'Current Stock'!A404)</f>
        <v>0</v>
      </c>
      <c r="I404" s="16">
        <f t="shared" si="2"/>
        <v>0</v>
      </c>
      <c r="J404" s="4"/>
      <c r="K404" s="4"/>
      <c r="L404" s="4"/>
      <c r="M404" s="4"/>
    </row>
    <row r="405" ht="13.5" customHeight="1">
      <c r="A405" s="4" t="str">
        <f t="shared" si="1"/>
        <v>LFW-XU30FY</v>
      </c>
      <c r="B405" s="29" t="s">
        <v>656</v>
      </c>
      <c r="C405" s="28" t="s">
        <v>655</v>
      </c>
      <c r="D405" s="28" t="s">
        <v>22</v>
      </c>
      <c r="E405" s="4" t="s">
        <v>111</v>
      </c>
      <c r="F405" s="28" t="s">
        <v>125</v>
      </c>
      <c r="G405" s="4">
        <f>SUMIFS(X!$F$5:$F$2005,X!$D$5:$D$2005,'Current Stock'!A405)</f>
        <v>0</v>
      </c>
      <c r="H405" s="4">
        <f>SUMIFS(PENJUALAN!$E$4:$E$11000,PENJUALAN!$C$4:$C$11000,'Current Stock'!A405)</f>
        <v>0</v>
      </c>
      <c r="I405" s="16">
        <f t="shared" si="2"/>
        <v>0</v>
      </c>
      <c r="J405" s="4"/>
      <c r="K405" s="4"/>
      <c r="L405" s="4"/>
      <c r="M405" s="4"/>
    </row>
    <row r="406" ht="13.5" customHeight="1">
      <c r="A406" s="4" t="str">
        <f t="shared" si="1"/>
        <v>TRW-XU30FY</v>
      </c>
      <c r="B406" s="29" t="s">
        <v>657</v>
      </c>
      <c r="C406" s="28" t="s">
        <v>658</v>
      </c>
      <c r="D406" s="28" t="s">
        <v>41</v>
      </c>
      <c r="E406" s="4" t="s">
        <v>111</v>
      </c>
      <c r="F406" s="28" t="s">
        <v>659</v>
      </c>
      <c r="G406" s="4">
        <f>SUMIFS(X!$F$5:$F$2005,X!$D$5:$D$2005,'Current Stock'!A406)</f>
        <v>0</v>
      </c>
      <c r="H406" s="4">
        <f>SUMIFS(PENJUALAN!$E$4:$E$11000,PENJUALAN!$C$4:$C$11000,'Current Stock'!A406)</f>
        <v>0</v>
      </c>
      <c r="I406" s="16">
        <f t="shared" si="2"/>
        <v>0</v>
      </c>
      <c r="J406" s="4"/>
      <c r="K406" s="4"/>
      <c r="L406" s="4"/>
      <c r="M406" s="4"/>
    </row>
    <row r="407" ht="13.5" customHeight="1">
      <c r="A407" s="4" t="str">
        <f t="shared" si="1"/>
        <v>TRW-XU31FY</v>
      </c>
      <c r="B407" s="29" t="s">
        <v>660</v>
      </c>
      <c r="C407" s="28" t="s">
        <v>661</v>
      </c>
      <c r="D407" s="28" t="s">
        <v>41</v>
      </c>
      <c r="E407" s="4" t="s">
        <v>111</v>
      </c>
      <c r="F407" s="28" t="s">
        <v>659</v>
      </c>
      <c r="G407" s="4">
        <f>SUMIFS(X!$F$5:$F$2005,X!$D$5:$D$2005,'Current Stock'!A407)</f>
        <v>0</v>
      </c>
      <c r="H407" s="4">
        <f>SUMIFS(PENJUALAN!$E$4:$E$11000,PENJUALAN!$C$4:$C$11000,'Current Stock'!A407)</f>
        <v>0</v>
      </c>
      <c r="I407" s="16">
        <f t="shared" si="2"/>
        <v>0</v>
      </c>
      <c r="J407" s="4"/>
      <c r="K407" s="4"/>
      <c r="L407" s="4"/>
      <c r="M407" s="4"/>
    </row>
    <row r="408" ht="13.5" customHeight="1">
      <c r="A408" s="4" t="str">
        <f t="shared" si="1"/>
        <v>FDL-XU30FY</v>
      </c>
      <c r="B408" s="29" t="s">
        <v>662</v>
      </c>
      <c r="C408" s="28" t="s">
        <v>655</v>
      </c>
      <c r="D408" s="28" t="s">
        <v>128</v>
      </c>
      <c r="E408" s="4" t="s">
        <v>111</v>
      </c>
      <c r="F408" s="28"/>
      <c r="G408" s="4">
        <f>SUMIFS(X!$F$5:$F$2005,X!$D$5:$D$2005,'Current Stock'!A408)</f>
        <v>0</v>
      </c>
      <c r="H408" s="4">
        <f>SUMIFS(PENJUALAN!$E$4:$E$11000,PENJUALAN!$C$4:$C$11000,'Current Stock'!A408)</f>
        <v>0</v>
      </c>
      <c r="I408" s="16">
        <f t="shared" si="2"/>
        <v>0</v>
      </c>
      <c r="J408" s="4"/>
      <c r="K408" s="4"/>
      <c r="L408" s="4"/>
      <c r="M408" s="4"/>
    </row>
    <row r="409" ht="13.5" customHeight="1">
      <c r="A409" s="4" t="str">
        <f t="shared" si="1"/>
        <v>FDR-XU30FY</v>
      </c>
      <c r="B409" s="29" t="s">
        <v>663</v>
      </c>
      <c r="C409" s="28" t="s">
        <v>655</v>
      </c>
      <c r="D409" s="28" t="s">
        <v>130</v>
      </c>
      <c r="E409" s="4" t="s">
        <v>111</v>
      </c>
      <c r="F409" s="28"/>
      <c r="G409" s="4">
        <f>SUMIFS(X!$F$5:$F$2005,X!$D$5:$D$2005,'Current Stock'!A409)</f>
        <v>0</v>
      </c>
      <c r="H409" s="4">
        <f>SUMIFS(PENJUALAN!$E$4:$E$11000,PENJUALAN!$C$4:$C$11000,'Current Stock'!A409)</f>
        <v>0</v>
      </c>
      <c r="I409" s="16">
        <f t="shared" si="2"/>
        <v>0</v>
      </c>
      <c r="J409" s="4"/>
      <c r="K409" s="4"/>
      <c r="L409" s="4"/>
      <c r="M409" s="4"/>
    </row>
    <row r="410" ht="13.5" customHeight="1">
      <c r="A410" s="4" t="str">
        <f t="shared" si="1"/>
        <v>RDL-XU30FY</v>
      </c>
      <c r="B410" s="29" t="s">
        <v>664</v>
      </c>
      <c r="C410" s="28" t="s">
        <v>655</v>
      </c>
      <c r="D410" s="28" t="s">
        <v>132</v>
      </c>
      <c r="E410" s="4" t="s">
        <v>111</v>
      </c>
      <c r="F410" s="28"/>
      <c r="G410" s="4">
        <f>SUMIFS(X!$F$5:$F$2005,X!$D$5:$D$2005,'Current Stock'!A410)</f>
        <v>0</v>
      </c>
      <c r="H410" s="4">
        <f>SUMIFS(PENJUALAN!$E$4:$E$11000,PENJUALAN!$C$4:$C$11000,'Current Stock'!A410)</f>
        <v>0</v>
      </c>
      <c r="I410" s="16">
        <f t="shared" si="2"/>
        <v>0</v>
      </c>
      <c r="J410" s="4"/>
      <c r="K410" s="4"/>
      <c r="L410" s="4"/>
      <c r="M410" s="4"/>
    </row>
    <row r="411" ht="13.5" customHeight="1">
      <c r="A411" s="4" t="str">
        <f t="shared" si="1"/>
        <v>RDR-XU30FY</v>
      </c>
      <c r="B411" s="29" t="s">
        <v>665</v>
      </c>
      <c r="C411" s="28" t="s">
        <v>655</v>
      </c>
      <c r="D411" s="28" t="s">
        <v>134</v>
      </c>
      <c r="E411" s="4" t="s">
        <v>111</v>
      </c>
      <c r="F411" s="28"/>
      <c r="G411" s="4">
        <f>SUMIFS(X!$F$5:$F$2005,X!$D$5:$D$2005,'Current Stock'!A411)</f>
        <v>0</v>
      </c>
      <c r="H411" s="4">
        <f>SUMIFS(PENJUALAN!$E$4:$E$11000,PENJUALAN!$C$4:$C$11000,'Current Stock'!A411)</f>
        <v>0</v>
      </c>
      <c r="I411" s="16">
        <f t="shared" si="2"/>
        <v>0</v>
      </c>
      <c r="J411" s="4"/>
      <c r="K411" s="4"/>
      <c r="L411" s="4"/>
      <c r="M411" s="4"/>
    </row>
    <row r="412" ht="13.5" customHeight="1">
      <c r="A412" s="4" t="str">
        <f t="shared" si="1"/>
        <v>RVL-XU30FY</v>
      </c>
      <c r="B412" s="29" t="s">
        <v>666</v>
      </c>
      <c r="C412" s="28" t="s">
        <v>655</v>
      </c>
      <c r="D412" s="28" t="s">
        <v>387</v>
      </c>
      <c r="E412" s="4" t="s">
        <v>111</v>
      </c>
      <c r="F412" s="28"/>
      <c r="G412" s="4">
        <f>SUMIFS(X!$F$5:$F$2005,X!$D$5:$D$2005,'Current Stock'!A412)</f>
        <v>1</v>
      </c>
      <c r="H412" s="4">
        <f>SUMIFS(PENJUALAN!$E$4:$E$11000,PENJUALAN!$C$4:$C$11000,'Current Stock'!A412)</f>
        <v>1</v>
      </c>
      <c r="I412" s="16">
        <f t="shared" si="2"/>
        <v>0</v>
      </c>
      <c r="J412" s="4"/>
      <c r="K412" s="4"/>
      <c r="L412" s="4"/>
      <c r="M412" s="4"/>
    </row>
    <row r="413" ht="13.5" customHeight="1">
      <c r="A413" s="4" t="str">
        <f t="shared" si="1"/>
        <v>RVR-XU30FY</v>
      </c>
      <c r="B413" s="29" t="s">
        <v>667</v>
      </c>
      <c r="C413" s="28" t="s">
        <v>655</v>
      </c>
      <c r="D413" s="28" t="s">
        <v>389</v>
      </c>
      <c r="E413" s="4" t="s">
        <v>111</v>
      </c>
      <c r="F413" s="28"/>
      <c r="G413" s="4">
        <f>SUMIFS(X!$F$5:$F$2005,X!$D$5:$D$2005,'Current Stock'!A413)</f>
        <v>0</v>
      </c>
      <c r="H413" s="4">
        <f>SUMIFS(PENJUALAN!$E$4:$E$11000,PENJUALAN!$C$4:$C$11000,'Current Stock'!A413)</f>
        <v>0</v>
      </c>
      <c r="I413" s="16">
        <f t="shared" si="2"/>
        <v>0</v>
      </c>
      <c r="J413" s="4"/>
      <c r="K413" s="4"/>
      <c r="L413" s="4"/>
      <c r="M413" s="4"/>
    </row>
    <row r="414" ht="13.5" customHeight="1">
      <c r="A414" s="4" t="str">
        <f t="shared" si="1"/>
        <v>RQL-XU30FY</v>
      </c>
      <c r="B414" s="29" t="s">
        <v>668</v>
      </c>
      <c r="C414" s="28" t="s">
        <v>655</v>
      </c>
      <c r="D414" s="28" t="s">
        <v>202</v>
      </c>
      <c r="E414" s="4" t="s">
        <v>111</v>
      </c>
      <c r="F414" s="28" t="s">
        <v>97</v>
      </c>
      <c r="G414" s="4">
        <f>SUMIFS(X!$F$5:$F$2005,X!$D$5:$D$2005,'Current Stock'!A414)</f>
        <v>0</v>
      </c>
      <c r="H414" s="4">
        <f>SUMIFS(PENJUALAN!$E$4:$E$11000,PENJUALAN!$C$4:$C$11000,'Current Stock'!A414)</f>
        <v>0</v>
      </c>
      <c r="I414" s="16">
        <f t="shared" si="2"/>
        <v>0</v>
      </c>
      <c r="J414" s="4"/>
      <c r="K414" s="4"/>
      <c r="L414" s="4"/>
      <c r="M414" s="4"/>
    </row>
    <row r="415" ht="13.5" customHeight="1">
      <c r="A415" s="4" t="str">
        <f t="shared" si="1"/>
        <v>RQR-XU30FY</v>
      </c>
      <c r="B415" s="29" t="s">
        <v>669</v>
      </c>
      <c r="C415" s="28" t="s">
        <v>655</v>
      </c>
      <c r="D415" s="28" t="s">
        <v>236</v>
      </c>
      <c r="E415" s="4" t="s">
        <v>111</v>
      </c>
      <c r="F415" s="28" t="s">
        <v>97</v>
      </c>
      <c r="G415" s="4">
        <f>SUMIFS(X!$F$5:$F$2005,X!$D$5:$D$2005,'Current Stock'!A415)</f>
        <v>0</v>
      </c>
      <c r="H415" s="4">
        <f>SUMIFS(PENJUALAN!$E$4:$E$11000,PENJUALAN!$C$4:$C$11000,'Current Stock'!A415)</f>
        <v>0</v>
      </c>
      <c r="I415" s="16">
        <f t="shared" si="2"/>
        <v>0</v>
      </c>
      <c r="J415" s="4"/>
      <c r="K415" s="4"/>
      <c r="L415" s="4"/>
      <c r="M415" s="4"/>
    </row>
    <row r="416" ht="13.5" customHeight="1">
      <c r="A416" s="4" t="str">
        <f t="shared" si="1"/>
        <v>LFW-AL10FY</v>
      </c>
      <c r="B416" s="29" t="s">
        <v>670</v>
      </c>
      <c r="C416" s="28" t="s">
        <v>671</v>
      </c>
      <c r="D416" s="28" t="s">
        <v>22</v>
      </c>
      <c r="E416" s="4" t="s">
        <v>111</v>
      </c>
      <c r="F416" s="28" t="s">
        <v>672</v>
      </c>
      <c r="G416" s="4">
        <f>SUMIFS(X!$F$5:$F$2005,X!$D$5:$D$2005,'Current Stock'!A416)</f>
        <v>0</v>
      </c>
      <c r="H416" s="4">
        <f>SUMIFS(PENJUALAN!$E$4:$E$11000,PENJUALAN!$C$4:$C$11000,'Current Stock'!A416)</f>
        <v>0</v>
      </c>
      <c r="I416" s="16">
        <f t="shared" si="2"/>
        <v>0</v>
      </c>
      <c r="J416" s="4"/>
      <c r="K416" s="4"/>
      <c r="L416" s="4"/>
      <c r="M416" s="4"/>
    </row>
    <row r="417" ht="13.5" customHeight="1">
      <c r="A417" s="4" t="str">
        <f t="shared" si="1"/>
        <v>TRW-AL10FY</v>
      </c>
      <c r="B417" s="29" t="s">
        <v>673</v>
      </c>
      <c r="C417" s="28" t="s">
        <v>674</v>
      </c>
      <c r="D417" s="28" t="s">
        <v>41</v>
      </c>
      <c r="E417" s="4" t="s">
        <v>111</v>
      </c>
      <c r="F417" s="28" t="s">
        <v>114</v>
      </c>
      <c r="G417" s="4">
        <f>SUMIFS(X!$F$5:$F$2005,X!$D$5:$D$2005,'Current Stock'!A417)</f>
        <v>0</v>
      </c>
      <c r="H417" s="4">
        <f>SUMIFS(PENJUALAN!$E$4:$E$11000,PENJUALAN!$C$4:$C$11000,'Current Stock'!A417)</f>
        <v>0</v>
      </c>
      <c r="I417" s="16">
        <f t="shared" si="2"/>
        <v>0</v>
      </c>
      <c r="J417" s="4"/>
      <c r="K417" s="4"/>
      <c r="L417" s="4"/>
      <c r="M417" s="4"/>
    </row>
    <row r="418" ht="13.5" customHeight="1">
      <c r="A418" s="4" t="str">
        <f t="shared" si="1"/>
        <v>LFW-CU6FY</v>
      </c>
      <c r="B418" s="29" t="s">
        <v>675</v>
      </c>
      <c r="C418" s="28" t="s">
        <v>676</v>
      </c>
      <c r="D418" s="28" t="s">
        <v>22</v>
      </c>
      <c r="E418" s="4" t="s">
        <v>111</v>
      </c>
      <c r="F418" s="28" t="s">
        <v>75</v>
      </c>
      <c r="G418" s="4">
        <f>SUMIFS(X!$F$5:$F$2005,X!$D$5:$D$2005,'Current Stock'!A418)</f>
        <v>0</v>
      </c>
      <c r="H418" s="4">
        <f>SUMIFS(PENJUALAN!$E$4:$E$11000,PENJUALAN!$C$4:$C$11000,'Current Stock'!A418)</f>
        <v>0</v>
      </c>
      <c r="I418" s="16">
        <f t="shared" si="2"/>
        <v>0</v>
      </c>
      <c r="J418" s="4"/>
      <c r="K418" s="4"/>
      <c r="L418" s="4"/>
      <c r="M418" s="4"/>
    </row>
    <row r="419" ht="13.5" customHeight="1">
      <c r="A419" s="4" t="str">
        <f t="shared" si="1"/>
        <v>TRW-CU6FY</v>
      </c>
      <c r="B419" s="29" t="s">
        <v>677</v>
      </c>
      <c r="C419" s="28" t="s">
        <v>678</v>
      </c>
      <c r="D419" s="28" t="s">
        <v>41</v>
      </c>
      <c r="E419" s="4" t="s">
        <v>111</v>
      </c>
      <c r="F419" s="28" t="s">
        <v>221</v>
      </c>
      <c r="G419" s="4">
        <f>SUMIFS(X!$F$5:$F$2005,X!$D$5:$D$2005,'Current Stock'!A419)</f>
        <v>0</v>
      </c>
      <c r="H419" s="4">
        <f>SUMIFS(PENJUALAN!$E$4:$E$11000,PENJUALAN!$C$4:$C$11000,'Current Stock'!A419)</f>
        <v>0</v>
      </c>
      <c r="I419" s="16">
        <f t="shared" si="2"/>
        <v>0</v>
      </c>
      <c r="J419" s="4"/>
      <c r="K419" s="4"/>
      <c r="L419" s="4"/>
      <c r="M419" s="4"/>
    </row>
    <row r="420" ht="13.5" customHeight="1">
      <c r="A420" s="4" t="str">
        <f t="shared" si="1"/>
        <v>RDL-CU6FY</v>
      </c>
      <c r="B420" s="29" t="s">
        <v>679</v>
      </c>
      <c r="C420" s="28" t="s">
        <v>678</v>
      </c>
      <c r="D420" s="28" t="s">
        <v>132</v>
      </c>
      <c r="E420" s="4" t="s">
        <v>111</v>
      </c>
      <c r="F420" s="28"/>
      <c r="G420" s="4">
        <f>SUMIFS(X!$F$5:$F$2005,X!$D$5:$D$2005,'Current Stock'!A420)</f>
        <v>0</v>
      </c>
      <c r="H420" s="4">
        <f>SUMIFS(PENJUALAN!$E$4:$E$11000,PENJUALAN!$C$4:$C$11000,'Current Stock'!A420)</f>
        <v>0</v>
      </c>
      <c r="I420" s="16">
        <f t="shared" si="2"/>
        <v>0</v>
      </c>
      <c r="J420" s="4"/>
      <c r="K420" s="4"/>
      <c r="L420" s="4"/>
      <c r="M420" s="4"/>
    </row>
    <row r="421" ht="13.5" customHeight="1">
      <c r="A421" s="4" t="str">
        <f t="shared" si="1"/>
        <v>RDR-CU6FY</v>
      </c>
      <c r="B421" s="29" t="s">
        <v>680</v>
      </c>
      <c r="C421" s="28" t="s">
        <v>678</v>
      </c>
      <c r="D421" s="28" t="s">
        <v>134</v>
      </c>
      <c r="E421" s="4" t="s">
        <v>111</v>
      </c>
      <c r="F421" s="28"/>
      <c r="G421" s="4">
        <f>SUMIFS(X!$F$5:$F$2005,X!$D$5:$D$2005,'Current Stock'!A421)</f>
        <v>0</v>
      </c>
      <c r="H421" s="4">
        <f>SUMIFS(PENJUALAN!$E$4:$E$11000,PENJUALAN!$C$4:$C$11000,'Current Stock'!A421)</f>
        <v>0</v>
      </c>
      <c r="I421" s="16">
        <f t="shared" si="2"/>
        <v>0</v>
      </c>
      <c r="J421" s="4"/>
      <c r="K421" s="4"/>
      <c r="L421" s="4"/>
      <c r="M421" s="4"/>
    </row>
    <row r="422" ht="13.5" customHeight="1">
      <c r="A422" s="4" t="str">
        <f t="shared" si="1"/>
        <v>RVL-CU6FY</v>
      </c>
      <c r="B422" s="29" t="s">
        <v>681</v>
      </c>
      <c r="C422" s="28" t="s">
        <v>678</v>
      </c>
      <c r="D422" s="28" t="s">
        <v>387</v>
      </c>
      <c r="E422" s="4" t="s">
        <v>111</v>
      </c>
      <c r="F422" s="28"/>
      <c r="G422" s="4">
        <f>SUMIFS(X!$F$5:$F$2005,X!$D$5:$D$2005,'Current Stock'!A422)</f>
        <v>0</v>
      </c>
      <c r="H422" s="4">
        <f>SUMIFS(PENJUALAN!$E$4:$E$11000,PENJUALAN!$C$4:$C$11000,'Current Stock'!A422)</f>
        <v>0</v>
      </c>
      <c r="I422" s="16">
        <f t="shared" si="2"/>
        <v>0</v>
      </c>
      <c r="J422" s="4"/>
      <c r="K422" s="4"/>
      <c r="L422" s="4"/>
      <c r="M422" s="4"/>
    </row>
    <row r="423" ht="13.5" customHeight="1">
      <c r="A423" s="4" t="str">
        <f t="shared" si="1"/>
        <v>RVR-CU6FY</v>
      </c>
      <c r="B423" s="29" t="s">
        <v>682</v>
      </c>
      <c r="C423" s="28" t="s">
        <v>678</v>
      </c>
      <c r="D423" s="28" t="s">
        <v>389</v>
      </c>
      <c r="E423" s="4" t="s">
        <v>111</v>
      </c>
      <c r="F423" s="28"/>
      <c r="G423" s="4">
        <f>SUMIFS(X!$F$5:$F$2005,X!$D$5:$D$2005,'Current Stock'!A423)</f>
        <v>0</v>
      </c>
      <c r="H423" s="4">
        <f>SUMIFS(PENJUALAN!$E$4:$E$11000,PENJUALAN!$C$4:$C$11000,'Current Stock'!A423)</f>
        <v>0</v>
      </c>
      <c r="I423" s="16">
        <f t="shared" si="2"/>
        <v>0</v>
      </c>
      <c r="J423" s="4"/>
      <c r="K423" s="4"/>
      <c r="L423" s="4"/>
      <c r="M423" s="4"/>
    </row>
    <row r="424" ht="13.5" customHeight="1">
      <c r="A424" s="4" t="str">
        <f t="shared" si="1"/>
        <v>RQL-CU6FY</v>
      </c>
      <c r="B424" s="29" t="s">
        <v>683</v>
      </c>
      <c r="C424" s="28" t="s">
        <v>678</v>
      </c>
      <c r="D424" s="28" t="s">
        <v>202</v>
      </c>
      <c r="E424" s="4" t="s">
        <v>111</v>
      </c>
      <c r="F424" s="28" t="s">
        <v>97</v>
      </c>
      <c r="G424" s="4">
        <f>SUMIFS(X!$F$5:$F$2005,X!$D$5:$D$2005,'Current Stock'!A424)</f>
        <v>0</v>
      </c>
      <c r="H424" s="4">
        <f>SUMIFS(PENJUALAN!$E$4:$E$11000,PENJUALAN!$C$4:$C$11000,'Current Stock'!A424)</f>
        <v>0</v>
      </c>
      <c r="I424" s="16">
        <f t="shared" si="2"/>
        <v>0</v>
      </c>
      <c r="J424" s="4"/>
      <c r="K424" s="4"/>
      <c r="L424" s="4"/>
      <c r="M424" s="4"/>
    </row>
    <row r="425" ht="13.5" customHeight="1">
      <c r="A425" s="4" t="str">
        <f t="shared" si="1"/>
        <v>RQR-CU6FY</v>
      </c>
      <c r="B425" s="29" t="s">
        <v>684</v>
      </c>
      <c r="C425" s="28" t="s">
        <v>678</v>
      </c>
      <c r="D425" s="28" t="s">
        <v>236</v>
      </c>
      <c r="E425" s="4" t="s">
        <v>111</v>
      </c>
      <c r="F425" s="28" t="s">
        <v>97</v>
      </c>
      <c r="G425" s="4">
        <f>SUMIFS(X!$F$5:$F$2005,X!$D$5:$D$2005,'Current Stock'!A425)</f>
        <v>0</v>
      </c>
      <c r="H425" s="4">
        <f>SUMIFS(PENJUALAN!$E$4:$E$11000,PENJUALAN!$C$4:$C$11000,'Current Stock'!A425)</f>
        <v>0</v>
      </c>
      <c r="I425" s="16">
        <f t="shared" si="2"/>
        <v>0</v>
      </c>
      <c r="J425" s="4"/>
      <c r="K425" s="4"/>
      <c r="L425" s="4"/>
      <c r="M425" s="4"/>
    </row>
    <row r="426" ht="13.5" customHeight="1">
      <c r="A426" s="4" t="str">
        <f t="shared" si="1"/>
        <v>LFW-MAZDA209FY</v>
      </c>
      <c r="B426" s="29" t="s">
        <v>685</v>
      </c>
      <c r="C426" s="28" t="s">
        <v>686</v>
      </c>
      <c r="D426" s="28" t="s">
        <v>22</v>
      </c>
      <c r="E426" s="4" t="s">
        <v>111</v>
      </c>
      <c r="F426" s="28" t="s">
        <v>125</v>
      </c>
      <c r="G426" s="4">
        <f>SUMIFS(X!$F$5:$F$2005,X!$D$5:$D$2005,'Current Stock'!A426)</f>
        <v>0</v>
      </c>
      <c r="H426" s="4">
        <f>SUMIFS(PENJUALAN!$E$4:$E$11000,PENJUALAN!$C$4:$C$11000,'Current Stock'!A426)</f>
        <v>0</v>
      </c>
      <c r="I426" s="16">
        <f t="shared" si="2"/>
        <v>0</v>
      </c>
      <c r="J426" s="4"/>
      <c r="K426" s="4"/>
      <c r="L426" s="4"/>
      <c r="M426" s="4"/>
    </row>
    <row r="427" ht="13.5" customHeight="1">
      <c r="A427" s="4" t="str">
        <f t="shared" si="1"/>
        <v>TRW-MAZDA209FY</v>
      </c>
      <c r="B427" s="29" t="s">
        <v>687</v>
      </c>
      <c r="C427" s="28" t="s">
        <v>688</v>
      </c>
      <c r="D427" s="28" t="s">
        <v>41</v>
      </c>
      <c r="E427" s="4" t="s">
        <v>111</v>
      </c>
      <c r="F427" s="28" t="s">
        <v>67</v>
      </c>
      <c r="G427" s="4">
        <f>SUMIFS(X!$F$5:$F$2005,X!$D$5:$D$2005,'Current Stock'!A427)</f>
        <v>0</v>
      </c>
      <c r="H427" s="4">
        <f>SUMIFS(PENJUALAN!$E$4:$E$11000,PENJUALAN!$C$4:$C$11000,'Current Stock'!A427)</f>
        <v>0</v>
      </c>
      <c r="I427" s="16">
        <f t="shared" si="2"/>
        <v>0</v>
      </c>
      <c r="J427" s="4"/>
      <c r="K427" s="4"/>
      <c r="L427" s="4"/>
      <c r="M427" s="4"/>
    </row>
    <row r="428" ht="13.5" customHeight="1">
      <c r="A428" s="4" t="str">
        <f t="shared" si="1"/>
        <v>FDL-MAZDA209FY</v>
      </c>
      <c r="B428" s="29" t="s">
        <v>689</v>
      </c>
      <c r="C428" s="28" t="s">
        <v>688</v>
      </c>
      <c r="D428" s="28" t="s">
        <v>128</v>
      </c>
      <c r="E428" s="4" t="s">
        <v>111</v>
      </c>
      <c r="F428" s="28" t="s">
        <v>141</v>
      </c>
      <c r="G428" s="4">
        <f>SUMIFS(X!$F$5:$F$2005,X!$D$5:$D$2005,'Current Stock'!A428)</f>
        <v>0</v>
      </c>
      <c r="H428" s="4">
        <f>SUMIFS(PENJUALAN!$E$4:$E$11000,PENJUALAN!$C$4:$C$11000,'Current Stock'!A428)</f>
        <v>0</v>
      </c>
      <c r="I428" s="16">
        <f t="shared" si="2"/>
        <v>0</v>
      </c>
      <c r="J428" s="4"/>
      <c r="K428" s="4"/>
      <c r="L428" s="4"/>
      <c r="M428" s="4"/>
    </row>
    <row r="429" ht="13.5" customHeight="1">
      <c r="A429" s="4" t="str">
        <f t="shared" si="1"/>
        <v>FDR-MAZDA209FY</v>
      </c>
      <c r="B429" s="29" t="s">
        <v>690</v>
      </c>
      <c r="C429" s="28" t="s">
        <v>688</v>
      </c>
      <c r="D429" s="28" t="s">
        <v>130</v>
      </c>
      <c r="E429" s="4" t="s">
        <v>111</v>
      </c>
      <c r="F429" s="28" t="s">
        <v>141</v>
      </c>
      <c r="G429" s="4">
        <f>SUMIFS(X!$F$5:$F$2005,X!$D$5:$D$2005,'Current Stock'!A429)</f>
        <v>0</v>
      </c>
      <c r="H429" s="4">
        <f>SUMIFS(PENJUALAN!$E$4:$E$11000,PENJUALAN!$C$4:$C$11000,'Current Stock'!A429)</f>
        <v>0</v>
      </c>
      <c r="I429" s="16">
        <f t="shared" si="2"/>
        <v>0</v>
      </c>
      <c r="J429" s="4"/>
      <c r="K429" s="4"/>
      <c r="L429" s="4"/>
      <c r="M429" s="4"/>
    </row>
    <row r="430" ht="13.5" customHeight="1">
      <c r="A430" s="4" t="str">
        <f t="shared" si="1"/>
        <v>RDL-MAZDA209FY</v>
      </c>
      <c r="B430" s="29" t="s">
        <v>691</v>
      </c>
      <c r="C430" s="28" t="s">
        <v>688</v>
      </c>
      <c r="D430" s="28" t="s">
        <v>132</v>
      </c>
      <c r="E430" s="4" t="s">
        <v>111</v>
      </c>
      <c r="F430" s="28" t="s">
        <v>141</v>
      </c>
      <c r="G430" s="4">
        <f>SUMIFS(X!$F$5:$F$2005,X!$D$5:$D$2005,'Current Stock'!A430)</f>
        <v>0</v>
      </c>
      <c r="H430" s="4">
        <f>SUMIFS(PENJUALAN!$E$4:$E$11000,PENJUALAN!$C$4:$C$11000,'Current Stock'!A430)</f>
        <v>0</v>
      </c>
      <c r="I430" s="16">
        <f t="shared" si="2"/>
        <v>0</v>
      </c>
      <c r="J430" s="4"/>
      <c r="K430" s="4"/>
      <c r="L430" s="4"/>
      <c r="M430" s="4"/>
    </row>
    <row r="431" ht="13.5" customHeight="1">
      <c r="A431" s="4" t="str">
        <f t="shared" si="1"/>
        <v>RDR-MAZDA209FY</v>
      </c>
      <c r="B431" s="29" t="s">
        <v>692</v>
      </c>
      <c r="C431" s="28" t="s">
        <v>688</v>
      </c>
      <c r="D431" s="28" t="s">
        <v>134</v>
      </c>
      <c r="E431" s="4" t="s">
        <v>111</v>
      </c>
      <c r="F431" s="28" t="s">
        <v>141</v>
      </c>
      <c r="G431" s="4">
        <f>SUMIFS(X!$F$5:$F$2005,X!$D$5:$D$2005,'Current Stock'!A431)</f>
        <v>0</v>
      </c>
      <c r="H431" s="4">
        <f>SUMIFS(PENJUALAN!$E$4:$E$11000,PENJUALAN!$C$4:$C$11000,'Current Stock'!A431)</f>
        <v>0</v>
      </c>
      <c r="I431" s="16">
        <f t="shared" si="2"/>
        <v>0</v>
      </c>
      <c r="J431" s="4"/>
      <c r="K431" s="4"/>
      <c r="L431" s="4"/>
      <c r="M431" s="4"/>
    </row>
    <row r="432" ht="13.5" customHeight="1">
      <c r="A432" s="4" t="str">
        <f t="shared" si="1"/>
        <v>LFW-MAZDA214FY</v>
      </c>
      <c r="B432" s="29" t="s">
        <v>693</v>
      </c>
      <c r="C432" s="28" t="s">
        <v>694</v>
      </c>
      <c r="D432" s="28" t="s">
        <v>22</v>
      </c>
      <c r="E432" s="4" t="s">
        <v>111</v>
      </c>
      <c r="F432" s="28" t="s">
        <v>125</v>
      </c>
      <c r="G432" s="4">
        <f>SUMIFS(X!$F$5:$F$2005,X!$D$5:$D$2005,'Current Stock'!A432)</f>
        <v>0</v>
      </c>
      <c r="H432" s="4">
        <f>SUMIFS(PENJUALAN!$E$4:$E$11000,PENJUALAN!$C$4:$C$11000,'Current Stock'!A432)</f>
        <v>0</v>
      </c>
      <c r="I432" s="16">
        <f t="shared" si="2"/>
        <v>0</v>
      </c>
      <c r="J432" s="4"/>
      <c r="K432" s="4"/>
      <c r="L432" s="4"/>
      <c r="M432" s="4"/>
    </row>
    <row r="433" ht="13.5" customHeight="1">
      <c r="A433" s="4" t="str">
        <f t="shared" si="1"/>
        <v>LFW-MAZDA214RSFY</v>
      </c>
      <c r="B433" s="29" t="s">
        <v>695</v>
      </c>
      <c r="C433" s="28" t="s">
        <v>696</v>
      </c>
      <c r="D433" s="28" t="s">
        <v>22</v>
      </c>
      <c r="E433" s="4" t="s">
        <v>111</v>
      </c>
      <c r="F433" s="28" t="s">
        <v>697</v>
      </c>
      <c r="G433" s="4">
        <f>SUMIFS(X!$F$5:$F$2005,X!$D$5:$D$2005,'Current Stock'!A433)</f>
        <v>0</v>
      </c>
      <c r="H433" s="4">
        <f>SUMIFS(PENJUALAN!$E$4:$E$11000,PENJUALAN!$C$4:$C$11000,'Current Stock'!A433)</f>
        <v>0</v>
      </c>
      <c r="I433" s="16">
        <f t="shared" si="2"/>
        <v>0</v>
      </c>
      <c r="J433" s="4"/>
      <c r="K433" s="4"/>
      <c r="L433" s="4"/>
      <c r="M433" s="4"/>
    </row>
    <row r="434" ht="13.5" customHeight="1">
      <c r="A434" s="4" t="str">
        <f t="shared" si="1"/>
        <v>TRW-MAZDA214FY</v>
      </c>
      <c r="B434" s="29" t="s">
        <v>698</v>
      </c>
      <c r="C434" s="28" t="s">
        <v>699</v>
      </c>
      <c r="D434" s="30" t="s">
        <v>41</v>
      </c>
      <c r="E434" s="4" t="s">
        <v>111</v>
      </c>
      <c r="F434" s="28" t="s">
        <v>67</v>
      </c>
      <c r="G434" s="4">
        <f>SUMIFS(X!$F$5:$F$2005,X!$D$5:$D$2005,'Current Stock'!A434)</f>
        <v>0</v>
      </c>
      <c r="H434" s="4">
        <f>SUMIFS(PENJUALAN!$E$4:$E$11000,PENJUALAN!$C$4:$C$11000,'Current Stock'!A434)</f>
        <v>0</v>
      </c>
      <c r="I434" s="16">
        <f t="shared" si="2"/>
        <v>0</v>
      </c>
      <c r="J434" s="4"/>
      <c r="K434" s="4"/>
      <c r="L434" s="4"/>
      <c r="M434" s="4"/>
    </row>
    <row r="435" ht="13.5" customHeight="1">
      <c r="A435" s="4" t="str">
        <f t="shared" si="1"/>
        <v>FDL-MAZDA214FY</v>
      </c>
      <c r="B435" s="29" t="s">
        <v>700</v>
      </c>
      <c r="C435" s="28" t="s">
        <v>699</v>
      </c>
      <c r="D435" s="28" t="s">
        <v>128</v>
      </c>
      <c r="E435" s="4" t="s">
        <v>111</v>
      </c>
      <c r="F435" s="28" t="s">
        <v>397</v>
      </c>
      <c r="G435" s="4">
        <f>SUMIFS(X!$F$5:$F$2005,X!$D$5:$D$2005,'Current Stock'!A435)</f>
        <v>0</v>
      </c>
      <c r="H435" s="4">
        <f>SUMIFS(PENJUALAN!$E$4:$E$11000,PENJUALAN!$C$4:$C$11000,'Current Stock'!A435)</f>
        <v>0</v>
      </c>
      <c r="I435" s="16">
        <f t="shared" si="2"/>
        <v>0</v>
      </c>
      <c r="J435" s="4"/>
      <c r="K435" s="4"/>
      <c r="L435" s="4"/>
      <c r="M435" s="4"/>
    </row>
    <row r="436" ht="13.5" customHeight="1">
      <c r="A436" s="4" t="str">
        <f t="shared" si="1"/>
        <v>FDR-MAZDA214FY</v>
      </c>
      <c r="B436" s="29" t="s">
        <v>701</v>
      </c>
      <c r="C436" s="28" t="s">
        <v>699</v>
      </c>
      <c r="D436" s="28" t="s">
        <v>130</v>
      </c>
      <c r="E436" s="4" t="s">
        <v>111</v>
      </c>
      <c r="F436" s="28" t="s">
        <v>397</v>
      </c>
      <c r="G436" s="4">
        <f>SUMIFS(X!$F$5:$F$2005,X!$D$5:$D$2005,'Current Stock'!A436)</f>
        <v>0</v>
      </c>
      <c r="H436" s="4">
        <f>SUMIFS(PENJUALAN!$E$4:$E$11000,PENJUALAN!$C$4:$C$11000,'Current Stock'!A436)</f>
        <v>0</v>
      </c>
      <c r="I436" s="16">
        <f t="shared" si="2"/>
        <v>0</v>
      </c>
      <c r="J436" s="4"/>
      <c r="K436" s="4"/>
      <c r="L436" s="4"/>
      <c r="M436" s="4"/>
    </row>
    <row r="437" ht="13.5" customHeight="1">
      <c r="A437" s="4" t="str">
        <f t="shared" si="1"/>
        <v>RDL-MAZDA214FY</v>
      </c>
      <c r="B437" s="29" t="s">
        <v>702</v>
      </c>
      <c r="C437" s="28" t="s">
        <v>699</v>
      </c>
      <c r="D437" s="28" t="s">
        <v>132</v>
      </c>
      <c r="E437" s="4" t="s">
        <v>111</v>
      </c>
      <c r="F437" s="28"/>
      <c r="G437" s="4">
        <f>SUMIFS(X!$F$5:$F$2005,X!$D$5:$D$2005,'Current Stock'!A437)</f>
        <v>0</v>
      </c>
      <c r="H437" s="4">
        <f>SUMIFS(PENJUALAN!$E$4:$E$11000,PENJUALAN!$C$4:$C$11000,'Current Stock'!A437)</f>
        <v>0</v>
      </c>
      <c r="I437" s="16">
        <f t="shared" si="2"/>
        <v>0</v>
      </c>
      <c r="J437" s="4"/>
      <c r="K437" s="4"/>
      <c r="L437" s="4"/>
      <c r="M437" s="4"/>
    </row>
    <row r="438" ht="13.5" customHeight="1">
      <c r="A438" s="4" t="str">
        <f t="shared" si="1"/>
        <v>RDR-MAZDA214FY</v>
      </c>
      <c r="B438" s="29" t="s">
        <v>703</v>
      </c>
      <c r="C438" s="28" t="s">
        <v>699</v>
      </c>
      <c r="D438" s="28" t="s">
        <v>134</v>
      </c>
      <c r="E438" s="4" t="s">
        <v>111</v>
      </c>
      <c r="F438" s="28"/>
      <c r="G438" s="4">
        <f>SUMIFS(X!$F$5:$F$2005,X!$D$5:$D$2005,'Current Stock'!A438)</f>
        <v>0</v>
      </c>
      <c r="H438" s="4">
        <f>SUMIFS(PENJUALAN!$E$4:$E$11000,PENJUALAN!$C$4:$C$11000,'Current Stock'!A438)</f>
        <v>0</v>
      </c>
      <c r="I438" s="16">
        <f t="shared" si="2"/>
        <v>0</v>
      </c>
      <c r="J438" s="4"/>
      <c r="K438" s="4"/>
      <c r="L438" s="4"/>
      <c r="M438" s="4"/>
    </row>
    <row r="439" ht="13.5" customHeight="1">
      <c r="A439" s="4" t="str">
        <f t="shared" si="1"/>
        <v>LFW-MAZDA602FY</v>
      </c>
      <c r="B439" s="29" t="s">
        <v>704</v>
      </c>
      <c r="C439" s="28" t="s">
        <v>705</v>
      </c>
      <c r="D439" s="28" t="s">
        <v>22</v>
      </c>
      <c r="E439" s="4" t="s">
        <v>111</v>
      </c>
      <c r="F439" s="28" t="s">
        <v>125</v>
      </c>
      <c r="G439" s="4">
        <f>SUMIFS(X!$F$5:$F$2005,X!$D$5:$D$2005,'Current Stock'!A439)</f>
        <v>0</v>
      </c>
      <c r="H439" s="4">
        <f>SUMIFS(PENJUALAN!$E$4:$E$11000,PENJUALAN!$C$4:$C$11000,'Current Stock'!A439)</f>
        <v>0</v>
      </c>
      <c r="I439" s="16">
        <f t="shared" si="2"/>
        <v>0</v>
      </c>
      <c r="J439" s="4"/>
      <c r="K439" s="4"/>
      <c r="L439" s="4"/>
      <c r="M439" s="4"/>
    </row>
    <row r="440" ht="13.5" customHeight="1">
      <c r="A440" s="4" t="str">
        <f t="shared" si="1"/>
        <v>TRW-MAZDA602FY</v>
      </c>
      <c r="B440" s="29" t="s">
        <v>706</v>
      </c>
      <c r="C440" s="28" t="s">
        <v>705</v>
      </c>
      <c r="D440" s="28" t="s">
        <v>41</v>
      </c>
      <c r="E440" s="4" t="s">
        <v>111</v>
      </c>
      <c r="F440" s="28" t="s">
        <v>114</v>
      </c>
      <c r="G440" s="4">
        <f>SUMIFS(X!$F$5:$F$2005,X!$D$5:$D$2005,'Current Stock'!A440)</f>
        <v>0</v>
      </c>
      <c r="H440" s="4">
        <f>SUMIFS(PENJUALAN!$E$4:$E$11000,PENJUALAN!$C$4:$C$11000,'Current Stock'!A440)</f>
        <v>0</v>
      </c>
      <c r="I440" s="16">
        <f t="shared" si="2"/>
        <v>0</v>
      </c>
      <c r="J440" s="4"/>
      <c r="K440" s="4"/>
      <c r="L440" s="4"/>
      <c r="M440" s="4"/>
    </row>
    <row r="441" ht="13.5" customHeight="1">
      <c r="A441" s="4" t="str">
        <f t="shared" si="1"/>
        <v>LFW-MAZDA608FY</v>
      </c>
      <c r="B441" s="29" t="s">
        <v>707</v>
      </c>
      <c r="C441" s="28" t="s">
        <v>708</v>
      </c>
      <c r="D441" s="28" t="s">
        <v>22</v>
      </c>
      <c r="E441" s="4" t="s">
        <v>111</v>
      </c>
      <c r="F441" s="28" t="s">
        <v>125</v>
      </c>
      <c r="G441" s="4">
        <f>SUMIFS(X!$F$5:$F$2005,X!$D$5:$D$2005,'Current Stock'!A441)</f>
        <v>0</v>
      </c>
      <c r="H441" s="4">
        <f>SUMIFS(PENJUALAN!$E$4:$E$11000,PENJUALAN!$C$4:$C$11000,'Current Stock'!A441)</f>
        <v>0</v>
      </c>
      <c r="I441" s="16">
        <f t="shared" si="2"/>
        <v>0</v>
      </c>
      <c r="J441" s="4"/>
      <c r="K441" s="4"/>
      <c r="L441" s="4"/>
      <c r="M441" s="4"/>
    </row>
    <row r="442" ht="13.5" customHeight="1">
      <c r="A442" s="4" t="str">
        <f t="shared" si="1"/>
        <v>TRW-MAZDA608FY</v>
      </c>
      <c r="B442" s="29" t="s">
        <v>709</v>
      </c>
      <c r="C442" s="28" t="s">
        <v>708</v>
      </c>
      <c r="D442" s="28" t="s">
        <v>41</v>
      </c>
      <c r="E442" s="4" t="s">
        <v>111</v>
      </c>
      <c r="F442" s="28" t="s">
        <v>67</v>
      </c>
      <c r="G442" s="4">
        <f>SUMIFS(X!$F$5:$F$2005,X!$D$5:$D$2005,'Current Stock'!A442)</f>
        <v>0</v>
      </c>
      <c r="H442" s="4">
        <f>SUMIFS(PENJUALAN!$E$4:$E$11000,PENJUALAN!$C$4:$C$11000,'Current Stock'!A442)</f>
        <v>0</v>
      </c>
      <c r="I442" s="16">
        <f t="shared" si="2"/>
        <v>0</v>
      </c>
      <c r="J442" s="4"/>
      <c r="K442" s="4"/>
      <c r="L442" s="4"/>
      <c r="M442" s="4"/>
    </row>
    <row r="443" ht="13.5" customHeight="1">
      <c r="A443" s="4" t="str">
        <f t="shared" si="1"/>
        <v>FDL-MAZDA608FY</v>
      </c>
      <c r="B443" s="29" t="s">
        <v>710</v>
      </c>
      <c r="C443" s="28" t="s">
        <v>708</v>
      </c>
      <c r="D443" s="28" t="s">
        <v>128</v>
      </c>
      <c r="E443" s="4" t="s">
        <v>111</v>
      </c>
      <c r="F443" s="28"/>
      <c r="G443" s="4">
        <f>SUMIFS(X!$F$5:$F$2005,X!$D$5:$D$2005,'Current Stock'!A443)</f>
        <v>0</v>
      </c>
      <c r="H443" s="4">
        <f>SUMIFS(PENJUALAN!$E$4:$E$11000,PENJUALAN!$C$4:$C$11000,'Current Stock'!A443)</f>
        <v>0</v>
      </c>
      <c r="I443" s="16">
        <f t="shared" si="2"/>
        <v>0</v>
      </c>
      <c r="J443" s="4"/>
      <c r="K443" s="4"/>
      <c r="L443" s="4"/>
      <c r="M443" s="4"/>
    </row>
    <row r="444" ht="13.5" customHeight="1">
      <c r="A444" s="4" t="str">
        <f t="shared" si="1"/>
        <v>FDR-MAZDA608FY</v>
      </c>
      <c r="B444" s="29" t="s">
        <v>711</v>
      </c>
      <c r="C444" s="28" t="s">
        <v>708</v>
      </c>
      <c r="D444" s="28" t="s">
        <v>130</v>
      </c>
      <c r="E444" s="4" t="s">
        <v>111</v>
      </c>
      <c r="F444" s="28"/>
      <c r="G444" s="4">
        <f>SUMIFS(X!$F$5:$F$2005,X!$D$5:$D$2005,'Current Stock'!A444)</f>
        <v>0</v>
      </c>
      <c r="H444" s="4">
        <f>SUMIFS(PENJUALAN!$E$4:$E$11000,PENJUALAN!$C$4:$C$11000,'Current Stock'!A444)</f>
        <v>0</v>
      </c>
      <c r="I444" s="16">
        <f t="shared" si="2"/>
        <v>0</v>
      </c>
      <c r="J444" s="4"/>
      <c r="K444" s="4"/>
      <c r="L444" s="4"/>
      <c r="M444" s="4"/>
    </row>
    <row r="445" ht="13.5" customHeight="1">
      <c r="A445" s="4" t="str">
        <f t="shared" si="1"/>
        <v>LFW-MAZDA608RSFY</v>
      </c>
      <c r="B445" s="29" t="s">
        <v>712</v>
      </c>
      <c r="C445" s="28" t="s">
        <v>708</v>
      </c>
      <c r="D445" s="28" t="s">
        <v>22</v>
      </c>
      <c r="E445" s="4" t="s">
        <v>111</v>
      </c>
      <c r="F445" s="28" t="s">
        <v>23</v>
      </c>
      <c r="G445" s="4">
        <f>SUMIFS(X!$F$5:$F$2005,X!$D$5:$D$2005,'Current Stock'!A445)</f>
        <v>0</v>
      </c>
      <c r="H445" s="4">
        <f>SUMIFS(PENJUALAN!$E$4:$E$11000,PENJUALAN!$C$4:$C$11000,'Current Stock'!A445)</f>
        <v>0</v>
      </c>
      <c r="I445" s="16">
        <f t="shared" si="2"/>
        <v>0</v>
      </c>
      <c r="J445" s="4"/>
      <c r="K445" s="4"/>
      <c r="L445" s="4"/>
      <c r="M445" s="4"/>
    </row>
    <row r="446" ht="13.5" customHeight="1">
      <c r="A446" s="4" t="str">
        <f t="shared" si="1"/>
        <v>LFW-MAZDA612FY</v>
      </c>
      <c r="B446" s="29" t="s">
        <v>713</v>
      </c>
      <c r="C446" s="28" t="s">
        <v>714</v>
      </c>
      <c r="D446" s="28" t="s">
        <v>22</v>
      </c>
      <c r="E446" s="4" t="s">
        <v>111</v>
      </c>
      <c r="F446" s="28" t="s">
        <v>125</v>
      </c>
      <c r="G446" s="4">
        <f>SUMIFS(X!$F$5:$F$2005,X!$D$5:$D$2005,'Current Stock'!A446)</f>
        <v>0</v>
      </c>
      <c r="H446" s="4">
        <f>SUMIFS(PENJUALAN!$E$4:$E$11000,PENJUALAN!$C$4:$C$11000,'Current Stock'!A446)</f>
        <v>0</v>
      </c>
      <c r="I446" s="16">
        <f t="shared" si="2"/>
        <v>0</v>
      </c>
      <c r="J446" s="4"/>
      <c r="K446" s="4"/>
      <c r="L446" s="4"/>
      <c r="M446" s="4"/>
    </row>
    <row r="447" ht="13.5" customHeight="1">
      <c r="A447" s="4" t="str">
        <f t="shared" si="1"/>
        <v>LFW-MAZDA612RSFY</v>
      </c>
      <c r="B447" s="29" t="s">
        <v>715</v>
      </c>
      <c r="C447" s="28" t="s">
        <v>714</v>
      </c>
      <c r="D447" s="28" t="s">
        <v>22</v>
      </c>
      <c r="E447" s="4" t="s">
        <v>111</v>
      </c>
      <c r="F447" s="28" t="s">
        <v>75</v>
      </c>
      <c r="G447" s="4">
        <f>SUMIFS(X!$F$5:$F$2005,X!$D$5:$D$2005,'Current Stock'!A447)</f>
        <v>0</v>
      </c>
      <c r="H447" s="4">
        <f>SUMIFS(PENJUALAN!$E$4:$E$11000,PENJUALAN!$C$4:$C$11000,'Current Stock'!A447)</f>
        <v>0</v>
      </c>
      <c r="I447" s="16">
        <f t="shared" si="2"/>
        <v>0</v>
      </c>
      <c r="J447" s="4"/>
      <c r="K447" s="4"/>
      <c r="L447" s="4"/>
      <c r="M447" s="4"/>
    </row>
    <row r="448" ht="13.5" customHeight="1">
      <c r="A448" s="4" t="str">
        <f t="shared" si="1"/>
        <v>SWR-KAPSUL02LONGASH</v>
      </c>
      <c r="B448" s="32" t="s">
        <v>716</v>
      </c>
      <c r="C448" s="15" t="s">
        <v>717</v>
      </c>
      <c r="D448" s="18" t="str">
        <f>LEFT(A448,FIND("-",A448) - 1)</f>
        <v>SWR</v>
      </c>
      <c r="E448" s="15" t="s">
        <v>82</v>
      </c>
      <c r="F448" s="15" t="s">
        <v>718</v>
      </c>
      <c r="G448" s="4">
        <f>SUMIFS(X!$F$5:$F$2005,X!$D$5:$D$2005,'Current Stock'!A448)</f>
        <v>6</v>
      </c>
      <c r="H448" s="4">
        <f>SUMIFS(PENJUALAN!$E$4:$E$11000,PENJUALAN!$C$4:$C$11000,'Current Stock'!A448)</f>
        <v>3</v>
      </c>
      <c r="I448" s="16">
        <f t="shared" si="2"/>
        <v>3</v>
      </c>
      <c r="J448" s="15" t="s">
        <v>719</v>
      </c>
      <c r="K448" s="15"/>
      <c r="L448" s="18"/>
      <c r="M448" s="18"/>
    </row>
    <row r="449" ht="13.5" customHeight="1">
      <c r="A449" s="4" t="str">
        <f t="shared" si="1"/>
        <v>FDL-MAZDA612FY</v>
      </c>
      <c r="B449" s="29" t="s">
        <v>720</v>
      </c>
      <c r="C449" s="28" t="s">
        <v>714</v>
      </c>
      <c r="D449" s="28" t="s">
        <v>128</v>
      </c>
      <c r="E449" s="4" t="s">
        <v>111</v>
      </c>
      <c r="F449" s="28"/>
      <c r="G449" s="4">
        <f>SUMIFS(X!$F$5:$F$2005,X!$D$5:$D$2005,'Current Stock'!A449)</f>
        <v>0</v>
      </c>
      <c r="H449" s="4">
        <f>SUMIFS(PENJUALAN!$E$4:$E$11000,PENJUALAN!$C$4:$C$11000,'Current Stock'!A449)</f>
        <v>0</v>
      </c>
      <c r="I449" s="16">
        <f t="shared" si="2"/>
        <v>0</v>
      </c>
      <c r="J449" s="4"/>
      <c r="K449" s="4"/>
      <c r="L449" s="4"/>
      <c r="M449" s="4"/>
    </row>
    <row r="450" ht="13.5" customHeight="1">
      <c r="A450" s="4" t="str">
        <f t="shared" si="1"/>
        <v>FDR-MAZDA612FY</v>
      </c>
      <c r="B450" s="29" t="s">
        <v>721</v>
      </c>
      <c r="C450" s="28" t="s">
        <v>714</v>
      </c>
      <c r="D450" s="28" t="s">
        <v>130</v>
      </c>
      <c r="E450" s="4" t="s">
        <v>111</v>
      </c>
      <c r="F450" s="28"/>
      <c r="G450" s="4">
        <f>SUMIFS(X!$F$5:$F$2005,X!$D$5:$D$2005,'Current Stock'!A450)</f>
        <v>0</v>
      </c>
      <c r="H450" s="4">
        <f>SUMIFS(PENJUALAN!$E$4:$E$11000,PENJUALAN!$C$4:$C$11000,'Current Stock'!A450)</f>
        <v>0</v>
      </c>
      <c r="I450" s="16">
        <f t="shared" si="2"/>
        <v>0</v>
      </c>
      <c r="J450" s="4"/>
      <c r="K450" s="4"/>
      <c r="L450" s="4"/>
      <c r="M450" s="4"/>
    </row>
    <row r="451" ht="13.5" customHeight="1">
      <c r="A451" s="4" t="str">
        <f t="shared" si="1"/>
        <v>LFW-MAZDA8FY</v>
      </c>
      <c r="B451" s="29" t="s">
        <v>722</v>
      </c>
      <c r="C451" s="28" t="s">
        <v>723</v>
      </c>
      <c r="D451" s="28" t="s">
        <v>22</v>
      </c>
      <c r="E451" s="4" t="s">
        <v>111</v>
      </c>
      <c r="F451" s="28" t="s">
        <v>125</v>
      </c>
      <c r="G451" s="4">
        <f>SUMIFS(X!$F$5:$F$2005,X!$D$5:$D$2005,'Current Stock'!A451)</f>
        <v>0</v>
      </c>
      <c r="H451" s="4">
        <f>SUMIFS(PENJUALAN!$E$4:$E$11000,PENJUALAN!$C$4:$C$11000,'Current Stock'!A451)</f>
        <v>0</v>
      </c>
      <c r="I451" s="16">
        <f t="shared" si="2"/>
        <v>0</v>
      </c>
      <c r="J451" s="4"/>
      <c r="K451" s="4"/>
      <c r="L451" s="4"/>
      <c r="M451" s="4"/>
    </row>
    <row r="452" ht="13.5" customHeight="1">
      <c r="A452" s="4" t="str">
        <f t="shared" si="1"/>
        <v>TRW-MAZDA8FY</v>
      </c>
      <c r="B452" s="29" t="s">
        <v>724</v>
      </c>
      <c r="C452" s="28" t="s">
        <v>723</v>
      </c>
      <c r="D452" s="28" t="s">
        <v>41</v>
      </c>
      <c r="E452" s="4" t="s">
        <v>111</v>
      </c>
      <c r="F452" s="28" t="s">
        <v>221</v>
      </c>
      <c r="G452" s="4">
        <f>SUMIFS(X!$F$5:$F$2005,X!$D$5:$D$2005,'Current Stock'!A452)</f>
        <v>0</v>
      </c>
      <c r="H452" s="4">
        <f>SUMIFS(PENJUALAN!$E$4:$E$11000,PENJUALAN!$C$4:$C$11000,'Current Stock'!A452)</f>
        <v>0</v>
      </c>
      <c r="I452" s="16">
        <f t="shared" si="2"/>
        <v>0</v>
      </c>
      <c r="J452" s="4"/>
      <c r="K452" s="4"/>
      <c r="L452" s="4"/>
      <c r="M452" s="4"/>
    </row>
    <row r="453" ht="13.5" customHeight="1">
      <c r="A453" s="4" t="str">
        <f t="shared" si="1"/>
        <v>LFW-BIANTERSFY</v>
      </c>
      <c r="B453" s="29" t="s">
        <v>725</v>
      </c>
      <c r="C453" s="28" t="s">
        <v>726</v>
      </c>
      <c r="D453" s="28" t="s">
        <v>22</v>
      </c>
      <c r="E453" s="4" t="s">
        <v>111</v>
      </c>
      <c r="F453" s="28" t="s">
        <v>23</v>
      </c>
      <c r="G453" s="4">
        <f>SUMIFS(X!$F$5:$F$2005,X!$D$5:$D$2005,'Current Stock'!A453)</f>
        <v>0</v>
      </c>
      <c r="H453" s="4">
        <f>SUMIFS(PENJUALAN!$E$4:$E$11000,PENJUALAN!$C$4:$C$11000,'Current Stock'!A453)</f>
        <v>0</v>
      </c>
      <c r="I453" s="16">
        <f t="shared" si="2"/>
        <v>0</v>
      </c>
      <c r="J453" s="4"/>
      <c r="K453" s="4"/>
      <c r="L453" s="4"/>
      <c r="M453" s="4"/>
    </row>
    <row r="454" ht="13.5" customHeight="1">
      <c r="A454" s="4" t="str">
        <f t="shared" si="1"/>
        <v>LFW-BIANTEFY</v>
      </c>
      <c r="B454" s="29" t="s">
        <v>727</v>
      </c>
      <c r="C454" s="28" t="s">
        <v>726</v>
      </c>
      <c r="D454" s="28" t="s">
        <v>22</v>
      </c>
      <c r="E454" s="4" t="s">
        <v>111</v>
      </c>
      <c r="F454" s="28" t="s">
        <v>125</v>
      </c>
      <c r="G454" s="4">
        <f>SUMIFS(X!$F$5:$F$2005,X!$D$5:$D$2005,'Current Stock'!A454)</f>
        <v>0</v>
      </c>
      <c r="H454" s="4">
        <f>SUMIFS(PENJUALAN!$E$4:$E$11000,PENJUALAN!$C$4:$C$11000,'Current Stock'!A454)</f>
        <v>0</v>
      </c>
      <c r="I454" s="16">
        <f t="shared" si="2"/>
        <v>0</v>
      </c>
      <c r="J454" s="4"/>
      <c r="K454" s="4"/>
      <c r="L454" s="4"/>
      <c r="M454" s="4"/>
    </row>
    <row r="455" ht="13.5" customHeight="1">
      <c r="A455" s="4" t="str">
        <f t="shared" si="1"/>
        <v>TRW-BIANTEFY</v>
      </c>
      <c r="B455" s="29" t="s">
        <v>728</v>
      </c>
      <c r="C455" s="28" t="s">
        <v>726</v>
      </c>
      <c r="D455" s="28" t="s">
        <v>41</v>
      </c>
      <c r="E455" s="4" t="s">
        <v>111</v>
      </c>
      <c r="F455" s="28" t="s">
        <v>221</v>
      </c>
      <c r="G455" s="4">
        <f>SUMIFS(X!$F$5:$F$2005,X!$D$5:$D$2005,'Current Stock'!A455)</f>
        <v>0</v>
      </c>
      <c r="H455" s="4">
        <f>SUMIFS(PENJUALAN!$E$4:$E$11000,PENJUALAN!$C$4:$C$11000,'Current Stock'!A455)</f>
        <v>0</v>
      </c>
      <c r="I455" s="16">
        <f t="shared" si="2"/>
        <v>0</v>
      </c>
      <c r="J455" s="4"/>
      <c r="K455" s="4"/>
      <c r="L455" s="4"/>
      <c r="M455" s="4"/>
    </row>
    <row r="456" ht="13.5" customHeight="1">
      <c r="A456" s="4" t="str">
        <f t="shared" si="1"/>
        <v>TRW-BIANTEBLACKFY</v>
      </c>
      <c r="B456" s="29" t="s">
        <v>729</v>
      </c>
      <c r="C456" s="28" t="s">
        <v>730</v>
      </c>
      <c r="D456" s="28" t="s">
        <v>41</v>
      </c>
      <c r="E456" s="4" t="s">
        <v>111</v>
      </c>
      <c r="F456" s="28" t="s">
        <v>439</v>
      </c>
      <c r="G456" s="4">
        <f>SUMIFS(X!$F$5:$F$2005,X!$D$5:$D$2005,'Current Stock'!A456)</f>
        <v>0</v>
      </c>
      <c r="H456" s="4">
        <f>SUMIFS(PENJUALAN!$E$4:$E$11000,PENJUALAN!$C$4:$C$11000,'Current Stock'!A456)</f>
        <v>0</v>
      </c>
      <c r="I456" s="16">
        <f t="shared" si="2"/>
        <v>0</v>
      </c>
      <c r="J456" s="4"/>
      <c r="K456" s="4"/>
      <c r="L456" s="4"/>
      <c r="M456" s="4"/>
    </row>
    <row r="457" ht="13.5" customHeight="1">
      <c r="A457" s="4" t="str">
        <f t="shared" si="1"/>
        <v>RDL-BIANTEFY</v>
      </c>
      <c r="B457" s="29" t="s">
        <v>731</v>
      </c>
      <c r="C457" s="28" t="s">
        <v>726</v>
      </c>
      <c r="D457" s="28" t="s">
        <v>132</v>
      </c>
      <c r="E457" s="4" t="s">
        <v>111</v>
      </c>
      <c r="F457" s="28"/>
      <c r="G457" s="4">
        <f>SUMIFS(X!$F$5:$F$2005,X!$D$5:$D$2005,'Current Stock'!A457)</f>
        <v>0</v>
      </c>
      <c r="H457" s="4">
        <f>SUMIFS(PENJUALAN!$E$4:$E$11000,PENJUALAN!$C$4:$C$11000,'Current Stock'!A457)</f>
        <v>0</v>
      </c>
      <c r="I457" s="16">
        <f t="shared" si="2"/>
        <v>0</v>
      </c>
      <c r="J457" s="4"/>
      <c r="K457" s="4"/>
      <c r="L457" s="4"/>
      <c r="M457" s="4"/>
    </row>
    <row r="458" ht="13.5" customHeight="1">
      <c r="A458" s="4" t="str">
        <f t="shared" si="1"/>
        <v>RDR-BIANTEFY</v>
      </c>
      <c r="B458" s="29" t="s">
        <v>732</v>
      </c>
      <c r="C458" s="28" t="s">
        <v>726</v>
      </c>
      <c r="D458" s="28" t="s">
        <v>134</v>
      </c>
      <c r="E458" s="4" t="s">
        <v>111</v>
      </c>
      <c r="F458" s="28"/>
      <c r="G458" s="4">
        <f>SUMIFS(X!$F$5:$F$2005,X!$D$5:$D$2005,'Current Stock'!A458)</f>
        <v>0</v>
      </c>
      <c r="H458" s="4">
        <f>SUMIFS(PENJUALAN!$E$4:$E$11000,PENJUALAN!$C$4:$C$11000,'Current Stock'!A458)</f>
        <v>0</v>
      </c>
      <c r="I458" s="16">
        <f t="shared" si="2"/>
        <v>0</v>
      </c>
      <c r="J458" s="4"/>
      <c r="K458" s="4"/>
      <c r="L458" s="4"/>
      <c r="M458" s="4"/>
    </row>
    <row r="459" ht="13.5" customHeight="1">
      <c r="A459" s="4" t="str">
        <f t="shared" si="1"/>
        <v>SWL-BIANTEFY</v>
      </c>
      <c r="B459" s="29" t="s">
        <v>733</v>
      </c>
      <c r="C459" s="28" t="s">
        <v>726</v>
      </c>
      <c r="D459" s="28" t="s">
        <v>202</v>
      </c>
      <c r="E459" s="4" t="s">
        <v>111</v>
      </c>
      <c r="F459" s="28" t="s">
        <v>97</v>
      </c>
      <c r="G459" s="4">
        <f>SUMIFS(X!$F$5:$F$2005,X!$D$5:$D$2005,'Current Stock'!A459)</f>
        <v>0</v>
      </c>
      <c r="H459" s="4">
        <f>SUMIFS(PENJUALAN!$E$4:$E$11000,PENJUALAN!$C$4:$C$11000,'Current Stock'!A459)</f>
        <v>0</v>
      </c>
      <c r="I459" s="16">
        <f t="shared" si="2"/>
        <v>0</v>
      </c>
      <c r="J459" s="4"/>
      <c r="K459" s="4"/>
      <c r="L459" s="4"/>
      <c r="M459" s="4"/>
    </row>
    <row r="460" ht="13.5" customHeight="1">
      <c r="A460" s="4" t="str">
        <f t="shared" si="1"/>
        <v>SWR-BIANTEFY</v>
      </c>
      <c r="B460" s="29" t="s">
        <v>734</v>
      </c>
      <c r="C460" s="28" t="s">
        <v>726</v>
      </c>
      <c r="D460" s="28" t="s">
        <v>236</v>
      </c>
      <c r="E460" s="4" t="s">
        <v>111</v>
      </c>
      <c r="F460" s="28" t="s">
        <v>234</v>
      </c>
      <c r="G460" s="4">
        <f>SUMIFS(X!$F$5:$F$2005,X!$D$5:$D$2005,'Current Stock'!A460)</f>
        <v>0</v>
      </c>
      <c r="H460" s="4">
        <f>SUMIFS(PENJUALAN!$E$4:$E$11000,PENJUALAN!$C$4:$C$11000,'Current Stock'!A460)</f>
        <v>0</v>
      </c>
      <c r="I460" s="16">
        <f t="shared" si="2"/>
        <v>0</v>
      </c>
      <c r="J460" s="4"/>
      <c r="K460" s="4"/>
      <c r="L460" s="4"/>
      <c r="M460" s="4"/>
    </row>
    <row r="461" ht="13.5" customHeight="1">
      <c r="A461" s="4" t="str">
        <f t="shared" si="1"/>
        <v>LFW-CX5GEN1FY</v>
      </c>
      <c r="B461" s="29" t="s">
        <v>735</v>
      </c>
      <c r="C461" s="28" t="s">
        <v>736</v>
      </c>
      <c r="D461" s="28" t="s">
        <v>22</v>
      </c>
      <c r="E461" s="4" t="s">
        <v>111</v>
      </c>
      <c r="F461" s="28" t="s">
        <v>737</v>
      </c>
      <c r="G461" s="4">
        <f>SUMIFS(X!$F$5:$F$2005,X!$D$5:$D$2005,'Current Stock'!A461)</f>
        <v>0</v>
      </c>
      <c r="H461" s="4">
        <f>SUMIFS(PENJUALAN!$E$4:$E$11000,PENJUALAN!$C$4:$C$11000,'Current Stock'!A461)</f>
        <v>0</v>
      </c>
      <c r="I461" s="16">
        <f t="shared" si="2"/>
        <v>0</v>
      </c>
      <c r="J461" s="4"/>
      <c r="K461" s="4"/>
      <c r="L461" s="4"/>
      <c r="M461" s="4"/>
    </row>
    <row r="462" ht="13.5" customHeight="1">
      <c r="A462" s="4" t="str">
        <f t="shared" si="1"/>
        <v>FDR-LOUHANASH</v>
      </c>
      <c r="B462" s="15" t="s">
        <v>738</v>
      </c>
      <c r="C462" s="15" t="s">
        <v>739</v>
      </c>
      <c r="D462" s="15" t="s">
        <v>45</v>
      </c>
      <c r="E462" s="15" t="s">
        <v>82</v>
      </c>
      <c r="F462" s="18"/>
      <c r="G462" s="4">
        <f>SUMIFS(X!$F$5:$F$2005,X!$D$5:$D$2005,'Current Stock'!A462)</f>
        <v>1</v>
      </c>
      <c r="H462" s="4">
        <f>SUMIFS(PENJUALAN!$E$4:$E$11000,PENJUALAN!$C$4:$C$11000,'Current Stock'!A462)</f>
        <v>1</v>
      </c>
      <c r="I462" s="16">
        <f t="shared" si="2"/>
        <v>0</v>
      </c>
      <c r="J462" s="18"/>
      <c r="K462" s="18"/>
      <c r="L462" s="18"/>
      <c r="M462" s="18"/>
    </row>
    <row r="463" ht="13.5" customHeight="1">
      <c r="A463" s="4" t="str">
        <f t="shared" si="1"/>
        <v>LFW-CX5GEN1RSFY</v>
      </c>
      <c r="B463" s="29" t="s">
        <v>740</v>
      </c>
      <c r="C463" s="28" t="s">
        <v>741</v>
      </c>
      <c r="D463" s="28" t="s">
        <v>22</v>
      </c>
      <c r="E463" s="4" t="s">
        <v>111</v>
      </c>
      <c r="F463" s="28" t="s">
        <v>23</v>
      </c>
      <c r="G463" s="4">
        <f>SUMIFS(X!$F$5:$F$2005,X!$D$5:$D$2005,'Current Stock'!A463)</f>
        <v>0</v>
      </c>
      <c r="H463" s="4">
        <f>SUMIFS(PENJUALAN!$E$4:$E$11000,PENJUALAN!$C$4:$C$11000,'Current Stock'!A463)</f>
        <v>0</v>
      </c>
      <c r="I463" s="16">
        <f t="shared" si="2"/>
        <v>0</v>
      </c>
      <c r="J463" s="4"/>
      <c r="K463" s="4"/>
      <c r="L463" s="5">
        <v>1.0</v>
      </c>
      <c r="M463" s="4"/>
    </row>
    <row r="464" ht="13.5" customHeight="1">
      <c r="A464" s="4" t="str">
        <f t="shared" si="1"/>
        <v>LFW-CX5GEN1RS2XYG</v>
      </c>
      <c r="B464" s="31" t="s">
        <v>742</v>
      </c>
      <c r="C464" s="33" t="s">
        <v>743</v>
      </c>
      <c r="D464" s="33" t="s">
        <v>22</v>
      </c>
      <c r="E464" s="15" t="s">
        <v>16</v>
      </c>
      <c r="F464" s="28" t="s">
        <v>23</v>
      </c>
      <c r="G464" s="4">
        <f>SUMIFS(X!$F$5:$F$2005,X!$D$5:$D$2005,'Current Stock'!A464)</f>
        <v>1</v>
      </c>
      <c r="H464" s="4">
        <f>SUMIFS(PENJUALAN!$E$4:$E$11000,PENJUALAN!$C$4:$C$11000,'Current Stock'!A464)</f>
        <v>1</v>
      </c>
      <c r="I464" s="16">
        <f t="shared" si="2"/>
        <v>0</v>
      </c>
      <c r="J464" s="15" t="s">
        <v>744</v>
      </c>
      <c r="K464" s="4"/>
      <c r="L464" s="4"/>
      <c r="M464" s="4"/>
    </row>
    <row r="465" ht="13.5" customHeight="1">
      <c r="A465" s="20" t="str">
        <f t="shared" si="1"/>
        <v>RDR-AGYA13ASH</v>
      </c>
      <c r="B465" s="24" t="s">
        <v>745</v>
      </c>
      <c r="C465" s="22" t="s">
        <v>85</v>
      </c>
      <c r="D465" s="25" t="str">
        <f>LEFT(A465,FIND("-",A465) - 1)</f>
        <v>RDR</v>
      </c>
      <c r="E465" s="22" t="s">
        <v>82</v>
      </c>
      <c r="F465" s="25"/>
      <c r="G465" s="4">
        <f>SUMIFS(X!$F$5:$F$2005,X!$D$5:$D$2005,'Current Stock'!A465)</f>
        <v>5</v>
      </c>
      <c r="H465" s="4">
        <f>SUMIFS(PENJUALAN!$E$4:$E$11000,PENJUALAN!$C$4:$C$11000,'Current Stock'!A465)</f>
        <v>3</v>
      </c>
      <c r="I465" s="16">
        <f t="shared" si="2"/>
        <v>2</v>
      </c>
      <c r="J465" s="22" t="s">
        <v>86</v>
      </c>
      <c r="K465" s="22"/>
      <c r="L465" s="25"/>
      <c r="M465" s="25"/>
    </row>
    <row r="466" ht="13.5" customHeight="1">
      <c r="A466" s="4" t="str">
        <f t="shared" si="1"/>
        <v>TRW-CX5GEN1FY</v>
      </c>
      <c r="B466" s="29" t="s">
        <v>746</v>
      </c>
      <c r="C466" s="28" t="s">
        <v>747</v>
      </c>
      <c r="D466" s="28" t="s">
        <v>41</v>
      </c>
      <c r="E466" s="4" t="s">
        <v>111</v>
      </c>
      <c r="F466" s="28" t="s">
        <v>221</v>
      </c>
      <c r="G466" s="4">
        <f>SUMIFS(X!$F$5:$F$2005,X!$D$5:$D$2005,'Current Stock'!A466)</f>
        <v>0</v>
      </c>
      <c r="H466" s="4">
        <f>SUMIFS(PENJUALAN!$E$4:$E$11000,PENJUALAN!$C$4:$C$11000,'Current Stock'!A466)</f>
        <v>0</v>
      </c>
      <c r="I466" s="16">
        <f t="shared" si="2"/>
        <v>0</v>
      </c>
      <c r="J466" s="4"/>
      <c r="K466" s="4"/>
      <c r="L466" s="4"/>
      <c r="M466" s="4"/>
    </row>
    <row r="467" ht="13.5" customHeight="1">
      <c r="A467" s="4" t="str">
        <f t="shared" si="1"/>
        <v>FDL-CX5GEN1FY</v>
      </c>
      <c r="B467" s="29" t="s">
        <v>748</v>
      </c>
      <c r="C467" s="28" t="s">
        <v>747</v>
      </c>
      <c r="D467" s="28" t="s">
        <v>128</v>
      </c>
      <c r="E467" s="4" t="s">
        <v>111</v>
      </c>
      <c r="F467" s="28"/>
      <c r="G467" s="4">
        <f>SUMIFS(X!$F$5:$F$2005,X!$D$5:$D$2005,'Current Stock'!A467)</f>
        <v>0</v>
      </c>
      <c r="H467" s="4">
        <f>SUMIFS(PENJUALAN!$E$4:$E$11000,PENJUALAN!$C$4:$C$11000,'Current Stock'!A467)</f>
        <v>0</v>
      </c>
      <c r="I467" s="16">
        <f t="shared" si="2"/>
        <v>0</v>
      </c>
      <c r="J467" s="4"/>
      <c r="K467" s="4"/>
      <c r="L467" s="4"/>
      <c r="M467" s="4"/>
    </row>
    <row r="468" ht="13.5" customHeight="1">
      <c r="A468" s="4" t="str">
        <f t="shared" si="1"/>
        <v>FDR-CX5GEN1FY</v>
      </c>
      <c r="B468" s="29" t="s">
        <v>749</v>
      </c>
      <c r="C468" s="28" t="s">
        <v>747</v>
      </c>
      <c r="D468" s="28" t="s">
        <v>130</v>
      </c>
      <c r="E468" s="4" t="s">
        <v>111</v>
      </c>
      <c r="F468" s="28"/>
      <c r="G468" s="4">
        <f>SUMIFS(X!$F$5:$F$2005,X!$D$5:$D$2005,'Current Stock'!A468)</f>
        <v>0</v>
      </c>
      <c r="H468" s="4">
        <f>SUMIFS(PENJUALAN!$E$4:$E$11000,PENJUALAN!$C$4:$C$11000,'Current Stock'!A468)</f>
        <v>0</v>
      </c>
      <c r="I468" s="16">
        <f t="shared" si="2"/>
        <v>0</v>
      </c>
      <c r="J468" s="4"/>
      <c r="K468" s="4"/>
      <c r="L468" s="4"/>
      <c r="M468" s="4"/>
    </row>
    <row r="469" ht="13.5" customHeight="1">
      <c r="A469" s="4" t="str">
        <f t="shared" si="1"/>
        <v>RDL-CX5GEN1FY</v>
      </c>
      <c r="B469" s="29" t="s">
        <v>750</v>
      </c>
      <c r="C469" s="28" t="s">
        <v>747</v>
      </c>
      <c r="D469" s="28" t="s">
        <v>132</v>
      </c>
      <c r="E469" s="4" t="s">
        <v>111</v>
      </c>
      <c r="F469" s="28"/>
      <c r="G469" s="4">
        <f>SUMIFS(X!$F$5:$F$2005,X!$D$5:$D$2005,'Current Stock'!A469)</f>
        <v>0</v>
      </c>
      <c r="H469" s="4">
        <f>SUMIFS(PENJUALAN!$E$4:$E$11000,PENJUALAN!$C$4:$C$11000,'Current Stock'!A469)</f>
        <v>0</v>
      </c>
      <c r="I469" s="16">
        <f t="shared" si="2"/>
        <v>0</v>
      </c>
      <c r="J469" s="4"/>
      <c r="K469" s="4"/>
      <c r="L469" s="4"/>
      <c r="M469" s="4"/>
    </row>
    <row r="470" ht="13.5" customHeight="1">
      <c r="A470" s="4" t="str">
        <f t="shared" si="1"/>
        <v>RDR-CX5GEN1FY</v>
      </c>
      <c r="B470" s="29" t="s">
        <v>751</v>
      </c>
      <c r="C470" s="28" t="s">
        <v>747</v>
      </c>
      <c r="D470" s="28" t="s">
        <v>134</v>
      </c>
      <c r="E470" s="4" t="s">
        <v>111</v>
      </c>
      <c r="F470" s="28"/>
      <c r="G470" s="4">
        <f>SUMIFS(X!$F$5:$F$2005,X!$D$5:$D$2005,'Current Stock'!A470)</f>
        <v>0</v>
      </c>
      <c r="H470" s="4">
        <f>SUMIFS(PENJUALAN!$E$4:$E$11000,PENJUALAN!$C$4:$C$11000,'Current Stock'!A470)</f>
        <v>0</v>
      </c>
      <c r="I470" s="16">
        <f t="shared" si="2"/>
        <v>0</v>
      </c>
      <c r="J470" s="4"/>
      <c r="K470" s="4"/>
      <c r="L470" s="4"/>
      <c r="M470" s="4"/>
    </row>
    <row r="471" ht="13.5" customHeight="1">
      <c r="A471" s="4" t="str">
        <f t="shared" si="1"/>
        <v>RVL-CX5GEN1FY</v>
      </c>
      <c r="B471" s="29" t="s">
        <v>752</v>
      </c>
      <c r="C471" s="28" t="s">
        <v>747</v>
      </c>
      <c r="D471" s="28" t="s">
        <v>387</v>
      </c>
      <c r="E471" s="4" t="s">
        <v>111</v>
      </c>
      <c r="F471" s="28"/>
      <c r="G471" s="4">
        <f>SUMIFS(X!$F$5:$F$2005,X!$D$5:$D$2005,'Current Stock'!A471)</f>
        <v>0</v>
      </c>
      <c r="H471" s="4">
        <f>SUMIFS(PENJUALAN!$E$4:$E$11000,PENJUALAN!$C$4:$C$11000,'Current Stock'!A471)</f>
        <v>0</v>
      </c>
      <c r="I471" s="16">
        <f t="shared" si="2"/>
        <v>0</v>
      </c>
      <c r="J471" s="4"/>
      <c r="K471" s="4"/>
      <c r="L471" s="4"/>
      <c r="M471" s="4"/>
    </row>
    <row r="472" ht="13.5" customHeight="1">
      <c r="A472" s="4" t="str">
        <f t="shared" si="1"/>
        <v>RVR-CX5GEN1FY</v>
      </c>
      <c r="B472" s="29" t="s">
        <v>753</v>
      </c>
      <c r="C472" s="28" t="s">
        <v>747</v>
      </c>
      <c r="D472" s="28" t="s">
        <v>389</v>
      </c>
      <c r="E472" s="4" t="s">
        <v>111</v>
      </c>
      <c r="F472" s="28"/>
      <c r="G472" s="4">
        <f>SUMIFS(X!$F$5:$F$2005,X!$D$5:$D$2005,'Current Stock'!A472)</f>
        <v>0</v>
      </c>
      <c r="H472" s="4">
        <f>SUMIFS(PENJUALAN!$E$4:$E$11000,PENJUALAN!$C$4:$C$11000,'Current Stock'!A472)</f>
        <v>0</v>
      </c>
      <c r="I472" s="16">
        <f t="shared" si="2"/>
        <v>0</v>
      </c>
      <c r="J472" s="4"/>
      <c r="K472" s="4"/>
      <c r="L472" s="4"/>
      <c r="M472" s="4"/>
    </row>
    <row r="473" ht="13.5" customHeight="1">
      <c r="A473" s="4" t="str">
        <f t="shared" si="1"/>
        <v>LFW-CX7RSFY</v>
      </c>
      <c r="B473" s="29" t="s">
        <v>754</v>
      </c>
      <c r="C473" s="28" t="s">
        <v>755</v>
      </c>
      <c r="D473" s="28" t="s">
        <v>22</v>
      </c>
      <c r="E473" s="4" t="s">
        <v>111</v>
      </c>
      <c r="F473" s="28" t="s">
        <v>75</v>
      </c>
      <c r="G473" s="4">
        <f>SUMIFS(X!$F$5:$F$2005,X!$D$5:$D$2005,'Current Stock'!A473)</f>
        <v>0</v>
      </c>
      <c r="H473" s="4">
        <f>SUMIFS(PENJUALAN!$E$4:$E$11000,PENJUALAN!$C$4:$C$11000,'Current Stock'!A473)</f>
        <v>0</v>
      </c>
      <c r="I473" s="16">
        <f t="shared" si="2"/>
        <v>0</v>
      </c>
      <c r="J473" s="4"/>
      <c r="K473" s="4"/>
      <c r="L473" s="4"/>
      <c r="M473" s="4"/>
    </row>
    <row r="474" ht="13.5" customHeight="1">
      <c r="A474" s="4" t="str">
        <f t="shared" si="1"/>
        <v>LFW-CX7FY</v>
      </c>
      <c r="B474" s="29" t="s">
        <v>756</v>
      </c>
      <c r="C474" s="28" t="s">
        <v>757</v>
      </c>
      <c r="D474" s="28" t="s">
        <v>22</v>
      </c>
      <c r="E474" s="4" t="s">
        <v>111</v>
      </c>
      <c r="F474" s="28" t="s">
        <v>737</v>
      </c>
      <c r="G474" s="4">
        <f>SUMIFS(X!$F$5:$F$2005,X!$D$5:$D$2005,'Current Stock'!A474)</f>
        <v>0</v>
      </c>
      <c r="H474" s="4">
        <f>SUMIFS(PENJUALAN!$E$4:$E$11000,PENJUALAN!$C$4:$C$11000,'Current Stock'!A474)</f>
        <v>0</v>
      </c>
      <c r="I474" s="16">
        <f t="shared" si="2"/>
        <v>0</v>
      </c>
      <c r="J474" s="4"/>
      <c r="K474" s="4"/>
      <c r="L474" s="4"/>
      <c r="M474" s="4"/>
    </row>
    <row r="475" ht="13.5" customHeight="1">
      <c r="A475" s="4" t="str">
        <f t="shared" si="1"/>
        <v>TRW-CX7FY</v>
      </c>
      <c r="B475" s="29" t="s">
        <v>758</v>
      </c>
      <c r="C475" s="28" t="s">
        <v>759</v>
      </c>
      <c r="D475" s="28" t="s">
        <v>41</v>
      </c>
      <c r="E475" s="4" t="s">
        <v>111</v>
      </c>
      <c r="F475" s="28" t="s">
        <v>760</v>
      </c>
      <c r="G475" s="4">
        <f>SUMIFS(X!$F$5:$F$2005,X!$D$5:$D$2005,'Current Stock'!A475)</f>
        <v>0</v>
      </c>
      <c r="H475" s="4">
        <f>SUMIFS(PENJUALAN!$E$4:$E$11000,PENJUALAN!$C$4:$C$11000,'Current Stock'!A475)</f>
        <v>0</v>
      </c>
      <c r="I475" s="16">
        <f t="shared" si="2"/>
        <v>0</v>
      </c>
      <c r="J475" s="4"/>
      <c r="K475" s="4"/>
      <c r="L475" s="4"/>
      <c r="M475" s="4"/>
    </row>
    <row r="476" ht="13.5" customHeight="1">
      <c r="A476" s="4" t="str">
        <f t="shared" si="1"/>
        <v>FDR-CX7FY</v>
      </c>
      <c r="B476" s="29" t="s">
        <v>761</v>
      </c>
      <c r="C476" s="28" t="s">
        <v>759</v>
      </c>
      <c r="D476" s="28" t="s">
        <v>130</v>
      </c>
      <c r="E476" s="4" t="s">
        <v>111</v>
      </c>
      <c r="F476" s="28" t="s">
        <v>141</v>
      </c>
      <c r="G476" s="4">
        <f>SUMIFS(X!$F$5:$F$2005,X!$D$5:$D$2005,'Current Stock'!A476)</f>
        <v>0</v>
      </c>
      <c r="H476" s="4">
        <f>SUMIFS(PENJUALAN!$E$4:$E$11000,PENJUALAN!$C$4:$C$11000,'Current Stock'!A476)</f>
        <v>0</v>
      </c>
      <c r="I476" s="16">
        <f t="shared" si="2"/>
        <v>0</v>
      </c>
      <c r="J476" s="4"/>
      <c r="K476" s="4"/>
      <c r="L476" s="4"/>
      <c r="M476" s="4"/>
    </row>
    <row r="477" ht="13.5" customHeight="1">
      <c r="A477" s="4" t="str">
        <f t="shared" si="1"/>
        <v>RDL-CX7FY</v>
      </c>
      <c r="B477" s="29" t="s">
        <v>762</v>
      </c>
      <c r="C477" s="28" t="s">
        <v>759</v>
      </c>
      <c r="D477" s="28" t="s">
        <v>132</v>
      </c>
      <c r="E477" s="4" t="s">
        <v>111</v>
      </c>
      <c r="F477" s="28" t="s">
        <v>144</v>
      </c>
      <c r="G477" s="4">
        <f>SUMIFS(X!$F$5:$F$2005,X!$D$5:$D$2005,'Current Stock'!A477)</f>
        <v>0</v>
      </c>
      <c r="H477" s="4">
        <f>SUMIFS(PENJUALAN!$E$4:$E$11000,PENJUALAN!$C$4:$C$11000,'Current Stock'!A477)</f>
        <v>0</v>
      </c>
      <c r="I477" s="16">
        <f t="shared" si="2"/>
        <v>0</v>
      </c>
      <c r="J477" s="4"/>
      <c r="K477" s="4"/>
      <c r="L477" s="4"/>
      <c r="M477" s="4"/>
    </row>
    <row r="478" ht="13.5" customHeight="1">
      <c r="A478" s="4" t="str">
        <f t="shared" si="1"/>
        <v>RDR-CX7FY</v>
      </c>
      <c r="B478" s="29" t="s">
        <v>763</v>
      </c>
      <c r="C478" s="28" t="s">
        <v>759</v>
      </c>
      <c r="D478" s="28" t="s">
        <v>134</v>
      </c>
      <c r="E478" s="4" t="s">
        <v>111</v>
      </c>
      <c r="F478" s="28" t="s">
        <v>144</v>
      </c>
      <c r="G478" s="4">
        <f>SUMIFS(X!$F$5:$F$2005,X!$D$5:$D$2005,'Current Stock'!A478)</f>
        <v>0</v>
      </c>
      <c r="H478" s="4">
        <f>SUMIFS(PENJUALAN!$E$4:$E$11000,PENJUALAN!$C$4:$C$11000,'Current Stock'!A478)</f>
        <v>0</v>
      </c>
      <c r="I478" s="16">
        <f t="shared" si="2"/>
        <v>0</v>
      </c>
      <c r="J478" s="4"/>
      <c r="K478" s="4"/>
      <c r="L478" s="4"/>
      <c r="M478" s="4"/>
    </row>
    <row r="479" ht="13.5" customHeight="1">
      <c r="A479" s="4" t="str">
        <f t="shared" si="1"/>
        <v>SWL-CX7FY</v>
      </c>
      <c r="B479" s="29" t="s">
        <v>764</v>
      </c>
      <c r="C479" s="28" t="s">
        <v>759</v>
      </c>
      <c r="D479" s="28" t="s">
        <v>202</v>
      </c>
      <c r="E479" s="4" t="s">
        <v>111</v>
      </c>
      <c r="F479" s="28" t="s">
        <v>97</v>
      </c>
      <c r="G479" s="4">
        <f>SUMIFS(X!$F$5:$F$2005,X!$D$5:$D$2005,'Current Stock'!A479)</f>
        <v>0</v>
      </c>
      <c r="H479" s="4">
        <f>SUMIFS(PENJUALAN!$E$4:$E$11000,PENJUALAN!$C$4:$C$11000,'Current Stock'!A479)</f>
        <v>0</v>
      </c>
      <c r="I479" s="16">
        <f t="shared" si="2"/>
        <v>0</v>
      </c>
      <c r="J479" s="4"/>
      <c r="K479" s="4"/>
      <c r="L479" s="4"/>
      <c r="M479" s="4"/>
    </row>
    <row r="480" ht="13.5" customHeight="1">
      <c r="A480" s="4" t="str">
        <f t="shared" si="1"/>
        <v>SWR-CX7FY</v>
      </c>
      <c r="B480" s="29" t="s">
        <v>765</v>
      </c>
      <c r="C480" s="28" t="s">
        <v>759</v>
      </c>
      <c r="D480" s="28" t="s">
        <v>236</v>
      </c>
      <c r="E480" s="4" t="s">
        <v>111</v>
      </c>
      <c r="F480" s="28" t="s">
        <v>97</v>
      </c>
      <c r="G480" s="4">
        <f>SUMIFS(X!$F$5:$F$2005,X!$D$5:$D$2005,'Current Stock'!A480)</f>
        <v>0</v>
      </c>
      <c r="H480" s="4">
        <f>SUMIFS(PENJUALAN!$E$4:$E$11000,PENJUALAN!$C$4:$C$11000,'Current Stock'!A480)</f>
        <v>0</v>
      </c>
      <c r="I480" s="16">
        <f t="shared" si="2"/>
        <v>0</v>
      </c>
      <c r="J480" s="4"/>
      <c r="K480" s="4"/>
      <c r="L480" s="4"/>
      <c r="M480" s="4"/>
    </row>
    <row r="481" ht="13.5" customHeight="1">
      <c r="A481" s="4" t="str">
        <f t="shared" si="1"/>
        <v>LFW-CX9GEN1FY</v>
      </c>
      <c r="B481" s="29" t="s">
        <v>766</v>
      </c>
      <c r="C481" s="28" t="s">
        <v>767</v>
      </c>
      <c r="D481" s="28" t="s">
        <v>22</v>
      </c>
      <c r="E481" s="4" t="s">
        <v>111</v>
      </c>
      <c r="F481" s="28" t="s">
        <v>189</v>
      </c>
      <c r="G481" s="4">
        <f>SUMIFS(X!$F$5:$F$2005,X!$D$5:$D$2005,'Current Stock'!A481)</f>
        <v>0</v>
      </c>
      <c r="H481" s="4">
        <f>SUMIFS(PENJUALAN!$E$4:$E$11000,PENJUALAN!$C$4:$C$11000,'Current Stock'!A481)</f>
        <v>0</v>
      </c>
      <c r="I481" s="16">
        <f t="shared" si="2"/>
        <v>0</v>
      </c>
      <c r="J481" s="4"/>
      <c r="K481" s="4"/>
      <c r="L481" s="4"/>
      <c r="M481" s="4"/>
    </row>
    <row r="482" ht="13.5" customHeight="1">
      <c r="A482" s="4" t="str">
        <f t="shared" si="1"/>
        <v>TRW-CX9GEN1FY</v>
      </c>
      <c r="B482" s="29" t="s">
        <v>768</v>
      </c>
      <c r="C482" s="28" t="s">
        <v>767</v>
      </c>
      <c r="D482" s="28" t="s">
        <v>41</v>
      </c>
      <c r="E482" s="4" t="s">
        <v>111</v>
      </c>
      <c r="F482" s="28" t="s">
        <v>760</v>
      </c>
      <c r="G482" s="4">
        <f>SUMIFS(X!$F$5:$F$2005,X!$D$5:$D$2005,'Current Stock'!A482)</f>
        <v>0</v>
      </c>
      <c r="H482" s="4">
        <f>SUMIFS(PENJUALAN!$E$4:$E$11000,PENJUALAN!$C$4:$C$11000,'Current Stock'!A482)</f>
        <v>0</v>
      </c>
      <c r="I482" s="16">
        <f t="shared" si="2"/>
        <v>0</v>
      </c>
      <c r="J482" s="4"/>
      <c r="K482" s="4"/>
      <c r="L482" s="4"/>
      <c r="M482" s="4"/>
    </row>
    <row r="483" ht="13.5" customHeight="1">
      <c r="A483" s="4" t="str">
        <f t="shared" si="1"/>
        <v>LFW-MX5FY</v>
      </c>
      <c r="B483" s="29" t="s">
        <v>769</v>
      </c>
      <c r="C483" s="28" t="s">
        <v>770</v>
      </c>
      <c r="D483" s="28" t="s">
        <v>22</v>
      </c>
      <c r="E483" s="4" t="s">
        <v>111</v>
      </c>
      <c r="F483" s="28" t="s">
        <v>125</v>
      </c>
      <c r="G483" s="4">
        <f>SUMIFS(X!$F$5:$F$2005,X!$D$5:$D$2005,'Current Stock'!A483)</f>
        <v>0</v>
      </c>
      <c r="H483" s="4">
        <f>SUMIFS(PENJUALAN!$E$4:$E$11000,PENJUALAN!$C$4:$C$11000,'Current Stock'!A483)</f>
        <v>0</v>
      </c>
      <c r="I483" s="16">
        <f t="shared" si="2"/>
        <v>0</v>
      </c>
      <c r="J483" s="4"/>
      <c r="K483" s="4"/>
      <c r="L483" s="4"/>
      <c r="M483" s="4"/>
    </row>
    <row r="484" ht="13.5" customHeight="1">
      <c r="A484" s="4" t="str">
        <f t="shared" si="1"/>
        <v>LFW-W168FY</v>
      </c>
      <c r="B484" s="29" t="s">
        <v>771</v>
      </c>
      <c r="C484" s="28" t="s">
        <v>772</v>
      </c>
      <c r="D484" s="28" t="s">
        <v>22</v>
      </c>
      <c r="E484" s="4" t="s">
        <v>111</v>
      </c>
      <c r="F484" s="28" t="s">
        <v>125</v>
      </c>
      <c r="G484" s="4">
        <f>SUMIFS(X!$F$5:$F$2005,X!$D$5:$D$2005,'Current Stock'!A484)</f>
        <v>0</v>
      </c>
      <c r="H484" s="4">
        <f>SUMIFS(PENJUALAN!$E$4:$E$11000,PENJUALAN!$C$4:$C$11000,'Current Stock'!A484)</f>
        <v>0</v>
      </c>
      <c r="I484" s="16">
        <f t="shared" si="2"/>
        <v>0</v>
      </c>
      <c r="J484" s="4"/>
      <c r="K484" s="4"/>
      <c r="L484" s="4"/>
      <c r="M484" s="4"/>
    </row>
    <row r="485" ht="13.5" customHeight="1">
      <c r="A485" s="4" t="str">
        <f t="shared" si="1"/>
        <v>TRW-W168FY</v>
      </c>
      <c r="B485" s="29" t="s">
        <v>773</v>
      </c>
      <c r="C485" s="28" t="s">
        <v>772</v>
      </c>
      <c r="D485" s="28" t="s">
        <v>41</v>
      </c>
      <c r="E485" s="4" t="s">
        <v>111</v>
      </c>
      <c r="F485" s="28" t="s">
        <v>67</v>
      </c>
      <c r="G485" s="4">
        <f>SUMIFS(X!$F$5:$F$2005,X!$D$5:$D$2005,'Current Stock'!A485)</f>
        <v>0</v>
      </c>
      <c r="H485" s="4">
        <f>SUMIFS(PENJUALAN!$E$4:$E$11000,PENJUALAN!$C$4:$C$11000,'Current Stock'!A485)</f>
        <v>0</v>
      </c>
      <c r="I485" s="16">
        <f t="shared" si="2"/>
        <v>0</v>
      </c>
      <c r="J485" s="4"/>
      <c r="K485" s="4"/>
      <c r="L485" s="4"/>
      <c r="M485" s="4"/>
    </row>
    <row r="486" ht="13.5" customHeight="1">
      <c r="A486" s="4" t="str">
        <f t="shared" si="1"/>
        <v>LFW-W176FY</v>
      </c>
      <c r="B486" s="29" t="s">
        <v>774</v>
      </c>
      <c r="C486" s="28" t="s">
        <v>775</v>
      </c>
      <c r="D486" s="28" t="s">
        <v>22</v>
      </c>
      <c r="E486" s="4" t="s">
        <v>111</v>
      </c>
      <c r="F486" s="28" t="s">
        <v>23</v>
      </c>
      <c r="G486" s="4">
        <f>SUMIFS(X!$F$5:$F$2005,X!$D$5:$D$2005,'Current Stock'!A486)</f>
        <v>0</v>
      </c>
      <c r="H486" s="4">
        <f>SUMIFS(PENJUALAN!$E$4:$E$11000,PENJUALAN!$C$4:$C$11000,'Current Stock'!A486)</f>
        <v>0</v>
      </c>
      <c r="I486" s="16">
        <f t="shared" si="2"/>
        <v>0</v>
      </c>
      <c r="J486" s="4"/>
      <c r="K486" s="4"/>
      <c r="L486" s="4"/>
      <c r="M486" s="4"/>
    </row>
    <row r="487" ht="13.5" customHeight="1">
      <c r="A487" s="4" t="str">
        <f t="shared" si="1"/>
        <v>LFW-W203RS2FY</v>
      </c>
      <c r="B487" s="29" t="s">
        <v>776</v>
      </c>
      <c r="C487" s="28" t="s">
        <v>777</v>
      </c>
      <c r="D487" s="28" t="s">
        <v>22</v>
      </c>
      <c r="E487" s="4" t="s">
        <v>111</v>
      </c>
      <c r="F487" s="28" t="s">
        <v>112</v>
      </c>
      <c r="G487" s="4">
        <f>SUMIFS(X!$F$5:$F$2005,X!$D$5:$D$2005,'Current Stock'!A487)</f>
        <v>0</v>
      </c>
      <c r="H487" s="4">
        <f>SUMIFS(PENJUALAN!$E$4:$E$11000,PENJUALAN!$C$4:$C$11000,'Current Stock'!A487)</f>
        <v>0</v>
      </c>
      <c r="I487" s="16">
        <f t="shared" si="2"/>
        <v>0</v>
      </c>
      <c r="J487" s="4"/>
      <c r="K487" s="4"/>
      <c r="L487" s="4"/>
      <c r="M487" s="4"/>
    </row>
    <row r="488" ht="13.5" customHeight="1">
      <c r="A488" s="4" t="str">
        <f t="shared" si="1"/>
        <v>TRW-W203FY</v>
      </c>
      <c r="B488" s="29" t="s">
        <v>778</v>
      </c>
      <c r="C488" s="28" t="s">
        <v>779</v>
      </c>
      <c r="D488" s="28" t="s">
        <v>41</v>
      </c>
      <c r="E488" s="4" t="s">
        <v>111</v>
      </c>
      <c r="F488" s="28" t="s">
        <v>114</v>
      </c>
      <c r="G488" s="4">
        <f>SUMIFS(X!$F$5:$F$2005,X!$D$5:$D$2005,'Current Stock'!A488)</f>
        <v>0</v>
      </c>
      <c r="H488" s="4">
        <f>SUMIFS(PENJUALAN!$E$4:$E$11000,PENJUALAN!$C$4:$C$11000,'Current Stock'!A488)</f>
        <v>0</v>
      </c>
      <c r="I488" s="16">
        <f t="shared" si="2"/>
        <v>0</v>
      </c>
      <c r="J488" s="4"/>
      <c r="K488" s="4"/>
      <c r="L488" s="4"/>
      <c r="M488" s="4"/>
    </row>
    <row r="489" ht="13.5" customHeight="1">
      <c r="A489" s="4" t="str">
        <f t="shared" si="1"/>
        <v>LFW-W204RSFY</v>
      </c>
      <c r="B489" s="29" t="s">
        <v>780</v>
      </c>
      <c r="C489" s="28" t="s">
        <v>781</v>
      </c>
      <c r="D489" s="28" t="s">
        <v>22</v>
      </c>
      <c r="E489" s="4" t="s">
        <v>111</v>
      </c>
      <c r="F489" s="28" t="s">
        <v>112</v>
      </c>
      <c r="G489" s="4">
        <f>SUMIFS(X!$F$5:$F$2005,X!$D$5:$D$2005,'Current Stock'!A489)</f>
        <v>0</v>
      </c>
      <c r="H489" s="4">
        <f>SUMIFS(PENJUALAN!$E$4:$E$11000,PENJUALAN!$C$4:$C$11000,'Current Stock'!A489)</f>
        <v>0</v>
      </c>
      <c r="I489" s="16">
        <f t="shared" si="2"/>
        <v>0</v>
      </c>
      <c r="J489" s="15"/>
      <c r="K489" s="15"/>
      <c r="L489" s="4"/>
      <c r="M489" s="4"/>
    </row>
    <row r="490" ht="13.5" customHeight="1">
      <c r="A490" s="4" t="str">
        <f t="shared" si="1"/>
        <v>TRW-W204FY</v>
      </c>
      <c r="B490" s="29" t="s">
        <v>782</v>
      </c>
      <c r="C490" s="28" t="s">
        <v>783</v>
      </c>
      <c r="D490" s="28" t="s">
        <v>41</v>
      </c>
      <c r="E490" s="4" t="s">
        <v>111</v>
      </c>
      <c r="F490" s="28" t="s">
        <v>114</v>
      </c>
      <c r="G490" s="4">
        <f>SUMIFS(X!$F$5:$F$2005,X!$D$5:$D$2005,'Current Stock'!A490)</f>
        <v>0</v>
      </c>
      <c r="H490" s="4">
        <f>SUMIFS(PENJUALAN!$E$4:$E$11000,PENJUALAN!$C$4:$C$11000,'Current Stock'!A490)</f>
        <v>0</v>
      </c>
      <c r="I490" s="16">
        <f t="shared" si="2"/>
        <v>0</v>
      </c>
      <c r="J490" s="4"/>
      <c r="K490" s="4"/>
      <c r="L490" s="4"/>
      <c r="M490" s="4"/>
    </row>
    <row r="491" ht="13.5" customHeight="1">
      <c r="A491" s="4" t="str">
        <f t="shared" si="1"/>
        <v>LFW-W205RSFY</v>
      </c>
      <c r="B491" s="29" t="s">
        <v>784</v>
      </c>
      <c r="C491" s="28" t="s">
        <v>785</v>
      </c>
      <c r="D491" s="28" t="s">
        <v>22</v>
      </c>
      <c r="E491" s="4" t="s">
        <v>111</v>
      </c>
      <c r="F491" s="28" t="s">
        <v>112</v>
      </c>
      <c r="G491" s="4">
        <f>SUMIFS(X!$F$5:$F$2005,X!$D$5:$D$2005,'Current Stock'!A491)</f>
        <v>0</v>
      </c>
      <c r="H491" s="4">
        <f>SUMIFS(PENJUALAN!$E$4:$E$11000,PENJUALAN!$C$4:$C$11000,'Current Stock'!A491)</f>
        <v>0</v>
      </c>
      <c r="I491" s="16">
        <f t="shared" si="2"/>
        <v>0</v>
      </c>
      <c r="J491" s="4"/>
      <c r="K491" s="4"/>
      <c r="L491" s="4"/>
      <c r="M491" s="4"/>
    </row>
    <row r="492" ht="13.5" customHeight="1">
      <c r="A492" s="4" t="str">
        <f t="shared" si="1"/>
        <v>LFW-W205RS2FY</v>
      </c>
      <c r="B492" s="29" t="s">
        <v>786</v>
      </c>
      <c r="C492" s="28" t="s">
        <v>787</v>
      </c>
      <c r="D492" s="28" t="s">
        <v>22</v>
      </c>
      <c r="E492" s="4" t="s">
        <v>111</v>
      </c>
      <c r="F492" s="28" t="s">
        <v>788</v>
      </c>
      <c r="G492" s="4">
        <f>SUMIFS(X!$F$5:$F$2005,X!$D$5:$D$2005,'Current Stock'!A492)</f>
        <v>0</v>
      </c>
      <c r="H492" s="4">
        <f>SUMIFS(PENJUALAN!$E$4:$E$11000,PENJUALAN!$C$4:$C$11000,'Current Stock'!A492)</f>
        <v>0</v>
      </c>
      <c r="I492" s="16">
        <f t="shared" si="2"/>
        <v>0</v>
      </c>
      <c r="J492" s="4"/>
      <c r="K492" s="4"/>
      <c r="L492" s="4"/>
      <c r="M492" s="4"/>
    </row>
    <row r="493" ht="13.5" customHeight="1">
      <c r="A493" s="4" t="str">
        <f t="shared" si="1"/>
        <v>LFW-W205RS3FY</v>
      </c>
      <c r="B493" s="29" t="s">
        <v>789</v>
      </c>
      <c r="C493" s="28" t="s">
        <v>790</v>
      </c>
      <c r="D493" s="28" t="s">
        <v>22</v>
      </c>
      <c r="E493" s="4" t="s">
        <v>111</v>
      </c>
      <c r="F493" s="28" t="s">
        <v>788</v>
      </c>
      <c r="G493" s="4">
        <f>SUMIFS(X!$F$5:$F$2005,X!$D$5:$D$2005,'Current Stock'!A493)</f>
        <v>0</v>
      </c>
      <c r="H493" s="4">
        <f>SUMIFS(PENJUALAN!$E$4:$E$11000,PENJUALAN!$C$4:$C$11000,'Current Stock'!A493)</f>
        <v>0</v>
      </c>
      <c r="I493" s="16">
        <f t="shared" si="2"/>
        <v>0</v>
      </c>
      <c r="J493" s="4"/>
      <c r="K493" s="4"/>
      <c r="L493" s="4"/>
      <c r="M493" s="4"/>
    </row>
    <row r="494" ht="13.5" customHeight="1">
      <c r="A494" s="4" t="str">
        <f t="shared" si="1"/>
        <v>LFW-W117FY</v>
      </c>
      <c r="B494" s="29" t="s">
        <v>791</v>
      </c>
      <c r="C494" s="30" t="s">
        <v>792</v>
      </c>
      <c r="D494" s="28" t="s">
        <v>22</v>
      </c>
      <c r="E494" s="4" t="s">
        <v>111</v>
      </c>
      <c r="F494" s="28" t="s">
        <v>23</v>
      </c>
      <c r="G494" s="4">
        <f>SUMIFS(X!$F$5:$F$2005,X!$D$5:$D$2005,'Current Stock'!A494)</f>
        <v>0</v>
      </c>
      <c r="H494" s="4">
        <f>SUMIFS(PENJUALAN!$E$4:$E$11000,PENJUALAN!$C$4:$C$11000,'Current Stock'!A494)</f>
        <v>0</v>
      </c>
      <c r="I494" s="16">
        <f t="shared" si="2"/>
        <v>0</v>
      </c>
      <c r="J494" s="4"/>
      <c r="K494" s="4"/>
      <c r="L494" s="4"/>
      <c r="M494" s="4"/>
    </row>
    <row r="495" ht="13.5" customHeight="1">
      <c r="A495" s="4" t="str">
        <f t="shared" si="1"/>
        <v>LRW-W124FY</v>
      </c>
      <c r="B495" s="29" t="s">
        <v>793</v>
      </c>
      <c r="C495" s="28" t="s">
        <v>794</v>
      </c>
      <c r="D495" s="28" t="s">
        <v>41</v>
      </c>
      <c r="E495" s="4" t="s">
        <v>111</v>
      </c>
      <c r="F495" s="28" t="s">
        <v>67</v>
      </c>
      <c r="G495" s="4">
        <f>SUMIFS(X!$F$5:$F$2005,X!$D$5:$D$2005,'Current Stock'!A495)</f>
        <v>0</v>
      </c>
      <c r="H495" s="4">
        <f>SUMIFS(PENJUALAN!$E$4:$E$11000,PENJUALAN!$C$4:$C$11000,'Current Stock'!A495)</f>
        <v>0</v>
      </c>
      <c r="I495" s="16">
        <f t="shared" si="2"/>
        <v>0</v>
      </c>
      <c r="J495" s="4"/>
      <c r="K495" s="4"/>
      <c r="L495" s="4"/>
      <c r="M495" s="4"/>
    </row>
    <row r="496" ht="13.5" customHeight="1">
      <c r="A496" s="4" t="str">
        <f t="shared" si="1"/>
        <v>LFW-W210FY</v>
      </c>
      <c r="B496" s="29" t="s">
        <v>795</v>
      </c>
      <c r="C496" s="28" t="s">
        <v>796</v>
      </c>
      <c r="D496" s="28" t="s">
        <v>22</v>
      </c>
      <c r="E496" s="4" t="s">
        <v>111</v>
      </c>
      <c r="F496" s="28" t="s">
        <v>189</v>
      </c>
      <c r="G496" s="4">
        <f>SUMIFS(X!$F$5:$F$2005,X!$D$5:$D$2005,'Current Stock'!A496)</f>
        <v>0</v>
      </c>
      <c r="H496" s="4">
        <f>SUMIFS(PENJUALAN!$E$4:$E$11000,PENJUALAN!$C$4:$C$11000,'Current Stock'!A496)</f>
        <v>0</v>
      </c>
      <c r="I496" s="16">
        <f t="shared" si="2"/>
        <v>0</v>
      </c>
      <c r="J496" s="4"/>
      <c r="K496" s="4"/>
      <c r="L496" s="4"/>
      <c r="M496" s="4"/>
    </row>
    <row r="497" ht="13.5" customHeight="1">
      <c r="A497" s="4" t="str">
        <f t="shared" si="1"/>
        <v>TRW-W210FY</v>
      </c>
      <c r="B497" s="29" t="s">
        <v>797</v>
      </c>
      <c r="C497" s="28" t="s">
        <v>796</v>
      </c>
      <c r="D497" s="28" t="s">
        <v>41</v>
      </c>
      <c r="E497" s="4" t="s">
        <v>111</v>
      </c>
      <c r="F497" s="28" t="s">
        <v>114</v>
      </c>
      <c r="G497" s="4">
        <f>SUMIFS(X!$F$5:$F$2005,X!$D$5:$D$2005,'Current Stock'!A497)</f>
        <v>0</v>
      </c>
      <c r="H497" s="4">
        <f>SUMIFS(PENJUALAN!$E$4:$E$11000,PENJUALAN!$C$4:$C$11000,'Current Stock'!A497)</f>
        <v>0</v>
      </c>
      <c r="I497" s="16">
        <f t="shared" si="2"/>
        <v>0</v>
      </c>
      <c r="J497" s="4"/>
      <c r="K497" s="4"/>
      <c r="L497" s="4"/>
      <c r="M497" s="4"/>
    </row>
    <row r="498" ht="13.5" customHeight="1">
      <c r="A498" s="4" t="str">
        <f t="shared" si="1"/>
        <v>LFW-W211FY</v>
      </c>
      <c r="B498" s="29" t="s">
        <v>798</v>
      </c>
      <c r="C498" s="28" t="s">
        <v>799</v>
      </c>
      <c r="D498" s="28" t="s">
        <v>22</v>
      </c>
      <c r="E498" s="4" t="s">
        <v>111</v>
      </c>
      <c r="F498" s="28" t="s">
        <v>189</v>
      </c>
      <c r="G498" s="4">
        <f>SUMIFS(X!$F$5:$F$2005,X!$D$5:$D$2005,'Current Stock'!A498)</f>
        <v>0</v>
      </c>
      <c r="H498" s="4">
        <f>SUMIFS(PENJUALAN!$E$4:$E$11000,PENJUALAN!$C$4:$C$11000,'Current Stock'!A498)</f>
        <v>0</v>
      </c>
      <c r="I498" s="16">
        <f t="shared" si="2"/>
        <v>0</v>
      </c>
      <c r="J498" s="4"/>
      <c r="K498" s="4"/>
      <c r="L498" s="4"/>
      <c r="M498" s="4"/>
    </row>
    <row r="499" ht="13.5" customHeight="1">
      <c r="A499" s="4" t="str">
        <f t="shared" si="1"/>
        <v>LFW-W212RSFY</v>
      </c>
      <c r="B499" s="29" t="s">
        <v>800</v>
      </c>
      <c r="C499" s="28" t="s">
        <v>801</v>
      </c>
      <c r="D499" s="28" t="s">
        <v>22</v>
      </c>
      <c r="E499" s="4" t="s">
        <v>111</v>
      </c>
      <c r="F499" s="28" t="s">
        <v>112</v>
      </c>
      <c r="G499" s="4">
        <f>SUMIFS(X!$F$5:$F$2005,X!$D$5:$D$2005,'Current Stock'!A499)</f>
        <v>0</v>
      </c>
      <c r="H499" s="4">
        <f>SUMIFS(PENJUALAN!$E$4:$E$11000,PENJUALAN!$C$4:$C$11000,'Current Stock'!A499)</f>
        <v>0</v>
      </c>
      <c r="I499" s="16">
        <f t="shared" si="2"/>
        <v>0</v>
      </c>
      <c r="J499" s="4"/>
      <c r="K499" s="4"/>
      <c r="L499" s="4"/>
      <c r="M499" s="4"/>
    </row>
    <row r="500" ht="13.5" customHeight="1">
      <c r="A500" s="4" t="str">
        <f t="shared" si="1"/>
        <v>LFW-W212RS2FY</v>
      </c>
      <c r="B500" s="29" t="s">
        <v>802</v>
      </c>
      <c r="C500" s="28" t="s">
        <v>803</v>
      </c>
      <c r="D500" s="28" t="s">
        <v>22</v>
      </c>
      <c r="E500" s="4" t="s">
        <v>111</v>
      </c>
      <c r="F500" s="28" t="s">
        <v>804</v>
      </c>
      <c r="G500" s="4">
        <f>SUMIFS(X!$F$5:$F$2005,X!$D$5:$D$2005,'Current Stock'!A500)</f>
        <v>0</v>
      </c>
      <c r="H500" s="4">
        <f>SUMIFS(PENJUALAN!$E$4:$E$11000,PENJUALAN!$C$4:$C$11000,'Current Stock'!A500)</f>
        <v>0</v>
      </c>
      <c r="I500" s="16">
        <f t="shared" si="2"/>
        <v>0</v>
      </c>
      <c r="J500" s="4"/>
      <c r="K500" s="4"/>
      <c r="L500" s="4"/>
      <c r="M500" s="4"/>
    </row>
    <row r="501" ht="13.5" customHeight="1">
      <c r="A501" s="4" t="str">
        <f t="shared" si="1"/>
        <v>TRW-W212FY</v>
      </c>
      <c r="B501" s="29" t="s">
        <v>805</v>
      </c>
      <c r="C501" s="28" t="s">
        <v>806</v>
      </c>
      <c r="D501" s="28" t="s">
        <v>41</v>
      </c>
      <c r="E501" s="4" t="s">
        <v>111</v>
      </c>
      <c r="F501" s="28" t="s">
        <v>114</v>
      </c>
      <c r="G501" s="4">
        <f>SUMIFS(X!$F$5:$F$2005,X!$D$5:$D$2005,'Current Stock'!A501)</f>
        <v>0</v>
      </c>
      <c r="H501" s="4">
        <f>SUMIFS(PENJUALAN!$E$4:$E$11000,PENJUALAN!$C$4:$C$11000,'Current Stock'!A501)</f>
        <v>0</v>
      </c>
      <c r="I501" s="16">
        <f t="shared" si="2"/>
        <v>0</v>
      </c>
      <c r="J501" s="4"/>
      <c r="K501" s="4"/>
      <c r="L501" s="4"/>
      <c r="M501" s="4"/>
    </row>
    <row r="502" ht="13.5" customHeight="1">
      <c r="A502" s="4" t="str">
        <f t="shared" si="1"/>
        <v>LFW-W253FY</v>
      </c>
      <c r="B502" s="29" t="s">
        <v>807</v>
      </c>
      <c r="C502" s="28" t="s">
        <v>808</v>
      </c>
      <c r="D502" s="28" t="s">
        <v>22</v>
      </c>
      <c r="E502" s="4" t="s">
        <v>111</v>
      </c>
      <c r="F502" s="28" t="s">
        <v>112</v>
      </c>
      <c r="G502" s="4">
        <f>SUMIFS(X!$F$5:$F$2005,X!$D$5:$D$2005,'Current Stock'!A502)</f>
        <v>0</v>
      </c>
      <c r="H502" s="4">
        <f>SUMIFS(PENJUALAN!$E$4:$E$11000,PENJUALAN!$C$4:$C$11000,'Current Stock'!A502)</f>
        <v>0</v>
      </c>
      <c r="I502" s="16">
        <f t="shared" si="2"/>
        <v>0</v>
      </c>
      <c r="J502" s="4"/>
      <c r="K502" s="4"/>
      <c r="L502" s="4"/>
      <c r="M502" s="4"/>
    </row>
    <row r="503" ht="13.5" customHeight="1">
      <c r="A503" s="4" t="str">
        <f t="shared" si="1"/>
        <v>TRW-W253FY</v>
      </c>
      <c r="B503" s="29" t="s">
        <v>809</v>
      </c>
      <c r="C503" s="28" t="s">
        <v>808</v>
      </c>
      <c r="D503" s="28" t="s">
        <v>41</v>
      </c>
      <c r="E503" s="4" t="s">
        <v>111</v>
      </c>
      <c r="F503" s="28" t="s">
        <v>221</v>
      </c>
      <c r="G503" s="4">
        <f>SUMIFS(X!$F$5:$F$2005,X!$D$5:$D$2005,'Current Stock'!A503)</f>
        <v>0</v>
      </c>
      <c r="H503" s="4">
        <f>SUMIFS(PENJUALAN!$E$4:$E$11000,PENJUALAN!$C$4:$C$11000,'Current Stock'!A503)</f>
        <v>0</v>
      </c>
      <c r="I503" s="16">
        <f t="shared" si="2"/>
        <v>0</v>
      </c>
      <c r="J503" s="4"/>
      <c r="K503" s="4"/>
      <c r="L503" s="4"/>
      <c r="M503" s="4"/>
    </row>
    <row r="504" ht="13.5" customHeight="1">
      <c r="A504" s="4" t="str">
        <f t="shared" si="1"/>
        <v>LFW-W140FY</v>
      </c>
      <c r="B504" s="29" t="s">
        <v>810</v>
      </c>
      <c r="C504" s="28" t="s">
        <v>811</v>
      </c>
      <c r="D504" s="28" t="s">
        <v>22</v>
      </c>
      <c r="E504" s="4" t="s">
        <v>111</v>
      </c>
      <c r="F504" s="28" t="s">
        <v>97</v>
      </c>
      <c r="G504" s="4">
        <f>SUMIFS(X!$F$5:$F$2005,X!$D$5:$D$2005,'Current Stock'!A504)</f>
        <v>0</v>
      </c>
      <c r="H504" s="4">
        <f>SUMIFS(PENJUALAN!$E$4:$E$11000,PENJUALAN!$C$4:$C$11000,'Current Stock'!A504)</f>
        <v>0</v>
      </c>
      <c r="I504" s="16">
        <f t="shared" si="2"/>
        <v>0</v>
      </c>
      <c r="J504" s="4"/>
      <c r="K504" s="4"/>
      <c r="L504" s="4"/>
      <c r="M504" s="4"/>
    </row>
    <row r="505" ht="13.5" customHeight="1">
      <c r="A505" s="4" t="str">
        <f t="shared" si="1"/>
        <v>LRW-W140FY</v>
      </c>
      <c r="B505" s="29" t="s">
        <v>812</v>
      </c>
      <c r="C505" s="28" t="s">
        <v>811</v>
      </c>
      <c r="D505" s="28" t="s">
        <v>41</v>
      </c>
      <c r="E505" s="4" t="s">
        <v>111</v>
      </c>
      <c r="F505" s="28" t="s">
        <v>67</v>
      </c>
      <c r="G505" s="4">
        <f>SUMIFS(X!$F$5:$F$2005,X!$D$5:$D$2005,'Current Stock'!A505)</f>
        <v>0</v>
      </c>
      <c r="H505" s="4">
        <f>SUMIFS(PENJUALAN!$E$4:$E$11000,PENJUALAN!$C$4:$C$11000,'Current Stock'!A505)</f>
        <v>0</v>
      </c>
      <c r="I505" s="16">
        <f t="shared" si="2"/>
        <v>0</v>
      </c>
      <c r="J505" s="4"/>
      <c r="K505" s="4"/>
      <c r="L505" s="4"/>
      <c r="M505" s="4"/>
    </row>
    <row r="506" ht="13.5" customHeight="1">
      <c r="A506" s="4" t="str">
        <f t="shared" si="1"/>
        <v>TRW-W220FY</v>
      </c>
      <c r="B506" s="29" t="s">
        <v>813</v>
      </c>
      <c r="C506" s="28" t="s">
        <v>814</v>
      </c>
      <c r="D506" s="28" t="s">
        <v>41</v>
      </c>
      <c r="E506" s="4" t="s">
        <v>111</v>
      </c>
      <c r="F506" s="28" t="s">
        <v>114</v>
      </c>
      <c r="G506" s="4">
        <f>SUMIFS(X!$F$5:$F$2005,X!$D$5:$D$2005,'Current Stock'!A506)</f>
        <v>0</v>
      </c>
      <c r="H506" s="4">
        <f>SUMIFS(PENJUALAN!$E$4:$E$11000,PENJUALAN!$C$4:$C$11000,'Current Stock'!A506)</f>
        <v>0</v>
      </c>
      <c r="I506" s="16">
        <f t="shared" si="2"/>
        <v>0</v>
      </c>
      <c r="J506" s="4"/>
      <c r="K506" s="4"/>
      <c r="L506" s="4"/>
      <c r="M506" s="4"/>
    </row>
    <row r="507" ht="13.5" customHeight="1">
      <c r="A507" s="4" t="str">
        <f t="shared" si="1"/>
        <v>LFW-DELICAFY</v>
      </c>
      <c r="B507" s="29" t="s">
        <v>815</v>
      </c>
      <c r="C507" s="28" t="s">
        <v>816</v>
      </c>
      <c r="D507" s="28" t="s">
        <v>22</v>
      </c>
      <c r="E507" s="4" t="s">
        <v>111</v>
      </c>
      <c r="F507" s="28" t="s">
        <v>125</v>
      </c>
      <c r="G507" s="4">
        <f>SUMIFS(X!$F$5:$F$2005,X!$D$5:$D$2005,'Current Stock'!A507)</f>
        <v>0</v>
      </c>
      <c r="H507" s="4">
        <f>SUMIFS(PENJUALAN!$E$4:$E$11000,PENJUALAN!$C$4:$C$11000,'Current Stock'!A507)</f>
        <v>0</v>
      </c>
      <c r="I507" s="16">
        <f t="shared" si="2"/>
        <v>0</v>
      </c>
      <c r="J507" s="4"/>
      <c r="K507" s="4"/>
      <c r="L507" s="4"/>
      <c r="M507" s="4"/>
    </row>
    <row r="508" ht="13.5" customHeight="1">
      <c r="A508" s="4" t="str">
        <f t="shared" si="1"/>
        <v>TRW-ETERNAFY</v>
      </c>
      <c r="B508" s="29" t="s">
        <v>817</v>
      </c>
      <c r="C508" s="28" t="s">
        <v>818</v>
      </c>
      <c r="D508" s="28" t="s">
        <v>41</v>
      </c>
      <c r="E508" s="4" t="s">
        <v>111</v>
      </c>
      <c r="F508" s="28" t="s">
        <v>67</v>
      </c>
      <c r="G508" s="4">
        <f>SUMIFS(X!$F$5:$F$2005,X!$D$5:$D$2005,'Current Stock'!A508)</f>
        <v>0</v>
      </c>
      <c r="H508" s="4">
        <f>SUMIFS(PENJUALAN!$E$4:$E$11000,PENJUALAN!$C$4:$C$11000,'Current Stock'!A508)</f>
        <v>0</v>
      </c>
      <c r="I508" s="16">
        <f t="shared" si="2"/>
        <v>0</v>
      </c>
      <c r="J508" s="4"/>
      <c r="K508" s="4"/>
      <c r="L508" s="4"/>
      <c r="M508" s="4"/>
    </row>
    <row r="509" ht="13.5" customHeight="1">
      <c r="A509" s="4" t="str">
        <f t="shared" si="1"/>
        <v>FDL-ETERNAFY</v>
      </c>
      <c r="B509" s="29" t="s">
        <v>819</v>
      </c>
      <c r="C509" s="28" t="s">
        <v>818</v>
      </c>
      <c r="D509" s="28" t="s">
        <v>128</v>
      </c>
      <c r="E509" s="4" t="s">
        <v>111</v>
      </c>
      <c r="F509" s="28" t="s">
        <v>141</v>
      </c>
      <c r="G509" s="4">
        <f>SUMIFS(X!$F$5:$F$2005,X!$D$5:$D$2005,'Current Stock'!A509)</f>
        <v>0</v>
      </c>
      <c r="H509" s="4">
        <f>SUMIFS(PENJUALAN!$E$4:$E$11000,PENJUALAN!$C$4:$C$11000,'Current Stock'!A509)</f>
        <v>0</v>
      </c>
      <c r="I509" s="16">
        <f t="shared" si="2"/>
        <v>0</v>
      </c>
      <c r="J509" s="4"/>
      <c r="K509" s="4"/>
      <c r="L509" s="4"/>
      <c r="M509" s="4"/>
    </row>
    <row r="510" ht="13.5" customHeight="1">
      <c r="A510" s="4" t="str">
        <f t="shared" si="1"/>
        <v>FDR-ETERNAFY</v>
      </c>
      <c r="B510" s="29" t="s">
        <v>820</v>
      </c>
      <c r="C510" s="28" t="s">
        <v>818</v>
      </c>
      <c r="D510" s="28" t="s">
        <v>130</v>
      </c>
      <c r="E510" s="4" t="s">
        <v>111</v>
      </c>
      <c r="F510" s="28" t="s">
        <v>141</v>
      </c>
      <c r="G510" s="4">
        <f>SUMIFS(X!$F$5:$F$2005,X!$D$5:$D$2005,'Current Stock'!A510)</f>
        <v>0</v>
      </c>
      <c r="H510" s="4">
        <f>SUMIFS(PENJUALAN!$E$4:$E$11000,PENJUALAN!$C$4:$C$11000,'Current Stock'!A510)</f>
        <v>0</v>
      </c>
      <c r="I510" s="16">
        <f t="shared" si="2"/>
        <v>0</v>
      </c>
      <c r="J510" s="4"/>
      <c r="K510" s="4"/>
      <c r="L510" s="4"/>
      <c r="M510" s="4"/>
    </row>
    <row r="511" ht="13.5" customHeight="1">
      <c r="A511" s="4" t="str">
        <f t="shared" si="1"/>
        <v>TRW-LELEFY</v>
      </c>
      <c r="B511" s="29" t="s">
        <v>821</v>
      </c>
      <c r="C511" s="28" t="s">
        <v>822</v>
      </c>
      <c r="D511" s="28" t="s">
        <v>41</v>
      </c>
      <c r="E511" s="4" t="s">
        <v>111</v>
      </c>
      <c r="F511" s="28" t="s">
        <v>67</v>
      </c>
      <c r="G511" s="4">
        <f>SUMIFS(X!$F$5:$F$2005,X!$D$5:$D$2005,'Current Stock'!A511)</f>
        <v>0</v>
      </c>
      <c r="H511" s="4">
        <f>SUMIFS(PENJUALAN!$E$4:$E$11000,PENJUALAN!$C$4:$C$11000,'Current Stock'!A511)</f>
        <v>0</v>
      </c>
      <c r="I511" s="16">
        <f t="shared" si="2"/>
        <v>0</v>
      </c>
      <c r="J511" s="4"/>
      <c r="K511" s="4"/>
      <c r="L511" s="4"/>
      <c r="M511" s="4"/>
    </row>
    <row r="512" ht="13.5" customHeight="1">
      <c r="A512" s="4" t="str">
        <f t="shared" si="1"/>
        <v>FDL-LELEFY</v>
      </c>
      <c r="B512" s="29" t="s">
        <v>823</v>
      </c>
      <c r="C512" s="28" t="s">
        <v>822</v>
      </c>
      <c r="D512" s="28" t="s">
        <v>128</v>
      </c>
      <c r="E512" s="4" t="s">
        <v>111</v>
      </c>
      <c r="F512" s="28" t="s">
        <v>141</v>
      </c>
      <c r="G512" s="4">
        <f>SUMIFS(X!$F$5:$F$2005,X!$D$5:$D$2005,'Current Stock'!A512)</f>
        <v>0</v>
      </c>
      <c r="H512" s="4">
        <f>SUMIFS(PENJUALAN!$E$4:$E$11000,PENJUALAN!$C$4:$C$11000,'Current Stock'!A512)</f>
        <v>0</v>
      </c>
      <c r="I512" s="16">
        <f t="shared" si="2"/>
        <v>0</v>
      </c>
      <c r="J512" s="4"/>
      <c r="K512" s="4"/>
      <c r="L512" s="4"/>
      <c r="M512" s="4"/>
    </row>
    <row r="513" ht="13.5" customHeight="1">
      <c r="A513" s="4" t="str">
        <f t="shared" si="1"/>
        <v>FDR-LELEFY</v>
      </c>
      <c r="B513" s="29" t="s">
        <v>824</v>
      </c>
      <c r="C513" s="28" t="s">
        <v>822</v>
      </c>
      <c r="D513" s="28" t="s">
        <v>130</v>
      </c>
      <c r="E513" s="4" t="s">
        <v>111</v>
      </c>
      <c r="F513" s="28" t="s">
        <v>141</v>
      </c>
      <c r="G513" s="4">
        <f>SUMIFS(X!$F$5:$F$2005,X!$D$5:$D$2005,'Current Stock'!A513)</f>
        <v>0</v>
      </c>
      <c r="H513" s="4">
        <f>SUMIFS(PENJUALAN!$E$4:$E$11000,PENJUALAN!$C$4:$C$11000,'Current Stock'!A513)</f>
        <v>0</v>
      </c>
      <c r="I513" s="16">
        <f t="shared" si="2"/>
        <v>0</v>
      </c>
      <c r="J513" s="4"/>
      <c r="K513" s="4"/>
      <c r="L513" s="4"/>
      <c r="M513" s="4"/>
    </row>
    <row r="514" ht="13.5" customHeight="1">
      <c r="A514" s="4" t="str">
        <f t="shared" si="1"/>
        <v>RDL-LELEFY</v>
      </c>
      <c r="B514" s="29" t="s">
        <v>825</v>
      </c>
      <c r="C514" s="28" t="s">
        <v>822</v>
      </c>
      <c r="D514" s="28" t="s">
        <v>132</v>
      </c>
      <c r="E514" s="4" t="s">
        <v>111</v>
      </c>
      <c r="F514" s="28" t="s">
        <v>141</v>
      </c>
      <c r="G514" s="4">
        <f>SUMIFS(X!$F$5:$F$2005,X!$D$5:$D$2005,'Current Stock'!A514)</f>
        <v>0</v>
      </c>
      <c r="H514" s="4">
        <f>SUMIFS(PENJUALAN!$E$4:$E$11000,PENJUALAN!$C$4:$C$11000,'Current Stock'!A514)</f>
        <v>0</v>
      </c>
      <c r="I514" s="16">
        <f t="shared" si="2"/>
        <v>0</v>
      </c>
      <c r="J514" s="4"/>
      <c r="K514" s="4"/>
      <c r="L514" s="4"/>
      <c r="M514" s="4"/>
    </row>
    <row r="515" ht="13.5" customHeight="1">
      <c r="A515" s="4" t="str">
        <f t="shared" si="1"/>
        <v>RDR-LELEFY</v>
      </c>
      <c r="B515" s="29" t="s">
        <v>826</v>
      </c>
      <c r="C515" s="28" t="s">
        <v>822</v>
      </c>
      <c r="D515" s="28" t="s">
        <v>134</v>
      </c>
      <c r="E515" s="4" t="s">
        <v>111</v>
      </c>
      <c r="F515" s="28" t="s">
        <v>141</v>
      </c>
      <c r="G515" s="4">
        <f>SUMIFS(X!$F$5:$F$2005,X!$D$5:$D$2005,'Current Stock'!A515)</f>
        <v>0</v>
      </c>
      <c r="H515" s="4">
        <f>SUMIFS(PENJUALAN!$E$4:$E$11000,PENJUALAN!$C$4:$C$11000,'Current Stock'!A515)</f>
        <v>0</v>
      </c>
      <c r="I515" s="16">
        <f t="shared" si="2"/>
        <v>0</v>
      </c>
      <c r="J515" s="4"/>
      <c r="K515" s="4"/>
      <c r="L515" s="4"/>
      <c r="M515" s="4"/>
    </row>
    <row r="516" ht="13.5" customHeight="1">
      <c r="A516" s="4" t="str">
        <f t="shared" si="1"/>
        <v>LFW-HIUFY</v>
      </c>
      <c r="B516" s="29" t="s">
        <v>827</v>
      </c>
      <c r="C516" s="28" t="s">
        <v>828</v>
      </c>
      <c r="D516" s="28" t="s">
        <v>22</v>
      </c>
      <c r="E516" s="4" t="s">
        <v>111</v>
      </c>
      <c r="F516" s="28" t="s">
        <v>125</v>
      </c>
      <c r="G516" s="4">
        <f>SUMIFS(X!$F$5:$F$2005,X!$D$5:$D$2005,'Current Stock'!A516)</f>
        <v>0</v>
      </c>
      <c r="H516" s="4">
        <f>SUMIFS(PENJUALAN!$E$4:$E$11000,PENJUALAN!$C$4:$C$11000,'Current Stock'!A516)</f>
        <v>0</v>
      </c>
      <c r="I516" s="16">
        <f t="shared" si="2"/>
        <v>0</v>
      </c>
      <c r="J516" s="4"/>
      <c r="K516" s="4"/>
      <c r="L516" s="4"/>
      <c r="M516" s="4"/>
    </row>
    <row r="517" ht="13.5" customHeight="1">
      <c r="A517" s="20" t="str">
        <f t="shared" si="1"/>
        <v>SWR-PAJERO16AGC</v>
      </c>
      <c r="B517" s="22" t="s">
        <v>829</v>
      </c>
      <c r="C517" s="22" t="s">
        <v>830</v>
      </c>
      <c r="D517" s="22" t="s">
        <v>104</v>
      </c>
      <c r="E517" s="22" t="s">
        <v>78</v>
      </c>
      <c r="F517" s="22" t="s">
        <v>831</v>
      </c>
      <c r="G517" s="4">
        <f>SUMIFS(X!$F$5:$F$2005,X!$D$5:$D$2005,'Current Stock'!A517)</f>
        <v>1</v>
      </c>
      <c r="H517" s="4">
        <f>SUMIFS(PENJUALAN!$E$4:$E$11000,PENJUALAN!$C$4:$C$11000,'Current Stock'!A517)</f>
        <v>1</v>
      </c>
      <c r="I517" s="16">
        <f t="shared" si="2"/>
        <v>0</v>
      </c>
      <c r="J517" s="22" t="s">
        <v>832</v>
      </c>
      <c r="K517" s="22"/>
      <c r="L517" s="25"/>
      <c r="M517" s="25"/>
    </row>
    <row r="518" ht="13.5" customHeight="1">
      <c r="A518" s="4" t="str">
        <f t="shared" si="1"/>
        <v>FDL-HIUFY</v>
      </c>
      <c r="B518" s="29" t="s">
        <v>833</v>
      </c>
      <c r="C518" s="28" t="s">
        <v>828</v>
      </c>
      <c r="D518" s="28" t="s">
        <v>128</v>
      </c>
      <c r="E518" s="4" t="s">
        <v>111</v>
      </c>
      <c r="F518" s="28" t="s">
        <v>141</v>
      </c>
      <c r="G518" s="4">
        <f>SUMIFS(X!$F$5:$F$2005,X!$D$5:$D$2005,'Current Stock'!A518)</f>
        <v>0</v>
      </c>
      <c r="H518" s="4">
        <f>SUMIFS(PENJUALAN!$E$4:$E$11000,PENJUALAN!$C$4:$C$11000,'Current Stock'!A518)</f>
        <v>0</v>
      </c>
      <c r="I518" s="16">
        <f t="shared" si="2"/>
        <v>0</v>
      </c>
      <c r="J518" s="4"/>
      <c r="K518" s="4"/>
      <c r="L518" s="4"/>
      <c r="M518" s="4"/>
    </row>
    <row r="519" ht="13.5" customHeight="1">
      <c r="A519" s="4" t="str">
        <f t="shared" si="1"/>
        <v>FDR-HIUFY</v>
      </c>
      <c r="B519" s="29" t="s">
        <v>834</v>
      </c>
      <c r="C519" s="28" t="s">
        <v>828</v>
      </c>
      <c r="D519" s="28" t="s">
        <v>130</v>
      </c>
      <c r="E519" s="4" t="s">
        <v>111</v>
      </c>
      <c r="F519" s="28" t="s">
        <v>141</v>
      </c>
      <c r="G519" s="4">
        <f>SUMIFS(X!$F$5:$F$2005,X!$D$5:$D$2005,'Current Stock'!A519)</f>
        <v>0</v>
      </c>
      <c r="H519" s="4">
        <f>SUMIFS(PENJUALAN!$E$4:$E$11000,PENJUALAN!$C$4:$C$11000,'Current Stock'!A519)</f>
        <v>0</v>
      </c>
      <c r="I519" s="16">
        <f t="shared" si="2"/>
        <v>0</v>
      </c>
      <c r="J519" s="4"/>
      <c r="K519" s="4"/>
      <c r="L519" s="4"/>
      <c r="M519" s="4"/>
    </row>
    <row r="520" ht="13.5" customHeight="1">
      <c r="A520" s="4" t="str">
        <f t="shared" si="1"/>
        <v>RDL-HIUFY</v>
      </c>
      <c r="B520" s="29" t="s">
        <v>835</v>
      </c>
      <c r="C520" s="28" t="s">
        <v>828</v>
      </c>
      <c r="D520" s="28" t="s">
        <v>132</v>
      </c>
      <c r="E520" s="4" t="s">
        <v>111</v>
      </c>
      <c r="F520" s="28" t="s">
        <v>141</v>
      </c>
      <c r="G520" s="4">
        <f>SUMIFS(X!$F$5:$F$2005,X!$D$5:$D$2005,'Current Stock'!A520)</f>
        <v>0</v>
      </c>
      <c r="H520" s="4">
        <f>SUMIFS(PENJUALAN!$E$4:$E$11000,PENJUALAN!$C$4:$C$11000,'Current Stock'!A520)</f>
        <v>0</v>
      </c>
      <c r="I520" s="16">
        <f t="shared" si="2"/>
        <v>0</v>
      </c>
      <c r="J520" s="4"/>
      <c r="K520" s="4"/>
      <c r="L520" s="4"/>
      <c r="M520" s="4"/>
    </row>
    <row r="521" ht="13.5" customHeight="1">
      <c r="A521" s="4" t="str">
        <f t="shared" si="1"/>
        <v>RDR-HIUFY</v>
      </c>
      <c r="B521" s="29" t="s">
        <v>836</v>
      </c>
      <c r="C521" s="28" t="s">
        <v>828</v>
      </c>
      <c r="D521" s="28" t="s">
        <v>134</v>
      </c>
      <c r="E521" s="4" t="s">
        <v>111</v>
      </c>
      <c r="F521" s="28" t="s">
        <v>141</v>
      </c>
      <c r="G521" s="4">
        <f>SUMIFS(X!$F$5:$F$2005,X!$D$5:$D$2005,'Current Stock'!A521)</f>
        <v>0</v>
      </c>
      <c r="H521" s="4">
        <f>SUMIFS(PENJUALAN!$E$4:$E$11000,PENJUALAN!$C$4:$C$11000,'Current Stock'!A521)</f>
        <v>0</v>
      </c>
      <c r="I521" s="16">
        <f t="shared" si="2"/>
        <v>0</v>
      </c>
      <c r="J521" s="4"/>
      <c r="K521" s="4"/>
      <c r="L521" s="4"/>
      <c r="M521" s="4"/>
    </row>
    <row r="522" ht="13.5" customHeight="1">
      <c r="A522" s="4" t="str">
        <f t="shared" si="1"/>
        <v>LFW-GRANDISFY</v>
      </c>
      <c r="B522" s="29" t="s">
        <v>837</v>
      </c>
      <c r="C522" s="28" t="s">
        <v>838</v>
      </c>
      <c r="D522" s="28" t="s">
        <v>22</v>
      </c>
      <c r="E522" s="4" t="s">
        <v>111</v>
      </c>
      <c r="F522" s="28" t="s">
        <v>125</v>
      </c>
      <c r="G522" s="4">
        <f>SUMIFS(X!$F$5:$F$2005,X!$D$5:$D$2005,'Current Stock'!A522)</f>
        <v>0</v>
      </c>
      <c r="H522" s="4">
        <f>SUMIFS(PENJUALAN!$E$4:$E$11000,PENJUALAN!$C$4:$C$11000,'Current Stock'!A522)</f>
        <v>0</v>
      </c>
      <c r="I522" s="16">
        <f t="shared" si="2"/>
        <v>0</v>
      </c>
      <c r="J522" s="4"/>
      <c r="K522" s="4"/>
      <c r="L522" s="4"/>
      <c r="M522" s="4"/>
    </row>
    <row r="523" ht="13.5" customHeight="1">
      <c r="A523" s="4" t="str">
        <f t="shared" si="1"/>
        <v>TRW-GRANDISFY</v>
      </c>
      <c r="B523" s="29" t="s">
        <v>839</v>
      </c>
      <c r="C523" s="28" t="s">
        <v>838</v>
      </c>
      <c r="D523" s="28" t="s">
        <v>41</v>
      </c>
      <c r="E523" s="4" t="s">
        <v>111</v>
      </c>
      <c r="F523" s="28" t="s">
        <v>221</v>
      </c>
      <c r="G523" s="4">
        <f>SUMIFS(X!$F$5:$F$2005,X!$D$5:$D$2005,'Current Stock'!A523)</f>
        <v>0</v>
      </c>
      <c r="H523" s="4">
        <f>SUMIFS(PENJUALAN!$E$4:$E$11000,PENJUALAN!$C$4:$C$11000,'Current Stock'!A523)</f>
        <v>0</v>
      </c>
      <c r="I523" s="16">
        <f t="shared" si="2"/>
        <v>0</v>
      </c>
      <c r="J523" s="4"/>
      <c r="K523" s="4"/>
      <c r="L523" s="4"/>
      <c r="M523" s="4"/>
    </row>
    <row r="524" ht="13.5" customHeight="1">
      <c r="A524" s="4" t="str">
        <f t="shared" si="1"/>
        <v>FDL-GRANDISFY</v>
      </c>
      <c r="B524" s="29" t="s">
        <v>840</v>
      </c>
      <c r="C524" s="28" t="s">
        <v>838</v>
      </c>
      <c r="D524" s="28" t="s">
        <v>128</v>
      </c>
      <c r="E524" s="4" t="s">
        <v>111</v>
      </c>
      <c r="F524" s="28" t="s">
        <v>141</v>
      </c>
      <c r="G524" s="4">
        <f>SUMIFS(X!$F$5:$F$2005,X!$D$5:$D$2005,'Current Stock'!A524)</f>
        <v>0</v>
      </c>
      <c r="H524" s="4">
        <f>SUMIFS(PENJUALAN!$E$4:$E$11000,PENJUALAN!$C$4:$C$11000,'Current Stock'!A524)</f>
        <v>0</v>
      </c>
      <c r="I524" s="16">
        <f t="shared" si="2"/>
        <v>0</v>
      </c>
      <c r="J524" s="4"/>
      <c r="K524" s="4"/>
      <c r="L524" s="4"/>
      <c r="M524" s="4"/>
    </row>
    <row r="525" ht="13.5" customHeight="1">
      <c r="A525" s="4" t="str">
        <f t="shared" si="1"/>
        <v>FDR-GRANDISFY</v>
      </c>
      <c r="B525" s="29" t="s">
        <v>841</v>
      </c>
      <c r="C525" s="28" t="s">
        <v>838</v>
      </c>
      <c r="D525" s="28" t="s">
        <v>130</v>
      </c>
      <c r="E525" s="4" t="s">
        <v>111</v>
      </c>
      <c r="F525" s="28" t="s">
        <v>141</v>
      </c>
      <c r="G525" s="4">
        <f>SUMIFS(X!$F$5:$F$2005,X!$D$5:$D$2005,'Current Stock'!A525)</f>
        <v>0</v>
      </c>
      <c r="H525" s="4">
        <f>SUMIFS(PENJUALAN!$E$4:$E$11000,PENJUALAN!$C$4:$C$11000,'Current Stock'!A525)</f>
        <v>0</v>
      </c>
      <c r="I525" s="16">
        <f t="shared" si="2"/>
        <v>0</v>
      </c>
      <c r="J525" s="4"/>
      <c r="K525" s="4"/>
      <c r="L525" s="4"/>
      <c r="M525" s="4"/>
    </row>
    <row r="526" ht="13.5" customHeight="1">
      <c r="A526" s="4" t="str">
        <f t="shared" si="1"/>
        <v>RDL-GRANDISFY</v>
      </c>
      <c r="B526" s="29" t="s">
        <v>842</v>
      </c>
      <c r="C526" s="28" t="s">
        <v>838</v>
      </c>
      <c r="D526" s="28" t="s">
        <v>132</v>
      </c>
      <c r="E526" s="4" t="s">
        <v>111</v>
      </c>
      <c r="F526" s="28" t="s">
        <v>141</v>
      </c>
      <c r="G526" s="4">
        <f>SUMIFS(X!$F$5:$F$2005,X!$D$5:$D$2005,'Current Stock'!A526)</f>
        <v>0</v>
      </c>
      <c r="H526" s="4">
        <f>SUMIFS(PENJUALAN!$E$4:$E$11000,PENJUALAN!$C$4:$C$11000,'Current Stock'!A526)</f>
        <v>0</v>
      </c>
      <c r="I526" s="16">
        <f t="shared" si="2"/>
        <v>0</v>
      </c>
      <c r="J526" s="4"/>
      <c r="K526" s="4"/>
      <c r="L526" s="4"/>
      <c r="M526" s="4"/>
    </row>
    <row r="527" ht="13.5" customHeight="1">
      <c r="A527" s="4" t="str">
        <f t="shared" si="1"/>
        <v>RDR-GRANDISFY</v>
      </c>
      <c r="B527" s="29" t="s">
        <v>843</v>
      </c>
      <c r="C527" s="28" t="s">
        <v>838</v>
      </c>
      <c r="D527" s="28" t="s">
        <v>134</v>
      </c>
      <c r="E527" s="4" t="s">
        <v>111</v>
      </c>
      <c r="F527" s="28" t="s">
        <v>141</v>
      </c>
      <c r="G527" s="4">
        <f>SUMIFS(X!$F$5:$F$2005,X!$D$5:$D$2005,'Current Stock'!A527)</f>
        <v>0</v>
      </c>
      <c r="H527" s="4">
        <f>SUMIFS(PENJUALAN!$E$4:$E$11000,PENJUALAN!$C$4:$C$11000,'Current Stock'!A527)</f>
        <v>0</v>
      </c>
      <c r="I527" s="16">
        <f t="shared" si="2"/>
        <v>0</v>
      </c>
      <c r="J527" s="4"/>
      <c r="K527" s="4"/>
      <c r="L527" s="4"/>
      <c r="M527" s="4"/>
    </row>
    <row r="528" ht="13.5" customHeight="1">
      <c r="A528" s="4" t="str">
        <f t="shared" si="1"/>
        <v>SWL-GRANDISFY</v>
      </c>
      <c r="B528" s="29" t="s">
        <v>844</v>
      </c>
      <c r="C528" s="28" t="s">
        <v>838</v>
      </c>
      <c r="D528" s="28" t="s">
        <v>202</v>
      </c>
      <c r="E528" s="4" t="s">
        <v>111</v>
      </c>
      <c r="F528" s="28" t="s">
        <v>234</v>
      </c>
      <c r="G528" s="4">
        <f>SUMIFS(X!$F$5:$F$2005,X!$D$5:$D$2005,'Current Stock'!A528)</f>
        <v>0</v>
      </c>
      <c r="H528" s="4">
        <f>SUMIFS(PENJUALAN!$E$4:$E$11000,PENJUALAN!$C$4:$C$11000,'Current Stock'!A528)</f>
        <v>0</v>
      </c>
      <c r="I528" s="16">
        <f t="shared" si="2"/>
        <v>0</v>
      </c>
      <c r="J528" s="4"/>
      <c r="K528" s="4"/>
      <c r="L528" s="4"/>
      <c r="M528" s="4"/>
    </row>
    <row r="529" ht="13.5" customHeight="1">
      <c r="A529" s="4" t="str">
        <f t="shared" si="1"/>
        <v>SWR-GRANDISFY</v>
      </c>
      <c r="B529" s="29" t="s">
        <v>845</v>
      </c>
      <c r="C529" s="28" t="s">
        <v>838</v>
      </c>
      <c r="D529" s="28" t="s">
        <v>236</v>
      </c>
      <c r="E529" s="4" t="s">
        <v>111</v>
      </c>
      <c r="F529" s="28" t="s">
        <v>97</v>
      </c>
      <c r="G529" s="4">
        <f>SUMIFS(X!$F$5:$F$2005,X!$D$5:$D$2005,'Current Stock'!A529)</f>
        <v>0</v>
      </c>
      <c r="H529" s="4">
        <f>SUMIFS(PENJUALAN!$E$4:$E$11000,PENJUALAN!$C$4:$C$11000,'Current Stock'!A529)</f>
        <v>0</v>
      </c>
      <c r="I529" s="16">
        <f t="shared" si="2"/>
        <v>0</v>
      </c>
      <c r="J529" s="4"/>
      <c r="K529" s="4"/>
      <c r="L529" s="4"/>
      <c r="M529" s="4"/>
    </row>
    <row r="530" ht="13.5" customHeight="1">
      <c r="A530" s="4" t="str">
        <f t="shared" si="1"/>
        <v>LFW-EVO3FY</v>
      </c>
      <c r="B530" s="29" t="s">
        <v>846</v>
      </c>
      <c r="C530" s="28" t="s">
        <v>847</v>
      </c>
      <c r="D530" s="28" t="s">
        <v>22</v>
      </c>
      <c r="E530" s="4" t="s">
        <v>111</v>
      </c>
      <c r="F530" s="28" t="s">
        <v>97</v>
      </c>
      <c r="G530" s="4">
        <f>SUMIFS(X!$F$5:$F$2005,X!$D$5:$D$2005,'Current Stock'!A530)</f>
        <v>0</v>
      </c>
      <c r="H530" s="4">
        <f>SUMIFS(PENJUALAN!$E$4:$E$11000,PENJUALAN!$C$4:$C$11000,'Current Stock'!A530)</f>
        <v>0</v>
      </c>
      <c r="I530" s="16">
        <f t="shared" si="2"/>
        <v>0</v>
      </c>
      <c r="J530" s="4"/>
      <c r="K530" s="4"/>
      <c r="L530" s="4"/>
      <c r="M530" s="4"/>
    </row>
    <row r="531" ht="13.5" customHeight="1">
      <c r="A531" s="4" t="str">
        <f t="shared" si="1"/>
        <v>TRW-EVO3FY</v>
      </c>
      <c r="B531" s="29" t="s">
        <v>848</v>
      </c>
      <c r="C531" s="28" t="s">
        <v>847</v>
      </c>
      <c r="D531" s="28" t="s">
        <v>41</v>
      </c>
      <c r="E531" s="4" t="s">
        <v>111</v>
      </c>
      <c r="F531" s="28" t="s">
        <v>67</v>
      </c>
      <c r="G531" s="4">
        <f>SUMIFS(X!$F$5:$F$2005,X!$D$5:$D$2005,'Current Stock'!A531)</f>
        <v>0</v>
      </c>
      <c r="H531" s="4">
        <f>SUMIFS(PENJUALAN!$E$4:$E$11000,PENJUALAN!$C$4:$C$11000,'Current Stock'!A531)</f>
        <v>0</v>
      </c>
      <c r="I531" s="16">
        <f t="shared" si="2"/>
        <v>0</v>
      </c>
      <c r="J531" s="4"/>
      <c r="K531" s="4"/>
      <c r="L531" s="4"/>
      <c r="M531" s="4"/>
    </row>
    <row r="532" ht="13.5" customHeight="1">
      <c r="A532" s="4" t="str">
        <f t="shared" si="1"/>
        <v>FDL-EVO3FY</v>
      </c>
      <c r="B532" s="29" t="s">
        <v>849</v>
      </c>
      <c r="C532" s="28" t="s">
        <v>847</v>
      </c>
      <c r="D532" s="28" t="s">
        <v>128</v>
      </c>
      <c r="E532" s="4" t="s">
        <v>111</v>
      </c>
      <c r="F532" s="28" t="s">
        <v>141</v>
      </c>
      <c r="G532" s="4">
        <f>SUMIFS(X!$F$5:$F$2005,X!$D$5:$D$2005,'Current Stock'!A532)</f>
        <v>0</v>
      </c>
      <c r="H532" s="4">
        <f>SUMIFS(PENJUALAN!$E$4:$E$11000,PENJUALAN!$C$4:$C$11000,'Current Stock'!A532)</f>
        <v>0</v>
      </c>
      <c r="I532" s="16">
        <f t="shared" si="2"/>
        <v>0</v>
      </c>
      <c r="J532" s="4"/>
      <c r="K532" s="4"/>
      <c r="L532" s="4"/>
      <c r="M532" s="4"/>
    </row>
    <row r="533" ht="13.5" customHeight="1">
      <c r="A533" s="4" t="str">
        <f t="shared" si="1"/>
        <v>FDR-EVO3FY</v>
      </c>
      <c r="B533" s="29" t="s">
        <v>850</v>
      </c>
      <c r="C533" s="28" t="s">
        <v>847</v>
      </c>
      <c r="D533" s="28" t="s">
        <v>130</v>
      </c>
      <c r="E533" s="4" t="s">
        <v>111</v>
      </c>
      <c r="F533" s="28" t="s">
        <v>141</v>
      </c>
      <c r="G533" s="4">
        <f>SUMIFS(X!$F$5:$F$2005,X!$D$5:$D$2005,'Current Stock'!A533)</f>
        <v>0</v>
      </c>
      <c r="H533" s="4">
        <f>SUMIFS(PENJUALAN!$E$4:$E$11000,PENJUALAN!$C$4:$C$11000,'Current Stock'!A533)</f>
        <v>0</v>
      </c>
      <c r="I533" s="16">
        <f t="shared" si="2"/>
        <v>0</v>
      </c>
      <c r="J533" s="4"/>
      <c r="K533" s="4"/>
      <c r="L533" s="4"/>
      <c r="M533" s="4"/>
    </row>
    <row r="534" ht="13.5" customHeight="1">
      <c r="A534" s="4" t="str">
        <f t="shared" si="1"/>
        <v>RDL-EVO3FY</v>
      </c>
      <c r="B534" s="29" t="s">
        <v>851</v>
      </c>
      <c r="C534" s="28" t="s">
        <v>847</v>
      </c>
      <c r="D534" s="28" t="s">
        <v>132</v>
      </c>
      <c r="E534" s="4" t="s">
        <v>111</v>
      </c>
      <c r="F534" s="28" t="s">
        <v>141</v>
      </c>
      <c r="G534" s="4">
        <f>SUMIFS(X!$F$5:$F$2005,X!$D$5:$D$2005,'Current Stock'!A534)</f>
        <v>0</v>
      </c>
      <c r="H534" s="4">
        <f>SUMIFS(PENJUALAN!$E$4:$E$11000,PENJUALAN!$C$4:$C$11000,'Current Stock'!A534)</f>
        <v>0</v>
      </c>
      <c r="I534" s="16">
        <f t="shared" si="2"/>
        <v>0</v>
      </c>
      <c r="J534" s="4"/>
      <c r="K534" s="4"/>
      <c r="L534" s="4"/>
      <c r="M534" s="4"/>
    </row>
    <row r="535" ht="13.5" customHeight="1">
      <c r="A535" s="4" t="str">
        <f t="shared" si="1"/>
        <v>RDR-EVO3FY</v>
      </c>
      <c r="B535" s="29" t="s">
        <v>852</v>
      </c>
      <c r="C535" s="28" t="s">
        <v>847</v>
      </c>
      <c r="D535" s="28" t="s">
        <v>134</v>
      </c>
      <c r="E535" s="4" t="s">
        <v>111</v>
      </c>
      <c r="F535" s="28" t="s">
        <v>141</v>
      </c>
      <c r="G535" s="4">
        <f>SUMIFS(X!$F$5:$F$2005,X!$D$5:$D$2005,'Current Stock'!A535)</f>
        <v>0</v>
      </c>
      <c r="H535" s="4">
        <f>SUMIFS(PENJUALAN!$E$4:$E$11000,PENJUALAN!$C$4:$C$11000,'Current Stock'!A535)</f>
        <v>0</v>
      </c>
      <c r="I535" s="16">
        <f t="shared" si="2"/>
        <v>0</v>
      </c>
      <c r="J535" s="4"/>
      <c r="K535" s="4"/>
      <c r="L535" s="4"/>
      <c r="M535" s="4"/>
    </row>
    <row r="536" ht="13.5" customHeight="1">
      <c r="A536" s="4" t="str">
        <f t="shared" si="1"/>
        <v>RVL-EVO3FY</v>
      </c>
      <c r="B536" s="29" t="s">
        <v>853</v>
      </c>
      <c r="C536" s="28" t="s">
        <v>847</v>
      </c>
      <c r="D536" s="28" t="s">
        <v>387</v>
      </c>
      <c r="E536" s="4" t="s">
        <v>111</v>
      </c>
      <c r="F536" s="28"/>
      <c r="G536" s="4">
        <f>SUMIFS(X!$F$5:$F$2005,X!$D$5:$D$2005,'Current Stock'!A536)</f>
        <v>0</v>
      </c>
      <c r="H536" s="4">
        <f>SUMIFS(PENJUALAN!$E$4:$E$11000,PENJUALAN!$C$4:$C$11000,'Current Stock'!A536)</f>
        <v>0</v>
      </c>
      <c r="I536" s="16">
        <f t="shared" si="2"/>
        <v>0</v>
      </c>
      <c r="J536" s="4"/>
      <c r="K536" s="4"/>
      <c r="L536" s="4"/>
      <c r="M536" s="4"/>
    </row>
    <row r="537" ht="13.5" customHeight="1">
      <c r="A537" s="4" t="str">
        <f t="shared" si="1"/>
        <v>RVR-EVO3FY</v>
      </c>
      <c r="B537" s="29" t="s">
        <v>854</v>
      </c>
      <c r="C537" s="28" t="s">
        <v>847</v>
      </c>
      <c r="D537" s="28" t="s">
        <v>389</v>
      </c>
      <c r="E537" s="4" t="s">
        <v>111</v>
      </c>
      <c r="F537" s="28"/>
      <c r="G537" s="4">
        <f>SUMIFS(X!$F$5:$F$2005,X!$D$5:$D$2005,'Current Stock'!A537)</f>
        <v>0</v>
      </c>
      <c r="H537" s="4">
        <f>SUMIFS(PENJUALAN!$E$4:$E$11000,PENJUALAN!$C$4:$C$11000,'Current Stock'!A537)</f>
        <v>0</v>
      </c>
      <c r="I537" s="16">
        <f t="shared" si="2"/>
        <v>0</v>
      </c>
      <c r="J537" s="4"/>
      <c r="K537" s="4"/>
      <c r="L537" s="4"/>
      <c r="M537" s="4"/>
    </row>
    <row r="538" ht="13.5" customHeight="1">
      <c r="A538" s="4" t="str">
        <f t="shared" si="1"/>
        <v>LFW-EVO4FY</v>
      </c>
      <c r="B538" s="29" t="s">
        <v>855</v>
      </c>
      <c r="C538" s="28" t="s">
        <v>856</v>
      </c>
      <c r="D538" s="28" t="s">
        <v>22</v>
      </c>
      <c r="E538" s="4" t="s">
        <v>111</v>
      </c>
      <c r="F538" s="28" t="s">
        <v>125</v>
      </c>
      <c r="G538" s="4">
        <f>SUMIFS(X!$F$5:$F$2005,X!$D$5:$D$2005,'Current Stock'!A538)</f>
        <v>0</v>
      </c>
      <c r="H538" s="4">
        <f>SUMIFS(PENJUALAN!$E$4:$E$11000,PENJUALAN!$C$4:$C$11000,'Current Stock'!A538)</f>
        <v>0</v>
      </c>
      <c r="I538" s="16">
        <f t="shared" si="2"/>
        <v>0</v>
      </c>
      <c r="J538" s="4"/>
      <c r="K538" s="4"/>
      <c r="L538" s="4"/>
      <c r="M538" s="4"/>
    </row>
    <row r="539" ht="13.5" customHeight="1">
      <c r="A539" s="4" t="str">
        <f t="shared" si="1"/>
        <v>TRW-EVO4FY</v>
      </c>
      <c r="B539" s="29" t="s">
        <v>857</v>
      </c>
      <c r="C539" s="28" t="s">
        <v>856</v>
      </c>
      <c r="D539" s="28" t="s">
        <v>41</v>
      </c>
      <c r="E539" s="4" t="s">
        <v>111</v>
      </c>
      <c r="F539" s="28" t="s">
        <v>67</v>
      </c>
      <c r="G539" s="4">
        <f>SUMIFS(X!$F$5:$F$2005,X!$D$5:$D$2005,'Current Stock'!A539)</f>
        <v>0</v>
      </c>
      <c r="H539" s="4">
        <f>SUMIFS(PENJUALAN!$E$4:$E$11000,PENJUALAN!$C$4:$C$11000,'Current Stock'!A539)</f>
        <v>0</v>
      </c>
      <c r="I539" s="16">
        <f t="shared" si="2"/>
        <v>0</v>
      </c>
      <c r="J539" s="4"/>
      <c r="K539" s="4"/>
      <c r="L539" s="4"/>
      <c r="M539" s="4"/>
    </row>
    <row r="540" ht="13.5" customHeight="1">
      <c r="A540" s="4" t="str">
        <f t="shared" si="1"/>
        <v>FDL-EVO4FY</v>
      </c>
      <c r="B540" s="29" t="s">
        <v>858</v>
      </c>
      <c r="C540" s="28" t="s">
        <v>856</v>
      </c>
      <c r="D540" s="28" t="s">
        <v>128</v>
      </c>
      <c r="E540" s="4" t="s">
        <v>111</v>
      </c>
      <c r="F540" s="28" t="s">
        <v>141</v>
      </c>
      <c r="G540" s="4">
        <f>SUMIFS(X!$F$5:$F$2005,X!$D$5:$D$2005,'Current Stock'!A540)</f>
        <v>0</v>
      </c>
      <c r="H540" s="4">
        <f>SUMIFS(PENJUALAN!$E$4:$E$11000,PENJUALAN!$C$4:$C$11000,'Current Stock'!A540)</f>
        <v>0</v>
      </c>
      <c r="I540" s="16">
        <f t="shared" si="2"/>
        <v>0</v>
      </c>
      <c r="J540" s="4"/>
      <c r="K540" s="4"/>
      <c r="L540" s="4"/>
      <c r="M540" s="4"/>
    </row>
    <row r="541" ht="13.5" customHeight="1">
      <c r="A541" s="4" t="str">
        <f t="shared" si="1"/>
        <v>FDR-EVO4FY</v>
      </c>
      <c r="B541" s="29" t="s">
        <v>859</v>
      </c>
      <c r="C541" s="28" t="s">
        <v>856</v>
      </c>
      <c r="D541" s="28" t="s">
        <v>130</v>
      </c>
      <c r="E541" s="4" t="s">
        <v>111</v>
      </c>
      <c r="F541" s="28" t="s">
        <v>141</v>
      </c>
      <c r="G541" s="4">
        <f>SUMIFS(X!$F$5:$F$2005,X!$D$5:$D$2005,'Current Stock'!A541)</f>
        <v>0</v>
      </c>
      <c r="H541" s="4">
        <f>SUMIFS(PENJUALAN!$E$4:$E$11000,PENJUALAN!$C$4:$C$11000,'Current Stock'!A541)</f>
        <v>0</v>
      </c>
      <c r="I541" s="16">
        <f t="shared" si="2"/>
        <v>0</v>
      </c>
      <c r="J541" s="4"/>
      <c r="K541" s="4"/>
      <c r="L541" s="4"/>
      <c r="M541" s="4"/>
    </row>
    <row r="542" ht="13.5" customHeight="1">
      <c r="A542" s="4" t="str">
        <f t="shared" si="1"/>
        <v>LFW-EVO5FY</v>
      </c>
      <c r="B542" s="29" t="s">
        <v>860</v>
      </c>
      <c r="C542" s="28" t="s">
        <v>861</v>
      </c>
      <c r="D542" s="28" t="s">
        <v>22</v>
      </c>
      <c r="E542" s="4" t="s">
        <v>111</v>
      </c>
      <c r="F542" s="28" t="s">
        <v>125</v>
      </c>
      <c r="G542" s="4">
        <f>SUMIFS(X!$F$5:$F$2005,X!$D$5:$D$2005,'Current Stock'!A542)</f>
        <v>0</v>
      </c>
      <c r="H542" s="4">
        <f>SUMIFS(PENJUALAN!$E$4:$E$11000,PENJUALAN!$C$4:$C$11000,'Current Stock'!A542)</f>
        <v>0</v>
      </c>
      <c r="I542" s="16">
        <f t="shared" si="2"/>
        <v>0</v>
      </c>
      <c r="J542" s="4"/>
      <c r="K542" s="4"/>
      <c r="L542" s="4"/>
      <c r="M542" s="4"/>
    </row>
    <row r="543" ht="13.5" customHeight="1">
      <c r="A543" s="4" t="str">
        <f t="shared" si="1"/>
        <v>TRW-EVO5FY</v>
      </c>
      <c r="B543" s="29" t="s">
        <v>862</v>
      </c>
      <c r="C543" s="28" t="s">
        <v>861</v>
      </c>
      <c r="D543" s="28" t="s">
        <v>41</v>
      </c>
      <c r="E543" s="4" t="s">
        <v>111</v>
      </c>
      <c r="F543" s="28" t="s">
        <v>67</v>
      </c>
      <c r="G543" s="4">
        <f>SUMIFS(X!$F$5:$F$2005,X!$D$5:$D$2005,'Current Stock'!A543)</f>
        <v>0</v>
      </c>
      <c r="H543" s="4">
        <f>SUMIFS(PENJUALAN!$E$4:$E$11000,PENJUALAN!$C$4:$C$11000,'Current Stock'!A543)</f>
        <v>0</v>
      </c>
      <c r="I543" s="16">
        <f t="shared" si="2"/>
        <v>0</v>
      </c>
      <c r="J543" s="4"/>
      <c r="K543" s="4"/>
      <c r="L543" s="4"/>
      <c r="M543" s="4"/>
    </row>
    <row r="544" ht="13.5" customHeight="1">
      <c r="A544" s="4" t="str">
        <f t="shared" si="1"/>
        <v>FDL-EVO5FY</v>
      </c>
      <c r="B544" s="29" t="s">
        <v>863</v>
      </c>
      <c r="C544" s="28" t="s">
        <v>861</v>
      </c>
      <c r="D544" s="28" t="s">
        <v>128</v>
      </c>
      <c r="E544" s="4" t="s">
        <v>111</v>
      </c>
      <c r="F544" s="28"/>
      <c r="G544" s="4">
        <f>SUMIFS(X!$F$5:$F$2005,X!$D$5:$D$2005,'Current Stock'!A544)</f>
        <v>0</v>
      </c>
      <c r="H544" s="4">
        <f>SUMIFS(PENJUALAN!$E$4:$E$11000,PENJUALAN!$C$4:$C$11000,'Current Stock'!A544)</f>
        <v>0</v>
      </c>
      <c r="I544" s="16">
        <f t="shared" si="2"/>
        <v>0</v>
      </c>
      <c r="J544" s="4"/>
      <c r="K544" s="4"/>
      <c r="L544" s="4"/>
      <c r="M544" s="4"/>
    </row>
    <row r="545" ht="13.5" customHeight="1">
      <c r="A545" s="4" t="str">
        <f t="shared" si="1"/>
        <v>FDR-EVO5FY</v>
      </c>
      <c r="B545" s="29" t="s">
        <v>864</v>
      </c>
      <c r="C545" s="28" t="s">
        <v>861</v>
      </c>
      <c r="D545" s="28" t="s">
        <v>130</v>
      </c>
      <c r="E545" s="4" t="s">
        <v>111</v>
      </c>
      <c r="F545" s="28" t="s">
        <v>397</v>
      </c>
      <c r="G545" s="4">
        <f>SUMIFS(X!$F$5:$F$2005,X!$D$5:$D$2005,'Current Stock'!A545)</f>
        <v>0</v>
      </c>
      <c r="H545" s="4">
        <f>SUMIFS(PENJUALAN!$E$4:$E$11000,PENJUALAN!$C$4:$C$11000,'Current Stock'!A545)</f>
        <v>0</v>
      </c>
      <c r="I545" s="16">
        <f t="shared" si="2"/>
        <v>0</v>
      </c>
      <c r="J545" s="4"/>
      <c r="K545" s="4"/>
      <c r="L545" s="4"/>
      <c r="M545" s="4"/>
    </row>
    <row r="546" ht="13.5" customHeight="1">
      <c r="A546" s="4" t="str">
        <f t="shared" si="1"/>
        <v>RDL-EVO5FY</v>
      </c>
      <c r="B546" s="29" t="s">
        <v>865</v>
      </c>
      <c r="C546" s="28" t="s">
        <v>861</v>
      </c>
      <c r="D546" s="28" t="s">
        <v>132</v>
      </c>
      <c r="E546" s="4" t="s">
        <v>111</v>
      </c>
      <c r="F546" s="28"/>
      <c r="G546" s="4">
        <f>SUMIFS(X!$F$5:$F$2005,X!$D$5:$D$2005,'Current Stock'!A546)</f>
        <v>0</v>
      </c>
      <c r="H546" s="4">
        <f>SUMIFS(PENJUALAN!$E$4:$E$11000,PENJUALAN!$C$4:$C$11000,'Current Stock'!A546)</f>
        <v>0</v>
      </c>
      <c r="I546" s="16">
        <f t="shared" si="2"/>
        <v>0</v>
      </c>
      <c r="J546" s="4"/>
      <c r="K546" s="4"/>
      <c r="L546" s="4"/>
      <c r="M546" s="4"/>
    </row>
    <row r="547" ht="13.5" customHeight="1">
      <c r="A547" s="4" t="str">
        <f t="shared" si="1"/>
        <v>RDR-EVO5FY</v>
      </c>
      <c r="B547" s="29" t="s">
        <v>866</v>
      </c>
      <c r="C547" s="28" t="s">
        <v>861</v>
      </c>
      <c r="D547" s="28" t="s">
        <v>134</v>
      </c>
      <c r="E547" s="4" t="s">
        <v>111</v>
      </c>
      <c r="F547" s="28"/>
      <c r="G547" s="4">
        <f>SUMIFS(X!$F$5:$F$2005,X!$D$5:$D$2005,'Current Stock'!A547)</f>
        <v>0</v>
      </c>
      <c r="H547" s="4">
        <f>SUMIFS(PENJUALAN!$E$4:$E$11000,PENJUALAN!$C$4:$C$11000,'Current Stock'!A547)</f>
        <v>0</v>
      </c>
      <c r="I547" s="16">
        <f t="shared" si="2"/>
        <v>0</v>
      </c>
      <c r="J547" s="4"/>
      <c r="K547" s="4"/>
      <c r="L547" s="4"/>
      <c r="M547" s="4"/>
    </row>
    <row r="548" ht="13.5" customHeight="1">
      <c r="A548" s="4" t="str">
        <f t="shared" si="1"/>
        <v>LFW-EVO10FY</v>
      </c>
      <c r="B548" s="29" t="s">
        <v>867</v>
      </c>
      <c r="C548" s="28" t="s">
        <v>868</v>
      </c>
      <c r="D548" s="28" t="s">
        <v>22</v>
      </c>
      <c r="E548" s="4" t="s">
        <v>111</v>
      </c>
      <c r="F548" s="28" t="s">
        <v>125</v>
      </c>
      <c r="G548" s="4">
        <f>SUMIFS(X!$F$5:$F$2005,X!$D$5:$D$2005,'Current Stock'!A548)</f>
        <v>0</v>
      </c>
      <c r="H548" s="4">
        <f>SUMIFS(PENJUALAN!$E$4:$E$11000,PENJUALAN!$C$4:$C$11000,'Current Stock'!A548)</f>
        <v>0</v>
      </c>
      <c r="I548" s="16">
        <f t="shared" si="2"/>
        <v>0</v>
      </c>
      <c r="J548" s="4"/>
      <c r="K548" s="4"/>
      <c r="L548" s="4"/>
      <c r="M548" s="4"/>
    </row>
    <row r="549" ht="13.5" customHeight="1">
      <c r="A549" s="4" t="str">
        <f t="shared" si="1"/>
        <v>LFW-EVO10RSFY</v>
      </c>
      <c r="B549" s="29" t="s">
        <v>869</v>
      </c>
      <c r="C549" s="28" t="s">
        <v>868</v>
      </c>
      <c r="D549" s="28" t="s">
        <v>22</v>
      </c>
      <c r="E549" s="4" t="s">
        <v>111</v>
      </c>
      <c r="F549" s="28" t="s">
        <v>75</v>
      </c>
      <c r="G549" s="4">
        <f>SUMIFS(X!$F$5:$F$2005,X!$D$5:$D$2005,'Current Stock'!A549)</f>
        <v>0</v>
      </c>
      <c r="H549" s="4">
        <f>SUMIFS(PENJUALAN!$E$4:$E$11000,PENJUALAN!$C$4:$C$11000,'Current Stock'!A549)</f>
        <v>0</v>
      </c>
      <c r="I549" s="16">
        <f t="shared" si="2"/>
        <v>0</v>
      </c>
      <c r="J549" s="4"/>
      <c r="K549" s="4"/>
      <c r="L549" s="4"/>
      <c r="M549" s="4"/>
    </row>
    <row r="550" ht="13.5" customHeight="1">
      <c r="A550" s="4" t="str">
        <f t="shared" si="1"/>
        <v>TRW-EVO10FY</v>
      </c>
      <c r="B550" s="29" t="s">
        <v>870</v>
      </c>
      <c r="C550" s="28" t="s">
        <v>868</v>
      </c>
      <c r="D550" s="28" t="s">
        <v>41</v>
      </c>
      <c r="E550" s="4" t="s">
        <v>111</v>
      </c>
      <c r="F550" s="28" t="s">
        <v>67</v>
      </c>
      <c r="G550" s="4">
        <f>SUMIFS(X!$F$5:$F$2005,X!$D$5:$D$2005,'Current Stock'!A550)</f>
        <v>0</v>
      </c>
      <c r="H550" s="4">
        <f>SUMIFS(PENJUALAN!$E$4:$E$11000,PENJUALAN!$C$4:$C$11000,'Current Stock'!A550)</f>
        <v>0</v>
      </c>
      <c r="I550" s="16">
        <f t="shared" si="2"/>
        <v>0</v>
      </c>
      <c r="J550" s="4"/>
      <c r="K550" s="4"/>
      <c r="L550" s="4"/>
      <c r="M550" s="4"/>
    </row>
    <row r="551" ht="13.5" customHeight="1">
      <c r="A551" s="4" t="str">
        <f t="shared" si="1"/>
        <v>FDL-EVO10FY</v>
      </c>
      <c r="B551" s="29" t="s">
        <v>871</v>
      </c>
      <c r="C551" s="28" t="s">
        <v>868</v>
      </c>
      <c r="D551" s="28" t="s">
        <v>128</v>
      </c>
      <c r="E551" s="4" t="s">
        <v>111</v>
      </c>
      <c r="F551" s="28"/>
      <c r="G551" s="4">
        <f>SUMIFS(X!$F$5:$F$2005,X!$D$5:$D$2005,'Current Stock'!A551)</f>
        <v>0</v>
      </c>
      <c r="H551" s="4">
        <f>SUMIFS(PENJUALAN!$E$4:$E$11000,PENJUALAN!$C$4:$C$11000,'Current Stock'!A551)</f>
        <v>0</v>
      </c>
      <c r="I551" s="16">
        <f t="shared" si="2"/>
        <v>0</v>
      </c>
      <c r="J551" s="4"/>
      <c r="K551" s="4"/>
      <c r="L551" s="4"/>
      <c r="M551" s="4"/>
    </row>
    <row r="552" ht="13.5" customHeight="1">
      <c r="A552" s="4" t="str">
        <f t="shared" si="1"/>
        <v>FDR-EVO10FY</v>
      </c>
      <c r="B552" s="29" t="s">
        <v>872</v>
      </c>
      <c r="C552" s="28" t="s">
        <v>868</v>
      </c>
      <c r="D552" s="28" t="s">
        <v>130</v>
      </c>
      <c r="E552" s="4" t="s">
        <v>111</v>
      </c>
      <c r="F552" s="28"/>
      <c r="G552" s="4">
        <f>SUMIFS(X!$F$5:$F$2005,X!$D$5:$D$2005,'Current Stock'!A552)</f>
        <v>0</v>
      </c>
      <c r="H552" s="4">
        <f>SUMIFS(PENJUALAN!$E$4:$E$11000,PENJUALAN!$C$4:$C$11000,'Current Stock'!A552)</f>
        <v>0</v>
      </c>
      <c r="I552" s="16">
        <f t="shared" si="2"/>
        <v>0</v>
      </c>
      <c r="J552" s="4"/>
      <c r="K552" s="4"/>
      <c r="L552" s="4"/>
      <c r="M552" s="4"/>
    </row>
    <row r="553" ht="13.5" customHeight="1">
      <c r="A553" s="4" t="str">
        <f t="shared" si="1"/>
        <v>RDL-EVO10FY</v>
      </c>
      <c r="B553" s="29" t="s">
        <v>873</v>
      </c>
      <c r="C553" s="28" t="s">
        <v>868</v>
      </c>
      <c r="D553" s="28" t="s">
        <v>132</v>
      </c>
      <c r="E553" s="4" t="s">
        <v>111</v>
      </c>
      <c r="F553" s="28"/>
      <c r="G553" s="4">
        <f>SUMIFS(X!$F$5:$F$2005,X!$D$5:$D$2005,'Current Stock'!A553)</f>
        <v>0</v>
      </c>
      <c r="H553" s="4">
        <f>SUMIFS(PENJUALAN!$E$4:$E$11000,PENJUALAN!$C$4:$C$11000,'Current Stock'!A553)</f>
        <v>0</v>
      </c>
      <c r="I553" s="16">
        <f t="shared" si="2"/>
        <v>0</v>
      </c>
      <c r="J553" s="4"/>
      <c r="K553" s="4"/>
      <c r="L553" s="4"/>
      <c r="M553" s="4"/>
    </row>
    <row r="554" ht="13.5" customHeight="1">
      <c r="A554" s="4" t="str">
        <f t="shared" si="1"/>
        <v>RDR-EVO10FY</v>
      </c>
      <c r="B554" s="29" t="s">
        <v>874</v>
      </c>
      <c r="C554" s="28" t="s">
        <v>868</v>
      </c>
      <c r="D554" s="28" t="s">
        <v>134</v>
      </c>
      <c r="E554" s="4" t="s">
        <v>111</v>
      </c>
      <c r="F554" s="28"/>
      <c r="G554" s="4">
        <f>SUMIFS(X!$F$5:$F$2005,X!$D$5:$D$2005,'Current Stock'!A554)</f>
        <v>0</v>
      </c>
      <c r="H554" s="4">
        <f>SUMIFS(PENJUALAN!$E$4:$E$11000,PENJUALAN!$C$4:$C$11000,'Current Stock'!A554)</f>
        <v>0</v>
      </c>
      <c r="I554" s="16">
        <f t="shared" si="2"/>
        <v>0</v>
      </c>
      <c r="J554" s="4"/>
      <c r="K554" s="4"/>
      <c r="L554" s="4"/>
      <c r="M554" s="4"/>
    </row>
    <row r="555" ht="13.5" customHeight="1">
      <c r="A555" s="4" t="str">
        <f t="shared" si="1"/>
        <v>LFW-MIRAGEFY</v>
      </c>
      <c r="B555" s="29" t="s">
        <v>875</v>
      </c>
      <c r="C555" s="28" t="s">
        <v>876</v>
      </c>
      <c r="D555" s="28" t="s">
        <v>22</v>
      </c>
      <c r="E555" s="4" t="s">
        <v>111</v>
      </c>
      <c r="F555" s="28" t="s">
        <v>125</v>
      </c>
      <c r="G555" s="4">
        <f>SUMIFS(X!$F$5:$F$2005,X!$D$5:$D$2005,'Current Stock'!A555)</f>
        <v>0</v>
      </c>
      <c r="H555" s="4">
        <f>SUMIFS(PENJUALAN!$E$4:$E$11000,PENJUALAN!$C$4:$C$11000,'Current Stock'!A555)</f>
        <v>0</v>
      </c>
      <c r="I555" s="16">
        <f t="shared" si="2"/>
        <v>0</v>
      </c>
      <c r="J555" s="4"/>
      <c r="K555" s="4"/>
      <c r="L555" s="4"/>
      <c r="M555" s="4"/>
    </row>
    <row r="556" ht="13.5" customHeight="1">
      <c r="A556" s="4" t="str">
        <f t="shared" si="1"/>
        <v>TRW-MIRAGEFY</v>
      </c>
      <c r="B556" s="29" t="s">
        <v>877</v>
      </c>
      <c r="C556" s="28" t="s">
        <v>876</v>
      </c>
      <c r="D556" s="28" t="s">
        <v>41</v>
      </c>
      <c r="E556" s="4" t="s">
        <v>111</v>
      </c>
      <c r="F556" s="28" t="s">
        <v>67</v>
      </c>
      <c r="G556" s="4">
        <f>SUMIFS(X!$F$5:$F$2005,X!$D$5:$D$2005,'Current Stock'!A556)</f>
        <v>0</v>
      </c>
      <c r="H556" s="4">
        <f>SUMIFS(PENJUALAN!$E$4:$E$11000,PENJUALAN!$C$4:$C$11000,'Current Stock'!A556)</f>
        <v>0</v>
      </c>
      <c r="I556" s="16">
        <f t="shared" si="2"/>
        <v>0</v>
      </c>
      <c r="J556" s="4"/>
      <c r="K556" s="4"/>
      <c r="L556" s="4"/>
      <c r="M556" s="4"/>
    </row>
    <row r="557" ht="13.5" customHeight="1">
      <c r="A557" s="4" t="str">
        <f t="shared" si="1"/>
        <v>LFW-OUTLANDERFY</v>
      </c>
      <c r="B557" s="29" t="s">
        <v>878</v>
      </c>
      <c r="C557" s="28" t="s">
        <v>879</v>
      </c>
      <c r="D557" s="28" t="s">
        <v>22</v>
      </c>
      <c r="E557" s="4" t="s">
        <v>111</v>
      </c>
      <c r="F557" s="28" t="s">
        <v>125</v>
      </c>
      <c r="G557" s="4">
        <f>SUMIFS(X!$F$5:$F$2005,X!$D$5:$D$2005,'Current Stock'!A557)</f>
        <v>0</v>
      </c>
      <c r="H557" s="4">
        <f>SUMIFS(PENJUALAN!$E$4:$E$11000,PENJUALAN!$C$4:$C$11000,'Current Stock'!A557)</f>
        <v>0</v>
      </c>
      <c r="I557" s="16">
        <f t="shared" si="2"/>
        <v>0</v>
      </c>
      <c r="J557" s="4"/>
      <c r="K557" s="4"/>
      <c r="L557" s="4"/>
      <c r="M557" s="4"/>
    </row>
    <row r="558" ht="13.5" customHeight="1">
      <c r="A558" s="4" t="str">
        <f t="shared" si="1"/>
        <v>TRW-OUTLANDERFY</v>
      </c>
      <c r="B558" s="29" t="s">
        <v>880</v>
      </c>
      <c r="C558" s="28" t="s">
        <v>879</v>
      </c>
      <c r="D558" s="28" t="s">
        <v>41</v>
      </c>
      <c r="E558" s="4" t="s">
        <v>111</v>
      </c>
      <c r="F558" s="28" t="s">
        <v>221</v>
      </c>
      <c r="G558" s="4">
        <f>SUMIFS(X!$F$5:$F$2005,X!$D$5:$D$2005,'Current Stock'!A558)</f>
        <v>0</v>
      </c>
      <c r="H558" s="4">
        <f>SUMIFS(PENJUALAN!$E$4:$E$11000,PENJUALAN!$C$4:$C$11000,'Current Stock'!A558)</f>
        <v>0</v>
      </c>
      <c r="I558" s="16">
        <f t="shared" si="2"/>
        <v>0</v>
      </c>
      <c r="J558" s="4"/>
      <c r="K558" s="4"/>
      <c r="L558" s="4"/>
      <c r="M558" s="4"/>
    </row>
    <row r="559" ht="13.5" customHeight="1">
      <c r="A559" s="4" t="str">
        <f t="shared" si="1"/>
        <v>LFW-PAJERO08FY</v>
      </c>
      <c r="B559" s="29" t="s">
        <v>881</v>
      </c>
      <c r="C559" s="28" t="s">
        <v>882</v>
      </c>
      <c r="D559" s="28" t="s">
        <v>22</v>
      </c>
      <c r="E559" s="4" t="s">
        <v>111</v>
      </c>
      <c r="F559" s="28" t="s">
        <v>125</v>
      </c>
      <c r="G559" s="4">
        <f>SUMIFS(X!$F$5:$F$2005,X!$D$5:$D$2005,'Current Stock'!A559)</f>
        <v>0</v>
      </c>
      <c r="H559" s="4">
        <f>SUMIFS(PENJUALAN!$E$4:$E$11000,PENJUALAN!$C$4:$C$11000,'Current Stock'!A559)</f>
        <v>0</v>
      </c>
      <c r="I559" s="16">
        <f t="shared" si="2"/>
        <v>0</v>
      </c>
      <c r="J559" s="4"/>
      <c r="K559" s="4"/>
      <c r="L559" s="4"/>
      <c r="M559" s="4"/>
    </row>
    <row r="560" ht="13.5" customHeight="1">
      <c r="A560" s="4" t="str">
        <f t="shared" si="1"/>
        <v>TRW-PAJERO08FY</v>
      </c>
      <c r="B560" s="29" t="s">
        <v>883</v>
      </c>
      <c r="C560" s="28" t="s">
        <v>882</v>
      </c>
      <c r="D560" s="28" t="s">
        <v>41</v>
      </c>
      <c r="E560" s="4" t="s">
        <v>111</v>
      </c>
      <c r="F560" s="28" t="s">
        <v>221</v>
      </c>
      <c r="G560" s="4">
        <f>SUMIFS(X!$F$5:$F$2005,X!$D$5:$D$2005,'Current Stock'!A560)</f>
        <v>0</v>
      </c>
      <c r="H560" s="4">
        <f>SUMIFS(PENJUALAN!$E$4:$E$11000,PENJUALAN!$C$4:$C$11000,'Current Stock'!A560)</f>
        <v>0</v>
      </c>
      <c r="I560" s="16">
        <f t="shared" si="2"/>
        <v>0</v>
      </c>
      <c r="J560" s="4"/>
      <c r="K560" s="4"/>
      <c r="L560" s="4"/>
      <c r="M560" s="4"/>
    </row>
    <row r="561" ht="13.5" customHeight="1">
      <c r="A561" s="4" t="str">
        <f t="shared" si="1"/>
        <v>LFW-PAJERO16FY</v>
      </c>
      <c r="B561" s="29" t="s">
        <v>884</v>
      </c>
      <c r="C561" s="28" t="s">
        <v>830</v>
      </c>
      <c r="D561" s="28" t="s">
        <v>22</v>
      </c>
      <c r="E561" s="4" t="s">
        <v>111</v>
      </c>
      <c r="F561" s="28" t="s">
        <v>125</v>
      </c>
      <c r="G561" s="4">
        <f>SUMIFS(X!$F$5:$F$2005,X!$D$5:$D$2005,'Current Stock'!A561)</f>
        <v>0</v>
      </c>
      <c r="H561" s="4">
        <f>SUMIFS(PENJUALAN!$E$4:$E$11000,PENJUALAN!$C$4:$C$11000,'Current Stock'!A561)</f>
        <v>0</v>
      </c>
      <c r="I561" s="16">
        <f t="shared" si="2"/>
        <v>0</v>
      </c>
      <c r="J561" s="4"/>
      <c r="K561" s="4"/>
      <c r="L561" s="4"/>
      <c r="M561" s="4"/>
    </row>
    <row r="562" ht="13.5" customHeight="1">
      <c r="A562" s="4" t="str">
        <f t="shared" si="1"/>
        <v>TRW-PAJERO16FY</v>
      </c>
      <c r="B562" s="29" t="s">
        <v>885</v>
      </c>
      <c r="C562" s="28" t="s">
        <v>830</v>
      </c>
      <c r="D562" s="28" t="s">
        <v>41</v>
      </c>
      <c r="E562" s="4" t="s">
        <v>111</v>
      </c>
      <c r="F562" s="28" t="s">
        <v>221</v>
      </c>
      <c r="G562" s="4">
        <f>SUMIFS(X!$F$5:$F$2005,X!$D$5:$D$2005,'Current Stock'!A562)</f>
        <v>0</v>
      </c>
      <c r="H562" s="4">
        <f>SUMIFS(PENJUALAN!$E$4:$E$11000,PENJUALAN!$C$4:$C$11000,'Current Stock'!A562)</f>
        <v>0</v>
      </c>
      <c r="I562" s="16">
        <f t="shared" si="2"/>
        <v>0</v>
      </c>
      <c r="J562" s="4"/>
      <c r="K562" s="4"/>
      <c r="L562" s="4"/>
      <c r="M562" s="4"/>
    </row>
    <row r="563" ht="13.5" customHeight="1">
      <c r="A563" s="4" t="str">
        <f t="shared" si="1"/>
        <v>LFW-TRITON05FY</v>
      </c>
      <c r="B563" s="29" t="s">
        <v>886</v>
      </c>
      <c r="C563" s="28" t="s">
        <v>887</v>
      </c>
      <c r="D563" s="28" t="s">
        <v>22</v>
      </c>
      <c r="E563" s="4" t="s">
        <v>111</v>
      </c>
      <c r="F563" s="28" t="s">
        <v>125</v>
      </c>
      <c r="G563" s="4">
        <f>SUMIFS(X!$F$5:$F$2005,X!$D$5:$D$2005,'Current Stock'!A563)</f>
        <v>0</v>
      </c>
      <c r="H563" s="4">
        <f>SUMIFS(PENJUALAN!$E$4:$E$11000,PENJUALAN!$C$4:$C$11000,'Current Stock'!A563)</f>
        <v>0</v>
      </c>
      <c r="I563" s="16">
        <f t="shared" si="2"/>
        <v>0</v>
      </c>
      <c r="J563" s="4"/>
      <c r="K563" s="4"/>
      <c r="L563" s="4"/>
      <c r="M563" s="4"/>
    </row>
    <row r="564" ht="13.5" customHeight="1">
      <c r="A564" s="4" t="str">
        <f t="shared" si="1"/>
        <v>TRW-TRITON05FY</v>
      </c>
      <c r="B564" s="29" t="s">
        <v>888</v>
      </c>
      <c r="C564" s="28" t="s">
        <v>887</v>
      </c>
      <c r="D564" s="28" t="s">
        <v>41</v>
      </c>
      <c r="E564" s="4" t="s">
        <v>111</v>
      </c>
      <c r="F564" s="28" t="s">
        <v>67</v>
      </c>
      <c r="G564" s="4">
        <f>SUMIFS(X!$F$5:$F$2005,X!$D$5:$D$2005,'Current Stock'!A564)</f>
        <v>0</v>
      </c>
      <c r="H564" s="4">
        <f>SUMIFS(PENJUALAN!$E$4:$E$11000,PENJUALAN!$C$4:$C$11000,'Current Stock'!A564)</f>
        <v>0</v>
      </c>
      <c r="I564" s="16">
        <f t="shared" si="2"/>
        <v>0</v>
      </c>
      <c r="J564" s="4"/>
      <c r="K564" s="4"/>
      <c r="L564" s="4"/>
      <c r="M564" s="4"/>
    </row>
    <row r="565" ht="13.5" customHeight="1">
      <c r="A565" s="4" t="str">
        <f t="shared" si="1"/>
        <v>LFW-TRITON14FY</v>
      </c>
      <c r="B565" s="29" t="s">
        <v>889</v>
      </c>
      <c r="C565" s="28" t="s">
        <v>890</v>
      </c>
      <c r="D565" s="28" t="s">
        <v>22</v>
      </c>
      <c r="E565" s="4" t="s">
        <v>111</v>
      </c>
      <c r="F565" s="28" t="s">
        <v>125</v>
      </c>
      <c r="G565" s="4">
        <f>SUMIFS(X!$F$5:$F$2005,X!$D$5:$D$2005,'Current Stock'!A565)</f>
        <v>0</v>
      </c>
      <c r="H565" s="4">
        <f>SUMIFS(PENJUALAN!$E$4:$E$11000,PENJUALAN!$C$4:$C$11000,'Current Stock'!A565)</f>
        <v>0</v>
      </c>
      <c r="I565" s="16">
        <f t="shared" si="2"/>
        <v>0</v>
      </c>
      <c r="J565" s="4"/>
      <c r="K565" s="4"/>
      <c r="L565" s="4"/>
      <c r="M565" s="4"/>
    </row>
    <row r="566" ht="13.5" customHeight="1">
      <c r="A566" s="4" t="str">
        <f t="shared" si="1"/>
        <v>TRW-TRITON14HFY</v>
      </c>
      <c r="B566" s="29" t="s">
        <v>891</v>
      </c>
      <c r="C566" s="28" t="s">
        <v>890</v>
      </c>
      <c r="D566" s="28" t="s">
        <v>41</v>
      </c>
      <c r="E566" s="4" t="s">
        <v>111</v>
      </c>
      <c r="F566" s="28" t="s">
        <v>67</v>
      </c>
      <c r="G566" s="4">
        <f>SUMIFS(X!$F$5:$F$2005,X!$D$5:$D$2005,'Current Stock'!A566)</f>
        <v>0</v>
      </c>
      <c r="H566" s="4">
        <f>SUMIFS(PENJUALAN!$E$4:$E$11000,PENJUALAN!$C$4:$C$11000,'Current Stock'!A566)</f>
        <v>0</v>
      </c>
      <c r="I566" s="16">
        <f t="shared" si="2"/>
        <v>0</v>
      </c>
      <c r="J566" s="4"/>
      <c r="K566" s="4"/>
      <c r="L566" s="4"/>
      <c r="M566" s="4"/>
    </row>
    <row r="567" ht="13.5" customHeight="1">
      <c r="A567" s="4" t="str">
        <f t="shared" si="1"/>
        <v>RDL-TRITON14FY</v>
      </c>
      <c r="B567" s="29" t="s">
        <v>892</v>
      </c>
      <c r="C567" s="28" t="s">
        <v>890</v>
      </c>
      <c r="D567" s="28" t="s">
        <v>132</v>
      </c>
      <c r="E567" s="4" t="s">
        <v>111</v>
      </c>
      <c r="F567" s="28" t="s">
        <v>397</v>
      </c>
      <c r="G567" s="4">
        <f>SUMIFS(X!$F$5:$F$2005,X!$D$5:$D$2005,'Current Stock'!A567)</f>
        <v>0</v>
      </c>
      <c r="H567" s="4">
        <f>SUMIFS(PENJUALAN!$E$4:$E$11000,PENJUALAN!$C$4:$C$11000,'Current Stock'!A567)</f>
        <v>0</v>
      </c>
      <c r="I567" s="16">
        <f t="shared" si="2"/>
        <v>0</v>
      </c>
      <c r="J567" s="4"/>
      <c r="K567" s="4"/>
      <c r="L567" s="4"/>
      <c r="M567" s="4"/>
    </row>
    <row r="568" ht="13.5" customHeight="1">
      <c r="A568" s="4" t="str">
        <f t="shared" si="1"/>
        <v>RDR-TRITON14FY</v>
      </c>
      <c r="B568" s="29" t="s">
        <v>893</v>
      </c>
      <c r="C568" s="28" t="s">
        <v>890</v>
      </c>
      <c r="D568" s="28" t="s">
        <v>134</v>
      </c>
      <c r="E568" s="4" t="s">
        <v>111</v>
      </c>
      <c r="F568" s="28" t="s">
        <v>397</v>
      </c>
      <c r="G568" s="4">
        <f>SUMIFS(X!$F$5:$F$2005,X!$D$5:$D$2005,'Current Stock'!A568)</f>
        <v>0</v>
      </c>
      <c r="H568" s="4">
        <f>SUMIFS(PENJUALAN!$E$4:$E$11000,PENJUALAN!$C$4:$C$11000,'Current Stock'!A568)</f>
        <v>0</v>
      </c>
      <c r="I568" s="16">
        <f t="shared" si="2"/>
        <v>0</v>
      </c>
      <c r="J568" s="4"/>
      <c r="K568" s="4"/>
      <c r="L568" s="4"/>
      <c r="M568" s="4"/>
    </row>
    <row r="569" ht="13.5" customHeight="1">
      <c r="A569" s="4" t="str">
        <f t="shared" si="1"/>
        <v>FDL-DATSUNFY</v>
      </c>
      <c r="B569" s="29" t="s">
        <v>894</v>
      </c>
      <c r="C569" s="28" t="s">
        <v>895</v>
      </c>
      <c r="D569" s="28" t="s">
        <v>128</v>
      </c>
      <c r="E569" s="4" t="s">
        <v>111</v>
      </c>
      <c r="F569" s="28"/>
      <c r="G569" s="4">
        <f>SUMIFS(X!$F$5:$F$2005,X!$D$5:$D$2005,'Current Stock'!A569)</f>
        <v>0</v>
      </c>
      <c r="H569" s="4">
        <f>SUMIFS(PENJUALAN!$E$4:$E$11000,PENJUALAN!$C$4:$C$11000,'Current Stock'!A569)</f>
        <v>0</v>
      </c>
      <c r="I569" s="16">
        <f t="shared" si="2"/>
        <v>0</v>
      </c>
      <c r="J569" s="4"/>
      <c r="K569" s="4"/>
      <c r="L569" s="4"/>
      <c r="M569" s="4"/>
    </row>
    <row r="570" ht="13.5" customHeight="1">
      <c r="A570" s="4" t="str">
        <f t="shared" si="1"/>
        <v>RDL-DATSUNFY</v>
      </c>
      <c r="B570" s="29" t="s">
        <v>896</v>
      </c>
      <c r="C570" s="28" t="s">
        <v>895</v>
      </c>
      <c r="D570" s="28" t="s">
        <v>132</v>
      </c>
      <c r="E570" s="4" t="s">
        <v>111</v>
      </c>
      <c r="F570" s="28"/>
      <c r="G570" s="4">
        <f>SUMIFS(X!$F$5:$F$2005,X!$D$5:$D$2005,'Current Stock'!A570)</f>
        <v>0</v>
      </c>
      <c r="H570" s="4">
        <f>SUMIFS(PENJUALAN!$E$4:$E$11000,PENJUALAN!$C$4:$C$11000,'Current Stock'!A570)</f>
        <v>0</v>
      </c>
      <c r="I570" s="16">
        <f t="shared" si="2"/>
        <v>0</v>
      </c>
      <c r="J570" s="4"/>
      <c r="K570" s="4"/>
      <c r="L570" s="4"/>
      <c r="M570" s="4"/>
    </row>
    <row r="571" ht="13.5" customHeight="1">
      <c r="A571" s="4" t="str">
        <f t="shared" si="1"/>
        <v>RDR-DATSUNFY</v>
      </c>
      <c r="B571" s="29" t="s">
        <v>897</v>
      </c>
      <c r="C571" s="28" t="s">
        <v>895</v>
      </c>
      <c r="D571" s="28" t="s">
        <v>134</v>
      </c>
      <c r="E571" s="4" t="s">
        <v>111</v>
      </c>
      <c r="F571" s="28"/>
      <c r="G571" s="4">
        <f>SUMIFS(X!$F$5:$F$2005,X!$D$5:$D$2005,'Current Stock'!A571)</f>
        <v>0</v>
      </c>
      <c r="H571" s="4">
        <f>SUMIFS(PENJUALAN!$E$4:$E$11000,PENJUALAN!$C$4:$C$11000,'Current Stock'!A571)</f>
        <v>0</v>
      </c>
      <c r="I571" s="16">
        <f t="shared" si="2"/>
        <v>0</v>
      </c>
      <c r="J571" s="4"/>
      <c r="K571" s="4"/>
      <c r="L571" s="4"/>
      <c r="M571" s="4"/>
    </row>
    <row r="572" ht="13.5" customHeight="1">
      <c r="A572" s="4" t="str">
        <f t="shared" si="1"/>
        <v>LFW-ELGRAND02FY</v>
      </c>
      <c r="B572" s="29" t="s">
        <v>898</v>
      </c>
      <c r="C572" s="28" t="s">
        <v>899</v>
      </c>
      <c r="D572" s="28" t="s">
        <v>22</v>
      </c>
      <c r="E572" s="4" t="s">
        <v>111</v>
      </c>
      <c r="F572" s="28" t="s">
        <v>97</v>
      </c>
      <c r="G572" s="4">
        <f>SUMIFS(X!$F$5:$F$2005,X!$D$5:$D$2005,'Current Stock'!A572)</f>
        <v>0</v>
      </c>
      <c r="H572" s="4">
        <f>SUMIFS(PENJUALAN!$E$4:$E$11000,PENJUALAN!$C$4:$C$11000,'Current Stock'!A572)</f>
        <v>0</v>
      </c>
      <c r="I572" s="16">
        <f t="shared" si="2"/>
        <v>0</v>
      </c>
      <c r="J572" s="4"/>
      <c r="K572" s="4"/>
      <c r="L572" s="4"/>
      <c r="M572" s="4"/>
    </row>
    <row r="573" ht="13.5" customHeight="1">
      <c r="A573" s="4" t="str">
        <f t="shared" si="1"/>
        <v>TRW-ELGRAND02FY</v>
      </c>
      <c r="B573" s="29" t="s">
        <v>900</v>
      </c>
      <c r="C573" s="28" t="s">
        <v>899</v>
      </c>
      <c r="D573" s="28" t="s">
        <v>41</v>
      </c>
      <c r="E573" s="4" t="s">
        <v>111</v>
      </c>
      <c r="F573" s="28" t="s">
        <v>67</v>
      </c>
      <c r="G573" s="4">
        <f>SUMIFS(X!$F$5:$F$2005,X!$D$5:$D$2005,'Current Stock'!A573)</f>
        <v>0</v>
      </c>
      <c r="H573" s="4">
        <f>SUMIFS(PENJUALAN!$E$4:$E$11000,PENJUALAN!$C$4:$C$11000,'Current Stock'!A573)</f>
        <v>0</v>
      </c>
      <c r="I573" s="16">
        <f t="shared" si="2"/>
        <v>0</v>
      </c>
      <c r="J573" s="4"/>
      <c r="K573" s="4"/>
      <c r="L573" s="4"/>
      <c r="M573" s="4"/>
    </row>
    <row r="574" ht="13.5" customHeight="1">
      <c r="A574" s="4" t="str">
        <f t="shared" si="1"/>
        <v>FDL-ELGRAND02FY</v>
      </c>
      <c r="B574" s="29" t="s">
        <v>901</v>
      </c>
      <c r="C574" s="28" t="s">
        <v>899</v>
      </c>
      <c r="D574" s="28" t="s">
        <v>128</v>
      </c>
      <c r="E574" s="4" t="s">
        <v>111</v>
      </c>
      <c r="F574" s="28"/>
      <c r="G574" s="4">
        <f>SUMIFS(X!$F$5:$F$2005,X!$D$5:$D$2005,'Current Stock'!A574)</f>
        <v>0</v>
      </c>
      <c r="H574" s="4">
        <f>SUMIFS(PENJUALAN!$E$4:$E$11000,PENJUALAN!$C$4:$C$11000,'Current Stock'!A574)</f>
        <v>0</v>
      </c>
      <c r="I574" s="16">
        <f t="shared" si="2"/>
        <v>0</v>
      </c>
      <c r="J574" s="4"/>
      <c r="K574" s="4"/>
      <c r="L574" s="4"/>
      <c r="M574" s="4"/>
    </row>
    <row r="575" ht="13.5" customHeight="1">
      <c r="A575" s="4" t="str">
        <f t="shared" si="1"/>
        <v>FDR-ELGRAND02FY</v>
      </c>
      <c r="B575" s="29" t="s">
        <v>902</v>
      </c>
      <c r="C575" s="28" t="s">
        <v>899</v>
      </c>
      <c r="D575" s="28" t="s">
        <v>130</v>
      </c>
      <c r="E575" s="4" t="s">
        <v>111</v>
      </c>
      <c r="F575" s="28"/>
      <c r="G575" s="4">
        <f>SUMIFS(X!$F$5:$F$2005,X!$D$5:$D$2005,'Current Stock'!A575)</f>
        <v>0</v>
      </c>
      <c r="H575" s="4">
        <f>SUMIFS(PENJUALAN!$E$4:$E$11000,PENJUALAN!$C$4:$C$11000,'Current Stock'!A575)</f>
        <v>0</v>
      </c>
      <c r="I575" s="16">
        <f t="shared" si="2"/>
        <v>0</v>
      </c>
      <c r="J575" s="4"/>
      <c r="K575" s="4"/>
      <c r="L575" s="4"/>
      <c r="M575" s="4"/>
    </row>
    <row r="576" ht="13.5" customHeight="1">
      <c r="A576" s="4" t="str">
        <f t="shared" si="1"/>
        <v>SFL-ELGRAND02FY</v>
      </c>
      <c r="B576" s="29" t="s">
        <v>903</v>
      </c>
      <c r="C576" s="28" t="s">
        <v>899</v>
      </c>
      <c r="D576" s="28" t="s">
        <v>904</v>
      </c>
      <c r="E576" s="4" t="s">
        <v>111</v>
      </c>
      <c r="F576" s="28" t="s">
        <v>533</v>
      </c>
      <c r="G576" s="4">
        <f>SUMIFS(X!$F$5:$F$2005,X!$D$5:$D$2005,'Current Stock'!A576)</f>
        <v>0</v>
      </c>
      <c r="H576" s="4">
        <f>SUMIFS(PENJUALAN!$E$4:$E$11000,PENJUALAN!$C$4:$C$11000,'Current Stock'!A576)</f>
        <v>0</v>
      </c>
      <c r="I576" s="16">
        <f t="shared" si="2"/>
        <v>0</v>
      </c>
      <c r="J576" s="4"/>
      <c r="K576" s="4"/>
      <c r="L576" s="4"/>
      <c r="M576" s="4"/>
    </row>
    <row r="577" ht="13.5" customHeight="1">
      <c r="A577" s="4" t="str">
        <f t="shared" si="1"/>
        <v>SFR-ELGRAND02FY</v>
      </c>
      <c r="B577" s="29" t="s">
        <v>905</v>
      </c>
      <c r="C577" s="28" t="s">
        <v>899</v>
      </c>
      <c r="D577" s="28" t="s">
        <v>906</v>
      </c>
      <c r="E577" s="4" t="s">
        <v>111</v>
      </c>
      <c r="F577" s="28" t="s">
        <v>533</v>
      </c>
      <c r="G577" s="4">
        <f>SUMIFS(X!$F$5:$F$2005,X!$D$5:$D$2005,'Current Stock'!A577)</f>
        <v>0</v>
      </c>
      <c r="H577" s="4">
        <f>SUMIFS(PENJUALAN!$E$4:$E$11000,PENJUALAN!$C$4:$C$11000,'Current Stock'!A577)</f>
        <v>0</v>
      </c>
      <c r="I577" s="16">
        <f t="shared" si="2"/>
        <v>0</v>
      </c>
      <c r="J577" s="4"/>
      <c r="K577" s="4"/>
      <c r="L577" s="4"/>
      <c r="M577" s="4"/>
    </row>
    <row r="578" ht="13.5" customHeight="1">
      <c r="A578" s="4" t="str">
        <f t="shared" si="1"/>
        <v>SRL-ELGRAND02FY</v>
      </c>
      <c r="B578" s="29" t="s">
        <v>907</v>
      </c>
      <c r="C578" s="28" t="s">
        <v>899</v>
      </c>
      <c r="D578" s="28" t="s">
        <v>908</v>
      </c>
      <c r="E578" s="4" t="s">
        <v>111</v>
      </c>
      <c r="F578" s="28" t="s">
        <v>909</v>
      </c>
      <c r="G578" s="4">
        <f>SUMIFS(X!$F$5:$F$2005,X!$D$5:$D$2005,'Current Stock'!A578)</f>
        <v>0</v>
      </c>
      <c r="H578" s="4">
        <f>SUMIFS(PENJUALAN!$E$4:$E$11000,PENJUALAN!$C$4:$C$11000,'Current Stock'!A578)</f>
        <v>0</v>
      </c>
      <c r="I578" s="16">
        <f t="shared" si="2"/>
        <v>0</v>
      </c>
      <c r="J578" s="4"/>
      <c r="K578" s="4"/>
      <c r="L578" s="4"/>
      <c r="M578" s="4"/>
    </row>
    <row r="579" ht="13.5" customHeight="1">
      <c r="A579" s="4" t="str">
        <f t="shared" si="1"/>
        <v>SRR-ELGRAND02FY</v>
      </c>
      <c r="B579" s="29" t="s">
        <v>910</v>
      </c>
      <c r="C579" s="28" t="s">
        <v>899</v>
      </c>
      <c r="D579" s="28" t="s">
        <v>911</v>
      </c>
      <c r="E579" s="4" t="s">
        <v>111</v>
      </c>
      <c r="F579" s="28" t="s">
        <v>909</v>
      </c>
      <c r="G579" s="4">
        <f>SUMIFS(X!$F$5:$F$2005,X!$D$5:$D$2005,'Current Stock'!A579)</f>
        <v>0</v>
      </c>
      <c r="H579" s="4">
        <f>SUMIFS(PENJUALAN!$E$4:$E$11000,PENJUALAN!$C$4:$C$11000,'Current Stock'!A579)</f>
        <v>0</v>
      </c>
      <c r="I579" s="16">
        <f t="shared" si="2"/>
        <v>0</v>
      </c>
      <c r="J579" s="4"/>
      <c r="K579" s="4"/>
      <c r="L579" s="4"/>
      <c r="M579" s="4"/>
    </row>
    <row r="580" ht="13.5" customHeight="1">
      <c r="A580" s="4" t="str">
        <f t="shared" si="1"/>
        <v>LFW-ELGRAND10FY</v>
      </c>
      <c r="B580" s="29" t="s">
        <v>912</v>
      </c>
      <c r="C580" s="28" t="s">
        <v>913</v>
      </c>
      <c r="D580" s="28" t="s">
        <v>22</v>
      </c>
      <c r="E580" s="4" t="s">
        <v>111</v>
      </c>
      <c r="F580" s="28" t="s">
        <v>125</v>
      </c>
      <c r="G580" s="4">
        <f>SUMIFS(X!$F$5:$F$2005,X!$D$5:$D$2005,'Current Stock'!A580)</f>
        <v>0</v>
      </c>
      <c r="H580" s="4">
        <f>SUMIFS(PENJUALAN!$E$4:$E$11000,PENJUALAN!$C$4:$C$11000,'Current Stock'!A580)</f>
        <v>0</v>
      </c>
      <c r="I580" s="16">
        <f t="shared" si="2"/>
        <v>0</v>
      </c>
      <c r="J580" s="4"/>
      <c r="K580" s="4"/>
      <c r="L580" s="4"/>
      <c r="M580" s="4"/>
    </row>
    <row r="581" ht="13.5" customHeight="1">
      <c r="A581" s="4" t="str">
        <f t="shared" si="1"/>
        <v>TRW-ELGRAND10FY</v>
      </c>
      <c r="B581" s="29" t="s">
        <v>914</v>
      </c>
      <c r="C581" s="28" t="s">
        <v>913</v>
      </c>
      <c r="D581" s="28" t="s">
        <v>41</v>
      </c>
      <c r="E581" s="4" t="s">
        <v>111</v>
      </c>
      <c r="F581" s="28" t="s">
        <v>221</v>
      </c>
      <c r="G581" s="4">
        <f>SUMIFS(X!$F$5:$F$2005,X!$D$5:$D$2005,'Current Stock'!A581)</f>
        <v>0</v>
      </c>
      <c r="H581" s="4">
        <f>SUMIFS(PENJUALAN!$E$4:$E$11000,PENJUALAN!$C$4:$C$11000,'Current Stock'!A581)</f>
        <v>0</v>
      </c>
      <c r="I581" s="16">
        <f t="shared" si="2"/>
        <v>0</v>
      </c>
      <c r="J581" s="4"/>
      <c r="K581" s="4"/>
      <c r="L581" s="4"/>
      <c r="M581" s="4"/>
    </row>
    <row r="582" ht="13.5" customHeight="1">
      <c r="A582" s="4" t="str">
        <f t="shared" si="1"/>
        <v>RDL-ELGRAND10FY</v>
      </c>
      <c r="B582" s="29" t="s">
        <v>915</v>
      </c>
      <c r="C582" s="28" t="s">
        <v>913</v>
      </c>
      <c r="D582" s="28" t="s">
        <v>132</v>
      </c>
      <c r="E582" s="4" t="s">
        <v>111</v>
      </c>
      <c r="F582" s="28" t="s">
        <v>466</v>
      </c>
      <c r="G582" s="4">
        <f>SUMIFS(X!$F$5:$F$2005,X!$D$5:$D$2005,'Current Stock'!A582)</f>
        <v>0</v>
      </c>
      <c r="H582" s="4">
        <f>SUMIFS(PENJUALAN!$E$4:$E$11000,PENJUALAN!$C$4:$C$11000,'Current Stock'!A582)</f>
        <v>0</v>
      </c>
      <c r="I582" s="16">
        <f t="shared" si="2"/>
        <v>0</v>
      </c>
      <c r="J582" s="4"/>
      <c r="K582" s="4"/>
      <c r="L582" s="4"/>
      <c r="M582" s="4"/>
    </row>
    <row r="583" ht="13.5" customHeight="1">
      <c r="A583" s="4" t="str">
        <f t="shared" si="1"/>
        <v>RDR-ELGRAND10FY</v>
      </c>
      <c r="B583" s="29" t="s">
        <v>916</v>
      </c>
      <c r="C583" s="28" t="s">
        <v>913</v>
      </c>
      <c r="D583" s="28" t="s">
        <v>134</v>
      </c>
      <c r="E583" s="4" t="s">
        <v>111</v>
      </c>
      <c r="F583" s="28" t="s">
        <v>466</v>
      </c>
      <c r="G583" s="4">
        <f>SUMIFS(X!$F$5:$F$2005,X!$D$5:$D$2005,'Current Stock'!A583)</f>
        <v>0</v>
      </c>
      <c r="H583" s="4">
        <f>SUMIFS(PENJUALAN!$E$4:$E$11000,PENJUALAN!$C$4:$C$11000,'Current Stock'!A583)</f>
        <v>0</v>
      </c>
      <c r="I583" s="16">
        <f t="shared" si="2"/>
        <v>0</v>
      </c>
      <c r="J583" s="4"/>
      <c r="K583" s="4"/>
      <c r="L583" s="4"/>
      <c r="M583" s="4"/>
    </row>
    <row r="584" ht="13.5" customHeight="1">
      <c r="A584" s="4" t="str">
        <f t="shared" si="1"/>
        <v>SWL-ELGRAND10FY</v>
      </c>
      <c r="B584" s="29" t="s">
        <v>917</v>
      </c>
      <c r="C584" s="28" t="s">
        <v>913</v>
      </c>
      <c r="D584" s="28" t="s">
        <v>202</v>
      </c>
      <c r="E584" s="4" t="s">
        <v>111</v>
      </c>
      <c r="F584" s="28" t="s">
        <v>97</v>
      </c>
      <c r="G584" s="4">
        <f>SUMIFS(X!$F$5:$F$2005,X!$D$5:$D$2005,'Current Stock'!A584)</f>
        <v>0</v>
      </c>
      <c r="H584" s="4">
        <f>SUMIFS(PENJUALAN!$E$4:$E$11000,PENJUALAN!$C$4:$C$11000,'Current Stock'!A584)</f>
        <v>0</v>
      </c>
      <c r="I584" s="16">
        <f t="shared" si="2"/>
        <v>0</v>
      </c>
      <c r="J584" s="4"/>
      <c r="K584" s="4"/>
      <c r="L584" s="4"/>
      <c r="M584" s="4"/>
    </row>
    <row r="585" ht="13.5" customHeight="1">
      <c r="A585" s="4" t="str">
        <f t="shared" si="1"/>
        <v>SWR-ELGRAND10FY</v>
      </c>
      <c r="B585" s="29" t="s">
        <v>918</v>
      </c>
      <c r="C585" s="28" t="s">
        <v>913</v>
      </c>
      <c r="D585" s="28" t="s">
        <v>236</v>
      </c>
      <c r="E585" s="4" t="s">
        <v>111</v>
      </c>
      <c r="F585" s="28" t="s">
        <v>97</v>
      </c>
      <c r="G585" s="4">
        <f>SUMIFS(X!$F$5:$F$2005,X!$D$5:$D$2005,'Current Stock'!A585)</f>
        <v>0</v>
      </c>
      <c r="H585" s="4">
        <f>SUMIFS(PENJUALAN!$E$4:$E$11000,PENJUALAN!$C$4:$C$11000,'Current Stock'!A585)</f>
        <v>0</v>
      </c>
      <c r="I585" s="16">
        <f t="shared" si="2"/>
        <v>0</v>
      </c>
      <c r="J585" s="4"/>
      <c r="K585" s="4"/>
      <c r="L585" s="4"/>
      <c r="M585" s="4"/>
    </row>
    <row r="586" ht="13.5" customHeight="1">
      <c r="A586" s="4" t="str">
        <f t="shared" si="1"/>
        <v>LFW-EVALIAFY</v>
      </c>
      <c r="B586" s="29" t="s">
        <v>919</v>
      </c>
      <c r="C586" s="28" t="s">
        <v>920</v>
      </c>
      <c r="D586" s="28" t="s">
        <v>22</v>
      </c>
      <c r="E586" s="4" t="s">
        <v>111</v>
      </c>
      <c r="F586" s="28" t="s">
        <v>97</v>
      </c>
      <c r="G586" s="4">
        <f>SUMIFS(X!$F$5:$F$2005,X!$D$5:$D$2005,'Current Stock'!A586)</f>
        <v>0</v>
      </c>
      <c r="H586" s="4">
        <f>SUMIFS(PENJUALAN!$E$4:$E$11000,PENJUALAN!$C$4:$C$11000,'Current Stock'!A586)</f>
        <v>0</v>
      </c>
      <c r="I586" s="16">
        <f t="shared" si="2"/>
        <v>0</v>
      </c>
      <c r="J586" s="4"/>
      <c r="K586" s="4"/>
      <c r="L586" s="4"/>
      <c r="M586" s="4"/>
    </row>
    <row r="587" ht="13.5" customHeight="1">
      <c r="A587" s="4" t="str">
        <f t="shared" si="1"/>
        <v>SRL-EVALIAFY</v>
      </c>
      <c r="B587" s="29" t="s">
        <v>921</v>
      </c>
      <c r="C587" s="28" t="s">
        <v>920</v>
      </c>
      <c r="D587" s="28" t="s">
        <v>908</v>
      </c>
      <c r="E587" s="4" t="s">
        <v>111</v>
      </c>
      <c r="F587" s="28" t="s">
        <v>97</v>
      </c>
      <c r="G587" s="4">
        <f>SUMIFS(X!$F$5:$F$2005,X!$D$5:$D$2005,'Current Stock'!A587)</f>
        <v>0</v>
      </c>
      <c r="H587" s="4">
        <f>SUMIFS(PENJUALAN!$E$4:$E$11000,PENJUALAN!$C$4:$C$11000,'Current Stock'!A587)</f>
        <v>0</v>
      </c>
      <c r="I587" s="16">
        <f t="shared" si="2"/>
        <v>0</v>
      </c>
      <c r="J587" s="4"/>
      <c r="K587" s="4"/>
      <c r="L587" s="4"/>
      <c r="M587" s="4"/>
    </row>
    <row r="588" ht="13.5" customHeight="1">
      <c r="A588" s="4" t="str">
        <f t="shared" si="1"/>
        <v>TRW-NAVARA97FY</v>
      </c>
      <c r="B588" s="29" t="s">
        <v>922</v>
      </c>
      <c r="C588" s="28" t="s">
        <v>923</v>
      </c>
      <c r="D588" s="28" t="s">
        <v>41</v>
      </c>
      <c r="E588" s="4" t="s">
        <v>111</v>
      </c>
      <c r="F588" s="28"/>
      <c r="G588" s="4">
        <f>SUMIFS(X!$F$5:$F$2005,X!$D$5:$D$2005,'Current Stock'!A588)</f>
        <v>0</v>
      </c>
      <c r="H588" s="4">
        <f>SUMIFS(PENJUALAN!$E$4:$E$11000,PENJUALAN!$C$4:$C$11000,'Current Stock'!A588)</f>
        <v>0</v>
      </c>
      <c r="I588" s="16">
        <f t="shared" si="2"/>
        <v>0</v>
      </c>
      <c r="J588" s="4"/>
      <c r="K588" s="4"/>
      <c r="L588" s="4"/>
      <c r="M588" s="4"/>
    </row>
    <row r="589" ht="13.5" customHeight="1">
      <c r="A589" s="4" t="str">
        <f t="shared" si="1"/>
        <v>LFW-NAVARA04FY</v>
      </c>
      <c r="B589" s="29" t="s">
        <v>924</v>
      </c>
      <c r="C589" s="28" t="s">
        <v>925</v>
      </c>
      <c r="D589" s="28" t="s">
        <v>22</v>
      </c>
      <c r="E589" s="4" t="s">
        <v>111</v>
      </c>
      <c r="F589" s="28" t="s">
        <v>125</v>
      </c>
      <c r="G589" s="4">
        <f>SUMIFS(X!$F$5:$F$2005,X!$D$5:$D$2005,'Current Stock'!A589)</f>
        <v>0</v>
      </c>
      <c r="H589" s="4">
        <f>SUMIFS(PENJUALAN!$E$4:$E$11000,PENJUALAN!$C$4:$C$11000,'Current Stock'!A589)</f>
        <v>0</v>
      </c>
      <c r="I589" s="16">
        <f t="shared" si="2"/>
        <v>0</v>
      </c>
      <c r="J589" s="4"/>
      <c r="K589" s="4"/>
      <c r="L589" s="4"/>
      <c r="M589" s="4"/>
    </row>
    <row r="590" ht="13.5" customHeight="1">
      <c r="A590" s="4" t="str">
        <f t="shared" si="1"/>
        <v>TRW-NAVARA04FY</v>
      </c>
      <c r="B590" s="29" t="s">
        <v>926</v>
      </c>
      <c r="C590" s="28" t="s">
        <v>925</v>
      </c>
      <c r="D590" s="28" t="s">
        <v>41</v>
      </c>
      <c r="E590" s="4" t="s">
        <v>111</v>
      </c>
      <c r="F590" s="28" t="s">
        <v>67</v>
      </c>
      <c r="G590" s="4">
        <f>SUMIFS(X!$F$5:$F$2005,X!$D$5:$D$2005,'Current Stock'!A590)</f>
        <v>0</v>
      </c>
      <c r="H590" s="4">
        <f>SUMIFS(PENJUALAN!$E$4:$E$11000,PENJUALAN!$C$4:$C$11000,'Current Stock'!A590)</f>
        <v>0</v>
      </c>
      <c r="I590" s="16">
        <f t="shared" si="2"/>
        <v>0</v>
      </c>
      <c r="J590" s="4"/>
      <c r="K590" s="4"/>
      <c r="L590" s="4"/>
      <c r="M590" s="4"/>
    </row>
    <row r="591" ht="13.5" customHeight="1">
      <c r="A591" s="4" t="str">
        <f t="shared" si="1"/>
        <v>LFW-JUKEFY</v>
      </c>
      <c r="B591" s="29" t="s">
        <v>927</v>
      </c>
      <c r="C591" s="28" t="s">
        <v>928</v>
      </c>
      <c r="D591" s="28" t="s">
        <v>22</v>
      </c>
      <c r="E591" s="4" t="s">
        <v>111</v>
      </c>
      <c r="F591" s="28" t="s">
        <v>125</v>
      </c>
      <c r="G591" s="4">
        <f>SUMIFS(X!$F$5:$F$2005,X!$D$5:$D$2005,'Current Stock'!A591)</f>
        <v>0</v>
      </c>
      <c r="H591" s="4">
        <f>SUMIFS(PENJUALAN!$E$4:$E$11000,PENJUALAN!$C$4:$C$11000,'Current Stock'!A591)</f>
        <v>0</v>
      </c>
      <c r="I591" s="16">
        <f t="shared" si="2"/>
        <v>0</v>
      </c>
      <c r="J591" s="4"/>
      <c r="K591" s="4"/>
      <c r="L591" s="4"/>
      <c r="M591" s="4"/>
    </row>
    <row r="592" ht="13.5" customHeight="1">
      <c r="A592" s="4" t="str">
        <f t="shared" si="1"/>
        <v>TRW-JUKEFY</v>
      </c>
      <c r="B592" s="29" t="s">
        <v>929</v>
      </c>
      <c r="C592" s="28" t="s">
        <v>928</v>
      </c>
      <c r="D592" s="28" t="s">
        <v>41</v>
      </c>
      <c r="E592" s="4" t="s">
        <v>111</v>
      </c>
      <c r="F592" s="28" t="s">
        <v>221</v>
      </c>
      <c r="G592" s="4">
        <f>SUMIFS(X!$F$5:$F$2005,X!$D$5:$D$2005,'Current Stock'!A592)</f>
        <v>0</v>
      </c>
      <c r="H592" s="4">
        <f>SUMIFS(PENJUALAN!$E$4:$E$11000,PENJUALAN!$C$4:$C$11000,'Current Stock'!A592)</f>
        <v>0</v>
      </c>
      <c r="I592" s="16">
        <f t="shared" si="2"/>
        <v>0</v>
      </c>
      <c r="J592" s="4"/>
      <c r="K592" s="4"/>
      <c r="L592" s="4"/>
      <c r="M592" s="4"/>
    </row>
    <row r="593" ht="13.5" customHeight="1">
      <c r="A593" s="4" t="str">
        <f t="shared" si="1"/>
        <v>FDL-JUKEFY</v>
      </c>
      <c r="B593" s="29" t="s">
        <v>930</v>
      </c>
      <c r="C593" s="28" t="s">
        <v>928</v>
      </c>
      <c r="D593" s="28" t="s">
        <v>128</v>
      </c>
      <c r="E593" s="4" t="s">
        <v>111</v>
      </c>
      <c r="F593" s="28"/>
      <c r="G593" s="4">
        <f>SUMIFS(X!$F$5:$F$2005,X!$D$5:$D$2005,'Current Stock'!A593)</f>
        <v>0</v>
      </c>
      <c r="H593" s="4">
        <f>SUMIFS(PENJUALAN!$E$4:$E$11000,PENJUALAN!$C$4:$C$11000,'Current Stock'!A593)</f>
        <v>0</v>
      </c>
      <c r="I593" s="16">
        <f t="shared" si="2"/>
        <v>0</v>
      </c>
      <c r="J593" s="4"/>
      <c r="K593" s="4"/>
      <c r="L593" s="4"/>
      <c r="M593" s="4"/>
    </row>
    <row r="594" ht="13.5" customHeight="1">
      <c r="A594" s="4" t="str">
        <f t="shared" si="1"/>
        <v>FDR-JUKEFY</v>
      </c>
      <c r="B594" s="29" t="s">
        <v>931</v>
      </c>
      <c r="C594" s="28" t="s">
        <v>928</v>
      </c>
      <c r="D594" s="28" t="s">
        <v>130</v>
      </c>
      <c r="E594" s="4" t="s">
        <v>111</v>
      </c>
      <c r="F594" s="28"/>
      <c r="G594" s="4">
        <f>SUMIFS(X!$F$5:$F$2005,X!$D$5:$D$2005,'Current Stock'!A594)</f>
        <v>0</v>
      </c>
      <c r="H594" s="4">
        <f>SUMIFS(PENJUALAN!$E$4:$E$11000,PENJUALAN!$C$4:$C$11000,'Current Stock'!A594)</f>
        <v>0</v>
      </c>
      <c r="I594" s="16">
        <f t="shared" si="2"/>
        <v>0</v>
      </c>
      <c r="J594" s="4"/>
      <c r="K594" s="4"/>
      <c r="L594" s="4"/>
      <c r="M594" s="4"/>
    </row>
    <row r="595" ht="13.5" customHeight="1">
      <c r="A595" s="4" t="str">
        <f t="shared" si="1"/>
        <v>RDL-JUKEFY</v>
      </c>
      <c r="B595" s="29" t="s">
        <v>932</v>
      </c>
      <c r="C595" s="28" t="s">
        <v>928</v>
      </c>
      <c r="D595" s="28" t="s">
        <v>132</v>
      </c>
      <c r="E595" s="4" t="s">
        <v>111</v>
      </c>
      <c r="F595" s="28"/>
      <c r="G595" s="4">
        <f>SUMIFS(X!$F$5:$F$2005,X!$D$5:$D$2005,'Current Stock'!A595)</f>
        <v>0</v>
      </c>
      <c r="H595" s="4">
        <f>SUMIFS(PENJUALAN!$E$4:$E$11000,PENJUALAN!$C$4:$C$11000,'Current Stock'!A595)</f>
        <v>0</v>
      </c>
      <c r="I595" s="16">
        <f t="shared" si="2"/>
        <v>0</v>
      </c>
      <c r="J595" s="4"/>
      <c r="K595" s="4"/>
      <c r="L595" s="4"/>
      <c r="M595" s="4"/>
    </row>
    <row r="596" ht="13.5" customHeight="1">
      <c r="A596" s="4" t="str">
        <f t="shared" si="1"/>
        <v>RDR-JUKEFY</v>
      </c>
      <c r="B596" s="29" t="s">
        <v>933</v>
      </c>
      <c r="C596" s="28" t="s">
        <v>928</v>
      </c>
      <c r="D596" s="28" t="s">
        <v>134</v>
      </c>
      <c r="E596" s="4" t="s">
        <v>111</v>
      </c>
      <c r="F596" s="28"/>
      <c r="G596" s="4">
        <f>SUMIFS(X!$F$5:$F$2005,X!$D$5:$D$2005,'Current Stock'!A596)</f>
        <v>0</v>
      </c>
      <c r="H596" s="4">
        <f>SUMIFS(PENJUALAN!$E$4:$E$11000,PENJUALAN!$C$4:$C$11000,'Current Stock'!A596)</f>
        <v>0</v>
      </c>
      <c r="I596" s="16">
        <f t="shared" si="2"/>
        <v>0</v>
      </c>
      <c r="J596" s="4"/>
      <c r="K596" s="4"/>
      <c r="L596" s="4"/>
      <c r="M596" s="4"/>
    </row>
    <row r="597" ht="13.5" customHeight="1">
      <c r="A597" s="4" t="str">
        <f t="shared" si="1"/>
        <v>LFW-LIVINA07FY</v>
      </c>
      <c r="B597" s="29" t="s">
        <v>934</v>
      </c>
      <c r="C597" s="28" t="s">
        <v>935</v>
      </c>
      <c r="D597" s="28" t="s">
        <v>22</v>
      </c>
      <c r="E597" s="4" t="s">
        <v>111</v>
      </c>
      <c r="F597" s="28" t="s">
        <v>125</v>
      </c>
      <c r="G597" s="4">
        <f>SUMIFS(X!$F$5:$F$2005,X!$D$5:$D$2005,'Current Stock'!A597)</f>
        <v>0</v>
      </c>
      <c r="H597" s="4">
        <f>SUMIFS(PENJUALAN!$E$4:$E$11000,PENJUALAN!$C$4:$C$11000,'Current Stock'!A597)</f>
        <v>0</v>
      </c>
      <c r="I597" s="16">
        <f t="shared" si="2"/>
        <v>0</v>
      </c>
      <c r="J597" s="4"/>
      <c r="K597" s="4"/>
      <c r="L597" s="4"/>
      <c r="M597" s="4"/>
    </row>
    <row r="598" ht="13.5" customHeight="1">
      <c r="A598" s="4" t="str">
        <f t="shared" si="1"/>
        <v>TRW-LIVINA07FY</v>
      </c>
      <c r="B598" s="29" t="s">
        <v>936</v>
      </c>
      <c r="C598" s="28" t="s">
        <v>937</v>
      </c>
      <c r="D598" s="28" t="s">
        <v>41</v>
      </c>
      <c r="E598" s="4" t="s">
        <v>111</v>
      </c>
      <c r="F598" s="28" t="s">
        <v>67</v>
      </c>
      <c r="G598" s="4">
        <f>SUMIFS(X!$F$5:$F$2005,X!$D$5:$D$2005,'Current Stock'!A598)</f>
        <v>0</v>
      </c>
      <c r="H598" s="4">
        <f>SUMIFS(PENJUALAN!$E$4:$E$11000,PENJUALAN!$C$4:$C$11000,'Current Stock'!A598)</f>
        <v>0</v>
      </c>
      <c r="I598" s="16">
        <f t="shared" si="2"/>
        <v>0</v>
      </c>
      <c r="J598" s="4"/>
      <c r="K598" s="4"/>
      <c r="L598" s="4"/>
      <c r="M598" s="4"/>
    </row>
    <row r="599" ht="13.5" customHeight="1">
      <c r="A599" s="4" t="str">
        <f t="shared" si="1"/>
        <v>FDL-LIVINA07FY</v>
      </c>
      <c r="B599" s="29" t="s">
        <v>938</v>
      </c>
      <c r="C599" s="28" t="s">
        <v>935</v>
      </c>
      <c r="D599" s="28" t="s">
        <v>128</v>
      </c>
      <c r="E599" s="4" t="s">
        <v>111</v>
      </c>
      <c r="F599" s="28"/>
      <c r="G599" s="4">
        <f>SUMIFS(X!$F$5:$F$2005,X!$D$5:$D$2005,'Current Stock'!A599)</f>
        <v>0</v>
      </c>
      <c r="H599" s="4">
        <f>SUMIFS(PENJUALAN!$E$4:$E$11000,PENJUALAN!$C$4:$C$11000,'Current Stock'!A599)</f>
        <v>0</v>
      </c>
      <c r="I599" s="16">
        <f t="shared" si="2"/>
        <v>0</v>
      </c>
      <c r="J599" s="4"/>
      <c r="K599" s="4"/>
      <c r="L599" s="4"/>
      <c r="M599" s="4"/>
    </row>
    <row r="600" ht="13.5" customHeight="1">
      <c r="A600" s="4" t="str">
        <f t="shared" si="1"/>
        <v>LFW-MARCHFY</v>
      </c>
      <c r="B600" s="29" t="s">
        <v>939</v>
      </c>
      <c r="C600" s="28" t="s">
        <v>940</v>
      </c>
      <c r="D600" s="28" t="s">
        <v>22</v>
      </c>
      <c r="E600" s="4" t="s">
        <v>111</v>
      </c>
      <c r="F600" s="28" t="s">
        <v>125</v>
      </c>
      <c r="G600" s="4">
        <f>SUMIFS(X!$F$5:$F$2005,X!$D$5:$D$2005,'Current Stock'!A600)</f>
        <v>0</v>
      </c>
      <c r="H600" s="4">
        <f>SUMIFS(PENJUALAN!$E$4:$E$11000,PENJUALAN!$C$4:$C$11000,'Current Stock'!A600)</f>
        <v>0</v>
      </c>
      <c r="I600" s="16">
        <f t="shared" si="2"/>
        <v>0</v>
      </c>
      <c r="J600" s="4"/>
      <c r="K600" s="4"/>
      <c r="L600" s="4"/>
      <c r="M600" s="4"/>
    </row>
    <row r="601" ht="13.5" customHeight="1">
      <c r="A601" s="4" t="str">
        <f t="shared" si="1"/>
        <v>TRW-MARCHFY</v>
      </c>
      <c r="B601" s="29" t="s">
        <v>941</v>
      </c>
      <c r="C601" s="28" t="s">
        <v>940</v>
      </c>
      <c r="D601" s="28" t="s">
        <v>41</v>
      </c>
      <c r="E601" s="4" t="s">
        <v>111</v>
      </c>
      <c r="F601" s="28" t="s">
        <v>67</v>
      </c>
      <c r="G601" s="4">
        <f>SUMIFS(X!$F$5:$F$2005,X!$D$5:$D$2005,'Current Stock'!A601)</f>
        <v>0</v>
      </c>
      <c r="H601" s="4">
        <f>SUMIFS(PENJUALAN!$E$4:$E$11000,PENJUALAN!$C$4:$C$11000,'Current Stock'!A601)</f>
        <v>0</v>
      </c>
      <c r="I601" s="16">
        <f t="shared" si="2"/>
        <v>0</v>
      </c>
      <c r="J601" s="4"/>
      <c r="K601" s="4"/>
      <c r="L601" s="4"/>
      <c r="M601" s="4"/>
    </row>
    <row r="602" ht="13.5" customHeight="1">
      <c r="A602" s="4" t="str">
        <f t="shared" si="1"/>
        <v>FDL-MARCHFY</v>
      </c>
      <c r="B602" s="29" t="s">
        <v>942</v>
      </c>
      <c r="C602" s="28" t="s">
        <v>940</v>
      </c>
      <c r="D602" s="28" t="s">
        <v>128</v>
      </c>
      <c r="E602" s="4" t="s">
        <v>111</v>
      </c>
      <c r="F602" s="28"/>
      <c r="G602" s="4">
        <f>SUMIFS(X!$F$5:$F$2005,X!$D$5:$D$2005,'Current Stock'!A602)</f>
        <v>0</v>
      </c>
      <c r="H602" s="4">
        <f>SUMIFS(PENJUALAN!$E$4:$E$11000,PENJUALAN!$C$4:$C$11000,'Current Stock'!A602)</f>
        <v>0</v>
      </c>
      <c r="I602" s="16">
        <f t="shared" si="2"/>
        <v>0</v>
      </c>
      <c r="J602" s="4"/>
      <c r="K602" s="4"/>
      <c r="L602" s="4"/>
      <c r="M602" s="4"/>
    </row>
    <row r="603" ht="13.5" customHeight="1">
      <c r="A603" s="4" t="str">
        <f t="shared" si="1"/>
        <v>FDR-MARCHFY</v>
      </c>
      <c r="B603" s="29" t="s">
        <v>943</v>
      </c>
      <c r="C603" s="28" t="s">
        <v>940</v>
      </c>
      <c r="D603" s="28" t="s">
        <v>130</v>
      </c>
      <c r="E603" s="4" t="s">
        <v>111</v>
      </c>
      <c r="F603" s="28"/>
      <c r="G603" s="4">
        <f>SUMIFS(X!$F$5:$F$2005,X!$D$5:$D$2005,'Current Stock'!A603)</f>
        <v>0</v>
      </c>
      <c r="H603" s="4">
        <f>SUMIFS(PENJUALAN!$E$4:$E$11000,PENJUALAN!$C$4:$C$11000,'Current Stock'!A603)</f>
        <v>0</v>
      </c>
      <c r="I603" s="16">
        <f t="shared" si="2"/>
        <v>0</v>
      </c>
      <c r="J603" s="4"/>
      <c r="K603" s="4"/>
      <c r="L603" s="4"/>
      <c r="M603" s="4"/>
    </row>
    <row r="604" ht="13.5" customHeight="1">
      <c r="A604" s="4" t="str">
        <f t="shared" si="1"/>
        <v>RDL-MARCHFY</v>
      </c>
      <c r="B604" s="29" t="s">
        <v>944</v>
      </c>
      <c r="C604" s="28" t="s">
        <v>940</v>
      </c>
      <c r="D604" s="28" t="s">
        <v>132</v>
      </c>
      <c r="E604" s="4" t="s">
        <v>111</v>
      </c>
      <c r="F604" s="28"/>
      <c r="G604" s="4">
        <f>SUMIFS(X!$F$5:$F$2005,X!$D$5:$D$2005,'Current Stock'!A604)</f>
        <v>0</v>
      </c>
      <c r="H604" s="4">
        <f>SUMIFS(PENJUALAN!$E$4:$E$11000,PENJUALAN!$C$4:$C$11000,'Current Stock'!A604)</f>
        <v>0</v>
      </c>
      <c r="I604" s="16">
        <f t="shared" si="2"/>
        <v>0</v>
      </c>
      <c r="J604" s="4"/>
      <c r="K604" s="4"/>
      <c r="L604" s="4"/>
      <c r="M604" s="4"/>
    </row>
    <row r="605" ht="13.5" customHeight="1">
      <c r="A605" s="4" t="str">
        <f t="shared" si="1"/>
        <v>RDR-MARCHFY</v>
      </c>
      <c r="B605" s="29" t="s">
        <v>945</v>
      </c>
      <c r="C605" s="28" t="s">
        <v>940</v>
      </c>
      <c r="D605" s="28" t="s">
        <v>134</v>
      </c>
      <c r="E605" s="4" t="s">
        <v>111</v>
      </c>
      <c r="F605" s="28"/>
      <c r="G605" s="4">
        <f>SUMIFS(X!$F$5:$F$2005,X!$D$5:$D$2005,'Current Stock'!A605)</f>
        <v>0</v>
      </c>
      <c r="H605" s="4">
        <f>SUMIFS(PENJUALAN!$E$4:$E$11000,PENJUALAN!$C$4:$C$11000,'Current Stock'!A605)</f>
        <v>0</v>
      </c>
      <c r="I605" s="16">
        <f t="shared" si="2"/>
        <v>0</v>
      </c>
      <c r="J605" s="4"/>
      <c r="K605" s="4"/>
      <c r="L605" s="4"/>
      <c r="M605" s="4"/>
    </row>
    <row r="606" ht="13.5" customHeight="1">
      <c r="A606" s="4" t="str">
        <f t="shared" si="1"/>
        <v>LFW-MURANO02FY</v>
      </c>
      <c r="B606" s="29" t="s">
        <v>946</v>
      </c>
      <c r="C606" s="28" t="s">
        <v>947</v>
      </c>
      <c r="D606" s="28" t="s">
        <v>22</v>
      </c>
      <c r="E606" s="4" t="s">
        <v>111</v>
      </c>
      <c r="F606" s="28" t="s">
        <v>125</v>
      </c>
      <c r="G606" s="4">
        <f>SUMIFS(X!$F$5:$F$2005,X!$D$5:$D$2005,'Current Stock'!A606)</f>
        <v>0</v>
      </c>
      <c r="H606" s="4">
        <f>SUMIFS(PENJUALAN!$E$4:$E$11000,PENJUALAN!$C$4:$C$11000,'Current Stock'!A606)</f>
        <v>0</v>
      </c>
      <c r="I606" s="16">
        <f t="shared" si="2"/>
        <v>0</v>
      </c>
      <c r="J606" s="4"/>
      <c r="K606" s="4"/>
      <c r="L606" s="4"/>
      <c r="M606" s="4"/>
    </row>
    <row r="607" ht="13.5" customHeight="1">
      <c r="A607" s="4" t="str">
        <f t="shared" si="1"/>
        <v>TRW-MURANO02FY</v>
      </c>
      <c r="B607" s="29" t="s">
        <v>948</v>
      </c>
      <c r="C607" s="28" t="s">
        <v>947</v>
      </c>
      <c r="D607" s="28" t="s">
        <v>41</v>
      </c>
      <c r="E607" s="4" t="s">
        <v>111</v>
      </c>
      <c r="F607" s="28" t="s">
        <v>221</v>
      </c>
      <c r="G607" s="4">
        <f>SUMIFS(X!$F$5:$F$2005,X!$D$5:$D$2005,'Current Stock'!A607)</f>
        <v>0</v>
      </c>
      <c r="H607" s="4">
        <f>SUMIFS(PENJUALAN!$E$4:$E$11000,PENJUALAN!$C$4:$C$11000,'Current Stock'!A607)</f>
        <v>0</v>
      </c>
      <c r="I607" s="16">
        <f t="shared" si="2"/>
        <v>0</v>
      </c>
      <c r="J607" s="4"/>
      <c r="K607" s="4"/>
      <c r="L607" s="4"/>
      <c r="M607" s="4"/>
    </row>
    <row r="608" ht="13.5" customHeight="1">
      <c r="A608" s="4" t="str">
        <f t="shared" si="1"/>
        <v>LFW-MURANO08FY</v>
      </c>
      <c r="B608" s="29" t="s">
        <v>949</v>
      </c>
      <c r="C608" s="28" t="s">
        <v>950</v>
      </c>
      <c r="D608" s="28" t="s">
        <v>22</v>
      </c>
      <c r="E608" s="4" t="s">
        <v>111</v>
      </c>
      <c r="F608" s="28" t="s">
        <v>125</v>
      </c>
      <c r="G608" s="4">
        <f>SUMIFS(X!$F$5:$F$2005,X!$D$5:$D$2005,'Current Stock'!A608)</f>
        <v>0</v>
      </c>
      <c r="H608" s="4">
        <f>SUMIFS(PENJUALAN!$E$4:$E$11000,PENJUALAN!$C$4:$C$11000,'Current Stock'!A608)</f>
        <v>0</v>
      </c>
      <c r="I608" s="16">
        <f t="shared" si="2"/>
        <v>0</v>
      </c>
      <c r="J608" s="4"/>
      <c r="K608" s="4"/>
      <c r="L608" s="4"/>
      <c r="M608" s="4"/>
    </row>
    <row r="609" ht="13.5" customHeight="1">
      <c r="A609" s="4" t="str">
        <f t="shared" si="1"/>
        <v>TRW-MURANO08FY</v>
      </c>
      <c r="B609" s="29" t="s">
        <v>951</v>
      </c>
      <c r="C609" s="28" t="s">
        <v>950</v>
      </c>
      <c r="D609" s="28" t="s">
        <v>41</v>
      </c>
      <c r="E609" s="4" t="s">
        <v>111</v>
      </c>
      <c r="F609" s="28" t="s">
        <v>221</v>
      </c>
      <c r="G609" s="4">
        <f>SUMIFS(X!$F$5:$F$2005,X!$D$5:$D$2005,'Current Stock'!A609)</f>
        <v>0</v>
      </c>
      <c r="H609" s="4">
        <f>SUMIFS(PENJUALAN!$E$4:$E$11000,PENJUALAN!$C$4:$C$11000,'Current Stock'!A609)</f>
        <v>0</v>
      </c>
      <c r="I609" s="16">
        <f t="shared" si="2"/>
        <v>0</v>
      </c>
      <c r="J609" s="4"/>
      <c r="K609" s="4"/>
      <c r="L609" s="4"/>
      <c r="M609" s="4"/>
    </row>
    <row r="610" ht="13.5" customHeight="1">
      <c r="A610" s="4" t="str">
        <f t="shared" si="1"/>
        <v>RDL-MURANO08FY</v>
      </c>
      <c r="B610" s="29" t="s">
        <v>952</v>
      </c>
      <c r="C610" s="28" t="s">
        <v>950</v>
      </c>
      <c r="D610" s="28" t="s">
        <v>132</v>
      </c>
      <c r="E610" s="4" t="s">
        <v>111</v>
      </c>
      <c r="F610" s="28"/>
      <c r="G610" s="4">
        <f>SUMIFS(X!$F$5:$F$2005,X!$D$5:$D$2005,'Current Stock'!A610)</f>
        <v>0</v>
      </c>
      <c r="H610" s="4">
        <f>SUMIFS(PENJUALAN!$E$4:$E$11000,PENJUALAN!$C$4:$C$11000,'Current Stock'!A610)</f>
        <v>0</v>
      </c>
      <c r="I610" s="16">
        <f t="shared" si="2"/>
        <v>0</v>
      </c>
      <c r="J610" s="4"/>
      <c r="K610" s="4"/>
      <c r="L610" s="4"/>
      <c r="M610" s="4"/>
    </row>
    <row r="611" ht="13.5" customHeight="1">
      <c r="A611" s="4" t="str">
        <f t="shared" si="1"/>
        <v>RDR-MURANO08FY</v>
      </c>
      <c r="B611" s="29" t="s">
        <v>953</v>
      </c>
      <c r="C611" s="28" t="s">
        <v>950</v>
      </c>
      <c r="D611" s="28" t="s">
        <v>134</v>
      </c>
      <c r="E611" s="4" t="s">
        <v>111</v>
      </c>
      <c r="F611" s="28"/>
      <c r="G611" s="4">
        <f>SUMIFS(X!$F$5:$F$2005,X!$D$5:$D$2005,'Current Stock'!A611)</f>
        <v>0</v>
      </c>
      <c r="H611" s="4">
        <f>SUMIFS(PENJUALAN!$E$4:$E$11000,PENJUALAN!$C$4:$C$11000,'Current Stock'!A611)</f>
        <v>0</v>
      </c>
      <c r="I611" s="16">
        <f t="shared" si="2"/>
        <v>0</v>
      </c>
      <c r="J611" s="4"/>
      <c r="K611" s="4"/>
      <c r="L611" s="4"/>
      <c r="M611" s="4"/>
    </row>
    <row r="612" ht="13.5" customHeight="1">
      <c r="A612" s="4" t="str">
        <f t="shared" si="1"/>
        <v>LFW-NAVARA15FY</v>
      </c>
      <c r="B612" s="29" t="s">
        <v>954</v>
      </c>
      <c r="C612" s="28" t="s">
        <v>955</v>
      </c>
      <c r="D612" s="28" t="s">
        <v>22</v>
      </c>
      <c r="E612" s="4" t="s">
        <v>111</v>
      </c>
      <c r="F612" s="28" t="s">
        <v>125</v>
      </c>
      <c r="G612" s="4">
        <f>SUMIFS(X!$F$5:$F$2005,X!$D$5:$D$2005,'Current Stock'!A612)</f>
        <v>0</v>
      </c>
      <c r="H612" s="4">
        <f>SUMIFS(PENJUALAN!$E$4:$E$11000,PENJUALAN!$C$4:$C$11000,'Current Stock'!A612)</f>
        <v>0</v>
      </c>
      <c r="I612" s="16">
        <f t="shared" si="2"/>
        <v>0</v>
      </c>
      <c r="J612" s="4"/>
      <c r="K612" s="4"/>
      <c r="L612" s="4"/>
      <c r="M612" s="4"/>
    </row>
    <row r="613" ht="13.5" customHeight="1">
      <c r="A613" s="4" t="str">
        <f t="shared" si="1"/>
        <v>TRW-NAVARA15FY</v>
      </c>
      <c r="B613" s="29" t="s">
        <v>956</v>
      </c>
      <c r="C613" s="28" t="s">
        <v>955</v>
      </c>
      <c r="D613" s="28" t="s">
        <v>41</v>
      </c>
      <c r="E613" s="4" t="s">
        <v>111</v>
      </c>
      <c r="F613" s="28" t="s">
        <v>67</v>
      </c>
      <c r="G613" s="4">
        <f>SUMIFS(X!$F$5:$F$2005,X!$D$5:$D$2005,'Current Stock'!A613)</f>
        <v>0</v>
      </c>
      <c r="H613" s="4">
        <f>SUMIFS(PENJUALAN!$E$4:$E$11000,PENJUALAN!$C$4:$C$11000,'Current Stock'!A613)</f>
        <v>0</v>
      </c>
      <c r="I613" s="16">
        <f t="shared" si="2"/>
        <v>0</v>
      </c>
      <c r="J613" s="4"/>
      <c r="K613" s="4"/>
      <c r="L613" s="4"/>
      <c r="M613" s="4"/>
    </row>
    <row r="614" ht="13.5" customHeight="1">
      <c r="A614" s="4" t="str">
        <f t="shared" si="1"/>
        <v>FDL-NAVARA15FY</v>
      </c>
      <c r="B614" s="29" t="s">
        <v>957</v>
      </c>
      <c r="C614" s="28" t="s">
        <v>955</v>
      </c>
      <c r="D614" s="28" t="s">
        <v>128</v>
      </c>
      <c r="E614" s="4" t="s">
        <v>111</v>
      </c>
      <c r="F614" s="28"/>
      <c r="G614" s="4">
        <f>SUMIFS(X!$F$5:$F$2005,X!$D$5:$D$2005,'Current Stock'!A614)</f>
        <v>0</v>
      </c>
      <c r="H614" s="4">
        <f>SUMIFS(PENJUALAN!$E$4:$E$11000,PENJUALAN!$C$4:$C$11000,'Current Stock'!A614)</f>
        <v>0</v>
      </c>
      <c r="I614" s="16">
        <f t="shared" si="2"/>
        <v>0</v>
      </c>
      <c r="J614" s="4"/>
      <c r="K614" s="4"/>
      <c r="L614" s="4"/>
      <c r="M614" s="4"/>
    </row>
    <row r="615" ht="13.5" customHeight="1">
      <c r="A615" s="4" t="str">
        <f t="shared" si="1"/>
        <v>FDR-NAVARA15FY</v>
      </c>
      <c r="B615" s="29" t="s">
        <v>958</v>
      </c>
      <c r="C615" s="28" t="s">
        <v>955</v>
      </c>
      <c r="D615" s="28" t="s">
        <v>130</v>
      </c>
      <c r="E615" s="4" t="s">
        <v>111</v>
      </c>
      <c r="F615" s="28"/>
      <c r="G615" s="4">
        <f>SUMIFS(X!$F$5:$F$2005,X!$D$5:$D$2005,'Current Stock'!A615)</f>
        <v>0</v>
      </c>
      <c r="H615" s="4">
        <f>SUMIFS(PENJUALAN!$E$4:$E$11000,PENJUALAN!$C$4:$C$11000,'Current Stock'!A615)</f>
        <v>0</v>
      </c>
      <c r="I615" s="16">
        <f t="shared" si="2"/>
        <v>0</v>
      </c>
      <c r="J615" s="4"/>
      <c r="K615" s="4"/>
      <c r="L615" s="4"/>
      <c r="M615" s="4"/>
    </row>
    <row r="616" ht="13.5" customHeight="1">
      <c r="A616" s="4" t="str">
        <f t="shared" si="1"/>
        <v>RDL-NAVARA15FY</v>
      </c>
      <c r="B616" s="29" t="s">
        <v>959</v>
      </c>
      <c r="C616" s="28" t="s">
        <v>955</v>
      </c>
      <c r="D616" s="28" t="s">
        <v>132</v>
      </c>
      <c r="E616" s="4" t="s">
        <v>111</v>
      </c>
      <c r="F616" s="28"/>
      <c r="G616" s="4">
        <f>SUMIFS(X!$F$5:$F$2005,X!$D$5:$D$2005,'Current Stock'!A616)</f>
        <v>0</v>
      </c>
      <c r="H616" s="4">
        <f>SUMIFS(PENJUALAN!$E$4:$E$11000,PENJUALAN!$C$4:$C$11000,'Current Stock'!A616)</f>
        <v>0</v>
      </c>
      <c r="I616" s="16">
        <f t="shared" si="2"/>
        <v>0</v>
      </c>
      <c r="J616" s="4"/>
      <c r="K616" s="4"/>
      <c r="L616" s="4"/>
      <c r="M616" s="4"/>
    </row>
    <row r="617" ht="13.5" customHeight="1">
      <c r="A617" s="4" t="str">
        <f t="shared" si="1"/>
        <v>RDR-NAVARA15FY</v>
      </c>
      <c r="B617" s="29" t="s">
        <v>960</v>
      </c>
      <c r="C617" s="28" t="s">
        <v>955</v>
      </c>
      <c r="D617" s="28" t="s">
        <v>134</v>
      </c>
      <c r="E617" s="4" t="s">
        <v>111</v>
      </c>
      <c r="F617" s="28"/>
      <c r="G617" s="4">
        <f>SUMIFS(X!$F$5:$F$2005,X!$D$5:$D$2005,'Current Stock'!A617)</f>
        <v>0</v>
      </c>
      <c r="H617" s="4">
        <f>SUMIFS(PENJUALAN!$E$4:$E$11000,PENJUALAN!$C$4:$C$11000,'Current Stock'!A617)</f>
        <v>0</v>
      </c>
      <c r="I617" s="16">
        <f t="shared" si="2"/>
        <v>0</v>
      </c>
      <c r="J617" s="4"/>
      <c r="K617" s="4"/>
      <c r="L617" s="4"/>
      <c r="M617" s="4"/>
    </row>
    <row r="618" ht="13.5" customHeight="1">
      <c r="A618" s="4" t="str">
        <f t="shared" si="1"/>
        <v>TRW-C23FY</v>
      </c>
      <c r="B618" s="29" t="s">
        <v>961</v>
      </c>
      <c r="C618" s="28" t="s">
        <v>962</v>
      </c>
      <c r="D618" s="28" t="s">
        <v>41</v>
      </c>
      <c r="E618" s="4" t="s">
        <v>111</v>
      </c>
      <c r="F618" s="28" t="s">
        <v>67</v>
      </c>
      <c r="G618" s="4">
        <f>SUMIFS(X!$F$5:$F$2005,X!$D$5:$D$2005,'Current Stock'!A618)</f>
        <v>0</v>
      </c>
      <c r="H618" s="4">
        <f>SUMIFS(PENJUALAN!$E$4:$E$11000,PENJUALAN!$C$4:$C$11000,'Current Stock'!A618)</f>
        <v>0</v>
      </c>
      <c r="I618" s="16">
        <f t="shared" si="2"/>
        <v>0</v>
      </c>
      <c r="J618" s="4"/>
      <c r="K618" s="4"/>
      <c r="L618" s="4"/>
      <c r="M618" s="4"/>
    </row>
    <row r="619" ht="13.5" customHeight="1">
      <c r="A619" s="4" t="str">
        <f t="shared" si="1"/>
        <v>LFW-C24FY</v>
      </c>
      <c r="B619" s="29" t="s">
        <v>963</v>
      </c>
      <c r="C619" s="28" t="s">
        <v>964</v>
      </c>
      <c r="D619" s="28" t="s">
        <v>22</v>
      </c>
      <c r="E619" s="4" t="s">
        <v>111</v>
      </c>
      <c r="F619" s="28" t="s">
        <v>97</v>
      </c>
      <c r="G619" s="4">
        <f>SUMIFS(X!$F$5:$F$2005,X!$D$5:$D$2005,'Current Stock'!A619)</f>
        <v>0</v>
      </c>
      <c r="H619" s="4">
        <f>SUMIFS(PENJUALAN!$E$4:$E$11000,PENJUALAN!$C$4:$C$11000,'Current Stock'!A619)</f>
        <v>0</v>
      </c>
      <c r="I619" s="16">
        <f t="shared" si="2"/>
        <v>0</v>
      </c>
      <c r="J619" s="4"/>
      <c r="K619" s="4"/>
      <c r="L619" s="4"/>
      <c r="M619" s="4"/>
    </row>
    <row r="620" ht="13.5" customHeight="1">
      <c r="A620" s="4" t="str">
        <f t="shared" si="1"/>
        <v>TRW-C24FY</v>
      </c>
      <c r="B620" s="29" t="s">
        <v>965</v>
      </c>
      <c r="C620" s="28" t="s">
        <v>964</v>
      </c>
      <c r="D620" s="28" t="s">
        <v>41</v>
      </c>
      <c r="E620" s="4" t="s">
        <v>111</v>
      </c>
      <c r="F620" s="28" t="s">
        <v>67</v>
      </c>
      <c r="G620" s="4">
        <f>SUMIFS(X!$F$5:$F$2005,X!$D$5:$D$2005,'Current Stock'!A620)</f>
        <v>0</v>
      </c>
      <c r="H620" s="4">
        <f>SUMIFS(PENJUALAN!$E$4:$E$11000,PENJUALAN!$C$4:$C$11000,'Current Stock'!A620)</f>
        <v>0</v>
      </c>
      <c r="I620" s="16">
        <f t="shared" si="2"/>
        <v>0</v>
      </c>
      <c r="J620" s="4"/>
      <c r="K620" s="4"/>
      <c r="L620" s="4"/>
      <c r="M620" s="4"/>
    </row>
    <row r="621" ht="13.5" customHeight="1">
      <c r="A621" s="4" t="str">
        <f t="shared" si="1"/>
        <v>LFW-C25FY</v>
      </c>
      <c r="B621" s="29" t="s">
        <v>966</v>
      </c>
      <c r="C621" s="28" t="s">
        <v>967</v>
      </c>
      <c r="D621" s="28" t="s">
        <v>22</v>
      </c>
      <c r="E621" s="4" t="s">
        <v>111</v>
      </c>
      <c r="F621" s="28" t="s">
        <v>737</v>
      </c>
      <c r="G621" s="4">
        <f>SUMIFS(X!$F$5:$F$2005,X!$D$5:$D$2005,'Current Stock'!A621)</f>
        <v>0</v>
      </c>
      <c r="H621" s="4">
        <f>SUMIFS(PENJUALAN!$E$4:$E$11000,PENJUALAN!$C$4:$C$11000,'Current Stock'!A621)</f>
        <v>0</v>
      </c>
      <c r="I621" s="16">
        <f t="shared" si="2"/>
        <v>0</v>
      </c>
      <c r="J621" s="4"/>
      <c r="K621" s="4"/>
      <c r="L621" s="4"/>
      <c r="M621" s="4"/>
    </row>
    <row r="622" ht="13.5" customHeight="1">
      <c r="A622" s="4" t="str">
        <f t="shared" si="1"/>
        <v>TRW-C25FY</v>
      </c>
      <c r="B622" s="29" t="s">
        <v>968</v>
      </c>
      <c r="C622" s="28" t="s">
        <v>967</v>
      </c>
      <c r="D622" s="28" t="s">
        <v>41</v>
      </c>
      <c r="E622" s="4" t="s">
        <v>111</v>
      </c>
      <c r="F622" s="28" t="s">
        <v>221</v>
      </c>
      <c r="G622" s="4">
        <f>SUMIFS(X!$F$5:$F$2005,X!$D$5:$D$2005,'Current Stock'!A622)</f>
        <v>0</v>
      </c>
      <c r="H622" s="4">
        <f>SUMIFS(PENJUALAN!$E$4:$E$11000,PENJUALAN!$C$4:$C$11000,'Current Stock'!A622)</f>
        <v>0</v>
      </c>
      <c r="I622" s="16">
        <f t="shared" si="2"/>
        <v>0</v>
      </c>
      <c r="J622" s="4"/>
      <c r="K622" s="4"/>
      <c r="L622" s="4"/>
      <c r="M622" s="4"/>
    </row>
    <row r="623" ht="13.5" customHeight="1">
      <c r="A623" s="4" t="str">
        <f t="shared" si="1"/>
        <v>RDL-C25FY</v>
      </c>
      <c r="B623" s="29" t="s">
        <v>969</v>
      </c>
      <c r="C623" s="28" t="s">
        <v>967</v>
      </c>
      <c r="D623" s="28" t="s">
        <v>132</v>
      </c>
      <c r="E623" s="4" t="s">
        <v>111</v>
      </c>
      <c r="F623" s="28"/>
      <c r="G623" s="4">
        <f>SUMIFS(X!$F$5:$F$2005,X!$D$5:$D$2005,'Current Stock'!A623)</f>
        <v>0</v>
      </c>
      <c r="H623" s="4">
        <f>SUMIFS(PENJUALAN!$E$4:$E$11000,PENJUALAN!$C$4:$C$11000,'Current Stock'!A623)</f>
        <v>0</v>
      </c>
      <c r="I623" s="16">
        <f t="shared" si="2"/>
        <v>0</v>
      </c>
      <c r="J623" s="4"/>
      <c r="K623" s="4"/>
      <c r="L623" s="4"/>
      <c r="M623" s="4"/>
    </row>
    <row r="624" ht="13.5" customHeight="1">
      <c r="A624" s="4" t="str">
        <f t="shared" si="1"/>
        <v>RDR-C25FY</v>
      </c>
      <c r="B624" s="29" t="s">
        <v>970</v>
      </c>
      <c r="C624" s="28" t="s">
        <v>967</v>
      </c>
      <c r="D624" s="28" t="s">
        <v>134</v>
      </c>
      <c r="E624" s="4" t="s">
        <v>111</v>
      </c>
      <c r="F624" s="28"/>
      <c r="G624" s="4">
        <f>SUMIFS(X!$F$5:$F$2005,X!$D$5:$D$2005,'Current Stock'!A624)</f>
        <v>0</v>
      </c>
      <c r="H624" s="4">
        <f>SUMIFS(PENJUALAN!$E$4:$E$11000,PENJUALAN!$C$4:$C$11000,'Current Stock'!A624)</f>
        <v>0</v>
      </c>
      <c r="I624" s="16">
        <f t="shared" si="2"/>
        <v>0</v>
      </c>
      <c r="J624" s="4"/>
      <c r="K624" s="4"/>
      <c r="L624" s="4"/>
      <c r="M624" s="4"/>
    </row>
    <row r="625" ht="13.5" customHeight="1">
      <c r="A625" s="4" t="str">
        <f t="shared" si="1"/>
        <v>SWL-C25FY</v>
      </c>
      <c r="B625" s="29" t="s">
        <v>971</v>
      </c>
      <c r="C625" s="28" t="s">
        <v>967</v>
      </c>
      <c r="D625" s="28" t="s">
        <v>202</v>
      </c>
      <c r="E625" s="4" t="s">
        <v>111</v>
      </c>
      <c r="F625" s="28" t="s">
        <v>234</v>
      </c>
      <c r="G625" s="4">
        <f>SUMIFS(X!$F$5:$F$2005,X!$D$5:$D$2005,'Current Stock'!A625)</f>
        <v>0</v>
      </c>
      <c r="H625" s="4">
        <f>SUMIFS(PENJUALAN!$E$4:$E$11000,PENJUALAN!$C$4:$C$11000,'Current Stock'!A625)</f>
        <v>0</v>
      </c>
      <c r="I625" s="16">
        <f t="shared" si="2"/>
        <v>0</v>
      </c>
      <c r="J625" s="4"/>
      <c r="K625" s="4"/>
      <c r="L625" s="4"/>
      <c r="M625" s="4"/>
    </row>
    <row r="626" ht="13.5" customHeight="1">
      <c r="A626" s="4" t="str">
        <f t="shared" si="1"/>
        <v>SWR-C25FY</v>
      </c>
      <c r="B626" s="29" t="s">
        <v>972</v>
      </c>
      <c r="C626" s="28" t="s">
        <v>967</v>
      </c>
      <c r="D626" s="28" t="s">
        <v>236</v>
      </c>
      <c r="E626" s="4" t="s">
        <v>111</v>
      </c>
      <c r="F626" s="28" t="s">
        <v>234</v>
      </c>
      <c r="G626" s="4">
        <f>SUMIFS(X!$F$5:$F$2005,X!$D$5:$D$2005,'Current Stock'!A626)</f>
        <v>0</v>
      </c>
      <c r="H626" s="4">
        <f>SUMIFS(PENJUALAN!$E$4:$E$11000,PENJUALAN!$C$4:$C$11000,'Current Stock'!A626)</f>
        <v>0</v>
      </c>
      <c r="I626" s="16">
        <f t="shared" si="2"/>
        <v>0</v>
      </c>
      <c r="J626" s="4"/>
      <c r="K626" s="4"/>
      <c r="L626" s="4"/>
      <c r="M626" s="4"/>
    </row>
    <row r="627" ht="13.5" customHeight="1">
      <c r="A627" s="4" t="str">
        <f t="shared" si="1"/>
        <v>LFW-C26FY</v>
      </c>
      <c r="B627" s="29" t="s">
        <v>973</v>
      </c>
      <c r="C627" s="28" t="s">
        <v>974</v>
      </c>
      <c r="D627" s="28" t="s">
        <v>22</v>
      </c>
      <c r="E627" s="4" t="s">
        <v>111</v>
      </c>
      <c r="F627" s="28" t="s">
        <v>125</v>
      </c>
      <c r="G627" s="4">
        <f>SUMIFS(X!$F$5:$F$2005,X!$D$5:$D$2005,'Current Stock'!A627)</f>
        <v>0</v>
      </c>
      <c r="H627" s="4">
        <f>SUMIFS(PENJUALAN!$E$4:$E$11000,PENJUALAN!$C$4:$C$11000,'Current Stock'!A627)</f>
        <v>0</v>
      </c>
      <c r="I627" s="16">
        <f t="shared" si="2"/>
        <v>0</v>
      </c>
      <c r="J627" s="4"/>
      <c r="K627" s="4"/>
      <c r="L627" s="4"/>
      <c r="M627" s="4"/>
    </row>
    <row r="628" ht="13.5" customHeight="1">
      <c r="A628" s="4" t="str">
        <f t="shared" si="1"/>
        <v>TRW-C26FY</v>
      </c>
      <c r="B628" s="29" t="s">
        <v>975</v>
      </c>
      <c r="C628" s="28" t="s">
        <v>974</v>
      </c>
      <c r="D628" s="28" t="s">
        <v>41</v>
      </c>
      <c r="E628" s="4" t="s">
        <v>111</v>
      </c>
      <c r="F628" s="28" t="s">
        <v>67</v>
      </c>
      <c r="G628" s="4">
        <f>SUMIFS(X!$F$5:$F$2005,X!$D$5:$D$2005,'Current Stock'!A628)</f>
        <v>0</v>
      </c>
      <c r="H628" s="4">
        <f>SUMIFS(PENJUALAN!$E$4:$E$11000,PENJUALAN!$C$4:$C$11000,'Current Stock'!A628)</f>
        <v>0</v>
      </c>
      <c r="I628" s="16">
        <f t="shared" si="2"/>
        <v>0</v>
      </c>
      <c r="J628" s="4"/>
      <c r="K628" s="4"/>
      <c r="L628" s="4"/>
      <c r="M628" s="4"/>
    </row>
    <row r="629" ht="13.5" customHeight="1">
      <c r="A629" s="4" t="str">
        <f t="shared" si="1"/>
        <v>FDL-C26FY</v>
      </c>
      <c r="B629" s="29" t="s">
        <v>976</v>
      </c>
      <c r="C629" s="28" t="s">
        <v>974</v>
      </c>
      <c r="D629" s="28" t="s">
        <v>128</v>
      </c>
      <c r="E629" s="4" t="s">
        <v>111</v>
      </c>
      <c r="F629" s="28"/>
      <c r="G629" s="4">
        <f>SUMIFS(X!$F$5:$F$2005,X!$D$5:$D$2005,'Current Stock'!A629)</f>
        <v>0</v>
      </c>
      <c r="H629" s="4">
        <f>SUMIFS(PENJUALAN!$E$4:$E$11000,PENJUALAN!$C$4:$C$11000,'Current Stock'!A629)</f>
        <v>0</v>
      </c>
      <c r="I629" s="16">
        <f t="shared" si="2"/>
        <v>0</v>
      </c>
      <c r="J629" s="4"/>
      <c r="K629" s="4"/>
      <c r="L629" s="4"/>
      <c r="M629" s="4"/>
    </row>
    <row r="630" ht="13.5" customHeight="1">
      <c r="A630" s="4" t="str">
        <f t="shared" si="1"/>
        <v>FDR-C26FY</v>
      </c>
      <c r="B630" s="29" t="s">
        <v>977</v>
      </c>
      <c r="C630" s="28" t="s">
        <v>974</v>
      </c>
      <c r="D630" s="28" t="s">
        <v>130</v>
      </c>
      <c r="E630" s="4" t="s">
        <v>111</v>
      </c>
      <c r="F630" s="28"/>
      <c r="G630" s="4">
        <f>SUMIFS(X!$F$5:$F$2005,X!$D$5:$D$2005,'Current Stock'!A630)</f>
        <v>0</v>
      </c>
      <c r="H630" s="4">
        <f>SUMIFS(PENJUALAN!$E$4:$E$11000,PENJUALAN!$C$4:$C$11000,'Current Stock'!A630)</f>
        <v>0</v>
      </c>
      <c r="I630" s="16">
        <f t="shared" si="2"/>
        <v>0</v>
      </c>
      <c r="J630" s="4"/>
      <c r="K630" s="4"/>
      <c r="L630" s="4"/>
      <c r="M630" s="4"/>
    </row>
    <row r="631" ht="13.5" customHeight="1">
      <c r="A631" s="4" t="str">
        <f t="shared" si="1"/>
        <v>RDL-C26FY</v>
      </c>
      <c r="B631" s="29" t="s">
        <v>978</v>
      </c>
      <c r="C631" s="28" t="s">
        <v>974</v>
      </c>
      <c r="D631" s="28" t="s">
        <v>132</v>
      </c>
      <c r="E631" s="4" t="s">
        <v>111</v>
      </c>
      <c r="F631" s="28"/>
      <c r="G631" s="4">
        <f>SUMIFS(X!$F$5:$F$2005,X!$D$5:$D$2005,'Current Stock'!A631)</f>
        <v>0</v>
      </c>
      <c r="H631" s="4">
        <f>SUMIFS(PENJUALAN!$E$4:$E$11000,PENJUALAN!$C$4:$C$11000,'Current Stock'!A631)</f>
        <v>0</v>
      </c>
      <c r="I631" s="16">
        <f t="shared" si="2"/>
        <v>0</v>
      </c>
      <c r="J631" s="4"/>
      <c r="K631" s="4"/>
      <c r="L631" s="4"/>
      <c r="M631" s="4"/>
    </row>
    <row r="632" ht="13.5" customHeight="1">
      <c r="A632" s="4" t="str">
        <f t="shared" si="1"/>
        <v>RDR-C26FY</v>
      </c>
      <c r="B632" s="29" t="s">
        <v>979</v>
      </c>
      <c r="C632" s="28" t="s">
        <v>974</v>
      </c>
      <c r="D632" s="28" t="s">
        <v>134</v>
      </c>
      <c r="E632" s="4" t="s">
        <v>111</v>
      </c>
      <c r="F632" s="28"/>
      <c r="G632" s="4">
        <f>SUMIFS(X!$F$5:$F$2005,X!$D$5:$D$2005,'Current Stock'!A632)</f>
        <v>0</v>
      </c>
      <c r="H632" s="4">
        <f>SUMIFS(PENJUALAN!$E$4:$E$11000,PENJUALAN!$C$4:$C$11000,'Current Stock'!A632)</f>
        <v>0</v>
      </c>
      <c r="I632" s="16">
        <f t="shared" si="2"/>
        <v>0</v>
      </c>
      <c r="J632" s="4"/>
      <c r="K632" s="4"/>
      <c r="L632" s="4"/>
      <c r="M632" s="4"/>
    </row>
    <row r="633" ht="13.5" customHeight="1">
      <c r="A633" s="4" t="str">
        <f t="shared" si="1"/>
        <v>SWL-C26FY</v>
      </c>
      <c r="B633" s="29" t="s">
        <v>980</v>
      </c>
      <c r="C633" s="28" t="s">
        <v>974</v>
      </c>
      <c r="D633" s="28" t="s">
        <v>202</v>
      </c>
      <c r="E633" s="4" t="s">
        <v>111</v>
      </c>
      <c r="F633" s="28" t="s">
        <v>234</v>
      </c>
      <c r="G633" s="4">
        <f>SUMIFS(X!$F$5:$F$2005,X!$D$5:$D$2005,'Current Stock'!A633)</f>
        <v>0</v>
      </c>
      <c r="H633" s="4">
        <f>SUMIFS(PENJUALAN!$E$4:$E$11000,PENJUALAN!$C$4:$C$11000,'Current Stock'!A633)</f>
        <v>0</v>
      </c>
      <c r="I633" s="16">
        <f t="shared" si="2"/>
        <v>0</v>
      </c>
      <c r="J633" s="4"/>
      <c r="K633" s="4"/>
      <c r="L633" s="4"/>
      <c r="M633" s="4"/>
    </row>
    <row r="634" ht="13.5" customHeight="1">
      <c r="A634" s="4" t="str">
        <f t="shared" si="1"/>
        <v>SWR-C26FY</v>
      </c>
      <c r="B634" s="29" t="s">
        <v>981</v>
      </c>
      <c r="C634" s="28" t="s">
        <v>974</v>
      </c>
      <c r="D634" s="28" t="s">
        <v>236</v>
      </c>
      <c r="E634" s="4" t="s">
        <v>111</v>
      </c>
      <c r="F634" s="28" t="s">
        <v>234</v>
      </c>
      <c r="G634" s="4">
        <f>SUMIFS(X!$F$5:$F$2005,X!$D$5:$D$2005,'Current Stock'!A634)</f>
        <v>0</v>
      </c>
      <c r="H634" s="4">
        <f>SUMIFS(PENJUALAN!$E$4:$E$11000,PENJUALAN!$C$4:$C$11000,'Current Stock'!A634)</f>
        <v>0</v>
      </c>
      <c r="I634" s="16">
        <f t="shared" si="2"/>
        <v>0</v>
      </c>
      <c r="J634" s="4"/>
      <c r="K634" s="4"/>
      <c r="L634" s="4"/>
      <c r="M634" s="4"/>
    </row>
    <row r="635" ht="13.5" customHeight="1">
      <c r="A635" s="4" t="str">
        <f t="shared" si="1"/>
        <v>LFW-T30FY</v>
      </c>
      <c r="B635" s="29" t="s">
        <v>982</v>
      </c>
      <c r="C635" s="28" t="s">
        <v>983</v>
      </c>
      <c r="D635" s="28" t="s">
        <v>22</v>
      </c>
      <c r="E635" s="4" t="s">
        <v>111</v>
      </c>
      <c r="F635" s="28" t="s">
        <v>97</v>
      </c>
      <c r="G635" s="4">
        <f>SUMIFS(X!$F$5:$F$2005,X!$D$5:$D$2005,'Current Stock'!A635)</f>
        <v>0</v>
      </c>
      <c r="H635" s="4">
        <f>SUMIFS(PENJUALAN!$E$4:$E$11000,PENJUALAN!$C$4:$C$11000,'Current Stock'!A635)</f>
        <v>0</v>
      </c>
      <c r="I635" s="16">
        <f t="shared" si="2"/>
        <v>0</v>
      </c>
      <c r="J635" s="4"/>
      <c r="K635" s="4"/>
      <c r="L635" s="4"/>
      <c r="M635" s="4"/>
    </row>
    <row r="636" ht="13.5" customHeight="1">
      <c r="A636" s="4" t="str">
        <f t="shared" si="1"/>
        <v>TRW-T30FY</v>
      </c>
      <c r="B636" s="29" t="s">
        <v>984</v>
      </c>
      <c r="C636" s="28" t="s">
        <v>983</v>
      </c>
      <c r="D636" s="28" t="s">
        <v>41</v>
      </c>
      <c r="E636" s="4" t="s">
        <v>111</v>
      </c>
      <c r="F636" s="28" t="s">
        <v>221</v>
      </c>
      <c r="G636" s="4">
        <f>SUMIFS(X!$F$5:$F$2005,X!$D$5:$D$2005,'Current Stock'!A636)</f>
        <v>0</v>
      </c>
      <c r="H636" s="4">
        <f>SUMIFS(PENJUALAN!$E$4:$E$11000,PENJUALAN!$C$4:$C$11000,'Current Stock'!A636)</f>
        <v>0</v>
      </c>
      <c r="I636" s="16">
        <f t="shared" si="2"/>
        <v>0</v>
      </c>
      <c r="J636" s="4"/>
      <c r="K636" s="4"/>
      <c r="L636" s="4"/>
      <c r="M636" s="4"/>
    </row>
    <row r="637" ht="13.5" customHeight="1">
      <c r="A637" s="4" t="str">
        <f t="shared" si="1"/>
        <v>FDL-T30FY</v>
      </c>
      <c r="B637" s="29" t="s">
        <v>985</v>
      </c>
      <c r="C637" s="28" t="s">
        <v>983</v>
      </c>
      <c r="D637" s="28" t="s">
        <v>128</v>
      </c>
      <c r="E637" s="4" t="s">
        <v>111</v>
      </c>
      <c r="F637" s="28"/>
      <c r="G637" s="4">
        <f>SUMIFS(X!$F$5:$F$2005,X!$D$5:$D$2005,'Current Stock'!A637)</f>
        <v>0</v>
      </c>
      <c r="H637" s="4">
        <f>SUMIFS(PENJUALAN!$E$4:$E$11000,PENJUALAN!$C$4:$C$11000,'Current Stock'!A637)</f>
        <v>0</v>
      </c>
      <c r="I637" s="16">
        <f t="shared" si="2"/>
        <v>0</v>
      </c>
      <c r="J637" s="4"/>
      <c r="K637" s="4"/>
      <c r="L637" s="4"/>
      <c r="M637" s="4"/>
    </row>
    <row r="638" ht="13.5" customHeight="1">
      <c r="A638" s="4" t="str">
        <f t="shared" si="1"/>
        <v>RDL-T30FY</v>
      </c>
      <c r="B638" s="29" t="s">
        <v>986</v>
      </c>
      <c r="C638" s="28" t="s">
        <v>983</v>
      </c>
      <c r="D638" s="28" t="s">
        <v>132</v>
      </c>
      <c r="E638" s="4" t="s">
        <v>111</v>
      </c>
      <c r="F638" s="28"/>
      <c r="G638" s="4">
        <f>SUMIFS(X!$F$5:$F$2005,X!$D$5:$D$2005,'Current Stock'!A638)</f>
        <v>0</v>
      </c>
      <c r="H638" s="4">
        <f>SUMIFS(PENJUALAN!$E$4:$E$11000,PENJUALAN!$C$4:$C$11000,'Current Stock'!A638)</f>
        <v>0</v>
      </c>
      <c r="I638" s="16">
        <f t="shared" si="2"/>
        <v>0</v>
      </c>
      <c r="J638" s="4"/>
      <c r="K638" s="4"/>
      <c r="L638" s="4"/>
      <c r="M638" s="4"/>
    </row>
    <row r="639" ht="13.5" customHeight="1">
      <c r="A639" s="4" t="str">
        <f t="shared" si="1"/>
        <v>RDR-T30FY</v>
      </c>
      <c r="B639" s="29" t="s">
        <v>987</v>
      </c>
      <c r="C639" s="28" t="s">
        <v>983</v>
      </c>
      <c r="D639" s="28" t="s">
        <v>134</v>
      </c>
      <c r="E639" s="4" t="s">
        <v>111</v>
      </c>
      <c r="F639" s="28"/>
      <c r="G639" s="4">
        <f>SUMIFS(X!$F$5:$F$2005,X!$D$5:$D$2005,'Current Stock'!A639)</f>
        <v>0</v>
      </c>
      <c r="H639" s="4">
        <f>SUMIFS(PENJUALAN!$E$4:$E$11000,PENJUALAN!$C$4:$C$11000,'Current Stock'!A639)</f>
        <v>0</v>
      </c>
      <c r="I639" s="16">
        <f t="shared" si="2"/>
        <v>0</v>
      </c>
      <c r="J639" s="4"/>
      <c r="K639" s="4"/>
      <c r="L639" s="4"/>
      <c r="M639" s="4"/>
    </row>
    <row r="640" ht="13.5" customHeight="1">
      <c r="A640" s="4" t="str">
        <f t="shared" si="1"/>
        <v>SWL-T30FY</v>
      </c>
      <c r="B640" s="29" t="s">
        <v>988</v>
      </c>
      <c r="C640" s="28" t="s">
        <v>983</v>
      </c>
      <c r="D640" s="28" t="s">
        <v>202</v>
      </c>
      <c r="E640" s="4" t="s">
        <v>111</v>
      </c>
      <c r="F640" s="28" t="s">
        <v>97</v>
      </c>
      <c r="G640" s="4">
        <f>SUMIFS(X!$F$5:$F$2005,X!$D$5:$D$2005,'Current Stock'!A640)</f>
        <v>0</v>
      </c>
      <c r="H640" s="4">
        <f>SUMIFS(PENJUALAN!$E$4:$E$11000,PENJUALAN!$C$4:$C$11000,'Current Stock'!A640)</f>
        <v>0</v>
      </c>
      <c r="I640" s="16">
        <f t="shared" si="2"/>
        <v>0</v>
      </c>
      <c r="J640" s="4"/>
      <c r="K640" s="4"/>
      <c r="L640" s="4"/>
      <c r="M640" s="4"/>
    </row>
    <row r="641" ht="13.5" customHeight="1">
      <c r="A641" s="4" t="str">
        <f t="shared" si="1"/>
        <v>SWR-T30FY</v>
      </c>
      <c r="B641" s="29" t="s">
        <v>989</v>
      </c>
      <c r="C641" s="28" t="s">
        <v>983</v>
      </c>
      <c r="D641" s="28" t="s">
        <v>236</v>
      </c>
      <c r="E641" s="4" t="s">
        <v>111</v>
      </c>
      <c r="F641" s="28" t="s">
        <v>97</v>
      </c>
      <c r="G641" s="4">
        <f>SUMIFS(X!$F$5:$F$2005,X!$D$5:$D$2005,'Current Stock'!A641)</f>
        <v>0</v>
      </c>
      <c r="H641" s="4">
        <f>SUMIFS(PENJUALAN!$E$4:$E$11000,PENJUALAN!$C$4:$C$11000,'Current Stock'!A641)</f>
        <v>0</v>
      </c>
      <c r="I641" s="16">
        <f t="shared" si="2"/>
        <v>0</v>
      </c>
      <c r="J641" s="4"/>
      <c r="K641" s="4"/>
      <c r="L641" s="4"/>
      <c r="M641" s="4"/>
    </row>
    <row r="642" ht="13.5" customHeight="1">
      <c r="A642" s="4" t="str">
        <f t="shared" si="1"/>
        <v>LFW-T31FY</v>
      </c>
      <c r="B642" s="29" t="s">
        <v>990</v>
      </c>
      <c r="C642" s="28" t="s">
        <v>991</v>
      </c>
      <c r="D642" s="28" t="s">
        <v>22</v>
      </c>
      <c r="E642" s="4" t="s">
        <v>111</v>
      </c>
      <c r="F642" s="28" t="s">
        <v>125</v>
      </c>
      <c r="G642" s="4">
        <f>SUMIFS(X!$F$5:$F$2005,X!$D$5:$D$2005,'Current Stock'!A642)</f>
        <v>0</v>
      </c>
      <c r="H642" s="4">
        <f>SUMIFS(PENJUALAN!$E$4:$E$11000,PENJUALAN!$C$4:$C$11000,'Current Stock'!A642)</f>
        <v>0</v>
      </c>
      <c r="I642" s="16">
        <f t="shared" si="2"/>
        <v>0</v>
      </c>
      <c r="J642" s="4"/>
      <c r="K642" s="4"/>
      <c r="L642" s="4"/>
      <c r="M642" s="4"/>
    </row>
    <row r="643" ht="13.5" customHeight="1">
      <c r="A643" s="4" t="str">
        <f t="shared" si="1"/>
        <v>TRW-T31FY</v>
      </c>
      <c r="B643" s="29" t="s">
        <v>992</v>
      </c>
      <c r="C643" s="28" t="s">
        <v>991</v>
      </c>
      <c r="D643" s="28" t="s">
        <v>41</v>
      </c>
      <c r="E643" s="4" t="s">
        <v>111</v>
      </c>
      <c r="F643" s="28" t="s">
        <v>221</v>
      </c>
      <c r="G643" s="4">
        <f>SUMIFS(X!$F$5:$F$2005,X!$D$5:$D$2005,'Current Stock'!A643)</f>
        <v>0</v>
      </c>
      <c r="H643" s="4">
        <f>SUMIFS(PENJUALAN!$E$4:$E$11000,PENJUALAN!$C$4:$C$11000,'Current Stock'!A643)</f>
        <v>0</v>
      </c>
      <c r="I643" s="16">
        <f t="shared" si="2"/>
        <v>0</v>
      </c>
      <c r="J643" s="4"/>
      <c r="K643" s="4"/>
      <c r="L643" s="4"/>
      <c r="M643" s="4"/>
    </row>
    <row r="644" ht="13.5" customHeight="1">
      <c r="A644" s="4" t="str">
        <f t="shared" si="1"/>
        <v>FDL-T31FY</v>
      </c>
      <c r="B644" s="29" t="s">
        <v>993</v>
      </c>
      <c r="C644" s="28" t="s">
        <v>991</v>
      </c>
      <c r="D644" s="28" t="s">
        <v>128</v>
      </c>
      <c r="E644" s="4" t="s">
        <v>111</v>
      </c>
      <c r="F644" s="28"/>
      <c r="G644" s="4">
        <f>SUMIFS(X!$F$5:$F$2005,X!$D$5:$D$2005,'Current Stock'!A644)</f>
        <v>0</v>
      </c>
      <c r="H644" s="4">
        <f>SUMIFS(PENJUALAN!$E$4:$E$11000,PENJUALAN!$C$4:$C$11000,'Current Stock'!A644)</f>
        <v>0</v>
      </c>
      <c r="I644" s="16">
        <f t="shared" si="2"/>
        <v>0</v>
      </c>
      <c r="J644" s="4"/>
      <c r="K644" s="4"/>
      <c r="L644" s="4"/>
      <c r="M644" s="4"/>
    </row>
    <row r="645" ht="13.5" customHeight="1">
      <c r="A645" s="4" t="str">
        <f t="shared" si="1"/>
        <v>FDR-T31FY</v>
      </c>
      <c r="B645" s="29" t="s">
        <v>994</v>
      </c>
      <c r="C645" s="28" t="s">
        <v>991</v>
      </c>
      <c r="D645" s="28" t="s">
        <v>130</v>
      </c>
      <c r="E645" s="4" t="s">
        <v>111</v>
      </c>
      <c r="F645" s="28"/>
      <c r="G645" s="4">
        <f>SUMIFS(X!$F$5:$F$2005,X!$D$5:$D$2005,'Current Stock'!A645)</f>
        <v>0</v>
      </c>
      <c r="H645" s="4">
        <f>SUMIFS(PENJUALAN!$E$4:$E$11000,PENJUALAN!$C$4:$C$11000,'Current Stock'!A645)</f>
        <v>0</v>
      </c>
      <c r="I645" s="16">
        <f t="shared" si="2"/>
        <v>0</v>
      </c>
      <c r="J645" s="4"/>
      <c r="K645" s="4"/>
      <c r="L645" s="4"/>
      <c r="M645" s="4"/>
    </row>
    <row r="646" ht="13.5" customHeight="1">
      <c r="A646" s="4" t="str">
        <f t="shared" si="1"/>
        <v>RDL-T31FY</v>
      </c>
      <c r="B646" s="29" t="s">
        <v>995</v>
      </c>
      <c r="C646" s="28" t="s">
        <v>991</v>
      </c>
      <c r="D646" s="28" t="s">
        <v>132</v>
      </c>
      <c r="E646" s="4" t="s">
        <v>111</v>
      </c>
      <c r="F646" s="28"/>
      <c r="G646" s="4">
        <f>SUMIFS(X!$F$5:$F$2005,X!$D$5:$D$2005,'Current Stock'!A646)</f>
        <v>0</v>
      </c>
      <c r="H646" s="4">
        <f>SUMIFS(PENJUALAN!$E$4:$E$11000,PENJUALAN!$C$4:$C$11000,'Current Stock'!A646)</f>
        <v>0</v>
      </c>
      <c r="I646" s="16">
        <f t="shared" si="2"/>
        <v>0</v>
      </c>
      <c r="J646" s="4"/>
      <c r="K646" s="4"/>
      <c r="L646" s="4"/>
      <c r="M646" s="4"/>
    </row>
    <row r="647" ht="13.5" customHeight="1">
      <c r="A647" s="4" t="str">
        <f t="shared" si="1"/>
        <v>RDR-T31FY</v>
      </c>
      <c r="B647" s="29" t="s">
        <v>996</v>
      </c>
      <c r="C647" s="28" t="s">
        <v>991</v>
      </c>
      <c r="D647" s="28" t="s">
        <v>134</v>
      </c>
      <c r="E647" s="4" t="s">
        <v>111</v>
      </c>
      <c r="F647" s="28"/>
      <c r="G647" s="4">
        <f>SUMIFS(X!$F$5:$F$2005,X!$D$5:$D$2005,'Current Stock'!A647)</f>
        <v>0</v>
      </c>
      <c r="H647" s="4">
        <f>SUMIFS(PENJUALAN!$E$4:$E$11000,PENJUALAN!$C$4:$C$11000,'Current Stock'!A647)</f>
        <v>0</v>
      </c>
      <c r="I647" s="16">
        <f t="shared" si="2"/>
        <v>0</v>
      </c>
      <c r="J647" s="4"/>
      <c r="K647" s="4"/>
      <c r="L647" s="4"/>
      <c r="M647" s="4"/>
    </row>
    <row r="648" ht="13.5" customHeight="1">
      <c r="A648" s="4" t="str">
        <f t="shared" si="1"/>
        <v>LFW-T32FY</v>
      </c>
      <c r="B648" s="29" t="s">
        <v>997</v>
      </c>
      <c r="C648" s="28" t="s">
        <v>998</v>
      </c>
      <c r="D648" s="28" t="s">
        <v>22</v>
      </c>
      <c r="E648" s="4" t="s">
        <v>111</v>
      </c>
      <c r="F648" s="28" t="s">
        <v>75</v>
      </c>
      <c r="G648" s="4">
        <f>SUMIFS(X!$F$5:$F$2005,X!$D$5:$D$2005,'Current Stock'!A648)</f>
        <v>0</v>
      </c>
      <c r="H648" s="4">
        <f>SUMIFS(PENJUALAN!$E$4:$E$11000,PENJUALAN!$C$4:$C$11000,'Current Stock'!A648)</f>
        <v>0</v>
      </c>
      <c r="I648" s="16">
        <f t="shared" si="2"/>
        <v>0</v>
      </c>
      <c r="J648" s="4"/>
      <c r="K648" s="4"/>
      <c r="L648" s="4"/>
      <c r="M648" s="4"/>
    </row>
    <row r="649" ht="13.5" customHeight="1">
      <c r="A649" s="4" t="str">
        <f t="shared" si="1"/>
        <v>TRW-T32FY</v>
      </c>
      <c r="B649" s="29" t="s">
        <v>999</v>
      </c>
      <c r="C649" s="28" t="s">
        <v>1000</v>
      </c>
      <c r="D649" s="28" t="s">
        <v>41</v>
      </c>
      <c r="E649" s="4" t="s">
        <v>111</v>
      </c>
      <c r="F649" s="28" t="s">
        <v>221</v>
      </c>
      <c r="G649" s="4">
        <f>SUMIFS(X!$F$5:$F$2005,X!$D$5:$D$2005,'Current Stock'!A649)</f>
        <v>0</v>
      </c>
      <c r="H649" s="4">
        <f>SUMIFS(PENJUALAN!$E$4:$E$11000,PENJUALAN!$C$4:$C$11000,'Current Stock'!A649)</f>
        <v>0</v>
      </c>
      <c r="I649" s="16">
        <f t="shared" si="2"/>
        <v>0</v>
      </c>
      <c r="J649" s="4"/>
      <c r="K649" s="4"/>
      <c r="L649" s="4"/>
      <c r="M649" s="4"/>
    </row>
    <row r="650" ht="13.5" customHeight="1">
      <c r="A650" s="4" t="str">
        <f t="shared" si="1"/>
        <v>FDL-T32FY</v>
      </c>
      <c r="B650" s="29" t="s">
        <v>1001</v>
      </c>
      <c r="C650" s="28" t="s">
        <v>1000</v>
      </c>
      <c r="D650" s="28" t="s">
        <v>128</v>
      </c>
      <c r="E650" s="4" t="s">
        <v>111</v>
      </c>
      <c r="F650" s="28"/>
      <c r="G650" s="4">
        <f>SUMIFS(X!$F$5:$F$2005,X!$D$5:$D$2005,'Current Stock'!A650)</f>
        <v>0</v>
      </c>
      <c r="H650" s="4">
        <f>SUMIFS(PENJUALAN!$E$4:$E$11000,PENJUALAN!$C$4:$C$11000,'Current Stock'!A650)</f>
        <v>0</v>
      </c>
      <c r="I650" s="16">
        <f t="shared" si="2"/>
        <v>0</v>
      </c>
      <c r="J650" s="4"/>
      <c r="K650" s="4"/>
      <c r="L650" s="4"/>
      <c r="M650" s="4"/>
    </row>
    <row r="651" ht="13.5" customHeight="1">
      <c r="A651" s="4" t="str">
        <f t="shared" si="1"/>
        <v>FDR-T32FY</v>
      </c>
      <c r="B651" s="29" t="s">
        <v>1002</v>
      </c>
      <c r="C651" s="28" t="s">
        <v>1000</v>
      </c>
      <c r="D651" s="28" t="s">
        <v>130</v>
      </c>
      <c r="E651" s="4" t="s">
        <v>111</v>
      </c>
      <c r="F651" s="28"/>
      <c r="G651" s="4">
        <f>SUMIFS(X!$F$5:$F$2005,X!$D$5:$D$2005,'Current Stock'!A651)</f>
        <v>0</v>
      </c>
      <c r="H651" s="4">
        <f>SUMIFS(PENJUALAN!$E$4:$E$11000,PENJUALAN!$C$4:$C$11000,'Current Stock'!A651)</f>
        <v>0</v>
      </c>
      <c r="I651" s="16">
        <f t="shared" si="2"/>
        <v>0</v>
      </c>
      <c r="J651" s="4"/>
      <c r="K651" s="4"/>
      <c r="L651" s="4"/>
      <c r="M651" s="4"/>
    </row>
    <row r="652" ht="13.5" customHeight="1">
      <c r="A652" s="4" t="str">
        <f t="shared" si="1"/>
        <v>RDL-T32FY</v>
      </c>
      <c r="B652" s="29" t="s">
        <v>1003</v>
      </c>
      <c r="C652" s="28" t="s">
        <v>1000</v>
      </c>
      <c r="D652" s="28" t="s">
        <v>132</v>
      </c>
      <c r="E652" s="4" t="s">
        <v>111</v>
      </c>
      <c r="F652" s="28"/>
      <c r="G652" s="4">
        <f>SUMIFS(X!$F$5:$F$2005,X!$D$5:$D$2005,'Current Stock'!A652)</f>
        <v>0</v>
      </c>
      <c r="H652" s="4">
        <f>SUMIFS(PENJUALAN!$E$4:$E$11000,PENJUALAN!$C$4:$C$11000,'Current Stock'!A652)</f>
        <v>0</v>
      </c>
      <c r="I652" s="16">
        <f t="shared" si="2"/>
        <v>0</v>
      </c>
      <c r="J652" s="4"/>
      <c r="K652" s="4"/>
      <c r="L652" s="4"/>
      <c r="M652" s="4"/>
    </row>
    <row r="653" ht="13.5" customHeight="1">
      <c r="A653" s="4" t="str">
        <f t="shared" si="1"/>
        <v>RDR-T32FY</v>
      </c>
      <c r="B653" s="29" t="s">
        <v>1004</v>
      </c>
      <c r="C653" s="28" t="s">
        <v>1000</v>
      </c>
      <c r="D653" s="28" t="s">
        <v>134</v>
      </c>
      <c r="E653" s="4" t="s">
        <v>111</v>
      </c>
      <c r="F653" s="28"/>
      <c r="G653" s="4">
        <f>SUMIFS(X!$F$5:$F$2005,X!$D$5:$D$2005,'Current Stock'!A653)</f>
        <v>0</v>
      </c>
      <c r="H653" s="4">
        <f>SUMIFS(PENJUALAN!$E$4:$E$11000,PENJUALAN!$C$4:$C$11000,'Current Stock'!A653)</f>
        <v>0</v>
      </c>
      <c r="I653" s="16">
        <f t="shared" si="2"/>
        <v>0</v>
      </c>
      <c r="J653" s="4"/>
      <c r="K653" s="4"/>
      <c r="L653" s="4"/>
      <c r="M653" s="4"/>
    </row>
    <row r="654" ht="13.5" customHeight="1">
      <c r="A654" s="4" t="str">
        <f t="shared" si="1"/>
        <v>LFW-OPELFY</v>
      </c>
      <c r="B654" s="29" t="s">
        <v>1005</v>
      </c>
      <c r="C654" s="28" t="s">
        <v>1006</v>
      </c>
      <c r="D654" s="28" t="s">
        <v>22</v>
      </c>
      <c r="E654" s="4" t="s">
        <v>111</v>
      </c>
      <c r="F654" s="28" t="s">
        <v>125</v>
      </c>
      <c r="G654" s="4">
        <f>SUMIFS(X!$F$5:$F$2005,X!$D$5:$D$2005,'Current Stock'!A654)</f>
        <v>0</v>
      </c>
      <c r="H654" s="4">
        <f>SUMIFS(PENJUALAN!$E$4:$E$11000,PENJUALAN!$C$4:$C$11000,'Current Stock'!A654)</f>
        <v>0</v>
      </c>
      <c r="I654" s="16">
        <f t="shared" si="2"/>
        <v>0</v>
      </c>
      <c r="J654" s="4"/>
      <c r="K654" s="4"/>
      <c r="L654" s="4"/>
      <c r="M654" s="4"/>
    </row>
    <row r="655" ht="13.5" customHeight="1">
      <c r="A655" s="4" t="str">
        <f t="shared" si="1"/>
        <v>LFW-PEU307RSBULATFY</v>
      </c>
      <c r="B655" s="29" t="s">
        <v>1007</v>
      </c>
      <c r="C655" s="28" t="s">
        <v>1008</v>
      </c>
      <c r="D655" s="28" t="s">
        <v>22</v>
      </c>
      <c r="E655" s="4" t="s">
        <v>111</v>
      </c>
      <c r="F655" s="28" t="s">
        <v>23</v>
      </c>
      <c r="G655" s="4">
        <f>SUMIFS(X!$F$5:$F$2005,X!$D$5:$D$2005,'Current Stock'!A655)</f>
        <v>0</v>
      </c>
      <c r="H655" s="4">
        <f>SUMIFS(PENJUALAN!$E$4:$E$11000,PENJUALAN!$C$4:$C$11000,'Current Stock'!A655)</f>
        <v>0</v>
      </c>
      <c r="I655" s="16">
        <f t="shared" si="2"/>
        <v>0</v>
      </c>
      <c r="J655" s="4"/>
      <c r="K655" s="4"/>
      <c r="L655" s="4"/>
      <c r="M655" s="4"/>
    </row>
    <row r="656" ht="13.5" customHeight="1">
      <c r="A656" s="4" t="str">
        <f t="shared" si="1"/>
        <v>LFW-PEU307RSKOTAKFY</v>
      </c>
      <c r="B656" s="29" t="s">
        <v>1009</v>
      </c>
      <c r="C656" s="28" t="s">
        <v>1010</v>
      </c>
      <c r="D656" s="28" t="s">
        <v>22</v>
      </c>
      <c r="E656" s="4" t="s">
        <v>111</v>
      </c>
      <c r="F656" s="28" t="s">
        <v>23</v>
      </c>
      <c r="G656" s="4">
        <f>SUMIFS(X!$F$5:$F$2005,X!$D$5:$D$2005,'Current Stock'!A656)</f>
        <v>0</v>
      </c>
      <c r="H656" s="4">
        <f>SUMIFS(PENJUALAN!$E$4:$E$11000,PENJUALAN!$C$4:$C$11000,'Current Stock'!A656)</f>
        <v>0</v>
      </c>
      <c r="I656" s="16">
        <f t="shared" si="2"/>
        <v>0</v>
      </c>
      <c r="J656" s="4"/>
      <c r="K656" s="4"/>
      <c r="L656" s="4"/>
      <c r="M656" s="4"/>
    </row>
    <row r="657" ht="13.5" customHeight="1">
      <c r="A657" s="4" t="str">
        <f t="shared" si="1"/>
        <v>TRW-PEU307HATCHFY</v>
      </c>
      <c r="B657" s="29" t="s">
        <v>1011</v>
      </c>
      <c r="C657" s="28" t="s">
        <v>1012</v>
      </c>
      <c r="D657" s="28" t="s">
        <v>41</v>
      </c>
      <c r="E657" s="4" t="s">
        <v>111</v>
      </c>
      <c r="F657" s="28" t="s">
        <v>221</v>
      </c>
      <c r="G657" s="4">
        <f>SUMIFS(X!$F$5:$F$2005,X!$D$5:$D$2005,'Current Stock'!A657)</f>
        <v>0</v>
      </c>
      <c r="H657" s="4">
        <f>SUMIFS(PENJUALAN!$E$4:$E$11000,PENJUALAN!$C$4:$C$11000,'Current Stock'!A657)</f>
        <v>0</v>
      </c>
      <c r="I657" s="16">
        <f t="shared" si="2"/>
        <v>0</v>
      </c>
      <c r="J657" s="4"/>
      <c r="K657" s="4"/>
      <c r="L657" s="4"/>
      <c r="M657" s="4"/>
    </row>
    <row r="658" ht="13.5" customHeight="1">
      <c r="A658" s="4" t="str">
        <f t="shared" si="1"/>
        <v>TRW-PEU307SEDANFY</v>
      </c>
      <c r="B658" s="29" t="s">
        <v>1013</v>
      </c>
      <c r="C658" s="28" t="s">
        <v>1014</v>
      </c>
      <c r="D658" s="28" t="s">
        <v>41</v>
      </c>
      <c r="E658" s="4" t="s">
        <v>111</v>
      </c>
      <c r="F658" s="28" t="s">
        <v>221</v>
      </c>
      <c r="G658" s="4">
        <f>SUMIFS(X!$F$5:$F$2005,X!$D$5:$D$2005,'Current Stock'!A658)</f>
        <v>0</v>
      </c>
      <c r="H658" s="4">
        <f>SUMIFS(PENJUALAN!$E$4:$E$11000,PENJUALAN!$C$4:$C$11000,'Current Stock'!A658)</f>
        <v>0</v>
      </c>
      <c r="I658" s="16">
        <f t="shared" si="2"/>
        <v>0</v>
      </c>
      <c r="J658" s="4"/>
      <c r="K658" s="4"/>
      <c r="L658" s="4"/>
      <c r="M658" s="4"/>
    </row>
    <row r="659" ht="13.5" customHeight="1">
      <c r="A659" s="4" t="str">
        <f t="shared" si="1"/>
        <v>LFW-RANGEROVER4DFY</v>
      </c>
      <c r="B659" s="29" t="s">
        <v>1015</v>
      </c>
      <c r="C659" s="30" t="s">
        <v>1016</v>
      </c>
      <c r="D659" s="28" t="s">
        <v>22</v>
      </c>
      <c r="E659" s="4" t="s">
        <v>111</v>
      </c>
      <c r="F659" s="28" t="s">
        <v>23</v>
      </c>
      <c r="G659" s="4">
        <f>SUMIFS(X!$F$5:$F$2005,X!$D$5:$D$2005,'Current Stock'!A659)</f>
        <v>0</v>
      </c>
      <c r="H659" s="4">
        <f>SUMIFS(PENJUALAN!$E$4:$E$11000,PENJUALAN!$C$4:$C$11000,'Current Stock'!A659)</f>
        <v>0</v>
      </c>
      <c r="I659" s="16">
        <f t="shared" si="2"/>
        <v>0</v>
      </c>
      <c r="J659" s="4"/>
      <c r="K659" s="4"/>
      <c r="L659" s="4"/>
      <c r="M659" s="4"/>
    </row>
    <row r="660" ht="13.5" customHeight="1">
      <c r="A660" s="4" t="str">
        <f t="shared" si="1"/>
        <v>TRW-RANGEROVERFY</v>
      </c>
      <c r="B660" s="29" t="s">
        <v>1017</v>
      </c>
      <c r="C660" s="28" t="s">
        <v>1018</v>
      </c>
      <c r="D660" s="28" t="s">
        <v>41</v>
      </c>
      <c r="E660" s="4" t="s">
        <v>111</v>
      </c>
      <c r="F660" s="28" t="s">
        <v>67</v>
      </c>
      <c r="G660" s="4">
        <f>SUMIFS(X!$F$5:$F$2005,X!$D$5:$D$2005,'Current Stock'!A660)</f>
        <v>0</v>
      </c>
      <c r="H660" s="4">
        <f>SUMIFS(PENJUALAN!$E$4:$E$11000,PENJUALAN!$C$4:$C$11000,'Current Stock'!A660)</f>
        <v>0</v>
      </c>
      <c r="I660" s="16">
        <f t="shared" si="2"/>
        <v>0</v>
      </c>
      <c r="J660" s="4"/>
      <c r="K660" s="4"/>
      <c r="L660" s="4"/>
      <c r="M660" s="4"/>
    </row>
    <row r="661" ht="13.5" customHeight="1">
      <c r="A661" s="4" t="str">
        <f t="shared" si="1"/>
        <v>TRW-AERIOFY</v>
      </c>
      <c r="B661" s="29" t="s">
        <v>1019</v>
      </c>
      <c r="C661" s="28" t="s">
        <v>1020</v>
      </c>
      <c r="D661" s="28" t="s">
        <v>41</v>
      </c>
      <c r="E661" s="4" t="s">
        <v>111</v>
      </c>
      <c r="F661" s="28" t="s">
        <v>67</v>
      </c>
      <c r="G661" s="4">
        <f>SUMIFS(X!$F$5:$F$2005,X!$D$5:$D$2005,'Current Stock'!A661)</f>
        <v>0</v>
      </c>
      <c r="H661" s="4">
        <f>SUMIFS(PENJUALAN!$E$4:$E$11000,PENJUALAN!$C$4:$C$11000,'Current Stock'!A661)</f>
        <v>0</v>
      </c>
      <c r="I661" s="16">
        <f t="shared" si="2"/>
        <v>0</v>
      </c>
      <c r="J661" s="4"/>
      <c r="K661" s="4"/>
      <c r="L661" s="4"/>
      <c r="M661" s="4"/>
    </row>
    <row r="662" ht="13.5" customHeight="1">
      <c r="A662" s="4" t="str">
        <f t="shared" si="1"/>
        <v>LFW-APVFY</v>
      </c>
      <c r="B662" s="29" t="s">
        <v>1021</v>
      </c>
      <c r="C662" s="28" t="s">
        <v>1022</v>
      </c>
      <c r="D662" s="28" t="s">
        <v>22</v>
      </c>
      <c r="E662" s="4" t="s">
        <v>111</v>
      </c>
      <c r="F662" s="28" t="s">
        <v>97</v>
      </c>
      <c r="G662" s="4">
        <f>SUMIFS(X!$F$5:$F$2005,X!$D$5:$D$2005,'Current Stock'!A662)</f>
        <v>0</v>
      </c>
      <c r="H662" s="4">
        <f>SUMIFS(PENJUALAN!$E$4:$E$11000,PENJUALAN!$C$4:$C$11000,'Current Stock'!A662)</f>
        <v>0</v>
      </c>
      <c r="I662" s="16">
        <f t="shared" si="2"/>
        <v>0</v>
      </c>
      <c r="J662" s="4"/>
      <c r="K662" s="4"/>
      <c r="L662" s="4"/>
      <c r="M662" s="4"/>
    </row>
    <row r="663" ht="13.5" customHeight="1">
      <c r="A663" s="4" t="str">
        <f t="shared" si="1"/>
        <v>LFW-ERTIGA12FY</v>
      </c>
      <c r="B663" s="29" t="s">
        <v>1023</v>
      </c>
      <c r="C663" s="28" t="s">
        <v>1024</v>
      </c>
      <c r="D663" s="28" t="s">
        <v>22</v>
      </c>
      <c r="E663" s="4" t="s">
        <v>111</v>
      </c>
      <c r="F663" s="28" t="s">
        <v>97</v>
      </c>
      <c r="G663" s="4">
        <f>SUMIFS(X!$F$5:$F$2005,X!$D$5:$D$2005,'Current Stock'!A663)</f>
        <v>0</v>
      </c>
      <c r="H663" s="4">
        <f>SUMIFS(PENJUALAN!$E$4:$E$11000,PENJUALAN!$C$4:$C$11000,'Current Stock'!A663)</f>
        <v>0</v>
      </c>
      <c r="I663" s="16">
        <f t="shared" si="2"/>
        <v>0</v>
      </c>
      <c r="J663" s="4"/>
      <c r="K663" s="4"/>
      <c r="L663" s="4"/>
      <c r="M663" s="4"/>
    </row>
    <row r="664" ht="13.5" customHeight="1">
      <c r="A664" s="4" t="str">
        <f t="shared" si="1"/>
        <v>LFW-SPLASHFY</v>
      </c>
      <c r="B664" s="29" t="s">
        <v>1025</v>
      </c>
      <c r="C664" s="28" t="s">
        <v>1026</v>
      </c>
      <c r="D664" s="28" t="s">
        <v>22</v>
      </c>
      <c r="E664" s="4" t="s">
        <v>111</v>
      </c>
      <c r="F664" s="28" t="s">
        <v>97</v>
      </c>
      <c r="G664" s="4">
        <f>SUMIFS(X!$F$5:$F$2005,X!$D$5:$D$2005,'Current Stock'!A664)</f>
        <v>0</v>
      </c>
      <c r="H664" s="4">
        <f>SUMIFS(PENJUALAN!$E$4:$E$11000,PENJUALAN!$C$4:$C$11000,'Current Stock'!A664)</f>
        <v>0</v>
      </c>
      <c r="I664" s="16">
        <f t="shared" si="2"/>
        <v>0</v>
      </c>
      <c r="J664" s="4"/>
      <c r="K664" s="4"/>
      <c r="L664" s="4"/>
      <c r="M664" s="4"/>
    </row>
    <row r="665" ht="13.5" customHeight="1">
      <c r="A665" s="4" t="str">
        <f t="shared" si="1"/>
        <v>LFW-RANGER11RSXYG</v>
      </c>
      <c r="B665" s="29" t="s">
        <v>317</v>
      </c>
      <c r="C665" s="28" t="s">
        <v>318</v>
      </c>
      <c r="D665" s="28" t="s">
        <v>22</v>
      </c>
      <c r="E665" s="4" t="s">
        <v>16</v>
      </c>
      <c r="F665" s="28" t="s">
        <v>75</v>
      </c>
      <c r="G665" s="4">
        <f>SUMIFS(X!$F$5:$F$2005,X!$D$5:$D$2005,'Current Stock'!A665)</f>
        <v>4</v>
      </c>
      <c r="H665" s="4">
        <f>SUMIFS(PENJUALAN!$E$4:$E$11000,PENJUALAN!$C$4:$C$11000,'Current Stock'!A665)</f>
        <v>2</v>
      </c>
      <c r="I665" s="16">
        <f t="shared" si="2"/>
        <v>2</v>
      </c>
      <c r="J665" s="15" t="s">
        <v>1027</v>
      </c>
      <c r="K665" s="15"/>
      <c r="L665" s="4"/>
      <c r="M665" s="4"/>
    </row>
    <row r="666" ht="13.5" customHeight="1">
      <c r="A666" s="4" t="str">
        <f t="shared" si="1"/>
        <v>LFW-ALPHARD02FY</v>
      </c>
      <c r="B666" s="29" t="s">
        <v>1028</v>
      </c>
      <c r="C666" s="28" t="s">
        <v>1029</v>
      </c>
      <c r="D666" s="28" t="s">
        <v>22</v>
      </c>
      <c r="E666" s="4" t="s">
        <v>111</v>
      </c>
      <c r="F666" s="28" t="s">
        <v>125</v>
      </c>
      <c r="G666" s="4">
        <f>SUMIFS(X!$F$5:$F$2005,X!$D$5:$D$2005,'Current Stock'!A666)</f>
        <v>0</v>
      </c>
      <c r="H666" s="4">
        <f>SUMIFS(PENJUALAN!$E$4:$E$11000,PENJUALAN!$C$4:$C$11000,'Current Stock'!A666)</f>
        <v>0</v>
      </c>
      <c r="I666" s="16">
        <f t="shared" si="2"/>
        <v>0</v>
      </c>
      <c r="J666" s="4"/>
      <c r="K666" s="4"/>
      <c r="L666" s="4"/>
      <c r="M666" s="4"/>
    </row>
    <row r="667" ht="13.5" customHeight="1">
      <c r="A667" s="4" t="str">
        <f t="shared" si="1"/>
        <v>TRW-ALPHARD02FY</v>
      </c>
      <c r="B667" s="29" t="s">
        <v>1030</v>
      </c>
      <c r="C667" s="28" t="s">
        <v>1029</v>
      </c>
      <c r="D667" s="28" t="s">
        <v>41</v>
      </c>
      <c r="E667" s="4" t="s">
        <v>111</v>
      </c>
      <c r="F667" s="28" t="s">
        <v>67</v>
      </c>
      <c r="G667" s="4">
        <f>SUMIFS(X!$F$5:$F$2005,X!$D$5:$D$2005,'Current Stock'!A667)</f>
        <v>0</v>
      </c>
      <c r="H667" s="4">
        <f>SUMIFS(PENJUALAN!$E$4:$E$11000,PENJUALAN!$C$4:$C$11000,'Current Stock'!A667)</f>
        <v>0</v>
      </c>
      <c r="I667" s="16">
        <f t="shared" si="2"/>
        <v>0</v>
      </c>
      <c r="J667" s="4"/>
      <c r="K667" s="4"/>
      <c r="L667" s="4"/>
      <c r="M667" s="4"/>
    </row>
    <row r="668" ht="13.5" customHeight="1">
      <c r="A668" s="4" t="str">
        <f t="shared" si="1"/>
        <v>TRW-ALPHARD02BLACKFY</v>
      </c>
      <c r="B668" s="29" t="s">
        <v>1031</v>
      </c>
      <c r="C668" s="28" t="s">
        <v>1032</v>
      </c>
      <c r="D668" s="28" t="s">
        <v>41</v>
      </c>
      <c r="E668" s="4" t="s">
        <v>111</v>
      </c>
      <c r="F668" s="28" t="s">
        <v>67</v>
      </c>
      <c r="G668" s="4">
        <f>SUMIFS(X!$F$5:$F$2005,X!$D$5:$D$2005,'Current Stock'!A668)</f>
        <v>0</v>
      </c>
      <c r="H668" s="4">
        <f>SUMIFS(PENJUALAN!$E$4:$E$11000,PENJUALAN!$C$4:$C$11000,'Current Stock'!A668)</f>
        <v>0</v>
      </c>
      <c r="I668" s="16">
        <f t="shared" si="2"/>
        <v>0</v>
      </c>
      <c r="J668" s="4"/>
      <c r="K668" s="4"/>
      <c r="L668" s="4"/>
      <c r="M668" s="4"/>
    </row>
    <row r="669" ht="13.5" customHeight="1">
      <c r="A669" s="4" t="str">
        <f t="shared" si="1"/>
        <v>FDL-ALPHARD02FY</v>
      </c>
      <c r="B669" s="29" t="s">
        <v>1033</v>
      </c>
      <c r="C669" s="28" t="s">
        <v>1029</v>
      </c>
      <c r="D669" s="28" t="s">
        <v>128</v>
      </c>
      <c r="E669" s="4" t="s">
        <v>111</v>
      </c>
      <c r="F669" s="28"/>
      <c r="G669" s="4">
        <f>SUMIFS(X!$F$5:$F$2005,X!$D$5:$D$2005,'Current Stock'!A669)</f>
        <v>0</v>
      </c>
      <c r="H669" s="4">
        <f>SUMIFS(PENJUALAN!$E$4:$E$11000,PENJUALAN!$C$4:$C$11000,'Current Stock'!A669)</f>
        <v>0</v>
      </c>
      <c r="I669" s="16">
        <f t="shared" si="2"/>
        <v>0</v>
      </c>
      <c r="J669" s="4"/>
      <c r="K669" s="4"/>
      <c r="L669" s="4"/>
      <c r="M669" s="4"/>
    </row>
    <row r="670" ht="13.5" customHeight="1">
      <c r="A670" s="4" t="str">
        <f t="shared" si="1"/>
        <v>FDR-ALPHARD02FY</v>
      </c>
      <c r="B670" s="29" t="s">
        <v>1034</v>
      </c>
      <c r="C670" s="28" t="s">
        <v>1029</v>
      </c>
      <c r="D670" s="28" t="s">
        <v>130</v>
      </c>
      <c r="E670" s="4" t="s">
        <v>111</v>
      </c>
      <c r="F670" s="28"/>
      <c r="G670" s="4">
        <f>SUMIFS(X!$F$5:$F$2005,X!$D$5:$D$2005,'Current Stock'!A670)</f>
        <v>0</v>
      </c>
      <c r="H670" s="4">
        <f>SUMIFS(PENJUALAN!$E$4:$E$11000,PENJUALAN!$C$4:$C$11000,'Current Stock'!A670)</f>
        <v>0</v>
      </c>
      <c r="I670" s="16">
        <f t="shared" si="2"/>
        <v>0</v>
      </c>
      <c r="J670" s="4"/>
      <c r="K670" s="4"/>
      <c r="L670" s="4"/>
      <c r="M670" s="4"/>
    </row>
    <row r="671" ht="13.5" customHeight="1">
      <c r="A671" s="4" t="str">
        <f t="shared" si="1"/>
        <v>RDL-ALPHARD02FY</v>
      </c>
      <c r="B671" s="29" t="s">
        <v>1035</v>
      </c>
      <c r="C671" s="28" t="s">
        <v>1029</v>
      </c>
      <c r="D671" s="28" t="s">
        <v>132</v>
      </c>
      <c r="E671" s="4" t="s">
        <v>111</v>
      </c>
      <c r="F671" s="28"/>
      <c r="G671" s="4">
        <f>SUMIFS(X!$F$5:$F$2005,X!$D$5:$D$2005,'Current Stock'!A671)</f>
        <v>0</v>
      </c>
      <c r="H671" s="4">
        <f>SUMIFS(PENJUALAN!$E$4:$E$11000,PENJUALAN!$C$4:$C$11000,'Current Stock'!A671)</f>
        <v>0</v>
      </c>
      <c r="I671" s="16">
        <f t="shared" si="2"/>
        <v>0</v>
      </c>
      <c r="J671" s="4"/>
      <c r="K671" s="4"/>
      <c r="L671" s="4"/>
      <c r="M671" s="4"/>
    </row>
    <row r="672" ht="13.5" customHeight="1">
      <c r="A672" s="4" t="str">
        <f t="shared" si="1"/>
        <v>RDR-ALPHARD02FY</v>
      </c>
      <c r="B672" s="29" t="s">
        <v>1036</v>
      </c>
      <c r="C672" s="28" t="s">
        <v>1029</v>
      </c>
      <c r="D672" s="28" t="s">
        <v>134</v>
      </c>
      <c r="E672" s="4" t="s">
        <v>111</v>
      </c>
      <c r="F672" s="28"/>
      <c r="G672" s="4">
        <f>SUMIFS(X!$F$5:$F$2005,X!$D$5:$D$2005,'Current Stock'!A672)</f>
        <v>0</v>
      </c>
      <c r="H672" s="4">
        <f>SUMIFS(PENJUALAN!$E$4:$E$11000,PENJUALAN!$C$4:$C$11000,'Current Stock'!A672)</f>
        <v>0</v>
      </c>
      <c r="I672" s="16">
        <f t="shared" si="2"/>
        <v>0</v>
      </c>
      <c r="J672" s="4"/>
      <c r="K672" s="4"/>
      <c r="L672" s="4"/>
      <c r="M672" s="4"/>
    </row>
    <row r="673" ht="13.5" customHeight="1">
      <c r="A673" s="4" t="str">
        <f t="shared" si="1"/>
        <v>SWL-ALPHARD02COAKFY</v>
      </c>
      <c r="B673" s="29" t="s">
        <v>1037</v>
      </c>
      <c r="C673" s="28" t="s">
        <v>1038</v>
      </c>
      <c r="D673" s="28" t="s">
        <v>202</v>
      </c>
      <c r="E673" s="4" t="s">
        <v>111</v>
      </c>
      <c r="F673" s="28" t="s">
        <v>234</v>
      </c>
      <c r="G673" s="4">
        <f>SUMIFS(X!$F$5:$F$2005,X!$D$5:$D$2005,'Current Stock'!A673)</f>
        <v>0</v>
      </c>
      <c r="H673" s="4">
        <f>SUMIFS(PENJUALAN!$E$4:$E$11000,PENJUALAN!$C$4:$C$11000,'Current Stock'!A673)</f>
        <v>0</v>
      </c>
      <c r="I673" s="16">
        <f t="shared" si="2"/>
        <v>0</v>
      </c>
      <c r="J673" s="4"/>
      <c r="K673" s="4"/>
      <c r="L673" s="4"/>
      <c r="M673" s="4"/>
    </row>
    <row r="674" ht="13.5" customHeight="1">
      <c r="A674" s="4" t="str">
        <f t="shared" si="1"/>
        <v>SWR-ALPHARD02COAKFY</v>
      </c>
      <c r="B674" s="29" t="s">
        <v>1039</v>
      </c>
      <c r="C674" s="28" t="s">
        <v>1038</v>
      </c>
      <c r="D674" s="28" t="s">
        <v>236</v>
      </c>
      <c r="E674" s="4" t="s">
        <v>111</v>
      </c>
      <c r="F674" s="28" t="s">
        <v>234</v>
      </c>
      <c r="G674" s="4">
        <f>SUMIFS(X!$F$5:$F$2005,X!$D$5:$D$2005,'Current Stock'!A674)</f>
        <v>0</v>
      </c>
      <c r="H674" s="4">
        <f>SUMIFS(PENJUALAN!$E$4:$E$11000,PENJUALAN!$C$4:$C$11000,'Current Stock'!A674)</f>
        <v>0</v>
      </c>
      <c r="I674" s="16">
        <f t="shared" si="2"/>
        <v>0</v>
      </c>
      <c r="J674" s="4"/>
      <c r="K674" s="4"/>
      <c r="L674" s="4"/>
      <c r="M674" s="4"/>
    </row>
    <row r="675" ht="13.5" customHeight="1">
      <c r="A675" s="4" t="str">
        <f t="shared" si="1"/>
        <v>SWL-ALPHARD02COAKHITAMFY</v>
      </c>
      <c r="B675" s="29" t="s">
        <v>1040</v>
      </c>
      <c r="C675" s="28" t="s">
        <v>1041</v>
      </c>
      <c r="D675" s="28" t="s">
        <v>202</v>
      </c>
      <c r="E675" s="4" t="s">
        <v>111</v>
      </c>
      <c r="F675" s="28" t="s">
        <v>234</v>
      </c>
      <c r="G675" s="4">
        <f>SUMIFS(X!$F$5:$F$2005,X!$D$5:$D$2005,'Current Stock'!A675)</f>
        <v>0</v>
      </c>
      <c r="H675" s="4">
        <f>SUMIFS(PENJUALAN!$E$4:$E$11000,PENJUALAN!$C$4:$C$11000,'Current Stock'!A675)</f>
        <v>0</v>
      </c>
      <c r="I675" s="16">
        <f t="shared" si="2"/>
        <v>0</v>
      </c>
      <c r="J675" s="4"/>
      <c r="K675" s="4"/>
      <c r="L675" s="4"/>
      <c r="M675" s="4"/>
    </row>
    <row r="676" ht="13.5" customHeight="1">
      <c r="A676" s="4" t="str">
        <f t="shared" si="1"/>
        <v>SWR-ALPHARD02COAKHITAMFY</v>
      </c>
      <c r="B676" s="29" t="s">
        <v>1042</v>
      </c>
      <c r="C676" s="28" t="s">
        <v>1041</v>
      </c>
      <c r="D676" s="28" t="s">
        <v>236</v>
      </c>
      <c r="E676" s="4" t="s">
        <v>111</v>
      </c>
      <c r="F676" s="28" t="s">
        <v>234</v>
      </c>
      <c r="G676" s="4">
        <f>SUMIFS(X!$F$5:$F$2005,X!$D$5:$D$2005,'Current Stock'!A676)</f>
        <v>0</v>
      </c>
      <c r="H676" s="4">
        <f>SUMIFS(PENJUALAN!$E$4:$E$11000,PENJUALAN!$C$4:$C$11000,'Current Stock'!A676)</f>
        <v>0</v>
      </c>
      <c r="I676" s="16">
        <f t="shared" si="2"/>
        <v>0</v>
      </c>
      <c r="J676" s="4"/>
      <c r="K676" s="4"/>
      <c r="L676" s="4"/>
      <c r="M676" s="4"/>
    </row>
    <row r="677" ht="13.5" customHeight="1">
      <c r="A677" s="4" t="str">
        <f t="shared" si="1"/>
        <v>RDL-ALPHARD02HITAMFY</v>
      </c>
      <c r="B677" s="29" t="s">
        <v>1043</v>
      </c>
      <c r="C677" s="28" t="s">
        <v>1032</v>
      </c>
      <c r="D677" s="28" t="s">
        <v>132</v>
      </c>
      <c r="E677" s="4" t="s">
        <v>111</v>
      </c>
      <c r="F677" s="28"/>
      <c r="G677" s="4">
        <f>SUMIFS(X!$F$5:$F$2005,X!$D$5:$D$2005,'Current Stock'!A677)</f>
        <v>0</v>
      </c>
      <c r="H677" s="4">
        <f>SUMIFS(PENJUALAN!$E$4:$E$11000,PENJUALAN!$C$4:$C$11000,'Current Stock'!A677)</f>
        <v>0</v>
      </c>
      <c r="I677" s="16">
        <f t="shared" si="2"/>
        <v>0</v>
      </c>
      <c r="J677" s="4"/>
      <c r="K677" s="4"/>
      <c r="L677" s="4"/>
      <c r="M677" s="4"/>
    </row>
    <row r="678" ht="13.5" customHeight="1">
      <c r="A678" s="4" t="str">
        <f t="shared" si="1"/>
        <v>RDR-ALPHARD02HITAMFY</v>
      </c>
      <c r="B678" s="29" t="s">
        <v>1044</v>
      </c>
      <c r="C678" s="28" t="s">
        <v>1032</v>
      </c>
      <c r="D678" s="28" t="s">
        <v>134</v>
      </c>
      <c r="E678" s="4" t="s">
        <v>111</v>
      </c>
      <c r="F678" s="28"/>
      <c r="G678" s="4">
        <f>SUMIFS(X!$F$5:$F$2005,X!$D$5:$D$2005,'Current Stock'!A678)</f>
        <v>0</v>
      </c>
      <c r="H678" s="4">
        <f>SUMIFS(PENJUALAN!$E$4:$E$11000,PENJUALAN!$C$4:$C$11000,'Current Stock'!A678)</f>
        <v>0</v>
      </c>
      <c r="I678" s="16">
        <f t="shared" si="2"/>
        <v>0</v>
      </c>
      <c r="J678" s="4"/>
      <c r="K678" s="4"/>
      <c r="L678" s="4"/>
      <c r="M678" s="4"/>
    </row>
    <row r="679" ht="13.5" customHeight="1">
      <c r="A679" s="4" t="str">
        <f t="shared" si="1"/>
        <v>LFW-ALPHARD08RSFY</v>
      </c>
      <c r="B679" s="29" t="s">
        <v>72</v>
      </c>
      <c r="C679" s="28" t="s">
        <v>73</v>
      </c>
      <c r="D679" s="28" t="s">
        <v>22</v>
      </c>
      <c r="E679" s="4" t="s">
        <v>111</v>
      </c>
      <c r="F679" s="28" t="s">
        <v>75</v>
      </c>
      <c r="G679" s="4">
        <f>SUMIFS(X!$F$5:$F$2005,X!$D$5:$D$2005,'Current Stock'!A679)</f>
        <v>0</v>
      </c>
      <c r="H679" s="4">
        <f>SUMIFS(PENJUALAN!$E$4:$E$11000,PENJUALAN!$C$4:$C$11000,'Current Stock'!A679)</f>
        <v>0</v>
      </c>
      <c r="I679" s="16">
        <f t="shared" si="2"/>
        <v>0</v>
      </c>
      <c r="J679" s="4"/>
      <c r="K679" s="4"/>
      <c r="L679" s="5">
        <v>1.0</v>
      </c>
      <c r="M679" s="4"/>
    </row>
    <row r="680" ht="13.5" customHeight="1">
      <c r="A680" s="4" t="str">
        <f t="shared" si="1"/>
        <v>LFW-ALPHARD08FY</v>
      </c>
      <c r="B680" s="29" t="s">
        <v>1045</v>
      </c>
      <c r="C680" s="28" t="s">
        <v>73</v>
      </c>
      <c r="D680" s="28" t="s">
        <v>22</v>
      </c>
      <c r="E680" s="4" t="s">
        <v>111</v>
      </c>
      <c r="F680" s="28" t="s">
        <v>125</v>
      </c>
      <c r="G680" s="4">
        <f>SUMIFS(X!$F$5:$F$2005,X!$D$5:$D$2005,'Current Stock'!A680)</f>
        <v>0</v>
      </c>
      <c r="H680" s="4">
        <f>SUMIFS(PENJUALAN!$E$4:$E$11000,PENJUALAN!$C$4:$C$11000,'Current Stock'!A680)</f>
        <v>0</v>
      </c>
      <c r="I680" s="16">
        <f t="shared" si="2"/>
        <v>0</v>
      </c>
      <c r="J680" s="4"/>
      <c r="K680" s="4"/>
      <c r="L680" s="4"/>
      <c r="M680" s="4"/>
    </row>
    <row r="681" ht="13.5" customHeight="1">
      <c r="A681" s="4" t="str">
        <f t="shared" si="1"/>
        <v>FDL-ALPHARD08FY</v>
      </c>
      <c r="B681" s="29" t="s">
        <v>1046</v>
      </c>
      <c r="C681" s="28" t="s">
        <v>73</v>
      </c>
      <c r="D681" s="28" t="s">
        <v>128</v>
      </c>
      <c r="E681" s="4" t="s">
        <v>111</v>
      </c>
      <c r="F681" s="28"/>
      <c r="G681" s="4">
        <f>SUMIFS(X!$F$5:$F$2005,X!$D$5:$D$2005,'Current Stock'!A681)</f>
        <v>0</v>
      </c>
      <c r="H681" s="4">
        <f>SUMIFS(PENJUALAN!$E$4:$E$11000,PENJUALAN!$C$4:$C$11000,'Current Stock'!A681)</f>
        <v>0</v>
      </c>
      <c r="I681" s="16">
        <f t="shared" si="2"/>
        <v>0</v>
      </c>
      <c r="J681" s="4"/>
      <c r="K681" s="4"/>
      <c r="L681" s="4"/>
      <c r="M681" s="4"/>
    </row>
    <row r="682" ht="13.5" customHeight="1">
      <c r="A682" s="4" t="str">
        <f t="shared" si="1"/>
        <v>FDR-ALPHARD08FY</v>
      </c>
      <c r="B682" s="29" t="s">
        <v>1047</v>
      </c>
      <c r="C682" s="28" t="s">
        <v>73</v>
      </c>
      <c r="D682" s="28" t="s">
        <v>130</v>
      </c>
      <c r="E682" s="4" t="s">
        <v>111</v>
      </c>
      <c r="F682" s="28"/>
      <c r="G682" s="4">
        <f>SUMIFS(X!$F$5:$F$2005,X!$D$5:$D$2005,'Current Stock'!A682)</f>
        <v>0</v>
      </c>
      <c r="H682" s="4">
        <f>SUMIFS(PENJUALAN!$E$4:$E$11000,PENJUALAN!$C$4:$C$11000,'Current Stock'!A682)</f>
        <v>0</v>
      </c>
      <c r="I682" s="16">
        <f t="shared" si="2"/>
        <v>0</v>
      </c>
      <c r="J682" s="4"/>
      <c r="K682" s="4"/>
      <c r="L682" s="4"/>
      <c r="M682" s="4"/>
    </row>
    <row r="683" ht="13.5" customHeight="1">
      <c r="A683" s="4" t="str">
        <f t="shared" si="1"/>
        <v>SWL-ALPHARD08FY</v>
      </c>
      <c r="B683" s="29" t="s">
        <v>1048</v>
      </c>
      <c r="C683" s="28" t="s">
        <v>73</v>
      </c>
      <c r="D683" s="28" t="s">
        <v>202</v>
      </c>
      <c r="E683" s="4" t="s">
        <v>111</v>
      </c>
      <c r="F683" s="28" t="s">
        <v>234</v>
      </c>
      <c r="G683" s="4">
        <f>SUMIFS(X!$F$5:$F$2005,X!$D$5:$D$2005,'Current Stock'!A683)</f>
        <v>0</v>
      </c>
      <c r="H683" s="4">
        <f>SUMIFS(PENJUALAN!$E$4:$E$11000,PENJUALAN!$C$4:$C$11000,'Current Stock'!A683)</f>
        <v>0</v>
      </c>
      <c r="I683" s="16">
        <f t="shared" si="2"/>
        <v>0</v>
      </c>
      <c r="J683" s="4"/>
      <c r="K683" s="4"/>
      <c r="L683" s="4"/>
      <c r="M683" s="4"/>
    </row>
    <row r="684" ht="13.5" customHeight="1">
      <c r="A684" s="4" t="str">
        <f t="shared" si="1"/>
        <v>SWR-ALPHARD08FY</v>
      </c>
      <c r="B684" s="29" t="s">
        <v>1049</v>
      </c>
      <c r="C684" s="28" t="s">
        <v>73</v>
      </c>
      <c r="D684" s="28" t="s">
        <v>236</v>
      </c>
      <c r="E684" s="4" t="s">
        <v>111</v>
      </c>
      <c r="F684" s="28" t="s">
        <v>234</v>
      </c>
      <c r="G684" s="4">
        <f>SUMIFS(X!$F$5:$F$2005,X!$D$5:$D$2005,'Current Stock'!A684)</f>
        <v>0</v>
      </c>
      <c r="H684" s="4">
        <f>SUMIFS(PENJUALAN!$E$4:$E$11000,PENJUALAN!$C$4:$C$11000,'Current Stock'!A684)</f>
        <v>0</v>
      </c>
      <c r="I684" s="16">
        <f t="shared" si="2"/>
        <v>0</v>
      </c>
      <c r="J684" s="4"/>
      <c r="K684" s="4"/>
      <c r="L684" s="4"/>
      <c r="M684" s="4"/>
    </row>
    <row r="685" ht="13.5" customHeight="1">
      <c r="A685" s="4" t="str">
        <f t="shared" si="1"/>
        <v>RDL-ALPHARD08FY</v>
      </c>
      <c r="B685" s="29" t="s">
        <v>1050</v>
      </c>
      <c r="C685" s="28" t="s">
        <v>73</v>
      </c>
      <c r="D685" s="28" t="s">
        <v>132</v>
      </c>
      <c r="E685" s="4" t="s">
        <v>111</v>
      </c>
      <c r="F685" s="28"/>
      <c r="G685" s="4">
        <f>SUMIFS(X!$F$5:$F$2005,X!$D$5:$D$2005,'Current Stock'!A685)</f>
        <v>0</v>
      </c>
      <c r="H685" s="4">
        <f>SUMIFS(PENJUALAN!$E$4:$E$11000,PENJUALAN!$C$4:$C$11000,'Current Stock'!A685)</f>
        <v>0</v>
      </c>
      <c r="I685" s="16">
        <f t="shared" si="2"/>
        <v>0</v>
      </c>
      <c r="J685" s="4"/>
      <c r="K685" s="4"/>
      <c r="L685" s="4"/>
      <c r="M685" s="4"/>
    </row>
    <row r="686" ht="13.5" customHeight="1">
      <c r="A686" s="4" t="str">
        <f t="shared" si="1"/>
        <v>RDR-ALPHARD08FY</v>
      </c>
      <c r="B686" s="29" t="s">
        <v>1051</v>
      </c>
      <c r="C686" s="28" t="s">
        <v>73</v>
      </c>
      <c r="D686" s="28" t="s">
        <v>134</v>
      </c>
      <c r="E686" s="4" t="s">
        <v>111</v>
      </c>
      <c r="F686" s="28"/>
      <c r="G686" s="4">
        <f>SUMIFS(X!$F$5:$F$2005,X!$D$5:$D$2005,'Current Stock'!A686)</f>
        <v>0</v>
      </c>
      <c r="H686" s="4">
        <f>SUMIFS(PENJUALAN!$E$4:$E$11000,PENJUALAN!$C$4:$C$11000,'Current Stock'!A686)</f>
        <v>0</v>
      </c>
      <c r="I686" s="16">
        <f t="shared" si="2"/>
        <v>0</v>
      </c>
      <c r="J686" s="4"/>
      <c r="K686" s="4"/>
      <c r="L686" s="4"/>
      <c r="M686" s="4"/>
    </row>
    <row r="687" ht="13.5" customHeight="1">
      <c r="A687" s="4" t="str">
        <f t="shared" si="1"/>
        <v>TRW-ALPHARD08BLACKFY</v>
      </c>
      <c r="B687" s="29" t="s">
        <v>1052</v>
      </c>
      <c r="C687" s="28" t="s">
        <v>1053</v>
      </c>
      <c r="D687" s="28" t="s">
        <v>41</v>
      </c>
      <c r="E687" s="4" t="s">
        <v>111</v>
      </c>
      <c r="F687" s="28" t="s">
        <v>67</v>
      </c>
      <c r="G687" s="4">
        <f>SUMIFS(X!$F$5:$F$2005,X!$D$5:$D$2005,'Current Stock'!A687)</f>
        <v>0</v>
      </c>
      <c r="H687" s="4">
        <f>SUMIFS(PENJUALAN!$E$4:$E$11000,PENJUALAN!$C$4:$C$11000,'Current Stock'!A687)</f>
        <v>0</v>
      </c>
      <c r="I687" s="16">
        <f t="shared" si="2"/>
        <v>0</v>
      </c>
      <c r="J687" s="4"/>
      <c r="K687" s="4"/>
      <c r="L687" s="4"/>
      <c r="M687" s="4"/>
    </row>
    <row r="688" ht="13.5" customHeight="1">
      <c r="A688" s="4" t="str">
        <f t="shared" si="1"/>
        <v>SWL-ALPHARD08HITAMFY</v>
      </c>
      <c r="B688" s="29" t="s">
        <v>1054</v>
      </c>
      <c r="C688" s="28" t="s">
        <v>1053</v>
      </c>
      <c r="D688" s="28" t="s">
        <v>202</v>
      </c>
      <c r="E688" s="4" t="s">
        <v>111</v>
      </c>
      <c r="F688" s="28" t="s">
        <v>234</v>
      </c>
      <c r="G688" s="4">
        <f>SUMIFS(X!$F$5:$F$2005,X!$D$5:$D$2005,'Current Stock'!A688)</f>
        <v>0</v>
      </c>
      <c r="H688" s="4">
        <f>SUMIFS(PENJUALAN!$E$4:$E$11000,PENJUALAN!$C$4:$C$11000,'Current Stock'!A688)</f>
        <v>0</v>
      </c>
      <c r="I688" s="16">
        <f t="shared" si="2"/>
        <v>0</v>
      </c>
      <c r="J688" s="4"/>
      <c r="K688" s="4"/>
      <c r="L688" s="4"/>
      <c r="M688" s="4"/>
    </row>
    <row r="689" ht="13.5" customHeight="1">
      <c r="A689" s="4" t="str">
        <f t="shared" si="1"/>
        <v>SWR-ALPHARD08HITAMFY</v>
      </c>
      <c r="B689" s="29" t="s">
        <v>1055</v>
      </c>
      <c r="C689" s="28" t="s">
        <v>1053</v>
      </c>
      <c r="D689" s="28" t="s">
        <v>236</v>
      </c>
      <c r="E689" s="4" t="s">
        <v>111</v>
      </c>
      <c r="F689" s="28" t="s">
        <v>234</v>
      </c>
      <c r="G689" s="4">
        <f>SUMIFS(X!$F$5:$F$2005,X!$D$5:$D$2005,'Current Stock'!A689)</f>
        <v>0</v>
      </c>
      <c r="H689" s="4">
        <f>SUMIFS(PENJUALAN!$E$4:$E$11000,PENJUALAN!$C$4:$C$11000,'Current Stock'!A689)</f>
        <v>0</v>
      </c>
      <c r="I689" s="16">
        <f t="shared" si="2"/>
        <v>0</v>
      </c>
      <c r="J689" s="4"/>
      <c r="K689" s="4"/>
      <c r="L689" s="4"/>
      <c r="M689" s="4"/>
    </row>
    <row r="690" ht="13.5" customHeight="1">
      <c r="A690" s="4" t="str">
        <f t="shared" si="1"/>
        <v>FDL-ALPHARD15FY</v>
      </c>
      <c r="B690" s="29" t="s">
        <v>1056</v>
      </c>
      <c r="C690" s="28" t="s">
        <v>1057</v>
      </c>
      <c r="D690" s="28" t="s">
        <v>128</v>
      </c>
      <c r="E690" s="4" t="s">
        <v>111</v>
      </c>
      <c r="F690" s="28"/>
      <c r="G690" s="4">
        <f>SUMIFS(X!$F$5:$F$2005,X!$D$5:$D$2005,'Current Stock'!A690)</f>
        <v>0</v>
      </c>
      <c r="H690" s="4">
        <f>SUMIFS(PENJUALAN!$E$4:$E$11000,PENJUALAN!$C$4:$C$11000,'Current Stock'!A690)</f>
        <v>0</v>
      </c>
      <c r="I690" s="16">
        <f t="shared" si="2"/>
        <v>0</v>
      </c>
      <c r="J690" s="4"/>
      <c r="K690" s="4"/>
      <c r="L690" s="4"/>
      <c r="M690" s="4"/>
    </row>
    <row r="691" ht="13.5" customHeight="1">
      <c r="A691" s="4" t="str">
        <f t="shared" si="1"/>
        <v>FDR-ALPHARD15FY</v>
      </c>
      <c r="B691" s="29" t="s">
        <v>1058</v>
      </c>
      <c r="C691" s="28" t="s">
        <v>1057</v>
      </c>
      <c r="D691" s="28" t="s">
        <v>130</v>
      </c>
      <c r="E691" s="4" t="s">
        <v>111</v>
      </c>
      <c r="F691" s="28"/>
      <c r="G691" s="4">
        <f>SUMIFS(X!$F$5:$F$2005,X!$D$5:$D$2005,'Current Stock'!A691)</f>
        <v>0</v>
      </c>
      <c r="H691" s="4">
        <f>SUMIFS(PENJUALAN!$E$4:$E$11000,PENJUALAN!$C$4:$C$11000,'Current Stock'!A691)</f>
        <v>0</v>
      </c>
      <c r="I691" s="16">
        <f t="shared" si="2"/>
        <v>0</v>
      </c>
      <c r="J691" s="4"/>
      <c r="K691" s="4"/>
      <c r="L691" s="4"/>
      <c r="M691" s="4"/>
    </row>
    <row r="692" ht="13.5" customHeight="1">
      <c r="A692" s="4" t="str">
        <f t="shared" si="1"/>
        <v>RDL-ALPHARD15FY</v>
      </c>
      <c r="B692" s="29" t="s">
        <v>1059</v>
      </c>
      <c r="C692" s="28" t="s">
        <v>1057</v>
      </c>
      <c r="D692" s="28" t="s">
        <v>132</v>
      </c>
      <c r="E692" s="4" t="s">
        <v>111</v>
      </c>
      <c r="F692" s="28"/>
      <c r="G692" s="4">
        <f>SUMIFS(X!$F$5:$F$2005,X!$D$5:$D$2005,'Current Stock'!A692)</f>
        <v>0</v>
      </c>
      <c r="H692" s="4">
        <f>SUMIFS(PENJUALAN!$E$4:$E$11000,PENJUALAN!$C$4:$C$11000,'Current Stock'!A692)</f>
        <v>0</v>
      </c>
      <c r="I692" s="16">
        <f t="shared" si="2"/>
        <v>0</v>
      </c>
      <c r="J692" s="4"/>
      <c r="K692" s="4"/>
      <c r="L692" s="4"/>
      <c r="M692" s="4"/>
    </row>
    <row r="693" ht="13.5" customHeight="1">
      <c r="A693" s="4" t="str">
        <f t="shared" si="1"/>
        <v>RDR-ALPHARD15FY</v>
      </c>
      <c r="B693" s="29" t="s">
        <v>1060</v>
      </c>
      <c r="C693" s="28" t="s">
        <v>1057</v>
      </c>
      <c r="D693" s="28" t="s">
        <v>134</v>
      </c>
      <c r="E693" s="4" t="s">
        <v>111</v>
      </c>
      <c r="F693" s="28"/>
      <c r="G693" s="4">
        <f>SUMIFS(X!$F$5:$F$2005,X!$D$5:$D$2005,'Current Stock'!A693)</f>
        <v>0</v>
      </c>
      <c r="H693" s="4">
        <f>SUMIFS(PENJUALAN!$E$4:$E$11000,PENJUALAN!$C$4:$C$11000,'Current Stock'!A693)</f>
        <v>0</v>
      </c>
      <c r="I693" s="16">
        <f t="shared" si="2"/>
        <v>0</v>
      </c>
      <c r="J693" s="4"/>
      <c r="K693" s="4"/>
      <c r="L693" s="4"/>
      <c r="M693" s="4"/>
    </row>
    <row r="694" ht="13.5" customHeight="1">
      <c r="A694" s="4" t="str">
        <f t="shared" si="1"/>
        <v>SWL-ALPHARD15FY</v>
      </c>
      <c r="B694" s="29" t="s">
        <v>1061</v>
      </c>
      <c r="C694" s="28" t="s">
        <v>1057</v>
      </c>
      <c r="D694" s="28" t="s">
        <v>202</v>
      </c>
      <c r="E694" s="4" t="s">
        <v>111</v>
      </c>
      <c r="F694" s="28" t="s">
        <v>234</v>
      </c>
      <c r="G694" s="4">
        <f>SUMIFS(X!$F$5:$F$2005,X!$D$5:$D$2005,'Current Stock'!A694)</f>
        <v>0</v>
      </c>
      <c r="H694" s="4">
        <f>SUMIFS(PENJUALAN!$E$4:$E$11000,PENJUALAN!$C$4:$C$11000,'Current Stock'!A694)</f>
        <v>0</v>
      </c>
      <c r="I694" s="16">
        <f t="shared" si="2"/>
        <v>0</v>
      </c>
      <c r="J694" s="4"/>
      <c r="K694" s="4"/>
      <c r="L694" s="4"/>
      <c r="M694" s="4"/>
    </row>
    <row r="695" ht="13.5" customHeight="1">
      <c r="A695" s="4" t="str">
        <f t="shared" si="1"/>
        <v>SWR-ALPHARD15FY</v>
      </c>
      <c r="B695" s="29" t="s">
        <v>1062</v>
      </c>
      <c r="C695" s="28" t="s">
        <v>1057</v>
      </c>
      <c r="D695" s="28" t="s">
        <v>236</v>
      </c>
      <c r="E695" s="4" t="s">
        <v>111</v>
      </c>
      <c r="F695" s="28" t="s">
        <v>234</v>
      </c>
      <c r="G695" s="4">
        <f>SUMIFS(X!$F$5:$F$2005,X!$D$5:$D$2005,'Current Stock'!A695)</f>
        <v>0</v>
      </c>
      <c r="H695" s="4">
        <f>SUMIFS(PENJUALAN!$E$4:$E$11000,PENJUALAN!$C$4:$C$11000,'Current Stock'!A695)</f>
        <v>0</v>
      </c>
      <c r="I695" s="16">
        <f t="shared" si="2"/>
        <v>0</v>
      </c>
      <c r="J695" s="4"/>
      <c r="K695" s="4"/>
      <c r="L695" s="4"/>
      <c r="M695" s="4"/>
    </row>
    <row r="696" ht="13.5" customHeight="1">
      <c r="A696" s="4" t="str">
        <f t="shared" si="1"/>
        <v>RDL-ALPHARD15HITAMFY</v>
      </c>
      <c r="B696" s="29" t="s">
        <v>1063</v>
      </c>
      <c r="C696" s="28" t="s">
        <v>1064</v>
      </c>
      <c r="D696" s="28" t="s">
        <v>132</v>
      </c>
      <c r="E696" s="4" t="s">
        <v>111</v>
      </c>
      <c r="F696" s="28"/>
      <c r="G696" s="4">
        <f>SUMIFS(X!$F$5:$F$2005,X!$D$5:$D$2005,'Current Stock'!A696)</f>
        <v>0</v>
      </c>
      <c r="H696" s="4">
        <f>SUMIFS(PENJUALAN!$E$4:$E$11000,PENJUALAN!$C$4:$C$11000,'Current Stock'!A696)</f>
        <v>0</v>
      </c>
      <c r="I696" s="16">
        <f t="shared" si="2"/>
        <v>0</v>
      </c>
      <c r="J696" s="4"/>
      <c r="K696" s="4"/>
      <c r="L696" s="4"/>
      <c r="M696" s="4"/>
    </row>
    <row r="697" ht="13.5" customHeight="1">
      <c r="A697" s="4" t="str">
        <f t="shared" si="1"/>
        <v>RDR-ALPHARD15HITAMFY</v>
      </c>
      <c r="B697" s="29" t="s">
        <v>1065</v>
      </c>
      <c r="C697" s="28" t="s">
        <v>1064</v>
      </c>
      <c r="D697" s="28" t="s">
        <v>134</v>
      </c>
      <c r="E697" s="4" t="s">
        <v>111</v>
      </c>
      <c r="F697" s="28"/>
      <c r="G697" s="4">
        <f>SUMIFS(X!$F$5:$F$2005,X!$D$5:$D$2005,'Current Stock'!A697)</f>
        <v>0</v>
      </c>
      <c r="H697" s="4">
        <f>SUMIFS(PENJUALAN!$E$4:$E$11000,PENJUALAN!$C$4:$C$11000,'Current Stock'!A697)</f>
        <v>0</v>
      </c>
      <c r="I697" s="16">
        <f t="shared" si="2"/>
        <v>0</v>
      </c>
      <c r="J697" s="4"/>
      <c r="K697" s="4"/>
      <c r="L697" s="4"/>
      <c r="M697" s="4"/>
    </row>
    <row r="698" ht="13.5" customHeight="1">
      <c r="A698" s="4" t="str">
        <f t="shared" si="1"/>
        <v>TRW-ALPHARD15BLACKFY</v>
      </c>
      <c r="B698" s="29" t="s">
        <v>1066</v>
      </c>
      <c r="C698" s="28" t="s">
        <v>1067</v>
      </c>
      <c r="D698" s="28" t="s">
        <v>41</v>
      </c>
      <c r="E698" s="4" t="s">
        <v>111</v>
      </c>
      <c r="F698" s="28" t="s">
        <v>67</v>
      </c>
      <c r="G698" s="4">
        <f>SUMIFS(X!$F$5:$F$2005,X!$D$5:$D$2005,'Current Stock'!A698)</f>
        <v>0</v>
      </c>
      <c r="H698" s="4">
        <f>SUMIFS(PENJUALAN!$E$4:$E$11000,PENJUALAN!$C$4:$C$11000,'Current Stock'!A698)</f>
        <v>0</v>
      </c>
      <c r="I698" s="16">
        <f t="shared" si="2"/>
        <v>0</v>
      </c>
      <c r="J698" s="4"/>
      <c r="K698" s="4"/>
      <c r="L698" s="4"/>
      <c r="M698" s="4"/>
    </row>
    <row r="699" ht="13.5" customHeight="1">
      <c r="A699" s="4" t="str">
        <f t="shared" si="1"/>
        <v>TRW-ALPHARD15FY</v>
      </c>
      <c r="B699" s="29" t="s">
        <v>1068</v>
      </c>
      <c r="C699" s="28" t="s">
        <v>1069</v>
      </c>
      <c r="D699" s="28" t="s">
        <v>41</v>
      </c>
      <c r="E699" s="4" t="s">
        <v>111</v>
      </c>
      <c r="F699" s="28" t="s">
        <v>67</v>
      </c>
      <c r="G699" s="4">
        <f>SUMIFS(X!$F$5:$F$2005,X!$D$5:$D$2005,'Current Stock'!A699)</f>
        <v>0</v>
      </c>
      <c r="H699" s="4">
        <f>SUMIFS(PENJUALAN!$E$4:$E$11000,PENJUALAN!$C$4:$C$11000,'Current Stock'!A699)</f>
        <v>0</v>
      </c>
      <c r="I699" s="16">
        <f t="shared" si="2"/>
        <v>0</v>
      </c>
      <c r="J699" s="4"/>
      <c r="K699" s="4"/>
      <c r="L699" s="4"/>
      <c r="M699" s="4"/>
    </row>
    <row r="700" ht="13.5" customHeight="1">
      <c r="A700" s="4" t="str">
        <f t="shared" si="1"/>
        <v>LFW-ALPHARD15FY</v>
      </c>
      <c r="B700" s="29" t="s">
        <v>1070</v>
      </c>
      <c r="C700" s="28" t="s">
        <v>1071</v>
      </c>
      <c r="D700" s="28" t="s">
        <v>22</v>
      </c>
      <c r="E700" s="4" t="s">
        <v>111</v>
      </c>
      <c r="F700" s="28" t="s">
        <v>75</v>
      </c>
      <c r="G700" s="4">
        <f>SUMIFS(X!$F$5:$F$2005,X!$D$5:$D$2005,'Current Stock'!A700)</f>
        <v>0</v>
      </c>
      <c r="H700" s="4">
        <f>SUMIFS(PENJUALAN!$E$4:$E$11000,PENJUALAN!$C$4:$C$11000,'Current Stock'!A700)</f>
        <v>0</v>
      </c>
      <c r="I700" s="16">
        <f t="shared" si="2"/>
        <v>0</v>
      </c>
      <c r="J700" s="4"/>
      <c r="K700" s="4"/>
      <c r="L700" s="4"/>
      <c r="M700" s="4"/>
    </row>
    <row r="701" ht="13.5" customHeight="1">
      <c r="A701" s="4" t="str">
        <f t="shared" si="1"/>
        <v>LFW-ALTIS00FY</v>
      </c>
      <c r="B701" s="29" t="s">
        <v>1072</v>
      </c>
      <c r="C701" s="28" t="s">
        <v>1073</v>
      </c>
      <c r="D701" s="28" t="s">
        <v>22</v>
      </c>
      <c r="E701" s="4" t="s">
        <v>111</v>
      </c>
      <c r="F701" s="28" t="s">
        <v>97</v>
      </c>
      <c r="G701" s="4">
        <f>SUMIFS(X!$F$5:$F$2005,X!$D$5:$D$2005,'Current Stock'!A701)</f>
        <v>0</v>
      </c>
      <c r="H701" s="4">
        <f>SUMIFS(PENJUALAN!$E$4:$E$11000,PENJUALAN!$C$4:$C$11000,'Current Stock'!A701)</f>
        <v>0</v>
      </c>
      <c r="I701" s="16">
        <f t="shared" si="2"/>
        <v>0</v>
      </c>
      <c r="J701" s="4"/>
      <c r="K701" s="4"/>
      <c r="L701" s="4"/>
      <c r="M701" s="4"/>
    </row>
    <row r="702" ht="13.5" customHeight="1">
      <c r="A702" s="4" t="str">
        <f t="shared" si="1"/>
        <v>TRW-ALTIS00FY</v>
      </c>
      <c r="B702" s="29" t="s">
        <v>1074</v>
      </c>
      <c r="C702" s="28" t="s">
        <v>1073</v>
      </c>
      <c r="D702" s="28" t="s">
        <v>41</v>
      </c>
      <c r="E702" s="4" t="s">
        <v>111</v>
      </c>
      <c r="F702" s="28" t="s">
        <v>67</v>
      </c>
      <c r="G702" s="4">
        <f>SUMIFS(X!$F$5:$F$2005,X!$D$5:$D$2005,'Current Stock'!A702)</f>
        <v>0</v>
      </c>
      <c r="H702" s="4">
        <f>SUMIFS(PENJUALAN!$E$4:$E$11000,PENJUALAN!$C$4:$C$11000,'Current Stock'!A702)</f>
        <v>0</v>
      </c>
      <c r="I702" s="16">
        <f t="shared" si="2"/>
        <v>0</v>
      </c>
      <c r="J702" s="4"/>
      <c r="K702" s="4"/>
      <c r="L702" s="4"/>
      <c r="M702" s="4"/>
    </row>
    <row r="703" ht="13.5" customHeight="1">
      <c r="A703" s="4" t="str">
        <f t="shared" si="1"/>
        <v>LFW-ALTIS06FY</v>
      </c>
      <c r="B703" s="29" t="s">
        <v>1075</v>
      </c>
      <c r="C703" s="28" t="s">
        <v>1076</v>
      </c>
      <c r="D703" s="28" t="s">
        <v>22</v>
      </c>
      <c r="E703" s="4" t="s">
        <v>111</v>
      </c>
      <c r="F703" s="28" t="s">
        <v>125</v>
      </c>
      <c r="G703" s="4">
        <f>SUMIFS(X!$F$5:$F$2005,X!$D$5:$D$2005,'Current Stock'!A703)</f>
        <v>0</v>
      </c>
      <c r="H703" s="4">
        <f>SUMIFS(PENJUALAN!$E$4:$E$11000,PENJUALAN!$C$4:$C$11000,'Current Stock'!A703)</f>
        <v>0</v>
      </c>
      <c r="I703" s="16">
        <f t="shared" si="2"/>
        <v>0</v>
      </c>
      <c r="J703" s="4"/>
      <c r="K703" s="4"/>
      <c r="L703" s="4"/>
      <c r="M703" s="4"/>
    </row>
    <row r="704" ht="13.5" customHeight="1">
      <c r="A704" s="4" t="str">
        <f t="shared" si="1"/>
        <v>LFW-ALTIS06RSFY</v>
      </c>
      <c r="B704" s="29" t="s">
        <v>1077</v>
      </c>
      <c r="C704" s="28" t="s">
        <v>1078</v>
      </c>
      <c r="D704" s="28" t="s">
        <v>22</v>
      </c>
      <c r="E704" s="4" t="s">
        <v>111</v>
      </c>
      <c r="F704" s="28" t="s">
        <v>75</v>
      </c>
      <c r="G704" s="4">
        <f>SUMIFS(X!$F$5:$F$2005,X!$D$5:$D$2005,'Current Stock'!A704)</f>
        <v>0</v>
      </c>
      <c r="H704" s="4">
        <f>SUMIFS(PENJUALAN!$E$4:$E$11000,PENJUALAN!$C$4:$C$11000,'Current Stock'!A704)</f>
        <v>0</v>
      </c>
      <c r="I704" s="16">
        <f t="shared" si="2"/>
        <v>0</v>
      </c>
      <c r="J704" s="4"/>
      <c r="K704" s="4"/>
      <c r="L704" s="4"/>
      <c r="M704" s="4"/>
    </row>
    <row r="705" ht="13.5" customHeight="1">
      <c r="A705" s="4" t="str">
        <f t="shared" si="1"/>
        <v>TRW-ALTIS06FY</v>
      </c>
      <c r="B705" s="29" t="s">
        <v>1079</v>
      </c>
      <c r="C705" s="28" t="s">
        <v>1078</v>
      </c>
      <c r="D705" s="28" t="s">
        <v>41</v>
      </c>
      <c r="E705" s="4" t="s">
        <v>111</v>
      </c>
      <c r="F705" s="28" t="s">
        <v>1080</v>
      </c>
      <c r="G705" s="4">
        <f>SUMIFS(X!$F$5:$F$2005,X!$D$5:$D$2005,'Current Stock'!A705)</f>
        <v>0</v>
      </c>
      <c r="H705" s="4">
        <f>SUMIFS(PENJUALAN!$E$4:$E$11000,PENJUALAN!$C$4:$C$11000,'Current Stock'!A705)</f>
        <v>0</v>
      </c>
      <c r="I705" s="16">
        <f t="shared" si="2"/>
        <v>0</v>
      </c>
      <c r="J705" s="4"/>
      <c r="K705" s="4"/>
      <c r="L705" s="4"/>
      <c r="M705" s="4"/>
    </row>
    <row r="706" ht="13.5" customHeight="1">
      <c r="A706" s="4" t="str">
        <f t="shared" si="1"/>
        <v>FDL-ALTIS06FY</v>
      </c>
      <c r="B706" s="29" t="s">
        <v>1081</v>
      </c>
      <c r="C706" s="28" t="s">
        <v>1078</v>
      </c>
      <c r="D706" s="28" t="s">
        <v>128</v>
      </c>
      <c r="E706" s="4" t="s">
        <v>111</v>
      </c>
      <c r="F706" s="28" t="s">
        <v>397</v>
      </c>
      <c r="G706" s="4">
        <f>SUMIFS(X!$F$5:$F$2005,X!$D$5:$D$2005,'Current Stock'!A706)</f>
        <v>0</v>
      </c>
      <c r="H706" s="4">
        <f>SUMIFS(PENJUALAN!$E$4:$E$11000,PENJUALAN!$C$4:$C$11000,'Current Stock'!A706)</f>
        <v>0</v>
      </c>
      <c r="I706" s="16">
        <f t="shared" si="2"/>
        <v>0</v>
      </c>
      <c r="J706" s="4"/>
      <c r="K706" s="4"/>
      <c r="L706" s="4"/>
      <c r="M706" s="4"/>
    </row>
    <row r="707" ht="13.5" customHeight="1">
      <c r="A707" s="4" t="str">
        <f t="shared" si="1"/>
        <v>FDR-ALTIS06FY</v>
      </c>
      <c r="B707" s="29" t="s">
        <v>1082</v>
      </c>
      <c r="C707" s="28" t="s">
        <v>1078</v>
      </c>
      <c r="D707" s="28" t="s">
        <v>130</v>
      </c>
      <c r="E707" s="4" t="s">
        <v>111</v>
      </c>
      <c r="F707" s="28" t="s">
        <v>397</v>
      </c>
      <c r="G707" s="4">
        <f>SUMIFS(X!$F$5:$F$2005,X!$D$5:$D$2005,'Current Stock'!A707)</f>
        <v>0</v>
      </c>
      <c r="H707" s="4">
        <f>SUMIFS(PENJUALAN!$E$4:$E$11000,PENJUALAN!$C$4:$C$11000,'Current Stock'!A707)</f>
        <v>0</v>
      </c>
      <c r="I707" s="16">
        <f t="shared" si="2"/>
        <v>0</v>
      </c>
      <c r="J707" s="4"/>
      <c r="K707" s="4"/>
      <c r="L707" s="4"/>
      <c r="M707" s="4"/>
    </row>
    <row r="708" ht="13.5" customHeight="1">
      <c r="A708" s="4" t="str">
        <f t="shared" si="1"/>
        <v>RDL-ALTIS06FY</v>
      </c>
      <c r="B708" s="29" t="s">
        <v>1083</v>
      </c>
      <c r="C708" s="28" t="s">
        <v>1078</v>
      </c>
      <c r="D708" s="28" t="s">
        <v>132</v>
      </c>
      <c r="E708" s="4" t="s">
        <v>111</v>
      </c>
      <c r="F708" s="28"/>
      <c r="G708" s="4">
        <f>SUMIFS(X!$F$5:$F$2005,X!$D$5:$D$2005,'Current Stock'!A708)</f>
        <v>0</v>
      </c>
      <c r="H708" s="4">
        <f>SUMIFS(PENJUALAN!$E$4:$E$11000,PENJUALAN!$C$4:$C$11000,'Current Stock'!A708)</f>
        <v>0</v>
      </c>
      <c r="I708" s="16">
        <f t="shared" si="2"/>
        <v>0</v>
      </c>
      <c r="J708" s="4"/>
      <c r="K708" s="4"/>
      <c r="L708" s="4"/>
      <c r="M708" s="4"/>
    </row>
    <row r="709" ht="13.5" customHeight="1">
      <c r="A709" s="4" t="str">
        <f t="shared" si="1"/>
        <v>RDR-ALTIS06FY</v>
      </c>
      <c r="B709" s="29" t="s">
        <v>1084</v>
      </c>
      <c r="C709" s="28" t="s">
        <v>1078</v>
      </c>
      <c r="D709" s="28" t="s">
        <v>134</v>
      </c>
      <c r="E709" s="4" t="s">
        <v>111</v>
      </c>
      <c r="F709" s="28"/>
      <c r="G709" s="4">
        <f>SUMIFS(X!$F$5:$F$2005,X!$D$5:$D$2005,'Current Stock'!A709)</f>
        <v>0</v>
      </c>
      <c r="H709" s="4">
        <f>SUMIFS(PENJUALAN!$E$4:$E$11000,PENJUALAN!$C$4:$C$11000,'Current Stock'!A709)</f>
        <v>0</v>
      </c>
      <c r="I709" s="16">
        <f t="shared" si="2"/>
        <v>0</v>
      </c>
      <c r="J709" s="4"/>
      <c r="K709" s="4"/>
      <c r="L709" s="4"/>
      <c r="M709" s="4"/>
    </row>
    <row r="710" ht="13.5" customHeight="1">
      <c r="A710" s="4" t="str">
        <f t="shared" si="1"/>
        <v>RVL-ALTIS06FY</v>
      </c>
      <c r="B710" s="29" t="s">
        <v>1085</v>
      </c>
      <c r="C710" s="28" t="s">
        <v>1078</v>
      </c>
      <c r="D710" s="28" t="s">
        <v>387</v>
      </c>
      <c r="E710" s="4" t="s">
        <v>111</v>
      </c>
      <c r="F710" s="28"/>
      <c r="G710" s="4">
        <f>SUMIFS(X!$F$5:$F$2005,X!$D$5:$D$2005,'Current Stock'!A710)</f>
        <v>0</v>
      </c>
      <c r="H710" s="4">
        <f>SUMIFS(PENJUALAN!$E$4:$E$11000,PENJUALAN!$C$4:$C$11000,'Current Stock'!A710)</f>
        <v>0</v>
      </c>
      <c r="I710" s="16">
        <f t="shared" si="2"/>
        <v>0</v>
      </c>
      <c r="J710" s="4"/>
      <c r="K710" s="4"/>
      <c r="L710" s="4"/>
      <c r="M710" s="4"/>
    </row>
    <row r="711" ht="13.5" customHeight="1">
      <c r="A711" s="4" t="str">
        <f t="shared" si="1"/>
        <v>RVR-ALTIS06FY</v>
      </c>
      <c r="B711" s="29" t="s">
        <v>1086</v>
      </c>
      <c r="C711" s="28" t="s">
        <v>1078</v>
      </c>
      <c r="D711" s="28" t="s">
        <v>389</v>
      </c>
      <c r="E711" s="4" t="s">
        <v>111</v>
      </c>
      <c r="F711" s="28"/>
      <c r="G711" s="4">
        <f>SUMIFS(X!$F$5:$F$2005,X!$D$5:$D$2005,'Current Stock'!A711)</f>
        <v>0</v>
      </c>
      <c r="H711" s="4">
        <f>SUMIFS(PENJUALAN!$E$4:$E$11000,PENJUALAN!$C$4:$C$11000,'Current Stock'!A711)</f>
        <v>0</v>
      </c>
      <c r="I711" s="16">
        <f t="shared" si="2"/>
        <v>0</v>
      </c>
      <c r="J711" s="4"/>
      <c r="K711" s="4"/>
      <c r="L711" s="4"/>
      <c r="M711" s="4"/>
    </row>
    <row r="712" ht="13.5" customHeight="1">
      <c r="A712" s="4" t="str">
        <f t="shared" si="1"/>
        <v>LFW-ALTIS13RSFY</v>
      </c>
      <c r="B712" s="29" t="s">
        <v>1087</v>
      </c>
      <c r="C712" s="28" t="s">
        <v>1088</v>
      </c>
      <c r="D712" s="28" t="s">
        <v>22</v>
      </c>
      <c r="E712" s="4" t="s">
        <v>111</v>
      </c>
      <c r="F712" s="28" t="s">
        <v>75</v>
      </c>
      <c r="G712" s="4">
        <f>SUMIFS(X!$F$5:$F$2005,X!$D$5:$D$2005,'Current Stock'!A712)</f>
        <v>0</v>
      </c>
      <c r="H712" s="4">
        <f>SUMIFS(PENJUALAN!$E$4:$E$11000,PENJUALAN!$C$4:$C$11000,'Current Stock'!A712)</f>
        <v>0</v>
      </c>
      <c r="I712" s="16">
        <f t="shared" si="2"/>
        <v>0</v>
      </c>
      <c r="J712" s="4"/>
      <c r="K712" s="4"/>
      <c r="L712" s="4"/>
      <c r="M712" s="4"/>
    </row>
    <row r="713" ht="13.5" customHeight="1">
      <c r="A713" s="4" t="str">
        <f t="shared" si="1"/>
        <v>TRW-ALTIS13FY</v>
      </c>
      <c r="B713" s="29" t="s">
        <v>1089</v>
      </c>
      <c r="C713" s="28" t="s">
        <v>1088</v>
      </c>
      <c r="D713" s="28" t="s">
        <v>41</v>
      </c>
      <c r="E713" s="4" t="s">
        <v>111</v>
      </c>
      <c r="F713" s="28" t="s">
        <v>114</v>
      </c>
      <c r="G713" s="4">
        <f>SUMIFS(X!$F$5:$F$2005,X!$D$5:$D$2005,'Current Stock'!A713)</f>
        <v>0</v>
      </c>
      <c r="H713" s="4">
        <f>SUMIFS(PENJUALAN!$E$4:$E$11000,PENJUALAN!$C$4:$C$11000,'Current Stock'!A713)</f>
        <v>0</v>
      </c>
      <c r="I713" s="16">
        <f t="shared" si="2"/>
        <v>0</v>
      </c>
      <c r="J713" s="4"/>
      <c r="K713" s="4"/>
      <c r="L713" s="4"/>
      <c r="M713" s="4"/>
    </row>
    <row r="714" ht="13.5" customHeight="1">
      <c r="A714" s="4" t="str">
        <f t="shared" si="1"/>
        <v>FDL-ALTIS13FY</v>
      </c>
      <c r="B714" s="29" t="s">
        <v>1090</v>
      </c>
      <c r="C714" s="28" t="s">
        <v>1088</v>
      </c>
      <c r="D714" s="28" t="s">
        <v>128</v>
      </c>
      <c r="E714" s="4" t="s">
        <v>111</v>
      </c>
      <c r="F714" s="28"/>
      <c r="G714" s="4">
        <f>SUMIFS(X!$F$5:$F$2005,X!$D$5:$D$2005,'Current Stock'!A714)</f>
        <v>0</v>
      </c>
      <c r="H714" s="4">
        <f>SUMIFS(PENJUALAN!$E$4:$E$11000,PENJUALAN!$C$4:$C$11000,'Current Stock'!A714)</f>
        <v>0</v>
      </c>
      <c r="I714" s="16">
        <f t="shared" si="2"/>
        <v>0</v>
      </c>
      <c r="J714" s="4"/>
      <c r="K714" s="4"/>
      <c r="L714" s="4"/>
      <c r="M714" s="4"/>
    </row>
    <row r="715" ht="13.5" customHeight="1">
      <c r="A715" s="4" t="str">
        <f t="shared" si="1"/>
        <v>FDR-ALTIS13FY</v>
      </c>
      <c r="B715" s="29" t="s">
        <v>1091</v>
      </c>
      <c r="C715" s="28" t="s">
        <v>1088</v>
      </c>
      <c r="D715" s="28" t="s">
        <v>130</v>
      </c>
      <c r="E715" s="4" t="s">
        <v>111</v>
      </c>
      <c r="F715" s="28"/>
      <c r="G715" s="4">
        <f>SUMIFS(X!$F$5:$F$2005,X!$D$5:$D$2005,'Current Stock'!A715)</f>
        <v>0</v>
      </c>
      <c r="H715" s="4">
        <f>SUMIFS(PENJUALAN!$E$4:$E$11000,PENJUALAN!$C$4:$C$11000,'Current Stock'!A715)</f>
        <v>0</v>
      </c>
      <c r="I715" s="16">
        <f t="shared" si="2"/>
        <v>0</v>
      </c>
      <c r="J715" s="4"/>
      <c r="K715" s="4"/>
      <c r="L715" s="4"/>
      <c r="M715" s="4"/>
    </row>
    <row r="716" ht="13.5" customHeight="1">
      <c r="A716" s="4" t="str">
        <f t="shared" si="1"/>
        <v>RDL-ALTIS13FY</v>
      </c>
      <c r="B716" s="29" t="s">
        <v>1092</v>
      </c>
      <c r="C716" s="28" t="s">
        <v>1088</v>
      </c>
      <c r="D716" s="28" t="s">
        <v>132</v>
      </c>
      <c r="E716" s="4" t="s">
        <v>111</v>
      </c>
      <c r="F716" s="28"/>
      <c r="G716" s="4">
        <f>SUMIFS(X!$F$5:$F$2005,X!$D$5:$D$2005,'Current Stock'!A716)</f>
        <v>0</v>
      </c>
      <c r="H716" s="4">
        <f>SUMIFS(PENJUALAN!$E$4:$E$11000,PENJUALAN!$C$4:$C$11000,'Current Stock'!A716)</f>
        <v>0</v>
      </c>
      <c r="I716" s="16">
        <f t="shared" si="2"/>
        <v>0</v>
      </c>
      <c r="J716" s="4"/>
      <c r="K716" s="4"/>
      <c r="L716" s="4"/>
      <c r="M716" s="4"/>
    </row>
    <row r="717" ht="13.5" customHeight="1">
      <c r="A717" s="4" t="str">
        <f t="shared" si="1"/>
        <v>RDR-ALTIS13FY</v>
      </c>
      <c r="B717" s="29" t="s">
        <v>1093</v>
      </c>
      <c r="C717" s="28" t="s">
        <v>1088</v>
      </c>
      <c r="D717" s="28" t="s">
        <v>134</v>
      </c>
      <c r="E717" s="4" t="s">
        <v>111</v>
      </c>
      <c r="F717" s="28"/>
      <c r="G717" s="4">
        <f>SUMIFS(X!$F$5:$F$2005,X!$D$5:$D$2005,'Current Stock'!A717)</f>
        <v>0</v>
      </c>
      <c r="H717" s="4">
        <f>SUMIFS(PENJUALAN!$E$4:$E$11000,PENJUALAN!$C$4:$C$11000,'Current Stock'!A717)</f>
        <v>0</v>
      </c>
      <c r="I717" s="16">
        <f t="shared" si="2"/>
        <v>0</v>
      </c>
      <c r="J717" s="4"/>
      <c r="K717" s="4"/>
      <c r="L717" s="4"/>
      <c r="M717" s="4"/>
    </row>
    <row r="718" ht="13.5" customHeight="1">
      <c r="A718" s="4" t="str">
        <f t="shared" si="1"/>
        <v>RVL-ALTIS13FY</v>
      </c>
      <c r="B718" s="29" t="s">
        <v>1094</v>
      </c>
      <c r="C718" s="28" t="s">
        <v>1088</v>
      </c>
      <c r="D718" s="28" t="s">
        <v>387</v>
      </c>
      <c r="E718" s="4" t="s">
        <v>111</v>
      </c>
      <c r="F718" s="28"/>
      <c r="G718" s="4">
        <f>SUMIFS(X!$F$5:$F$2005,X!$D$5:$D$2005,'Current Stock'!A718)</f>
        <v>0</v>
      </c>
      <c r="H718" s="4">
        <f>SUMIFS(PENJUALAN!$E$4:$E$11000,PENJUALAN!$C$4:$C$11000,'Current Stock'!A718)</f>
        <v>0</v>
      </c>
      <c r="I718" s="16">
        <f t="shared" si="2"/>
        <v>0</v>
      </c>
      <c r="J718" s="4"/>
      <c r="K718" s="4"/>
      <c r="L718" s="4"/>
      <c r="M718" s="4"/>
    </row>
    <row r="719" ht="13.5" customHeight="1">
      <c r="A719" s="4" t="str">
        <f t="shared" si="1"/>
        <v>RVR-ALTIS13FY</v>
      </c>
      <c r="B719" s="29" t="s">
        <v>1095</v>
      </c>
      <c r="C719" s="28" t="s">
        <v>1088</v>
      </c>
      <c r="D719" s="28" t="s">
        <v>389</v>
      </c>
      <c r="E719" s="4" t="s">
        <v>111</v>
      </c>
      <c r="F719" s="28"/>
      <c r="G719" s="4">
        <f>SUMIFS(X!$F$5:$F$2005,X!$D$5:$D$2005,'Current Stock'!A719)</f>
        <v>0</v>
      </c>
      <c r="H719" s="4">
        <f>SUMIFS(PENJUALAN!$E$4:$E$11000,PENJUALAN!$C$4:$C$11000,'Current Stock'!A719)</f>
        <v>0</v>
      </c>
      <c r="I719" s="16">
        <f t="shared" si="2"/>
        <v>0</v>
      </c>
      <c r="J719" s="4"/>
      <c r="K719" s="4"/>
      <c r="L719" s="4"/>
      <c r="M719" s="4"/>
    </row>
    <row r="720" ht="13.5" customHeight="1">
      <c r="A720" s="4" t="str">
        <f t="shared" si="1"/>
        <v>LFW-AVANZA03FY</v>
      </c>
      <c r="B720" s="29" t="s">
        <v>1096</v>
      </c>
      <c r="C720" s="28" t="s">
        <v>65</v>
      </c>
      <c r="D720" s="28" t="s">
        <v>22</v>
      </c>
      <c r="E720" s="4" t="s">
        <v>111</v>
      </c>
      <c r="F720" s="28" t="s">
        <v>97</v>
      </c>
      <c r="G720" s="4">
        <f>SUMIFS(X!$F$5:$F$2005,X!$D$5:$D$2005,'Current Stock'!A720)</f>
        <v>0</v>
      </c>
      <c r="H720" s="4">
        <f>SUMIFS(PENJUALAN!$E$4:$E$11000,PENJUALAN!$C$4:$C$11000,'Current Stock'!A720)</f>
        <v>0</v>
      </c>
      <c r="I720" s="16">
        <f t="shared" si="2"/>
        <v>0</v>
      </c>
      <c r="J720" s="4"/>
      <c r="K720" s="4"/>
      <c r="L720" s="4"/>
      <c r="M720" s="4"/>
    </row>
    <row r="721" ht="13.5" customHeight="1">
      <c r="A721" s="4" t="str">
        <f t="shared" si="1"/>
        <v>TRW-AVANZA03FY</v>
      </c>
      <c r="B721" s="29" t="s">
        <v>1097</v>
      </c>
      <c r="C721" s="28" t="s">
        <v>65</v>
      </c>
      <c r="D721" s="28" t="s">
        <v>41</v>
      </c>
      <c r="E721" s="4" t="s">
        <v>111</v>
      </c>
      <c r="F721" s="28" t="s">
        <v>97</v>
      </c>
      <c r="G721" s="4">
        <f>SUMIFS(X!$F$5:$F$2005,X!$D$5:$D$2005,'Current Stock'!A721)</f>
        <v>0</v>
      </c>
      <c r="H721" s="4">
        <f>SUMIFS(PENJUALAN!$E$4:$E$11000,PENJUALAN!$C$4:$C$11000,'Current Stock'!A721)</f>
        <v>0</v>
      </c>
      <c r="I721" s="16">
        <f t="shared" si="2"/>
        <v>0</v>
      </c>
      <c r="J721" s="4"/>
      <c r="K721" s="4"/>
      <c r="L721" s="4"/>
      <c r="M721" s="4"/>
    </row>
    <row r="722" ht="13.5" customHeight="1">
      <c r="A722" s="4" t="str">
        <f t="shared" si="1"/>
        <v>TRW-AVANZA03HFY</v>
      </c>
      <c r="B722" s="29" t="s">
        <v>64</v>
      </c>
      <c r="C722" s="28" t="s">
        <v>65</v>
      </c>
      <c r="D722" s="28" t="s">
        <v>41</v>
      </c>
      <c r="E722" s="4" t="s">
        <v>111</v>
      </c>
      <c r="F722" s="28" t="s">
        <v>67</v>
      </c>
      <c r="G722" s="4">
        <f>SUMIFS(X!$F$5:$F$2005,X!$D$5:$D$2005,'Current Stock'!A722)</f>
        <v>0</v>
      </c>
      <c r="H722" s="4">
        <f>SUMIFS(PENJUALAN!$E$4:$E$11000,PENJUALAN!$C$4:$C$11000,'Current Stock'!A722)</f>
        <v>0</v>
      </c>
      <c r="I722" s="16">
        <f t="shared" si="2"/>
        <v>0</v>
      </c>
      <c r="J722" s="4"/>
      <c r="K722" s="4"/>
      <c r="L722" s="4"/>
      <c r="M722" s="4"/>
    </row>
    <row r="723" ht="13.5" customHeight="1">
      <c r="A723" s="4" t="str">
        <f t="shared" si="1"/>
        <v>LFW-AVANZA11FY</v>
      </c>
      <c r="B723" s="29" t="s">
        <v>1098</v>
      </c>
      <c r="C723" s="28" t="s">
        <v>81</v>
      </c>
      <c r="D723" s="28" t="s">
        <v>22</v>
      </c>
      <c r="E723" s="4" t="s">
        <v>111</v>
      </c>
      <c r="F723" s="28" t="s">
        <v>97</v>
      </c>
      <c r="G723" s="4">
        <f>SUMIFS(X!$F$5:$F$2005,X!$D$5:$D$2005,'Current Stock'!A723)</f>
        <v>0</v>
      </c>
      <c r="H723" s="4">
        <f>SUMIFS(PENJUALAN!$E$4:$E$11000,PENJUALAN!$C$4:$C$11000,'Current Stock'!A723)</f>
        <v>0</v>
      </c>
      <c r="I723" s="16">
        <f t="shared" si="2"/>
        <v>0</v>
      </c>
      <c r="J723" s="4"/>
      <c r="K723" s="4"/>
      <c r="L723" s="4"/>
      <c r="M723" s="4"/>
    </row>
    <row r="724" ht="13.5" customHeight="1">
      <c r="A724" s="4" t="str">
        <f t="shared" si="1"/>
        <v>TRW-AVANZA11FY</v>
      </c>
      <c r="B724" s="29" t="s">
        <v>87</v>
      </c>
      <c r="C724" s="28" t="s">
        <v>88</v>
      </c>
      <c r="D724" s="28" t="s">
        <v>41</v>
      </c>
      <c r="E724" s="4" t="s">
        <v>111</v>
      </c>
      <c r="F724" s="28" t="s">
        <v>97</v>
      </c>
      <c r="G724" s="4">
        <f>SUMIFS(X!$F$5:$F$2005,X!$D$5:$D$2005,'Current Stock'!A724)</f>
        <v>0</v>
      </c>
      <c r="H724" s="4">
        <f>SUMIFS(PENJUALAN!$E$4:$E$11000,PENJUALAN!$C$4:$C$11000,'Current Stock'!A724)</f>
        <v>0</v>
      </c>
      <c r="I724" s="16">
        <f t="shared" si="2"/>
        <v>0</v>
      </c>
      <c r="J724" s="4"/>
      <c r="K724" s="4"/>
      <c r="L724" s="4"/>
      <c r="M724" s="4"/>
    </row>
    <row r="725" ht="13.5" customHeight="1">
      <c r="A725" s="4" t="str">
        <f t="shared" si="1"/>
        <v>TRW-AVANZA11HFY</v>
      </c>
      <c r="B725" s="29" t="s">
        <v>1099</v>
      </c>
      <c r="C725" s="28" t="s">
        <v>88</v>
      </c>
      <c r="D725" s="28" t="s">
        <v>41</v>
      </c>
      <c r="E725" s="4" t="s">
        <v>111</v>
      </c>
      <c r="F725" s="28" t="s">
        <v>67</v>
      </c>
      <c r="G725" s="4">
        <f>SUMIFS(X!$F$5:$F$2005,X!$D$5:$D$2005,'Current Stock'!A725)</f>
        <v>0</v>
      </c>
      <c r="H725" s="4">
        <f>SUMIFS(PENJUALAN!$E$4:$E$11000,PENJUALAN!$C$4:$C$11000,'Current Stock'!A725)</f>
        <v>0</v>
      </c>
      <c r="I725" s="16">
        <f t="shared" si="2"/>
        <v>0</v>
      </c>
      <c r="J725" s="4"/>
      <c r="K725" s="4"/>
      <c r="L725" s="4"/>
      <c r="M725" s="4"/>
    </row>
    <row r="726" ht="13.5" customHeight="1">
      <c r="A726" s="4" t="str">
        <f t="shared" si="1"/>
        <v>LFW-AVANZA16FY</v>
      </c>
      <c r="B726" s="29" t="s">
        <v>1100</v>
      </c>
      <c r="C726" s="28" t="s">
        <v>1101</v>
      </c>
      <c r="D726" s="28" t="s">
        <v>22</v>
      </c>
      <c r="E726" s="4" t="s">
        <v>111</v>
      </c>
      <c r="F726" s="28" t="s">
        <v>97</v>
      </c>
      <c r="G726" s="4">
        <f>SUMIFS(X!$F$5:$F$2005,X!$D$5:$D$2005,'Current Stock'!A726)</f>
        <v>0</v>
      </c>
      <c r="H726" s="4">
        <f>SUMIFS(PENJUALAN!$E$4:$E$11000,PENJUALAN!$C$4:$C$11000,'Current Stock'!A726)</f>
        <v>0</v>
      </c>
      <c r="I726" s="16">
        <f t="shared" si="2"/>
        <v>0</v>
      </c>
      <c r="J726" s="4"/>
      <c r="K726" s="4"/>
      <c r="L726" s="4"/>
      <c r="M726" s="4"/>
    </row>
    <row r="727" ht="13.5" customHeight="1">
      <c r="A727" s="4" t="str">
        <f t="shared" si="1"/>
        <v>LFW-CAMRY96FY</v>
      </c>
      <c r="B727" s="29" t="s">
        <v>1102</v>
      </c>
      <c r="C727" s="28" t="s">
        <v>1103</v>
      </c>
      <c r="D727" s="28" t="s">
        <v>22</v>
      </c>
      <c r="E727" s="4" t="s">
        <v>111</v>
      </c>
      <c r="F727" s="28" t="s">
        <v>125</v>
      </c>
      <c r="G727" s="4">
        <f>SUMIFS(X!$F$5:$F$2005,X!$D$5:$D$2005,'Current Stock'!A727)</f>
        <v>0</v>
      </c>
      <c r="H727" s="4">
        <f>SUMIFS(PENJUALAN!$E$4:$E$11000,PENJUALAN!$C$4:$C$11000,'Current Stock'!A727)</f>
        <v>0</v>
      </c>
      <c r="I727" s="16">
        <f t="shared" si="2"/>
        <v>0</v>
      </c>
      <c r="J727" s="4"/>
      <c r="K727" s="4"/>
      <c r="L727" s="4"/>
      <c r="M727" s="4"/>
    </row>
    <row r="728" ht="13.5" customHeight="1">
      <c r="A728" s="4" t="str">
        <f t="shared" si="1"/>
        <v>TRW-CAMRY96FY</v>
      </c>
      <c r="B728" s="29" t="s">
        <v>1104</v>
      </c>
      <c r="C728" s="28" t="s">
        <v>1103</v>
      </c>
      <c r="D728" s="28" t="s">
        <v>41</v>
      </c>
      <c r="E728" s="4" t="s">
        <v>111</v>
      </c>
      <c r="F728" s="28" t="s">
        <v>67</v>
      </c>
      <c r="G728" s="4">
        <f>SUMIFS(X!$F$5:$F$2005,X!$D$5:$D$2005,'Current Stock'!A728)</f>
        <v>0</v>
      </c>
      <c r="H728" s="4">
        <f>SUMIFS(PENJUALAN!$E$4:$E$11000,PENJUALAN!$C$4:$C$11000,'Current Stock'!A728)</f>
        <v>0</v>
      </c>
      <c r="I728" s="16">
        <f t="shared" si="2"/>
        <v>0</v>
      </c>
      <c r="J728" s="4"/>
      <c r="K728" s="4"/>
      <c r="L728" s="4"/>
      <c r="M728" s="4"/>
    </row>
    <row r="729" ht="13.5" customHeight="1">
      <c r="A729" s="4" t="str">
        <f t="shared" si="1"/>
        <v>LFW-CAMRY02FY</v>
      </c>
      <c r="B729" s="29" t="s">
        <v>1105</v>
      </c>
      <c r="C729" s="28" t="s">
        <v>1106</v>
      </c>
      <c r="D729" s="28" t="s">
        <v>22</v>
      </c>
      <c r="E729" s="4" t="s">
        <v>111</v>
      </c>
      <c r="F729" s="28" t="s">
        <v>125</v>
      </c>
      <c r="G729" s="4">
        <f>SUMIFS(X!$F$5:$F$2005,X!$D$5:$D$2005,'Current Stock'!A729)</f>
        <v>0</v>
      </c>
      <c r="H729" s="4">
        <f>SUMIFS(PENJUALAN!$E$4:$E$11000,PENJUALAN!$C$4:$C$11000,'Current Stock'!A729)</f>
        <v>0</v>
      </c>
      <c r="I729" s="16">
        <f t="shared" si="2"/>
        <v>0</v>
      </c>
      <c r="J729" s="4"/>
      <c r="K729" s="4"/>
      <c r="L729" s="4"/>
      <c r="M729" s="4"/>
    </row>
    <row r="730" ht="13.5" customHeight="1">
      <c r="A730" s="4" t="str">
        <f t="shared" si="1"/>
        <v>TRW-CAMRY02FY</v>
      </c>
      <c r="B730" s="29" t="s">
        <v>1107</v>
      </c>
      <c r="C730" s="28" t="s">
        <v>1106</v>
      </c>
      <c r="D730" s="28" t="s">
        <v>41</v>
      </c>
      <c r="E730" s="4" t="s">
        <v>111</v>
      </c>
      <c r="F730" s="28" t="s">
        <v>114</v>
      </c>
      <c r="G730" s="4">
        <f>SUMIFS(X!$F$5:$F$2005,X!$D$5:$D$2005,'Current Stock'!A730)</f>
        <v>0</v>
      </c>
      <c r="H730" s="4">
        <f>SUMIFS(PENJUALAN!$E$4:$E$11000,PENJUALAN!$C$4:$C$11000,'Current Stock'!A730)</f>
        <v>0</v>
      </c>
      <c r="I730" s="16">
        <f t="shared" si="2"/>
        <v>0</v>
      </c>
      <c r="J730" s="4"/>
      <c r="K730" s="4"/>
      <c r="L730" s="4"/>
      <c r="M730" s="4"/>
    </row>
    <row r="731" ht="13.5" customHeight="1">
      <c r="A731" s="4" t="str">
        <f t="shared" si="1"/>
        <v>FDL-CAMRY02FY</v>
      </c>
      <c r="B731" s="29" t="s">
        <v>1108</v>
      </c>
      <c r="C731" s="28" t="s">
        <v>1106</v>
      </c>
      <c r="D731" s="28" t="s">
        <v>128</v>
      </c>
      <c r="E731" s="4" t="s">
        <v>111</v>
      </c>
      <c r="F731" s="28"/>
      <c r="G731" s="4">
        <f>SUMIFS(X!$F$5:$F$2005,X!$D$5:$D$2005,'Current Stock'!A731)</f>
        <v>0</v>
      </c>
      <c r="H731" s="4">
        <f>SUMIFS(PENJUALAN!$E$4:$E$11000,PENJUALAN!$C$4:$C$11000,'Current Stock'!A731)</f>
        <v>0</v>
      </c>
      <c r="I731" s="16">
        <f t="shared" si="2"/>
        <v>0</v>
      </c>
      <c r="J731" s="4"/>
      <c r="K731" s="4"/>
      <c r="L731" s="4"/>
      <c r="M731" s="4"/>
    </row>
    <row r="732" ht="13.5" customHeight="1">
      <c r="A732" s="4" t="str">
        <f t="shared" si="1"/>
        <v>FDR-CAMRY02FY</v>
      </c>
      <c r="B732" s="29" t="s">
        <v>1109</v>
      </c>
      <c r="C732" s="28" t="s">
        <v>1106</v>
      </c>
      <c r="D732" s="28" t="s">
        <v>130</v>
      </c>
      <c r="E732" s="4" t="s">
        <v>111</v>
      </c>
      <c r="F732" s="28"/>
      <c r="G732" s="4">
        <f>SUMIFS(X!$F$5:$F$2005,X!$D$5:$D$2005,'Current Stock'!A732)</f>
        <v>0</v>
      </c>
      <c r="H732" s="4">
        <f>SUMIFS(PENJUALAN!$E$4:$E$11000,PENJUALAN!$C$4:$C$11000,'Current Stock'!A732)</f>
        <v>0</v>
      </c>
      <c r="I732" s="16">
        <f t="shared" si="2"/>
        <v>0</v>
      </c>
      <c r="J732" s="4"/>
      <c r="K732" s="4"/>
      <c r="L732" s="4"/>
      <c r="M732" s="4"/>
    </row>
    <row r="733" ht="13.5" customHeight="1">
      <c r="A733" s="4" t="str">
        <f t="shared" si="1"/>
        <v>LFW-CAMRY06FY</v>
      </c>
      <c r="B733" s="29" t="s">
        <v>1110</v>
      </c>
      <c r="C733" s="28" t="s">
        <v>1111</v>
      </c>
      <c r="D733" s="28" t="s">
        <v>22</v>
      </c>
      <c r="E733" s="4" t="s">
        <v>111</v>
      </c>
      <c r="F733" s="28" t="s">
        <v>125</v>
      </c>
      <c r="G733" s="4">
        <f>SUMIFS(X!$F$5:$F$2005,X!$D$5:$D$2005,'Current Stock'!A733)</f>
        <v>0</v>
      </c>
      <c r="H733" s="4">
        <f>SUMIFS(PENJUALAN!$E$4:$E$11000,PENJUALAN!$C$4:$C$11000,'Current Stock'!A733)</f>
        <v>0</v>
      </c>
      <c r="I733" s="16">
        <f t="shared" si="2"/>
        <v>0</v>
      </c>
      <c r="J733" s="4"/>
      <c r="K733" s="4"/>
      <c r="L733" s="4"/>
      <c r="M733" s="4"/>
    </row>
    <row r="734" ht="13.5" customHeight="1">
      <c r="A734" s="4" t="str">
        <f t="shared" si="1"/>
        <v>LFW-CAMRY06RSFY</v>
      </c>
      <c r="B734" s="29" t="s">
        <v>1112</v>
      </c>
      <c r="C734" s="28" t="s">
        <v>1111</v>
      </c>
      <c r="D734" s="28" t="s">
        <v>22</v>
      </c>
      <c r="E734" s="4" t="s">
        <v>111</v>
      </c>
      <c r="F734" s="28" t="s">
        <v>75</v>
      </c>
      <c r="G734" s="4">
        <f>SUMIFS(X!$F$5:$F$2005,X!$D$5:$D$2005,'Current Stock'!A734)</f>
        <v>0</v>
      </c>
      <c r="H734" s="4">
        <f>SUMIFS(PENJUALAN!$E$4:$E$11000,PENJUALAN!$C$4:$C$11000,'Current Stock'!A734)</f>
        <v>0</v>
      </c>
      <c r="I734" s="16">
        <f t="shared" si="2"/>
        <v>0</v>
      </c>
      <c r="J734" s="4"/>
      <c r="K734" s="4"/>
      <c r="L734" s="4"/>
      <c r="M734" s="4"/>
    </row>
    <row r="735" ht="13.5" customHeight="1">
      <c r="A735" s="4" t="str">
        <f t="shared" si="1"/>
        <v>TRW-CAMRY06FY</v>
      </c>
      <c r="B735" s="29" t="s">
        <v>1113</v>
      </c>
      <c r="C735" s="28" t="s">
        <v>1111</v>
      </c>
      <c r="D735" s="28" t="s">
        <v>41</v>
      </c>
      <c r="E735" s="4" t="s">
        <v>111</v>
      </c>
      <c r="F735" s="28" t="s">
        <v>114</v>
      </c>
      <c r="G735" s="4">
        <f>SUMIFS(X!$F$5:$F$2005,X!$D$5:$D$2005,'Current Stock'!A735)</f>
        <v>0</v>
      </c>
      <c r="H735" s="4">
        <f>SUMIFS(PENJUALAN!$E$4:$E$11000,PENJUALAN!$C$4:$C$11000,'Current Stock'!A735)</f>
        <v>0</v>
      </c>
      <c r="I735" s="16">
        <f t="shared" si="2"/>
        <v>0</v>
      </c>
      <c r="J735" s="4"/>
      <c r="K735" s="4"/>
      <c r="L735" s="4"/>
      <c r="M735" s="4"/>
    </row>
    <row r="736" ht="13.5" customHeight="1">
      <c r="A736" s="4" t="str">
        <f t="shared" si="1"/>
        <v>LFW-CAMRY11FY</v>
      </c>
      <c r="B736" s="29" t="s">
        <v>1114</v>
      </c>
      <c r="C736" s="28" t="s">
        <v>1115</v>
      </c>
      <c r="D736" s="28" t="s">
        <v>22</v>
      </c>
      <c r="E736" s="4" t="s">
        <v>111</v>
      </c>
      <c r="F736" s="28" t="s">
        <v>75</v>
      </c>
      <c r="G736" s="4">
        <f>SUMIFS(X!$F$5:$F$2005,X!$D$5:$D$2005,'Current Stock'!A736)</f>
        <v>0</v>
      </c>
      <c r="H736" s="4">
        <f>SUMIFS(PENJUALAN!$E$4:$E$11000,PENJUALAN!$C$4:$C$11000,'Current Stock'!A736)</f>
        <v>0</v>
      </c>
      <c r="I736" s="16">
        <f t="shared" si="2"/>
        <v>0</v>
      </c>
      <c r="J736" s="4"/>
      <c r="K736" s="4"/>
      <c r="L736" s="4"/>
      <c r="M736" s="4"/>
    </row>
    <row r="737" ht="13.5" customHeight="1">
      <c r="A737" s="4" t="str">
        <f t="shared" si="1"/>
        <v>TRW-CAMRY11FY</v>
      </c>
      <c r="B737" s="29" t="s">
        <v>1116</v>
      </c>
      <c r="C737" s="28" t="s">
        <v>1115</v>
      </c>
      <c r="D737" s="28" t="s">
        <v>41</v>
      </c>
      <c r="E737" s="4" t="s">
        <v>111</v>
      </c>
      <c r="F737" s="28" t="s">
        <v>114</v>
      </c>
      <c r="G737" s="4">
        <f>SUMIFS(X!$F$5:$F$2005,X!$D$5:$D$2005,'Current Stock'!A737)</f>
        <v>0</v>
      </c>
      <c r="H737" s="4">
        <f>SUMIFS(PENJUALAN!$E$4:$E$11000,PENJUALAN!$C$4:$C$11000,'Current Stock'!A737)</f>
        <v>0</v>
      </c>
      <c r="I737" s="16">
        <f t="shared" si="2"/>
        <v>0</v>
      </c>
      <c r="J737" s="4"/>
      <c r="K737" s="4"/>
      <c r="L737" s="4"/>
      <c r="M737" s="4"/>
    </row>
    <row r="738" ht="13.5" customHeight="1">
      <c r="A738" s="4" t="str">
        <f t="shared" si="1"/>
        <v>FDL-CAMRY11FY</v>
      </c>
      <c r="B738" s="29" t="s">
        <v>1117</v>
      </c>
      <c r="C738" s="28" t="s">
        <v>1115</v>
      </c>
      <c r="D738" s="28" t="s">
        <v>128</v>
      </c>
      <c r="E738" s="4" t="s">
        <v>111</v>
      </c>
      <c r="F738" s="28"/>
      <c r="G738" s="4">
        <f>SUMIFS(X!$F$5:$F$2005,X!$D$5:$D$2005,'Current Stock'!A738)</f>
        <v>0</v>
      </c>
      <c r="H738" s="4">
        <f>SUMIFS(PENJUALAN!$E$4:$E$11000,PENJUALAN!$C$4:$C$11000,'Current Stock'!A738)</f>
        <v>0</v>
      </c>
      <c r="I738" s="16">
        <f t="shared" si="2"/>
        <v>0</v>
      </c>
      <c r="J738" s="4"/>
      <c r="K738" s="4"/>
      <c r="L738" s="4"/>
      <c r="M738" s="4"/>
    </row>
    <row r="739" ht="13.5" customHeight="1">
      <c r="A739" s="4" t="str">
        <f t="shared" si="1"/>
        <v>FDR-CAMRY11FY</v>
      </c>
      <c r="B739" s="29" t="s">
        <v>1118</v>
      </c>
      <c r="C739" s="28" t="s">
        <v>1115</v>
      </c>
      <c r="D739" s="28" t="s">
        <v>130</v>
      </c>
      <c r="E739" s="4" t="s">
        <v>111</v>
      </c>
      <c r="F739" s="28"/>
      <c r="G739" s="4">
        <f>SUMIFS(X!$F$5:$F$2005,X!$D$5:$D$2005,'Current Stock'!A739)</f>
        <v>0</v>
      </c>
      <c r="H739" s="4">
        <f>SUMIFS(PENJUALAN!$E$4:$E$11000,PENJUALAN!$C$4:$C$11000,'Current Stock'!A739)</f>
        <v>0</v>
      </c>
      <c r="I739" s="16">
        <f t="shared" si="2"/>
        <v>0</v>
      </c>
      <c r="J739" s="4"/>
      <c r="K739" s="4"/>
      <c r="L739" s="4"/>
      <c r="M739" s="4"/>
    </row>
    <row r="740" ht="13.5" customHeight="1">
      <c r="A740" s="4" t="str">
        <f t="shared" si="1"/>
        <v>TRW-COROLLA87FY</v>
      </c>
      <c r="B740" s="29" t="s">
        <v>1119</v>
      </c>
      <c r="C740" s="28" t="s">
        <v>1120</v>
      </c>
      <c r="D740" s="28" t="s">
        <v>41</v>
      </c>
      <c r="E740" s="4" t="s">
        <v>111</v>
      </c>
      <c r="F740" s="28" t="s">
        <v>67</v>
      </c>
      <c r="G740" s="4">
        <f>SUMIFS(X!$F$5:$F$2005,X!$D$5:$D$2005,'Current Stock'!A740)</f>
        <v>0</v>
      </c>
      <c r="H740" s="4">
        <f>SUMIFS(PENJUALAN!$E$4:$E$11000,PENJUALAN!$C$4:$C$11000,'Current Stock'!A740)</f>
        <v>0</v>
      </c>
      <c r="I740" s="16">
        <f t="shared" si="2"/>
        <v>0</v>
      </c>
      <c r="J740" s="4"/>
      <c r="K740" s="4"/>
      <c r="L740" s="4"/>
      <c r="M740" s="4"/>
    </row>
    <row r="741" ht="13.5" customHeight="1">
      <c r="A741" s="4" t="str">
        <f t="shared" si="1"/>
        <v>LFW-COROLLA91FY</v>
      </c>
      <c r="B741" s="29" t="s">
        <v>1121</v>
      </c>
      <c r="C741" s="28" t="s">
        <v>1122</v>
      </c>
      <c r="D741" s="28" t="s">
        <v>22</v>
      </c>
      <c r="E741" s="4" t="s">
        <v>111</v>
      </c>
      <c r="F741" s="28" t="s">
        <v>97</v>
      </c>
      <c r="G741" s="4">
        <f>SUMIFS(X!$F$5:$F$2005,X!$D$5:$D$2005,'Current Stock'!A741)</f>
        <v>0</v>
      </c>
      <c r="H741" s="4">
        <f>SUMIFS(PENJUALAN!$E$4:$E$11000,PENJUALAN!$C$4:$C$11000,'Current Stock'!A741)</f>
        <v>0</v>
      </c>
      <c r="I741" s="16">
        <f t="shared" si="2"/>
        <v>0</v>
      </c>
      <c r="J741" s="4"/>
      <c r="K741" s="4"/>
      <c r="L741" s="4"/>
      <c r="M741" s="4"/>
    </row>
    <row r="742" ht="13.5" customHeight="1">
      <c r="A742" s="4" t="str">
        <f t="shared" si="1"/>
        <v>TRW-COROLLA91FY</v>
      </c>
      <c r="B742" s="29" t="s">
        <v>1123</v>
      </c>
      <c r="C742" s="28" t="s">
        <v>1122</v>
      </c>
      <c r="D742" s="28" t="s">
        <v>41</v>
      </c>
      <c r="E742" s="4" t="s">
        <v>111</v>
      </c>
      <c r="F742" s="28" t="s">
        <v>67</v>
      </c>
      <c r="G742" s="4">
        <f>SUMIFS(X!$F$5:$F$2005,X!$D$5:$D$2005,'Current Stock'!A742)</f>
        <v>0</v>
      </c>
      <c r="H742" s="4">
        <f>SUMIFS(PENJUALAN!$E$4:$E$11000,PENJUALAN!$C$4:$C$11000,'Current Stock'!A742)</f>
        <v>0</v>
      </c>
      <c r="I742" s="16">
        <f t="shared" si="2"/>
        <v>0</v>
      </c>
      <c r="J742" s="4"/>
      <c r="K742" s="4"/>
      <c r="L742" s="4"/>
      <c r="M742" s="4"/>
    </row>
    <row r="743" ht="13.5" customHeight="1">
      <c r="A743" s="4" t="str">
        <f t="shared" si="1"/>
        <v>TRW-COROLLA95FY</v>
      </c>
      <c r="B743" s="29" t="s">
        <v>1124</v>
      </c>
      <c r="C743" s="28" t="s">
        <v>1125</v>
      </c>
      <c r="D743" s="28" t="s">
        <v>41</v>
      </c>
      <c r="E743" s="4" t="s">
        <v>111</v>
      </c>
      <c r="F743" s="28" t="s">
        <v>114</v>
      </c>
      <c r="G743" s="4">
        <f>SUMIFS(X!$F$5:$F$2005,X!$D$5:$D$2005,'Current Stock'!A743)</f>
        <v>0</v>
      </c>
      <c r="H743" s="4">
        <f>SUMIFS(PENJUALAN!$E$4:$E$11000,PENJUALAN!$C$4:$C$11000,'Current Stock'!A743)</f>
        <v>0</v>
      </c>
      <c r="I743" s="16">
        <f t="shared" si="2"/>
        <v>0</v>
      </c>
      <c r="J743" s="4"/>
      <c r="K743" s="4"/>
      <c r="L743" s="4"/>
      <c r="M743" s="4"/>
    </row>
    <row r="744" ht="13.5" customHeight="1">
      <c r="A744" s="4" t="str">
        <f t="shared" si="1"/>
        <v>TRW-ETIOSSEDANFY</v>
      </c>
      <c r="B744" s="29" t="s">
        <v>1126</v>
      </c>
      <c r="C744" s="28" t="s">
        <v>96</v>
      </c>
      <c r="D744" s="28" t="s">
        <v>41</v>
      </c>
      <c r="E744" s="4" t="s">
        <v>111</v>
      </c>
      <c r="F744" s="28" t="s">
        <v>97</v>
      </c>
      <c r="G744" s="4">
        <f>SUMIFS(X!$F$5:$F$2005,X!$D$5:$D$2005,'Current Stock'!A744)</f>
        <v>0</v>
      </c>
      <c r="H744" s="4">
        <f>SUMIFS(PENJUALAN!$E$4:$E$11000,PENJUALAN!$C$4:$C$11000,'Current Stock'!A744)</f>
        <v>0</v>
      </c>
      <c r="I744" s="16">
        <f t="shared" si="2"/>
        <v>0</v>
      </c>
      <c r="J744" s="4"/>
      <c r="K744" s="4"/>
      <c r="L744" s="4"/>
      <c r="M744" s="4"/>
    </row>
    <row r="745" ht="13.5" customHeight="1">
      <c r="A745" s="4" t="str">
        <f t="shared" si="1"/>
        <v>TRW-ETIOSHSEDANFY</v>
      </c>
      <c r="B745" s="29" t="s">
        <v>1127</v>
      </c>
      <c r="C745" s="28" t="s">
        <v>96</v>
      </c>
      <c r="D745" s="28" t="s">
        <v>41</v>
      </c>
      <c r="E745" s="4" t="s">
        <v>111</v>
      </c>
      <c r="F745" s="28" t="s">
        <v>67</v>
      </c>
      <c r="G745" s="4">
        <f>SUMIFS(X!$F$5:$F$2005,X!$D$5:$D$2005,'Current Stock'!A745)</f>
        <v>0</v>
      </c>
      <c r="H745" s="4">
        <f>SUMIFS(PENJUALAN!$E$4:$E$11000,PENJUALAN!$C$4:$C$11000,'Current Stock'!A745)</f>
        <v>0</v>
      </c>
      <c r="I745" s="16">
        <f t="shared" si="2"/>
        <v>0</v>
      </c>
      <c r="J745" s="4"/>
      <c r="K745" s="4"/>
      <c r="L745" s="4"/>
      <c r="M745" s="4"/>
    </row>
    <row r="746" ht="13.5" customHeight="1">
      <c r="A746" s="4" t="str">
        <f t="shared" si="1"/>
        <v>LFW-FORTUNER05FY</v>
      </c>
      <c r="B746" s="29" t="s">
        <v>1128</v>
      </c>
      <c r="C746" s="28" t="s">
        <v>1129</v>
      </c>
      <c r="D746" s="28" t="s">
        <v>22</v>
      </c>
      <c r="E746" s="4" t="s">
        <v>111</v>
      </c>
      <c r="F746" s="28" t="s">
        <v>125</v>
      </c>
      <c r="G746" s="4">
        <f>SUMIFS(X!$F$5:$F$2005,X!$D$5:$D$2005,'Current Stock'!A746)</f>
        <v>0</v>
      </c>
      <c r="H746" s="4">
        <f>SUMIFS(PENJUALAN!$E$4:$E$11000,PENJUALAN!$C$4:$C$11000,'Current Stock'!A746)</f>
        <v>0</v>
      </c>
      <c r="I746" s="16">
        <f t="shared" si="2"/>
        <v>0</v>
      </c>
      <c r="J746" s="4"/>
      <c r="K746" s="4"/>
      <c r="L746" s="4"/>
      <c r="M746" s="4"/>
    </row>
    <row r="747" ht="13.5" customHeight="1">
      <c r="A747" s="4" t="str">
        <f t="shared" si="1"/>
        <v>TRW-FORTUNER05FY</v>
      </c>
      <c r="B747" s="29" t="s">
        <v>1130</v>
      </c>
      <c r="C747" s="28" t="s">
        <v>1129</v>
      </c>
      <c r="D747" s="28" t="s">
        <v>41</v>
      </c>
      <c r="E747" s="4" t="s">
        <v>111</v>
      </c>
      <c r="F747" s="28" t="s">
        <v>67</v>
      </c>
      <c r="G747" s="4">
        <f>SUMIFS(X!$F$5:$F$2005,X!$D$5:$D$2005,'Current Stock'!A747)</f>
        <v>0</v>
      </c>
      <c r="H747" s="4">
        <f>SUMIFS(PENJUALAN!$E$4:$E$11000,PENJUALAN!$C$4:$C$11000,'Current Stock'!A747)</f>
        <v>0</v>
      </c>
      <c r="I747" s="16">
        <f t="shared" si="2"/>
        <v>0</v>
      </c>
      <c r="J747" s="4"/>
      <c r="K747" s="4"/>
      <c r="L747" s="4"/>
      <c r="M747" s="4"/>
    </row>
    <row r="748" ht="13.5" customHeight="1">
      <c r="A748" s="4" t="str">
        <f t="shared" si="1"/>
        <v>TRW-FORTUNER05BLACKFY</v>
      </c>
      <c r="B748" s="29" t="s">
        <v>1131</v>
      </c>
      <c r="C748" s="28" t="s">
        <v>1132</v>
      </c>
      <c r="D748" s="28" t="s">
        <v>41</v>
      </c>
      <c r="E748" s="4" t="s">
        <v>111</v>
      </c>
      <c r="F748" s="28" t="s">
        <v>67</v>
      </c>
      <c r="G748" s="4">
        <f>SUMIFS(X!$F$5:$F$2005,X!$D$5:$D$2005,'Current Stock'!A748)</f>
        <v>0</v>
      </c>
      <c r="H748" s="4">
        <f>SUMIFS(PENJUALAN!$E$4:$E$11000,PENJUALAN!$C$4:$C$11000,'Current Stock'!A748)</f>
        <v>0</v>
      </c>
      <c r="I748" s="16">
        <f t="shared" si="2"/>
        <v>0</v>
      </c>
      <c r="J748" s="4"/>
      <c r="K748" s="4"/>
      <c r="L748" s="4"/>
      <c r="M748" s="4"/>
    </row>
    <row r="749" ht="13.5" customHeight="1">
      <c r="A749" s="4" t="str">
        <f t="shared" si="1"/>
        <v>RDL-FORTUNER05FY</v>
      </c>
      <c r="B749" s="29" t="s">
        <v>1133</v>
      </c>
      <c r="C749" s="28" t="s">
        <v>1129</v>
      </c>
      <c r="D749" s="28" t="s">
        <v>132</v>
      </c>
      <c r="E749" s="4" t="s">
        <v>111</v>
      </c>
      <c r="F749" s="28"/>
      <c r="G749" s="4">
        <f>SUMIFS(X!$F$5:$F$2005,X!$D$5:$D$2005,'Current Stock'!A749)</f>
        <v>0</v>
      </c>
      <c r="H749" s="4">
        <f>SUMIFS(PENJUALAN!$E$4:$E$11000,PENJUALAN!$C$4:$C$11000,'Current Stock'!A749)</f>
        <v>0</v>
      </c>
      <c r="I749" s="16">
        <f t="shared" si="2"/>
        <v>0</v>
      </c>
      <c r="J749" s="4"/>
      <c r="K749" s="4"/>
      <c r="L749" s="4"/>
      <c r="M749" s="4"/>
    </row>
    <row r="750" ht="13.5" customHeight="1">
      <c r="A750" s="4" t="str">
        <f t="shared" si="1"/>
        <v>RDR-FORTUNER05FY</v>
      </c>
      <c r="B750" s="29" t="s">
        <v>1134</v>
      </c>
      <c r="C750" s="28" t="s">
        <v>1129</v>
      </c>
      <c r="D750" s="28" t="s">
        <v>134</v>
      </c>
      <c r="E750" s="4" t="s">
        <v>111</v>
      </c>
      <c r="F750" s="28"/>
      <c r="G750" s="4">
        <f>SUMIFS(X!$F$5:$F$2005,X!$D$5:$D$2005,'Current Stock'!A750)</f>
        <v>0</v>
      </c>
      <c r="H750" s="4">
        <f>SUMIFS(PENJUALAN!$E$4:$E$11000,PENJUALAN!$C$4:$C$11000,'Current Stock'!A750)</f>
        <v>0</v>
      </c>
      <c r="I750" s="16">
        <f t="shared" si="2"/>
        <v>0</v>
      </c>
      <c r="J750" s="4"/>
      <c r="K750" s="4"/>
      <c r="L750" s="4"/>
      <c r="M750" s="4"/>
    </row>
    <row r="751" ht="13.5" customHeight="1">
      <c r="A751" s="4" t="str">
        <f t="shared" si="1"/>
        <v>SWL-FORTUNER05BLACKFY</v>
      </c>
      <c r="B751" s="29" t="s">
        <v>1135</v>
      </c>
      <c r="C751" s="28" t="s">
        <v>1132</v>
      </c>
      <c r="D751" s="28" t="s">
        <v>202</v>
      </c>
      <c r="E751" s="4" t="s">
        <v>111</v>
      </c>
      <c r="F751" s="28" t="s">
        <v>97</v>
      </c>
      <c r="G751" s="4">
        <f>SUMIFS(X!$F$5:$F$2005,X!$D$5:$D$2005,'Current Stock'!A751)</f>
        <v>0</v>
      </c>
      <c r="H751" s="4">
        <f>SUMIFS(PENJUALAN!$E$4:$E$11000,PENJUALAN!$C$4:$C$11000,'Current Stock'!A751)</f>
        <v>0</v>
      </c>
      <c r="I751" s="16">
        <f t="shared" si="2"/>
        <v>0</v>
      </c>
      <c r="J751" s="4"/>
      <c r="K751" s="4"/>
      <c r="L751" s="4"/>
      <c r="M751" s="4"/>
    </row>
    <row r="752" ht="13.5" customHeight="1">
      <c r="A752" s="4" t="str">
        <f t="shared" si="1"/>
        <v>SWR-FORTUNER05BLACKFY</v>
      </c>
      <c r="B752" s="29" t="s">
        <v>1136</v>
      </c>
      <c r="C752" s="28" t="s">
        <v>1132</v>
      </c>
      <c r="D752" s="28" t="s">
        <v>236</v>
      </c>
      <c r="E752" s="4" t="s">
        <v>111</v>
      </c>
      <c r="F752" s="28" t="s">
        <v>234</v>
      </c>
      <c r="G752" s="4">
        <f>SUMIFS(X!$F$5:$F$2005,X!$D$5:$D$2005,'Current Stock'!A752)</f>
        <v>0</v>
      </c>
      <c r="H752" s="4">
        <f>SUMIFS(PENJUALAN!$E$4:$E$11000,PENJUALAN!$C$4:$C$11000,'Current Stock'!A752)</f>
        <v>0</v>
      </c>
      <c r="I752" s="16">
        <f t="shared" si="2"/>
        <v>0</v>
      </c>
      <c r="J752" s="4"/>
      <c r="K752" s="4"/>
      <c r="L752" s="4"/>
      <c r="M752" s="4"/>
    </row>
    <row r="753" ht="13.5" customHeight="1">
      <c r="A753" s="4" t="str">
        <f t="shared" si="1"/>
        <v>LFW-FORTUNER15FY</v>
      </c>
      <c r="B753" s="29" t="s">
        <v>1137</v>
      </c>
      <c r="C753" s="28" t="s">
        <v>1138</v>
      </c>
      <c r="D753" s="28" t="s">
        <v>22</v>
      </c>
      <c r="E753" s="4" t="s">
        <v>111</v>
      </c>
      <c r="F753" s="28" t="s">
        <v>125</v>
      </c>
      <c r="G753" s="4">
        <f>SUMIFS(X!$F$5:$F$2005,X!$D$5:$D$2005,'Current Stock'!A753)</f>
        <v>0</v>
      </c>
      <c r="H753" s="4">
        <f>SUMIFS(PENJUALAN!$E$4:$E$11000,PENJUALAN!$C$4:$C$11000,'Current Stock'!A753)</f>
        <v>0</v>
      </c>
      <c r="I753" s="16">
        <f t="shared" si="2"/>
        <v>0</v>
      </c>
      <c r="J753" s="4"/>
      <c r="K753" s="4"/>
      <c r="L753" s="4"/>
      <c r="M753" s="4"/>
    </row>
    <row r="754" ht="13.5" customHeight="1">
      <c r="A754" s="4" t="str">
        <f t="shared" si="1"/>
        <v>TRW-FORTUNER15FY</v>
      </c>
      <c r="B754" s="29" t="s">
        <v>1139</v>
      </c>
      <c r="C754" s="28" t="s">
        <v>1138</v>
      </c>
      <c r="D754" s="28" t="s">
        <v>41</v>
      </c>
      <c r="E754" s="4" t="s">
        <v>111</v>
      </c>
      <c r="F754" s="28" t="s">
        <v>221</v>
      </c>
      <c r="G754" s="4">
        <f>SUMIFS(X!$F$5:$F$2005,X!$D$5:$D$2005,'Current Stock'!A754)</f>
        <v>0</v>
      </c>
      <c r="H754" s="4">
        <f>SUMIFS(PENJUALAN!$E$4:$E$11000,PENJUALAN!$C$4:$C$11000,'Current Stock'!A754)</f>
        <v>0</v>
      </c>
      <c r="I754" s="16">
        <f t="shared" si="2"/>
        <v>0</v>
      </c>
      <c r="J754" s="4"/>
      <c r="K754" s="4"/>
      <c r="L754" s="4"/>
      <c r="M754" s="4"/>
    </row>
    <row r="755" ht="13.5" customHeight="1">
      <c r="A755" s="4" t="str">
        <f t="shared" si="1"/>
        <v>TRW-FORTUNER15BLACKFY</v>
      </c>
      <c r="B755" s="29" t="s">
        <v>1140</v>
      </c>
      <c r="C755" s="28" t="s">
        <v>1141</v>
      </c>
      <c r="D755" s="28" t="s">
        <v>41</v>
      </c>
      <c r="E755" s="4" t="s">
        <v>111</v>
      </c>
      <c r="F755" s="28" t="s">
        <v>221</v>
      </c>
      <c r="G755" s="4">
        <f>SUMIFS(X!$F$5:$F$2005,X!$D$5:$D$2005,'Current Stock'!A755)</f>
        <v>0</v>
      </c>
      <c r="H755" s="4">
        <f>SUMIFS(PENJUALAN!$E$4:$E$11000,PENJUALAN!$C$4:$C$11000,'Current Stock'!A755)</f>
        <v>0</v>
      </c>
      <c r="I755" s="16">
        <f t="shared" si="2"/>
        <v>0</v>
      </c>
      <c r="J755" s="4"/>
      <c r="K755" s="4"/>
      <c r="L755" s="4"/>
      <c r="M755" s="4"/>
    </row>
    <row r="756" ht="13.5" customHeight="1">
      <c r="A756" s="4" t="str">
        <f t="shared" si="1"/>
        <v>RDL-FORTUNER15FY</v>
      </c>
      <c r="B756" s="29" t="s">
        <v>1142</v>
      </c>
      <c r="C756" s="28" t="s">
        <v>1138</v>
      </c>
      <c r="D756" s="28" t="s">
        <v>132</v>
      </c>
      <c r="E756" s="4" t="s">
        <v>111</v>
      </c>
      <c r="F756" s="28"/>
      <c r="G756" s="4">
        <f>SUMIFS(X!$F$5:$F$2005,X!$D$5:$D$2005,'Current Stock'!A756)</f>
        <v>0</v>
      </c>
      <c r="H756" s="4">
        <f>SUMIFS(PENJUALAN!$E$4:$E$11000,PENJUALAN!$C$4:$C$11000,'Current Stock'!A756)</f>
        <v>0</v>
      </c>
      <c r="I756" s="16">
        <f t="shared" si="2"/>
        <v>0</v>
      </c>
      <c r="J756" s="4"/>
      <c r="K756" s="4"/>
      <c r="L756" s="4"/>
      <c r="M756" s="4"/>
    </row>
    <row r="757" ht="13.5" customHeight="1">
      <c r="A757" s="4" t="str">
        <f t="shared" si="1"/>
        <v>RDR-FORTUNER15FY</v>
      </c>
      <c r="B757" s="29" t="s">
        <v>1143</v>
      </c>
      <c r="C757" s="28" t="s">
        <v>1138</v>
      </c>
      <c r="D757" s="28" t="s">
        <v>134</v>
      </c>
      <c r="E757" s="4" t="s">
        <v>111</v>
      </c>
      <c r="F757" s="28"/>
      <c r="G757" s="4">
        <f>SUMIFS(X!$F$5:$F$2005,X!$D$5:$D$2005,'Current Stock'!A757)</f>
        <v>0</v>
      </c>
      <c r="H757" s="4">
        <f>SUMIFS(PENJUALAN!$E$4:$E$11000,PENJUALAN!$C$4:$C$11000,'Current Stock'!A757)</f>
        <v>0</v>
      </c>
      <c r="I757" s="16">
        <f t="shared" si="2"/>
        <v>0</v>
      </c>
      <c r="J757" s="4"/>
      <c r="K757" s="4"/>
      <c r="L757" s="4"/>
      <c r="M757" s="4"/>
    </row>
    <row r="758" ht="13.5" customHeight="1">
      <c r="A758" s="4" t="str">
        <f t="shared" si="1"/>
        <v>LFW-HIACEFY</v>
      </c>
      <c r="B758" s="29" t="s">
        <v>1144</v>
      </c>
      <c r="C758" s="28" t="s">
        <v>1145</v>
      </c>
      <c r="D758" s="28" t="s">
        <v>22</v>
      </c>
      <c r="E758" s="4" t="s">
        <v>111</v>
      </c>
      <c r="F758" s="28" t="s">
        <v>125</v>
      </c>
      <c r="G758" s="4">
        <f>SUMIFS(X!$F$5:$F$2005,X!$D$5:$D$2005,'Current Stock'!A758)</f>
        <v>0</v>
      </c>
      <c r="H758" s="4">
        <f>SUMIFS(PENJUALAN!$E$4:$E$11000,PENJUALAN!$C$4:$C$11000,'Current Stock'!A758)</f>
        <v>0</v>
      </c>
      <c r="I758" s="16">
        <f t="shared" si="2"/>
        <v>0</v>
      </c>
      <c r="J758" s="4"/>
      <c r="K758" s="4"/>
      <c r="L758" s="4"/>
      <c r="M758" s="4"/>
    </row>
    <row r="759" ht="13.5" customHeight="1">
      <c r="A759" s="4" t="str">
        <f t="shared" si="1"/>
        <v>TRW-HIACEFY</v>
      </c>
      <c r="B759" s="29" t="s">
        <v>1146</v>
      </c>
      <c r="C759" s="28" t="s">
        <v>1145</v>
      </c>
      <c r="D759" s="28" t="s">
        <v>41</v>
      </c>
      <c r="E759" s="4" t="s">
        <v>111</v>
      </c>
      <c r="F759" s="28" t="s">
        <v>439</v>
      </c>
      <c r="G759" s="4">
        <f>SUMIFS(X!$F$5:$F$2005,X!$D$5:$D$2005,'Current Stock'!A759)</f>
        <v>0</v>
      </c>
      <c r="H759" s="4">
        <f>SUMIFS(PENJUALAN!$E$4:$E$11000,PENJUALAN!$C$4:$C$11000,'Current Stock'!A759)</f>
        <v>0</v>
      </c>
      <c r="I759" s="16">
        <f t="shared" si="2"/>
        <v>0</v>
      </c>
      <c r="J759" s="4"/>
      <c r="K759" s="4"/>
      <c r="L759" s="4"/>
      <c r="M759" s="4"/>
    </row>
    <row r="760" ht="13.5" customHeight="1">
      <c r="A760" s="4" t="str">
        <f t="shared" si="1"/>
        <v>FDL-HIACEFY</v>
      </c>
      <c r="B760" s="29" t="s">
        <v>1147</v>
      </c>
      <c r="C760" s="28" t="s">
        <v>1145</v>
      </c>
      <c r="D760" s="28" t="s">
        <v>128</v>
      </c>
      <c r="E760" s="4" t="s">
        <v>111</v>
      </c>
      <c r="F760" s="28" t="s">
        <v>397</v>
      </c>
      <c r="G760" s="4">
        <f>SUMIFS(X!$F$5:$F$2005,X!$D$5:$D$2005,'Current Stock'!A760)</f>
        <v>0</v>
      </c>
      <c r="H760" s="4">
        <f>SUMIFS(PENJUALAN!$E$4:$E$11000,PENJUALAN!$C$4:$C$11000,'Current Stock'!A760)</f>
        <v>0</v>
      </c>
      <c r="I760" s="16">
        <f t="shared" si="2"/>
        <v>0</v>
      </c>
      <c r="J760" s="4"/>
      <c r="K760" s="4"/>
      <c r="L760" s="4"/>
      <c r="M760" s="4"/>
    </row>
    <row r="761" ht="13.5" customHeight="1">
      <c r="A761" s="4" t="str">
        <f t="shared" si="1"/>
        <v>FDR-HIACEFY</v>
      </c>
      <c r="B761" s="29" t="s">
        <v>1148</v>
      </c>
      <c r="C761" s="28" t="s">
        <v>1145</v>
      </c>
      <c r="D761" s="28" t="s">
        <v>130</v>
      </c>
      <c r="E761" s="4" t="s">
        <v>111</v>
      </c>
      <c r="F761" s="28" t="s">
        <v>397</v>
      </c>
      <c r="G761" s="4">
        <f>SUMIFS(X!$F$5:$F$2005,X!$D$5:$D$2005,'Current Stock'!A761)</f>
        <v>0</v>
      </c>
      <c r="H761" s="4">
        <f>SUMIFS(PENJUALAN!$E$4:$E$11000,PENJUALAN!$C$4:$C$11000,'Current Stock'!A761)</f>
        <v>0</v>
      </c>
      <c r="I761" s="16">
        <f t="shared" si="2"/>
        <v>0</v>
      </c>
      <c r="J761" s="4"/>
      <c r="K761" s="4"/>
      <c r="L761" s="4"/>
      <c r="M761" s="4"/>
    </row>
    <row r="762" ht="13.5" customHeight="1">
      <c r="A762" s="4" t="str">
        <f t="shared" si="1"/>
        <v>SRL-HIACEFY</v>
      </c>
      <c r="B762" s="29" t="s">
        <v>1149</v>
      </c>
      <c r="C762" s="28" t="s">
        <v>1145</v>
      </c>
      <c r="D762" s="28" t="s">
        <v>908</v>
      </c>
      <c r="E762" s="4" t="s">
        <v>111</v>
      </c>
      <c r="F762" s="28" t="s">
        <v>97</v>
      </c>
      <c r="G762" s="4">
        <f>SUMIFS(X!$F$5:$F$2005,X!$D$5:$D$2005,'Current Stock'!A762)</f>
        <v>0</v>
      </c>
      <c r="H762" s="4">
        <f>SUMIFS(PENJUALAN!$E$4:$E$11000,PENJUALAN!$C$4:$C$11000,'Current Stock'!A762)</f>
        <v>0</v>
      </c>
      <c r="I762" s="16">
        <f t="shared" si="2"/>
        <v>0</v>
      </c>
      <c r="J762" s="4"/>
      <c r="K762" s="4"/>
      <c r="L762" s="4"/>
      <c r="M762" s="4"/>
    </row>
    <row r="763" ht="13.5" customHeight="1">
      <c r="A763" s="4" t="str">
        <f t="shared" si="1"/>
        <v>SRR-HIACEFY</v>
      </c>
      <c r="B763" s="29" t="s">
        <v>1150</v>
      </c>
      <c r="C763" s="28" t="s">
        <v>1145</v>
      </c>
      <c r="D763" s="28" t="s">
        <v>911</v>
      </c>
      <c r="E763" s="4" t="s">
        <v>111</v>
      </c>
      <c r="F763" s="28" t="s">
        <v>97</v>
      </c>
      <c r="G763" s="4">
        <f>SUMIFS(X!$F$5:$F$2005,X!$D$5:$D$2005,'Current Stock'!A763)</f>
        <v>0</v>
      </c>
      <c r="H763" s="4">
        <f>SUMIFS(PENJUALAN!$E$4:$E$11000,PENJUALAN!$C$4:$C$11000,'Current Stock'!A763)</f>
        <v>0</v>
      </c>
      <c r="I763" s="16">
        <f t="shared" si="2"/>
        <v>0</v>
      </c>
      <c r="J763" s="4"/>
      <c r="K763" s="4"/>
      <c r="L763" s="4"/>
      <c r="M763" s="4"/>
    </row>
    <row r="764" ht="13.5" customHeight="1">
      <c r="A764" s="4" t="str">
        <f t="shared" si="1"/>
        <v>TRW-HIACEBLACKFY</v>
      </c>
      <c r="B764" s="29" t="s">
        <v>1151</v>
      </c>
      <c r="C764" s="28" t="s">
        <v>1152</v>
      </c>
      <c r="D764" s="28" t="s">
        <v>41</v>
      </c>
      <c r="E764" s="4" t="s">
        <v>111</v>
      </c>
      <c r="F764" s="28" t="s">
        <v>439</v>
      </c>
      <c r="G764" s="4">
        <f>SUMIFS(X!$F$5:$F$2005,X!$D$5:$D$2005,'Current Stock'!A764)</f>
        <v>0</v>
      </c>
      <c r="H764" s="4">
        <f>SUMIFS(PENJUALAN!$E$4:$E$11000,PENJUALAN!$C$4:$C$11000,'Current Stock'!A764)</f>
        <v>0</v>
      </c>
      <c r="I764" s="16">
        <f t="shared" si="2"/>
        <v>0</v>
      </c>
      <c r="J764" s="4"/>
      <c r="K764" s="4"/>
      <c r="L764" s="4"/>
      <c r="M764" s="4"/>
    </row>
    <row r="765" ht="13.5" customHeight="1">
      <c r="A765" s="4" t="str">
        <f t="shared" si="1"/>
        <v>TRW-HILUX05FY</v>
      </c>
      <c r="B765" s="29" t="s">
        <v>1153</v>
      </c>
      <c r="C765" s="28" t="s">
        <v>1154</v>
      </c>
      <c r="D765" s="28" t="s">
        <v>41</v>
      </c>
      <c r="E765" s="4" t="s">
        <v>111</v>
      </c>
      <c r="F765" s="28" t="s">
        <v>118</v>
      </c>
      <c r="G765" s="4">
        <f>SUMIFS(X!$F$5:$F$2005,X!$D$5:$D$2005,'Current Stock'!A765)</f>
        <v>0</v>
      </c>
      <c r="H765" s="4">
        <f>SUMIFS(PENJUALAN!$E$4:$E$11000,PENJUALAN!$C$4:$C$11000,'Current Stock'!A765)</f>
        <v>0</v>
      </c>
      <c r="I765" s="16">
        <f t="shared" si="2"/>
        <v>0</v>
      </c>
      <c r="J765" s="4"/>
      <c r="K765" s="4"/>
      <c r="L765" s="4"/>
      <c r="M765" s="4"/>
    </row>
    <row r="766" ht="13.5" customHeight="1">
      <c r="A766" s="4" t="str">
        <f t="shared" si="1"/>
        <v>LFW-HILUX15FY</v>
      </c>
      <c r="B766" s="29" t="s">
        <v>1155</v>
      </c>
      <c r="C766" s="28" t="s">
        <v>1156</v>
      </c>
      <c r="D766" s="30" t="s">
        <v>22</v>
      </c>
      <c r="E766" s="4" t="s">
        <v>111</v>
      </c>
      <c r="F766" s="28" t="s">
        <v>125</v>
      </c>
      <c r="G766" s="4">
        <f>SUMIFS(X!$F$5:$F$2005,X!$D$5:$D$2005,'Current Stock'!A766)</f>
        <v>0</v>
      </c>
      <c r="H766" s="4">
        <f>SUMIFS(PENJUALAN!$E$4:$E$11000,PENJUALAN!$C$4:$C$11000,'Current Stock'!A766)</f>
        <v>0</v>
      </c>
      <c r="I766" s="16">
        <f t="shared" si="2"/>
        <v>0</v>
      </c>
      <c r="J766" s="4"/>
      <c r="K766" s="4"/>
      <c r="L766" s="4"/>
      <c r="M766" s="4"/>
    </row>
    <row r="767" ht="13.5" customHeight="1">
      <c r="A767" s="4" t="str">
        <f t="shared" si="1"/>
        <v>TRW-HILUX15HFY</v>
      </c>
      <c r="B767" s="29" t="s">
        <v>1157</v>
      </c>
      <c r="C767" s="28" t="s">
        <v>1156</v>
      </c>
      <c r="D767" s="28" t="s">
        <v>41</v>
      </c>
      <c r="E767" s="4" t="s">
        <v>111</v>
      </c>
      <c r="F767" s="28" t="s">
        <v>67</v>
      </c>
      <c r="G767" s="4">
        <f>SUMIFS(X!$F$5:$F$2005,X!$D$5:$D$2005,'Current Stock'!A767)</f>
        <v>0</v>
      </c>
      <c r="H767" s="4">
        <f>SUMIFS(PENJUALAN!$E$4:$E$11000,PENJUALAN!$C$4:$C$11000,'Current Stock'!A767)</f>
        <v>0</v>
      </c>
      <c r="I767" s="16">
        <f t="shared" si="2"/>
        <v>0</v>
      </c>
      <c r="J767" s="4"/>
      <c r="K767" s="4"/>
      <c r="L767" s="4"/>
      <c r="M767" s="4"/>
    </row>
    <row r="768" ht="13.5" customHeight="1">
      <c r="A768" s="4" t="str">
        <f t="shared" si="1"/>
        <v>TRW-HILUX15FY</v>
      </c>
      <c r="B768" s="29" t="s">
        <v>1158</v>
      </c>
      <c r="C768" s="28" t="s">
        <v>1156</v>
      </c>
      <c r="D768" s="28" t="s">
        <v>41</v>
      </c>
      <c r="E768" s="4" t="s">
        <v>111</v>
      </c>
      <c r="F768" s="28" t="s">
        <v>97</v>
      </c>
      <c r="G768" s="4">
        <f>SUMIFS(X!$F$5:$F$2005,X!$D$5:$D$2005,'Current Stock'!A768)</f>
        <v>0</v>
      </c>
      <c r="H768" s="4">
        <f>SUMIFS(PENJUALAN!$E$4:$E$11000,PENJUALAN!$C$4:$C$11000,'Current Stock'!A768)</f>
        <v>0</v>
      </c>
      <c r="I768" s="16">
        <f t="shared" si="2"/>
        <v>0</v>
      </c>
      <c r="J768" s="4"/>
      <c r="K768" s="4"/>
      <c r="L768" s="4"/>
      <c r="M768" s="4"/>
    </row>
    <row r="769" ht="13.5" customHeight="1">
      <c r="A769" s="4" t="str">
        <f t="shared" si="1"/>
        <v>LFW-INNOVA04FY</v>
      </c>
      <c r="B769" s="29" t="s">
        <v>1159</v>
      </c>
      <c r="C769" s="28" t="s">
        <v>1160</v>
      </c>
      <c r="D769" s="28" t="s">
        <v>22</v>
      </c>
      <c r="E769" s="4" t="s">
        <v>111</v>
      </c>
      <c r="F769" s="28" t="s">
        <v>125</v>
      </c>
      <c r="G769" s="4">
        <f>SUMIFS(X!$F$5:$F$2005,X!$D$5:$D$2005,'Current Stock'!A769)</f>
        <v>0</v>
      </c>
      <c r="H769" s="4">
        <f>SUMIFS(PENJUALAN!$E$4:$E$11000,PENJUALAN!$C$4:$C$11000,'Current Stock'!A769)</f>
        <v>0</v>
      </c>
      <c r="I769" s="16">
        <f t="shared" si="2"/>
        <v>0</v>
      </c>
      <c r="J769" s="4"/>
      <c r="K769" s="4"/>
      <c r="L769" s="4"/>
      <c r="M769" s="4"/>
    </row>
    <row r="770" ht="13.5" customHeight="1">
      <c r="A770" s="4" t="str">
        <f t="shared" si="1"/>
        <v>TRW-INNOVA04HFY</v>
      </c>
      <c r="B770" s="29" t="s">
        <v>1161</v>
      </c>
      <c r="C770" s="28" t="s">
        <v>1160</v>
      </c>
      <c r="D770" s="28" t="s">
        <v>41</v>
      </c>
      <c r="E770" s="4" t="s">
        <v>111</v>
      </c>
      <c r="F770" s="28" t="s">
        <v>67</v>
      </c>
      <c r="G770" s="4">
        <f>SUMIFS(X!$F$5:$F$2005,X!$D$5:$D$2005,'Current Stock'!A770)</f>
        <v>0</v>
      </c>
      <c r="H770" s="4">
        <f>SUMIFS(PENJUALAN!$E$4:$E$11000,PENJUALAN!$C$4:$C$11000,'Current Stock'!A770)</f>
        <v>0</v>
      </c>
      <c r="I770" s="16">
        <f t="shared" si="2"/>
        <v>0</v>
      </c>
      <c r="J770" s="4"/>
      <c r="K770" s="4"/>
      <c r="L770" s="5">
        <v>1.0</v>
      </c>
      <c r="M770" s="4"/>
    </row>
    <row r="771" ht="13.5" customHeight="1">
      <c r="A771" s="4" t="str">
        <f t="shared" si="1"/>
        <v>TRW-INNOVA04FY</v>
      </c>
      <c r="B771" s="29" t="s">
        <v>1162</v>
      </c>
      <c r="C771" s="28" t="s">
        <v>1160</v>
      </c>
      <c r="D771" s="28" t="s">
        <v>41</v>
      </c>
      <c r="E771" s="4" t="s">
        <v>111</v>
      </c>
      <c r="F771" s="28" t="s">
        <v>97</v>
      </c>
      <c r="G771" s="4">
        <f>SUMIFS(X!$F$5:$F$2005,X!$D$5:$D$2005,'Current Stock'!A771)</f>
        <v>0</v>
      </c>
      <c r="H771" s="4">
        <f>SUMIFS(PENJUALAN!$E$4:$E$11000,PENJUALAN!$C$4:$C$11000,'Current Stock'!A771)</f>
        <v>0</v>
      </c>
      <c r="I771" s="16">
        <f t="shared" si="2"/>
        <v>0</v>
      </c>
      <c r="J771" s="4"/>
      <c r="K771" s="4"/>
      <c r="L771" s="4"/>
      <c r="M771" s="4"/>
    </row>
    <row r="772" ht="13.5" customHeight="1">
      <c r="A772" s="4" t="str">
        <f t="shared" si="1"/>
        <v>RVL-INNOVA04FY</v>
      </c>
      <c r="B772" s="29" t="s">
        <v>1163</v>
      </c>
      <c r="C772" s="28" t="s">
        <v>1160</v>
      </c>
      <c r="D772" s="28" t="s">
        <v>387</v>
      </c>
      <c r="E772" s="4" t="s">
        <v>111</v>
      </c>
      <c r="F772" s="28"/>
      <c r="G772" s="4">
        <f>SUMIFS(X!$F$5:$F$2005,X!$D$5:$D$2005,'Current Stock'!A772)</f>
        <v>0</v>
      </c>
      <c r="H772" s="4">
        <f>SUMIFS(PENJUALAN!$E$4:$E$11000,PENJUALAN!$C$4:$C$11000,'Current Stock'!A772)</f>
        <v>0</v>
      </c>
      <c r="I772" s="16">
        <f t="shared" si="2"/>
        <v>0</v>
      </c>
      <c r="J772" s="4"/>
      <c r="K772" s="4"/>
      <c r="L772" s="4"/>
      <c r="M772" s="4"/>
    </row>
    <row r="773" ht="13.5" customHeight="1">
      <c r="A773" s="4" t="str">
        <f t="shared" si="1"/>
        <v>RVR-INNOVA04FY</v>
      </c>
      <c r="B773" s="29" t="s">
        <v>1164</v>
      </c>
      <c r="C773" s="28" t="s">
        <v>1160</v>
      </c>
      <c r="D773" s="28" t="s">
        <v>389</v>
      </c>
      <c r="E773" s="4" t="s">
        <v>111</v>
      </c>
      <c r="F773" s="28"/>
      <c r="G773" s="4">
        <f>SUMIFS(X!$F$5:$F$2005,X!$D$5:$D$2005,'Current Stock'!A773)</f>
        <v>0</v>
      </c>
      <c r="H773" s="4">
        <f>SUMIFS(PENJUALAN!$E$4:$E$11000,PENJUALAN!$C$4:$C$11000,'Current Stock'!A773)</f>
        <v>0</v>
      </c>
      <c r="I773" s="16">
        <f t="shared" si="2"/>
        <v>0</v>
      </c>
      <c r="J773" s="4"/>
      <c r="K773" s="4"/>
      <c r="L773" s="4"/>
      <c r="M773" s="4"/>
    </row>
    <row r="774" ht="13.5" customHeight="1">
      <c r="A774" s="4" t="str">
        <f t="shared" si="1"/>
        <v>RQR-INNOVA04FY</v>
      </c>
      <c r="B774" s="29" t="s">
        <v>1165</v>
      </c>
      <c r="C774" s="28" t="s">
        <v>1160</v>
      </c>
      <c r="D774" s="28" t="s">
        <v>236</v>
      </c>
      <c r="E774" s="4" t="s">
        <v>111</v>
      </c>
      <c r="F774" s="28" t="s">
        <v>234</v>
      </c>
      <c r="G774" s="4">
        <f>SUMIFS(X!$F$5:$F$2005,X!$D$5:$D$2005,'Current Stock'!A774)</f>
        <v>0</v>
      </c>
      <c r="H774" s="4">
        <f>SUMIFS(PENJUALAN!$E$4:$E$11000,PENJUALAN!$C$4:$C$11000,'Current Stock'!A774)</f>
        <v>0</v>
      </c>
      <c r="I774" s="16">
        <f t="shared" si="2"/>
        <v>0</v>
      </c>
      <c r="J774" s="4"/>
      <c r="K774" s="4"/>
      <c r="L774" s="4"/>
      <c r="M774" s="4"/>
    </row>
    <row r="775" ht="13.5" customHeight="1">
      <c r="A775" s="4" t="str">
        <f t="shared" si="1"/>
        <v>LFW-INNOVA15FY</v>
      </c>
      <c r="B775" s="29" t="s">
        <v>1166</v>
      </c>
      <c r="C775" s="28" t="s">
        <v>1167</v>
      </c>
      <c r="D775" s="28" t="s">
        <v>22</v>
      </c>
      <c r="E775" s="4" t="s">
        <v>111</v>
      </c>
      <c r="F775" s="28" t="s">
        <v>125</v>
      </c>
      <c r="G775" s="4">
        <f>SUMIFS(X!$F$5:$F$2005,X!$D$5:$D$2005,'Current Stock'!A775)</f>
        <v>0</v>
      </c>
      <c r="H775" s="4">
        <f>SUMIFS(PENJUALAN!$E$4:$E$11000,PENJUALAN!$C$4:$C$11000,'Current Stock'!A775)</f>
        <v>0</v>
      </c>
      <c r="I775" s="16">
        <f t="shared" si="2"/>
        <v>0</v>
      </c>
      <c r="J775" s="4"/>
      <c r="K775" s="4"/>
      <c r="L775" s="4"/>
      <c r="M775" s="4"/>
    </row>
    <row r="776" ht="13.5" customHeight="1">
      <c r="A776" s="4" t="str">
        <f t="shared" si="1"/>
        <v>LFW-ISTFY</v>
      </c>
      <c r="B776" s="29" t="s">
        <v>1168</v>
      </c>
      <c r="C776" s="28" t="s">
        <v>1169</v>
      </c>
      <c r="D776" s="28" t="s">
        <v>22</v>
      </c>
      <c r="E776" s="4" t="s">
        <v>111</v>
      </c>
      <c r="F776" s="28" t="s">
        <v>125</v>
      </c>
      <c r="G776" s="4">
        <f>SUMIFS(X!$F$5:$F$2005,X!$D$5:$D$2005,'Current Stock'!A776)</f>
        <v>0</v>
      </c>
      <c r="H776" s="4">
        <f>SUMIFS(PENJUALAN!$E$4:$E$11000,PENJUALAN!$C$4:$C$11000,'Current Stock'!A776)</f>
        <v>0</v>
      </c>
      <c r="I776" s="16">
        <f t="shared" si="2"/>
        <v>0</v>
      </c>
      <c r="J776" s="4"/>
      <c r="K776" s="4"/>
      <c r="L776" s="4"/>
      <c r="M776" s="4"/>
    </row>
    <row r="777" ht="13.5" customHeight="1">
      <c r="A777" s="4" t="str">
        <f t="shared" si="1"/>
        <v>TRW-ISTFY</v>
      </c>
      <c r="B777" s="29" t="s">
        <v>1170</v>
      </c>
      <c r="C777" s="28" t="s">
        <v>1169</v>
      </c>
      <c r="D777" s="28" t="s">
        <v>41</v>
      </c>
      <c r="E777" s="4" t="s">
        <v>111</v>
      </c>
      <c r="F777" s="28" t="s">
        <v>67</v>
      </c>
      <c r="G777" s="4">
        <f>SUMIFS(X!$F$5:$F$2005,X!$D$5:$D$2005,'Current Stock'!A777)</f>
        <v>0</v>
      </c>
      <c r="H777" s="4">
        <f>SUMIFS(PENJUALAN!$E$4:$E$11000,PENJUALAN!$C$4:$C$11000,'Current Stock'!A777)</f>
        <v>0</v>
      </c>
      <c r="I777" s="16">
        <f t="shared" si="2"/>
        <v>0</v>
      </c>
      <c r="J777" s="4"/>
      <c r="K777" s="4"/>
      <c r="L777" s="4"/>
      <c r="M777" s="4"/>
    </row>
    <row r="778" ht="13.5" customHeight="1">
      <c r="A778" s="4" t="str">
        <f t="shared" si="1"/>
        <v>LFW-FJ80FY</v>
      </c>
      <c r="B778" s="29" t="s">
        <v>1171</v>
      </c>
      <c r="C778" s="28" t="s">
        <v>1172</v>
      </c>
      <c r="D778" s="28" t="s">
        <v>22</v>
      </c>
      <c r="E778" s="4" t="s">
        <v>111</v>
      </c>
      <c r="F778" s="28"/>
      <c r="G778" s="4">
        <f>SUMIFS(X!$F$5:$F$2005,X!$D$5:$D$2005,'Current Stock'!A778)</f>
        <v>0</v>
      </c>
      <c r="H778" s="4">
        <f>SUMIFS(PENJUALAN!$E$4:$E$11000,PENJUALAN!$C$4:$C$11000,'Current Stock'!A778)</f>
        <v>0</v>
      </c>
      <c r="I778" s="16">
        <f t="shared" si="2"/>
        <v>0</v>
      </c>
      <c r="J778" s="4"/>
      <c r="K778" s="4"/>
      <c r="L778" s="4"/>
      <c r="M778" s="4"/>
    </row>
    <row r="779" ht="13.5" customHeight="1">
      <c r="A779" s="4" t="str">
        <f t="shared" si="1"/>
        <v>TRW-FJ80FY</v>
      </c>
      <c r="B779" s="29" t="s">
        <v>1173</v>
      </c>
      <c r="C779" s="28" t="s">
        <v>1172</v>
      </c>
      <c r="D779" s="28" t="s">
        <v>41</v>
      </c>
      <c r="E779" s="4" t="s">
        <v>111</v>
      </c>
      <c r="F779" s="28" t="s">
        <v>122</v>
      </c>
      <c r="G779" s="4">
        <f>SUMIFS(X!$F$5:$F$2005,X!$D$5:$D$2005,'Current Stock'!A779)</f>
        <v>0</v>
      </c>
      <c r="H779" s="4">
        <f>SUMIFS(PENJUALAN!$E$4:$E$11000,PENJUALAN!$C$4:$C$11000,'Current Stock'!A779)</f>
        <v>0</v>
      </c>
      <c r="I779" s="16">
        <f t="shared" si="2"/>
        <v>0</v>
      </c>
      <c r="J779" s="4"/>
      <c r="K779" s="4"/>
      <c r="L779" s="4"/>
      <c r="M779" s="4"/>
    </row>
    <row r="780" ht="13.5" customHeight="1">
      <c r="A780" s="4" t="str">
        <f t="shared" si="1"/>
        <v>RDL-FJ80FY</v>
      </c>
      <c r="B780" s="29" t="s">
        <v>1174</v>
      </c>
      <c r="C780" s="28" t="s">
        <v>1172</v>
      </c>
      <c r="D780" s="28" t="s">
        <v>132</v>
      </c>
      <c r="E780" s="4" t="s">
        <v>111</v>
      </c>
      <c r="F780" s="28"/>
      <c r="G780" s="4">
        <f>SUMIFS(X!$F$5:$F$2005,X!$D$5:$D$2005,'Current Stock'!A780)</f>
        <v>0</v>
      </c>
      <c r="H780" s="4">
        <f>SUMIFS(PENJUALAN!$E$4:$E$11000,PENJUALAN!$C$4:$C$11000,'Current Stock'!A780)</f>
        <v>0</v>
      </c>
      <c r="I780" s="16">
        <f t="shared" si="2"/>
        <v>0</v>
      </c>
      <c r="J780" s="4"/>
      <c r="K780" s="4"/>
      <c r="L780" s="4"/>
      <c r="M780" s="4"/>
    </row>
    <row r="781" ht="13.5" customHeight="1">
      <c r="A781" s="4" t="str">
        <f t="shared" si="1"/>
        <v>RDR-FJ80FY</v>
      </c>
      <c r="B781" s="29" t="s">
        <v>1175</v>
      </c>
      <c r="C781" s="28" t="s">
        <v>1172</v>
      </c>
      <c r="D781" s="28" t="s">
        <v>134</v>
      </c>
      <c r="E781" s="4" t="s">
        <v>111</v>
      </c>
      <c r="F781" s="28"/>
      <c r="G781" s="4">
        <f>SUMIFS(X!$F$5:$F$2005,X!$D$5:$D$2005,'Current Stock'!A781)</f>
        <v>0</v>
      </c>
      <c r="H781" s="4">
        <f>SUMIFS(PENJUALAN!$E$4:$E$11000,PENJUALAN!$C$4:$C$11000,'Current Stock'!A781)</f>
        <v>0</v>
      </c>
      <c r="I781" s="16">
        <f t="shared" si="2"/>
        <v>0</v>
      </c>
      <c r="J781" s="4"/>
      <c r="K781" s="4"/>
      <c r="L781" s="4"/>
      <c r="M781" s="4"/>
    </row>
    <row r="782" ht="13.5" customHeight="1">
      <c r="A782" s="4" t="str">
        <f t="shared" si="1"/>
        <v>SFL-FJ80FY</v>
      </c>
      <c r="B782" s="29" t="s">
        <v>1176</v>
      </c>
      <c r="C782" s="28" t="s">
        <v>1172</v>
      </c>
      <c r="D782" s="28" t="s">
        <v>904</v>
      </c>
      <c r="E782" s="4" t="s">
        <v>111</v>
      </c>
      <c r="F782" s="28" t="s">
        <v>141</v>
      </c>
      <c r="G782" s="4">
        <f>SUMIFS(X!$F$5:$F$2005,X!$D$5:$D$2005,'Current Stock'!A782)</f>
        <v>0</v>
      </c>
      <c r="H782" s="4">
        <f>SUMIFS(PENJUALAN!$E$4:$E$11000,PENJUALAN!$C$4:$C$11000,'Current Stock'!A782)</f>
        <v>0</v>
      </c>
      <c r="I782" s="16">
        <f t="shared" si="2"/>
        <v>0</v>
      </c>
      <c r="J782" s="4"/>
      <c r="K782" s="4"/>
      <c r="L782" s="4"/>
      <c r="M782" s="4"/>
    </row>
    <row r="783" ht="13.5" customHeight="1">
      <c r="A783" s="4" t="str">
        <f t="shared" si="1"/>
        <v>SFR-FJ80FY</v>
      </c>
      <c r="B783" s="29" t="s">
        <v>1177</v>
      </c>
      <c r="C783" s="28" t="s">
        <v>1172</v>
      </c>
      <c r="D783" s="28" t="s">
        <v>906</v>
      </c>
      <c r="E783" s="4" t="s">
        <v>111</v>
      </c>
      <c r="F783" s="28" t="s">
        <v>141</v>
      </c>
      <c r="G783" s="4">
        <f>SUMIFS(X!$F$5:$F$2005,X!$D$5:$D$2005,'Current Stock'!A783)</f>
        <v>0</v>
      </c>
      <c r="H783" s="4">
        <f>SUMIFS(PENJUALAN!$E$4:$E$11000,PENJUALAN!$C$4:$C$11000,'Current Stock'!A783)</f>
        <v>0</v>
      </c>
      <c r="I783" s="16">
        <f t="shared" si="2"/>
        <v>0</v>
      </c>
      <c r="J783" s="4"/>
      <c r="K783" s="4"/>
      <c r="L783" s="4"/>
      <c r="M783" s="4"/>
    </row>
    <row r="784" ht="13.5" customHeight="1">
      <c r="A784" s="4" t="str">
        <f t="shared" si="1"/>
        <v>SRL-FJ80FY</v>
      </c>
      <c r="B784" s="29" t="s">
        <v>1178</v>
      </c>
      <c r="C784" s="28" t="s">
        <v>1172</v>
      </c>
      <c r="D784" s="28" t="s">
        <v>908</v>
      </c>
      <c r="E784" s="4" t="s">
        <v>111</v>
      </c>
      <c r="F784" s="28" t="s">
        <v>141</v>
      </c>
      <c r="G784" s="4">
        <f>SUMIFS(X!$F$5:$F$2005,X!$D$5:$D$2005,'Current Stock'!A784)</f>
        <v>0</v>
      </c>
      <c r="H784" s="4">
        <f>SUMIFS(PENJUALAN!$E$4:$E$11000,PENJUALAN!$C$4:$C$11000,'Current Stock'!A784)</f>
        <v>0</v>
      </c>
      <c r="I784" s="16">
        <f t="shared" si="2"/>
        <v>0</v>
      </c>
      <c r="J784" s="4"/>
      <c r="K784" s="4"/>
      <c r="L784" s="4"/>
      <c r="M784" s="4"/>
    </row>
    <row r="785" ht="13.5" customHeight="1">
      <c r="A785" s="4" t="str">
        <f t="shared" si="1"/>
        <v>SRR-FJ80FY</v>
      </c>
      <c r="B785" s="29" t="s">
        <v>1179</v>
      </c>
      <c r="C785" s="28" t="s">
        <v>1172</v>
      </c>
      <c r="D785" s="28" t="s">
        <v>911</v>
      </c>
      <c r="E785" s="4" t="s">
        <v>111</v>
      </c>
      <c r="F785" s="28" t="s">
        <v>141</v>
      </c>
      <c r="G785" s="4">
        <f>SUMIFS(X!$F$5:$F$2005,X!$D$5:$D$2005,'Current Stock'!A785)</f>
        <v>0</v>
      </c>
      <c r="H785" s="4">
        <f>SUMIFS(PENJUALAN!$E$4:$E$11000,PENJUALAN!$C$4:$C$11000,'Current Stock'!A785)</f>
        <v>0</v>
      </c>
      <c r="I785" s="16">
        <f t="shared" si="2"/>
        <v>0</v>
      </c>
      <c r="J785" s="4"/>
      <c r="K785" s="4"/>
      <c r="L785" s="4"/>
      <c r="M785" s="4"/>
    </row>
    <row r="786" ht="13.5" customHeight="1">
      <c r="A786" s="4" t="str">
        <f t="shared" si="1"/>
        <v>LFW-FJ100FY</v>
      </c>
      <c r="B786" s="29" t="s">
        <v>1180</v>
      </c>
      <c r="C786" s="28" t="s">
        <v>1181</v>
      </c>
      <c r="D786" s="28" t="s">
        <v>22</v>
      </c>
      <c r="E786" s="4" t="s">
        <v>111</v>
      </c>
      <c r="F786" s="28" t="s">
        <v>125</v>
      </c>
      <c r="G786" s="4">
        <f>SUMIFS(X!$F$5:$F$2005,X!$D$5:$D$2005,'Current Stock'!A786)</f>
        <v>1</v>
      </c>
      <c r="H786" s="4">
        <f>SUMIFS(PENJUALAN!$E$4:$E$11000,PENJUALAN!$C$4:$C$11000,'Current Stock'!A786)</f>
        <v>1</v>
      </c>
      <c r="I786" s="16">
        <f t="shared" si="2"/>
        <v>0</v>
      </c>
      <c r="J786" s="4"/>
      <c r="K786" s="4"/>
      <c r="L786" s="5">
        <v>1.0</v>
      </c>
      <c r="M786" s="4"/>
    </row>
    <row r="787" ht="13.5" customHeight="1">
      <c r="A787" s="4" t="str">
        <f t="shared" si="1"/>
        <v>TRW-FJ100FY</v>
      </c>
      <c r="B787" s="29" t="s">
        <v>1182</v>
      </c>
      <c r="C787" s="28" t="s">
        <v>1183</v>
      </c>
      <c r="D787" s="28" t="s">
        <v>41</v>
      </c>
      <c r="E787" s="4" t="s">
        <v>111</v>
      </c>
      <c r="F787" s="28" t="s">
        <v>67</v>
      </c>
      <c r="G787" s="4">
        <f>SUMIFS(X!$F$5:$F$2005,X!$D$5:$D$2005,'Current Stock'!A787)</f>
        <v>0</v>
      </c>
      <c r="H787" s="4">
        <f>SUMIFS(PENJUALAN!$E$4:$E$11000,PENJUALAN!$C$4:$C$11000,'Current Stock'!A787)</f>
        <v>0</v>
      </c>
      <c r="I787" s="16">
        <f t="shared" si="2"/>
        <v>0</v>
      </c>
      <c r="J787" s="4"/>
      <c r="K787" s="4"/>
      <c r="L787" s="4"/>
      <c r="M787" s="4"/>
    </row>
    <row r="788" ht="13.5" customHeight="1">
      <c r="A788" s="4" t="str">
        <f t="shared" si="1"/>
        <v>RDL-FJ100FY</v>
      </c>
      <c r="B788" s="29" t="s">
        <v>1184</v>
      </c>
      <c r="C788" s="28" t="s">
        <v>1183</v>
      </c>
      <c r="D788" s="28" t="s">
        <v>132</v>
      </c>
      <c r="E788" s="4" t="s">
        <v>111</v>
      </c>
      <c r="F788" s="28"/>
      <c r="G788" s="4">
        <f>SUMIFS(X!$F$5:$F$2005,X!$D$5:$D$2005,'Current Stock'!A788)</f>
        <v>0</v>
      </c>
      <c r="H788" s="4">
        <f>SUMIFS(PENJUALAN!$E$4:$E$11000,PENJUALAN!$C$4:$C$11000,'Current Stock'!A788)</f>
        <v>0</v>
      </c>
      <c r="I788" s="16">
        <f t="shared" si="2"/>
        <v>0</v>
      </c>
      <c r="J788" s="4"/>
      <c r="K788" s="4"/>
      <c r="L788" s="4"/>
      <c r="M788" s="4"/>
    </row>
    <row r="789" ht="13.5" customHeight="1">
      <c r="A789" s="4" t="str">
        <f t="shared" si="1"/>
        <v>RDR-FJ100FY</v>
      </c>
      <c r="B789" s="29" t="s">
        <v>1185</v>
      </c>
      <c r="C789" s="28" t="s">
        <v>1183</v>
      </c>
      <c r="D789" s="28" t="s">
        <v>134</v>
      </c>
      <c r="E789" s="4" t="s">
        <v>111</v>
      </c>
      <c r="F789" s="28"/>
      <c r="G789" s="4">
        <f>SUMIFS(X!$F$5:$F$2005,X!$D$5:$D$2005,'Current Stock'!A789)</f>
        <v>0</v>
      </c>
      <c r="H789" s="4">
        <f>SUMIFS(PENJUALAN!$E$4:$E$11000,PENJUALAN!$C$4:$C$11000,'Current Stock'!A789)</f>
        <v>0</v>
      </c>
      <c r="I789" s="16">
        <f t="shared" si="2"/>
        <v>0</v>
      </c>
      <c r="J789" s="4"/>
      <c r="K789" s="4"/>
      <c r="L789" s="4"/>
      <c r="M789" s="4"/>
    </row>
    <row r="790" ht="13.5" customHeight="1">
      <c r="A790" s="4" t="str">
        <f t="shared" si="1"/>
        <v>RQL-FJ100FY</v>
      </c>
      <c r="B790" s="29" t="s">
        <v>1186</v>
      </c>
      <c r="C790" s="28" t="s">
        <v>1183</v>
      </c>
      <c r="D790" s="28" t="s">
        <v>202</v>
      </c>
      <c r="E790" s="4" t="s">
        <v>111</v>
      </c>
      <c r="F790" s="28" t="s">
        <v>533</v>
      </c>
      <c r="G790" s="4">
        <f>SUMIFS(X!$F$5:$F$2005,X!$D$5:$D$2005,'Current Stock'!A790)</f>
        <v>0</v>
      </c>
      <c r="H790" s="4">
        <f>SUMIFS(PENJUALAN!$E$4:$E$11000,PENJUALAN!$C$4:$C$11000,'Current Stock'!A790)</f>
        <v>0</v>
      </c>
      <c r="I790" s="16">
        <f t="shared" si="2"/>
        <v>0</v>
      </c>
      <c r="J790" s="4"/>
      <c r="K790" s="4"/>
      <c r="L790" s="4"/>
      <c r="M790" s="4"/>
    </row>
    <row r="791" ht="13.5" customHeight="1">
      <c r="A791" s="4" t="str">
        <f t="shared" si="1"/>
        <v>RQR-FJ100FY</v>
      </c>
      <c r="B791" s="29" t="s">
        <v>1187</v>
      </c>
      <c r="C791" s="28" t="s">
        <v>1183</v>
      </c>
      <c r="D791" s="28" t="s">
        <v>236</v>
      </c>
      <c r="E791" s="4" t="s">
        <v>111</v>
      </c>
      <c r="F791" s="28" t="s">
        <v>533</v>
      </c>
      <c r="G791" s="4">
        <f>SUMIFS(X!$F$5:$F$2005,X!$D$5:$D$2005,'Current Stock'!A791)</f>
        <v>0</v>
      </c>
      <c r="H791" s="4">
        <f>SUMIFS(PENJUALAN!$E$4:$E$11000,PENJUALAN!$C$4:$C$11000,'Current Stock'!A791)</f>
        <v>0</v>
      </c>
      <c r="I791" s="16">
        <f t="shared" si="2"/>
        <v>0</v>
      </c>
      <c r="J791" s="4"/>
      <c r="K791" s="4"/>
      <c r="L791" s="4"/>
      <c r="M791" s="4"/>
    </row>
    <row r="792" ht="13.5" customHeight="1">
      <c r="A792" s="4" t="str">
        <f t="shared" si="1"/>
        <v>LFW-FJ200RSFY</v>
      </c>
      <c r="B792" s="29" t="s">
        <v>1188</v>
      </c>
      <c r="C792" s="28" t="s">
        <v>1189</v>
      </c>
      <c r="D792" s="28" t="s">
        <v>22</v>
      </c>
      <c r="E792" s="4" t="s">
        <v>111</v>
      </c>
      <c r="F792" s="28" t="s">
        <v>75</v>
      </c>
      <c r="G792" s="4">
        <f>SUMIFS(X!$F$5:$F$2005,X!$D$5:$D$2005,'Current Stock'!A792)</f>
        <v>0</v>
      </c>
      <c r="H792" s="4">
        <f>SUMIFS(PENJUALAN!$E$4:$E$11000,PENJUALAN!$C$4:$C$11000,'Current Stock'!A792)</f>
        <v>0</v>
      </c>
      <c r="I792" s="16">
        <f t="shared" si="2"/>
        <v>0</v>
      </c>
      <c r="J792" s="4"/>
      <c r="K792" s="4"/>
      <c r="L792" s="4"/>
      <c r="M792" s="4"/>
    </row>
    <row r="793" ht="13.5" customHeight="1">
      <c r="A793" s="4" t="str">
        <f t="shared" si="1"/>
        <v>LFW-FJ200FY</v>
      </c>
      <c r="B793" s="29" t="s">
        <v>1190</v>
      </c>
      <c r="C793" s="28" t="s">
        <v>1189</v>
      </c>
      <c r="D793" s="28" t="s">
        <v>22</v>
      </c>
      <c r="E793" s="4" t="s">
        <v>111</v>
      </c>
      <c r="F793" s="28" t="s">
        <v>125</v>
      </c>
      <c r="G793" s="4">
        <f>SUMIFS(X!$F$5:$F$2005,X!$D$5:$D$2005,'Current Stock'!A793)</f>
        <v>0</v>
      </c>
      <c r="H793" s="4">
        <f>SUMIFS(PENJUALAN!$E$4:$E$11000,PENJUALAN!$C$4:$C$11000,'Current Stock'!A793)</f>
        <v>0</v>
      </c>
      <c r="I793" s="16">
        <f t="shared" si="2"/>
        <v>0</v>
      </c>
      <c r="J793" s="4"/>
      <c r="K793" s="4"/>
      <c r="L793" s="4"/>
      <c r="M793" s="4"/>
    </row>
    <row r="794" ht="13.5" customHeight="1">
      <c r="A794" s="4" t="str">
        <f t="shared" si="1"/>
        <v>TRW-FJ200FY</v>
      </c>
      <c r="B794" s="29" t="s">
        <v>1191</v>
      </c>
      <c r="C794" s="28" t="s">
        <v>1189</v>
      </c>
      <c r="D794" s="28" t="s">
        <v>41</v>
      </c>
      <c r="E794" s="4" t="s">
        <v>111</v>
      </c>
      <c r="F794" s="28" t="s">
        <v>221</v>
      </c>
      <c r="G794" s="4">
        <f>SUMIFS(X!$F$5:$F$2005,X!$D$5:$D$2005,'Current Stock'!A794)</f>
        <v>0</v>
      </c>
      <c r="H794" s="4">
        <f>SUMIFS(PENJUALAN!$E$4:$E$11000,PENJUALAN!$C$4:$C$11000,'Current Stock'!A794)</f>
        <v>0</v>
      </c>
      <c r="I794" s="16">
        <f t="shared" si="2"/>
        <v>0</v>
      </c>
      <c r="J794" s="4"/>
      <c r="K794" s="4"/>
      <c r="L794" s="4"/>
      <c r="M794" s="4"/>
    </row>
    <row r="795" ht="13.5" customHeight="1">
      <c r="A795" s="4" t="str">
        <f t="shared" si="1"/>
        <v>FDL-FJ200FY</v>
      </c>
      <c r="B795" s="29" t="s">
        <v>1192</v>
      </c>
      <c r="C795" s="28" t="s">
        <v>1189</v>
      </c>
      <c r="D795" s="28" t="s">
        <v>128</v>
      </c>
      <c r="E795" s="4" t="s">
        <v>111</v>
      </c>
      <c r="F795" s="28"/>
      <c r="G795" s="4">
        <f>SUMIFS(X!$F$5:$F$2005,X!$D$5:$D$2005,'Current Stock'!A795)</f>
        <v>0</v>
      </c>
      <c r="H795" s="4">
        <f>SUMIFS(PENJUALAN!$E$4:$E$11000,PENJUALAN!$C$4:$C$11000,'Current Stock'!A795)</f>
        <v>0</v>
      </c>
      <c r="I795" s="16">
        <f t="shared" si="2"/>
        <v>0</v>
      </c>
      <c r="J795" s="4"/>
      <c r="K795" s="4"/>
      <c r="L795" s="4"/>
      <c r="M795" s="4"/>
    </row>
    <row r="796" ht="13.5" customHeight="1">
      <c r="A796" s="4" t="str">
        <f t="shared" si="1"/>
        <v>FDR-FJ200FY</v>
      </c>
      <c r="B796" s="29" t="s">
        <v>1193</v>
      </c>
      <c r="C796" s="28" t="s">
        <v>1189</v>
      </c>
      <c r="D796" s="28" t="s">
        <v>130</v>
      </c>
      <c r="E796" s="4" t="s">
        <v>111</v>
      </c>
      <c r="F796" s="28"/>
      <c r="G796" s="4">
        <f>SUMIFS(X!$F$5:$F$2005,X!$D$5:$D$2005,'Current Stock'!A796)</f>
        <v>0</v>
      </c>
      <c r="H796" s="4">
        <f>SUMIFS(PENJUALAN!$E$4:$E$11000,PENJUALAN!$C$4:$C$11000,'Current Stock'!A796)</f>
        <v>0</v>
      </c>
      <c r="I796" s="16">
        <f t="shared" si="2"/>
        <v>0</v>
      </c>
      <c r="J796" s="4"/>
      <c r="K796" s="4"/>
      <c r="L796" s="4"/>
      <c r="M796" s="4"/>
    </row>
    <row r="797" ht="13.5" customHeight="1">
      <c r="A797" s="4" t="str">
        <f t="shared" si="1"/>
        <v>RDL-FJ200FY</v>
      </c>
      <c r="B797" s="29" t="s">
        <v>1194</v>
      </c>
      <c r="C797" s="28" t="s">
        <v>1189</v>
      </c>
      <c r="D797" s="28" t="s">
        <v>132</v>
      </c>
      <c r="E797" s="4" t="s">
        <v>111</v>
      </c>
      <c r="F797" s="28"/>
      <c r="G797" s="4">
        <f>SUMIFS(X!$F$5:$F$2005,X!$D$5:$D$2005,'Current Stock'!A797)</f>
        <v>0</v>
      </c>
      <c r="H797" s="4">
        <f>SUMIFS(PENJUALAN!$E$4:$E$11000,PENJUALAN!$C$4:$C$11000,'Current Stock'!A797)</f>
        <v>0</v>
      </c>
      <c r="I797" s="16">
        <f t="shared" si="2"/>
        <v>0</v>
      </c>
      <c r="J797" s="4"/>
      <c r="K797" s="4"/>
      <c r="L797" s="4"/>
      <c r="M797" s="4"/>
    </row>
    <row r="798" ht="13.5" customHeight="1">
      <c r="A798" s="4" t="str">
        <f t="shared" si="1"/>
        <v>RDR-FJ200FY</v>
      </c>
      <c r="B798" s="29" t="s">
        <v>1195</v>
      </c>
      <c r="C798" s="28" t="s">
        <v>1189</v>
      </c>
      <c r="D798" s="28" t="s">
        <v>134</v>
      </c>
      <c r="E798" s="4" t="s">
        <v>111</v>
      </c>
      <c r="F798" s="28"/>
      <c r="G798" s="4">
        <f>SUMIFS(X!$F$5:$F$2005,X!$D$5:$D$2005,'Current Stock'!A798)</f>
        <v>0</v>
      </c>
      <c r="H798" s="4">
        <f>SUMIFS(PENJUALAN!$E$4:$E$11000,PENJUALAN!$C$4:$C$11000,'Current Stock'!A798)</f>
        <v>0</v>
      </c>
      <c r="I798" s="16">
        <f t="shared" si="2"/>
        <v>0</v>
      </c>
      <c r="J798" s="4"/>
      <c r="K798" s="4"/>
      <c r="L798" s="5"/>
      <c r="M798" s="4"/>
    </row>
    <row r="799" ht="13.5" customHeight="1">
      <c r="A799" s="4" t="str">
        <f t="shared" si="1"/>
        <v>RVL-FJ200FY</v>
      </c>
      <c r="B799" s="29" t="s">
        <v>1196</v>
      </c>
      <c r="C799" s="28" t="s">
        <v>1189</v>
      </c>
      <c r="D799" s="28" t="s">
        <v>387</v>
      </c>
      <c r="E799" s="4" t="s">
        <v>111</v>
      </c>
      <c r="F799" s="28"/>
      <c r="G799" s="4">
        <f>SUMIFS(X!$F$5:$F$2005,X!$D$5:$D$2005,'Current Stock'!A799)</f>
        <v>0</v>
      </c>
      <c r="H799" s="4">
        <f>SUMIFS(PENJUALAN!$E$4:$E$11000,PENJUALAN!$C$4:$C$11000,'Current Stock'!A799)</f>
        <v>0</v>
      </c>
      <c r="I799" s="16">
        <f t="shared" si="2"/>
        <v>0</v>
      </c>
      <c r="J799" s="4"/>
      <c r="K799" s="4"/>
      <c r="L799" s="4"/>
      <c r="M799" s="4"/>
    </row>
    <row r="800" ht="13.5" customHeight="1">
      <c r="A800" s="4" t="str">
        <f t="shared" si="1"/>
        <v>RVR-FJ200FY</v>
      </c>
      <c r="B800" s="29" t="s">
        <v>1197</v>
      </c>
      <c r="C800" s="28" t="s">
        <v>1189</v>
      </c>
      <c r="D800" s="28" t="s">
        <v>389</v>
      </c>
      <c r="E800" s="4" t="s">
        <v>111</v>
      </c>
      <c r="F800" s="28"/>
      <c r="G800" s="4">
        <f>SUMIFS(X!$F$5:$F$2005,X!$D$5:$D$2005,'Current Stock'!A800)</f>
        <v>0</v>
      </c>
      <c r="H800" s="4">
        <f>SUMIFS(PENJUALAN!$E$4:$E$11000,PENJUALAN!$C$4:$C$11000,'Current Stock'!A800)</f>
        <v>0</v>
      </c>
      <c r="I800" s="16">
        <f t="shared" si="2"/>
        <v>0</v>
      </c>
      <c r="J800" s="4"/>
      <c r="K800" s="4"/>
      <c r="L800" s="4"/>
      <c r="M800" s="4"/>
    </row>
    <row r="801" ht="13.5" customHeight="1">
      <c r="A801" s="4" t="str">
        <f t="shared" si="1"/>
        <v>LFW-FJ120FY</v>
      </c>
      <c r="B801" s="29" t="s">
        <v>1198</v>
      </c>
      <c r="C801" s="28" t="s">
        <v>1199</v>
      </c>
      <c r="D801" s="28" t="s">
        <v>22</v>
      </c>
      <c r="E801" s="4" t="s">
        <v>111</v>
      </c>
      <c r="F801" s="28" t="s">
        <v>125</v>
      </c>
      <c r="G801" s="4">
        <f>SUMIFS(X!$F$5:$F$2005,X!$D$5:$D$2005,'Current Stock'!A801)</f>
        <v>0</v>
      </c>
      <c r="H801" s="4">
        <f>SUMIFS(PENJUALAN!$E$4:$E$11000,PENJUALAN!$C$4:$C$11000,'Current Stock'!A801)</f>
        <v>0</v>
      </c>
      <c r="I801" s="16">
        <f t="shared" si="2"/>
        <v>0</v>
      </c>
      <c r="J801" s="4"/>
      <c r="K801" s="4"/>
      <c r="L801" s="4"/>
      <c r="M801" s="4"/>
    </row>
    <row r="802" ht="13.5" customHeight="1">
      <c r="A802" s="4" t="str">
        <f t="shared" si="1"/>
        <v>RDL-FJ120FY</v>
      </c>
      <c r="B802" s="29" t="s">
        <v>1200</v>
      </c>
      <c r="C802" s="28" t="s">
        <v>1199</v>
      </c>
      <c r="D802" s="28" t="s">
        <v>132</v>
      </c>
      <c r="E802" s="4" t="s">
        <v>111</v>
      </c>
      <c r="F802" s="28"/>
      <c r="G802" s="4">
        <f>SUMIFS(X!$F$5:$F$2005,X!$D$5:$D$2005,'Current Stock'!A802)</f>
        <v>0</v>
      </c>
      <c r="H802" s="4">
        <f>SUMIFS(PENJUALAN!$E$4:$E$11000,PENJUALAN!$C$4:$C$11000,'Current Stock'!A802)</f>
        <v>0</v>
      </c>
      <c r="I802" s="16">
        <f t="shared" si="2"/>
        <v>0</v>
      </c>
      <c r="J802" s="4"/>
      <c r="K802" s="4"/>
      <c r="L802" s="4"/>
      <c r="M802" s="4"/>
    </row>
    <row r="803" ht="13.5" customHeight="1">
      <c r="A803" s="4" t="str">
        <f t="shared" si="1"/>
        <v>RDR-FJ120FY</v>
      </c>
      <c r="B803" s="29" t="s">
        <v>1201</v>
      </c>
      <c r="C803" s="28" t="s">
        <v>1199</v>
      </c>
      <c r="D803" s="28" t="s">
        <v>134</v>
      </c>
      <c r="E803" s="4" t="s">
        <v>111</v>
      </c>
      <c r="F803" s="28"/>
      <c r="G803" s="4">
        <f>SUMIFS(X!$F$5:$F$2005,X!$D$5:$D$2005,'Current Stock'!A803)</f>
        <v>0</v>
      </c>
      <c r="H803" s="4">
        <f>SUMIFS(PENJUALAN!$E$4:$E$11000,PENJUALAN!$C$4:$C$11000,'Current Stock'!A803)</f>
        <v>0</v>
      </c>
      <c r="I803" s="16">
        <f t="shared" si="2"/>
        <v>0</v>
      </c>
      <c r="J803" s="4"/>
      <c r="K803" s="4"/>
      <c r="L803" s="4"/>
      <c r="M803" s="4"/>
    </row>
    <row r="804" ht="13.5" customHeight="1">
      <c r="A804" s="4" t="str">
        <f t="shared" si="1"/>
        <v>RQL-FJ120FY</v>
      </c>
      <c r="B804" s="29" t="s">
        <v>1202</v>
      </c>
      <c r="C804" s="28" t="s">
        <v>1199</v>
      </c>
      <c r="D804" s="28" t="s">
        <v>202</v>
      </c>
      <c r="E804" s="4" t="s">
        <v>111</v>
      </c>
      <c r="F804" s="28" t="s">
        <v>1203</v>
      </c>
      <c r="G804" s="4">
        <f>SUMIFS(X!$F$5:$F$2005,X!$D$5:$D$2005,'Current Stock'!A804)</f>
        <v>0</v>
      </c>
      <c r="H804" s="4">
        <f>SUMIFS(PENJUALAN!$E$4:$E$11000,PENJUALAN!$C$4:$C$11000,'Current Stock'!A804)</f>
        <v>0</v>
      </c>
      <c r="I804" s="16">
        <f t="shared" si="2"/>
        <v>0</v>
      </c>
      <c r="J804" s="4"/>
      <c r="K804" s="4"/>
      <c r="L804" s="4"/>
      <c r="M804" s="4"/>
    </row>
    <row r="805" ht="13.5" customHeight="1">
      <c r="A805" s="4" t="str">
        <f t="shared" si="1"/>
        <v>RQR-FJ120FY</v>
      </c>
      <c r="B805" s="29" t="s">
        <v>1204</v>
      </c>
      <c r="C805" s="28" t="s">
        <v>1199</v>
      </c>
      <c r="D805" s="28" t="s">
        <v>236</v>
      </c>
      <c r="E805" s="4" t="s">
        <v>111</v>
      </c>
      <c r="F805" s="28" t="s">
        <v>533</v>
      </c>
      <c r="G805" s="4">
        <f>SUMIFS(X!$F$5:$F$2005,X!$D$5:$D$2005,'Current Stock'!A805)</f>
        <v>0</v>
      </c>
      <c r="H805" s="4">
        <f>SUMIFS(PENJUALAN!$E$4:$E$11000,PENJUALAN!$C$4:$C$11000,'Current Stock'!A805)</f>
        <v>0</v>
      </c>
      <c r="I805" s="16">
        <f t="shared" si="2"/>
        <v>0</v>
      </c>
      <c r="J805" s="4"/>
      <c r="K805" s="4"/>
      <c r="L805" s="4"/>
      <c r="M805" s="4"/>
    </row>
    <row r="806" ht="13.5" customHeight="1">
      <c r="A806" s="4" t="str">
        <f t="shared" si="1"/>
        <v>TRW-FJ120FY</v>
      </c>
      <c r="B806" s="29" t="s">
        <v>1205</v>
      </c>
      <c r="C806" s="28" t="s">
        <v>1206</v>
      </c>
      <c r="D806" s="28" t="s">
        <v>41</v>
      </c>
      <c r="E806" s="4" t="s">
        <v>111</v>
      </c>
      <c r="F806" s="28" t="s">
        <v>221</v>
      </c>
      <c r="G806" s="4">
        <f>SUMIFS(X!$F$5:$F$2005,X!$D$5:$D$2005,'Current Stock'!A806)</f>
        <v>0</v>
      </c>
      <c r="H806" s="4">
        <f>SUMIFS(PENJUALAN!$E$4:$E$11000,PENJUALAN!$C$4:$C$11000,'Current Stock'!A806)</f>
        <v>0</v>
      </c>
      <c r="I806" s="16">
        <f t="shared" si="2"/>
        <v>0</v>
      </c>
      <c r="J806" s="4"/>
      <c r="K806" s="4"/>
      <c r="L806" s="4"/>
      <c r="M806" s="4"/>
    </row>
    <row r="807" ht="13.5" customHeight="1">
      <c r="A807" s="4" t="str">
        <f t="shared" si="1"/>
        <v>LFW-FJ150FY</v>
      </c>
      <c r="B807" s="29" t="s">
        <v>1207</v>
      </c>
      <c r="C807" s="28" t="s">
        <v>1208</v>
      </c>
      <c r="D807" s="28" t="s">
        <v>22</v>
      </c>
      <c r="E807" s="4" t="s">
        <v>111</v>
      </c>
      <c r="F807" s="28" t="s">
        <v>23</v>
      </c>
      <c r="G807" s="4">
        <f>SUMIFS(X!$F$5:$F$2005,X!$D$5:$D$2005,'Current Stock'!A807)</f>
        <v>1</v>
      </c>
      <c r="H807" s="4">
        <f>SUMIFS(PENJUALAN!$E$4:$E$11000,PENJUALAN!$C$4:$C$11000,'Current Stock'!A807)</f>
        <v>1</v>
      </c>
      <c r="I807" s="16">
        <f t="shared" si="2"/>
        <v>0</v>
      </c>
      <c r="J807" s="4"/>
      <c r="K807" s="4"/>
      <c r="L807" s="4"/>
      <c r="M807" s="4"/>
    </row>
    <row r="808" ht="13.5" customHeight="1">
      <c r="A808" s="4" t="str">
        <f t="shared" si="1"/>
        <v>TRW-FJ150FY</v>
      </c>
      <c r="B808" s="29" t="s">
        <v>1209</v>
      </c>
      <c r="C808" s="28" t="s">
        <v>1208</v>
      </c>
      <c r="D808" s="28" t="s">
        <v>41</v>
      </c>
      <c r="E808" s="4" t="s">
        <v>111</v>
      </c>
      <c r="F808" s="28" t="s">
        <v>1210</v>
      </c>
      <c r="G808" s="4">
        <f>SUMIFS(X!$F$5:$F$2005,X!$D$5:$D$2005,'Current Stock'!A808)</f>
        <v>0</v>
      </c>
      <c r="H808" s="4">
        <f>SUMIFS(PENJUALAN!$E$4:$E$11000,PENJUALAN!$C$4:$C$11000,'Current Stock'!A808)</f>
        <v>0</v>
      </c>
      <c r="I808" s="16">
        <f t="shared" si="2"/>
        <v>0</v>
      </c>
      <c r="J808" s="4"/>
      <c r="K808" s="4"/>
      <c r="L808" s="4"/>
      <c r="M808" s="4"/>
    </row>
    <row r="809" ht="13.5" customHeight="1">
      <c r="A809" s="4" t="str">
        <f t="shared" si="1"/>
        <v>RDL-FJ150FY</v>
      </c>
      <c r="B809" s="29" t="s">
        <v>1211</v>
      </c>
      <c r="C809" s="28" t="s">
        <v>1208</v>
      </c>
      <c r="D809" s="28" t="s">
        <v>132</v>
      </c>
      <c r="E809" s="4" t="s">
        <v>111</v>
      </c>
      <c r="F809" s="28"/>
      <c r="G809" s="4">
        <f>SUMIFS(X!$F$5:$F$2005,X!$D$5:$D$2005,'Current Stock'!A809)</f>
        <v>0</v>
      </c>
      <c r="H809" s="4">
        <f>SUMIFS(PENJUALAN!$E$4:$E$11000,PENJUALAN!$C$4:$C$11000,'Current Stock'!A809)</f>
        <v>0</v>
      </c>
      <c r="I809" s="16">
        <f t="shared" si="2"/>
        <v>0</v>
      </c>
      <c r="J809" s="4"/>
      <c r="K809" s="4"/>
      <c r="L809" s="4"/>
      <c r="M809" s="4"/>
    </row>
    <row r="810" ht="13.5" customHeight="1">
      <c r="A810" s="4" t="str">
        <f t="shared" si="1"/>
        <v>RDR-FJ150FY</v>
      </c>
      <c r="B810" s="29" t="s">
        <v>1212</v>
      </c>
      <c r="C810" s="28" t="s">
        <v>1208</v>
      </c>
      <c r="D810" s="28" t="s">
        <v>134</v>
      </c>
      <c r="E810" s="4" t="s">
        <v>111</v>
      </c>
      <c r="F810" s="28"/>
      <c r="G810" s="4">
        <f>SUMIFS(X!$F$5:$F$2005,X!$D$5:$D$2005,'Current Stock'!A810)</f>
        <v>0</v>
      </c>
      <c r="H810" s="4">
        <f>SUMIFS(PENJUALAN!$E$4:$E$11000,PENJUALAN!$C$4:$C$11000,'Current Stock'!A810)</f>
        <v>0</v>
      </c>
      <c r="I810" s="16">
        <f t="shared" si="2"/>
        <v>0</v>
      </c>
      <c r="J810" s="4"/>
      <c r="K810" s="4"/>
      <c r="L810" s="4"/>
      <c r="M810" s="4"/>
    </row>
    <row r="811" ht="13.5" customHeight="1">
      <c r="A811" s="4" t="str">
        <f t="shared" si="1"/>
        <v>LFW-NAV07FY</v>
      </c>
      <c r="B811" s="29" t="s">
        <v>1213</v>
      </c>
      <c r="C811" s="28" t="s">
        <v>1214</v>
      </c>
      <c r="D811" s="28" t="s">
        <v>22</v>
      </c>
      <c r="E811" s="4" t="s">
        <v>111</v>
      </c>
      <c r="F811" s="28" t="s">
        <v>125</v>
      </c>
      <c r="G811" s="4">
        <f>SUMIFS(X!$F$5:$F$2005,X!$D$5:$D$2005,'Current Stock'!A811)</f>
        <v>0</v>
      </c>
      <c r="H811" s="4">
        <f>SUMIFS(PENJUALAN!$E$4:$E$11000,PENJUALAN!$C$4:$C$11000,'Current Stock'!A811)</f>
        <v>0</v>
      </c>
      <c r="I811" s="16">
        <f t="shared" si="2"/>
        <v>0</v>
      </c>
      <c r="J811" s="4"/>
      <c r="K811" s="4"/>
      <c r="L811" s="4"/>
      <c r="M811" s="4"/>
    </row>
    <row r="812" ht="13.5" customHeight="1">
      <c r="A812" s="4" t="str">
        <f t="shared" si="1"/>
        <v>TRW-NAV07FY</v>
      </c>
      <c r="B812" s="29" t="s">
        <v>1215</v>
      </c>
      <c r="C812" s="28" t="s">
        <v>1214</v>
      </c>
      <c r="D812" s="28" t="s">
        <v>41</v>
      </c>
      <c r="E812" s="4" t="s">
        <v>111</v>
      </c>
      <c r="F812" s="28" t="s">
        <v>67</v>
      </c>
      <c r="G812" s="4">
        <f>SUMIFS(X!$F$5:$F$2005,X!$D$5:$D$2005,'Current Stock'!A812)</f>
        <v>0</v>
      </c>
      <c r="H812" s="4">
        <f>SUMIFS(PENJUALAN!$E$4:$E$11000,PENJUALAN!$C$4:$C$11000,'Current Stock'!A812)</f>
        <v>0</v>
      </c>
      <c r="I812" s="16">
        <f t="shared" si="2"/>
        <v>0</v>
      </c>
      <c r="J812" s="4"/>
      <c r="K812" s="4"/>
      <c r="L812" s="4"/>
      <c r="M812" s="4"/>
    </row>
    <row r="813" ht="13.5" customHeight="1">
      <c r="A813" s="4" t="str">
        <f t="shared" si="1"/>
        <v>RQL-NAV07FY</v>
      </c>
      <c r="B813" s="29" t="s">
        <v>1216</v>
      </c>
      <c r="C813" s="28" t="s">
        <v>1214</v>
      </c>
      <c r="D813" s="28" t="s">
        <v>202</v>
      </c>
      <c r="E813" s="4" t="s">
        <v>111</v>
      </c>
      <c r="F813" s="28" t="s">
        <v>97</v>
      </c>
      <c r="G813" s="4">
        <f>SUMIFS(X!$F$5:$F$2005,X!$D$5:$D$2005,'Current Stock'!A813)</f>
        <v>0</v>
      </c>
      <c r="H813" s="4">
        <f>SUMIFS(PENJUALAN!$E$4:$E$11000,PENJUALAN!$C$4:$C$11000,'Current Stock'!A813)</f>
        <v>0</v>
      </c>
      <c r="I813" s="16">
        <f t="shared" si="2"/>
        <v>0</v>
      </c>
      <c r="J813" s="4"/>
      <c r="K813" s="4"/>
      <c r="L813" s="4"/>
      <c r="M813" s="4"/>
    </row>
    <row r="814" ht="13.5" customHeight="1">
      <c r="A814" s="4" t="str">
        <f t="shared" si="1"/>
        <v>RQR-NAV07FY</v>
      </c>
      <c r="B814" s="29" t="s">
        <v>1217</v>
      </c>
      <c r="C814" s="28" t="s">
        <v>1214</v>
      </c>
      <c r="D814" s="28" t="s">
        <v>236</v>
      </c>
      <c r="E814" s="4" t="s">
        <v>111</v>
      </c>
      <c r="F814" s="28" t="s">
        <v>234</v>
      </c>
      <c r="G814" s="4">
        <f>SUMIFS(X!$F$5:$F$2005,X!$D$5:$D$2005,'Current Stock'!A814)</f>
        <v>0</v>
      </c>
      <c r="H814" s="4">
        <f>SUMIFS(PENJUALAN!$E$4:$E$11000,PENJUALAN!$C$4:$C$11000,'Current Stock'!A814)</f>
        <v>0</v>
      </c>
      <c r="I814" s="16">
        <f t="shared" si="2"/>
        <v>0</v>
      </c>
      <c r="J814" s="4"/>
      <c r="K814" s="4"/>
      <c r="L814" s="4"/>
      <c r="M814" s="4"/>
    </row>
    <row r="815" ht="13.5" customHeight="1">
      <c r="A815" s="4" t="str">
        <f t="shared" si="1"/>
        <v>LFW-NOAHFY</v>
      </c>
      <c r="B815" s="29" t="s">
        <v>1218</v>
      </c>
      <c r="C815" s="28" t="s">
        <v>1219</v>
      </c>
      <c r="D815" s="28" t="s">
        <v>22</v>
      </c>
      <c r="E815" s="4" t="s">
        <v>111</v>
      </c>
      <c r="F815" s="28" t="s">
        <v>125</v>
      </c>
      <c r="G815" s="4">
        <f>SUMIFS(X!$F$5:$F$2005,X!$D$5:$D$2005,'Current Stock'!A815)</f>
        <v>0</v>
      </c>
      <c r="H815" s="4">
        <f>SUMIFS(PENJUALAN!$E$4:$E$11000,PENJUALAN!$C$4:$C$11000,'Current Stock'!A815)</f>
        <v>0</v>
      </c>
      <c r="I815" s="16">
        <f t="shared" si="2"/>
        <v>0</v>
      </c>
      <c r="J815" s="4"/>
      <c r="K815" s="4"/>
      <c r="L815" s="4"/>
      <c r="M815" s="4"/>
    </row>
    <row r="816" ht="13.5" customHeight="1">
      <c r="A816" s="4" t="str">
        <f t="shared" si="1"/>
        <v>TRW-NOAHFY</v>
      </c>
      <c r="B816" s="29" t="s">
        <v>1220</v>
      </c>
      <c r="C816" s="28" t="s">
        <v>1219</v>
      </c>
      <c r="D816" s="28" t="s">
        <v>41</v>
      </c>
      <c r="E816" s="4" t="s">
        <v>111</v>
      </c>
      <c r="F816" s="28" t="s">
        <v>67</v>
      </c>
      <c r="G816" s="4">
        <f>SUMIFS(X!$F$5:$F$2005,X!$D$5:$D$2005,'Current Stock'!A816)</f>
        <v>0</v>
      </c>
      <c r="H816" s="4">
        <f>SUMIFS(PENJUALAN!$E$4:$E$11000,PENJUALAN!$C$4:$C$11000,'Current Stock'!A816)</f>
        <v>0</v>
      </c>
      <c r="I816" s="16">
        <f t="shared" si="2"/>
        <v>0</v>
      </c>
      <c r="J816" s="4"/>
      <c r="K816" s="4"/>
      <c r="L816" s="4"/>
      <c r="M816" s="4"/>
    </row>
    <row r="817" ht="13.5" customHeight="1">
      <c r="A817" s="4" t="str">
        <f t="shared" si="1"/>
        <v>RDL-NOAHFY</v>
      </c>
      <c r="B817" s="29" t="s">
        <v>1221</v>
      </c>
      <c r="C817" s="28" t="s">
        <v>1219</v>
      </c>
      <c r="D817" s="28" t="s">
        <v>132</v>
      </c>
      <c r="E817" s="4" t="s">
        <v>111</v>
      </c>
      <c r="F817" s="28"/>
      <c r="G817" s="4">
        <f>SUMIFS(X!$F$5:$F$2005,X!$D$5:$D$2005,'Current Stock'!A817)</f>
        <v>0</v>
      </c>
      <c r="H817" s="4">
        <f>SUMIFS(PENJUALAN!$E$4:$E$11000,PENJUALAN!$C$4:$C$11000,'Current Stock'!A817)</f>
        <v>0</v>
      </c>
      <c r="I817" s="16">
        <f t="shared" si="2"/>
        <v>0</v>
      </c>
      <c r="J817" s="4"/>
      <c r="K817" s="4"/>
      <c r="L817" s="4"/>
      <c r="M817" s="4"/>
    </row>
    <row r="818" ht="13.5" customHeight="1">
      <c r="A818" s="4" t="str">
        <f t="shared" si="1"/>
        <v>RDR-NOAHFY</v>
      </c>
      <c r="B818" s="29" t="s">
        <v>1222</v>
      </c>
      <c r="C818" s="28" t="s">
        <v>1219</v>
      </c>
      <c r="D818" s="28" t="s">
        <v>134</v>
      </c>
      <c r="E818" s="4" t="s">
        <v>111</v>
      </c>
      <c r="F818" s="28"/>
      <c r="G818" s="4">
        <f>SUMIFS(X!$F$5:$F$2005,X!$D$5:$D$2005,'Current Stock'!A818)</f>
        <v>0</v>
      </c>
      <c r="H818" s="4">
        <f>SUMIFS(PENJUALAN!$E$4:$E$11000,PENJUALAN!$C$4:$C$11000,'Current Stock'!A818)</f>
        <v>0</v>
      </c>
      <c r="I818" s="16">
        <f t="shared" si="2"/>
        <v>0</v>
      </c>
      <c r="J818" s="4"/>
      <c r="K818" s="4"/>
      <c r="L818" s="4"/>
      <c r="M818" s="4"/>
    </row>
    <row r="819" ht="13.5" customHeight="1">
      <c r="A819" s="4" t="str">
        <f t="shared" si="1"/>
        <v>RQL-NOAHFY</v>
      </c>
      <c r="B819" s="29" t="s">
        <v>1223</v>
      </c>
      <c r="C819" s="28" t="s">
        <v>1219</v>
      </c>
      <c r="D819" s="28" t="s">
        <v>202</v>
      </c>
      <c r="E819" s="4" t="s">
        <v>111</v>
      </c>
      <c r="F819" s="28" t="s">
        <v>97</v>
      </c>
      <c r="G819" s="4">
        <f>SUMIFS(X!$F$5:$F$2005,X!$D$5:$D$2005,'Current Stock'!A819)</f>
        <v>0</v>
      </c>
      <c r="H819" s="4">
        <f>SUMIFS(PENJUALAN!$E$4:$E$11000,PENJUALAN!$C$4:$C$11000,'Current Stock'!A819)</f>
        <v>0</v>
      </c>
      <c r="I819" s="16">
        <f t="shared" si="2"/>
        <v>0</v>
      </c>
      <c r="J819" s="4"/>
      <c r="K819" s="4"/>
      <c r="L819" s="4"/>
      <c r="M819" s="4"/>
    </row>
    <row r="820" ht="13.5" customHeight="1">
      <c r="A820" s="4" t="str">
        <f t="shared" si="1"/>
        <v>LFW-PREVIA00FY</v>
      </c>
      <c r="B820" s="29" t="s">
        <v>1224</v>
      </c>
      <c r="C820" s="28" t="s">
        <v>1225</v>
      </c>
      <c r="D820" s="28" t="s">
        <v>22</v>
      </c>
      <c r="E820" s="4" t="s">
        <v>111</v>
      </c>
      <c r="F820" s="28" t="s">
        <v>97</v>
      </c>
      <c r="G820" s="4">
        <f>SUMIFS(X!$F$5:$F$2005,X!$D$5:$D$2005,'Current Stock'!A820)</f>
        <v>0</v>
      </c>
      <c r="H820" s="4">
        <f>SUMIFS(PENJUALAN!$E$4:$E$11000,PENJUALAN!$C$4:$C$11000,'Current Stock'!A820)</f>
        <v>0</v>
      </c>
      <c r="I820" s="16">
        <f t="shared" si="2"/>
        <v>0</v>
      </c>
      <c r="J820" s="4"/>
      <c r="K820" s="4"/>
      <c r="L820" s="4"/>
      <c r="M820" s="4"/>
    </row>
    <row r="821" ht="13.5" customHeight="1">
      <c r="A821" s="4" t="str">
        <f t="shared" si="1"/>
        <v>TRW-PREVIA00FY</v>
      </c>
      <c r="B821" s="29" t="s">
        <v>1226</v>
      </c>
      <c r="C821" s="28" t="s">
        <v>1225</v>
      </c>
      <c r="D821" s="28" t="s">
        <v>41</v>
      </c>
      <c r="E821" s="4" t="s">
        <v>111</v>
      </c>
      <c r="F821" s="28" t="s">
        <v>67</v>
      </c>
      <c r="G821" s="4">
        <f>SUMIFS(X!$F$5:$F$2005,X!$D$5:$D$2005,'Current Stock'!A821)</f>
        <v>0</v>
      </c>
      <c r="H821" s="4">
        <f>SUMIFS(PENJUALAN!$E$4:$E$11000,PENJUALAN!$C$4:$C$11000,'Current Stock'!A821)</f>
        <v>0</v>
      </c>
      <c r="I821" s="16">
        <f t="shared" si="2"/>
        <v>0</v>
      </c>
      <c r="J821" s="4"/>
      <c r="K821" s="4"/>
      <c r="L821" s="4"/>
      <c r="M821" s="4"/>
    </row>
    <row r="822" ht="13.5" customHeight="1">
      <c r="A822" s="4" t="str">
        <f t="shared" si="1"/>
        <v>LFW-PREVIA06FY</v>
      </c>
      <c r="B822" s="29" t="s">
        <v>1227</v>
      </c>
      <c r="C822" s="28" t="s">
        <v>1228</v>
      </c>
      <c r="D822" s="28" t="s">
        <v>22</v>
      </c>
      <c r="E822" s="4" t="s">
        <v>111</v>
      </c>
      <c r="F822" s="28" t="s">
        <v>737</v>
      </c>
      <c r="G822" s="4">
        <f>SUMIFS(X!$F$5:$F$2005,X!$D$5:$D$2005,'Current Stock'!A822)</f>
        <v>0</v>
      </c>
      <c r="H822" s="4">
        <f>SUMIFS(PENJUALAN!$E$4:$E$11000,PENJUALAN!$C$4:$C$11000,'Current Stock'!A822)</f>
        <v>0</v>
      </c>
      <c r="I822" s="16">
        <f t="shared" si="2"/>
        <v>0</v>
      </c>
      <c r="J822" s="4"/>
      <c r="K822" s="4"/>
      <c r="L822" s="4"/>
      <c r="M822" s="4"/>
    </row>
    <row r="823" ht="13.5" customHeight="1">
      <c r="A823" s="4" t="str">
        <f t="shared" si="1"/>
        <v>TRW-PREVIA06FY</v>
      </c>
      <c r="B823" s="29" t="s">
        <v>1229</v>
      </c>
      <c r="C823" s="28" t="s">
        <v>1228</v>
      </c>
      <c r="D823" s="28" t="s">
        <v>41</v>
      </c>
      <c r="E823" s="4" t="s">
        <v>111</v>
      </c>
      <c r="F823" s="28" t="s">
        <v>221</v>
      </c>
      <c r="G823" s="4">
        <f>SUMIFS(X!$F$5:$F$2005,X!$D$5:$D$2005,'Current Stock'!A823)</f>
        <v>0</v>
      </c>
      <c r="H823" s="4">
        <f>SUMIFS(PENJUALAN!$E$4:$E$11000,PENJUALAN!$C$4:$C$11000,'Current Stock'!A823)</f>
        <v>0</v>
      </c>
      <c r="I823" s="16">
        <f t="shared" si="2"/>
        <v>0</v>
      </c>
      <c r="J823" s="4"/>
      <c r="K823" s="4"/>
      <c r="L823" s="4"/>
      <c r="M823" s="4"/>
    </row>
    <row r="824" ht="13.5" customHeight="1">
      <c r="A824" s="4" t="str">
        <f t="shared" si="1"/>
        <v>TRW-RAV400FY</v>
      </c>
      <c r="B824" s="29" t="s">
        <v>1230</v>
      </c>
      <c r="C824" s="28" t="s">
        <v>1231</v>
      </c>
      <c r="D824" s="28" t="s">
        <v>41</v>
      </c>
      <c r="E824" s="4" t="s">
        <v>111</v>
      </c>
      <c r="F824" s="28" t="s">
        <v>221</v>
      </c>
      <c r="G824" s="4">
        <f>SUMIFS(X!$F$5:$F$2005,X!$D$5:$D$2005,'Current Stock'!A824)</f>
        <v>0</v>
      </c>
      <c r="H824" s="4">
        <f>SUMIFS(PENJUALAN!$E$4:$E$11000,PENJUALAN!$C$4:$C$11000,'Current Stock'!A824)</f>
        <v>0</v>
      </c>
      <c r="I824" s="16">
        <f t="shared" si="2"/>
        <v>0</v>
      </c>
      <c r="J824" s="4"/>
      <c r="K824" s="4"/>
      <c r="L824" s="4"/>
      <c r="M824" s="4"/>
    </row>
    <row r="825" ht="13.5" customHeight="1">
      <c r="A825" s="4" t="str">
        <f t="shared" si="1"/>
        <v>LFW-RAV400FY</v>
      </c>
      <c r="B825" s="29" t="s">
        <v>1232</v>
      </c>
      <c r="C825" s="28" t="s">
        <v>1233</v>
      </c>
      <c r="D825" s="28" t="s">
        <v>22</v>
      </c>
      <c r="E825" s="4" t="s">
        <v>111</v>
      </c>
      <c r="F825" s="28" t="s">
        <v>125</v>
      </c>
      <c r="G825" s="4">
        <f>SUMIFS(X!$F$5:$F$2005,X!$D$5:$D$2005,'Current Stock'!A825)</f>
        <v>0</v>
      </c>
      <c r="H825" s="4">
        <f>SUMIFS(PENJUALAN!$E$4:$E$11000,PENJUALAN!$C$4:$C$11000,'Current Stock'!A825)</f>
        <v>0</v>
      </c>
      <c r="I825" s="16">
        <f t="shared" si="2"/>
        <v>0</v>
      </c>
      <c r="J825" s="4"/>
      <c r="K825" s="4"/>
      <c r="L825" s="4"/>
      <c r="M825" s="4"/>
    </row>
    <row r="826" ht="13.5" customHeight="1">
      <c r="A826" s="4" t="str">
        <f t="shared" si="1"/>
        <v>LFW-RAV405FY</v>
      </c>
      <c r="B826" s="29" t="s">
        <v>1234</v>
      </c>
      <c r="C826" s="28" t="s">
        <v>1235</v>
      </c>
      <c r="D826" s="28" t="s">
        <v>22</v>
      </c>
      <c r="E826" s="4" t="s">
        <v>111</v>
      </c>
      <c r="F826" s="28" t="s">
        <v>737</v>
      </c>
      <c r="G826" s="4">
        <f>SUMIFS(X!$F$5:$F$2005,X!$D$5:$D$2005,'Current Stock'!A826)</f>
        <v>0</v>
      </c>
      <c r="H826" s="4">
        <f>SUMIFS(PENJUALAN!$E$4:$E$11000,PENJUALAN!$C$4:$C$11000,'Current Stock'!A826)</f>
        <v>0</v>
      </c>
      <c r="I826" s="16">
        <f t="shared" si="2"/>
        <v>0</v>
      </c>
      <c r="J826" s="4"/>
      <c r="K826" s="4"/>
      <c r="L826" s="4"/>
      <c r="M826" s="4"/>
    </row>
    <row r="827" ht="13.5" customHeight="1">
      <c r="A827" s="4" t="str">
        <f t="shared" si="1"/>
        <v>TRW-RAV405FY</v>
      </c>
      <c r="B827" s="29" t="s">
        <v>1236</v>
      </c>
      <c r="C827" s="28" t="s">
        <v>1235</v>
      </c>
      <c r="D827" s="28" t="s">
        <v>41</v>
      </c>
      <c r="E827" s="4" t="s">
        <v>111</v>
      </c>
      <c r="F827" s="28" t="s">
        <v>760</v>
      </c>
      <c r="G827" s="4">
        <f>SUMIFS(X!$F$5:$F$2005,X!$D$5:$D$2005,'Current Stock'!A827)</f>
        <v>0</v>
      </c>
      <c r="H827" s="4">
        <f>SUMIFS(PENJUALAN!$E$4:$E$11000,PENJUALAN!$C$4:$C$11000,'Current Stock'!A827)</f>
        <v>0</v>
      </c>
      <c r="I827" s="16">
        <f t="shared" si="2"/>
        <v>0</v>
      </c>
      <c r="J827" s="4"/>
      <c r="K827" s="4"/>
      <c r="L827" s="4"/>
      <c r="M827" s="4"/>
    </row>
    <row r="828" ht="13.5" customHeight="1">
      <c r="A828" s="4" t="str">
        <f t="shared" si="1"/>
        <v>FDL-RAV405FY</v>
      </c>
      <c r="B828" s="29" t="s">
        <v>1237</v>
      </c>
      <c r="C828" s="28" t="s">
        <v>1235</v>
      </c>
      <c r="D828" s="28" t="s">
        <v>128</v>
      </c>
      <c r="E828" s="4" t="s">
        <v>111</v>
      </c>
      <c r="F828" s="28"/>
      <c r="G828" s="4">
        <f>SUMIFS(X!$F$5:$F$2005,X!$D$5:$D$2005,'Current Stock'!A828)</f>
        <v>0</v>
      </c>
      <c r="H828" s="4">
        <f>SUMIFS(PENJUALAN!$E$4:$E$11000,PENJUALAN!$C$4:$C$11000,'Current Stock'!A828)</f>
        <v>0</v>
      </c>
      <c r="I828" s="16">
        <f t="shared" si="2"/>
        <v>0</v>
      </c>
      <c r="J828" s="4"/>
      <c r="K828" s="4"/>
      <c r="L828" s="4"/>
      <c r="M828" s="4"/>
    </row>
    <row r="829" ht="13.5" customHeight="1">
      <c r="A829" s="4" t="str">
        <f t="shared" si="1"/>
        <v>FDR-RAV405FY</v>
      </c>
      <c r="B829" s="29" t="s">
        <v>1238</v>
      </c>
      <c r="C829" s="28" t="s">
        <v>1235</v>
      </c>
      <c r="D829" s="28" t="s">
        <v>130</v>
      </c>
      <c r="E829" s="4" t="s">
        <v>111</v>
      </c>
      <c r="F829" s="28"/>
      <c r="G829" s="4">
        <f>SUMIFS(X!$F$5:$F$2005,X!$D$5:$D$2005,'Current Stock'!A829)</f>
        <v>0</v>
      </c>
      <c r="H829" s="4">
        <f>SUMIFS(PENJUALAN!$E$4:$E$11000,PENJUALAN!$C$4:$C$11000,'Current Stock'!A829)</f>
        <v>0</v>
      </c>
      <c r="I829" s="16">
        <f t="shared" si="2"/>
        <v>0</v>
      </c>
      <c r="J829" s="4"/>
      <c r="K829" s="4"/>
      <c r="L829" s="4"/>
      <c r="M829" s="4"/>
    </row>
    <row r="830" ht="13.5" customHeight="1">
      <c r="A830" s="4" t="str">
        <f t="shared" si="1"/>
        <v>RDL-RAV405FY</v>
      </c>
      <c r="B830" s="29" t="s">
        <v>1239</v>
      </c>
      <c r="C830" s="28" t="s">
        <v>1235</v>
      </c>
      <c r="D830" s="28" t="s">
        <v>132</v>
      </c>
      <c r="E830" s="4" t="s">
        <v>111</v>
      </c>
      <c r="F830" s="28"/>
      <c r="G830" s="4">
        <f>SUMIFS(X!$F$5:$F$2005,X!$D$5:$D$2005,'Current Stock'!A830)</f>
        <v>0</v>
      </c>
      <c r="H830" s="4">
        <f>SUMIFS(PENJUALAN!$E$4:$E$11000,PENJUALAN!$C$4:$C$11000,'Current Stock'!A830)</f>
        <v>0</v>
      </c>
      <c r="I830" s="16">
        <f t="shared" si="2"/>
        <v>0</v>
      </c>
      <c r="J830" s="4"/>
      <c r="K830" s="4"/>
      <c r="L830" s="4"/>
      <c r="M830" s="4"/>
    </row>
    <row r="831" ht="13.5" customHeight="1">
      <c r="A831" s="4" t="str">
        <f t="shared" si="1"/>
        <v>RDR-RAV405FY</v>
      </c>
      <c r="B831" s="29" t="s">
        <v>1240</v>
      </c>
      <c r="C831" s="28" t="s">
        <v>1235</v>
      </c>
      <c r="D831" s="28" t="s">
        <v>134</v>
      </c>
      <c r="E831" s="4" t="s">
        <v>111</v>
      </c>
      <c r="F831" s="28"/>
      <c r="G831" s="4">
        <f>SUMIFS(X!$F$5:$F$2005,X!$D$5:$D$2005,'Current Stock'!A831)</f>
        <v>0</v>
      </c>
      <c r="H831" s="4">
        <f>SUMIFS(PENJUALAN!$E$4:$E$11000,PENJUALAN!$C$4:$C$11000,'Current Stock'!A831)</f>
        <v>0</v>
      </c>
      <c r="I831" s="16">
        <f t="shared" si="2"/>
        <v>0</v>
      </c>
      <c r="J831" s="4"/>
      <c r="K831" s="4"/>
      <c r="L831" s="4"/>
      <c r="M831" s="4"/>
    </row>
    <row r="832" ht="13.5" customHeight="1">
      <c r="A832" s="4" t="str">
        <f t="shared" si="1"/>
        <v>RQL-RAV405FY</v>
      </c>
      <c r="B832" s="29" t="s">
        <v>1241</v>
      </c>
      <c r="C832" s="28" t="s">
        <v>1235</v>
      </c>
      <c r="D832" s="28" t="s">
        <v>202</v>
      </c>
      <c r="E832" s="4" t="s">
        <v>111</v>
      </c>
      <c r="F832" s="28" t="s">
        <v>97</v>
      </c>
      <c r="G832" s="4">
        <f>SUMIFS(X!$F$5:$F$2005,X!$D$5:$D$2005,'Current Stock'!A832)</f>
        <v>0</v>
      </c>
      <c r="H832" s="4">
        <f>SUMIFS(PENJUALAN!$E$4:$E$11000,PENJUALAN!$C$4:$C$11000,'Current Stock'!A832)</f>
        <v>0</v>
      </c>
      <c r="I832" s="16">
        <f t="shared" si="2"/>
        <v>0</v>
      </c>
      <c r="J832" s="4"/>
      <c r="K832" s="4"/>
      <c r="L832" s="4"/>
      <c r="M832" s="4"/>
    </row>
    <row r="833" ht="13.5" customHeight="1">
      <c r="A833" s="4" t="str">
        <f t="shared" si="1"/>
        <v>RQR-RAV405FY</v>
      </c>
      <c r="B833" s="29" t="s">
        <v>1242</v>
      </c>
      <c r="C833" s="28" t="s">
        <v>1235</v>
      </c>
      <c r="D833" s="28" t="s">
        <v>236</v>
      </c>
      <c r="E833" s="4" t="s">
        <v>111</v>
      </c>
      <c r="F833" s="28" t="s">
        <v>97</v>
      </c>
      <c r="G833" s="4">
        <f>SUMIFS(X!$F$5:$F$2005,X!$D$5:$D$2005,'Current Stock'!A833)</f>
        <v>0</v>
      </c>
      <c r="H833" s="4">
        <f>SUMIFS(PENJUALAN!$E$4:$E$11000,PENJUALAN!$C$4:$C$11000,'Current Stock'!A833)</f>
        <v>0</v>
      </c>
      <c r="I833" s="16">
        <f t="shared" si="2"/>
        <v>0</v>
      </c>
      <c r="J833" s="4"/>
      <c r="K833" s="4"/>
      <c r="L833" s="4"/>
      <c r="M833" s="4"/>
    </row>
    <row r="834" ht="13.5" customHeight="1">
      <c r="A834" s="4" t="str">
        <f t="shared" si="1"/>
        <v>LFW-TERIOS06FY</v>
      </c>
      <c r="B834" s="29" t="s">
        <v>1243</v>
      </c>
      <c r="C834" s="28" t="s">
        <v>1244</v>
      </c>
      <c r="D834" s="28" t="s">
        <v>22</v>
      </c>
      <c r="E834" s="4" t="s">
        <v>111</v>
      </c>
      <c r="F834" s="28" t="s">
        <v>97</v>
      </c>
      <c r="G834" s="4">
        <f>SUMIFS(X!$F$5:$F$2005,X!$D$5:$D$2005,'Current Stock'!A834)</f>
        <v>0</v>
      </c>
      <c r="H834" s="4">
        <f>SUMIFS(PENJUALAN!$E$4:$E$11000,PENJUALAN!$C$4:$C$11000,'Current Stock'!A834)</f>
        <v>0</v>
      </c>
      <c r="I834" s="16">
        <f t="shared" si="2"/>
        <v>0</v>
      </c>
      <c r="J834" s="4"/>
      <c r="K834" s="4"/>
      <c r="L834" s="4"/>
      <c r="M834" s="4"/>
    </row>
    <row r="835" ht="13.5" customHeight="1">
      <c r="A835" s="4" t="str">
        <f t="shared" si="1"/>
        <v>TRW-TERIOS06HOLEFY</v>
      </c>
      <c r="B835" s="29" t="s">
        <v>1245</v>
      </c>
      <c r="C835" s="28" t="s">
        <v>1244</v>
      </c>
      <c r="D835" s="28" t="s">
        <v>41</v>
      </c>
      <c r="E835" s="4" t="s">
        <v>111</v>
      </c>
      <c r="F835" s="28" t="s">
        <v>533</v>
      </c>
      <c r="G835" s="4">
        <f>SUMIFS(X!$F$5:$F$2005,X!$D$5:$D$2005,'Current Stock'!A835)</f>
        <v>0</v>
      </c>
      <c r="H835" s="4">
        <f>SUMIFS(PENJUALAN!$E$4:$E$11000,PENJUALAN!$C$4:$C$11000,'Current Stock'!A835)</f>
        <v>0</v>
      </c>
      <c r="I835" s="16">
        <f t="shared" si="2"/>
        <v>0</v>
      </c>
      <c r="J835" s="4"/>
      <c r="K835" s="4"/>
      <c r="L835" s="4"/>
      <c r="M835" s="4"/>
    </row>
    <row r="836" ht="13.5" customHeight="1">
      <c r="A836" s="4" t="str">
        <f t="shared" si="1"/>
        <v>TRW-TERIOS06HHOLEFY</v>
      </c>
      <c r="B836" s="29" t="s">
        <v>1246</v>
      </c>
      <c r="C836" s="28" t="s">
        <v>1244</v>
      </c>
      <c r="D836" s="28" t="s">
        <v>41</v>
      </c>
      <c r="E836" s="4" t="s">
        <v>111</v>
      </c>
      <c r="F836" s="28" t="s">
        <v>221</v>
      </c>
      <c r="G836" s="4">
        <f>SUMIFS(X!$F$5:$F$2005,X!$D$5:$D$2005,'Current Stock'!A836)</f>
        <v>0</v>
      </c>
      <c r="H836" s="4">
        <f>SUMIFS(PENJUALAN!$E$4:$E$11000,PENJUALAN!$C$4:$C$11000,'Current Stock'!A836)</f>
        <v>0</v>
      </c>
      <c r="I836" s="16">
        <f t="shared" si="2"/>
        <v>0</v>
      </c>
      <c r="J836" s="4"/>
      <c r="K836" s="4"/>
      <c r="L836" s="4"/>
      <c r="M836" s="4"/>
    </row>
    <row r="837" ht="13.5" customHeight="1">
      <c r="A837" s="4" t="str">
        <f t="shared" si="1"/>
        <v>TRW-TERIOS06FY</v>
      </c>
      <c r="B837" s="29" t="s">
        <v>1247</v>
      </c>
      <c r="C837" s="28" t="s">
        <v>1244</v>
      </c>
      <c r="D837" s="28" t="s">
        <v>41</v>
      </c>
      <c r="E837" s="4" t="s">
        <v>111</v>
      </c>
      <c r="F837" s="28" t="s">
        <v>97</v>
      </c>
      <c r="G837" s="4">
        <f>SUMIFS(X!$F$5:$F$2005,X!$D$5:$D$2005,'Current Stock'!A837)</f>
        <v>0</v>
      </c>
      <c r="H837" s="4">
        <f>SUMIFS(PENJUALAN!$E$4:$E$11000,PENJUALAN!$C$4:$C$11000,'Current Stock'!A837)</f>
        <v>0</v>
      </c>
      <c r="I837" s="16">
        <f t="shared" si="2"/>
        <v>0</v>
      </c>
      <c r="J837" s="4"/>
      <c r="K837" s="4"/>
      <c r="L837" s="4"/>
      <c r="M837" s="4"/>
    </row>
    <row r="838" ht="13.5" customHeight="1">
      <c r="A838" s="4" t="str">
        <f t="shared" si="1"/>
        <v>LFW-SIENTAFY</v>
      </c>
      <c r="B838" s="29" t="s">
        <v>1248</v>
      </c>
      <c r="C838" s="28" t="s">
        <v>1249</v>
      </c>
      <c r="D838" s="28" t="s">
        <v>22</v>
      </c>
      <c r="E838" s="4" t="s">
        <v>111</v>
      </c>
      <c r="F838" s="28" t="s">
        <v>125</v>
      </c>
      <c r="G838" s="4">
        <f>SUMIFS(X!$F$5:$F$2005,X!$D$5:$D$2005,'Current Stock'!A838)</f>
        <v>0</v>
      </c>
      <c r="H838" s="4">
        <f>SUMIFS(PENJUALAN!$E$4:$E$11000,PENJUALAN!$C$4:$C$11000,'Current Stock'!A838)</f>
        <v>0</v>
      </c>
      <c r="I838" s="16">
        <f t="shared" si="2"/>
        <v>0</v>
      </c>
      <c r="J838" s="4"/>
      <c r="K838" s="4"/>
      <c r="L838" s="4"/>
      <c r="M838" s="4"/>
    </row>
    <row r="839" ht="13.5" customHeight="1">
      <c r="A839" s="4" t="str">
        <f t="shared" si="1"/>
        <v>TRW-SIENTAFY</v>
      </c>
      <c r="B839" s="29" t="s">
        <v>1250</v>
      </c>
      <c r="C839" s="28" t="s">
        <v>1249</v>
      </c>
      <c r="D839" s="28" t="s">
        <v>41</v>
      </c>
      <c r="E839" s="4" t="s">
        <v>111</v>
      </c>
      <c r="F839" s="28" t="s">
        <v>67</v>
      </c>
      <c r="G839" s="4">
        <f>SUMIFS(X!$F$5:$F$2005,X!$D$5:$D$2005,'Current Stock'!A839)</f>
        <v>0</v>
      </c>
      <c r="H839" s="4">
        <f>SUMIFS(PENJUALAN!$E$4:$E$11000,PENJUALAN!$C$4:$C$11000,'Current Stock'!A839)</f>
        <v>0</v>
      </c>
      <c r="I839" s="16">
        <f t="shared" si="2"/>
        <v>0</v>
      </c>
      <c r="J839" s="4"/>
      <c r="K839" s="4"/>
      <c r="L839" s="4"/>
      <c r="M839" s="4"/>
    </row>
    <row r="840" ht="13.5" customHeight="1">
      <c r="A840" s="4" t="str">
        <f t="shared" si="1"/>
        <v>LFW-SOLUNAFY</v>
      </c>
      <c r="B840" s="29" t="s">
        <v>1251</v>
      </c>
      <c r="C840" s="28" t="s">
        <v>1252</v>
      </c>
      <c r="D840" s="28" t="s">
        <v>22</v>
      </c>
      <c r="E840" s="4" t="s">
        <v>111</v>
      </c>
      <c r="F840" s="28" t="s">
        <v>97</v>
      </c>
      <c r="G840" s="4">
        <f>SUMIFS(X!$F$5:$F$2005,X!$D$5:$D$2005,'Current Stock'!A840)</f>
        <v>0</v>
      </c>
      <c r="H840" s="4">
        <f>SUMIFS(PENJUALAN!$E$4:$E$11000,PENJUALAN!$C$4:$C$11000,'Current Stock'!A840)</f>
        <v>0</v>
      </c>
      <c r="I840" s="16">
        <f t="shared" si="2"/>
        <v>0</v>
      </c>
      <c r="J840" s="4"/>
      <c r="K840" s="4"/>
      <c r="L840" s="4"/>
      <c r="M840" s="4"/>
    </row>
    <row r="841" ht="13.5" customHeight="1">
      <c r="A841" s="4" t="str">
        <f t="shared" si="1"/>
        <v>LFW-STARLETFY</v>
      </c>
      <c r="B841" s="29" t="s">
        <v>1253</v>
      </c>
      <c r="C841" s="28" t="s">
        <v>1254</v>
      </c>
      <c r="D841" s="28" t="s">
        <v>22</v>
      </c>
      <c r="E841" s="4" t="s">
        <v>111</v>
      </c>
      <c r="F841" s="28" t="s">
        <v>97</v>
      </c>
      <c r="G841" s="4">
        <f>SUMIFS(X!$F$5:$F$2005,X!$D$5:$D$2005,'Current Stock'!A841)</f>
        <v>0</v>
      </c>
      <c r="H841" s="4">
        <f>SUMIFS(PENJUALAN!$E$4:$E$11000,PENJUALAN!$C$4:$C$11000,'Current Stock'!A841)</f>
        <v>0</v>
      </c>
      <c r="I841" s="16">
        <f t="shared" si="2"/>
        <v>0</v>
      </c>
      <c r="J841" s="4"/>
      <c r="K841" s="4"/>
      <c r="L841" s="4"/>
      <c r="M841" s="4"/>
    </row>
    <row r="842" ht="13.5" customHeight="1">
      <c r="A842" s="4" t="str">
        <f t="shared" si="1"/>
        <v>TRW-STARLETFY</v>
      </c>
      <c r="B842" s="29" t="s">
        <v>1255</v>
      </c>
      <c r="C842" s="28" t="s">
        <v>1254</v>
      </c>
      <c r="D842" s="28" t="s">
        <v>41</v>
      </c>
      <c r="E842" s="4" t="s">
        <v>111</v>
      </c>
      <c r="F842" s="28" t="s">
        <v>67</v>
      </c>
      <c r="G842" s="4">
        <f>SUMIFS(X!$F$5:$F$2005,X!$D$5:$D$2005,'Current Stock'!A842)</f>
        <v>0</v>
      </c>
      <c r="H842" s="4">
        <f>SUMIFS(PENJUALAN!$E$4:$E$11000,PENJUALAN!$C$4:$C$11000,'Current Stock'!A842)</f>
        <v>0</v>
      </c>
      <c r="I842" s="16">
        <f t="shared" si="2"/>
        <v>0</v>
      </c>
      <c r="J842" s="4"/>
      <c r="K842" s="4"/>
      <c r="L842" s="4"/>
      <c r="M842" s="4"/>
    </row>
    <row r="843" ht="13.5" customHeight="1">
      <c r="A843" s="4" t="str">
        <f t="shared" si="1"/>
        <v>RDL-STARLETFY</v>
      </c>
      <c r="B843" s="29" t="s">
        <v>1256</v>
      </c>
      <c r="C843" s="28" t="s">
        <v>1254</v>
      </c>
      <c r="D843" s="28" t="s">
        <v>132</v>
      </c>
      <c r="E843" s="4" t="s">
        <v>111</v>
      </c>
      <c r="F843" s="28"/>
      <c r="G843" s="4">
        <f>SUMIFS(X!$F$5:$F$2005,X!$D$5:$D$2005,'Current Stock'!A843)</f>
        <v>0</v>
      </c>
      <c r="H843" s="4">
        <f>SUMIFS(PENJUALAN!$E$4:$E$11000,PENJUALAN!$C$4:$C$11000,'Current Stock'!A843)</f>
        <v>0</v>
      </c>
      <c r="I843" s="16">
        <f t="shared" si="2"/>
        <v>0</v>
      </c>
      <c r="J843" s="4"/>
      <c r="K843" s="4"/>
      <c r="L843" s="4"/>
      <c r="M843" s="4"/>
    </row>
    <row r="844" ht="13.5" customHeight="1">
      <c r="A844" s="4" t="str">
        <f t="shared" si="1"/>
        <v>RDR-STARLETFY</v>
      </c>
      <c r="B844" s="29" t="s">
        <v>1257</v>
      </c>
      <c r="C844" s="28" t="s">
        <v>1254</v>
      </c>
      <c r="D844" s="28" t="s">
        <v>134</v>
      </c>
      <c r="E844" s="4" t="s">
        <v>111</v>
      </c>
      <c r="F844" s="28"/>
      <c r="G844" s="4">
        <f>SUMIFS(X!$F$5:$F$2005,X!$D$5:$D$2005,'Current Stock'!A844)</f>
        <v>0</v>
      </c>
      <c r="H844" s="4">
        <f>SUMIFS(PENJUALAN!$E$4:$E$11000,PENJUALAN!$C$4:$C$11000,'Current Stock'!A844)</f>
        <v>0</v>
      </c>
      <c r="I844" s="16">
        <f t="shared" si="2"/>
        <v>0</v>
      </c>
      <c r="J844" s="4"/>
      <c r="K844" s="4"/>
      <c r="L844" s="4"/>
      <c r="M844" s="4"/>
    </row>
    <row r="845" ht="13.5" customHeight="1">
      <c r="A845" s="4" t="str">
        <f t="shared" si="1"/>
        <v>TRW-VIOS02FY</v>
      </c>
      <c r="B845" s="29" t="s">
        <v>1258</v>
      </c>
      <c r="C845" s="28" t="s">
        <v>1259</v>
      </c>
      <c r="D845" s="28" t="s">
        <v>41</v>
      </c>
      <c r="E845" s="4" t="s">
        <v>111</v>
      </c>
      <c r="F845" s="28" t="s">
        <v>67</v>
      </c>
      <c r="G845" s="4">
        <f>SUMIFS(X!$F$5:$F$2005,X!$D$5:$D$2005,'Current Stock'!A845)</f>
        <v>0</v>
      </c>
      <c r="H845" s="4">
        <f>SUMIFS(PENJUALAN!$E$4:$E$11000,PENJUALAN!$C$4:$C$11000,'Current Stock'!A845)</f>
        <v>0</v>
      </c>
      <c r="I845" s="16">
        <f t="shared" si="2"/>
        <v>0</v>
      </c>
      <c r="J845" s="4"/>
      <c r="K845" s="4"/>
      <c r="L845" s="4"/>
      <c r="M845" s="4"/>
    </row>
    <row r="846" ht="13.5" customHeight="1">
      <c r="A846" s="4" t="str">
        <f t="shared" si="1"/>
        <v>RDL-VIOS02FY</v>
      </c>
      <c r="B846" s="29" t="s">
        <v>1260</v>
      </c>
      <c r="C846" s="28" t="s">
        <v>1259</v>
      </c>
      <c r="D846" s="28" t="s">
        <v>132</v>
      </c>
      <c r="E846" s="4" t="s">
        <v>111</v>
      </c>
      <c r="F846" s="28"/>
      <c r="G846" s="4">
        <f>SUMIFS(X!$F$5:$F$2005,X!$D$5:$D$2005,'Current Stock'!A846)</f>
        <v>0</v>
      </c>
      <c r="H846" s="4">
        <f>SUMIFS(PENJUALAN!$E$4:$E$11000,PENJUALAN!$C$4:$C$11000,'Current Stock'!A846)</f>
        <v>0</v>
      </c>
      <c r="I846" s="16">
        <f t="shared" si="2"/>
        <v>0</v>
      </c>
      <c r="J846" s="4"/>
      <c r="K846" s="4"/>
      <c r="L846" s="4"/>
      <c r="M846" s="4"/>
    </row>
    <row r="847" ht="13.5" customHeight="1">
      <c r="A847" s="4" t="str">
        <f t="shared" si="1"/>
        <v>RDR-VIOS02FY</v>
      </c>
      <c r="B847" s="29" t="s">
        <v>1261</v>
      </c>
      <c r="C847" s="28" t="s">
        <v>1259</v>
      </c>
      <c r="D847" s="28" t="s">
        <v>134</v>
      </c>
      <c r="E847" s="4" t="s">
        <v>111</v>
      </c>
      <c r="F847" s="28"/>
      <c r="G847" s="4">
        <f>SUMIFS(X!$F$5:$F$2005,X!$D$5:$D$2005,'Current Stock'!A847)</f>
        <v>0</v>
      </c>
      <c r="H847" s="4">
        <f>SUMIFS(PENJUALAN!$E$4:$E$11000,PENJUALAN!$C$4:$C$11000,'Current Stock'!A847)</f>
        <v>0</v>
      </c>
      <c r="I847" s="16">
        <f t="shared" si="2"/>
        <v>0</v>
      </c>
      <c r="J847" s="4"/>
      <c r="K847" s="4"/>
      <c r="L847" s="4"/>
      <c r="M847" s="4"/>
    </row>
    <row r="848" ht="13.5" customHeight="1">
      <c r="A848" s="4" t="str">
        <f t="shared" si="1"/>
        <v>LFW-VIOS07FY</v>
      </c>
      <c r="B848" s="29" t="s">
        <v>1262</v>
      </c>
      <c r="C848" s="28" t="s">
        <v>1263</v>
      </c>
      <c r="D848" s="28" t="s">
        <v>22</v>
      </c>
      <c r="E848" s="4" t="s">
        <v>111</v>
      </c>
      <c r="F848" s="28" t="s">
        <v>125</v>
      </c>
      <c r="G848" s="4">
        <f>SUMIFS(X!$F$5:$F$2005,X!$D$5:$D$2005,'Current Stock'!A848)</f>
        <v>0</v>
      </c>
      <c r="H848" s="4">
        <f>SUMIFS(PENJUALAN!$E$4:$E$11000,PENJUALAN!$C$4:$C$11000,'Current Stock'!A848)</f>
        <v>0</v>
      </c>
      <c r="I848" s="16">
        <f t="shared" si="2"/>
        <v>0</v>
      </c>
      <c r="J848" s="4"/>
      <c r="K848" s="4"/>
      <c r="L848" s="4"/>
      <c r="M848" s="4"/>
    </row>
    <row r="849" ht="13.5" customHeight="1">
      <c r="A849" s="4" t="str">
        <f t="shared" si="1"/>
        <v>TRW-VIOS07AFY</v>
      </c>
      <c r="B849" s="29" t="s">
        <v>1264</v>
      </c>
      <c r="C849" s="28" t="s">
        <v>1263</v>
      </c>
      <c r="D849" s="28" t="s">
        <v>41</v>
      </c>
      <c r="E849" s="4" t="s">
        <v>111</v>
      </c>
      <c r="F849" s="28" t="s">
        <v>114</v>
      </c>
      <c r="G849" s="4">
        <f>SUMIFS(X!$F$5:$F$2005,X!$D$5:$D$2005,'Current Stock'!A849)</f>
        <v>0</v>
      </c>
      <c r="H849" s="4">
        <f>SUMIFS(PENJUALAN!$E$4:$E$11000,PENJUALAN!$C$4:$C$11000,'Current Stock'!A849)</f>
        <v>0</v>
      </c>
      <c r="I849" s="16">
        <f t="shared" si="2"/>
        <v>0</v>
      </c>
      <c r="J849" s="4"/>
      <c r="K849" s="4"/>
      <c r="L849" s="4"/>
      <c r="M849" s="4"/>
    </row>
    <row r="850" ht="13.5" customHeight="1">
      <c r="A850" s="4" t="str">
        <f t="shared" si="1"/>
        <v>TRW-VIOS07FY</v>
      </c>
      <c r="B850" s="29" t="s">
        <v>1265</v>
      </c>
      <c r="C850" s="28" t="s">
        <v>1263</v>
      </c>
      <c r="D850" s="28" t="s">
        <v>41</v>
      </c>
      <c r="E850" s="4" t="s">
        <v>111</v>
      </c>
      <c r="F850" s="28" t="s">
        <v>67</v>
      </c>
      <c r="G850" s="4">
        <f>SUMIFS(X!$F$5:$F$2005,X!$D$5:$D$2005,'Current Stock'!A850)</f>
        <v>0</v>
      </c>
      <c r="H850" s="4">
        <f>SUMIFS(PENJUALAN!$E$4:$E$11000,PENJUALAN!$C$4:$C$11000,'Current Stock'!A850)</f>
        <v>0</v>
      </c>
      <c r="I850" s="16">
        <f t="shared" si="2"/>
        <v>0</v>
      </c>
      <c r="J850" s="4"/>
      <c r="K850" s="4"/>
      <c r="L850" s="4"/>
      <c r="M850" s="4"/>
    </row>
    <row r="851" ht="13.5" customHeight="1">
      <c r="A851" s="4" t="str">
        <f t="shared" si="1"/>
        <v>RDL-VIOS07FY</v>
      </c>
      <c r="B851" s="29" t="s">
        <v>1266</v>
      </c>
      <c r="C851" s="28" t="s">
        <v>1263</v>
      </c>
      <c r="D851" s="28" t="s">
        <v>132</v>
      </c>
      <c r="E851" s="4" t="s">
        <v>111</v>
      </c>
      <c r="F851" s="28"/>
      <c r="G851" s="4">
        <f>SUMIFS(X!$F$5:$F$2005,X!$D$5:$D$2005,'Current Stock'!A851)</f>
        <v>0</v>
      </c>
      <c r="H851" s="4">
        <f>SUMIFS(PENJUALAN!$E$4:$E$11000,PENJUALAN!$C$4:$C$11000,'Current Stock'!A851)</f>
        <v>0</v>
      </c>
      <c r="I851" s="16">
        <f t="shared" si="2"/>
        <v>0</v>
      </c>
      <c r="J851" s="4"/>
      <c r="K851" s="4"/>
      <c r="L851" s="4"/>
      <c r="M851" s="4"/>
    </row>
    <row r="852" ht="13.5" customHeight="1">
      <c r="A852" s="4" t="str">
        <f t="shared" si="1"/>
        <v>RDR-VIOS07FY</v>
      </c>
      <c r="B852" s="29" t="s">
        <v>1267</v>
      </c>
      <c r="C852" s="28" t="s">
        <v>1263</v>
      </c>
      <c r="D852" s="28" t="s">
        <v>134</v>
      </c>
      <c r="E852" s="4" t="s">
        <v>111</v>
      </c>
      <c r="F852" s="28"/>
      <c r="G852" s="4">
        <f>SUMIFS(X!$F$5:$F$2005,X!$D$5:$D$2005,'Current Stock'!A852)</f>
        <v>0</v>
      </c>
      <c r="H852" s="4">
        <f>SUMIFS(PENJUALAN!$E$4:$E$11000,PENJUALAN!$C$4:$C$11000,'Current Stock'!A852)</f>
        <v>0</v>
      </c>
      <c r="I852" s="16">
        <f t="shared" si="2"/>
        <v>0</v>
      </c>
      <c r="J852" s="4"/>
      <c r="K852" s="4"/>
      <c r="L852" s="4"/>
      <c r="M852" s="4"/>
    </row>
    <row r="853" ht="13.5" customHeight="1">
      <c r="A853" s="4" t="str">
        <f t="shared" si="1"/>
        <v>RVL-VIOS07FY</v>
      </c>
      <c r="B853" s="29" t="s">
        <v>1268</v>
      </c>
      <c r="C853" s="28" t="s">
        <v>1263</v>
      </c>
      <c r="D853" s="28" t="s">
        <v>387</v>
      </c>
      <c r="E853" s="4" t="s">
        <v>111</v>
      </c>
      <c r="F853" s="28"/>
      <c r="G853" s="4">
        <f>SUMIFS(X!$F$5:$F$2005,X!$D$5:$D$2005,'Current Stock'!A853)</f>
        <v>0</v>
      </c>
      <c r="H853" s="4">
        <f>SUMIFS(PENJUALAN!$E$4:$E$11000,PENJUALAN!$C$4:$C$11000,'Current Stock'!A853)</f>
        <v>0</v>
      </c>
      <c r="I853" s="16">
        <f t="shared" si="2"/>
        <v>0</v>
      </c>
      <c r="J853" s="4"/>
      <c r="K853" s="4"/>
      <c r="L853" s="4"/>
      <c r="M853" s="4"/>
    </row>
    <row r="854" ht="13.5" customHeight="1">
      <c r="A854" s="4" t="str">
        <f t="shared" si="1"/>
        <v>LFW-VOXY17FY</v>
      </c>
      <c r="B854" s="29" t="s">
        <v>1269</v>
      </c>
      <c r="C854" s="28" t="s">
        <v>1270</v>
      </c>
      <c r="D854" s="28" t="s">
        <v>22</v>
      </c>
      <c r="E854" s="4" t="s">
        <v>111</v>
      </c>
      <c r="F854" s="28" t="s">
        <v>125</v>
      </c>
      <c r="G854" s="4">
        <f>SUMIFS(X!$F$5:$F$2005,X!$D$5:$D$2005,'Current Stock'!A854)</f>
        <v>0</v>
      </c>
      <c r="H854" s="4">
        <f>SUMIFS(PENJUALAN!$E$4:$E$11000,PENJUALAN!$C$4:$C$11000,'Current Stock'!A854)</f>
        <v>0</v>
      </c>
      <c r="I854" s="16">
        <f t="shared" si="2"/>
        <v>0</v>
      </c>
      <c r="J854" s="4"/>
      <c r="K854" s="4"/>
      <c r="L854" s="4"/>
      <c r="M854" s="4"/>
    </row>
    <row r="855" ht="13.5" customHeight="1">
      <c r="A855" s="4" t="str">
        <f t="shared" si="1"/>
        <v>TRW-VOXYFY</v>
      </c>
      <c r="B855" s="29" t="s">
        <v>1271</v>
      </c>
      <c r="C855" s="28" t="s">
        <v>1272</v>
      </c>
      <c r="D855" s="28" t="s">
        <v>41</v>
      </c>
      <c r="E855" s="4" t="s">
        <v>111</v>
      </c>
      <c r="F855" s="28" t="s">
        <v>221</v>
      </c>
      <c r="G855" s="4">
        <f>SUMIFS(X!$F$5:$F$2005,X!$D$5:$D$2005,'Current Stock'!A855)</f>
        <v>0</v>
      </c>
      <c r="H855" s="4">
        <f>SUMIFS(PENJUALAN!$E$4:$E$11000,PENJUALAN!$C$4:$C$11000,'Current Stock'!A855)</f>
        <v>0</v>
      </c>
      <c r="I855" s="16">
        <f t="shared" si="2"/>
        <v>0</v>
      </c>
      <c r="J855" s="4"/>
      <c r="K855" s="4"/>
      <c r="L855" s="4"/>
      <c r="M855" s="4"/>
    </row>
    <row r="856" ht="13.5" customHeight="1">
      <c r="A856" s="4" t="str">
        <f t="shared" si="1"/>
        <v>LFW-WISHFY</v>
      </c>
      <c r="B856" s="29" t="s">
        <v>1273</v>
      </c>
      <c r="C856" s="28" t="s">
        <v>1274</v>
      </c>
      <c r="D856" s="28" t="s">
        <v>22</v>
      </c>
      <c r="E856" s="4" t="s">
        <v>111</v>
      </c>
      <c r="F856" s="28" t="s">
        <v>125</v>
      </c>
      <c r="G856" s="4">
        <f>SUMIFS(X!$F$5:$F$2005,X!$D$5:$D$2005,'Current Stock'!A856)</f>
        <v>0</v>
      </c>
      <c r="H856" s="4">
        <f>SUMIFS(PENJUALAN!$E$4:$E$11000,PENJUALAN!$C$4:$C$11000,'Current Stock'!A856)</f>
        <v>0</v>
      </c>
      <c r="I856" s="16">
        <f t="shared" si="2"/>
        <v>0</v>
      </c>
      <c r="J856" s="4"/>
      <c r="K856" s="4"/>
      <c r="L856" s="4"/>
      <c r="M856" s="4"/>
    </row>
    <row r="857" ht="13.5" customHeight="1">
      <c r="A857" s="4" t="str">
        <f t="shared" si="1"/>
        <v>TRW-WISHFY</v>
      </c>
      <c r="B857" s="29" t="s">
        <v>1275</v>
      </c>
      <c r="C857" s="28" t="s">
        <v>1274</v>
      </c>
      <c r="D857" s="28" t="s">
        <v>41</v>
      </c>
      <c r="E857" s="4" t="s">
        <v>111</v>
      </c>
      <c r="F857" s="28" t="s">
        <v>221</v>
      </c>
      <c r="G857" s="4">
        <f>SUMIFS(X!$F$5:$F$2005,X!$D$5:$D$2005,'Current Stock'!A857)</f>
        <v>0</v>
      </c>
      <c r="H857" s="4">
        <f>SUMIFS(PENJUALAN!$E$4:$E$11000,PENJUALAN!$C$4:$C$11000,'Current Stock'!A857)</f>
        <v>0</v>
      </c>
      <c r="I857" s="16">
        <f t="shared" si="2"/>
        <v>0</v>
      </c>
      <c r="J857" s="4"/>
      <c r="K857" s="4"/>
      <c r="L857" s="4"/>
      <c r="M857" s="4"/>
    </row>
    <row r="858" ht="13.5" customHeight="1">
      <c r="A858" s="4" t="str">
        <f t="shared" si="1"/>
        <v>LFW-YARIS05FY</v>
      </c>
      <c r="B858" s="29" t="s">
        <v>1276</v>
      </c>
      <c r="C858" s="28" t="s">
        <v>1277</v>
      </c>
      <c r="D858" s="28" t="s">
        <v>22</v>
      </c>
      <c r="E858" s="4" t="s">
        <v>111</v>
      </c>
      <c r="F858" s="28" t="s">
        <v>125</v>
      </c>
      <c r="G858" s="4">
        <f>SUMIFS(X!$F$5:$F$2005,X!$D$5:$D$2005,'Current Stock'!A858)</f>
        <v>0</v>
      </c>
      <c r="H858" s="4">
        <f>SUMIFS(PENJUALAN!$E$4:$E$11000,PENJUALAN!$C$4:$C$11000,'Current Stock'!A858)</f>
        <v>0</v>
      </c>
      <c r="I858" s="16">
        <f t="shared" si="2"/>
        <v>0</v>
      </c>
      <c r="J858" s="4"/>
      <c r="K858" s="4"/>
      <c r="L858" s="4"/>
      <c r="M858" s="4"/>
    </row>
    <row r="859" ht="13.5" customHeight="1">
      <c r="A859" s="4" t="str">
        <f t="shared" si="1"/>
        <v>TRW-YARIS05FY</v>
      </c>
      <c r="B859" s="29" t="s">
        <v>1278</v>
      </c>
      <c r="C859" s="28" t="s">
        <v>1277</v>
      </c>
      <c r="D859" s="28" t="s">
        <v>41</v>
      </c>
      <c r="E859" s="4" t="s">
        <v>111</v>
      </c>
      <c r="F859" s="28" t="s">
        <v>67</v>
      </c>
      <c r="G859" s="4">
        <f>SUMIFS(X!$F$5:$F$2005,X!$D$5:$D$2005,'Current Stock'!A859)</f>
        <v>0</v>
      </c>
      <c r="H859" s="4">
        <f>SUMIFS(PENJUALAN!$E$4:$E$11000,PENJUALAN!$C$4:$C$11000,'Current Stock'!A859)</f>
        <v>0</v>
      </c>
      <c r="I859" s="16">
        <f t="shared" si="2"/>
        <v>0</v>
      </c>
      <c r="J859" s="4"/>
      <c r="K859" s="4"/>
      <c r="L859" s="4"/>
      <c r="M859" s="4"/>
    </row>
    <row r="860" ht="13.5" customHeight="1">
      <c r="A860" s="4" t="str">
        <f t="shared" si="1"/>
        <v>LFW-VIOS13FY</v>
      </c>
      <c r="B860" s="29" t="s">
        <v>1279</v>
      </c>
      <c r="C860" s="28" t="s">
        <v>1280</v>
      </c>
      <c r="D860" s="28" t="s">
        <v>22</v>
      </c>
      <c r="E860" s="4" t="s">
        <v>111</v>
      </c>
      <c r="F860" s="28" t="s">
        <v>125</v>
      </c>
      <c r="G860" s="4">
        <f>SUMIFS(X!$F$5:$F$2005,X!$D$5:$D$2005,'Current Stock'!A860)</f>
        <v>0</v>
      </c>
      <c r="H860" s="4">
        <f>SUMIFS(PENJUALAN!$E$4:$E$11000,PENJUALAN!$C$4:$C$11000,'Current Stock'!A860)</f>
        <v>0</v>
      </c>
      <c r="I860" s="16">
        <f t="shared" si="2"/>
        <v>0</v>
      </c>
      <c r="J860" s="4"/>
      <c r="K860" s="4"/>
      <c r="L860" s="4"/>
      <c r="M860" s="4"/>
    </row>
    <row r="861" ht="13.5" customHeight="1">
      <c r="A861" s="4" t="str">
        <f t="shared" si="1"/>
        <v>LFW-T5FY</v>
      </c>
      <c r="B861" s="29" t="s">
        <v>1281</v>
      </c>
      <c r="C861" s="28" t="s">
        <v>1282</v>
      </c>
      <c r="D861" s="28" t="s">
        <v>22</v>
      </c>
      <c r="E861" s="4" t="s">
        <v>111</v>
      </c>
      <c r="F861" s="28" t="s">
        <v>125</v>
      </c>
      <c r="G861" s="4">
        <f>SUMIFS(X!$F$5:$F$2005,X!$D$5:$D$2005,'Current Stock'!A861)</f>
        <v>0</v>
      </c>
      <c r="H861" s="4">
        <f>SUMIFS(PENJUALAN!$E$4:$E$11000,PENJUALAN!$C$4:$C$11000,'Current Stock'!A861)</f>
        <v>0</v>
      </c>
      <c r="I861" s="16">
        <f t="shared" si="2"/>
        <v>0</v>
      </c>
      <c r="J861" s="4"/>
      <c r="K861" s="4"/>
      <c r="L861" s="4"/>
      <c r="M861" s="4"/>
    </row>
    <row r="862" ht="13.5" customHeight="1">
      <c r="A862" s="4" t="str">
        <f t="shared" si="1"/>
        <v>TRW-T5FY</v>
      </c>
      <c r="B862" s="29" t="s">
        <v>1283</v>
      </c>
      <c r="C862" s="28" t="s">
        <v>1282</v>
      </c>
      <c r="D862" s="28" t="s">
        <v>41</v>
      </c>
      <c r="E862" s="4" t="s">
        <v>111</v>
      </c>
      <c r="F862" s="28" t="s">
        <v>221</v>
      </c>
      <c r="G862" s="4">
        <f>SUMIFS(X!$F$5:$F$2005,X!$D$5:$D$2005,'Current Stock'!A862)</f>
        <v>0</v>
      </c>
      <c r="H862" s="4">
        <f>SUMIFS(PENJUALAN!$E$4:$E$11000,PENJUALAN!$C$4:$C$11000,'Current Stock'!A862)</f>
        <v>0</v>
      </c>
      <c r="I862" s="16">
        <f t="shared" si="2"/>
        <v>0</v>
      </c>
      <c r="J862" s="4"/>
      <c r="K862" s="4"/>
      <c r="L862" s="4"/>
      <c r="M862" s="4"/>
    </row>
    <row r="863" ht="13.5" customHeight="1">
      <c r="A863" s="4" t="str">
        <f t="shared" si="1"/>
        <v>TRW-MK5FY</v>
      </c>
      <c r="B863" s="29" t="s">
        <v>1284</v>
      </c>
      <c r="C863" s="28" t="s">
        <v>1285</v>
      </c>
      <c r="D863" s="28" t="s">
        <v>41</v>
      </c>
      <c r="E863" s="4" t="s">
        <v>111</v>
      </c>
      <c r="F863" s="28" t="s">
        <v>659</v>
      </c>
      <c r="G863" s="4">
        <f>SUMIFS(X!$F$5:$F$2005,X!$D$5:$D$2005,'Current Stock'!A863)</f>
        <v>0</v>
      </c>
      <c r="H863" s="4">
        <f>SUMIFS(PENJUALAN!$E$4:$E$11000,PENJUALAN!$C$4:$C$11000,'Current Stock'!A863)</f>
        <v>0</v>
      </c>
      <c r="I863" s="16">
        <f t="shared" si="2"/>
        <v>0</v>
      </c>
      <c r="J863" s="4"/>
      <c r="K863" s="4"/>
      <c r="L863" s="4"/>
      <c r="M863" s="4"/>
    </row>
    <row r="864" ht="13.5" customHeight="1">
      <c r="A864" s="4" t="str">
        <f t="shared" si="1"/>
        <v>LFW-GOLFMK6FY</v>
      </c>
      <c r="B864" s="29" t="s">
        <v>1286</v>
      </c>
      <c r="C864" s="28" t="s">
        <v>1287</v>
      </c>
      <c r="D864" s="28" t="s">
        <v>22</v>
      </c>
      <c r="E864" s="4" t="s">
        <v>111</v>
      </c>
      <c r="F864" s="28" t="s">
        <v>112</v>
      </c>
      <c r="G864" s="4">
        <f>SUMIFS(X!$F$5:$F$2005,X!$D$5:$D$2005,'Current Stock'!A864)</f>
        <v>0</v>
      </c>
      <c r="H864" s="4">
        <f>SUMIFS(PENJUALAN!$E$4:$E$11000,PENJUALAN!$C$4:$C$11000,'Current Stock'!A864)</f>
        <v>0</v>
      </c>
      <c r="I864" s="16">
        <f t="shared" si="2"/>
        <v>0</v>
      </c>
      <c r="J864" s="4"/>
      <c r="K864" s="4"/>
      <c r="L864" s="4"/>
      <c r="M864" s="4"/>
    </row>
    <row r="865" ht="13.5" customHeight="1">
      <c r="A865" s="4" t="str">
        <f t="shared" si="1"/>
        <v>TRW-MK6FY</v>
      </c>
      <c r="B865" s="29" t="s">
        <v>1288</v>
      </c>
      <c r="C865" s="28" t="s">
        <v>1287</v>
      </c>
      <c r="D865" s="28" t="s">
        <v>41</v>
      </c>
      <c r="E865" s="4" t="s">
        <v>111</v>
      </c>
      <c r="F865" s="28" t="s">
        <v>659</v>
      </c>
      <c r="G865" s="4">
        <f>SUMIFS(X!$F$5:$F$2005,X!$D$5:$D$2005,'Current Stock'!A865)</f>
        <v>0</v>
      </c>
      <c r="H865" s="4">
        <f>SUMIFS(PENJUALAN!$E$4:$E$11000,PENJUALAN!$C$4:$C$11000,'Current Stock'!A865)</f>
        <v>0</v>
      </c>
      <c r="I865" s="16">
        <f t="shared" si="2"/>
        <v>0</v>
      </c>
      <c r="J865" s="4"/>
      <c r="K865" s="4"/>
      <c r="L865" s="4"/>
      <c r="M865" s="4"/>
    </row>
    <row r="866" ht="13.5" customHeight="1">
      <c r="A866" s="4" t="str">
        <f t="shared" si="1"/>
        <v>LFW-MK7FY</v>
      </c>
      <c r="B866" s="29" t="s">
        <v>1289</v>
      </c>
      <c r="C866" s="28" t="s">
        <v>1290</v>
      </c>
      <c r="D866" s="28" t="s">
        <v>22</v>
      </c>
      <c r="E866" s="4" t="s">
        <v>111</v>
      </c>
      <c r="F866" s="28" t="s">
        <v>112</v>
      </c>
      <c r="G866" s="4">
        <f>SUMIFS(X!$F$5:$F$2005,X!$D$5:$D$2005,'Current Stock'!A866)</f>
        <v>0</v>
      </c>
      <c r="H866" s="4">
        <f>SUMIFS(PENJUALAN!$E$4:$E$11000,PENJUALAN!$C$4:$C$11000,'Current Stock'!A866)</f>
        <v>0</v>
      </c>
      <c r="I866" s="16">
        <f t="shared" si="2"/>
        <v>0</v>
      </c>
      <c r="J866" s="4"/>
      <c r="K866" s="4"/>
      <c r="L866" s="4"/>
      <c r="M866" s="4"/>
    </row>
    <row r="867" ht="13.5" customHeight="1">
      <c r="A867" s="4" t="str">
        <f t="shared" si="1"/>
        <v>LFW-NEWBEETLEFY</v>
      </c>
      <c r="B867" s="29" t="s">
        <v>1291</v>
      </c>
      <c r="C867" s="28" t="s">
        <v>1292</v>
      </c>
      <c r="D867" s="28" t="s">
        <v>22</v>
      </c>
      <c r="E867" s="4" t="s">
        <v>111</v>
      </c>
      <c r="F867" s="28" t="s">
        <v>112</v>
      </c>
      <c r="G867" s="4">
        <f>SUMIFS(X!$F$5:$F$2005,X!$D$5:$D$2005,'Current Stock'!A867)</f>
        <v>0</v>
      </c>
      <c r="H867" s="4">
        <f>SUMIFS(PENJUALAN!$E$4:$E$11000,PENJUALAN!$C$4:$C$11000,'Current Stock'!A867)</f>
        <v>0</v>
      </c>
      <c r="I867" s="16">
        <f t="shared" si="2"/>
        <v>0</v>
      </c>
      <c r="J867" s="4"/>
      <c r="K867" s="4"/>
      <c r="L867" s="4"/>
      <c r="M867" s="4"/>
    </row>
    <row r="868" ht="13.5" customHeight="1">
      <c r="A868" s="4" t="str">
        <f t="shared" si="1"/>
        <v>LFW-POLO09RSFY</v>
      </c>
      <c r="B868" s="29" t="s">
        <v>1293</v>
      </c>
      <c r="C868" s="28" t="s">
        <v>1294</v>
      </c>
      <c r="D868" s="28" t="s">
        <v>22</v>
      </c>
      <c r="E868" s="4" t="s">
        <v>111</v>
      </c>
      <c r="F868" s="28" t="s">
        <v>112</v>
      </c>
      <c r="G868" s="4">
        <f>SUMIFS(X!$F$5:$F$2005,X!$D$5:$D$2005,'Current Stock'!A868)</f>
        <v>0</v>
      </c>
      <c r="H868" s="4">
        <f>SUMIFS(PENJUALAN!$E$4:$E$11000,PENJUALAN!$C$4:$C$11000,'Current Stock'!A868)</f>
        <v>0</v>
      </c>
      <c r="I868" s="16">
        <f t="shared" si="2"/>
        <v>0</v>
      </c>
      <c r="J868" s="4"/>
      <c r="K868" s="4"/>
      <c r="L868" s="4"/>
      <c r="M868" s="4"/>
    </row>
    <row r="869" ht="13.5" customHeight="1">
      <c r="A869" s="4" t="str">
        <f t="shared" si="1"/>
        <v>LFW-POLO09FY</v>
      </c>
      <c r="B869" s="29" t="s">
        <v>1295</v>
      </c>
      <c r="C869" s="28" t="s">
        <v>1296</v>
      </c>
      <c r="D869" s="28" t="s">
        <v>22</v>
      </c>
      <c r="E869" s="4" t="s">
        <v>111</v>
      </c>
      <c r="F869" s="28" t="s">
        <v>737</v>
      </c>
      <c r="G869" s="4">
        <f>SUMIFS(X!$F$5:$F$2005,X!$D$5:$D$2005,'Current Stock'!A869)</f>
        <v>0</v>
      </c>
      <c r="H869" s="4">
        <f>SUMIFS(PENJUALAN!$E$4:$E$11000,PENJUALAN!$C$4:$C$11000,'Current Stock'!A869)</f>
        <v>0</v>
      </c>
      <c r="I869" s="16">
        <f t="shared" si="2"/>
        <v>0</v>
      </c>
      <c r="J869" s="4"/>
      <c r="K869" s="4"/>
      <c r="L869" s="4"/>
      <c r="M869" s="4"/>
    </row>
    <row r="870" ht="13.5" customHeight="1">
      <c r="A870" s="4" t="str">
        <f t="shared" si="1"/>
        <v>TRW-POLO09FY</v>
      </c>
      <c r="B870" s="29" t="s">
        <v>1297</v>
      </c>
      <c r="C870" s="28" t="s">
        <v>1296</v>
      </c>
      <c r="D870" s="28" t="s">
        <v>41</v>
      </c>
      <c r="E870" s="4" t="s">
        <v>111</v>
      </c>
      <c r="F870" s="28" t="s">
        <v>659</v>
      </c>
      <c r="G870" s="4">
        <f>SUMIFS(X!$F$5:$F$2005,X!$D$5:$D$2005,'Current Stock'!A870)</f>
        <v>0</v>
      </c>
      <c r="H870" s="4">
        <f>SUMIFS(PENJUALAN!$E$4:$E$11000,PENJUALAN!$C$4:$C$11000,'Current Stock'!A870)</f>
        <v>0</v>
      </c>
      <c r="I870" s="16">
        <f t="shared" si="2"/>
        <v>0</v>
      </c>
      <c r="J870" s="4"/>
      <c r="K870" s="4"/>
      <c r="L870" s="4"/>
      <c r="M870" s="4"/>
    </row>
    <row r="871" ht="13.5" customHeight="1">
      <c r="A871" s="4" t="str">
        <f t="shared" si="1"/>
        <v>LFW-SCIROCCOFY</v>
      </c>
      <c r="B871" s="29" t="s">
        <v>1298</v>
      </c>
      <c r="C871" s="28" t="s">
        <v>1299</v>
      </c>
      <c r="D871" s="28" t="s">
        <v>22</v>
      </c>
      <c r="E871" s="4" t="s">
        <v>111</v>
      </c>
      <c r="F871" s="28" t="s">
        <v>189</v>
      </c>
      <c r="G871" s="4">
        <f>SUMIFS(X!$F$5:$F$2005,X!$D$5:$D$2005,'Current Stock'!A871)</f>
        <v>0</v>
      </c>
      <c r="H871" s="4">
        <f>SUMIFS(PENJUALAN!$E$4:$E$11000,PENJUALAN!$C$4:$C$11000,'Current Stock'!A871)</f>
        <v>0</v>
      </c>
      <c r="I871" s="16">
        <f t="shared" si="2"/>
        <v>0</v>
      </c>
      <c r="J871" s="4"/>
      <c r="K871" s="4"/>
      <c r="L871" s="4"/>
      <c r="M871" s="4"/>
    </row>
    <row r="872" ht="13.5" customHeight="1">
      <c r="A872" s="4" t="str">
        <f t="shared" si="1"/>
        <v>LFW-TIGUANFY</v>
      </c>
      <c r="B872" s="29" t="s">
        <v>1300</v>
      </c>
      <c r="C872" s="28" t="s">
        <v>1301</v>
      </c>
      <c r="D872" s="28" t="s">
        <v>22</v>
      </c>
      <c r="E872" s="4" t="s">
        <v>111</v>
      </c>
      <c r="F872" s="28" t="s">
        <v>112</v>
      </c>
      <c r="G872" s="4">
        <f>SUMIFS(X!$F$5:$F$2005,X!$D$5:$D$2005,'Current Stock'!A872)</f>
        <v>0</v>
      </c>
      <c r="H872" s="4">
        <f>SUMIFS(PENJUALAN!$E$4:$E$11000,PENJUALAN!$C$4:$C$11000,'Current Stock'!A872)</f>
        <v>0</v>
      </c>
      <c r="I872" s="16">
        <f t="shared" si="2"/>
        <v>0</v>
      </c>
      <c r="J872" s="4"/>
      <c r="K872" s="4"/>
      <c r="L872" s="4"/>
      <c r="M872" s="4"/>
    </row>
    <row r="873" ht="13.5" customHeight="1">
      <c r="A873" s="4" t="str">
        <f t="shared" si="1"/>
        <v>LFW-CONFEROFY</v>
      </c>
      <c r="B873" s="29" t="s">
        <v>1302</v>
      </c>
      <c r="C873" s="28" t="s">
        <v>1303</v>
      </c>
      <c r="D873" s="28" t="s">
        <v>22</v>
      </c>
      <c r="E873" s="4" t="s">
        <v>111</v>
      </c>
      <c r="F873" s="28" t="s">
        <v>125</v>
      </c>
      <c r="G873" s="4">
        <f>SUMIFS(X!$F$5:$F$2005,X!$D$5:$D$2005,'Current Stock'!A873)</f>
        <v>0</v>
      </c>
      <c r="H873" s="4">
        <f>SUMIFS(PENJUALAN!$E$4:$E$11000,PENJUALAN!$C$4:$C$11000,'Current Stock'!A873)</f>
        <v>0</v>
      </c>
      <c r="I873" s="16">
        <f t="shared" si="2"/>
        <v>0</v>
      </c>
      <c r="J873" s="4"/>
      <c r="K873" s="4"/>
      <c r="L873" s="4"/>
      <c r="M873" s="4"/>
    </row>
    <row r="874" ht="13.5" customHeight="1">
      <c r="A874" s="4" t="str">
        <f t="shared" si="1"/>
        <v>LFW-LOUHANFY</v>
      </c>
      <c r="B874" s="29" t="s">
        <v>1304</v>
      </c>
      <c r="C874" s="30" t="s">
        <v>1305</v>
      </c>
      <c r="D874" s="30" t="s">
        <v>22</v>
      </c>
      <c r="E874" s="4" t="s">
        <v>111</v>
      </c>
      <c r="F874" s="28"/>
      <c r="G874" s="4">
        <f>SUMIFS(X!$F$5:$F$2005,X!$D$5:$D$2005,'Current Stock'!A874)</f>
        <v>0</v>
      </c>
      <c r="H874" s="4">
        <f>SUMIFS(PENJUALAN!$E$4:$E$11000,PENJUALAN!$C$4:$C$11000,'Current Stock'!A874)</f>
        <v>0</v>
      </c>
      <c r="I874" s="16">
        <f t="shared" si="2"/>
        <v>0</v>
      </c>
      <c r="J874" s="4"/>
      <c r="K874" s="4"/>
      <c r="L874" s="4"/>
      <c r="M874" s="4"/>
    </row>
    <row r="875" ht="13.5" customHeight="1">
      <c r="A875" s="4" t="str">
        <f t="shared" si="1"/>
        <v>LFW-ELFNKRFY</v>
      </c>
      <c r="B875" s="29" t="s">
        <v>1306</v>
      </c>
      <c r="C875" s="30" t="s">
        <v>1307</v>
      </c>
      <c r="D875" s="28" t="s">
        <v>22</v>
      </c>
      <c r="E875" s="4" t="s">
        <v>111</v>
      </c>
      <c r="F875" s="28"/>
      <c r="G875" s="4">
        <f>SUMIFS(X!$F$5:$F$2005,X!$D$5:$D$2005,'Current Stock'!A875)</f>
        <v>0</v>
      </c>
      <c r="H875" s="4">
        <f>SUMIFS(PENJUALAN!$E$4:$E$11000,PENJUALAN!$C$4:$C$11000,'Current Stock'!A875)</f>
        <v>0</v>
      </c>
      <c r="I875" s="16">
        <f t="shared" si="2"/>
        <v>0</v>
      </c>
      <c r="J875" s="4"/>
      <c r="K875" s="4"/>
      <c r="L875" s="4"/>
      <c r="M875" s="4"/>
    </row>
    <row r="876" ht="13.5" customHeight="1">
      <c r="A876" s="4" t="str">
        <f t="shared" si="1"/>
        <v>LFW-ELFNMRFY</v>
      </c>
      <c r="B876" s="29" t="s">
        <v>1308</v>
      </c>
      <c r="C876" s="28" t="s">
        <v>1309</v>
      </c>
      <c r="D876" s="28" t="s">
        <v>22</v>
      </c>
      <c r="E876" s="4" t="s">
        <v>111</v>
      </c>
      <c r="F876" s="28"/>
      <c r="G876" s="4">
        <f>SUMIFS(X!$F$5:$F$2005,X!$D$5:$D$2005,'Current Stock'!A876)</f>
        <v>0</v>
      </c>
      <c r="H876" s="4">
        <f>SUMIFS(PENJUALAN!$E$4:$E$11000,PENJUALAN!$C$4:$C$11000,'Current Stock'!A876)</f>
        <v>0</v>
      </c>
      <c r="I876" s="16">
        <f t="shared" si="2"/>
        <v>0</v>
      </c>
      <c r="J876" s="4"/>
      <c r="K876" s="4"/>
      <c r="L876" s="4"/>
      <c r="M876" s="4"/>
    </row>
    <row r="877" ht="13.5" customHeight="1">
      <c r="A877" s="4" t="str">
        <f t="shared" si="1"/>
        <v>LFW-FE700FY</v>
      </c>
      <c r="B877" s="29" t="s">
        <v>1310</v>
      </c>
      <c r="C877" s="30" t="s">
        <v>1311</v>
      </c>
      <c r="D877" s="28" t="s">
        <v>22</v>
      </c>
      <c r="E877" s="4" t="s">
        <v>111</v>
      </c>
      <c r="F877" s="28"/>
      <c r="G877" s="4">
        <f>SUMIFS(X!$F$5:$F$2005,X!$D$5:$D$2005,'Current Stock'!A877)</f>
        <v>0</v>
      </c>
      <c r="H877" s="4">
        <f>SUMIFS(PENJUALAN!$E$4:$E$11000,PENJUALAN!$C$4:$C$11000,'Current Stock'!A877)</f>
        <v>0</v>
      </c>
      <c r="I877" s="16">
        <f t="shared" si="2"/>
        <v>0</v>
      </c>
      <c r="J877" s="4"/>
      <c r="K877" s="4"/>
      <c r="L877" s="4"/>
      <c r="M877" s="4"/>
    </row>
    <row r="878" ht="13.5" customHeight="1">
      <c r="A878" s="4" t="str">
        <f t="shared" si="1"/>
        <v>LFW-FE800FY</v>
      </c>
      <c r="B878" s="29" t="s">
        <v>1312</v>
      </c>
      <c r="C878" s="30" t="s">
        <v>1313</v>
      </c>
      <c r="D878" s="28" t="s">
        <v>22</v>
      </c>
      <c r="E878" s="4" t="s">
        <v>111</v>
      </c>
      <c r="F878" s="28"/>
      <c r="G878" s="4">
        <f>SUMIFS(X!$F$5:$F$2005,X!$D$5:$D$2005,'Current Stock'!A878)</f>
        <v>0</v>
      </c>
      <c r="H878" s="4">
        <f>SUMIFS(PENJUALAN!$E$4:$E$11000,PENJUALAN!$C$4:$C$11000,'Current Stock'!A878)</f>
        <v>0</v>
      </c>
      <c r="I878" s="16">
        <f t="shared" si="2"/>
        <v>0</v>
      </c>
      <c r="J878" s="4"/>
      <c r="K878" s="4"/>
      <c r="L878" s="4"/>
      <c r="M878" s="4"/>
    </row>
    <row r="879" ht="13.5" customHeight="1">
      <c r="A879" s="4" t="str">
        <f t="shared" si="1"/>
        <v>LFW-FK40FY</v>
      </c>
      <c r="B879" s="29" t="s">
        <v>1314</v>
      </c>
      <c r="C879" s="30" t="s">
        <v>1315</v>
      </c>
      <c r="D879" s="28" t="s">
        <v>22</v>
      </c>
      <c r="E879" s="4" t="s">
        <v>111</v>
      </c>
      <c r="F879" s="28"/>
      <c r="G879" s="4">
        <f>SUMIFS(X!$F$5:$F$2005,X!$D$5:$D$2005,'Current Stock'!A879)</f>
        <v>0</v>
      </c>
      <c r="H879" s="4">
        <f>SUMIFS(PENJUALAN!$E$4:$E$11000,PENJUALAN!$C$4:$C$11000,'Current Stock'!A879)</f>
        <v>0</v>
      </c>
      <c r="I879" s="16">
        <f t="shared" si="2"/>
        <v>0</v>
      </c>
      <c r="J879" s="4"/>
      <c r="K879" s="4"/>
      <c r="L879" s="4"/>
      <c r="M879" s="4"/>
    </row>
    <row r="880" ht="13.5" customHeight="1">
      <c r="A880" s="4" t="str">
        <f t="shared" si="1"/>
        <v>LFW-FV100FY</v>
      </c>
      <c r="B880" s="29" t="s">
        <v>1316</v>
      </c>
      <c r="C880" s="28" t="s">
        <v>1317</v>
      </c>
      <c r="D880" s="28" t="s">
        <v>22</v>
      </c>
      <c r="E880" s="4" t="s">
        <v>111</v>
      </c>
      <c r="F880" s="28"/>
      <c r="G880" s="4">
        <f>SUMIFS(X!$F$5:$F$2005,X!$D$5:$D$2005,'Current Stock'!A880)</f>
        <v>0</v>
      </c>
      <c r="H880" s="4">
        <f>SUMIFS(PENJUALAN!$E$4:$E$11000,PENJUALAN!$C$4:$C$11000,'Current Stock'!A880)</f>
        <v>0</v>
      </c>
      <c r="I880" s="16">
        <f t="shared" si="2"/>
        <v>0</v>
      </c>
      <c r="J880" s="4"/>
      <c r="K880" s="4"/>
      <c r="L880" s="4"/>
      <c r="M880" s="4"/>
    </row>
    <row r="881" ht="13.5" customHeight="1">
      <c r="A881" s="4" t="str">
        <f t="shared" si="1"/>
        <v>LFW-L300FY</v>
      </c>
      <c r="B881" s="29" t="s">
        <v>1318</v>
      </c>
      <c r="C881" s="30" t="s">
        <v>1319</v>
      </c>
      <c r="D881" s="28" t="s">
        <v>22</v>
      </c>
      <c r="E881" s="4" t="s">
        <v>111</v>
      </c>
      <c r="F881" s="28"/>
      <c r="G881" s="4">
        <f>SUMIFS(X!$F$5:$F$2005,X!$D$5:$D$2005,'Current Stock'!A881)</f>
        <v>0</v>
      </c>
      <c r="H881" s="4">
        <f>SUMIFS(PENJUALAN!$E$4:$E$11000,PENJUALAN!$C$4:$C$11000,'Current Stock'!A881)</f>
        <v>0</v>
      </c>
      <c r="I881" s="16">
        <f t="shared" si="2"/>
        <v>0</v>
      </c>
      <c r="J881" s="4"/>
      <c r="K881" s="4"/>
      <c r="L881" s="4"/>
      <c r="M881" s="4"/>
    </row>
    <row r="882" ht="13.5" customHeight="1">
      <c r="A882" s="4" t="str">
        <f t="shared" si="1"/>
        <v>LFW-A396XYG</v>
      </c>
      <c r="B882" s="29" t="s">
        <v>1320</v>
      </c>
      <c r="C882" s="30" t="s">
        <v>1321</v>
      </c>
      <c r="D882" s="30" t="s">
        <v>22</v>
      </c>
      <c r="E882" s="4" t="s">
        <v>16</v>
      </c>
      <c r="F882" s="34" t="s">
        <v>125</v>
      </c>
      <c r="G882" s="4">
        <f>SUMIFS(X!$F$5:$F$2005,X!$D$5:$D$2005,'Current Stock'!A882)</f>
        <v>0</v>
      </c>
      <c r="H882" s="4">
        <f>SUMIFS(PENJUALAN!$E$4:$E$11000,PENJUALAN!$C$4:$C$11000,'Current Stock'!A882)</f>
        <v>0</v>
      </c>
      <c r="I882" s="16">
        <f t="shared" si="2"/>
        <v>0</v>
      </c>
      <c r="J882" s="4"/>
      <c r="K882" s="4"/>
      <c r="L882" s="4"/>
      <c r="M882" s="4"/>
    </row>
    <row r="883" ht="13.5" customHeight="1">
      <c r="A883" s="4" t="str">
        <f t="shared" si="1"/>
        <v>LFW-AUDIA304XYG</v>
      </c>
      <c r="B883" s="29" t="s">
        <v>1322</v>
      </c>
      <c r="C883" s="28" t="s">
        <v>1323</v>
      </c>
      <c r="D883" s="28" t="s">
        <v>22</v>
      </c>
      <c r="E883" s="4" t="s">
        <v>16</v>
      </c>
      <c r="F883" s="28" t="s">
        <v>737</v>
      </c>
      <c r="G883" s="4">
        <f>SUMIFS(X!$F$5:$F$2005,X!$D$5:$D$2005,'Current Stock'!A883)</f>
        <v>0</v>
      </c>
      <c r="H883" s="4">
        <f>SUMIFS(PENJUALAN!$E$4:$E$11000,PENJUALAN!$C$4:$C$11000,'Current Stock'!A883)</f>
        <v>0</v>
      </c>
      <c r="I883" s="16">
        <f t="shared" si="2"/>
        <v>0</v>
      </c>
      <c r="J883" s="4"/>
      <c r="K883" s="4"/>
      <c r="L883" s="4"/>
      <c r="M883" s="4"/>
    </row>
    <row r="884" ht="13.5" customHeight="1">
      <c r="A884" s="4" t="str">
        <f t="shared" si="1"/>
        <v>LFW-AUDIB6XYG</v>
      </c>
      <c r="B884" s="29" t="s">
        <v>1324</v>
      </c>
      <c r="C884" s="28" t="s">
        <v>1325</v>
      </c>
      <c r="D884" s="28" t="s">
        <v>22</v>
      </c>
      <c r="E884" s="4" t="s">
        <v>16</v>
      </c>
      <c r="F884" s="28" t="s">
        <v>125</v>
      </c>
      <c r="G884" s="4">
        <f>SUMIFS(X!$F$5:$F$2005,X!$D$5:$D$2005,'Current Stock'!A884)</f>
        <v>0</v>
      </c>
      <c r="H884" s="4">
        <f>SUMIFS(PENJUALAN!$E$4:$E$11000,PENJUALAN!$C$4:$C$11000,'Current Stock'!A884)</f>
        <v>0</v>
      </c>
      <c r="I884" s="16">
        <f t="shared" si="2"/>
        <v>0</v>
      </c>
      <c r="J884" s="4"/>
      <c r="K884" s="4"/>
      <c r="L884" s="4"/>
      <c r="M884" s="4"/>
    </row>
    <row r="885" ht="13.5" customHeight="1">
      <c r="A885" s="4" t="str">
        <f t="shared" si="1"/>
        <v>LFW-AUDIB7XYG</v>
      </c>
      <c r="B885" s="29" t="s">
        <v>1326</v>
      </c>
      <c r="C885" s="28" t="s">
        <v>1327</v>
      </c>
      <c r="D885" s="28" t="s">
        <v>22</v>
      </c>
      <c r="E885" s="4" t="s">
        <v>16</v>
      </c>
      <c r="F885" s="28" t="s">
        <v>23</v>
      </c>
      <c r="G885" s="4">
        <f>SUMIFS(X!$F$5:$F$2005,X!$D$5:$D$2005,'Current Stock'!A885)</f>
        <v>0</v>
      </c>
      <c r="H885" s="4">
        <f>SUMIFS(PENJUALAN!$E$4:$E$11000,PENJUALAN!$C$4:$C$11000,'Current Stock'!A885)</f>
        <v>0</v>
      </c>
      <c r="I885" s="16">
        <f t="shared" si="2"/>
        <v>0</v>
      </c>
      <c r="J885" s="4"/>
      <c r="K885" s="4"/>
      <c r="L885" s="4"/>
      <c r="M885" s="4"/>
    </row>
    <row r="886" ht="13.5" customHeight="1">
      <c r="A886" s="4" t="str">
        <f t="shared" si="1"/>
        <v>LFW-AUDIB8XYG</v>
      </c>
      <c r="B886" s="29" t="s">
        <v>109</v>
      </c>
      <c r="C886" s="28" t="s">
        <v>110</v>
      </c>
      <c r="D886" s="28" t="s">
        <v>22</v>
      </c>
      <c r="E886" s="4" t="s">
        <v>16</v>
      </c>
      <c r="F886" s="28" t="s">
        <v>112</v>
      </c>
      <c r="G886" s="4">
        <f>SUMIFS(X!$F$5:$F$2005,X!$D$5:$D$2005,'Current Stock'!A886)</f>
        <v>0</v>
      </c>
      <c r="H886" s="4">
        <f>SUMIFS(PENJUALAN!$E$4:$E$11000,PENJUALAN!$C$4:$C$11000,'Current Stock'!A886)</f>
        <v>0</v>
      </c>
      <c r="I886" s="16">
        <f t="shared" si="2"/>
        <v>0</v>
      </c>
      <c r="J886" s="4"/>
      <c r="K886" s="4"/>
      <c r="L886" s="4"/>
      <c r="M886" s="4"/>
    </row>
    <row r="887" ht="13.5" customHeight="1">
      <c r="A887" s="4" t="str">
        <f t="shared" si="1"/>
        <v>LFW-AUDIC6XYG</v>
      </c>
      <c r="B887" s="29" t="s">
        <v>1328</v>
      </c>
      <c r="C887" s="28" t="s">
        <v>1329</v>
      </c>
      <c r="D887" s="28" t="s">
        <v>22</v>
      </c>
      <c r="E887" s="4" t="s">
        <v>16</v>
      </c>
      <c r="F887" s="28" t="s">
        <v>189</v>
      </c>
      <c r="G887" s="4">
        <f>SUMIFS(X!$F$5:$F$2005,X!$D$5:$D$2005,'Current Stock'!A887)</f>
        <v>0</v>
      </c>
      <c r="H887" s="4">
        <f>SUMIFS(PENJUALAN!$E$4:$E$11000,PENJUALAN!$C$4:$C$11000,'Current Stock'!A887)</f>
        <v>0</v>
      </c>
      <c r="I887" s="16">
        <f t="shared" si="2"/>
        <v>0</v>
      </c>
      <c r="J887" s="4"/>
      <c r="K887" s="4"/>
      <c r="L887" s="4"/>
      <c r="M887" s="4"/>
    </row>
    <row r="888" ht="13.5" customHeight="1">
      <c r="A888" s="4" t="str">
        <f t="shared" si="1"/>
        <v>LFW-AUDIC7XYG</v>
      </c>
      <c r="B888" s="29" t="s">
        <v>115</v>
      </c>
      <c r="C888" s="28" t="s">
        <v>116</v>
      </c>
      <c r="D888" s="28" t="s">
        <v>22</v>
      </c>
      <c r="E888" s="4" t="s">
        <v>16</v>
      </c>
      <c r="F888" s="28" t="s">
        <v>112</v>
      </c>
      <c r="G888" s="4">
        <f>SUMIFS(X!$F$5:$F$2005,X!$D$5:$D$2005,'Current Stock'!A888)</f>
        <v>0</v>
      </c>
      <c r="H888" s="4">
        <f>SUMIFS(PENJUALAN!$E$4:$E$11000,PENJUALAN!$C$4:$C$11000,'Current Stock'!A888)</f>
        <v>0</v>
      </c>
      <c r="I888" s="16">
        <f t="shared" si="2"/>
        <v>0</v>
      </c>
      <c r="J888" s="4"/>
      <c r="K888" s="4"/>
      <c r="L888" s="4"/>
      <c r="M888" s="4"/>
    </row>
    <row r="889" ht="13.5" customHeight="1">
      <c r="A889" s="4" t="str">
        <f t="shared" si="1"/>
        <v>LFW-HRV22PIL</v>
      </c>
      <c r="B889" s="22" t="s">
        <v>1330</v>
      </c>
      <c r="C889" s="22" t="s">
        <v>1331</v>
      </c>
      <c r="D889" s="22" t="s">
        <v>22</v>
      </c>
      <c r="E889" s="22" t="s">
        <v>74</v>
      </c>
      <c r="F889" s="35" t="s">
        <v>1332</v>
      </c>
      <c r="G889" s="4">
        <f>SUMIFS(X!$F$5:$F$2005,X!$D$5:$D$2005,'Current Stock'!A889)</f>
        <v>5</v>
      </c>
      <c r="H889" s="4">
        <f>SUMIFS(PENJUALAN!$E$4:$E$11000,PENJUALAN!$C$4:$C$11000,'Current Stock'!A889)</f>
        <v>4</v>
      </c>
      <c r="I889" s="16">
        <f t="shared" si="2"/>
        <v>1</v>
      </c>
      <c r="J889" s="22" t="s">
        <v>1333</v>
      </c>
      <c r="K889" s="22"/>
      <c r="L889" s="25"/>
      <c r="M889" s="25"/>
    </row>
    <row r="890" ht="13.5" customHeight="1">
      <c r="A890" s="4" t="str">
        <f t="shared" si="1"/>
        <v>TRW-HRV22PIL</v>
      </c>
      <c r="B890" s="31" t="s">
        <v>1334</v>
      </c>
      <c r="C890" s="22" t="s">
        <v>1331</v>
      </c>
      <c r="D890" s="33" t="s">
        <v>41</v>
      </c>
      <c r="E890" s="22" t="s">
        <v>74</v>
      </c>
      <c r="F890" s="33" t="s">
        <v>108</v>
      </c>
      <c r="G890" s="4">
        <f>SUMIFS(X!$F$5:$F$2005,X!$D$5:$D$2005,'Current Stock'!A890)</f>
        <v>1</v>
      </c>
      <c r="H890" s="4">
        <f>SUMIFS(PENJUALAN!$E$4:$E$11000,PENJUALAN!$C$4:$C$11000,'Current Stock'!A890)</f>
        <v>1</v>
      </c>
      <c r="I890" s="16">
        <f t="shared" si="2"/>
        <v>0</v>
      </c>
      <c r="J890" s="4"/>
      <c r="K890" s="4"/>
      <c r="L890" s="4"/>
      <c r="M890" s="4"/>
    </row>
    <row r="891" ht="13.5" customHeight="1">
      <c r="A891" s="4" t="str">
        <f t="shared" si="1"/>
        <v>TRW-AUDIQ508XYG</v>
      </c>
      <c r="B891" s="29" t="s">
        <v>1335</v>
      </c>
      <c r="C891" s="28" t="s">
        <v>1336</v>
      </c>
      <c r="D891" s="28" t="s">
        <v>41</v>
      </c>
      <c r="E891" s="4" t="s">
        <v>16</v>
      </c>
      <c r="F891" s="28" t="s">
        <v>67</v>
      </c>
      <c r="G891" s="4">
        <f>SUMIFS(X!$F$5:$F$2005,X!$D$5:$D$2005,'Current Stock'!A891)</f>
        <v>0</v>
      </c>
      <c r="H891" s="4">
        <f>SUMIFS(PENJUALAN!$E$4:$E$11000,PENJUALAN!$C$4:$C$11000,'Current Stock'!A891)</f>
        <v>0</v>
      </c>
      <c r="I891" s="16">
        <f t="shared" si="2"/>
        <v>0</v>
      </c>
      <c r="J891" s="4"/>
      <c r="K891" s="4"/>
      <c r="L891" s="4"/>
      <c r="M891" s="4"/>
    </row>
    <row r="892" ht="13.5" customHeight="1">
      <c r="A892" s="4" t="str">
        <f t="shared" si="1"/>
        <v>LFW-AUDIQ706XYG</v>
      </c>
      <c r="B892" s="29" t="s">
        <v>1337</v>
      </c>
      <c r="C892" s="28" t="s">
        <v>1338</v>
      </c>
      <c r="D892" s="28" t="s">
        <v>22</v>
      </c>
      <c r="E892" s="4" t="s">
        <v>16</v>
      </c>
      <c r="F892" s="28" t="s">
        <v>112</v>
      </c>
      <c r="G892" s="4">
        <f>SUMIFS(X!$F$5:$F$2005,X!$D$5:$D$2005,'Current Stock'!A892)</f>
        <v>0</v>
      </c>
      <c r="H892" s="4">
        <f>SUMIFS(PENJUALAN!$E$4:$E$11000,PENJUALAN!$C$4:$C$11000,'Current Stock'!A892)</f>
        <v>0</v>
      </c>
      <c r="I892" s="16">
        <f t="shared" si="2"/>
        <v>0</v>
      </c>
      <c r="J892" s="4"/>
      <c r="K892" s="4"/>
      <c r="L892" s="4"/>
      <c r="M892" s="4"/>
    </row>
    <row r="893" ht="13.5" customHeight="1">
      <c r="A893" s="4" t="str">
        <f t="shared" si="1"/>
        <v>LFW-AUDIQ716XYG</v>
      </c>
      <c r="B893" s="29" t="s">
        <v>1339</v>
      </c>
      <c r="C893" s="30" t="s">
        <v>1340</v>
      </c>
      <c r="D893" s="30" t="s">
        <v>22</v>
      </c>
      <c r="E893" s="4" t="s">
        <v>16</v>
      </c>
      <c r="F893" s="30" t="s">
        <v>112</v>
      </c>
      <c r="G893" s="4">
        <f>SUMIFS(X!$F$5:$F$2005,X!$D$5:$D$2005,'Current Stock'!A893)</f>
        <v>0</v>
      </c>
      <c r="H893" s="4">
        <f>SUMIFS(PENJUALAN!$E$4:$E$11000,PENJUALAN!$C$4:$C$11000,'Current Stock'!A893)</f>
        <v>0</v>
      </c>
      <c r="I893" s="16">
        <f t="shared" si="2"/>
        <v>0</v>
      </c>
      <c r="J893" s="4"/>
      <c r="K893" s="4"/>
      <c r="L893" s="4"/>
      <c r="M893" s="4"/>
    </row>
    <row r="894" ht="13.5" customHeight="1">
      <c r="A894" s="4" t="str">
        <f t="shared" si="1"/>
        <v>LFW-E30XYG</v>
      </c>
      <c r="B894" s="29" t="s">
        <v>119</v>
      </c>
      <c r="C894" s="28" t="s">
        <v>120</v>
      </c>
      <c r="D894" s="28" t="s">
        <v>22</v>
      </c>
      <c r="E894" s="4" t="s">
        <v>16</v>
      </c>
      <c r="F894" s="28"/>
      <c r="G894" s="4">
        <f>SUMIFS(X!$F$5:$F$2005,X!$D$5:$D$2005,'Current Stock'!A894)</f>
        <v>0</v>
      </c>
      <c r="H894" s="4">
        <f>SUMIFS(PENJUALAN!$E$4:$E$11000,PENJUALAN!$C$4:$C$11000,'Current Stock'!A894)</f>
        <v>0</v>
      </c>
      <c r="I894" s="16">
        <f t="shared" si="2"/>
        <v>0</v>
      </c>
      <c r="J894" s="4"/>
      <c r="K894" s="4"/>
      <c r="L894" s="4"/>
      <c r="M894" s="4"/>
    </row>
    <row r="895" ht="13.5" customHeight="1">
      <c r="A895" s="4" t="str">
        <f t="shared" si="1"/>
        <v>LFW-E36XYG</v>
      </c>
      <c r="B895" s="29" t="s">
        <v>123</v>
      </c>
      <c r="C895" s="28" t="s">
        <v>124</v>
      </c>
      <c r="D895" s="28" t="s">
        <v>22</v>
      </c>
      <c r="E895" s="4" t="s">
        <v>16</v>
      </c>
      <c r="F895" s="28" t="s">
        <v>125</v>
      </c>
      <c r="G895" s="4">
        <f>SUMIFS(X!$F$5:$F$2005,X!$D$5:$D$2005,'Current Stock'!A895)</f>
        <v>6</v>
      </c>
      <c r="H895" s="4">
        <f>SUMIFS(PENJUALAN!$E$4:$E$11000,PENJUALAN!$C$4:$C$11000,'Current Stock'!A895)</f>
        <v>1</v>
      </c>
      <c r="I895" s="16">
        <f t="shared" si="2"/>
        <v>5</v>
      </c>
      <c r="J895" s="15" t="s">
        <v>1341</v>
      </c>
      <c r="K895" s="4"/>
      <c r="L895" s="4"/>
      <c r="M895" s="4"/>
    </row>
    <row r="896" ht="13.5" customHeight="1">
      <c r="A896" s="4" t="str">
        <f t="shared" si="1"/>
        <v>TRW-E36XYG</v>
      </c>
      <c r="B896" s="29" t="s">
        <v>126</v>
      </c>
      <c r="C896" s="28" t="s">
        <v>124</v>
      </c>
      <c r="D896" s="28" t="s">
        <v>41</v>
      </c>
      <c r="E896" s="4" t="s">
        <v>16</v>
      </c>
      <c r="F896" s="28" t="s">
        <v>67</v>
      </c>
      <c r="G896" s="4">
        <f>SUMIFS(X!$F$5:$F$2005,X!$D$5:$D$2005,'Current Stock'!A896)</f>
        <v>0</v>
      </c>
      <c r="H896" s="4">
        <f>SUMIFS(PENJUALAN!$E$4:$E$11000,PENJUALAN!$C$4:$C$11000,'Current Stock'!A896)</f>
        <v>0</v>
      </c>
      <c r="I896" s="16">
        <f t="shared" si="2"/>
        <v>0</v>
      </c>
      <c r="J896" s="4"/>
      <c r="K896" s="4"/>
      <c r="L896" s="4"/>
      <c r="M896" s="4"/>
    </row>
    <row r="897" ht="13.5" customHeight="1">
      <c r="A897" s="4" t="str">
        <f t="shared" si="1"/>
        <v>FDL-E36XYG</v>
      </c>
      <c r="B897" s="29" t="s">
        <v>127</v>
      </c>
      <c r="C897" s="28" t="s">
        <v>124</v>
      </c>
      <c r="D897" s="28" t="s">
        <v>128</v>
      </c>
      <c r="E897" s="4" t="s">
        <v>16</v>
      </c>
      <c r="F897" s="28"/>
      <c r="G897" s="4">
        <f>SUMIFS(X!$F$5:$F$2005,X!$D$5:$D$2005,'Current Stock'!A897)</f>
        <v>1</v>
      </c>
      <c r="H897" s="4">
        <f>SUMIFS(PENJUALAN!$E$4:$E$11000,PENJUALAN!$C$4:$C$11000,'Current Stock'!A897)</f>
        <v>1</v>
      </c>
      <c r="I897" s="16">
        <f t="shared" si="2"/>
        <v>0</v>
      </c>
      <c r="J897" s="4"/>
      <c r="K897" s="4"/>
      <c r="L897" s="4"/>
      <c r="M897" s="4"/>
    </row>
    <row r="898" ht="13.5" customHeight="1">
      <c r="A898" s="4" t="str">
        <f t="shared" si="1"/>
        <v>FDR-E36XYG</v>
      </c>
      <c r="B898" s="29" t="s">
        <v>129</v>
      </c>
      <c r="C898" s="28" t="s">
        <v>124</v>
      </c>
      <c r="D898" s="28" t="s">
        <v>130</v>
      </c>
      <c r="E898" s="4" t="s">
        <v>16</v>
      </c>
      <c r="F898" s="28"/>
      <c r="G898" s="4">
        <f>SUMIFS(X!$F$5:$F$2005,X!$D$5:$D$2005,'Current Stock'!A898)</f>
        <v>0</v>
      </c>
      <c r="H898" s="4">
        <f>SUMIFS(PENJUALAN!$E$4:$E$11000,PENJUALAN!$C$4:$C$11000,'Current Stock'!A898)</f>
        <v>0</v>
      </c>
      <c r="I898" s="16">
        <f t="shared" si="2"/>
        <v>0</v>
      </c>
      <c r="J898" s="4"/>
      <c r="K898" s="4"/>
      <c r="L898" s="4"/>
      <c r="M898" s="4"/>
    </row>
    <row r="899" ht="13.5" customHeight="1">
      <c r="A899" s="4" t="str">
        <f t="shared" si="1"/>
        <v>LFW-E46XYG</v>
      </c>
      <c r="B899" s="29" t="s">
        <v>137</v>
      </c>
      <c r="C899" s="28" t="s">
        <v>136</v>
      </c>
      <c r="D899" s="28" t="s">
        <v>22</v>
      </c>
      <c r="E899" s="4" t="s">
        <v>16</v>
      </c>
      <c r="F899" s="28" t="s">
        <v>125</v>
      </c>
      <c r="G899" s="4">
        <f>SUMIFS(X!$F$5:$F$2005,X!$D$5:$D$2005,'Current Stock'!A899)</f>
        <v>0</v>
      </c>
      <c r="H899" s="4">
        <f>SUMIFS(PENJUALAN!$E$4:$E$11000,PENJUALAN!$C$4:$C$11000,'Current Stock'!A899)</f>
        <v>0</v>
      </c>
      <c r="I899" s="16">
        <f t="shared" si="2"/>
        <v>0</v>
      </c>
      <c r="J899" s="4"/>
      <c r="K899" s="4"/>
      <c r="L899" s="4"/>
      <c r="M899" s="4"/>
    </row>
    <row r="900" ht="13.5" customHeight="1">
      <c r="A900" s="4" t="str">
        <f t="shared" si="1"/>
        <v>LFW-E46RS2DOORXYG</v>
      </c>
      <c r="B900" s="29" t="s">
        <v>146</v>
      </c>
      <c r="C900" s="28" t="s">
        <v>147</v>
      </c>
      <c r="D900" s="28" t="s">
        <v>22</v>
      </c>
      <c r="E900" s="4" t="s">
        <v>16</v>
      </c>
      <c r="F900" s="28" t="s">
        <v>125</v>
      </c>
      <c r="G900" s="4">
        <f>SUMIFS(X!$F$5:$F$2005,X!$D$5:$D$2005,'Current Stock'!A900)</f>
        <v>0</v>
      </c>
      <c r="H900" s="4">
        <f>SUMIFS(PENJUALAN!$E$4:$E$11000,PENJUALAN!$C$4:$C$11000,'Current Stock'!A900)</f>
        <v>0</v>
      </c>
      <c r="I900" s="16">
        <f t="shared" si="2"/>
        <v>0</v>
      </c>
      <c r="J900" s="4"/>
      <c r="K900" s="4"/>
      <c r="L900" s="4"/>
      <c r="M900" s="4"/>
    </row>
    <row r="901" ht="13.5" customHeight="1">
      <c r="A901" s="4" t="str">
        <f t="shared" si="1"/>
        <v>LFW-E90RSXYG</v>
      </c>
      <c r="B901" s="29" t="s">
        <v>148</v>
      </c>
      <c r="C901" s="28" t="s">
        <v>149</v>
      </c>
      <c r="D901" s="28" t="s">
        <v>22</v>
      </c>
      <c r="E901" s="4" t="s">
        <v>16</v>
      </c>
      <c r="F901" s="28" t="s">
        <v>75</v>
      </c>
      <c r="G901" s="4">
        <f>SUMIFS(X!$F$5:$F$2005,X!$D$5:$D$2005,'Current Stock'!A901)</f>
        <v>0</v>
      </c>
      <c r="H901" s="4">
        <f>SUMIFS(PENJUALAN!$E$4:$E$11000,PENJUALAN!$C$4:$C$11000,'Current Stock'!A901)</f>
        <v>0</v>
      </c>
      <c r="I901" s="16">
        <f t="shared" si="2"/>
        <v>0</v>
      </c>
      <c r="J901" s="4"/>
      <c r="K901" s="4"/>
      <c r="L901" s="4"/>
      <c r="M901" s="4"/>
    </row>
    <row r="902" ht="13.5" customHeight="1">
      <c r="A902" s="4" t="str">
        <f t="shared" si="1"/>
        <v>LFW-E90XYG</v>
      </c>
      <c r="B902" s="29" t="s">
        <v>150</v>
      </c>
      <c r="C902" s="28" t="s">
        <v>149</v>
      </c>
      <c r="D902" s="28" t="s">
        <v>22</v>
      </c>
      <c r="E902" s="4" t="s">
        <v>16</v>
      </c>
      <c r="F902" s="28" t="s">
        <v>125</v>
      </c>
      <c r="G902" s="4">
        <f>SUMIFS(X!$F$5:$F$2005,X!$D$5:$D$2005,'Current Stock'!A902)</f>
        <v>0</v>
      </c>
      <c r="H902" s="4">
        <f>SUMIFS(PENJUALAN!$E$4:$E$11000,PENJUALAN!$C$4:$C$11000,'Current Stock'!A902)</f>
        <v>0</v>
      </c>
      <c r="I902" s="16">
        <f t="shared" si="2"/>
        <v>0</v>
      </c>
      <c r="J902" s="4"/>
      <c r="K902" s="4"/>
      <c r="L902" s="4"/>
      <c r="M902" s="4"/>
    </row>
    <row r="903" ht="13.5" customHeight="1">
      <c r="A903" s="4" t="str">
        <f t="shared" si="1"/>
        <v>TRW-E90AXYG</v>
      </c>
      <c r="B903" s="29" t="s">
        <v>1342</v>
      </c>
      <c r="C903" s="28" t="s">
        <v>1343</v>
      </c>
      <c r="D903" s="28" t="s">
        <v>41</v>
      </c>
      <c r="E903" s="4" t="s">
        <v>16</v>
      </c>
      <c r="F903" s="28" t="s">
        <v>125</v>
      </c>
      <c r="G903" s="4">
        <f>SUMIFS(X!$F$5:$F$2005,X!$D$5:$D$2005,'Current Stock'!A903)</f>
        <v>0</v>
      </c>
      <c r="H903" s="4">
        <f>SUMIFS(PENJUALAN!$E$4:$E$11000,PENJUALAN!$C$4:$C$11000,'Current Stock'!A903)</f>
        <v>0</v>
      </c>
      <c r="I903" s="16">
        <f t="shared" si="2"/>
        <v>0</v>
      </c>
      <c r="J903" s="4"/>
      <c r="K903" s="4"/>
      <c r="L903" s="4"/>
      <c r="M903" s="4"/>
    </row>
    <row r="904" ht="13.5" customHeight="1">
      <c r="A904" s="4" t="str">
        <f t="shared" si="1"/>
        <v>LFW-F30XYG</v>
      </c>
      <c r="B904" s="29" t="s">
        <v>156</v>
      </c>
      <c r="C904" s="28" t="s">
        <v>157</v>
      </c>
      <c r="D904" s="28" t="s">
        <v>22</v>
      </c>
      <c r="E904" s="4" t="s">
        <v>16</v>
      </c>
      <c r="F904" s="28" t="s">
        <v>112</v>
      </c>
      <c r="G904" s="4">
        <f>SUMIFS(X!$F$5:$F$2005,X!$D$5:$D$2005,'Current Stock'!A904)</f>
        <v>2</v>
      </c>
      <c r="H904" s="4">
        <f>SUMIFS(PENJUALAN!$E$4:$E$11000,PENJUALAN!$C$4:$C$11000,'Current Stock'!A904)</f>
        <v>2</v>
      </c>
      <c r="I904" s="16">
        <f t="shared" si="2"/>
        <v>0</v>
      </c>
      <c r="J904" s="15" t="s">
        <v>158</v>
      </c>
      <c r="K904" s="4"/>
      <c r="L904" s="4"/>
      <c r="M904" s="4"/>
    </row>
    <row r="905" ht="13.5" customHeight="1">
      <c r="A905" s="4" t="str">
        <f t="shared" si="1"/>
        <v>FDL-F30XYG</v>
      </c>
      <c r="B905" s="29" t="s">
        <v>162</v>
      </c>
      <c r="C905" s="28" t="s">
        <v>157</v>
      </c>
      <c r="D905" s="28" t="s">
        <v>128</v>
      </c>
      <c r="E905" s="4" t="s">
        <v>16</v>
      </c>
      <c r="F905" s="28" t="s">
        <v>141</v>
      </c>
      <c r="G905" s="4">
        <f>SUMIFS(X!$F$5:$F$2005,X!$D$5:$D$2005,'Current Stock'!A905)</f>
        <v>0</v>
      </c>
      <c r="H905" s="4">
        <f>SUMIFS(PENJUALAN!$E$4:$E$11000,PENJUALAN!$C$4:$C$11000,'Current Stock'!A905)</f>
        <v>0</v>
      </c>
      <c r="I905" s="16">
        <f t="shared" si="2"/>
        <v>0</v>
      </c>
      <c r="J905" s="4"/>
      <c r="K905" s="4"/>
      <c r="L905" s="4"/>
      <c r="M905" s="4"/>
    </row>
    <row r="906" ht="13.5" customHeight="1">
      <c r="A906" s="4" t="str">
        <f t="shared" si="1"/>
        <v>LFW-E39XYG</v>
      </c>
      <c r="B906" s="29" t="s">
        <v>1344</v>
      </c>
      <c r="C906" s="28" t="s">
        <v>1345</v>
      </c>
      <c r="D906" s="28" t="s">
        <v>22</v>
      </c>
      <c r="E906" s="4" t="s">
        <v>16</v>
      </c>
      <c r="F906" s="28" t="s">
        <v>125</v>
      </c>
      <c r="G906" s="4">
        <f>SUMIFS(X!$F$5:$F$2005,X!$D$5:$D$2005,'Current Stock'!A906)</f>
        <v>0</v>
      </c>
      <c r="H906" s="4">
        <f>SUMIFS(PENJUALAN!$E$4:$E$11000,PENJUALAN!$C$4:$C$11000,'Current Stock'!A906)</f>
        <v>0</v>
      </c>
      <c r="I906" s="16">
        <f t="shared" si="2"/>
        <v>0</v>
      </c>
      <c r="J906" s="4"/>
      <c r="K906" s="4"/>
      <c r="L906" s="4"/>
      <c r="M906" s="4"/>
    </row>
    <row r="907" ht="13.5" customHeight="1">
      <c r="A907" s="4" t="str">
        <f t="shared" si="1"/>
        <v>TRW-E60XYG</v>
      </c>
      <c r="B907" s="29" t="s">
        <v>170</v>
      </c>
      <c r="C907" s="28" t="s">
        <v>171</v>
      </c>
      <c r="D907" s="28" t="s">
        <v>41</v>
      </c>
      <c r="E907" s="4" t="s">
        <v>16</v>
      </c>
      <c r="F907" s="28" t="s">
        <v>67</v>
      </c>
      <c r="G907" s="4">
        <f>SUMIFS(X!$F$5:$F$2005,X!$D$5:$D$2005,'Current Stock'!A907)</f>
        <v>0</v>
      </c>
      <c r="H907" s="4">
        <f>SUMIFS(PENJUALAN!$E$4:$E$11000,PENJUALAN!$C$4:$C$11000,'Current Stock'!A907)</f>
        <v>0</v>
      </c>
      <c r="I907" s="16">
        <f t="shared" si="2"/>
        <v>0</v>
      </c>
      <c r="J907" s="4"/>
      <c r="K907" s="4"/>
      <c r="L907" s="4"/>
      <c r="M907" s="4"/>
    </row>
    <row r="908" ht="13.5" customHeight="1">
      <c r="A908" s="4" t="str">
        <f t="shared" si="1"/>
        <v>LFW-F10XYG</v>
      </c>
      <c r="B908" s="29" t="s">
        <v>176</v>
      </c>
      <c r="C908" s="28" t="s">
        <v>177</v>
      </c>
      <c r="D908" s="28" t="s">
        <v>22</v>
      </c>
      <c r="E908" s="4" t="s">
        <v>16</v>
      </c>
      <c r="F908" s="28" t="s">
        <v>75</v>
      </c>
      <c r="G908" s="4">
        <f>SUMIFS(X!$F$5:$F$2005,X!$D$5:$D$2005,'Current Stock'!A908)</f>
        <v>0</v>
      </c>
      <c r="H908" s="4">
        <f>SUMIFS(PENJUALAN!$E$4:$E$11000,PENJUALAN!$C$4:$C$11000,'Current Stock'!A908)</f>
        <v>0</v>
      </c>
      <c r="I908" s="16">
        <f t="shared" si="2"/>
        <v>0</v>
      </c>
      <c r="J908" s="4"/>
      <c r="K908" s="4"/>
      <c r="L908" s="4"/>
      <c r="M908" s="4"/>
    </row>
    <row r="909" ht="13.5" customHeight="1">
      <c r="A909" s="4" t="str">
        <f t="shared" si="1"/>
        <v>LFW-F10RSBWHXYG</v>
      </c>
      <c r="B909" s="29" t="s">
        <v>1346</v>
      </c>
      <c r="C909" s="30" t="s">
        <v>1347</v>
      </c>
      <c r="D909" s="30" t="s">
        <v>22</v>
      </c>
      <c r="E909" s="4" t="s">
        <v>16</v>
      </c>
      <c r="F909" s="34" t="s">
        <v>23</v>
      </c>
      <c r="G909" s="4">
        <f>SUMIFS(X!$F$5:$F$2005,X!$D$5:$D$2005,'Current Stock'!A909)</f>
        <v>0</v>
      </c>
      <c r="H909" s="4">
        <f>SUMIFS(PENJUALAN!$E$4:$E$11000,PENJUALAN!$C$4:$C$11000,'Current Stock'!A909)</f>
        <v>0</v>
      </c>
      <c r="I909" s="16">
        <f t="shared" si="2"/>
        <v>0</v>
      </c>
      <c r="J909" s="4"/>
      <c r="K909" s="4"/>
      <c r="L909" s="4"/>
      <c r="M909" s="4"/>
    </row>
    <row r="910" ht="13.5" customHeight="1">
      <c r="A910" s="4" t="str">
        <f t="shared" si="1"/>
        <v>LFW-MINIF55RS1XYG</v>
      </c>
      <c r="B910" s="29" t="s">
        <v>1348</v>
      </c>
      <c r="C910" s="28" t="s">
        <v>1349</v>
      </c>
      <c r="D910" s="28" t="s">
        <v>22</v>
      </c>
      <c r="E910" s="4" t="s">
        <v>16</v>
      </c>
      <c r="F910" s="28" t="s">
        <v>1350</v>
      </c>
      <c r="G910" s="4">
        <f>SUMIFS(X!$F$5:$F$2005,X!$D$5:$D$2005,'Current Stock'!A910)</f>
        <v>1</v>
      </c>
      <c r="H910" s="4">
        <f>SUMIFS(PENJUALAN!$E$4:$E$11000,PENJUALAN!$C$4:$C$11000,'Current Stock'!A910)</f>
        <v>1</v>
      </c>
      <c r="I910" s="16">
        <f t="shared" si="2"/>
        <v>0</v>
      </c>
      <c r="J910" s="4"/>
      <c r="K910" s="4"/>
      <c r="L910" s="4"/>
      <c r="M910" s="4"/>
    </row>
    <row r="911" ht="13.5" customHeight="1">
      <c r="A911" s="4" t="str">
        <f t="shared" si="1"/>
        <v>LFW-F02XYG</v>
      </c>
      <c r="B911" s="29" t="s">
        <v>1351</v>
      </c>
      <c r="C911" s="28" t="s">
        <v>1352</v>
      </c>
      <c r="D911" s="30" t="s">
        <v>22</v>
      </c>
      <c r="E911" s="4" t="s">
        <v>16</v>
      </c>
      <c r="F911" s="28" t="s">
        <v>23</v>
      </c>
      <c r="G911" s="4">
        <f>SUMIFS(X!$F$5:$F$2005,X!$D$5:$D$2005,'Current Stock'!A911)</f>
        <v>0</v>
      </c>
      <c r="H911" s="4">
        <f>SUMIFS(PENJUALAN!$E$4:$E$11000,PENJUALAN!$C$4:$C$11000,'Current Stock'!A911)</f>
        <v>0</v>
      </c>
      <c r="I911" s="16">
        <f t="shared" si="2"/>
        <v>0</v>
      </c>
      <c r="J911" s="4"/>
      <c r="K911" s="4"/>
      <c r="L911" s="4"/>
      <c r="M911" s="4"/>
    </row>
    <row r="912" ht="13.5" customHeight="1">
      <c r="A912" s="4" t="str">
        <f t="shared" si="1"/>
        <v>TRW-KIJANGK125PUASH</v>
      </c>
      <c r="B912" s="32" t="s">
        <v>1353</v>
      </c>
      <c r="C912" s="15" t="s">
        <v>1354</v>
      </c>
      <c r="D912" s="18" t="str">
        <f>LEFT(A912,FIND("-",A912) - 1)</f>
        <v>TRW</v>
      </c>
      <c r="E912" s="15" t="s">
        <v>82</v>
      </c>
      <c r="F912" s="18"/>
      <c r="G912" s="4">
        <f>SUMIFS(X!$F$5:$F$2005,X!$D$5:$D$2005,'Current Stock'!A912)</f>
        <v>1</v>
      </c>
      <c r="H912" s="4">
        <f>SUMIFS(PENJUALAN!$E$4:$E$11000,PENJUALAN!$C$4:$C$11000,'Current Stock'!A912)</f>
        <v>1</v>
      </c>
      <c r="I912" s="16">
        <f t="shared" si="2"/>
        <v>0</v>
      </c>
      <c r="J912" s="15" t="s">
        <v>1355</v>
      </c>
      <c r="K912" s="15"/>
      <c r="L912" s="18"/>
      <c r="M912" s="18"/>
    </row>
    <row r="913" ht="13.5" customHeight="1">
      <c r="A913" s="4" t="str">
        <f t="shared" si="1"/>
        <v>LFW-F48XYG</v>
      </c>
      <c r="B913" s="29" t="s">
        <v>187</v>
      </c>
      <c r="C913" s="28" t="s">
        <v>188</v>
      </c>
      <c r="D913" s="28" t="s">
        <v>22</v>
      </c>
      <c r="E913" s="4" t="s">
        <v>16</v>
      </c>
      <c r="F913" s="28" t="s">
        <v>189</v>
      </c>
      <c r="G913" s="4">
        <f>SUMIFS(X!$F$5:$F$2005,X!$D$5:$D$2005,'Current Stock'!A913)</f>
        <v>0</v>
      </c>
      <c r="H913" s="4">
        <f>SUMIFS(PENJUALAN!$E$4:$E$11000,PENJUALAN!$C$4:$C$11000,'Current Stock'!A913)</f>
        <v>0</v>
      </c>
      <c r="I913" s="16">
        <f t="shared" si="2"/>
        <v>0</v>
      </c>
      <c r="J913" s="4"/>
      <c r="K913" s="4"/>
      <c r="L913" s="4"/>
      <c r="M913" s="4"/>
    </row>
    <row r="914" ht="13.5" customHeight="1">
      <c r="A914" s="4" t="str">
        <f t="shared" si="1"/>
        <v>LFW-F25XYG</v>
      </c>
      <c r="B914" s="29" t="s">
        <v>1356</v>
      </c>
      <c r="C914" s="28" t="s">
        <v>1357</v>
      </c>
      <c r="D914" s="28" t="s">
        <v>22</v>
      </c>
      <c r="E914" s="4" t="s">
        <v>16</v>
      </c>
      <c r="F914" s="28" t="s">
        <v>112</v>
      </c>
      <c r="G914" s="4">
        <f>SUMIFS(X!$F$5:$F$2005,X!$D$5:$D$2005,'Current Stock'!A914)</f>
        <v>0</v>
      </c>
      <c r="H914" s="4">
        <f>SUMIFS(PENJUALAN!$E$4:$E$11000,PENJUALAN!$C$4:$C$11000,'Current Stock'!A914)</f>
        <v>0</v>
      </c>
      <c r="I914" s="16">
        <f t="shared" si="2"/>
        <v>0</v>
      </c>
      <c r="J914" s="4"/>
      <c r="K914" s="4"/>
      <c r="L914" s="4"/>
      <c r="M914" s="4"/>
    </row>
    <row r="915" ht="13.5" customHeight="1">
      <c r="A915" s="4" t="str">
        <f t="shared" si="1"/>
        <v>LFW-E53XYG</v>
      </c>
      <c r="B915" s="29" t="s">
        <v>190</v>
      </c>
      <c r="C915" s="28" t="s">
        <v>191</v>
      </c>
      <c r="D915" s="28" t="s">
        <v>22</v>
      </c>
      <c r="E915" s="4" t="s">
        <v>16</v>
      </c>
      <c r="F915" s="28" t="s">
        <v>75</v>
      </c>
      <c r="G915" s="4">
        <f>SUMIFS(X!$F$5:$F$2005,X!$D$5:$D$2005,'Current Stock'!A915)</f>
        <v>0</v>
      </c>
      <c r="H915" s="4">
        <f>SUMIFS(PENJUALAN!$E$4:$E$11000,PENJUALAN!$C$4:$C$11000,'Current Stock'!A915)</f>
        <v>0</v>
      </c>
      <c r="I915" s="16">
        <f t="shared" si="2"/>
        <v>0</v>
      </c>
      <c r="J915" s="4"/>
      <c r="K915" s="4"/>
      <c r="L915" s="4"/>
      <c r="M915" s="4"/>
    </row>
    <row r="916" ht="13.5" customHeight="1">
      <c r="A916" s="4" t="str">
        <f t="shared" si="1"/>
        <v>TRW-E53BLACKXYG</v>
      </c>
      <c r="B916" s="29" t="s">
        <v>192</v>
      </c>
      <c r="C916" s="28" t="s">
        <v>193</v>
      </c>
      <c r="D916" s="28" t="s">
        <v>41</v>
      </c>
      <c r="E916" s="4" t="s">
        <v>16</v>
      </c>
      <c r="F916" s="28" t="s">
        <v>194</v>
      </c>
      <c r="G916" s="4">
        <f>SUMIFS(X!$F$5:$F$2005,X!$D$5:$D$2005,'Current Stock'!A916)</f>
        <v>0</v>
      </c>
      <c r="H916" s="4">
        <f>SUMIFS(PENJUALAN!$E$4:$E$11000,PENJUALAN!$C$4:$C$11000,'Current Stock'!A916)</f>
        <v>0</v>
      </c>
      <c r="I916" s="16">
        <f t="shared" si="2"/>
        <v>0</v>
      </c>
      <c r="J916" s="4"/>
      <c r="K916" s="4"/>
      <c r="L916" s="4"/>
      <c r="M916" s="4"/>
    </row>
    <row r="917" ht="13.5" customHeight="1">
      <c r="A917" s="4" t="str">
        <f t="shared" si="1"/>
        <v>TRW-E70XYG</v>
      </c>
      <c r="B917" s="29" t="s">
        <v>197</v>
      </c>
      <c r="C917" s="28" t="s">
        <v>198</v>
      </c>
      <c r="D917" s="28" t="s">
        <v>41</v>
      </c>
      <c r="E917" s="4" t="s">
        <v>16</v>
      </c>
      <c r="F917" s="28" t="s">
        <v>199</v>
      </c>
      <c r="G917" s="4">
        <f>SUMIFS(X!$F$5:$F$2005,X!$D$5:$D$2005,'Current Stock'!A917)</f>
        <v>0</v>
      </c>
      <c r="H917" s="4">
        <f>SUMIFS(PENJUALAN!$E$4:$E$11000,PENJUALAN!$C$4:$C$11000,'Current Stock'!A917)</f>
        <v>0</v>
      </c>
      <c r="I917" s="16">
        <f t="shared" si="2"/>
        <v>0</v>
      </c>
      <c r="J917" s="4"/>
      <c r="K917" s="4"/>
      <c r="L917" s="4"/>
      <c r="M917" s="4"/>
    </row>
    <row r="918" ht="13.5" customHeight="1">
      <c r="A918" s="4" t="str">
        <f t="shared" si="1"/>
        <v>LFW-E89XYG</v>
      </c>
      <c r="B918" s="29" t="s">
        <v>1358</v>
      </c>
      <c r="C918" s="28" t="s">
        <v>1359</v>
      </c>
      <c r="D918" s="28" t="s">
        <v>22</v>
      </c>
      <c r="E918" s="4" t="s">
        <v>16</v>
      </c>
      <c r="F918" s="28" t="s">
        <v>75</v>
      </c>
      <c r="G918" s="4">
        <f>SUMIFS(X!$F$5:$F$2005,X!$D$5:$D$2005,'Current Stock'!A918)</f>
        <v>0</v>
      </c>
      <c r="H918" s="4">
        <f>SUMIFS(PENJUALAN!$E$4:$E$11000,PENJUALAN!$C$4:$C$11000,'Current Stock'!A918)</f>
        <v>0</v>
      </c>
      <c r="I918" s="16">
        <f t="shared" si="2"/>
        <v>0</v>
      </c>
      <c r="J918" s="4"/>
      <c r="K918" s="4"/>
      <c r="L918" s="4"/>
      <c r="M918" s="4"/>
    </row>
    <row r="919" ht="13.5" customHeight="1">
      <c r="A919" s="4" t="str">
        <f t="shared" si="1"/>
        <v>LFW-Z4XYG</v>
      </c>
      <c r="B919" s="29" t="s">
        <v>1360</v>
      </c>
      <c r="C919" s="28" t="s">
        <v>1359</v>
      </c>
      <c r="D919" s="28" t="s">
        <v>41</v>
      </c>
      <c r="E919" s="4" t="s">
        <v>16</v>
      </c>
      <c r="F919" s="28" t="s">
        <v>67</v>
      </c>
      <c r="G919" s="4">
        <f>SUMIFS(X!$F$5:$F$2005,X!$D$5:$D$2005,'Current Stock'!A919)</f>
        <v>0</v>
      </c>
      <c r="H919" s="4">
        <f>SUMIFS(PENJUALAN!$E$4:$E$11000,PENJUALAN!$C$4:$C$11000,'Current Stock'!A919)</f>
        <v>0</v>
      </c>
      <c r="I919" s="16">
        <f t="shared" si="2"/>
        <v>0</v>
      </c>
      <c r="J919" s="4"/>
      <c r="K919" s="4"/>
      <c r="L919" s="4"/>
      <c r="M919" s="4"/>
    </row>
    <row r="920" ht="13.5" customHeight="1">
      <c r="A920" s="4" t="str">
        <f t="shared" si="1"/>
        <v>LFW-QQ03XYG</v>
      </c>
      <c r="B920" s="29" t="s">
        <v>207</v>
      </c>
      <c r="C920" s="28" t="s">
        <v>208</v>
      </c>
      <c r="D920" s="28" t="s">
        <v>22</v>
      </c>
      <c r="E920" s="4" t="s">
        <v>16</v>
      </c>
      <c r="F920" s="28" t="s">
        <v>125</v>
      </c>
      <c r="G920" s="4">
        <f>SUMIFS(X!$F$5:$F$2005,X!$D$5:$D$2005,'Current Stock'!A920)</f>
        <v>0</v>
      </c>
      <c r="H920" s="4">
        <f>SUMIFS(PENJUALAN!$E$4:$E$11000,PENJUALAN!$C$4:$C$11000,'Current Stock'!A920)</f>
        <v>0</v>
      </c>
      <c r="I920" s="16">
        <f t="shared" si="2"/>
        <v>0</v>
      </c>
      <c r="J920" s="4"/>
      <c r="K920" s="4"/>
      <c r="L920" s="4"/>
      <c r="M920" s="4"/>
    </row>
    <row r="921" ht="13.5" customHeight="1">
      <c r="A921" s="4" t="str">
        <f t="shared" si="1"/>
        <v>FDL-AVEO99XYG</v>
      </c>
      <c r="B921" s="29" t="s">
        <v>212</v>
      </c>
      <c r="C921" s="28" t="s">
        <v>213</v>
      </c>
      <c r="D921" s="28" t="s">
        <v>128</v>
      </c>
      <c r="E921" s="4" t="s">
        <v>16</v>
      </c>
      <c r="F921" s="28" t="s">
        <v>141</v>
      </c>
      <c r="G921" s="4">
        <f>SUMIFS(X!$F$5:$F$2005,X!$D$5:$D$2005,'Current Stock'!A921)</f>
        <v>0</v>
      </c>
      <c r="H921" s="4">
        <f>SUMIFS(PENJUALAN!$E$4:$E$11000,PENJUALAN!$C$4:$C$11000,'Current Stock'!A921)</f>
        <v>0</v>
      </c>
      <c r="I921" s="16">
        <f t="shared" si="2"/>
        <v>0</v>
      </c>
      <c r="J921" s="4"/>
      <c r="K921" s="4"/>
      <c r="L921" s="4"/>
      <c r="M921" s="4"/>
    </row>
    <row r="922" ht="13.5" customHeight="1">
      <c r="A922" s="4" t="str">
        <f t="shared" si="1"/>
        <v>FDR-AVEO99XYG</v>
      </c>
      <c r="B922" s="29" t="s">
        <v>214</v>
      </c>
      <c r="C922" s="28" t="s">
        <v>213</v>
      </c>
      <c r="D922" s="28" t="s">
        <v>130</v>
      </c>
      <c r="E922" s="4" t="s">
        <v>16</v>
      </c>
      <c r="F922" s="28" t="s">
        <v>141</v>
      </c>
      <c r="G922" s="4">
        <f>SUMIFS(X!$F$5:$F$2005,X!$D$5:$D$2005,'Current Stock'!A922)</f>
        <v>0</v>
      </c>
      <c r="H922" s="4">
        <f>SUMIFS(PENJUALAN!$E$4:$E$11000,PENJUALAN!$C$4:$C$11000,'Current Stock'!A922)</f>
        <v>0</v>
      </c>
      <c r="I922" s="16">
        <f t="shared" si="2"/>
        <v>0</v>
      </c>
      <c r="J922" s="4"/>
      <c r="K922" s="4"/>
      <c r="L922" s="4"/>
      <c r="M922" s="4"/>
    </row>
    <row r="923" ht="13.5" customHeight="1">
      <c r="A923" s="4" t="str">
        <f t="shared" si="1"/>
        <v>TRW-AVEO99XYG</v>
      </c>
      <c r="B923" s="29" t="s">
        <v>215</v>
      </c>
      <c r="C923" s="28" t="s">
        <v>213</v>
      </c>
      <c r="D923" s="28" t="s">
        <v>41</v>
      </c>
      <c r="E923" s="4" t="s">
        <v>16</v>
      </c>
      <c r="F923" s="28" t="s">
        <v>67</v>
      </c>
      <c r="G923" s="4">
        <f>SUMIFS(X!$F$5:$F$2005,X!$D$5:$D$2005,'Current Stock'!A923)</f>
        <v>0</v>
      </c>
      <c r="H923" s="4">
        <f>SUMIFS(PENJUALAN!$E$4:$E$11000,PENJUALAN!$C$4:$C$11000,'Current Stock'!A923)</f>
        <v>0</v>
      </c>
      <c r="I923" s="16">
        <f t="shared" si="2"/>
        <v>0</v>
      </c>
      <c r="J923" s="4"/>
      <c r="K923" s="4"/>
      <c r="L923" s="4"/>
      <c r="M923" s="4"/>
    </row>
    <row r="924" ht="13.5" customHeight="1">
      <c r="A924" s="4" t="str">
        <f t="shared" si="1"/>
        <v>LFW-SPLASHMU</v>
      </c>
      <c r="B924" s="29" t="s">
        <v>1025</v>
      </c>
      <c r="C924" s="28" t="s">
        <v>1026</v>
      </c>
      <c r="D924" s="28" t="s">
        <v>22</v>
      </c>
      <c r="E924" s="4" t="s">
        <v>1361</v>
      </c>
      <c r="F924" s="28" t="s">
        <v>97</v>
      </c>
      <c r="G924" s="4">
        <f>SUMIFS(X!$F$5:$F$2005,X!$D$5:$D$2005,'Current Stock'!A924)</f>
        <v>5</v>
      </c>
      <c r="H924" s="4">
        <f>SUMIFS(PENJUALAN!$E$4:$E$11000,PENJUALAN!$C$4:$C$11000,'Current Stock'!A924)</f>
        <v>5</v>
      </c>
      <c r="I924" s="16">
        <f t="shared" si="2"/>
        <v>0</v>
      </c>
      <c r="J924" s="15" t="s">
        <v>1362</v>
      </c>
      <c r="K924" s="15"/>
      <c r="L924" s="5">
        <v>1.0</v>
      </c>
      <c r="M924" s="4"/>
    </row>
    <row r="925" ht="13.5" customHeight="1">
      <c r="A925" s="4" t="str">
        <f t="shared" si="1"/>
        <v>LFW-CRETAXYG</v>
      </c>
      <c r="B925" s="36" t="s">
        <v>1363</v>
      </c>
      <c r="C925" s="33" t="s">
        <v>1364</v>
      </c>
      <c r="D925" s="37" t="s">
        <v>22</v>
      </c>
      <c r="E925" s="4" t="s">
        <v>16</v>
      </c>
      <c r="F925" s="38" t="s">
        <v>125</v>
      </c>
      <c r="G925" s="4">
        <f>SUMIFS(X!$F$5:$F$2005,X!$D$5:$D$2005,'Current Stock'!A925)</f>
        <v>2</v>
      </c>
      <c r="H925" s="4">
        <f>SUMIFS(PENJUALAN!$E$4:$E$11000,PENJUALAN!$C$4:$C$11000,'Current Stock'!A925)</f>
        <v>1</v>
      </c>
      <c r="I925" s="16">
        <f t="shared" si="2"/>
        <v>1</v>
      </c>
      <c r="J925" s="15" t="s">
        <v>1365</v>
      </c>
      <c r="K925" s="15"/>
      <c r="L925" s="4"/>
      <c r="M925" s="4"/>
    </row>
    <row r="926" ht="13.5" customHeight="1">
      <c r="A926" s="4" t="str">
        <f t="shared" si="1"/>
        <v>TRW-CAPTIVA6HOLEXYG</v>
      </c>
      <c r="B926" s="29" t="s">
        <v>226</v>
      </c>
      <c r="C926" s="28" t="s">
        <v>223</v>
      </c>
      <c r="D926" s="28" t="s">
        <v>41</v>
      </c>
      <c r="E926" s="4" t="s">
        <v>16</v>
      </c>
      <c r="F926" s="28" t="s">
        <v>227</v>
      </c>
      <c r="G926" s="4">
        <f>SUMIFS(X!$F$5:$F$2005,X!$D$5:$D$2005,'Current Stock'!A926)</f>
        <v>0</v>
      </c>
      <c r="H926" s="4">
        <f>SUMIFS(PENJUALAN!$E$4:$E$11000,PENJUALAN!$C$4:$C$11000,'Current Stock'!A926)</f>
        <v>0</v>
      </c>
      <c r="I926" s="16">
        <f t="shared" si="2"/>
        <v>0</v>
      </c>
      <c r="J926" s="4"/>
      <c r="K926" s="4"/>
      <c r="L926" s="4"/>
      <c r="M926" s="4"/>
    </row>
    <row r="927" ht="13.5" customHeight="1">
      <c r="A927" s="4" t="str">
        <f t="shared" si="1"/>
        <v>FDL2-CAPTIVAXYG</v>
      </c>
      <c r="B927" s="29" t="s">
        <v>229</v>
      </c>
      <c r="C927" s="28" t="s">
        <v>223</v>
      </c>
      <c r="D927" s="28" t="s">
        <v>128</v>
      </c>
      <c r="E927" s="4" t="s">
        <v>16</v>
      </c>
      <c r="F927" s="28" t="s">
        <v>141</v>
      </c>
      <c r="G927" s="4">
        <f>SUMIFS(X!$F$5:$F$2005,X!$D$5:$D$2005,'Current Stock'!A927)</f>
        <v>0</v>
      </c>
      <c r="H927" s="4">
        <f>SUMIFS(PENJUALAN!$E$4:$E$11000,PENJUALAN!$C$4:$C$11000,'Current Stock'!A927)</f>
        <v>0</v>
      </c>
      <c r="I927" s="16">
        <f t="shared" si="2"/>
        <v>0</v>
      </c>
      <c r="J927" s="4"/>
      <c r="K927" s="4"/>
      <c r="L927" s="4"/>
      <c r="M927" s="4"/>
    </row>
    <row r="928" ht="13.5" customHeight="1">
      <c r="A928" s="4" t="str">
        <f t="shared" si="1"/>
        <v>FDR2-CAPTIVAXYG</v>
      </c>
      <c r="B928" s="29" t="s">
        <v>230</v>
      </c>
      <c r="C928" s="28" t="s">
        <v>223</v>
      </c>
      <c r="D928" s="28" t="s">
        <v>130</v>
      </c>
      <c r="E928" s="4" t="s">
        <v>16</v>
      </c>
      <c r="F928" s="28" t="s">
        <v>141</v>
      </c>
      <c r="G928" s="4">
        <f>SUMIFS(X!$F$5:$F$2005,X!$D$5:$D$2005,'Current Stock'!A928)</f>
        <v>0</v>
      </c>
      <c r="H928" s="4">
        <f>SUMIFS(PENJUALAN!$E$4:$E$11000,PENJUALAN!$C$4:$C$11000,'Current Stock'!A928)</f>
        <v>0</v>
      </c>
      <c r="I928" s="16">
        <f t="shared" si="2"/>
        <v>0</v>
      </c>
      <c r="J928" s="4"/>
      <c r="K928" s="4"/>
      <c r="L928" s="4"/>
      <c r="M928" s="4"/>
    </row>
    <row r="929" ht="13.5" customHeight="1">
      <c r="A929" s="4" t="str">
        <f t="shared" si="1"/>
        <v>RDL2-CAPTIVAXYG</v>
      </c>
      <c r="B929" s="29" t="s">
        <v>231</v>
      </c>
      <c r="C929" s="28" t="s">
        <v>223</v>
      </c>
      <c r="D929" s="28" t="s">
        <v>132</v>
      </c>
      <c r="E929" s="4" t="s">
        <v>16</v>
      </c>
      <c r="F929" s="28" t="s">
        <v>141</v>
      </c>
      <c r="G929" s="4">
        <f>SUMIFS(X!$F$5:$F$2005,X!$D$5:$D$2005,'Current Stock'!A929)</f>
        <v>0</v>
      </c>
      <c r="H929" s="4">
        <f>SUMIFS(PENJUALAN!$E$4:$E$11000,PENJUALAN!$C$4:$C$11000,'Current Stock'!A929)</f>
        <v>0</v>
      </c>
      <c r="I929" s="16">
        <f t="shared" si="2"/>
        <v>0</v>
      </c>
      <c r="J929" s="4"/>
      <c r="K929" s="4"/>
      <c r="L929" s="4"/>
      <c r="M929" s="15"/>
    </row>
    <row r="930" ht="13.5" customHeight="1">
      <c r="A930" s="4" t="str">
        <f t="shared" si="1"/>
        <v>RDR2-CAPTIVAXYG</v>
      </c>
      <c r="B930" s="29" t="s">
        <v>232</v>
      </c>
      <c r="C930" s="28" t="s">
        <v>223</v>
      </c>
      <c r="D930" s="28" t="s">
        <v>134</v>
      </c>
      <c r="E930" s="4" t="s">
        <v>16</v>
      </c>
      <c r="F930" s="28" t="s">
        <v>141</v>
      </c>
      <c r="G930" s="4">
        <f>SUMIFS(X!$F$5:$F$2005,X!$D$5:$D$2005,'Current Stock'!A930)</f>
        <v>0</v>
      </c>
      <c r="H930" s="4">
        <f>SUMIFS(PENJUALAN!$E$4:$E$11000,PENJUALAN!$C$4:$C$11000,'Current Stock'!A930)</f>
        <v>0</v>
      </c>
      <c r="I930" s="16">
        <f t="shared" si="2"/>
        <v>0</v>
      </c>
      <c r="J930" s="4"/>
      <c r="K930" s="4"/>
      <c r="L930" s="4"/>
      <c r="M930" s="4"/>
    </row>
    <row r="931" ht="13.5" customHeight="1">
      <c r="A931" s="4" t="str">
        <f t="shared" si="1"/>
        <v>TRW-PAJERO16XYG</v>
      </c>
      <c r="B931" s="29" t="s">
        <v>885</v>
      </c>
      <c r="C931" s="28" t="s">
        <v>830</v>
      </c>
      <c r="D931" s="28" t="s">
        <v>41</v>
      </c>
      <c r="E931" s="4" t="s">
        <v>16</v>
      </c>
      <c r="F931" s="28" t="s">
        <v>221</v>
      </c>
      <c r="G931" s="4">
        <f>SUMIFS(X!$F$5:$F$2005,X!$D$5:$D$2005,'Current Stock'!A931)</f>
        <v>4</v>
      </c>
      <c r="H931" s="4">
        <f>SUMIFS(PENJUALAN!$E$4:$E$11000,PENJUALAN!$C$4:$C$11000,'Current Stock'!A931)</f>
        <v>3</v>
      </c>
      <c r="I931" s="16">
        <f t="shared" si="2"/>
        <v>1</v>
      </c>
      <c r="J931" s="15" t="s">
        <v>1366</v>
      </c>
      <c r="K931" s="15"/>
      <c r="L931" s="4"/>
      <c r="M931" s="4"/>
    </row>
    <row r="932" ht="13.5" customHeight="1">
      <c r="A932" s="4" t="str">
        <f t="shared" si="1"/>
        <v>LFW-SPARK98XYG</v>
      </c>
      <c r="B932" s="29" t="s">
        <v>244</v>
      </c>
      <c r="C932" s="28" t="s">
        <v>245</v>
      </c>
      <c r="D932" s="28" t="s">
        <v>22</v>
      </c>
      <c r="E932" s="4" t="s">
        <v>16</v>
      </c>
      <c r="F932" s="28" t="s">
        <v>125</v>
      </c>
      <c r="G932" s="4">
        <f>SUMIFS(X!$F$5:$F$2005,X!$D$5:$D$2005,'Current Stock'!A932)</f>
        <v>1</v>
      </c>
      <c r="H932" s="4">
        <f>SUMIFS(PENJUALAN!$E$4:$E$11000,PENJUALAN!$C$4:$C$11000,'Current Stock'!A932)</f>
        <v>1</v>
      </c>
      <c r="I932" s="16">
        <f t="shared" si="2"/>
        <v>0</v>
      </c>
      <c r="J932" s="4"/>
      <c r="K932" s="4"/>
      <c r="L932" s="4"/>
      <c r="M932" s="4"/>
    </row>
    <row r="933" ht="13.5" customHeight="1">
      <c r="A933" s="4" t="str">
        <f t="shared" si="1"/>
        <v>RDL-SPARK10XYG</v>
      </c>
      <c r="B933" s="29" t="s">
        <v>258</v>
      </c>
      <c r="C933" s="28" t="s">
        <v>254</v>
      </c>
      <c r="D933" s="28" t="s">
        <v>132</v>
      </c>
      <c r="E933" s="4" t="s">
        <v>16</v>
      </c>
      <c r="F933" s="28" t="s">
        <v>141</v>
      </c>
      <c r="G933" s="4">
        <f>SUMIFS(X!$F$5:$F$2005,X!$D$5:$D$2005,'Current Stock'!A933)</f>
        <v>0</v>
      </c>
      <c r="H933" s="4">
        <f>SUMIFS(PENJUALAN!$E$4:$E$11000,PENJUALAN!$C$4:$C$11000,'Current Stock'!A933)</f>
        <v>0</v>
      </c>
      <c r="I933" s="16">
        <f t="shared" si="2"/>
        <v>0</v>
      </c>
      <c r="J933" s="4"/>
      <c r="K933" s="4"/>
      <c r="L933" s="4"/>
      <c r="M933" s="4"/>
    </row>
    <row r="934" ht="13.5" customHeight="1">
      <c r="A934" s="4" t="str">
        <f t="shared" si="1"/>
        <v>LFW-SPARK16XYG</v>
      </c>
      <c r="B934" s="29" t="s">
        <v>1367</v>
      </c>
      <c r="C934" s="30" t="s">
        <v>1368</v>
      </c>
      <c r="D934" s="30" t="s">
        <v>22</v>
      </c>
      <c r="E934" s="4" t="s">
        <v>16</v>
      </c>
      <c r="F934" s="30" t="s">
        <v>125</v>
      </c>
      <c r="G934" s="4">
        <f>SUMIFS(X!$F$5:$F$2005,X!$D$5:$D$2005,'Current Stock'!A934)</f>
        <v>0</v>
      </c>
      <c r="H934" s="4">
        <f>SUMIFS(PENJUALAN!$E$4:$E$11000,PENJUALAN!$C$4:$C$11000,'Current Stock'!A934)</f>
        <v>0</v>
      </c>
      <c r="I934" s="16">
        <f t="shared" si="2"/>
        <v>0</v>
      </c>
      <c r="J934" s="4"/>
      <c r="K934" s="4"/>
      <c r="L934" s="4"/>
      <c r="M934" s="4"/>
    </row>
    <row r="935" ht="13.5" customHeight="1">
      <c r="A935" s="4" t="str">
        <f t="shared" si="1"/>
        <v>TRW-SPARK16XYG</v>
      </c>
      <c r="B935" s="29" t="s">
        <v>1369</v>
      </c>
      <c r="C935" s="30" t="s">
        <v>1368</v>
      </c>
      <c r="D935" s="30" t="s">
        <v>41</v>
      </c>
      <c r="E935" s="4" t="s">
        <v>16</v>
      </c>
      <c r="F935" s="30" t="s">
        <v>221</v>
      </c>
      <c r="G935" s="4">
        <f>SUMIFS(X!$F$5:$F$2005,X!$D$5:$D$2005,'Current Stock'!A935)</f>
        <v>0</v>
      </c>
      <c r="H935" s="4">
        <f>SUMIFS(PENJUALAN!$E$4:$E$11000,PENJUALAN!$C$4:$C$11000,'Current Stock'!A935)</f>
        <v>0</v>
      </c>
      <c r="I935" s="16">
        <f t="shared" si="2"/>
        <v>0</v>
      </c>
      <c r="J935" s="4"/>
      <c r="K935" s="4"/>
      <c r="L935" s="4"/>
      <c r="M935" s="4"/>
    </row>
    <row r="936" ht="13.5" customHeight="1">
      <c r="A936" s="20" t="str">
        <f t="shared" si="1"/>
        <v>RDL-INNOVA04ASH</v>
      </c>
      <c r="B936" s="24" t="s">
        <v>1370</v>
      </c>
      <c r="C936" s="39" t="s">
        <v>1160</v>
      </c>
      <c r="D936" s="22" t="str">
        <f t="shared" ref="D936:D937" si="3">LEFT(A936,FIND("-",A936) - 1)</f>
        <v>RDL</v>
      </c>
      <c r="E936" s="22" t="s">
        <v>82</v>
      </c>
      <c r="F936" s="25"/>
      <c r="G936" s="4">
        <f>SUMIFS(X!$F$5:$F$2005,X!$D$5:$D$2005,'Current Stock'!A936)</f>
        <v>5</v>
      </c>
      <c r="H936" s="4">
        <f>SUMIFS(PENJUALAN!$E$4:$E$11000,PENJUALAN!$C$4:$C$11000,'Current Stock'!A936)</f>
        <v>4</v>
      </c>
      <c r="I936" s="16">
        <f t="shared" si="2"/>
        <v>1</v>
      </c>
      <c r="J936" s="22" t="s">
        <v>86</v>
      </c>
      <c r="K936" s="22"/>
      <c r="L936" s="25"/>
      <c r="M936" s="25"/>
    </row>
    <row r="937" ht="13.5" customHeight="1">
      <c r="A937" s="20" t="str">
        <f t="shared" si="1"/>
        <v>RDR-INNOVA04ASH</v>
      </c>
      <c r="B937" s="24" t="s">
        <v>1371</v>
      </c>
      <c r="C937" s="39" t="s">
        <v>1160</v>
      </c>
      <c r="D937" s="22" t="str">
        <f t="shared" si="3"/>
        <v>RDR</v>
      </c>
      <c r="E937" s="22" t="s">
        <v>82</v>
      </c>
      <c r="F937" s="25"/>
      <c r="G937" s="4">
        <f>SUMIFS(X!$F$5:$F$2005,X!$D$5:$D$2005,'Current Stock'!A937)</f>
        <v>5</v>
      </c>
      <c r="H937" s="4">
        <f>SUMIFS(PENJUALAN!$E$4:$E$11000,PENJUALAN!$C$4:$C$11000,'Current Stock'!A937)</f>
        <v>4</v>
      </c>
      <c r="I937" s="16">
        <f t="shared" si="2"/>
        <v>1</v>
      </c>
      <c r="J937" s="22" t="s">
        <v>86</v>
      </c>
      <c r="K937" s="22"/>
      <c r="L937" s="25"/>
      <c r="M937" s="25"/>
    </row>
    <row r="938" ht="13.5" customHeight="1">
      <c r="A938" s="4" t="str">
        <f t="shared" si="1"/>
        <v>LFW-TRAILBLAZERXYG</v>
      </c>
      <c r="B938" s="29" t="s">
        <v>1372</v>
      </c>
      <c r="C938" s="30" t="s">
        <v>263</v>
      </c>
      <c r="D938" s="30" t="s">
        <v>22</v>
      </c>
      <c r="E938" s="4" t="s">
        <v>16</v>
      </c>
      <c r="F938" s="30" t="s">
        <v>75</v>
      </c>
      <c r="G938" s="4">
        <f>SUMIFS(X!$F$5:$F$2005,X!$D$5:$D$2005,'Current Stock'!A938)</f>
        <v>0</v>
      </c>
      <c r="H938" s="4">
        <f>SUMIFS(PENJUALAN!$E$4:$E$11000,PENJUALAN!$C$4:$C$11000,'Current Stock'!A938)</f>
        <v>0</v>
      </c>
      <c r="I938" s="16">
        <f t="shared" si="2"/>
        <v>0</v>
      </c>
      <c r="J938" s="4"/>
      <c r="K938" s="4"/>
      <c r="L938" s="4"/>
      <c r="M938" s="4"/>
    </row>
    <row r="939" ht="13.5" customHeight="1">
      <c r="A939" s="4" t="str">
        <f t="shared" si="1"/>
        <v>TRW-TRAILBLAZERXYG</v>
      </c>
      <c r="B939" s="29" t="s">
        <v>265</v>
      </c>
      <c r="C939" s="28" t="s">
        <v>266</v>
      </c>
      <c r="D939" s="28" t="s">
        <v>41</v>
      </c>
      <c r="E939" s="4" t="s">
        <v>16</v>
      </c>
      <c r="F939" s="28" t="s">
        <v>221</v>
      </c>
      <c r="G939" s="4">
        <f>SUMIFS(X!$F$5:$F$2005,X!$D$5:$D$2005,'Current Stock'!A939)</f>
        <v>0</v>
      </c>
      <c r="H939" s="4">
        <f>SUMIFS(PENJUALAN!$E$4:$E$11000,PENJUALAN!$C$4:$C$11000,'Current Stock'!A939)</f>
        <v>0</v>
      </c>
      <c r="I939" s="16">
        <f t="shared" si="2"/>
        <v>0</v>
      </c>
      <c r="J939" s="4"/>
      <c r="K939" s="4"/>
      <c r="L939" s="4"/>
      <c r="M939" s="4"/>
    </row>
    <row r="940" ht="13.5" customHeight="1">
      <c r="A940" s="4" t="str">
        <f t="shared" si="1"/>
        <v>LFW-TRAXXYG</v>
      </c>
      <c r="B940" s="29" t="s">
        <v>267</v>
      </c>
      <c r="C940" s="28" t="s">
        <v>268</v>
      </c>
      <c r="D940" s="28" t="s">
        <v>22</v>
      </c>
      <c r="E940" s="4" t="s">
        <v>16</v>
      </c>
      <c r="F940" s="28" t="s">
        <v>125</v>
      </c>
      <c r="G940" s="4">
        <f>SUMIFS(X!$F$5:$F$2005,X!$D$5:$D$2005,'Current Stock'!A940)</f>
        <v>0</v>
      </c>
      <c r="H940" s="4">
        <f>SUMIFS(PENJUALAN!$E$4:$E$11000,PENJUALAN!$C$4:$C$11000,'Current Stock'!A940)</f>
        <v>0</v>
      </c>
      <c r="I940" s="16">
        <f t="shared" si="2"/>
        <v>0</v>
      </c>
      <c r="J940" s="4"/>
      <c r="K940" s="4"/>
      <c r="L940" s="4"/>
      <c r="M940" s="4"/>
    </row>
    <row r="941" ht="13.5" customHeight="1">
      <c r="A941" s="4" t="str">
        <f t="shared" si="1"/>
        <v>LFW-TRAXRSXYG</v>
      </c>
      <c r="B941" s="29" t="s">
        <v>1373</v>
      </c>
      <c r="C941" s="30" t="s">
        <v>1374</v>
      </c>
      <c r="D941" s="30" t="s">
        <v>22</v>
      </c>
      <c r="E941" s="4" t="s">
        <v>16</v>
      </c>
      <c r="F941" s="30" t="s">
        <v>75</v>
      </c>
      <c r="G941" s="4">
        <f>SUMIFS(X!$F$5:$F$2005,X!$D$5:$D$2005,'Current Stock'!A941)</f>
        <v>1</v>
      </c>
      <c r="H941" s="4">
        <f>SUMIFS(PENJUALAN!$E$4:$E$11000,PENJUALAN!$C$4:$C$11000,'Current Stock'!A941)</f>
        <v>1</v>
      </c>
      <c r="I941" s="16">
        <f t="shared" si="2"/>
        <v>0</v>
      </c>
      <c r="J941" s="4"/>
      <c r="K941" s="4"/>
      <c r="L941" s="4"/>
      <c r="M941" s="4"/>
    </row>
    <row r="942" ht="13.5" customHeight="1">
      <c r="A942" s="4" t="str">
        <f t="shared" si="1"/>
        <v>TRW-TRAXXYG</v>
      </c>
      <c r="B942" s="29" t="s">
        <v>269</v>
      </c>
      <c r="C942" s="28" t="s">
        <v>270</v>
      </c>
      <c r="D942" s="28" t="s">
        <v>41</v>
      </c>
      <c r="E942" s="4" t="s">
        <v>16</v>
      </c>
      <c r="F942" s="28" t="s">
        <v>221</v>
      </c>
      <c r="G942" s="4">
        <f>SUMIFS(X!$F$5:$F$2005,X!$D$5:$D$2005,'Current Stock'!A942)</f>
        <v>0</v>
      </c>
      <c r="H942" s="4">
        <f>SUMIFS(PENJUALAN!$E$4:$E$11000,PENJUALAN!$C$4:$C$11000,'Current Stock'!A942)</f>
        <v>0</v>
      </c>
      <c r="I942" s="16">
        <f t="shared" si="2"/>
        <v>0</v>
      </c>
      <c r="J942" s="4"/>
      <c r="K942" s="4"/>
      <c r="L942" s="4"/>
      <c r="M942" s="4"/>
    </row>
    <row r="943" ht="13.5" customHeight="1">
      <c r="A943" s="4" t="str">
        <f t="shared" si="1"/>
        <v>LFW-ZAFIRAXYG</v>
      </c>
      <c r="B943" s="29" t="s">
        <v>271</v>
      </c>
      <c r="C943" s="28" t="s">
        <v>272</v>
      </c>
      <c r="D943" s="28" t="s">
        <v>22</v>
      </c>
      <c r="E943" s="4" t="s">
        <v>16</v>
      </c>
      <c r="F943" s="28" t="s">
        <v>125</v>
      </c>
      <c r="G943" s="4">
        <f>SUMIFS(X!$F$5:$F$2005,X!$D$5:$D$2005,'Current Stock'!A943)</f>
        <v>0</v>
      </c>
      <c r="H943" s="4">
        <f>SUMIFS(PENJUALAN!$E$4:$E$11000,PENJUALAN!$C$4:$C$11000,'Current Stock'!A943)</f>
        <v>0</v>
      </c>
      <c r="I943" s="16">
        <f t="shared" si="2"/>
        <v>0</v>
      </c>
      <c r="J943" s="4"/>
      <c r="K943" s="4"/>
      <c r="L943" s="4"/>
      <c r="M943" s="4"/>
    </row>
    <row r="944" ht="13.5" customHeight="1">
      <c r="A944" s="4" t="str">
        <f t="shared" si="1"/>
        <v>TRW-HIACE19BNGXYG</v>
      </c>
      <c r="B944" s="15" t="s">
        <v>1375</v>
      </c>
      <c r="C944" s="15" t="s">
        <v>1376</v>
      </c>
      <c r="D944" s="15" t="s">
        <v>41</v>
      </c>
      <c r="E944" s="15" t="s">
        <v>16</v>
      </c>
      <c r="F944" s="15" t="s">
        <v>1377</v>
      </c>
      <c r="G944" s="4">
        <f>SUMIFS(X!$F$5:$F$2005,X!$D$5:$D$2005,'Current Stock'!A944)</f>
        <v>3</v>
      </c>
      <c r="H944" s="4">
        <f>SUMIFS(PENJUALAN!$E$4:$E$11000,PENJUALAN!$C$4:$C$11000,'Current Stock'!A944)</f>
        <v>1</v>
      </c>
      <c r="I944" s="16">
        <f t="shared" si="2"/>
        <v>2</v>
      </c>
      <c r="J944" s="15" t="s">
        <v>1378</v>
      </c>
      <c r="K944" s="15"/>
      <c r="L944" s="18"/>
      <c r="M944" s="18"/>
    </row>
    <row r="945" ht="13.5" customHeight="1">
      <c r="A945" s="4" t="str">
        <f t="shared" si="1"/>
        <v>LFW-SIRION1XYG</v>
      </c>
      <c r="B945" s="29" t="s">
        <v>1379</v>
      </c>
      <c r="C945" s="30" t="s">
        <v>277</v>
      </c>
      <c r="D945" s="30" t="s">
        <v>22</v>
      </c>
      <c r="E945" s="4" t="s">
        <v>16</v>
      </c>
      <c r="F945" s="34" t="s">
        <v>125</v>
      </c>
      <c r="G945" s="4">
        <f>SUMIFS(X!$F$5:$F$2005,X!$D$5:$D$2005,'Current Stock'!A945)</f>
        <v>0</v>
      </c>
      <c r="H945" s="4">
        <f>SUMIFS(PENJUALAN!$E$4:$E$11000,PENJUALAN!$C$4:$C$11000,'Current Stock'!A945)</f>
        <v>0</v>
      </c>
      <c r="I945" s="16">
        <f t="shared" si="2"/>
        <v>0</v>
      </c>
      <c r="J945" s="4"/>
      <c r="K945" s="4"/>
      <c r="L945" s="4"/>
      <c r="M945" s="4"/>
    </row>
    <row r="946" ht="13.5" customHeight="1">
      <c r="A946" s="20" t="str">
        <f t="shared" si="1"/>
        <v>FDR-DYNAASH</v>
      </c>
      <c r="B946" s="24" t="s">
        <v>1380</v>
      </c>
      <c r="C946" s="22" t="s">
        <v>1381</v>
      </c>
      <c r="D946" s="22" t="str">
        <f t="shared" ref="D946:D948" si="4">LEFT(A946,FIND("-",A946) - 1)</f>
        <v>FDR</v>
      </c>
      <c r="E946" s="22" t="s">
        <v>82</v>
      </c>
      <c r="F946" s="25"/>
      <c r="G946" s="4">
        <f>SUMIFS(X!$F$5:$F$2005,X!$D$5:$D$2005,'Current Stock'!A946)</f>
        <v>10</v>
      </c>
      <c r="H946" s="4">
        <f>SUMIFS(PENJUALAN!$E$4:$E$11000,PENJUALAN!$C$4:$C$11000,'Current Stock'!A946)</f>
        <v>5</v>
      </c>
      <c r="I946" s="16">
        <f t="shared" si="2"/>
        <v>5</v>
      </c>
      <c r="J946" s="40" t="s">
        <v>1382</v>
      </c>
      <c r="K946" s="22"/>
      <c r="L946" s="25"/>
      <c r="M946" s="25"/>
    </row>
    <row r="947" ht="13.5" customHeight="1">
      <c r="A947" s="4" t="str">
        <f t="shared" si="1"/>
        <v>LFW-PICANTO11PIL</v>
      </c>
      <c r="B947" s="29" t="s">
        <v>597</v>
      </c>
      <c r="C947" s="28" t="s">
        <v>598</v>
      </c>
      <c r="D947" s="28" t="str">
        <f t="shared" si="4"/>
        <v>LFW</v>
      </c>
      <c r="E947" s="15" t="s">
        <v>74</v>
      </c>
      <c r="F947" s="28" t="s">
        <v>125</v>
      </c>
      <c r="G947" s="4">
        <f>SUMIFS(X!$F$5:$F$2005,X!$D$5:$D$2005,'Current Stock'!A947)</f>
        <v>2</v>
      </c>
      <c r="H947" s="4">
        <f>SUMIFS(PENJUALAN!$E$4:$E$11000,PENJUALAN!$C$4:$C$11000,'Current Stock'!A947)</f>
        <v>2</v>
      </c>
      <c r="I947" s="16">
        <f t="shared" si="2"/>
        <v>0</v>
      </c>
      <c r="J947" s="15" t="s">
        <v>1383</v>
      </c>
      <c r="K947" s="15"/>
      <c r="L947" s="18"/>
      <c r="M947" s="18"/>
    </row>
    <row r="948" ht="13.5" customHeight="1">
      <c r="A948" s="4" t="str">
        <f t="shared" si="1"/>
        <v>FDR-INNOVA04MSG</v>
      </c>
      <c r="B948" s="15" t="s">
        <v>1384</v>
      </c>
      <c r="C948" s="28" t="s">
        <v>1160</v>
      </c>
      <c r="D948" s="15" t="str">
        <f t="shared" si="4"/>
        <v>FDR</v>
      </c>
      <c r="E948" s="15" t="s">
        <v>42</v>
      </c>
      <c r="F948" s="18"/>
      <c r="G948" s="4">
        <f>SUMIFS(X!$F$5:$F$2005,X!$D$5:$D$2005,'Current Stock'!A948)</f>
        <v>2</v>
      </c>
      <c r="H948" s="4">
        <f>SUMIFS(PENJUALAN!$E$4:$E$11000,PENJUALAN!$C$4:$C$11000,'Current Stock'!A948)</f>
        <v>1</v>
      </c>
      <c r="I948" s="16">
        <f t="shared" si="2"/>
        <v>1</v>
      </c>
      <c r="J948" s="15" t="s">
        <v>1385</v>
      </c>
      <c r="K948" s="15"/>
      <c r="L948" s="18"/>
      <c r="M948" s="18"/>
    </row>
    <row r="949" ht="13.5" customHeight="1">
      <c r="A949" s="4" t="str">
        <f t="shared" si="1"/>
        <v>TRW-DODGEXYG</v>
      </c>
      <c r="B949" s="29" t="s">
        <v>282</v>
      </c>
      <c r="C949" s="28" t="s">
        <v>281</v>
      </c>
      <c r="D949" s="28" t="s">
        <v>41</v>
      </c>
      <c r="E949" s="4" t="s">
        <v>16</v>
      </c>
      <c r="F949" s="28" t="s">
        <v>67</v>
      </c>
      <c r="G949" s="4">
        <f>SUMIFS(X!$F$5:$F$2005,X!$D$5:$D$2005,'Current Stock'!A949)</f>
        <v>0</v>
      </c>
      <c r="H949" s="4">
        <f>SUMIFS(PENJUALAN!$E$4:$E$11000,PENJUALAN!$C$4:$C$11000,'Current Stock'!A949)</f>
        <v>0</v>
      </c>
      <c r="I949" s="16">
        <f t="shared" si="2"/>
        <v>0</v>
      </c>
      <c r="J949" s="4"/>
      <c r="K949" s="4"/>
      <c r="L949" s="4"/>
      <c r="M949" s="4"/>
    </row>
    <row r="950" ht="13.5" customHeight="1">
      <c r="A950" s="20" t="str">
        <f t="shared" si="1"/>
        <v>FDL-L300ASH</v>
      </c>
      <c r="B950" s="24" t="s">
        <v>1386</v>
      </c>
      <c r="C950" s="22" t="s">
        <v>1319</v>
      </c>
      <c r="D950" s="25" t="str">
        <f>LEFT(A950,FIND("-",A950) - 1)</f>
        <v>FDL</v>
      </c>
      <c r="E950" s="22" t="s">
        <v>82</v>
      </c>
      <c r="F950" s="25"/>
      <c r="G950" s="4">
        <f>SUMIFS(X!$F$5:$F$2005,X!$D$5:$D$2005,'Current Stock'!A950)</f>
        <v>2</v>
      </c>
      <c r="H950" s="4">
        <f>SUMIFS(PENJUALAN!$E$4:$E$11000,PENJUALAN!$C$4:$C$11000,'Current Stock'!A950)</f>
        <v>1</v>
      </c>
      <c r="I950" s="16">
        <f t="shared" si="2"/>
        <v>1</v>
      </c>
      <c r="J950" s="22" t="s">
        <v>832</v>
      </c>
      <c r="K950" s="22"/>
      <c r="L950" s="25"/>
      <c r="M950" s="25"/>
    </row>
    <row r="951" ht="13.5" customHeight="1">
      <c r="A951" s="4" t="str">
        <f t="shared" si="1"/>
        <v>LFW-ECOSPORTRSXYG</v>
      </c>
      <c r="B951" s="29" t="s">
        <v>285</v>
      </c>
      <c r="C951" s="28" t="s">
        <v>284</v>
      </c>
      <c r="D951" s="28" t="s">
        <v>22</v>
      </c>
      <c r="E951" s="4" t="s">
        <v>16</v>
      </c>
      <c r="F951" s="28" t="s">
        <v>75</v>
      </c>
      <c r="G951" s="4">
        <f>SUMIFS(X!$F$5:$F$2005,X!$D$5:$D$2005,'Current Stock'!A951)</f>
        <v>0</v>
      </c>
      <c r="H951" s="4">
        <f>SUMIFS(PENJUALAN!$E$4:$E$11000,PENJUALAN!$C$4:$C$11000,'Current Stock'!A951)</f>
        <v>0</v>
      </c>
      <c r="I951" s="16">
        <f t="shared" si="2"/>
        <v>0</v>
      </c>
      <c r="J951" s="4"/>
      <c r="K951" s="4"/>
      <c r="L951" s="4"/>
      <c r="M951" s="4"/>
    </row>
    <row r="952" ht="13.5" customHeight="1">
      <c r="A952" s="4" t="str">
        <f t="shared" si="1"/>
        <v>TRW-ECOSPORTXYG</v>
      </c>
      <c r="B952" s="29" t="s">
        <v>286</v>
      </c>
      <c r="C952" s="28" t="s">
        <v>284</v>
      </c>
      <c r="D952" s="28" t="s">
        <v>41</v>
      </c>
      <c r="E952" s="4" t="s">
        <v>16</v>
      </c>
      <c r="F952" s="28" t="s">
        <v>221</v>
      </c>
      <c r="G952" s="4">
        <f>SUMIFS(X!$F$5:$F$2005,X!$D$5:$D$2005,'Current Stock'!A952)</f>
        <v>0</v>
      </c>
      <c r="H952" s="4">
        <f>SUMIFS(PENJUALAN!$E$4:$E$11000,PENJUALAN!$C$4:$C$11000,'Current Stock'!A952)</f>
        <v>0</v>
      </c>
      <c r="I952" s="16">
        <f t="shared" si="2"/>
        <v>0</v>
      </c>
      <c r="J952" s="15" t="s">
        <v>1366</v>
      </c>
      <c r="K952" s="4"/>
      <c r="L952" s="4"/>
      <c r="M952" s="4"/>
    </row>
    <row r="953" ht="13.5" customHeight="1">
      <c r="A953" s="4" t="str">
        <f t="shared" si="1"/>
        <v>FDL-ECOSPORTXYG</v>
      </c>
      <c r="B953" s="29" t="s">
        <v>287</v>
      </c>
      <c r="C953" s="28" t="s">
        <v>284</v>
      </c>
      <c r="D953" s="28" t="s">
        <v>128</v>
      </c>
      <c r="E953" s="4" t="s">
        <v>16</v>
      </c>
      <c r="F953" s="28"/>
      <c r="G953" s="4">
        <f>SUMIFS(X!$F$5:$F$2005,X!$D$5:$D$2005,'Current Stock'!A953)</f>
        <v>0</v>
      </c>
      <c r="H953" s="4">
        <f>SUMIFS(PENJUALAN!$E$4:$E$11000,PENJUALAN!$C$4:$C$11000,'Current Stock'!A953)</f>
        <v>0</v>
      </c>
      <c r="I953" s="16">
        <f t="shared" si="2"/>
        <v>0</v>
      </c>
      <c r="J953" s="4"/>
      <c r="K953" s="4"/>
      <c r="L953" s="4"/>
      <c r="M953" s="4"/>
    </row>
    <row r="954" ht="13.5" customHeight="1">
      <c r="A954" s="4" t="str">
        <f t="shared" si="1"/>
        <v>FDR-ECOSPORTXYG</v>
      </c>
      <c r="B954" s="29" t="s">
        <v>288</v>
      </c>
      <c r="C954" s="28" t="s">
        <v>284</v>
      </c>
      <c r="D954" s="28" t="s">
        <v>130</v>
      </c>
      <c r="E954" s="4" t="s">
        <v>16</v>
      </c>
      <c r="F954" s="28"/>
      <c r="G954" s="4">
        <f>SUMIFS(X!$F$5:$F$2005,X!$D$5:$D$2005,'Current Stock'!A954)</f>
        <v>0</v>
      </c>
      <c r="H954" s="4">
        <f>SUMIFS(PENJUALAN!$E$4:$E$11000,PENJUALAN!$C$4:$C$11000,'Current Stock'!A954)</f>
        <v>0</v>
      </c>
      <c r="I954" s="16">
        <f t="shared" si="2"/>
        <v>0</v>
      </c>
      <c r="J954" s="4"/>
      <c r="K954" s="4"/>
      <c r="L954" s="4"/>
      <c r="M954" s="4"/>
    </row>
    <row r="955" ht="13.5" customHeight="1">
      <c r="A955" s="4" t="str">
        <f t="shared" si="1"/>
        <v>RDR-ECOSPORTXYG</v>
      </c>
      <c r="B955" s="29" t="s">
        <v>290</v>
      </c>
      <c r="C955" s="28" t="s">
        <v>284</v>
      </c>
      <c r="D955" s="28" t="s">
        <v>134</v>
      </c>
      <c r="E955" s="4" t="s">
        <v>16</v>
      </c>
      <c r="F955" s="28" t="s">
        <v>144</v>
      </c>
      <c r="G955" s="4">
        <f>SUMIFS(X!$F$5:$F$2005,X!$D$5:$D$2005,'Current Stock'!A955)</f>
        <v>0</v>
      </c>
      <c r="H955" s="4">
        <f>SUMIFS(PENJUALAN!$E$4:$E$11000,PENJUALAN!$C$4:$C$11000,'Current Stock'!A955)</f>
        <v>0</v>
      </c>
      <c r="I955" s="16">
        <f t="shared" si="2"/>
        <v>0</v>
      </c>
      <c r="J955" s="4"/>
      <c r="K955" s="4"/>
      <c r="L955" s="4"/>
      <c r="M955" s="4"/>
    </row>
    <row r="956" ht="13.5" customHeight="1">
      <c r="A956" s="4" t="str">
        <f t="shared" si="1"/>
        <v>LFW-ESCAPEXYG</v>
      </c>
      <c r="B956" s="29" t="s">
        <v>291</v>
      </c>
      <c r="C956" s="28" t="s">
        <v>292</v>
      </c>
      <c r="D956" s="28" t="s">
        <v>22</v>
      </c>
      <c r="E956" s="4" t="s">
        <v>16</v>
      </c>
      <c r="F956" s="28" t="s">
        <v>125</v>
      </c>
      <c r="G956" s="4">
        <f>SUMIFS(X!$F$5:$F$2005,X!$D$5:$D$2005,'Current Stock'!A956)</f>
        <v>0</v>
      </c>
      <c r="H956" s="4">
        <f>SUMIFS(PENJUALAN!$E$4:$E$11000,PENJUALAN!$C$4:$C$11000,'Current Stock'!A956)</f>
        <v>0</v>
      </c>
      <c r="I956" s="16">
        <f t="shared" si="2"/>
        <v>0</v>
      </c>
      <c r="J956" s="4"/>
      <c r="K956" s="4"/>
      <c r="L956" s="4"/>
      <c r="M956" s="4"/>
    </row>
    <row r="957" ht="13.5" customHeight="1">
      <c r="A957" s="4" t="str">
        <f t="shared" si="1"/>
        <v>LFW-RANGER04XYG</v>
      </c>
      <c r="B957" s="29" t="s">
        <v>294</v>
      </c>
      <c r="C957" s="28" t="s">
        <v>295</v>
      </c>
      <c r="D957" s="28" t="s">
        <v>22</v>
      </c>
      <c r="E957" s="4" t="s">
        <v>16</v>
      </c>
      <c r="F957" s="28" t="s">
        <v>97</v>
      </c>
      <c r="G957" s="4">
        <f>SUMIFS(X!$F$5:$F$2005,X!$D$5:$D$2005,'Current Stock'!A957)</f>
        <v>6</v>
      </c>
      <c r="H957" s="4">
        <f>SUMIFS(PENJUALAN!$E$4:$E$11000,PENJUALAN!$C$4:$C$11000,'Current Stock'!A957)</f>
        <v>1</v>
      </c>
      <c r="I957" s="16">
        <f t="shared" si="2"/>
        <v>5</v>
      </c>
      <c r="J957" s="15" t="s">
        <v>1027</v>
      </c>
      <c r="K957" s="4"/>
      <c r="L957" s="4"/>
      <c r="M957" s="4"/>
    </row>
    <row r="958" ht="13.5" customHeight="1">
      <c r="A958" s="4" t="str">
        <f t="shared" si="1"/>
        <v>TRW-EVERESTXYG</v>
      </c>
      <c r="B958" s="29" t="s">
        <v>296</v>
      </c>
      <c r="C958" s="28" t="s">
        <v>297</v>
      </c>
      <c r="D958" s="28" t="s">
        <v>41</v>
      </c>
      <c r="E958" s="4" t="s">
        <v>16</v>
      </c>
      <c r="F958" s="28" t="s">
        <v>67</v>
      </c>
      <c r="G958" s="4">
        <f>SUMIFS(X!$F$5:$F$2005,X!$D$5:$D$2005,'Current Stock'!A958)</f>
        <v>1</v>
      </c>
      <c r="H958" s="4">
        <f>SUMIFS(PENJUALAN!$E$4:$E$11000,PENJUALAN!$C$4:$C$11000,'Current Stock'!A958)</f>
        <v>1</v>
      </c>
      <c r="I958" s="16">
        <f t="shared" si="2"/>
        <v>0</v>
      </c>
      <c r="J958" s="15" t="s">
        <v>1366</v>
      </c>
      <c r="K958" s="4"/>
      <c r="L958" s="4"/>
      <c r="M958" s="4"/>
    </row>
    <row r="959" ht="13.5" customHeight="1">
      <c r="A959" s="4" t="str">
        <f t="shared" si="1"/>
        <v>LFW-FIESTAXYG</v>
      </c>
      <c r="B959" s="29" t="s">
        <v>298</v>
      </c>
      <c r="C959" s="28" t="s">
        <v>299</v>
      </c>
      <c r="D959" s="28" t="s">
        <v>22</v>
      </c>
      <c r="E959" s="4" t="s">
        <v>16</v>
      </c>
      <c r="F959" s="28" t="s">
        <v>125</v>
      </c>
      <c r="G959" s="4">
        <f>SUMIFS(X!$F$5:$F$2005,X!$D$5:$D$2005,'Current Stock'!A959)</f>
        <v>6</v>
      </c>
      <c r="H959" s="4">
        <f>SUMIFS(PENJUALAN!$E$4:$E$11000,PENJUALAN!$C$4:$C$11000,'Current Stock'!A959)</f>
        <v>0</v>
      </c>
      <c r="I959" s="16">
        <f t="shared" si="2"/>
        <v>6</v>
      </c>
      <c r="J959" s="15" t="s">
        <v>1387</v>
      </c>
      <c r="K959" s="4"/>
      <c r="L959" s="4"/>
      <c r="M959" s="4"/>
    </row>
    <row r="960" ht="13.5" customHeight="1">
      <c r="A960" s="4" t="str">
        <f t="shared" si="1"/>
        <v>TRW-FIESTAXYG</v>
      </c>
      <c r="B960" s="29" t="s">
        <v>300</v>
      </c>
      <c r="C960" s="28" t="s">
        <v>299</v>
      </c>
      <c r="D960" s="28" t="s">
        <v>41</v>
      </c>
      <c r="E960" s="4" t="s">
        <v>16</v>
      </c>
      <c r="F960" s="28" t="s">
        <v>67</v>
      </c>
      <c r="G960" s="4">
        <f>SUMIFS(X!$F$5:$F$2005,X!$D$5:$D$2005,'Current Stock'!A960)</f>
        <v>1</v>
      </c>
      <c r="H960" s="4">
        <f>SUMIFS(PENJUALAN!$E$4:$E$11000,PENJUALAN!$C$4:$C$11000,'Current Stock'!A960)</f>
        <v>0</v>
      </c>
      <c r="I960" s="16">
        <f t="shared" si="2"/>
        <v>1</v>
      </c>
      <c r="J960" s="4"/>
      <c r="K960" s="4"/>
      <c r="L960" s="4"/>
      <c r="M960" s="4"/>
    </row>
    <row r="961" ht="13.5" customHeight="1">
      <c r="A961" s="4" t="str">
        <f t="shared" si="1"/>
        <v>FDL-FIESTAXYG</v>
      </c>
      <c r="B961" s="29" t="s">
        <v>301</v>
      </c>
      <c r="C961" s="28" t="s">
        <v>299</v>
      </c>
      <c r="D961" s="28" t="s">
        <v>128</v>
      </c>
      <c r="E961" s="4" t="s">
        <v>16</v>
      </c>
      <c r="F961" s="28" t="s">
        <v>144</v>
      </c>
      <c r="G961" s="4">
        <f>SUMIFS(X!$F$5:$F$2005,X!$D$5:$D$2005,'Current Stock'!A961)</f>
        <v>0</v>
      </c>
      <c r="H961" s="4">
        <f>SUMIFS(PENJUALAN!$E$4:$E$11000,PENJUALAN!$C$4:$C$11000,'Current Stock'!A961)</f>
        <v>0</v>
      </c>
      <c r="I961" s="16">
        <f t="shared" si="2"/>
        <v>0</v>
      </c>
      <c r="J961" s="4"/>
      <c r="K961" s="4"/>
      <c r="L961" s="4"/>
      <c r="M961" s="4"/>
    </row>
    <row r="962" ht="13.5" customHeight="1">
      <c r="A962" s="4" t="str">
        <f t="shared" si="1"/>
        <v>FDR-FIESTAXYG</v>
      </c>
      <c r="B962" s="29" t="s">
        <v>302</v>
      </c>
      <c r="C962" s="28" t="s">
        <v>299</v>
      </c>
      <c r="D962" s="28" t="s">
        <v>130</v>
      </c>
      <c r="E962" s="4" t="s">
        <v>16</v>
      </c>
      <c r="F962" s="28" t="s">
        <v>144</v>
      </c>
      <c r="G962" s="4">
        <f>SUMIFS(X!$F$5:$F$2005,X!$D$5:$D$2005,'Current Stock'!A962)</f>
        <v>0</v>
      </c>
      <c r="H962" s="4">
        <f>SUMIFS(PENJUALAN!$E$4:$E$11000,PENJUALAN!$C$4:$C$11000,'Current Stock'!A962)</f>
        <v>0</v>
      </c>
      <c r="I962" s="16">
        <f t="shared" si="2"/>
        <v>0</v>
      </c>
      <c r="J962" s="4"/>
      <c r="K962" s="4"/>
      <c r="L962" s="4"/>
      <c r="M962" s="4"/>
    </row>
    <row r="963" ht="13.5" customHeight="1">
      <c r="A963" s="4" t="str">
        <f t="shared" si="1"/>
        <v>RDL-FIESTAXYG</v>
      </c>
      <c r="B963" s="29" t="s">
        <v>303</v>
      </c>
      <c r="C963" s="28" t="s">
        <v>299</v>
      </c>
      <c r="D963" s="28" t="s">
        <v>132</v>
      </c>
      <c r="E963" s="4" t="s">
        <v>16</v>
      </c>
      <c r="F963" s="28"/>
      <c r="G963" s="4">
        <f>SUMIFS(X!$F$5:$F$2005,X!$D$5:$D$2005,'Current Stock'!A963)</f>
        <v>0</v>
      </c>
      <c r="H963" s="4">
        <f>SUMIFS(PENJUALAN!$E$4:$E$11000,PENJUALAN!$C$4:$C$11000,'Current Stock'!A963)</f>
        <v>0</v>
      </c>
      <c r="I963" s="16">
        <f t="shared" si="2"/>
        <v>0</v>
      </c>
      <c r="J963" s="4"/>
      <c r="K963" s="4"/>
      <c r="L963" s="4"/>
      <c r="M963" s="4"/>
    </row>
    <row r="964" ht="13.5" customHeight="1">
      <c r="A964" s="4" t="str">
        <f t="shared" si="1"/>
        <v>RDR-FIESTAXYG</v>
      </c>
      <c r="B964" s="29" t="s">
        <v>304</v>
      </c>
      <c r="C964" s="28" t="s">
        <v>299</v>
      </c>
      <c r="D964" s="28" t="s">
        <v>134</v>
      </c>
      <c r="E964" s="4" t="s">
        <v>16</v>
      </c>
      <c r="F964" s="28"/>
      <c r="G964" s="4">
        <f>SUMIFS(X!$F$5:$F$2005,X!$D$5:$D$2005,'Current Stock'!A964)</f>
        <v>0</v>
      </c>
      <c r="H964" s="4">
        <f>SUMIFS(PENJUALAN!$E$4:$E$11000,PENJUALAN!$C$4:$C$11000,'Current Stock'!A964)</f>
        <v>0</v>
      </c>
      <c r="I964" s="16">
        <f t="shared" si="2"/>
        <v>0</v>
      </c>
      <c r="J964" s="4"/>
      <c r="K964" s="4"/>
      <c r="L964" s="4"/>
      <c r="M964" s="4"/>
    </row>
    <row r="965" ht="13.5" customHeight="1">
      <c r="A965" s="4" t="str">
        <f t="shared" si="1"/>
        <v>LFW-FIESTARSBULATXYG</v>
      </c>
      <c r="B965" s="29" t="s">
        <v>305</v>
      </c>
      <c r="C965" s="28" t="s">
        <v>306</v>
      </c>
      <c r="D965" s="28" t="s">
        <v>22</v>
      </c>
      <c r="E965" s="4" t="s">
        <v>16</v>
      </c>
      <c r="F965" s="28" t="s">
        <v>23</v>
      </c>
      <c r="G965" s="4">
        <f>SUMIFS(X!$F$5:$F$2005,X!$D$5:$D$2005,'Current Stock'!A965)</f>
        <v>0</v>
      </c>
      <c r="H965" s="4">
        <f>SUMIFS(PENJUALAN!$E$4:$E$11000,PENJUALAN!$C$4:$C$11000,'Current Stock'!A965)</f>
        <v>0</v>
      </c>
      <c r="I965" s="16">
        <f t="shared" si="2"/>
        <v>0</v>
      </c>
      <c r="J965" s="4"/>
      <c r="K965" s="4"/>
      <c r="L965" s="4"/>
      <c r="M965" s="4"/>
    </row>
    <row r="966" ht="13.5" customHeight="1">
      <c r="A966" s="4" t="str">
        <f t="shared" si="1"/>
        <v>LFW-FIESTARSKOTAKXYG</v>
      </c>
      <c r="B966" s="29" t="s">
        <v>307</v>
      </c>
      <c r="C966" s="28" t="s">
        <v>308</v>
      </c>
      <c r="D966" s="28" t="s">
        <v>22</v>
      </c>
      <c r="E966" s="4" t="s">
        <v>16</v>
      </c>
      <c r="F966" s="28" t="s">
        <v>75</v>
      </c>
      <c r="G966" s="4">
        <f>SUMIFS(X!$F$5:$F$2005,X!$D$5:$D$2005,'Current Stock'!A966)</f>
        <v>0</v>
      </c>
      <c r="H966" s="4">
        <f>SUMIFS(PENJUALAN!$E$4:$E$11000,PENJUALAN!$C$4:$C$11000,'Current Stock'!A966)</f>
        <v>0</v>
      </c>
      <c r="I966" s="16">
        <f t="shared" si="2"/>
        <v>0</v>
      </c>
      <c r="J966" s="4"/>
      <c r="K966" s="4"/>
      <c r="L966" s="4"/>
      <c r="M966" s="4"/>
    </row>
    <row r="967" ht="13.5" customHeight="1">
      <c r="A967" s="4" t="str">
        <f t="shared" si="1"/>
        <v>LFW-FOCUS04XYG</v>
      </c>
      <c r="B967" s="29" t="s">
        <v>309</v>
      </c>
      <c r="C967" s="28" t="s">
        <v>310</v>
      </c>
      <c r="D967" s="28" t="s">
        <v>22</v>
      </c>
      <c r="E967" s="4" t="s">
        <v>16</v>
      </c>
      <c r="F967" s="28" t="s">
        <v>125</v>
      </c>
      <c r="G967" s="4">
        <f>SUMIFS(X!$F$5:$F$2005,X!$D$5:$D$2005,'Current Stock'!A967)</f>
        <v>0</v>
      </c>
      <c r="H967" s="4">
        <f>SUMIFS(PENJUALAN!$E$4:$E$11000,PENJUALAN!$C$4:$C$11000,'Current Stock'!A967)</f>
        <v>0</v>
      </c>
      <c r="I967" s="16">
        <f t="shared" si="2"/>
        <v>0</v>
      </c>
      <c r="J967" s="4"/>
      <c r="K967" s="4"/>
      <c r="L967" s="4"/>
      <c r="M967" s="4"/>
    </row>
    <row r="968" ht="13.5" customHeight="1">
      <c r="A968" s="4" t="str">
        <f t="shared" si="1"/>
        <v>LFW-FOCUS11XYG</v>
      </c>
      <c r="B968" s="29" t="s">
        <v>313</v>
      </c>
      <c r="C968" s="28" t="s">
        <v>314</v>
      </c>
      <c r="D968" s="28" t="s">
        <v>22</v>
      </c>
      <c r="E968" s="4" t="s">
        <v>16</v>
      </c>
      <c r="F968" s="28" t="s">
        <v>23</v>
      </c>
      <c r="G968" s="4">
        <f>SUMIFS(X!$F$5:$F$2005,X!$D$5:$D$2005,'Current Stock'!A968)</f>
        <v>0</v>
      </c>
      <c r="H968" s="4">
        <f>SUMIFS(PENJUALAN!$E$4:$E$11000,PENJUALAN!$C$4:$C$11000,'Current Stock'!A968)</f>
        <v>0</v>
      </c>
      <c r="I968" s="16">
        <f t="shared" si="2"/>
        <v>0</v>
      </c>
      <c r="J968" s="4"/>
      <c r="K968" s="4"/>
      <c r="L968" s="4"/>
      <c r="M968" s="4"/>
    </row>
    <row r="969" ht="13.5" customHeight="1">
      <c r="A969" s="4" t="str">
        <f t="shared" si="1"/>
        <v>LFW-MUSTANGXYG</v>
      </c>
      <c r="B969" s="29" t="s">
        <v>1388</v>
      </c>
      <c r="C969" s="30" t="s">
        <v>1389</v>
      </c>
      <c r="D969" s="28" t="s">
        <v>22</v>
      </c>
      <c r="E969" s="4" t="s">
        <v>16</v>
      </c>
      <c r="F969" s="28" t="s">
        <v>75</v>
      </c>
      <c r="G969" s="4">
        <f>SUMIFS(X!$F$5:$F$2005,X!$D$5:$D$2005,'Current Stock'!A969)</f>
        <v>0</v>
      </c>
      <c r="H969" s="4">
        <f>SUMIFS(PENJUALAN!$E$4:$E$11000,PENJUALAN!$C$4:$C$11000,'Current Stock'!A969)</f>
        <v>0</v>
      </c>
      <c r="I969" s="16">
        <f t="shared" si="2"/>
        <v>0</v>
      </c>
      <c r="J969" s="4"/>
      <c r="K969" s="4"/>
      <c r="L969" s="4"/>
      <c r="M969" s="4"/>
    </row>
    <row r="970" ht="13.5" customHeight="1">
      <c r="A970" s="20" t="str">
        <f t="shared" si="1"/>
        <v>FDL-ERTIGA12ASH</v>
      </c>
      <c r="B970" s="22" t="s">
        <v>1390</v>
      </c>
      <c r="C970" s="22" t="s">
        <v>1024</v>
      </c>
      <c r="D970" s="22" t="s">
        <v>93</v>
      </c>
      <c r="E970" s="22" t="s">
        <v>82</v>
      </c>
      <c r="F970" s="25"/>
      <c r="G970" s="4">
        <f>SUMIFS(X!$F$5:$F$2005,X!$D$5:$D$2005,'Current Stock'!A970)</f>
        <v>10</v>
      </c>
      <c r="H970" s="4">
        <f>SUMIFS(PENJUALAN!$E$4:$E$11000,PENJUALAN!$C$4:$C$11000,'Current Stock'!A970)</f>
        <v>4</v>
      </c>
      <c r="I970" s="16">
        <f t="shared" si="2"/>
        <v>6</v>
      </c>
      <c r="J970" s="22" t="s">
        <v>1391</v>
      </c>
      <c r="K970" s="22"/>
      <c r="L970" s="25"/>
      <c r="M970" s="25"/>
    </row>
    <row r="971" ht="13.5" customHeight="1">
      <c r="A971" s="4" t="str">
        <f t="shared" si="1"/>
        <v>LFW-RANGER11XYG</v>
      </c>
      <c r="B971" s="29" t="s">
        <v>1392</v>
      </c>
      <c r="C971" s="28" t="s">
        <v>318</v>
      </c>
      <c r="D971" s="28" t="s">
        <v>22</v>
      </c>
      <c r="E971" s="4" t="s">
        <v>16</v>
      </c>
      <c r="F971" s="28" t="s">
        <v>125</v>
      </c>
      <c r="G971" s="4">
        <f>SUMIFS(X!$F$5:$F$2005,X!$D$5:$D$2005,'Current Stock'!A971)</f>
        <v>1</v>
      </c>
      <c r="H971" s="4">
        <f>SUMIFS(PENJUALAN!$E$4:$E$11000,PENJUALAN!$C$4:$C$11000,'Current Stock'!A971)</f>
        <v>1</v>
      </c>
      <c r="I971" s="16">
        <f t="shared" si="2"/>
        <v>0</v>
      </c>
      <c r="J971" s="4"/>
      <c r="K971" s="4"/>
      <c r="L971" s="4"/>
      <c r="M971" s="4"/>
    </row>
    <row r="972" ht="13.5" customHeight="1">
      <c r="A972" s="4" t="str">
        <f t="shared" si="1"/>
        <v>TRW-RANGER11XYG</v>
      </c>
      <c r="B972" s="29" t="s">
        <v>1393</v>
      </c>
      <c r="C972" s="28" t="s">
        <v>318</v>
      </c>
      <c r="D972" s="28" t="s">
        <v>41</v>
      </c>
      <c r="E972" s="4" t="s">
        <v>16</v>
      </c>
      <c r="F972" s="28" t="s">
        <v>67</v>
      </c>
      <c r="G972" s="4">
        <f>SUMIFS(X!$F$5:$F$2005,X!$D$5:$D$2005,'Current Stock'!A972)</f>
        <v>0</v>
      </c>
      <c r="H972" s="4">
        <f>SUMIFS(PENJUALAN!$E$4:$E$11000,PENJUALAN!$C$4:$C$11000,'Current Stock'!A972)</f>
        <v>0</v>
      </c>
      <c r="I972" s="16">
        <f t="shared" si="2"/>
        <v>0</v>
      </c>
      <c r="J972" s="4"/>
      <c r="K972" s="4"/>
      <c r="L972" s="4"/>
      <c r="M972" s="4"/>
    </row>
    <row r="973" ht="13.5" customHeight="1">
      <c r="A973" s="4" t="str">
        <f t="shared" si="1"/>
        <v>LFW-GEELYMKXYG</v>
      </c>
      <c r="B973" s="41" t="s">
        <v>1394</v>
      </c>
      <c r="C973" s="28" t="s">
        <v>1395</v>
      </c>
      <c r="D973" s="28" t="s">
        <v>22</v>
      </c>
      <c r="E973" s="4" t="s">
        <v>16</v>
      </c>
      <c r="F973" s="28" t="s">
        <v>125</v>
      </c>
      <c r="G973" s="4">
        <f>SUMIFS(X!$F$5:$F$2005,X!$D$5:$D$2005,'Current Stock'!A973)</f>
        <v>0</v>
      </c>
      <c r="H973" s="4">
        <f>SUMIFS(PENJUALAN!$E$4:$E$11000,PENJUALAN!$C$4:$C$11000,'Current Stock'!A973)</f>
        <v>0</v>
      </c>
      <c r="I973" s="16">
        <f t="shared" si="2"/>
        <v>0</v>
      </c>
      <c r="J973" s="4"/>
      <c r="K973" s="4"/>
      <c r="L973" s="4"/>
      <c r="M973" s="4"/>
    </row>
    <row r="974" ht="13.5" customHeight="1">
      <c r="A974" s="4" t="str">
        <f t="shared" si="1"/>
        <v>TRW-ERTIGA18HAGC</v>
      </c>
      <c r="B974" s="42" t="s">
        <v>1396</v>
      </c>
      <c r="C974" s="15" t="s">
        <v>1397</v>
      </c>
      <c r="D974" s="15" t="s">
        <v>41</v>
      </c>
      <c r="E974" s="15" t="s">
        <v>78</v>
      </c>
      <c r="F974" s="15" t="s">
        <v>67</v>
      </c>
      <c r="G974" s="4">
        <f>SUMIFS(X!$F$5:$F$2005,X!$D$5:$D$2005,'Current Stock'!A974)</f>
        <v>5</v>
      </c>
      <c r="H974" s="4">
        <f>SUMIFS(PENJUALAN!$E$4:$E$11000,PENJUALAN!$C$4:$C$11000,'Current Stock'!A974)</f>
        <v>4</v>
      </c>
      <c r="I974" s="16">
        <f t="shared" si="2"/>
        <v>1</v>
      </c>
      <c r="J974" s="15" t="s">
        <v>1398</v>
      </c>
      <c r="K974" s="18"/>
      <c r="L974" s="18"/>
      <c r="M974" s="18"/>
    </row>
    <row r="975" ht="13.5" customHeight="1">
      <c r="A975" s="4" t="str">
        <f t="shared" si="1"/>
        <v>TRW-PANDAXYG</v>
      </c>
      <c r="B975" s="29" t="s">
        <v>1399</v>
      </c>
      <c r="C975" s="28" t="s">
        <v>1400</v>
      </c>
      <c r="D975" s="28" t="s">
        <v>41</v>
      </c>
      <c r="E975" s="4" t="s">
        <v>16</v>
      </c>
      <c r="F975" s="28" t="s">
        <v>221</v>
      </c>
      <c r="G975" s="4">
        <f>SUMIFS(X!$F$5:$F$2005,X!$D$5:$D$2005,'Current Stock'!A975)</f>
        <v>0</v>
      </c>
      <c r="H975" s="4">
        <f>SUMIFS(PENJUALAN!$E$4:$E$11000,PENJUALAN!$C$4:$C$11000,'Current Stock'!A975)</f>
        <v>0</v>
      </c>
      <c r="I975" s="16">
        <f t="shared" si="2"/>
        <v>0</v>
      </c>
      <c r="J975" s="4"/>
      <c r="K975" s="4"/>
      <c r="L975" s="4"/>
      <c r="M975" s="4"/>
    </row>
    <row r="976" ht="13.5" customHeight="1">
      <c r="A976" s="4" t="str">
        <f t="shared" si="1"/>
        <v>LFW-ACCORD86XYG</v>
      </c>
      <c r="B976" s="29" t="s">
        <v>323</v>
      </c>
      <c r="C976" s="28" t="s">
        <v>324</v>
      </c>
      <c r="D976" s="28" t="s">
        <v>22</v>
      </c>
      <c r="E976" s="4" t="s">
        <v>16</v>
      </c>
      <c r="F976" s="28" t="s">
        <v>97</v>
      </c>
      <c r="G976" s="4">
        <f>SUMIFS(X!$F$5:$F$2005,X!$D$5:$D$2005,'Current Stock'!A976)</f>
        <v>0</v>
      </c>
      <c r="H976" s="4">
        <f>SUMIFS(PENJUALAN!$E$4:$E$11000,PENJUALAN!$C$4:$C$11000,'Current Stock'!A976)</f>
        <v>0</v>
      </c>
      <c r="I976" s="16">
        <f t="shared" si="2"/>
        <v>0</v>
      </c>
      <c r="J976" s="4"/>
      <c r="K976" s="4"/>
      <c r="L976" s="4"/>
      <c r="M976" s="4"/>
    </row>
    <row r="977" ht="13.5" customHeight="1">
      <c r="A977" s="4" t="str">
        <f t="shared" si="1"/>
        <v>FDR-ACCORD86XYG</v>
      </c>
      <c r="B977" s="29" t="s">
        <v>327</v>
      </c>
      <c r="C977" s="28" t="s">
        <v>324</v>
      </c>
      <c r="D977" s="28" t="s">
        <v>130</v>
      </c>
      <c r="E977" s="4" t="s">
        <v>16</v>
      </c>
      <c r="F977" s="28"/>
      <c r="G977" s="4">
        <f>SUMIFS(X!$F$5:$F$2005,X!$D$5:$D$2005,'Current Stock'!A977)</f>
        <v>0</v>
      </c>
      <c r="H977" s="4">
        <f>SUMIFS(PENJUALAN!$E$4:$E$11000,PENJUALAN!$C$4:$C$11000,'Current Stock'!A977)</f>
        <v>0</v>
      </c>
      <c r="I977" s="16">
        <f t="shared" si="2"/>
        <v>0</v>
      </c>
      <c r="J977" s="4"/>
      <c r="K977" s="4"/>
      <c r="L977" s="4"/>
      <c r="M977" s="4"/>
    </row>
    <row r="978" ht="13.5" customHeight="1">
      <c r="A978" s="4" t="str">
        <f t="shared" si="1"/>
        <v>LFW-ACCORD90XYG</v>
      </c>
      <c r="B978" s="29" t="s">
        <v>330</v>
      </c>
      <c r="C978" s="28" t="s">
        <v>331</v>
      </c>
      <c r="D978" s="28" t="s">
        <v>22</v>
      </c>
      <c r="E978" s="4" t="s">
        <v>16</v>
      </c>
      <c r="F978" s="28" t="s">
        <v>97</v>
      </c>
      <c r="G978" s="4">
        <f>SUMIFS(X!$F$5:$F$2005,X!$D$5:$D$2005,'Current Stock'!A978)</f>
        <v>0</v>
      </c>
      <c r="H978" s="4">
        <f>SUMIFS(PENJUALAN!$E$4:$E$11000,PENJUALAN!$C$4:$C$11000,'Current Stock'!A978)</f>
        <v>0</v>
      </c>
      <c r="I978" s="16">
        <f t="shared" si="2"/>
        <v>0</v>
      </c>
      <c r="J978" s="4"/>
      <c r="K978" s="4"/>
      <c r="L978" s="4"/>
      <c r="M978" s="4"/>
    </row>
    <row r="979" ht="13.5" customHeight="1">
      <c r="A979" s="4" t="str">
        <f t="shared" si="1"/>
        <v>TRW-ACCORD90XYG</v>
      </c>
      <c r="B979" s="29" t="s">
        <v>332</v>
      </c>
      <c r="C979" s="28" t="s">
        <v>331</v>
      </c>
      <c r="D979" s="28" t="s">
        <v>41</v>
      </c>
      <c r="E979" s="4" t="s">
        <v>16</v>
      </c>
      <c r="F979" s="28" t="s">
        <v>67</v>
      </c>
      <c r="G979" s="4">
        <f>SUMIFS(X!$F$5:$F$2005,X!$D$5:$D$2005,'Current Stock'!A979)</f>
        <v>0</v>
      </c>
      <c r="H979" s="4">
        <f>SUMIFS(PENJUALAN!$E$4:$E$11000,PENJUALAN!$C$4:$C$11000,'Current Stock'!A979)</f>
        <v>0</v>
      </c>
      <c r="I979" s="16">
        <f t="shared" si="2"/>
        <v>0</v>
      </c>
      <c r="J979" s="4"/>
      <c r="K979" s="4"/>
      <c r="L979" s="4"/>
      <c r="M979" s="4"/>
    </row>
    <row r="980" ht="13.5" customHeight="1">
      <c r="A980" s="4" t="str">
        <f t="shared" si="1"/>
        <v>LFW-SPARK10XYG</v>
      </c>
      <c r="B980" s="15" t="s">
        <v>253</v>
      </c>
      <c r="C980" s="15" t="s">
        <v>254</v>
      </c>
      <c r="D980" s="18" t="str">
        <f>LEFT(A980,FIND("-",A980) - 1)</f>
        <v>LFW</v>
      </c>
      <c r="E980" s="15" t="s">
        <v>16</v>
      </c>
      <c r="F980" s="15" t="s">
        <v>125</v>
      </c>
      <c r="G980" s="4">
        <f>SUMIFS(X!$F$5:$F$2005,X!$D$5:$D$2005,'Current Stock'!A980)</f>
        <v>1</v>
      </c>
      <c r="H980" s="4">
        <f>SUMIFS(PENJUALAN!$E$4:$E$11000,PENJUALAN!$C$4:$C$11000,'Current Stock'!A980)</f>
        <v>1</v>
      </c>
      <c r="I980" s="16">
        <f t="shared" si="2"/>
        <v>0</v>
      </c>
      <c r="J980" s="18"/>
      <c r="K980" s="18"/>
      <c r="L980" s="18"/>
      <c r="M980" s="18"/>
    </row>
    <row r="981" ht="13.5" customHeight="1">
      <c r="A981" s="4" t="str">
        <f t="shared" si="1"/>
        <v>TRW-ACCORD93XYG</v>
      </c>
      <c r="B981" s="29" t="s">
        <v>335</v>
      </c>
      <c r="C981" s="28" t="s">
        <v>336</v>
      </c>
      <c r="D981" s="28" t="s">
        <v>41</v>
      </c>
      <c r="E981" s="4" t="s">
        <v>16</v>
      </c>
      <c r="F981" s="28" t="s">
        <v>67</v>
      </c>
      <c r="G981" s="4">
        <f>SUMIFS(X!$F$5:$F$2005,X!$D$5:$D$2005,'Current Stock'!A981)</f>
        <v>0</v>
      </c>
      <c r="H981" s="4">
        <f>SUMIFS(PENJUALAN!$E$4:$E$11000,PENJUALAN!$C$4:$C$11000,'Current Stock'!A981)</f>
        <v>0</v>
      </c>
      <c r="I981" s="16">
        <f t="shared" si="2"/>
        <v>0</v>
      </c>
      <c r="J981" s="4"/>
      <c r="K981" s="4"/>
      <c r="L981" s="4"/>
      <c r="M981" s="4"/>
    </row>
    <row r="982" ht="13.5" customHeight="1">
      <c r="A982" s="4" t="str">
        <f t="shared" si="1"/>
        <v>TRW-ACCORD96XYG</v>
      </c>
      <c r="B982" s="29" t="s">
        <v>1401</v>
      </c>
      <c r="C982" s="30" t="s">
        <v>1402</v>
      </c>
      <c r="D982" s="30" t="s">
        <v>41</v>
      </c>
      <c r="E982" s="4" t="s">
        <v>16</v>
      </c>
      <c r="F982" s="30" t="s">
        <v>67</v>
      </c>
      <c r="G982" s="4">
        <f>SUMIFS(X!$F$5:$F$2005,X!$D$5:$D$2005,'Current Stock'!A982)</f>
        <v>0</v>
      </c>
      <c r="H982" s="4">
        <f>SUMIFS(PENJUALAN!$E$4:$E$11000,PENJUALAN!$C$4:$C$11000,'Current Stock'!A982)</f>
        <v>0</v>
      </c>
      <c r="I982" s="16">
        <f t="shared" si="2"/>
        <v>0</v>
      </c>
      <c r="J982" s="4"/>
      <c r="K982" s="4"/>
      <c r="L982" s="4"/>
      <c r="M982" s="4"/>
    </row>
    <row r="983" ht="13.5" customHeight="1">
      <c r="A983" s="4" t="str">
        <f t="shared" si="1"/>
        <v>RDR-XPANDERAGC</v>
      </c>
      <c r="B983" s="15" t="s">
        <v>1403</v>
      </c>
      <c r="C983" s="27" t="s">
        <v>99</v>
      </c>
      <c r="D983" s="15" t="s">
        <v>70</v>
      </c>
      <c r="E983" s="15" t="s">
        <v>78</v>
      </c>
      <c r="F983" s="18"/>
      <c r="G983" s="4">
        <f>SUMIFS(X!$F$5:$F$2005,X!$D$5:$D$2005,'Current Stock'!A983)</f>
        <v>3</v>
      </c>
      <c r="H983" s="4">
        <f>SUMIFS(PENJUALAN!$E$4:$E$11000,PENJUALAN!$C$4:$C$11000,'Current Stock'!A983)</f>
        <v>2</v>
      </c>
      <c r="I983" s="16">
        <f t="shared" si="2"/>
        <v>1</v>
      </c>
      <c r="J983" s="15" t="s">
        <v>1404</v>
      </c>
      <c r="K983" s="15"/>
      <c r="L983" s="18"/>
      <c r="M983" s="18"/>
    </row>
    <row r="984" ht="13.5" customHeight="1">
      <c r="A984" s="4" t="str">
        <f t="shared" si="1"/>
        <v>TRW-ACCORD98XYG</v>
      </c>
      <c r="B984" s="29" t="s">
        <v>339</v>
      </c>
      <c r="C984" s="28" t="s">
        <v>338</v>
      </c>
      <c r="D984" s="28" t="s">
        <v>41</v>
      </c>
      <c r="E984" s="4" t="s">
        <v>16</v>
      </c>
      <c r="F984" s="28" t="s">
        <v>67</v>
      </c>
      <c r="G984" s="4">
        <f>SUMIFS(X!$F$5:$F$2005,X!$D$5:$D$2005,'Current Stock'!A984)</f>
        <v>0</v>
      </c>
      <c r="H984" s="4">
        <f>SUMIFS(PENJUALAN!$E$4:$E$11000,PENJUALAN!$C$4:$C$11000,'Current Stock'!A984)</f>
        <v>0</v>
      </c>
      <c r="I984" s="16">
        <f t="shared" si="2"/>
        <v>0</v>
      </c>
      <c r="J984" s="4"/>
      <c r="K984" s="4"/>
      <c r="L984" s="4"/>
      <c r="M984" s="4"/>
    </row>
    <row r="985" ht="13.5" customHeight="1">
      <c r="A985" s="4" t="str">
        <f t="shared" si="1"/>
        <v>RDR-ACCORD98XYG</v>
      </c>
      <c r="B985" s="29" t="s">
        <v>341</v>
      </c>
      <c r="C985" s="28" t="s">
        <v>338</v>
      </c>
      <c r="D985" s="28" t="s">
        <v>134</v>
      </c>
      <c r="E985" s="4" t="s">
        <v>16</v>
      </c>
      <c r="F985" s="28"/>
      <c r="G985" s="4">
        <f>SUMIFS(X!$F$5:$F$2005,X!$D$5:$D$2005,'Current Stock'!A985)</f>
        <v>0</v>
      </c>
      <c r="H985" s="4">
        <f>SUMIFS(PENJUALAN!$E$4:$E$11000,PENJUALAN!$C$4:$C$11000,'Current Stock'!A985)</f>
        <v>0</v>
      </c>
      <c r="I985" s="16">
        <f t="shared" si="2"/>
        <v>0</v>
      </c>
      <c r="J985" s="4"/>
      <c r="K985" s="4"/>
      <c r="L985" s="4"/>
      <c r="M985" s="4"/>
    </row>
    <row r="986" ht="13.5" customHeight="1">
      <c r="A986" s="4" t="str">
        <f t="shared" si="1"/>
        <v>FDR-SWIFT04AGC</v>
      </c>
      <c r="B986" s="15" t="s">
        <v>1405</v>
      </c>
      <c r="C986" s="15" t="s">
        <v>1406</v>
      </c>
      <c r="D986" s="15" t="s">
        <v>45</v>
      </c>
      <c r="E986" s="15" t="s">
        <v>78</v>
      </c>
      <c r="F986" s="18"/>
      <c r="G986" s="4">
        <f>SUMIFS(X!$F$5:$F$2005,X!$D$5:$D$2005,'Current Stock'!A986)</f>
        <v>1</v>
      </c>
      <c r="H986" s="4">
        <f>SUMIFS(PENJUALAN!$E$4:$E$11000,PENJUALAN!$C$4:$C$11000,'Current Stock'!A986)</f>
        <v>1</v>
      </c>
      <c r="I986" s="16">
        <f t="shared" si="2"/>
        <v>0</v>
      </c>
      <c r="J986" s="18"/>
      <c r="K986" s="18"/>
      <c r="L986" s="18"/>
      <c r="M986" s="18"/>
    </row>
    <row r="987" ht="13.5" customHeight="1">
      <c r="A987" s="4" t="str">
        <f t="shared" si="1"/>
        <v>TRW-ACCORD03XYG</v>
      </c>
      <c r="B987" s="29" t="s">
        <v>344</v>
      </c>
      <c r="C987" s="28" t="s">
        <v>343</v>
      </c>
      <c r="D987" s="28" t="s">
        <v>41</v>
      </c>
      <c r="E987" s="4" t="s">
        <v>16</v>
      </c>
      <c r="F987" s="28" t="s">
        <v>114</v>
      </c>
      <c r="G987" s="4">
        <f>SUMIFS(X!$F$5:$F$2005,X!$D$5:$D$2005,'Current Stock'!A987)</f>
        <v>0</v>
      </c>
      <c r="H987" s="4">
        <f>SUMIFS(PENJUALAN!$E$4:$E$11000,PENJUALAN!$C$4:$C$11000,'Current Stock'!A987)</f>
        <v>0</v>
      </c>
      <c r="I987" s="16">
        <f t="shared" si="2"/>
        <v>0</v>
      </c>
      <c r="J987" s="4"/>
      <c r="K987" s="4"/>
      <c r="L987" s="4"/>
      <c r="M987" s="4"/>
    </row>
    <row r="988" ht="13.5" customHeight="1">
      <c r="A988" s="4" t="str">
        <f t="shared" si="1"/>
        <v>LFW-ACCORD08XYG</v>
      </c>
      <c r="B988" s="29" t="s">
        <v>345</v>
      </c>
      <c r="C988" s="28" t="s">
        <v>346</v>
      </c>
      <c r="D988" s="28" t="s">
        <v>22</v>
      </c>
      <c r="E988" s="4" t="s">
        <v>16</v>
      </c>
      <c r="F988" s="28" t="s">
        <v>125</v>
      </c>
      <c r="G988" s="4">
        <f>SUMIFS(X!$F$5:$F$2005,X!$D$5:$D$2005,'Current Stock'!A988)</f>
        <v>0</v>
      </c>
      <c r="H988" s="4">
        <f>SUMIFS(PENJUALAN!$E$4:$E$11000,PENJUALAN!$C$4:$C$11000,'Current Stock'!A988)</f>
        <v>0</v>
      </c>
      <c r="I988" s="16">
        <f t="shared" si="2"/>
        <v>0</v>
      </c>
      <c r="J988" s="4"/>
      <c r="K988" s="4"/>
      <c r="L988" s="4"/>
      <c r="M988" s="4"/>
    </row>
    <row r="989" ht="13.5" customHeight="1">
      <c r="A989" s="4" t="str">
        <f t="shared" si="1"/>
        <v>LFW-ACCORD08RSXYG</v>
      </c>
      <c r="B989" s="29" t="s">
        <v>1407</v>
      </c>
      <c r="C989" s="28" t="s">
        <v>346</v>
      </c>
      <c r="D989" s="28" t="s">
        <v>22</v>
      </c>
      <c r="E989" s="4" t="s">
        <v>16</v>
      </c>
      <c r="F989" s="28" t="s">
        <v>23</v>
      </c>
      <c r="G989" s="4">
        <f>SUMIFS(X!$F$5:$F$2005,X!$D$5:$D$2005,'Current Stock'!A989)</f>
        <v>0</v>
      </c>
      <c r="H989" s="4">
        <f>SUMIFS(PENJUALAN!$E$4:$E$11000,PENJUALAN!$C$4:$C$11000,'Current Stock'!A989)</f>
        <v>0</v>
      </c>
      <c r="I989" s="16">
        <f t="shared" si="2"/>
        <v>0</v>
      </c>
      <c r="J989" s="4"/>
      <c r="K989" s="4"/>
      <c r="L989" s="4"/>
      <c r="M989" s="4"/>
    </row>
    <row r="990" ht="13.5" customHeight="1">
      <c r="A990" s="4" t="str">
        <f t="shared" si="1"/>
        <v>TRW-RANGER02ASH</v>
      </c>
      <c r="B990" s="15" t="s">
        <v>1408</v>
      </c>
      <c r="C990" s="15" t="s">
        <v>1409</v>
      </c>
      <c r="D990" s="15" t="s">
        <v>41</v>
      </c>
      <c r="E990" s="15" t="s">
        <v>82</v>
      </c>
      <c r="F990" s="18"/>
      <c r="G990" s="4">
        <f>SUMIFS(X!$F$5:$F$2005,X!$D$5:$D$2005,'Current Stock'!A990)</f>
        <v>1</v>
      </c>
      <c r="H990" s="4">
        <f>SUMIFS(PENJUALAN!$E$4:$E$11000,PENJUALAN!$C$4:$C$11000,'Current Stock'!A990)</f>
        <v>1</v>
      </c>
      <c r="I990" s="16">
        <f t="shared" si="2"/>
        <v>0</v>
      </c>
      <c r="J990" s="18"/>
      <c r="K990" s="18"/>
      <c r="L990" s="18"/>
      <c r="M990" s="18"/>
    </row>
    <row r="991" ht="13.5" customHeight="1">
      <c r="A991" s="4" t="str">
        <f t="shared" si="1"/>
        <v>LFW-L200DOUBLEXYG</v>
      </c>
      <c r="B991" s="29" t="s">
        <v>1410</v>
      </c>
      <c r="C991" s="30" t="s">
        <v>1411</v>
      </c>
      <c r="D991" s="30" t="s">
        <v>22</v>
      </c>
      <c r="E991" s="4" t="s">
        <v>16</v>
      </c>
      <c r="F991" s="34" t="s">
        <v>125</v>
      </c>
      <c r="G991" s="4">
        <f>SUMIFS(X!$F$5:$F$2005,X!$D$5:$D$2005,'Current Stock'!A991)</f>
        <v>1</v>
      </c>
      <c r="H991" s="4">
        <f>SUMIFS(PENJUALAN!$E$4:$E$11000,PENJUALAN!$C$4:$C$11000,'Current Stock'!A991)</f>
        <v>1</v>
      </c>
      <c r="I991" s="16">
        <f t="shared" si="2"/>
        <v>0</v>
      </c>
      <c r="J991" s="4"/>
      <c r="K991" s="4"/>
      <c r="L991" s="4"/>
      <c r="M991" s="4"/>
    </row>
    <row r="992" ht="13.5" customHeight="1">
      <c r="A992" s="4" t="str">
        <f t="shared" si="1"/>
        <v>LFW-BRIOXYG</v>
      </c>
      <c r="B992" s="29" t="s">
        <v>356</v>
      </c>
      <c r="C992" s="28" t="s">
        <v>357</v>
      </c>
      <c r="D992" s="28" t="s">
        <v>22</v>
      </c>
      <c r="E992" s="4" t="s">
        <v>16</v>
      </c>
      <c r="F992" s="28" t="s">
        <v>97</v>
      </c>
      <c r="G992" s="4">
        <f>SUMIFS(X!$F$5:$F$2005,X!$D$5:$D$2005,'Current Stock'!A992)</f>
        <v>10</v>
      </c>
      <c r="H992" s="4">
        <f>SUMIFS(PENJUALAN!$E$4:$E$11000,PENJUALAN!$C$4:$C$11000,'Current Stock'!A992)</f>
        <v>4</v>
      </c>
      <c r="I992" s="16">
        <f t="shared" si="2"/>
        <v>6</v>
      </c>
      <c r="J992" s="15" t="s">
        <v>1412</v>
      </c>
      <c r="K992" s="4"/>
      <c r="L992" s="4"/>
      <c r="M992" s="15" t="s">
        <v>1413</v>
      </c>
    </row>
    <row r="993" ht="13.5" customHeight="1">
      <c r="A993" s="4" t="str">
        <f t="shared" si="1"/>
        <v>LFW-CROSSXYG</v>
      </c>
      <c r="B993" s="15" t="s">
        <v>1414</v>
      </c>
      <c r="C993" s="15" t="s">
        <v>1415</v>
      </c>
      <c r="D993" s="15" t="str">
        <f>LEFT(A993,FIND("-",A993) - 1)</f>
        <v>LFW</v>
      </c>
      <c r="E993" s="15" t="s">
        <v>16</v>
      </c>
      <c r="F993" s="15" t="s">
        <v>75</v>
      </c>
      <c r="G993" s="4">
        <f>SUMIFS(X!$F$5:$F$2005,X!$D$5:$D$2005,'Current Stock'!A993)</f>
        <v>4</v>
      </c>
      <c r="H993" s="4">
        <f>SUMIFS(PENJUALAN!$E$4:$E$11000,PENJUALAN!$C$4:$C$11000,'Current Stock'!A993)</f>
        <v>4</v>
      </c>
      <c r="I993" s="16">
        <f t="shared" si="2"/>
        <v>0</v>
      </c>
      <c r="J993" s="15" t="s">
        <v>1416</v>
      </c>
      <c r="K993" s="18"/>
      <c r="L993" s="18"/>
      <c r="M993" s="18"/>
    </row>
    <row r="994" ht="13.5" customHeight="1">
      <c r="A994" s="4" t="str">
        <f t="shared" si="1"/>
        <v>LFW-TRAGAMU</v>
      </c>
      <c r="B994" s="29" t="s">
        <v>1417</v>
      </c>
      <c r="C994" s="30" t="s">
        <v>1418</v>
      </c>
      <c r="D994" s="30" t="s">
        <v>22</v>
      </c>
      <c r="E994" s="4" t="s">
        <v>1361</v>
      </c>
      <c r="F994" s="28"/>
      <c r="G994" s="4">
        <f>SUMIFS(X!$F$5:$F$2005,X!$D$5:$D$2005,'Current Stock'!A994)</f>
        <v>14</v>
      </c>
      <c r="H994" s="4">
        <f>SUMIFS(PENJUALAN!$E$4:$E$11000,PENJUALAN!$C$4:$C$11000,'Current Stock'!A994)</f>
        <v>14</v>
      </c>
      <c r="I994" s="16">
        <f t="shared" si="2"/>
        <v>0</v>
      </c>
      <c r="J994" s="15" t="s">
        <v>1419</v>
      </c>
      <c r="K994" s="15"/>
      <c r="L994" s="5">
        <v>1.0</v>
      </c>
      <c r="M994" s="4"/>
    </row>
    <row r="995" ht="13.5" customHeight="1">
      <c r="A995" s="4" t="str">
        <f t="shared" si="1"/>
        <v>TRW-BRIO18XYG</v>
      </c>
      <c r="B995" s="29" t="s">
        <v>1420</v>
      </c>
      <c r="C995" s="28" t="s">
        <v>1421</v>
      </c>
      <c r="D995" s="28" t="s">
        <v>41</v>
      </c>
      <c r="E995" s="4" t="s">
        <v>16</v>
      </c>
      <c r="F995" s="28" t="s">
        <v>97</v>
      </c>
      <c r="G995" s="4">
        <f>SUMIFS(X!$F$5:$F$2005,X!$D$5:$D$2005,'Current Stock'!A995)</f>
        <v>6</v>
      </c>
      <c r="H995" s="4">
        <f>SUMIFS(PENJUALAN!$E$4:$E$11000,PENJUALAN!$C$4:$C$11000,'Current Stock'!A995)</f>
        <v>3</v>
      </c>
      <c r="I995" s="16">
        <f t="shared" si="2"/>
        <v>3</v>
      </c>
      <c r="J995" s="15" t="s">
        <v>1422</v>
      </c>
      <c r="K995" s="15"/>
      <c r="L995" s="4"/>
      <c r="M995" s="4"/>
    </row>
    <row r="996" ht="13.5" customHeight="1">
      <c r="A996" s="4" t="str">
        <f t="shared" si="1"/>
        <v>LFW-PANTHER91MU</v>
      </c>
      <c r="B996" s="29" t="s">
        <v>1423</v>
      </c>
      <c r="C996" s="30" t="s">
        <v>1424</v>
      </c>
      <c r="D996" s="30" t="s">
        <v>22</v>
      </c>
      <c r="E996" s="4" t="s">
        <v>1361</v>
      </c>
      <c r="F996" s="28"/>
      <c r="G996" s="4">
        <f>SUMIFS(X!$F$5:$F$2005,X!$D$5:$D$2005,'Current Stock'!A996)</f>
        <v>6</v>
      </c>
      <c r="H996" s="4">
        <f>SUMIFS(PENJUALAN!$E$4:$E$11000,PENJUALAN!$C$4:$C$11000,'Current Stock'!A996)</f>
        <v>4</v>
      </c>
      <c r="I996" s="16">
        <f t="shared" si="2"/>
        <v>2</v>
      </c>
      <c r="J996" s="15" t="s">
        <v>1425</v>
      </c>
      <c r="K996" s="15"/>
      <c r="L996" s="5">
        <v>1.0</v>
      </c>
      <c r="M996" s="4"/>
    </row>
    <row r="997" ht="13.5" customHeight="1">
      <c r="A997" s="4" t="str">
        <f t="shared" si="1"/>
        <v>TRW-CITY96XYG</v>
      </c>
      <c r="B997" s="29" t="s">
        <v>360</v>
      </c>
      <c r="C997" s="28" t="s">
        <v>359</v>
      </c>
      <c r="D997" s="28" t="s">
        <v>41</v>
      </c>
      <c r="E997" s="4" t="s">
        <v>16</v>
      </c>
      <c r="F997" s="28" t="s">
        <v>67</v>
      </c>
      <c r="G997" s="4">
        <f>SUMIFS(X!$F$5:$F$2005,X!$D$5:$D$2005,'Current Stock'!A997)</f>
        <v>0</v>
      </c>
      <c r="H997" s="4">
        <f>SUMIFS(PENJUALAN!$E$4:$E$11000,PENJUALAN!$C$4:$C$11000,'Current Stock'!A997)</f>
        <v>0</v>
      </c>
      <c r="I997" s="16">
        <f t="shared" si="2"/>
        <v>0</v>
      </c>
      <c r="J997" s="4"/>
      <c r="K997" s="4"/>
      <c r="L997" s="4"/>
      <c r="M997" s="4"/>
    </row>
    <row r="998" ht="13.5" customHeight="1">
      <c r="A998" s="4" t="str">
        <f t="shared" si="1"/>
        <v>TRW-TRITON05XYG</v>
      </c>
      <c r="B998" s="29" t="s">
        <v>888</v>
      </c>
      <c r="C998" s="28" t="s">
        <v>887</v>
      </c>
      <c r="D998" s="28" t="s">
        <v>41</v>
      </c>
      <c r="E998" s="4" t="s">
        <v>16</v>
      </c>
      <c r="F998" s="28" t="s">
        <v>67</v>
      </c>
      <c r="G998" s="4">
        <f>SUMIFS(X!$F$5:$F$2005,X!$D$5:$D$2005,'Current Stock'!A998)</f>
        <v>6</v>
      </c>
      <c r="H998" s="4">
        <f>SUMIFS(PENJUALAN!$E$4:$E$11000,PENJUALAN!$C$4:$C$11000,'Current Stock'!A998)</f>
        <v>5</v>
      </c>
      <c r="I998" s="16">
        <f t="shared" si="2"/>
        <v>1</v>
      </c>
      <c r="J998" s="15" t="s">
        <v>43</v>
      </c>
      <c r="K998" s="15"/>
      <c r="L998" s="4"/>
      <c r="M998" s="4"/>
    </row>
    <row r="999" ht="13.5" customHeight="1">
      <c r="A999" s="4" t="str">
        <f t="shared" si="1"/>
        <v>TRW-CITY02XYG</v>
      </c>
      <c r="B999" s="29" t="s">
        <v>363</v>
      </c>
      <c r="C999" s="28" t="s">
        <v>364</v>
      </c>
      <c r="D999" s="28" t="s">
        <v>41</v>
      </c>
      <c r="E999" s="4" t="s">
        <v>16</v>
      </c>
      <c r="F999" s="28" t="s">
        <v>67</v>
      </c>
      <c r="G999" s="4">
        <f>SUMIFS(X!$F$5:$F$2005,X!$D$5:$D$2005,'Current Stock'!A999)</f>
        <v>1</v>
      </c>
      <c r="H999" s="4">
        <f>SUMIFS(PENJUALAN!$E$4:$E$11000,PENJUALAN!$C$4:$C$11000,'Current Stock'!A999)</f>
        <v>0</v>
      </c>
      <c r="I999" s="16">
        <f t="shared" si="2"/>
        <v>1</v>
      </c>
      <c r="J999" s="15" t="s">
        <v>1378</v>
      </c>
      <c r="K999" s="4"/>
      <c r="L999" s="4"/>
      <c r="M999" s="4"/>
    </row>
    <row r="1000" ht="13.5" customHeight="1">
      <c r="A1000" s="4" t="str">
        <f t="shared" si="1"/>
        <v>SWR-INNOVA04ASH</v>
      </c>
      <c r="B1000" s="24" t="s">
        <v>1426</v>
      </c>
      <c r="C1000" s="39" t="s">
        <v>1160</v>
      </c>
      <c r="D1000" s="22" t="s">
        <v>104</v>
      </c>
      <c r="E1000" s="22" t="s">
        <v>82</v>
      </c>
      <c r="F1000" s="22" t="s">
        <v>97</v>
      </c>
      <c r="G1000" s="4">
        <f>SUMIFS(X!$F$5:$F$2005,X!$D$5:$D$2005,'Current Stock'!A1000)</f>
        <v>5</v>
      </c>
      <c r="H1000" s="4">
        <f>SUMIFS(PENJUALAN!$E$4:$E$11000,PENJUALAN!$C$4:$C$11000,'Current Stock'!A1000)</f>
        <v>4</v>
      </c>
      <c r="I1000" s="16">
        <f t="shared" si="2"/>
        <v>1</v>
      </c>
      <c r="J1000" s="22" t="s">
        <v>1355</v>
      </c>
      <c r="K1000" s="22"/>
      <c r="L1000" s="25"/>
      <c r="M1000" s="25"/>
    </row>
    <row r="1001" ht="13.5" customHeight="1">
      <c r="A1001" s="4" t="str">
        <f t="shared" si="1"/>
        <v>FDR-JAZZ01ASH</v>
      </c>
      <c r="B1001" s="32" t="s">
        <v>1427</v>
      </c>
      <c r="C1001" s="15" t="s">
        <v>463</v>
      </c>
      <c r="D1001" s="18" t="str">
        <f>LEFT(A1001,FIND("-",A1001) - 1)</f>
        <v>FDR</v>
      </c>
      <c r="E1001" s="15" t="s">
        <v>82</v>
      </c>
      <c r="F1001" s="18"/>
      <c r="G1001" s="4">
        <f>SUMIFS(X!$F$5:$F$2005,X!$D$5:$D$2005,'Current Stock'!A1001)</f>
        <v>6</v>
      </c>
      <c r="H1001" s="4">
        <f>SUMIFS(PENJUALAN!$E$4:$E$11000,PENJUALAN!$C$4:$C$11000,'Current Stock'!A1001)</f>
        <v>1</v>
      </c>
      <c r="I1001" s="16">
        <f t="shared" si="2"/>
        <v>5</v>
      </c>
      <c r="J1001" s="15" t="s">
        <v>1428</v>
      </c>
      <c r="K1001" s="15"/>
      <c r="L1001" s="18"/>
      <c r="M1001" s="18"/>
    </row>
    <row r="1002" ht="13.5" customHeight="1">
      <c r="A1002" s="4" t="str">
        <f t="shared" si="1"/>
        <v>LFW-CITY14XYG</v>
      </c>
      <c r="B1002" s="29" t="s">
        <v>368</v>
      </c>
      <c r="C1002" s="28" t="s">
        <v>369</v>
      </c>
      <c r="D1002" s="28" t="s">
        <v>22</v>
      </c>
      <c r="E1002" s="4" t="s">
        <v>16</v>
      </c>
      <c r="F1002" s="28" t="s">
        <v>125</v>
      </c>
      <c r="G1002" s="4">
        <f>SUMIFS(X!$F$5:$F$2005,X!$D$5:$D$2005,'Current Stock'!A1002)</f>
        <v>3</v>
      </c>
      <c r="H1002" s="4">
        <f>SUMIFS(PENJUALAN!$E$4:$E$11000,PENJUALAN!$C$4:$C$11000,'Current Stock'!A1002)</f>
        <v>3</v>
      </c>
      <c r="I1002" s="16">
        <f t="shared" si="2"/>
        <v>0</v>
      </c>
      <c r="J1002" s="4"/>
      <c r="K1002" s="4"/>
      <c r="L1002" s="4"/>
      <c r="M1002" s="4"/>
    </row>
    <row r="1003" ht="13.5" customHeight="1">
      <c r="A1003" s="4" t="str">
        <f t="shared" si="1"/>
        <v>TRW-CITY14XYG</v>
      </c>
      <c r="B1003" s="29" t="s">
        <v>1429</v>
      </c>
      <c r="C1003" s="30" t="s">
        <v>369</v>
      </c>
      <c r="D1003" s="30" t="s">
        <v>41</v>
      </c>
      <c r="E1003" s="4" t="s">
        <v>16</v>
      </c>
      <c r="F1003" s="34" t="s">
        <v>67</v>
      </c>
      <c r="G1003" s="4">
        <f>SUMIFS(X!$F$5:$F$2005,X!$D$5:$D$2005,'Current Stock'!A1003)</f>
        <v>0</v>
      </c>
      <c r="H1003" s="4">
        <f>SUMIFS(PENJUALAN!$E$4:$E$11000,PENJUALAN!$C$4:$C$11000,'Current Stock'!A1003)</f>
        <v>0</v>
      </c>
      <c r="I1003" s="16">
        <f t="shared" si="2"/>
        <v>0</v>
      </c>
      <c r="J1003" s="4"/>
      <c r="K1003" s="4"/>
      <c r="L1003" s="4"/>
      <c r="M1003" s="4"/>
    </row>
    <row r="1004" ht="13.5" customHeight="1">
      <c r="A1004" s="20" t="str">
        <f t="shared" si="1"/>
        <v>FDL-TERIOS06ASH</v>
      </c>
      <c r="B1004" s="22" t="s">
        <v>1430</v>
      </c>
      <c r="C1004" s="22" t="s">
        <v>1244</v>
      </c>
      <c r="D1004" s="25" t="str">
        <f>LEFT(A1004,FIND("-",A1004) - 1)</f>
        <v>FDL</v>
      </c>
      <c r="E1004" s="22" t="s">
        <v>82</v>
      </c>
      <c r="F1004" s="25"/>
      <c r="G1004" s="4">
        <f>SUMIFS(X!$F$5:$F$2005,X!$D$5:$D$2005,'Current Stock'!A1004)</f>
        <v>10</v>
      </c>
      <c r="H1004" s="4">
        <f>SUMIFS(PENJUALAN!$E$4:$E$11000,PENJUALAN!$C$4:$C$11000,'Current Stock'!A1004)</f>
        <v>5</v>
      </c>
      <c r="I1004" s="16">
        <f t="shared" si="2"/>
        <v>5</v>
      </c>
      <c r="J1004" s="22" t="s">
        <v>1431</v>
      </c>
      <c r="K1004" s="22"/>
      <c r="L1004" s="25"/>
      <c r="M1004" s="25"/>
    </row>
    <row r="1005" ht="13.5" customHeight="1">
      <c r="A1005" s="4" t="str">
        <f t="shared" si="1"/>
        <v>LFW-CIVICESTXYG</v>
      </c>
      <c r="B1005" s="29" t="s">
        <v>370</v>
      </c>
      <c r="C1005" s="28" t="s">
        <v>371</v>
      </c>
      <c r="D1005" s="28" t="s">
        <v>22</v>
      </c>
      <c r="E1005" s="4" t="s">
        <v>16</v>
      </c>
      <c r="F1005" s="28" t="s">
        <v>125</v>
      </c>
      <c r="G1005" s="4">
        <f>SUMIFS(X!$F$5:$F$2005,X!$D$5:$D$2005,'Current Stock'!A1005)</f>
        <v>1</v>
      </c>
      <c r="H1005" s="4">
        <f>SUMIFS(PENJUALAN!$E$4:$E$11000,PENJUALAN!$C$4:$C$11000,'Current Stock'!A1005)</f>
        <v>0</v>
      </c>
      <c r="I1005" s="16">
        <f t="shared" si="2"/>
        <v>1</v>
      </c>
      <c r="J1005" s="15" t="s">
        <v>1432</v>
      </c>
      <c r="K1005" s="4"/>
      <c r="L1005" s="4"/>
      <c r="M1005" s="4"/>
    </row>
    <row r="1006" ht="13.5" customHeight="1">
      <c r="A1006" s="4" t="str">
        <f t="shared" si="1"/>
        <v>TRW-CIVICESTXYG</v>
      </c>
      <c r="B1006" s="29" t="s">
        <v>372</v>
      </c>
      <c r="C1006" s="28" t="s">
        <v>371</v>
      </c>
      <c r="D1006" s="28" t="s">
        <v>41</v>
      </c>
      <c r="E1006" s="4" t="s">
        <v>16</v>
      </c>
      <c r="F1006" s="28" t="s">
        <v>373</v>
      </c>
      <c r="G1006" s="4">
        <f>SUMIFS(X!$F$5:$F$2005,X!$D$5:$D$2005,'Current Stock'!A1006)</f>
        <v>0</v>
      </c>
      <c r="H1006" s="4">
        <f>SUMIFS(PENJUALAN!$E$4:$E$11000,PENJUALAN!$C$4:$C$11000,'Current Stock'!A1006)</f>
        <v>0</v>
      </c>
      <c r="I1006" s="16">
        <f t="shared" si="2"/>
        <v>0</v>
      </c>
      <c r="J1006" s="4"/>
      <c r="K1006" s="4"/>
      <c r="L1006" s="4"/>
      <c r="M1006" s="4"/>
    </row>
    <row r="1007" ht="13.5" customHeight="1">
      <c r="A1007" s="4" t="str">
        <f t="shared" si="1"/>
        <v>FDL-CIVICESTXYG</v>
      </c>
      <c r="B1007" s="29" t="s">
        <v>374</v>
      </c>
      <c r="C1007" s="28" t="s">
        <v>371</v>
      </c>
      <c r="D1007" s="28" t="s">
        <v>128</v>
      </c>
      <c r="E1007" s="4" t="s">
        <v>16</v>
      </c>
      <c r="F1007" s="28"/>
      <c r="G1007" s="4">
        <f>SUMIFS(X!$F$5:$F$2005,X!$D$5:$D$2005,'Current Stock'!A1007)</f>
        <v>0</v>
      </c>
      <c r="H1007" s="4">
        <f>SUMIFS(PENJUALAN!$E$4:$E$11000,PENJUALAN!$C$4:$C$11000,'Current Stock'!A1007)</f>
        <v>0</v>
      </c>
      <c r="I1007" s="16">
        <f t="shared" si="2"/>
        <v>0</v>
      </c>
      <c r="J1007" s="4"/>
      <c r="K1007" s="4"/>
      <c r="L1007" s="4"/>
      <c r="M1007" s="4"/>
    </row>
    <row r="1008" ht="13.5" customHeight="1">
      <c r="A1008" s="4" t="str">
        <f t="shared" si="1"/>
        <v>FDR-CIVICESTXYG</v>
      </c>
      <c r="B1008" s="29" t="s">
        <v>375</v>
      </c>
      <c r="C1008" s="28" t="s">
        <v>371</v>
      </c>
      <c r="D1008" s="30" t="s">
        <v>130</v>
      </c>
      <c r="E1008" s="4" t="s">
        <v>16</v>
      </c>
      <c r="F1008" s="28"/>
      <c r="G1008" s="4">
        <f>SUMIFS(X!$F$5:$F$2005,X!$D$5:$D$2005,'Current Stock'!A1008)</f>
        <v>0</v>
      </c>
      <c r="H1008" s="4">
        <f>SUMIFS(PENJUALAN!$E$4:$E$11000,PENJUALAN!$C$4:$C$11000,'Current Stock'!A1008)</f>
        <v>0</v>
      </c>
      <c r="I1008" s="16">
        <f t="shared" si="2"/>
        <v>0</v>
      </c>
      <c r="J1008" s="4"/>
      <c r="K1008" s="4"/>
      <c r="L1008" s="4"/>
      <c r="M1008" s="4"/>
    </row>
    <row r="1009" ht="13.5" customHeight="1">
      <c r="A1009" s="4" t="str">
        <f t="shared" si="1"/>
        <v>SWL-CIVICESTXYG</v>
      </c>
      <c r="B1009" s="31" t="s">
        <v>1433</v>
      </c>
      <c r="C1009" s="28" t="s">
        <v>371</v>
      </c>
      <c r="D1009" s="43" t="s">
        <v>1434</v>
      </c>
      <c r="E1009" s="4" t="s">
        <v>16</v>
      </c>
      <c r="F1009" s="33" t="s">
        <v>97</v>
      </c>
      <c r="G1009" s="4">
        <f>SUMIFS(X!$F$5:$F$2005,X!$D$5:$D$2005,'Current Stock'!A1009)</f>
        <v>2</v>
      </c>
      <c r="H1009" s="4">
        <f>SUMIFS(PENJUALAN!$E$4:$E$11000,PENJUALAN!$C$4:$C$11000,'Current Stock'!A1009)</f>
        <v>0</v>
      </c>
      <c r="I1009" s="16">
        <f t="shared" si="2"/>
        <v>2</v>
      </c>
      <c r="J1009" s="15" t="s">
        <v>1435</v>
      </c>
      <c r="K1009" s="15"/>
      <c r="L1009" s="4"/>
      <c r="M1009" s="4"/>
    </row>
    <row r="1010" ht="13.5" customHeight="1">
      <c r="A1010" s="4" t="str">
        <f t="shared" si="1"/>
        <v>SWR-CIVICESTXYG</v>
      </c>
      <c r="B1010" s="31" t="s">
        <v>1436</v>
      </c>
      <c r="C1010" s="28" t="s">
        <v>371</v>
      </c>
      <c r="D1010" s="43" t="s">
        <v>104</v>
      </c>
      <c r="E1010" s="4" t="s">
        <v>16</v>
      </c>
      <c r="F1010" s="33" t="s">
        <v>97</v>
      </c>
      <c r="G1010" s="4">
        <f>SUMIFS(X!$F$5:$F$2005,X!$D$5:$D$2005,'Current Stock'!A1010)</f>
        <v>2</v>
      </c>
      <c r="H1010" s="4">
        <f>SUMIFS(PENJUALAN!$E$4:$E$11000,PENJUALAN!$C$4:$C$11000,'Current Stock'!A1010)</f>
        <v>0</v>
      </c>
      <c r="I1010" s="16">
        <f t="shared" si="2"/>
        <v>2</v>
      </c>
      <c r="J1010" s="15" t="s">
        <v>1435</v>
      </c>
      <c r="K1010" s="15"/>
      <c r="L1010" s="4"/>
      <c r="M1010" s="4"/>
    </row>
    <row r="1011" ht="13.5" customHeight="1">
      <c r="A1011" s="4" t="str">
        <f t="shared" si="1"/>
        <v>FDL-FE700ASH</v>
      </c>
      <c r="B1011" s="24" t="s">
        <v>1437</v>
      </c>
      <c r="C1011" s="22" t="s">
        <v>1311</v>
      </c>
      <c r="D1011" s="25" t="str">
        <f>LEFT(A1011,FIND("-",A1011) - 1)</f>
        <v>FDL</v>
      </c>
      <c r="E1011" s="22" t="s">
        <v>82</v>
      </c>
      <c r="F1011" s="25"/>
      <c r="G1011" s="4">
        <f>SUMIFS(X!$F$5:$F$2005,X!$D$5:$D$2005,'Current Stock'!A1011)</f>
        <v>5</v>
      </c>
      <c r="H1011" s="4">
        <f>SUMIFS(PENJUALAN!$E$4:$E$11000,PENJUALAN!$C$4:$C$11000,'Current Stock'!A1011)</f>
        <v>4</v>
      </c>
      <c r="I1011" s="16">
        <f t="shared" si="2"/>
        <v>1</v>
      </c>
      <c r="J1011" s="22" t="s">
        <v>1382</v>
      </c>
      <c r="K1011" s="22"/>
      <c r="L1011" s="25"/>
      <c r="M1011" s="25"/>
    </row>
    <row r="1012" ht="13.5" customHeight="1">
      <c r="A1012" s="4" t="str">
        <f t="shared" si="1"/>
        <v>TRW-CIVICGENIOXYG</v>
      </c>
      <c r="B1012" s="29" t="s">
        <v>381</v>
      </c>
      <c r="C1012" s="28" t="s">
        <v>379</v>
      </c>
      <c r="D1012" s="28" t="s">
        <v>41</v>
      </c>
      <c r="E1012" s="4" t="s">
        <v>16</v>
      </c>
      <c r="F1012" s="28" t="s">
        <v>67</v>
      </c>
      <c r="G1012" s="4">
        <f>SUMIFS(X!$F$5:$F$2005,X!$D$5:$D$2005,'Current Stock'!A1012)</f>
        <v>0</v>
      </c>
      <c r="H1012" s="4">
        <f>SUMIFS(PENJUALAN!$E$4:$E$11000,PENJUALAN!$C$4:$C$11000,'Current Stock'!A1012)</f>
        <v>0</v>
      </c>
      <c r="I1012" s="16">
        <f t="shared" si="2"/>
        <v>0</v>
      </c>
      <c r="J1012" s="4"/>
      <c r="K1012" s="4"/>
      <c r="L1012" s="4"/>
      <c r="M1012" s="4"/>
    </row>
    <row r="1013" ht="13.5" customHeight="1">
      <c r="A1013" s="4" t="str">
        <f t="shared" si="1"/>
        <v>LFW-CIVIC96XYG</v>
      </c>
      <c r="B1013" s="29" t="s">
        <v>382</v>
      </c>
      <c r="C1013" s="28" t="s">
        <v>383</v>
      </c>
      <c r="D1013" s="28" t="s">
        <v>22</v>
      </c>
      <c r="E1013" s="4" t="s">
        <v>16</v>
      </c>
      <c r="F1013" s="28" t="s">
        <v>97</v>
      </c>
      <c r="G1013" s="4">
        <f>SUMIFS(X!$F$5:$F$2005,X!$D$5:$D$2005,'Current Stock'!A1013)</f>
        <v>1</v>
      </c>
      <c r="H1013" s="4">
        <f>SUMIFS(PENJUALAN!$E$4:$E$11000,PENJUALAN!$C$4:$C$11000,'Current Stock'!A1013)</f>
        <v>0</v>
      </c>
      <c r="I1013" s="16">
        <f t="shared" si="2"/>
        <v>1</v>
      </c>
      <c r="J1013" s="15" t="s">
        <v>1333</v>
      </c>
      <c r="K1013" s="4"/>
      <c r="L1013" s="4"/>
      <c r="M1013" s="4"/>
    </row>
    <row r="1014" ht="13.5" customHeight="1">
      <c r="A1014" s="4" t="str">
        <f t="shared" si="1"/>
        <v>LFW-FJ78MU</v>
      </c>
      <c r="B1014" s="15" t="s">
        <v>1438</v>
      </c>
      <c r="C1014" s="15" t="s">
        <v>1439</v>
      </c>
      <c r="D1014" s="15" t="s">
        <v>22</v>
      </c>
      <c r="E1014" s="15" t="s">
        <v>1361</v>
      </c>
      <c r="F1014" s="15" t="s">
        <v>97</v>
      </c>
      <c r="G1014" s="4">
        <f>SUMIFS(X!$F$5:$F$2005,X!$D$5:$D$2005,'Current Stock'!A1014)</f>
        <v>2</v>
      </c>
      <c r="H1014" s="4">
        <f>SUMIFS(PENJUALAN!$E$4:$E$11000,PENJUALAN!$C$4:$C$11000,'Current Stock'!A1014)</f>
        <v>2</v>
      </c>
      <c r="I1014" s="16">
        <f t="shared" si="2"/>
        <v>0</v>
      </c>
      <c r="J1014" s="18"/>
      <c r="K1014" s="18"/>
      <c r="L1014" s="18"/>
      <c r="M1014" s="18"/>
    </row>
    <row r="1015" ht="13.5" customHeight="1">
      <c r="A1015" s="4" t="str">
        <f t="shared" si="1"/>
        <v>LFW-CIVIC00XYG</v>
      </c>
      <c r="B1015" s="29" t="s">
        <v>390</v>
      </c>
      <c r="C1015" s="28" t="s">
        <v>391</v>
      </c>
      <c r="D1015" s="28" t="s">
        <v>22</v>
      </c>
      <c r="E1015" s="4" t="s">
        <v>16</v>
      </c>
      <c r="F1015" s="28" t="s">
        <v>97</v>
      </c>
      <c r="G1015" s="4">
        <f>SUMIFS(X!$F$5:$F$2005,X!$D$5:$D$2005,'Current Stock'!A1015)</f>
        <v>0</v>
      </c>
      <c r="H1015" s="4">
        <f>SUMIFS(PENJUALAN!$E$4:$E$11000,PENJUALAN!$C$4:$C$11000,'Current Stock'!A1015)</f>
        <v>0</v>
      </c>
      <c r="I1015" s="16">
        <f t="shared" si="2"/>
        <v>0</v>
      </c>
      <c r="J1015" s="4"/>
      <c r="K1015" s="4"/>
      <c r="L1015" s="4"/>
      <c r="M1015" s="4"/>
    </row>
    <row r="1016" ht="13.5" customHeight="1">
      <c r="A1016" s="4" t="str">
        <f t="shared" si="1"/>
        <v>TRW-CIVIC00XYG</v>
      </c>
      <c r="B1016" s="29" t="s">
        <v>392</v>
      </c>
      <c r="C1016" s="28" t="s">
        <v>391</v>
      </c>
      <c r="D1016" s="28" t="s">
        <v>41</v>
      </c>
      <c r="E1016" s="4" t="s">
        <v>16</v>
      </c>
      <c r="F1016" s="28" t="s">
        <v>114</v>
      </c>
      <c r="G1016" s="4">
        <f>SUMIFS(X!$F$5:$F$2005,X!$D$5:$D$2005,'Current Stock'!A1016)</f>
        <v>1</v>
      </c>
      <c r="H1016" s="4">
        <f>SUMIFS(PENJUALAN!$E$4:$E$11000,PENJUALAN!$C$4:$C$11000,'Current Stock'!A1016)</f>
        <v>1</v>
      </c>
      <c r="I1016" s="16">
        <f t="shared" si="2"/>
        <v>0</v>
      </c>
      <c r="J1016" s="4"/>
      <c r="K1016" s="4"/>
      <c r="L1016" s="4"/>
      <c r="M1016" s="4"/>
    </row>
    <row r="1017" ht="13.5" customHeight="1">
      <c r="A1017" s="4" t="str">
        <f t="shared" si="1"/>
        <v>TRW-CIVIC00HATCHBACKXYG</v>
      </c>
      <c r="B1017" s="29" t="s">
        <v>1440</v>
      </c>
      <c r="C1017" s="28" t="s">
        <v>1441</v>
      </c>
      <c r="D1017" s="30" t="s">
        <v>41</v>
      </c>
      <c r="E1017" s="4" t="s">
        <v>16</v>
      </c>
      <c r="F1017" s="28" t="s">
        <v>67</v>
      </c>
      <c r="G1017" s="4">
        <f>SUMIFS(X!$F$5:$F$2005,X!$D$5:$D$2005,'Current Stock'!A1017)</f>
        <v>0</v>
      </c>
      <c r="H1017" s="4">
        <f>SUMIFS(PENJUALAN!$E$4:$E$11000,PENJUALAN!$C$4:$C$11000,'Current Stock'!A1017)</f>
        <v>0</v>
      </c>
      <c r="I1017" s="16">
        <f t="shared" si="2"/>
        <v>0</v>
      </c>
      <c r="J1017" s="4"/>
      <c r="K1017" s="4"/>
      <c r="L1017" s="4"/>
      <c r="M1017" s="4"/>
    </row>
    <row r="1018" ht="13.5" customHeight="1">
      <c r="A1018" s="4" t="str">
        <f t="shared" si="1"/>
        <v>LFW-CIVIC05XYG</v>
      </c>
      <c r="B1018" s="29" t="s">
        <v>393</v>
      </c>
      <c r="C1018" s="28" t="s">
        <v>394</v>
      </c>
      <c r="D1018" s="28" t="s">
        <v>22</v>
      </c>
      <c r="E1018" s="4" t="s">
        <v>16</v>
      </c>
      <c r="F1018" s="28" t="s">
        <v>125</v>
      </c>
      <c r="G1018" s="4">
        <f>SUMIFS(X!$F$5:$F$2005,X!$D$5:$D$2005,'Current Stock'!A1018)</f>
        <v>0</v>
      </c>
      <c r="H1018" s="4">
        <f>SUMIFS(PENJUALAN!$E$4:$E$11000,PENJUALAN!$C$4:$C$11000,'Current Stock'!A1018)</f>
        <v>0</v>
      </c>
      <c r="I1018" s="16">
        <f t="shared" si="2"/>
        <v>0</v>
      </c>
      <c r="J1018" s="4"/>
      <c r="K1018" s="4"/>
      <c r="L1018" s="5">
        <v>1.0</v>
      </c>
      <c r="M1018" s="4"/>
    </row>
    <row r="1019" ht="13.5" customHeight="1">
      <c r="A1019" s="4" t="str">
        <f t="shared" si="1"/>
        <v>TRW-CIVIC05XYG</v>
      </c>
      <c r="B1019" s="29" t="s">
        <v>395</v>
      </c>
      <c r="C1019" s="28" t="s">
        <v>394</v>
      </c>
      <c r="D1019" s="28" t="s">
        <v>41</v>
      </c>
      <c r="E1019" s="4" t="s">
        <v>16</v>
      </c>
      <c r="F1019" s="28" t="s">
        <v>67</v>
      </c>
      <c r="G1019" s="4">
        <f>SUMIFS(X!$F$5:$F$2005,X!$D$5:$D$2005,'Current Stock'!A1019)</f>
        <v>0</v>
      </c>
      <c r="H1019" s="4">
        <f>SUMIFS(PENJUALAN!$E$4:$E$11000,PENJUALAN!$C$4:$C$11000,'Current Stock'!A1019)</f>
        <v>0</v>
      </c>
      <c r="I1019" s="16">
        <f t="shared" si="2"/>
        <v>0</v>
      </c>
      <c r="J1019" s="4"/>
      <c r="K1019" s="4"/>
      <c r="L1019" s="4"/>
      <c r="M1019" s="4"/>
    </row>
    <row r="1020" ht="13.5" customHeight="1">
      <c r="A1020" s="4" t="str">
        <f t="shared" si="1"/>
        <v>FDL-CIVIC05XYG</v>
      </c>
      <c r="B1020" s="29" t="s">
        <v>396</v>
      </c>
      <c r="C1020" s="28" t="s">
        <v>394</v>
      </c>
      <c r="D1020" s="28" t="s">
        <v>128</v>
      </c>
      <c r="E1020" s="4" t="s">
        <v>16</v>
      </c>
      <c r="F1020" s="28" t="s">
        <v>397</v>
      </c>
      <c r="G1020" s="4">
        <f>SUMIFS(X!$F$5:$F$2005,X!$D$5:$D$2005,'Current Stock'!A1020)</f>
        <v>0</v>
      </c>
      <c r="H1020" s="4">
        <f>SUMIFS(PENJUALAN!$E$4:$E$11000,PENJUALAN!$C$4:$C$11000,'Current Stock'!A1020)</f>
        <v>0</v>
      </c>
      <c r="I1020" s="16">
        <f t="shared" si="2"/>
        <v>0</v>
      </c>
      <c r="J1020" s="4"/>
      <c r="K1020" s="4"/>
      <c r="L1020" s="4"/>
      <c r="M1020" s="4"/>
    </row>
    <row r="1021" ht="13.5" customHeight="1">
      <c r="A1021" s="4" t="str">
        <f t="shared" si="1"/>
        <v>FDR-CIVIC05XYG</v>
      </c>
      <c r="B1021" s="29" t="s">
        <v>398</v>
      </c>
      <c r="C1021" s="28" t="s">
        <v>394</v>
      </c>
      <c r="D1021" s="28" t="s">
        <v>130</v>
      </c>
      <c r="E1021" s="4" t="s">
        <v>16</v>
      </c>
      <c r="F1021" s="28" t="s">
        <v>397</v>
      </c>
      <c r="G1021" s="4">
        <f>SUMIFS(X!$F$5:$F$2005,X!$D$5:$D$2005,'Current Stock'!A1021)</f>
        <v>0</v>
      </c>
      <c r="H1021" s="4">
        <f>SUMIFS(PENJUALAN!$E$4:$E$11000,PENJUALAN!$C$4:$C$11000,'Current Stock'!A1021)</f>
        <v>0</v>
      </c>
      <c r="I1021" s="16">
        <f t="shared" si="2"/>
        <v>0</v>
      </c>
      <c r="J1021" s="4"/>
      <c r="K1021" s="4"/>
      <c r="L1021" s="4"/>
      <c r="M1021" s="4"/>
    </row>
    <row r="1022" ht="13.5" customHeight="1">
      <c r="A1022" s="4" t="str">
        <f t="shared" si="1"/>
        <v>LFW-CIVIC11XYG</v>
      </c>
      <c r="B1022" s="29" t="s">
        <v>405</v>
      </c>
      <c r="C1022" s="28" t="s">
        <v>406</v>
      </c>
      <c r="D1022" s="28" t="s">
        <v>22</v>
      </c>
      <c r="E1022" s="4" t="s">
        <v>16</v>
      </c>
      <c r="F1022" s="28" t="s">
        <v>125</v>
      </c>
      <c r="G1022" s="4">
        <f>SUMIFS(X!$F$5:$F$2005,X!$D$5:$D$2005,'Current Stock'!A1022)</f>
        <v>1</v>
      </c>
      <c r="H1022" s="4">
        <f>SUMIFS(PENJUALAN!$E$4:$E$11000,PENJUALAN!$C$4:$C$11000,'Current Stock'!A1022)</f>
        <v>0</v>
      </c>
      <c r="I1022" s="16">
        <f t="shared" si="2"/>
        <v>1</v>
      </c>
      <c r="J1022" s="15" t="s">
        <v>1442</v>
      </c>
      <c r="K1022" s="4"/>
      <c r="L1022" s="4"/>
      <c r="M1022" s="4"/>
    </row>
    <row r="1023" ht="13.5" customHeight="1">
      <c r="A1023" s="4" t="str">
        <f t="shared" si="1"/>
        <v>TRW-CIVIC11XYG</v>
      </c>
      <c r="B1023" s="29" t="s">
        <v>407</v>
      </c>
      <c r="C1023" s="28" t="s">
        <v>406</v>
      </c>
      <c r="D1023" s="28" t="s">
        <v>41</v>
      </c>
      <c r="E1023" s="4" t="s">
        <v>16</v>
      </c>
      <c r="F1023" s="28" t="s">
        <v>114</v>
      </c>
      <c r="G1023" s="4">
        <f>SUMIFS(X!$F$5:$F$2005,X!$D$5:$D$2005,'Current Stock'!A1023)</f>
        <v>0</v>
      </c>
      <c r="H1023" s="4">
        <f>SUMIFS(PENJUALAN!$E$4:$E$11000,PENJUALAN!$C$4:$C$11000,'Current Stock'!A1023)</f>
        <v>0</v>
      </c>
      <c r="I1023" s="16">
        <f t="shared" si="2"/>
        <v>0</v>
      </c>
      <c r="J1023" s="4"/>
      <c r="K1023" s="4"/>
      <c r="L1023" s="4"/>
      <c r="M1023" s="4"/>
    </row>
    <row r="1024" ht="13.5" customHeight="1">
      <c r="A1024" s="4" t="str">
        <f t="shared" si="1"/>
        <v>TRW-SIRION2XYG</v>
      </c>
      <c r="B1024" s="29" t="s">
        <v>1443</v>
      </c>
      <c r="C1024" s="30" t="s">
        <v>1444</v>
      </c>
      <c r="D1024" s="28" t="s">
        <v>41</v>
      </c>
      <c r="E1024" s="4" t="s">
        <v>16</v>
      </c>
      <c r="F1024" s="28" t="s">
        <v>118</v>
      </c>
      <c r="G1024" s="4">
        <f>SUMIFS(X!$F$5:$F$2005,X!$D$5:$D$2005,'Current Stock'!A1024)</f>
        <v>2</v>
      </c>
      <c r="H1024" s="4">
        <f>SUMIFS(PENJUALAN!$E$4:$E$11000,PENJUALAN!$C$4:$C$11000,'Current Stock'!A1024)</f>
        <v>1</v>
      </c>
      <c r="I1024" s="16">
        <f t="shared" si="2"/>
        <v>1</v>
      </c>
      <c r="J1024" s="15" t="s">
        <v>1445</v>
      </c>
      <c r="K1024" s="15"/>
      <c r="L1024" s="4"/>
      <c r="M1024" s="4"/>
    </row>
    <row r="1025" ht="13.5" customHeight="1">
      <c r="A1025" s="4" t="str">
        <f t="shared" si="1"/>
        <v>TRW-CIVIC16HATXYG</v>
      </c>
      <c r="B1025" s="29" t="s">
        <v>1446</v>
      </c>
      <c r="C1025" s="28" t="s">
        <v>1447</v>
      </c>
      <c r="D1025" s="28" t="s">
        <v>41</v>
      </c>
      <c r="E1025" s="4" t="s">
        <v>16</v>
      </c>
      <c r="F1025" s="28" t="s">
        <v>114</v>
      </c>
      <c r="G1025" s="4">
        <f>SUMIFS(X!$F$5:$F$2005,X!$D$5:$D$2005,'Current Stock'!A1025)</f>
        <v>0</v>
      </c>
      <c r="H1025" s="4">
        <f>SUMIFS(PENJUALAN!$E$4:$E$11000,PENJUALAN!$C$4:$C$11000,'Current Stock'!A1025)</f>
        <v>0</v>
      </c>
      <c r="I1025" s="16">
        <f t="shared" si="2"/>
        <v>0</v>
      </c>
      <c r="J1025" s="4"/>
      <c r="K1025" s="4"/>
      <c r="L1025" s="4"/>
      <c r="M1025" s="4"/>
    </row>
    <row r="1026" ht="13.5" customHeight="1">
      <c r="A1026" s="4" t="str">
        <f t="shared" si="1"/>
        <v>LFW-CRV95XYG</v>
      </c>
      <c r="B1026" s="29" t="s">
        <v>410</v>
      </c>
      <c r="C1026" s="28" t="s">
        <v>411</v>
      </c>
      <c r="D1026" s="28" t="s">
        <v>22</v>
      </c>
      <c r="E1026" s="4" t="s">
        <v>16</v>
      </c>
      <c r="F1026" s="28" t="s">
        <v>97</v>
      </c>
      <c r="G1026" s="4">
        <f>SUMIFS(X!$F$5:$F$2005,X!$D$5:$D$2005,'Current Stock'!A1026)</f>
        <v>2</v>
      </c>
      <c r="H1026" s="4">
        <f>SUMIFS(PENJUALAN!$E$4:$E$11000,PENJUALAN!$C$4:$C$11000,'Current Stock'!A1026)</f>
        <v>0</v>
      </c>
      <c r="I1026" s="16">
        <f t="shared" si="2"/>
        <v>2</v>
      </c>
      <c r="J1026" s="15" t="s">
        <v>1333</v>
      </c>
      <c r="K1026" s="15"/>
      <c r="L1026" s="4"/>
      <c r="M1026" s="4"/>
    </row>
    <row r="1027" ht="13.5" customHeight="1">
      <c r="A1027" s="4" t="str">
        <f t="shared" si="1"/>
        <v>TRW-CRV95XYG</v>
      </c>
      <c r="B1027" s="29" t="s">
        <v>412</v>
      </c>
      <c r="C1027" s="28" t="s">
        <v>411</v>
      </c>
      <c r="D1027" s="28" t="s">
        <v>41</v>
      </c>
      <c r="E1027" s="4" t="s">
        <v>16</v>
      </c>
      <c r="F1027" s="28" t="s">
        <v>373</v>
      </c>
      <c r="G1027" s="4">
        <f>SUMIFS(X!$F$5:$F$2005,X!$D$5:$D$2005,'Current Stock'!A1027)</f>
        <v>0</v>
      </c>
      <c r="H1027" s="4">
        <f>SUMIFS(PENJUALAN!$E$4:$E$11000,PENJUALAN!$C$4:$C$11000,'Current Stock'!A1027)</f>
        <v>0</v>
      </c>
      <c r="I1027" s="16">
        <f t="shared" si="2"/>
        <v>0</v>
      </c>
      <c r="J1027" s="4"/>
      <c r="K1027" s="4"/>
      <c r="L1027" s="4"/>
      <c r="M1027" s="4"/>
    </row>
    <row r="1028" ht="13.5" customHeight="1">
      <c r="A1028" s="4" t="str">
        <f t="shared" si="1"/>
        <v>LFW-W212RS2FR</v>
      </c>
      <c r="B1028" s="15" t="s">
        <v>802</v>
      </c>
      <c r="C1028" s="15" t="s">
        <v>1448</v>
      </c>
      <c r="D1028" s="15" t="s">
        <v>22</v>
      </c>
      <c r="E1028" s="15" t="s">
        <v>1449</v>
      </c>
      <c r="F1028" s="15" t="s">
        <v>1450</v>
      </c>
      <c r="G1028" s="4">
        <f>SUMIFS(X!$F$5:$F$2005,X!$D$5:$D$2005,'Current Stock'!A1028)</f>
        <v>2</v>
      </c>
      <c r="H1028" s="4">
        <f>SUMIFS(PENJUALAN!$E$4:$E$11000,PENJUALAN!$C$4:$C$11000,'Current Stock'!A1028)</f>
        <v>2</v>
      </c>
      <c r="I1028" s="16">
        <f t="shared" si="2"/>
        <v>0</v>
      </c>
      <c r="J1028" s="15" t="s">
        <v>158</v>
      </c>
      <c r="K1028" s="15"/>
      <c r="L1028" s="18"/>
      <c r="M1028" s="18"/>
    </row>
    <row r="1029" ht="13.5" customHeight="1">
      <c r="A1029" s="20" t="str">
        <f t="shared" si="1"/>
        <v>FDL-INNOVA04MSG</v>
      </c>
      <c r="B1029" s="22" t="s">
        <v>1451</v>
      </c>
      <c r="C1029" s="39" t="s">
        <v>1160</v>
      </c>
      <c r="D1029" s="22" t="str">
        <f>LEFT(A1029,FIND("-",A1029) - 1)</f>
        <v>FDL</v>
      </c>
      <c r="E1029" s="22" t="s">
        <v>42</v>
      </c>
      <c r="F1029" s="25"/>
      <c r="G1029" s="4">
        <f>SUMIFS(X!$F$5:$F$2005,X!$D$5:$D$2005,'Current Stock'!A1029)</f>
        <v>2</v>
      </c>
      <c r="H1029" s="4">
        <f>SUMIFS(PENJUALAN!$E$4:$E$11000,PENJUALAN!$C$4:$C$11000,'Current Stock'!A1029)</f>
        <v>2</v>
      </c>
      <c r="I1029" s="16">
        <f t="shared" si="2"/>
        <v>0</v>
      </c>
      <c r="J1029" s="22" t="s">
        <v>719</v>
      </c>
      <c r="K1029" s="22"/>
      <c r="L1029" s="25"/>
      <c r="M1029" s="25"/>
    </row>
    <row r="1030" ht="13.5" customHeight="1">
      <c r="A1030" s="4" t="str">
        <f t="shared" si="1"/>
        <v>LFW-SIRION1MU</v>
      </c>
      <c r="B1030" s="29" t="s">
        <v>1379</v>
      </c>
      <c r="C1030" s="30" t="s">
        <v>277</v>
      </c>
      <c r="D1030" s="30" t="s">
        <v>22</v>
      </c>
      <c r="E1030" s="4" t="s">
        <v>1361</v>
      </c>
      <c r="F1030" s="34" t="s">
        <v>125</v>
      </c>
      <c r="G1030" s="4">
        <f>SUMIFS(X!$F$5:$F$2005,X!$D$5:$D$2005,'Current Stock'!A1030)</f>
        <v>1</v>
      </c>
      <c r="H1030" s="4">
        <f>SUMIFS(PENJUALAN!$E$4:$E$11000,PENJUALAN!$C$4:$C$11000,'Current Stock'!A1030)</f>
        <v>1</v>
      </c>
      <c r="I1030" s="16">
        <f t="shared" si="2"/>
        <v>0</v>
      </c>
      <c r="J1030" s="4"/>
      <c r="K1030" s="4"/>
      <c r="L1030" s="4"/>
      <c r="M1030" s="4"/>
    </row>
    <row r="1031" ht="13.5" customHeight="1">
      <c r="A1031" s="4" t="str">
        <f t="shared" si="1"/>
        <v>LFW-GETZXYG</v>
      </c>
      <c r="B1031" s="29" t="s">
        <v>515</v>
      </c>
      <c r="C1031" s="28" t="s">
        <v>516</v>
      </c>
      <c r="D1031" s="28" t="s">
        <v>22</v>
      </c>
      <c r="E1031" s="4" t="s">
        <v>16</v>
      </c>
      <c r="F1031" s="28" t="s">
        <v>125</v>
      </c>
      <c r="G1031" s="4">
        <f>SUMIFS(X!$F$5:$F$2005,X!$D$5:$D$2005,'Current Stock'!A1031)</f>
        <v>1</v>
      </c>
      <c r="H1031" s="4">
        <f>SUMIFS(PENJUALAN!$E$4:$E$11000,PENJUALAN!$C$4:$C$11000,'Current Stock'!A1031)</f>
        <v>1</v>
      </c>
      <c r="I1031" s="16">
        <f t="shared" si="2"/>
        <v>0</v>
      </c>
      <c r="J1031" s="4"/>
      <c r="K1031" s="4"/>
      <c r="L1031" s="4"/>
      <c r="M1031" s="4"/>
    </row>
    <row r="1032" ht="13.5" customHeight="1">
      <c r="A1032" s="4" t="str">
        <f t="shared" si="1"/>
        <v>TRW-MIRAGEXYG</v>
      </c>
      <c r="B1032" s="29" t="s">
        <v>877</v>
      </c>
      <c r="C1032" s="28" t="s">
        <v>876</v>
      </c>
      <c r="D1032" s="28" t="s">
        <v>41</v>
      </c>
      <c r="E1032" s="4" t="s">
        <v>16</v>
      </c>
      <c r="F1032" s="28" t="s">
        <v>67</v>
      </c>
      <c r="G1032" s="4">
        <f>SUMIFS(X!$F$5:$F$2005,X!$D$5:$D$2005,'Current Stock'!A1032)</f>
        <v>2</v>
      </c>
      <c r="H1032" s="4">
        <f>SUMIFS(PENJUALAN!$E$4:$E$11000,PENJUALAN!$C$4:$C$11000,'Current Stock'!A1032)</f>
        <v>2</v>
      </c>
      <c r="I1032" s="16">
        <f t="shared" si="2"/>
        <v>0</v>
      </c>
      <c r="J1032" s="15" t="s">
        <v>1452</v>
      </c>
      <c r="K1032" s="4"/>
      <c r="L1032" s="4"/>
      <c r="M1032" s="4"/>
    </row>
    <row r="1033" ht="13.5" customHeight="1">
      <c r="A1033" s="4" t="str">
        <f t="shared" si="1"/>
        <v>LFW-KATANAC84MU</v>
      </c>
      <c r="B1033" s="31" t="s">
        <v>1453</v>
      </c>
      <c r="C1033" s="30" t="s">
        <v>1454</v>
      </c>
      <c r="D1033" s="30" t="s">
        <v>22</v>
      </c>
      <c r="E1033" s="4" t="s">
        <v>1361</v>
      </c>
      <c r="F1033" s="33" t="s">
        <v>1455</v>
      </c>
      <c r="G1033" s="4">
        <f>SUMIFS(X!$F$5:$F$2005,X!$D$5:$D$2005,'Current Stock'!A1033)</f>
        <v>2</v>
      </c>
      <c r="H1033" s="4">
        <f>SUMIFS(PENJUALAN!$E$4:$E$11000,PENJUALAN!$C$4:$C$11000,'Current Stock'!A1033)</f>
        <v>2</v>
      </c>
      <c r="I1033" s="16">
        <f t="shared" si="2"/>
        <v>0</v>
      </c>
      <c r="J1033" s="15" t="s">
        <v>1456</v>
      </c>
      <c r="K1033" s="15"/>
      <c r="L1033" s="18"/>
      <c r="M1033" s="18"/>
    </row>
    <row r="1034" ht="13.5" customHeight="1">
      <c r="A1034" s="4" t="str">
        <f t="shared" si="1"/>
        <v>LFW-GAVEGAXYG</v>
      </c>
      <c r="B1034" s="29" t="s">
        <v>522</v>
      </c>
      <c r="C1034" s="28" t="s">
        <v>523</v>
      </c>
      <c r="D1034" s="28" t="s">
        <v>22</v>
      </c>
      <c r="E1034" s="4" t="s">
        <v>16</v>
      </c>
      <c r="F1034" s="28" t="s">
        <v>125</v>
      </c>
      <c r="G1034" s="4">
        <f>SUMIFS(X!$F$5:$F$2005,X!$D$5:$D$2005,'Current Stock'!A1034)</f>
        <v>1</v>
      </c>
      <c r="H1034" s="4">
        <f>SUMIFS(PENJUALAN!$E$4:$E$11000,PENJUALAN!$C$4:$C$11000,'Current Stock'!A1034)</f>
        <v>1</v>
      </c>
      <c r="I1034" s="16">
        <f t="shared" si="2"/>
        <v>0</v>
      </c>
      <c r="J1034" s="4"/>
      <c r="K1034" s="4"/>
      <c r="L1034" s="4"/>
      <c r="M1034" s="4"/>
    </row>
    <row r="1035" ht="13.5" customHeight="1">
      <c r="A1035" s="4" t="str">
        <f t="shared" si="1"/>
        <v>SWL-CRV07XYG</v>
      </c>
      <c r="B1035" s="29" t="s">
        <v>432</v>
      </c>
      <c r="C1035" s="28" t="s">
        <v>429</v>
      </c>
      <c r="D1035" s="28" t="s">
        <v>202</v>
      </c>
      <c r="E1035" s="4" t="s">
        <v>16</v>
      </c>
      <c r="F1035" s="28" t="s">
        <v>97</v>
      </c>
      <c r="G1035" s="4">
        <f>SUMIFS(X!$F$5:$F$2005,X!$D$5:$D$2005,'Current Stock'!A1035)</f>
        <v>0</v>
      </c>
      <c r="H1035" s="4">
        <f>SUMIFS(PENJUALAN!$E$4:$E$11000,PENJUALAN!$C$4:$C$11000,'Current Stock'!A1035)</f>
        <v>0</v>
      </c>
      <c r="I1035" s="16">
        <f t="shared" si="2"/>
        <v>0</v>
      </c>
      <c r="J1035" s="4"/>
      <c r="K1035" s="4"/>
      <c r="L1035" s="4"/>
      <c r="M1035" s="4"/>
    </row>
    <row r="1036" ht="13.5" customHeight="1">
      <c r="A1036" s="4" t="str">
        <f t="shared" si="1"/>
        <v>SWR-CRV07XYG</v>
      </c>
      <c r="B1036" s="29" t="s">
        <v>433</v>
      </c>
      <c r="C1036" s="28" t="s">
        <v>429</v>
      </c>
      <c r="D1036" s="28" t="s">
        <v>236</v>
      </c>
      <c r="E1036" s="4" t="s">
        <v>16</v>
      </c>
      <c r="F1036" s="28" t="s">
        <v>97</v>
      </c>
      <c r="G1036" s="4">
        <f>SUMIFS(X!$F$5:$F$2005,X!$D$5:$D$2005,'Current Stock'!A1036)</f>
        <v>0</v>
      </c>
      <c r="H1036" s="4">
        <f>SUMIFS(PENJUALAN!$E$4:$E$11000,PENJUALAN!$C$4:$C$11000,'Current Stock'!A1036)</f>
        <v>0</v>
      </c>
      <c r="I1036" s="16">
        <f t="shared" si="2"/>
        <v>0</v>
      </c>
      <c r="J1036" s="4"/>
      <c r="K1036" s="4"/>
      <c r="L1036" s="4"/>
      <c r="M1036" s="4"/>
    </row>
    <row r="1037" ht="13.5" customHeight="1">
      <c r="A1037" s="4" t="str">
        <f t="shared" si="1"/>
        <v>TRW-TRITON14HXYG</v>
      </c>
      <c r="B1037" s="29" t="s">
        <v>891</v>
      </c>
      <c r="C1037" s="28" t="s">
        <v>890</v>
      </c>
      <c r="D1037" s="28" t="s">
        <v>41</v>
      </c>
      <c r="E1037" s="4" t="s">
        <v>16</v>
      </c>
      <c r="F1037" s="28" t="s">
        <v>67</v>
      </c>
      <c r="G1037" s="4">
        <f>SUMIFS(X!$F$5:$F$2005,X!$D$5:$D$2005,'Current Stock'!A1037)</f>
        <v>2</v>
      </c>
      <c r="H1037" s="4">
        <f>SUMIFS(PENJUALAN!$E$4:$E$11000,PENJUALAN!$C$4:$C$11000,'Current Stock'!A1037)</f>
        <v>1</v>
      </c>
      <c r="I1037" s="16">
        <f t="shared" si="2"/>
        <v>1</v>
      </c>
      <c r="J1037" s="15" t="s">
        <v>1366</v>
      </c>
      <c r="K1037" s="15"/>
      <c r="L1037" s="4"/>
      <c r="M1037" s="4"/>
    </row>
    <row r="1038" ht="13.5" customHeight="1">
      <c r="A1038" s="4" t="str">
        <f t="shared" si="1"/>
        <v>TRW-YARIS13XYG</v>
      </c>
      <c r="B1038" s="29" t="s">
        <v>1457</v>
      </c>
      <c r="C1038" s="28" t="s">
        <v>1458</v>
      </c>
      <c r="D1038" s="28" t="s">
        <v>41</v>
      </c>
      <c r="E1038" s="4" t="s">
        <v>16</v>
      </c>
      <c r="F1038" s="28" t="s">
        <v>67</v>
      </c>
      <c r="G1038" s="4">
        <f>SUMIFS(X!$F$5:$F$2005,X!$D$5:$D$2005,'Current Stock'!A1038)</f>
        <v>3</v>
      </c>
      <c r="H1038" s="4">
        <f>SUMIFS(PENJUALAN!$E$4:$E$11000,PENJUALAN!$C$4:$C$11000,'Current Stock'!A1038)</f>
        <v>2</v>
      </c>
      <c r="I1038" s="16">
        <f t="shared" si="2"/>
        <v>1</v>
      </c>
      <c r="J1038" s="15" t="s">
        <v>1459</v>
      </c>
      <c r="K1038" s="15"/>
      <c r="L1038" s="4"/>
      <c r="M1038" s="4"/>
    </row>
    <row r="1039" ht="13.5" customHeight="1">
      <c r="A1039" s="4" t="str">
        <f t="shared" si="1"/>
        <v>TRW-CRV12PRESTIGEXYG</v>
      </c>
      <c r="B1039" s="29" t="s">
        <v>437</v>
      </c>
      <c r="C1039" s="28" t="s">
        <v>438</v>
      </c>
      <c r="D1039" s="28" t="s">
        <v>41</v>
      </c>
      <c r="E1039" s="4" t="s">
        <v>16</v>
      </c>
      <c r="F1039" s="28" t="s">
        <v>439</v>
      </c>
      <c r="G1039" s="4">
        <f>SUMIFS(X!$F$5:$F$2005,X!$D$5:$D$2005,'Current Stock'!A1039)</f>
        <v>3</v>
      </c>
      <c r="H1039" s="4">
        <f>SUMIFS(PENJUALAN!$E$4:$E$11000,PENJUALAN!$C$4:$C$11000,'Current Stock'!A1039)</f>
        <v>3</v>
      </c>
      <c r="I1039" s="16">
        <f t="shared" si="2"/>
        <v>0</v>
      </c>
      <c r="J1039" s="15" t="s">
        <v>1460</v>
      </c>
      <c r="K1039" s="4"/>
      <c r="L1039" s="4"/>
      <c r="M1039" s="4"/>
    </row>
    <row r="1040" ht="13.5" customHeight="1">
      <c r="A1040" s="4" t="str">
        <f t="shared" si="1"/>
        <v>LFW-CRV17RSXYG</v>
      </c>
      <c r="B1040" s="29" t="s">
        <v>1461</v>
      </c>
      <c r="C1040" s="28" t="s">
        <v>444</v>
      </c>
      <c r="D1040" s="28" t="s">
        <v>22</v>
      </c>
      <c r="E1040" s="4" t="s">
        <v>16</v>
      </c>
      <c r="F1040" s="28" t="s">
        <v>75</v>
      </c>
      <c r="G1040" s="4">
        <f>SUMIFS(X!$F$5:$F$2005,X!$D$5:$D$2005,'Current Stock'!A1040)</f>
        <v>1</v>
      </c>
      <c r="H1040" s="4">
        <f>SUMIFS(PENJUALAN!$E$4:$E$11000,PENJUALAN!$C$4:$C$11000,'Current Stock'!A1040)</f>
        <v>1</v>
      </c>
      <c r="I1040" s="16">
        <f t="shared" si="2"/>
        <v>0</v>
      </c>
      <c r="J1040" s="4"/>
      <c r="K1040" s="4"/>
      <c r="L1040" s="4"/>
      <c r="M1040" s="4"/>
    </row>
    <row r="1041" ht="13.5" customHeight="1">
      <c r="A1041" s="20" t="str">
        <f t="shared" si="1"/>
        <v>FDL-KUDAASH</v>
      </c>
      <c r="B1041" s="44" t="s">
        <v>1462</v>
      </c>
      <c r="C1041" s="22" t="s">
        <v>1463</v>
      </c>
      <c r="D1041" s="22" t="s">
        <v>93</v>
      </c>
      <c r="E1041" s="22" t="s">
        <v>82</v>
      </c>
      <c r="F1041" s="25"/>
      <c r="G1041" s="4">
        <f>SUMIFS(X!$F$5:$F$2005,X!$D$5:$D$2005,'Current Stock'!A1041)</f>
        <v>5</v>
      </c>
      <c r="H1041" s="4">
        <f>SUMIFS(PENJUALAN!$E$4:$E$11000,PENJUALAN!$C$4:$C$11000,'Current Stock'!A1041)</f>
        <v>4</v>
      </c>
      <c r="I1041" s="16">
        <f t="shared" si="2"/>
        <v>1</v>
      </c>
      <c r="J1041" s="22" t="s">
        <v>1391</v>
      </c>
      <c r="K1041" s="25"/>
      <c r="L1041" s="25"/>
      <c r="M1041" s="25"/>
    </row>
    <row r="1042" ht="13.5" customHeight="1">
      <c r="A1042" s="4" t="str">
        <f t="shared" si="1"/>
        <v>TRW-CRV17XYG</v>
      </c>
      <c r="B1042" s="29" t="s">
        <v>445</v>
      </c>
      <c r="C1042" s="28" t="s">
        <v>444</v>
      </c>
      <c r="D1042" s="28" t="s">
        <v>41</v>
      </c>
      <c r="E1042" s="4" t="s">
        <v>16</v>
      </c>
      <c r="F1042" s="28" t="s">
        <v>439</v>
      </c>
      <c r="G1042" s="4">
        <f>SUMIFS(X!$F$5:$F$2005,X!$D$5:$D$2005,'Current Stock'!A1042)</f>
        <v>0</v>
      </c>
      <c r="H1042" s="4">
        <f>SUMIFS(PENJUALAN!$E$4:$E$11000,PENJUALAN!$C$4:$C$11000,'Current Stock'!A1042)</f>
        <v>0</v>
      </c>
      <c r="I1042" s="16">
        <f t="shared" si="2"/>
        <v>0</v>
      </c>
      <c r="J1042" s="4"/>
      <c r="K1042" s="4"/>
      <c r="L1042" s="4"/>
      <c r="M1042" s="4"/>
    </row>
    <row r="1043" ht="13.5" customHeight="1">
      <c r="A1043" s="4" t="str">
        <f t="shared" si="1"/>
        <v>LFW-CRZXYG</v>
      </c>
      <c r="B1043" s="29" t="s">
        <v>446</v>
      </c>
      <c r="C1043" s="28" t="s">
        <v>447</v>
      </c>
      <c r="D1043" s="28" t="s">
        <v>22</v>
      </c>
      <c r="E1043" s="4" t="s">
        <v>16</v>
      </c>
      <c r="F1043" s="28" t="s">
        <v>75</v>
      </c>
      <c r="G1043" s="4">
        <f>SUMIFS(X!$F$5:$F$2005,X!$D$5:$D$2005,'Current Stock'!A1043)</f>
        <v>0</v>
      </c>
      <c r="H1043" s="4">
        <f>SUMIFS(PENJUALAN!$E$4:$E$11000,PENJUALAN!$C$4:$C$11000,'Current Stock'!A1043)</f>
        <v>0</v>
      </c>
      <c r="I1043" s="16">
        <f t="shared" si="2"/>
        <v>0</v>
      </c>
      <c r="J1043" s="4"/>
      <c r="K1043" s="4"/>
      <c r="L1043" s="4"/>
      <c r="M1043" s="4"/>
    </row>
    <row r="1044" ht="13.5" customHeight="1">
      <c r="A1044" s="4" t="str">
        <f t="shared" si="1"/>
        <v>LFW-ELYSIONXYG</v>
      </c>
      <c r="B1044" s="29" t="s">
        <v>448</v>
      </c>
      <c r="C1044" s="28" t="s">
        <v>449</v>
      </c>
      <c r="D1044" s="28" t="s">
        <v>22</v>
      </c>
      <c r="E1044" s="4" t="s">
        <v>16</v>
      </c>
      <c r="F1044" s="28" t="s">
        <v>125</v>
      </c>
      <c r="G1044" s="4">
        <f>SUMIFS(X!$F$5:$F$2005,X!$D$5:$D$2005,'Current Stock'!A1044)</f>
        <v>0</v>
      </c>
      <c r="H1044" s="4">
        <f>SUMIFS(PENJUALAN!$E$4:$E$11000,PENJUALAN!$C$4:$C$11000,'Current Stock'!A1044)</f>
        <v>0</v>
      </c>
      <c r="I1044" s="16">
        <f t="shared" si="2"/>
        <v>0</v>
      </c>
      <c r="J1044" s="4"/>
      <c r="K1044" s="4"/>
      <c r="L1044" s="4"/>
      <c r="M1044" s="4"/>
    </row>
    <row r="1045" ht="13.5" customHeight="1">
      <c r="A1045" s="4" t="str">
        <f t="shared" si="1"/>
        <v>TRW-ELYSIONRATAXYG</v>
      </c>
      <c r="B1045" s="29" t="s">
        <v>450</v>
      </c>
      <c r="C1045" s="28" t="s">
        <v>451</v>
      </c>
      <c r="D1045" s="28" t="s">
        <v>41</v>
      </c>
      <c r="E1045" s="4" t="s">
        <v>16</v>
      </c>
      <c r="F1045" s="28" t="s">
        <v>221</v>
      </c>
      <c r="G1045" s="4">
        <f>SUMIFS(X!$F$5:$F$2005,X!$D$5:$D$2005,'Current Stock'!A1045)</f>
        <v>0</v>
      </c>
      <c r="H1045" s="4">
        <f>SUMIFS(PENJUALAN!$E$4:$E$11000,PENJUALAN!$C$4:$C$11000,'Current Stock'!A1045)</f>
        <v>0</v>
      </c>
      <c r="I1045" s="16">
        <f t="shared" si="2"/>
        <v>0</v>
      </c>
      <c r="J1045" s="4"/>
      <c r="K1045" s="4"/>
      <c r="L1045" s="4"/>
      <c r="M1045" s="4"/>
    </row>
    <row r="1046" ht="13.5" customHeight="1">
      <c r="A1046" s="4" t="str">
        <f t="shared" si="1"/>
        <v>TRW-ELYSIONCURVEXYG</v>
      </c>
      <c r="B1046" s="29" t="s">
        <v>452</v>
      </c>
      <c r="C1046" s="28" t="s">
        <v>453</v>
      </c>
      <c r="D1046" s="28" t="s">
        <v>41</v>
      </c>
      <c r="E1046" s="4" t="s">
        <v>16</v>
      </c>
      <c r="F1046" s="28" t="s">
        <v>439</v>
      </c>
      <c r="G1046" s="4">
        <f>SUMIFS(X!$F$5:$F$2005,X!$D$5:$D$2005,'Current Stock'!A1046)</f>
        <v>0</v>
      </c>
      <c r="H1046" s="4">
        <f>SUMIFS(PENJUALAN!$E$4:$E$11000,PENJUALAN!$C$4:$C$11000,'Current Stock'!A1046)</f>
        <v>0</v>
      </c>
      <c r="I1046" s="16">
        <f t="shared" si="2"/>
        <v>0</v>
      </c>
      <c r="J1046" s="4"/>
      <c r="K1046" s="4"/>
      <c r="L1046" s="4"/>
      <c r="M1046" s="4"/>
    </row>
    <row r="1047" ht="13.5" customHeight="1">
      <c r="A1047" s="4" t="str">
        <f t="shared" si="1"/>
        <v>TRW-ESTILOAIS</v>
      </c>
      <c r="B1047" s="15" t="s">
        <v>1464</v>
      </c>
      <c r="C1047" s="15" t="s">
        <v>1465</v>
      </c>
      <c r="D1047" s="15" t="s">
        <v>41</v>
      </c>
      <c r="E1047" s="15" t="s">
        <v>1466</v>
      </c>
      <c r="F1047" s="15" t="s">
        <v>97</v>
      </c>
      <c r="G1047" s="4">
        <f>SUMIFS(X!$F$5:$F$2005,X!$D$5:$D$2005,'Current Stock'!A1047)</f>
        <v>1</v>
      </c>
      <c r="H1047" s="4">
        <f>SUMIFS(PENJUALAN!$E$4:$E$11000,PENJUALAN!$C$4:$C$11000,'Current Stock'!A1047)</f>
        <v>1</v>
      </c>
      <c r="I1047" s="16">
        <f t="shared" si="2"/>
        <v>0</v>
      </c>
      <c r="J1047" s="15" t="s">
        <v>1398</v>
      </c>
      <c r="K1047" s="15"/>
      <c r="L1047" s="18"/>
      <c r="M1047" s="18"/>
    </row>
    <row r="1048" ht="13.5" customHeight="1">
      <c r="A1048" s="4" t="str">
        <f t="shared" si="1"/>
        <v>LFW-XPANDERAGC</v>
      </c>
      <c r="B1048" s="15" t="s">
        <v>1467</v>
      </c>
      <c r="C1048" s="15" t="s">
        <v>1468</v>
      </c>
      <c r="D1048" s="15" t="s">
        <v>22</v>
      </c>
      <c r="E1048" s="15" t="s">
        <v>78</v>
      </c>
      <c r="F1048" s="15" t="s">
        <v>737</v>
      </c>
      <c r="G1048" s="4">
        <f>SUMIFS(X!$F$5:$F$2005,X!$D$5:$D$2005,'Current Stock'!A1048)</f>
        <v>5</v>
      </c>
      <c r="H1048" s="4">
        <f>SUMIFS(PENJUALAN!$E$4:$E$11000,PENJUALAN!$C$4:$C$11000,'Current Stock'!A1048)</f>
        <v>5</v>
      </c>
      <c r="I1048" s="16">
        <f t="shared" si="2"/>
        <v>0</v>
      </c>
      <c r="J1048" s="45"/>
      <c r="K1048" s="18"/>
      <c r="L1048" s="18"/>
      <c r="M1048" s="18"/>
    </row>
    <row r="1049" ht="13.5" customHeight="1">
      <c r="A1049" s="20" t="str">
        <f t="shared" si="1"/>
        <v>RVR-INNOVA04ASH</v>
      </c>
      <c r="B1049" s="24" t="s">
        <v>1164</v>
      </c>
      <c r="C1049" s="22" t="s">
        <v>1160</v>
      </c>
      <c r="D1049" s="22" t="s">
        <v>1469</v>
      </c>
      <c r="E1049" s="22" t="s">
        <v>82</v>
      </c>
      <c r="F1049" s="25"/>
      <c r="G1049" s="4">
        <f>SUMIFS(X!$F$5:$F$2005,X!$D$5:$D$2005,'Current Stock'!A1049)</f>
        <v>5</v>
      </c>
      <c r="H1049" s="4">
        <f>SUMIFS(PENJUALAN!$E$4:$E$11000,PENJUALAN!$C$4:$C$11000,'Current Stock'!A1049)</f>
        <v>3</v>
      </c>
      <c r="I1049" s="16">
        <f t="shared" si="2"/>
        <v>2</v>
      </c>
      <c r="J1049" s="22" t="s">
        <v>1470</v>
      </c>
      <c r="K1049" s="22"/>
      <c r="L1049" s="25"/>
      <c r="M1049" s="25"/>
    </row>
    <row r="1050" ht="13.5" customHeight="1">
      <c r="A1050" s="4" t="str">
        <f t="shared" si="1"/>
        <v>SWR-AVANZA11MU</v>
      </c>
      <c r="B1050" s="29" t="s">
        <v>1471</v>
      </c>
      <c r="C1050" s="33" t="s">
        <v>1472</v>
      </c>
      <c r="D1050" s="28" t="s">
        <v>104</v>
      </c>
      <c r="E1050" s="4" t="s">
        <v>1361</v>
      </c>
      <c r="F1050" s="28"/>
      <c r="G1050" s="4">
        <f>SUMIFS(X!$F$5:$F$2005,X!$D$5:$D$2005,'Current Stock'!A1050)</f>
        <v>10</v>
      </c>
      <c r="H1050" s="4">
        <f>SUMIFS(PENJUALAN!$E$4:$E$11000,PENJUALAN!$C$4:$C$11000,'Current Stock'!A1050)</f>
        <v>5</v>
      </c>
      <c r="I1050" s="16">
        <f t="shared" si="2"/>
        <v>5</v>
      </c>
      <c r="J1050" s="15" t="s">
        <v>1473</v>
      </c>
      <c r="K1050" s="15"/>
      <c r="L1050" s="5">
        <v>2.0</v>
      </c>
      <c r="M1050" s="4"/>
    </row>
    <row r="1051" ht="13.5" customHeight="1">
      <c r="A1051" s="4" t="str">
        <f t="shared" si="1"/>
        <v>LFW-HRV22XYG</v>
      </c>
      <c r="B1051" s="29" t="s">
        <v>1330</v>
      </c>
      <c r="C1051" s="28" t="s">
        <v>1474</v>
      </c>
      <c r="D1051" s="28" t="s">
        <v>22</v>
      </c>
      <c r="E1051" s="4" t="s">
        <v>16</v>
      </c>
      <c r="F1051" s="28" t="s">
        <v>75</v>
      </c>
      <c r="G1051" s="4">
        <f>SUMIFS(X!$F$5:$F$2005,X!$D$5:$D$2005,'Current Stock'!A1051)</f>
        <v>0</v>
      </c>
      <c r="H1051" s="4">
        <f>SUMIFS(PENJUALAN!$E$4:$E$11000,PENJUALAN!$C$4:$C$11000,'Current Stock'!A1051)</f>
        <v>0</v>
      </c>
      <c r="I1051" s="16">
        <f t="shared" si="2"/>
        <v>0</v>
      </c>
      <c r="J1051" s="4"/>
      <c r="K1051" s="4"/>
      <c r="L1051" s="4"/>
      <c r="M1051" s="4"/>
    </row>
    <row r="1052" ht="13.5" customHeight="1">
      <c r="A1052" s="4" t="str">
        <f t="shared" si="1"/>
        <v>LFW-JAZZ01XYG</v>
      </c>
      <c r="B1052" s="29" t="s">
        <v>462</v>
      </c>
      <c r="C1052" s="28" t="s">
        <v>463</v>
      </c>
      <c r="D1052" s="28" t="s">
        <v>22</v>
      </c>
      <c r="E1052" s="4" t="s">
        <v>16</v>
      </c>
      <c r="F1052" s="28" t="s">
        <v>97</v>
      </c>
      <c r="G1052" s="4">
        <f>SUMIFS(X!$F$5:$F$2005,X!$D$5:$D$2005,'Current Stock'!A1052)</f>
        <v>4</v>
      </c>
      <c r="H1052" s="4">
        <f>SUMIFS(PENJUALAN!$E$4:$E$11000,PENJUALAN!$C$4:$C$11000,'Current Stock'!A1052)</f>
        <v>4</v>
      </c>
      <c r="I1052" s="16">
        <f t="shared" si="2"/>
        <v>0</v>
      </c>
      <c r="J1052" s="15" t="s">
        <v>1475</v>
      </c>
      <c r="K1052" s="4"/>
      <c r="L1052" s="4"/>
      <c r="M1052" s="4"/>
    </row>
    <row r="1053" ht="13.5" customHeight="1">
      <c r="A1053" s="4" t="str">
        <f t="shared" si="1"/>
        <v>LFW-WAGONRMU</v>
      </c>
      <c r="B1053" s="29" t="s">
        <v>1476</v>
      </c>
      <c r="C1053" s="30" t="s">
        <v>1477</v>
      </c>
      <c r="D1053" s="30" t="s">
        <v>22</v>
      </c>
      <c r="E1053" s="4" t="s">
        <v>1361</v>
      </c>
      <c r="F1053" s="28"/>
      <c r="G1053" s="4">
        <f>SUMIFS(X!$F$5:$F$2005,X!$D$5:$D$2005,'Current Stock'!A1053)</f>
        <v>5</v>
      </c>
      <c r="H1053" s="4">
        <f>SUMIFS(PENJUALAN!$E$4:$E$11000,PENJUALAN!$C$4:$C$11000,'Current Stock'!A1053)</f>
        <v>3</v>
      </c>
      <c r="I1053" s="16">
        <f t="shared" si="2"/>
        <v>2</v>
      </c>
      <c r="J1053" s="15" t="s">
        <v>1478</v>
      </c>
      <c r="K1053" s="15"/>
      <c r="L1053" s="5">
        <v>1.0</v>
      </c>
      <c r="M1053" s="15" t="s">
        <v>1479</v>
      </c>
    </row>
    <row r="1054" ht="13.5" customHeight="1">
      <c r="A1054" s="4" t="str">
        <f t="shared" si="1"/>
        <v>LFW-VITARA88MU</v>
      </c>
      <c r="B1054" s="29" t="s">
        <v>1480</v>
      </c>
      <c r="C1054" s="30" t="s">
        <v>1481</v>
      </c>
      <c r="D1054" s="30" t="s">
        <v>22</v>
      </c>
      <c r="E1054" s="4" t="s">
        <v>1361</v>
      </c>
      <c r="F1054" s="28"/>
      <c r="G1054" s="4">
        <f>SUMIFS(X!$F$5:$F$2005,X!$D$5:$D$2005,'Current Stock'!A1054)</f>
        <v>8</v>
      </c>
      <c r="H1054" s="4">
        <f>SUMIFS(PENJUALAN!$E$4:$E$11000,PENJUALAN!$C$4:$C$11000,'Current Stock'!A1054)</f>
        <v>7</v>
      </c>
      <c r="I1054" s="16">
        <f t="shared" si="2"/>
        <v>1</v>
      </c>
      <c r="J1054" s="15" t="s">
        <v>1478</v>
      </c>
      <c r="K1054" s="15"/>
      <c r="L1054" s="5">
        <v>1.0</v>
      </c>
      <c r="M1054" s="4"/>
    </row>
    <row r="1055" ht="13.5" customHeight="1">
      <c r="A1055" s="4" t="str">
        <f t="shared" si="1"/>
        <v>LFW-SWIFT11MU</v>
      </c>
      <c r="B1055" s="29" t="s">
        <v>1482</v>
      </c>
      <c r="C1055" s="30" t="s">
        <v>1483</v>
      </c>
      <c r="D1055" s="30" t="s">
        <v>22</v>
      </c>
      <c r="E1055" s="4" t="s">
        <v>1361</v>
      </c>
      <c r="F1055" s="28"/>
      <c r="G1055" s="4">
        <f>SUMIFS(X!$F$5:$F$2005,X!$D$5:$D$2005,'Current Stock'!A1055)</f>
        <v>5</v>
      </c>
      <c r="H1055" s="4">
        <f>SUMIFS(PENJUALAN!$E$4:$E$11000,PENJUALAN!$C$4:$C$11000,'Current Stock'!A1055)</f>
        <v>5</v>
      </c>
      <c r="I1055" s="16">
        <f t="shared" si="2"/>
        <v>0</v>
      </c>
      <c r="J1055" s="15" t="s">
        <v>1362</v>
      </c>
      <c r="K1055" s="15"/>
      <c r="L1055" s="5">
        <v>1.0</v>
      </c>
      <c r="M1055" s="15" t="s">
        <v>1484</v>
      </c>
    </row>
    <row r="1056" ht="13.5" customHeight="1">
      <c r="A1056" s="4" t="str">
        <f t="shared" si="1"/>
        <v>TRW-H1XYG</v>
      </c>
      <c r="B1056" s="29" t="s">
        <v>529</v>
      </c>
      <c r="C1056" s="28" t="s">
        <v>530</v>
      </c>
      <c r="D1056" s="28" t="s">
        <v>41</v>
      </c>
      <c r="E1056" s="4" t="s">
        <v>16</v>
      </c>
      <c r="F1056" s="28" t="s">
        <v>221</v>
      </c>
      <c r="G1056" s="4">
        <f>SUMIFS(X!$F$5:$F$2005,X!$D$5:$D$2005,'Current Stock'!A1056)</f>
        <v>1</v>
      </c>
      <c r="H1056" s="4">
        <f>SUMIFS(PENJUALAN!$E$4:$E$11000,PENJUALAN!$C$4:$C$11000,'Current Stock'!A1056)</f>
        <v>1</v>
      </c>
      <c r="I1056" s="16">
        <f t="shared" si="2"/>
        <v>0</v>
      </c>
      <c r="J1056" s="4"/>
      <c r="K1056" s="4"/>
      <c r="L1056" s="4"/>
      <c r="M1056" s="4"/>
    </row>
    <row r="1057" ht="13.5" customHeight="1">
      <c r="A1057" s="4" t="str">
        <f t="shared" si="1"/>
        <v>LFW-FE800XYG</v>
      </c>
      <c r="B1057" s="29" t="s">
        <v>1312</v>
      </c>
      <c r="C1057" s="30" t="s">
        <v>1313</v>
      </c>
      <c r="D1057" s="28" t="s">
        <v>22</v>
      </c>
      <c r="E1057" s="4" t="s">
        <v>16</v>
      </c>
      <c r="F1057" s="28"/>
      <c r="G1057" s="4">
        <f>SUMIFS(X!$F$5:$F$2005,X!$D$5:$D$2005,'Current Stock'!A1057)</f>
        <v>10</v>
      </c>
      <c r="H1057" s="4">
        <f>SUMIFS(PENJUALAN!$E$4:$E$11000,PENJUALAN!$C$4:$C$11000,'Current Stock'!A1057)</f>
        <v>6</v>
      </c>
      <c r="I1057" s="16">
        <f t="shared" si="2"/>
        <v>4</v>
      </c>
      <c r="J1057" s="15" t="s">
        <v>1485</v>
      </c>
      <c r="K1057" s="15"/>
      <c r="L1057" s="5">
        <v>1.0</v>
      </c>
      <c r="M1057" s="4"/>
    </row>
    <row r="1058" ht="13.5" customHeight="1">
      <c r="A1058" s="4" t="str">
        <f t="shared" si="1"/>
        <v>LFW-PAJERO16AGC</v>
      </c>
      <c r="B1058" s="15" t="s">
        <v>884</v>
      </c>
      <c r="C1058" s="15" t="s">
        <v>1486</v>
      </c>
      <c r="D1058" s="18" t="str">
        <f t="shared" ref="D1058:D1059" si="5">LEFT(A1058,FIND("-",A1058) - 1)</f>
        <v>LFW</v>
      </c>
      <c r="E1058" s="15" t="s">
        <v>78</v>
      </c>
      <c r="F1058" s="18"/>
      <c r="G1058" s="4">
        <f>SUMIFS(X!$F$5:$F$2005,X!$D$5:$D$2005,'Current Stock'!A1058)</f>
        <v>10</v>
      </c>
      <c r="H1058" s="4">
        <f>SUMIFS(PENJUALAN!$E$4:$E$11000,PENJUALAN!$C$4:$C$11000,'Current Stock'!A1058)</f>
        <v>7</v>
      </c>
      <c r="I1058" s="16">
        <f t="shared" si="2"/>
        <v>3</v>
      </c>
      <c r="J1058" s="15" t="s">
        <v>1487</v>
      </c>
      <c r="K1058" s="15"/>
      <c r="L1058" s="18"/>
      <c r="M1058" s="15" t="s">
        <v>1488</v>
      </c>
    </row>
    <row r="1059" ht="13.5" customHeight="1">
      <c r="A1059" s="20" t="str">
        <f t="shared" si="1"/>
        <v>FDL-PAJERO08ASH</v>
      </c>
      <c r="B1059" s="24" t="s">
        <v>1489</v>
      </c>
      <c r="C1059" s="22" t="s">
        <v>882</v>
      </c>
      <c r="D1059" s="25" t="str">
        <f t="shared" si="5"/>
        <v>FDL</v>
      </c>
      <c r="E1059" s="22" t="s">
        <v>82</v>
      </c>
      <c r="F1059" s="25"/>
      <c r="G1059" s="4">
        <f>SUMIFS(X!$F$5:$F$2005,X!$D$5:$D$2005,'Current Stock'!A1059)</f>
        <v>5</v>
      </c>
      <c r="H1059" s="4">
        <f>SUMIFS(PENJUALAN!$E$4:$E$11000,PENJUALAN!$C$4:$C$11000,'Current Stock'!A1059)</f>
        <v>4</v>
      </c>
      <c r="I1059" s="16">
        <f t="shared" si="2"/>
        <v>1</v>
      </c>
      <c r="J1059" s="22" t="s">
        <v>83</v>
      </c>
      <c r="K1059" s="22"/>
      <c r="L1059" s="25"/>
      <c r="M1059" s="25"/>
    </row>
    <row r="1060" ht="13.5" customHeight="1">
      <c r="A1060" s="20" t="str">
        <f t="shared" si="1"/>
        <v>SWR-PAJERO08ASH</v>
      </c>
      <c r="B1060" s="24" t="s">
        <v>1490</v>
      </c>
      <c r="C1060" s="22" t="s">
        <v>1491</v>
      </c>
      <c r="D1060" s="22" t="s">
        <v>104</v>
      </c>
      <c r="E1060" s="22" t="s">
        <v>82</v>
      </c>
      <c r="F1060" s="22" t="s">
        <v>97</v>
      </c>
      <c r="G1060" s="4">
        <f>SUMIFS(X!$F$5:$F$2005,X!$D$5:$D$2005,'Current Stock'!A1060)</f>
        <v>0</v>
      </c>
      <c r="H1060" s="4">
        <f>SUMIFS(PENJUALAN!$E$4:$E$11000,PENJUALAN!$C$4:$C$11000,'Current Stock'!A1060)</f>
        <v>0</v>
      </c>
      <c r="I1060" s="16">
        <f t="shared" si="2"/>
        <v>0</v>
      </c>
      <c r="J1060" s="22"/>
      <c r="K1060" s="22"/>
      <c r="L1060" s="25"/>
      <c r="M1060" s="25"/>
    </row>
    <row r="1061" ht="13.5" customHeight="1">
      <c r="A1061" s="20" t="str">
        <f t="shared" si="1"/>
        <v>SWL-PAJERO08ASH</v>
      </c>
      <c r="B1061" s="24" t="s">
        <v>1492</v>
      </c>
      <c r="C1061" s="22" t="s">
        <v>1491</v>
      </c>
      <c r="D1061" s="22" t="s">
        <v>1434</v>
      </c>
      <c r="E1061" s="22" t="s">
        <v>82</v>
      </c>
      <c r="F1061" s="22" t="s">
        <v>97</v>
      </c>
      <c r="G1061" s="4">
        <f>SUMIFS(X!$F$5:$F$2005,X!$D$5:$D$2005,'Current Stock'!A1061)</f>
        <v>1</v>
      </c>
      <c r="H1061" s="4">
        <f>SUMIFS(PENJUALAN!$E$4:$E$11000,PENJUALAN!$C$4:$C$11000,'Current Stock'!A1061)</f>
        <v>1</v>
      </c>
      <c r="I1061" s="16">
        <f t="shared" si="2"/>
        <v>0</v>
      </c>
      <c r="J1061" s="22"/>
      <c r="K1061" s="22"/>
      <c r="L1061" s="25"/>
      <c r="M1061" s="25"/>
    </row>
    <row r="1062" ht="13.5" customHeight="1">
      <c r="A1062" s="4" t="str">
        <f t="shared" si="1"/>
        <v>LFW-ODYSSEY03XYG</v>
      </c>
      <c r="B1062" s="29" t="s">
        <v>483</v>
      </c>
      <c r="C1062" s="28" t="s">
        <v>484</v>
      </c>
      <c r="D1062" s="28" t="s">
        <v>22</v>
      </c>
      <c r="E1062" s="4" t="s">
        <v>16</v>
      </c>
      <c r="F1062" s="28" t="s">
        <v>125</v>
      </c>
      <c r="G1062" s="4">
        <f>SUMIFS(X!$F$5:$F$2005,X!$D$5:$D$2005,'Current Stock'!A1062)</f>
        <v>0</v>
      </c>
      <c r="H1062" s="4">
        <f>SUMIFS(PENJUALAN!$E$4:$E$11000,PENJUALAN!$C$4:$C$11000,'Current Stock'!A1062)</f>
        <v>0</v>
      </c>
      <c r="I1062" s="16">
        <f t="shared" si="2"/>
        <v>0</v>
      </c>
      <c r="J1062" s="4"/>
      <c r="K1062" s="4"/>
      <c r="L1062" s="4"/>
      <c r="M1062" s="4"/>
    </row>
    <row r="1063" ht="13.5" customHeight="1">
      <c r="A1063" s="20" t="str">
        <f t="shared" si="1"/>
        <v>TRW-GRANMAXPUASH</v>
      </c>
      <c r="B1063" s="22" t="s">
        <v>1493</v>
      </c>
      <c r="C1063" s="22" t="s">
        <v>1494</v>
      </c>
      <c r="D1063" s="22" t="s">
        <v>41</v>
      </c>
      <c r="E1063" s="22" t="s">
        <v>82</v>
      </c>
      <c r="F1063" s="25"/>
      <c r="G1063" s="4">
        <f>SUMIFS(X!$F$5:$F$2005,X!$D$5:$D$2005,'Current Stock'!A1063)</f>
        <v>5</v>
      </c>
      <c r="H1063" s="4">
        <f>SUMIFS(PENJUALAN!$E$4:$E$11000,PENJUALAN!$C$4:$C$11000,'Current Stock'!A1063)</f>
        <v>4</v>
      </c>
      <c r="I1063" s="16">
        <f t="shared" si="2"/>
        <v>1</v>
      </c>
      <c r="J1063" s="22" t="s">
        <v>1355</v>
      </c>
      <c r="K1063" s="22"/>
      <c r="L1063" s="25"/>
      <c r="M1063" s="25"/>
    </row>
    <row r="1064" ht="13.5" customHeight="1">
      <c r="A1064" s="4" t="str">
        <f t="shared" si="1"/>
        <v>TRW-ODYSSEY09XYG</v>
      </c>
      <c r="B1064" s="29" t="s">
        <v>1495</v>
      </c>
      <c r="C1064" s="28" t="s">
        <v>493</v>
      </c>
      <c r="D1064" s="28" t="s">
        <v>41</v>
      </c>
      <c r="E1064" s="4" t="s">
        <v>16</v>
      </c>
      <c r="F1064" s="28" t="s">
        <v>67</v>
      </c>
      <c r="G1064" s="4">
        <f>SUMIFS(X!$F$5:$F$2005,X!$D$5:$D$2005,'Current Stock'!A1064)</f>
        <v>0</v>
      </c>
      <c r="H1064" s="4">
        <f>SUMIFS(PENJUALAN!$E$4:$E$11000,PENJUALAN!$C$4:$C$11000,'Current Stock'!A1064)</f>
        <v>0</v>
      </c>
      <c r="I1064" s="16">
        <f t="shared" si="2"/>
        <v>0</v>
      </c>
      <c r="J1064" s="4"/>
      <c r="K1064" s="4"/>
      <c r="L1064" s="4"/>
      <c r="M1064" s="4"/>
    </row>
    <row r="1065" ht="13.5" customHeight="1">
      <c r="A1065" s="4" t="str">
        <f t="shared" si="1"/>
        <v>LFW-ODYSSEY13XYG</v>
      </c>
      <c r="B1065" s="29" t="s">
        <v>500</v>
      </c>
      <c r="C1065" s="28" t="s">
        <v>501</v>
      </c>
      <c r="D1065" s="28" t="s">
        <v>22</v>
      </c>
      <c r="E1065" s="4" t="s">
        <v>16</v>
      </c>
      <c r="F1065" s="28" t="s">
        <v>125</v>
      </c>
      <c r="G1065" s="4">
        <f>SUMIFS(X!$F$5:$F$2005,X!$D$5:$D$2005,'Current Stock'!A1065)</f>
        <v>1</v>
      </c>
      <c r="H1065" s="4">
        <f>SUMIFS(PENJUALAN!$E$4:$E$11000,PENJUALAN!$C$4:$C$11000,'Current Stock'!A1065)</f>
        <v>0</v>
      </c>
      <c r="I1065" s="16">
        <f t="shared" si="2"/>
        <v>1</v>
      </c>
      <c r="J1065" s="15" t="s">
        <v>1496</v>
      </c>
      <c r="K1065" s="4"/>
      <c r="L1065" s="4"/>
      <c r="M1065" s="4"/>
    </row>
    <row r="1066" ht="13.5" customHeight="1">
      <c r="A1066" s="20" t="str">
        <f t="shared" si="1"/>
        <v>FDR-ELFNMRASH</v>
      </c>
      <c r="B1066" s="24" t="s">
        <v>1497</v>
      </c>
      <c r="C1066" s="22" t="s">
        <v>1498</v>
      </c>
      <c r="D1066" s="25" t="str">
        <f>LEFT(A1066,FIND("-",A1066) - 1)</f>
        <v>FDR</v>
      </c>
      <c r="E1066" s="22" t="s">
        <v>82</v>
      </c>
      <c r="F1066" s="25"/>
      <c r="G1066" s="4">
        <f>SUMIFS(X!$F$5:$F$2005,X!$D$5:$D$2005,'Current Stock'!A1066)</f>
        <v>10</v>
      </c>
      <c r="H1066" s="4">
        <f>SUMIFS(PENJUALAN!$E$4:$E$11000,PENJUALAN!$C$4:$C$11000,'Current Stock'!A1066)</f>
        <v>5</v>
      </c>
      <c r="I1066" s="16">
        <f t="shared" si="2"/>
        <v>5</v>
      </c>
      <c r="J1066" s="22" t="s">
        <v>1499</v>
      </c>
      <c r="K1066" s="22"/>
      <c r="L1066" s="25"/>
      <c r="M1066" s="25"/>
    </row>
    <row r="1067" ht="13.5" customHeight="1">
      <c r="A1067" s="4" t="str">
        <f t="shared" si="1"/>
        <v>LFW-STREAM00NOXYG</v>
      </c>
      <c r="B1067" s="29" t="s">
        <v>1500</v>
      </c>
      <c r="C1067" s="28" t="s">
        <v>1501</v>
      </c>
      <c r="D1067" s="28" t="s">
        <v>22</v>
      </c>
      <c r="E1067" s="4" t="s">
        <v>16</v>
      </c>
      <c r="F1067" s="28" t="s">
        <v>97</v>
      </c>
      <c r="G1067" s="4">
        <f>SUMIFS(X!$F$5:$F$2005,X!$D$5:$D$2005,'Current Stock'!A1067)</f>
        <v>1</v>
      </c>
      <c r="H1067" s="4">
        <f>SUMIFS(PENJUALAN!$E$4:$E$11000,PENJUALAN!$C$4:$C$11000,'Current Stock'!A1067)</f>
        <v>0</v>
      </c>
      <c r="I1067" s="16">
        <f t="shared" si="2"/>
        <v>1</v>
      </c>
      <c r="J1067" s="15" t="s">
        <v>1442</v>
      </c>
      <c r="K1067" s="15"/>
      <c r="L1067" s="4"/>
      <c r="M1067" s="4"/>
    </row>
    <row r="1068" ht="13.5" customHeight="1">
      <c r="A1068" s="20" t="str">
        <f t="shared" si="1"/>
        <v>RDR-AVANZA21ASH</v>
      </c>
      <c r="B1068" s="24" t="s">
        <v>1502</v>
      </c>
      <c r="C1068" s="22" t="s">
        <v>1503</v>
      </c>
      <c r="D1068" s="25" t="str">
        <f>LEFT(A1068,FIND("-",A1068) - 1)</f>
        <v>RDR</v>
      </c>
      <c r="E1068" s="22" t="s">
        <v>82</v>
      </c>
      <c r="F1068" s="25"/>
      <c r="G1068" s="4">
        <f>SUMIFS(X!$F$5:$F$2005,X!$D$5:$D$2005,'Current Stock'!A1068)</f>
        <v>5</v>
      </c>
      <c r="H1068" s="4">
        <f>SUMIFS(PENJUALAN!$E$4:$E$11000,PENJUALAN!$C$4:$C$11000,'Current Stock'!A1068)</f>
        <v>3</v>
      </c>
      <c r="I1068" s="16">
        <f t="shared" si="2"/>
        <v>2</v>
      </c>
      <c r="J1068" s="22" t="s">
        <v>83</v>
      </c>
      <c r="K1068" s="22"/>
      <c r="L1068" s="25"/>
      <c r="M1068" s="25"/>
    </row>
    <row r="1069" ht="13.5" customHeight="1">
      <c r="A1069" s="4" t="str">
        <f t="shared" si="1"/>
        <v>TRW-EXCEL94XYG</v>
      </c>
      <c r="B1069" s="29" t="s">
        <v>1504</v>
      </c>
      <c r="C1069" s="30" t="s">
        <v>1505</v>
      </c>
      <c r="D1069" s="28" t="s">
        <v>41</v>
      </c>
      <c r="E1069" s="4" t="s">
        <v>16</v>
      </c>
      <c r="F1069" s="28"/>
      <c r="G1069" s="4">
        <f>SUMIFS(X!$F$5:$F$2005,X!$D$5:$D$2005,'Current Stock'!A1069)</f>
        <v>0</v>
      </c>
      <c r="H1069" s="4">
        <f>SUMIFS(PENJUALAN!$E$4:$E$11000,PENJUALAN!$C$4:$C$11000,'Current Stock'!A1069)</f>
        <v>0</v>
      </c>
      <c r="I1069" s="16">
        <f t="shared" si="2"/>
        <v>0</v>
      </c>
      <c r="J1069" s="4"/>
      <c r="K1069" s="4"/>
      <c r="L1069" s="4"/>
      <c r="M1069" s="4"/>
    </row>
    <row r="1070" ht="13.5" customHeight="1">
      <c r="A1070" s="4" t="str">
        <f t="shared" si="1"/>
        <v>LFW-AVEGA01XYG</v>
      </c>
      <c r="B1070" s="29" t="s">
        <v>1506</v>
      </c>
      <c r="C1070" s="30" t="s">
        <v>1507</v>
      </c>
      <c r="D1070" s="30" t="s">
        <v>22</v>
      </c>
      <c r="E1070" s="4" t="s">
        <v>16</v>
      </c>
      <c r="F1070" s="34" t="s">
        <v>125</v>
      </c>
      <c r="G1070" s="4">
        <f>SUMIFS(X!$F$5:$F$2005,X!$D$5:$D$2005,'Current Stock'!A1070)</f>
        <v>2</v>
      </c>
      <c r="H1070" s="4">
        <f>SUMIFS(PENJUALAN!$E$4:$E$11000,PENJUALAN!$C$4:$C$11000,'Current Stock'!A1070)</f>
        <v>2</v>
      </c>
      <c r="I1070" s="16">
        <f t="shared" si="2"/>
        <v>0</v>
      </c>
      <c r="J1070" s="15" t="s">
        <v>1365</v>
      </c>
      <c r="K1070" s="15"/>
      <c r="L1070" s="4"/>
      <c r="M1070" s="4"/>
    </row>
    <row r="1071" ht="13.5" customHeight="1">
      <c r="A1071" s="4" t="str">
        <f t="shared" si="1"/>
        <v>TRW-VERNA00XYG</v>
      </c>
      <c r="B1071" s="29" t="s">
        <v>511</v>
      </c>
      <c r="C1071" s="28" t="s">
        <v>512</v>
      </c>
      <c r="D1071" s="28" t="s">
        <v>41</v>
      </c>
      <c r="E1071" s="4" t="s">
        <v>16</v>
      </c>
      <c r="F1071" s="28" t="s">
        <v>67</v>
      </c>
      <c r="G1071" s="4">
        <f>SUMIFS(X!$F$5:$F$2005,X!$D$5:$D$2005,'Current Stock'!A1071)</f>
        <v>0</v>
      </c>
      <c r="H1071" s="4">
        <f>SUMIFS(PENJUALAN!$E$4:$E$11000,PENJUALAN!$C$4:$C$11000,'Current Stock'!A1071)</f>
        <v>0</v>
      </c>
      <c r="I1071" s="16">
        <f t="shared" si="2"/>
        <v>0</v>
      </c>
      <c r="J1071" s="4"/>
      <c r="K1071" s="4"/>
      <c r="L1071" s="4"/>
      <c r="M1071" s="4"/>
    </row>
    <row r="1072" ht="13.5" customHeight="1">
      <c r="A1072" s="20" t="str">
        <f t="shared" si="1"/>
        <v>SWL-AVANZA21ASH</v>
      </c>
      <c r="B1072" s="24" t="s">
        <v>1508</v>
      </c>
      <c r="C1072" s="22" t="s">
        <v>1503</v>
      </c>
      <c r="D1072" s="22" t="s">
        <v>1434</v>
      </c>
      <c r="E1072" s="22" t="s">
        <v>82</v>
      </c>
      <c r="F1072" s="25"/>
      <c r="G1072" s="4">
        <f>SUMIFS(X!$F$5:$F$2005,X!$D$5:$D$2005,'Current Stock'!A1072)</f>
        <v>4</v>
      </c>
      <c r="H1072" s="4">
        <f>SUMIFS(PENJUALAN!$E$4:$E$11000,PENJUALAN!$C$4:$C$11000,'Current Stock'!A1072)</f>
        <v>3</v>
      </c>
      <c r="I1072" s="16">
        <f t="shared" si="2"/>
        <v>1</v>
      </c>
      <c r="J1072" s="22" t="s">
        <v>1509</v>
      </c>
      <c r="K1072" s="22"/>
      <c r="L1072" s="25"/>
      <c r="M1072" s="25"/>
    </row>
    <row r="1073" ht="13.5" customHeight="1">
      <c r="A1073" s="4" t="str">
        <f t="shared" si="1"/>
        <v>LFW-CRETARSXYG</v>
      </c>
      <c r="B1073" s="46" t="s">
        <v>1510</v>
      </c>
      <c r="C1073" s="33" t="s">
        <v>1364</v>
      </c>
      <c r="D1073" s="47" t="s">
        <v>22</v>
      </c>
      <c r="E1073" s="4" t="s">
        <v>16</v>
      </c>
      <c r="F1073" s="47" t="s">
        <v>75</v>
      </c>
      <c r="G1073" s="4">
        <f>SUMIFS(X!$F$5:$F$2005,X!$D$5:$D$2005,'Current Stock'!A1073)</f>
        <v>0</v>
      </c>
      <c r="H1073" s="4">
        <f>SUMIFS(PENJUALAN!$E$4:$E$11000,PENJUALAN!$C$4:$C$11000,'Current Stock'!A1073)</f>
        <v>0</v>
      </c>
      <c r="I1073" s="16">
        <f t="shared" si="2"/>
        <v>0</v>
      </c>
      <c r="J1073" s="4"/>
      <c r="K1073" s="4"/>
      <c r="L1073" s="4"/>
      <c r="M1073" s="4"/>
    </row>
    <row r="1074" ht="13.5" customHeight="1">
      <c r="A1074" s="20" t="str">
        <f t="shared" si="1"/>
        <v>FDR-TERIOS06ASH</v>
      </c>
      <c r="B1074" s="48" t="s">
        <v>1511</v>
      </c>
      <c r="C1074" s="22" t="s">
        <v>1244</v>
      </c>
      <c r="D1074" s="49" t="str">
        <f>LEFT(A1074,FIND("-",A1074) - 1)</f>
        <v>FDR</v>
      </c>
      <c r="E1074" s="22" t="s">
        <v>82</v>
      </c>
      <c r="F1074" s="49"/>
      <c r="G1074" s="4">
        <f>SUMIFS(X!$F$5:$F$2005,X!$D$5:$D$2005,'Current Stock'!A1074)</f>
        <v>5</v>
      </c>
      <c r="H1074" s="4">
        <f>SUMIFS(PENJUALAN!$E$4:$E$11000,PENJUALAN!$C$4:$C$11000,'Current Stock'!A1074)</f>
        <v>4</v>
      </c>
      <c r="I1074" s="16">
        <f t="shared" si="2"/>
        <v>1</v>
      </c>
      <c r="J1074" s="22" t="s">
        <v>1431</v>
      </c>
      <c r="K1074" s="22"/>
      <c r="L1074" s="25"/>
      <c r="M1074" s="25"/>
    </row>
    <row r="1075" ht="13.5" customHeight="1">
      <c r="A1075" s="4" t="str">
        <f t="shared" si="1"/>
        <v>TRW-CRETAXYG</v>
      </c>
      <c r="B1075" s="50" t="s">
        <v>1512</v>
      </c>
      <c r="C1075" s="33" t="s">
        <v>1364</v>
      </c>
      <c r="D1075" s="51" t="s">
        <v>41</v>
      </c>
      <c r="E1075" s="4" t="s">
        <v>16</v>
      </c>
      <c r="F1075" s="51" t="s">
        <v>533</v>
      </c>
      <c r="G1075" s="4">
        <f>SUMIFS(X!$F$5:$F$2005,X!$D$5:$D$2005,'Current Stock'!A1075)</f>
        <v>0</v>
      </c>
      <c r="H1075" s="4">
        <f>SUMIFS(PENJUALAN!$E$4:$E$11000,PENJUALAN!$C$4:$C$11000,'Current Stock'!A1075)</f>
        <v>0</v>
      </c>
      <c r="I1075" s="16">
        <f t="shared" si="2"/>
        <v>0</v>
      </c>
      <c r="J1075" s="4"/>
      <c r="K1075" s="4"/>
      <c r="L1075" s="4"/>
      <c r="M1075" s="4"/>
    </row>
    <row r="1076" ht="13.5" customHeight="1">
      <c r="A1076" s="4" t="str">
        <f t="shared" si="1"/>
        <v>LFW-ELANTRAXYG</v>
      </c>
      <c r="B1076" s="29" t="s">
        <v>513</v>
      </c>
      <c r="C1076" s="28" t="s">
        <v>514</v>
      </c>
      <c r="D1076" s="28" t="s">
        <v>22</v>
      </c>
      <c r="E1076" s="4" t="s">
        <v>16</v>
      </c>
      <c r="F1076" s="28" t="s">
        <v>125</v>
      </c>
      <c r="G1076" s="4">
        <f>SUMIFS(X!$F$5:$F$2005,X!$D$5:$D$2005,'Current Stock'!A1076)</f>
        <v>0</v>
      </c>
      <c r="H1076" s="4">
        <f>SUMIFS(PENJUALAN!$E$4:$E$11000,PENJUALAN!$C$4:$C$11000,'Current Stock'!A1076)</f>
        <v>0</v>
      </c>
      <c r="I1076" s="16">
        <f t="shared" si="2"/>
        <v>0</v>
      </c>
      <c r="J1076" s="4"/>
      <c r="K1076" s="4"/>
      <c r="L1076" s="4"/>
      <c r="M1076" s="4"/>
    </row>
    <row r="1077" ht="13.5" customHeight="1">
      <c r="A1077" s="20" t="str">
        <f t="shared" si="1"/>
        <v>RVR-SIGRA16ASH</v>
      </c>
      <c r="B1077" s="22" t="s">
        <v>1513</v>
      </c>
      <c r="C1077" s="22" t="s">
        <v>1514</v>
      </c>
      <c r="D1077" s="22" t="s">
        <v>1515</v>
      </c>
      <c r="E1077" s="22" t="s">
        <v>82</v>
      </c>
      <c r="F1077" s="25"/>
      <c r="G1077" s="4">
        <f>SUMIFS(X!$F$5:$F$2005,X!$D$5:$D$2005,'Current Stock'!A1077)</f>
        <v>5</v>
      </c>
      <c r="H1077" s="4">
        <f>SUMIFS(PENJUALAN!$E$4:$E$11000,PENJUALAN!$C$4:$C$11000,'Current Stock'!A1077)</f>
        <v>3</v>
      </c>
      <c r="I1077" s="16">
        <f t="shared" si="2"/>
        <v>2</v>
      </c>
      <c r="J1077" s="22" t="s">
        <v>1473</v>
      </c>
      <c r="K1077" s="22"/>
      <c r="L1077" s="25"/>
      <c r="M1077" s="25"/>
    </row>
    <row r="1078" ht="13.5" customHeight="1">
      <c r="A1078" s="4" t="str">
        <f t="shared" si="1"/>
        <v>TRW-GETZXYG</v>
      </c>
      <c r="B1078" s="29" t="s">
        <v>517</v>
      </c>
      <c r="C1078" s="28" t="s">
        <v>516</v>
      </c>
      <c r="D1078" s="28" t="s">
        <v>41</v>
      </c>
      <c r="E1078" s="4" t="s">
        <v>16</v>
      </c>
      <c r="F1078" s="28" t="s">
        <v>221</v>
      </c>
      <c r="G1078" s="4">
        <f>SUMIFS(X!$F$5:$F$2005,X!$D$5:$D$2005,'Current Stock'!A1078)</f>
        <v>0</v>
      </c>
      <c r="H1078" s="4">
        <f>SUMIFS(PENJUALAN!$E$4:$E$11000,PENJUALAN!$C$4:$C$11000,'Current Stock'!A1078)</f>
        <v>0</v>
      </c>
      <c r="I1078" s="16">
        <f t="shared" si="2"/>
        <v>0</v>
      </c>
      <c r="J1078" s="4"/>
      <c r="K1078" s="4"/>
      <c r="L1078" s="4"/>
      <c r="M1078" s="4"/>
    </row>
    <row r="1079" ht="13.5" customHeight="1">
      <c r="A1079" s="4" t="str">
        <f t="shared" si="1"/>
        <v>FDL-GETZXYG</v>
      </c>
      <c r="B1079" s="29" t="s">
        <v>518</v>
      </c>
      <c r="C1079" s="28" t="s">
        <v>516</v>
      </c>
      <c r="D1079" s="28" t="s">
        <v>128</v>
      </c>
      <c r="E1079" s="4" t="s">
        <v>16</v>
      </c>
      <c r="F1079" s="28" t="s">
        <v>141</v>
      </c>
      <c r="G1079" s="4">
        <f>SUMIFS(X!$F$5:$F$2005,X!$D$5:$D$2005,'Current Stock'!A1079)</f>
        <v>0</v>
      </c>
      <c r="H1079" s="4">
        <f>SUMIFS(PENJUALAN!$E$4:$E$11000,PENJUALAN!$C$4:$C$11000,'Current Stock'!A1079)</f>
        <v>0</v>
      </c>
      <c r="I1079" s="16">
        <f t="shared" si="2"/>
        <v>0</v>
      </c>
      <c r="J1079" s="4"/>
      <c r="K1079" s="4"/>
      <c r="L1079" s="4"/>
      <c r="M1079" s="4"/>
    </row>
    <row r="1080" ht="13.5" customHeight="1">
      <c r="A1080" s="4" t="str">
        <f t="shared" si="1"/>
        <v>FDR-GETZXYG</v>
      </c>
      <c r="B1080" s="29" t="s">
        <v>519</v>
      </c>
      <c r="C1080" s="28" t="s">
        <v>516</v>
      </c>
      <c r="D1080" s="28" t="s">
        <v>130</v>
      </c>
      <c r="E1080" s="4" t="s">
        <v>16</v>
      </c>
      <c r="F1080" s="28" t="s">
        <v>141</v>
      </c>
      <c r="G1080" s="4">
        <f>SUMIFS(X!$F$5:$F$2005,X!$D$5:$D$2005,'Current Stock'!A1080)</f>
        <v>0</v>
      </c>
      <c r="H1080" s="4">
        <f>SUMIFS(PENJUALAN!$E$4:$E$11000,PENJUALAN!$C$4:$C$11000,'Current Stock'!A1080)</f>
        <v>0</v>
      </c>
      <c r="I1080" s="16">
        <f t="shared" si="2"/>
        <v>0</v>
      </c>
      <c r="J1080" s="4"/>
      <c r="K1080" s="4"/>
      <c r="L1080" s="4"/>
      <c r="M1080" s="4"/>
    </row>
    <row r="1081" ht="13.5" customHeight="1">
      <c r="A1081" s="4" t="str">
        <f t="shared" si="1"/>
        <v>RDR-GETZXYG</v>
      </c>
      <c r="B1081" s="29" t="s">
        <v>521</v>
      </c>
      <c r="C1081" s="28" t="s">
        <v>516</v>
      </c>
      <c r="D1081" s="28" t="s">
        <v>134</v>
      </c>
      <c r="E1081" s="4" t="s">
        <v>16</v>
      </c>
      <c r="F1081" s="28"/>
      <c r="G1081" s="4">
        <f>SUMIFS(X!$F$5:$F$2005,X!$D$5:$D$2005,'Current Stock'!A1081)</f>
        <v>0</v>
      </c>
      <c r="H1081" s="4">
        <f>SUMIFS(PENJUALAN!$E$4:$E$11000,PENJUALAN!$C$4:$C$11000,'Current Stock'!A1081)</f>
        <v>0</v>
      </c>
      <c r="I1081" s="16">
        <f t="shared" si="2"/>
        <v>0</v>
      </c>
      <c r="J1081" s="4"/>
      <c r="K1081" s="4"/>
      <c r="L1081" s="4"/>
      <c r="M1081" s="4"/>
    </row>
    <row r="1082" ht="13.5" customHeight="1">
      <c r="A1082" s="20" t="str">
        <f t="shared" si="1"/>
        <v>RDL-SIGRA16ASH</v>
      </c>
      <c r="B1082" s="22" t="s">
        <v>1516</v>
      </c>
      <c r="C1082" s="39" t="s">
        <v>1517</v>
      </c>
      <c r="D1082" s="22" t="s">
        <v>47</v>
      </c>
      <c r="E1082" s="22" t="s">
        <v>82</v>
      </c>
      <c r="F1082" s="25"/>
      <c r="G1082" s="4">
        <f>SUMIFS(X!$F$5:$F$2005,X!$D$5:$D$2005,'Current Stock'!A1082)</f>
        <v>5</v>
      </c>
      <c r="H1082" s="4">
        <f>SUMIFS(PENJUALAN!$E$4:$E$11000,PENJUALAN!$C$4:$C$11000,'Current Stock'!A1082)</f>
        <v>3</v>
      </c>
      <c r="I1082" s="16">
        <f t="shared" si="2"/>
        <v>2</v>
      </c>
      <c r="J1082" s="22" t="s">
        <v>1391</v>
      </c>
      <c r="K1082" s="22"/>
      <c r="L1082" s="25"/>
      <c r="M1082" s="22" t="s">
        <v>1518</v>
      </c>
    </row>
    <row r="1083" ht="13.5" customHeight="1">
      <c r="A1083" s="4" t="str">
        <f t="shared" si="1"/>
        <v>TRW-GAVEGAXYG</v>
      </c>
      <c r="B1083" s="29" t="s">
        <v>524</v>
      </c>
      <c r="C1083" s="28" t="s">
        <v>523</v>
      </c>
      <c r="D1083" s="28" t="s">
        <v>41</v>
      </c>
      <c r="E1083" s="4" t="s">
        <v>16</v>
      </c>
      <c r="F1083" s="28" t="s">
        <v>221</v>
      </c>
      <c r="G1083" s="4">
        <f>SUMIFS(X!$F$5:$F$2005,X!$D$5:$D$2005,'Current Stock'!A1083)</f>
        <v>0</v>
      </c>
      <c r="H1083" s="4">
        <f>SUMIFS(PENJUALAN!$E$4:$E$11000,PENJUALAN!$C$4:$C$11000,'Current Stock'!A1083)</f>
        <v>0</v>
      </c>
      <c r="I1083" s="16">
        <f t="shared" si="2"/>
        <v>0</v>
      </c>
      <c r="J1083" s="4"/>
      <c r="K1083" s="4"/>
      <c r="L1083" s="4"/>
      <c r="M1083" s="4"/>
    </row>
    <row r="1084" ht="13.5" customHeight="1">
      <c r="A1084" s="4" t="str">
        <f t="shared" si="1"/>
        <v>RDL-GAVEGAXYG</v>
      </c>
      <c r="B1084" s="29" t="s">
        <v>525</v>
      </c>
      <c r="C1084" s="28" t="s">
        <v>523</v>
      </c>
      <c r="D1084" s="28" t="s">
        <v>132</v>
      </c>
      <c r="E1084" s="4" t="s">
        <v>16</v>
      </c>
      <c r="F1084" s="28" t="s">
        <v>141</v>
      </c>
      <c r="G1084" s="4">
        <f>SUMIFS(X!$F$5:$F$2005,X!$D$5:$D$2005,'Current Stock'!A1084)</f>
        <v>0</v>
      </c>
      <c r="H1084" s="4">
        <f>SUMIFS(PENJUALAN!$E$4:$E$11000,PENJUALAN!$C$4:$C$11000,'Current Stock'!A1084)</f>
        <v>0</v>
      </c>
      <c r="I1084" s="16">
        <f t="shared" si="2"/>
        <v>0</v>
      </c>
      <c r="J1084" s="4"/>
      <c r="K1084" s="4"/>
      <c r="L1084" s="4"/>
      <c r="M1084" s="4"/>
    </row>
    <row r="1085" ht="13.5" customHeight="1">
      <c r="A1085" s="4" t="str">
        <f t="shared" si="1"/>
        <v>LFW-H1XYG</v>
      </c>
      <c r="B1085" s="29" t="s">
        <v>527</v>
      </c>
      <c r="C1085" s="28" t="s">
        <v>528</v>
      </c>
      <c r="D1085" s="28" t="s">
        <v>22</v>
      </c>
      <c r="E1085" s="4" t="s">
        <v>16</v>
      </c>
      <c r="F1085" s="28" t="s">
        <v>125</v>
      </c>
      <c r="G1085" s="4">
        <f>SUMIFS(X!$F$5:$F$2005,X!$D$5:$D$2005,'Current Stock'!A1085)</f>
        <v>0</v>
      </c>
      <c r="H1085" s="4">
        <f>SUMIFS(PENJUALAN!$E$4:$E$11000,PENJUALAN!$C$4:$C$11000,'Current Stock'!A1085)</f>
        <v>0</v>
      </c>
      <c r="I1085" s="16">
        <f t="shared" si="2"/>
        <v>0</v>
      </c>
      <c r="J1085" s="4"/>
      <c r="K1085" s="4"/>
      <c r="L1085" s="4"/>
      <c r="M1085" s="4"/>
    </row>
    <row r="1086" ht="13.5" customHeight="1">
      <c r="A1086" s="4" t="str">
        <f t="shared" si="1"/>
        <v>TRW-AVANZA21ASH</v>
      </c>
      <c r="B1086" s="15" t="s">
        <v>1519</v>
      </c>
      <c r="C1086" s="15" t="s">
        <v>1503</v>
      </c>
      <c r="D1086" s="15" t="s">
        <v>41</v>
      </c>
      <c r="E1086" s="15" t="s">
        <v>82</v>
      </c>
      <c r="F1086" s="15" t="s">
        <v>97</v>
      </c>
      <c r="G1086" s="4">
        <f>SUMIFS(X!$F$5:$F$2005,X!$D$5:$D$2005,'Current Stock'!A1086)</f>
        <v>8</v>
      </c>
      <c r="H1086" s="4">
        <f>SUMIFS(PENJUALAN!$E$4:$E$11000,PENJUALAN!$C$4:$C$11000,'Current Stock'!A1086)</f>
        <v>8</v>
      </c>
      <c r="I1086" s="16">
        <f t="shared" si="2"/>
        <v>0</v>
      </c>
      <c r="J1086" s="15" t="s">
        <v>1520</v>
      </c>
      <c r="K1086" s="15"/>
      <c r="L1086" s="18"/>
      <c r="M1086" s="18"/>
    </row>
    <row r="1087" ht="13.5" customHeight="1">
      <c r="A1087" s="4" t="str">
        <f t="shared" si="1"/>
        <v>TRW-H1NOHOLEXYG</v>
      </c>
      <c r="B1087" s="29" t="s">
        <v>1521</v>
      </c>
      <c r="C1087" s="28" t="s">
        <v>1522</v>
      </c>
      <c r="D1087" s="28" t="s">
        <v>41</v>
      </c>
      <c r="E1087" s="4" t="s">
        <v>16</v>
      </c>
      <c r="F1087" s="28" t="s">
        <v>67</v>
      </c>
      <c r="G1087" s="4">
        <f>SUMIFS(X!$F$5:$F$2005,X!$D$5:$D$2005,'Current Stock'!A1087)</f>
        <v>0</v>
      </c>
      <c r="H1087" s="4">
        <f>SUMIFS(PENJUALAN!$E$4:$E$11000,PENJUALAN!$C$4:$C$11000,'Current Stock'!A1087)</f>
        <v>0</v>
      </c>
      <c r="I1087" s="16">
        <f t="shared" si="2"/>
        <v>0</v>
      </c>
      <c r="J1087" s="4"/>
      <c r="K1087" s="4"/>
      <c r="L1087" s="4"/>
      <c r="M1087" s="4"/>
    </row>
    <row r="1088" ht="13.5" customHeight="1">
      <c r="A1088" s="4" t="str">
        <f t="shared" si="1"/>
        <v>RDL-H1FRAMEXYG</v>
      </c>
      <c r="B1088" s="29" t="s">
        <v>1523</v>
      </c>
      <c r="C1088" s="28" t="s">
        <v>1524</v>
      </c>
      <c r="D1088" s="28" t="s">
        <v>132</v>
      </c>
      <c r="E1088" s="4" t="s">
        <v>16</v>
      </c>
      <c r="F1088" s="28"/>
      <c r="G1088" s="4">
        <f>SUMIFS(X!$F$5:$F$2005,X!$D$5:$D$2005,'Current Stock'!A1088)</f>
        <v>0</v>
      </c>
      <c r="H1088" s="4">
        <f>SUMIFS(PENJUALAN!$E$4:$E$11000,PENJUALAN!$C$4:$C$11000,'Current Stock'!A1088)</f>
        <v>0</v>
      </c>
      <c r="I1088" s="16">
        <f t="shared" si="2"/>
        <v>0</v>
      </c>
      <c r="J1088" s="4"/>
      <c r="K1088" s="4"/>
      <c r="L1088" s="4"/>
      <c r="M1088" s="4"/>
    </row>
    <row r="1089" ht="13.5" customHeight="1">
      <c r="A1089" s="4" t="str">
        <f t="shared" si="1"/>
        <v>RDR-H1FRAMEXYG</v>
      </c>
      <c r="B1089" s="29" t="s">
        <v>1525</v>
      </c>
      <c r="C1089" s="28" t="s">
        <v>1524</v>
      </c>
      <c r="D1089" s="28" t="s">
        <v>134</v>
      </c>
      <c r="E1089" s="4" t="s">
        <v>16</v>
      </c>
      <c r="F1089" s="28"/>
      <c r="G1089" s="4">
        <f>SUMIFS(X!$F$5:$F$2005,X!$D$5:$D$2005,'Current Stock'!A1089)</f>
        <v>0</v>
      </c>
      <c r="H1089" s="4">
        <f>SUMIFS(PENJUALAN!$E$4:$E$11000,PENJUALAN!$C$4:$C$11000,'Current Stock'!A1089)</f>
        <v>0</v>
      </c>
      <c r="I1089" s="16">
        <f t="shared" si="2"/>
        <v>0</v>
      </c>
      <c r="J1089" s="4"/>
      <c r="K1089" s="4"/>
      <c r="L1089" s="4"/>
      <c r="M1089" s="4"/>
    </row>
    <row r="1090" ht="13.5" customHeight="1">
      <c r="A1090" s="4" t="str">
        <f t="shared" si="1"/>
        <v>LFW-I1008XYG</v>
      </c>
      <c r="B1090" s="29" t="s">
        <v>535</v>
      </c>
      <c r="C1090" s="28" t="s">
        <v>536</v>
      </c>
      <c r="D1090" s="28" t="s">
        <v>22</v>
      </c>
      <c r="E1090" s="4" t="s">
        <v>16</v>
      </c>
      <c r="F1090" s="28" t="s">
        <v>125</v>
      </c>
      <c r="G1090" s="4">
        <f>SUMIFS(X!$F$5:$F$2005,X!$D$5:$D$2005,'Current Stock'!A1090)</f>
        <v>0</v>
      </c>
      <c r="H1090" s="4">
        <f>SUMIFS(PENJUALAN!$E$4:$E$11000,PENJUALAN!$C$4:$C$11000,'Current Stock'!A1090)</f>
        <v>0</v>
      </c>
      <c r="I1090" s="16">
        <f t="shared" si="2"/>
        <v>0</v>
      </c>
      <c r="J1090" s="4"/>
      <c r="K1090" s="4"/>
      <c r="L1090" s="4"/>
      <c r="M1090" s="4"/>
    </row>
    <row r="1091" ht="13.5" customHeight="1">
      <c r="A1091" s="4" t="str">
        <f t="shared" si="1"/>
        <v>TRW-I1008XYG</v>
      </c>
      <c r="B1091" s="29" t="s">
        <v>537</v>
      </c>
      <c r="C1091" s="28" t="s">
        <v>536</v>
      </c>
      <c r="D1091" s="28" t="s">
        <v>41</v>
      </c>
      <c r="E1091" s="4" t="s">
        <v>16</v>
      </c>
      <c r="F1091" s="28" t="s">
        <v>67</v>
      </c>
      <c r="G1091" s="4">
        <f>SUMIFS(X!$F$5:$F$2005,X!$D$5:$D$2005,'Current Stock'!A1091)</f>
        <v>0</v>
      </c>
      <c r="H1091" s="4">
        <f>SUMIFS(PENJUALAN!$E$4:$E$11000,PENJUALAN!$C$4:$C$11000,'Current Stock'!A1091)</f>
        <v>0</v>
      </c>
      <c r="I1091" s="16">
        <f t="shared" si="2"/>
        <v>0</v>
      </c>
      <c r="J1091" s="4"/>
      <c r="K1091" s="4"/>
      <c r="L1091" s="4"/>
      <c r="M1091" s="4"/>
    </row>
    <row r="1092" ht="13.5" customHeight="1">
      <c r="A1092" s="4" t="str">
        <f t="shared" si="1"/>
        <v>LFW-I1013XYG</v>
      </c>
      <c r="B1092" s="29" t="s">
        <v>542</v>
      </c>
      <c r="C1092" s="28" t="s">
        <v>543</v>
      </c>
      <c r="D1092" s="28" t="s">
        <v>22</v>
      </c>
      <c r="E1092" s="4" t="s">
        <v>16</v>
      </c>
      <c r="F1092" s="28" t="s">
        <v>125</v>
      </c>
      <c r="G1092" s="4">
        <f>SUMIFS(X!$F$5:$F$2005,X!$D$5:$D$2005,'Current Stock'!A1092)</f>
        <v>0</v>
      </c>
      <c r="H1092" s="4">
        <f>SUMIFS(PENJUALAN!$E$4:$E$11000,PENJUALAN!$C$4:$C$11000,'Current Stock'!A1092)</f>
        <v>0</v>
      </c>
      <c r="I1092" s="16">
        <f t="shared" si="2"/>
        <v>0</v>
      </c>
      <c r="J1092" s="4"/>
      <c r="K1092" s="4"/>
      <c r="L1092" s="4"/>
      <c r="M1092" s="4"/>
    </row>
    <row r="1093" ht="13.5" customHeight="1">
      <c r="A1093" s="4" t="str">
        <f t="shared" si="1"/>
        <v>LFW-I2008XYG</v>
      </c>
      <c r="B1093" s="29" t="s">
        <v>1526</v>
      </c>
      <c r="C1093" s="28" t="s">
        <v>1527</v>
      </c>
      <c r="D1093" s="28" t="s">
        <v>22</v>
      </c>
      <c r="E1093" s="4" t="s">
        <v>16</v>
      </c>
      <c r="F1093" s="28" t="s">
        <v>125</v>
      </c>
      <c r="G1093" s="4">
        <f>SUMIFS(X!$F$5:$F$2005,X!$D$5:$D$2005,'Current Stock'!A1093)</f>
        <v>0</v>
      </c>
      <c r="H1093" s="4">
        <f>SUMIFS(PENJUALAN!$E$4:$E$11000,PENJUALAN!$C$4:$C$11000,'Current Stock'!A1093)</f>
        <v>0</v>
      </c>
      <c r="I1093" s="16">
        <f t="shared" si="2"/>
        <v>0</v>
      </c>
      <c r="J1093" s="4"/>
      <c r="K1093" s="4"/>
      <c r="L1093" s="4"/>
      <c r="M1093" s="4"/>
    </row>
    <row r="1094" ht="13.5" customHeight="1">
      <c r="A1094" s="4" t="str">
        <f t="shared" si="1"/>
        <v>LFW-PALISADEXYG</v>
      </c>
      <c r="B1094" s="29" t="s">
        <v>1528</v>
      </c>
      <c r="C1094" s="28" t="s">
        <v>1529</v>
      </c>
      <c r="D1094" s="28" t="s">
        <v>22</v>
      </c>
      <c r="E1094" s="4" t="s">
        <v>16</v>
      </c>
      <c r="F1094" s="28" t="s">
        <v>125</v>
      </c>
      <c r="G1094" s="4">
        <f>SUMIFS(X!$F$5:$F$2005,X!$D$5:$D$2005,'Current Stock'!A1094)</f>
        <v>0</v>
      </c>
      <c r="H1094" s="4">
        <f>SUMIFS(PENJUALAN!$E$4:$E$11000,PENJUALAN!$C$4:$C$11000,'Current Stock'!A1094)</f>
        <v>0</v>
      </c>
      <c r="I1094" s="16">
        <f t="shared" si="2"/>
        <v>0</v>
      </c>
      <c r="J1094" s="4"/>
      <c r="K1094" s="4"/>
      <c r="L1094" s="4"/>
      <c r="M1094" s="4"/>
    </row>
    <row r="1095" ht="13.5" customHeight="1">
      <c r="A1095" s="4" t="str">
        <f t="shared" si="1"/>
        <v>TRW-PALISADEXYG</v>
      </c>
      <c r="B1095" s="29" t="s">
        <v>1530</v>
      </c>
      <c r="C1095" s="28" t="s">
        <v>1529</v>
      </c>
      <c r="D1095" s="28" t="s">
        <v>41</v>
      </c>
      <c r="E1095" s="4" t="s">
        <v>16</v>
      </c>
      <c r="F1095" s="28" t="s">
        <v>221</v>
      </c>
      <c r="G1095" s="4">
        <f>SUMIFS(X!$F$5:$F$2005,X!$D$5:$D$2005,'Current Stock'!A1095)</f>
        <v>0</v>
      </c>
      <c r="H1095" s="4">
        <f>SUMIFS(PENJUALAN!$E$4:$E$11000,PENJUALAN!$C$4:$C$11000,'Current Stock'!A1095)</f>
        <v>0</v>
      </c>
      <c r="I1095" s="16">
        <f t="shared" si="2"/>
        <v>0</v>
      </c>
      <c r="J1095" s="4"/>
      <c r="K1095" s="4"/>
      <c r="L1095" s="4"/>
      <c r="M1095" s="4"/>
    </row>
    <row r="1096" ht="13.5" customHeight="1">
      <c r="A1096" s="4" t="str">
        <f t="shared" si="1"/>
        <v>LFW-PAJERO20RSAGC</v>
      </c>
      <c r="B1096" s="15" t="s">
        <v>1531</v>
      </c>
      <c r="C1096" s="15" t="s">
        <v>1532</v>
      </c>
      <c r="D1096" s="15" t="s">
        <v>22</v>
      </c>
      <c r="E1096" s="15" t="s">
        <v>78</v>
      </c>
      <c r="F1096" s="15" t="s">
        <v>23</v>
      </c>
      <c r="G1096" s="4">
        <f>SUMIFS(X!$F$5:$F$2005,X!$D$5:$D$2005,'Current Stock'!A1096)</f>
        <v>2</v>
      </c>
      <c r="H1096" s="4">
        <f>SUMIFS(PENJUALAN!$E$4:$E$11000,PENJUALAN!$C$4:$C$11000,'Current Stock'!A1096)</f>
        <v>2</v>
      </c>
      <c r="I1096" s="16">
        <f t="shared" si="2"/>
        <v>0</v>
      </c>
      <c r="J1096" s="18"/>
      <c r="K1096" s="18"/>
      <c r="L1096" s="18"/>
      <c r="M1096" s="18"/>
    </row>
    <row r="1097" ht="13.5" customHeight="1">
      <c r="A1097" s="4" t="str">
        <f t="shared" si="1"/>
        <v>TRW-SANTAFE12XYG</v>
      </c>
      <c r="B1097" s="29" t="s">
        <v>561</v>
      </c>
      <c r="C1097" s="28" t="s">
        <v>560</v>
      </c>
      <c r="D1097" s="28" t="s">
        <v>41</v>
      </c>
      <c r="E1097" s="4" t="s">
        <v>16</v>
      </c>
      <c r="F1097" s="28" t="s">
        <v>221</v>
      </c>
      <c r="G1097" s="4">
        <f>SUMIFS(X!$F$5:$F$2005,X!$D$5:$D$2005,'Current Stock'!A1097)</f>
        <v>0</v>
      </c>
      <c r="H1097" s="4">
        <f>SUMIFS(PENJUALAN!$E$4:$E$11000,PENJUALAN!$C$4:$C$11000,'Current Stock'!A1097)</f>
        <v>0</v>
      </c>
      <c r="I1097" s="16">
        <f t="shared" si="2"/>
        <v>0</v>
      </c>
      <c r="J1097" s="4"/>
      <c r="K1097" s="4"/>
      <c r="L1097" s="4"/>
      <c r="M1097" s="4"/>
    </row>
    <row r="1098" ht="13.5" customHeight="1">
      <c r="A1098" s="4" t="str">
        <f t="shared" si="1"/>
        <v>LFW-SANTAFE19XYG</v>
      </c>
      <c r="B1098" s="29" t="s">
        <v>1533</v>
      </c>
      <c r="C1098" s="30" t="s">
        <v>1534</v>
      </c>
      <c r="D1098" s="30" t="s">
        <v>22</v>
      </c>
      <c r="E1098" s="4" t="s">
        <v>16</v>
      </c>
      <c r="F1098" s="34" t="s">
        <v>125</v>
      </c>
      <c r="G1098" s="4">
        <f>SUMIFS(X!$F$5:$F$2005,X!$D$5:$D$2005,'Current Stock'!A1098)</f>
        <v>0</v>
      </c>
      <c r="H1098" s="4">
        <f>SUMIFS(PENJUALAN!$E$4:$E$11000,PENJUALAN!$C$4:$C$11000,'Current Stock'!A1098)</f>
        <v>0</v>
      </c>
      <c r="I1098" s="16">
        <f t="shared" si="2"/>
        <v>0</v>
      </c>
      <c r="J1098" s="4"/>
      <c r="K1098" s="4"/>
      <c r="L1098" s="4"/>
      <c r="M1098" s="4"/>
    </row>
    <row r="1099" ht="13.5" customHeight="1">
      <c r="A1099" s="4" t="str">
        <f t="shared" si="1"/>
        <v>TRW-SANTAFE19XYG</v>
      </c>
      <c r="B1099" s="29" t="s">
        <v>1535</v>
      </c>
      <c r="C1099" s="30" t="s">
        <v>1534</v>
      </c>
      <c r="D1099" s="30" t="s">
        <v>41</v>
      </c>
      <c r="E1099" s="4" t="s">
        <v>16</v>
      </c>
      <c r="F1099" s="34" t="s">
        <v>67</v>
      </c>
      <c r="G1099" s="4">
        <f>SUMIFS(X!$F$5:$F$2005,X!$D$5:$D$2005,'Current Stock'!A1099)</f>
        <v>0</v>
      </c>
      <c r="H1099" s="4">
        <f>SUMIFS(PENJUALAN!$E$4:$E$11000,PENJUALAN!$C$4:$C$11000,'Current Stock'!A1099)</f>
        <v>0</v>
      </c>
      <c r="I1099" s="16">
        <f t="shared" si="2"/>
        <v>0</v>
      </c>
      <c r="J1099" s="4"/>
      <c r="K1099" s="4"/>
      <c r="L1099" s="4"/>
      <c r="M1099" s="4"/>
    </row>
    <row r="1100" ht="13.5" customHeight="1">
      <c r="A1100" s="4" t="str">
        <f t="shared" si="1"/>
        <v>LFW-STARGAZERXYG</v>
      </c>
      <c r="B1100" s="52" t="s">
        <v>1536</v>
      </c>
      <c r="C1100" s="53" t="s">
        <v>1537</v>
      </c>
      <c r="D1100" s="33" t="s">
        <v>22</v>
      </c>
      <c r="E1100" s="4" t="s">
        <v>16</v>
      </c>
      <c r="F1100" s="53" t="s">
        <v>125</v>
      </c>
      <c r="G1100" s="4">
        <f>SUMIFS(X!$F$5:$F$2005,X!$D$5:$D$2005,'Current Stock'!A1100)</f>
        <v>1</v>
      </c>
      <c r="H1100" s="4">
        <f>SUMIFS(PENJUALAN!$E$4:$E$11000,PENJUALAN!$C$4:$C$11000,'Current Stock'!A1100)</f>
        <v>0</v>
      </c>
      <c r="I1100" s="16">
        <f t="shared" si="2"/>
        <v>1</v>
      </c>
      <c r="J1100" s="15" t="s">
        <v>1365</v>
      </c>
      <c r="K1100" s="15"/>
      <c r="L1100" s="4"/>
      <c r="M1100" s="4"/>
    </row>
    <row r="1101" ht="13.5" customHeight="1">
      <c r="A1101" s="4" t="str">
        <f t="shared" si="1"/>
        <v>FDL-QUESTERASH</v>
      </c>
      <c r="B1101" s="54" t="s">
        <v>1538</v>
      </c>
      <c r="C1101" s="54" t="s">
        <v>1539</v>
      </c>
      <c r="D1101" s="18" t="str">
        <f>LEFT(A1101,FIND("-",A1101) - 1)</f>
        <v>FDL</v>
      </c>
      <c r="E1101" s="15" t="s">
        <v>82</v>
      </c>
      <c r="F1101" s="55"/>
      <c r="G1101" s="4">
        <f>SUMIFS(X!$F$5:$F$2005,X!$D$5:$D$2005,'Current Stock'!A1101)</f>
        <v>1</v>
      </c>
      <c r="H1101" s="4">
        <f>SUMIFS(PENJUALAN!$E$4:$E$11000,PENJUALAN!$C$4:$C$11000,'Current Stock'!A1101)</f>
        <v>1</v>
      </c>
      <c r="I1101" s="16">
        <f t="shared" si="2"/>
        <v>0</v>
      </c>
      <c r="J1101" s="18"/>
      <c r="K1101" s="18"/>
      <c r="L1101" s="18"/>
      <c r="M1101" s="15" t="s">
        <v>1540</v>
      </c>
    </row>
    <row r="1102" ht="13.5" customHeight="1">
      <c r="A1102" s="4" t="str">
        <f t="shared" si="1"/>
        <v>FDR-QUESTERASH</v>
      </c>
      <c r="B1102" s="54" t="s">
        <v>1541</v>
      </c>
      <c r="C1102" s="54" t="s">
        <v>1539</v>
      </c>
      <c r="D1102" s="15" t="s">
        <v>93</v>
      </c>
      <c r="E1102" s="15" t="s">
        <v>82</v>
      </c>
      <c r="F1102" s="55"/>
      <c r="G1102" s="4">
        <f>SUMIFS(X!$F$5:$F$2005,X!$D$5:$D$2005,'Current Stock'!A1102)</f>
        <v>6</v>
      </c>
      <c r="H1102" s="4">
        <f>SUMIFS(PENJUALAN!$E$4:$E$11000,PENJUALAN!$C$4:$C$11000,'Current Stock'!A1102)</f>
        <v>1</v>
      </c>
      <c r="I1102" s="16">
        <f t="shared" si="2"/>
        <v>5</v>
      </c>
      <c r="J1102" s="56" t="s">
        <v>1382</v>
      </c>
      <c r="K1102" s="45"/>
      <c r="L1102" s="18"/>
      <c r="M1102" s="18"/>
    </row>
    <row r="1103" ht="13.5" customHeight="1">
      <c r="A1103" s="4" t="str">
        <f t="shared" si="1"/>
        <v>LFW-TUCSON05XYG</v>
      </c>
      <c r="B1103" s="29" t="s">
        <v>565</v>
      </c>
      <c r="C1103" s="28" t="s">
        <v>566</v>
      </c>
      <c r="D1103" s="28" t="s">
        <v>22</v>
      </c>
      <c r="E1103" s="4" t="s">
        <v>16</v>
      </c>
      <c r="F1103" s="28" t="s">
        <v>125</v>
      </c>
      <c r="G1103" s="4">
        <f>SUMIFS(X!$F$5:$F$2005,X!$D$5:$D$2005,'Current Stock'!A1103)</f>
        <v>0</v>
      </c>
      <c r="H1103" s="4">
        <f>SUMIFS(PENJUALAN!$E$4:$E$11000,PENJUALAN!$C$4:$C$11000,'Current Stock'!A1103)</f>
        <v>0</v>
      </c>
      <c r="I1103" s="16">
        <f t="shared" si="2"/>
        <v>0</v>
      </c>
      <c r="J1103" s="4"/>
      <c r="K1103" s="4"/>
      <c r="L1103" s="4"/>
      <c r="M1103" s="4"/>
    </row>
    <row r="1104" ht="13.5" customHeight="1">
      <c r="A1104" s="4" t="str">
        <f t="shared" si="1"/>
        <v>LFW-TUCSON10XYG</v>
      </c>
      <c r="B1104" s="29" t="s">
        <v>567</v>
      </c>
      <c r="C1104" s="28" t="s">
        <v>568</v>
      </c>
      <c r="D1104" s="28" t="s">
        <v>22</v>
      </c>
      <c r="E1104" s="4" t="s">
        <v>16</v>
      </c>
      <c r="F1104" s="28" t="s">
        <v>125</v>
      </c>
      <c r="G1104" s="4">
        <f>SUMIFS(X!$F$5:$F$2005,X!$D$5:$D$2005,'Current Stock'!A1104)</f>
        <v>0</v>
      </c>
      <c r="H1104" s="4">
        <f>SUMIFS(PENJUALAN!$E$4:$E$11000,PENJUALAN!$C$4:$C$11000,'Current Stock'!A1104)</f>
        <v>0</v>
      </c>
      <c r="I1104" s="16">
        <f t="shared" si="2"/>
        <v>0</v>
      </c>
      <c r="J1104" s="4"/>
      <c r="K1104" s="4"/>
      <c r="L1104" s="4"/>
      <c r="M1104" s="4"/>
    </row>
    <row r="1105" ht="13.5" customHeight="1">
      <c r="A1105" s="4" t="str">
        <f t="shared" si="1"/>
        <v>TRW-TUCSON10XYG</v>
      </c>
      <c r="B1105" s="29" t="s">
        <v>569</v>
      </c>
      <c r="C1105" s="28" t="s">
        <v>568</v>
      </c>
      <c r="D1105" s="28" t="s">
        <v>41</v>
      </c>
      <c r="E1105" s="4" t="s">
        <v>16</v>
      </c>
      <c r="F1105" s="28" t="s">
        <v>221</v>
      </c>
      <c r="G1105" s="4">
        <f>SUMIFS(X!$F$5:$F$2005,X!$D$5:$D$2005,'Current Stock'!A1105)</f>
        <v>0</v>
      </c>
      <c r="H1105" s="4">
        <f>SUMIFS(PENJUALAN!$E$4:$E$11000,PENJUALAN!$C$4:$C$11000,'Current Stock'!A1105)</f>
        <v>0</v>
      </c>
      <c r="I1105" s="16">
        <f t="shared" si="2"/>
        <v>0</v>
      </c>
      <c r="J1105" s="4"/>
      <c r="K1105" s="4"/>
      <c r="L1105" s="4"/>
      <c r="M1105" s="4"/>
    </row>
    <row r="1106" ht="13.5" customHeight="1">
      <c r="A1106" s="4" t="str">
        <f t="shared" si="1"/>
        <v>LFW-TUCSON16XYG</v>
      </c>
      <c r="B1106" s="29" t="s">
        <v>570</v>
      </c>
      <c r="C1106" s="28" t="s">
        <v>571</v>
      </c>
      <c r="D1106" s="28" t="s">
        <v>22</v>
      </c>
      <c r="E1106" s="4" t="s">
        <v>16</v>
      </c>
      <c r="F1106" s="28" t="s">
        <v>125</v>
      </c>
      <c r="G1106" s="4">
        <f>SUMIFS(X!$F$5:$F$2005,X!$D$5:$D$2005,'Current Stock'!A1106)</f>
        <v>0</v>
      </c>
      <c r="H1106" s="4">
        <f>SUMIFS(PENJUALAN!$E$4:$E$11000,PENJUALAN!$C$4:$C$11000,'Current Stock'!A1106)</f>
        <v>0</v>
      </c>
      <c r="I1106" s="16">
        <f t="shared" si="2"/>
        <v>0</v>
      </c>
      <c r="J1106" s="4"/>
      <c r="K1106" s="4"/>
      <c r="L1106" s="4"/>
      <c r="M1106" s="4"/>
    </row>
    <row r="1107" ht="13.5" customHeight="1">
      <c r="A1107" s="4" t="str">
        <f t="shared" si="1"/>
        <v>LFW-TERRA18RSXYG</v>
      </c>
      <c r="B1107" s="15" t="s">
        <v>1542</v>
      </c>
      <c r="C1107" s="15" t="s">
        <v>1543</v>
      </c>
      <c r="D1107" s="15" t="s">
        <v>22</v>
      </c>
      <c r="E1107" s="15" t="s">
        <v>16</v>
      </c>
      <c r="F1107" s="15" t="s">
        <v>75</v>
      </c>
      <c r="G1107" s="4">
        <f>SUMIFS(X!$F$5:$F$2005,X!$D$5:$D$2005,'Current Stock'!A1107)</f>
        <v>1</v>
      </c>
      <c r="H1107" s="4">
        <f>SUMIFS(PENJUALAN!$E$4:$E$11000,PENJUALAN!$C$4:$C$11000,'Current Stock'!A1107)</f>
        <v>2</v>
      </c>
      <c r="I1107" s="16">
        <f t="shared" si="2"/>
        <v>-1</v>
      </c>
      <c r="J1107" s="15" t="s">
        <v>1544</v>
      </c>
      <c r="K1107" s="15"/>
      <c r="L1107" s="18"/>
      <c r="M1107" s="18"/>
    </row>
    <row r="1108" ht="13.5" customHeight="1">
      <c r="A1108" s="4" t="str">
        <f t="shared" si="1"/>
        <v>LFW-MUXXYG</v>
      </c>
      <c r="B1108" s="29" t="s">
        <v>573</v>
      </c>
      <c r="C1108" s="28" t="s">
        <v>574</v>
      </c>
      <c r="D1108" s="28" t="s">
        <v>22</v>
      </c>
      <c r="E1108" s="4" t="s">
        <v>16</v>
      </c>
      <c r="F1108" s="28" t="s">
        <v>125</v>
      </c>
      <c r="G1108" s="4">
        <f>SUMIFS(X!$F$5:$F$2005,X!$D$5:$D$2005,'Current Stock'!A1108)</f>
        <v>0</v>
      </c>
      <c r="H1108" s="4">
        <f>SUMIFS(PENJUALAN!$E$4:$E$11000,PENJUALAN!$C$4:$C$11000,'Current Stock'!A1108)</f>
        <v>0</v>
      </c>
      <c r="I1108" s="16">
        <f t="shared" si="2"/>
        <v>0</v>
      </c>
      <c r="J1108" s="4"/>
      <c r="K1108" s="4"/>
      <c r="L1108" s="4"/>
      <c r="M1108" s="4"/>
    </row>
    <row r="1109" ht="13.5" customHeight="1">
      <c r="A1109" s="4" t="str">
        <f t="shared" si="1"/>
        <v>LFW-W169XYG</v>
      </c>
      <c r="B1109" s="15" t="s">
        <v>1545</v>
      </c>
      <c r="C1109" s="15" t="s">
        <v>1546</v>
      </c>
      <c r="D1109" s="15" t="s">
        <v>22</v>
      </c>
      <c r="E1109" s="15" t="s">
        <v>16</v>
      </c>
      <c r="F1109" s="15" t="s">
        <v>1547</v>
      </c>
      <c r="G1109" s="4">
        <f>SUMIFS(X!$F$5:$F$2005,X!$D$5:$D$2005,'Current Stock'!A1109)</f>
        <v>1</v>
      </c>
      <c r="H1109" s="4">
        <f>SUMIFS(PENJUALAN!$E$4:$E$11000,PENJUALAN!$C$4:$C$11000,'Current Stock'!A1109)</f>
        <v>1</v>
      </c>
      <c r="I1109" s="16">
        <f t="shared" si="2"/>
        <v>0</v>
      </c>
      <c r="J1109" s="18"/>
      <c r="K1109" s="18"/>
      <c r="L1109" s="18"/>
      <c r="M1109" s="18"/>
    </row>
    <row r="1110" ht="13.5" customHeight="1">
      <c r="A1110" s="4" t="str">
        <f t="shared" si="1"/>
        <v>LFW-JAGUARXF11XYG</v>
      </c>
      <c r="B1110" s="29" t="s">
        <v>1548</v>
      </c>
      <c r="C1110" s="30" t="s">
        <v>1549</v>
      </c>
      <c r="D1110" s="30" t="s">
        <v>22</v>
      </c>
      <c r="E1110" s="4" t="s">
        <v>16</v>
      </c>
      <c r="F1110" s="30" t="s">
        <v>23</v>
      </c>
      <c r="G1110" s="4">
        <f>SUMIFS(X!$F$5:$F$2005,X!$D$5:$D$2005,'Current Stock'!A1110)</f>
        <v>0</v>
      </c>
      <c r="H1110" s="4">
        <f>SUMIFS(PENJUALAN!$E$4:$E$11000,PENJUALAN!$C$4:$C$11000,'Current Stock'!A1110)</f>
        <v>0</v>
      </c>
      <c r="I1110" s="16">
        <f t="shared" si="2"/>
        <v>0</v>
      </c>
      <c r="J1110" s="4"/>
      <c r="K1110" s="4"/>
      <c r="L1110" s="4"/>
      <c r="M1110" s="4"/>
    </row>
    <row r="1111" ht="13.5" customHeight="1">
      <c r="A1111" s="4" t="str">
        <f t="shared" si="1"/>
        <v>TRW-WRANGLER96XYG</v>
      </c>
      <c r="B1111" s="29" t="s">
        <v>1550</v>
      </c>
      <c r="C1111" s="28" t="s">
        <v>1551</v>
      </c>
      <c r="D1111" s="28" t="s">
        <v>41</v>
      </c>
      <c r="E1111" s="4" t="s">
        <v>16</v>
      </c>
      <c r="F1111" s="28"/>
      <c r="G1111" s="4">
        <f>SUMIFS(X!$F$5:$F$2005,X!$D$5:$D$2005,'Current Stock'!A1111)</f>
        <v>0</v>
      </c>
      <c r="H1111" s="4">
        <f>SUMIFS(PENJUALAN!$E$4:$E$11000,PENJUALAN!$C$4:$C$11000,'Current Stock'!A1111)</f>
        <v>0</v>
      </c>
      <c r="I1111" s="16">
        <f t="shared" si="2"/>
        <v>0</v>
      </c>
      <c r="J1111" s="4"/>
      <c r="K1111" s="4"/>
      <c r="L1111" s="4"/>
      <c r="M1111" s="4"/>
    </row>
    <row r="1112" ht="13.5" customHeight="1">
      <c r="A1112" s="4" t="str">
        <f t="shared" si="1"/>
        <v>LFW-RUBICON07XYG</v>
      </c>
      <c r="B1112" s="29" t="s">
        <v>575</v>
      </c>
      <c r="C1112" s="28" t="s">
        <v>576</v>
      </c>
      <c r="D1112" s="28" t="s">
        <v>22</v>
      </c>
      <c r="E1112" s="4" t="s">
        <v>16</v>
      </c>
      <c r="F1112" s="28" t="s">
        <v>125</v>
      </c>
      <c r="G1112" s="4">
        <f>SUMIFS(X!$F$5:$F$2005,X!$D$5:$D$2005,'Current Stock'!A1112)</f>
        <v>0</v>
      </c>
      <c r="H1112" s="4">
        <f>SUMIFS(PENJUALAN!$E$4:$E$11000,PENJUALAN!$C$4:$C$11000,'Current Stock'!A1112)</f>
        <v>0</v>
      </c>
      <c r="I1112" s="16">
        <f t="shared" si="2"/>
        <v>0</v>
      </c>
      <c r="J1112" s="4"/>
      <c r="K1112" s="4"/>
      <c r="L1112" s="4"/>
      <c r="M1112" s="4"/>
    </row>
    <row r="1113" ht="13.5" customHeight="1">
      <c r="A1113" s="4" t="str">
        <f t="shared" si="1"/>
        <v>TRW-RUBICON07XYG</v>
      </c>
      <c r="B1113" s="29" t="s">
        <v>1552</v>
      </c>
      <c r="C1113" s="30" t="s">
        <v>1553</v>
      </c>
      <c r="D1113" s="30" t="s">
        <v>41</v>
      </c>
      <c r="E1113" s="4" t="s">
        <v>16</v>
      </c>
      <c r="F1113" s="34" t="s">
        <v>227</v>
      </c>
      <c r="G1113" s="4">
        <f>SUMIFS(X!$F$5:$F$2005,X!$D$5:$D$2005,'Current Stock'!A1113)</f>
        <v>0</v>
      </c>
      <c r="H1113" s="4">
        <f>SUMIFS(PENJUALAN!$E$4:$E$11000,PENJUALAN!$C$4:$C$11000,'Current Stock'!A1113)</f>
        <v>0</v>
      </c>
      <c r="I1113" s="16">
        <f t="shared" si="2"/>
        <v>0</v>
      </c>
      <c r="J1113" s="4"/>
      <c r="K1113" s="4"/>
      <c r="L1113" s="4"/>
      <c r="M1113" s="4"/>
    </row>
    <row r="1114" ht="13.5" customHeight="1">
      <c r="A1114" s="4" t="str">
        <f t="shared" si="1"/>
        <v>TRW-RUBICON11XYG</v>
      </c>
      <c r="B1114" s="29" t="s">
        <v>1554</v>
      </c>
      <c r="C1114" s="30" t="s">
        <v>1555</v>
      </c>
      <c r="D1114" s="30" t="s">
        <v>41</v>
      </c>
      <c r="E1114" s="4" t="s">
        <v>16</v>
      </c>
      <c r="F1114" s="34" t="s">
        <v>1556</v>
      </c>
      <c r="G1114" s="4">
        <f>SUMIFS(X!$F$5:$F$2005,X!$D$5:$D$2005,'Current Stock'!A1114)</f>
        <v>0</v>
      </c>
      <c r="H1114" s="4">
        <f>SUMIFS(PENJUALAN!$E$4:$E$11000,PENJUALAN!$C$4:$C$11000,'Current Stock'!A1114)</f>
        <v>0</v>
      </c>
      <c r="I1114" s="16">
        <f t="shared" si="2"/>
        <v>0</v>
      </c>
      <c r="J1114" s="4"/>
      <c r="K1114" s="4"/>
      <c r="L1114" s="4"/>
      <c r="M1114" s="4"/>
    </row>
    <row r="1115" ht="13.5" customHeight="1">
      <c r="A1115" s="4" t="str">
        <f t="shared" si="1"/>
        <v>SWR-AVANZA21AGC</v>
      </c>
      <c r="B1115" s="15" t="s">
        <v>1557</v>
      </c>
      <c r="C1115" s="15" t="s">
        <v>1503</v>
      </c>
      <c r="D1115" s="15" t="s">
        <v>104</v>
      </c>
      <c r="E1115" s="15" t="s">
        <v>78</v>
      </c>
      <c r="F1115" s="15" t="s">
        <v>97</v>
      </c>
      <c r="G1115" s="4">
        <f>SUMIFS(X!$F$5:$F$2005,X!$D$5:$D$2005,'Current Stock'!A1115)</f>
        <v>1</v>
      </c>
      <c r="H1115" s="4">
        <f>SUMIFS(PENJUALAN!$E$4:$E$11000,PENJUALAN!$C$4:$C$11000,'Current Stock'!A1115)</f>
        <v>1</v>
      </c>
      <c r="I1115" s="16">
        <f t="shared" si="2"/>
        <v>0</v>
      </c>
      <c r="J1115" s="18"/>
      <c r="K1115" s="18"/>
      <c r="L1115" s="18"/>
      <c r="M1115" s="18"/>
    </row>
    <row r="1116" ht="13.5" customHeight="1">
      <c r="A1116" s="4" t="str">
        <f t="shared" si="1"/>
        <v>TRW-RUBICON18BLACKXYG</v>
      </c>
      <c r="B1116" s="29" t="s">
        <v>1558</v>
      </c>
      <c r="C1116" s="30" t="s">
        <v>1559</v>
      </c>
      <c r="D1116" s="30" t="s">
        <v>41</v>
      </c>
      <c r="E1116" s="4" t="s">
        <v>16</v>
      </c>
      <c r="F1116" s="34" t="s">
        <v>67</v>
      </c>
      <c r="G1116" s="4">
        <f>SUMIFS(X!$F$5:$F$2005,X!$D$5:$D$2005,'Current Stock'!A1116)</f>
        <v>0</v>
      </c>
      <c r="H1116" s="4">
        <f>SUMIFS(PENJUALAN!$E$4:$E$11000,PENJUALAN!$C$4:$C$11000,'Current Stock'!A1116)</f>
        <v>0</v>
      </c>
      <c r="I1116" s="16">
        <f t="shared" si="2"/>
        <v>0</v>
      </c>
      <c r="J1116" s="4"/>
      <c r="K1116" s="4"/>
      <c r="L1116" s="4"/>
      <c r="M1116" s="4"/>
    </row>
    <row r="1117" ht="13.5" customHeight="1">
      <c r="A1117" s="4" t="str">
        <f t="shared" si="1"/>
        <v>TRW-CAREN99XYG</v>
      </c>
      <c r="B1117" s="29" t="s">
        <v>577</v>
      </c>
      <c r="C1117" s="28" t="s">
        <v>578</v>
      </c>
      <c r="D1117" s="28" t="s">
        <v>41</v>
      </c>
      <c r="E1117" s="4" t="s">
        <v>16</v>
      </c>
      <c r="F1117" s="28" t="s">
        <v>67</v>
      </c>
      <c r="G1117" s="4">
        <f>SUMIFS(X!$F$5:$F$2005,X!$D$5:$D$2005,'Current Stock'!A1117)</f>
        <v>0</v>
      </c>
      <c r="H1117" s="4">
        <f>SUMIFS(PENJUALAN!$E$4:$E$11000,PENJUALAN!$C$4:$C$11000,'Current Stock'!A1117)</f>
        <v>0</v>
      </c>
      <c r="I1117" s="16">
        <f t="shared" si="2"/>
        <v>0</v>
      </c>
      <c r="J1117" s="4"/>
      <c r="K1117" s="4"/>
      <c r="L1117" s="4"/>
      <c r="M1117" s="4"/>
    </row>
    <row r="1118" ht="13.5" customHeight="1">
      <c r="A1118" s="4" t="str">
        <f t="shared" si="1"/>
        <v>LFW-CAREN99XYG</v>
      </c>
      <c r="B1118" s="29" t="s">
        <v>579</v>
      </c>
      <c r="C1118" s="28" t="s">
        <v>580</v>
      </c>
      <c r="D1118" s="28" t="s">
        <v>22</v>
      </c>
      <c r="E1118" s="4" t="s">
        <v>16</v>
      </c>
      <c r="F1118" s="28" t="s">
        <v>125</v>
      </c>
      <c r="G1118" s="4">
        <f>SUMIFS(X!$F$5:$F$2005,X!$D$5:$D$2005,'Current Stock'!A1118)</f>
        <v>0</v>
      </c>
      <c r="H1118" s="4">
        <f>SUMIFS(PENJUALAN!$E$4:$E$11000,PENJUALAN!$C$4:$C$11000,'Current Stock'!A1118)</f>
        <v>0</v>
      </c>
      <c r="I1118" s="16">
        <f t="shared" si="2"/>
        <v>0</v>
      </c>
      <c r="J1118" s="4"/>
      <c r="K1118" s="4"/>
      <c r="L1118" s="4"/>
      <c r="M1118" s="4"/>
    </row>
    <row r="1119" ht="13.5" customHeight="1">
      <c r="A1119" s="4" t="str">
        <f t="shared" si="1"/>
        <v>LFW-CARNIVAL15XYG</v>
      </c>
      <c r="B1119" s="29" t="s">
        <v>1560</v>
      </c>
      <c r="C1119" s="28" t="s">
        <v>1561</v>
      </c>
      <c r="D1119" s="30" t="s">
        <v>22</v>
      </c>
      <c r="E1119" s="4" t="s">
        <v>16</v>
      </c>
      <c r="F1119" s="28" t="s">
        <v>737</v>
      </c>
      <c r="G1119" s="4">
        <f>SUMIFS(X!$F$5:$F$2005,X!$D$5:$D$2005,'Current Stock'!A1119)</f>
        <v>0</v>
      </c>
      <c r="H1119" s="4">
        <f>SUMIFS(PENJUALAN!$E$4:$E$11000,PENJUALAN!$C$4:$C$11000,'Current Stock'!A1119)</f>
        <v>0</v>
      </c>
      <c r="I1119" s="16">
        <f t="shared" si="2"/>
        <v>0</v>
      </c>
      <c r="J1119" s="4"/>
      <c r="K1119" s="4"/>
      <c r="L1119" s="4"/>
      <c r="M1119" s="4"/>
    </row>
    <row r="1120" ht="13.5" customHeight="1">
      <c r="A1120" s="4" t="str">
        <f t="shared" si="1"/>
        <v>TRW-CARNIVAL15XYG</v>
      </c>
      <c r="B1120" s="29" t="s">
        <v>1562</v>
      </c>
      <c r="C1120" s="28" t="s">
        <v>1561</v>
      </c>
      <c r="D1120" s="28" t="s">
        <v>41</v>
      </c>
      <c r="E1120" s="4" t="s">
        <v>16</v>
      </c>
      <c r="F1120" s="28" t="s">
        <v>221</v>
      </c>
      <c r="G1120" s="4">
        <f>SUMIFS(X!$F$5:$F$2005,X!$D$5:$D$2005,'Current Stock'!A1120)</f>
        <v>0</v>
      </c>
      <c r="H1120" s="4">
        <f>SUMIFS(PENJUALAN!$E$4:$E$11000,PENJUALAN!$C$4:$C$11000,'Current Stock'!A1120)</f>
        <v>0</v>
      </c>
      <c r="I1120" s="16">
        <f t="shared" si="2"/>
        <v>0</v>
      </c>
      <c r="J1120" s="4"/>
      <c r="K1120" s="4"/>
      <c r="L1120" s="4"/>
      <c r="M1120" s="4"/>
    </row>
    <row r="1121" ht="13.5" customHeight="1">
      <c r="A1121" s="4" t="str">
        <f t="shared" si="1"/>
        <v>LFW-CERATO09XYG</v>
      </c>
      <c r="B1121" s="29" t="s">
        <v>1563</v>
      </c>
      <c r="C1121" s="28" t="s">
        <v>1564</v>
      </c>
      <c r="D1121" s="28" t="s">
        <v>22</v>
      </c>
      <c r="E1121" s="4" t="s">
        <v>16</v>
      </c>
      <c r="F1121" s="28" t="s">
        <v>125</v>
      </c>
      <c r="G1121" s="4">
        <f>SUMIFS(X!$F$5:$F$2005,X!$D$5:$D$2005,'Current Stock'!A1121)</f>
        <v>0</v>
      </c>
      <c r="H1121" s="4">
        <f>SUMIFS(PENJUALAN!$E$4:$E$11000,PENJUALAN!$C$4:$C$11000,'Current Stock'!A1121)</f>
        <v>0</v>
      </c>
      <c r="I1121" s="16">
        <f t="shared" si="2"/>
        <v>0</v>
      </c>
      <c r="J1121" s="4"/>
      <c r="K1121" s="4"/>
      <c r="L1121" s="4"/>
      <c r="M1121" s="4"/>
    </row>
    <row r="1122" ht="13.5" customHeight="1">
      <c r="A1122" s="4" t="str">
        <f t="shared" si="1"/>
        <v>TRW-CERATO09XYG</v>
      </c>
      <c r="B1122" s="29" t="s">
        <v>1565</v>
      </c>
      <c r="C1122" s="28" t="s">
        <v>1564</v>
      </c>
      <c r="D1122" s="30" t="s">
        <v>41</v>
      </c>
      <c r="E1122" s="4" t="s">
        <v>16</v>
      </c>
      <c r="F1122" s="28" t="s">
        <v>67</v>
      </c>
      <c r="G1122" s="4">
        <f>SUMIFS(X!$F$5:$F$2005,X!$D$5:$D$2005,'Current Stock'!A1122)</f>
        <v>0</v>
      </c>
      <c r="H1122" s="4">
        <f>SUMIFS(PENJUALAN!$E$4:$E$11000,PENJUALAN!$C$4:$C$11000,'Current Stock'!A1122)</f>
        <v>0</v>
      </c>
      <c r="I1122" s="16">
        <f t="shared" si="2"/>
        <v>0</v>
      </c>
      <c r="J1122" s="4"/>
      <c r="K1122" s="4"/>
      <c r="L1122" s="4"/>
      <c r="M1122" s="4"/>
    </row>
    <row r="1123" ht="13.5" customHeight="1">
      <c r="A1123" s="4" t="str">
        <f t="shared" si="1"/>
        <v>LFW-PICANTO04HTMXYG</v>
      </c>
      <c r="B1123" s="29" t="s">
        <v>587</v>
      </c>
      <c r="C1123" s="28" t="s">
        <v>588</v>
      </c>
      <c r="D1123" s="28" t="s">
        <v>22</v>
      </c>
      <c r="E1123" s="4" t="s">
        <v>16</v>
      </c>
      <c r="F1123" s="28" t="s">
        <v>125</v>
      </c>
      <c r="G1123" s="4">
        <f>SUMIFS(X!$F$5:$F$2005,X!$D$5:$D$2005,'Current Stock'!A1123)</f>
        <v>4</v>
      </c>
      <c r="H1123" s="4">
        <f>SUMIFS(PENJUALAN!$E$4:$E$11000,PENJUALAN!$C$4:$C$11000,'Current Stock'!A1123)</f>
        <v>1</v>
      </c>
      <c r="I1123" s="16">
        <f t="shared" si="2"/>
        <v>3</v>
      </c>
      <c r="J1123" s="15" t="s">
        <v>1383</v>
      </c>
      <c r="K1123" s="15"/>
      <c r="L1123" s="4"/>
      <c r="M1123" s="4"/>
    </row>
    <row r="1124" ht="13.5" customHeight="1">
      <c r="A1124" s="4" t="str">
        <f t="shared" si="1"/>
        <v>TRW-ALPHARD02FR</v>
      </c>
      <c r="B1124" s="15" t="s">
        <v>1030</v>
      </c>
      <c r="C1124" s="15" t="s">
        <v>1566</v>
      </c>
      <c r="D1124" s="15" t="s">
        <v>41</v>
      </c>
      <c r="E1124" s="15" t="s">
        <v>1449</v>
      </c>
      <c r="F1124" s="15" t="s">
        <v>67</v>
      </c>
      <c r="G1124" s="4">
        <f>SUMIFS(X!$F$5:$F$2005,X!$D$5:$D$2005,'Current Stock'!A1124)</f>
        <v>2</v>
      </c>
      <c r="H1124" s="4">
        <f>SUMIFS(PENJUALAN!$E$4:$E$11000,PENJUALAN!$C$4:$C$11000,'Current Stock'!A1124)</f>
        <v>1</v>
      </c>
      <c r="I1124" s="16">
        <f t="shared" si="2"/>
        <v>1</v>
      </c>
      <c r="J1124" s="15" t="s">
        <v>139</v>
      </c>
      <c r="K1124" s="15"/>
      <c r="L1124" s="18"/>
      <c r="M1124" s="18"/>
    </row>
    <row r="1125" ht="13.5" customHeight="1">
      <c r="A1125" s="4" t="str">
        <f t="shared" si="1"/>
        <v>FDL-PICANTO04XYG</v>
      </c>
      <c r="B1125" s="29" t="s">
        <v>591</v>
      </c>
      <c r="C1125" s="28" t="s">
        <v>590</v>
      </c>
      <c r="D1125" s="28" t="s">
        <v>128</v>
      </c>
      <c r="E1125" s="4" t="s">
        <v>16</v>
      </c>
      <c r="F1125" s="28" t="s">
        <v>141</v>
      </c>
      <c r="G1125" s="4">
        <f>SUMIFS(X!$F$5:$F$2005,X!$D$5:$D$2005,'Current Stock'!A1125)</f>
        <v>0</v>
      </c>
      <c r="H1125" s="4">
        <f>SUMIFS(PENJUALAN!$E$4:$E$11000,PENJUALAN!$C$4:$C$11000,'Current Stock'!A1125)</f>
        <v>0</v>
      </c>
      <c r="I1125" s="16">
        <f t="shared" si="2"/>
        <v>0</v>
      </c>
      <c r="J1125" s="4"/>
      <c r="K1125" s="4"/>
      <c r="L1125" s="4"/>
      <c r="M1125" s="4"/>
    </row>
    <row r="1126" ht="13.5" customHeight="1">
      <c r="A1126" s="4" t="str">
        <f t="shared" si="1"/>
        <v>FDR-PICANTO04XYG</v>
      </c>
      <c r="B1126" s="29" t="s">
        <v>592</v>
      </c>
      <c r="C1126" s="28" t="s">
        <v>590</v>
      </c>
      <c r="D1126" s="28" t="s">
        <v>130</v>
      </c>
      <c r="E1126" s="4" t="s">
        <v>16</v>
      </c>
      <c r="F1126" s="28" t="s">
        <v>141</v>
      </c>
      <c r="G1126" s="4">
        <f>SUMIFS(X!$F$5:$F$2005,X!$D$5:$D$2005,'Current Stock'!A1126)</f>
        <v>1</v>
      </c>
      <c r="H1126" s="4">
        <f>SUMIFS(PENJUALAN!$E$4:$E$11000,PENJUALAN!$C$4:$C$11000,'Current Stock'!A1126)</f>
        <v>0</v>
      </c>
      <c r="I1126" s="16">
        <f t="shared" si="2"/>
        <v>1</v>
      </c>
      <c r="J1126" s="15" t="s">
        <v>48</v>
      </c>
      <c r="K1126" s="15"/>
      <c r="L1126" s="4"/>
      <c r="M1126" s="4"/>
    </row>
    <row r="1127" ht="13.5" customHeight="1">
      <c r="A1127" s="4" t="str">
        <f t="shared" si="1"/>
        <v>LFW-PICANTO11XYG</v>
      </c>
      <c r="B1127" s="29" t="s">
        <v>597</v>
      </c>
      <c r="C1127" s="28" t="s">
        <v>598</v>
      </c>
      <c r="D1127" s="28" t="s">
        <v>22</v>
      </c>
      <c r="E1127" s="4" t="s">
        <v>16</v>
      </c>
      <c r="F1127" s="28" t="s">
        <v>125</v>
      </c>
      <c r="G1127" s="4">
        <f>SUMIFS(X!$F$5:$F$2005,X!$D$5:$D$2005,'Current Stock'!A1127)</f>
        <v>6</v>
      </c>
      <c r="H1127" s="4">
        <f>SUMIFS(PENJUALAN!$E$4:$E$11000,PENJUALAN!$C$4:$C$11000,'Current Stock'!A1127)</f>
        <v>1</v>
      </c>
      <c r="I1127" s="16">
        <f t="shared" si="2"/>
        <v>5</v>
      </c>
      <c r="J1127" s="15" t="s">
        <v>1383</v>
      </c>
      <c r="K1127" s="15"/>
      <c r="L1127" s="4"/>
      <c r="M1127" s="4"/>
    </row>
    <row r="1128" ht="13.5" customHeight="1">
      <c r="A1128" s="4" t="str">
        <f t="shared" si="1"/>
        <v>TRW-PICANTO11XYG</v>
      </c>
      <c r="B1128" s="29" t="s">
        <v>599</v>
      </c>
      <c r="C1128" s="28" t="s">
        <v>598</v>
      </c>
      <c r="D1128" s="28" t="s">
        <v>41</v>
      </c>
      <c r="E1128" s="4" t="s">
        <v>16</v>
      </c>
      <c r="F1128" s="28" t="s">
        <v>221</v>
      </c>
      <c r="G1128" s="4">
        <f>SUMIFS(X!$F$5:$F$2005,X!$D$5:$D$2005,'Current Stock'!A1128)</f>
        <v>2</v>
      </c>
      <c r="H1128" s="4">
        <f>SUMIFS(PENJUALAN!$E$4:$E$11000,PENJUALAN!$C$4:$C$11000,'Current Stock'!A1128)</f>
        <v>0</v>
      </c>
      <c r="I1128" s="16">
        <f t="shared" si="2"/>
        <v>2</v>
      </c>
      <c r="J1128" s="15" t="s">
        <v>1567</v>
      </c>
      <c r="K1128" s="15"/>
      <c r="L1128" s="4"/>
      <c r="M1128" s="4"/>
    </row>
    <row r="1129" ht="13.5" customHeight="1">
      <c r="A1129" s="4" t="str">
        <f t="shared" si="1"/>
        <v>FDL-PICANTO11XYG</v>
      </c>
      <c r="B1129" s="29" t="s">
        <v>600</v>
      </c>
      <c r="C1129" s="28" t="s">
        <v>598</v>
      </c>
      <c r="D1129" s="28" t="s">
        <v>128</v>
      </c>
      <c r="E1129" s="4" t="s">
        <v>16</v>
      </c>
      <c r="F1129" s="28" t="s">
        <v>397</v>
      </c>
      <c r="G1129" s="4">
        <f>SUMIFS(X!$F$5:$F$2005,X!$D$5:$D$2005,'Current Stock'!A1129)</f>
        <v>0</v>
      </c>
      <c r="H1129" s="4">
        <f>SUMIFS(PENJUALAN!$E$4:$E$11000,PENJUALAN!$C$4:$C$11000,'Current Stock'!A1129)</f>
        <v>0</v>
      </c>
      <c r="I1129" s="16">
        <f t="shared" si="2"/>
        <v>0</v>
      </c>
      <c r="J1129" s="4"/>
      <c r="K1129" s="4"/>
      <c r="L1129" s="4"/>
      <c r="M1129" s="4"/>
    </row>
    <row r="1130" ht="13.5" customHeight="1">
      <c r="A1130" s="4" t="str">
        <f t="shared" si="1"/>
        <v>FDR-PICANTO11XYG</v>
      </c>
      <c r="B1130" s="29" t="s">
        <v>601</v>
      </c>
      <c r="C1130" s="28" t="s">
        <v>598</v>
      </c>
      <c r="D1130" s="28" t="s">
        <v>130</v>
      </c>
      <c r="E1130" s="4" t="s">
        <v>16</v>
      </c>
      <c r="F1130" s="28" t="s">
        <v>397</v>
      </c>
      <c r="G1130" s="4">
        <f>SUMIFS(X!$F$5:$F$2005,X!$D$5:$D$2005,'Current Stock'!A1130)</f>
        <v>0</v>
      </c>
      <c r="H1130" s="4">
        <f>SUMIFS(PENJUALAN!$E$4:$E$11000,PENJUALAN!$C$4:$C$11000,'Current Stock'!A1130)</f>
        <v>0</v>
      </c>
      <c r="I1130" s="16">
        <f t="shared" si="2"/>
        <v>0</v>
      </c>
      <c r="J1130" s="4"/>
      <c r="K1130" s="4"/>
      <c r="L1130" s="4"/>
      <c r="M1130" s="4"/>
    </row>
    <row r="1131" ht="13.5" customHeight="1">
      <c r="A1131" s="4" t="str">
        <f t="shared" si="1"/>
        <v>TRW-PREGIOXYG</v>
      </c>
      <c r="B1131" s="29" t="s">
        <v>607</v>
      </c>
      <c r="C1131" s="28" t="s">
        <v>608</v>
      </c>
      <c r="D1131" s="28" t="s">
        <v>41</v>
      </c>
      <c r="E1131" s="4" t="s">
        <v>16</v>
      </c>
      <c r="F1131" s="28" t="s">
        <v>67</v>
      </c>
      <c r="G1131" s="4">
        <f>SUMIFS(X!$F$5:$F$2005,X!$D$5:$D$2005,'Current Stock'!A1131)</f>
        <v>0</v>
      </c>
      <c r="H1131" s="4">
        <f>SUMIFS(PENJUALAN!$E$4:$E$11000,PENJUALAN!$C$4:$C$11000,'Current Stock'!A1131)</f>
        <v>0</v>
      </c>
      <c r="I1131" s="16">
        <f t="shared" si="2"/>
        <v>0</v>
      </c>
      <c r="J1131" s="4"/>
      <c r="K1131" s="4"/>
      <c r="L1131" s="4"/>
      <c r="M1131" s="4"/>
    </row>
    <row r="1132" ht="13.5" customHeight="1">
      <c r="A1132" s="4" t="str">
        <f t="shared" si="1"/>
        <v>LFW-RIO05XYG</v>
      </c>
      <c r="B1132" s="29" t="s">
        <v>613</v>
      </c>
      <c r="C1132" s="28" t="s">
        <v>614</v>
      </c>
      <c r="D1132" s="28" t="s">
        <v>22</v>
      </c>
      <c r="E1132" s="4" t="s">
        <v>16</v>
      </c>
      <c r="F1132" s="28" t="s">
        <v>125</v>
      </c>
      <c r="G1132" s="4">
        <f>SUMIFS(X!$F$5:$F$2005,X!$D$5:$D$2005,'Current Stock'!A1132)</f>
        <v>0</v>
      </c>
      <c r="H1132" s="4">
        <f>SUMIFS(PENJUALAN!$E$4:$E$11000,PENJUALAN!$C$4:$C$11000,'Current Stock'!A1132)</f>
        <v>0</v>
      </c>
      <c r="I1132" s="16">
        <f t="shared" si="2"/>
        <v>0</v>
      </c>
      <c r="J1132" s="4"/>
      <c r="K1132" s="4"/>
      <c r="L1132" s="4"/>
      <c r="M1132" s="4"/>
    </row>
    <row r="1133" ht="13.5" customHeight="1">
      <c r="A1133" s="4" t="str">
        <f t="shared" si="1"/>
        <v>TRW-RIO05XYG</v>
      </c>
      <c r="B1133" s="29" t="s">
        <v>615</v>
      </c>
      <c r="C1133" s="28" t="s">
        <v>616</v>
      </c>
      <c r="D1133" s="28" t="s">
        <v>41</v>
      </c>
      <c r="E1133" s="4" t="s">
        <v>16</v>
      </c>
      <c r="F1133" s="28" t="s">
        <v>221</v>
      </c>
      <c r="G1133" s="4">
        <f>SUMIFS(X!$F$5:$F$2005,X!$D$5:$D$2005,'Current Stock'!A1133)</f>
        <v>0</v>
      </c>
      <c r="H1133" s="4">
        <f>SUMIFS(PENJUALAN!$E$4:$E$11000,PENJUALAN!$C$4:$C$11000,'Current Stock'!A1133)</f>
        <v>0</v>
      </c>
      <c r="I1133" s="16">
        <f t="shared" si="2"/>
        <v>0</v>
      </c>
      <c r="J1133" s="4"/>
      <c r="K1133" s="4"/>
      <c r="L1133" s="4"/>
      <c r="M1133" s="4"/>
    </row>
    <row r="1134" ht="13.5" customHeight="1">
      <c r="A1134" s="4" t="str">
        <f t="shared" si="1"/>
        <v>LFW-FORTUNER05AGC</v>
      </c>
      <c r="B1134" s="15" t="s">
        <v>1128</v>
      </c>
      <c r="C1134" s="15" t="s">
        <v>1568</v>
      </c>
      <c r="D1134" s="15" t="s">
        <v>22</v>
      </c>
      <c r="E1134" s="15" t="s">
        <v>78</v>
      </c>
      <c r="F1134" s="15" t="s">
        <v>1569</v>
      </c>
      <c r="G1134" s="4">
        <f>SUMIFS(X!$F$5:$F$2005,X!$D$5:$D$2005,'Current Stock'!A1134)</f>
        <v>1</v>
      </c>
      <c r="H1134" s="4">
        <f>SUMIFS(PENJUALAN!$E$4:$E$11000,PENJUALAN!$C$4:$C$11000,'Current Stock'!A1134)</f>
        <v>1</v>
      </c>
      <c r="I1134" s="16">
        <f t="shared" si="2"/>
        <v>0</v>
      </c>
      <c r="J1134" s="18"/>
      <c r="K1134" s="18"/>
      <c r="L1134" s="18"/>
      <c r="M1134" s="18"/>
    </row>
    <row r="1135" ht="13.5" customHeight="1">
      <c r="A1135" s="4" t="str">
        <f t="shared" si="1"/>
        <v>TRW-RIO11XYG</v>
      </c>
      <c r="B1135" s="29" t="s">
        <v>619</v>
      </c>
      <c r="C1135" s="28" t="s">
        <v>618</v>
      </c>
      <c r="D1135" s="28" t="s">
        <v>41</v>
      </c>
      <c r="E1135" s="4" t="s">
        <v>16</v>
      </c>
      <c r="F1135" s="28" t="s">
        <v>221</v>
      </c>
      <c r="G1135" s="4">
        <f>SUMIFS(X!$F$5:$F$2005,X!$D$5:$D$2005,'Current Stock'!A1135)</f>
        <v>0</v>
      </c>
      <c r="H1135" s="4">
        <f>SUMIFS(PENJUALAN!$E$4:$E$11000,PENJUALAN!$C$4:$C$11000,'Current Stock'!A1135)</f>
        <v>0</v>
      </c>
      <c r="I1135" s="16">
        <f t="shared" si="2"/>
        <v>0</v>
      </c>
      <c r="J1135" s="4"/>
      <c r="K1135" s="4"/>
      <c r="L1135" s="4"/>
      <c r="M1135" s="4"/>
    </row>
    <row r="1136" ht="13.5" customHeight="1">
      <c r="A1136" s="4" t="str">
        <f t="shared" si="1"/>
        <v>FDL-RIO11XYG</v>
      </c>
      <c r="B1136" s="29" t="s">
        <v>620</v>
      </c>
      <c r="C1136" s="28" t="s">
        <v>618</v>
      </c>
      <c r="D1136" s="28" t="s">
        <v>128</v>
      </c>
      <c r="E1136" s="4" t="s">
        <v>16</v>
      </c>
      <c r="F1136" s="28"/>
      <c r="G1136" s="4">
        <f>SUMIFS(X!$F$5:$F$2005,X!$D$5:$D$2005,'Current Stock'!A1136)</f>
        <v>0</v>
      </c>
      <c r="H1136" s="4">
        <f>SUMIFS(PENJUALAN!$E$4:$E$11000,PENJUALAN!$C$4:$C$11000,'Current Stock'!A1136)</f>
        <v>0</v>
      </c>
      <c r="I1136" s="16">
        <f t="shared" si="2"/>
        <v>0</v>
      </c>
      <c r="J1136" s="4"/>
      <c r="K1136" s="4"/>
      <c r="L1136" s="4"/>
      <c r="M1136" s="4"/>
    </row>
    <row r="1137" ht="13.5" customHeight="1">
      <c r="A1137" s="4" t="str">
        <f t="shared" si="1"/>
        <v>FDR-RIO11XYG</v>
      </c>
      <c r="B1137" s="29" t="s">
        <v>621</v>
      </c>
      <c r="C1137" s="28" t="s">
        <v>618</v>
      </c>
      <c r="D1137" s="28" t="s">
        <v>130</v>
      </c>
      <c r="E1137" s="4" t="s">
        <v>16</v>
      </c>
      <c r="F1137" s="28"/>
      <c r="G1137" s="4">
        <f>SUMIFS(X!$F$5:$F$2005,X!$D$5:$D$2005,'Current Stock'!A1137)</f>
        <v>0</v>
      </c>
      <c r="H1137" s="4">
        <f>SUMIFS(PENJUALAN!$E$4:$E$11000,PENJUALAN!$C$4:$C$11000,'Current Stock'!A1137)</f>
        <v>0</v>
      </c>
      <c r="I1137" s="16">
        <f t="shared" si="2"/>
        <v>0</v>
      </c>
      <c r="J1137" s="4"/>
      <c r="K1137" s="4"/>
      <c r="L1137" s="4"/>
      <c r="M1137" s="4"/>
    </row>
    <row r="1138" ht="13.5" customHeight="1">
      <c r="A1138" s="4" t="str">
        <f t="shared" si="1"/>
        <v>LFW-RIO17XYG</v>
      </c>
      <c r="B1138" s="29" t="s">
        <v>1570</v>
      </c>
      <c r="C1138" s="28" t="s">
        <v>1571</v>
      </c>
      <c r="D1138" s="28" t="s">
        <v>22</v>
      </c>
      <c r="E1138" s="4" t="s">
        <v>16</v>
      </c>
      <c r="F1138" s="28" t="s">
        <v>737</v>
      </c>
      <c r="G1138" s="4">
        <f>SUMIFS(X!$F$5:$F$2005,X!$D$5:$D$2005,'Current Stock'!A1138)</f>
        <v>0</v>
      </c>
      <c r="H1138" s="4">
        <f>SUMIFS(PENJUALAN!$E$4:$E$11000,PENJUALAN!$C$4:$C$11000,'Current Stock'!A1138)</f>
        <v>0</v>
      </c>
      <c r="I1138" s="16">
        <f t="shared" si="2"/>
        <v>0</v>
      </c>
      <c r="J1138" s="4"/>
      <c r="K1138" s="4"/>
      <c r="L1138" s="4"/>
      <c r="M1138" s="4"/>
    </row>
    <row r="1139" ht="13.5" customHeight="1">
      <c r="A1139" s="4" t="str">
        <f t="shared" si="1"/>
        <v>TRW-RIO17XYG</v>
      </c>
      <c r="B1139" s="29" t="s">
        <v>1572</v>
      </c>
      <c r="C1139" s="28" t="s">
        <v>1571</v>
      </c>
      <c r="D1139" s="30" t="s">
        <v>41</v>
      </c>
      <c r="E1139" s="4" t="s">
        <v>16</v>
      </c>
      <c r="F1139" s="28" t="s">
        <v>67</v>
      </c>
      <c r="G1139" s="4">
        <f>SUMIFS(X!$F$5:$F$2005,X!$D$5:$D$2005,'Current Stock'!A1139)</f>
        <v>0</v>
      </c>
      <c r="H1139" s="4">
        <f>SUMIFS(PENJUALAN!$E$4:$E$11000,PENJUALAN!$C$4:$C$11000,'Current Stock'!A1139)</f>
        <v>0</v>
      </c>
      <c r="I1139" s="16">
        <f t="shared" si="2"/>
        <v>0</v>
      </c>
      <c r="J1139" s="4"/>
      <c r="K1139" s="4"/>
      <c r="L1139" s="4"/>
      <c r="M1139" s="4"/>
    </row>
    <row r="1140" ht="13.5" customHeight="1">
      <c r="A1140" s="4" t="str">
        <f t="shared" si="1"/>
        <v>LFW-SEDONA98XYG</v>
      </c>
      <c r="B1140" s="29" t="s">
        <v>624</v>
      </c>
      <c r="C1140" s="28" t="s">
        <v>625</v>
      </c>
      <c r="D1140" s="28" t="s">
        <v>22</v>
      </c>
      <c r="E1140" s="4" t="s">
        <v>16</v>
      </c>
      <c r="F1140" s="28" t="s">
        <v>125</v>
      </c>
      <c r="G1140" s="4">
        <f>SUMIFS(X!$F$5:$F$2005,X!$D$5:$D$2005,'Current Stock'!A1140)</f>
        <v>0</v>
      </c>
      <c r="H1140" s="4">
        <f>SUMIFS(PENJUALAN!$E$4:$E$11000,PENJUALAN!$C$4:$C$11000,'Current Stock'!A1140)</f>
        <v>0</v>
      </c>
      <c r="I1140" s="16">
        <f t="shared" si="2"/>
        <v>0</v>
      </c>
      <c r="J1140" s="4"/>
      <c r="K1140" s="4"/>
      <c r="L1140" s="4"/>
      <c r="M1140" s="4"/>
    </row>
    <row r="1141" ht="13.5" customHeight="1">
      <c r="A1141" s="4" t="str">
        <f t="shared" si="1"/>
        <v>LFW-GRANMAXAGC</v>
      </c>
      <c r="B1141" s="15" t="s">
        <v>274</v>
      </c>
      <c r="C1141" s="15" t="s">
        <v>275</v>
      </c>
      <c r="D1141" s="15" t="s">
        <v>22</v>
      </c>
      <c r="E1141" s="15" t="s">
        <v>78</v>
      </c>
      <c r="F1141" s="15" t="s">
        <v>97</v>
      </c>
      <c r="G1141" s="4">
        <f>SUMIFS(X!$F$5:$F$2005,X!$D$5:$D$2005,'Current Stock'!A1141)</f>
        <v>1</v>
      </c>
      <c r="H1141" s="4">
        <f>SUMIFS(PENJUALAN!$E$4:$E$11000,PENJUALAN!$C$4:$C$11000,'Current Stock'!A1141)</f>
        <v>1</v>
      </c>
      <c r="I1141" s="16">
        <f t="shared" si="2"/>
        <v>0</v>
      </c>
      <c r="J1141" s="18"/>
      <c r="K1141" s="18"/>
      <c r="L1141" s="18"/>
      <c r="M1141" s="18"/>
    </row>
    <row r="1142" ht="13.5" customHeight="1">
      <c r="A1142" s="4" t="str">
        <f t="shared" si="1"/>
        <v>TRW-SONETXYG</v>
      </c>
      <c r="B1142" s="29" t="s">
        <v>1573</v>
      </c>
      <c r="C1142" s="28" t="s">
        <v>1574</v>
      </c>
      <c r="D1142" s="28" t="s">
        <v>41</v>
      </c>
      <c r="E1142" s="4" t="s">
        <v>16</v>
      </c>
      <c r="F1142" s="28" t="s">
        <v>221</v>
      </c>
      <c r="G1142" s="4">
        <f>SUMIFS(X!$F$5:$F$2005,X!$D$5:$D$2005,'Current Stock'!A1142)</f>
        <v>0</v>
      </c>
      <c r="H1142" s="4">
        <f>SUMIFS(PENJUALAN!$E$4:$E$11000,PENJUALAN!$C$4:$C$11000,'Current Stock'!A1142)</f>
        <v>0</v>
      </c>
      <c r="I1142" s="16">
        <f t="shared" si="2"/>
        <v>0</v>
      </c>
      <c r="J1142" s="4"/>
      <c r="K1142" s="4"/>
      <c r="L1142" s="4"/>
      <c r="M1142" s="4"/>
    </row>
    <row r="1143" ht="13.5" customHeight="1">
      <c r="A1143" s="4" t="str">
        <f t="shared" si="1"/>
        <v>LFW-FORESTERMU</v>
      </c>
      <c r="B1143" s="15" t="s">
        <v>1575</v>
      </c>
      <c r="C1143" s="15" t="s">
        <v>1576</v>
      </c>
      <c r="D1143" s="15" t="s">
        <v>22</v>
      </c>
      <c r="E1143" s="15" t="s">
        <v>1361</v>
      </c>
      <c r="F1143" s="15" t="s">
        <v>125</v>
      </c>
      <c r="G1143" s="4">
        <f>SUMIFS(X!$F$5:$F$2005,X!$D$5:$D$2005,'Current Stock'!A1143)</f>
        <v>1</v>
      </c>
      <c r="H1143" s="4">
        <f>SUMIFS(PENJUALAN!$E$4:$E$11000,PENJUALAN!$C$4:$C$11000,'Current Stock'!A1143)</f>
        <v>1</v>
      </c>
      <c r="I1143" s="16">
        <f t="shared" si="2"/>
        <v>0</v>
      </c>
      <c r="J1143" s="18"/>
      <c r="K1143" s="18"/>
      <c r="L1143" s="18"/>
      <c r="M1143" s="18"/>
    </row>
    <row r="1144" ht="13.5" customHeight="1">
      <c r="A1144" s="20" t="str">
        <f t="shared" si="1"/>
        <v>FDR-GRANMAXASH</v>
      </c>
      <c r="B1144" s="24" t="s">
        <v>1577</v>
      </c>
      <c r="C1144" s="22" t="s">
        <v>275</v>
      </c>
      <c r="D1144" s="25" t="str">
        <f t="shared" ref="D1144:D1145" si="6">LEFT(A1144,FIND("-",A1144) - 1)</f>
        <v>FDR</v>
      </c>
      <c r="E1144" s="22" t="s">
        <v>82</v>
      </c>
      <c r="F1144" s="25"/>
      <c r="G1144" s="4">
        <f>SUMIFS(X!$F$5:$F$2005,X!$D$5:$D$2005,'Current Stock'!A1144)</f>
        <v>10</v>
      </c>
      <c r="H1144" s="4">
        <f>SUMIFS(PENJUALAN!$E$4:$E$11000,PENJUALAN!$C$4:$C$11000,'Current Stock'!A1144)</f>
        <v>4</v>
      </c>
      <c r="I1144" s="16">
        <f t="shared" si="2"/>
        <v>6</v>
      </c>
      <c r="J1144" s="22" t="s">
        <v>1578</v>
      </c>
      <c r="K1144" s="22"/>
      <c r="L1144" s="25"/>
      <c r="M1144" s="25"/>
    </row>
    <row r="1145" ht="13.5" customHeight="1">
      <c r="A1145" s="20" t="str">
        <f t="shared" si="1"/>
        <v>FDL-GRANMAXASH</v>
      </c>
      <c r="B1145" s="24" t="s">
        <v>1579</v>
      </c>
      <c r="C1145" s="22" t="s">
        <v>275</v>
      </c>
      <c r="D1145" s="25" t="str">
        <f t="shared" si="6"/>
        <v>FDL</v>
      </c>
      <c r="E1145" s="22" t="s">
        <v>82</v>
      </c>
      <c r="F1145" s="25"/>
      <c r="G1145" s="4">
        <f>SUMIFS(X!$F$5:$F$2005,X!$D$5:$D$2005,'Current Stock'!A1145)</f>
        <v>10</v>
      </c>
      <c r="H1145" s="4">
        <f>SUMIFS(PENJUALAN!$E$4:$E$11000,PENJUALAN!$C$4:$C$11000,'Current Stock'!A1145)</f>
        <v>4</v>
      </c>
      <c r="I1145" s="16">
        <f t="shared" si="2"/>
        <v>6</v>
      </c>
      <c r="J1145" s="22" t="s">
        <v>594</v>
      </c>
      <c r="K1145" s="22"/>
      <c r="L1145" s="25"/>
      <c r="M1145" s="25"/>
    </row>
    <row r="1146" ht="13.5" customHeight="1">
      <c r="A1146" s="4" t="str">
        <f t="shared" si="1"/>
        <v>FDL-SPORTAGE10XYG</v>
      </c>
      <c r="B1146" s="29" t="s">
        <v>633</v>
      </c>
      <c r="C1146" s="28" t="s">
        <v>632</v>
      </c>
      <c r="D1146" s="28" t="s">
        <v>128</v>
      </c>
      <c r="E1146" s="4" t="s">
        <v>16</v>
      </c>
      <c r="F1146" s="28"/>
      <c r="G1146" s="4">
        <f>SUMIFS(X!$F$5:$F$2005,X!$D$5:$D$2005,'Current Stock'!A1146)</f>
        <v>0</v>
      </c>
      <c r="H1146" s="4">
        <f>SUMIFS(PENJUALAN!$E$4:$E$11000,PENJUALAN!$C$4:$C$11000,'Current Stock'!A1146)</f>
        <v>0</v>
      </c>
      <c r="I1146" s="16">
        <f t="shared" si="2"/>
        <v>0</v>
      </c>
      <c r="J1146" s="4"/>
      <c r="K1146" s="4"/>
      <c r="L1146" s="4"/>
      <c r="M1146" s="4"/>
    </row>
    <row r="1147" ht="13.5" customHeight="1">
      <c r="A1147" s="4" t="str">
        <f t="shared" si="1"/>
        <v>RDR-SPORTAGE10XYG</v>
      </c>
      <c r="B1147" s="29" t="s">
        <v>636</v>
      </c>
      <c r="C1147" s="28" t="s">
        <v>632</v>
      </c>
      <c r="D1147" s="28" t="s">
        <v>134</v>
      </c>
      <c r="E1147" s="4" t="s">
        <v>16</v>
      </c>
      <c r="F1147" s="28"/>
      <c r="G1147" s="4">
        <f>SUMIFS(X!$F$5:$F$2005,X!$D$5:$D$2005,'Current Stock'!A1147)</f>
        <v>0</v>
      </c>
      <c r="H1147" s="4">
        <f>SUMIFS(PENJUALAN!$E$4:$E$11000,PENJUALAN!$C$4:$C$11000,'Current Stock'!A1147)</f>
        <v>0</v>
      </c>
      <c r="I1147" s="16">
        <f t="shared" si="2"/>
        <v>0</v>
      </c>
      <c r="J1147" s="4"/>
      <c r="K1147" s="4"/>
      <c r="L1147" s="4"/>
      <c r="M1147" s="4"/>
    </row>
    <row r="1148" ht="13.5" customHeight="1">
      <c r="A1148" s="4" t="str">
        <f t="shared" si="1"/>
        <v>TRW-SPORTAGE10NSXYG</v>
      </c>
      <c r="B1148" s="29" t="s">
        <v>1580</v>
      </c>
      <c r="C1148" s="28" t="s">
        <v>1581</v>
      </c>
      <c r="D1148" s="28" t="s">
        <v>41</v>
      </c>
      <c r="E1148" s="4" t="s">
        <v>16</v>
      </c>
      <c r="F1148" s="28" t="s">
        <v>221</v>
      </c>
      <c r="G1148" s="4">
        <f>SUMIFS(X!$F$5:$F$2005,X!$D$5:$D$2005,'Current Stock'!A1148)</f>
        <v>0</v>
      </c>
      <c r="H1148" s="4">
        <f>SUMIFS(PENJUALAN!$E$4:$E$11000,PENJUALAN!$C$4:$C$11000,'Current Stock'!A1148)</f>
        <v>0</v>
      </c>
      <c r="I1148" s="16">
        <f t="shared" si="2"/>
        <v>0</v>
      </c>
      <c r="J1148" s="4"/>
      <c r="K1148" s="4"/>
      <c r="L1148" s="4"/>
      <c r="M1148" s="4"/>
    </row>
    <row r="1149" ht="13.5" customHeight="1">
      <c r="A1149" s="4" t="str">
        <f t="shared" si="1"/>
        <v>LFW-VISTOXYG</v>
      </c>
      <c r="B1149" s="29" t="s">
        <v>647</v>
      </c>
      <c r="C1149" s="28" t="s">
        <v>648</v>
      </c>
      <c r="D1149" s="28" t="s">
        <v>22</v>
      </c>
      <c r="E1149" s="4" t="s">
        <v>16</v>
      </c>
      <c r="F1149" s="28" t="s">
        <v>97</v>
      </c>
      <c r="G1149" s="4">
        <f>SUMIFS(X!$F$5:$F$2005,X!$D$5:$D$2005,'Current Stock'!A1149)</f>
        <v>0</v>
      </c>
      <c r="H1149" s="4">
        <f>SUMIFS(PENJUALAN!$E$4:$E$11000,PENJUALAN!$C$4:$C$11000,'Current Stock'!A1149)</f>
        <v>0</v>
      </c>
      <c r="I1149" s="16">
        <f t="shared" si="2"/>
        <v>0</v>
      </c>
      <c r="J1149" s="4"/>
      <c r="K1149" s="4"/>
      <c r="L1149" s="4"/>
      <c r="M1149" s="4"/>
    </row>
    <row r="1150" ht="13.5" customHeight="1">
      <c r="A1150" s="4" t="str">
        <f t="shared" si="1"/>
        <v>TRW-VISTOXYG</v>
      </c>
      <c r="B1150" s="29" t="s">
        <v>649</v>
      </c>
      <c r="C1150" s="28" t="s">
        <v>648</v>
      </c>
      <c r="D1150" s="28" t="s">
        <v>41</v>
      </c>
      <c r="E1150" s="4" t="s">
        <v>16</v>
      </c>
      <c r="F1150" s="28" t="s">
        <v>67</v>
      </c>
      <c r="G1150" s="4">
        <f>SUMIFS(X!$F$5:$F$2005,X!$D$5:$D$2005,'Current Stock'!A1150)</f>
        <v>0</v>
      </c>
      <c r="H1150" s="4">
        <f>SUMIFS(PENJUALAN!$E$4:$E$11000,PENJUALAN!$C$4:$C$11000,'Current Stock'!A1150)</f>
        <v>0</v>
      </c>
      <c r="I1150" s="16">
        <f t="shared" si="2"/>
        <v>0</v>
      </c>
      <c r="J1150" s="4"/>
      <c r="K1150" s="4"/>
      <c r="L1150" s="4"/>
      <c r="M1150" s="4"/>
    </row>
    <row r="1151" ht="13.5" customHeight="1">
      <c r="A1151" s="4" t="str">
        <f t="shared" si="1"/>
        <v>LFW-NX15RS1XYG</v>
      </c>
      <c r="B1151" s="29" t="s">
        <v>1582</v>
      </c>
      <c r="C1151" s="28" t="s">
        <v>1583</v>
      </c>
      <c r="D1151" s="30" t="s">
        <v>22</v>
      </c>
      <c r="E1151" s="4" t="s">
        <v>16</v>
      </c>
      <c r="F1151" s="28" t="s">
        <v>23</v>
      </c>
      <c r="G1151" s="4">
        <f>SUMIFS(X!$F$5:$F$2005,X!$D$5:$D$2005,'Current Stock'!A1151)</f>
        <v>0</v>
      </c>
      <c r="H1151" s="4">
        <f>SUMIFS(PENJUALAN!$E$4:$E$11000,PENJUALAN!$C$4:$C$11000,'Current Stock'!A1151)</f>
        <v>0</v>
      </c>
      <c r="I1151" s="16">
        <f t="shared" si="2"/>
        <v>0</v>
      </c>
      <c r="K1151" s="4"/>
      <c r="L1151" s="4"/>
      <c r="M1151" s="4"/>
    </row>
    <row r="1152" ht="13.5" customHeight="1">
      <c r="A1152" s="4" t="str">
        <f t="shared" si="1"/>
        <v>LFW-XU30RSXYG</v>
      </c>
      <c r="B1152" s="29" t="s">
        <v>654</v>
      </c>
      <c r="C1152" s="28" t="s">
        <v>655</v>
      </c>
      <c r="D1152" s="28" t="s">
        <v>22</v>
      </c>
      <c r="E1152" s="4" t="s">
        <v>16</v>
      </c>
      <c r="F1152" s="28" t="s">
        <v>75</v>
      </c>
      <c r="G1152" s="4">
        <f>SUMIFS(X!$F$5:$F$2005,X!$D$5:$D$2005,'Current Stock'!A1152)</f>
        <v>0</v>
      </c>
      <c r="H1152" s="4">
        <f>SUMIFS(PENJUALAN!$E$4:$E$11000,PENJUALAN!$C$4:$C$11000,'Current Stock'!A1152)</f>
        <v>0</v>
      </c>
      <c r="I1152" s="16">
        <f t="shared" si="2"/>
        <v>0</v>
      </c>
      <c r="J1152" s="4"/>
      <c r="K1152" s="4"/>
      <c r="L1152" s="4"/>
      <c r="M1152" s="4"/>
    </row>
    <row r="1153" ht="13.5" customHeight="1">
      <c r="A1153" s="4" t="str">
        <f t="shared" si="1"/>
        <v>FDL-VIOS13ASH</v>
      </c>
      <c r="B1153" s="32" t="s">
        <v>1584</v>
      </c>
      <c r="C1153" s="15" t="s">
        <v>1585</v>
      </c>
      <c r="D1153" s="18" t="str">
        <f>LEFT(A1153,FIND("-",A1153) - 1)</f>
        <v>FDL</v>
      </c>
      <c r="E1153" s="15" t="s">
        <v>82</v>
      </c>
      <c r="F1153" s="18"/>
      <c r="G1153" s="4">
        <f>SUMIFS(X!$F$5:$F$2005,X!$D$5:$D$2005,'Current Stock'!A1153)</f>
        <v>2</v>
      </c>
      <c r="H1153" s="4">
        <f>SUMIFS(PENJUALAN!$E$4:$E$11000,PENJUALAN!$C$4:$C$11000,'Current Stock'!A1153)</f>
        <v>2</v>
      </c>
      <c r="I1153" s="16">
        <f t="shared" si="2"/>
        <v>0</v>
      </c>
      <c r="J1153" s="15" t="s">
        <v>719</v>
      </c>
      <c r="K1153" s="15"/>
      <c r="L1153" s="18"/>
      <c r="M1153" s="18"/>
    </row>
    <row r="1154" ht="13.5" customHeight="1">
      <c r="A1154" s="4" t="str">
        <f t="shared" si="1"/>
        <v>TRW-XU30XYG</v>
      </c>
      <c r="B1154" s="29" t="s">
        <v>657</v>
      </c>
      <c r="C1154" s="28" t="s">
        <v>658</v>
      </c>
      <c r="D1154" s="28" t="s">
        <v>41</v>
      </c>
      <c r="E1154" s="4" t="s">
        <v>16</v>
      </c>
      <c r="F1154" s="28" t="s">
        <v>659</v>
      </c>
      <c r="G1154" s="4">
        <f>SUMIFS(X!$F$5:$F$2005,X!$D$5:$D$2005,'Current Stock'!A1154)</f>
        <v>0</v>
      </c>
      <c r="H1154" s="4">
        <f>SUMIFS(PENJUALAN!$E$4:$E$11000,PENJUALAN!$C$4:$C$11000,'Current Stock'!A1154)</f>
        <v>0</v>
      </c>
      <c r="I1154" s="16">
        <f t="shared" si="2"/>
        <v>0</v>
      </c>
      <c r="J1154" s="4"/>
      <c r="K1154" s="4"/>
      <c r="L1154" s="4"/>
      <c r="M1154" s="4"/>
    </row>
    <row r="1155" ht="13.5" customHeight="1">
      <c r="A1155" s="4" t="str">
        <f t="shared" si="1"/>
        <v>FDL-XU30XYG</v>
      </c>
      <c r="B1155" s="29" t="s">
        <v>662</v>
      </c>
      <c r="C1155" s="28" t="s">
        <v>655</v>
      </c>
      <c r="D1155" s="28" t="s">
        <v>128</v>
      </c>
      <c r="E1155" s="4" t="s">
        <v>16</v>
      </c>
      <c r="F1155" s="28"/>
      <c r="G1155" s="4">
        <f>SUMIFS(X!$F$5:$F$2005,X!$D$5:$D$2005,'Current Stock'!A1155)</f>
        <v>0</v>
      </c>
      <c r="H1155" s="4">
        <f>SUMIFS(PENJUALAN!$E$4:$E$11000,PENJUALAN!$C$4:$C$11000,'Current Stock'!A1155)</f>
        <v>0</v>
      </c>
      <c r="I1155" s="16">
        <f t="shared" si="2"/>
        <v>0</v>
      </c>
      <c r="J1155" s="4"/>
      <c r="K1155" s="4"/>
      <c r="L1155" s="4"/>
      <c r="M1155" s="4"/>
    </row>
    <row r="1156" ht="13.5" customHeight="1">
      <c r="A1156" s="4" t="str">
        <f t="shared" si="1"/>
        <v>FDR-XU30XYG</v>
      </c>
      <c r="B1156" s="29" t="s">
        <v>663</v>
      </c>
      <c r="C1156" s="28" t="s">
        <v>655</v>
      </c>
      <c r="D1156" s="28" t="s">
        <v>130</v>
      </c>
      <c r="E1156" s="4" t="s">
        <v>16</v>
      </c>
      <c r="F1156" s="28"/>
      <c r="G1156" s="4">
        <f>SUMIFS(X!$F$5:$F$2005,X!$D$5:$D$2005,'Current Stock'!A1156)</f>
        <v>0</v>
      </c>
      <c r="H1156" s="4">
        <f>SUMIFS(PENJUALAN!$E$4:$E$11000,PENJUALAN!$C$4:$C$11000,'Current Stock'!A1156)</f>
        <v>0</v>
      </c>
      <c r="I1156" s="16">
        <f t="shared" si="2"/>
        <v>0</v>
      </c>
      <c r="J1156" s="4"/>
      <c r="K1156" s="4"/>
      <c r="L1156" s="4"/>
      <c r="M1156" s="4"/>
    </row>
    <row r="1157" ht="13.5" customHeight="1">
      <c r="A1157" s="4" t="str">
        <f t="shared" si="1"/>
        <v>LFW-AL10XYG</v>
      </c>
      <c r="B1157" s="29" t="s">
        <v>670</v>
      </c>
      <c r="C1157" s="28" t="s">
        <v>671</v>
      </c>
      <c r="D1157" s="28" t="s">
        <v>22</v>
      </c>
      <c r="E1157" s="4" t="s">
        <v>16</v>
      </c>
      <c r="F1157" s="28" t="s">
        <v>672</v>
      </c>
      <c r="G1157" s="4">
        <f>SUMIFS(X!$F$5:$F$2005,X!$D$5:$D$2005,'Current Stock'!A1157)</f>
        <v>0</v>
      </c>
      <c r="H1157" s="4">
        <f>SUMIFS(PENJUALAN!$E$4:$E$11000,PENJUALAN!$C$4:$C$11000,'Current Stock'!A1157)</f>
        <v>0</v>
      </c>
      <c r="I1157" s="16">
        <f t="shared" si="2"/>
        <v>0</v>
      </c>
      <c r="J1157" s="4"/>
      <c r="K1157" s="4"/>
      <c r="L1157" s="4"/>
      <c r="M1157" s="4"/>
    </row>
    <row r="1158" ht="13.5" customHeight="1">
      <c r="A1158" s="4" t="str">
        <f t="shared" si="1"/>
        <v>LFW-CU6XYG</v>
      </c>
      <c r="B1158" s="29" t="s">
        <v>675</v>
      </c>
      <c r="C1158" s="28" t="s">
        <v>676</v>
      </c>
      <c r="D1158" s="28" t="s">
        <v>22</v>
      </c>
      <c r="E1158" s="4" t="s">
        <v>16</v>
      </c>
      <c r="F1158" s="28" t="s">
        <v>75</v>
      </c>
      <c r="G1158" s="4">
        <f>SUMIFS(X!$F$5:$F$2005,X!$D$5:$D$2005,'Current Stock'!A1158)</f>
        <v>0</v>
      </c>
      <c r="H1158" s="4">
        <f>SUMIFS(PENJUALAN!$E$4:$E$11000,PENJUALAN!$C$4:$C$11000,'Current Stock'!A1158)</f>
        <v>0</v>
      </c>
      <c r="I1158" s="16">
        <f t="shared" si="2"/>
        <v>0</v>
      </c>
      <c r="J1158" s="4"/>
      <c r="K1158" s="4"/>
      <c r="L1158" s="4"/>
      <c r="M1158" s="4"/>
    </row>
    <row r="1159" ht="13.5" customHeight="1">
      <c r="A1159" s="4" t="str">
        <f t="shared" si="1"/>
        <v>LFW-AL20XYG</v>
      </c>
      <c r="B1159" s="29" t="s">
        <v>1586</v>
      </c>
      <c r="C1159" s="28" t="s">
        <v>1587</v>
      </c>
      <c r="D1159" s="30" t="s">
        <v>22</v>
      </c>
      <c r="E1159" s="4" t="s">
        <v>16</v>
      </c>
      <c r="F1159" s="28" t="s">
        <v>1588</v>
      </c>
      <c r="G1159" s="4">
        <f>SUMIFS(X!$F$5:$F$2005,X!$D$5:$D$2005,'Current Stock'!A1159)</f>
        <v>0</v>
      </c>
      <c r="H1159" s="4">
        <f>SUMIFS(PENJUALAN!$E$4:$E$11000,PENJUALAN!$C$4:$C$11000,'Current Stock'!A1159)</f>
        <v>0</v>
      </c>
      <c r="I1159" s="16">
        <f t="shared" si="2"/>
        <v>0</v>
      </c>
      <c r="J1159" s="4"/>
      <c r="K1159" s="4"/>
      <c r="L1159" s="4"/>
      <c r="M1159" s="4"/>
    </row>
    <row r="1160" ht="13.5" customHeight="1">
      <c r="A1160" s="4" t="str">
        <f t="shared" si="1"/>
        <v>FDR-VIOS13ASH</v>
      </c>
      <c r="B1160" s="32" t="s">
        <v>1589</v>
      </c>
      <c r="C1160" s="15" t="s">
        <v>1585</v>
      </c>
      <c r="D1160" s="15" t="s">
        <v>45</v>
      </c>
      <c r="E1160" s="15" t="s">
        <v>82</v>
      </c>
      <c r="F1160" s="18"/>
      <c r="G1160" s="4">
        <f>SUMIFS(X!$F$5:$F$2005,X!$D$5:$D$2005,'Current Stock'!A1160)</f>
        <v>1</v>
      </c>
      <c r="H1160" s="4">
        <f>SUMIFS(PENJUALAN!$E$4:$E$11000,PENJUALAN!$C$4:$C$11000,'Current Stock'!A1160)</f>
        <v>1</v>
      </c>
      <c r="I1160" s="16">
        <f t="shared" si="2"/>
        <v>0</v>
      </c>
      <c r="J1160" s="15"/>
      <c r="K1160" s="15"/>
      <c r="L1160" s="18"/>
      <c r="M1160" s="18"/>
    </row>
    <row r="1161" ht="13.5" customHeight="1">
      <c r="A1161" s="4" t="str">
        <f t="shared" si="1"/>
        <v>TRW-MAZDA209SEDANXYG</v>
      </c>
      <c r="B1161" s="29" t="s">
        <v>1590</v>
      </c>
      <c r="C1161" s="30" t="s">
        <v>1591</v>
      </c>
      <c r="D1161" s="30" t="s">
        <v>41</v>
      </c>
      <c r="E1161" s="4" t="s">
        <v>16</v>
      </c>
      <c r="F1161" s="30" t="s">
        <v>67</v>
      </c>
      <c r="G1161" s="4">
        <f>SUMIFS(X!$F$5:$F$2005,X!$D$5:$D$2005,'Current Stock'!A1161)</f>
        <v>0</v>
      </c>
      <c r="H1161" s="4">
        <f>SUMIFS(PENJUALAN!$E$4:$E$11000,PENJUALAN!$C$4:$C$11000,'Current Stock'!A1161)</f>
        <v>0</v>
      </c>
      <c r="I1161" s="16">
        <f t="shared" si="2"/>
        <v>0</v>
      </c>
      <c r="J1161" s="4"/>
      <c r="K1161" s="4"/>
      <c r="L1161" s="4"/>
      <c r="M1161" s="4"/>
    </row>
    <row r="1162" ht="13.5" customHeight="1">
      <c r="A1162" s="20" t="str">
        <f t="shared" si="1"/>
        <v>FDL-FREEDASH</v>
      </c>
      <c r="B1162" s="24" t="s">
        <v>1592</v>
      </c>
      <c r="C1162" s="22" t="s">
        <v>455</v>
      </c>
      <c r="D1162" s="25" t="str">
        <f>LEFT(A1162,FIND("-",A1162) - 1)</f>
        <v>FDL</v>
      </c>
      <c r="E1162" s="22" t="s">
        <v>82</v>
      </c>
      <c r="F1162" s="25"/>
      <c r="G1162" s="4">
        <f>SUMIFS(X!$F$5:$F$2005,X!$D$5:$D$2005,'Current Stock'!A1162)</f>
        <v>2</v>
      </c>
      <c r="H1162" s="4">
        <f>SUMIFS(PENJUALAN!$E$4:$E$11000,PENJUALAN!$C$4:$C$11000,'Current Stock'!A1162)</f>
        <v>2</v>
      </c>
      <c r="I1162" s="16">
        <f t="shared" si="2"/>
        <v>0</v>
      </c>
      <c r="J1162" s="22" t="s">
        <v>1428</v>
      </c>
      <c r="K1162" s="22"/>
      <c r="L1162" s="25"/>
      <c r="M1162" s="25"/>
    </row>
    <row r="1163" ht="13.5" customHeight="1">
      <c r="A1163" s="4" t="str">
        <f t="shared" si="1"/>
        <v>FDL-MAZDA209XYG</v>
      </c>
      <c r="B1163" s="29" t="s">
        <v>689</v>
      </c>
      <c r="C1163" s="28" t="s">
        <v>688</v>
      </c>
      <c r="D1163" s="28" t="s">
        <v>128</v>
      </c>
      <c r="E1163" s="4" t="s">
        <v>16</v>
      </c>
      <c r="F1163" s="28" t="s">
        <v>141</v>
      </c>
      <c r="G1163" s="4">
        <f>SUMIFS(X!$F$5:$F$2005,X!$D$5:$D$2005,'Current Stock'!A1163)</f>
        <v>0</v>
      </c>
      <c r="H1163" s="4">
        <f>SUMIFS(PENJUALAN!$E$4:$E$11000,PENJUALAN!$C$4:$C$11000,'Current Stock'!A1163)</f>
        <v>0</v>
      </c>
      <c r="I1163" s="16">
        <f t="shared" si="2"/>
        <v>0</v>
      </c>
      <c r="J1163" s="4"/>
      <c r="K1163" s="4"/>
      <c r="L1163" s="4"/>
      <c r="M1163" s="4"/>
    </row>
    <row r="1164" ht="13.5" customHeight="1">
      <c r="A1164" s="4" t="str">
        <f t="shared" si="1"/>
        <v>FDR-MAZDA209XYG</v>
      </c>
      <c r="B1164" s="29" t="s">
        <v>690</v>
      </c>
      <c r="C1164" s="28" t="s">
        <v>688</v>
      </c>
      <c r="D1164" s="28" t="s">
        <v>130</v>
      </c>
      <c r="E1164" s="4" t="s">
        <v>16</v>
      </c>
      <c r="F1164" s="28" t="s">
        <v>141</v>
      </c>
      <c r="G1164" s="4">
        <f>SUMIFS(X!$F$5:$F$2005,X!$D$5:$D$2005,'Current Stock'!A1164)</f>
        <v>0</v>
      </c>
      <c r="H1164" s="4">
        <f>SUMIFS(PENJUALAN!$E$4:$E$11000,PENJUALAN!$C$4:$C$11000,'Current Stock'!A1164)</f>
        <v>0</v>
      </c>
      <c r="I1164" s="16">
        <f t="shared" si="2"/>
        <v>0</v>
      </c>
      <c r="J1164" s="4"/>
      <c r="K1164" s="4"/>
      <c r="L1164" s="4"/>
      <c r="M1164" s="4"/>
    </row>
    <row r="1165" ht="13.5" customHeight="1">
      <c r="A1165" s="4" t="str">
        <f t="shared" si="1"/>
        <v>RDL-MAZDA209XYG</v>
      </c>
      <c r="B1165" s="29" t="s">
        <v>691</v>
      </c>
      <c r="C1165" s="28" t="s">
        <v>688</v>
      </c>
      <c r="D1165" s="28" t="s">
        <v>132</v>
      </c>
      <c r="E1165" s="4" t="s">
        <v>16</v>
      </c>
      <c r="F1165" s="28" t="s">
        <v>141</v>
      </c>
      <c r="G1165" s="4">
        <f>SUMIFS(X!$F$5:$F$2005,X!$D$5:$D$2005,'Current Stock'!A1165)</f>
        <v>0</v>
      </c>
      <c r="H1165" s="4">
        <f>SUMIFS(PENJUALAN!$E$4:$E$11000,PENJUALAN!$C$4:$C$11000,'Current Stock'!A1165)</f>
        <v>0</v>
      </c>
      <c r="I1165" s="16">
        <f t="shared" si="2"/>
        <v>0</v>
      </c>
      <c r="J1165" s="4"/>
      <c r="K1165" s="4"/>
      <c r="L1165" s="4"/>
      <c r="M1165" s="4"/>
    </row>
    <row r="1166" ht="13.5" customHeight="1">
      <c r="A1166" s="4" t="str">
        <f t="shared" si="1"/>
        <v>RDR-MAZDA209XYG</v>
      </c>
      <c r="B1166" s="29" t="s">
        <v>692</v>
      </c>
      <c r="C1166" s="28" t="s">
        <v>688</v>
      </c>
      <c r="D1166" s="28" t="s">
        <v>134</v>
      </c>
      <c r="E1166" s="4" t="s">
        <v>16</v>
      </c>
      <c r="F1166" s="28" t="s">
        <v>141</v>
      </c>
      <c r="G1166" s="4">
        <f>SUMIFS(X!$F$5:$F$2005,X!$D$5:$D$2005,'Current Stock'!A1166)</f>
        <v>0</v>
      </c>
      <c r="H1166" s="4">
        <f>SUMIFS(PENJUALAN!$E$4:$E$11000,PENJUALAN!$C$4:$C$11000,'Current Stock'!A1166)</f>
        <v>0</v>
      </c>
      <c r="I1166" s="16">
        <f t="shared" si="2"/>
        <v>0</v>
      </c>
      <c r="J1166" s="4"/>
      <c r="K1166" s="4"/>
      <c r="L1166" s="4"/>
      <c r="M1166" s="4"/>
    </row>
    <row r="1167" ht="13.5" customHeight="1">
      <c r="A1167" s="4" t="str">
        <f t="shared" si="1"/>
        <v>FDR-VIOS07ASH</v>
      </c>
      <c r="B1167" s="32" t="s">
        <v>1593</v>
      </c>
      <c r="C1167" s="15" t="s">
        <v>1263</v>
      </c>
      <c r="D1167" s="18" t="str">
        <f>LEFT(A1167,FIND("-",A1167) - 1)</f>
        <v>FDR</v>
      </c>
      <c r="E1167" s="15" t="s">
        <v>82</v>
      </c>
      <c r="F1167" s="18"/>
      <c r="G1167" s="4">
        <f>SUMIFS(X!$F$5:$F$2005,X!$D$5:$D$2005,'Current Stock'!A1167)</f>
        <v>1</v>
      </c>
      <c r="H1167" s="4">
        <f>SUMIFS(PENJUALAN!$E$4:$E$11000,PENJUALAN!$C$4:$C$11000,'Current Stock'!A1167)</f>
        <v>1</v>
      </c>
      <c r="I1167" s="16">
        <f t="shared" si="2"/>
        <v>0</v>
      </c>
      <c r="J1167" s="15" t="s">
        <v>719</v>
      </c>
      <c r="K1167" s="15"/>
      <c r="L1167" s="18"/>
      <c r="M1167" s="18"/>
    </row>
    <row r="1168" ht="13.5" customHeight="1">
      <c r="A1168" s="4" t="str">
        <f t="shared" si="1"/>
        <v>LFW-SIRION2MU</v>
      </c>
      <c r="B1168" s="29" t="s">
        <v>1594</v>
      </c>
      <c r="C1168" s="30" t="s">
        <v>1444</v>
      </c>
      <c r="D1168" s="30" t="s">
        <v>22</v>
      </c>
      <c r="E1168" s="4" t="s">
        <v>1361</v>
      </c>
      <c r="F1168" s="28" t="s">
        <v>125</v>
      </c>
      <c r="G1168" s="4">
        <f>SUMIFS(X!$F$5:$F$2005,X!$D$5:$D$2005,'Current Stock'!A1168)</f>
        <v>7</v>
      </c>
      <c r="H1168" s="4">
        <f>SUMIFS(PENJUALAN!$E$4:$E$11000,PENJUALAN!$C$4:$C$11000,'Current Stock'!A1168)</f>
        <v>6</v>
      </c>
      <c r="I1168" s="16">
        <f t="shared" si="2"/>
        <v>1</v>
      </c>
      <c r="J1168" s="15" t="s">
        <v>1595</v>
      </c>
      <c r="K1168" s="15"/>
      <c r="L1168" s="5">
        <v>1.0</v>
      </c>
      <c r="M1168" s="4"/>
    </row>
    <row r="1169" ht="13.5" customHeight="1">
      <c r="A1169" s="4" t="str">
        <f t="shared" si="1"/>
        <v>LFW-MAZDA214XYG</v>
      </c>
      <c r="B1169" s="29" t="s">
        <v>693</v>
      </c>
      <c r="C1169" s="28" t="s">
        <v>694</v>
      </c>
      <c r="D1169" s="28" t="s">
        <v>22</v>
      </c>
      <c r="E1169" s="4" t="s">
        <v>16</v>
      </c>
      <c r="F1169" s="28" t="s">
        <v>125</v>
      </c>
      <c r="G1169" s="4">
        <f>SUMIFS(X!$F$5:$F$2005,X!$D$5:$D$2005,'Current Stock'!A1169)</f>
        <v>7</v>
      </c>
      <c r="H1169" s="4">
        <f>SUMIFS(PENJUALAN!$E$4:$E$11000,PENJUALAN!$C$4:$C$11000,'Current Stock'!A1169)</f>
        <v>0</v>
      </c>
      <c r="I1169" s="16">
        <f t="shared" si="2"/>
        <v>7</v>
      </c>
      <c r="J1169" s="6" t="s">
        <v>744</v>
      </c>
      <c r="K1169" s="4"/>
      <c r="L1169" s="4"/>
      <c r="M1169" s="4"/>
    </row>
    <row r="1170" ht="13.5" customHeight="1">
      <c r="A1170" s="4" t="str">
        <f t="shared" si="1"/>
        <v>LFW-MAZDA214RS4XYG</v>
      </c>
      <c r="B1170" s="29" t="s">
        <v>1596</v>
      </c>
      <c r="C1170" s="28" t="s">
        <v>1597</v>
      </c>
      <c r="D1170" s="30" t="s">
        <v>22</v>
      </c>
      <c r="E1170" s="4" t="s">
        <v>16</v>
      </c>
      <c r="F1170" s="28" t="s">
        <v>1598</v>
      </c>
      <c r="G1170" s="4">
        <f>SUMIFS(X!$F$5:$F$2005,X!$D$5:$D$2005,'Current Stock'!A1170)</f>
        <v>0</v>
      </c>
      <c r="H1170" s="4">
        <f>SUMIFS(PENJUALAN!$E$4:$E$11000,PENJUALAN!$C$4:$C$11000,'Current Stock'!A1170)</f>
        <v>0</v>
      </c>
      <c r="I1170" s="16">
        <f t="shared" si="2"/>
        <v>0</v>
      </c>
      <c r="J1170" s="4"/>
      <c r="K1170" s="4"/>
      <c r="L1170" s="4"/>
      <c r="M1170" s="4"/>
    </row>
    <row r="1171" ht="13.5" customHeight="1">
      <c r="A1171" s="4" t="str">
        <f t="shared" si="1"/>
        <v>TRW-MAZDA214XYG</v>
      </c>
      <c r="B1171" s="29" t="s">
        <v>698</v>
      </c>
      <c r="C1171" s="28" t="s">
        <v>699</v>
      </c>
      <c r="D1171" s="30" t="s">
        <v>41</v>
      </c>
      <c r="E1171" s="4" t="s">
        <v>16</v>
      </c>
      <c r="F1171" s="28" t="s">
        <v>67</v>
      </c>
      <c r="G1171" s="4">
        <f>SUMIFS(X!$F$5:$F$2005,X!$D$5:$D$2005,'Current Stock'!A1171)</f>
        <v>0</v>
      </c>
      <c r="H1171" s="4">
        <f>SUMIFS(PENJUALAN!$E$4:$E$11000,PENJUALAN!$C$4:$C$11000,'Current Stock'!A1171)</f>
        <v>0</v>
      </c>
      <c r="I1171" s="16">
        <f t="shared" si="2"/>
        <v>0</v>
      </c>
      <c r="J1171" s="4"/>
      <c r="K1171" s="4"/>
      <c r="L1171" s="4"/>
      <c r="M1171" s="4"/>
    </row>
    <row r="1172" ht="13.5" customHeight="1">
      <c r="A1172" s="4" t="str">
        <f t="shared" si="1"/>
        <v>SWR-AVANZA03MU</v>
      </c>
      <c r="B1172" s="29" t="s">
        <v>1599</v>
      </c>
      <c r="C1172" s="28" t="s">
        <v>65</v>
      </c>
      <c r="D1172" s="28" t="s">
        <v>104</v>
      </c>
      <c r="E1172" s="4" t="s">
        <v>1361</v>
      </c>
      <c r="F1172" s="28"/>
      <c r="G1172" s="4">
        <f>SUMIFS(X!$F$5:$F$2005,X!$D$5:$D$2005,'Current Stock'!A1172)</f>
        <v>5</v>
      </c>
      <c r="H1172" s="4">
        <f>SUMIFS(PENJUALAN!$E$4:$E$11000,PENJUALAN!$C$4:$C$11000,'Current Stock'!A1172)</f>
        <v>5</v>
      </c>
      <c r="I1172" s="16">
        <f t="shared" si="2"/>
        <v>0</v>
      </c>
      <c r="J1172" s="15" t="s">
        <v>1473</v>
      </c>
      <c r="K1172" s="15"/>
      <c r="L1172" s="5">
        <v>2.0</v>
      </c>
      <c r="M1172" s="4"/>
    </row>
    <row r="1173" ht="13.5" customHeight="1">
      <c r="A1173" s="4" t="str">
        <f t="shared" si="1"/>
        <v>FDR-MAZDA214XYG</v>
      </c>
      <c r="B1173" s="29" t="s">
        <v>701</v>
      </c>
      <c r="C1173" s="28" t="s">
        <v>699</v>
      </c>
      <c r="D1173" s="28" t="s">
        <v>130</v>
      </c>
      <c r="E1173" s="4" t="s">
        <v>16</v>
      </c>
      <c r="F1173" s="28" t="s">
        <v>397</v>
      </c>
      <c r="G1173" s="4">
        <f>SUMIFS(X!$F$5:$F$2005,X!$D$5:$D$2005,'Current Stock'!A1173)</f>
        <v>0</v>
      </c>
      <c r="H1173" s="4">
        <f>SUMIFS(PENJUALAN!$E$4:$E$11000,PENJUALAN!$C$4:$C$11000,'Current Stock'!A1173)</f>
        <v>0</v>
      </c>
      <c r="I1173" s="16">
        <f t="shared" si="2"/>
        <v>0</v>
      </c>
      <c r="J1173" s="4"/>
      <c r="K1173" s="4"/>
      <c r="L1173" s="4"/>
      <c r="M1173" s="4"/>
    </row>
    <row r="1174" ht="13.5" customHeight="1">
      <c r="A1174" s="4" t="str">
        <f t="shared" si="1"/>
        <v>RDL-MAZDA214XYG</v>
      </c>
      <c r="B1174" s="29" t="s">
        <v>702</v>
      </c>
      <c r="C1174" s="28" t="s">
        <v>699</v>
      </c>
      <c r="D1174" s="28" t="s">
        <v>132</v>
      </c>
      <c r="E1174" s="4" t="s">
        <v>16</v>
      </c>
      <c r="F1174" s="28"/>
      <c r="G1174" s="4">
        <f>SUMIFS(X!$F$5:$F$2005,X!$D$5:$D$2005,'Current Stock'!A1174)</f>
        <v>0</v>
      </c>
      <c r="H1174" s="4">
        <f>SUMIFS(PENJUALAN!$E$4:$E$11000,PENJUALAN!$C$4:$C$11000,'Current Stock'!A1174)</f>
        <v>0</v>
      </c>
      <c r="I1174" s="16">
        <f t="shared" si="2"/>
        <v>0</v>
      </c>
      <c r="J1174" s="4"/>
      <c r="K1174" s="4"/>
      <c r="L1174" s="4"/>
      <c r="M1174" s="4"/>
    </row>
    <row r="1175" ht="13.5" customHeight="1">
      <c r="A1175" s="4" t="str">
        <f t="shared" si="1"/>
        <v>RDR-MAZDA214XYG</v>
      </c>
      <c r="B1175" s="29" t="s">
        <v>703</v>
      </c>
      <c r="C1175" s="28" t="s">
        <v>699</v>
      </c>
      <c r="D1175" s="28" t="s">
        <v>134</v>
      </c>
      <c r="E1175" s="4" t="s">
        <v>16</v>
      </c>
      <c r="F1175" s="28"/>
      <c r="G1175" s="4">
        <f>SUMIFS(X!$F$5:$F$2005,X!$D$5:$D$2005,'Current Stock'!A1175)</f>
        <v>0</v>
      </c>
      <c r="H1175" s="4">
        <f>SUMIFS(PENJUALAN!$E$4:$E$11000,PENJUALAN!$C$4:$C$11000,'Current Stock'!A1175)</f>
        <v>0</v>
      </c>
      <c r="I1175" s="16">
        <f t="shared" si="2"/>
        <v>0</v>
      </c>
      <c r="J1175" s="4"/>
      <c r="K1175" s="4"/>
      <c r="L1175" s="4"/>
      <c r="M1175" s="4"/>
    </row>
    <row r="1176" ht="13.5" customHeight="1">
      <c r="A1176" s="4" t="str">
        <f t="shared" si="1"/>
        <v>LFW-MAZDA612XYG</v>
      </c>
      <c r="B1176" s="29" t="s">
        <v>713</v>
      </c>
      <c r="C1176" s="28" t="s">
        <v>714</v>
      </c>
      <c r="D1176" s="28" t="s">
        <v>22</v>
      </c>
      <c r="E1176" s="4" t="s">
        <v>16</v>
      </c>
      <c r="F1176" s="28" t="s">
        <v>125</v>
      </c>
      <c r="G1176" s="4">
        <f>SUMIFS(X!$F$5:$F$2005,X!$D$5:$D$2005,'Current Stock'!A1176)</f>
        <v>0</v>
      </c>
      <c r="H1176" s="4">
        <f>SUMIFS(PENJUALAN!$E$4:$E$11000,PENJUALAN!$C$4:$C$11000,'Current Stock'!A1176)</f>
        <v>0</v>
      </c>
      <c r="I1176" s="16">
        <f t="shared" si="2"/>
        <v>0</v>
      </c>
      <c r="J1176" s="4"/>
      <c r="K1176" s="4"/>
      <c r="L1176" s="4"/>
      <c r="M1176" s="4"/>
    </row>
    <row r="1177" ht="13.5" customHeight="1">
      <c r="A1177" s="4" t="str">
        <f t="shared" si="1"/>
        <v>LFW-MAZDA8RSXYG</v>
      </c>
      <c r="B1177" s="29" t="s">
        <v>1600</v>
      </c>
      <c r="C1177" s="28" t="s">
        <v>723</v>
      </c>
      <c r="D1177" s="28" t="s">
        <v>22</v>
      </c>
      <c r="E1177" s="4" t="s">
        <v>16</v>
      </c>
      <c r="F1177" s="28" t="s">
        <v>75</v>
      </c>
      <c r="G1177" s="4">
        <f>SUMIFS(X!$F$5:$F$2005,X!$D$5:$D$2005,'Current Stock'!A1177)</f>
        <v>0</v>
      </c>
      <c r="H1177" s="4">
        <f>SUMIFS(PENJUALAN!$E$4:$E$11000,PENJUALAN!$C$4:$C$11000,'Current Stock'!A1177)</f>
        <v>0</v>
      </c>
      <c r="I1177" s="16">
        <f t="shared" si="2"/>
        <v>0</v>
      </c>
      <c r="J1177" s="4"/>
      <c r="K1177" s="4"/>
      <c r="L1177" s="4"/>
      <c r="M1177" s="4"/>
    </row>
    <row r="1178" ht="13.5" customHeight="1">
      <c r="A1178" s="4" t="str">
        <f t="shared" si="1"/>
        <v>LFW-BIANTERSXYG</v>
      </c>
      <c r="B1178" s="29" t="s">
        <v>725</v>
      </c>
      <c r="C1178" s="28" t="s">
        <v>726</v>
      </c>
      <c r="D1178" s="28" t="s">
        <v>22</v>
      </c>
      <c r="E1178" s="4" t="s">
        <v>16</v>
      </c>
      <c r="F1178" s="28" t="s">
        <v>23</v>
      </c>
      <c r="G1178" s="4">
        <f>SUMIFS(X!$F$5:$F$2005,X!$D$5:$D$2005,'Current Stock'!A1178)</f>
        <v>0</v>
      </c>
      <c r="H1178" s="4">
        <f>SUMIFS(PENJUALAN!$E$4:$E$11000,PENJUALAN!$C$4:$C$11000,'Current Stock'!A1178)</f>
        <v>0</v>
      </c>
      <c r="I1178" s="16">
        <f t="shared" si="2"/>
        <v>0</v>
      </c>
      <c r="J1178" s="4"/>
      <c r="K1178" s="4"/>
      <c r="L1178" s="4"/>
      <c r="M1178" s="4"/>
    </row>
    <row r="1179" ht="13.5" customHeight="1">
      <c r="A1179" s="4" t="str">
        <f t="shared" si="1"/>
        <v>LFW-BIANTEXYG</v>
      </c>
      <c r="B1179" s="29" t="s">
        <v>727</v>
      </c>
      <c r="C1179" s="28" t="s">
        <v>726</v>
      </c>
      <c r="D1179" s="28" t="s">
        <v>22</v>
      </c>
      <c r="E1179" s="4" t="s">
        <v>16</v>
      </c>
      <c r="F1179" s="28" t="s">
        <v>125</v>
      </c>
      <c r="G1179" s="4">
        <f>SUMIFS(X!$F$5:$F$2005,X!$D$5:$D$2005,'Current Stock'!A1179)</f>
        <v>0</v>
      </c>
      <c r="H1179" s="4">
        <f>SUMIFS(PENJUALAN!$E$4:$E$11000,PENJUALAN!$C$4:$C$11000,'Current Stock'!A1179)</f>
        <v>0</v>
      </c>
      <c r="I1179" s="16">
        <f t="shared" si="2"/>
        <v>0</v>
      </c>
      <c r="J1179" s="4"/>
      <c r="K1179" s="4"/>
      <c r="L1179" s="4"/>
      <c r="M1179" s="4"/>
    </row>
    <row r="1180" ht="13.5" customHeight="1">
      <c r="A1180" s="4" t="str">
        <f t="shared" si="1"/>
        <v>LFW-AGYA23MU</v>
      </c>
      <c r="B1180" s="31" t="s">
        <v>1601</v>
      </c>
      <c r="C1180" s="57" t="s">
        <v>1602</v>
      </c>
      <c r="D1180" s="43" t="s">
        <v>22</v>
      </c>
      <c r="E1180" s="15" t="s">
        <v>1361</v>
      </c>
      <c r="F1180" s="33" t="s">
        <v>97</v>
      </c>
      <c r="G1180" s="4">
        <f>SUMIFS(X!$F$5:$F$2005,X!$D$5:$D$2005,'Current Stock'!A1180)</f>
        <v>6</v>
      </c>
      <c r="H1180" s="4">
        <f>SUMIFS(PENJUALAN!$E$4:$E$11000,PENJUALAN!$C$4:$C$11000,'Current Stock'!A1180)</f>
        <v>5</v>
      </c>
      <c r="I1180" s="16">
        <f t="shared" si="2"/>
        <v>1</v>
      </c>
      <c r="J1180" s="15" t="s">
        <v>1603</v>
      </c>
      <c r="K1180" s="15"/>
      <c r="L1180" s="5"/>
      <c r="M1180" s="15"/>
    </row>
    <row r="1181" ht="13.5" customHeight="1">
      <c r="A1181" s="4" t="str">
        <f t="shared" si="1"/>
        <v>SWL-BIANTEHITAMXYG</v>
      </c>
      <c r="B1181" s="29" t="s">
        <v>1604</v>
      </c>
      <c r="C1181" s="28" t="s">
        <v>730</v>
      </c>
      <c r="D1181" s="30" t="s">
        <v>202</v>
      </c>
      <c r="E1181" s="4" t="s">
        <v>16</v>
      </c>
      <c r="F1181" s="28"/>
      <c r="G1181" s="4">
        <f>SUMIFS(X!$F$5:$F$2005,X!$D$5:$D$2005,'Current Stock'!A1181)</f>
        <v>0</v>
      </c>
      <c r="H1181" s="4">
        <f>SUMIFS(PENJUALAN!$E$4:$E$11000,PENJUALAN!$C$4:$C$11000,'Current Stock'!A1181)</f>
        <v>0</v>
      </c>
      <c r="I1181" s="16">
        <f t="shared" si="2"/>
        <v>0</v>
      </c>
      <c r="J1181" s="4"/>
      <c r="K1181" s="4"/>
      <c r="L1181" s="4"/>
      <c r="M1181" s="4"/>
    </row>
    <row r="1182" ht="13.5" customHeight="1">
      <c r="A1182" s="4" t="str">
        <f t="shared" si="1"/>
        <v>SWR-BIANTEHITAMXYG</v>
      </c>
      <c r="B1182" s="29" t="s">
        <v>1605</v>
      </c>
      <c r="C1182" s="28" t="s">
        <v>730</v>
      </c>
      <c r="D1182" s="30" t="s">
        <v>236</v>
      </c>
      <c r="E1182" s="4" t="s">
        <v>16</v>
      </c>
      <c r="F1182" s="28"/>
      <c r="G1182" s="4">
        <f>SUMIFS(X!$F$5:$F$2005,X!$D$5:$D$2005,'Current Stock'!A1182)</f>
        <v>0</v>
      </c>
      <c r="H1182" s="4">
        <f>SUMIFS(PENJUALAN!$E$4:$E$11000,PENJUALAN!$C$4:$C$11000,'Current Stock'!A1182)</f>
        <v>0</v>
      </c>
      <c r="I1182" s="16">
        <f t="shared" si="2"/>
        <v>0</v>
      </c>
      <c r="J1182" s="4"/>
      <c r="K1182" s="4"/>
      <c r="L1182" s="4"/>
      <c r="M1182" s="4"/>
    </row>
    <row r="1183" ht="13.5" customHeight="1">
      <c r="A1183" s="4" t="str">
        <f t="shared" si="1"/>
        <v>LFW-CX3XYG</v>
      </c>
      <c r="B1183" s="29" t="s">
        <v>1606</v>
      </c>
      <c r="C1183" s="28" t="s">
        <v>1607</v>
      </c>
      <c r="D1183" s="28" t="s">
        <v>22</v>
      </c>
      <c r="E1183" s="4" t="s">
        <v>16</v>
      </c>
      <c r="F1183" s="28" t="s">
        <v>23</v>
      </c>
      <c r="G1183" s="4">
        <f>SUMIFS(X!$F$5:$F$2005,X!$D$5:$D$2005,'Current Stock'!A1183)</f>
        <v>0</v>
      </c>
      <c r="H1183" s="4">
        <f>SUMIFS(PENJUALAN!$E$4:$E$11000,PENJUALAN!$C$4:$C$11000,'Current Stock'!A1183)</f>
        <v>0</v>
      </c>
      <c r="I1183" s="16">
        <f t="shared" si="2"/>
        <v>0</v>
      </c>
      <c r="J1183" s="4"/>
      <c r="K1183" s="4"/>
      <c r="L1183" s="4"/>
      <c r="M1183" s="4"/>
    </row>
    <row r="1184" ht="13.5" customHeight="1">
      <c r="A1184" s="4" t="str">
        <f t="shared" si="1"/>
        <v>SWL-AVANZA03MU</v>
      </c>
      <c r="B1184" s="29" t="s">
        <v>1608</v>
      </c>
      <c r="C1184" s="28" t="s">
        <v>65</v>
      </c>
      <c r="D1184" s="28" t="s">
        <v>1434</v>
      </c>
      <c r="E1184" s="4" t="s">
        <v>1361</v>
      </c>
      <c r="F1184" s="28"/>
      <c r="G1184" s="4">
        <f>SUMIFS(X!$F$5:$F$2005,X!$D$5:$D$2005,'Current Stock'!A1184)</f>
        <v>5</v>
      </c>
      <c r="H1184" s="4">
        <f>SUMIFS(PENJUALAN!$E$4:$E$11000,PENJUALAN!$C$4:$C$11000,'Current Stock'!A1184)</f>
        <v>5</v>
      </c>
      <c r="I1184" s="16">
        <f t="shared" si="2"/>
        <v>0</v>
      </c>
      <c r="J1184" s="15" t="s">
        <v>1473</v>
      </c>
      <c r="K1184" s="15"/>
      <c r="L1184" s="5">
        <v>2.0</v>
      </c>
      <c r="M1184" s="4"/>
    </row>
    <row r="1185" ht="13.5" customHeight="1">
      <c r="A1185" s="4" t="str">
        <f t="shared" si="1"/>
        <v>LFW-CX5GEN2RS1XYG</v>
      </c>
      <c r="B1185" s="41" t="s">
        <v>1609</v>
      </c>
      <c r="C1185" s="28" t="s">
        <v>1610</v>
      </c>
      <c r="D1185" s="28" t="s">
        <v>22</v>
      </c>
      <c r="E1185" s="4" t="s">
        <v>16</v>
      </c>
      <c r="F1185" s="28" t="s">
        <v>23</v>
      </c>
      <c r="G1185" s="4">
        <f>SUMIFS(X!$F$5:$F$2005,X!$D$5:$D$2005,'Current Stock'!A1185)</f>
        <v>0</v>
      </c>
      <c r="H1185" s="4">
        <f>SUMIFS(PENJUALAN!$E$4:$E$11000,PENJUALAN!$C$4:$C$11000,'Current Stock'!A1185)</f>
        <v>0</v>
      </c>
      <c r="I1185" s="16">
        <f t="shared" si="2"/>
        <v>0</v>
      </c>
      <c r="J1185" s="4"/>
      <c r="K1185" s="4"/>
      <c r="L1185" s="4"/>
      <c r="M1185" s="4"/>
    </row>
    <row r="1186" ht="13.5" customHeight="1">
      <c r="A1186" s="4" t="str">
        <f t="shared" si="1"/>
        <v>LFW-CX5GEN2RS2XYG</v>
      </c>
      <c r="B1186" s="31" t="s">
        <v>1611</v>
      </c>
      <c r="C1186" s="28" t="s">
        <v>1612</v>
      </c>
      <c r="D1186" s="28" t="s">
        <v>22</v>
      </c>
      <c r="E1186" s="4" t="s">
        <v>16</v>
      </c>
      <c r="F1186" s="28" t="s">
        <v>1350</v>
      </c>
      <c r="G1186" s="4">
        <f>SUMIFS(X!$F$5:$F$2005,X!$D$5:$D$2005,'Current Stock'!A1186)</f>
        <v>1</v>
      </c>
      <c r="H1186" s="4">
        <f>SUMIFS(PENJUALAN!$E$4:$E$11000,PENJUALAN!$C$4:$C$11000,'Current Stock'!A1186)</f>
        <v>1</v>
      </c>
      <c r="I1186" s="16">
        <f t="shared" si="2"/>
        <v>0</v>
      </c>
      <c r="J1186" s="15" t="s">
        <v>744</v>
      </c>
      <c r="K1186" s="4"/>
      <c r="L1186" s="4"/>
      <c r="M1186" s="4"/>
    </row>
    <row r="1187" ht="13.5" customHeight="1">
      <c r="A1187" s="4" t="str">
        <f t="shared" si="1"/>
        <v>TRW-CX5GEN2XYG</v>
      </c>
      <c r="B1187" s="29" t="s">
        <v>1613</v>
      </c>
      <c r="C1187" s="28" t="s">
        <v>1614</v>
      </c>
      <c r="D1187" s="28" t="s">
        <v>41</v>
      </c>
      <c r="E1187" s="4" t="s">
        <v>16</v>
      </c>
      <c r="F1187" s="28" t="s">
        <v>221</v>
      </c>
      <c r="G1187" s="4">
        <f>SUMIFS(X!$F$5:$F$2005,X!$D$5:$D$2005,'Current Stock'!A1187)</f>
        <v>0</v>
      </c>
      <c r="H1187" s="4">
        <f>SUMIFS(PENJUALAN!$E$4:$E$11000,PENJUALAN!$C$4:$C$11000,'Current Stock'!A1187)</f>
        <v>0</v>
      </c>
      <c r="I1187" s="16">
        <f t="shared" si="2"/>
        <v>0</v>
      </c>
      <c r="J1187" s="4"/>
      <c r="K1187" s="4"/>
      <c r="L1187" s="4"/>
      <c r="M1187" s="4"/>
    </row>
    <row r="1188" ht="13.5" customHeight="1">
      <c r="A1188" s="4" t="str">
        <f t="shared" si="1"/>
        <v>TRW-STARGAZERXYG</v>
      </c>
      <c r="B1188" s="58" t="s">
        <v>1615</v>
      </c>
      <c r="C1188" s="4" t="s">
        <v>1537</v>
      </c>
      <c r="D1188" s="33" t="s">
        <v>41</v>
      </c>
      <c r="E1188" s="4" t="s">
        <v>16</v>
      </c>
      <c r="F1188" s="4" t="s">
        <v>533</v>
      </c>
      <c r="G1188" s="4">
        <f>SUMIFS(X!$F$5:$F$2005,X!$D$5:$D$2005,'Current Stock'!A1188)</f>
        <v>5</v>
      </c>
      <c r="H1188" s="4">
        <f>SUMIFS(PENJUALAN!$E$4:$E$11000,PENJUALAN!$C$4:$C$11000,'Current Stock'!A1188)</f>
        <v>4</v>
      </c>
      <c r="I1188" s="16">
        <f t="shared" si="2"/>
        <v>1</v>
      </c>
      <c r="J1188" s="59" t="s">
        <v>1616</v>
      </c>
      <c r="K1188" s="59"/>
      <c r="L1188" s="4"/>
      <c r="M1188" s="4"/>
    </row>
    <row r="1189" ht="13.5" customHeight="1">
      <c r="A1189" s="4" t="str">
        <f t="shared" si="1"/>
        <v>FDR-CX5GEN2XYG</v>
      </c>
      <c r="B1189" s="29" t="s">
        <v>1617</v>
      </c>
      <c r="C1189" s="30" t="s">
        <v>1614</v>
      </c>
      <c r="D1189" s="30" t="s">
        <v>130</v>
      </c>
      <c r="E1189" s="4" t="s">
        <v>16</v>
      </c>
      <c r="F1189" s="34" t="s">
        <v>397</v>
      </c>
      <c r="G1189" s="4">
        <f>SUMIFS(X!$F$5:$F$2005,X!$D$5:$D$2005,'Current Stock'!A1189)</f>
        <v>0</v>
      </c>
      <c r="H1189" s="4">
        <f>SUMIFS(PENJUALAN!$E$4:$E$11000,PENJUALAN!$C$4:$C$11000,'Current Stock'!A1189)</f>
        <v>0</v>
      </c>
      <c r="I1189" s="16">
        <f t="shared" si="2"/>
        <v>0</v>
      </c>
      <c r="J1189" s="4"/>
      <c r="K1189" s="4"/>
      <c r="L1189" s="4"/>
      <c r="M1189" s="4"/>
    </row>
    <row r="1190" ht="13.5" customHeight="1">
      <c r="A1190" s="4" t="str">
        <f t="shared" si="1"/>
        <v>RDL-CX5GEN2XYG</v>
      </c>
      <c r="B1190" s="29" t="s">
        <v>1618</v>
      </c>
      <c r="C1190" s="30" t="s">
        <v>1614</v>
      </c>
      <c r="D1190" s="30" t="s">
        <v>132</v>
      </c>
      <c r="E1190" s="4" t="s">
        <v>16</v>
      </c>
      <c r="F1190" s="34" t="s">
        <v>397</v>
      </c>
      <c r="G1190" s="4">
        <f>SUMIFS(X!$F$5:$F$2005,X!$D$5:$D$2005,'Current Stock'!A1190)</f>
        <v>0</v>
      </c>
      <c r="H1190" s="4">
        <f>SUMIFS(PENJUALAN!$E$4:$E$11000,PENJUALAN!$C$4:$C$11000,'Current Stock'!A1190)</f>
        <v>0</v>
      </c>
      <c r="I1190" s="16">
        <f t="shared" si="2"/>
        <v>0</v>
      </c>
      <c r="J1190" s="4"/>
      <c r="K1190" s="4"/>
      <c r="L1190" s="4"/>
      <c r="M1190" s="4"/>
    </row>
    <row r="1191" ht="13.5" customHeight="1">
      <c r="A1191" s="4" t="str">
        <f t="shared" si="1"/>
        <v>RDR-CX5GEN2XYG</v>
      </c>
      <c r="B1191" s="29" t="s">
        <v>1619</v>
      </c>
      <c r="C1191" s="30" t="s">
        <v>1614</v>
      </c>
      <c r="D1191" s="30" t="s">
        <v>134</v>
      </c>
      <c r="E1191" s="4" t="s">
        <v>16</v>
      </c>
      <c r="F1191" s="34" t="s">
        <v>397</v>
      </c>
      <c r="G1191" s="4">
        <f>SUMIFS(X!$F$5:$F$2005,X!$D$5:$D$2005,'Current Stock'!A1191)</f>
        <v>0</v>
      </c>
      <c r="H1191" s="4">
        <f>SUMIFS(PENJUALAN!$E$4:$E$11000,PENJUALAN!$C$4:$C$11000,'Current Stock'!A1191)</f>
        <v>0</v>
      </c>
      <c r="I1191" s="16">
        <f t="shared" si="2"/>
        <v>0</v>
      </c>
      <c r="J1191" s="4"/>
      <c r="K1191" s="4"/>
      <c r="L1191" s="4"/>
      <c r="M1191" s="4"/>
    </row>
    <row r="1192" ht="13.5" customHeight="1">
      <c r="A1192" s="4" t="str">
        <f t="shared" si="1"/>
        <v>SWL-CX5GEN2XYG</v>
      </c>
      <c r="B1192" s="29" t="s">
        <v>1620</v>
      </c>
      <c r="C1192" s="30" t="s">
        <v>1614</v>
      </c>
      <c r="D1192" s="30" t="s">
        <v>202</v>
      </c>
      <c r="E1192" s="4" t="s">
        <v>16</v>
      </c>
      <c r="F1192" s="34" t="s">
        <v>67</v>
      </c>
      <c r="G1192" s="4">
        <f>SUMIFS(X!$F$5:$F$2005,X!$D$5:$D$2005,'Current Stock'!A1192)</f>
        <v>0</v>
      </c>
      <c r="H1192" s="4">
        <f>SUMIFS(PENJUALAN!$E$4:$E$11000,PENJUALAN!$C$4:$C$11000,'Current Stock'!A1192)</f>
        <v>0</v>
      </c>
      <c r="I1192" s="16">
        <f t="shared" si="2"/>
        <v>0</v>
      </c>
      <c r="J1192" s="4"/>
      <c r="K1192" s="4"/>
      <c r="L1192" s="4"/>
      <c r="M1192" s="4"/>
    </row>
    <row r="1193" ht="13.5" customHeight="1">
      <c r="A1193" s="4" t="str">
        <f t="shared" si="1"/>
        <v>SWR-CX5GEN2XYG</v>
      </c>
      <c r="B1193" s="29" t="s">
        <v>1621</v>
      </c>
      <c r="C1193" s="30" t="s">
        <v>1614</v>
      </c>
      <c r="D1193" s="30" t="s">
        <v>236</v>
      </c>
      <c r="E1193" s="4" t="s">
        <v>16</v>
      </c>
      <c r="F1193" s="34" t="s">
        <v>67</v>
      </c>
      <c r="G1193" s="4">
        <f>SUMIFS(X!$F$5:$F$2005,X!$D$5:$D$2005,'Current Stock'!A1193)</f>
        <v>0</v>
      </c>
      <c r="H1193" s="4">
        <f>SUMIFS(PENJUALAN!$E$4:$E$11000,PENJUALAN!$C$4:$C$11000,'Current Stock'!A1193)</f>
        <v>0</v>
      </c>
      <c r="I1193" s="16">
        <f t="shared" si="2"/>
        <v>0</v>
      </c>
      <c r="J1193" s="4"/>
      <c r="K1193" s="4"/>
      <c r="L1193" s="4"/>
      <c r="M1193" s="4"/>
    </row>
    <row r="1194" ht="13.5" customHeight="1">
      <c r="A1194" s="4" t="str">
        <f t="shared" si="1"/>
        <v>LFW-CX7RSXYG</v>
      </c>
      <c r="B1194" s="29" t="s">
        <v>754</v>
      </c>
      <c r="C1194" s="28" t="s">
        <v>755</v>
      </c>
      <c r="D1194" s="28" t="s">
        <v>22</v>
      </c>
      <c r="E1194" s="4" t="s">
        <v>16</v>
      </c>
      <c r="F1194" s="28" t="s">
        <v>75</v>
      </c>
      <c r="G1194" s="4">
        <f>SUMIFS(X!$F$5:$F$2005,X!$D$5:$D$2005,'Current Stock'!A1194)</f>
        <v>0</v>
      </c>
      <c r="H1194" s="4">
        <f>SUMIFS(PENJUALAN!$E$4:$E$11000,PENJUALAN!$C$4:$C$11000,'Current Stock'!A1194)</f>
        <v>0</v>
      </c>
      <c r="I1194" s="16">
        <f t="shared" si="2"/>
        <v>0</v>
      </c>
      <c r="J1194" s="4"/>
      <c r="K1194" s="4"/>
      <c r="L1194" s="4"/>
      <c r="M1194" s="4"/>
    </row>
    <row r="1195" ht="13.5" customHeight="1">
      <c r="A1195" s="4" t="str">
        <f t="shared" si="1"/>
        <v>LFW-CX7XYG</v>
      </c>
      <c r="B1195" s="29" t="s">
        <v>756</v>
      </c>
      <c r="C1195" s="28" t="s">
        <v>757</v>
      </c>
      <c r="D1195" s="28" t="s">
        <v>22</v>
      </c>
      <c r="E1195" s="4" t="s">
        <v>16</v>
      </c>
      <c r="F1195" s="28" t="s">
        <v>737</v>
      </c>
      <c r="G1195" s="4">
        <f>SUMIFS(X!$F$5:$F$2005,X!$D$5:$D$2005,'Current Stock'!A1195)</f>
        <v>0</v>
      </c>
      <c r="H1195" s="4">
        <f>SUMIFS(PENJUALAN!$E$4:$E$11000,PENJUALAN!$C$4:$C$11000,'Current Stock'!A1195)</f>
        <v>0</v>
      </c>
      <c r="I1195" s="16">
        <f t="shared" si="2"/>
        <v>0</v>
      </c>
      <c r="J1195" s="4"/>
      <c r="K1195" s="4"/>
      <c r="L1195" s="4"/>
      <c r="M1195" s="4"/>
    </row>
    <row r="1196" ht="13.5" customHeight="1">
      <c r="A1196" s="4" t="str">
        <f t="shared" si="1"/>
        <v>LFW-SANTAFE12XYG</v>
      </c>
      <c r="B1196" s="29" t="s">
        <v>559</v>
      </c>
      <c r="C1196" s="28" t="s">
        <v>560</v>
      </c>
      <c r="D1196" s="28" t="s">
        <v>22</v>
      </c>
      <c r="E1196" s="4" t="s">
        <v>16</v>
      </c>
      <c r="F1196" s="28" t="s">
        <v>125</v>
      </c>
      <c r="G1196" s="4">
        <f>SUMIFS(X!$F$5:$F$2005,X!$D$5:$D$2005,'Current Stock'!A1196)</f>
        <v>2</v>
      </c>
      <c r="H1196" s="4">
        <f>SUMIFS(PENJUALAN!$E$4:$E$11000,PENJUALAN!$C$4:$C$11000,'Current Stock'!A1196)</f>
        <v>2</v>
      </c>
      <c r="I1196" s="16">
        <f t="shared" si="2"/>
        <v>0</v>
      </c>
      <c r="J1196" s="4"/>
      <c r="K1196" s="4"/>
      <c r="L1196" s="4"/>
      <c r="M1196" s="4"/>
    </row>
    <row r="1197" ht="13.5" customHeight="1">
      <c r="A1197" s="4" t="str">
        <f t="shared" si="1"/>
        <v>LFW-SANTAFE21RS2XYG</v>
      </c>
      <c r="B1197" s="31" t="s">
        <v>1622</v>
      </c>
      <c r="C1197" s="33" t="s">
        <v>1623</v>
      </c>
      <c r="D1197" s="33" t="s">
        <v>22</v>
      </c>
      <c r="E1197" s="15" t="s">
        <v>16</v>
      </c>
      <c r="F1197" s="28"/>
      <c r="G1197" s="4">
        <f>SUMIFS(X!$F$5:$F$2005,X!$D$5:$D$2005,'Current Stock'!A1197)</f>
        <v>1</v>
      </c>
      <c r="H1197" s="4">
        <f>SUMIFS(PENJUALAN!$E$4:$E$11000,PENJUALAN!$C$4:$C$11000,'Current Stock'!A1197)</f>
        <v>1</v>
      </c>
      <c r="I1197" s="16">
        <f t="shared" si="2"/>
        <v>0</v>
      </c>
      <c r="J1197" s="4"/>
      <c r="K1197" s="4"/>
      <c r="L1197" s="4"/>
      <c r="M1197" s="4"/>
    </row>
    <row r="1198" ht="13.5" customHeight="1">
      <c r="A1198" s="4" t="str">
        <f t="shared" si="1"/>
        <v>LFW-STARGAZERRSXYG</v>
      </c>
      <c r="B1198" s="58" t="s">
        <v>1624</v>
      </c>
      <c r="C1198" s="4" t="s">
        <v>1537</v>
      </c>
      <c r="D1198" s="33" t="s">
        <v>22</v>
      </c>
      <c r="E1198" s="4" t="s">
        <v>16</v>
      </c>
      <c r="F1198" s="4" t="s">
        <v>75</v>
      </c>
      <c r="G1198" s="4">
        <f>SUMIFS(X!$F$5:$F$2005,X!$D$5:$D$2005,'Current Stock'!A1198)</f>
        <v>2</v>
      </c>
      <c r="H1198" s="4">
        <f>SUMIFS(PENJUALAN!$E$4:$E$11000,PENJUALAN!$C$4:$C$11000,'Current Stock'!A1198)</f>
        <v>2</v>
      </c>
      <c r="I1198" s="16">
        <f t="shared" si="2"/>
        <v>0</v>
      </c>
      <c r="J1198" s="15" t="s">
        <v>1365</v>
      </c>
      <c r="K1198" s="15"/>
      <c r="L1198" s="4"/>
      <c r="M1198" s="4"/>
    </row>
    <row r="1199" ht="13.5" customHeight="1">
      <c r="A1199" s="4" t="str">
        <f t="shared" si="1"/>
        <v>TRW-CX9GEN1XYG</v>
      </c>
      <c r="B1199" s="29" t="s">
        <v>768</v>
      </c>
      <c r="C1199" s="28" t="s">
        <v>767</v>
      </c>
      <c r="D1199" s="28" t="s">
        <v>41</v>
      </c>
      <c r="E1199" s="4" t="s">
        <v>16</v>
      </c>
      <c r="F1199" s="28" t="s">
        <v>760</v>
      </c>
      <c r="G1199" s="4">
        <f>SUMIFS(X!$F$5:$F$2005,X!$D$5:$D$2005,'Current Stock'!A1199)</f>
        <v>0</v>
      </c>
      <c r="H1199" s="4">
        <f>SUMIFS(PENJUALAN!$E$4:$E$11000,PENJUALAN!$C$4:$C$11000,'Current Stock'!A1199)</f>
        <v>0</v>
      </c>
      <c r="I1199" s="16">
        <f t="shared" si="2"/>
        <v>0</v>
      </c>
      <c r="J1199" s="4"/>
      <c r="K1199" s="4"/>
      <c r="L1199" s="4"/>
      <c r="M1199" s="4"/>
    </row>
    <row r="1200" ht="13.5" customHeight="1">
      <c r="A1200" s="4" t="str">
        <f t="shared" si="1"/>
        <v>TRW-CX9GEN2XYG</v>
      </c>
      <c r="B1200" s="29" t="s">
        <v>1625</v>
      </c>
      <c r="C1200" s="30" t="s">
        <v>1626</v>
      </c>
      <c r="D1200" s="30" t="s">
        <v>41</v>
      </c>
      <c r="E1200" s="4" t="s">
        <v>16</v>
      </c>
      <c r="F1200" s="28" t="s">
        <v>221</v>
      </c>
      <c r="G1200" s="4">
        <f>SUMIFS(X!$F$5:$F$2005,X!$D$5:$D$2005,'Current Stock'!A1200)</f>
        <v>0</v>
      </c>
      <c r="H1200" s="4">
        <f>SUMIFS(PENJUALAN!$E$4:$E$11000,PENJUALAN!$C$4:$C$11000,'Current Stock'!A1200)</f>
        <v>0</v>
      </c>
      <c r="I1200" s="16">
        <f t="shared" si="2"/>
        <v>0</v>
      </c>
      <c r="J1200" s="4"/>
      <c r="K1200" s="4"/>
      <c r="L1200" s="4"/>
      <c r="M1200" s="4"/>
    </row>
    <row r="1201" ht="13.5" customHeight="1">
      <c r="A1201" s="4" t="str">
        <f t="shared" si="1"/>
        <v>LFW-MX5XYG</v>
      </c>
      <c r="B1201" s="29" t="s">
        <v>769</v>
      </c>
      <c r="C1201" s="28" t="s">
        <v>770</v>
      </c>
      <c r="D1201" s="28" t="s">
        <v>22</v>
      </c>
      <c r="E1201" s="4" t="s">
        <v>16</v>
      </c>
      <c r="F1201" s="28" t="s">
        <v>125</v>
      </c>
      <c r="G1201" s="4">
        <f>SUMIFS(X!$F$5:$F$2005,X!$D$5:$D$2005,'Current Stock'!A1201)</f>
        <v>1</v>
      </c>
      <c r="H1201" s="4">
        <f>SUMIFS(PENJUALAN!$E$4:$E$11000,PENJUALAN!$C$4:$C$11000,'Current Stock'!A1201)</f>
        <v>1</v>
      </c>
      <c r="I1201" s="16">
        <f t="shared" si="2"/>
        <v>0</v>
      </c>
      <c r="J1201" s="4"/>
      <c r="K1201" s="4"/>
      <c r="L1201" s="4"/>
      <c r="M1201" s="15" t="s">
        <v>1627</v>
      </c>
    </row>
    <row r="1202" ht="13.5" customHeight="1">
      <c r="A1202" s="4" t="str">
        <f t="shared" si="1"/>
        <v>TRW-XPANDERXYG</v>
      </c>
      <c r="B1202" s="29" t="s">
        <v>98</v>
      </c>
      <c r="C1202" s="28" t="s">
        <v>1628</v>
      </c>
      <c r="D1202" s="28" t="s">
        <v>41</v>
      </c>
      <c r="E1202" s="4" t="s">
        <v>16</v>
      </c>
      <c r="F1202" s="28" t="s">
        <v>533</v>
      </c>
      <c r="G1202" s="4">
        <f>SUMIFS(X!$F$5:$F$2005,X!$D$5:$D$2005,'Current Stock'!A1202)</f>
        <v>9</v>
      </c>
      <c r="H1202" s="4">
        <f>SUMIFS(PENJUALAN!$E$4:$E$11000,PENJUALAN!$C$4:$C$11000,'Current Stock'!A1202)</f>
        <v>8</v>
      </c>
      <c r="I1202" s="16">
        <f t="shared" si="2"/>
        <v>1</v>
      </c>
      <c r="J1202" s="15" t="s">
        <v>1629</v>
      </c>
      <c r="K1202" s="15"/>
      <c r="L1202" s="4"/>
      <c r="M1202" s="15"/>
    </row>
    <row r="1203" ht="13.5" customHeight="1">
      <c r="A1203" s="4" t="str">
        <f t="shared" si="1"/>
        <v>LFW-W169RSXYG</v>
      </c>
      <c r="B1203" s="29" t="s">
        <v>1630</v>
      </c>
      <c r="C1203" s="28" t="s">
        <v>1631</v>
      </c>
      <c r="D1203" s="28" t="s">
        <v>22</v>
      </c>
      <c r="E1203" s="4" t="s">
        <v>16</v>
      </c>
      <c r="F1203" s="28" t="s">
        <v>112</v>
      </c>
      <c r="G1203" s="4">
        <f>SUMIFS(X!$F$5:$F$2005,X!$D$5:$D$2005,'Current Stock'!A1203)</f>
        <v>0</v>
      </c>
      <c r="H1203" s="4">
        <f>SUMIFS(PENJUALAN!$E$4:$E$11000,PENJUALAN!$C$4:$C$11000,'Current Stock'!A1203)</f>
        <v>0</v>
      </c>
      <c r="I1203" s="16">
        <f t="shared" si="2"/>
        <v>0</v>
      </c>
      <c r="J1203" s="4"/>
      <c r="K1203" s="4"/>
      <c r="L1203" s="5">
        <v>1.0</v>
      </c>
      <c r="M1203" s="4"/>
    </row>
    <row r="1204" ht="13.5" customHeight="1">
      <c r="A1204" s="4" t="str">
        <f t="shared" si="1"/>
        <v>TRW-EVALIAXYG</v>
      </c>
      <c r="B1204" s="29" t="s">
        <v>1632</v>
      </c>
      <c r="C1204" s="28" t="s">
        <v>920</v>
      </c>
      <c r="D1204" s="28" t="s">
        <v>41</v>
      </c>
      <c r="E1204" s="4" t="s">
        <v>16</v>
      </c>
      <c r="F1204" s="28" t="s">
        <v>67</v>
      </c>
      <c r="G1204" s="4">
        <f>SUMIFS(X!$F$5:$F$2005,X!$D$5:$D$2005,'Current Stock'!A1204)</f>
        <v>4</v>
      </c>
      <c r="H1204" s="4">
        <f>SUMIFS(PENJUALAN!$E$4:$E$11000,PENJUALAN!$C$4:$C$11000,'Current Stock'!A1204)</f>
        <v>3</v>
      </c>
      <c r="I1204" s="16">
        <f t="shared" si="2"/>
        <v>1</v>
      </c>
      <c r="J1204" s="15" t="s">
        <v>1456</v>
      </c>
      <c r="K1204" s="15"/>
      <c r="L1204" s="4"/>
      <c r="M1204" s="4"/>
    </row>
    <row r="1205" ht="13.5" customHeight="1">
      <c r="A1205" s="4" t="str">
        <f t="shared" si="1"/>
        <v>LFW-W246XYG</v>
      </c>
      <c r="B1205" s="29" t="s">
        <v>1633</v>
      </c>
      <c r="C1205" s="33" t="s">
        <v>1634</v>
      </c>
      <c r="D1205" s="28" t="s">
        <v>22</v>
      </c>
      <c r="E1205" s="4" t="s">
        <v>16</v>
      </c>
      <c r="F1205" s="28" t="s">
        <v>23</v>
      </c>
      <c r="G1205" s="4">
        <f>SUMIFS(X!$F$5:$F$2005,X!$D$5:$D$2005,'Current Stock'!A1205)</f>
        <v>1</v>
      </c>
      <c r="H1205" s="4">
        <f>SUMIFS(PENJUALAN!$E$4:$E$11000,PENJUALAN!$C$4:$C$11000,'Current Stock'!A1205)</f>
        <v>1</v>
      </c>
      <c r="I1205" s="16">
        <f t="shared" si="2"/>
        <v>0</v>
      </c>
      <c r="J1205" s="4"/>
      <c r="K1205" s="4"/>
      <c r="L1205" s="4"/>
      <c r="M1205" s="4"/>
    </row>
    <row r="1206" ht="13.5" customHeight="1">
      <c r="A1206" s="4" t="str">
        <f t="shared" si="1"/>
        <v>LFW-W202XYG</v>
      </c>
      <c r="B1206" s="41" t="s">
        <v>1635</v>
      </c>
      <c r="C1206" s="28" t="s">
        <v>1636</v>
      </c>
      <c r="D1206" s="30" t="s">
        <v>22</v>
      </c>
      <c r="E1206" s="4" t="s">
        <v>16</v>
      </c>
      <c r="F1206" s="28" t="s">
        <v>97</v>
      </c>
      <c r="G1206" s="4">
        <f>SUMIFS(X!$F$5:$F$2005,X!$D$5:$D$2005,'Current Stock'!A1206)</f>
        <v>0</v>
      </c>
      <c r="H1206" s="4">
        <f>SUMIFS(PENJUALAN!$E$4:$E$11000,PENJUALAN!$C$4:$C$11000,'Current Stock'!A1206)</f>
        <v>0</v>
      </c>
      <c r="I1206" s="16">
        <f t="shared" si="2"/>
        <v>0</v>
      </c>
      <c r="J1206" s="4"/>
      <c r="K1206" s="4"/>
      <c r="L1206" s="4"/>
      <c r="M1206" s="4"/>
    </row>
    <row r="1207" ht="13.5" customHeight="1">
      <c r="A1207" s="4" t="str">
        <f t="shared" si="1"/>
        <v>LFW-CL203XYG</v>
      </c>
      <c r="B1207" s="29" t="s">
        <v>1637</v>
      </c>
      <c r="C1207" s="30" t="s">
        <v>1638</v>
      </c>
      <c r="D1207" s="30" t="s">
        <v>22</v>
      </c>
      <c r="E1207" s="4" t="s">
        <v>16</v>
      </c>
      <c r="F1207" s="30" t="s">
        <v>112</v>
      </c>
      <c r="G1207" s="4">
        <f>SUMIFS(X!$F$5:$F$2005,X!$D$5:$D$2005,'Current Stock'!A1207)</f>
        <v>0</v>
      </c>
      <c r="H1207" s="4">
        <f>SUMIFS(PENJUALAN!$E$4:$E$11000,PENJUALAN!$C$4:$C$11000,'Current Stock'!A1207)</f>
        <v>0</v>
      </c>
      <c r="I1207" s="16">
        <f t="shared" si="2"/>
        <v>0</v>
      </c>
      <c r="J1207" s="4"/>
      <c r="K1207" s="4"/>
      <c r="L1207" s="4"/>
      <c r="M1207" s="4"/>
    </row>
    <row r="1208" ht="13.5" customHeight="1">
      <c r="A1208" s="4" t="str">
        <f t="shared" si="1"/>
        <v>LFW-W203RS2XYG</v>
      </c>
      <c r="B1208" s="29" t="s">
        <v>776</v>
      </c>
      <c r="C1208" s="28" t="s">
        <v>777</v>
      </c>
      <c r="D1208" s="28" t="s">
        <v>22</v>
      </c>
      <c r="E1208" s="4" t="s">
        <v>16</v>
      </c>
      <c r="F1208" s="28" t="s">
        <v>112</v>
      </c>
      <c r="G1208" s="4">
        <f>SUMIFS(X!$F$5:$F$2005,X!$D$5:$D$2005,'Current Stock'!A1208)</f>
        <v>0</v>
      </c>
      <c r="H1208" s="4">
        <f>SUMIFS(PENJUALAN!$E$4:$E$11000,PENJUALAN!$C$4:$C$11000,'Current Stock'!A1208)</f>
        <v>0</v>
      </c>
      <c r="I1208" s="16">
        <f t="shared" si="2"/>
        <v>0</v>
      </c>
      <c r="J1208" s="4"/>
      <c r="K1208" s="4"/>
      <c r="L1208" s="4"/>
      <c r="M1208" s="4"/>
    </row>
    <row r="1209" ht="13.5" customHeight="1">
      <c r="A1209" s="4" t="str">
        <f t="shared" si="1"/>
        <v>LFW-W203RS1XYG</v>
      </c>
      <c r="B1209" s="29" t="s">
        <v>1639</v>
      </c>
      <c r="C1209" s="30" t="s">
        <v>1640</v>
      </c>
      <c r="D1209" s="30" t="s">
        <v>22</v>
      </c>
      <c r="E1209" s="4" t="s">
        <v>16</v>
      </c>
      <c r="F1209" s="30" t="s">
        <v>112</v>
      </c>
      <c r="G1209" s="4">
        <f>SUMIFS(X!$F$5:$F$2005,X!$D$5:$D$2005,'Current Stock'!A1209)</f>
        <v>2</v>
      </c>
      <c r="H1209" s="4">
        <f>SUMIFS(PENJUALAN!$E$4:$E$11000,PENJUALAN!$C$4:$C$11000,'Current Stock'!A1209)</f>
        <v>0</v>
      </c>
      <c r="I1209" s="16">
        <f t="shared" si="2"/>
        <v>2</v>
      </c>
      <c r="J1209" s="15" t="s">
        <v>1641</v>
      </c>
      <c r="K1209" s="15"/>
      <c r="L1209" s="4"/>
      <c r="M1209" s="15" t="s">
        <v>1642</v>
      </c>
    </row>
    <row r="1210" ht="13.5" customHeight="1">
      <c r="A1210" s="4" t="str">
        <f t="shared" si="1"/>
        <v>TRW-W203XYG</v>
      </c>
      <c r="B1210" s="29" t="s">
        <v>778</v>
      </c>
      <c r="C1210" s="28" t="s">
        <v>779</v>
      </c>
      <c r="D1210" s="28" t="s">
        <v>41</v>
      </c>
      <c r="E1210" s="4" t="s">
        <v>16</v>
      </c>
      <c r="F1210" s="28" t="s">
        <v>114</v>
      </c>
      <c r="G1210" s="4">
        <f>SUMIFS(X!$F$5:$F$2005,X!$D$5:$D$2005,'Current Stock'!A1210)</f>
        <v>0</v>
      </c>
      <c r="H1210" s="4">
        <f>SUMIFS(PENJUALAN!$E$4:$E$11000,PENJUALAN!$C$4:$C$11000,'Current Stock'!A1210)</f>
        <v>0</v>
      </c>
      <c r="I1210" s="16">
        <f t="shared" si="2"/>
        <v>0</v>
      </c>
      <c r="J1210" s="4"/>
      <c r="K1210" s="4"/>
      <c r="L1210" s="4"/>
      <c r="M1210" s="4"/>
    </row>
    <row r="1211" ht="13.5" customHeight="1">
      <c r="A1211" s="4" t="str">
        <f t="shared" si="1"/>
        <v>TRW-NAVARA04XYG</v>
      </c>
      <c r="B1211" s="29" t="s">
        <v>926</v>
      </c>
      <c r="C1211" s="28" t="s">
        <v>925</v>
      </c>
      <c r="D1211" s="28" t="s">
        <v>41</v>
      </c>
      <c r="E1211" s="4" t="s">
        <v>16</v>
      </c>
      <c r="F1211" s="28" t="s">
        <v>67</v>
      </c>
      <c r="G1211" s="4">
        <f>SUMIFS(X!$F$5:$F$2005,X!$D$5:$D$2005,'Current Stock'!A1211)</f>
        <v>3</v>
      </c>
      <c r="H1211" s="4">
        <f>SUMIFS(PENJUALAN!$E$4:$E$11000,PENJUALAN!$C$4:$C$11000,'Current Stock'!A1211)</f>
        <v>2</v>
      </c>
      <c r="I1211" s="16">
        <f t="shared" si="2"/>
        <v>1</v>
      </c>
      <c r="J1211" s="15" t="s">
        <v>43</v>
      </c>
      <c r="K1211" s="15"/>
      <c r="L1211" s="4"/>
      <c r="M1211" s="4"/>
    </row>
    <row r="1212" ht="13.5" customHeight="1">
      <c r="A1212" s="4" t="str">
        <f t="shared" si="1"/>
        <v>LFW-W204RS2XYG</v>
      </c>
      <c r="B1212" s="29" t="s">
        <v>1643</v>
      </c>
      <c r="C1212" s="28" t="s">
        <v>1644</v>
      </c>
      <c r="D1212" s="28" t="s">
        <v>22</v>
      </c>
      <c r="E1212" s="4" t="s">
        <v>16</v>
      </c>
      <c r="F1212" s="28" t="s">
        <v>112</v>
      </c>
      <c r="G1212" s="4">
        <f>SUMIFS(X!$F$5:$F$2005,X!$D$5:$D$2005,'Current Stock'!A1212)</f>
        <v>0</v>
      </c>
      <c r="H1212" s="4">
        <f>SUMIFS(PENJUALAN!$E$4:$E$11000,PENJUALAN!$C$4:$C$11000,'Current Stock'!A1212)</f>
        <v>0</v>
      </c>
      <c r="I1212" s="16">
        <f t="shared" si="2"/>
        <v>0</v>
      </c>
      <c r="J1212" s="4"/>
      <c r="K1212" s="4"/>
      <c r="L1212" s="4"/>
      <c r="M1212" s="4"/>
    </row>
    <row r="1213" ht="13.5" customHeight="1">
      <c r="A1213" s="4" t="str">
        <f t="shared" si="1"/>
        <v>TRW-W204XYG</v>
      </c>
      <c r="B1213" s="29" t="s">
        <v>782</v>
      </c>
      <c r="C1213" s="28" t="s">
        <v>783</v>
      </c>
      <c r="D1213" s="28" t="s">
        <v>41</v>
      </c>
      <c r="E1213" s="4" t="s">
        <v>16</v>
      </c>
      <c r="F1213" s="28" t="s">
        <v>114</v>
      </c>
      <c r="G1213" s="4">
        <f>SUMIFS(X!$F$5:$F$2005,X!$D$5:$D$2005,'Current Stock'!A1213)</f>
        <v>0</v>
      </c>
      <c r="H1213" s="4">
        <f>SUMIFS(PENJUALAN!$E$4:$E$11000,PENJUALAN!$C$4:$C$11000,'Current Stock'!A1213)</f>
        <v>0</v>
      </c>
      <c r="I1213" s="16">
        <f t="shared" si="2"/>
        <v>0</v>
      </c>
      <c r="J1213" s="4"/>
      <c r="K1213" s="4"/>
      <c r="L1213" s="4"/>
      <c r="M1213" s="4"/>
    </row>
    <row r="1214" ht="13.5" customHeight="1">
      <c r="A1214" s="4" t="str">
        <f t="shared" si="1"/>
        <v>LFW-W205RSXYG</v>
      </c>
      <c r="B1214" s="29" t="s">
        <v>784</v>
      </c>
      <c r="C1214" s="28" t="s">
        <v>785</v>
      </c>
      <c r="D1214" s="28" t="s">
        <v>22</v>
      </c>
      <c r="E1214" s="4" t="s">
        <v>16</v>
      </c>
      <c r="F1214" s="28" t="s">
        <v>112</v>
      </c>
      <c r="G1214" s="4">
        <f>SUMIFS(X!$F$5:$F$2005,X!$D$5:$D$2005,'Current Stock'!A1214)</f>
        <v>0</v>
      </c>
      <c r="H1214" s="4">
        <f>SUMIFS(PENJUALAN!$E$4:$E$11000,PENJUALAN!$C$4:$C$11000,'Current Stock'!A1214)</f>
        <v>0</v>
      </c>
      <c r="I1214" s="16">
        <f t="shared" si="2"/>
        <v>0</v>
      </c>
      <c r="J1214" s="4"/>
      <c r="K1214" s="4"/>
      <c r="L1214" s="4"/>
      <c r="M1214" s="4"/>
    </row>
    <row r="1215" ht="13.5" customHeight="1">
      <c r="A1215" s="4" t="str">
        <f t="shared" si="1"/>
        <v>LFW-W205RS2XYG</v>
      </c>
      <c r="B1215" s="29" t="s">
        <v>786</v>
      </c>
      <c r="C1215" s="28" t="s">
        <v>787</v>
      </c>
      <c r="D1215" s="28" t="s">
        <v>22</v>
      </c>
      <c r="E1215" s="4" t="s">
        <v>16</v>
      </c>
      <c r="F1215" s="28" t="s">
        <v>788</v>
      </c>
      <c r="G1215" s="4">
        <f>SUMIFS(X!$F$5:$F$2005,X!$D$5:$D$2005,'Current Stock'!A1215)</f>
        <v>0</v>
      </c>
      <c r="H1215" s="4">
        <f>SUMIFS(PENJUALAN!$E$4:$E$11000,PENJUALAN!$C$4:$C$11000,'Current Stock'!A1215)</f>
        <v>0</v>
      </c>
      <c r="I1215" s="16">
        <f t="shared" si="2"/>
        <v>0</v>
      </c>
      <c r="J1215" s="4"/>
      <c r="K1215" s="4"/>
      <c r="L1215" s="4"/>
      <c r="M1215" s="4"/>
    </row>
    <row r="1216" ht="13.5" customHeight="1">
      <c r="A1216" s="4" t="str">
        <f t="shared" si="1"/>
        <v>LFW-W205RS3XYG</v>
      </c>
      <c r="B1216" s="29" t="s">
        <v>789</v>
      </c>
      <c r="C1216" s="28" t="s">
        <v>790</v>
      </c>
      <c r="D1216" s="28" t="s">
        <v>22</v>
      </c>
      <c r="E1216" s="4" t="s">
        <v>16</v>
      </c>
      <c r="F1216" s="28" t="s">
        <v>788</v>
      </c>
      <c r="G1216" s="4">
        <f>SUMIFS(X!$F$5:$F$2005,X!$D$5:$D$2005,'Current Stock'!A1216)</f>
        <v>1</v>
      </c>
      <c r="H1216" s="4">
        <f>SUMIFS(PENJUALAN!$E$4:$E$11000,PENJUALAN!$C$4:$C$11000,'Current Stock'!A1216)</f>
        <v>1</v>
      </c>
      <c r="I1216" s="16">
        <f t="shared" si="2"/>
        <v>0</v>
      </c>
      <c r="J1216" s="4"/>
      <c r="K1216" s="4"/>
      <c r="L1216" s="4"/>
      <c r="M1216" s="4"/>
    </row>
    <row r="1217" ht="13.5" customHeight="1">
      <c r="A1217" s="4" t="str">
        <f t="shared" si="1"/>
        <v>TRW-W205XYG</v>
      </c>
      <c r="B1217" s="29" t="s">
        <v>1645</v>
      </c>
      <c r="C1217" s="28" t="s">
        <v>1646</v>
      </c>
      <c r="D1217" s="28" t="s">
        <v>41</v>
      </c>
      <c r="E1217" s="4" t="s">
        <v>16</v>
      </c>
      <c r="F1217" s="28" t="s">
        <v>118</v>
      </c>
      <c r="G1217" s="4">
        <f>SUMIFS(X!$F$5:$F$2005,X!$D$5:$D$2005,'Current Stock'!A1217)</f>
        <v>0</v>
      </c>
      <c r="H1217" s="4">
        <f>SUMIFS(PENJUALAN!$E$4:$E$11000,PENJUALAN!$C$4:$C$11000,'Current Stock'!A1217)</f>
        <v>0</v>
      </c>
      <c r="I1217" s="16">
        <f t="shared" si="2"/>
        <v>0</v>
      </c>
      <c r="J1217" s="4"/>
      <c r="K1217" s="4"/>
      <c r="L1217" s="4"/>
      <c r="M1217" s="4"/>
    </row>
    <row r="1218" ht="13.5" customHeight="1">
      <c r="A1218" s="4" t="str">
        <f t="shared" si="1"/>
        <v>LFW-W1242DOORXYG</v>
      </c>
      <c r="B1218" s="29" t="s">
        <v>1647</v>
      </c>
      <c r="C1218" s="30" t="s">
        <v>794</v>
      </c>
      <c r="D1218" s="30" t="s">
        <v>22</v>
      </c>
      <c r="E1218" s="4" t="s">
        <v>16</v>
      </c>
      <c r="F1218" s="28" t="s">
        <v>1547</v>
      </c>
      <c r="G1218" s="4">
        <f>SUMIFS(X!$F$5:$F$2005,X!$D$5:$D$2005,'Current Stock'!A1218)</f>
        <v>0</v>
      </c>
      <c r="H1218" s="4">
        <f>SUMIFS(PENJUALAN!$E$4:$E$11000,PENJUALAN!$C$4:$C$11000,'Current Stock'!A1218)</f>
        <v>0</v>
      </c>
      <c r="I1218" s="16">
        <f t="shared" si="2"/>
        <v>0</v>
      </c>
      <c r="J1218" s="4"/>
      <c r="K1218" s="4"/>
      <c r="L1218" s="4"/>
      <c r="M1218" s="4"/>
    </row>
    <row r="1219" ht="13.5" customHeight="1">
      <c r="A1219" s="4" t="str">
        <f t="shared" si="1"/>
        <v>LFW-W1244DOORXYG</v>
      </c>
      <c r="B1219" s="29" t="s">
        <v>1648</v>
      </c>
      <c r="C1219" s="30" t="s">
        <v>1649</v>
      </c>
      <c r="D1219" s="30" t="s">
        <v>22</v>
      </c>
      <c r="E1219" s="4" t="s">
        <v>16</v>
      </c>
      <c r="F1219" s="28" t="s">
        <v>1547</v>
      </c>
      <c r="G1219" s="4">
        <f>SUMIFS(X!$F$5:$F$2005,X!$D$5:$D$2005,'Current Stock'!A1219)</f>
        <v>0</v>
      </c>
      <c r="H1219" s="4">
        <f>SUMIFS(PENJUALAN!$E$4:$E$11000,PENJUALAN!$C$4:$C$11000,'Current Stock'!A1219)</f>
        <v>0</v>
      </c>
      <c r="I1219" s="16">
        <f t="shared" si="2"/>
        <v>0</v>
      </c>
      <c r="J1219" s="4"/>
      <c r="K1219" s="4"/>
      <c r="L1219" s="4"/>
      <c r="M1219" s="4"/>
    </row>
    <row r="1220" ht="13.5" customHeight="1">
      <c r="A1220" s="4" t="str">
        <f t="shared" si="1"/>
        <v>LRW-W124XYG</v>
      </c>
      <c r="B1220" s="29" t="s">
        <v>793</v>
      </c>
      <c r="C1220" s="28" t="s">
        <v>794</v>
      </c>
      <c r="D1220" s="28" t="s">
        <v>41</v>
      </c>
      <c r="E1220" s="4" t="s">
        <v>16</v>
      </c>
      <c r="F1220" s="28" t="s">
        <v>67</v>
      </c>
      <c r="G1220" s="4">
        <f>SUMIFS(X!$F$5:$F$2005,X!$D$5:$D$2005,'Current Stock'!A1220)</f>
        <v>0</v>
      </c>
      <c r="H1220" s="4">
        <f>SUMIFS(PENJUALAN!$E$4:$E$11000,PENJUALAN!$C$4:$C$11000,'Current Stock'!A1220)</f>
        <v>0</v>
      </c>
      <c r="I1220" s="16">
        <f t="shared" si="2"/>
        <v>0</v>
      </c>
      <c r="J1220" s="4"/>
      <c r="K1220" s="4"/>
      <c r="L1220" s="4"/>
      <c r="M1220" s="4"/>
    </row>
    <row r="1221" ht="13.5" customHeight="1">
      <c r="A1221" s="4" t="str">
        <f t="shared" si="1"/>
        <v>LFW-W210XYG</v>
      </c>
      <c r="B1221" s="29" t="s">
        <v>795</v>
      </c>
      <c r="C1221" s="28" t="s">
        <v>796</v>
      </c>
      <c r="D1221" s="28" t="s">
        <v>22</v>
      </c>
      <c r="E1221" s="4" t="s">
        <v>16</v>
      </c>
      <c r="F1221" s="28" t="s">
        <v>189</v>
      </c>
      <c r="G1221" s="4">
        <f>SUMIFS(X!$F$5:$F$2005,X!$D$5:$D$2005,'Current Stock'!A1221)</f>
        <v>0</v>
      </c>
      <c r="H1221" s="4">
        <f>SUMIFS(PENJUALAN!$E$4:$E$11000,PENJUALAN!$C$4:$C$11000,'Current Stock'!A1221)</f>
        <v>0</v>
      </c>
      <c r="I1221" s="16">
        <f t="shared" si="2"/>
        <v>0</v>
      </c>
      <c r="J1221" s="4"/>
      <c r="K1221" s="4"/>
      <c r="L1221" s="4"/>
      <c r="M1221" s="4"/>
    </row>
    <row r="1222" ht="13.5" customHeight="1">
      <c r="A1222" s="4" t="str">
        <f t="shared" si="1"/>
        <v>TRW-LIVINA13XYG</v>
      </c>
      <c r="B1222" s="29" t="s">
        <v>1650</v>
      </c>
      <c r="C1222" s="28" t="s">
        <v>1651</v>
      </c>
      <c r="D1222" s="28" t="s">
        <v>41</v>
      </c>
      <c r="E1222" s="4" t="s">
        <v>16</v>
      </c>
      <c r="F1222" s="28" t="s">
        <v>67</v>
      </c>
      <c r="G1222" s="4">
        <f>SUMIFS(X!$F$5:$F$2005,X!$D$5:$D$2005,'Current Stock'!A1222)</f>
        <v>7</v>
      </c>
      <c r="H1222" s="4">
        <f>SUMIFS(PENJUALAN!$E$4:$E$11000,PENJUALAN!$C$4:$C$11000,'Current Stock'!A1222)</f>
        <v>5</v>
      </c>
      <c r="I1222" s="16">
        <f t="shared" si="2"/>
        <v>2</v>
      </c>
      <c r="J1222" s="15" t="s">
        <v>1567</v>
      </c>
      <c r="K1222" s="15"/>
      <c r="L1222" s="5">
        <v>2.0</v>
      </c>
      <c r="M1222" s="4"/>
    </row>
    <row r="1223" ht="13.5" customHeight="1">
      <c r="A1223" s="4" t="str">
        <f t="shared" si="1"/>
        <v>TRW-W211XYG</v>
      </c>
      <c r="B1223" s="29" t="s">
        <v>1652</v>
      </c>
      <c r="C1223" s="28" t="s">
        <v>799</v>
      </c>
      <c r="D1223" s="30" t="s">
        <v>41</v>
      </c>
      <c r="E1223" s="4" t="s">
        <v>16</v>
      </c>
      <c r="F1223" s="28" t="s">
        <v>1080</v>
      </c>
      <c r="G1223" s="4">
        <f>SUMIFS(X!$F$5:$F$2005,X!$D$5:$D$2005,'Current Stock'!A1223)</f>
        <v>0</v>
      </c>
      <c r="H1223" s="4">
        <f>SUMIFS(PENJUALAN!$E$4:$E$11000,PENJUALAN!$C$4:$C$11000,'Current Stock'!A1223)</f>
        <v>0</v>
      </c>
      <c r="I1223" s="16">
        <f t="shared" si="2"/>
        <v>0</v>
      </c>
      <c r="J1223" s="4"/>
      <c r="K1223" s="4"/>
      <c r="L1223" s="4"/>
      <c r="M1223" s="4"/>
    </row>
    <row r="1224" ht="13.5" customHeight="1">
      <c r="A1224" s="4" t="str">
        <f t="shared" si="1"/>
        <v>LFW-W212RSXYG</v>
      </c>
      <c r="B1224" s="29" t="s">
        <v>800</v>
      </c>
      <c r="C1224" s="28" t="s">
        <v>801</v>
      </c>
      <c r="D1224" s="28" t="s">
        <v>22</v>
      </c>
      <c r="E1224" s="4" t="s">
        <v>16</v>
      </c>
      <c r="F1224" s="28" t="s">
        <v>112</v>
      </c>
      <c r="G1224" s="4">
        <f>SUMIFS(X!$F$5:$F$2005,X!$D$5:$D$2005,'Current Stock'!A1224)</f>
        <v>1</v>
      </c>
      <c r="H1224" s="4">
        <f>SUMIFS(PENJUALAN!$E$4:$E$11000,PENJUALAN!$C$4:$C$11000,'Current Stock'!A1224)</f>
        <v>0</v>
      </c>
      <c r="I1224" s="16">
        <f t="shared" si="2"/>
        <v>1</v>
      </c>
      <c r="J1224" s="15" t="s">
        <v>158</v>
      </c>
      <c r="K1224" s="15"/>
      <c r="L1224" s="4"/>
      <c r="M1224" s="15"/>
    </row>
    <row r="1225" ht="13.5" customHeight="1">
      <c r="A1225" s="4" t="str">
        <f t="shared" si="1"/>
        <v>LFW-C26XYG</v>
      </c>
      <c r="B1225" s="29" t="s">
        <v>973</v>
      </c>
      <c r="C1225" s="28" t="s">
        <v>974</v>
      </c>
      <c r="D1225" s="28" t="s">
        <v>22</v>
      </c>
      <c r="E1225" s="4" t="s">
        <v>16</v>
      </c>
      <c r="F1225" s="28" t="s">
        <v>125</v>
      </c>
      <c r="G1225" s="4">
        <f>SUMIFS(X!$F$5:$F$2005,X!$D$5:$D$2005,'Current Stock'!A1225)</f>
        <v>3</v>
      </c>
      <c r="H1225" s="4">
        <f>SUMIFS(PENJUALAN!$E$4:$E$11000,PENJUALAN!$C$4:$C$11000,'Current Stock'!A1225)</f>
        <v>3</v>
      </c>
      <c r="I1225" s="16">
        <f t="shared" si="2"/>
        <v>0</v>
      </c>
      <c r="J1225" s="15" t="s">
        <v>1496</v>
      </c>
      <c r="K1225" s="15"/>
      <c r="L1225" s="4"/>
      <c r="M1225" s="15"/>
    </row>
    <row r="1226" ht="13.5" customHeight="1">
      <c r="A1226" s="4" t="str">
        <f t="shared" si="1"/>
        <v>TRW-W213XYG</v>
      </c>
      <c r="B1226" s="29" t="s">
        <v>1653</v>
      </c>
      <c r="C1226" s="30" t="s">
        <v>1654</v>
      </c>
      <c r="D1226" s="30" t="s">
        <v>41</v>
      </c>
      <c r="E1226" s="4" t="s">
        <v>16</v>
      </c>
      <c r="F1226" s="34" t="s">
        <v>67</v>
      </c>
      <c r="G1226" s="4">
        <f>SUMIFS(X!$F$5:$F$2005,X!$D$5:$D$2005,'Current Stock'!A1226)</f>
        <v>0</v>
      </c>
      <c r="H1226" s="4">
        <f>SUMIFS(PENJUALAN!$E$4:$E$11000,PENJUALAN!$C$4:$C$11000,'Current Stock'!A1226)</f>
        <v>0</v>
      </c>
      <c r="I1226" s="16">
        <f t="shared" si="2"/>
        <v>0</v>
      </c>
      <c r="J1226" s="4"/>
      <c r="K1226" s="4"/>
      <c r="L1226" s="4"/>
      <c r="M1226" s="4"/>
    </row>
    <row r="1227" ht="13.5" customHeight="1">
      <c r="A1227" s="4" t="str">
        <f t="shared" si="1"/>
        <v>LFW-W213XYG</v>
      </c>
      <c r="B1227" s="29" t="s">
        <v>1655</v>
      </c>
      <c r="C1227" s="30" t="s">
        <v>1656</v>
      </c>
      <c r="D1227" s="30" t="s">
        <v>22</v>
      </c>
      <c r="E1227" s="4" t="s">
        <v>16</v>
      </c>
      <c r="F1227" s="34" t="s">
        <v>112</v>
      </c>
      <c r="G1227" s="4">
        <f>SUMIFS(X!$F$5:$F$2005,X!$D$5:$D$2005,'Current Stock'!A1227)</f>
        <v>0</v>
      </c>
      <c r="H1227" s="4">
        <f>SUMIFS(PENJUALAN!$E$4:$E$11000,PENJUALAN!$C$4:$C$11000,'Current Stock'!A1227)</f>
        <v>0</v>
      </c>
      <c r="I1227" s="16">
        <f t="shared" si="2"/>
        <v>0</v>
      </c>
      <c r="J1227" s="4"/>
      <c r="K1227" s="4"/>
      <c r="L1227" s="4"/>
      <c r="M1227" s="4"/>
    </row>
    <row r="1228" ht="13.5" customHeight="1">
      <c r="A1228" s="4" t="str">
        <f t="shared" si="1"/>
        <v>LFW-W156XYG</v>
      </c>
      <c r="B1228" s="29" t="s">
        <v>1657</v>
      </c>
      <c r="C1228" s="28" t="s">
        <v>1658</v>
      </c>
      <c r="D1228" s="28" t="s">
        <v>41</v>
      </c>
      <c r="E1228" s="4" t="s">
        <v>16</v>
      </c>
      <c r="F1228" s="28" t="s">
        <v>221</v>
      </c>
      <c r="G1228" s="4">
        <f>SUMIFS(X!$F$5:$F$2005,X!$D$5:$D$2005,'Current Stock'!A1228)</f>
        <v>0</v>
      </c>
      <c r="H1228" s="4">
        <f>SUMIFS(PENJUALAN!$E$4:$E$11000,PENJUALAN!$C$4:$C$11000,'Current Stock'!A1228)</f>
        <v>0</v>
      </c>
      <c r="I1228" s="16">
        <f t="shared" si="2"/>
        <v>0</v>
      </c>
      <c r="J1228" s="4"/>
      <c r="K1228" s="4"/>
      <c r="L1228" s="4"/>
      <c r="M1228" s="4"/>
    </row>
    <row r="1229" ht="13.5" customHeight="1">
      <c r="A1229" s="4" t="str">
        <f t="shared" si="1"/>
        <v>LFW-W166RS1XYG</v>
      </c>
      <c r="B1229" s="29" t="s">
        <v>1659</v>
      </c>
      <c r="C1229" s="30" t="s">
        <v>1660</v>
      </c>
      <c r="D1229" s="30" t="s">
        <v>22</v>
      </c>
      <c r="E1229" s="4" t="s">
        <v>16</v>
      </c>
      <c r="F1229" s="28" t="s">
        <v>23</v>
      </c>
      <c r="G1229" s="4">
        <f>SUMIFS(X!$F$5:$F$2005,X!$D$5:$D$2005,'Current Stock'!A1229)</f>
        <v>0</v>
      </c>
      <c r="H1229" s="4">
        <f>SUMIFS(PENJUALAN!$E$4:$E$11000,PENJUALAN!$C$4:$C$11000,'Current Stock'!A1229)</f>
        <v>0</v>
      </c>
      <c r="I1229" s="16">
        <f t="shared" si="2"/>
        <v>0</v>
      </c>
      <c r="J1229" s="4"/>
      <c r="K1229" s="4"/>
      <c r="L1229" s="4"/>
      <c r="M1229" s="4"/>
    </row>
    <row r="1230" ht="13.5" customHeight="1">
      <c r="A1230" s="4" t="str">
        <f t="shared" si="1"/>
        <v>LFW-W166RS2XYG</v>
      </c>
      <c r="B1230" s="29" t="s">
        <v>1661</v>
      </c>
      <c r="C1230" s="30" t="s">
        <v>1662</v>
      </c>
      <c r="D1230" s="30" t="s">
        <v>22</v>
      </c>
      <c r="E1230" s="4" t="s">
        <v>16</v>
      </c>
      <c r="F1230" s="30" t="s">
        <v>23</v>
      </c>
      <c r="G1230" s="4">
        <f>SUMIFS(X!$F$5:$F$2005,X!$D$5:$D$2005,'Current Stock'!A1230)</f>
        <v>0</v>
      </c>
      <c r="H1230" s="4">
        <f>SUMIFS(PENJUALAN!$E$4:$E$11000,PENJUALAN!$C$4:$C$11000,'Current Stock'!A1230)</f>
        <v>0</v>
      </c>
      <c r="I1230" s="16">
        <f t="shared" si="2"/>
        <v>0</v>
      </c>
      <c r="J1230" s="4"/>
      <c r="K1230" s="4"/>
      <c r="L1230" s="4"/>
      <c r="M1230" s="4"/>
    </row>
    <row r="1231" ht="13.5" customHeight="1">
      <c r="A1231" s="4" t="str">
        <f t="shared" si="1"/>
        <v>LFW-W140XYG</v>
      </c>
      <c r="B1231" s="29" t="s">
        <v>810</v>
      </c>
      <c r="C1231" s="28" t="s">
        <v>811</v>
      </c>
      <c r="D1231" s="28" t="s">
        <v>22</v>
      </c>
      <c r="E1231" s="4" t="s">
        <v>16</v>
      </c>
      <c r="F1231" s="28" t="s">
        <v>97</v>
      </c>
      <c r="G1231" s="4">
        <f>SUMIFS(X!$F$5:$F$2005,X!$D$5:$D$2005,'Current Stock'!A1231)</f>
        <v>0</v>
      </c>
      <c r="H1231" s="4">
        <f>SUMIFS(PENJUALAN!$E$4:$E$11000,PENJUALAN!$C$4:$C$11000,'Current Stock'!A1231)</f>
        <v>0</v>
      </c>
      <c r="I1231" s="16">
        <f t="shared" si="2"/>
        <v>0</v>
      </c>
      <c r="J1231" s="4"/>
      <c r="K1231" s="4"/>
      <c r="L1231" s="4"/>
      <c r="M1231" s="4"/>
    </row>
    <row r="1232" ht="13.5" customHeight="1">
      <c r="A1232" s="4" t="str">
        <f t="shared" si="1"/>
        <v>LFW-W140RSXYG</v>
      </c>
      <c r="B1232" s="29" t="s">
        <v>1663</v>
      </c>
      <c r="C1232" s="28" t="s">
        <v>811</v>
      </c>
      <c r="D1232" s="28" t="s">
        <v>22</v>
      </c>
      <c r="E1232" s="4" t="s">
        <v>16</v>
      </c>
      <c r="F1232" s="28" t="s">
        <v>189</v>
      </c>
      <c r="G1232" s="4">
        <f>SUMIFS(X!$F$5:$F$2005,X!$D$5:$D$2005,'Current Stock'!A1232)</f>
        <v>0</v>
      </c>
      <c r="H1232" s="4">
        <f>SUMIFS(PENJUALAN!$E$4:$E$11000,PENJUALAN!$C$4:$C$11000,'Current Stock'!A1232)</f>
        <v>0</v>
      </c>
      <c r="I1232" s="16">
        <f t="shared" si="2"/>
        <v>0</v>
      </c>
      <c r="J1232" s="4"/>
      <c r="K1232" s="4"/>
      <c r="L1232" s="4"/>
      <c r="M1232" s="4"/>
    </row>
    <row r="1233" ht="13.5" customHeight="1">
      <c r="A1233" s="4" t="str">
        <f t="shared" si="1"/>
        <v>LRW-W140XYG</v>
      </c>
      <c r="B1233" s="29" t="s">
        <v>812</v>
      </c>
      <c r="C1233" s="28" t="s">
        <v>811</v>
      </c>
      <c r="D1233" s="28" t="s">
        <v>41</v>
      </c>
      <c r="E1233" s="4" t="s">
        <v>16</v>
      </c>
      <c r="F1233" s="28" t="s">
        <v>67</v>
      </c>
      <c r="G1233" s="4">
        <f>SUMIFS(X!$F$5:$F$2005,X!$D$5:$D$2005,'Current Stock'!A1233)</f>
        <v>0</v>
      </c>
      <c r="H1233" s="4">
        <f>SUMIFS(PENJUALAN!$E$4:$E$11000,PENJUALAN!$C$4:$C$11000,'Current Stock'!A1233)</f>
        <v>0</v>
      </c>
      <c r="I1233" s="16">
        <f t="shared" si="2"/>
        <v>0</v>
      </c>
      <c r="J1233" s="4"/>
      <c r="K1233" s="4"/>
      <c r="L1233" s="4"/>
      <c r="M1233" s="4"/>
    </row>
    <row r="1234" ht="13.5" customHeight="1">
      <c r="A1234" s="4" t="str">
        <f t="shared" si="1"/>
        <v>LFW-W220XYG</v>
      </c>
      <c r="B1234" s="29" t="s">
        <v>1664</v>
      </c>
      <c r="C1234" s="28" t="s">
        <v>1665</v>
      </c>
      <c r="D1234" s="28" t="s">
        <v>22</v>
      </c>
      <c r="E1234" s="4" t="s">
        <v>16</v>
      </c>
      <c r="F1234" s="28" t="s">
        <v>804</v>
      </c>
      <c r="G1234" s="4">
        <f>SUMIFS(X!$F$5:$F$2005,X!$D$5:$D$2005,'Current Stock'!A1234)</f>
        <v>0</v>
      </c>
      <c r="H1234" s="4">
        <f>SUMIFS(PENJUALAN!$E$4:$E$11000,PENJUALAN!$C$4:$C$11000,'Current Stock'!A1234)</f>
        <v>0</v>
      </c>
      <c r="I1234" s="16">
        <f t="shared" si="2"/>
        <v>0</v>
      </c>
      <c r="J1234" s="4"/>
      <c r="K1234" s="4"/>
      <c r="L1234" s="4"/>
      <c r="M1234" s="4"/>
    </row>
    <row r="1235" ht="13.5" customHeight="1">
      <c r="A1235" s="4" t="str">
        <f t="shared" si="1"/>
        <v>LFW-W221XYG</v>
      </c>
      <c r="B1235" s="29" t="s">
        <v>1666</v>
      </c>
      <c r="C1235" s="30" t="s">
        <v>1667</v>
      </c>
      <c r="D1235" s="30" t="s">
        <v>22</v>
      </c>
      <c r="E1235" s="4" t="s">
        <v>16</v>
      </c>
      <c r="F1235" s="34" t="s">
        <v>804</v>
      </c>
      <c r="G1235" s="4">
        <f>SUMIFS(X!$F$5:$F$2005,X!$D$5:$D$2005,'Current Stock'!A1235)</f>
        <v>0</v>
      </c>
      <c r="H1235" s="4">
        <f>SUMIFS(PENJUALAN!$E$4:$E$11000,PENJUALAN!$C$4:$C$11000,'Current Stock'!A1235)</f>
        <v>0</v>
      </c>
      <c r="I1235" s="16">
        <f t="shared" si="2"/>
        <v>0</v>
      </c>
      <c r="J1235" s="4"/>
      <c r="K1235" s="4"/>
      <c r="L1235" s="4"/>
      <c r="M1235" s="4"/>
    </row>
    <row r="1236" ht="13.5" customHeight="1">
      <c r="A1236" s="4" t="str">
        <f t="shared" si="1"/>
        <v>LFW-EVALIAXYG</v>
      </c>
      <c r="B1236" s="29" t="s">
        <v>919</v>
      </c>
      <c r="C1236" s="28" t="s">
        <v>920</v>
      </c>
      <c r="D1236" s="28" t="s">
        <v>22</v>
      </c>
      <c r="E1236" s="4" t="s">
        <v>16</v>
      </c>
      <c r="F1236" s="28" t="s">
        <v>97</v>
      </c>
      <c r="G1236" s="4">
        <f>SUMIFS(X!$F$5:$F$2005,X!$D$5:$D$2005,'Current Stock'!A1236)</f>
        <v>2</v>
      </c>
      <c r="H1236" s="4">
        <f>SUMIFS(PENJUALAN!$E$4:$E$11000,PENJUALAN!$C$4:$C$11000,'Current Stock'!A1236)</f>
        <v>1</v>
      </c>
      <c r="I1236" s="16">
        <f t="shared" si="2"/>
        <v>1</v>
      </c>
      <c r="J1236" s="15" t="s">
        <v>1544</v>
      </c>
      <c r="K1236" s="15"/>
      <c r="L1236" s="4"/>
      <c r="M1236" s="4"/>
    </row>
    <row r="1237" ht="13.5" customHeight="1">
      <c r="A1237" s="4" t="str">
        <f t="shared" si="1"/>
        <v>LFW-SLK171XYG</v>
      </c>
      <c r="B1237" s="29" t="s">
        <v>1668</v>
      </c>
      <c r="C1237" s="28" t="s">
        <v>1669</v>
      </c>
      <c r="D1237" s="28" t="s">
        <v>22</v>
      </c>
      <c r="E1237" s="4" t="s">
        <v>16</v>
      </c>
      <c r="F1237" s="28" t="s">
        <v>112</v>
      </c>
      <c r="G1237" s="4">
        <f>SUMIFS(X!$F$5:$F$2005,X!$D$5:$D$2005,'Current Stock'!A1237)</f>
        <v>0</v>
      </c>
      <c r="H1237" s="4">
        <f>SUMIFS(PENJUALAN!$E$4:$E$11000,PENJUALAN!$C$4:$C$11000,'Current Stock'!A1237)</f>
        <v>0</v>
      </c>
      <c r="I1237" s="16">
        <f t="shared" si="2"/>
        <v>0</v>
      </c>
      <c r="J1237" s="4"/>
      <c r="K1237" s="4"/>
      <c r="L1237" s="4"/>
      <c r="M1237" s="4"/>
    </row>
    <row r="1238" ht="13.5" customHeight="1">
      <c r="A1238" s="4" t="str">
        <f t="shared" si="1"/>
        <v>LFW-MARCHXYG</v>
      </c>
      <c r="B1238" s="29" t="s">
        <v>939</v>
      </c>
      <c r="C1238" s="28" t="s">
        <v>940</v>
      </c>
      <c r="D1238" s="28" t="s">
        <v>22</v>
      </c>
      <c r="E1238" s="4" t="s">
        <v>16</v>
      </c>
      <c r="F1238" s="28" t="s">
        <v>125</v>
      </c>
      <c r="G1238" s="4">
        <f>SUMIFS(X!$F$5:$F$2005,X!$D$5:$D$2005,'Current Stock'!A1238)</f>
        <v>5</v>
      </c>
      <c r="H1238" s="4">
        <f>SUMIFS(PENJUALAN!$E$4:$E$11000,PENJUALAN!$C$4:$C$11000,'Current Stock'!A1238)</f>
        <v>4</v>
      </c>
      <c r="I1238" s="16">
        <f t="shared" si="2"/>
        <v>1</v>
      </c>
      <c r="J1238" s="59" t="s">
        <v>1544</v>
      </c>
      <c r="K1238" s="59"/>
      <c r="L1238" s="4"/>
      <c r="M1238" s="4"/>
    </row>
    <row r="1239" ht="13.5" customHeight="1">
      <c r="A1239" s="4" t="str">
        <f t="shared" si="1"/>
        <v>LFW-MINIF55RS2XYG</v>
      </c>
      <c r="B1239" s="29" t="s">
        <v>1670</v>
      </c>
      <c r="C1239" s="28" t="s">
        <v>1671</v>
      </c>
      <c r="D1239" s="28" t="s">
        <v>22</v>
      </c>
      <c r="E1239" s="4" t="s">
        <v>16</v>
      </c>
      <c r="F1239" s="28" t="s">
        <v>23</v>
      </c>
      <c r="G1239" s="4">
        <f>SUMIFS(X!$F$5:$F$2005,X!$D$5:$D$2005,'Current Stock'!A1239)</f>
        <v>0</v>
      </c>
      <c r="H1239" s="4">
        <f>SUMIFS(PENJUALAN!$E$4:$E$11000,PENJUALAN!$C$4:$C$11000,'Current Stock'!A1239)</f>
        <v>0</v>
      </c>
      <c r="I1239" s="16">
        <f t="shared" si="2"/>
        <v>0</v>
      </c>
      <c r="J1239" s="4"/>
      <c r="K1239" s="4"/>
      <c r="L1239" s="4"/>
      <c r="M1239" s="4"/>
    </row>
    <row r="1240" ht="13.5" customHeight="1">
      <c r="A1240" s="4" t="str">
        <f t="shared" si="1"/>
        <v>LFW-DELICAXYG</v>
      </c>
      <c r="B1240" s="29" t="s">
        <v>815</v>
      </c>
      <c r="C1240" s="28" t="s">
        <v>816</v>
      </c>
      <c r="D1240" s="28" t="s">
        <v>22</v>
      </c>
      <c r="E1240" s="4" t="s">
        <v>16</v>
      </c>
      <c r="F1240" s="28" t="s">
        <v>125</v>
      </c>
      <c r="G1240" s="4">
        <f>SUMIFS(X!$F$5:$F$2005,X!$D$5:$D$2005,'Current Stock'!A1240)</f>
        <v>0</v>
      </c>
      <c r="H1240" s="4">
        <f>SUMIFS(PENJUALAN!$E$4:$E$11000,PENJUALAN!$C$4:$C$11000,'Current Stock'!A1240)</f>
        <v>0</v>
      </c>
      <c r="I1240" s="16">
        <f t="shared" si="2"/>
        <v>0</v>
      </c>
      <c r="J1240" s="4"/>
      <c r="K1240" s="4"/>
      <c r="L1240" s="4"/>
      <c r="M1240" s="4"/>
    </row>
    <row r="1241" ht="13.5" customHeight="1">
      <c r="A1241" s="4" t="str">
        <f t="shared" si="1"/>
        <v>TRW-DELICABENINGXYG</v>
      </c>
      <c r="B1241" s="29" t="s">
        <v>1672</v>
      </c>
      <c r="C1241" s="30" t="s">
        <v>816</v>
      </c>
      <c r="D1241" s="30" t="s">
        <v>41</v>
      </c>
      <c r="E1241" s="4" t="s">
        <v>16</v>
      </c>
      <c r="F1241" s="30" t="s">
        <v>67</v>
      </c>
      <c r="G1241" s="4">
        <f>SUMIFS(X!$F$5:$F$2005,X!$D$5:$D$2005,'Current Stock'!A1241)</f>
        <v>0</v>
      </c>
      <c r="H1241" s="4">
        <f>SUMIFS(PENJUALAN!$E$4:$E$11000,PENJUALAN!$C$4:$C$11000,'Current Stock'!A1241)</f>
        <v>0</v>
      </c>
      <c r="I1241" s="16">
        <f t="shared" si="2"/>
        <v>0</v>
      </c>
      <c r="J1241" s="4"/>
      <c r="K1241" s="4"/>
      <c r="L1241" s="4"/>
      <c r="M1241" s="4"/>
    </row>
    <row r="1242" ht="13.5" customHeight="1">
      <c r="A1242" s="4" t="str">
        <f t="shared" si="1"/>
        <v>TRW-DELICABLACKXYG</v>
      </c>
      <c r="B1242" s="29" t="s">
        <v>1673</v>
      </c>
      <c r="C1242" s="28" t="s">
        <v>1674</v>
      </c>
      <c r="D1242" s="28" t="s">
        <v>41</v>
      </c>
      <c r="E1242" s="4" t="s">
        <v>16</v>
      </c>
      <c r="F1242" s="28" t="s">
        <v>67</v>
      </c>
      <c r="G1242" s="4">
        <f>SUMIFS(X!$F$5:$F$2005,X!$D$5:$D$2005,'Current Stock'!A1242)</f>
        <v>0</v>
      </c>
      <c r="H1242" s="4">
        <f>SUMIFS(PENJUALAN!$E$4:$E$11000,PENJUALAN!$C$4:$C$11000,'Current Stock'!A1242)</f>
        <v>0</v>
      </c>
      <c r="I1242" s="16">
        <f t="shared" si="2"/>
        <v>0</v>
      </c>
      <c r="J1242" s="4"/>
      <c r="K1242" s="4"/>
      <c r="L1242" s="4"/>
      <c r="M1242" s="4"/>
    </row>
    <row r="1243" ht="13.5" customHeight="1">
      <c r="A1243" s="4" t="str">
        <f t="shared" si="1"/>
        <v>LFW-ETERNAXYG</v>
      </c>
      <c r="B1243" s="29" t="s">
        <v>1675</v>
      </c>
      <c r="C1243" s="30" t="s">
        <v>818</v>
      </c>
      <c r="D1243" s="30" t="s">
        <v>22</v>
      </c>
      <c r="E1243" s="4" t="s">
        <v>16</v>
      </c>
      <c r="F1243" s="34" t="s">
        <v>97</v>
      </c>
      <c r="G1243" s="4">
        <f>SUMIFS(X!$F$5:$F$2005,X!$D$5:$D$2005,'Current Stock'!A1243)</f>
        <v>0</v>
      </c>
      <c r="H1243" s="4">
        <f>SUMIFS(PENJUALAN!$E$4:$E$11000,PENJUALAN!$C$4:$C$11000,'Current Stock'!A1243)</f>
        <v>0</v>
      </c>
      <c r="I1243" s="16">
        <f t="shared" si="2"/>
        <v>0</v>
      </c>
      <c r="J1243" s="4"/>
      <c r="K1243" s="4"/>
      <c r="L1243" s="4"/>
      <c r="M1243" s="4"/>
    </row>
    <row r="1244" ht="13.5" customHeight="1">
      <c r="A1244" s="4" t="str">
        <f t="shared" si="1"/>
        <v>TRW-LELEXYG</v>
      </c>
      <c r="B1244" s="29" t="s">
        <v>821</v>
      </c>
      <c r="C1244" s="28" t="s">
        <v>822</v>
      </c>
      <c r="D1244" s="28" t="s">
        <v>41</v>
      </c>
      <c r="E1244" s="4" t="s">
        <v>16</v>
      </c>
      <c r="F1244" s="28" t="s">
        <v>67</v>
      </c>
      <c r="G1244" s="4">
        <f>SUMIFS(X!$F$5:$F$2005,X!$D$5:$D$2005,'Current Stock'!A1244)</f>
        <v>0</v>
      </c>
      <c r="H1244" s="4">
        <f>SUMIFS(PENJUALAN!$E$4:$E$11000,PENJUALAN!$C$4:$C$11000,'Current Stock'!A1244)</f>
        <v>0</v>
      </c>
      <c r="I1244" s="16">
        <f t="shared" si="2"/>
        <v>0</v>
      </c>
      <c r="J1244" s="4"/>
      <c r="K1244" s="4"/>
      <c r="L1244" s="4"/>
      <c r="M1244" s="4"/>
    </row>
    <row r="1245" ht="13.5" customHeight="1">
      <c r="A1245" s="4" t="str">
        <f t="shared" si="1"/>
        <v>RDR-LELEXYG</v>
      </c>
      <c r="B1245" s="29" t="s">
        <v>826</v>
      </c>
      <c r="C1245" s="28" t="s">
        <v>822</v>
      </c>
      <c r="D1245" s="28" t="s">
        <v>134</v>
      </c>
      <c r="E1245" s="4" t="s">
        <v>16</v>
      </c>
      <c r="F1245" s="28" t="s">
        <v>141</v>
      </c>
      <c r="G1245" s="4">
        <f>SUMIFS(X!$F$5:$F$2005,X!$D$5:$D$2005,'Current Stock'!A1245)</f>
        <v>0</v>
      </c>
      <c r="H1245" s="4">
        <f>SUMIFS(PENJUALAN!$E$4:$E$11000,PENJUALAN!$C$4:$C$11000,'Current Stock'!A1245)</f>
        <v>0</v>
      </c>
      <c r="I1245" s="16">
        <f t="shared" si="2"/>
        <v>0</v>
      </c>
      <c r="J1245" s="4"/>
      <c r="K1245" s="4"/>
      <c r="L1245" s="4"/>
      <c r="M1245" s="4"/>
    </row>
    <row r="1246" ht="13.5" customHeight="1">
      <c r="A1246" s="4" t="str">
        <f t="shared" si="1"/>
        <v>LFW-HIUXYG</v>
      </c>
      <c r="B1246" s="29" t="s">
        <v>827</v>
      </c>
      <c r="C1246" s="28" t="s">
        <v>828</v>
      </c>
      <c r="D1246" s="28" t="s">
        <v>22</v>
      </c>
      <c r="E1246" s="4" t="s">
        <v>16</v>
      </c>
      <c r="F1246" s="28" t="s">
        <v>125</v>
      </c>
      <c r="G1246" s="4">
        <f>SUMIFS(X!$F$5:$F$2005,X!$D$5:$D$2005,'Current Stock'!A1246)</f>
        <v>1</v>
      </c>
      <c r="H1246" s="4">
        <f>SUMIFS(PENJUALAN!$E$4:$E$11000,PENJUALAN!$C$4:$C$11000,'Current Stock'!A1246)</f>
        <v>1</v>
      </c>
      <c r="I1246" s="16">
        <f t="shared" si="2"/>
        <v>0</v>
      </c>
      <c r="J1246" s="15" t="s">
        <v>1676</v>
      </c>
      <c r="K1246" s="15"/>
      <c r="L1246" s="4"/>
      <c r="M1246" s="4"/>
    </row>
    <row r="1247" ht="13.5" customHeight="1">
      <c r="A1247" s="4" t="str">
        <f t="shared" si="1"/>
        <v>TRW-HIUXYG</v>
      </c>
      <c r="B1247" s="29" t="s">
        <v>1677</v>
      </c>
      <c r="C1247" s="28" t="s">
        <v>828</v>
      </c>
      <c r="D1247" s="28" t="s">
        <v>41</v>
      </c>
      <c r="E1247" s="4" t="s">
        <v>16</v>
      </c>
      <c r="F1247" s="28" t="s">
        <v>67</v>
      </c>
      <c r="G1247" s="4">
        <f>SUMIFS(X!$F$5:$F$2005,X!$D$5:$D$2005,'Current Stock'!A1247)</f>
        <v>0</v>
      </c>
      <c r="H1247" s="4">
        <f>SUMIFS(PENJUALAN!$E$4:$E$11000,PENJUALAN!$C$4:$C$11000,'Current Stock'!A1247)</f>
        <v>0</v>
      </c>
      <c r="I1247" s="16">
        <f t="shared" si="2"/>
        <v>0</v>
      </c>
      <c r="J1247" s="4"/>
      <c r="K1247" s="4"/>
      <c r="L1247" s="4"/>
      <c r="M1247" s="4"/>
    </row>
    <row r="1248" ht="13.5" customHeight="1">
      <c r="A1248" s="4" t="str">
        <f t="shared" si="1"/>
        <v>LFW-GRANDIS97XYG</v>
      </c>
      <c r="B1248" s="29" t="s">
        <v>1678</v>
      </c>
      <c r="C1248" s="30" t="s">
        <v>1679</v>
      </c>
      <c r="D1248" s="30" t="s">
        <v>22</v>
      </c>
      <c r="E1248" s="4" t="s">
        <v>16</v>
      </c>
      <c r="F1248" s="30" t="s">
        <v>125</v>
      </c>
      <c r="G1248" s="4">
        <f>SUMIFS(X!$F$5:$F$2005,X!$D$5:$D$2005,'Current Stock'!A1248)</f>
        <v>0</v>
      </c>
      <c r="H1248" s="4">
        <f>SUMIFS(PENJUALAN!$E$4:$E$11000,PENJUALAN!$C$4:$C$11000,'Current Stock'!A1248)</f>
        <v>0</v>
      </c>
      <c r="I1248" s="16">
        <f t="shared" si="2"/>
        <v>0</v>
      </c>
      <c r="J1248" s="4"/>
      <c r="K1248" s="4"/>
      <c r="L1248" s="4"/>
      <c r="M1248" s="4"/>
    </row>
    <row r="1249" ht="13.5" customHeight="1">
      <c r="A1249" s="4" t="str">
        <f t="shared" si="1"/>
        <v>TRW-GRANDIS97XYG</v>
      </c>
      <c r="B1249" s="29" t="s">
        <v>1680</v>
      </c>
      <c r="C1249" s="30" t="s">
        <v>1679</v>
      </c>
      <c r="D1249" s="30" t="s">
        <v>41</v>
      </c>
      <c r="E1249" s="4" t="s">
        <v>16</v>
      </c>
      <c r="F1249" s="30" t="s">
        <v>221</v>
      </c>
      <c r="G1249" s="4">
        <f>SUMIFS(X!$F$5:$F$2005,X!$D$5:$D$2005,'Current Stock'!A1249)</f>
        <v>0</v>
      </c>
      <c r="H1249" s="4">
        <f>SUMIFS(PENJUALAN!$E$4:$E$11000,PENJUALAN!$C$4:$C$11000,'Current Stock'!A1249)</f>
        <v>0</v>
      </c>
      <c r="I1249" s="16">
        <f t="shared" si="2"/>
        <v>0</v>
      </c>
      <c r="J1249" s="4"/>
      <c r="K1249" s="4"/>
      <c r="L1249" s="4"/>
      <c r="M1249" s="4"/>
    </row>
    <row r="1250" ht="13.5" customHeight="1">
      <c r="A1250" s="4" t="str">
        <f t="shared" si="1"/>
        <v>LFW-GRANDISXYG</v>
      </c>
      <c r="B1250" s="29" t="s">
        <v>837</v>
      </c>
      <c r="C1250" s="28" t="s">
        <v>838</v>
      </c>
      <c r="D1250" s="28" t="s">
        <v>22</v>
      </c>
      <c r="E1250" s="4" t="s">
        <v>16</v>
      </c>
      <c r="F1250" s="28" t="s">
        <v>125</v>
      </c>
      <c r="G1250" s="4">
        <f>SUMIFS(X!$F$5:$F$2005,X!$D$5:$D$2005,'Current Stock'!A1250)</f>
        <v>0</v>
      </c>
      <c r="H1250" s="4">
        <f>SUMIFS(PENJUALAN!$E$4:$E$11000,PENJUALAN!$C$4:$C$11000,'Current Stock'!A1250)</f>
        <v>0</v>
      </c>
      <c r="I1250" s="16">
        <f t="shared" si="2"/>
        <v>0</v>
      </c>
      <c r="J1250" s="4"/>
      <c r="K1250" s="4"/>
      <c r="L1250" s="4"/>
      <c r="M1250" s="4"/>
    </row>
    <row r="1251" ht="13.5" customHeight="1">
      <c r="A1251" s="4" t="str">
        <f t="shared" si="1"/>
        <v>TRW-GRANDISXYG</v>
      </c>
      <c r="B1251" s="29" t="s">
        <v>839</v>
      </c>
      <c r="C1251" s="28" t="s">
        <v>838</v>
      </c>
      <c r="D1251" s="28" t="s">
        <v>41</v>
      </c>
      <c r="E1251" s="4" t="s">
        <v>16</v>
      </c>
      <c r="F1251" s="28" t="s">
        <v>221</v>
      </c>
      <c r="G1251" s="4">
        <f>SUMIFS(X!$F$5:$F$2005,X!$D$5:$D$2005,'Current Stock'!A1251)</f>
        <v>0</v>
      </c>
      <c r="H1251" s="4">
        <f>SUMIFS(PENJUALAN!$E$4:$E$11000,PENJUALAN!$C$4:$C$11000,'Current Stock'!A1251)</f>
        <v>0</v>
      </c>
      <c r="I1251" s="16">
        <f t="shared" si="2"/>
        <v>0</v>
      </c>
      <c r="J1251" s="4"/>
      <c r="K1251" s="4"/>
      <c r="L1251" s="4"/>
      <c r="M1251" s="4"/>
    </row>
    <row r="1252" ht="13.5" customHeight="1">
      <c r="A1252" s="4" t="str">
        <f t="shared" si="1"/>
        <v>SWR-GRANDISXYG</v>
      </c>
      <c r="B1252" s="29" t="s">
        <v>845</v>
      </c>
      <c r="C1252" s="28" t="s">
        <v>838</v>
      </c>
      <c r="D1252" s="28" t="s">
        <v>236</v>
      </c>
      <c r="E1252" s="4" t="s">
        <v>16</v>
      </c>
      <c r="F1252" s="28" t="s">
        <v>97</v>
      </c>
      <c r="G1252" s="4">
        <f>SUMIFS(X!$F$5:$F$2005,X!$D$5:$D$2005,'Current Stock'!A1252)</f>
        <v>0</v>
      </c>
      <c r="H1252" s="4">
        <f>SUMIFS(PENJUALAN!$E$4:$E$11000,PENJUALAN!$C$4:$C$11000,'Current Stock'!A1252)</f>
        <v>0</v>
      </c>
      <c r="I1252" s="16">
        <f t="shared" si="2"/>
        <v>0</v>
      </c>
      <c r="J1252" s="4"/>
      <c r="K1252" s="4"/>
      <c r="L1252" s="4"/>
      <c r="M1252" s="4"/>
    </row>
    <row r="1253" ht="13.5" customHeight="1">
      <c r="A1253" s="4" t="str">
        <f t="shared" si="1"/>
        <v>LFW-L200SINGLEXYG</v>
      </c>
      <c r="B1253" s="29" t="s">
        <v>1681</v>
      </c>
      <c r="C1253" s="30" t="s">
        <v>1682</v>
      </c>
      <c r="D1253" s="30" t="s">
        <v>22</v>
      </c>
      <c r="E1253" s="4" t="s">
        <v>16</v>
      </c>
      <c r="F1253" s="34" t="s">
        <v>97</v>
      </c>
      <c r="G1253" s="4">
        <f>SUMIFS(X!$F$5:$F$2005,X!$D$5:$D$2005,'Current Stock'!A1253)</f>
        <v>0</v>
      </c>
      <c r="H1253" s="4">
        <f>SUMIFS(PENJUALAN!$E$4:$E$11000,PENJUALAN!$C$4:$C$11000,'Current Stock'!A1253)</f>
        <v>0</v>
      </c>
      <c r="I1253" s="16">
        <f t="shared" si="2"/>
        <v>0</v>
      </c>
      <c r="J1253" s="4"/>
      <c r="K1253" s="4"/>
      <c r="L1253" s="4"/>
      <c r="M1253" s="4"/>
    </row>
    <row r="1254" ht="13.5" customHeight="1">
      <c r="A1254" s="4" t="str">
        <f t="shared" si="1"/>
        <v>TRW-C24XYG</v>
      </c>
      <c r="B1254" s="29" t="s">
        <v>965</v>
      </c>
      <c r="C1254" s="28" t="s">
        <v>964</v>
      </c>
      <c r="D1254" s="28" t="s">
        <v>41</v>
      </c>
      <c r="E1254" s="4" t="s">
        <v>16</v>
      </c>
      <c r="F1254" s="28" t="s">
        <v>67</v>
      </c>
      <c r="G1254" s="4">
        <f>SUMIFS(X!$F$5:$F$2005,X!$D$5:$D$2005,'Current Stock'!A1254)</f>
        <v>1</v>
      </c>
      <c r="H1254" s="4">
        <f>SUMIFS(PENJUALAN!$E$4:$E$11000,PENJUALAN!$C$4:$C$11000,'Current Stock'!A1254)</f>
        <v>1</v>
      </c>
      <c r="I1254" s="16">
        <f t="shared" si="2"/>
        <v>0</v>
      </c>
      <c r="J1254" s="4"/>
      <c r="K1254" s="4"/>
      <c r="L1254" s="4"/>
      <c r="M1254" s="4"/>
    </row>
    <row r="1255" ht="13.5" customHeight="1">
      <c r="A1255" s="4" t="str">
        <f t="shared" si="1"/>
        <v>LFW-EVO3XYG</v>
      </c>
      <c r="B1255" s="29" t="s">
        <v>846</v>
      </c>
      <c r="C1255" s="28" t="s">
        <v>847</v>
      </c>
      <c r="D1255" s="28" t="s">
        <v>22</v>
      </c>
      <c r="E1255" s="4" t="s">
        <v>16</v>
      </c>
      <c r="F1255" s="28" t="s">
        <v>97</v>
      </c>
      <c r="G1255" s="4">
        <f>SUMIFS(X!$F$5:$F$2005,X!$D$5:$D$2005,'Current Stock'!A1255)</f>
        <v>0</v>
      </c>
      <c r="H1255" s="4">
        <f>SUMIFS(PENJUALAN!$E$4:$E$11000,PENJUALAN!$C$4:$C$11000,'Current Stock'!A1255)</f>
        <v>0</v>
      </c>
      <c r="I1255" s="16">
        <f t="shared" si="2"/>
        <v>0</v>
      </c>
      <c r="J1255" s="4"/>
      <c r="K1255" s="4"/>
      <c r="L1255" s="4"/>
      <c r="M1255" s="4"/>
    </row>
    <row r="1256" ht="13.5" customHeight="1">
      <c r="A1256" s="4" t="str">
        <f t="shared" si="1"/>
        <v>TRW-EVO3XYG</v>
      </c>
      <c r="B1256" s="29" t="s">
        <v>848</v>
      </c>
      <c r="C1256" s="28" t="s">
        <v>847</v>
      </c>
      <c r="D1256" s="28" t="s">
        <v>41</v>
      </c>
      <c r="E1256" s="4" t="s">
        <v>16</v>
      </c>
      <c r="F1256" s="28" t="s">
        <v>67</v>
      </c>
      <c r="G1256" s="4">
        <f>SUMIFS(X!$F$5:$F$2005,X!$D$5:$D$2005,'Current Stock'!A1256)</f>
        <v>0</v>
      </c>
      <c r="H1256" s="4">
        <f>SUMIFS(PENJUALAN!$E$4:$E$11000,PENJUALAN!$C$4:$C$11000,'Current Stock'!A1256)</f>
        <v>0</v>
      </c>
      <c r="I1256" s="16">
        <f t="shared" si="2"/>
        <v>0</v>
      </c>
      <c r="J1256" s="4"/>
      <c r="K1256" s="4"/>
      <c r="L1256" s="4"/>
      <c r="M1256" s="4"/>
    </row>
    <row r="1257" ht="13.5" customHeight="1">
      <c r="A1257" s="4" t="str">
        <f t="shared" si="1"/>
        <v>FDL-EVO3XYG</v>
      </c>
      <c r="B1257" s="29" t="s">
        <v>849</v>
      </c>
      <c r="C1257" s="28" t="s">
        <v>847</v>
      </c>
      <c r="D1257" s="28" t="s">
        <v>128</v>
      </c>
      <c r="E1257" s="4" t="s">
        <v>16</v>
      </c>
      <c r="F1257" s="28" t="s">
        <v>141</v>
      </c>
      <c r="G1257" s="4">
        <f>SUMIFS(X!$F$5:$F$2005,X!$D$5:$D$2005,'Current Stock'!A1257)</f>
        <v>0</v>
      </c>
      <c r="H1257" s="4">
        <f>SUMIFS(PENJUALAN!$E$4:$E$11000,PENJUALAN!$C$4:$C$11000,'Current Stock'!A1257)</f>
        <v>0</v>
      </c>
      <c r="I1257" s="16">
        <f t="shared" si="2"/>
        <v>0</v>
      </c>
      <c r="J1257" s="4"/>
      <c r="K1257" s="4"/>
      <c r="L1257" s="4"/>
      <c r="M1257" s="4"/>
    </row>
    <row r="1258" ht="13.5" customHeight="1">
      <c r="A1258" s="4" t="str">
        <f t="shared" si="1"/>
        <v>FDR-EVO3XYG</v>
      </c>
      <c r="B1258" s="29" t="s">
        <v>850</v>
      </c>
      <c r="C1258" s="28" t="s">
        <v>847</v>
      </c>
      <c r="D1258" s="28" t="s">
        <v>130</v>
      </c>
      <c r="E1258" s="4" t="s">
        <v>16</v>
      </c>
      <c r="F1258" s="28" t="s">
        <v>141</v>
      </c>
      <c r="G1258" s="4">
        <f>SUMIFS(X!$F$5:$F$2005,X!$D$5:$D$2005,'Current Stock'!A1258)</f>
        <v>0</v>
      </c>
      <c r="H1258" s="4">
        <f>SUMIFS(PENJUALAN!$E$4:$E$11000,PENJUALAN!$C$4:$C$11000,'Current Stock'!A1258)</f>
        <v>0</v>
      </c>
      <c r="I1258" s="16">
        <f t="shared" si="2"/>
        <v>0</v>
      </c>
      <c r="J1258" s="4"/>
      <c r="K1258" s="4"/>
      <c r="L1258" s="4"/>
      <c r="M1258" s="4"/>
    </row>
    <row r="1259" ht="13.5" customHeight="1">
      <c r="A1259" s="4" t="str">
        <f t="shared" si="1"/>
        <v>RDL-EVO3XYG</v>
      </c>
      <c r="B1259" s="29" t="s">
        <v>851</v>
      </c>
      <c r="C1259" s="28" t="s">
        <v>847</v>
      </c>
      <c r="D1259" s="28" t="s">
        <v>132</v>
      </c>
      <c r="E1259" s="4" t="s">
        <v>16</v>
      </c>
      <c r="F1259" s="28" t="s">
        <v>141</v>
      </c>
      <c r="G1259" s="4">
        <f>SUMIFS(X!$F$5:$F$2005,X!$D$5:$D$2005,'Current Stock'!A1259)</f>
        <v>0</v>
      </c>
      <c r="H1259" s="4">
        <f>SUMIFS(PENJUALAN!$E$4:$E$11000,PENJUALAN!$C$4:$C$11000,'Current Stock'!A1259)</f>
        <v>0</v>
      </c>
      <c r="I1259" s="16">
        <f t="shared" si="2"/>
        <v>0</v>
      </c>
      <c r="J1259" s="4"/>
      <c r="K1259" s="4"/>
      <c r="L1259" s="4"/>
      <c r="M1259" s="4"/>
    </row>
    <row r="1260" ht="13.5" customHeight="1">
      <c r="A1260" s="4" t="str">
        <f t="shared" si="1"/>
        <v>RDR-EVO3XYG</v>
      </c>
      <c r="B1260" s="29" t="s">
        <v>852</v>
      </c>
      <c r="C1260" s="28" t="s">
        <v>847</v>
      </c>
      <c r="D1260" s="28" t="s">
        <v>134</v>
      </c>
      <c r="E1260" s="4" t="s">
        <v>16</v>
      </c>
      <c r="F1260" s="28" t="s">
        <v>141</v>
      </c>
      <c r="G1260" s="4">
        <f>SUMIFS(X!$F$5:$F$2005,X!$D$5:$D$2005,'Current Stock'!A1260)</f>
        <v>0</v>
      </c>
      <c r="H1260" s="4">
        <f>SUMIFS(PENJUALAN!$E$4:$E$11000,PENJUALAN!$C$4:$C$11000,'Current Stock'!A1260)</f>
        <v>0</v>
      </c>
      <c r="I1260" s="16">
        <f t="shared" si="2"/>
        <v>0</v>
      </c>
      <c r="J1260" s="4"/>
      <c r="K1260" s="4"/>
      <c r="L1260" s="4"/>
      <c r="M1260" s="4"/>
    </row>
    <row r="1261" ht="13.5" customHeight="1">
      <c r="A1261" s="4" t="str">
        <f t="shared" si="1"/>
        <v>LFW-EVO4XYG</v>
      </c>
      <c r="B1261" s="29" t="s">
        <v>855</v>
      </c>
      <c r="C1261" s="28" t="s">
        <v>856</v>
      </c>
      <c r="D1261" s="28" t="s">
        <v>22</v>
      </c>
      <c r="E1261" s="4" t="s">
        <v>16</v>
      </c>
      <c r="F1261" s="28" t="s">
        <v>125</v>
      </c>
      <c r="G1261" s="4">
        <f>SUMIFS(X!$F$5:$F$2005,X!$D$5:$D$2005,'Current Stock'!A1261)</f>
        <v>0</v>
      </c>
      <c r="H1261" s="4">
        <f>SUMIFS(PENJUALAN!$E$4:$E$11000,PENJUALAN!$C$4:$C$11000,'Current Stock'!A1261)</f>
        <v>0</v>
      </c>
      <c r="I1261" s="16">
        <f t="shared" si="2"/>
        <v>0</v>
      </c>
      <c r="J1261" s="4"/>
      <c r="K1261" s="4"/>
      <c r="L1261" s="4"/>
      <c r="M1261" s="4"/>
    </row>
    <row r="1262" ht="13.5" customHeight="1">
      <c r="A1262" s="4" t="str">
        <f t="shared" si="1"/>
        <v>LFW-EVO5XYG</v>
      </c>
      <c r="B1262" s="29" t="s">
        <v>860</v>
      </c>
      <c r="C1262" s="28" t="s">
        <v>861</v>
      </c>
      <c r="D1262" s="28" t="s">
        <v>22</v>
      </c>
      <c r="E1262" s="4" t="s">
        <v>16</v>
      </c>
      <c r="F1262" s="28" t="s">
        <v>125</v>
      </c>
      <c r="G1262" s="4">
        <f>SUMIFS(X!$F$5:$F$2005,X!$D$5:$D$2005,'Current Stock'!A1262)</f>
        <v>0</v>
      </c>
      <c r="H1262" s="4">
        <f>SUMIFS(PENJUALAN!$E$4:$E$11000,PENJUALAN!$C$4:$C$11000,'Current Stock'!A1262)</f>
        <v>0</v>
      </c>
      <c r="I1262" s="16">
        <f t="shared" si="2"/>
        <v>0</v>
      </c>
      <c r="J1262" s="4"/>
      <c r="K1262" s="4"/>
      <c r="L1262" s="4"/>
      <c r="M1262" s="4"/>
    </row>
    <row r="1263" ht="13.5" customHeight="1">
      <c r="A1263" s="4" t="str">
        <f t="shared" si="1"/>
        <v>TRW-EVO5XYG</v>
      </c>
      <c r="B1263" s="29" t="s">
        <v>862</v>
      </c>
      <c r="C1263" s="28" t="s">
        <v>861</v>
      </c>
      <c r="D1263" s="28" t="s">
        <v>41</v>
      </c>
      <c r="E1263" s="4" t="s">
        <v>16</v>
      </c>
      <c r="F1263" s="28" t="s">
        <v>67</v>
      </c>
      <c r="G1263" s="4">
        <f>SUMIFS(X!$F$5:$F$2005,X!$D$5:$D$2005,'Current Stock'!A1263)</f>
        <v>0</v>
      </c>
      <c r="H1263" s="4">
        <f>SUMIFS(PENJUALAN!$E$4:$E$11000,PENJUALAN!$C$4:$C$11000,'Current Stock'!A1263)</f>
        <v>0</v>
      </c>
      <c r="I1263" s="16">
        <f t="shared" si="2"/>
        <v>0</v>
      </c>
      <c r="J1263" s="4"/>
      <c r="K1263" s="4"/>
      <c r="L1263" s="4"/>
      <c r="M1263" s="4"/>
    </row>
    <row r="1264" ht="13.5" customHeight="1">
      <c r="A1264" s="4" t="str">
        <f t="shared" si="1"/>
        <v>FDR-EVO5XYG</v>
      </c>
      <c r="B1264" s="29" t="s">
        <v>864</v>
      </c>
      <c r="C1264" s="28" t="s">
        <v>861</v>
      </c>
      <c r="D1264" s="28" t="s">
        <v>130</v>
      </c>
      <c r="E1264" s="4" t="s">
        <v>16</v>
      </c>
      <c r="F1264" s="28" t="s">
        <v>397</v>
      </c>
      <c r="G1264" s="4">
        <f>SUMIFS(X!$F$5:$F$2005,X!$D$5:$D$2005,'Current Stock'!A1264)</f>
        <v>0</v>
      </c>
      <c r="H1264" s="4">
        <f>SUMIFS(PENJUALAN!$E$4:$E$11000,PENJUALAN!$C$4:$C$11000,'Current Stock'!A1264)</f>
        <v>0</v>
      </c>
      <c r="I1264" s="16">
        <f t="shared" si="2"/>
        <v>0</v>
      </c>
      <c r="J1264" s="4"/>
      <c r="K1264" s="4"/>
      <c r="L1264" s="4"/>
      <c r="M1264" s="4"/>
    </row>
    <row r="1265" ht="13.5" customHeight="1">
      <c r="A1265" s="4" t="str">
        <f t="shared" si="1"/>
        <v>LFW-EVO10XYG</v>
      </c>
      <c r="B1265" s="29" t="s">
        <v>867</v>
      </c>
      <c r="C1265" s="28" t="s">
        <v>868</v>
      </c>
      <c r="D1265" s="28" t="s">
        <v>22</v>
      </c>
      <c r="E1265" s="4" t="s">
        <v>16</v>
      </c>
      <c r="F1265" s="28" t="s">
        <v>125</v>
      </c>
      <c r="G1265" s="4">
        <f>SUMIFS(X!$F$5:$F$2005,X!$D$5:$D$2005,'Current Stock'!A1265)</f>
        <v>0</v>
      </c>
      <c r="H1265" s="4">
        <f>SUMIFS(PENJUALAN!$E$4:$E$11000,PENJUALAN!$C$4:$C$11000,'Current Stock'!A1265)</f>
        <v>0</v>
      </c>
      <c r="I1265" s="16">
        <f t="shared" si="2"/>
        <v>0</v>
      </c>
      <c r="J1265" s="4"/>
      <c r="K1265" s="4"/>
      <c r="L1265" s="4"/>
      <c r="M1265" s="4"/>
    </row>
    <row r="1266" ht="13.5" customHeight="1">
      <c r="A1266" s="4" t="str">
        <f t="shared" si="1"/>
        <v>TRW-EVO10XYG</v>
      </c>
      <c r="B1266" s="29" t="s">
        <v>870</v>
      </c>
      <c r="C1266" s="28" t="s">
        <v>868</v>
      </c>
      <c r="D1266" s="28" t="s">
        <v>41</v>
      </c>
      <c r="E1266" s="4" t="s">
        <v>16</v>
      </c>
      <c r="F1266" s="28" t="s">
        <v>67</v>
      </c>
      <c r="G1266" s="4">
        <f>SUMIFS(X!$F$5:$F$2005,X!$D$5:$D$2005,'Current Stock'!A1266)</f>
        <v>0</v>
      </c>
      <c r="H1266" s="4">
        <f>SUMIFS(PENJUALAN!$E$4:$E$11000,PENJUALAN!$C$4:$C$11000,'Current Stock'!A1266)</f>
        <v>0</v>
      </c>
      <c r="I1266" s="16">
        <f t="shared" si="2"/>
        <v>0</v>
      </c>
      <c r="J1266" s="4"/>
      <c r="K1266" s="4"/>
      <c r="L1266" s="4"/>
      <c r="M1266" s="4"/>
    </row>
    <row r="1267" ht="13.5" customHeight="1">
      <c r="A1267" s="4" t="str">
        <f t="shared" si="1"/>
        <v>LFW-MIRAGEXYG</v>
      </c>
      <c r="B1267" s="29" t="s">
        <v>875</v>
      </c>
      <c r="C1267" s="28" t="s">
        <v>876</v>
      </c>
      <c r="D1267" s="28" t="s">
        <v>22</v>
      </c>
      <c r="E1267" s="4" t="s">
        <v>16</v>
      </c>
      <c r="F1267" s="28" t="s">
        <v>125</v>
      </c>
      <c r="G1267" s="4">
        <f>SUMIFS(X!$F$5:$F$2005,X!$D$5:$D$2005,'Current Stock'!A1267)</f>
        <v>1</v>
      </c>
      <c r="H1267" s="4">
        <f>SUMIFS(PENJUALAN!$E$4:$E$11000,PENJUALAN!$C$4:$C$11000,'Current Stock'!A1267)</f>
        <v>1</v>
      </c>
      <c r="I1267" s="16">
        <f t="shared" si="2"/>
        <v>0</v>
      </c>
      <c r="J1267" s="15" t="s">
        <v>1683</v>
      </c>
      <c r="K1267" s="4"/>
      <c r="L1267" s="4"/>
      <c r="M1267" s="4"/>
    </row>
    <row r="1268" ht="13.5" customHeight="1">
      <c r="A1268" s="4" t="str">
        <f t="shared" si="1"/>
        <v>LFW-TEANAXYG</v>
      </c>
      <c r="B1268" s="29" t="s">
        <v>1684</v>
      </c>
      <c r="C1268" s="28" t="s">
        <v>1685</v>
      </c>
      <c r="D1268" s="28" t="s">
        <v>22</v>
      </c>
      <c r="E1268" s="4" t="s">
        <v>16</v>
      </c>
      <c r="F1268" s="28"/>
      <c r="G1268" s="4">
        <f>SUMIFS(X!$F$5:$F$2005,X!$D$5:$D$2005,'Current Stock'!A1268)</f>
        <v>1</v>
      </c>
      <c r="H1268" s="4">
        <f>SUMIFS(PENJUALAN!$E$4:$E$11000,PENJUALAN!$C$4:$C$11000,'Current Stock'!A1268)</f>
        <v>1</v>
      </c>
      <c r="I1268" s="16">
        <f t="shared" si="2"/>
        <v>0</v>
      </c>
      <c r="J1268" s="4"/>
      <c r="K1268" s="4"/>
      <c r="L1268" s="4"/>
      <c r="M1268" s="4"/>
    </row>
    <row r="1269" ht="13.5" customHeight="1">
      <c r="A1269" s="4" t="str">
        <f t="shared" si="1"/>
        <v>LFW-OUTLANDERXYG</v>
      </c>
      <c r="B1269" s="29" t="s">
        <v>878</v>
      </c>
      <c r="C1269" s="28" t="s">
        <v>879</v>
      </c>
      <c r="D1269" s="28" t="s">
        <v>22</v>
      </c>
      <c r="E1269" s="4" t="s">
        <v>16</v>
      </c>
      <c r="F1269" s="28" t="s">
        <v>125</v>
      </c>
      <c r="G1269" s="4">
        <f>SUMIFS(X!$F$5:$F$2005,X!$D$5:$D$2005,'Current Stock'!A1269)</f>
        <v>1</v>
      </c>
      <c r="H1269" s="4">
        <f>SUMIFS(PENJUALAN!$E$4:$E$11000,PENJUALAN!$C$4:$C$11000,'Current Stock'!A1269)</f>
        <v>1</v>
      </c>
      <c r="I1269" s="16">
        <f t="shared" si="2"/>
        <v>0</v>
      </c>
      <c r="J1269" s="15" t="s">
        <v>1683</v>
      </c>
      <c r="K1269" s="4"/>
      <c r="L1269" s="4"/>
      <c r="M1269" s="4"/>
    </row>
    <row r="1270" ht="13.5" customHeight="1">
      <c r="A1270" s="4" t="str">
        <f t="shared" si="1"/>
        <v>TRW-OUTLANDERXYG</v>
      </c>
      <c r="B1270" s="29" t="s">
        <v>880</v>
      </c>
      <c r="C1270" s="28" t="s">
        <v>879</v>
      </c>
      <c r="D1270" s="28" t="s">
        <v>41</v>
      </c>
      <c r="E1270" s="4" t="s">
        <v>16</v>
      </c>
      <c r="F1270" s="28" t="s">
        <v>221</v>
      </c>
      <c r="G1270" s="4">
        <f>SUMIFS(X!$F$5:$F$2005,X!$D$5:$D$2005,'Current Stock'!A1270)</f>
        <v>1</v>
      </c>
      <c r="H1270" s="4">
        <f>SUMIFS(PENJUALAN!$E$4:$E$11000,PENJUALAN!$C$4:$C$11000,'Current Stock'!A1270)</f>
        <v>0</v>
      </c>
      <c r="I1270" s="16">
        <f t="shared" si="2"/>
        <v>1</v>
      </c>
      <c r="J1270" s="15" t="s">
        <v>1456</v>
      </c>
      <c r="K1270" s="4"/>
      <c r="L1270" s="4"/>
      <c r="M1270" s="4"/>
    </row>
    <row r="1271" ht="13.5" customHeight="1">
      <c r="A1271" s="4" t="str">
        <f t="shared" si="1"/>
        <v>LFW-PAJEROV40XYG</v>
      </c>
      <c r="B1271" s="41" t="s">
        <v>1686</v>
      </c>
      <c r="C1271" s="28" t="s">
        <v>1687</v>
      </c>
      <c r="D1271" s="30" t="s">
        <v>22</v>
      </c>
      <c r="E1271" s="4" t="s">
        <v>16</v>
      </c>
      <c r="F1271" s="28" t="s">
        <v>97</v>
      </c>
      <c r="G1271" s="4">
        <f>SUMIFS(X!$F$5:$F$2005,X!$D$5:$D$2005,'Current Stock'!A1271)</f>
        <v>0</v>
      </c>
      <c r="H1271" s="4">
        <f>SUMIFS(PENJUALAN!$E$4:$E$11000,PENJUALAN!$C$4:$C$11000,'Current Stock'!A1271)</f>
        <v>0</v>
      </c>
      <c r="I1271" s="16">
        <f t="shared" si="2"/>
        <v>0</v>
      </c>
      <c r="J1271" s="4"/>
      <c r="K1271" s="4"/>
      <c r="L1271" s="4"/>
      <c r="M1271" s="4"/>
    </row>
    <row r="1272" ht="13.5" customHeight="1">
      <c r="A1272" s="4" t="str">
        <f t="shared" si="1"/>
        <v>LFW-PAJEROV70XYG</v>
      </c>
      <c r="B1272" s="29" t="s">
        <v>1688</v>
      </c>
      <c r="C1272" s="28" t="s">
        <v>1689</v>
      </c>
      <c r="D1272" s="28" t="s">
        <v>22</v>
      </c>
      <c r="E1272" s="4" t="s">
        <v>16</v>
      </c>
      <c r="F1272" s="28" t="s">
        <v>125</v>
      </c>
      <c r="G1272" s="4">
        <f>SUMIFS(X!$F$5:$F$2005,X!$D$5:$D$2005,'Current Stock'!A1272)</f>
        <v>1</v>
      </c>
      <c r="H1272" s="4">
        <f>SUMIFS(PENJUALAN!$E$4:$E$11000,PENJUALAN!$C$4:$C$11000,'Current Stock'!A1272)</f>
        <v>1</v>
      </c>
      <c r="I1272" s="16">
        <f t="shared" si="2"/>
        <v>0</v>
      </c>
      <c r="J1272" s="4"/>
      <c r="K1272" s="4"/>
      <c r="L1272" s="4"/>
      <c r="M1272" s="4"/>
    </row>
    <row r="1273" ht="13.5" customHeight="1">
      <c r="A1273" s="4" t="str">
        <f t="shared" si="1"/>
        <v>LFW-PAJEROV8090XYG</v>
      </c>
      <c r="B1273" s="41" t="s">
        <v>1690</v>
      </c>
      <c r="C1273" s="30" t="s">
        <v>1691</v>
      </c>
      <c r="D1273" s="30" t="s">
        <v>22</v>
      </c>
      <c r="E1273" s="4" t="s">
        <v>16</v>
      </c>
      <c r="F1273" s="28" t="s">
        <v>125</v>
      </c>
      <c r="G1273" s="4">
        <f>SUMIFS(X!$F$5:$F$2005,X!$D$5:$D$2005,'Current Stock'!A1273)</f>
        <v>0</v>
      </c>
      <c r="H1273" s="4">
        <f>SUMIFS(PENJUALAN!$E$4:$E$11000,PENJUALAN!$C$4:$C$11000,'Current Stock'!A1273)</f>
        <v>0</v>
      </c>
      <c r="I1273" s="16">
        <f t="shared" si="2"/>
        <v>0</v>
      </c>
      <c r="J1273" s="4"/>
      <c r="K1273" s="4"/>
      <c r="L1273" s="4"/>
      <c r="M1273" s="4"/>
    </row>
    <row r="1274" ht="13.5" customHeight="1">
      <c r="A1274" s="4" t="str">
        <f t="shared" si="1"/>
        <v>LFW-PAJERO08XYG</v>
      </c>
      <c r="B1274" s="29" t="s">
        <v>881</v>
      </c>
      <c r="C1274" s="28" t="s">
        <v>882</v>
      </c>
      <c r="D1274" s="28" t="s">
        <v>22</v>
      </c>
      <c r="E1274" s="4" t="s">
        <v>16</v>
      </c>
      <c r="F1274" s="28" t="s">
        <v>125</v>
      </c>
      <c r="G1274" s="4">
        <f>SUMIFS(X!$F$5:$F$2005,X!$D$5:$D$2005,'Current Stock'!A1274)</f>
        <v>3</v>
      </c>
      <c r="H1274" s="4">
        <f>SUMIFS(PENJUALAN!$E$4:$E$11000,PENJUALAN!$C$4:$C$11000,'Current Stock'!A1274)</f>
        <v>1</v>
      </c>
      <c r="I1274" s="16">
        <f t="shared" si="2"/>
        <v>2</v>
      </c>
      <c r="J1274" s="15" t="s">
        <v>1692</v>
      </c>
      <c r="K1274" s="4"/>
      <c r="L1274" s="4"/>
      <c r="M1274" s="4"/>
    </row>
    <row r="1275" ht="13.5" customHeight="1">
      <c r="A1275" s="4" t="str">
        <f t="shared" si="1"/>
        <v>TRW-YARIS17XYG</v>
      </c>
      <c r="B1275" s="29" t="s">
        <v>1693</v>
      </c>
      <c r="C1275" s="28" t="s">
        <v>1694</v>
      </c>
      <c r="D1275" s="28" t="s">
        <v>41</v>
      </c>
      <c r="E1275" s="4" t="s">
        <v>16</v>
      </c>
      <c r="F1275" s="28" t="s">
        <v>67</v>
      </c>
      <c r="G1275" s="4">
        <f>SUMIFS(X!$F$5:$F$2005,X!$D$5:$D$2005,'Current Stock'!A1275)</f>
        <v>3</v>
      </c>
      <c r="H1275" s="4">
        <f>SUMIFS(PENJUALAN!$E$4:$E$11000,PENJUALAN!$C$4:$C$11000,'Current Stock'!A1275)</f>
        <v>2</v>
      </c>
      <c r="I1275" s="16">
        <f t="shared" si="2"/>
        <v>1</v>
      </c>
      <c r="J1275" s="15" t="s">
        <v>1695</v>
      </c>
      <c r="K1275" s="15"/>
      <c r="L1275" s="4"/>
      <c r="M1275" s="4"/>
    </row>
    <row r="1276" ht="13.5" customHeight="1">
      <c r="A1276" s="4" t="str">
        <f t="shared" si="1"/>
        <v>SWL-PAJERO08XYG</v>
      </c>
      <c r="B1276" s="29" t="s">
        <v>1492</v>
      </c>
      <c r="C1276" s="28" t="s">
        <v>882</v>
      </c>
      <c r="D1276" s="30" t="s">
        <v>202</v>
      </c>
      <c r="E1276" s="4" t="s">
        <v>16</v>
      </c>
      <c r="F1276" s="28"/>
      <c r="G1276" s="4">
        <f>SUMIFS(X!$F$5:$F$2005,X!$D$5:$D$2005,'Current Stock'!A1276)</f>
        <v>0</v>
      </c>
      <c r="H1276" s="4">
        <f>SUMIFS(PENJUALAN!$E$4:$E$11000,PENJUALAN!$C$4:$C$11000,'Current Stock'!A1276)</f>
        <v>0</v>
      </c>
      <c r="I1276" s="16">
        <f t="shared" si="2"/>
        <v>0</v>
      </c>
      <c r="J1276" s="4"/>
      <c r="K1276" s="4"/>
      <c r="L1276" s="4"/>
      <c r="M1276" s="4"/>
    </row>
    <row r="1277" ht="13.5" customHeight="1">
      <c r="A1277" s="4" t="str">
        <f t="shared" si="1"/>
        <v>SWR-PAJERO08XYG</v>
      </c>
      <c r="B1277" s="29" t="s">
        <v>1490</v>
      </c>
      <c r="C1277" s="28" t="s">
        <v>882</v>
      </c>
      <c r="D1277" s="30" t="s">
        <v>236</v>
      </c>
      <c r="E1277" s="4" t="s">
        <v>16</v>
      </c>
      <c r="F1277" s="28"/>
      <c r="G1277" s="4">
        <f>SUMIFS(X!$F$5:$F$2005,X!$D$5:$D$2005,'Current Stock'!A1277)</f>
        <v>0</v>
      </c>
      <c r="H1277" s="4">
        <f>SUMIFS(PENJUALAN!$E$4:$E$11000,PENJUALAN!$C$4:$C$11000,'Current Stock'!A1277)</f>
        <v>0</v>
      </c>
      <c r="I1277" s="16">
        <f t="shared" si="2"/>
        <v>0</v>
      </c>
      <c r="J1277" s="4"/>
      <c r="K1277" s="4"/>
      <c r="L1277" s="4"/>
      <c r="M1277" s="4"/>
    </row>
    <row r="1278" ht="13.5" customHeight="1">
      <c r="A1278" s="4" t="str">
        <f t="shared" si="1"/>
        <v>LFW-PAJERO16XYG</v>
      </c>
      <c r="B1278" s="29" t="s">
        <v>884</v>
      </c>
      <c r="C1278" s="28" t="s">
        <v>830</v>
      </c>
      <c r="D1278" s="28" t="s">
        <v>22</v>
      </c>
      <c r="E1278" s="4" t="s">
        <v>16</v>
      </c>
      <c r="F1278" s="28" t="s">
        <v>125</v>
      </c>
      <c r="G1278" s="4">
        <f>SUMIFS(X!$F$5:$F$2005,X!$D$5:$D$2005,'Current Stock'!A1278)</f>
        <v>5</v>
      </c>
      <c r="H1278" s="4">
        <f>SUMIFS(PENJUALAN!$E$4:$E$11000,PENJUALAN!$C$4:$C$11000,'Current Stock'!A1278)</f>
        <v>0</v>
      </c>
      <c r="I1278" s="16">
        <f t="shared" si="2"/>
        <v>5</v>
      </c>
      <c r="J1278" s="6" t="s">
        <v>1692</v>
      </c>
      <c r="K1278" s="4"/>
      <c r="L1278" s="4"/>
      <c r="M1278" s="4"/>
    </row>
    <row r="1279" ht="13.5" customHeight="1">
      <c r="A1279" s="4" t="str">
        <f t="shared" si="1"/>
        <v>LFW-CIVIC05PIL</v>
      </c>
      <c r="B1279" s="15" t="s">
        <v>393</v>
      </c>
      <c r="C1279" s="15" t="s">
        <v>394</v>
      </c>
      <c r="D1279" s="18" t="str">
        <f>LEFT(A1279,FIND("-",A1279) - 1)</f>
        <v>LFW</v>
      </c>
      <c r="E1279" s="15" t="s">
        <v>74</v>
      </c>
      <c r="F1279" s="15" t="s">
        <v>79</v>
      </c>
      <c r="G1279" s="4">
        <f>SUMIFS(X!$F$5:$F$2005,X!$D$5:$D$2005,'Current Stock'!A1279)</f>
        <v>6</v>
      </c>
      <c r="H1279" s="4">
        <f>SUMIFS(PENJUALAN!$E$4:$E$11000,PENJUALAN!$C$4:$C$11000,'Current Stock'!A1279)</f>
        <v>4</v>
      </c>
      <c r="I1279" s="16">
        <f t="shared" si="2"/>
        <v>2</v>
      </c>
      <c r="J1279" s="15" t="s">
        <v>1442</v>
      </c>
      <c r="K1279" s="15"/>
      <c r="L1279" s="18"/>
      <c r="M1279" s="18"/>
    </row>
    <row r="1280" ht="13.5" customHeight="1">
      <c r="A1280" s="4" t="str">
        <f t="shared" si="1"/>
        <v>LFW-PAJERO16RS1XYG</v>
      </c>
      <c r="B1280" s="29" t="s">
        <v>1696</v>
      </c>
      <c r="C1280" s="28" t="s">
        <v>1697</v>
      </c>
      <c r="D1280" s="28" t="s">
        <v>22</v>
      </c>
      <c r="E1280" s="4" t="s">
        <v>16</v>
      </c>
      <c r="F1280" s="28" t="s">
        <v>75</v>
      </c>
      <c r="G1280" s="4">
        <f>SUMIFS(X!$F$5:$F$2005,X!$D$5:$D$2005,'Current Stock'!A1280)</f>
        <v>0</v>
      </c>
      <c r="H1280" s="4">
        <f>SUMIFS(PENJUALAN!$E$4:$E$11000,PENJUALAN!$C$4:$C$11000,'Current Stock'!A1280)</f>
        <v>0</v>
      </c>
      <c r="I1280" s="16">
        <f t="shared" si="2"/>
        <v>0</v>
      </c>
      <c r="J1280" s="4"/>
      <c r="K1280" s="4"/>
      <c r="L1280" s="4"/>
      <c r="M1280" s="4"/>
    </row>
    <row r="1281" ht="13.5" customHeight="1">
      <c r="A1281" s="4" t="str">
        <f t="shared" si="1"/>
        <v>LFW-PAJERO16RS2XYG</v>
      </c>
      <c r="B1281" s="29" t="s">
        <v>1698</v>
      </c>
      <c r="C1281" s="28" t="s">
        <v>1699</v>
      </c>
      <c r="D1281" s="28" t="s">
        <v>22</v>
      </c>
      <c r="E1281" s="4" t="s">
        <v>16</v>
      </c>
      <c r="F1281" s="28" t="s">
        <v>1700</v>
      </c>
      <c r="G1281" s="4">
        <f>SUMIFS(X!$F$5:$F$2005,X!$D$5:$D$2005,'Current Stock'!A1281)</f>
        <v>0</v>
      </c>
      <c r="H1281" s="4">
        <f>SUMIFS(PENJUALAN!$E$4:$E$11000,PENJUALAN!$C$4:$C$11000,'Current Stock'!A1281)</f>
        <v>0</v>
      </c>
      <c r="I1281" s="16">
        <f t="shared" si="2"/>
        <v>0</v>
      </c>
      <c r="J1281" s="4"/>
      <c r="K1281" s="4"/>
      <c r="L1281" s="4"/>
      <c r="M1281" s="4"/>
    </row>
    <row r="1282" ht="13.5" customHeight="1">
      <c r="A1282" s="4" t="str">
        <f t="shared" si="1"/>
        <v>LFW-TRITON05XYG</v>
      </c>
      <c r="B1282" s="29" t="s">
        <v>886</v>
      </c>
      <c r="C1282" s="28" t="s">
        <v>887</v>
      </c>
      <c r="D1282" s="28" t="s">
        <v>22</v>
      </c>
      <c r="E1282" s="4" t="s">
        <v>16</v>
      </c>
      <c r="F1282" s="28" t="s">
        <v>125</v>
      </c>
      <c r="G1282" s="4">
        <f>SUMIFS(X!$F$5:$F$2005,X!$D$5:$D$2005,'Current Stock'!A1282)</f>
        <v>0</v>
      </c>
      <c r="H1282" s="4">
        <f>SUMIFS(PENJUALAN!$E$4:$E$11000,PENJUALAN!$C$4:$C$11000,'Current Stock'!A1282)</f>
        <v>0</v>
      </c>
      <c r="I1282" s="16">
        <f t="shared" si="2"/>
        <v>0</v>
      </c>
      <c r="J1282" s="4"/>
      <c r="K1282" s="4"/>
      <c r="L1282" s="4"/>
      <c r="M1282" s="4"/>
    </row>
    <row r="1283" ht="13.5" customHeight="1">
      <c r="A1283" s="20" t="str">
        <f t="shared" si="1"/>
        <v>FDL-CARRYASH</v>
      </c>
      <c r="B1283" s="22" t="s">
        <v>1701</v>
      </c>
      <c r="C1283" s="22" t="s">
        <v>1702</v>
      </c>
      <c r="D1283" s="22" t="s">
        <v>93</v>
      </c>
      <c r="E1283" s="22" t="s">
        <v>82</v>
      </c>
      <c r="F1283" s="25"/>
      <c r="G1283" s="4">
        <f>SUMIFS(X!$F$5:$F$2005,X!$D$5:$D$2005,'Current Stock'!A1283)</f>
        <v>5</v>
      </c>
      <c r="H1283" s="4">
        <f>SUMIFS(PENJUALAN!$E$4:$E$11000,PENJUALAN!$C$4:$C$11000,'Current Stock'!A1283)</f>
        <v>4</v>
      </c>
      <c r="I1283" s="16">
        <f t="shared" si="2"/>
        <v>1</v>
      </c>
      <c r="J1283" s="22" t="s">
        <v>1391</v>
      </c>
      <c r="K1283" s="25"/>
      <c r="L1283" s="25"/>
      <c r="M1283" s="25"/>
    </row>
    <row r="1284" ht="13.5" customHeight="1">
      <c r="A1284" s="4" t="str">
        <f t="shared" si="1"/>
        <v>LFW-TRITON14XYG</v>
      </c>
      <c r="B1284" s="29" t="s">
        <v>889</v>
      </c>
      <c r="C1284" s="28" t="s">
        <v>890</v>
      </c>
      <c r="D1284" s="28" t="s">
        <v>22</v>
      </c>
      <c r="E1284" s="4" t="s">
        <v>16</v>
      </c>
      <c r="F1284" s="28" t="s">
        <v>125</v>
      </c>
      <c r="G1284" s="4">
        <f>SUMIFS(X!$F$5:$F$2005,X!$D$5:$D$2005,'Current Stock'!A1284)</f>
        <v>0</v>
      </c>
      <c r="H1284" s="4">
        <f>SUMIFS(PENJUALAN!$E$4:$E$11000,PENJUALAN!$C$4:$C$11000,'Current Stock'!A1284)</f>
        <v>0</v>
      </c>
      <c r="I1284" s="16">
        <f t="shared" si="2"/>
        <v>0</v>
      </c>
      <c r="J1284" s="4"/>
      <c r="K1284" s="4"/>
      <c r="L1284" s="4"/>
      <c r="M1284" s="4"/>
    </row>
    <row r="1285" ht="13.5" customHeight="1">
      <c r="A1285" s="4" t="str">
        <f t="shared" si="1"/>
        <v>LFW-PALISADE23RSXYG</v>
      </c>
      <c r="B1285" s="15" t="s">
        <v>1703</v>
      </c>
      <c r="C1285" s="15" t="s">
        <v>1704</v>
      </c>
      <c r="D1285" s="15" t="s">
        <v>22</v>
      </c>
      <c r="E1285" s="15" t="s">
        <v>16</v>
      </c>
      <c r="F1285" s="15" t="s">
        <v>75</v>
      </c>
      <c r="G1285" s="4">
        <f>SUMIFS(X!$F$5:$F$2005,X!$D$5:$D$2005,'Current Stock'!A1285)</f>
        <v>2</v>
      </c>
      <c r="H1285" s="4">
        <f>SUMIFS(PENJUALAN!$E$4:$E$11000,PENJUALAN!$C$4:$C$11000,'Current Stock'!A1285)</f>
        <v>2</v>
      </c>
      <c r="I1285" s="16">
        <f t="shared" si="2"/>
        <v>0</v>
      </c>
      <c r="J1285" s="15" t="s">
        <v>1365</v>
      </c>
      <c r="K1285" s="18"/>
      <c r="L1285" s="18"/>
      <c r="M1285" s="18"/>
    </row>
    <row r="1286" ht="13.5" customHeight="1">
      <c r="A1286" s="4" t="str">
        <f t="shared" si="1"/>
        <v>TRW-TRITON14XYG</v>
      </c>
      <c r="B1286" s="29" t="s">
        <v>1705</v>
      </c>
      <c r="C1286" s="28" t="s">
        <v>890</v>
      </c>
      <c r="D1286" s="28" t="s">
        <v>41</v>
      </c>
      <c r="E1286" s="4" t="s">
        <v>16</v>
      </c>
      <c r="F1286" s="28" t="s">
        <v>97</v>
      </c>
      <c r="G1286" s="4">
        <f>SUMIFS(X!$F$5:$F$2005,X!$D$5:$D$2005,'Current Stock'!A1286)</f>
        <v>2</v>
      </c>
      <c r="H1286" s="4">
        <f>SUMIFS(PENJUALAN!$E$4:$E$11000,PENJUALAN!$C$4:$C$11000,'Current Stock'!A1286)</f>
        <v>0</v>
      </c>
      <c r="I1286" s="16">
        <f t="shared" si="2"/>
        <v>2</v>
      </c>
      <c r="J1286" s="4"/>
      <c r="K1286" s="4"/>
      <c r="L1286" s="4"/>
      <c r="M1286" s="4"/>
    </row>
    <row r="1287" ht="13.5" customHeight="1">
      <c r="A1287" s="4" t="str">
        <f t="shared" si="1"/>
        <v>RDL-TRITON14XYG</v>
      </c>
      <c r="B1287" s="29" t="s">
        <v>892</v>
      </c>
      <c r="C1287" s="28" t="s">
        <v>890</v>
      </c>
      <c r="D1287" s="28" t="s">
        <v>132</v>
      </c>
      <c r="E1287" s="4" t="s">
        <v>16</v>
      </c>
      <c r="F1287" s="28" t="s">
        <v>397</v>
      </c>
      <c r="G1287" s="4">
        <f>SUMIFS(X!$F$5:$F$2005,X!$D$5:$D$2005,'Current Stock'!A1287)</f>
        <v>0</v>
      </c>
      <c r="H1287" s="4">
        <f>SUMIFS(PENJUALAN!$E$4:$E$11000,PENJUALAN!$C$4:$C$11000,'Current Stock'!A1287)</f>
        <v>0</v>
      </c>
      <c r="I1287" s="16">
        <f t="shared" si="2"/>
        <v>0</v>
      </c>
      <c r="J1287" s="4"/>
      <c r="K1287" s="4"/>
      <c r="L1287" s="4"/>
      <c r="M1287" s="4"/>
    </row>
    <row r="1288" ht="13.5" customHeight="1">
      <c r="A1288" s="4" t="str">
        <f t="shared" si="1"/>
        <v>RDR-TRITON14XYG</v>
      </c>
      <c r="B1288" s="29" t="s">
        <v>893</v>
      </c>
      <c r="C1288" s="28" t="s">
        <v>890</v>
      </c>
      <c r="D1288" s="28" t="s">
        <v>134</v>
      </c>
      <c r="E1288" s="4" t="s">
        <v>16</v>
      </c>
      <c r="F1288" s="28" t="s">
        <v>397</v>
      </c>
      <c r="G1288" s="4">
        <f>SUMIFS(X!$F$5:$F$2005,X!$D$5:$D$2005,'Current Stock'!A1288)</f>
        <v>0</v>
      </c>
      <c r="H1288" s="4">
        <f>SUMIFS(PENJUALAN!$E$4:$E$11000,PENJUALAN!$C$4:$C$11000,'Current Stock'!A1288)</f>
        <v>0</v>
      </c>
      <c r="I1288" s="16">
        <f t="shared" si="2"/>
        <v>0</v>
      </c>
      <c r="J1288" s="4"/>
      <c r="K1288" s="4"/>
      <c r="L1288" s="4"/>
      <c r="M1288" s="4"/>
    </row>
    <row r="1289" ht="13.5" customHeight="1">
      <c r="A1289" s="4" t="str">
        <f t="shared" si="1"/>
        <v>LFW-XPANDERXYG</v>
      </c>
      <c r="B1289" s="29" t="s">
        <v>1467</v>
      </c>
      <c r="C1289" s="28" t="s">
        <v>1706</v>
      </c>
      <c r="D1289" s="28" t="s">
        <v>22</v>
      </c>
      <c r="E1289" s="4" t="s">
        <v>16</v>
      </c>
      <c r="F1289" s="28" t="s">
        <v>125</v>
      </c>
      <c r="G1289" s="4">
        <f>SUMIFS(X!$F$5:$F$2005,X!$D$5:$D$2005,'Current Stock'!A1289)</f>
        <v>5</v>
      </c>
      <c r="H1289" s="4">
        <f>SUMIFS(PENJUALAN!$E$4:$E$11000,PENJUALAN!$C$4:$C$11000,'Current Stock'!A1289)</f>
        <v>5</v>
      </c>
      <c r="I1289" s="16">
        <f t="shared" si="2"/>
        <v>0</v>
      </c>
      <c r="J1289" s="15" t="s">
        <v>1707</v>
      </c>
      <c r="K1289" s="4"/>
      <c r="L1289" s="4"/>
      <c r="M1289" s="4"/>
    </row>
    <row r="1290" ht="13.5" customHeight="1">
      <c r="A1290" s="4" t="str">
        <f t="shared" si="1"/>
        <v>TRW-XPANDERHXYG</v>
      </c>
      <c r="B1290" s="31" t="s">
        <v>1708</v>
      </c>
      <c r="C1290" s="33" t="s">
        <v>1628</v>
      </c>
      <c r="D1290" s="28" t="s">
        <v>41</v>
      </c>
      <c r="E1290" s="4" t="s">
        <v>16</v>
      </c>
      <c r="F1290" s="33" t="s">
        <v>1377</v>
      </c>
      <c r="G1290" s="4">
        <f>SUMIFS(X!$F$5:$F$2005,X!$D$5:$D$2005,'Current Stock'!A1290)</f>
        <v>9</v>
      </c>
      <c r="H1290" s="4">
        <f>SUMIFS(PENJUALAN!$E$4:$E$11000,PENJUALAN!$C$4:$C$11000,'Current Stock'!A1290)</f>
        <v>6</v>
      </c>
      <c r="I1290" s="16">
        <f t="shared" si="2"/>
        <v>3</v>
      </c>
      <c r="J1290" s="15" t="s">
        <v>1366</v>
      </c>
      <c r="K1290" s="15"/>
      <c r="L1290" s="5"/>
      <c r="M1290" s="4"/>
    </row>
    <row r="1291" ht="13.5" customHeight="1">
      <c r="A1291" s="4" t="str">
        <f t="shared" si="1"/>
        <v>LFW-ALMERAXYG</v>
      </c>
      <c r="B1291" s="29" t="s">
        <v>1709</v>
      </c>
      <c r="C1291" s="28" t="s">
        <v>1710</v>
      </c>
      <c r="D1291" s="28" t="s">
        <v>22</v>
      </c>
      <c r="E1291" s="4" t="s">
        <v>16</v>
      </c>
      <c r="F1291" s="28" t="s">
        <v>125</v>
      </c>
      <c r="G1291" s="4">
        <f>SUMIFS(X!$F$5:$F$2005,X!$D$5:$D$2005,'Current Stock'!A1291)</f>
        <v>0</v>
      </c>
      <c r="H1291" s="4">
        <f>SUMIFS(PENJUALAN!$E$4:$E$11000,PENJUALAN!$C$4:$C$11000,'Current Stock'!A1291)</f>
        <v>0</v>
      </c>
      <c r="I1291" s="16">
        <f t="shared" si="2"/>
        <v>0</v>
      </c>
      <c r="J1291" s="4"/>
      <c r="K1291" s="4"/>
      <c r="L1291" s="4"/>
      <c r="M1291" s="4"/>
    </row>
    <row r="1292" ht="13.5" customHeight="1">
      <c r="A1292" s="4" t="str">
        <f t="shared" si="1"/>
        <v>LFW-ELGRAND02XYG</v>
      </c>
      <c r="B1292" s="29" t="s">
        <v>898</v>
      </c>
      <c r="C1292" s="28" t="s">
        <v>899</v>
      </c>
      <c r="D1292" s="28" t="s">
        <v>22</v>
      </c>
      <c r="E1292" s="4" t="s">
        <v>16</v>
      </c>
      <c r="F1292" s="28" t="s">
        <v>97</v>
      </c>
      <c r="G1292" s="4">
        <f>SUMIFS(X!$F$5:$F$2005,X!$D$5:$D$2005,'Current Stock'!A1292)</f>
        <v>0</v>
      </c>
      <c r="H1292" s="4">
        <f>SUMIFS(PENJUALAN!$E$4:$E$11000,PENJUALAN!$C$4:$C$11000,'Current Stock'!A1292)</f>
        <v>0</v>
      </c>
      <c r="I1292" s="16">
        <f t="shared" si="2"/>
        <v>0</v>
      </c>
      <c r="J1292" s="4"/>
      <c r="K1292" s="4"/>
      <c r="L1292" s="4"/>
      <c r="M1292" s="4"/>
    </row>
    <row r="1293" ht="13.5" customHeight="1">
      <c r="A1293" s="4" t="str">
        <f t="shared" si="1"/>
        <v>TRW-ELGRAND02XYG</v>
      </c>
      <c r="B1293" s="29" t="s">
        <v>900</v>
      </c>
      <c r="C1293" s="28" t="s">
        <v>899</v>
      </c>
      <c r="D1293" s="28" t="s">
        <v>41</v>
      </c>
      <c r="E1293" s="4" t="s">
        <v>16</v>
      </c>
      <c r="F1293" s="28" t="s">
        <v>67</v>
      </c>
      <c r="G1293" s="4">
        <f>SUMIFS(X!$F$5:$F$2005,X!$D$5:$D$2005,'Current Stock'!A1293)</f>
        <v>1</v>
      </c>
      <c r="H1293" s="4">
        <f>SUMIFS(PENJUALAN!$E$4:$E$11000,PENJUALAN!$C$4:$C$11000,'Current Stock'!A1293)</f>
        <v>1</v>
      </c>
      <c r="I1293" s="16">
        <f t="shared" si="2"/>
        <v>0</v>
      </c>
      <c r="J1293" s="4"/>
      <c r="K1293" s="4"/>
      <c r="L1293" s="4"/>
      <c r="M1293" s="4"/>
    </row>
    <row r="1294" ht="13.5" customHeight="1">
      <c r="A1294" s="4" t="str">
        <f t="shared" si="1"/>
        <v>TRW-T30FR</v>
      </c>
      <c r="B1294" s="15" t="s">
        <v>984</v>
      </c>
      <c r="C1294" s="15" t="s">
        <v>983</v>
      </c>
      <c r="D1294" s="15" t="s">
        <v>41</v>
      </c>
      <c r="E1294" s="15" t="s">
        <v>1449</v>
      </c>
      <c r="F1294" s="15" t="s">
        <v>1377</v>
      </c>
      <c r="G1294" s="4">
        <f>SUMIFS(X!$F$5:$F$2005,X!$D$5:$D$2005,'Current Stock'!A1294)</f>
        <v>3</v>
      </c>
      <c r="H1294" s="4">
        <f>SUMIFS(PENJUALAN!$E$4:$E$11000,PENJUALAN!$C$4:$C$11000,'Current Stock'!A1294)</f>
        <v>3</v>
      </c>
      <c r="I1294" s="16">
        <f t="shared" si="2"/>
        <v>0</v>
      </c>
      <c r="J1294" s="15" t="s">
        <v>1711</v>
      </c>
      <c r="K1294" s="15"/>
      <c r="L1294" s="18"/>
      <c r="M1294" s="15"/>
    </row>
    <row r="1295" ht="13.5" customHeight="1">
      <c r="A1295" s="20" t="str">
        <f t="shared" si="1"/>
        <v>RDR-RUSH17ASH</v>
      </c>
      <c r="B1295" s="24" t="s">
        <v>1712</v>
      </c>
      <c r="C1295" s="22" t="s">
        <v>1713</v>
      </c>
      <c r="D1295" s="25" t="str">
        <f>LEFT(A1295,FIND("-",A1295) - 1)</f>
        <v>RDR</v>
      </c>
      <c r="E1295" s="22" t="s">
        <v>82</v>
      </c>
      <c r="F1295" s="25"/>
      <c r="G1295" s="4">
        <f>SUMIFS(X!$F$5:$F$2005,X!$D$5:$D$2005,'Current Stock'!A1295)</f>
        <v>3</v>
      </c>
      <c r="H1295" s="4">
        <f>SUMIFS(PENJUALAN!$E$4:$E$11000,PENJUALAN!$C$4:$C$11000,'Current Stock'!A1295)</f>
        <v>2</v>
      </c>
      <c r="I1295" s="16">
        <f t="shared" si="2"/>
        <v>1</v>
      </c>
      <c r="J1295" s="22" t="s">
        <v>1431</v>
      </c>
      <c r="K1295" s="22"/>
      <c r="L1295" s="25"/>
      <c r="M1295" s="25"/>
    </row>
    <row r="1296" ht="13.5" customHeight="1">
      <c r="A1296" s="4" t="str">
        <f t="shared" si="1"/>
        <v>LFW-NAVARA04XYG</v>
      </c>
      <c r="B1296" s="29" t="s">
        <v>924</v>
      </c>
      <c r="C1296" s="28" t="s">
        <v>925</v>
      </c>
      <c r="D1296" s="28" t="s">
        <v>22</v>
      </c>
      <c r="E1296" s="4" t="s">
        <v>16</v>
      </c>
      <c r="F1296" s="28" t="s">
        <v>125</v>
      </c>
      <c r="G1296" s="4">
        <f>SUMIFS(X!$F$5:$F$2005,X!$D$5:$D$2005,'Current Stock'!A1296)</f>
        <v>0</v>
      </c>
      <c r="H1296" s="4">
        <f>SUMIFS(PENJUALAN!$E$4:$E$11000,PENJUALAN!$C$4:$C$11000,'Current Stock'!A1296)</f>
        <v>0</v>
      </c>
      <c r="I1296" s="16">
        <f t="shared" si="2"/>
        <v>0</v>
      </c>
      <c r="J1296" s="4"/>
      <c r="K1296" s="4"/>
      <c r="L1296" s="4"/>
      <c r="M1296" s="4"/>
    </row>
    <row r="1297" ht="13.5" customHeight="1">
      <c r="A1297" s="4" t="str">
        <f t="shared" si="1"/>
        <v>LFW-JUKEFR</v>
      </c>
      <c r="B1297" s="15" t="s">
        <v>927</v>
      </c>
      <c r="C1297" s="15" t="s">
        <v>928</v>
      </c>
      <c r="D1297" s="15" t="s">
        <v>22</v>
      </c>
      <c r="E1297" s="15" t="s">
        <v>1449</v>
      </c>
      <c r="F1297" s="15" t="s">
        <v>125</v>
      </c>
      <c r="G1297" s="4">
        <f>SUMIFS(X!$F$5:$F$2005,X!$D$5:$D$2005,'Current Stock'!A1297)</f>
        <v>1</v>
      </c>
      <c r="H1297" s="4">
        <f>SUMIFS(PENJUALAN!$E$4:$E$11000,PENJUALAN!$C$4:$C$11000,'Current Stock'!A1297)</f>
        <v>1</v>
      </c>
      <c r="I1297" s="16">
        <f t="shared" si="2"/>
        <v>0</v>
      </c>
      <c r="J1297" s="15" t="s">
        <v>1544</v>
      </c>
      <c r="K1297" s="15"/>
      <c r="L1297" s="18"/>
      <c r="M1297" s="18"/>
    </row>
    <row r="1298" ht="13.5" customHeight="1">
      <c r="A1298" s="4" t="str">
        <f t="shared" si="1"/>
        <v>LFW-JUKEXYG</v>
      </c>
      <c r="B1298" s="29" t="s">
        <v>927</v>
      </c>
      <c r="C1298" s="28" t="s">
        <v>928</v>
      </c>
      <c r="D1298" s="28" t="s">
        <v>22</v>
      </c>
      <c r="E1298" s="4" t="s">
        <v>16</v>
      </c>
      <c r="F1298" s="28" t="s">
        <v>125</v>
      </c>
      <c r="G1298" s="4">
        <f>SUMIFS(X!$F$5:$F$2005,X!$D$5:$D$2005,'Current Stock'!A1298)</f>
        <v>2</v>
      </c>
      <c r="H1298" s="4">
        <f>SUMIFS(PENJUALAN!$E$4:$E$11000,PENJUALAN!$C$4:$C$11000,'Current Stock'!A1298)</f>
        <v>2</v>
      </c>
      <c r="I1298" s="16">
        <f t="shared" si="2"/>
        <v>0</v>
      </c>
      <c r="J1298" s="15" t="s">
        <v>1714</v>
      </c>
      <c r="K1298" s="15"/>
      <c r="L1298" s="4"/>
      <c r="M1298" s="4"/>
    </row>
    <row r="1299" ht="13.5" customHeight="1">
      <c r="A1299" s="4" t="str">
        <f t="shared" si="1"/>
        <v>TRW-JUKEXYG</v>
      </c>
      <c r="B1299" s="29" t="s">
        <v>929</v>
      </c>
      <c r="C1299" s="28" t="s">
        <v>928</v>
      </c>
      <c r="D1299" s="28" t="s">
        <v>41</v>
      </c>
      <c r="E1299" s="4" t="s">
        <v>16</v>
      </c>
      <c r="F1299" s="28" t="s">
        <v>221</v>
      </c>
      <c r="G1299" s="4">
        <f>SUMIFS(X!$F$5:$F$2005,X!$D$5:$D$2005,'Current Stock'!A1299)</f>
        <v>2</v>
      </c>
      <c r="H1299" s="4">
        <f>SUMIFS(PENJUALAN!$E$4:$E$11000,PENJUALAN!$C$4:$C$11000,'Current Stock'!A1299)</f>
        <v>1</v>
      </c>
      <c r="I1299" s="16">
        <f t="shared" si="2"/>
        <v>1</v>
      </c>
      <c r="J1299" s="15" t="s">
        <v>1419</v>
      </c>
      <c r="K1299" s="4"/>
      <c r="L1299" s="4"/>
      <c r="M1299" s="4"/>
    </row>
    <row r="1300" ht="13.5" customHeight="1">
      <c r="A1300" s="4" t="str">
        <f t="shared" si="1"/>
        <v>LFW-LIVINA07XYG</v>
      </c>
      <c r="B1300" s="29" t="s">
        <v>934</v>
      </c>
      <c r="C1300" s="28" t="s">
        <v>935</v>
      </c>
      <c r="D1300" s="28" t="s">
        <v>22</v>
      </c>
      <c r="E1300" s="4" t="s">
        <v>16</v>
      </c>
      <c r="F1300" s="28" t="s">
        <v>1715</v>
      </c>
      <c r="G1300" s="4">
        <f>SUMIFS(X!$F$5:$F$2005,X!$D$5:$D$2005,'Current Stock'!A1300)</f>
        <v>13</v>
      </c>
      <c r="H1300" s="4">
        <f>SUMIFS(PENJUALAN!$E$4:$E$11000,PENJUALAN!$C$4:$C$11000,'Current Stock'!A1300)</f>
        <v>11</v>
      </c>
      <c r="I1300" s="16">
        <f t="shared" si="2"/>
        <v>2</v>
      </c>
      <c r="J1300" s="15" t="s">
        <v>1716</v>
      </c>
      <c r="K1300" s="15"/>
      <c r="L1300" s="5">
        <v>1.0</v>
      </c>
      <c r="M1300" s="4"/>
    </row>
    <row r="1301" ht="13.5" customHeight="1">
      <c r="A1301" s="4" t="str">
        <f t="shared" si="1"/>
        <v>TRW-LIVINA07XYG</v>
      </c>
      <c r="B1301" s="29" t="s">
        <v>936</v>
      </c>
      <c r="C1301" s="28" t="s">
        <v>937</v>
      </c>
      <c r="D1301" s="28" t="s">
        <v>41</v>
      </c>
      <c r="E1301" s="4" t="s">
        <v>16</v>
      </c>
      <c r="F1301" s="28" t="s">
        <v>67</v>
      </c>
      <c r="G1301" s="4">
        <f>SUMIFS(X!$F$5:$F$2005,X!$D$5:$D$2005,'Current Stock'!A1301)</f>
        <v>11</v>
      </c>
      <c r="H1301" s="4">
        <f>SUMIFS(PENJUALAN!$E$4:$E$11000,PENJUALAN!$C$4:$C$11000,'Current Stock'!A1301)</f>
        <v>10</v>
      </c>
      <c r="I1301" s="16">
        <f t="shared" si="2"/>
        <v>1</v>
      </c>
      <c r="J1301" s="15" t="s">
        <v>101</v>
      </c>
      <c r="K1301" s="15"/>
      <c r="L1301" s="5">
        <v>2.0</v>
      </c>
      <c r="M1301" s="15"/>
    </row>
    <row r="1302" ht="13.5" customHeight="1">
      <c r="A1302" s="4" t="str">
        <f t="shared" si="1"/>
        <v>SWR-LIVINA07LONGXYG</v>
      </c>
      <c r="B1302" s="31" t="s">
        <v>1717</v>
      </c>
      <c r="C1302" s="33" t="s">
        <v>1718</v>
      </c>
      <c r="D1302" s="33" t="s">
        <v>104</v>
      </c>
      <c r="E1302" s="15" t="s">
        <v>16</v>
      </c>
      <c r="F1302" s="33" t="s">
        <v>97</v>
      </c>
      <c r="G1302" s="4">
        <f>SUMIFS(X!$F$5:$F$2005,X!$D$5:$D$2005,'Current Stock'!A1302)</f>
        <v>1</v>
      </c>
      <c r="H1302" s="4">
        <f>SUMIFS(PENJUALAN!$E$4:$E$11000,PENJUALAN!$C$4:$C$11000,'Current Stock'!A1302)</f>
        <v>1</v>
      </c>
      <c r="I1302" s="16">
        <f t="shared" si="2"/>
        <v>0</v>
      </c>
      <c r="J1302" s="15"/>
      <c r="K1302" s="15"/>
      <c r="L1302" s="5"/>
      <c r="M1302" s="15"/>
    </row>
    <row r="1303" ht="13.5" customHeight="1">
      <c r="A1303" s="4" t="str">
        <f t="shared" si="1"/>
        <v>SWR-LIVINA07LONGXYG</v>
      </c>
      <c r="B1303" s="31" t="s">
        <v>1717</v>
      </c>
      <c r="C1303" s="33" t="s">
        <v>1718</v>
      </c>
      <c r="D1303" s="33" t="s">
        <v>1434</v>
      </c>
      <c r="E1303" s="15" t="s">
        <v>16</v>
      </c>
      <c r="F1303" s="33" t="s">
        <v>97</v>
      </c>
      <c r="G1303" s="4">
        <f>SUMIFS(X!$F$5:$F$2005,X!$D$5:$D$2005,'Current Stock'!A1303)</f>
        <v>1</v>
      </c>
      <c r="H1303" s="4">
        <f>SUMIFS(PENJUALAN!$E$4:$E$11000,PENJUALAN!$C$4:$C$11000,'Current Stock'!A1303)</f>
        <v>1</v>
      </c>
      <c r="I1303" s="16">
        <f t="shared" si="2"/>
        <v>0</v>
      </c>
      <c r="J1303" s="15"/>
      <c r="K1303" s="15"/>
      <c r="L1303" s="5"/>
      <c r="M1303" s="15"/>
    </row>
    <row r="1304" ht="13.5" customHeight="1">
      <c r="A1304" s="4" t="str">
        <f t="shared" si="1"/>
        <v>FDR-DATSUNASH</v>
      </c>
      <c r="B1304" s="29" t="s">
        <v>1719</v>
      </c>
      <c r="C1304" s="28" t="s">
        <v>895</v>
      </c>
      <c r="D1304" s="28" t="s">
        <v>45</v>
      </c>
      <c r="E1304" s="4" t="s">
        <v>82</v>
      </c>
      <c r="F1304" s="18"/>
      <c r="G1304" s="4">
        <f>SUMIFS(X!$F$5:$F$2005,X!$D$5:$D$2005,'Current Stock'!A1304)</f>
        <v>1</v>
      </c>
      <c r="H1304" s="4">
        <f>SUMIFS(PENJUALAN!$E$4:$E$11000,PENJUALAN!$C$4:$C$11000,'Current Stock'!A1304)</f>
        <v>1</v>
      </c>
      <c r="I1304" s="16">
        <f t="shared" si="2"/>
        <v>0</v>
      </c>
      <c r="J1304" s="15" t="s">
        <v>1720</v>
      </c>
      <c r="K1304" s="15"/>
      <c r="L1304" s="18"/>
      <c r="M1304" s="18"/>
    </row>
    <row r="1305" ht="13.5" customHeight="1">
      <c r="A1305" s="4" t="str">
        <f t="shared" si="1"/>
        <v>LFW-CAREN99MU</v>
      </c>
      <c r="B1305" s="29" t="s">
        <v>579</v>
      </c>
      <c r="C1305" s="30" t="s">
        <v>580</v>
      </c>
      <c r="D1305" s="30" t="s">
        <v>22</v>
      </c>
      <c r="E1305" s="4" t="s">
        <v>1361</v>
      </c>
      <c r="F1305" s="28" t="s">
        <v>1721</v>
      </c>
      <c r="G1305" s="4">
        <f>SUMIFS(X!$F$5:$F$2005,X!$D$5:$D$2005,'Current Stock'!A1305)</f>
        <v>5</v>
      </c>
      <c r="H1305" s="4">
        <f>SUMIFS(PENJUALAN!$E$4:$E$11000,PENJUALAN!$C$4:$C$11000,'Current Stock'!A1305)</f>
        <v>5</v>
      </c>
      <c r="I1305" s="16">
        <f t="shared" si="2"/>
        <v>0</v>
      </c>
      <c r="J1305" s="56" t="s">
        <v>1722</v>
      </c>
      <c r="K1305" s="56"/>
      <c r="L1305" s="5">
        <v>1.0</v>
      </c>
      <c r="M1305" s="4"/>
    </row>
    <row r="1306" ht="13.5" customHeight="1">
      <c r="A1306" s="4" t="str">
        <f t="shared" si="1"/>
        <v>TRW-MARCHXYG</v>
      </c>
      <c r="B1306" s="29" t="s">
        <v>941</v>
      </c>
      <c r="C1306" s="28" t="s">
        <v>940</v>
      </c>
      <c r="D1306" s="28" t="s">
        <v>41</v>
      </c>
      <c r="E1306" s="4" t="s">
        <v>16</v>
      </c>
      <c r="F1306" s="28" t="s">
        <v>67</v>
      </c>
      <c r="G1306" s="4">
        <f>SUMIFS(X!$F$5:$F$2005,X!$D$5:$D$2005,'Current Stock'!A1306)</f>
        <v>1</v>
      </c>
      <c r="H1306" s="4">
        <f>SUMIFS(PENJUALAN!$E$4:$E$11000,PENJUALAN!$C$4:$C$11000,'Current Stock'!A1306)</f>
        <v>0</v>
      </c>
      <c r="I1306" s="16">
        <f t="shared" si="2"/>
        <v>1</v>
      </c>
      <c r="J1306" s="4"/>
      <c r="K1306" s="4"/>
      <c r="L1306" s="4"/>
      <c r="M1306" s="4"/>
    </row>
    <row r="1307" ht="13.5" customHeight="1">
      <c r="A1307" s="4" t="str">
        <f t="shared" si="1"/>
        <v>LFW-MURANO02XYG</v>
      </c>
      <c r="B1307" s="29" t="s">
        <v>946</v>
      </c>
      <c r="C1307" s="28" t="s">
        <v>947</v>
      </c>
      <c r="D1307" s="28" t="s">
        <v>22</v>
      </c>
      <c r="E1307" s="4" t="s">
        <v>16</v>
      </c>
      <c r="F1307" s="28" t="s">
        <v>125</v>
      </c>
      <c r="G1307" s="4">
        <f>SUMIFS(X!$F$5:$F$2005,X!$D$5:$D$2005,'Current Stock'!A1307)</f>
        <v>0</v>
      </c>
      <c r="H1307" s="4">
        <f>SUMIFS(PENJUALAN!$E$4:$E$11000,PENJUALAN!$C$4:$C$11000,'Current Stock'!A1307)</f>
        <v>0</v>
      </c>
      <c r="I1307" s="16">
        <f t="shared" si="2"/>
        <v>0</v>
      </c>
      <c r="J1307" s="4"/>
      <c r="K1307" s="4"/>
      <c r="L1307" s="4"/>
      <c r="M1307" s="4"/>
    </row>
    <row r="1308" ht="13.5" customHeight="1">
      <c r="A1308" s="4" t="str">
        <f t="shared" si="1"/>
        <v>LFW-MURANO08XYG</v>
      </c>
      <c r="B1308" s="29" t="s">
        <v>949</v>
      </c>
      <c r="C1308" s="28" t="s">
        <v>950</v>
      </c>
      <c r="D1308" s="28" t="s">
        <v>22</v>
      </c>
      <c r="E1308" s="4" t="s">
        <v>16</v>
      </c>
      <c r="F1308" s="28" t="s">
        <v>125</v>
      </c>
      <c r="G1308" s="4">
        <f>SUMIFS(X!$F$5:$F$2005,X!$D$5:$D$2005,'Current Stock'!A1308)</f>
        <v>0</v>
      </c>
      <c r="H1308" s="4">
        <f>SUMIFS(PENJUALAN!$E$4:$E$11000,PENJUALAN!$C$4:$C$11000,'Current Stock'!A1308)</f>
        <v>0</v>
      </c>
      <c r="I1308" s="16">
        <f t="shared" si="2"/>
        <v>0</v>
      </c>
      <c r="J1308" s="4"/>
      <c r="K1308" s="4"/>
      <c r="L1308" s="4"/>
      <c r="M1308" s="4"/>
    </row>
    <row r="1309" ht="13.5" customHeight="1">
      <c r="A1309" s="4" t="str">
        <f t="shared" si="1"/>
        <v>LFW-NAVARA15XYG</v>
      </c>
      <c r="B1309" s="29" t="s">
        <v>954</v>
      </c>
      <c r="C1309" s="28" t="s">
        <v>955</v>
      </c>
      <c r="D1309" s="28" t="s">
        <v>22</v>
      </c>
      <c r="E1309" s="4" t="s">
        <v>16</v>
      </c>
      <c r="F1309" s="28" t="s">
        <v>125</v>
      </c>
      <c r="G1309" s="4">
        <f>SUMIFS(X!$F$5:$F$2005,X!$D$5:$D$2005,'Current Stock'!A1309)</f>
        <v>0</v>
      </c>
      <c r="H1309" s="4">
        <f>SUMIFS(PENJUALAN!$E$4:$E$11000,PENJUALAN!$C$4:$C$11000,'Current Stock'!A1309)</f>
        <v>0</v>
      </c>
      <c r="I1309" s="16">
        <f t="shared" si="2"/>
        <v>0</v>
      </c>
      <c r="J1309" s="4"/>
      <c r="K1309" s="4"/>
      <c r="L1309" s="4"/>
      <c r="M1309" s="4"/>
    </row>
    <row r="1310" ht="13.5" customHeight="1">
      <c r="A1310" s="4" t="str">
        <f t="shared" si="1"/>
        <v>TRW-NAVARA15XYG</v>
      </c>
      <c r="B1310" s="29" t="s">
        <v>956</v>
      </c>
      <c r="C1310" s="28" t="s">
        <v>955</v>
      </c>
      <c r="D1310" s="28" t="s">
        <v>41</v>
      </c>
      <c r="E1310" s="4" t="s">
        <v>16</v>
      </c>
      <c r="F1310" s="28" t="s">
        <v>67</v>
      </c>
      <c r="G1310" s="4">
        <f>SUMIFS(X!$F$5:$F$2005,X!$D$5:$D$2005,'Current Stock'!A1310)</f>
        <v>0</v>
      </c>
      <c r="H1310" s="4">
        <f>SUMIFS(PENJUALAN!$E$4:$E$11000,PENJUALAN!$C$4:$C$11000,'Current Stock'!A1310)</f>
        <v>0</v>
      </c>
      <c r="I1310" s="16">
        <f t="shared" si="2"/>
        <v>0</v>
      </c>
      <c r="J1310" s="4"/>
      <c r="K1310" s="4"/>
      <c r="L1310" s="4"/>
      <c r="M1310" s="4"/>
    </row>
    <row r="1311" ht="13.5" customHeight="1">
      <c r="A1311" s="4" t="str">
        <f t="shared" si="1"/>
        <v>FDL-NAVARA15XYG</v>
      </c>
      <c r="B1311" s="29" t="s">
        <v>957</v>
      </c>
      <c r="C1311" s="28" t="s">
        <v>955</v>
      </c>
      <c r="D1311" s="28" t="s">
        <v>128</v>
      </c>
      <c r="E1311" s="4" t="s">
        <v>16</v>
      </c>
      <c r="F1311" s="28"/>
      <c r="G1311" s="4">
        <f>SUMIFS(X!$F$5:$F$2005,X!$D$5:$D$2005,'Current Stock'!A1311)</f>
        <v>1</v>
      </c>
      <c r="H1311" s="4">
        <f>SUMIFS(PENJUALAN!$E$4:$E$11000,PENJUALAN!$C$4:$C$11000,'Current Stock'!A1311)</f>
        <v>1</v>
      </c>
      <c r="I1311" s="16">
        <f t="shared" si="2"/>
        <v>0</v>
      </c>
      <c r="J1311" s="4"/>
      <c r="K1311" s="4"/>
      <c r="L1311" s="4"/>
      <c r="M1311" s="4"/>
    </row>
    <row r="1312" ht="13.5" customHeight="1">
      <c r="A1312" s="4" t="str">
        <f t="shared" si="1"/>
        <v>FDR-NAVARA15XYG</v>
      </c>
      <c r="B1312" s="29" t="s">
        <v>958</v>
      </c>
      <c r="C1312" s="28" t="s">
        <v>955</v>
      </c>
      <c r="D1312" s="28" t="s">
        <v>130</v>
      </c>
      <c r="E1312" s="4" t="s">
        <v>16</v>
      </c>
      <c r="F1312" s="28"/>
      <c r="G1312" s="4">
        <f>SUMIFS(X!$F$5:$F$2005,X!$D$5:$D$2005,'Current Stock'!A1312)</f>
        <v>0</v>
      </c>
      <c r="H1312" s="4">
        <f>SUMIFS(PENJUALAN!$E$4:$E$11000,PENJUALAN!$C$4:$C$11000,'Current Stock'!A1312)</f>
        <v>0</v>
      </c>
      <c r="I1312" s="16">
        <f t="shared" si="2"/>
        <v>0</v>
      </c>
      <c r="J1312" s="4"/>
      <c r="K1312" s="4"/>
      <c r="L1312" s="4"/>
      <c r="M1312" s="4"/>
    </row>
    <row r="1313" ht="13.5" customHeight="1">
      <c r="A1313" s="4" t="str">
        <f t="shared" si="1"/>
        <v>LFW-C24XYG</v>
      </c>
      <c r="B1313" s="29" t="s">
        <v>963</v>
      </c>
      <c r="C1313" s="28" t="s">
        <v>964</v>
      </c>
      <c r="D1313" s="28" t="s">
        <v>22</v>
      </c>
      <c r="E1313" s="4" t="s">
        <v>16</v>
      </c>
      <c r="F1313" s="28" t="s">
        <v>97</v>
      </c>
      <c r="G1313" s="4">
        <f>SUMIFS(X!$F$5:$F$2005,X!$D$5:$D$2005,'Current Stock'!A1313)</f>
        <v>0</v>
      </c>
      <c r="H1313" s="4">
        <f>SUMIFS(PENJUALAN!$E$4:$E$11000,PENJUALAN!$C$4:$C$11000,'Current Stock'!A1313)</f>
        <v>0</v>
      </c>
      <c r="I1313" s="16">
        <f t="shared" si="2"/>
        <v>0</v>
      </c>
      <c r="J1313" s="4"/>
      <c r="K1313" s="4"/>
      <c r="L1313" s="4"/>
      <c r="M1313" s="4"/>
    </row>
    <row r="1314" ht="13.5" customHeight="1">
      <c r="A1314" s="4" t="str">
        <f t="shared" si="1"/>
        <v>LFW-PREGIOMU</v>
      </c>
      <c r="B1314" s="29" t="s">
        <v>1723</v>
      </c>
      <c r="C1314" s="30" t="s">
        <v>605</v>
      </c>
      <c r="D1314" s="30" t="s">
        <v>22</v>
      </c>
      <c r="E1314" s="4" t="s">
        <v>1361</v>
      </c>
      <c r="F1314" s="28" t="s">
        <v>79</v>
      </c>
      <c r="G1314" s="4">
        <f>SUMIFS(X!$F$5:$F$2005,X!$D$5:$D$2005,'Current Stock'!A1314)</f>
        <v>7</v>
      </c>
      <c r="H1314" s="4">
        <f>SUMIFS(PENJUALAN!$E$4:$E$11000,PENJUALAN!$C$4:$C$11000,'Current Stock'!A1314)</f>
        <v>7</v>
      </c>
      <c r="I1314" s="16">
        <f t="shared" si="2"/>
        <v>0</v>
      </c>
      <c r="J1314" s="15" t="s">
        <v>1722</v>
      </c>
      <c r="K1314" s="15"/>
      <c r="L1314" s="5">
        <v>1.0</v>
      </c>
      <c r="M1314" s="15"/>
    </row>
    <row r="1315" ht="13.5" customHeight="1">
      <c r="A1315" s="4" t="str">
        <f t="shared" si="1"/>
        <v>SWL-C24XYG</v>
      </c>
      <c r="B1315" s="29" t="s">
        <v>1724</v>
      </c>
      <c r="C1315" s="28" t="s">
        <v>964</v>
      </c>
      <c r="D1315" s="30" t="s">
        <v>202</v>
      </c>
      <c r="E1315" s="4" t="s">
        <v>16</v>
      </c>
      <c r="F1315" s="28" t="s">
        <v>97</v>
      </c>
      <c r="G1315" s="4">
        <f>SUMIFS(X!$F$5:$F$2005,X!$D$5:$D$2005,'Current Stock'!A1315)</f>
        <v>0</v>
      </c>
      <c r="H1315" s="4">
        <f>SUMIFS(PENJUALAN!$E$4:$E$11000,PENJUALAN!$C$4:$C$11000,'Current Stock'!A1315)</f>
        <v>0</v>
      </c>
      <c r="I1315" s="16">
        <f t="shared" si="2"/>
        <v>0</v>
      </c>
      <c r="J1315" s="4"/>
      <c r="K1315" s="4"/>
      <c r="L1315" s="4"/>
      <c r="M1315" s="4"/>
    </row>
    <row r="1316" ht="13.5" customHeight="1">
      <c r="A1316" s="4" t="str">
        <f t="shared" si="1"/>
        <v>SWR-C24XYG</v>
      </c>
      <c r="B1316" s="29" t="s">
        <v>1725</v>
      </c>
      <c r="C1316" s="28" t="s">
        <v>964</v>
      </c>
      <c r="D1316" s="30" t="s">
        <v>236</v>
      </c>
      <c r="E1316" s="4" t="s">
        <v>16</v>
      </c>
      <c r="F1316" s="28" t="s">
        <v>97</v>
      </c>
      <c r="G1316" s="4">
        <f>SUMIFS(X!$F$5:$F$2005,X!$D$5:$D$2005,'Current Stock'!A1316)</f>
        <v>0</v>
      </c>
      <c r="H1316" s="4">
        <f>SUMIFS(PENJUALAN!$E$4:$E$11000,PENJUALAN!$C$4:$C$11000,'Current Stock'!A1316)</f>
        <v>0</v>
      </c>
      <c r="I1316" s="16">
        <f t="shared" si="2"/>
        <v>0</v>
      </c>
      <c r="J1316" s="4"/>
      <c r="K1316" s="4"/>
      <c r="L1316" s="4"/>
      <c r="M1316" s="4"/>
    </row>
    <row r="1317" ht="13.5" customHeight="1">
      <c r="A1317" s="4" t="str">
        <f t="shared" si="1"/>
        <v>LFW-C25XYG</v>
      </c>
      <c r="B1317" s="29" t="s">
        <v>966</v>
      </c>
      <c r="C1317" s="28" t="s">
        <v>967</v>
      </c>
      <c r="D1317" s="28" t="s">
        <v>22</v>
      </c>
      <c r="E1317" s="4" t="s">
        <v>16</v>
      </c>
      <c r="F1317" s="28" t="s">
        <v>737</v>
      </c>
      <c r="G1317" s="4">
        <f>SUMIFS(X!$F$5:$F$2005,X!$D$5:$D$2005,'Current Stock'!A1317)</f>
        <v>0</v>
      </c>
      <c r="H1317" s="4">
        <f>SUMIFS(PENJUALAN!$E$4:$E$11000,PENJUALAN!$C$4:$C$11000,'Current Stock'!A1317)</f>
        <v>0</v>
      </c>
      <c r="I1317" s="16">
        <f t="shared" si="2"/>
        <v>0</v>
      </c>
      <c r="J1317" s="4"/>
      <c r="K1317" s="4"/>
      <c r="L1317" s="4"/>
      <c r="M1317" s="4"/>
    </row>
    <row r="1318" ht="13.5" customHeight="1">
      <c r="A1318" s="4" t="str">
        <f t="shared" si="1"/>
        <v>TRW-C25XYG</v>
      </c>
      <c r="B1318" s="29" t="s">
        <v>968</v>
      </c>
      <c r="C1318" s="28" t="s">
        <v>967</v>
      </c>
      <c r="D1318" s="28" t="s">
        <v>41</v>
      </c>
      <c r="E1318" s="4" t="s">
        <v>16</v>
      </c>
      <c r="F1318" s="28" t="s">
        <v>221</v>
      </c>
      <c r="G1318" s="4">
        <f>SUMIFS(X!$F$5:$F$2005,X!$D$5:$D$2005,'Current Stock'!A1318)</f>
        <v>0</v>
      </c>
      <c r="H1318" s="4">
        <f>SUMIFS(PENJUALAN!$E$4:$E$11000,PENJUALAN!$C$4:$C$11000,'Current Stock'!A1318)</f>
        <v>0</v>
      </c>
      <c r="I1318" s="16">
        <f t="shared" si="2"/>
        <v>0</v>
      </c>
      <c r="J1318" s="4"/>
      <c r="K1318" s="4"/>
      <c r="L1318" s="4"/>
      <c r="M1318" s="4"/>
    </row>
    <row r="1319" ht="13.5" customHeight="1">
      <c r="A1319" s="4" t="str">
        <f t="shared" si="1"/>
        <v>LFW-GCHEROKEEMU</v>
      </c>
      <c r="B1319" s="29" t="s">
        <v>1726</v>
      </c>
      <c r="C1319" s="30" t="s">
        <v>1727</v>
      </c>
      <c r="D1319" s="30" t="s">
        <v>22</v>
      </c>
      <c r="E1319" s="4" t="s">
        <v>1361</v>
      </c>
      <c r="F1319" s="28"/>
      <c r="G1319" s="4">
        <f>SUMIFS(X!$F$5:$F$2005,X!$D$5:$D$2005,'Current Stock'!A1319)</f>
        <v>5</v>
      </c>
      <c r="H1319" s="4">
        <f>SUMIFS(PENJUALAN!$E$4:$E$11000,PENJUALAN!$C$4:$C$11000,'Current Stock'!A1319)</f>
        <v>5</v>
      </c>
      <c r="I1319" s="16">
        <f t="shared" si="2"/>
        <v>0</v>
      </c>
      <c r="J1319" s="15" t="s">
        <v>1728</v>
      </c>
      <c r="K1319" s="15"/>
      <c r="L1319" s="5">
        <v>1.0</v>
      </c>
      <c r="M1319" s="15"/>
    </row>
    <row r="1320" ht="13.5" customHeight="1">
      <c r="A1320" s="4" t="str">
        <f t="shared" si="1"/>
        <v>TRW-C26XYG</v>
      </c>
      <c r="B1320" s="29" t="s">
        <v>975</v>
      </c>
      <c r="C1320" s="28" t="s">
        <v>974</v>
      </c>
      <c r="D1320" s="28" t="s">
        <v>41</v>
      </c>
      <c r="E1320" s="4" t="s">
        <v>16</v>
      </c>
      <c r="F1320" s="28" t="s">
        <v>67</v>
      </c>
      <c r="G1320" s="4">
        <f>SUMIFS(X!$F$5:$F$2005,X!$D$5:$D$2005,'Current Stock'!A1320)</f>
        <v>0</v>
      </c>
      <c r="H1320" s="4">
        <f>SUMIFS(PENJUALAN!$E$4:$E$11000,PENJUALAN!$C$4:$C$11000,'Current Stock'!A1320)</f>
        <v>0</v>
      </c>
      <c r="I1320" s="16">
        <f t="shared" si="2"/>
        <v>0</v>
      </c>
      <c r="J1320" s="4"/>
      <c r="K1320" s="4"/>
      <c r="L1320" s="4"/>
      <c r="M1320" s="4"/>
    </row>
    <row r="1321" ht="13.5" customHeight="1">
      <c r="A1321" s="4" t="str">
        <f t="shared" si="1"/>
        <v>FDL-C26XYG</v>
      </c>
      <c r="B1321" s="29" t="s">
        <v>976</v>
      </c>
      <c r="C1321" s="28" t="s">
        <v>974</v>
      </c>
      <c r="D1321" s="28" t="s">
        <v>128</v>
      </c>
      <c r="E1321" s="4" t="s">
        <v>16</v>
      </c>
      <c r="F1321" s="28"/>
      <c r="G1321" s="4">
        <f>SUMIFS(X!$F$5:$F$2005,X!$D$5:$D$2005,'Current Stock'!A1321)</f>
        <v>0</v>
      </c>
      <c r="H1321" s="4">
        <f>SUMIFS(PENJUALAN!$E$4:$E$11000,PENJUALAN!$C$4:$C$11000,'Current Stock'!A1321)</f>
        <v>0</v>
      </c>
      <c r="I1321" s="16">
        <f t="shared" si="2"/>
        <v>0</v>
      </c>
      <c r="J1321" s="4"/>
      <c r="K1321" s="4"/>
      <c r="L1321" s="4"/>
      <c r="M1321" s="4"/>
    </row>
    <row r="1322" ht="13.5" customHeight="1">
      <c r="A1322" s="4" t="str">
        <f t="shared" si="1"/>
        <v>FDR-C26XYG</v>
      </c>
      <c r="B1322" s="29" t="s">
        <v>977</v>
      </c>
      <c r="C1322" s="28" t="s">
        <v>974</v>
      </c>
      <c r="D1322" s="28" t="s">
        <v>130</v>
      </c>
      <c r="E1322" s="4" t="s">
        <v>16</v>
      </c>
      <c r="F1322" s="28"/>
      <c r="G1322" s="4">
        <f>SUMIFS(X!$F$5:$F$2005,X!$D$5:$D$2005,'Current Stock'!A1322)</f>
        <v>0</v>
      </c>
      <c r="H1322" s="4">
        <f>SUMIFS(PENJUALAN!$E$4:$E$11000,PENJUALAN!$C$4:$C$11000,'Current Stock'!A1322)</f>
        <v>0</v>
      </c>
      <c r="I1322" s="16">
        <f t="shared" si="2"/>
        <v>0</v>
      </c>
      <c r="J1322" s="4"/>
      <c r="K1322" s="4"/>
      <c r="L1322" s="4"/>
      <c r="M1322" s="4"/>
    </row>
    <row r="1323" ht="13.5" customHeight="1">
      <c r="A1323" s="4" t="str">
        <f t="shared" si="1"/>
        <v>RDR-C26XYG</v>
      </c>
      <c r="B1323" s="29" t="s">
        <v>979</v>
      </c>
      <c r="C1323" s="28" t="s">
        <v>974</v>
      </c>
      <c r="D1323" s="28" t="s">
        <v>134</v>
      </c>
      <c r="E1323" s="4" t="s">
        <v>16</v>
      </c>
      <c r="F1323" s="28"/>
      <c r="G1323" s="4">
        <f>SUMIFS(X!$F$5:$F$2005,X!$D$5:$D$2005,'Current Stock'!A1323)</f>
        <v>0</v>
      </c>
      <c r="H1323" s="4">
        <f>SUMIFS(PENJUALAN!$E$4:$E$11000,PENJUALAN!$C$4:$C$11000,'Current Stock'!A1323)</f>
        <v>0</v>
      </c>
      <c r="I1323" s="16">
        <f t="shared" si="2"/>
        <v>0</v>
      </c>
      <c r="J1323" s="4"/>
      <c r="K1323" s="4"/>
      <c r="L1323" s="4"/>
      <c r="M1323" s="4"/>
    </row>
    <row r="1324" ht="13.5" customHeight="1">
      <c r="A1324" s="4" t="str">
        <f t="shared" si="1"/>
        <v>SWL-C26XYG</v>
      </c>
      <c r="B1324" s="29" t="s">
        <v>980</v>
      </c>
      <c r="C1324" s="28" t="s">
        <v>974</v>
      </c>
      <c r="D1324" s="28" t="s">
        <v>202</v>
      </c>
      <c r="E1324" s="4" t="s">
        <v>16</v>
      </c>
      <c r="F1324" s="28" t="s">
        <v>234</v>
      </c>
      <c r="G1324" s="4">
        <f>SUMIFS(X!$F$5:$F$2005,X!$D$5:$D$2005,'Current Stock'!A1324)</f>
        <v>0</v>
      </c>
      <c r="H1324" s="4">
        <f>SUMIFS(PENJUALAN!$E$4:$E$11000,PENJUALAN!$C$4:$C$11000,'Current Stock'!A1324)</f>
        <v>0</v>
      </c>
      <c r="I1324" s="16">
        <f t="shared" si="2"/>
        <v>0</v>
      </c>
      <c r="J1324" s="4"/>
      <c r="K1324" s="4"/>
      <c r="L1324" s="4"/>
      <c r="M1324" s="4"/>
    </row>
    <row r="1325" ht="13.5" customHeight="1">
      <c r="A1325" s="4" t="str">
        <f t="shared" si="1"/>
        <v>SWR-C26XYG</v>
      </c>
      <c r="B1325" s="29" t="s">
        <v>981</v>
      </c>
      <c r="C1325" s="28" t="s">
        <v>974</v>
      </c>
      <c r="D1325" s="28" t="s">
        <v>236</v>
      </c>
      <c r="E1325" s="4" t="s">
        <v>16</v>
      </c>
      <c r="F1325" s="28" t="s">
        <v>234</v>
      </c>
      <c r="G1325" s="4">
        <f>SUMIFS(X!$F$5:$F$2005,X!$D$5:$D$2005,'Current Stock'!A1325)</f>
        <v>0</v>
      </c>
      <c r="H1325" s="4">
        <f>SUMIFS(PENJUALAN!$E$4:$E$11000,PENJUALAN!$C$4:$C$11000,'Current Stock'!A1325)</f>
        <v>0</v>
      </c>
      <c r="I1325" s="16">
        <f t="shared" si="2"/>
        <v>0</v>
      </c>
      <c r="J1325" s="4"/>
      <c r="K1325" s="4"/>
      <c r="L1325" s="4"/>
      <c r="M1325" s="4"/>
    </row>
    <row r="1326" ht="13.5" customHeight="1">
      <c r="A1326" s="4" t="str">
        <f t="shared" si="1"/>
        <v>LFW-C27XYG</v>
      </c>
      <c r="B1326" s="29" t="s">
        <v>1729</v>
      </c>
      <c r="C1326" s="28" t="s">
        <v>1730</v>
      </c>
      <c r="D1326" s="28" t="s">
        <v>22</v>
      </c>
      <c r="E1326" s="4" t="s">
        <v>16</v>
      </c>
      <c r="F1326" s="28" t="s">
        <v>97</v>
      </c>
      <c r="G1326" s="4">
        <f>SUMIFS(X!$F$5:$F$2005,X!$D$5:$D$2005,'Current Stock'!A1326)</f>
        <v>0</v>
      </c>
      <c r="H1326" s="4">
        <f>SUMIFS(PENJUALAN!$E$4:$E$11000,PENJUALAN!$C$4:$C$11000,'Current Stock'!A1326)</f>
        <v>0</v>
      </c>
      <c r="I1326" s="16">
        <f t="shared" si="2"/>
        <v>0</v>
      </c>
      <c r="J1326" s="4"/>
      <c r="K1326" s="4"/>
      <c r="L1326" s="4"/>
      <c r="M1326" s="4"/>
    </row>
    <row r="1327" ht="13.5" customHeight="1">
      <c r="A1327" s="4" t="str">
        <f t="shared" si="1"/>
        <v>TRW-C27XYG</v>
      </c>
      <c r="B1327" s="41" t="s">
        <v>1731</v>
      </c>
      <c r="C1327" s="28" t="s">
        <v>1730</v>
      </c>
      <c r="D1327" s="28" t="s">
        <v>41</v>
      </c>
      <c r="E1327" s="4" t="s">
        <v>16</v>
      </c>
      <c r="F1327" s="28" t="s">
        <v>67</v>
      </c>
      <c r="G1327" s="4">
        <f>SUMIFS(X!$F$5:$F$2005,X!$D$5:$D$2005,'Current Stock'!A1327)</f>
        <v>2</v>
      </c>
      <c r="H1327" s="4">
        <f>SUMIFS(PENJUALAN!$E$4:$E$11000,PENJUALAN!$C$4:$C$11000,'Current Stock'!A1327)</f>
        <v>2</v>
      </c>
      <c r="I1327" s="16">
        <f t="shared" si="2"/>
        <v>0</v>
      </c>
      <c r="J1327" s="4"/>
      <c r="K1327" s="4"/>
      <c r="L1327" s="4"/>
      <c r="M1327" s="4"/>
    </row>
    <row r="1328" ht="13.5" customHeight="1">
      <c r="A1328" s="4" t="str">
        <f t="shared" si="1"/>
        <v>TRW-CRV12NONPXYG</v>
      </c>
      <c r="B1328" s="29" t="s">
        <v>435</v>
      </c>
      <c r="C1328" s="28" t="s">
        <v>436</v>
      </c>
      <c r="D1328" s="28" t="s">
        <v>41</v>
      </c>
      <c r="E1328" s="4" t="s">
        <v>16</v>
      </c>
      <c r="F1328" s="28" t="s">
        <v>221</v>
      </c>
      <c r="G1328" s="4">
        <f>SUMIFS(X!$F$5:$F$2005,X!$D$5:$D$2005,'Current Stock'!A1328)</f>
        <v>7</v>
      </c>
      <c r="H1328" s="4">
        <f>SUMIFS(PENJUALAN!$E$4:$E$11000,PENJUALAN!$C$4:$C$11000,'Current Stock'!A1328)</f>
        <v>6</v>
      </c>
      <c r="I1328" s="16">
        <f t="shared" si="2"/>
        <v>1</v>
      </c>
      <c r="J1328" s="15" t="s">
        <v>1460</v>
      </c>
      <c r="K1328" s="15"/>
      <c r="L1328" s="4"/>
      <c r="M1328" s="4"/>
    </row>
    <row r="1329" ht="13.5" customHeight="1">
      <c r="A1329" s="4" t="str">
        <f t="shared" si="1"/>
        <v>LFW-CRV12XYG</v>
      </c>
      <c r="B1329" s="29" t="s">
        <v>434</v>
      </c>
      <c r="C1329" s="28" t="s">
        <v>69</v>
      </c>
      <c r="D1329" s="28" t="s">
        <v>22</v>
      </c>
      <c r="E1329" s="4" t="s">
        <v>16</v>
      </c>
      <c r="F1329" s="28" t="s">
        <v>125</v>
      </c>
      <c r="G1329" s="4">
        <f>SUMIFS(X!$F$5:$F$2005,X!$D$5:$D$2005,'Current Stock'!A1329)</f>
        <v>10</v>
      </c>
      <c r="H1329" s="4">
        <f>SUMIFS(PENJUALAN!$E$4:$E$11000,PENJUALAN!$C$4:$C$11000,'Current Stock'!A1329)</f>
        <v>8</v>
      </c>
      <c r="I1329" s="16">
        <f t="shared" si="2"/>
        <v>2</v>
      </c>
      <c r="J1329" s="15" t="s">
        <v>1432</v>
      </c>
      <c r="K1329" s="15"/>
      <c r="L1329" s="4"/>
      <c r="M1329" s="4"/>
    </row>
    <row r="1330" ht="13.5" customHeight="1">
      <c r="A1330" s="4" t="str">
        <f t="shared" si="1"/>
        <v>TRW-T30XYG</v>
      </c>
      <c r="B1330" s="29" t="s">
        <v>984</v>
      </c>
      <c r="C1330" s="28" t="s">
        <v>983</v>
      </c>
      <c r="D1330" s="28" t="s">
        <v>41</v>
      </c>
      <c r="E1330" s="4" t="s">
        <v>16</v>
      </c>
      <c r="F1330" s="28" t="s">
        <v>221</v>
      </c>
      <c r="G1330" s="4">
        <f>SUMIFS(X!$F$5:$F$2005,X!$D$5:$D$2005,'Current Stock'!A1330)</f>
        <v>1</v>
      </c>
      <c r="H1330" s="4">
        <f>SUMIFS(PENJUALAN!$E$4:$E$11000,PENJUALAN!$C$4:$C$11000,'Current Stock'!A1330)</f>
        <v>0</v>
      </c>
      <c r="I1330" s="16">
        <f t="shared" si="2"/>
        <v>1</v>
      </c>
      <c r="J1330" s="15" t="s">
        <v>1711</v>
      </c>
      <c r="K1330" s="4"/>
      <c r="L1330" s="4"/>
      <c r="M1330" s="4"/>
    </row>
    <row r="1331" ht="13.5" customHeight="1">
      <c r="A1331" s="4" t="str">
        <f t="shared" si="1"/>
        <v>FDR-T30XYG</v>
      </c>
      <c r="B1331" s="29" t="s">
        <v>1732</v>
      </c>
      <c r="C1331" s="28" t="s">
        <v>983</v>
      </c>
      <c r="D1331" s="28" t="s">
        <v>130</v>
      </c>
      <c r="E1331" s="4" t="s">
        <v>16</v>
      </c>
      <c r="F1331" s="28"/>
      <c r="G1331" s="4">
        <f>SUMIFS(X!$F$5:$F$2005,X!$D$5:$D$2005,'Current Stock'!A1331)</f>
        <v>0</v>
      </c>
      <c r="H1331" s="4">
        <f>SUMIFS(PENJUALAN!$E$4:$E$11000,PENJUALAN!$C$4:$C$11000,'Current Stock'!A1331)</f>
        <v>0</v>
      </c>
      <c r="I1331" s="16">
        <f t="shared" si="2"/>
        <v>0</v>
      </c>
      <c r="J1331" s="4"/>
      <c r="K1331" s="4"/>
      <c r="L1331" s="4"/>
      <c r="M1331" s="4"/>
    </row>
    <row r="1332" ht="13.5" customHeight="1">
      <c r="A1332" s="4" t="str">
        <f t="shared" si="1"/>
        <v>LFW-T31XYG</v>
      </c>
      <c r="B1332" s="29" t="s">
        <v>990</v>
      </c>
      <c r="C1332" s="28" t="s">
        <v>991</v>
      </c>
      <c r="D1332" s="28" t="s">
        <v>22</v>
      </c>
      <c r="E1332" s="4" t="s">
        <v>16</v>
      </c>
      <c r="F1332" s="28" t="s">
        <v>125</v>
      </c>
      <c r="G1332" s="4">
        <f>SUMIFS(X!$F$5:$F$2005,X!$D$5:$D$2005,'Current Stock'!A1332)</f>
        <v>8</v>
      </c>
      <c r="H1332" s="4">
        <f>SUMIFS(PENJUALAN!$E$4:$E$11000,PENJUALAN!$C$4:$C$11000,'Current Stock'!A1332)</f>
        <v>2</v>
      </c>
      <c r="I1332" s="16">
        <f t="shared" si="2"/>
        <v>6</v>
      </c>
      <c r="J1332" s="15" t="s">
        <v>1544</v>
      </c>
      <c r="K1332" s="4"/>
      <c r="L1332" s="4"/>
      <c r="M1332" s="4"/>
    </row>
    <row r="1333" ht="13.5" customHeight="1">
      <c r="A1333" s="4" t="str">
        <f t="shared" si="1"/>
        <v>LFW-RANGER04MU</v>
      </c>
      <c r="B1333" s="29" t="s">
        <v>294</v>
      </c>
      <c r="C1333" s="28" t="s">
        <v>295</v>
      </c>
      <c r="D1333" s="28" t="s">
        <v>22</v>
      </c>
      <c r="E1333" s="4" t="s">
        <v>1361</v>
      </c>
      <c r="F1333" s="28" t="s">
        <v>97</v>
      </c>
      <c r="G1333" s="4">
        <f>SUMIFS(X!$F$5:$F$2005,X!$D$5:$D$2005,'Current Stock'!A1333)</f>
        <v>11</v>
      </c>
      <c r="H1333" s="4">
        <f>SUMIFS(PENJUALAN!$E$4:$E$11000,PENJUALAN!$C$4:$C$11000,'Current Stock'!A1333)</f>
        <v>11</v>
      </c>
      <c r="I1333" s="16">
        <f t="shared" si="2"/>
        <v>0</v>
      </c>
      <c r="J1333" s="15" t="s">
        <v>1027</v>
      </c>
      <c r="K1333" s="15"/>
      <c r="L1333" s="5">
        <v>1.0</v>
      </c>
      <c r="M1333" s="4"/>
    </row>
    <row r="1334" ht="13.5" customHeight="1">
      <c r="A1334" s="4" t="str">
        <f t="shared" si="1"/>
        <v>FDL-T31XYG</v>
      </c>
      <c r="B1334" s="29" t="s">
        <v>993</v>
      </c>
      <c r="C1334" s="28" t="s">
        <v>991</v>
      </c>
      <c r="D1334" s="28" t="s">
        <v>128</v>
      </c>
      <c r="E1334" s="4" t="s">
        <v>16</v>
      </c>
      <c r="F1334" s="28"/>
      <c r="G1334" s="4">
        <f>SUMIFS(X!$F$5:$F$2005,X!$D$5:$D$2005,'Current Stock'!A1334)</f>
        <v>0</v>
      </c>
      <c r="H1334" s="4">
        <f>SUMIFS(PENJUALAN!$E$4:$E$11000,PENJUALAN!$C$4:$C$11000,'Current Stock'!A1334)</f>
        <v>0</v>
      </c>
      <c r="I1334" s="16">
        <f t="shared" si="2"/>
        <v>0</v>
      </c>
      <c r="J1334" s="4"/>
      <c r="K1334" s="4"/>
      <c r="L1334" s="4"/>
      <c r="M1334" s="4"/>
    </row>
    <row r="1335" ht="13.5" customHeight="1">
      <c r="A1335" s="4" t="str">
        <f t="shared" si="1"/>
        <v>FDR-T31XYG</v>
      </c>
      <c r="B1335" s="29" t="s">
        <v>994</v>
      </c>
      <c r="C1335" s="28" t="s">
        <v>991</v>
      </c>
      <c r="D1335" s="28" t="s">
        <v>130</v>
      </c>
      <c r="E1335" s="4" t="s">
        <v>16</v>
      </c>
      <c r="F1335" s="28"/>
      <c r="G1335" s="4">
        <f>SUMIFS(X!$F$5:$F$2005,X!$D$5:$D$2005,'Current Stock'!A1335)</f>
        <v>0</v>
      </c>
      <c r="H1335" s="4">
        <f>SUMIFS(PENJUALAN!$E$4:$E$11000,PENJUALAN!$C$4:$C$11000,'Current Stock'!A1335)</f>
        <v>0</v>
      </c>
      <c r="I1335" s="16">
        <f t="shared" si="2"/>
        <v>0</v>
      </c>
      <c r="J1335" s="4"/>
      <c r="K1335" s="4"/>
      <c r="L1335" s="4"/>
      <c r="M1335" s="4"/>
    </row>
    <row r="1336" ht="13.5" customHeight="1">
      <c r="A1336" s="4" t="str">
        <f t="shared" si="1"/>
        <v>RDL-T31XYG</v>
      </c>
      <c r="B1336" s="29" t="s">
        <v>995</v>
      </c>
      <c r="C1336" s="28" t="s">
        <v>991</v>
      </c>
      <c r="D1336" s="28" t="s">
        <v>132</v>
      </c>
      <c r="E1336" s="4" t="s">
        <v>16</v>
      </c>
      <c r="F1336" s="28"/>
      <c r="G1336" s="4">
        <f>SUMIFS(X!$F$5:$F$2005,X!$D$5:$D$2005,'Current Stock'!A1336)</f>
        <v>0</v>
      </c>
      <c r="H1336" s="4">
        <f>SUMIFS(PENJUALAN!$E$4:$E$11000,PENJUALAN!$C$4:$C$11000,'Current Stock'!A1336)</f>
        <v>0</v>
      </c>
      <c r="I1336" s="16">
        <f t="shared" si="2"/>
        <v>0</v>
      </c>
      <c r="J1336" s="4"/>
      <c r="K1336" s="4"/>
      <c r="L1336" s="4"/>
      <c r="M1336" s="4"/>
    </row>
    <row r="1337" ht="13.5" customHeight="1">
      <c r="A1337" s="4" t="str">
        <f t="shared" si="1"/>
        <v>RDR-T31XYG</v>
      </c>
      <c r="B1337" s="29" t="s">
        <v>996</v>
      </c>
      <c r="C1337" s="28" t="s">
        <v>991</v>
      </c>
      <c r="D1337" s="28" t="s">
        <v>134</v>
      </c>
      <c r="E1337" s="4" t="s">
        <v>16</v>
      </c>
      <c r="F1337" s="28"/>
      <c r="G1337" s="4">
        <f>SUMIFS(X!$F$5:$F$2005,X!$D$5:$D$2005,'Current Stock'!A1337)</f>
        <v>0</v>
      </c>
      <c r="H1337" s="4">
        <f>SUMIFS(PENJUALAN!$E$4:$E$11000,PENJUALAN!$C$4:$C$11000,'Current Stock'!A1337)</f>
        <v>0</v>
      </c>
      <c r="I1337" s="16">
        <f t="shared" si="2"/>
        <v>0</v>
      </c>
      <c r="J1337" s="4"/>
      <c r="K1337" s="4"/>
      <c r="L1337" s="4"/>
      <c r="M1337" s="4"/>
    </row>
    <row r="1338" ht="13.5" customHeight="1">
      <c r="A1338" s="4" t="str">
        <f t="shared" si="1"/>
        <v>LFW-T32XYG</v>
      </c>
      <c r="B1338" s="29" t="s">
        <v>997</v>
      </c>
      <c r="C1338" s="28" t="s">
        <v>998</v>
      </c>
      <c r="D1338" s="28" t="s">
        <v>22</v>
      </c>
      <c r="E1338" s="4" t="s">
        <v>16</v>
      </c>
      <c r="F1338" s="28" t="s">
        <v>75</v>
      </c>
      <c r="G1338" s="4">
        <f>SUMIFS(X!$F$5:$F$2005,X!$D$5:$D$2005,'Current Stock'!A1338)</f>
        <v>1</v>
      </c>
      <c r="H1338" s="4">
        <f>SUMIFS(PENJUALAN!$E$4:$E$11000,PENJUALAN!$C$4:$C$11000,'Current Stock'!A1338)</f>
        <v>0</v>
      </c>
      <c r="I1338" s="16">
        <f t="shared" si="2"/>
        <v>1</v>
      </c>
      <c r="J1338" s="15" t="s">
        <v>1544</v>
      </c>
      <c r="K1338" s="15"/>
      <c r="L1338" s="4"/>
      <c r="M1338" s="4"/>
    </row>
    <row r="1339" ht="13.5" customHeight="1">
      <c r="A1339" s="4" t="str">
        <f t="shared" si="1"/>
        <v>LFW-T32RS2XYG</v>
      </c>
      <c r="B1339" s="29" t="s">
        <v>1733</v>
      </c>
      <c r="C1339" s="28" t="s">
        <v>1734</v>
      </c>
      <c r="D1339" s="28" t="s">
        <v>22</v>
      </c>
      <c r="E1339" s="4" t="s">
        <v>16</v>
      </c>
      <c r="F1339" s="28" t="s">
        <v>75</v>
      </c>
      <c r="G1339" s="4">
        <f>SUMIFS(X!$F$5:$F$2005,X!$D$5:$D$2005,'Current Stock'!A1339)</f>
        <v>0</v>
      </c>
      <c r="H1339" s="4">
        <f>SUMIFS(PENJUALAN!$E$4:$E$11000,PENJUALAN!$C$4:$C$11000,'Current Stock'!A1339)</f>
        <v>0</v>
      </c>
      <c r="I1339" s="16">
        <f t="shared" si="2"/>
        <v>0</v>
      </c>
      <c r="J1339" s="4"/>
      <c r="K1339" s="4"/>
      <c r="L1339" s="4"/>
      <c r="M1339" s="4"/>
    </row>
    <row r="1340" ht="13.5" customHeight="1">
      <c r="A1340" s="4" t="str">
        <f t="shared" si="1"/>
        <v>LFW-T32NRSXYG</v>
      </c>
      <c r="B1340" s="29" t="s">
        <v>1735</v>
      </c>
      <c r="C1340" s="28" t="s">
        <v>1736</v>
      </c>
      <c r="D1340" s="28" t="s">
        <v>22</v>
      </c>
      <c r="E1340" s="4" t="s">
        <v>16</v>
      </c>
      <c r="F1340" s="28" t="s">
        <v>125</v>
      </c>
      <c r="G1340" s="4">
        <f>SUMIFS(X!$F$5:$F$2005,X!$D$5:$D$2005,'Current Stock'!A1340)</f>
        <v>0</v>
      </c>
      <c r="H1340" s="4">
        <f>SUMIFS(PENJUALAN!$E$4:$E$11000,PENJUALAN!$C$4:$C$11000,'Current Stock'!A1340)</f>
        <v>0</v>
      </c>
      <c r="I1340" s="16">
        <f t="shared" si="2"/>
        <v>0</v>
      </c>
      <c r="J1340" s="4"/>
      <c r="K1340" s="4"/>
      <c r="L1340" s="4"/>
      <c r="M1340" s="4"/>
    </row>
    <row r="1341" ht="13.5" customHeight="1">
      <c r="A1341" s="4" t="str">
        <f t="shared" si="1"/>
        <v>TRW-T32XYG</v>
      </c>
      <c r="B1341" s="29" t="s">
        <v>999</v>
      </c>
      <c r="C1341" s="28" t="s">
        <v>1000</v>
      </c>
      <c r="D1341" s="28" t="s">
        <v>41</v>
      </c>
      <c r="E1341" s="4" t="s">
        <v>16</v>
      </c>
      <c r="F1341" s="28" t="s">
        <v>221</v>
      </c>
      <c r="G1341" s="4">
        <f>SUMIFS(X!$F$5:$F$2005,X!$D$5:$D$2005,'Current Stock'!A1341)</f>
        <v>5</v>
      </c>
      <c r="H1341" s="4">
        <f>SUMIFS(PENJUALAN!$E$4:$E$11000,PENJUALAN!$C$4:$C$11000,'Current Stock'!A1341)</f>
        <v>2</v>
      </c>
      <c r="I1341" s="16">
        <f t="shared" si="2"/>
        <v>3</v>
      </c>
      <c r="J1341" s="6" t="s">
        <v>1737</v>
      </c>
      <c r="K1341" s="15"/>
      <c r="L1341" s="4"/>
      <c r="M1341" s="4"/>
    </row>
    <row r="1342" ht="13.5" customHeight="1">
      <c r="A1342" s="4" t="str">
        <f t="shared" si="1"/>
        <v>FDL-T32XYG</v>
      </c>
      <c r="B1342" s="29" t="s">
        <v>1001</v>
      </c>
      <c r="C1342" s="28" t="s">
        <v>1000</v>
      </c>
      <c r="D1342" s="28" t="s">
        <v>128</v>
      </c>
      <c r="E1342" s="4" t="s">
        <v>16</v>
      </c>
      <c r="F1342" s="28"/>
      <c r="G1342" s="4">
        <f>SUMIFS(X!$F$5:$F$2005,X!$D$5:$D$2005,'Current Stock'!A1342)</f>
        <v>0</v>
      </c>
      <c r="H1342" s="4">
        <f>SUMIFS(PENJUALAN!$E$4:$E$11000,PENJUALAN!$C$4:$C$11000,'Current Stock'!A1342)</f>
        <v>0</v>
      </c>
      <c r="I1342" s="16">
        <f t="shared" si="2"/>
        <v>0</v>
      </c>
      <c r="J1342" s="4"/>
      <c r="K1342" s="4"/>
      <c r="L1342" s="4"/>
      <c r="M1342" s="4"/>
    </row>
    <row r="1343" ht="13.5" customHeight="1">
      <c r="A1343" s="4" t="str">
        <f t="shared" si="1"/>
        <v>FDR-T32XYG</v>
      </c>
      <c r="B1343" s="29" t="s">
        <v>1002</v>
      </c>
      <c r="C1343" s="28" t="s">
        <v>1000</v>
      </c>
      <c r="D1343" s="28" t="s">
        <v>130</v>
      </c>
      <c r="E1343" s="4" t="s">
        <v>16</v>
      </c>
      <c r="F1343" s="28"/>
      <c r="G1343" s="4">
        <f>SUMIFS(X!$F$5:$F$2005,X!$D$5:$D$2005,'Current Stock'!A1343)</f>
        <v>0</v>
      </c>
      <c r="H1343" s="4">
        <f>SUMIFS(PENJUALAN!$E$4:$E$11000,PENJUALAN!$C$4:$C$11000,'Current Stock'!A1343)</f>
        <v>0</v>
      </c>
      <c r="I1343" s="16">
        <f t="shared" si="2"/>
        <v>0</v>
      </c>
      <c r="J1343" s="4"/>
      <c r="K1343" s="4"/>
      <c r="L1343" s="4"/>
      <c r="M1343" s="4"/>
    </row>
    <row r="1344" ht="13.5" customHeight="1">
      <c r="A1344" s="4" t="str">
        <f t="shared" si="1"/>
        <v>LFW-OPELXYG</v>
      </c>
      <c r="B1344" s="29" t="s">
        <v>1005</v>
      </c>
      <c r="C1344" s="28" t="s">
        <v>1006</v>
      </c>
      <c r="D1344" s="28" t="s">
        <v>22</v>
      </c>
      <c r="E1344" s="4" t="s">
        <v>16</v>
      </c>
      <c r="F1344" s="28" t="s">
        <v>125</v>
      </c>
      <c r="G1344" s="4">
        <f>SUMIFS(X!$F$5:$F$2005,X!$D$5:$D$2005,'Current Stock'!A1344)</f>
        <v>0</v>
      </c>
      <c r="H1344" s="4">
        <f>SUMIFS(PENJUALAN!$E$4:$E$11000,PENJUALAN!$C$4:$C$11000,'Current Stock'!A1344)</f>
        <v>0</v>
      </c>
      <c r="I1344" s="16">
        <f t="shared" si="2"/>
        <v>0</v>
      </c>
      <c r="J1344" s="4"/>
      <c r="K1344" s="4"/>
      <c r="L1344" s="4"/>
      <c r="M1344" s="4"/>
    </row>
    <row r="1345" ht="13.5" customHeight="1">
      <c r="A1345" s="4" t="str">
        <f t="shared" si="1"/>
        <v>TRW-PEUGEUOT206XYG</v>
      </c>
      <c r="B1345" s="29" t="s">
        <v>1738</v>
      </c>
      <c r="C1345" s="28" t="s">
        <v>1739</v>
      </c>
      <c r="D1345" s="28" t="s">
        <v>41</v>
      </c>
      <c r="E1345" s="4" t="s">
        <v>16</v>
      </c>
      <c r="F1345" s="28" t="s">
        <v>221</v>
      </c>
      <c r="G1345" s="4">
        <f>SUMIFS(X!$F$5:$F$2005,X!$D$5:$D$2005,'Current Stock'!A1345)</f>
        <v>0</v>
      </c>
      <c r="H1345" s="4">
        <f>SUMIFS(PENJUALAN!$E$4:$E$11000,PENJUALAN!$C$4:$C$11000,'Current Stock'!A1345)</f>
        <v>0</v>
      </c>
      <c r="I1345" s="16">
        <f t="shared" si="2"/>
        <v>0</v>
      </c>
      <c r="J1345" s="4"/>
      <c r="K1345" s="4"/>
      <c r="L1345" s="4"/>
      <c r="M1345" s="4"/>
    </row>
    <row r="1346" ht="13.5" customHeight="1">
      <c r="A1346" s="4" t="str">
        <f t="shared" si="1"/>
        <v>LFW-PEU307RSBULATXYG</v>
      </c>
      <c r="B1346" s="29" t="s">
        <v>1007</v>
      </c>
      <c r="C1346" s="28" t="s">
        <v>1008</v>
      </c>
      <c r="D1346" s="28" t="s">
        <v>22</v>
      </c>
      <c r="E1346" s="4" t="s">
        <v>16</v>
      </c>
      <c r="F1346" s="28" t="s">
        <v>23</v>
      </c>
      <c r="G1346" s="4">
        <f>SUMIFS(X!$F$5:$F$2005,X!$D$5:$D$2005,'Current Stock'!A1346)</f>
        <v>0</v>
      </c>
      <c r="H1346" s="4">
        <f>SUMIFS(PENJUALAN!$E$4:$E$11000,PENJUALAN!$C$4:$C$11000,'Current Stock'!A1346)</f>
        <v>0</v>
      </c>
      <c r="I1346" s="16">
        <f t="shared" si="2"/>
        <v>0</v>
      </c>
      <c r="J1346" s="4"/>
      <c r="K1346" s="4"/>
      <c r="L1346" s="4"/>
      <c r="M1346" s="4"/>
    </row>
    <row r="1347" ht="13.5" customHeight="1">
      <c r="A1347" s="4" t="str">
        <f t="shared" si="1"/>
        <v>LFW-PEU307RSKOTAKXYG</v>
      </c>
      <c r="B1347" s="29" t="s">
        <v>1009</v>
      </c>
      <c r="C1347" s="28" t="s">
        <v>1010</v>
      </c>
      <c r="D1347" s="28" t="s">
        <v>22</v>
      </c>
      <c r="E1347" s="4" t="s">
        <v>16</v>
      </c>
      <c r="F1347" s="28" t="s">
        <v>23</v>
      </c>
      <c r="G1347" s="4">
        <f>SUMIFS(X!$F$5:$F$2005,X!$D$5:$D$2005,'Current Stock'!A1347)</f>
        <v>0</v>
      </c>
      <c r="H1347" s="4">
        <f>SUMIFS(PENJUALAN!$E$4:$E$11000,PENJUALAN!$C$4:$C$11000,'Current Stock'!A1347)</f>
        <v>0</v>
      </c>
      <c r="I1347" s="16">
        <f t="shared" si="2"/>
        <v>0</v>
      </c>
      <c r="J1347" s="4"/>
      <c r="K1347" s="4"/>
      <c r="L1347" s="4"/>
      <c r="M1347" s="4"/>
    </row>
    <row r="1348" ht="13.5" customHeight="1">
      <c r="A1348" s="4" t="str">
        <f t="shared" si="1"/>
        <v>LFW-EXORAXYG</v>
      </c>
      <c r="B1348" s="29" t="s">
        <v>1740</v>
      </c>
      <c r="C1348" s="28" t="s">
        <v>1741</v>
      </c>
      <c r="D1348" s="28" t="s">
        <v>22</v>
      </c>
      <c r="E1348" s="4" t="s">
        <v>16</v>
      </c>
      <c r="F1348" s="28" t="s">
        <v>125</v>
      </c>
      <c r="G1348" s="4">
        <f>SUMIFS(X!$F$5:$F$2005,X!$D$5:$D$2005,'Current Stock'!A1348)</f>
        <v>0</v>
      </c>
      <c r="H1348" s="4">
        <f>SUMIFS(PENJUALAN!$E$4:$E$11000,PENJUALAN!$C$4:$C$11000,'Current Stock'!A1348)</f>
        <v>0</v>
      </c>
      <c r="I1348" s="16">
        <f t="shared" si="2"/>
        <v>0</v>
      </c>
      <c r="J1348" s="4"/>
      <c r="K1348" s="4"/>
      <c r="L1348" s="4"/>
      <c r="M1348" s="4"/>
    </row>
    <row r="1349" ht="13.5" customHeight="1">
      <c r="A1349" s="4" t="str">
        <f t="shared" si="1"/>
        <v>TRW-EXORAXYG</v>
      </c>
      <c r="B1349" s="29" t="s">
        <v>1742</v>
      </c>
      <c r="C1349" s="28" t="s">
        <v>1741</v>
      </c>
      <c r="D1349" s="28" t="s">
        <v>41</v>
      </c>
      <c r="E1349" s="4" t="s">
        <v>16</v>
      </c>
      <c r="F1349" s="28" t="s">
        <v>67</v>
      </c>
      <c r="G1349" s="4">
        <f>SUMIFS(X!$F$5:$F$2005,X!$D$5:$D$2005,'Current Stock'!A1349)</f>
        <v>0</v>
      </c>
      <c r="H1349" s="4">
        <f>SUMIFS(PENJUALAN!$E$4:$E$11000,PENJUALAN!$C$4:$C$11000,'Current Stock'!A1349)</f>
        <v>0</v>
      </c>
      <c r="I1349" s="16">
        <f t="shared" si="2"/>
        <v>0</v>
      </c>
      <c r="J1349" s="4"/>
      <c r="K1349" s="4"/>
      <c r="L1349" s="60"/>
      <c r="M1349" s="4"/>
    </row>
    <row r="1350" ht="13.5" customHeight="1">
      <c r="A1350" s="4" t="str">
        <f t="shared" si="1"/>
        <v>LFW-PROTONGEN2XYG</v>
      </c>
      <c r="B1350" s="29" t="s">
        <v>1743</v>
      </c>
      <c r="C1350" s="30" t="s">
        <v>1744</v>
      </c>
      <c r="D1350" s="28" t="s">
        <v>22</v>
      </c>
      <c r="E1350" s="4" t="s">
        <v>16</v>
      </c>
      <c r="F1350" s="28" t="s">
        <v>125</v>
      </c>
      <c r="G1350" s="4">
        <f>SUMIFS(X!$F$5:$F$2005,X!$D$5:$D$2005,'Current Stock'!A1350)</f>
        <v>0</v>
      </c>
      <c r="H1350" s="4">
        <f>SUMIFS(PENJUALAN!$E$4:$E$11000,PENJUALAN!$C$4:$C$11000,'Current Stock'!A1350)</f>
        <v>0</v>
      </c>
      <c r="I1350" s="16">
        <f t="shared" si="2"/>
        <v>0</v>
      </c>
      <c r="J1350" s="4"/>
      <c r="K1350" s="4"/>
      <c r="L1350" s="4"/>
      <c r="M1350" s="4"/>
    </row>
    <row r="1351" ht="13.5" customHeight="1">
      <c r="A1351" s="4" t="str">
        <f t="shared" si="1"/>
        <v>LFW-SAGAXYG</v>
      </c>
      <c r="B1351" s="41" t="s">
        <v>1745</v>
      </c>
      <c r="C1351" s="30" t="s">
        <v>1746</v>
      </c>
      <c r="D1351" s="30" t="s">
        <v>22</v>
      </c>
      <c r="E1351" s="4" t="s">
        <v>16</v>
      </c>
      <c r="F1351" s="30" t="s">
        <v>125</v>
      </c>
      <c r="G1351" s="4">
        <f>SUMIFS(X!$F$5:$F$2005,X!$D$5:$D$2005,'Current Stock'!A1351)</f>
        <v>0</v>
      </c>
      <c r="H1351" s="4">
        <f>SUMIFS(PENJUALAN!$E$4:$E$11000,PENJUALAN!$C$4:$C$11000,'Current Stock'!A1351)</f>
        <v>0</v>
      </c>
      <c r="I1351" s="16">
        <f t="shared" si="2"/>
        <v>0</v>
      </c>
      <c r="J1351" s="4"/>
      <c r="K1351" s="4"/>
      <c r="L1351" s="4"/>
      <c r="M1351" s="4"/>
    </row>
    <row r="1352" ht="13.5" customHeight="1">
      <c r="A1352" s="4" t="str">
        <f t="shared" si="1"/>
        <v>LFW-SAVVYXYG</v>
      </c>
      <c r="B1352" s="41" t="s">
        <v>1747</v>
      </c>
      <c r="C1352" s="30" t="s">
        <v>1748</v>
      </c>
      <c r="D1352" s="30" t="s">
        <v>22</v>
      </c>
      <c r="E1352" s="4" t="s">
        <v>16</v>
      </c>
      <c r="F1352" s="28" t="s">
        <v>125</v>
      </c>
      <c r="G1352" s="4">
        <f>SUMIFS(X!$F$5:$F$2005,X!$D$5:$D$2005,'Current Stock'!A1352)</f>
        <v>0</v>
      </c>
      <c r="H1352" s="4">
        <f>SUMIFS(PENJUALAN!$E$4:$E$11000,PENJUALAN!$C$4:$C$11000,'Current Stock'!A1352)</f>
        <v>0</v>
      </c>
      <c r="I1352" s="16">
        <f t="shared" si="2"/>
        <v>0</v>
      </c>
      <c r="J1352" s="4"/>
      <c r="K1352" s="4"/>
      <c r="L1352" s="4"/>
      <c r="M1352" s="4"/>
    </row>
    <row r="1353" ht="13.5" customHeight="1">
      <c r="A1353" s="4" t="str">
        <f t="shared" si="1"/>
        <v>LFW-RANGEROVER2DXYG</v>
      </c>
      <c r="B1353" s="29" t="s">
        <v>1749</v>
      </c>
      <c r="C1353" s="28" t="s">
        <v>1750</v>
      </c>
      <c r="D1353" s="28" t="s">
        <v>22</v>
      </c>
      <c r="E1353" s="4" t="s">
        <v>16</v>
      </c>
      <c r="F1353" s="28" t="s">
        <v>23</v>
      </c>
      <c r="G1353" s="4">
        <f>SUMIFS(X!$F$5:$F$2005,X!$D$5:$D$2005,'Current Stock'!A1353)</f>
        <v>0</v>
      </c>
      <c r="H1353" s="4">
        <f>SUMIFS(PENJUALAN!$E$4:$E$11000,PENJUALAN!$C$4:$C$11000,'Current Stock'!A1353)</f>
        <v>0</v>
      </c>
      <c r="I1353" s="16">
        <f t="shared" si="2"/>
        <v>0</v>
      </c>
      <c r="J1353" s="4"/>
      <c r="K1353" s="4"/>
      <c r="L1353" s="4"/>
      <c r="M1353" s="4"/>
    </row>
    <row r="1354" ht="13.5" customHeight="1">
      <c r="A1354" s="4" t="str">
        <f t="shared" si="1"/>
        <v>TRW-RANGEROVER2DXYG</v>
      </c>
      <c r="B1354" s="29" t="s">
        <v>1751</v>
      </c>
      <c r="C1354" s="28" t="s">
        <v>1752</v>
      </c>
      <c r="D1354" s="30" t="s">
        <v>41</v>
      </c>
      <c r="E1354" s="4" t="s">
        <v>16</v>
      </c>
      <c r="F1354" s="30" t="s">
        <v>67</v>
      </c>
      <c r="G1354" s="4">
        <f>SUMIFS(X!$F$5:$F$2005,X!$D$5:$D$2005,'Current Stock'!A1354)</f>
        <v>0</v>
      </c>
      <c r="H1354" s="4">
        <f>SUMIFS(PENJUALAN!$E$4:$E$11000,PENJUALAN!$C$4:$C$11000,'Current Stock'!A1354)</f>
        <v>0</v>
      </c>
      <c r="I1354" s="16">
        <f t="shared" si="2"/>
        <v>0</v>
      </c>
      <c r="J1354" s="4"/>
      <c r="K1354" s="4"/>
      <c r="L1354" s="4"/>
      <c r="M1354" s="4"/>
    </row>
    <row r="1355" ht="13.5" customHeight="1">
      <c r="A1355" s="4" t="str">
        <f t="shared" si="1"/>
        <v>FDL-RANGEROVER2DXYG</v>
      </c>
      <c r="B1355" s="29" t="s">
        <v>1753</v>
      </c>
      <c r="C1355" s="28" t="s">
        <v>1754</v>
      </c>
      <c r="D1355" s="30" t="s">
        <v>128</v>
      </c>
      <c r="E1355" s="4" t="s">
        <v>16</v>
      </c>
      <c r="F1355" s="30"/>
      <c r="G1355" s="4">
        <f>SUMIFS(X!$F$5:$F$2005,X!$D$5:$D$2005,'Current Stock'!A1355)</f>
        <v>0</v>
      </c>
      <c r="H1355" s="4">
        <f>SUMIFS(PENJUALAN!$E$4:$E$11000,PENJUALAN!$C$4:$C$11000,'Current Stock'!A1355)</f>
        <v>0</v>
      </c>
      <c r="I1355" s="16">
        <f t="shared" si="2"/>
        <v>0</v>
      </c>
      <c r="J1355" s="4"/>
      <c r="K1355" s="4"/>
      <c r="L1355" s="4"/>
      <c r="M1355" s="4"/>
    </row>
    <row r="1356" ht="13.5" customHeight="1">
      <c r="A1356" s="4" t="str">
        <f t="shared" si="1"/>
        <v>FDR-RANGEROVER2DXYG</v>
      </c>
      <c r="B1356" s="29" t="s">
        <v>1755</v>
      </c>
      <c r="C1356" s="28" t="s">
        <v>1754</v>
      </c>
      <c r="D1356" s="30" t="s">
        <v>130</v>
      </c>
      <c r="E1356" s="4" t="s">
        <v>16</v>
      </c>
      <c r="F1356" s="30"/>
      <c r="G1356" s="4">
        <f>SUMIFS(X!$F$5:$F$2005,X!$D$5:$D$2005,'Current Stock'!A1356)</f>
        <v>0</v>
      </c>
      <c r="H1356" s="4">
        <f>SUMIFS(PENJUALAN!$E$4:$E$11000,PENJUALAN!$C$4:$C$11000,'Current Stock'!A1356)</f>
        <v>0</v>
      </c>
      <c r="I1356" s="16">
        <f t="shared" si="2"/>
        <v>0</v>
      </c>
      <c r="J1356" s="4"/>
      <c r="K1356" s="4"/>
      <c r="L1356" s="4"/>
      <c r="M1356" s="4"/>
    </row>
    <row r="1357" ht="13.5" customHeight="1">
      <c r="A1357" s="4" t="str">
        <f t="shared" si="1"/>
        <v>SWL-RANGEROVER2DXYG</v>
      </c>
      <c r="B1357" s="29" t="s">
        <v>1756</v>
      </c>
      <c r="C1357" s="28" t="s">
        <v>1754</v>
      </c>
      <c r="D1357" s="30" t="s">
        <v>202</v>
      </c>
      <c r="E1357" s="4" t="s">
        <v>16</v>
      </c>
      <c r="F1357" s="30"/>
      <c r="G1357" s="4">
        <f>SUMIFS(X!$F$5:$F$2005,X!$D$5:$D$2005,'Current Stock'!A1357)</f>
        <v>0</v>
      </c>
      <c r="H1357" s="4">
        <f>SUMIFS(PENJUALAN!$E$4:$E$11000,PENJUALAN!$C$4:$C$11000,'Current Stock'!A1357)</f>
        <v>0</v>
      </c>
      <c r="I1357" s="16">
        <f t="shared" si="2"/>
        <v>0</v>
      </c>
      <c r="J1357" s="4"/>
      <c r="K1357" s="4"/>
      <c r="L1357" s="4"/>
      <c r="M1357" s="4"/>
    </row>
    <row r="1358" ht="13.5" customHeight="1">
      <c r="A1358" s="4" t="str">
        <f t="shared" si="1"/>
        <v>SWR-RANGEROVER2DXYG</v>
      </c>
      <c r="B1358" s="29" t="s">
        <v>1757</v>
      </c>
      <c r="C1358" s="28" t="s">
        <v>1754</v>
      </c>
      <c r="D1358" s="30" t="s">
        <v>236</v>
      </c>
      <c r="E1358" s="4" t="s">
        <v>16</v>
      </c>
      <c r="F1358" s="30"/>
      <c r="G1358" s="4">
        <f>SUMIFS(X!$F$5:$F$2005,X!$D$5:$D$2005,'Current Stock'!A1358)</f>
        <v>0</v>
      </c>
      <c r="H1358" s="4">
        <f>SUMIFS(PENJUALAN!$E$4:$E$11000,PENJUALAN!$C$4:$C$11000,'Current Stock'!A1358)</f>
        <v>0</v>
      </c>
      <c r="I1358" s="16">
        <f t="shared" si="2"/>
        <v>0</v>
      </c>
      <c r="J1358" s="4"/>
      <c r="K1358" s="4"/>
      <c r="L1358" s="4"/>
      <c r="M1358" s="4"/>
    </row>
    <row r="1359" ht="13.5" customHeight="1">
      <c r="A1359" s="4" t="str">
        <f t="shared" si="1"/>
        <v>LFW-RANGEROVER4DXYG</v>
      </c>
      <c r="B1359" s="29" t="s">
        <v>1015</v>
      </c>
      <c r="C1359" s="30" t="s">
        <v>1016</v>
      </c>
      <c r="D1359" s="28" t="s">
        <v>22</v>
      </c>
      <c r="E1359" s="4" t="s">
        <v>16</v>
      </c>
      <c r="F1359" s="28" t="s">
        <v>23</v>
      </c>
      <c r="G1359" s="4">
        <f>SUMIFS(X!$F$5:$F$2005,X!$D$5:$D$2005,'Current Stock'!A1359)</f>
        <v>0</v>
      </c>
      <c r="H1359" s="4">
        <f>SUMIFS(PENJUALAN!$E$4:$E$11000,PENJUALAN!$C$4:$C$11000,'Current Stock'!A1359)</f>
        <v>0</v>
      </c>
      <c r="I1359" s="16">
        <f t="shared" si="2"/>
        <v>0</v>
      </c>
      <c r="J1359" s="4"/>
      <c r="K1359" s="4"/>
      <c r="L1359" s="4"/>
      <c r="M1359" s="4"/>
    </row>
    <row r="1360" ht="13.5" customHeight="1">
      <c r="A1360" s="4" t="str">
        <f t="shared" si="1"/>
        <v>LFW-RANGEROVER4DRS3XYG</v>
      </c>
      <c r="B1360" s="29" t="s">
        <v>1758</v>
      </c>
      <c r="C1360" s="30" t="s">
        <v>1759</v>
      </c>
      <c r="D1360" s="30" t="s">
        <v>22</v>
      </c>
      <c r="E1360" s="4" t="s">
        <v>16</v>
      </c>
      <c r="F1360" s="30" t="s">
        <v>23</v>
      </c>
      <c r="G1360" s="4">
        <f>SUMIFS(X!$F$5:$F$2005,X!$D$5:$D$2005,'Current Stock'!A1360)</f>
        <v>0</v>
      </c>
      <c r="H1360" s="4">
        <f>SUMIFS(PENJUALAN!$E$4:$E$11000,PENJUALAN!$C$4:$C$11000,'Current Stock'!A1360)</f>
        <v>0</v>
      </c>
      <c r="I1360" s="16">
        <f t="shared" si="2"/>
        <v>0</v>
      </c>
      <c r="J1360" s="4"/>
      <c r="K1360" s="4"/>
      <c r="L1360" s="4"/>
      <c r="M1360" s="4"/>
    </row>
    <row r="1361" ht="13.5" customHeight="1">
      <c r="A1361" s="4" t="str">
        <f t="shared" si="1"/>
        <v>LFW-TARUNAMU</v>
      </c>
      <c r="B1361" s="29" t="s">
        <v>1760</v>
      </c>
      <c r="C1361" s="30" t="s">
        <v>1761</v>
      </c>
      <c r="D1361" s="30" t="s">
        <v>22</v>
      </c>
      <c r="E1361" s="4" t="s">
        <v>1361</v>
      </c>
      <c r="F1361" s="28" t="s">
        <v>97</v>
      </c>
      <c r="G1361" s="4">
        <f>SUMIFS(X!$F$5:$F$2005,X!$D$5:$D$2005,'Current Stock'!A1361)</f>
        <v>7</v>
      </c>
      <c r="H1361" s="4">
        <f>SUMIFS(PENJUALAN!$E$4:$E$11000,PENJUALAN!$C$4:$C$11000,'Current Stock'!A1361)</f>
        <v>7</v>
      </c>
      <c r="I1361" s="16">
        <f t="shared" si="2"/>
        <v>0</v>
      </c>
      <c r="J1361" s="15" t="s">
        <v>1716</v>
      </c>
      <c r="K1361" s="15"/>
      <c r="L1361" s="5">
        <v>1.0</v>
      </c>
      <c r="M1361" s="4"/>
    </row>
    <row r="1362" ht="13.5" customHeight="1">
      <c r="A1362" s="4" t="str">
        <f t="shared" si="1"/>
        <v>LFW-AERIOXYG</v>
      </c>
      <c r="B1362" s="29" t="s">
        <v>1762</v>
      </c>
      <c r="C1362" s="28" t="s">
        <v>1763</v>
      </c>
      <c r="D1362" s="30" t="s">
        <v>22</v>
      </c>
      <c r="E1362" s="4" t="s">
        <v>16</v>
      </c>
      <c r="F1362" s="28" t="s">
        <v>125</v>
      </c>
      <c r="G1362" s="4">
        <f>SUMIFS(X!$F$5:$F$2005,X!$D$5:$D$2005,'Current Stock'!A1362)</f>
        <v>0</v>
      </c>
      <c r="H1362" s="4">
        <f>SUMIFS(PENJUALAN!$E$4:$E$11000,PENJUALAN!$C$4:$C$11000,'Current Stock'!A1362)</f>
        <v>0</v>
      </c>
      <c r="I1362" s="16">
        <f t="shared" si="2"/>
        <v>0</v>
      </c>
      <c r="J1362" s="4"/>
      <c r="K1362" s="4"/>
      <c r="L1362" s="4"/>
      <c r="M1362" s="4"/>
    </row>
    <row r="1363" ht="13.5" customHeight="1">
      <c r="A1363" s="4" t="str">
        <f t="shared" si="1"/>
        <v>TRW-AERIOXYG</v>
      </c>
      <c r="B1363" s="29" t="s">
        <v>1019</v>
      </c>
      <c r="C1363" s="28" t="s">
        <v>1020</v>
      </c>
      <c r="D1363" s="28" t="s">
        <v>41</v>
      </c>
      <c r="E1363" s="4" t="s">
        <v>16</v>
      </c>
      <c r="F1363" s="28" t="s">
        <v>67</v>
      </c>
      <c r="G1363" s="4">
        <f>SUMIFS(X!$F$5:$F$2005,X!$D$5:$D$2005,'Current Stock'!A1363)</f>
        <v>0</v>
      </c>
      <c r="H1363" s="4">
        <f>SUMIFS(PENJUALAN!$E$4:$E$11000,PENJUALAN!$C$4:$C$11000,'Current Stock'!A1363)</f>
        <v>0</v>
      </c>
      <c r="I1363" s="16">
        <f t="shared" si="2"/>
        <v>0</v>
      </c>
      <c r="J1363" s="4"/>
      <c r="K1363" s="4"/>
      <c r="L1363" s="4"/>
      <c r="M1363" s="4"/>
    </row>
    <row r="1364" ht="13.5" customHeight="1">
      <c r="A1364" s="4" t="str">
        <f t="shared" si="1"/>
        <v>TRW-SIGRA16MU</v>
      </c>
      <c r="B1364" s="61" t="s">
        <v>1764</v>
      </c>
      <c r="C1364" s="30" t="s">
        <v>1517</v>
      </c>
      <c r="D1364" s="30" t="s">
        <v>41</v>
      </c>
      <c r="E1364" s="4" t="s">
        <v>1361</v>
      </c>
      <c r="F1364" s="28"/>
      <c r="G1364" s="4">
        <f>SUMIFS(X!$F$5:$F$2005,X!$D$5:$D$2005,'Current Stock'!A1364)</f>
        <v>40</v>
      </c>
      <c r="H1364" s="4">
        <f>SUMIFS(PENJUALAN!$E$4:$E$11000,PENJUALAN!$C$4:$C$11000,'Current Stock'!A1364)</f>
        <v>36</v>
      </c>
      <c r="I1364" s="16">
        <f t="shared" si="2"/>
        <v>4</v>
      </c>
      <c r="J1364" s="15" t="s">
        <v>1765</v>
      </c>
      <c r="K1364" s="15"/>
      <c r="L1364" s="5">
        <v>2.0</v>
      </c>
      <c r="M1364" s="4"/>
    </row>
    <row r="1365" ht="13.5" customHeight="1">
      <c r="A1365" s="4" t="str">
        <f t="shared" si="1"/>
        <v>LFW-BALENO96XYG</v>
      </c>
      <c r="B1365" s="29" t="s">
        <v>1766</v>
      </c>
      <c r="C1365" s="30" t="s">
        <v>1767</v>
      </c>
      <c r="D1365" s="30" t="s">
        <v>22</v>
      </c>
      <c r="E1365" s="4" t="s">
        <v>16</v>
      </c>
      <c r="F1365" s="28" t="s">
        <v>97</v>
      </c>
      <c r="G1365" s="4">
        <f>SUMIFS(X!$F$5:$F$2005,X!$D$5:$D$2005,'Current Stock'!A1365)</f>
        <v>0</v>
      </c>
      <c r="H1365" s="4">
        <f>SUMIFS(PENJUALAN!$E$4:$E$11000,PENJUALAN!$C$4:$C$11000,'Current Stock'!A1365)</f>
        <v>0</v>
      </c>
      <c r="I1365" s="16">
        <f t="shared" si="2"/>
        <v>0</v>
      </c>
      <c r="J1365" s="4"/>
      <c r="K1365" s="4"/>
      <c r="L1365" s="4"/>
      <c r="M1365" s="4"/>
    </row>
    <row r="1366" ht="13.5" customHeight="1">
      <c r="A1366" s="4" t="str">
        <f t="shared" si="1"/>
        <v>LFW-AVANZA21MU</v>
      </c>
      <c r="B1366" s="41" t="s">
        <v>1768</v>
      </c>
      <c r="C1366" s="30" t="s">
        <v>1769</v>
      </c>
      <c r="D1366" s="30" t="s">
        <v>22</v>
      </c>
      <c r="E1366" s="4" t="s">
        <v>1361</v>
      </c>
      <c r="F1366" s="28" t="s">
        <v>125</v>
      </c>
      <c r="G1366" s="4">
        <f>SUMIFS(X!$F$5:$F$2005,X!$D$5:$D$2005,'Current Stock'!A1366)</f>
        <v>24</v>
      </c>
      <c r="H1366" s="4">
        <f>SUMIFS(PENJUALAN!$E$4:$E$11000,PENJUALAN!$C$4:$C$11000,'Current Stock'!A1366)</f>
        <v>22</v>
      </c>
      <c r="I1366" s="16">
        <f t="shared" si="2"/>
        <v>2</v>
      </c>
      <c r="J1366" s="15" t="s">
        <v>1770</v>
      </c>
      <c r="K1366" s="15"/>
      <c r="L1366" s="5">
        <v>1.0</v>
      </c>
      <c r="M1366" s="4"/>
    </row>
    <row r="1367" ht="13.5" customHeight="1">
      <c r="A1367" s="4" t="str">
        <f t="shared" si="1"/>
        <v>TRW-BALENO01XYG</v>
      </c>
      <c r="B1367" s="29" t="s">
        <v>1771</v>
      </c>
      <c r="C1367" s="28" t="s">
        <v>1772</v>
      </c>
      <c r="D1367" s="28" t="s">
        <v>41</v>
      </c>
      <c r="E1367" s="4" t="s">
        <v>16</v>
      </c>
      <c r="F1367" s="28" t="s">
        <v>67</v>
      </c>
      <c r="G1367" s="4">
        <f>SUMIFS(X!$F$5:$F$2005,X!$D$5:$D$2005,'Current Stock'!A1367)</f>
        <v>1</v>
      </c>
      <c r="H1367" s="4">
        <f>SUMIFS(PENJUALAN!$E$4:$E$11000,PENJUALAN!$C$4:$C$11000,'Current Stock'!A1367)</f>
        <v>0</v>
      </c>
      <c r="I1367" s="16">
        <f t="shared" si="2"/>
        <v>1</v>
      </c>
      <c r="J1367" s="15" t="s">
        <v>1499</v>
      </c>
      <c r="K1367" s="15"/>
      <c r="L1367" s="4"/>
      <c r="M1367" s="4"/>
    </row>
    <row r="1368" ht="13.5" customHeight="1">
      <c r="A1368" s="4" t="str">
        <f t="shared" si="1"/>
        <v>SWL-SIGRA16MU</v>
      </c>
      <c r="B1368" s="29" t="s">
        <v>1773</v>
      </c>
      <c r="C1368" s="28" t="s">
        <v>1517</v>
      </c>
      <c r="D1368" s="28" t="s">
        <v>1434</v>
      </c>
      <c r="E1368" s="4" t="s">
        <v>1361</v>
      </c>
      <c r="F1368" s="28"/>
      <c r="G1368" s="4">
        <f>SUMIFS(X!$F$5:$F$2005,X!$D$5:$D$2005,'Current Stock'!A1368)</f>
        <v>10</v>
      </c>
      <c r="H1368" s="4">
        <f>SUMIFS(PENJUALAN!$E$4:$E$11000,PENJUALAN!$C$4:$C$11000,'Current Stock'!A1368)</f>
        <v>4</v>
      </c>
      <c r="I1368" s="16">
        <f t="shared" si="2"/>
        <v>6</v>
      </c>
      <c r="J1368" s="15" t="s">
        <v>1473</v>
      </c>
      <c r="K1368" s="15"/>
      <c r="L1368" s="5">
        <v>1.0</v>
      </c>
      <c r="M1368" s="4"/>
    </row>
    <row r="1369" ht="13.5" customHeight="1">
      <c r="A1369" s="4" t="str">
        <f t="shared" si="1"/>
        <v>TRW-BALENOSX408XYG</v>
      </c>
      <c r="B1369" s="29" t="s">
        <v>1774</v>
      </c>
      <c r="C1369" s="28" t="s">
        <v>1775</v>
      </c>
      <c r="D1369" s="28" t="s">
        <v>41</v>
      </c>
      <c r="E1369" s="4" t="s">
        <v>16</v>
      </c>
      <c r="F1369" s="28" t="s">
        <v>67</v>
      </c>
      <c r="G1369" s="4">
        <f>SUMIFS(X!$F$5:$F$2005,X!$D$5:$D$2005,'Current Stock'!A1369)</f>
        <v>0</v>
      </c>
      <c r="H1369" s="4">
        <f>SUMIFS(PENJUALAN!$E$4:$E$11000,PENJUALAN!$C$4:$C$11000,'Current Stock'!A1369)</f>
        <v>0</v>
      </c>
      <c r="I1369" s="16">
        <f t="shared" si="2"/>
        <v>0</v>
      </c>
      <c r="J1369" s="4"/>
      <c r="K1369" s="4"/>
      <c r="L1369" s="4"/>
      <c r="M1369" s="4"/>
    </row>
    <row r="1370" ht="13.5" customHeight="1">
      <c r="A1370" s="4" t="str">
        <f t="shared" si="1"/>
        <v>SWR-BALENOSX408XYG</v>
      </c>
      <c r="B1370" s="29" t="s">
        <v>1776</v>
      </c>
      <c r="C1370" s="28" t="s">
        <v>1775</v>
      </c>
      <c r="D1370" s="28" t="s">
        <v>236</v>
      </c>
      <c r="E1370" s="4" t="s">
        <v>16</v>
      </c>
      <c r="F1370" s="28" t="s">
        <v>97</v>
      </c>
      <c r="G1370" s="4">
        <f>SUMIFS(X!$F$5:$F$2005,X!$D$5:$D$2005,'Current Stock'!A1370)</f>
        <v>1</v>
      </c>
      <c r="H1370" s="4">
        <f>SUMIFS(PENJUALAN!$E$4:$E$11000,PENJUALAN!$C$4:$C$11000,'Current Stock'!A1370)</f>
        <v>1</v>
      </c>
      <c r="I1370" s="16">
        <f t="shared" si="2"/>
        <v>0</v>
      </c>
      <c r="J1370" s="4"/>
      <c r="K1370" s="4"/>
      <c r="L1370" s="4"/>
      <c r="M1370" s="4"/>
    </row>
    <row r="1371" ht="13.5" customHeight="1">
      <c r="A1371" s="4" t="str">
        <f t="shared" si="1"/>
        <v>SWL-BALENOSX408XYG</v>
      </c>
      <c r="B1371" s="29" t="s">
        <v>1777</v>
      </c>
      <c r="C1371" s="28" t="s">
        <v>1775</v>
      </c>
      <c r="D1371" s="28" t="s">
        <v>202</v>
      </c>
      <c r="E1371" s="4" t="s">
        <v>16</v>
      </c>
      <c r="F1371" s="28" t="s">
        <v>97</v>
      </c>
      <c r="G1371" s="4">
        <f>SUMIFS(X!$F$5:$F$2005,X!$D$5:$D$2005,'Current Stock'!A1371)</f>
        <v>0</v>
      </c>
      <c r="H1371" s="4">
        <f>SUMIFS(PENJUALAN!$E$4:$E$11000,PENJUALAN!$C$4:$C$11000,'Current Stock'!A1371)</f>
        <v>0</v>
      </c>
      <c r="I1371" s="16">
        <f t="shared" si="2"/>
        <v>0</v>
      </c>
      <c r="J1371" s="4"/>
      <c r="K1371" s="4"/>
      <c r="L1371" s="4"/>
      <c r="M1371" s="4"/>
    </row>
    <row r="1372" ht="13.5" customHeight="1">
      <c r="A1372" s="4" t="str">
        <f t="shared" si="1"/>
        <v>TRW-BALENONEO08XYG</v>
      </c>
      <c r="B1372" s="29" t="s">
        <v>1778</v>
      </c>
      <c r="C1372" s="28" t="s">
        <v>1779</v>
      </c>
      <c r="D1372" s="28" t="s">
        <v>41</v>
      </c>
      <c r="E1372" s="4" t="s">
        <v>16</v>
      </c>
      <c r="F1372" s="28" t="s">
        <v>67</v>
      </c>
      <c r="G1372" s="4">
        <f>SUMIFS(X!$F$5:$F$2005,X!$D$5:$D$2005,'Current Stock'!A1372)</f>
        <v>0</v>
      </c>
      <c r="H1372" s="4">
        <f>SUMIFS(PENJUALAN!$E$4:$E$11000,PENJUALAN!$C$4:$C$11000,'Current Stock'!A1372)</f>
        <v>0</v>
      </c>
      <c r="I1372" s="16">
        <f t="shared" si="2"/>
        <v>0</v>
      </c>
      <c r="J1372" s="4"/>
      <c r="K1372" s="4"/>
      <c r="L1372" s="4"/>
      <c r="M1372" s="4"/>
    </row>
    <row r="1373" ht="13.5" customHeight="1">
      <c r="A1373" s="4" t="str">
        <f t="shared" si="1"/>
        <v>LFW-PANTHER00XYG</v>
      </c>
      <c r="B1373" s="29" t="s">
        <v>1780</v>
      </c>
      <c r="C1373" s="28" t="s">
        <v>1781</v>
      </c>
      <c r="D1373" s="28" t="s">
        <v>22</v>
      </c>
      <c r="E1373" s="4" t="s">
        <v>16</v>
      </c>
      <c r="F1373" s="33" t="s">
        <v>97</v>
      </c>
      <c r="G1373" s="4">
        <f>SUMIFS(X!$F$5:$F$2005,X!$D$5:$D$2005,'Current Stock'!A1373)</f>
        <v>13</v>
      </c>
      <c r="H1373" s="4">
        <f>SUMIFS(PENJUALAN!$E$4:$E$11000,PENJUALAN!$C$4:$C$11000,'Current Stock'!A1373)</f>
        <v>13</v>
      </c>
      <c r="I1373" s="16">
        <f t="shared" si="2"/>
        <v>0</v>
      </c>
      <c r="J1373" s="15" t="s">
        <v>1419</v>
      </c>
      <c r="K1373" s="15"/>
      <c r="L1373" s="4"/>
      <c r="M1373" s="4"/>
    </row>
    <row r="1374" ht="13.5" customHeight="1">
      <c r="A1374" s="4" t="str">
        <f t="shared" si="1"/>
        <v>TRW-BALENO15XYG</v>
      </c>
      <c r="B1374" s="41" t="s">
        <v>1782</v>
      </c>
      <c r="C1374" s="28" t="s">
        <v>1783</v>
      </c>
      <c r="D1374" s="28" t="s">
        <v>41</v>
      </c>
      <c r="E1374" s="4" t="s">
        <v>16</v>
      </c>
      <c r="F1374" s="28" t="s">
        <v>67</v>
      </c>
      <c r="G1374" s="4">
        <f>SUMIFS(X!$F$5:$F$2005,X!$D$5:$D$2005,'Current Stock'!A1374)</f>
        <v>1</v>
      </c>
      <c r="H1374" s="4">
        <f>SUMIFS(PENJUALAN!$E$4:$E$11000,PENJUALAN!$C$4:$C$11000,'Current Stock'!A1374)</f>
        <v>1</v>
      </c>
      <c r="I1374" s="16">
        <f t="shared" si="2"/>
        <v>0</v>
      </c>
      <c r="J1374" s="4"/>
      <c r="K1374" s="4"/>
      <c r="L1374" s="4"/>
      <c r="M1374" s="4"/>
    </row>
    <row r="1375" ht="13.5" customHeight="1">
      <c r="A1375" s="4" t="str">
        <f t="shared" si="1"/>
        <v>LFW-CARRYFUTURAXYG</v>
      </c>
      <c r="B1375" s="29" t="s">
        <v>1784</v>
      </c>
      <c r="C1375" s="28" t="s">
        <v>1785</v>
      </c>
      <c r="D1375" s="28" t="s">
        <v>22</v>
      </c>
      <c r="E1375" s="4" t="s">
        <v>16</v>
      </c>
      <c r="F1375" s="28"/>
      <c r="G1375" s="4">
        <f>SUMIFS(X!$F$5:$F$2005,X!$D$5:$D$2005,'Current Stock'!A1375)</f>
        <v>0</v>
      </c>
      <c r="H1375" s="4">
        <f>SUMIFS(PENJUALAN!$E$4:$E$11000,PENJUALAN!$C$4:$C$11000,'Current Stock'!A1375)</f>
        <v>0</v>
      </c>
      <c r="I1375" s="16">
        <f t="shared" si="2"/>
        <v>0</v>
      </c>
      <c r="J1375" s="4"/>
      <c r="K1375" s="4"/>
      <c r="L1375" s="4"/>
      <c r="M1375" s="4"/>
    </row>
    <row r="1376" ht="13.5" customHeight="1">
      <c r="A1376" s="4" t="str">
        <f t="shared" si="1"/>
        <v>LFW-DMAX2XYG</v>
      </c>
      <c r="B1376" s="29" t="s">
        <v>1786</v>
      </c>
      <c r="C1376" s="28" t="s">
        <v>1787</v>
      </c>
      <c r="D1376" s="28" t="s">
        <v>22</v>
      </c>
      <c r="E1376" s="4" t="s">
        <v>16</v>
      </c>
      <c r="F1376" s="28" t="s">
        <v>125</v>
      </c>
      <c r="G1376" s="4">
        <f>SUMIFS(X!$F$5:$F$2005,X!$D$5:$D$2005,'Current Stock'!A1376)</f>
        <v>3</v>
      </c>
      <c r="H1376" s="4">
        <f>SUMIFS(PENJUALAN!$E$4:$E$11000,PENJUALAN!$C$4:$C$11000,'Current Stock'!A1376)</f>
        <v>2</v>
      </c>
      <c r="I1376" s="16">
        <f t="shared" si="2"/>
        <v>1</v>
      </c>
      <c r="J1376" s="4"/>
      <c r="K1376" s="4"/>
      <c r="L1376" s="4"/>
      <c r="M1376" s="4"/>
    </row>
    <row r="1377" ht="13.5" customHeight="1">
      <c r="A1377" s="4" t="str">
        <f t="shared" si="1"/>
        <v>LFW-RUBICON18XYG</v>
      </c>
      <c r="B1377" s="29" t="s">
        <v>1788</v>
      </c>
      <c r="C1377" s="30" t="s">
        <v>1789</v>
      </c>
      <c r="D1377" s="30" t="s">
        <v>22</v>
      </c>
      <c r="E1377" s="4" t="s">
        <v>16</v>
      </c>
      <c r="F1377" s="62" t="s">
        <v>97</v>
      </c>
      <c r="G1377" s="4">
        <f>SUMIFS(X!$F$5:$F$2005,X!$D$5:$D$2005,'Current Stock'!A1377)</f>
        <v>1</v>
      </c>
      <c r="H1377" s="4">
        <f>SUMIFS(PENJUALAN!$E$4:$E$11000,PENJUALAN!$C$4:$C$11000,'Current Stock'!A1377)</f>
        <v>1</v>
      </c>
      <c r="I1377" s="16">
        <f t="shared" si="2"/>
        <v>0</v>
      </c>
      <c r="J1377" s="15" t="s">
        <v>1435</v>
      </c>
      <c r="K1377" s="15"/>
      <c r="L1377" s="4"/>
      <c r="M1377" s="4"/>
    </row>
    <row r="1378" ht="13.5" customHeight="1">
      <c r="A1378" s="4" t="str">
        <f t="shared" si="1"/>
        <v>LFW-BALENO08XYG</v>
      </c>
      <c r="B1378" s="29" t="s">
        <v>1790</v>
      </c>
      <c r="C1378" s="28" t="s">
        <v>1791</v>
      </c>
      <c r="D1378" s="28" t="s">
        <v>22</v>
      </c>
      <c r="E1378" s="4" t="s">
        <v>16</v>
      </c>
      <c r="F1378" s="28" t="s">
        <v>125</v>
      </c>
      <c r="G1378" s="4">
        <f>SUMIFS(X!$F$5:$F$2005,X!$D$5:$D$2005,'Current Stock'!A1378)</f>
        <v>5</v>
      </c>
      <c r="H1378" s="4">
        <f>SUMIFS(PENJUALAN!$E$4:$E$11000,PENJUALAN!$C$4:$C$11000,'Current Stock'!A1378)</f>
        <v>4</v>
      </c>
      <c r="I1378" s="16">
        <f t="shared" si="2"/>
        <v>1</v>
      </c>
      <c r="J1378" s="15" t="s">
        <v>1792</v>
      </c>
      <c r="K1378" s="15"/>
      <c r="L1378" s="4"/>
      <c r="M1378" s="4"/>
    </row>
    <row r="1379" ht="13.5" customHeight="1">
      <c r="A1379" s="4" t="str">
        <f t="shared" si="1"/>
        <v>LFW-ERTIGA18XYG</v>
      </c>
      <c r="B1379" s="29" t="s">
        <v>1793</v>
      </c>
      <c r="C1379" s="28" t="s">
        <v>1794</v>
      </c>
      <c r="D1379" s="28" t="s">
        <v>22</v>
      </c>
      <c r="E1379" s="4" t="s">
        <v>16</v>
      </c>
      <c r="F1379" s="28" t="s">
        <v>97</v>
      </c>
      <c r="G1379" s="4">
        <f>SUMIFS(X!$F$5:$F$2005,X!$D$5:$D$2005,'Current Stock'!A1379)</f>
        <v>0</v>
      </c>
      <c r="H1379" s="4">
        <f>SUMIFS(PENJUALAN!$E$4:$E$11000,PENJUALAN!$C$4:$C$11000,'Current Stock'!A1379)</f>
        <v>0</v>
      </c>
      <c r="I1379" s="16">
        <f t="shared" si="2"/>
        <v>0</v>
      </c>
      <c r="J1379" s="4"/>
      <c r="K1379" s="4"/>
      <c r="L1379" s="4"/>
      <c r="M1379" s="4"/>
    </row>
    <row r="1380" ht="13.5" customHeight="1">
      <c r="A1380" s="4" t="str">
        <f t="shared" si="1"/>
        <v>TRW-ERTIGA18XYG</v>
      </c>
      <c r="B1380" s="41" t="s">
        <v>1795</v>
      </c>
      <c r="C1380" s="28" t="s">
        <v>1794</v>
      </c>
      <c r="D1380" s="28" t="s">
        <v>41</v>
      </c>
      <c r="E1380" s="4" t="s">
        <v>16</v>
      </c>
      <c r="F1380" s="28" t="s">
        <v>67</v>
      </c>
      <c r="G1380" s="4">
        <f>SUMIFS(X!$F$5:$F$2005,X!$D$5:$D$2005,'Current Stock'!A1380)</f>
        <v>0</v>
      </c>
      <c r="H1380" s="4">
        <f>SUMIFS(PENJUALAN!$E$4:$E$11000,PENJUALAN!$C$4:$C$11000,'Current Stock'!A1380)</f>
        <v>0</v>
      </c>
      <c r="I1380" s="16">
        <f t="shared" si="2"/>
        <v>0</v>
      </c>
      <c r="J1380" s="4"/>
      <c r="K1380" s="4"/>
      <c r="L1380" s="5">
        <v>1.0</v>
      </c>
      <c r="M1380" s="4"/>
    </row>
    <row r="1381" ht="13.5" customHeight="1">
      <c r="A1381" s="4" t="str">
        <f t="shared" si="1"/>
        <v>LFW-ESCUDO00XYG</v>
      </c>
      <c r="B1381" s="29" t="s">
        <v>1796</v>
      </c>
      <c r="C1381" s="30" t="s">
        <v>1797</v>
      </c>
      <c r="D1381" s="30" t="s">
        <v>22</v>
      </c>
      <c r="E1381" s="4" t="s">
        <v>16</v>
      </c>
      <c r="F1381" s="28" t="s">
        <v>125</v>
      </c>
      <c r="G1381" s="4">
        <f>SUMIFS(X!$F$5:$F$2005,X!$D$5:$D$2005,'Current Stock'!A1381)</f>
        <v>0</v>
      </c>
      <c r="H1381" s="4">
        <f>SUMIFS(PENJUALAN!$E$4:$E$11000,PENJUALAN!$C$4:$C$11000,'Current Stock'!A1381)</f>
        <v>0</v>
      </c>
      <c r="I1381" s="16">
        <f t="shared" si="2"/>
        <v>0</v>
      </c>
      <c r="J1381" s="4"/>
      <c r="K1381" s="4"/>
      <c r="L1381" s="4"/>
      <c r="M1381" s="4"/>
    </row>
    <row r="1382" ht="13.5" customHeight="1">
      <c r="A1382" s="4" t="str">
        <f t="shared" si="1"/>
        <v>TRW-T31XYG</v>
      </c>
      <c r="B1382" s="29" t="s">
        <v>992</v>
      </c>
      <c r="C1382" s="28" t="s">
        <v>991</v>
      </c>
      <c r="D1382" s="28" t="s">
        <v>41</v>
      </c>
      <c r="E1382" s="4" t="s">
        <v>16</v>
      </c>
      <c r="F1382" s="28" t="s">
        <v>221</v>
      </c>
      <c r="G1382" s="4">
        <f>SUMIFS(X!$F$5:$F$2005,X!$D$5:$D$2005,'Current Stock'!A1382)</f>
        <v>5</v>
      </c>
      <c r="H1382" s="4">
        <f>SUMIFS(PENJUALAN!$E$4:$E$11000,PENJUALAN!$C$4:$C$11000,'Current Stock'!A1382)</f>
        <v>4</v>
      </c>
      <c r="I1382" s="16">
        <f t="shared" si="2"/>
        <v>1</v>
      </c>
      <c r="J1382" s="15" t="s">
        <v>1419</v>
      </c>
      <c r="K1382" s="15"/>
      <c r="L1382" s="4"/>
      <c r="M1382" s="4"/>
    </row>
    <row r="1383" ht="13.5" customHeight="1">
      <c r="A1383" s="4" t="str">
        <f t="shared" si="1"/>
        <v>LFW-VITARA05XYG</v>
      </c>
      <c r="B1383" s="29" t="s">
        <v>1798</v>
      </c>
      <c r="C1383" s="30" t="s">
        <v>1799</v>
      </c>
      <c r="D1383" s="28" t="s">
        <v>22</v>
      </c>
      <c r="E1383" s="4" t="s">
        <v>16</v>
      </c>
      <c r="F1383" s="28" t="s">
        <v>125</v>
      </c>
      <c r="G1383" s="4">
        <f>SUMIFS(X!$F$5:$F$2005,X!$D$5:$D$2005,'Current Stock'!A1383)</f>
        <v>1</v>
      </c>
      <c r="H1383" s="4">
        <f>SUMIFS(PENJUALAN!$E$4:$E$11000,PENJUALAN!$C$4:$C$11000,'Current Stock'!A1383)</f>
        <v>1</v>
      </c>
      <c r="I1383" s="16">
        <f t="shared" si="2"/>
        <v>0</v>
      </c>
      <c r="J1383" s="4"/>
      <c r="K1383" s="4"/>
      <c r="L1383" s="4"/>
      <c r="M1383" s="4"/>
    </row>
    <row r="1384" ht="13.5" customHeight="1">
      <c r="A1384" s="4" t="str">
        <f t="shared" si="1"/>
        <v>TRW-VITARA05XYG</v>
      </c>
      <c r="B1384" s="29" t="s">
        <v>1800</v>
      </c>
      <c r="C1384" s="30" t="s">
        <v>1799</v>
      </c>
      <c r="D1384" s="28" t="s">
        <v>41</v>
      </c>
      <c r="E1384" s="4" t="s">
        <v>16</v>
      </c>
      <c r="F1384" s="28" t="s">
        <v>67</v>
      </c>
      <c r="G1384" s="4">
        <f>SUMIFS(X!$F$5:$F$2005,X!$D$5:$D$2005,'Current Stock'!A1384)</f>
        <v>1</v>
      </c>
      <c r="H1384" s="4">
        <f>SUMIFS(PENJUALAN!$E$4:$E$11000,PENJUALAN!$C$4:$C$11000,'Current Stock'!A1384)</f>
        <v>1</v>
      </c>
      <c r="I1384" s="16">
        <f t="shared" si="2"/>
        <v>0</v>
      </c>
      <c r="J1384" s="4"/>
      <c r="K1384" s="4"/>
      <c r="L1384" s="4"/>
      <c r="M1384" s="4"/>
    </row>
    <row r="1385" ht="13.5" customHeight="1">
      <c r="A1385" s="4" t="str">
        <f t="shared" si="1"/>
        <v>LFW-IGNISXYG</v>
      </c>
      <c r="B1385" s="29" t="s">
        <v>1801</v>
      </c>
      <c r="C1385" s="30" t="s">
        <v>1802</v>
      </c>
      <c r="D1385" s="28" t="s">
        <v>22</v>
      </c>
      <c r="E1385" s="4" t="s">
        <v>16</v>
      </c>
      <c r="F1385" s="28" t="s">
        <v>97</v>
      </c>
      <c r="G1385" s="4">
        <f>SUMIFS(X!$F$5:$F$2005,X!$D$5:$D$2005,'Current Stock'!A1385)</f>
        <v>0</v>
      </c>
      <c r="H1385" s="4">
        <f>SUMIFS(PENJUALAN!$E$4:$E$11000,PENJUALAN!$C$4:$C$11000,'Current Stock'!A1385)</f>
        <v>0</v>
      </c>
      <c r="I1385" s="16">
        <f t="shared" si="2"/>
        <v>0</v>
      </c>
      <c r="J1385" s="4"/>
      <c r="K1385" s="4"/>
      <c r="L1385" s="4"/>
      <c r="M1385" s="4"/>
    </row>
    <row r="1386" ht="13.5" customHeight="1">
      <c r="A1386" s="4" t="str">
        <f t="shared" si="1"/>
        <v>TRW-IGNISXYG</v>
      </c>
      <c r="B1386" s="29" t="s">
        <v>1803</v>
      </c>
      <c r="C1386" s="30" t="s">
        <v>1802</v>
      </c>
      <c r="D1386" s="28" t="s">
        <v>41</v>
      </c>
      <c r="E1386" s="4" t="s">
        <v>16</v>
      </c>
      <c r="F1386" s="28" t="s">
        <v>221</v>
      </c>
      <c r="G1386" s="4">
        <f>SUMIFS(X!$F$5:$F$2005,X!$D$5:$D$2005,'Current Stock'!A1386)</f>
        <v>0</v>
      </c>
      <c r="H1386" s="4">
        <f>SUMIFS(PENJUALAN!$E$4:$E$11000,PENJUALAN!$C$4:$C$11000,'Current Stock'!A1386)</f>
        <v>0</v>
      </c>
      <c r="I1386" s="16">
        <f t="shared" si="2"/>
        <v>0</v>
      </c>
      <c r="J1386" s="4"/>
      <c r="K1386" s="4"/>
      <c r="L1386" s="4"/>
      <c r="M1386" s="4"/>
    </row>
    <row r="1387" ht="13.5" customHeight="1">
      <c r="A1387" s="4" t="str">
        <f t="shared" si="1"/>
        <v>LFW-JIMNY19XYG</v>
      </c>
      <c r="B1387" s="41" t="s">
        <v>1804</v>
      </c>
      <c r="C1387" s="28" t="s">
        <v>1805</v>
      </c>
      <c r="D1387" s="28" t="s">
        <v>22</v>
      </c>
      <c r="E1387" s="4" t="s">
        <v>16</v>
      </c>
      <c r="F1387" s="28" t="s">
        <v>97</v>
      </c>
      <c r="G1387" s="4">
        <f>SUMIFS(X!$F$5:$F$2005,X!$D$5:$D$2005,'Current Stock'!A1387)</f>
        <v>0</v>
      </c>
      <c r="H1387" s="4">
        <f>SUMIFS(PENJUALAN!$E$4:$E$11000,PENJUALAN!$C$4:$C$11000,'Current Stock'!A1387)</f>
        <v>0</v>
      </c>
      <c r="I1387" s="16">
        <f t="shared" si="2"/>
        <v>0</v>
      </c>
      <c r="J1387" s="4"/>
      <c r="K1387" s="4"/>
      <c r="L1387" s="4"/>
      <c r="M1387" s="4"/>
    </row>
    <row r="1388" ht="13.5" customHeight="1">
      <c r="A1388" s="4" t="str">
        <f t="shared" si="1"/>
        <v>TRW-JIMNY19XYG</v>
      </c>
      <c r="B1388" s="41" t="s">
        <v>1806</v>
      </c>
      <c r="C1388" s="28" t="s">
        <v>1805</v>
      </c>
      <c r="D1388" s="28" t="s">
        <v>41</v>
      </c>
      <c r="E1388" s="4" t="s">
        <v>16</v>
      </c>
      <c r="F1388" s="28" t="s">
        <v>67</v>
      </c>
      <c r="G1388" s="4">
        <f>SUMIFS(X!$F$5:$F$2005,X!$D$5:$D$2005,'Current Stock'!A1388)</f>
        <v>0</v>
      </c>
      <c r="H1388" s="4">
        <f>SUMIFS(PENJUALAN!$E$4:$E$11000,PENJUALAN!$C$4:$C$11000,'Current Stock'!A1388)</f>
        <v>0</v>
      </c>
      <c r="I1388" s="16">
        <f t="shared" si="2"/>
        <v>0</v>
      </c>
      <c r="J1388" s="4"/>
      <c r="K1388" s="4"/>
      <c r="L1388" s="4"/>
      <c r="M1388" s="4"/>
    </row>
    <row r="1389" ht="13.5" customHeight="1">
      <c r="A1389" s="4" t="str">
        <f t="shared" si="1"/>
        <v>LFW-APVXYG</v>
      </c>
      <c r="B1389" s="29" t="s">
        <v>1021</v>
      </c>
      <c r="C1389" s="28" t="s">
        <v>1022</v>
      </c>
      <c r="D1389" s="28" t="s">
        <v>22</v>
      </c>
      <c r="E1389" s="4" t="s">
        <v>16</v>
      </c>
      <c r="F1389" s="28" t="s">
        <v>97</v>
      </c>
      <c r="G1389" s="4">
        <f>SUMIFS(X!$F$5:$F$2005,X!$D$5:$D$2005,'Current Stock'!A1389)</f>
        <v>7</v>
      </c>
      <c r="H1389" s="4">
        <f>SUMIFS(PENJUALAN!$E$4:$E$11000,PENJUALAN!$C$4:$C$11000,'Current Stock'!A1389)</f>
        <v>6</v>
      </c>
      <c r="I1389" s="16">
        <f t="shared" si="2"/>
        <v>1</v>
      </c>
      <c r="J1389" s="15" t="s">
        <v>1478</v>
      </c>
      <c r="K1389" s="4"/>
      <c r="L1389" s="4"/>
      <c r="M1389" s="4"/>
    </row>
    <row r="1390" ht="13.5" customHeight="1">
      <c r="A1390" s="4" t="str">
        <f t="shared" si="1"/>
        <v>TRW-KARIMUN99XYG</v>
      </c>
      <c r="B1390" s="29" t="s">
        <v>1807</v>
      </c>
      <c r="C1390" s="28" t="s">
        <v>1808</v>
      </c>
      <c r="D1390" s="28" t="s">
        <v>41</v>
      </c>
      <c r="E1390" s="4" t="s">
        <v>16</v>
      </c>
      <c r="F1390" s="28" t="s">
        <v>67</v>
      </c>
      <c r="G1390" s="4">
        <f>SUMIFS(X!$F$5:$F$2005,X!$D$5:$D$2005,'Current Stock'!A1390)</f>
        <v>0</v>
      </c>
      <c r="H1390" s="4">
        <f>SUMIFS(PENJUALAN!$E$4:$E$11000,PENJUALAN!$C$4:$C$11000,'Current Stock'!A1390)</f>
        <v>0</v>
      </c>
      <c r="I1390" s="16">
        <f t="shared" si="2"/>
        <v>0</v>
      </c>
      <c r="J1390" s="4"/>
      <c r="K1390" s="4"/>
      <c r="L1390" s="4"/>
      <c r="M1390" s="4"/>
    </row>
    <row r="1391" ht="13.5" customHeight="1">
      <c r="A1391" s="4" t="str">
        <f t="shared" si="1"/>
        <v>LFW-ESTILOXYG</v>
      </c>
      <c r="B1391" s="29" t="s">
        <v>1809</v>
      </c>
      <c r="C1391" s="28" t="s">
        <v>1810</v>
      </c>
      <c r="D1391" s="28" t="s">
        <v>22</v>
      </c>
      <c r="E1391" s="4" t="s">
        <v>16</v>
      </c>
      <c r="F1391" s="28" t="s">
        <v>97</v>
      </c>
      <c r="G1391" s="4">
        <f>SUMIFS(X!$F$5:$F$2005,X!$D$5:$D$2005,'Current Stock'!A1391)</f>
        <v>0</v>
      </c>
      <c r="H1391" s="4">
        <f>SUMIFS(PENJUALAN!$E$4:$E$11000,PENJUALAN!$C$4:$C$11000,'Current Stock'!A1391)</f>
        <v>0</v>
      </c>
      <c r="I1391" s="16">
        <f t="shared" si="2"/>
        <v>0</v>
      </c>
      <c r="J1391" s="4"/>
      <c r="K1391" s="4"/>
      <c r="L1391" s="4"/>
      <c r="M1391" s="4"/>
    </row>
    <row r="1392" ht="13.5" customHeight="1">
      <c r="A1392" s="4" t="str">
        <f t="shared" si="1"/>
        <v>TRW-ESTILOXYG</v>
      </c>
      <c r="B1392" s="41" t="s">
        <v>1464</v>
      </c>
      <c r="C1392" s="30" t="s">
        <v>1810</v>
      </c>
      <c r="D1392" s="30" t="s">
        <v>41</v>
      </c>
      <c r="E1392" s="4" t="s">
        <v>16</v>
      </c>
      <c r="F1392" s="28" t="s">
        <v>97</v>
      </c>
      <c r="G1392" s="4">
        <f>SUMIFS(X!$F$5:$F$2005,X!$D$5:$D$2005,'Current Stock'!A1392)</f>
        <v>0</v>
      </c>
      <c r="H1392" s="4">
        <f>SUMIFS(PENJUALAN!$E$4:$E$11000,PENJUALAN!$C$4:$C$11000,'Current Stock'!A1392)</f>
        <v>0</v>
      </c>
      <c r="I1392" s="16">
        <f t="shared" si="2"/>
        <v>0</v>
      </c>
      <c r="J1392" s="4"/>
      <c r="K1392" s="4"/>
      <c r="L1392" s="4"/>
      <c r="M1392" s="4"/>
    </row>
    <row r="1393" ht="13.5" customHeight="1">
      <c r="A1393" s="4" t="str">
        <f t="shared" si="1"/>
        <v>LFW-SPLASHXYG</v>
      </c>
      <c r="B1393" s="29" t="s">
        <v>1025</v>
      </c>
      <c r="C1393" s="28" t="s">
        <v>1026</v>
      </c>
      <c r="D1393" s="28" t="s">
        <v>22</v>
      </c>
      <c r="E1393" s="4" t="s">
        <v>16</v>
      </c>
      <c r="F1393" s="28" t="s">
        <v>97</v>
      </c>
      <c r="G1393" s="4">
        <f>SUMIFS(X!$F$5:$F$2005,X!$D$5:$D$2005,'Current Stock'!A1393)</f>
        <v>1</v>
      </c>
      <c r="H1393" s="4">
        <f>SUMIFS(PENJUALAN!$E$4:$E$11000,PENJUALAN!$C$4:$C$11000,'Current Stock'!A1393)</f>
        <v>1</v>
      </c>
      <c r="I1393" s="16">
        <f t="shared" si="2"/>
        <v>0</v>
      </c>
      <c r="J1393" s="4"/>
      <c r="K1393" s="4"/>
      <c r="L1393" s="4"/>
      <c r="M1393" s="4"/>
    </row>
    <row r="1394" ht="13.5" customHeight="1">
      <c r="A1394" s="4" t="str">
        <f t="shared" si="1"/>
        <v>LFW-T30XYG</v>
      </c>
      <c r="B1394" s="29" t="s">
        <v>982</v>
      </c>
      <c r="C1394" s="28" t="s">
        <v>983</v>
      </c>
      <c r="D1394" s="28" t="s">
        <v>22</v>
      </c>
      <c r="E1394" s="4" t="s">
        <v>16</v>
      </c>
      <c r="F1394" s="28" t="s">
        <v>97</v>
      </c>
      <c r="G1394" s="4">
        <f>SUMIFS(X!$F$5:$F$2005,X!$D$5:$D$2005,'Current Stock'!A1394)</f>
        <v>1</v>
      </c>
      <c r="H1394" s="4">
        <f>SUMIFS(PENJUALAN!$E$4:$E$11000,PENJUALAN!$C$4:$C$11000,'Current Stock'!A1394)</f>
        <v>1</v>
      </c>
      <c r="I1394" s="16">
        <f t="shared" si="2"/>
        <v>0</v>
      </c>
      <c r="J1394" s="15"/>
      <c r="K1394" s="15"/>
      <c r="L1394" s="4"/>
      <c r="M1394" s="4"/>
    </row>
    <row r="1395" ht="13.5" customHeight="1">
      <c r="A1395" s="4" t="str">
        <f t="shared" si="1"/>
        <v>TRW-SWIFT04XYG</v>
      </c>
      <c r="B1395" s="29" t="s">
        <v>1811</v>
      </c>
      <c r="C1395" s="30" t="s">
        <v>1406</v>
      </c>
      <c r="D1395" s="28" t="s">
        <v>41</v>
      </c>
      <c r="E1395" s="4" t="s">
        <v>16</v>
      </c>
      <c r="F1395" s="28" t="s">
        <v>221</v>
      </c>
      <c r="G1395" s="4">
        <f>SUMIFS(X!$F$5:$F$2005,X!$D$5:$D$2005,'Current Stock'!A1395)</f>
        <v>4</v>
      </c>
      <c r="H1395" s="4">
        <f>SUMIFS(PENJUALAN!$E$4:$E$11000,PENJUALAN!$C$4:$C$11000,'Current Stock'!A1395)</f>
        <v>3</v>
      </c>
      <c r="I1395" s="16">
        <f t="shared" si="2"/>
        <v>1</v>
      </c>
      <c r="J1395" s="6" t="s">
        <v>1422</v>
      </c>
      <c r="K1395" s="4"/>
      <c r="L1395" s="4"/>
      <c r="M1395" s="4"/>
    </row>
    <row r="1396" ht="13.5" customHeight="1">
      <c r="A1396" s="4" t="str">
        <f t="shared" si="1"/>
        <v>TRW-SWIFT11XYG</v>
      </c>
      <c r="B1396" s="29" t="s">
        <v>1812</v>
      </c>
      <c r="C1396" s="30" t="s">
        <v>1483</v>
      </c>
      <c r="D1396" s="30" t="s">
        <v>41</v>
      </c>
      <c r="E1396" s="4" t="s">
        <v>16</v>
      </c>
      <c r="F1396" s="28" t="s">
        <v>67</v>
      </c>
      <c r="G1396" s="4">
        <f>SUMIFS(X!$F$5:$F$2005,X!$D$5:$D$2005,'Current Stock'!A1396)</f>
        <v>0</v>
      </c>
      <c r="H1396" s="4">
        <f>SUMIFS(PENJUALAN!$E$4:$E$11000,PENJUALAN!$C$4:$C$11000,'Current Stock'!A1396)</f>
        <v>0</v>
      </c>
      <c r="I1396" s="16">
        <f t="shared" si="2"/>
        <v>0</v>
      </c>
      <c r="J1396" s="4"/>
      <c r="K1396" s="4"/>
      <c r="L1396" s="4"/>
      <c r="M1396" s="4"/>
    </row>
    <row r="1397" ht="13.5" customHeight="1">
      <c r="A1397" s="4" t="str">
        <f t="shared" si="1"/>
        <v>LFW-SUBARUXVXYG</v>
      </c>
      <c r="B1397" s="29" t="s">
        <v>1813</v>
      </c>
      <c r="C1397" s="28" t="s">
        <v>1814</v>
      </c>
      <c r="D1397" s="28" t="s">
        <v>22</v>
      </c>
      <c r="E1397" s="4" t="s">
        <v>16</v>
      </c>
      <c r="F1397" s="28" t="s">
        <v>737</v>
      </c>
      <c r="G1397" s="4">
        <f>SUMIFS(X!$F$5:$F$2005,X!$D$5:$D$2005,'Current Stock'!A1397)</f>
        <v>1</v>
      </c>
      <c r="H1397" s="4">
        <f>SUMIFS(PENJUALAN!$E$4:$E$11000,PENJUALAN!$C$4:$C$11000,'Current Stock'!A1397)</f>
        <v>1</v>
      </c>
      <c r="I1397" s="16">
        <f t="shared" si="2"/>
        <v>0</v>
      </c>
      <c r="J1397" s="4"/>
      <c r="K1397" s="4"/>
      <c r="L1397" s="4"/>
      <c r="M1397" s="4"/>
    </row>
    <row r="1398" ht="13.5" customHeight="1">
      <c r="A1398" s="4" t="str">
        <f t="shared" si="1"/>
        <v>TRW-BALENO96XYG</v>
      </c>
      <c r="B1398" s="29" t="s">
        <v>1815</v>
      </c>
      <c r="C1398" s="28" t="s">
        <v>1767</v>
      </c>
      <c r="D1398" s="28" t="s">
        <v>41</v>
      </c>
      <c r="E1398" s="4" t="s">
        <v>16</v>
      </c>
      <c r="F1398" s="28" t="s">
        <v>67</v>
      </c>
      <c r="G1398" s="4">
        <f>SUMIFS(X!$F$5:$F$2005,X!$D$5:$D$2005,'Current Stock'!A1398)</f>
        <v>1</v>
      </c>
      <c r="H1398" s="4">
        <f>SUMIFS(PENJUALAN!$E$4:$E$11000,PENJUALAN!$C$4:$C$11000,'Current Stock'!A1398)</f>
        <v>1</v>
      </c>
      <c r="I1398" s="16">
        <f t="shared" si="2"/>
        <v>0</v>
      </c>
      <c r="J1398" s="4"/>
      <c r="K1398" s="4"/>
      <c r="L1398" s="4"/>
      <c r="M1398" s="4"/>
    </row>
    <row r="1399" ht="13.5" customHeight="1">
      <c r="A1399" s="4" t="str">
        <f t="shared" si="1"/>
        <v>LFW-ALPHARD02XYG</v>
      </c>
      <c r="B1399" s="29" t="s">
        <v>1028</v>
      </c>
      <c r="C1399" s="28" t="s">
        <v>1029</v>
      </c>
      <c r="D1399" s="28" t="s">
        <v>22</v>
      </c>
      <c r="E1399" s="4" t="s">
        <v>16</v>
      </c>
      <c r="F1399" s="28" t="s">
        <v>125</v>
      </c>
      <c r="G1399" s="4">
        <f>SUMIFS(X!$F$5:$F$2005,X!$D$5:$D$2005,'Current Stock'!A1399)</f>
        <v>6</v>
      </c>
      <c r="H1399" s="4">
        <f>SUMIFS(PENJUALAN!$E$4:$E$11000,PENJUALAN!$C$4:$C$11000,'Current Stock'!A1399)</f>
        <v>0</v>
      </c>
      <c r="I1399" s="16">
        <f t="shared" si="2"/>
        <v>6</v>
      </c>
      <c r="J1399" s="15" t="s">
        <v>1496</v>
      </c>
      <c r="K1399" s="4"/>
      <c r="L1399" s="4"/>
      <c r="M1399" s="4"/>
    </row>
    <row r="1400" ht="13.5" customHeight="1">
      <c r="A1400" s="4" t="str">
        <f t="shared" si="1"/>
        <v>LFW-CONFEROXYG</v>
      </c>
      <c r="B1400" s="29" t="s">
        <v>1302</v>
      </c>
      <c r="C1400" s="28" t="s">
        <v>1303</v>
      </c>
      <c r="D1400" s="28" t="s">
        <v>22</v>
      </c>
      <c r="E1400" s="4" t="s">
        <v>16</v>
      </c>
      <c r="F1400" s="28" t="s">
        <v>125</v>
      </c>
      <c r="G1400" s="4">
        <f>SUMIFS(X!$F$5:$F$2005,X!$D$5:$D$2005,'Current Stock'!A1400)</f>
        <v>9</v>
      </c>
      <c r="H1400" s="4">
        <f>SUMIFS(PENJUALAN!$E$4:$E$11000,PENJUALAN!$C$4:$C$11000,'Current Stock'!A1400)</f>
        <v>8</v>
      </c>
      <c r="I1400" s="16">
        <f t="shared" si="2"/>
        <v>1</v>
      </c>
      <c r="J1400" s="15" t="s">
        <v>1383</v>
      </c>
      <c r="K1400" s="4"/>
      <c r="L1400" s="4"/>
      <c r="M1400" s="4"/>
    </row>
    <row r="1401" ht="13.5" customHeight="1">
      <c r="A1401" s="4" t="str">
        <f t="shared" si="1"/>
        <v>FVL-ALPHARD02XYG</v>
      </c>
      <c r="B1401" s="29" t="s">
        <v>1816</v>
      </c>
      <c r="C1401" s="30" t="s">
        <v>1029</v>
      </c>
      <c r="D1401" s="30" t="s">
        <v>400</v>
      </c>
      <c r="E1401" s="4" t="s">
        <v>16</v>
      </c>
      <c r="F1401" s="34"/>
      <c r="G1401" s="4">
        <f>SUMIFS(X!$F$5:$F$2005,X!$D$5:$D$2005,'Current Stock'!A1401)</f>
        <v>0</v>
      </c>
      <c r="H1401" s="4">
        <f>SUMIFS(PENJUALAN!$E$4:$E$11000,PENJUALAN!$C$4:$C$11000,'Current Stock'!A1401)</f>
        <v>0</v>
      </c>
      <c r="I1401" s="16">
        <f t="shared" si="2"/>
        <v>0</v>
      </c>
      <c r="J1401" s="4"/>
      <c r="K1401" s="4"/>
      <c r="L1401" s="4"/>
      <c r="M1401" s="4"/>
    </row>
    <row r="1402" ht="13.5" customHeight="1">
      <c r="A1402" s="4" t="str">
        <f t="shared" si="1"/>
        <v>FVR-ALPHARD02XYG</v>
      </c>
      <c r="B1402" s="29" t="s">
        <v>1817</v>
      </c>
      <c r="C1402" s="30" t="s">
        <v>1029</v>
      </c>
      <c r="D1402" s="30" t="s">
        <v>402</v>
      </c>
      <c r="E1402" s="4" t="s">
        <v>16</v>
      </c>
      <c r="F1402" s="34"/>
      <c r="G1402" s="4">
        <f>SUMIFS(X!$F$5:$F$2005,X!$D$5:$D$2005,'Current Stock'!A1402)</f>
        <v>0</v>
      </c>
      <c r="H1402" s="4">
        <f>SUMIFS(PENJUALAN!$E$4:$E$11000,PENJUALAN!$C$4:$C$11000,'Current Stock'!A1402)</f>
        <v>0</v>
      </c>
      <c r="I1402" s="16">
        <f t="shared" si="2"/>
        <v>0</v>
      </c>
      <c r="J1402" s="4"/>
      <c r="K1402" s="4"/>
      <c r="L1402" s="4"/>
      <c r="M1402" s="4"/>
    </row>
    <row r="1403" ht="13.5" customHeight="1">
      <c r="A1403" s="4" t="str">
        <f t="shared" si="1"/>
        <v>FDL-ALPHARD02XYG</v>
      </c>
      <c r="B1403" s="29" t="s">
        <v>1033</v>
      </c>
      <c r="C1403" s="28" t="s">
        <v>1029</v>
      </c>
      <c r="D1403" s="28" t="s">
        <v>128</v>
      </c>
      <c r="E1403" s="4" t="s">
        <v>16</v>
      </c>
      <c r="F1403" s="28"/>
      <c r="G1403" s="4">
        <f>SUMIFS(X!$F$5:$F$2005,X!$D$5:$D$2005,'Current Stock'!A1403)</f>
        <v>0</v>
      </c>
      <c r="H1403" s="4">
        <f>SUMIFS(PENJUALAN!$E$4:$E$11000,PENJUALAN!$C$4:$C$11000,'Current Stock'!A1403)</f>
        <v>0</v>
      </c>
      <c r="I1403" s="16">
        <f t="shared" si="2"/>
        <v>0</v>
      </c>
      <c r="J1403" s="4"/>
      <c r="K1403" s="4"/>
      <c r="L1403" s="4"/>
      <c r="M1403" s="4"/>
    </row>
    <row r="1404" ht="13.5" customHeight="1">
      <c r="A1404" s="4" t="str">
        <f t="shared" si="1"/>
        <v>FDR-ALPHARD02XYG</v>
      </c>
      <c r="B1404" s="29" t="s">
        <v>1034</v>
      </c>
      <c r="C1404" s="28" t="s">
        <v>1029</v>
      </c>
      <c r="D1404" s="28" t="s">
        <v>130</v>
      </c>
      <c r="E1404" s="4" t="s">
        <v>16</v>
      </c>
      <c r="F1404" s="28"/>
      <c r="G1404" s="4">
        <f>SUMIFS(X!$F$5:$F$2005,X!$D$5:$D$2005,'Current Stock'!A1404)</f>
        <v>0</v>
      </c>
      <c r="H1404" s="4">
        <f>SUMIFS(PENJUALAN!$E$4:$E$11000,PENJUALAN!$C$4:$C$11000,'Current Stock'!A1404)</f>
        <v>0</v>
      </c>
      <c r="I1404" s="16">
        <f t="shared" si="2"/>
        <v>0</v>
      </c>
      <c r="J1404" s="4"/>
      <c r="K1404" s="4"/>
      <c r="L1404" s="4"/>
      <c r="M1404" s="4"/>
    </row>
    <row r="1405" ht="13.5" customHeight="1">
      <c r="A1405" s="4" t="str">
        <f t="shared" si="1"/>
        <v>SWL-ALPHARD02RATAHITAMXYG</v>
      </c>
      <c r="B1405" s="29" t="s">
        <v>1818</v>
      </c>
      <c r="C1405" s="28" t="s">
        <v>1819</v>
      </c>
      <c r="D1405" s="28" t="s">
        <v>202</v>
      </c>
      <c r="E1405" s="4" t="s">
        <v>16</v>
      </c>
      <c r="F1405" s="28" t="s">
        <v>234</v>
      </c>
      <c r="G1405" s="4">
        <f>SUMIFS(X!$F$5:$F$2005,X!$D$5:$D$2005,'Current Stock'!A1405)</f>
        <v>0</v>
      </c>
      <c r="H1405" s="4">
        <f>SUMIFS(PENJUALAN!$E$4:$E$11000,PENJUALAN!$C$4:$C$11000,'Current Stock'!A1405)</f>
        <v>0</v>
      </c>
      <c r="I1405" s="16">
        <f t="shared" si="2"/>
        <v>0</v>
      </c>
      <c r="J1405" s="4"/>
      <c r="K1405" s="4"/>
      <c r="L1405" s="4"/>
      <c r="M1405" s="4"/>
    </row>
    <row r="1406" ht="13.5" customHeight="1">
      <c r="A1406" s="4" t="str">
        <f t="shared" si="1"/>
        <v>SWR-ALPHARD08RATAHITAMXYG</v>
      </c>
      <c r="B1406" s="29" t="s">
        <v>1820</v>
      </c>
      <c r="C1406" s="28" t="s">
        <v>1819</v>
      </c>
      <c r="D1406" s="28" t="s">
        <v>236</v>
      </c>
      <c r="E1406" s="4" t="s">
        <v>16</v>
      </c>
      <c r="F1406" s="28" t="s">
        <v>234</v>
      </c>
      <c r="G1406" s="4">
        <f>SUMIFS(X!$F$5:$F$2005,X!$D$5:$D$2005,'Current Stock'!A1406)</f>
        <v>0</v>
      </c>
      <c r="H1406" s="4">
        <f>SUMIFS(PENJUALAN!$E$4:$E$11000,PENJUALAN!$C$4:$C$11000,'Current Stock'!A1406)</f>
        <v>0</v>
      </c>
      <c r="I1406" s="16">
        <f t="shared" si="2"/>
        <v>0</v>
      </c>
      <c r="J1406" s="4"/>
      <c r="K1406" s="4"/>
      <c r="L1406" s="4"/>
      <c r="M1406" s="4"/>
    </row>
    <row r="1407" ht="13.5" customHeight="1">
      <c r="A1407" s="4" t="str">
        <f t="shared" si="1"/>
        <v>LFW-ALPHARD08RSXYG</v>
      </c>
      <c r="B1407" s="29" t="s">
        <v>72</v>
      </c>
      <c r="C1407" s="28" t="s">
        <v>73</v>
      </c>
      <c r="D1407" s="28" t="s">
        <v>22</v>
      </c>
      <c r="E1407" s="4" t="s">
        <v>16</v>
      </c>
      <c r="F1407" s="28" t="s">
        <v>75</v>
      </c>
      <c r="G1407" s="4">
        <f>SUMIFS(X!$F$5:$F$2005,X!$D$5:$D$2005,'Current Stock'!A1407)</f>
        <v>6</v>
      </c>
      <c r="H1407" s="4">
        <f>SUMIFS(PENJUALAN!$E$4:$E$11000,PENJUALAN!$C$4:$C$11000,'Current Stock'!A1407)</f>
        <v>2</v>
      </c>
      <c r="I1407" s="16">
        <f t="shared" si="2"/>
        <v>4</v>
      </c>
      <c r="J1407" s="15" t="s">
        <v>1496</v>
      </c>
      <c r="K1407" s="4"/>
      <c r="L1407" s="4"/>
      <c r="M1407" s="4"/>
    </row>
    <row r="1408" ht="13.5" customHeight="1">
      <c r="A1408" s="4" t="str">
        <f t="shared" si="1"/>
        <v>LFW-INNOVA15AGC</v>
      </c>
      <c r="B1408" s="63" t="s">
        <v>1166</v>
      </c>
      <c r="C1408" s="15" t="s">
        <v>1821</v>
      </c>
      <c r="D1408" s="15" t="s">
        <v>22</v>
      </c>
      <c r="E1408" s="15" t="s">
        <v>78</v>
      </c>
      <c r="F1408" s="15" t="s">
        <v>79</v>
      </c>
      <c r="G1408" s="4">
        <f>SUMIFS(X!$F$5:$F$2005,X!$D$5:$D$2005,'Current Stock'!A1408)</f>
        <v>25</v>
      </c>
      <c r="H1408" s="4">
        <f>SUMIFS(PENJUALAN!$E$4:$E$11000,PENJUALAN!$C$4:$C$11000,'Current Stock'!A1408)</f>
        <v>24</v>
      </c>
      <c r="I1408" s="16">
        <f t="shared" si="2"/>
        <v>1</v>
      </c>
      <c r="J1408" s="15" t="s">
        <v>1487</v>
      </c>
      <c r="K1408" s="15"/>
      <c r="L1408" s="18"/>
      <c r="M1408" s="18"/>
    </row>
    <row r="1409" ht="13.5" customHeight="1">
      <c r="A1409" s="4" t="str">
        <f t="shared" si="1"/>
        <v>FDL-ALPHARD08XYG</v>
      </c>
      <c r="B1409" s="29" t="s">
        <v>1046</v>
      </c>
      <c r="C1409" s="28" t="s">
        <v>73</v>
      </c>
      <c r="D1409" s="28" t="s">
        <v>128</v>
      </c>
      <c r="E1409" s="4" t="s">
        <v>16</v>
      </c>
      <c r="F1409" s="28"/>
      <c r="G1409" s="4">
        <f>SUMIFS(X!$F$5:$F$2005,X!$D$5:$D$2005,'Current Stock'!A1409)</f>
        <v>0</v>
      </c>
      <c r="H1409" s="4">
        <f>SUMIFS(PENJUALAN!$E$4:$E$11000,PENJUALAN!$C$4:$C$11000,'Current Stock'!A1409)</f>
        <v>0</v>
      </c>
      <c r="I1409" s="16">
        <f t="shared" si="2"/>
        <v>0</v>
      </c>
      <c r="J1409" s="4"/>
      <c r="K1409" s="4"/>
      <c r="L1409" s="4"/>
      <c r="M1409" s="4"/>
    </row>
    <row r="1410" ht="13.5" customHeight="1">
      <c r="A1410" s="4" t="str">
        <f t="shared" si="1"/>
        <v>FVL-ALPHARD08XYG</v>
      </c>
      <c r="B1410" s="29" t="s">
        <v>1822</v>
      </c>
      <c r="C1410" s="30" t="s">
        <v>73</v>
      </c>
      <c r="D1410" s="30" t="s">
        <v>400</v>
      </c>
      <c r="E1410" s="4" t="s">
        <v>16</v>
      </c>
      <c r="F1410" s="34"/>
      <c r="G1410" s="4">
        <f>SUMIFS(X!$F$5:$F$2005,X!$D$5:$D$2005,'Current Stock'!A1410)</f>
        <v>0</v>
      </c>
      <c r="H1410" s="4">
        <f>SUMIFS(PENJUALAN!$E$4:$E$11000,PENJUALAN!$C$4:$C$11000,'Current Stock'!A1410)</f>
        <v>0</v>
      </c>
      <c r="I1410" s="16">
        <f t="shared" si="2"/>
        <v>0</v>
      </c>
      <c r="J1410" s="4"/>
      <c r="K1410" s="4"/>
      <c r="L1410" s="4"/>
      <c r="M1410" s="4"/>
    </row>
    <row r="1411" ht="13.5" customHeight="1">
      <c r="A1411" s="4" t="str">
        <f t="shared" si="1"/>
        <v>FVR-ALPHARD08XYG</v>
      </c>
      <c r="B1411" s="29" t="s">
        <v>1823</v>
      </c>
      <c r="C1411" s="30" t="s">
        <v>73</v>
      </c>
      <c r="D1411" s="30" t="s">
        <v>402</v>
      </c>
      <c r="E1411" s="4" t="s">
        <v>16</v>
      </c>
      <c r="F1411" s="34"/>
      <c r="G1411" s="4">
        <f>SUMIFS(X!$F$5:$F$2005,X!$D$5:$D$2005,'Current Stock'!A1411)</f>
        <v>0</v>
      </c>
      <c r="H1411" s="4">
        <f>SUMIFS(PENJUALAN!$E$4:$E$11000,PENJUALAN!$C$4:$C$11000,'Current Stock'!A1411)</f>
        <v>0</v>
      </c>
      <c r="I1411" s="16">
        <f t="shared" si="2"/>
        <v>0</v>
      </c>
      <c r="J1411" s="4"/>
      <c r="K1411" s="4"/>
      <c r="L1411" s="4"/>
      <c r="M1411" s="4"/>
    </row>
    <row r="1412" ht="13.5" customHeight="1">
      <c r="A1412" s="4" t="str">
        <f t="shared" si="1"/>
        <v>RDL-ALPHARD08XYG</v>
      </c>
      <c r="B1412" s="29" t="s">
        <v>1050</v>
      </c>
      <c r="C1412" s="28" t="s">
        <v>73</v>
      </c>
      <c r="D1412" s="28" t="s">
        <v>132</v>
      </c>
      <c r="E1412" s="4" t="s">
        <v>16</v>
      </c>
      <c r="F1412" s="28"/>
      <c r="G1412" s="4">
        <f>SUMIFS(X!$F$5:$F$2005,X!$D$5:$D$2005,'Current Stock'!A1412)</f>
        <v>0</v>
      </c>
      <c r="H1412" s="4">
        <f>SUMIFS(PENJUALAN!$E$4:$E$11000,PENJUALAN!$C$4:$C$11000,'Current Stock'!A1412)</f>
        <v>0</v>
      </c>
      <c r="I1412" s="16">
        <f t="shared" si="2"/>
        <v>0</v>
      </c>
      <c r="J1412" s="4"/>
      <c r="K1412" s="4"/>
      <c r="L1412" s="4"/>
      <c r="M1412" s="4"/>
    </row>
    <row r="1413" ht="13.5" customHeight="1">
      <c r="A1413" s="4" t="str">
        <f t="shared" si="1"/>
        <v>RDR-ALPHARD08XYG</v>
      </c>
      <c r="B1413" s="29" t="s">
        <v>1051</v>
      </c>
      <c r="C1413" s="28" t="s">
        <v>73</v>
      </c>
      <c r="D1413" s="28" t="s">
        <v>134</v>
      </c>
      <c r="E1413" s="4" t="s">
        <v>16</v>
      </c>
      <c r="F1413" s="28"/>
      <c r="G1413" s="4">
        <f>SUMIFS(X!$F$5:$F$2005,X!$D$5:$D$2005,'Current Stock'!A1413)</f>
        <v>0</v>
      </c>
      <c r="H1413" s="4">
        <f>SUMIFS(PENJUALAN!$E$4:$E$11000,PENJUALAN!$C$4:$C$11000,'Current Stock'!A1413)</f>
        <v>0</v>
      </c>
      <c r="I1413" s="16">
        <f t="shared" si="2"/>
        <v>0</v>
      </c>
      <c r="J1413" s="4"/>
      <c r="K1413" s="4"/>
      <c r="L1413" s="4"/>
      <c r="M1413" s="4"/>
    </row>
    <row r="1414" ht="13.5" customHeight="1">
      <c r="A1414" s="4" t="str">
        <f t="shared" si="1"/>
        <v>TRW-ALPHARD08BLACKXYG</v>
      </c>
      <c r="B1414" s="29" t="s">
        <v>1052</v>
      </c>
      <c r="C1414" s="28" t="s">
        <v>1053</v>
      </c>
      <c r="D1414" s="28" t="s">
        <v>41</v>
      </c>
      <c r="E1414" s="4" t="s">
        <v>16</v>
      </c>
      <c r="F1414" s="28" t="s">
        <v>67</v>
      </c>
      <c r="G1414" s="4">
        <f>SUMIFS(X!$F$5:$F$2005,X!$D$5:$D$2005,'Current Stock'!A1414)</f>
        <v>3</v>
      </c>
      <c r="H1414" s="4">
        <f>SUMIFS(PENJUALAN!$E$4:$E$11000,PENJUALAN!$C$4:$C$11000,'Current Stock'!A1414)</f>
        <v>3</v>
      </c>
      <c r="I1414" s="16">
        <f t="shared" si="2"/>
        <v>0</v>
      </c>
      <c r="J1414" s="15" t="s">
        <v>1711</v>
      </c>
      <c r="K1414" s="4"/>
      <c r="L1414" s="4"/>
      <c r="M1414" s="4"/>
    </row>
    <row r="1415" ht="13.5" customHeight="1">
      <c r="A1415" s="20" t="str">
        <f t="shared" si="1"/>
        <v>TRW-LIVINA07PIL</v>
      </c>
      <c r="B1415" s="22" t="s">
        <v>936</v>
      </c>
      <c r="C1415" s="22" t="s">
        <v>1824</v>
      </c>
      <c r="D1415" s="22" t="s">
        <v>41</v>
      </c>
      <c r="E1415" s="22" t="s">
        <v>74</v>
      </c>
      <c r="F1415" s="22" t="s">
        <v>108</v>
      </c>
      <c r="G1415" s="4">
        <f>SUMIFS(X!$F$5:$F$2005,X!$D$5:$D$2005,'Current Stock'!A1415)</f>
        <v>9</v>
      </c>
      <c r="H1415" s="4">
        <f>SUMIFS(PENJUALAN!$E$4:$E$11000,PENJUALAN!$C$4:$C$11000,'Current Stock'!A1415)</f>
        <v>9</v>
      </c>
      <c r="I1415" s="16">
        <f t="shared" si="2"/>
        <v>0</v>
      </c>
      <c r="J1415" s="22" t="s">
        <v>1825</v>
      </c>
      <c r="K1415" s="22"/>
      <c r="L1415" s="25"/>
      <c r="M1415" s="22"/>
    </row>
    <row r="1416" ht="13.5" customHeight="1">
      <c r="A1416" s="4" t="str">
        <f t="shared" si="1"/>
        <v>SWR-ALPHARD08HITAMXYG</v>
      </c>
      <c r="B1416" s="29" t="s">
        <v>1055</v>
      </c>
      <c r="C1416" s="28" t="s">
        <v>1053</v>
      </c>
      <c r="D1416" s="28" t="s">
        <v>236</v>
      </c>
      <c r="E1416" s="4" t="s">
        <v>16</v>
      </c>
      <c r="F1416" s="28" t="s">
        <v>234</v>
      </c>
      <c r="G1416" s="4">
        <f>SUMIFS(X!$F$5:$F$2005,X!$D$5:$D$2005,'Current Stock'!A1416)</f>
        <v>0</v>
      </c>
      <c r="H1416" s="4">
        <f>SUMIFS(PENJUALAN!$E$4:$E$11000,PENJUALAN!$C$4:$C$11000,'Current Stock'!A1416)</f>
        <v>0</v>
      </c>
      <c r="I1416" s="16">
        <f t="shared" si="2"/>
        <v>0</v>
      </c>
      <c r="J1416" s="4"/>
      <c r="K1416" s="4"/>
      <c r="L1416" s="4"/>
      <c r="M1416" s="4"/>
    </row>
    <row r="1417" ht="13.5" customHeight="1">
      <c r="A1417" s="4" t="str">
        <f t="shared" si="1"/>
        <v>SWL-ALPHARD15HITAMXYG</v>
      </c>
      <c r="B1417" s="29" t="s">
        <v>1826</v>
      </c>
      <c r="C1417" s="28" t="s">
        <v>1064</v>
      </c>
      <c r="D1417" s="28" t="s">
        <v>202</v>
      </c>
      <c r="E1417" s="4" t="s">
        <v>16</v>
      </c>
      <c r="F1417" s="28" t="s">
        <v>1827</v>
      </c>
      <c r="G1417" s="4">
        <f>SUMIFS(X!$F$5:$F$2005,X!$D$5:$D$2005,'Current Stock'!A1417)</f>
        <v>1</v>
      </c>
      <c r="H1417" s="4">
        <f>SUMIFS(PENJUALAN!$E$4:$E$11000,PENJUALAN!$C$4:$C$11000,'Current Stock'!A1417)</f>
        <v>1</v>
      </c>
      <c r="I1417" s="16">
        <f t="shared" si="2"/>
        <v>0</v>
      </c>
      <c r="J1417" s="4"/>
      <c r="K1417" s="4"/>
      <c r="L1417" s="4"/>
      <c r="M1417" s="4"/>
    </row>
    <row r="1418" ht="13.5" customHeight="1">
      <c r="A1418" s="4" t="str">
        <f t="shared" si="1"/>
        <v>SWR-ALPHARD15HITAMXYG</v>
      </c>
      <c r="B1418" s="29" t="s">
        <v>1828</v>
      </c>
      <c r="C1418" s="28" t="s">
        <v>1064</v>
      </c>
      <c r="D1418" s="28" t="s">
        <v>236</v>
      </c>
      <c r="E1418" s="4" t="s">
        <v>16</v>
      </c>
      <c r="F1418" s="28" t="s">
        <v>1827</v>
      </c>
      <c r="G1418" s="4">
        <f>SUMIFS(X!$F$5:$F$2005,X!$D$5:$D$2005,'Current Stock'!A1418)</f>
        <v>1</v>
      </c>
      <c r="H1418" s="4">
        <f>SUMIFS(PENJUALAN!$E$4:$E$11000,PENJUALAN!$C$4:$C$11000,'Current Stock'!A1418)</f>
        <v>1</v>
      </c>
      <c r="I1418" s="16">
        <f t="shared" si="2"/>
        <v>0</v>
      </c>
      <c r="J1418" s="4"/>
      <c r="K1418" s="4"/>
      <c r="L1418" s="4"/>
      <c r="M1418" s="4"/>
    </row>
    <row r="1419" ht="13.5" customHeight="1">
      <c r="A1419" s="4" t="str">
        <f t="shared" si="1"/>
        <v>TRW-ALPHARD15BLACKXYG</v>
      </c>
      <c r="B1419" s="29" t="s">
        <v>1066</v>
      </c>
      <c r="C1419" s="28" t="s">
        <v>1067</v>
      </c>
      <c r="D1419" s="28" t="s">
        <v>41</v>
      </c>
      <c r="E1419" s="4" t="s">
        <v>16</v>
      </c>
      <c r="F1419" s="28" t="s">
        <v>67</v>
      </c>
      <c r="G1419" s="4">
        <f>SUMIFS(X!$F$5:$F$2005,X!$D$5:$D$2005,'Current Stock'!A1419)</f>
        <v>4</v>
      </c>
      <c r="H1419" s="4">
        <f>SUMIFS(PENJUALAN!$E$4:$E$11000,PENJUALAN!$C$4:$C$11000,'Current Stock'!A1419)</f>
        <v>3</v>
      </c>
      <c r="I1419" s="16">
        <f t="shared" si="2"/>
        <v>1</v>
      </c>
      <c r="J1419" s="4"/>
      <c r="K1419" s="4"/>
      <c r="L1419" s="4"/>
      <c r="M1419" s="4"/>
    </row>
    <row r="1420" ht="13.5" customHeight="1">
      <c r="A1420" s="4" t="str">
        <f t="shared" si="1"/>
        <v>LFW-ALPHARD15XYG</v>
      </c>
      <c r="B1420" s="29" t="s">
        <v>1070</v>
      </c>
      <c r="C1420" s="28" t="s">
        <v>1071</v>
      </c>
      <c r="D1420" s="28" t="s">
        <v>22</v>
      </c>
      <c r="E1420" s="4" t="s">
        <v>16</v>
      </c>
      <c r="F1420" s="28" t="s">
        <v>75</v>
      </c>
      <c r="G1420" s="4">
        <f>SUMIFS(X!$F$5:$F$2005,X!$D$5:$D$2005,'Current Stock'!A1420)</f>
        <v>0</v>
      </c>
      <c r="H1420" s="4">
        <f>SUMIFS(PENJUALAN!$E$4:$E$11000,PENJUALAN!$C$4:$C$11000,'Current Stock'!A1420)</f>
        <v>1</v>
      </c>
      <c r="I1420" s="16">
        <f t="shared" si="2"/>
        <v>-1</v>
      </c>
      <c r="J1420" s="4"/>
      <c r="K1420" s="4"/>
      <c r="L1420" s="4"/>
      <c r="M1420" s="4"/>
    </row>
    <row r="1421" ht="13.5" customHeight="1">
      <c r="A1421" s="4" t="str">
        <f t="shared" si="1"/>
        <v>LFW-ALPHARD18XYG</v>
      </c>
      <c r="B1421" s="29" t="s">
        <v>1829</v>
      </c>
      <c r="C1421" s="30" t="s">
        <v>1830</v>
      </c>
      <c r="D1421" s="30" t="s">
        <v>22</v>
      </c>
      <c r="E1421" s="4" t="s">
        <v>16</v>
      </c>
      <c r="F1421" s="34" t="s">
        <v>125</v>
      </c>
      <c r="G1421" s="4">
        <f>SUMIFS(X!$F$5:$F$2005,X!$D$5:$D$2005,'Current Stock'!A1421)</f>
        <v>0</v>
      </c>
      <c r="H1421" s="4">
        <f>SUMIFS(PENJUALAN!$E$4:$E$11000,PENJUALAN!$C$4:$C$11000,'Current Stock'!A1421)</f>
        <v>0</v>
      </c>
      <c r="I1421" s="16">
        <f t="shared" si="2"/>
        <v>0</v>
      </c>
      <c r="J1421" s="4"/>
      <c r="K1421" s="4"/>
      <c r="L1421" s="4"/>
      <c r="M1421" s="4"/>
    </row>
    <row r="1422" ht="13.5" customHeight="1">
      <c r="A1422" s="4" t="str">
        <f t="shared" si="1"/>
        <v>LFW-ALPHARD18RSXYG</v>
      </c>
      <c r="B1422" s="29" t="s">
        <v>1831</v>
      </c>
      <c r="C1422" s="30" t="s">
        <v>1832</v>
      </c>
      <c r="D1422" s="30" t="s">
        <v>22</v>
      </c>
      <c r="E1422" s="4" t="s">
        <v>16</v>
      </c>
      <c r="F1422" s="34" t="s">
        <v>75</v>
      </c>
      <c r="G1422" s="4">
        <f>SUMIFS(X!$F$5:$F$2005,X!$D$5:$D$2005,'Current Stock'!A1422)</f>
        <v>0</v>
      </c>
      <c r="H1422" s="4">
        <f>SUMIFS(PENJUALAN!$E$4:$E$11000,PENJUALAN!$C$4:$C$11000,'Current Stock'!A1422)</f>
        <v>0</v>
      </c>
      <c r="I1422" s="16">
        <f t="shared" si="2"/>
        <v>0</v>
      </c>
      <c r="J1422" s="4"/>
      <c r="K1422" s="4"/>
      <c r="L1422" s="4"/>
      <c r="M1422" s="4"/>
    </row>
    <row r="1423" ht="13.5" customHeight="1">
      <c r="A1423" s="4" t="str">
        <f t="shared" si="1"/>
        <v>LFW-ALPHARD18RS2XYG</v>
      </c>
      <c r="B1423" s="29" t="s">
        <v>1833</v>
      </c>
      <c r="C1423" s="30" t="s">
        <v>1834</v>
      </c>
      <c r="D1423" s="30" t="s">
        <v>22</v>
      </c>
      <c r="E1423" s="4" t="s">
        <v>16</v>
      </c>
      <c r="F1423" s="30" t="s">
        <v>1835</v>
      </c>
      <c r="G1423" s="4">
        <f>SUMIFS(X!$F$5:$F$2005,X!$D$5:$D$2005,'Current Stock'!A1423)</f>
        <v>0</v>
      </c>
      <c r="H1423" s="4">
        <f>SUMIFS(PENJUALAN!$E$4:$E$11000,PENJUALAN!$C$4:$C$11000,'Current Stock'!A1423)</f>
        <v>0</v>
      </c>
      <c r="I1423" s="16">
        <f t="shared" si="2"/>
        <v>0</v>
      </c>
      <c r="J1423" s="4"/>
      <c r="K1423" s="4"/>
      <c r="L1423" s="4"/>
      <c r="M1423" s="4"/>
    </row>
    <row r="1424" ht="13.5" customHeight="1">
      <c r="A1424" s="4" t="str">
        <f t="shared" si="1"/>
        <v>TRW-ALPHARD18XYG</v>
      </c>
      <c r="B1424" s="29" t="s">
        <v>1836</v>
      </c>
      <c r="C1424" s="28" t="s">
        <v>1837</v>
      </c>
      <c r="D1424" s="28" t="s">
        <v>41</v>
      </c>
      <c r="E1424" s="4" t="s">
        <v>16</v>
      </c>
      <c r="F1424" s="28" t="s">
        <v>67</v>
      </c>
      <c r="G1424" s="4">
        <f>SUMIFS(X!$F$5:$F$2005,X!$D$5:$D$2005,'Current Stock'!A1424)</f>
        <v>2</v>
      </c>
      <c r="H1424" s="4">
        <f>SUMIFS(PENJUALAN!$E$4:$E$11000,PENJUALAN!$C$4:$C$11000,'Current Stock'!A1424)</f>
        <v>2</v>
      </c>
      <c r="I1424" s="16">
        <f t="shared" si="2"/>
        <v>0</v>
      </c>
      <c r="J1424" s="4"/>
      <c r="K1424" s="4"/>
      <c r="L1424" s="4"/>
      <c r="M1424" s="4"/>
    </row>
    <row r="1425" ht="13.5" customHeight="1">
      <c r="A1425" s="20" t="str">
        <f t="shared" si="1"/>
        <v>TRW-CRV02PIL</v>
      </c>
      <c r="B1425" s="22" t="s">
        <v>422</v>
      </c>
      <c r="C1425" s="22" t="s">
        <v>423</v>
      </c>
      <c r="D1425" s="25" t="str">
        <f>LEFT(A1425,FIND("-",A1425) - 1)</f>
        <v>TRW</v>
      </c>
      <c r="E1425" s="22" t="s">
        <v>74</v>
      </c>
      <c r="F1425" s="22" t="s">
        <v>1838</v>
      </c>
      <c r="G1425" s="4">
        <f>SUMIFS(X!$F$5:$F$2005,X!$D$5:$D$2005,'Current Stock'!A1425)</f>
        <v>4</v>
      </c>
      <c r="H1425" s="4">
        <f>SUMIFS(PENJUALAN!$E$4:$E$11000,PENJUALAN!$C$4:$C$11000,'Current Stock'!A1425)</f>
        <v>4</v>
      </c>
      <c r="I1425" s="16">
        <f t="shared" si="2"/>
        <v>0</v>
      </c>
      <c r="J1425" s="22" t="s">
        <v>1422</v>
      </c>
      <c r="K1425" s="22"/>
      <c r="L1425" s="25"/>
      <c r="M1425" s="25"/>
    </row>
    <row r="1426" ht="13.5" customHeight="1">
      <c r="A1426" s="4" t="str">
        <f t="shared" si="1"/>
        <v>TRW-ALTIS00XYG</v>
      </c>
      <c r="B1426" s="29" t="s">
        <v>1074</v>
      </c>
      <c r="C1426" s="28" t="s">
        <v>1073</v>
      </c>
      <c r="D1426" s="28" t="s">
        <v>41</v>
      </c>
      <c r="E1426" s="4" t="s">
        <v>16</v>
      </c>
      <c r="F1426" s="28" t="s">
        <v>67</v>
      </c>
      <c r="G1426" s="4">
        <f>SUMIFS(X!$F$5:$F$2005,X!$D$5:$D$2005,'Current Stock'!A1426)</f>
        <v>0</v>
      </c>
      <c r="H1426" s="4">
        <f>SUMIFS(PENJUALAN!$E$4:$E$11000,PENJUALAN!$C$4:$C$11000,'Current Stock'!A1426)</f>
        <v>0</v>
      </c>
      <c r="I1426" s="16">
        <f t="shared" si="2"/>
        <v>0</v>
      </c>
      <c r="J1426" s="4"/>
      <c r="K1426" s="4"/>
      <c r="L1426" s="4"/>
      <c r="M1426" s="4"/>
    </row>
    <row r="1427" ht="13.5" customHeight="1">
      <c r="A1427" s="4" t="str">
        <f t="shared" si="1"/>
        <v>LFW-ALTIS06XYG</v>
      </c>
      <c r="B1427" s="29" t="s">
        <v>1075</v>
      </c>
      <c r="C1427" s="28" t="s">
        <v>1076</v>
      </c>
      <c r="D1427" s="28" t="s">
        <v>22</v>
      </c>
      <c r="E1427" s="4" t="s">
        <v>16</v>
      </c>
      <c r="F1427" s="28" t="s">
        <v>125</v>
      </c>
      <c r="G1427" s="4">
        <f>SUMIFS(X!$F$5:$F$2005,X!$D$5:$D$2005,'Current Stock'!A1427)</f>
        <v>0</v>
      </c>
      <c r="H1427" s="4">
        <f>SUMIFS(PENJUALAN!$E$4:$E$11000,PENJUALAN!$C$4:$C$11000,'Current Stock'!A1427)</f>
        <v>0</v>
      </c>
      <c r="I1427" s="16">
        <f t="shared" si="2"/>
        <v>0</v>
      </c>
      <c r="J1427" s="4"/>
      <c r="K1427" s="4"/>
      <c r="L1427" s="4"/>
      <c r="M1427" s="4"/>
    </row>
    <row r="1428" ht="13.5" customHeight="1">
      <c r="A1428" s="20" t="str">
        <f t="shared" si="1"/>
        <v>SWR-PANTHER91ASH</v>
      </c>
      <c r="B1428" s="22" t="s">
        <v>1839</v>
      </c>
      <c r="C1428" s="22" t="s">
        <v>1840</v>
      </c>
      <c r="D1428" s="22" t="s">
        <v>104</v>
      </c>
      <c r="E1428" s="22" t="s">
        <v>82</v>
      </c>
      <c r="F1428" s="22" t="s">
        <v>1841</v>
      </c>
      <c r="G1428" s="4">
        <f>SUMIFS(X!$F$5:$F$2005,X!$D$5:$D$2005,'Current Stock'!A1428)</f>
        <v>5</v>
      </c>
      <c r="H1428" s="4">
        <f>SUMIFS(PENJUALAN!$E$4:$E$11000,PENJUALAN!$C$4:$C$11000,'Current Stock'!A1428)</f>
        <v>3</v>
      </c>
      <c r="I1428" s="16">
        <f t="shared" si="2"/>
        <v>2</v>
      </c>
      <c r="J1428" s="22" t="s">
        <v>1435</v>
      </c>
      <c r="K1428" s="22"/>
      <c r="L1428" s="25"/>
      <c r="M1428" s="25"/>
    </row>
    <row r="1429" ht="13.5" customHeight="1">
      <c r="A1429" s="20" t="str">
        <f t="shared" si="1"/>
        <v>LFW-CARRYASH</v>
      </c>
      <c r="B1429" s="22" t="s">
        <v>1842</v>
      </c>
      <c r="C1429" s="22" t="s">
        <v>1702</v>
      </c>
      <c r="D1429" s="22" t="s">
        <v>22</v>
      </c>
      <c r="E1429" s="22" t="s">
        <v>82</v>
      </c>
      <c r="F1429" s="25"/>
      <c r="G1429" s="4">
        <f>SUMIFS(X!$F$5:$F$2005,X!$D$5:$D$2005,'Current Stock'!A1429)</f>
        <v>5</v>
      </c>
      <c r="H1429" s="4">
        <f>SUMIFS(PENJUALAN!$E$4:$E$11000,PENJUALAN!$C$4:$C$11000,'Current Stock'!A1429)</f>
        <v>3</v>
      </c>
      <c r="I1429" s="16">
        <f t="shared" si="2"/>
        <v>2</v>
      </c>
      <c r="J1429" s="22" t="s">
        <v>1843</v>
      </c>
      <c r="K1429" s="22"/>
      <c r="L1429" s="25"/>
      <c r="M1429" s="25"/>
    </row>
    <row r="1430" ht="13.5" customHeight="1">
      <c r="A1430" s="4" t="str">
        <f t="shared" si="1"/>
        <v>FDL-ALTIS06XYG</v>
      </c>
      <c r="B1430" s="29" t="s">
        <v>1081</v>
      </c>
      <c r="C1430" s="28" t="s">
        <v>1078</v>
      </c>
      <c r="D1430" s="28" t="s">
        <v>128</v>
      </c>
      <c r="E1430" s="4" t="s">
        <v>16</v>
      </c>
      <c r="F1430" s="28" t="s">
        <v>397</v>
      </c>
      <c r="G1430" s="4">
        <f>SUMIFS(X!$F$5:$F$2005,X!$D$5:$D$2005,'Current Stock'!A1430)</f>
        <v>0</v>
      </c>
      <c r="H1430" s="4">
        <f>SUMIFS(PENJUALAN!$E$4:$E$11000,PENJUALAN!$C$4:$C$11000,'Current Stock'!A1430)</f>
        <v>0</v>
      </c>
      <c r="I1430" s="16">
        <f t="shared" si="2"/>
        <v>0</v>
      </c>
      <c r="J1430" s="4"/>
      <c r="K1430" s="4"/>
      <c r="L1430" s="4"/>
      <c r="M1430" s="4"/>
    </row>
    <row r="1431" ht="13.5" customHeight="1">
      <c r="A1431" s="4" t="str">
        <f t="shared" si="1"/>
        <v>FDR-ALTIS06XYG</v>
      </c>
      <c r="B1431" s="29" t="s">
        <v>1082</v>
      </c>
      <c r="C1431" s="28" t="s">
        <v>1078</v>
      </c>
      <c r="D1431" s="28" t="s">
        <v>130</v>
      </c>
      <c r="E1431" s="4" t="s">
        <v>16</v>
      </c>
      <c r="F1431" s="28" t="s">
        <v>397</v>
      </c>
      <c r="G1431" s="4">
        <f>SUMIFS(X!$F$5:$F$2005,X!$D$5:$D$2005,'Current Stock'!A1431)</f>
        <v>0</v>
      </c>
      <c r="H1431" s="4">
        <f>SUMIFS(PENJUALAN!$E$4:$E$11000,PENJUALAN!$C$4:$C$11000,'Current Stock'!A1431)</f>
        <v>0</v>
      </c>
      <c r="I1431" s="16">
        <f t="shared" si="2"/>
        <v>0</v>
      </c>
      <c r="J1431" s="4"/>
      <c r="K1431" s="4"/>
      <c r="L1431" s="4"/>
      <c r="M1431" s="4"/>
    </row>
    <row r="1432" ht="13.5" customHeight="1">
      <c r="A1432" s="4" t="str">
        <f t="shared" si="1"/>
        <v>RDL-ALTIS06XYG</v>
      </c>
      <c r="B1432" s="29" t="s">
        <v>1083</v>
      </c>
      <c r="C1432" s="28" t="s">
        <v>1078</v>
      </c>
      <c r="D1432" s="28" t="s">
        <v>132</v>
      </c>
      <c r="E1432" s="4" t="s">
        <v>16</v>
      </c>
      <c r="F1432" s="28"/>
      <c r="G1432" s="4">
        <f>SUMIFS(X!$F$5:$F$2005,X!$D$5:$D$2005,'Current Stock'!A1432)</f>
        <v>0</v>
      </c>
      <c r="H1432" s="4">
        <f>SUMIFS(PENJUALAN!$E$4:$E$11000,PENJUALAN!$C$4:$C$11000,'Current Stock'!A1432)</f>
        <v>0</v>
      </c>
      <c r="I1432" s="16">
        <f t="shared" si="2"/>
        <v>0</v>
      </c>
      <c r="J1432" s="4"/>
      <c r="K1432" s="4"/>
      <c r="L1432" s="4"/>
      <c r="M1432" s="4"/>
    </row>
    <row r="1433" ht="13.5" customHeight="1">
      <c r="A1433" s="4" t="str">
        <f t="shared" si="1"/>
        <v>RDR-ALTIS06XYG</v>
      </c>
      <c r="B1433" s="29" t="s">
        <v>1084</v>
      </c>
      <c r="C1433" s="28" t="s">
        <v>1078</v>
      </c>
      <c r="D1433" s="28" t="s">
        <v>134</v>
      </c>
      <c r="E1433" s="4" t="s">
        <v>16</v>
      </c>
      <c r="F1433" s="28"/>
      <c r="G1433" s="4">
        <f>SUMIFS(X!$F$5:$F$2005,X!$D$5:$D$2005,'Current Stock'!A1433)</f>
        <v>0</v>
      </c>
      <c r="H1433" s="4">
        <f>SUMIFS(PENJUALAN!$E$4:$E$11000,PENJUALAN!$C$4:$C$11000,'Current Stock'!A1433)</f>
        <v>0</v>
      </c>
      <c r="I1433" s="16">
        <f t="shared" si="2"/>
        <v>0</v>
      </c>
      <c r="J1433" s="4"/>
      <c r="K1433" s="4"/>
      <c r="L1433" s="4"/>
      <c r="M1433" s="4"/>
    </row>
    <row r="1434" ht="13.5" customHeight="1">
      <c r="A1434" s="4" t="str">
        <f t="shared" si="1"/>
        <v>TRW-OUTLANDERFR</v>
      </c>
      <c r="B1434" s="15" t="s">
        <v>880</v>
      </c>
      <c r="C1434" s="15" t="s">
        <v>1844</v>
      </c>
      <c r="D1434" s="15" t="s">
        <v>41</v>
      </c>
      <c r="E1434" s="15" t="s">
        <v>1449</v>
      </c>
      <c r="F1434" s="15" t="s">
        <v>1377</v>
      </c>
      <c r="G1434" s="4">
        <f>SUMIFS(X!$F$5:$F$2005,X!$D$5:$D$2005,'Current Stock'!A1434)</f>
        <v>4</v>
      </c>
      <c r="H1434" s="4">
        <f>SUMIFS(PENJUALAN!$E$4:$E$11000,PENJUALAN!$C$4:$C$11000,'Current Stock'!A1434)</f>
        <v>4</v>
      </c>
      <c r="I1434" s="16">
        <f t="shared" si="2"/>
        <v>0</v>
      </c>
      <c r="J1434" s="15" t="s">
        <v>1452</v>
      </c>
      <c r="K1434" s="18"/>
      <c r="L1434" s="18"/>
      <c r="M1434" s="18"/>
    </row>
    <row r="1435" ht="13.5" customHeight="1">
      <c r="A1435" s="4" t="str">
        <f t="shared" si="1"/>
        <v>TRW-ALTIS13XYG</v>
      </c>
      <c r="B1435" s="29" t="s">
        <v>1089</v>
      </c>
      <c r="C1435" s="28" t="s">
        <v>1088</v>
      </c>
      <c r="D1435" s="28" t="s">
        <v>41</v>
      </c>
      <c r="E1435" s="4" t="s">
        <v>16</v>
      </c>
      <c r="F1435" s="28" t="s">
        <v>114</v>
      </c>
      <c r="G1435" s="4">
        <f>SUMIFS(X!$F$5:$F$2005,X!$D$5:$D$2005,'Current Stock'!A1435)</f>
        <v>1</v>
      </c>
      <c r="H1435" s="4">
        <f>SUMIFS(PENJUALAN!$E$4:$E$11000,PENJUALAN!$C$4:$C$11000,'Current Stock'!A1435)</f>
        <v>1</v>
      </c>
      <c r="I1435" s="16">
        <f t="shared" si="2"/>
        <v>0</v>
      </c>
      <c r="J1435" s="4"/>
      <c r="K1435" s="4"/>
      <c r="L1435" s="4"/>
      <c r="M1435" s="4"/>
    </row>
    <row r="1436" ht="13.5" customHeight="1">
      <c r="A1436" s="4" t="str">
        <f t="shared" si="1"/>
        <v>LFW-AVANZA03XYG</v>
      </c>
      <c r="B1436" s="29" t="s">
        <v>1096</v>
      </c>
      <c r="C1436" s="28" t="s">
        <v>65</v>
      </c>
      <c r="D1436" s="28" t="s">
        <v>22</v>
      </c>
      <c r="E1436" s="4" t="s">
        <v>16</v>
      </c>
      <c r="F1436" s="28" t="s">
        <v>97</v>
      </c>
      <c r="G1436" s="4">
        <f>SUMIFS(X!$F$5:$F$2005,X!$D$5:$D$2005,'Current Stock'!A1436)</f>
        <v>12</v>
      </c>
      <c r="H1436" s="4">
        <f>SUMIFS(PENJUALAN!$E$4:$E$11000,PENJUALAN!$C$4:$C$11000,'Current Stock'!A1436)</f>
        <v>5</v>
      </c>
      <c r="I1436" s="16">
        <f t="shared" si="2"/>
        <v>7</v>
      </c>
      <c r="J1436" s="15" t="s">
        <v>1845</v>
      </c>
      <c r="K1436" s="4"/>
      <c r="L1436" s="4"/>
      <c r="M1436" s="4"/>
    </row>
    <row r="1437" ht="13.5" customHeight="1">
      <c r="A1437" s="4" t="str">
        <f t="shared" si="1"/>
        <v>TRW-AVANZA03XYG</v>
      </c>
      <c r="B1437" s="29" t="s">
        <v>1097</v>
      </c>
      <c r="C1437" s="28" t="s">
        <v>65</v>
      </c>
      <c r="D1437" s="28" t="s">
        <v>41</v>
      </c>
      <c r="E1437" s="4" t="s">
        <v>16</v>
      </c>
      <c r="F1437" s="28" t="s">
        <v>97</v>
      </c>
      <c r="G1437" s="4">
        <f>SUMIFS(X!$F$5:$F$2005,X!$D$5:$D$2005,'Current Stock'!A1437)</f>
        <v>42</v>
      </c>
      <c r="H1437" s="4">
        <f>SUMIFS(PENJUALAN!$E$4:$E$11000,PENJUALAN!$C$4:$C$11000,'Current Stock'!A1437)</f>
        <v>40</v>
      </c>
      <c r="I1437" s="16">
        <f t="shared" si="2"/>
        <v>2</v>
      </c>
      <c r="J1437" s="15" t="s">
        <v>1846</v>
      </c>
      <c r="K1437" s="15"/>
      <c r="L1437" s="4"/>
      <c r="M1437" s="15" t="s">
        <v>1847</v>
      </c>
    </row>
    <row r="1438" ht="13.5" customHeight="1">
      <c r="A1438" s="4" t="str">
        <f t="shared" si="1"/>
        <v>TRW-AVANZA03HXYG</v>
      </c>
      <c r="B1438" s="29" t="s">
        <v>64</v>
      </c>
      <c r="C1438" s="28" t="s">
        <v>65</v>
      </c>
      <c r="D1438" s="28" t="s">
        <v>41</v>
      </c>
      <c r="E1438" s="4" t="s">
        <v>16</v>
      </c>
      <c r="F1438" s="28" t="s">
        <v>67</v>
      </c>
      <c r="G1438" s="4">
        <f>SUMIFS(X!$F$5:$F$2005,X!$D$5:$D$2005,'Current Stock'!A1438)</f>
        <v>4</v>
      </c>
      <c r="H1438" s="4">
        <f>SUMIFS(PENJUALAN!$E$4:$E$11000,PENJUALAN!$C$4:$C$11000,'Current Stock'!A1438)</f>
        <v>1</v>
      </c>
      <c r="I1438" s="16">
        <f t="shared" si="2"/>
        <v>3</v>
      </c>
      <c r="J1438" s="15" t="s">
        <v>1846</v>
      </c>
      <c r="K1438" s="15"/>
      <c r="L1438" s="5">
        <v>2.0</v>
      </c>
      <c r="M1438" s="4"/>
    </row>
    <row r="1439" ht="13.5" customHeight="1">
      <c r="A1439" s="4" t="str">
        <f t="shared" si="1"/>
        <v>LFW-AVANZA11XYG</v>
      </c>
      <c r="B1439" s="29" t="s">
        <v>1098</v>
      </c>
      <c r="C1439" s="28" t="s">
        <v>81</v>
      </c>
      <c r="D1439" s="28" t="s">
        <v>22</v>
      </c>
      <c r="E1439" s="4" t="s">
        <v>16</v>
      </c>
      <c r="F1439" s="28" t="s">
        <v>97</v>
      </c>
      <c r="G1439" s="4">
        <f>SUMIFS(X!$F$5:$F$2005,X!$D$5:$D$2005,'Current Stock'!A1439)</f>
        <v>8</v>
      </c>
      <c r="H1439" s="4">
        <f>SUMIFS(PENJUALAN!$E$4:$E$11000,PENJUALAN!$C$4:$C$11000,'Current Stock'!A1439)</f>
        <v>8</v>
      </c>
      <c r="I1439" s="16">
        <f t="shared" si="2"/>
        <v>0</v>
      </c>
      <c r="J1439" s="15" t="s">
        <v>1848</v>
      </c>
      <c r="K1439" s="4"/>
      <c r="L1439" s="4"/>
      <c r="M1439" s="4"/>
    </row>
    <row r="1440" ht="13.5" customHeight="1">
      <c r="A1440" s="4" t="str">
        <f t="shared" si="1"/>
        <v>TRW-AVANZA11XYG</v>
      </c>
      <c r="B1440" s="29" t="s">
        <v>87</v>
      </c>
      <c r="C1440" s="33" t="s">
        <v>1472</v>
      </c>
      <c r="D1440" s="28" t="s">
        <v>41</v>
      </c>
      <c r="E1440" s="4" t="s">
        <v>16</v>
      </c>
      <c r="F1440" s="28" t="s">
        <v>97</v>
      </c>
      <c r="G1440" s="4">
        <f>SUMIFS(X!$F$5:$F$2005,X!$D$5:$D$2005,'Current Stock'!A1440)</f>
        <v>8</v>
      </c>
      <c r="H1440" s="4">
        <f>SUMIFS(PENJUALAN!$E$4:$E$11000,PENJUALAN!$C$4:$C$11000,'Current Stock'!A1440)</f>
        <v>7</v>
      </c>
      <c r="I1440" s="16">
        <f t="shared" si="2"/>
        <v>1</v>
      </c>
      <c r="J1440" s="15" t="s">
        <v>1849</v>
      </c>
      <c r="K1440" s="4"/>
      <c r="L1440" s="4"/>
      <c r="M1440" s="15" t="s">
        <v>1850</v>
      </c>
    </row>
    <row r="1441" ht="13.5" customHeight="1">
      <c r="A1441" s="4" t="str">
        <f t="shared" si="1"/>
        <v>TRW-AVANZA11HXYG</v>
      </c>
      <c r="B1441" s="29" t="s">
        <v>1099</v>
      </c>
      <c r="C1441" s="33" t="s">
        <v>1472</v>
      </c>
      <c r="D1441" s="28" t="s">
        <v>41</v>
      </c>
      <c r="E1441" s="4" t="s">
        <v>16</v>
      </c>
      <c r="F1441" s="28" t="s">
        <v>67</v>
      </c>
      <c r="G1441" s="4">
        <f>SUMIFS(X!$F$5:$F$2005,X!$D$5:$D$2005,'Current Stock'!A1441)</f>
        <v>12</v>
      </c>
      <c r="H1441" s="4">
        <f>SUMIFS(PENJUALAN!$E$4:$E$11000,PENJUALAN!$C$4:$C$11000,'Current Stock'!A1441)</f>
        <v>8</v>
      </c>
      <c r="I1441" s="16">
        <f t="shared" si="2"/>
        <v>4</v>
      </c>
      <c r="J1441" s="15" t="s">
        <v>1460</v>
      </c>
      <c r="K1441" s="15"/>
      <c r="L1441" s="5">
        <v>2.0</v>
      </c>
      <c r="M1441" s="4"/>
    </row>
    <row r="1442" ht="13.5" customHeight="1">
      <c r="A1442" s="4" t="str">
        <f t="shared" si="1"/>
        <v>LFW-AVANZA16XYG</v>
      </c>
      <c r="B1442" s="29" t="s">
        <v>1100</v>
      </c>
      <c r="C1442" s="28" t="s">
        <v>1101</v>
      </c>
      <c r="D1442" s="28" t="s">
        <v>22</v>
      </c>
      <c r="E1442" s="4" t="s">
        <v>16</v>
      </c>
      <c r="F1442" s="28" t="s">
        <v>97</v>
      </c>
      <c r="G1442" s="4">
        <f>SUMIFS(X!$F$5:$F$2005,X!$D$5:$D$2005,'Current Stock'!A1442)</f>
        <v>9</v>
      </c>
      <c r="H1442" s="4">
        <f>SUMIFS(PENJUALAN!$E$4:$E$11000,PENJUALAN!$C$4:$C$11000,'Current Stock'!A1442)</f>
        <v>3</v>
      </c>
      <c r="I1442" s="16">
        <f t="shared" si="2"/>
        <v>6</v>
      </c>
      <c r="J1442" s="15" t="s">
        <v>1845</v>
      </c>
      <c r="K1442" s="4"/>
      <c r="L1442" s="4"/>
      <c r="M1442" s="4"/>
    </row>
    <row r="1443" ht="13.5" customHeight="1">
      <c r="A1443" s="4" t="str">
        <f t="shared" si="1"/>
        <v>LFW-CAMRY96XYG</v>
      </c>
      <c r="B1443" s="29" t="s">
        <v>1102</v>
      </c>
      <c r="C1443" s="28" t="s">
        <v>1103</v>
      </c>
      <c r="D1443" s="28" t="s">
        <v>22</v>
      </c>
      <c r="E1443" s="4" t="s">
        <v>16</v>
      </c>
      <c r="F1443" s="28" t="s">
        <v>125</v>
      </c>
      <c r="G1443" s="4">
        <f>SUMIFS(X!$F$5:$F$2005,X!$D$5:$D$2005,'Current Stock'!A1443)</f>
        <v>1</v>
      </c>
      <c r="H1443" s="4">
        <f>SUMIFS(PENJUALAN!$E$4:$E$11000,PENJUALAN!$C$4:$C$11000,'Current Stock'!A1443)</f>
        <v>0</v>
      </c>
      <c r="I1443" s="16">
        <f t="shared" si="2"/>
        <v>1</v>
      </c>
      <c r="J1443" s="15" t="s">
        <v>1851</v>
      </c>
      <c r="K1443" s="15"/>
      <c r="L1443" s="4"/>
      <c r="M1443" s="4"/>
    </row>
    <row r="1444" ht="13.5" customHeight="1">
      <c r="A1444" s="4" t="str">
        <f t="shared" si="1"/>
        <v>TRW-INNOVA15AGC</v>
      </c>
      <c r="B1444" s="63" t="s">
        <v>1852</v>
      </c>
      <c r="C1444" s="15" t="s">
        <v>1853</v>
      </c>
      <c r="D1444" s="15" t="s">
        <v>41</v>
      </c>
      <c r="E1444" s="15" t="s">
        <v>78</v>
      </c>
      <c r="F1444" s="15" t="s">
        <v>90</v>
      </c>
      <c r="G1444" s="4">
        <f>SUMIFS(X!$F$5:$F$2005,X!$D$5:$D$2005,'Current Stock'!A1444)</f>
        <v>2</v>
      </c>
      <c r="H1444" s="4">
        <f>SUMIFS(PENJUALAN!$E$4:$E$11000,PENJUALAN!$C$4:$C$11000,'Current Stock'!A1444)</f>
        <v>1</v>
      </c>
      <c r="I1444" s="16">
        <f t="shared" si="2"/>
        <v>1</v>
      </c>
      <c r="J1444" s="15"/>
      <c r="K1444" s="15"/>
      <c r="L1444" s="18"/>
      <c r="M1444" s="18"/>
    </row>
    <row r="1445" ht="13.5" customHeight="1">
      <c r="A1445" s="4" t="str">
        <f t="shared" si="1"/>
        <v>FDR-INNOVA15AGC</v>
      </c>
      <c r="B1445" s="63" t="s">
        <v>1854</v>
      </c>
      <c r="C1445" s="15" t="s">
        <v>1853</v>
      </c>
      <c r="D1445" s="15" t="s">
        <v>45</v>
      </c>
      <c r="E1445" s="15" t="s">
        <v>78</v>
      </c>
      <c r="F1445" s="15" t="s">
        <v>1855</v>
      </c>
      <c r="G1445" s="4">
        <f>SUMIFS(X!$F$5:$F$2005,X!$D$5:$D$2005,'Current Stock'!A1445)</f>
        <v>1</v>
      </c>
      <c r="H1445" s="4">
        <f>SUMIFS(PENJUALAN!$E$4:$E$11000,PENJUALAN!$C$4:$C$11000,'Current Stock'!A1445)</f>
        <v>0</v>
      </c>
      <c r="I1445" s="16">
        <f t="shared" si="2"/>
        <v>1</v>
      </c>
      <c r="J1445" s="15"/>
      <c r="K1445" s="15"/>
      <c r="L1445" s="18"/>
      <c r="M1445" s="18"/>
    </row>
    <row r="1446" ht="13.5" customHeight="1">
      <c r="A1446" s="4" t="str">
        <f t="shared" si="1"/>
        <v>FDL-INNOVA15AGC</v>
      </c>
      <c r="B1446" s="63" t="s">
        <v>1856</v>
      </c>
      <c r="C1446" s="15" t="s">
        <v>1853</v>
      </c>
      <c r="D1446" s="15" t="s">
        <v>93</v>
      </c>
      <c r="E1446" s="15" t="s">
        <v>78</v>
      </c>
      <c r="F1446" s="15" t="s">
        <v>1855</v>
      </c>
      <c r="G1446" s="4">
        <f>SUMIFS(X!$F$5:$F$2005,X!$D$5:$D$2005,'Current Stock'!A1446)</f>
        <v>0</v>
      </c>
      <c r="H1446" s="4">
        <f>SUMIFS(PENJUALAN!$E$4:$E$11000,PENJUALAN!$C$4:$C$11000,'Current Stock'!A1446)</f>
        <v>0</v>
      </c>
      <c r="I1446" s="16">
        <f t="shared" si="2"/>
        <v>0</v>
      </c>
      <c r="J1446" s="15"/>
      <c r="K1446" s="15"/>
      <c r="L1446" s="18"/>
      <c r="M1446" s="18"/>
    </row>
    <row r="1447" ht="13.5" customHeight="1">
      <c r="A1447" s="4" t="str">
        <f t="shared" si="1"/>
        <v>RDR-INNOVA15AGC</v>
      </c>
      <c r="B1447" s="63" t="s">
        <v>1857</v>
      </c>
      <c r="C1447" s="15" t="s">
        <v>1853</v>
      </c>
      <c r="D1447" s="15" t="s">
        <v>70</v>
      </c>
      <c r="E1447" s="15" t="s">
        <v>78</v>
      </c>
      <c r="F1447" s="15" t="s">
        <v>1855</v>
      </c>
      <c r="G1447" s="4">
        <f>SUMIFS(X!$F$5:$F$2005,X!$D$5:$D$2005,'Current Stock'!A1447)</f>
        <v>0</v>
      </c>
      <c r="H1447" s="4">
        <f>SUMIFS(PENJUALAN!$E$4:$E$11000,PENJUALAN!$C$4:$C$11000,'Current Stock'!A1447)</f>
        <v>0</v>
      </c>
      <c r="I1447" s="16">
        <f t="shared" si="2"/>
        <v>0</v>
      </c>
      <c r="J1447" s="15"/>
      <c r="K1447" s="15"/>
      <c r="L1447" s="18"/>
      <c r="M1447" s="18"/>
    </row>
    <row r="1448" ht="13.5" customHeight="1">
      <c r="A1448" s="4" t="str">
        <f t="shared" si="1"/>
        <v>RDL-INNOVA15AGC</v>
      </c>
      <c r="B1448" s="63" t="s">
        <v>1858</v>
      </c>
      <c r="C1448" s="15" t="s">
        <v>1853</v>
      </c>
      <c r="D1448" s="15" t="s">
        <v>47</v>
      </c>
      <c r="E1448" s="15" t="s">
        <v>78</v>
      </c>
      <c r="F1448" s="15" t="s">
        <v>1855</v>
      </c>
      <c r="G1448" s="4">
        <f>SUMIFS(X!$F$5:$F$2005,X!$D$5:$D$2005,'Current Stock'!A1448)</f>
        <v>0</v>
      </c>
      <c r="H1448" s="4">
        <f>SUMIFS(PENJUALAN!$E$4:$E$11000,PENJUALAN!$C$4:$C$11000,'Current Stock'!A1448)</f>
        <v>0</v>
      </c>
      <c r="I1448" s="16">
        <f t="shared" si="2"/>
        <v>0</v>
      </c>
      <c r="J1448" s="15"/>
      <c r="K1448" s="15"/>
      <c r="L1448" s="18"/>
      <c r="M1448" s="18"/>
    </row>
    <row r="1449" ht="13.5" customHeight="1">
      <c r="A1449" s="4" t="str">
        <f t="shared" si="1"/>
        <v>TRW-INNOVA15HAGC</v>
      </c>
      <c r="B1449" s="63" t="s">
        <v>1859</v>
      </c>
      <c r="C1449" s="15" t="s">
        <v>1853</v>
      </c>
      <c r="D1449" s="15" t="s">
        <v>41</v>
      </c>
      <c r="E1449" s="15" t="s">
        <v>78</v>
      </c>
      <c r="F1449" s="15" t="s">
        <v>108</v>
      </c>
      <c r="G1449" s="4">
        <f>SUMIFS(X!$F$5:$F$2005,X!$D$5:$D$2005,'Current Stock'!A1449)</f>
        <v>4</v>
      </c>
      <c r="H1449" s="4">
        <f>SUMIFS(PENJUALAN!$E$4:$E$11000,PENJUALAN!$C$4:$C$11000,'Current Stock'!A1449)</f>
        <v>3</v>
      </c>
      <c r="I1449" s="16">
        <f t="shared" si="2"/>
        <v>1</v>
      </c>
      <c r="J1449" s="15" t="s">
        <v>1860</v>
      </c>
      <c r="K1449" s="15"/>
      <c r="L1449" s="18"/>
      <c r="M1449" s="18"/>
    </row>
    <row r="1450" ht="13.5" customHeight="1">
      <c r="A1450" s="4" t="str">
        <f t="shared" si="1"/>
        <v>SWR-LUXIOAGC</v>
      </c>
      <c r="B1450" s="15" t="s">
        <v>1861</v>
      </c>
      <c r="C1450" s="15" t="s">
        <v>1862</v>
      </c>
      <c r="D1450" s="15" t="s">
        <v>104</v>
      </c>
      <c r="E1450" s="15" t="s">
        <v>78</v>
      </c>
      <c r="F1450" s="15" t="s">
        <v>97</v>
      </c>
      <c r="G1450" s="4">
        <f>SUMIFS(X!$F$5:$F$2005,X!$D$5:$D$2005,'Current Stock'!A1450)</f>
        <v>1</v>
      </c>
      <c r="H1450" s="4">
        <f>SUMIFS(PENJUALAN!$E$4:$E$11000,PENJUALAN!$C$4:$C$11000,'Current Stock'!A1450)</f>
        <v>1</v>
      </c>
      <c r="I1450" s="16">
        <f t="shared" si="2"/>
        <v>0</v>
      </c>
      <c r="J1450" s="18"/>
      <c r="K1450" s="18"/>
      <c r="L1450" s="18"/>
      <c r="M1450" s="18"/>
    </row>
    <row r="1451" ht="13.5" customHeight="1">
      <c r="A1451" s="4" t="str">
        <f t="shared" si="1"/>
        <v>TRW-INNOVA04AGC</v>
      </c>
      <c r="B1451" s="42" t="s">
        <v>1162</v>
      </c>
      <c r="C1451" s="15" t="s">
        <v>1853</v>
      </c>
      <c r="D1451" s="15" t="s">
        <v>41</v>
      </c>
      <c r="E1451" s="15" t="s">
        <v>78</v>
      </c>
      <c r="F1451" s="15" t="s">
        <v>90</v>
      </c>
      <c r="G1451" s="4">
        <f>SUMIFS(X!$F$5:$F$2005,X!$D$5:$D$2005,'Current Stock'!A1451)</f>
        <v>4</v>
      </c>
      <c r="H1451" s="4">
        <f>SUMIFS(PENJUALAN!$E$4:$E$11000,PENJUALAN!$C$4:$C$11000,'Current Stock'!A1451)</f>
        <v>4</v>
      </c>
      <c r="I1451" s="16">
        <f t="shared" si="2"/>
        <v>0</v>
      </c>
      <c r="J1451" s="64" t="s">
        <v>1860</v>
      </c>
      <c r="K1451" s="18"/>
      <c r="L1451" s="18"/>
      <c r="M1451" s="18"/>
    </row>
    <row r="1452" ht="13.5" customHeight="1">
      <c r="A1452" s="4" t="str">
        <f t="shared" si="1"/>
        <v>LFW-INNOVA04AGC</v>
      </c>
      <c r="B1452" s="15" t="s">
        <v>1159</v>
      </c>
      <c r="C1452" s="15" t="s">
        <v>1853</v>
      </c>
      <c r="D1452" s="15" t="s">
        <v>22</v>
      </c>
      <c r="E1452" s="15" t="s">
        <v>78</v>
      </c>
      <c r="F1452" s="15" t="s">
        <v>79</v>
      </c>
      <c r="G1452" s="4">
        <f>SUMIFS(X!$F$5:$F$2005,X!$D$5:$D$2005,'Current Stock'!A1452)</f>
        <v>5</v>
      </c>
      <c r="H1452" s="4">
        <f>SUMIFS(PENJUALAN!$E$4:$E$11000,PENJUALAN!$C$4:$C$11000,'Current Stock'!A1452)</f>
        <v>5</v>
      </c>
      <c r="I1452" s="16">
        <f t="shared" si="2"/>
        <v>0</v>
      </c>
      <c r="J1452" s="15" t="s">
        <v>1863</v>
      </c>
      <c r="K1452" s="18"/>
      <c r="L1452" s="18"/>
      <c r="M1452" s="18"/>
    </row>
    <row r="1453" ht="13.5" customHeight="1">
      <c r="A1453" s="4" t="str">
        <f t="shared" si="1"/>
        <v>LFW-CRV02FY</v>
      </c>
      <c r="B1453" s="29" t="s">
        <v>1864</v>
      </c>
      <c r="C1453" s="28" t="s">
        <v>1865</v>
      </c>
      <c r="D1453" s="28" t="s">
        <v>22</v>
      </c>
      <c r="E1453" s="4" t="s">
        <v>111</v>
      </c>
      <c r="F1453" s="28" t="s">
        <v>125</v>
      </c>
      <c r="G1453" s="4">
        <f>SUMIFS(X!$F$5:$F$2005,X!$D$5:$D$2005,'Current Stock'!A1453)</f>
        <v>2</v>
      </c>
      <c r="H1453" s="4">
        <f>SUMIFS(PENJUALAN!$E$4:$E$11000,PENJUALAN!$C$4:$C$11000,'Current Stock'!A1453)</f>
        <v>2</v>
      </c>
      <c r="I1453" s="16">
        <f t="shared" si="2"/>
        <v>0</v>
      </c>
      <c r="J1453" s="15" t="s">
        <v>1432</v>
      </c>
      <c r="K1453" s="15"/>
      <c r="L1453" s="4"/>
      <c r="M1453" s="4"/>
    </row>
    <row r="1454" ht="13.5" customHeight="1">
      <c r="A1454" s="4" t="str">
        <f t="shared" si="1"/>
        <v>LFW-CAMRY11RSXYG</v>
      </c>
      <c r="B1454" s="31" t="s">
        <v>1866</v>
      </c>
      <c r="C1454" s="28" t="s">
        <v>1115</v>
      </c>
      <c r="D1454" s="28" t="s">
        <v>22</v>
      </c>
      <c r="E1454" s="4" t="s">
        <v>16</v>
      </c>
      <c r="F1454" s="28" t="s">
        <v>75</v>
      </c>
      <c r="G1454" s="4">
        <f>SUMIFS(X!$F$5:$F$2005,X!$D$5:$D$2005,'Current Stock'!A1454)</f>
        <v>3</v>
      </c>
      <c r="H1454" s="4">
        <f>SUMIFS(PENJUALAN!$E$4:$E$11000,PENJUALAN!$C$4:$C$11000,'Current Stock'!A1454)</f>
        <v>2</v>
      </c>
      <c r="I1454" s="16">
        <f t="shared" si="2"/>
        <v>1</v>
      </c>
      <c r="J1454" s="15" t="s">
        <v>1851</v>
      </c>
      <c r="K1454" s="4"/>
      <c r="L1454" s="4"/>
      <c r="M1454" s="4"/>
    </row>
    <row r="1455" ht="13.5" customHeight="1">
      <c r="A1455" s="4" t="str">
        <f t="shared" si="1"/>
        <v>LFW-CAMRY11XYG</v>
      </c>
      <c r="B1455" s="61" t="s">
        <v>1114</v>
      </c>
      <c r="C1455" s="28" t="s">
        <v>1115</v>
      </c>
      <c r="D1455" s="30" t="s">
        <v>22</v>
      </c>
      <c r="E1455" s="4" t="s">
        <v>16</v>
      </c>
      <c r="F1455" s="28" t="s">
        <v>125</v>
      </c>
      <c r="G1455" s="4">
        <f>SUMIFS(X!$F$5:$F$2005,X!$D$5:$D$2005,'Current Stock'!A1455)</f>
        <v>1</v>
      </c>
      <c r="H1455" s="4">
        <f>SUMIFS(PENJUALAN!$E$4:$E$11000,PENJUALAN!$C$4:$C$11000,'Current Stock'!A1455)</f>
        <v>0</v>
      </c>
      <c r="I1455" s="16">
        <f t="shared" si="2"/>
        <v>1</v>
      </c>
      <c r="J1455" s="15" t="s">
        <v>1851</v>
      </c>
      <c r="K1455" s="4"/>
      <c r="L1455" s="4"/>
      <c r="M1455" s="4"/>
    </row>
    <row r="1456" ht="13.5" customHeight="1">
      <c r="A1456" s="4" t="str">
        <f t="shared" si="1"/>
        <v>TRW-CAMRY11XYG</v>
      </c>
      <c r="B1456" s="29" t="s">
        <v>1116</v>
      </c>
      <c r="C1456" s="28" t="s">
        <v>1115</v>
      </c>
      <c r="D1456" s="28" t="s">
        <v>41</v>
      </c>
      <c r="E1456" s="4" t="s">
        <v>16</v>
      </c>
      <c r="F1456" s="28" t="s">
        <v>114</v>
      </c>
      <c r="G1456" s="4">
        <f>SUMIFS(X!$F$5:$F$2005,X!$D$5:$D$2005,'Current Stock'!A1456)</f>
        <v>0</v>
      </c>
      <c r="H1456" s="4">
        <f>SUMIFS(PENJUALAN!$E$4:$E$11000,PENJUALAN!$C$4:$C$11000,'Current Stock'!A1456)</f>
        <v>0</v>
      </c>
      <c r="I1456" s="16">
        <f t="shared" si="2"/>
        <v>0</v>
      </c>
      <c r="J1456" s="4"/>
      <c r="K1456" s="4"/>
      <c r="L1456" s="4"/>
      <c r="M1456" s="4"/>
    </row>
    <row r="1457" ht="13.5" customHeight="1">
      <c r="A1457" s="4" t="str">
        <f t="shared" si="1"/>
        <v>LFW-CAMRY18RSXYG</v>
      </c>
      <c r="B1457" s="29" t="s">
        <v>1867</v>
      </c>
      <c r="C1457" s="30" t="s">
        <v>1868</v>
      </c>
      <c r="D1457" s="30" t="s">
        <v>22</v>
      </c>
      <c r="E1457" s="4" t="s">
        <v>16</v>
      </c>
      <c r="F1457" s="28" t="s">
        <v>75</v>
      </c>
      <c r="G1457" s="4">
        <f>SUMIFS(X!$F$5:$F$2005,X!$D$5:$D$2005,'Current Stock'!A1457)</f>
        <v>0</v>
      </c>
      <c r="H1457" s="4">
        <f>SUMIFS(PENJUALAN!$E$4:$E$11000,PENJUALAN!$C$4:$C$11000,'Current Stock'!A1457)</f>
        <v>0</v>
      </c>
      <c r="I1457" s="16">
        <f t="shared" si="2"/>
        <v>0</v>
      </c>
      <c r="J1457" s="4"/>
      <c r="K1457" s="4"/>
      <c r="L1457" s="4"/>
      <c r="M1457" s="4"/>
    </row>
    <row r="1458" ht="13.5" customHeight="1">
      <c r="A1458" s="4" t="str">
        <f t="shared" si="1"/>
        <v>LFW-CHRXYG</v>
      </c>
      <c r="B1458" s="29" t="s">
        <v>1869</v>
      </c>
      <c r="C1458" s="28" t="s">
        <v>1870</v>
      </c>
      <c r="D1458" s="28" t="s">
        <v>22</v>
      </c>
      <c r="E1458" s="4" t="s">
        <v>16</v>
      </c>
      <c r="F1458" s="28" t="s">
        <v>737</v>
      </c>
      <c r="G1458" s="4">
        <f>SUMIFS(X!$F$5:$F$2005,X!$D$5:$D$2005,'Current Stock'!A1458)</f>
        <v>1</v>
      </c>
      <c r="H1458" s="4">
        <f>SUMIFS(PENJUALAN!$E$4:$E$11000,PENJUALAN!$C$4:$C$11000,'Current Stock'!A1458)</f>
        <v>1</v>
      </c>
      <c r="I1458" s="16">
        <f t="shared" si="2"/>
        <v>0</v>
      </c>
      <c r="J1458" s="4"/>
      <c r="K1458" s="4"/>
      <c r="L1458" s="4"/>
      <c r="M1458" s="4"/>
    </row>
    <row r="1459" ht="13.5" customHeight="1">
      <c r="A1459" s="4" t="str">
        <f t="shared" si="1"/>
        <v>LFW-COROLLA87XYG</v>
      </c>
      <c r="B1459" s="29" t="s">
        <v>1871</v>
      </c>
      <c r="C1459" s="28" t="s">
        <v>1120</v>
      </c>
      <c r="D1459" s="28" t="s">
        <v>22</v>
      </c>
      <c r="E1459" s="4" t="s">
        <v>16</v>
      </c>
      <c r="F1459" s="28" t="s">
        <v>97</v>
      </c>
      <c r="G1459" s="4">
        <f>SUMIFS(X!$F$5:$F$2005,X!$D$5:$D$2005,'Current Stock'!A1459)</f>
        <v>0</v>
      </c>
      <c r="H1459" s="4">
        <f>SUMIFS(PENJUALAN!$E$4:$E$11000,PENJUALAN!$C$4:$C$11000,'Current Stock'!A1459)</f>
        <v>0</v>
      </c>
      <c r="I1459" s="16">
        <f t="shared" si="2"/>
        <v>0</v>
      </c>
      <c r="J1459" s="4"/>
      <c r="K1459" s="4"/>
      <c r="L1459" s="4"/>
      <c r="M1459" s="4"/>
    </row>
    <row r="1460" ht="13.5" customHeight="1">
      <c r="A1460" s="4" t="str">
        <f t="shared" si="1"/>
        <v>TRW-COROLLA87XYG</v>
      </c>
      <c r="B1460" s="29" t="s">
        <v>1119</v>
      </c>
      <c r="C1460" s="28" t="s">
        <v>1120</v>
      </c>
      <c r="D1460" s="28" t="s">
        <v>41</v>
      </c>
      <c r="E1460" s="4" t="s">
        <v>16</v>
      </c>
      <c r="F1460" s="28" t="s">
        <v>67</v>
      </c>
      <c r="G1460" s="4">
        <f>SUMIFS(X!$F$5:$F$2005,X!$D$5:$D$2005,'Current Stock'!A1460)</f>
        <v>0</v>
      </c>
      <c r="H1460" s="4">
        <f>SUMIFS(PENJUALAN!$E$4:$E$11000,PENJUALAN!$C$4:$C$11000,'Current Stock'!A1460)</f>
        <v>0</v>
      </c>
      <c r="I1460" s="16">
        <f t="shared" si="2"/>
        <v>0</v>
      </c>
      <c r="J1460" s="4"/>
      <c r="K1460" s="4"/>
      <c r="L1460" s="4"/>
      <c r="M1460" s="4"/>
    </row>
    <row r="1461" ht="13.5" customHeight="1">
      <c r="A1461" s="4" t="str">
        <f t="shared" si="1"/>
        <v>LFW-COROLLA91XYG</v>
      </c>
      <c r="B1461" s="29" t="s">
        <v>1121</v>
      </c>
      <c r="C1461" s="28" t="s">
        <v>1122</v>
      </c>
      <c r="D1461" s="28" t="s">
        <v>22</v>
      </c>
      <c r="E1461" s="4" t="s">
        <v>16</v>
      </c>
      <c r="F1461" s="28" t="s">
        <v>97</v>
      </c>
      <c r="G1461" s="4">
        <f>SUMIFS(X!$F$5:$F$2005,X!$D$5:$D$2005,'Current Stock'!A1461)</f>
        <v>0</v>
      </c>
      <c r="H1461" s="4">
        <f>SUMIFS(PENJUALAN!$E$4:$E$11000,PENJUALAN!$C$4:$C$11000,'Current Stock'!A1461)</f>
        <v>0</v>
      </c>
      <c r="I1461" s="16">
        <f t="shared" si="2"/>
        <v>0</v>
      </c>
      <c r="J1461" s="4"/>
      <c r="K1461" s="4"/>
      <c r="L1461" s="4"/>
      <c r="M1461" s="4"/>
    </row>
    <row r="1462" ht="13.5" customHeight="1">
      <c r="A1462" s="4" t="str">
        <f t="shared" si="1"/>
        <v>FDL-COROLLA91XYG</v>
      </c>
      <c r="B1462" s="29" t="s">
        <v>1872</v>
      </c>
      <c r="C1462" s="30" t="s">
        <v>1122</v>
      </c>
      <c r="D1462" s="30" t="s">
        <v>128</v>
      </c>
      <c r="E1462" s="4" t="s">
        <v>16</v>
      </c>
      <c r="F1462" s="34" t="s">
        <v>397</v>
      </c>
      <c r="G1462" s="4">
        <f>SUMIFS(X!$F$5:$F$2005,X!$D$5:$D$2005,'Current Stock'!A1462)</f>
        <v>0</v>
      </c>
      <c r="H1462" s="4">
        <f>SUMIFS(PENJUALAN!$E$4:$E$11000,PENJUALAN!$C$4:$C$11000,'Current Stock'!A1462)</f>
        <v>0</v>
      </c>
      <c r="I1462" s="16">
        <f t="shared" si="2"/>
        <v>0</v>
      </c>
      <c r="J1462" s="4"/>
      <c r="K1462" s="4"/>
      <c r="L1462" s="4"/>
      <c r="M1462" s="4"/>
    </row>
    <row r="1463" ht="13.5" customHeight="1">
      <c r="A1463" s="4" t="str">
        <f t="shared" si="1"/>
        <v>FDR-COROLLA91XYG</v>
      </c>
      <c r="B1463" s="29" t="s">
        <v>1873</v>
      </c>
      <c r="C1463" s="30" t="s">
        <v>1122</v>
      </c>
      <c r="D1463" s="30" t="s">
        <v>130</v>
      </c>
      <c r="E1463" s="4" t="s">
        <v>16</v>
      </c>
      <c r="F1463" s="34" t="s">
        <v>397</v>
      </c>
      <c r="G1463" s="4">
        <f>SUMIFS(X!$F$5:$F$2005,X!$D$5:$D$2005,'Current Stock'!A1463)</f>
        <v>0</v>
      </c>
      <c r="H1463" s="4">
        <f>SUMIFS(PENJUALAN!$E$4:$E$11000,PENJUALAN!$C$4:$C$11000,'Current Stock'!A1463)</f>
        <v>0</v>
      </c>
      <c r="I1463" s="16">
        <f t="shared" si="2"/>
        <v>0</v>
      </c>
      <c r="J1463" s="4"/>
      <c r="K1463" s="4"/>
      <c r="L1463" s="4"/>
      <c r="M1463" s="4"/>
    </row>
    <row r="1464" ht="13.5" customHeight="1">
      <c r="A1464" s="4" t="str">
        <f t="shared" si="1"/>
        <v>RDL-COROLLA91XYG</v>
      </c>
      <c r="B1464" s="29" t="s">
        <v>1874</v>
      </c>
      <c r="C1464" s="30" t="s">
        <v>1122</v>
      </c>
      <c r="D1464" s="30" t="s">
        <v>132</v>
      </c>
      <c r="E1464" s="4" t="s">
        <v>16</v>
      </c>
      <c r="F1464" s="34"/>
      <c r="G1464" s="4">
        <f>SUMIFS(X!$F$5:$F$2005,X!$D$5:$D$2005,'Current Stock'!A1464)</f>
        <v>0</v>
      </c>
      <c r="H1464" s="4">
        <f>SUMIFS(PENJUALAN!$E$4:$E$11000,PENJUALAN!$C$4:$C$11000,'Current Stock'!A1464)</f>
        <v>0</v>
      </c>
      <c r="I1464" s="16">
        <f t="shared" si="2"/>
        <v>0</v>
      </c>
      <c r="J1464" s="4"/>
      <c r="K1464" s="4"/>
      <c r="L1464" s="4"/>
      <c r="M1464" s="4"/>
    </row>
    <row r="1465" ht="13.5" customHeight="1">
      <c r="A1465" s="4" t="str">
        <f t="shared" si="1"/>
        <v>RDR-COROLLA91XYG</v>
      </c>
      <c r="B1465" s="29" t="s">
        <v>1875</v>
      </c>
      <c r="C1465" s="30" t="s">
        <v>1122</v>
      </c>
      <c r="D1465" s="30" t="s">
        <v>134</v>
      </c>
      <c r="E1465" s="4" t="s">
        <v>16</v>
      </c>
      <c r="F1465" s="34"/>
      <c r="G1465" s="4">
        <f>SUMIFS(X!$F$5:$F$2005,X!$D$5:$D$2005,'Current Stock'!A1465)</f>
        <v>0</v>
      </c>
      <c r="H1465" s="4">
        <f>SUMIFS(PENJUALAN!$E$4:$E$11000,PENJUALAN!$C$4:$C$11000,'Current Stock'!A1465)</f>
        <v>0</v>
      </c>
      <c r="I1465" s="16">
        <f t="shared" si="2"/>
        <v>0</v>
      </c>
      <c r="J1465" s="4"/>
      <c r="K1465" s="4"/>
      <c r="L1465" s="4"/>
      <c r="M1465" s="4"/>
    </row>
    <row r="1466" ht="13.5" customHeight="1">
      <c r="A1466" s="4" t="str">
        <f t="shared" si="1"/>
        <v>LFW-CX5GEN1RSXYG</v>
      </c>
      <c r="B1466" s="29" t="s">
        <v>740</v>
      </c>
      <c r="C1466" s="28" t="s">
        <v>741</v>
      </c>
      <c r="D1466" s="33" t="s">
        <v>22</v>
      </c>
      <c r="E1466" s="15" t="s">
        <v>16</v>
      </c>
      <c r="F1466" s="28" t="s">
        <v>737</v>
      </c>
      <c r="G1466" s="4">
        <f>SUMIFS(X!$F$5:$F$2005,X!$D$5:$D$2005,'Current Stock'!A1466)</f>
        <v>8</v>
      </c>
      <c r="H1466" s="4">
        <f>SUMIFS(PENJUALAN!$E$4:$E$11000,PENJUALAN!$C$4:$C$11000,'Current Stock'!A1466)</f>
        <v>3</v>
      </c>
      <c r="I1466" s="16">
        <f t="shared" si="2"/>
        <v>5</v>
      </c>
      <c r="J1466" s="15" t="s">
        <v>744</v>
      </c>
      <c r="K1466" s="15"/>
      <c r="L1466" s="5"/>
      <c r="M1466" s="4"/>
    </row>
    <row r="1467" ht="13.5" customHeight="1">
      <c r="A1467" s="4" t="str">
        <f t="shared" si="1"/>
        <v>TRW-COROLLA95XYG</v>
      </c>
      <c r="B1467" s="29" t="s">
        <v>1124</v>
      </c>
      <c r="C1467" s="28" t="s">
        <v>1125</v>
      </c>
      <c r="D1467" s="28" t="s">
        <v>41</v>
      </c>
      <c r="E1467" s="4" t="s">
        <v>16</v>
      </c>
      <c r="F1467" s="28" t="s">
        <v>114</v>
      </c>
      <c r="G1467" s="4">
        <f>SUMIFS(X!$F$5:$F$2005,X!$D$5:$D$2005,'Current Stock'!A1467)</f>
        <v>0</v>
      </c>
      <c r="H1467" s="4">
        <f>SUMIFS(PENJUALAN!$E$4:$E$11000,PENJUALAN!$C$4:$C$11000,'Current Stock'!A1467)</f>
        <v>0</v>
      </c>
      <c r="I1467" s="16">
        <f t="shared" si="2"/>
        <v>0</v>
      </c>
      <c r="J1467" s="4"/>
      <c r="K1467" s="4"/>
      <c r="L1467" s="4"/>
      <c r="M1467" s="4"/>
    </row>
    <row r="1468" ht="13.5" customHeight="1">
      <c r="A1468" s="4" t="str">
        <f t="shared" si="1"/>
        <v>LFW-FORTUNER05XYG</v>
      </c>
      <c r="B1468" s="29" t="s">
        <v>1128</v>
      </c>
      <c r="C1468" s="28" t="s">
        <v>1129</v>
      </c>
      <c r="D1468" s="28" t="s">
        <v>22</v>
      </c>
      <c r="E1468" s="4" t="s">
        <v>16</v>
      </c>
      <c r="F1468" s="28" t="s">
        <v>1876</v>
      </c>
      <c r="G1468" s="4">
        <f>SUMIFS(X!$F$5:$F$2005,X!$D$5:$D$2005,'Current Stock'!A1468)</f>
        <v>3</v>
      </c>
      <c r="H1468" s="4">
        <f>SUMIFS(PENJUALAN!$E$4:$E$11000,PENJUALAN!$C$4:$C$11000,'Current Stock'!A1468)</f>
        <v>0</v>
      </c>
      <c r="I1468" s="16">
        <f t="shared" si="2"/>
        <v>3</v>
      </c>
      <c r="J1468" s="15" t="s">
        <v>1877</v>
      </c>
      <c r="K1468" s="4"/>
      <c r="L1468" s="5">
        <v>2.0</v>
      </c>
      <c r="M1468" s="4"/>
    </row>
    <row r="1469" ht="13.5" customHeight="1">
      <c r="A1469" s="4" t="str">
        <f t="shared" si="1"/>
        <v>LFW-GRANMAXXYG</v>
      </c>
      <c r="B1469" s="29" t="s">
        <v>274</v>
      </c>
      <c r="C1469" s="28" t="s">
        <v>275</v>
      </c>
      <c r="D1469" s="28" t="s">
        <v>22</v>
      </c>
      <c r="E1469" s="4" t="s">
        <v>16</v>
      </c>
      <c r="F1469" s="28" t="s">
        <v>97</v>
      </c>
      <c r="G1469" s="4">
        <f>SUMIFS(X!$F$5:$F$2005,X!$D$5:$D$2005,'Current Stock'!A1469)</f>
        <v>15</v>
      </c>
      <c r="H1469" s="4">
        <f>SUMIFS(PENJUALAN!$E$4:$E$11000,PENJUALAN!$C$4:$C$11000,'Current Stock'!A1469)</f>
        <v>15</v>
      </c>
      <c r="I1469" s="16">
        <f t="shared" si="2"/>
        <v>0</v>
      </c>
      <c r="J1469" s="15" t="s">
        <v>1878</v>
      </c>
      <c r="K1469" s="4"/>
      <c r="L1469" s="4"/>
      <c r="M1469" s="4"/>
    </row>
    <row r="1470" ht="13.5" customHeight="1">
      <c r="A1470" s="20" t="str">
        <f t="shared" si="1"/>
        <v>FDL-AVANZA03ASH</v>
      </c>
      <c r="B1470" s="24" t="s">
        <v>1879</v>
      </c>
      <c r="C1470" s="22" t="s">
        <v>65</v>
      </c>
      <c r="D1470" s="25" t="str">
        <f>LEFT(A1470,FIND("-",A1470) - 1)</f>
        <v>FDL</v>
      </c>
      <c r="E1470" s="22" t="s">
        <v>82</v>
      </c>
      <c r="F1470" s="25"/>
      <c r="G1470" s="4">
        <f>SUMIFS(X!$F$5:$F$2005,X!$D$5:$D$2005,'Current Stock'!A1470)</f>
        <v>5</v>
      </c>
      <c r="H1470" s="4">
        <f>SUMIFS(PENJUALAN!$E$4:$E$11000,PENJUALAN!$C$4:$C$11000,'Current Stock'!A1470)</f>
        <v>4</v>
      </c>
      <c r="I1470" s="16">
        <f t="shared" si="2"/>
        <v>1</v>
      </c>
      <c r="J1470" s="22" t="s">
        <v>1880</v>
      </c>
      <c r="K1470" s="22"/>
      <c r="L1470" s="25"/>
      <c r="M1470" s="25"/>
    </row>
    <row r="1471" ht="13.5" customHeight="1">
      <c r="A1471" s="4" t="str">
        <f t="shared" si="1"/>
        <v>RDL-FORTUNER05XYG</v>
      </c>
      <c r="B1471" s="29" t="s">
        <v>1133</v>
      </c>
      <c r="C1471" s="28" t="s">
        <v>1129</v>
      </c>
      <c r="D1471" s="28" t="s">
        <v>132</v>
      </c>
      <c r="E1471" s="4" t="s">
        <v>16</v>
      </c>
      <c r="F1471" s="28"/>
      <c r="G1471" s="4">
        <f>SUMIFS(X!$F$5:$F$2005,X!$D$5:$D$2005,'Current Stock'!A1471)</f>
        <v>2</v>
      </c>
      <c r="H1471" s="4">
        <f>SUMIFS(PENJUALAN!$E$4:$E$11000,PENJUALAN!$C$4:$C$11000,'Current Stock'!A1471)</f>
        <v>0</v>
      </c>
      <c r="I1471" s="16">
        <f t="shared" si="2"/>
        <v>2</v>
      </c>
      <c r="J1471" s="15" t="s">
        <v>1431</v>
      </c>
      <c r="K1471" s="15"/>
      <c r="L1471" s="5">
        <v>1.0</v>
      </c>
      <c r="M1471" s="4"/>
    </row>
    <row r="1472" ht="13.5" customHeight="1">
      <c r="A1472" s="4" t="str">
        <f t="shared" si="1"/>
        <v>RDR-FORTUNER05XYG</v>
      </c>
      <c r="B1472" s="29" t="s">
        <v>1134</v>
      </c>
      <c r="C1472" s="28" t="s">
        <v>1129</v>
      </c>
      <c r="D1472" s="28" t="s">
        <v>134</v>
      </c>
      <c r="E1472" s="4" t="s">
        <v>16</v>
      </c>
      <c r="F1472" s="28"/>
      <c r="G1472" s="4">
        <f>SUMIFS(X!$F$5:$F$2005,X!$D$5:$D$2005,'Current Stock'!A1472)</f>
        <v>2</v>
      </c>
      <c r="H1472" s="4">
        <f>SUMIFS(PENJUALAN!$E$4:$E$11000,PENJUALAN!$C$4:$C$11000,'Current Stock'!A1472)</f>
        <v>0</v>
      </c>
      <c r="I1472" s="16">
        <f t="shared" si="2"/>
        <v>2</v>
      </c>
      <c r="J1472" s="15" t="s">
        <v>1431</v>
      </c>
      <c r="K1472" s="15"/>
      <c r="L1472" s="4"/>
      <c r="M1472" s="4"/>
    </row>
    <row r="1473" ht="13.5" customHeight="1">
      <c r="A1473" s="20" t="str">
        <f t="shared" si="1"/>
        <v>RDL-AVANZA03ASH</v>
      </c>
      <c r="B1473" s="24" t="s">
        <v>1881</v>
      </c>
      <c r="C1473" s="22" t="s">
        <v>65</v>
      </c>
      <c r="D1473" s="25" t="str">
        <f>LEFT(A1473,FIND("-",A1473) - 1)</f>
        <v>RDL</v>
      </c>
      <c r="E1473" s="22" t="s">
        <v>82</v>
      </c>
      <c r="F1473" s="25"/>
      <c r="G1473" s="4">
        <f>SUMIFS(X!$F$5:$F$2005,X!$D$5:$D$2005,'Current Stock'!A1473)</f>
        <v>5</v>
      </c>
      <c r="H1473" s="4">
        <f>SUMIFS(PENJUALAN!$E$4:$E$11000,PENJUALAN!$C$4:$C$11000,'Current Stock'!A1473)</f>
        <v>3</v>
      </c>
      <c r="I1473" s="16">
        <f t="shared" si="2"/>
        <v>2</v>
      </c>
      <c r="J1473" s="22" t="s">
        <v>86</v>
      </c>
      <c r="K1473" s="22"/>
      <c r="L1473" s="25"/>
      <c r="M1473" s="25"/>
    </row>
    <row r="1474" ht="13.5" customHeight="1">
      <c r="A1474" s="4" t="str">
        <f t="shared" si="1"/>
        <v>SWR-FORTUNER05BLACKXYG</v>
      </c>
      <c r="B1474" s="29" t="s">
        <v>1136</v>
      </c>
      <c r="C1474" s="28" t="s">
        <v>1132</v>
      </c>
      <c r="D1474" s="28" t="s">
        <v>236</v>
      </c>
      <c r="E1474" s="4" t="s">
        <v>16</v>
      </c>
      <c r="F1474" s="28" t="s">
        <v>234</v>
      </c>
      <c r="G1474" s="4">
        <f>SUMIFS(X!$F$5:$F$2005,X!$D$5:$D$2005,'Current Stock'!A1474)</f>
        <v>1</v>
      </c>
      <c r="H1474" s="4">
        <f>SUMIFS(PENJUALAN!$E$4:$E$11000,PENJUALAN!$C$4:$C$11000,'Current Stock'!A1474)</f>
        <v>1</v>
      </c>
      <c r="I1474" s="16">
        <f t="shared" si="2"/>
        <v>0</v>
      </c>
      <c r="J1474" s="15" t="s">
        <v>1882</v>
      </c>
      <c r="K1474" s="4"/>
      <c r="L1474" s="4"/>
      <c r="M1474" s="4"/>
    </row>
    <row r="1475" ht="13.5" customHeight="1">
      <c r="A1475" s="4" t="str">
        <f t="shared" si="1"/>
        <v>LFW-FORTUNER15XYG</v>
      </c>
      <c r="B1475" s="29" t="s">
        <v>1137</v>
      </c>
      <c r="C1475" s="28" t="s">
        <v>1138</v>
      </c>
      <c r="D1475" s="28" t="s">
        <v>22</v>
      </c>
      <c r="E1475" s="4" t="s">
        <v>16</v>
      </c>
      <c r="F1475" s="28" t="s">
        <v>125</v>
      </c>
      <c r="G1475" s="4">
        <f>SUMIFS(X!$F$5:$F$2005,X!$D$5:$D$2005,'Current Stock'!A1475)</f>
        <v>6</v>
      </c>
      <c r="H1475" s="4">
        <f>SUMIFS(PENJUALAN!$E$4:$E$11000,PENJUALAN!$C$4:$C$11000,'Current Stock'!A1475)</f>
        <v>0</v>
      </c>
      <c r="I1475" s="16">
        <f t="shared" si="2"/>
        <v>6</v>
      </c>
      <c r="J1475" s="15" t="s">
        <v>1877</v>
      </c>
      <c r="K1475" s="4"/>
      <c r="L1475" s="4"/>
      <c r="M1475" s="4"/>
    </row>
    <row r="1476" ht="13.5" customHeight="1">
      <c r="A1476" s="20" t="str">
        <f t="shared" si="1"/>
        <v>RDR-AVANZA03ASH</v>
      </c>
      <c r="B1476" s="24" t="s">
        <v>1883</v>
      </c>
      <c r="C1476" s="22" t="s">
        <v>65</v>
      </c>
      <c r="D1476" s="25" t="str">
        <f>LEFT(A1476,FIND("-",A1476) - 1)</f>
        <v>RDR</v>
      </c>
      <c r="E1476" s="22" t="s">
        <v>82</v>
      </c>
      <c r="F1476" s="25"/>
      <c r="G1476" s="4">
        <f>SUMIFS(X!$F$5:$F$2005,X!$D$5:$D$2005,'Current Stock'!A1476)</f>
        <v>5</v>
      </c>
      <c r="H1476" s="4">
        <f>SUMIFS(PENJUALAN!$E$4:$E$11000,PENJUALAN!$C$4:$C$11000,'Current Stock'!A1476)</f>
        <v>4</v>
      </c>
      <c r="I1476" s="16">
        <f t="shared" si="2"/>
        <v>1</v>
      </c>
      <c r="J1476" s="40" t="s">
        <v>86</v>
      </c>
      <c r="K1476" s="40"/>
      <c r="L1476" s="25"/>
      <c r="M1476" s="25"/>
    </row>
    <row r="1477" ht="13.5" customHeight="1">
      <c r="A1477" s="4" t="str">
        <f t="shared" si="1"/>
        <v>TRW-FORTUNER15BLACKXYG</v>
      </c>
      <c r="B1477" s="29" t="s">
        <v>1140</v>
      </c>
      <c r="C1477" s="28" t="s">
        <v>1141</v>
      </c>
      <c r="D1477" s="28" t="s">
        <v>41</v>
      </c>
      <c r="E1477" s="4" t="s">
        <v>16</v>
      </c>
      <c r="F1477" s="28" t="s">
        <v>221</v>
      </c>
      <c r="G1477" s="4">
        <f>SUMIFS(X!$F$5:$F$2005,X!$D$5:$D$2005,'Current Stock'!A1477)</f>
        <v>2</v>
      </c>
      <c r="H1477" s="4">
        <f>SUMIFS(PENJUALAN!$E$4:$E$11000,PENJUALAN!$C$4:$C$11000,'Current Stock'!A1477)</f>
        <v>1</v>
      </c>
      <c r="I1477" s="16">
        <f t="shared" si="2"/>
        <v>1</v>
      </c>
      <c r="J1477" s="15" t="s">
        <v>1884</v>
      </c>
      <c r="K1477" s="4"/>
      <c r="L1477" s="4"/>
      <c r="M1477" s="4"/>
    </row>
    <row r="1478" ht="13.5" customHeight="1">
      <c r="A1478" s="4" t="str">
        <f t="shared" si="1"/>
        <v>RDL-FORTUNER15XYG</v>
      </c>
      <c r="B1478" s="29" t="s">
        <v>1142</v>
      </c>
      <c r="C1478" s="28" t="s">
        <v>1138</v>
      </c>
      <c r="D1478" s="28" t="s">
        <v>132</v>
      </c>
      <c r="E1478" s="4" t="s">
        <v>16</v>
      </c>
      <c r="F1478" s="28"/>
      <c r="G1478" s="4">
        <f>SUMIFS(X!$F$5:$F$2005,X!$D$5:$D$2005,'Current Stock'!A1478)</f>
        <v>0</v>
      </c>
      <c r="H1478" s="4">
        <f>SUMIFS(PENJUALAN!$E$4:$E$11000,PENJUALAN!$C$4:$C$11000,'Current Stock'!A1478)</f>
        <v>0</v>
      </c>
      <c r="I1478" s="16">
        <f t="shared" si="2"/>
        <v>0</v>
      </c>
      <c r="J1478" s="4"/>
      <c r="K1478" s="4"/>
      <c r="L1478" s="4"/>
      <c r="M1478" s="4"/>
    </row>
    <row r="1479" ht="13.5" customHeight="1">
      <c r="A1479" s="4" t="str">
        <f t="shared" si="1"/>
        <v>RDR-FORTUNER15XYG</v>
      </c>
      <c r="B1479" s="29" t="s">
        <v>1143</v>
      </c>
      <c r="C1479" s="28" t="s">
        <v>1138</v>
      </c>
      <c r="D1479" s="28" t="s">
        <v>134</v>
      </c>
      <c r="E1479" s="4" t="s">
        <v>16</v>
      </c>
      <c r="F1479" s="28"/>
      <c r="G1479" s="4">
        <f>SUMIFS(X!$F$5:$F$2005,X!$D$5:$D$2005,'Current Stock'!A1479)</f>
        <v>0</v>
      </c>
      <c r="H1479" s="4">
        <f>SUMIFS(PENJUALAN!$E$4:$E$11000,PENJUALAN!$C$4:$C$11000,'Current Stock'!A1479)</f>
        <v>0</v>
      </c>
      <c r="I1479" s="16">
        <f t="shared" si="2"/>
        <v>0</v>
      </c>
      <c r="J1479" s="4"/>
      <c r="K1479" s="4"/>
      <c r="L1479" s="4"/>
      <c r="M1479" s="4"/>
    </row>
    <row r="1480" ht="13.5" customHeight="1">
      <c r="A1480" s="4" t="str">
        <f t="shared" si="1"/>
        <v>LFW-FT86XYG</v>
      </c>
      <c r="B1480" s="29" t="s">
        <v>1885</v>
      </c>
      <c r="C1480" s="28" t="s">
        <v>1886</v>
      </c>
      <c r="D1480" s="28" t="s">
        <v>22</v>
      </c>
      <c r="E1480" s="4" t="s">
        <v>16</v>
      </c>
      <c r="F1480" s="28" t="s">
        <v>737</v>
      </c>
      <c r="G1480" s="4">
        <f>SUMIFS(X!$F$5:$F$2005,X!$D$5:$D$2005,'Current Stock'!A1480)</f>
        <v>0</v>
      </c>
      <c r="H1480" s="4">
        <f>SUMIFS(PENJUALAN!$E$4:$E$11000,PENJUALAN!$C$4:$C$11000,'Current Stock'!A1480)</f>
        <v>0</v>
      </c>
      <c r="I1480" s="16">
        <f t="shared" si="2"/>
        <v>0</v>
      </c>
      <c r="J1480" s="4"/>
      <c r="K1480" s="4"/>
      <c r="L1480" s="4"/>
      <c r="M1480" s="4"/>
    </row>
    <row r="1481" ht="13.5" customHeight="1">
      <c r="A1481" s="4" t="str">
        <f t="shared" si="1"/>
        <v>TRW-FT86XYG</v>
      </c>
      <c r="B1481" s="29" t="s">
        <v>1887</v>
      </c>
      <c r="C1481" s="28" t="s">
        <v>1886</v>
      </c>
      <c r="D1481" s="28" t="s">
        <v>41</v>
      </c>
      <c r="E1481" s="4" t="s">
        <v>16</v>
      </c>
      <c r="F1481" s="28" t="s">
        <v>67</v>
      </c>
      <c r="G1481" s="4">
        <f>SUMIFS(X!$F$5:$F$2005,X!$D$5:$D$2005,'Current Stock'!A1481)</f>
        <v>0</v>
      </c>
      <c r="H1481" s="4">
        <f>SUMIFS(PENJUALAN!$E$4:$E$11000,PENJUALAN!$C$4:$C$11000,'Current Stock'!A1481)</f>
        <v>0</v>
      </c>
      <c r="I1481" s="16">
        <f t="shared" si="2"/>
        <v>0</v>
      </c>
      <c r="J1481" s="4"/>
      <c r="K1481" s="4"/>
      <c r="L1481" s="4"/>
      <c r="M1481" s="4"/>
    </row>
    <row r="1482" ht="13.5" customHeight="1">
      <c r="A1482" s="4" t="str">
        <f t="shared" si="1"/>
        <v>LFW-HIACEXYG</v>
      </c>
      <c r="B1482" s="29" t="s">
        <v>1144</v>
      </c>
      <c r="C1482" s="28" t="s">
        <v>1145</v>
      </c>
      <c r="D1482" s="28" t="s">
        <v>22</v>
      </c>
      <c r="E1482" s="4" t="s">
        <v>16</v>
      </c>
      <c r="F1482" s="28" t="s">
        <v>125</v>
      </c>
      <c r="G1482" s="4">
        <f>SUMIFS(X!$F$5:$F$2005,X!$D$5:$D$2005,'Current Stock'!A1482)</f>
        <v>0</v>
      </c>
      <c r="H1482" s="4">
        <f>SUMIFS(PENJUALAN!$E$4:$E$11000,PENJUALAN!$C$4:$C$11000,'Current Stock'!A1482)</f>
        <v>0</v>
      </c>
      <c r="I1482" s="16">
        <f t="shared" si="2"/>
        <v>0</v>
      </c>
      <c r="J1482" s="4"/>
      <c r="K1482" s="4"/>
      <c r="L1482" s="4"/>
      <c r="M1482" s="4"/>
    </row>
    <row r="1483" ht="13.5" customHeight="1">
      <c r="A1483" s="4" t="str">
        <f t="shared" si="1"/>
        <v>TRW-HIACEXYG</v>
      </c>
      <c r="B1483" s="29" t="s">
        <v>1146</v>
      </c>
      <c r="C1483" s="33" t="s">
        <v>1888</v>
      </c>
      <c r="D1483" s="33" t="s">
        <v>41</v>
      </c>
      <c r="E1483" s="4" t="s">
        <v>16</v>
      </c>
      <c r="F1483" s="28" t="s">
        <v>439</v>
      </c>
      <c r="G1483" s="4">
        <f>SUMIFS(X!$F$5:$F$2005,X!$D$5:$D$2005,'Current Stock'!A1483)</f>
        <v>9</v>
      </c>
      <c r="H1483" s="4">
        <f>SUMIFS(PENJUALAN!$E$4:$E$11000,PENJUALAN!$C$4:$C$11000,'Current Stock'!A1483)</f>
        <v>8</v>
      </c>
      <c r="I1483" s="16">
        <f t="shared" si="2"/>
        <v>1</v>
      </c>
      <c r="J1483" s="15" t="s">
        <v>1378</v>
      </c>
      <c r="K1483" s="15"/>
      <c r="L1483" s="4"/>
      <c r="M1483" s="15"/>
    </row>
    <row r="1484" ht="13.5" customHeight="1">
      <c r="A1484" s="20" t="str">
        <f t="shared" si="1"/>
        <v>FDL-AVANZA11ASH</v>
      </c>
      <c r="B1484" s="24" t="s">
        <v>92</v>
      </c>
      <c r="C1484" s="22" t="s">
        <v>1472</v>
      </c>
      <c r="D1484" s="25" t="str">
        <f>LEFT(A1484,FIND("-",A1484) - 1)</f>
        <v>FDL</v>
      </c>
      <c r="E1484" s="22" t="s">
        <v>82</v>
      </c>
      <c r="F1484" s="25"/>
      <c r="G1484" s="4">
        <f>SUMIFS(X!$F$5:$F$2005,X!$D$5:$D$2005,'Current Stock'!A1484)</f>
        <v>5</v>
      </c>
      <c r="H1484" s="4">
        <f>SUMIFS(PENJUALAN!$E$4:$E$11000,PENJUALAN!$C$4:$C$11000,'Current Stock'!A1484)</f>
        <v>3</v>
      </c>
      <c r="I1484" s="16">
        <f t="shared" si="2"/>
        <v>2</v>
      </c>
      <c r="J1484" s="22" t="s">
        <v>1880</v>
      </c>
      <c r="K1484" s="22"/>
      <c r="L1484" s="25"/>
      <c r="M1484" s="25"/>
    </row>
    <row r="1485" ht="13.5" customHeight="1">
      <c r="A1485" s="4" t="str">
        <f t="shared" si="1"/>
        <v>FDL-HIACEXYG</v>
      </c>
      <c r="B1485" s="29" t="s">
        <v>1147</v>
      </c>
      <c r="C1485" s="28" t="s">
        <v>1145</v>
      </c>
      <c r="D1485" s="28" t="s">
        <v>128</v>
      </c>
      <c r="E1485" s="4" t="s">
        <v>16</v>
      </c>
      <c r="F1485" s="28" t="s">
        <v>397</v>
      </c>
      <c r="G1485" s="4">
        <f>SUMIFS(X!$F$5:$F$2005,X!$D$5:$D$2005,'Current Stock'!A1485)</f>
        <v>7</v>
      </c>
      <c r="H1485" s="4">
        <f>SUMIFS(PENJUALAN!$E$4:$E$11000,PENJUALAN!$C$4:$C$11000,'Current Stock'!A1485)</f>
        <v>4</v>
      </c>
      <c r="I1485" s="16">
        <f t="shared" si="2"/>
        <v>3</v>
      </c>
      <c r="J1485" s="15" t="s">
        <v>1431</v>
      </c>
      <c r="K1485" s="15"/>
      <c r="L1485" s="4"/>
      <c r="M1485" s="4"/>
    </row>
    <row r="1486" ht="13.5" customHeight="1">
      <c r="A1486" s="4" t="str">
        <f t="shared" si="1"/>
        <v>TRW-ALTIS06XYG</v>
      </c>
      <c r="B1486" s="29" t="s">
        <v>1079</v>
      </c>
      <c r="C1486" s="28" t="s">
        <v>1078</v>
      </c>
      <c r="D1486" s="28" t="s">
        <v>41</v>
      </c>
      <c r="E1486" s="4" t="s">
        <v>16</v>
      </c>
      <c r="F1486" s="28" t="s">
        <v>1080</v>
      </c>
      <c r="G1486" s="4">
        <f>SUMIFS(X!$F$5:$F$2005,X!$D$5:$D$2005,'Current Stock'!A1486)</f>
        <v>1</v>
      </c>
      <c r="H1486" s="4">
        <f>SUMIFS(PENJUALAN!$E$4:$E$11000,PENJUALAN!$C$4:$C$11000,'Current Stock'!A1486)</f>
        <v>1</v>
      </c>
      <c r="I1486" s="16">
        <f t="shared" si="2"/>
        <v>0</v>
      </c>
      <c r="J1486" s="4"/>
      <c r="K1486" s="4"/>
      <c r="L1486" s="4"/>
      <c r="M1486" s="4"/>
    </row>
    <row r="1487" ht="13.5" customHeight="1">
      <c r="A1487" s="4" t="str">
        <f t="shared" si="1"/>
        <v>LFW-ALTIS13RSXYG</v>
      </c>
      <c r="B1487" s="29" t="s">
        <v>1087</v>
      </c>
      <c r="C1487" s="28" t="s">
        <v>1088</v>
      </c>
      <c r="D1487" s="28" t="s">
        <v>22</v>
      </c>
      <c r="E1487" s="4" t="s">
        <v>16</v>
      </c>
      <c r="F1487" s="28" t="s">
        <v>75</v>
      </c>
      <c r="G1487" s="4">
        <f>SUMIFS(X!$F$5:$F$2005,X!$D$5:$D$2005,'Current Stock'!A1487)</f>
        <v>2</v>
      </c>
      <c r="H1487" s="4">
        <f>SUMIFS(PENJUALAN!$E$4:$E$11000,PENJUALAN!$C$4:$C$11000,'Current Stock'!A1487)</f>
        <v>1</v>
      </c>
      <c r="I1487" s="16">
        <f t="shared" si="2"/>
        <v>1</v>
      </c>
      <c r="J1487" s="15" t="s">
        <v>1851</v>
      </c>
      <c r="K1487" s="15"/>
      <c r="L1487" s="4"/>
      <c r="M1487" s="4"/>
    </row>
    <row r="1488" ht="13.5" customHeight="1">
      <c r="A1488" s="4" t="str">
        <f t="shared" si="1"/>
        <v>LFW-MARCHMU</v>
      </c>
      <c r="B1488" s="29" t="s">
        <v>939</v>
      </c>
      <c r="C1488" s="28" t="s">
        <v>940</v>
      </c>
      <c r="D1488" s="28" t="s">
        <v>22</v>
      </c>
      <c r="E1488" s="4" t="s">
        <v>1361</v>
      </c>
      <c r="F1488" s="28" t="s">
        <v>125</v>
      </c>
      <c r="G1488" s="4">
        <f>SUMIFS(X!$F$5:$F$2005,X!$D$5:$D$2005,'Current Stock'!A1488)</f>
        <v>3</v>
      </c>
      <c r="H1488" s="4">
        <f>SUMIFS(PENJUALAN!$E$4:$E$11000,PENJUALAN!$C$4:$C$11000,'Current Stock'!A1488)</f>
        <v>3</v>
      </c>
      <c r="I1488" s="16">
        <f t="shared" si="2"/>
        <v>0</v>
      </c>
      <c r="J1488" s="15" t="s">
        <v>1544</v>
      </c>
      <c r="K1488" s="15"/>
      <c r="L1488" s="5">
        <v>1.0</v>
      </c>
      <c r="M1488" s="4"/>
    </row>
    <row r="1489" ht="13.5" customHeight="1">
      <c r="A1489" s="4" t="str">
        <f t="shared" si="1"/>
        <v>SFR-HIACEXYG</v>
      </c>
      <c r="B1489" s="29" t="s">
        <v>1889</v>
      </c>
      <c r="C1489" s="28" t="s">
        <v>1145</v>
      </c>
      <c r="D1489" s="28" t="s">
        <v>906</v>
      </c>
      <c r="E1489" s="4" t="s">
        <v>16</v>
      </c>
      <c r="F1489" s="28" t="s">
        <v>97</v>
      </c>
      <c r="G1489" s="4">
        <f>SUMIFS(X!$F$5:$F$2005,X!$D$5:$D$2005,'Current Stock'!A1489)</f>
        <v>2</v>
      </c>
      <c r="H1489" s="4">
        <f>SUMIFS(PENJUALAN!$E$4:$E$11000,PENJUALAN!$C$4:$C$11000,'Current Stock'!A1489)</f>
        <v>1</v>
      </c>
      <c r="I1489" s="16">
        <f t="shared" si="2"/>
        <v>1</v>
      </c>
      <c r="J1489" s="15" t="s">
        <v>719</v>
      </c>
      <c r="K1489" s="15"/>
      <c r="L1489" s="4"/>
      <c r="M1489" s="4"/>
    </row>
    <row r="1490" ht="13.5" customHeight="1">
      <c r="A1490" s="20" t="str">
        <f t="shared" si="1"/>
        <v>FDL-MOBILIOASH</v>
      </c>
      <c r="B1490" s="24" t="s">
        <v>1890</v>
      </c>
      <c r="C1490" s="22" t="s">
        <v>1891</v>
      </c>
      <c r="D1490" s="25" t="str">
        <f t="shared" ref="D1490:D1492" si="7">LEFT(A1490,FIND("-",A1490) - 1)</f>
        <v>FDL</v>
      </c>
      <c r="E1490" s="22" t="s">
        <v>82</v>
      </c>
      <c r="F1490" s="25"/>
      <c r="G1490" s="4">
        <f>SUMIFS(X!$F$5:$F$2005,X!$D$5:$D$2005,'Current Stock'!A1490)</f>
        <v>2</v>
      </c>
      <c r="H1490" s="4">
        <f>SUMIFS(PENJUALAN!$E$4:$E$11000,PENJUALAN!$C$4:$C$11000,'Current Stock'!A1490)</f>
        <v>1</v>
      </c>
      <c r="I1490" s="16">
        <f t="shared" si="2"/>
        <v>1</v>
      </c>
      <c r="J1490" s="22" t="s">
        <v>1428</v>
      </c>
      <c r="K1490" s="22"/>
      <c r="L1490" s="25"/>
      <c r="M1490" s="25"/>
    </row>
    <row r="1491" ht="13.5" customHeight="1">
      <c r="A1491" s="20" t="str">
        <f t="shared" si="1"/>
        <v>FDR-MOBILIOASH</v>
      </c>
      <c r="B1491" s="24" t="s">
        <v>1892</v>
      </c>
      <c r="C1491" s="22" t="s">
        <v>1891</v>
      </c>
      <c r="D1491" s="25" t="str">
        <f t="shared" si="7"/>
        <v>FDR</v>
      </c>
      <c r="E1491" s="22" t="s">
        <v>82</v>
      </c>
      <c r="F1491" s="25"/>
      <c r="G1491" s="4">
        <f>SUMIFS(X!$F$5:$F$2005,X!$D$5:$D$2005,'Current Stock'!A1491)</f>
        <v>2</v>
      </c>
      <c r="H1491" s="4">
        <f>SUMIFS(PENJUALAN!$E$4:$E$11000,PENJUALAN!$C$4:$C$11000,'Current Stock'!A1491)</f>
        <v>1</v>
      </c>
      <c r="I1491" s="16">
        <f t="shared" si="2"/>
        <v>1</v>
      </c>
      <c r="J1491" s="22" t="s">
        <v>1893</v>
      </c>
      <c r="K1491" s="22"/>
      <c r="L1491" s="25"/>
      <c r="M1491" s="25"/>
    </row>
    <row r="1492" ht="13.5" customHeight="1">
      <c r="A1492" s="20" t="str">
        <f t="shared" si="1"/>
        <v>RDL-MOBILIOASH</v>
      </c>
      <c r="B1492" s="24" t="s">
        <v>1894</v>
      </c>
      <c r="C1492" s="22" t="s">
        <v>1891</v>
      </c>
      <c r="D1492" s="25" t="str">
        <f t="shared" si="7"/>
        <v>RDL</v>
      </c>
      <c r="E1492" s="22" t="s">
        <v>82</v>
      </c>
      <c r="F1492" s="25"/>
      <c r="G1492" s="4">
        <f>SUMIFS(X!$F$5:$F$2005,X!$D$5:$D$2005,'Current Stock'!A1492)</f>
        <v>2</v>
      </c>
      <c r="H1492" s="4">
        <f>SUMIFS(PENJUALAN!$E$4:$E$11000,PENJUALAN!$C$4:$C$11000,'Current Stock'!A1492)</f>
        <v>1</v>
      </c>
      <c r="I1492" s="16">
        <f t="shared" si="2"/>
        <v>1</v>
      </c>
      <c r="J1492" s="22" t="s">
        <v>1895</v>
      </c>
      <c r="K1492" s="22"/>
      <c r="L1492" s="25"/>
      <c r="M1492" s="25"/>
    </row>
    <row r="1493" ht="13.5" customHeight="1">
      <c r="A1493" s="4" t="str">
        <f t="shared" si="1"/>
        <v>RDL-HIACEFXYG</v>
      </c>
      <c r="B1493" s="31" t="s">
        <v>1896</v>
      </c>
      <c r="C1493" s="28" t="s">
        <v>1897</v>
      </c>
      <c r="D1493" s="28" t="s">
        <v>132</v>
      </c>
      <c r="E1493" s="4" t="s">
        <v>16</v>
      </c>
      <c r="F1493" s="28" t="s">
        <v>97</v>
      </c>
      <c r="G1493" s="4">
        <f>SUMIFS(X!$F$5:$F$2005,X!$D$5:$D$2005,'Current Stock'!A1493)</f>
        <v>5</v>
      </c>
      <c r="H1493" s="4">
        <f>SUMIFS(PENJUALAN!$E$4:$E$11000,PENJUALAN!$C$4:$C$11000,'Current Stock'!A1493)</f>
        <v>4</v>
      </c>
      <c r="I1493" s="16">
        <f t="shared" si="2"/>
        <v>1</v>
      </c>
      <c r="J1493" s="15" t="s">
        <v>1898</v>
      </c>
      <c r="K1493" s="15"/>
      <c r="L1493" s="4"/>
      <c r="M1493" s="4"/>
    </row>
    <row r="1494" ht="13.5" customHeight="1">
      <c r="A1494" s="4" t="str">
        <f t="shared" si="1"/>
        <v>LFW-OPTRAXYG</v>
      </c>
      <c r="B1494" s="29" t="s">
        <v>237</v>
      </c>
      <c r="C1494" s="28" t="s">
        <v>238</v>
      </c>
      <c r="D1494" s="28" t="s">
        <v>22</v>
      </c>
      <c r="E1494" s="15" t="s">
        <v>16</v>
      </c>
      <c r="F1494" s="28" t="s">
        <v>125</v>
      </c>
      <c r="G1494" s="4">
        <f>SUMIFS(X!$F$5:$F$2005,X!$D$5:$D$2005,'Current Stock'!A1494)</f>
        <v>1</v>
      </c>
      <c r="H1494" s="4">
        <f>SUMIFS(PENJUALAN!$E$4:$E$11000,PENJUALAN!$C$4:$C$11000,'Current Stock'!A1494)</f>
        <v>1</v>
      </c>
      <c r="I1494" s="16">
        <f t="shared" si="2"/>
        <v>0</v>
      </c>
      <c r="J1494" s="4"/>
      <c r="K1494" s="4"/>
      <c r="L1494" s="4"/>
      <c r="M1494" s="4"/>
    </row>
    <row r="1495" ht="13.5" customHeight="1">
      <c r="A1495" s="4" t="str">
        <f t="shared" si="1"/>
        <v>FDL-HIACE19XYG</v>
      </c>
      <c r="B1495" s="29" t="s">
        <v>1899</v>
      </c>
      <c r="C1495" s="28" t="s">
        <v>1900</v>
      </c>
      <c r="D1495" s="28" t="s">
        <v>128</v>
      </c>
      <c r="E1495" s="4" t="s">
        <v>16</v>
      </c>
      <c r="F1495" s="28"/>
      <c r="G1495" s="4">
        <f>SUMIFS(X!$F$5:$F$2005,X!$D$5:$D$2005,'Current Stock'!A1495)</f>
        <v>0</v>
      </c>
      <c r="H1495" s="4">
        <f>SUMIFS(PENJUALAN!$E$4:$E$11000,PENJUALAN!$C$4:$C$11000,'Current Stock'!A1495)</f>
        <v>0</v>
      </c>
      <c r="I1495" s="16">
        <f t="shared" si="2"/>
        <v>0</v>
      </c>
      <c r="J1495" s="4"/>
      <c r="K1495" s="4"/>
      <c r="L1495" s="4"/>
      <c r="M1495" s="4"/>
    </row>
    <row r="1496" ht="13.5" customHeight="1">
      <c r="A1496" s="4" t="str">
        <f t="shared" si="1"/>
        <v>FDR-HIACE19XYG</v>
      </c>
      <c r="B1496" s="29" t="s">
        <v>1901</v>
      </c>
      <c r="C1496" s="28" t="s">
        <v>1900</v>
      </c>
      <c r="D1496" s="28" t="s">
        <v>130</v>
      </c>
      <c r="E1496" s="4" t="s">
        <v>16</v>
      </c>
      <c r="F1496" s="28"/>
      <c r="G1496" s="4">
        <f>SUMIFS(X!$F$5:$F$2005,X!$D$5:$D$2005,'Current Stock'!A1496)</f>
        <v>0</v>
      </c>
      <c r="H1496" s="4">
        <f>SUMIFS(PENJUALAN!$E$4:$E$11000,PENJUALAN!$C$4:$C$11000,'Current Stock'!A1496)</f>
        <v>0</v>
      </c>
      <c r="I1496" s="16">
        <f t="shared" si="2"/>
        <v>0</v>
      </c>
      <c r="J1496" s="4"/>
      <c r="K1496" s="4"/>
      <c r="L1496" s="4"/>
      <c r="M1496" s="4"/>
    </row>
    <row r="1497" ht="13.5" customHeight="1">
      <c r="A1497" s="4" t="str">
        <f t="shared" si="1"/>
        <v>RDL-HIACE19FRAMEXYG</v>
      </c>
      <c r="B1497" s="29" t="s">
        <v>1902</v>
      </c>
      <c r="C1497" s="28" t="s">
        <v>1903</v>
      </c>
      <c r="D1497" s="28" t="s">
        <v>132</v>
      </c>
      <c r="E1497" s="4" t="s">
        <v>16</v>
      </c>
      <c r="F1497" s="28" t="s">
        <v>97</v>
      </c>
      <c r="G1497" s="4">
        <f>SUMIFS(X!$F$5:$F$2005,X!$D$5:$D$2005,'Current Stock'!A1497)</f>
        <v>0</v>
      </c>
      <c r="H1497" s="4">
        <f>SUMIFS(PENJUALAN!$E$4:$E$11000,PENJUALAN!$C$4:$C$11000,'Current Stock'!A1497)</f>
        <v>0</v>
      </c>
      <c r="I1497" s="16">
        <f t="shared" si="2"/>
        <v>0</v>
      </c>
      <c r="J1497" s="4"/>
      <c r="K1497" s="4"/>
      <c r="L1497" s="4"/>
      <c r="M1497" s="4"/>
    </row>
    <row r="1498" ht="13.5" customHeight="1">
      <c r="A1498" s="4" t="str">
        <f t="shared" si="1"/>
        <v>RDR-HIACE19XYG</v>
      </c>
      <c r="B1498" s="29" t="s">
        <v>1904</v>
      </c>
      <c r="C1498" s="28" t="s">
        <v>1900</v>
      </c>
      <c r="D1498" s="28" t="s">
        <v>134</v>
      </c>
      <c r="E1498" s="4" t="s">
        <v>16</v>
      </c>
      <c r="F1498" s="28" t="s">
        <v>97</v>
      </c>
      <c r="G1498" s="4">
        <f>SUMIFS(X!$F$5:$F$2005,X!$D$5:$D$2005,'Current Stock'!A1498)</f>
        <v>0</v>
      </c>
      <c r="H1498" s="4">
        <f>SUMIFS(PENJUALAN!$E$4:$E$11000,PENJUALAN!$C$4:$C$11000,'Current Stock'!A1498)</f>
        <v>0</v>
      </c>
      <c r="I1498" s="16">
        <f t="shared" si="2"/>
        <v>0</v>
      </c>
      <c r="J1498" s="4"/>
      <c r="K1498" s="4"/>
      <c r="L1498" s="4"/>
      <c r="M1498" s="4"/>
    </row>
    <row r="1499" ht="13.5" customHeight="1">
      <c r="A1499" s="4" t="str">
        <f t="shared" si="1"/>
        <v>SRL-HIACE19XYG</v>
      </c>
      <c r="B1499" s="29" t="s">
        <v>1905</v>
      </c>
      <c r="C1499" s="28" t="s">
        <v>1900</v>
      </c>
      <c r="D1499" s="28" t="s">
        <v>908</v>
      </c>
      <c r="E1499" s="4" t="s">
        <v>16</v>
      </c>
      <c r="F1499" s="28" t="s">
        <v>97</v>
      </c>
      <c r="G1499" s="4">
        <f>SUMIFS(X!$F$5:$F$2005,X!$D$5:$D$2005,'Current Stock'!A1499)</f>
        <v>0</v>
      </c>
      <c r="H1499" s="4">
        <f>SUMIFS(PENJUALAN!$E$4:$E$11000,PENJUALAN!$C$4:$C$11000,'Current Stock'!A1499)</f>
        <v>0</v>
      </c>
      <c r="I1499" s="16">
        <f t="shared" si="2"/>
        <v>0</v>
      </c>
      <c r="J1499" s="4"/>
      <c r="K1499" s="4"/>
      <c r="L1499" s="4"/>
      <c r="M1499" s="4"/>
    </row>
    <row r="1500" ht="13.5" customHeight="1">
      <c r="A1500" s="4" t="str">
        <f t="shared" si="1"/>
        <v>SRR-HIACE19FRAMEXYG</v>
      </c>
      <c r="B1500" s="29" t="s">
        <v>1906</v>
      </c>
      <c r="C1500" s="28" t="s">
        <v>1903</v>
      </c>
      <c r="D1500" s="28" t="s">
        <v>911</v>
      </c>
      <c r="E1500" s="4" t="s">
        <v>16</v>
      </c>
      <c r="F1500" s="28" t="s">
        <v>97</v>
      </c>
      <c r="G1500" s="4">
        <f>SUMIFS(X!$F$5:$F$2005,X!$D$5:$D$2005,'Current Stock'!A1500)</f>
        <v>0</v>
      </c>
      <c r="H1500" s="4">
        <f>SUMIFS(PENJUALAN!$E$4:$E$11000,PENJUALAN!$C$4:$C$11000,'Current Stock'!A1500)</f>
        <v>0</v>
      </c>
      <c r="I1500" s="16">
        <f t="shared" si="2"/>
        <v>0</v>
      </c>
      <c r="J1500" s="4"/>
      <c r="K1500" s="4"/>
      <c r="L1500" s="4"/>
      <c r="M1500" s="4"/>
    </row>
    <row r="1501" ht="13.5" customHeight="1">
      <c r="A1501" s="4" t="str">
        <f t="shared" si="1"/>
        <v>LFW-HIACE19XYG</v>
      </c>
      <c r="B1501" s="29" t="s">
        <v>1907</v>
      </c>
      <c r="C1501" s="28" t="s">
        <v>1900</v>
      </c>
      <c r="D1501" s="28" t="s">
        <v>22</v>
      </c>
      <c r="E1501" s="4" t="s">
        <v>16</v>
      </c>
      <c r="F1501" s="28" t="s">
        <v>125</v>
      </c>
      <c r="G1501" s="4">
        <f>SUMIFS(X!$F$5:$F$2005,X!$D$5:$D$2005,'Current Stock'!A1501)</f>
        <v>4</v>
      </c>
      <c r="H1501" s="4">
        <f>SUMIFS(PENJUALAN!$E$4:$E$11000,PENJUALAN!$C$4:$C$11000,'Current Stock'!A1501)</f>
        <v>4</v>
      </c>
      <c r="I1501" s="16">
        <f t="shared" si="2"/>
        <v>0</v>
      </c>
      <c r="J1501" s="15" t="s">
        <v>1908</v>
      </c>
      <c r="K1501" s="4"/>
      <c r="L1501" s="4"/>
      <c r="M1501" s="4"/>
    </row>
    <row r="1502" ht="13.5" customHeight="1">
      <c r="A1502" s="4" t="str">
        <f t="shared" si="1"/>
        <v>LFW-ACCORD93XYG</v>
      </c>
      <c r="B1502" s="29" t="s">
        <v>333</v>
      </c>
      <c r="C1502" s="28" t="s">
        <v>334</v>
      </c>
      <c r="D1502" s="28" t="s">
        <v>22</v>
      </c>
      <c r="E1502" s="4" t="s">
        <v>16</v>
      </c>
      <c r="F1502" s="28" t="s">
        <v>97</v>
      </c>
      <c r="G1502" s="4">
        <f>SUMIFS(X!$F$5:$F$2005,X!$D$5:$D$2005,'Current Stock'!A1502)</f>
        <v>3</v>
      </c>
      <c r="H1502" s="4">
        <f>SUMIFS(PENJUALAN!$E$4:$E$11000,PENJUALAN!$C$4:$C$11000,'Current Stock'!A1502)</f>
        <v>2</v>
      </c>
      <c r="I1502" s="16">
        <f t="shared" si="2"/>
        <v>1</v>
      </c>
      <c r="J1502" s="15" t="s">
        <v>1442</v>
      </c>
      <c r="K1502" s="15"/>
      <c r="L1502" s="4"/>
      <c r="M1502" s="4"/>
    </row>
    <row r="1503" ht="13.5" customHeight="1">
      <c r="A1503" s="4" t="str">
        <f t="shared" si="1"/>
        <v>LFW-HILUX05XYG</v>
      </c>
      <c r="B1503" s="29" t="s">
        <v>1909</v>
      </c>
      <c r="C1503" s="28" t="s">
        <v>1154</v>
      </c>
      <c r="D1503" s="30" t="s">
        <v>22</v>
      </c>
      <c r="E1503" s="4" t="s">
        <v>16</v>
      </c>
      <c r="F1503" s="28" t="s">
        <v>125</v>
      </c>
      <c r="G1503" s="4">
        <f>SUMIFS(X!$F$5:$F$2005,X!$D$5:$D$2005,'Current Stock'!A1503)</f>
        <v>0</v>
      </c>
      <c r="H1503" s="4">
        <f>SUMIFS(PENJUALAN!$E$4:$E$11000,PENJUALAN!$C$4:$C$11000,'Current Stock'!A1503)</f>
        <v>0</v>
      </c>
      <c r="I1503" s="16">
        <f t="shared" si="2"/>
        <v>0</v>
      </c>
      <c r="J1503" s="4"/>
      <c r="K1503" s="4"/>
      <c r="L1503" s="4"/>
      <c r="M1503" s="4"/>
    </row>
    <row r="1504" ht="13.5" customHeight="1">
      <c r="A1504" s="4" t="str">
        <f t="shared" si="1"/>
        <v>LFW-TATAACEXYG</v>
      </c>
      <c r="B1504" s="41" t="s">
        <v>1910</v>
      </c>
      <c r="C1504" s="30" t="s">
        <v>1911</v>
      </c>
      <c r="D1504" s="30" t="s">
        <v>22</v>
      </c>
      <c r="E1504" s="4" t="s">
        <v>16</v>
      </c>
      <c r="F1504" s="30" t="s">
        <v>125</v>
      </c>
      <c r="G1504" s="4">
        <f>SUMIFS(X!$F$5:$F$2005,X!$D$5:$D$2005,'Current Stock'!A1504)</f>
        <v>5</v>
      </c>
      <c r="H1504" s="4">
        <f>SUMIFS(PENJUALAN!$E$4:$E$11000,PENJUALAN!$C$4:$C$11000,'Current Stock'!A1504)</f>
        <v>4</v>
      </c>
      <c r="I1504" s="16">
        <f t="shared" si="2"/>
        <v>1</v>
      </c>
      <c r="J1504" s="15" t="s">
        <v>1878</v>
      </c>
      <c r="K1504" s="15"/>
      <c r="L1504" s="4"/>
      <c r="M1504" s="4"/>
    </row>
    <row r="1505" ht="13.5" customHeight="1">
      <c r="A1505" s="4" t="str">
        <f t="shared" si="1"/>
        <v>TRW-WAGON13XYG</v>
      </c>
      <c r="B1505" s="41" t="s">
        <v>1912</v>
      </c>
      <c r="C1505" s="30" t="s">
        <v>1477</v>
      </c>
      <c r="D1505" s="30" t="s">
        <v>41</v>
      </c>
      <c r="E1505" s="4" t="s">
        <v>16</v>
      </c>
      <c r="F1505" s="30" t="s">
        <v>67</v>
      </c>
      <c r="G1505" s="4">
        <f>SUMIFS(X!$F$5:$F$2005,X!$D$5:$D$2005,'Current Stock'!A1505)</f>
        <v>4</v>
      </c>
      <c r="H1505" s="4">
        <f>SUMIFS(PENJUALAN!$E$4:$E$11000,PENJUALAN!$C$4:$C$11000,'Current Stock'!A1505)</f>
        <v>3</v>
      </c>
      <c r="I1505" s="16">
        <f t="shared" si="2"/>
        <v>1</v>
      </c>
      <c r="J1505" s="15" t="s">
        <v>101</v>
      </c>
      <c r="K1505" s="15"/>
      <c r="L1505" s="4"/>
      <c r="M1505" s="4"/>
    </row>
    <row r="1506" ht="13.5" customHeight="1">
      <c r="A1506" s="4" t="str">
        <f t="shared" si="1"/>
        <v>TRW-ALPHARD02BLACKXYG</v>
      </c>
      <c r="B1506" s="29" t="s">
        <v>1031</v>
      </c>
      <c r="C1506" s="28" t="s">
        <v>1032</v>
      </c>
      <c r="D1506" s="28" t="s">
        <v>41</v>
      </c>
      <c r="E1506" s="4" t="s">
        <v>16</v>
      </c>
      <c r="F1506" s="28" t="s">
        <v>67</v>
      </c>
      <c r="G1506" s="4">
        <f>SUMIFS(X!$F$5:$F$2005,X!$D$5:$D$2005,'Current Stock'!A1506)</f>
        <v>4</v>
      </c>
      <c r="H1506" s="4">
        <f>SUMIFS(PENJUALAN!$E$4:$E$11000,PENJUALAN!$C$4:$C$11000,'Current Stock'!A1506)</f>
        <v>3</v>
      </c>
      <c r="I1506" s="16">
        <f t="shared" si="2"/>
        <v>1</v>
      </c>
      <c r="J1506" s="15" t="s">
        <v>139</v>
      </c>
      <c r="K1506" s="15"/>
      <c r="L1506" s="4"/>
      <c r="M1506" s="15" t="s">
        <v>1913</v>
      </c>
    </row>
    <row r="1507" ht="13.5" customHeight="1">
      <c r="A1507" s="4" t="str">
        <f t="shared" si="1"/>
        <v>LFW-ALPHARD08XYG</v>
      </c>
      <c r="B1507" s="29" t="s">
        <v>1045</v>
      </c>
      <c r="C1507" s="28" t="s">
        <v>73</v>
      </c>
      <c r="D1507" s="28" t="s">
        <v>22</v>
      </c>
      <c r="E1507" s="4" t="s">
        <v>16</v>
      </c>
      <c r="F1507" s="28" t="s">
        <v>125</v>
      </c>
      <c r="G1507" s="4">
        <f>SUMIFS(X!$F$5:$F$2005,X!$D$5:$D$2005,'Current Stock'!A1507)</f>
        <v>4</v>
      </c>
      <c r="H1507" s="4">
        <f>SUMIFS(PENJUALAN!$E$4:$E$11000,PENJUALAN!$C$4:$C$11000,'Current Stock'!A1507)</f>
        <v>3</v>
      </c>
      <c r="I1507" s="16">
        <f t="shared" si="2"/>
        <v>1</v>
      </c>
      <c r="J1507" s="15" t="s">
        <v>1863</v>
      </c>
      <c r="K1507" s="15"/>
      <c r="L1507" s="4"/>
      <c r="M1507" s="4"/>
    </row>
    <row r="1508" ht="13.5" customHeight="1">
      <c r="A1508" s="4" t="str">
        <f t="shared" si="1"/>
        <v>SWL-ALPHARD08HITAMXYG</v>
      </c>
      <c r="B1508" s="29" t="s">
        <v>1054</v>
      </c>
      <c r="C1508" s="28" t="s">
        <v>1053</v>
      </c>
      <c r="D1508" s="28" t="s">
        <v>202</v>
      </c>
      <c r="E1508" s="4" t="s">
        <v>16</v>
      </c>
      <c r="F1508" s="28" t="s">
        <v>234</v>
      </c>
      <c r="G1508" s="4">
        <f>SUMIFS(X!$F$5:$F$2005,X!$D$5:$D$2005,'Current Stock'!A1508)</f>
        <v>1</v>
      </c>
      <c r="H1508" s="4">
        <f>SUMIFS(PENJUALAN!$E$4:$E$11000,PENJUALAN!$C$4:$C$11000,'Current Stock'!A1508)</f>
        <v>1</v>
      </c>
      <c r="I1508" s="16">
        <f t="shared" si="2"/>
        <v>0</v>
      </c>
      <c r="J1508" s="4"/>
      <c r="K1508" s="4"/>
      <c r="L1508" s="4"/>
      <c r="M1508" s="4"/>
    </row>
    <row r="1509" ht="13.5" customHeight="1">
      <c r="A1509" s="4" t="str">
        <f t="shared" si="1"/>
        <v>LFW-ALTIS00XYG</v>
      </c>
      <c r="B1509" s="29" t="s">
        <v>1072</v>
      </c>
      <c r="C1509" s="28" t="s">
        <v>1073</v>
      </c>
      <c r="D1509" s="28" t="s">
        <v>22</v>
      </c>
      <c r="E1509" s="4" t="s">
        <v>16</v>
      </c>
      <c r="F1509" s="28" t="s">
        <v>97</v>
      </c>
      <c r="G1509" s="4">
        <f>SUMIFS(X!$F$5:$F$2005,X!$D$5:$D$2005,'Current Stock'!A1509)</f>
        <v>2</v>
      </c>
      <c r="H1509" s="4">
        <f>SUMIFS(PENJUALAN!$E$4:$E$11000,PENJUALAN!$C$4:$C$11000,'Current Stock'!A1509)</f>
        <v>1</v>
      </c>
      <c r="I1509" s="16">
        <f t="shared" si="2"/>
        <v>1</v>
      </c>
      <c r="J1509" s="15" t="s">
        <v>1487</v>
      </c>
      <c r="K1509" s="4"/>
      <c r="L1509" s="4"/>
      <c r="M1509" s="4"/>
    </row>
    <row r="1510" ht="13.5" customHeight="1">
      <c r="A1510" s="4" t="str">
        <f t="shared" si="1"/>
        <v>LFW-ALTIS06RSXYG</v>
      </c>
      <c r="B1510" s="29" t="s">
        <v>1077</v>
      </c>
      <c r="C1510" s="28" t="s">
        <v>1078</v>
      </c>
      <c r="D1510" s="28" t="s">
        <v>22</v>
      </c>
      <c r="E1510" s="4" t="s">
        <v>16</v>
      </c>
      <c r="F1510" s="28" t="s">
        <v>75</v>
      </c>
      <c r="G1510" s="4">
        <f>SUMIFS(X!$F$5:$F$2005,X!$D$5:$D$2005,'Current Stock'!A1510)</f>
        <v>1</v>
      </c>
      <c r="H1510" s="4">
        <f>SUMIFS(PENJUALAN!$E$4:$E$11000,PENJUALAN!$C$4:$C$11000,'Current Stock'!A1510)</f>
        <v>1</v>
      </c>
      <c r="I1510" s="16">
        <f t="shared" si="2"/>
        <v>0</v>
      </c>
      <c r="J1510" s="15" t="s">
        <v>1851</v>
      </c>
      <c r="K1510" s="4"/>
      <c r="L1510" s="4"/>
      <c r="M1510" s="4"/>
    </row>
    <row r="1511" ht="13.5" customHeight="1">
      <c r="A1511" s="4" t="str">
        <f t="shared" si="1"/>
        <v>LFW-SWIFT04XYG</v>
      </c>
      <c r="B1511" s="29" t="s">
        <v>1914</v>
      </c>
      <c r="C1511" s="30" t="s">
        <v>1406</v>
      </c>
      <c r="D1511" s="28" t="s">
        <v>22</v>
      </c>
      <c r="E1511" s="4" t="s">
        <v>16</v>
      </c>
      <c r="F1511" s="28" t="s">
        <v>97</v>
      </c>
      <c r="G1511" s="4">
        <f>SUMIFS(X!$F$5:$F$2005,X!$D$5:$D$2005,'Current Stock'!A1511)</f>
        <v>9</v>
      </c>
      <c r="H1511" s="4">
        <f>SUMIFS(PENJUALAN!$E$4:$E$11000,PENJUALAN!$C$4:$C$11000,'Current Stock'!A1511)</f>
        <v>8</v>
      </c>
      <c r="I1511" s="16">
        <f t="shared" si="2"/>
        <v>1</v>
      </c>
      <c r="J1511" s="15" t="s">
        <v>1362</v>
      </c>
      <c r="K1511" s="15"/>
      <c r="L1511" s="4"/>
      <c r="M1511" s="4"/>
    </row>
    <row r="1512" ht="13.5" customHeight="1">
      <c r="A1512" s="4" t="str">
        <f t="shared" si="1"/>
        <v>TRW-INNOVA04HXYG</v>
      </c>
      <c r="B1512" s="29" t="s">
        <v>1161</v>
      </c>
      <c r="C1512" s="28" t="s">
        <v>1160</v>
      </c>
      <c r="D1512" s="28" t="s">
        <v>41</v>
      </c>
      <c r="E1512" s="4" t="s">
        <v>16</v>
      </c>
      <c r="F1512" s="28" t="s">
        <v>67</v>
      </c>
      <c r="G1512" s="4">
        <f>SUMIFS(X!$F$5:$F$2005,X!$D$5:$D$2005,'Current Stock'!A1512)</f>
        <v>13</v>
      </c>
      <c r="H1512" s="4">
        <f>SUMIFS(PENJUALAN!$E$4:$E$11000,PENJUALAN!$C$4:$C$11000,'Current Stock'!A1512)</f>
        <v>11</v>
      </c>
      <c r="I1512" s="16">
        <f t="shared" si="2"/>
        <v>2</v>
      </c>
      <c r="J1512" s="15" t="s">
        <v>1860</v>
      </c>
      <c r="K1512" s="15"/>
      <c r="L1512" s="5">
        <v>1.0</v>
      </c>
      <c r="M1512" s="15"/>
    </row>
    <row r="1513" ht="13.5" customHeight="1">
      <c r="A1513" s="4" t="str">
        <f t="shared" si="1"/>
        <v>LFW-KARIMUN99XYG</v>
      </c>
      <c r="B1513" s="29" t="s">
        <v>1915</v>
      </c>
      <c r="C1513" s="28" t="s">
        <v>1808</v>
      </c>
      <c r="D1513" s="28" t="s">
        <v>22</v>
      </c>
      <c r="E1513" s="4" t="s">
        <v>16</v>
      </c>
      <c r="F1513" s="28" t="s">
        <v>97</v>
      </c>
      <c r="G1513" s="4">
        <f>SUMIFS(X!$F$5:$F$2005,X!$D$5:$D$2005,'Current Stock'!A1513)</f>
        <v>2</v>
      </c>
      <c r="H1513" s="4">
        <f>SUMIFS(PENJUALAN!$E$4:$E$11000,PENJUALAN!$C$4:$C$11000,'Current Stock'!A1513)</f>
        <v>2</v>
      </c>
      <c r="I1513" s="16">
        <f t="shared" si="2"/>
        <v>0</v>
      </c>
      <c r="J1513" s="15" t="s">
        <v>1362</v>
      </c>
      <c r="K1513" s="4"/>
      <c r="L1513" s="4"/>
      <c r="M1513" s="4"/>
    </row>
    <row r="1514" ht="13.5" customHeight="1">
      <c r="A1514" s="4" t="str">
        <f t="shared" si="1"/>
        <v>LFW-INNOVA15XYG</v>
      </c>
      <c r="B1514" s="29" t="s">
        <v>1166</v>
      </c>
      <c r="C1514" s="28" t="s">
        <v>1167</v>
      </c>
      <c r="D1514" s="28" t="s">
        <v>22</v>
      </c>
      <c r="E1514" s="4" t="s">
        <v>16</v>
      </c>
      <c r="F1514" s="28" t="s">
        <v>125</v>
      </c>
      <c r="G1514" s="4">
        <f>SUMIFS(X!$F$5:$F$2005,X!$D$5:$D$2005,'Current Stock'!A1514)</f>
        <v>6</v>
      </c>
      <c r="H1514" s="4">
        <f>SUMIFS(PENJUALAN!$E$4:$E$11000,PENJUALAN!$C$4:$C$11000,'Current Stock'!A1514)</f>
        <v>5</v>
      </c>
      <c r="I1514" s="16">
        <f t="shared" si="2"/>
        <v>1</v>
      </c>
      <c r="J1514" s="15" t="s">
        <v>1722</v>
      </c>
      <c r="K1514" s="4"/>
      <c r="L1514" s="4"/>
      <c r="M1514" s="4"/>
    </row>
    <row r="1515" ht="13.5" customHeight="1">
      <c r="A1515" s="4" t="str">
        <f t="shared" si="1"/>
        <v>TRW-INNOVA15XYG</v>
      </c>
      <c r="B1515" s="29" t="s">
        <v>1852</v>
      </c>
      <c r="C1515" s="28" t="s">
        <v>1167</v>
      </c>
      <c r="D1515" s="28" t="s">
        <v>41</v>
      </c>
      <c r="E1515" s="4" t="s">
        <v>16</v>
      </c>
      <c r="F1515" s="28" t="s">
        <v>533</v>
      </c>
      <c r="G1515" s="4">
        <f>SUMIFS(X!$F$5:$F$2005,X!$D$5:$D$2005,'Current Stock'!A1515)</f>
        <v>9</v>
      </c>
      <c r="H1515" s="4">
        <f>SUMIFS(PENJUALAN!$E$4:$E$11000,PENJUALAN!$C$4:$C$11000,'Current Stock'!A1515)</f>
        <v>7</v>
      </c>
      <c r="I1515" s="16">
        <f t="shared" si="2"/>
        <v>2</v>
      </c>
      <c r="J1515" s="15" t="s">
        <v>1860</v>
      </c>
      <c r="K1515" s="15"/>
      <c r="L1515" s="4"/>
      <c r="M1515" s="4"/>
    </row>
    <row r="1516" ht="13.5" customHeight="1">
      <c r="A1516" s="4" t="str">
        <f t="shared" si="1"/>
        <v>LFW-PAJERO16MU</v>
      </c>
      <c r="B1516" s="29" t="s">
        <v>884</v>
      </c>
      <c r="C1516" s="28" t="s">
        <v>830</v>
      </c>
      <c r="D1516" s="28" t="s">
        <v>22</v>
      </c>
      <c r="E1516" s="4" t="s">
        <v>1361</v>
      </c>
      <c r="F1516" s="28" t="s">
        <v>125</v>
      </c>
      <c r="G1516" s="4">
        <f>SUMIFS(X!$F$5:$F$2005,X!$D$5:$D$2005,'Current Stock'!A1516)</f>
        <v>17</v>
      </c>
      <c r="H1516" s="4">
        <f>SUMIFS(PENJUALAN!$E$4:$E$11000,PENJUALAN!$C$4:$C$11000,'Current Stock'!A1516)</f>
        <v>15</v>
      </c>
      <c r="I1516" s="16">
        <f t="shared" si="2"/>
        <v>2</v>
      </c>
      <c r="J1516" s="15" t="s">
        <v>1692</v>
      </c>
      <c r="K1516" s="15"/>
      <c r="L1516" s="5">
        <v>1.0</v>
      </c>
      <c r="M1516" s="4"/>
    </row>
    <row r="1517" ht="13.5" customHeight="1">
      <c r="A1517" s="4" t="str">
        <f t="shared" si="1"/>
        <v>LFW-ISTXYG</v>
      </c>
      <c r="B1517" s="29" t="s">
        <v>1168</v>
      </c>
      <c r="C1517" s="28" t="s">
        <v>1169</v>
      </c>
      <c r="D1517" s="28" t="s">
        <v>22</v>
      </c>
      <c r="E1517" s="4" t="s">
        <v>16</v>
      </c>
      <c r="F1517" s="28" t="s">
        <v>125</v>
      </c>
      <c r="G1517" s="4">
        <f>SUMIFS(X!$F$5:$F$2005,X!$D$5:$D$2005,'Current Stock'!A1517)</f>
        <v>1</v>
      </c>
      <c r="H1517" s="4">
        <f>SUMIFS(PENJUALAN!$E$4:$E$11000,PENJUALAN!$C$4:$C$11000,'Current Stock'!A1517)</f>
        <v>1</v>
      </c>
      <c r="I1517" s="16">
        <f t="shared" si="2"/>
        <v>0</v>
      </c>
      <c r="J1517" s="15" t="s">
        <v>1877</v>
      </c>
      <c r="K1517" s="15"/>
      <c r="L1517" s="4"/>
      <c r="M1517" s="4"/>
    </row>
    <row r="1518" ht="13.5" customHeight="1">
      <c r="A1518" s="4" t="str">
        <f t="shared" si="1"/>
        <v>LFW-KAPSUL97XYG</v>
      </c>
      <c r="B1518" s="29" t="s">
        <v>1916</v>
      </c>
      <c r="C1518" s="28" t="s">
        <v>1917</v>
      </c>
      <c r="D1518" s="28" t="s">
        <v>22</v>
      </c>
      <c r="E1518" s="4" t="s">
        <v>16</v>
      </c>
      <c r="F1518" s="28"/>
      <c r="G1518" s="4">
        <f>SUMIFS(X!$F$5:$F$2005,X!$D$5:$D$2005,'Current Stock'!A1518)</f>
        <v>2</v>
      </c>
      <c r="H1518" s="4">
        <f>SUMIFS(PENJUALAN!$E$4:$E$11000,PENJUALAN!$C$4:$C$11000,'Current Stock'!A1518)</f>
        <v>1</v>
      </c>
      <c r="I1518" s="16">
        <f t="shared" si="2"/>
        <v>1</v>
      </c>
      <c r="J1518" s="15" t="s">
        <v>1416</v>
      </c>
      <c r="K1518" s="4"/>
      <c r="L1518" s="4"/>
      <c r="M1518" s="4"/>
    </row>
    <row r="1519" ht="13.5" customHeight="1">
      <c r="A1519" s="4" t="str">
        <f t="shared" si="1"/>
        <v>LFW-KAPSUL02XYG</v>
      </c>
      <c r="B1519" s="29" t="s">
        <v>1918</v>
      </c>
      <c r="C1519" s="30" t="s">
        <v>1919</v>
      </c>
      <c r="D1519" s="28" t="s">
        <v>22</v>
      </c>
      <c r="E1519" s="4" t="s">
        <v>16</v>
      </c>
      <c r="F1519" s="28" t="s">
        <v>97</v>
      </c>
      <c r="G1519" s="4">
        <f>SUMIFS(X!$F$5:$F$2005,X!$D$5:$D$2005,'Current Stock'!A1519)</f>
        <v>9</v>
      </c>
      <c r="H1519" s="4">
        <f>SUMIFS(PENJUALAN!$E$4:$E$11000,PENJUALAN!$C$4:$C$11000,'Current Stock'!A1519)</f>
        <v>3</v>
      </c>
      <c r="I1519" s="16">
        <f t="shared" si="2"/>
        <v>6</v>
      </c>
      <c r="J1519" s="15" t="s">
        <v>1920</v>
      </c>
      <c r="K1519" s="4"/>
      <c r="L1519" s="4"/>
      <c r="M1519" s="4"/>
    </row>
    <row r="1520" ht="13.5" customHeight="1">
      <c r="A1520" s="4" t="str">
        <f t="shared" si="1"/>
        <v>LFW-FJ40XYG</v>
      </c>
      <c r="B1520" s="41" t="s">
        <v>1921</v>
      </c>
      <c r="C1520" s="28" t="s">
        <v>1922</v>
      </c>
      <c r="D1520" s="28" t="s">
        <v>22</v>
      </c>
      <c r="E1520" s="4" t="s">
        <v>16</v>
      </c>
      <c r="F1520" s="28"/>
      <c r="G1520" s="4">
        <f>SUMIFS(X!$F$5:$F$2005,X!$D$5:$D$2005,'Current Stock'!A1520)</f>
        <v>0</v>
      </c>
      <c r="H1520" s="4">
        <f>SUMIFS(PENJUALAN!$E$4:$E$11000,PENJUALAN!$C$4:$C$11000,'Current Stock'!A1520)</f>
        <v>0</v>
      </c>
      <c r="I1520" s="16">
        <f t="shared" si="2"/>
        <v>0</v>
      </c>
      <c r="J1520" s="4"/>
      <c r="K1520" s="4"/>
      <c r="L1520" s="4"/>
      <c r="M1520" s="4"/>
    </row>
    <row r="1521" ht="13.5" customHeight="1">
      <c r="A1521" s="4" t="str">
        <f t="shared" si="1"/>
        <v>LFW-FJ80XYG</v>
      </c>
      <c r="B1521" s="29" t="s">
        <v>1171</v>
      </c>
      <c r="C1521" s="28" t="s">
        <v>1172</v>
      </c>
      <c r="D1521" s="28" t="s">
        <v>22</v>
      </c>
      <c r="E1521" s="4" t="s">
        <v>16</v>
      </c>
      <c r="F1521" s="28"/>
      <c r="G1521" s="4">
        <f>SUMIFS(X!$F$5:$F$2005,X!$D$5:$D$2005,'Current Stock'!A1521)</f>
        <v>0</v>
      </c>
      <c r="H1521" s="4">
        <f>SUMIFS(PENJUALAN!$E$4:$E$11000,PENJUALAN!$C$4:$C$11000,'Current Stock'!A1521)</f>
        <v>0</v>
      </c>
      <c r="I1521" s="16">
        <f t="shared" si="2"/>
        <v>0</v>
      </c>
      <c r="J1521" s="4"/>
      <c r="K1521" s="4"/>
      <c r="L1521" s="4"/>
      <c r="M1521" s="4"/>
    </row>
    <row r="1522" ht="13.5" customHeight="1">
      <c r="A1522" s="4" t="str">
        <f t="shared" si="1"/>
        <v>TRW-FJ80XYG</v>
      </c>
      <c r="B1522" s="29" t="s">
        <v>1173</v>
      </c>
      <c r="C1522" s="28" t="s">
        <v>1172</v>
      </c>
      <c r="D1522" s="28" t="s">
        <v>41</v>
      </c>
      <c r="E1522" s="4" t="s">
        <v>16</v>
      </c>
      <c r="F1522" s="28" t="s">
        <v>122</v>
      </c>
      <c r="G1522" s="4">
        <f>SUMIFS(X!$F$5:$F$2005,X!$D$5:$D$2005,'Current Stock'!A1522)</f>
        <v>0</v>
      </c>
      <c r="H1522" s="4">
        <f>SUMIFS(PENJUALAN!$E$4:$E$11000,PENJUALAN!$C$4:$C$11000,'Current Stock'!A1522)</f>
        <v>0</v>
      </c>
      <c r="I1522" s="16">
        <f t="shared" si="2"/>
        <v>0</v>
      </c>
      <c r="J1522" s="4"/>
      <c r="K1522" s="4"/>
      <c r="L1522" s="4"/>
      <c r="M1522" s="4"/>
    </row>
    <row r="1523" ht="13.5" customHeight="1">
      <c r="A1523" s="4" t="str">
        <f t="shared" si="1"/>
        <v>LFW-FJ100XYG</v>
      </c>
      <c r="B1523" s="31" t="s">
        <v>1180</v>
      </c>
      <c r="C1523" s="33" t="s">
        <v>1183</v>
      </c>
      <c r="D1523" s="28" t="s">
        <v>22</v>
      </c>
      <c r="E1523" s="4" t="s">
        <v>16</v>
      </c>
      <c r="F1523" s="33" t="s">
        <v>125</v>
      </c>
      <c r="G1523" s="4">
        <f>SUMIFS(X!$F$5:$F$2005,X!$D$5:$D$2005,'Current Stock'!A1523)</f>
        <v>0</v>
      </c>
      <c r="H1523" s="4">
        <f>SUMIFS(PENJUALAN!$E$4:$E$11000,PENJUALAN!$C$4:$C$11000,'Current Stock'!A1523)</f>
        <v>0</v>
      </c>
      <c r="I1523" s="16">
        <f t="shared" si="2"/>
        <v>0</v>
      </c>
      <c r="J1523" s="4"/>
      <c r="K1523" s="4"/>
      <c r="L1523" s="4"/>
      <c r="M1523" s="4"/>
    </row>
    <row r="1524" ht="13.5" customHeight="1">
      <c r="A1524" s="4" t="str">
        <f t="shared" si="1"/>
        <v>LFW-FJ100RSXYG</v>
      </c>
      <c r="B1524" s="29" t="s">
        <v>1923</v>
      </c>
      <c r="C1524" s="28" t="s">
        <v>1924</v>
      </c>
      <c r="D1524" s="28" t="s">
        <v>22</v>
      </c>
      <c r="E1524" s="4" t="s">
        <v>16</v>
      </c>
      <c r="F1524" s="28" t="s">
        <v>75</v>
      </c>
      <c r="G1524" s="4">
        <f>SUMIFS(X!$F$5:$F$2005,X!$D$5:$D$2005,'Current Stock'!A1524)</f>
        <v>1</v>
      </c>
      <c r="H1524" s="4">
        <f>SUMIFS(PENJUALAN!$E$4:$E$11000,PENJUALAN!$C$4:$C$11000,'Current Stock'!A1524)</f>
        <v>1</v>
      </c>
      <c r="I1524" s="16">
        <f t="shared" si="2"/>
        <v>0</v>
      </c>
      <c r="J1524" s="4"/>
      <c r="K1524" s="4"/>
      <c r="L1524" s="4"/>
      <c r="M1524" s="4"/>
    </row>
    <row r="1525" ht="13.5" customHeight="1">
      <c r="A1525" s="4" t="str">
        <f t="shared" si="1"/>
        <v>LFW-FJ200RSXYG</v>
      </c>
      <c r="B1525" s="29" t="s">
        <v>1188</v>
      </c>
      <c r="C1525" s="33" t="s">
        <v>1925</v>
      </c>
      <c r="D1525" s="28" t="s">
        <v>22</v>
      </c>
      <c r="E1525" s="4" t="s">
        <v>16</v>
      </c>
      <c r="F1525" s="28" t="s">
        <v>75</v>
      </c>
      <c r="G1525" s="4">
        <f>SUMIFS(X!$F$5:$F$2005,X!$D$5:$D$2005,'Current Stock'!A1525)</f>
        <v>0</v>
      </c>
      <c r="H1525" s="4">
        <f>SUMIFS(PENJUALAN!$E$4:$E$11000,PENJUALAN!$C$4:$C$11000,'Current Stock'!A1525)</f>
        <v>0</v>
      </c>
      <c r="I1525" s="16">
        <f t="shared" si="2"/>
        <v>0</v>
      </c>
      <c r="J1525" s="4"/>
      <c r="K1525" s="4"/>
      <c r="L1525" s="4"/>
      <c r="M1525" s="4"/>
    </row>
    <row r="1526" ht="13.5" customHeight="1">
      <c r="A1526" s="4" t="str">
        <f t="shared" si="1"/>
        <v>LFW-FJ200RS1PSHXYG</v>
      </c>
      <c r="B1526" s="31" t="s">
        <v>1926</v>
      </c>
      <c r="C1526" s="33" t="s">
        <v>1927</v>
      </c>
      <c r="D1526" s="33" t="s">
        <v>22</v>
      </c>
      <c r="E1526" s="15" t="s">
        <v>16</v>
      </c>
      <c r="F1526" s="33" t="s">
        <v>75</v>
      </c>
      <c r="G1526" s="4">
        <f>SUMIFS(X!$F$5:$F$2005,X!$D$5:$D$2005,'Current Stock'!A1526)</f>
        <v>1</v>
      </c>
      <c r="H1526" s="4">
        <f>SUMIFS(PENJUALAN!$E$4:$E$11000,PENJUALAN!$C$4:$C$11000,'Current Stock'!A1526)</f>
        <v>1</v>
      </c>
      <c r="I1526" s="16">
        <f t="shared" si="2"/>
        <v>0</v>
      </c>
      <c r="J1526" s="4"/>
      <c r="K1526" s="4"/>
      <c r="L1526" s="4"/>
      <c r="M1526" s="4"/>
    </row>
    <row r="1527" ht="13.5" customHeight="1">
      <c r="A1527" s="4" t="str">
        <f t="shared" si="1"/>
        <v>LFW-FJ200XYG</v>
      </c>
      <c r="B1527" s="29" t="s">
        <v>1190</v>
      </c>
      <c r="C1527" s="28" t="s">
        <v>1189</v>
      </c>
      <c r="D1527" s="28" t="s">
        <v>22</v>
      </c>
      <c r="E1527" s="4" t="s">
        <v>16</v>
      </c>
      <c r="F1527" s="28" t="s">
        <v>125</v>
      </c>
      <c r="G1527" s="4">
        <f>SUMIFS(X!$F$5:$F$2005,X!$D$5:$D$2005,'Current Stock'!A1527)</f>
        <v>0</v>
      </c>
      <c r="H1527" s="4">
        <f>SUMIFS(PENJUALAN!$E$4:$E$11000,PENJUALAN!$C$4:$C$11000,'Current Stock'!A1527)</f>
        <v>0</v>
      </c>
      <c r="I1527" s="16">
        <f t="shared" si="2"/>
        <v>0</v>
      </c>
      <c r="J1527" s="4"/>
      <c r="K1527" s="4"/>
      <c r="L1527" s="4"/>
      <c r="M1527" s="4"/>
    </row>
    <row r="1528" ht="13.5" customHeight="1">
      <c r="A1528" s="4" t="str">
        <f t="shared" si="1"/>
        <v>TRW-FJ200XYG</v>
      </c>
      <c r="B1528" s="29" t="s">
        <v>1191</v>
      </c>
      <c r="C1528" s="28" t="s">
        <v>1189</v>
      </c>
      <c r="D1528" s="28" t="s">
        <v>41</v>
      </c>
      <c r="E1528" s="4" t="s">
        <v>16</v>
      </c>
      <c r="F1528" s="28" t="s">
        <v>221</v>
      </c>
      <c r="G1528" s="4">
        <f>SUMIFS(X!$F$5:$F$2005,X!$D$5:$D$2005,'Current Stock'!A1528)</f>
        <v>0</v>
      </c>
      <c r="H1528" s="4">
        <f>SUMIFS(PENJUALAN!$E$4:$E$11000,PENJUALAN!$C$4:$C$11000,'Current Stock'!A1528)</f>
        <v>0</v>
      </c>
      <c r="I1528" s="16">
        <f t="shared" si="2"/>
        <v>0</v>
      </c>
      <c r="J1528" s="4"/>
      <c r="K1528" s="4"/>
      <c r="L1528" s="4"/>
      <c r="M1528" s="4"/>
    </row>
    <row r="1529" ht="13.5" customHeight="1">
      <c r="A1529" s="4" t="str">
        <f t="shared" si="1"/>
        <v>LFW-F90XYG</v>
      </c>
      <c r="B1529" s="29" t="s">
        <v>1928</v>
      </c>
      <c r="C1529" s="28" t="s">
        <v>1929</v>
      </c>
      <c r="D1529" s="28" t="s">
        <v>22</v>
      </c>
      <c r="E1529" s="4" t="s">
        <v>16</v>
      </c>
      <c r="F1529" s="28" t="s">
        <v>1547</v>
      </c>
      <c r="G1529" s="4">
        <f>SUMIFS(X!$F$5:$F$2005,X!$D$5:$D$2005,'Current Stock'!A1529)</f>
        <v>0</v>
      </c>
      <c r="H1529" s="4">
        <f>SUMIFS(PENJUALAN!$E$4:$E$11000,PENJUALAN!$C$4:$C$11000,'Current Stock'!A1529)</f>
        <v>1</v>
      </c>
      <c r="I1529" s="16">
        <f t="shared" si="2"/>
        <v>-1</v>
      </c>
      <c r="J1529" s="4"/>
      <c r="K1529" s="4"/>
      <c r="L1529" s="4"/>
      <c r="M1529" s="4"/>
    </row>
    <row r="1530" ht="13.5" customHeight="1">
      <c r="A1530" s="4" t="str">
        <f t="shared" si="1"/>
        <v>LFW-FJ120XYG</v>
      </c>
      <c r="B1530" s="29" t="s">
        <v>1198</v>
      </c>
      <c r="C1530" s="28" t="s">
        <v>1199</v>
      </c>
      <c r="D1530" s="28" t="s">
        <v>22</v>
      </c>
      <c r="E1530" s="4" t="s">
        <v>16</v>
      </c>
      <c r="F1530" s="28" t="s">
        <v>125</v>
      </c>
      <c r="G1530" s="4">
        <f>SUMIFS(X!$F$5:$F$2005,X!$D$5:$D$2005,'Current Stock'!A1530)</f>
        <v>1</v>
      </c>
      <c r="H1530" s="4">
        <f>SUMIFS(PENJUALAN!$E$4:$E$11000,PENJUALAN!$C$4:$C$11000,'Current Stock'!A1530)</f>
        <v>1</v>
      </c>
      <c r="I1530" s="16">
        <f t="shared" si="2"/>
        <v>0</v>
      </c>
      <c r="J1530" s="4"/>
      <c r="K1530" s="4"/>
      <c r="L1530" s="4"/>
      <c r="M1530" s="4"/>
    </row>
    <row r="1531" ht="13.5" customHeight="1">
      <c r="A1531" s="4" t="str">
        <f t="shared" si="1"/>
        <v>TRW-FJ120XYG</v>
      </c>
      <c r="B1531" s="29" t="s">
        <v>1205</v>
      </c>
      <c r="C1531" s="28" t="s">
        <v>1206</v>
      </c>
      <c r="D1531" s="28" t="s">
        <v>41</v>
      </c>
      <c r="E1531" s="4" t="s">
        <v>16</v>
      </c>
      <c r="F1531" s="28" t="s">
        <v>221</v>
      </c>
      <c r="G1531" s="4">
        <f>SUMIFS(X!$F$5:$F$2005,X!$D$5:$D$2005,'Current Stock'!A1531)</f>
        <v>0</v>
      </c>
      <c r="H1531" s="4">
        <f>SUMIFS(PENJUALAN!$E$4:$E$11000,PENJUALAN!$C$4:$C$11000,'Current Stock'!A1531)</f>
        <v>0</v>
      </c>
      <c r="I1531" s="16">
        <f t="shared" si="2"/>
        <v>0</v>
      </c>
      <c r="J1531" s="4"/>
      <c r="K1531" s="4"/>
      <c r="L1531" s="4"/>
      <c r="M1531" s="4"/>
    </row>
    <row r="1532" ht="13.5" customHeight="1">
      <c r="A1532" s="4" t="str">
        <f t="shared" si="1"/>
        <v>TRW-FJ120NOLBGXYG</v>
      </c>
      <c r="B1532" s="29" t="s">
        <v>1930</v>
      </c>
      <c r="C1532" s="28" t="s">
        <v>1931</v>
      </c>
      <c r="D1532" s="28" t="s">
        <v>41</v>
      </c>
      <c r="E1532" s="4" t="s">
        <v>16</v>
      </c>
      <c r="F1532" s="28" t="s">
        <v>67</v>
      </c>
      <c r="G1532" s="4">
        <f>SUMIFS(X!$F$5:$F$2005,X!$D$5:$D$2005,'Current Stock'!A1532)</f>
        <v>0</v>
      </c>
      <c r="H1532" s="4">
        <f>SUMIFS(PENJUALAN!$E$4:$E$11000,PENJUALAN!$C$4:$C$11000,'Current Stock'!A1532)</f>
        <v>0</v>
      </c>
      <c r="I1532" s="16">
        <f t="shared" si="2"/>
        <v>0</v>
      </c>
      <c r="J1532" s="4"/>
      <c r="K1532" s="4"/>
      <c r="L1532" s="4"/>
      <c r="M1532" s="4"/>
    </row>
    <row r="1533" ht="13.5" customHeight="1">
      <c r="A1533" s="4" t="str">
        <f t="shared" si="1"/>
        <v>LFW-TRITON05MU</v>
      </c>
      <c r="B1533" s="29" t="s">
        <v>886</v>
      </c>
      <c r="C1533" s="28" t="s">
        <v>887</v>
      </c>
      <c r="D1533" s="28" t="s">
        <v>22</v>
      </c>
      <c r="E1533" s="4" t="s">
        <v>1361</v>
      </c>
      <c r="F1533" s="28" t="s">
        <v>125</v>
      </c>
      <c r="G1533" s="4">
        <f>SUMIFS(X!$F$5:$F$2005,X!$D$5:$D$2005,'Current Stock'!A1533)</f>
        <v>11</v>
      </c>
      <c r="H1533" s="4">
        <f>SUMIFS(PENJUALAN!$E$4:$E$11000,PENJUALAN!$C$4:$C$11000,'Current Stock'!A1533)</f>
        <v>11</v>
      </c>
      <c r="I1533" s="16">
        <f t="shared" si="2"/>
        <v>0</v>
      </c>
      <c r="J1533" s="15" t="s">
        <v>1676</v>
      </c>
      <c r="K1533" s="15"/>
      <c r="L1533" s="4"/>
      <c r="M1533" s="4"/>
    </row>
    <row r="1534" ht="13.5" customHeight="1">
      <c r="A1534" s="4" t="str">
        <f t="shared" si="1"/>
        <v>LFW-KUDAMU</v>
      </c>
      <c r="B1534" s="29" t="s">
        <v>1932</v>
      </c>
      <c r="C1534" s="30" t="s">
        <v>1463</v>
      </c>
      <c r="D1534" s="30" t="s">
        <v>22</v>
      </c>
      <c r="E1534" s="4" t="s">
        <v>1361</v>
      </c>
      <c r="F1534" s="34" t="s">
        <v>1455</v>
      </c>
      <c r="G1534" s="4">
        <f>SUMIFS(X!$F$5:$F$2005,X!$D$5:$D$2005,'Current Stock'!A1534)</f>
        <v>7</v>
      </c>
      <c r="H1534" s="4">
        <f>SUMIFS(PENJUALAN!$E$4:$E$11000,PENJUALAN!$C$4:$C$11000,'Current Stock'!A1534)</f>
        <v>7</v>
      </c>
      <c r="I1534" s="16">
        <f t="shared" si="2"/>
        <v>0</v>
      </c>
      <c r="J1534" s="15" t="s">
        <v>1683</v>
      </c>
      <c r="K1534" s="15"/>
      <c r="L1534" s="5">
        <v>1.0</v>
      </c>
      <c r="M1534" s="4"/>
    </row>
    <row r="1535" ht="13.5" customHeight="1">
      <c r="A1535" s="4" t="str">
        <f t="shared" si="1"/>
        <v>LFW-MAZDA209MU</v>
      </c>
      <c r="B1535" s="29" t="s">
        <v>685</v>
      </c>
      <c r="C1535" s="28" t="s">
        <v>686</v>
      </c>
      <c r="D1535" s="28" t="s">
        <v>22</v>
      </c>
      <c r="E1535" s="4" t="s">
        <v>1361</v>
      </c>
      <c r="F1535" s="28" t="s">
        <v>125</v>
      </c>
      <c r="G1535" s="4">
        <f>SUMIFS(X!$F$5:$F$2005,X!$D$5:$D$2005,'Current Stock'!A1535)</f>
        <v>5</v>
      </c>
      <c r="H1535" s="4">
        <f>SUMIFS(PENJUALAN!$E$4:$E$11000,PENJUALAN!$C$4:$C$11000,'Current Stock'!A1535)</f>
        <v>5</v>
      </c>
      <c r="I1535" s="16">
        <f t="shared" si="2"/>
        <v>0</v>
      </c>
      <c r="J1535" s="15" t="s">
        <v>744</v>
      </c>
      <c r="K1535" s="15"/>
      <c r="L1535" s="5">
        <v>1.0</v>
      </c>
      <c r="M1535" s="4"/>
    </row>
    <row r="1536" ht="13.5" customHeight="1">
      <c r="A1536" s="4" t="str">
        <f t="shared" si="1"/>
        <v>LFW-NOAHXYG</v>
      </c>
      <c r="B1536" s="29" t="s">
        <v>1218</v>
      </c>
      <c r="C1536" s="28" t="s">
        <v>1219</v>
      </c>
      <c r="D1536" s="28" t="s">
        <v>22</v>
      </c>
      <c r="E1536" s="4" t="s">
        <v>16</v>
      </c>
      <c r="F1536" s="28" t="s">
        <v>125</v>
      </c>
      <c r="G1536" s="4">
        <f>SUMIFS(X!$F$5:$F$2005,X!$D$5:$D$2005,'Current Stock'!A1536)</f>
        <v>0</v>
      </c>
      <c r="H1536" s="4">
        <f>SUMIFS(PENJUALAN!$E$4:$E$11000,PENJUALAN!$C$4:$C$11000,'Current Stock'!A1536)</f>
        <v>0</v>
      </c>
      <c r="I1536" s="16">
        <f t="shared" si="2"/>
        <v>0</v>
      </c>
      <c r="J1536" s="4"/>
      <c r="K1536" s="4"/>
      <c r="L1536" s="4"/>
      <c r="M1536" s="4"/>
    </row>
    <row r="1537" ht="13.5" customHeight="1">
      <c r="A1537" s="4" t="str">
        <f t="shared" si="1"/>
        <v>TRW-NOAHXYG</v>
      </c>
      <c r="B1537" s="29" t="s">
        <v>1220</v>
      </c>
      <c r="C1537" s="28" t="s">
        <v>1219</v>
      </c>
      <c r="D1537" s="28" t="s">
        <v>41</v>
      </c>
      <c r="E1537" s="4" t="s">
        <v>16</v>
      </c>
      <c r="F1537" s="28" t="s">
        <v>67</v>
      </c>
      <c r="G1537" s="4">
        <f>SUMIFS(X!$F$5:$F$2005,X!$D$5:$D$2005,'Current Stock'!A1537)</f>
        <v>0</v>
      </c>
      <c r="H1537" s="4">
        <f>SUMIFS(PENJUALAN!$E$4:$E$11000,PENJUALAN!$C$4:$C$11000,'Current Stock'!A1537)</f>
        <v>0</v>
      </c>
      <c r="I1537" s="16">
        <f t="shared" si="2"/>
        <v>0</v>
      </c>
      <c r="J1537" s="4"/>
      <c r="K1537" s="4"/>
      <c r="L1537" s="4"/>
      <c r="M1537" s="4"/>
    </row>
    <row r="1538" ht="13.5" customHeight="1">
      <c r="A1538" s="4" t="str">
        <f t="shared" si="1"/>
        <v>LFW-PREVIA00XYG</v>
      </c>
      <c r="B1538" s="29" t="s">
        <v>1224</v>
      </c>
      <c r="C1538" s="28" t="s">
        <v>1225</v>
      </c>
      <c r="D1538" s="28" t="s">
        <v>22</v>
      </c>
      <c r="E1538" s="4" t="s">
        <v>16</v>
      </c>
      <c r="F1538" s="28" t="s">
        <v>97</v>
      </c>
      <c r="G1538" s="4">
        <f>SUMIFS(X!$F$5:$F$2005,X!$D$5:$D$2005,'Current Stock'!A1538)</f>
        <v>0</v>
      </c>
      <c r="H1538" s="4">
        <f>SUMIFS(PENJUALAN!$E$4:$E$11000,PENJUALAN!$C$4:$C$11000,'Current Stock'!A1538)</f>
        <v>0</v>
      </c>
      <c r="I1538" s="16">
        <f t="shared" si="2"/>
        <v>0</v>
      </c>
      <c r="J1538" s="4"/>
      <c r="K1538" s="4"/>
      <c r="L1538" s="4"/>
      <c r="M1538" s="4"/>
    </row>
    <row r="1539" ht="13.5" customHeight="1">
      <c r="A1539" s="4" t="str">
        <f t="shared" si="1"/>
        <v>LFW-PREVIA06XYG</v>
      </c>
      <c r="B1539" s="29" t="s">
        <v>1227</v>
      </c>
      <c r="C1539" s="28" t="s">
        <v>1228</v>
      </c>
      <c r="D1539" s="28" t="s">
        <v>22</v>
      </c>
      <c r="E1539" s="4" t="s">
        <v>16</v>
      </c>
      <c r="F1539" s="28" t="s">
        <v>737</v>
      </c>
      <c r="G1539" s="4">
        <f>SUMIFS(X!$F$5:$F$2005,X!$D$5:$D$2005,'Current Stock'!A1539)</f>
        <v>0</v>
      </c>
      <c r="H1539" s="4">
        <f>SUMIFS(PENJUALAN!$E$4:$E$11000,PENJUALAN!$C$4:$C$11000,'Current Stock'!A1539)</f>
        <v>0</v>
      </c>
      <c r="I1539" s="16">
        <f t="shared" si="2"/>
        <v>0</v>
      </c>
      <c r="J1539" s="4"/>
      <c r="K1539" s="4"/>
      <c r="L1539" s="4"/>
      <c r="M1539" s="4"/>
    </row>
    <row r="1540" ht="13.5" customHeight="1">
      <c r="A1540" s="4" t="str">
        <f t="shared" si="1"/>
        <v>LFW-INTERPLAYMU</v>
      </c>
      <c r="B1540" s="29" t="s">
        <v>1933</v>
      </c>
      <c r="C1540" s="65" t="s">
        <v>1934</v>
      </c>
      <c r="D1540" s="28" t="s">
        <v>22</v>
      </c>
      <c r="E1540" s="4" t="s">
        <v>1361</v>
      </c>
      <c r="F1540" s="28"/>
      <c r="G1540" s="4">
        <f>SUMIFS(X!$F$5:$F$2005,X!$D$5:$D$2005,'Current Stock'!A1540)</f>
        <v>5</v>
      </c>
      <c r="H1540" s="4">
        <f>SUMIFS(PENJUALAN!$E$4:$E$11000,PENJUALAN!$C$4:$C$11000,'Current Stock'!A1540)</f>
        <v>5</v>
      </c>
      <c r="I1540" s="16">
        <f t="shared" si="2"/>
        <v>0</v>
      </c>
      <c r="J1540" s="15" t="s">
        <v>1695</v>
      </c>
      <c r="K1540" s="15"/>
      <c r="L1540" s="4"/>
      <c r="M1540" s="15"/>
    </row>
    <row r="1541" ht="13.5" customHeight="1">
      <c r="A1541" s="4" t="str">
        <f t="shared" si="1"/>
        <v>TRW-RAV400XYG</v>
      </c>
      <c r="B1541" s="29" t="s">
        <v>1230</v>
      </c>
      <c r="C1541" s="28" t="s">
        <v>1231</v>
      </c>
      <c r="D1541" s="28" t="s">
        <v>41</v>
      </c>
      <c r="E1541" s="4" t="s">
        <v>16</v>
      </c>
      <c r="F1541" s="28" t="s">
        <v>221</v>
      </c>
      <c r="G1541" s="4">
        <f>SUMIFS(X!$F$5:$F$2005,X!$D$5:$D$2005,'Current Stock'!A1541)</f>
        <v>0</v>
      </c>
      <c r="H1541" s="4">
        <f>SUMIFS(PENJUALAN!$E$4:$E$11000,PENJUALAN!$C$4:$C$11000,'Current Stock'!A1541)</f>
        <v>0</v>
      </c>
      <c r="I1541" s="16">
        <f t="shared" si="2"/>
        <v>0</v>
      </c>
      <c r="J1541" s="4"/>
      <c r="K1541" s="4"/>
      <c r="L1541" s="4"/>
      <c r="M1541" s="4"/>
    </row>
    <row r="1542" ht="13.5" customHeight="1">
      <c r="A1542" s="4" t="str">
        <f t="shared" si="1"/>
        <v>LFW-RAV400XYG</v>
      </c>
      <c r="B1542" s="29" t="s">
        <v>1232</v>
      </c>
      <c r="C1542" s="28" t="s">
        <v>1233</v>
      </c>
      <c r="D1542" s="28" t="s">
        <v>22</v>
      </c>
      <c r="E1542" s="4" t="s">
        <v>16</v>
      </c>
      <c r="F1542" s="28" t="s">
        <v>125</v>
      </c>
      <c r="G1542" s="4">
        <f>SUMIFS(X!$F$5:$F$2005,X!$D$5:$D$2005,'Current Stock'!A1542)</f>
        <v>0</v>
      </c>
      <c r="H1542" s="4">
        <f>SUMIFS(PENJUALAN!$E$4:$E$11000,PENJUALAN!$C$4:$C$11000,'Current Stock'!A1542)</f>
        <v>0</v>
      </c>
      <c r="I1542" s="16">
        <f t="shared" si="2"/>
        <v>0</v>
      </c>
      <c r="J1542" s="4"/>
      <c r="K1542" s="4"/>
      <c r="L1542" s="4"/>
      <c r="M1542" s="4"/>
    </row>
    <row r="1543" ht="13.5" customHeight="1">
      <c r="A1543" s="4" t="str">
        <f t="shared" si="1"/>
        <v>LFW-TERIOS06XYG</v>
      </c>
      <c r="B1543" s="29" t="s">
        <v>1243</v>
      </c>
      <c r="C1543" s="28" t="s">
        <v>1244</v>
      </c>
      <c r="D1543" s="28" t="s">
        <v>22</v>
      </c>
      <c r="E1543" s="4" t="s">
        <v>16</v>
      </c>
      <c r="F1543" s="28" t="s">
        <v>97</v>
      </c>
      <c r="G1543" s="4">
        <f>SUMIFS(X!$F$5:$F$2005,X!$D$5:$D$2005,'Current Stock'!A1543)</f>
        <v>6</v>
      </c>
      <c r="H1543" s="4">
        <f>SUMIFS(PENJUALAN!$E$4:$E$11000,PENJUALAN!$C$4:$C$11000,'Current Stock'!A1543)</f>
        <v>3</v>
      </c>
      <c r="I1543" s="16">
        <f t="shared" si="2"/>
        <v>3</v>
      </c>
      <c r="J1543" s="6" t="s">
        <v>1935</v>
      </c>
      <c r="K1543" s="4"/>
      <c r="L1543" s="4"/>
      <c r="M1543" s="4"/>
    </row>
    <row r="1544" ht="13.5" customHeight="1">
      <c r="A1544" s="4" t="str">
        <f t="shared" si="1"/>
        <v>LFW-RIO00MU</v>
      </c>
      <c r="B1544" s="29" t="s">
        <v>609</v>
      </c>
      <c r="C1544" s="65" t="s">
        <v>1936</v>
      </c>
      <c r="D1544" s="30" t="s">
        <v>22</v>
      </c>
      <c r="E1544" s="4" t="s">
        <v>1361</v>
      </c>
      <c r="F1544" s="28" t="s">
        <v>125</v>
      </c>
      <c r="G1544" s="4">
        <f>SUMIFS(X!$F$5:$F$2005,X!$D$5:$D$2005,'Current Stock'!A1544)</f>
        <v>3</v>
      </c>
      <c r="H1544" s="4">
        <f>SUMIFS(PENJUALAN!$E$4:$E$11000,PENJUALAN!$C$4:$C$11000,'Current Stock'!A1544)</f>
        <v>3</v>
      </c>
      <c r="I1544" s="16">
        <f t="shared" si="2"/>
        <v>0</v>
      </c>
      <c r="J1544" s="15" t="s">
        <v>1722</v>
      </c>
      <c r="K1544" s="15"/>
      <c r="L1544" s="5">
        <v>1.0</v>
      </c>
      <c r="M1544" s="4"/>
    </row>
    <row r="1545" ht="13.5" customHeight="1">
      <c r="A1545" s="4" t="str">
        <f t="shared" si="1"/>
        <v>LFW-SPORTAGE04MU</v>
      </c>
      <c r="B1545" s="29" t="s">
        <v>1937</v>
      </c>
      <c r="C1545" s="65" t="s">
        <v>1938</v>
      </c>
      <c r="D1545" s="30" t="s">
        <v>22</v>
      </c>
      <c r="E1545" s="4" t="s">
        <v>1361</v>
      </c>
      <c r="F1545" s="28" t="s">
        <v>1721</v>
      </c>
      <c r="G1545" s="4">
        <f>SUMIFS(X!$F$5:$F$2005,X!$D$5:$D$2005,'Current Stock'!A1545)</f>
        <v>4</v>
      </c>
      <c r="H1545" s="4">
        <f>SUMIFS(PENJUALAN!$E$4:$E$11000,PENJUALAN!$C$4:$C$11000,'Current Stock'!A1545)</f>
        <v>3</v>
      </c>
      <c r="I1545" s="16">
        <f t="shared" si="2"/>
        <v>1</v>
      </c>
      <c r="J1545" s="15" t="s">
        <v>1722</v>
      </c>
      <c r="K1545" s="15"/>
      <c r="L1545" s="5">
        <v>1.0</v>
      </c>
      <c r="M1545" s="4"/>
    </row>
    <row r="1546" ht="13.5" customHeight="1">
      <c r="A1546" s="4" t="str">
        <f t="shared" si="1"/>
        <v>TRW-TERIOS06XYG</v>
      </c>
      <c r="B1546" s="29" t="s">
        <v>1247</v>
      </c>
      <c r="C1546" s="28" t="s">
        <v>1244</v>
      </c>
      <c r="D1546" s="28" t="s">
        <v>41</v>
      </c>
      <c r="E1546" s="4" t="s">
        <v>16</v>
      </c>
      <c r="F1546" s="28" t="s">
        <v>97</v>
      </c>
      <c r="G1546" s="4">
        <f>SUMIFS(X!$F$5:$F$2005,X!$D$5:$D$2005,'Current Stock'!A1546)</f>
        <v>3</v>
      </c>
      <c r="H1546" s="4">
        <f>SUMIFS(PENJUALAN!$E$4:$E$11000,PENJUALAN!$C$4:$C$11000,'Current Stock'!A1546)</f>
        <v>1</v>
      </c>
      <c r="I1546" s="16">
        <f t="shared" si="2"/>
        <v>2</v>
      </c>
      <c r="J1546" s="15" t="s">
        <v>1884</v>
      </c>
      <c r="K1546" s="4"/>
      <c r="L1546" s="4"/>
      <c r="M1546" s="4"/>
    </row>
    <row r="1547" ht="13.5" customHeight="1">
      <c r="A1547" s="4" t="str">
        <f t="shared" si="1"/>
        <v>SWL-TERIOS06XYG</v>
      </c>
      <c r="B1547" s="41" t="s">
        <v>1939</v>
      </c>
      <c r="C1547" s="28" t="s">
        <v>1244</v>
      </c>
      <c r="D1547" s="28" t="s">
        <v>202</v>
      </c>
      <c r="E1547" s="4" t="s">
        <v>16</v>
      </c>
      <c r="F1547" s="28" t="s">
        <v>97</v>
      </c>
      <c r="G1547" s="4">
        <f>SUMIFS(X!$F$5:$F$2005,X!$D$5:$D$2005,'Current Stock'!A1547)</f>
        <v>0</v>
      </c>
      <c r="H1547" s="4">
        <f>SUMIFS(PENJUALAN!$E$4:$E$11000,PENJUALAN!$C$4:$C$11000,'Current Stock'!A1547)</f>
        <v>0</v>
      </c>
      <c r="I1547" s="16">
        <f t="shared" si="2"/>
        <v>0</v>
      </c>
      <c r="J1547" s="4"/>
      <c r="K1547" s="4"/>
      <c r="L1547" s="4"/>
      <c r="M1547" s="4"/>
    </row>
    <row r="1548" ht="13.5" customHeight="1">
      <c r="A1548" s="4" t="str">
        <f t="shared" si="1"/>
        <v>SWR-TERIOS06XYG</v>
      </c>
      <c r="B1548" s="41" t="s">
        <v>1940</v>
      </c>
      <c r="C1548" s="28" t="s">
        <v>1244</v>
      </c>
      <c r="D1548" s="28" t="s">
        <v>236</v>
      </c>
      <c r="E1548" s="4" t="s">
        <v>16</v>
      </c>
      <c r="F1548" s="28" t="s">
        <v>97</v>
      </c>
      <c r="G1548" s="4">
        <f>SUMIFS(X!$F$5:$F$2005,X!$D$5:$D$2005,'Current Stock'!A1548)</f>
        <v>0</v>
      </c>
      <c r="H1548" s="4">
        <f>SUMIFS(PENJUALAN!$E$4:$E$11000,PENJUALAN!$C$4:$C$11000,'Current Stock'!A1548)</f>
        <v>0</v>
      </c>
      <c r="I1548" s="16">
        <f t="shared" si="2"/>
        <v>0</v>
      </c>
      <c r="J1548" s="4"/>
      <c r="K1548" s="4"/>
      <c r="L1548" s="4"/>
      <c r="M1548" s="4"/>
    </row>
    <row r="1549" ht="13.5" customHeight="1">
      <c r="A1549" s="4" t="str">
        <f t="shared" si="1"/>
        <v>LFW-RUSH17XYG</v>
      </c>
      <c r="B1549" s="29" t="s">
        <v>1941</v>
      </c>
      <c r="C1549" s="28" t="s">
        <v>1713</v>
      </c>
      <c r="D1549" s="28" t="s">
        <v>22</v>
      </c>
      <c r="E1549" s="4" t="s">
        <v>16</v>
      </c>
      <c r="F1549" s="28" t="s">
        <v>97</v>
      </c>
      <c r="G1549" s="4">
        <f>SUMIFS(X!$F$5:$F$2005,X!$D$5:$D$2005,'Current Stock'!A1549)</f>
        <v>1</v>
      </c>
      <c r="H1549" s="4">
        <f>SUMIFS(PENJUALAN!$E$4:$E$11000,PENJUALAN!$C$4:$C$11000,'Current Stock'!A1549)</f>
        <v>0</v>
      </c>
      <c r="I1549" s="16">
        <f t="shared" si="2"/>
        <v>1</v>
      </c>
      <c r="J1549" s="15" t="s">
        <v>1935</v>
      </c>
      <c r="K1549" s="15"/>
      <c r="L1549" s="4"/>
      <c r="M1549" s="15" t="s">
        <v>1942</v>
      </c>
    </row>
    <row r="1550" ht="13.5" customHeight="1">
      <c r="A1550" s="4" t="str">
        <f t="shared" si="1"/>
        <v>TRW-RUSH17HXYG</v>
      </c>
      <c r="B1550" s="29" t="s">
        <v>1943</v>
      </c>
      <c r="D1550" s="28" t="s">
        <v>41</v>
      </c>
      <c r="E1550" s="4" t="s">
        <v>16</v>
      </c>
      <c r="F1550" s="28" t="s">
        <v>67</v>
      </c>
      <c r="G1550" s="4">
        <f>SUMIFS(X!$F$5:$F$2005,X!$D$5:$D$2005,'Current Stock'!A1550)</f>
        <v>0</v>
      </c>
      <c r="H1550" s="4">
        <f>SUMIFS(PENJUALAN!$E$4:$E$11000,PENJUALAN!$C$4:$C$11000,'Current Stock'!A1550)</f>
        <v>0</v>
      </c>
      <c r="I1550" s="16">
        <f t="shared" si="2"/>
        <v>0</v>
      </c>
      <c r="J1550" s="4"/>
      <c r="K1550" s="4"/>
      <c r="L1550" s="4"/>
      <c r="M1550" s="4"/>
    </row>
    <row r="1551" ht="13.5" customHeight="1">
      <c r="A1551" s="4" t="str">
        <f t="shared" si="1"/>
        <v>TRW-RUSH17XYG</v>
      </c>
      <c r="B1551" s="29" t="s">
        <v>1944</v>
      </c>
      <c r="C1551" s="28" t="s">
        <v>1713</v>
      </c>
      <c r="D1551" s="28" t="s">
        <v>41</v>
      </c>
      <c r="E1551" s="4" t="s">
        <v>16</v>
      </c>
      <c r="F1551" s="28" t="s">
        <v>97</v>
      </c>
      <c r="G1551" s="4">
        <f>SUMIFS(X!$F$5:$F$2005,X!$D$5:$D$2005,'Current Stock'!A1551)</f>
        <v>4</v>
      </c>
      <c r="H1551" s="4">
        <f>SUMIFS(PENJUALAN!$E$4:$E$11000,PENJUALAN!$C$4:$C$11000,'Current Stock'!A1551)</f>
        <v>2</v>
      </c>
      <c r="I1551" s="16">
        <f t="shared" si="2"/>
        <v>2</v>
      </c>
      <c r="J1551" s="15" t="s">
        <v>1765</v>
      </c>
      <c r="K1551" s="4"/>
      <c r="L1551" s="4"/>
      <c r="M1551" s="4"/>
    </row>
    <row r="1552" ht="13.5" customHeight="1">
      <c r="A1552" s="4" t="str">
        <f t="shared" si="1"/>
        <v>LFW-LANTISMU</v>
      </c>
      <c r="B1552" s="31" t="s">
        <v>1945</v>
      </c>
      <c r="C1552" s="66" t="s">
        <v>1946</v>
      </c>
      <c r="D1552" s="28" t="s">
        <v>22</v>
      </c>
      <c r="E1552" s="4" t="s">
        <v>1361</v>
      </c>
      <c r="F1552" s="28" t="s">
        <v>1947</v>
      </c>
      <c r="G1552" s="4">
        <f>SUMIFS(X!$F$5:$F$2005,X!$D$5:$D$2005,'Current Stock'!A1552)</f>
        <v>3</v>
      </c>
      <c r="H1552" s="4">
        <f>SUMIFS(PENJUALAN!$E$4:$E$11000,PENJUALAN!$C$4:$C$11000,'Current Stock'!A1552)</f>
        <v>3</v>
      </c>
      <c r="I1552" s="16">
        <f t="shared" si="2"/>
        <v>0</v>
      </c>
      <c r="J1552" s="15" t="s">
        <v>1695</v>
      </c>
      <c r="K1552" s="15"/>
      <c r="L1552" s="5">
        <v>1.0</v>
      </c>
      <c r="M1552" s="4"/>
    </row>
    <row r="1553" ht="13.5" customHeight="1">
      <c r="A1553" s="4" t="str">
        <f t="shared" si="1"/>
        <v>LFW-TIMORMU</v>
      </c>
      <c r="B1553" s="29" t="s">
        <v>1948</v>
      </c>
      <c r="C1553" s="28" t="s">
        <v>646</v>
      </c>
      <c r="D1553" s="30" t="s">
        <v>22</v>
      </c>
      <c r="E1553" s="4" t="s">
        <v>1361</v>
      </c>
      <c r="F1553" s="28" t="s">
        <v>97</v>
      </c>
      <c r="G1553" s="4">
        <f>SUMIFS(X!$F$5:$F$2005,X!$D$5:$D$2005,'Current Stock'!A1553)</f>
        <v>3</v>
      </c>
      <c r="H1553" s="4">
        <f>SUMIFS(PENJUALAN!$E$4:$E$11000,PENJUALAN!$C$4:$C$11000,'Current Stock'!A1553)</f>
        <v>2</v>
      </c>
      <c r="I1553" s="16">
        <f t="shared" si="2"/>
        <v>1</v>
      </c>
      <c r="J1553" s="59" t="s">
        <v>1949</v>
      </c>
      <c r="K1553" s="59"/>
      <c r="L1553" s="5">
        <v>1.0</v>
      </c>
      <c r="M1553" s="4"/>
    </row>
    <row r="1554" ht="13.5" customHeight="1">
      <c r="A1554" s="4" t="str">
        <f t="shared" si="1"/>
        <v>LFW-SOLUNAXYG</v>
      </c>
      <c r="B1554" s="29" t="s">
        <v>1251</v>
      </c>
      <c r="C1554" s="28" t="s">
        <v>1252</v>
      </c>
      <c r="D1554" s="28" t="s">
        <v>22</v>
      </c>
      <c r="E1554" s="4" t="s">
        <v>16</v>
      </c>
      <c r="F1554" s="28" t="s">
        <v>97</v>
      </c>
      <c r="G1554" s="4">
        <f>SUMIFS(X!$F$5:$F$2005,X!$D$5:$D$2005,'Current Stock'!A1554)</f>
        <v>0</v>
      </c>
      <c r="H1554" s="4">
        <f>SUMIFS(PENJUALAN!$E$4:$E$11000,PENJUALAN!$C$4:$C$11000,'Current Stock'!A1554)</f>
        <v>0</v>
      </c>
      <c r="I1554" s="16">
        <f t="shared" si="2"/>
        <v>0</v>
      </c>
      <c r="J1554" s="4"/>
      <c r="K1554" s="4"/>
      <c r="L1554" s="4"/>
      <c r="M1554" s="4"/>
    </row>
    <row r="1555" ht="13.5" customHeight="1">
      <c r="A1555" s="4" t="str">
        <f t="shared" si="1"/>
        <v>TRW-SOLUNAXYG</v>
      </c>
      <c r="B1555" s="29" t="s">
        <v>1950</v>
      </c>
      <c r="C1555" s="28" t="s">
        <v>1252</v>
      </c>
      <c r="D1555" s="28" t="s">
        <v>41</v>
      </c>
      <c r="E1555" s="4" t="s">
        <v>16</v>
      </c>
      <c r="F1555" s="28" t="s">
        <v>67</v>
      </c>
      <c r="G1555" s="4">
        <f>SUMIFS(X!$F$5:$F$2005,X!$D$5:$D$2005,'Current Stock'!A1555)</f>
        <v>0</v>
      </c>
      <c r="H1555" s="4">
        <f>SUMIFS(PENJUALAN!$E$4:$E$11000,PENJUALAN!$C$4:$C$11000,'Current Stock'!A1555)</f>
        <v>0</v>
      </c>
      <c r="I1555" s="16">
        <f t="shared" si="2"/>
        <v>0</v>
      </c>
      <c r="J1555" s="4"/>
      <c r="K1555" s="4"/>
      <c r="L1555" s="4"/>
      <c r="M1555" s="4"/>
    </row>
    <row r="1556" ht="13.5" customHeight="1">
      <c r="A1556" s="4" t="str">
        <f t="shared" si="1"/>
        <v>LFW-STARLETXYG</v>
      </c>
      <c r="B1556" s="29" t="s">
        <v>1253</v>
      </c>
      <c r="C1556" s="28" t="s">
        <v>1254</v>
      </c>
      <c r="D1556" s="28" t="s">
        <v>22</v>
      </c>
      <c r="E1556" s="4" t="s">
        <v>16</v>
      </c>
      <c r="F1556" s="28" t="s">
        <v>97</v>
      </c>
      <c r="G1556" s="4">
        <f>SUMIFS(X!$F$5:$F$2005,X!$D$5:$D$2005,'Current Stock'!A1556)</f>
        <v>1</v>
      </c>
      <c r="H1556" s="4">
        <f>SUMIFS(PENJUALAN!$E$4:$E$11000,PENJUALAN!$C$4:$C$11000,'Current Stock'!A1556)</f>
        <v>1</v>
      </c>
      <c r="I1556" s="16">
        <f t="shared" si="2"/>
        <v>0</v>
      </c>
      <c r="J1556" s="4"/>
      <c r="K1556" s="4"/>
      <c r="L1556" s="4"/>
      <c r="M1556" s="4"/>
    </row>
    <row r="1557" ht="13.5" customHeight="1">
      <c r="A1557" s="4" t="str">
        <f t="shared" si="1"/>
        <v>TRW-STARLETXYG</v>
      </c>
      <c r="B1557" s="29" t="s">
        <v>1255</v>
      </c>
      <c r="C1557" s="28" t="s">
        <v>1254</v>
      </c>
      <c r="D1557" s="28" t="s">
        <v>41</v>
      </c>
      <c r="E1557" s="4" t="s">
        <v>16</v>
      </c>
      <c r="F1557" s="28" t="s">
        <v>67</v>
      </c>
      <c r="G1557" s="4">
        <f>SUMIFS(X!$F$5:$F$2005,X!$D$5:$D$2005,'Current Stock'!A1557)</f>
        <v>0</v>
      </c>
      <c r="H1557" s="4">
        <f>SUMIFS(PENJUALAN!$E$4:$E$11000,PENJUALAN!$C$4:$C$11000,'Current Stock'!A1557)</f>
        <v>0</v>
      </c>
      <c r="I1557" s="16">
        <f t="shared" si="2"/>
        <v>0</v>
      </c>
      <c r="J1557" s="4"/>
      <c r="K1557" s="4"/>
      <c r="L1557" s="4"/>
      <c r="M1557" s="4"/>
    </row>
    <row r="1558" ht="13.5" customHeight="1">
      <c r="A1558" s="4" t="str">
        <f t="shared" si="1"/>
        <v>RDL-STARLETXYG</v>
      </c>
      <c r="B1558" s="29" t="s">
        <v>1256</v>
      </c>
      <c r="C1558" s="28" t="s">
        <v>1254</v>
      </c>
      <c r="D1558" s="28" t="s">
        <v>132</v>
      </c>
      <c r="E1558" s="4" t="s">
        <v>16</v>
      </c>
      <c r="F1558" s="28"/>
      <c r="G1558" s="4">
        <f>SUMIFS(X!$F$5:$F$2005,X!$D$5:$D$2005,'Current Stock'!A1558)</f>
        <v>0</v>
      </c>
      <c r="H1558" s="4">
        <f>SUMIFS(PENJUALAN!$E$4:$E$11000,PENJUALAN!$C$4:$C$11000,'Current Stock'!A1558)</f>
        <v>0</v>
      </c>
      <c r="I1558" s="16">
        <f t="shared" si="2"/>
        <v>0</v>
      </c>
      <c r="J1558" s="4"/>
      <c r="K1558" s="4"/>
      <c r="L1558" s="4"/>
      <c r="M1558" s="4"/>
    </row>
    <row r="1559" ht="13.5" customHeight="1">
      <c r="A1559" s="4" t="str">
        <f t="shared" si="1"/>
        <v>RDR-STARLETXYG</v>
      </c>
      <c r="B1559" s="29" t="s">
        <v>1257</v>
      </c>
      <c r="C1559" s="28" t="s">
        <v>1254</v>
      </c>
      <c r="D1559" s="28" t="s">
        <v>134</v>
      </c>
      <c r="E1559" s="4" t="s">
        <v>16</v>
      </c>
      <c r="F1559" s="28"/>
      <c r="G1559" s="4">
        <f>SUMIFS(X!$F$5:$F$2005,X!$D$5:$D$2005,'Current Stock'!A1559)</f>
        <v>0</v>
      </c>
      <c r="H1559" s="4">
        <f>SUMIFS(PENJUALAN!$E$4:$E$11000,PENJUALAN!$C$4:$C$11000,'Current Stock'!A1559)</f>
        <v>0</v>
      </c>
      <c r="I1559" s="16">
        <f t="shared" si="2"/>
        <v>0</v>
      </c>
      <c r="J1559" s="4"/>
      <c r="K1559" s="4"/>
      <c r="L1559" s="4"/>
      <c r="M1559" s="4"/>
    </row>
    <row r="1560" ht="13.5" customHeight="1">
      <c r="A1560" s="4" t="str">
        <f t="shared" si="1"/>
        <v>LFW-VIOS02XYG</v>
      </c>
      <c r="B1560" s="29" t="s">
        <v>1951</v>
      </c>
      <c r="C1560" s="28" t="s">
        <v>1259</v>
      </c>
      <c r="D1560" s="28" t="s">
        <v>22</v>
      </c>
      <c r="E1560" s="4" t="s">
        <v>16</v>
      </c>
      <c r="F1560" s="28" t="s">
        <v>125</v>
      </c>
      <c r="G1560" s="4">
        <f>SUMIFS(X!$F$5:$F$2005,X!$D$5:$D$2005,'Current Stock'!A1560)</f>
        <v>0</v>
      </c>
      <c r="H1560" s="4">
        <f>SUMIFS(PENJUALAN!$E$4:$E$11000,PENJUALAN!$C$4:$C$11000,'Current Stock'!A1560)</f>
        <v>0</v>
      </c>
      <c r="I1560" s="16">
        <f t="shared" si="2"/>
        <v>0</v>
      </c>
      <c r="J1560" s="4"/>
      <c r="K1560" s="4"/>
      <c r="L1560" s="4"/>
      <c r="M1560" s="4"/>
    </row>
    <row r="1561" ht="13.5" customHeight="1">
      <c r="A1561" s="4" t="str">
        <f t="shared" si="1"/>
        <v>LFW-RIO11MU</v>
      </c>
      <c r="B1561" s="29" t="s">
        <v>617</v>
      </c>
      <c r="C1561" s="65" t="s">
        <v>1952</v>
      </c>
      <c r="D1561" s="30" t="s">
        <v>22</v>
      </c>
      <c r="E1561" s="4" t="s">
        <v>1361</v>
      </c>
      <c r="F1561" s="28" t="s">
        <v>125</v>
      </c>
      <c r="G1561" s="4">
        <f>SUMIFS(X!$F$5:$F$2005,X!$D$5:$D$2005,'Current Stock'!A1561)</f>
        <v>1</v>
      </c>
      <c r="H1561" s="4">
        <f>SUMIFS(PENJUALAN!$E$4:$E$11000,PENJUALAN!$C$4:$C$11000,'Current Stock'!A1561)</f>
        <v>1</v>
      </c>
      <c r="I1561" s="16">
        <f t="shared" si="2"/>
        <v>0</v>
      </c>
      <c r="J1561" s="4"/>
      <c r="K1561" s="4"/>
      <c r="L1561" s="5">
        <v>1.0</v>
      </c>
      <c r="M1561" s="4"/>
    </row>
    <row r="1562" ht="13.5" customHeight="1">
      <c r="A1562" s="4" t="str">
        <f t="shared" si="1"/>
        <v>FDL-VIOS02XYG</v>
      </c>
      <c r="B1562" s="29" t="s">
        <v>1953</v>
      </c>
      <c r="C1562" s="28" t="s">
        <v>1259</v>
      </c>
      <c r="D1562" s="28" t="s">
        <v>128</v>
      </c>
      <c r="E1562" s="4" t="s">
        <v>16</v>
      </c>
      <c r="F1562" s="28"/>
      <c r="G1562" s="4">
        <f>SUMIFS(X!$F$5:$F$2005,X!$D$5:$D$2005,'Current Stock'!A1562)</f>
        <v>0</v>
      </c>
      <c r="H1562" s="4">
        <f>SUMIFS(PENJUALAN!$E$4:$E$11000,PENJUALAN!$C$4:$C$11000,'Current Stock'!A1562)</f>
        <v>0</v>
      </c>
      <c r="I1562" s="16">
        <f t="shared" si="2"/>
        <v>0</v>
      </c>
      <c r="J1562" s="4"/>
      <c r="K1562" s="4"/>
      <c r="L1562" s="4"/>
      <c r="M1562" s="4"/>
    </row>
    <row r="1563" ht="13.5" customHeight="1">
      <c r="A1563" s="4" t="str">
        <f t="shared" si="1"/>
        <v>FDR-VIOS02XYG</v>
      </c>
      <c r="B1563" s="29" t="s">
        <v>1954</v>
      </c>
      <c r="C1563" s="28" t="s">
        <v>1259</v>
      </c>
      <c r="D1563" s="28" t="s">
        <v>130</v>
      </c>
      <c r="E1563" s="4" t="s">
        <v>16</v>
      </c>
      <c r="F1563" s="28"/>
      <c r="G1563" s="4">
        <f>SUMIFS(X!$F$5:$F$2005,X!$D$5:$D$2005,'Current Stock'!A1563)</f>
        <v>0</v>
      </c>
      <c r="H1563" s="4">
        <f>SUMIFS(PENJUALAN!$E$4:$E$11000,PENJUALAN!$C$4:$C$11000,'Current Stock'!A1563)</f>
        <v>0</v>
      </c>
      <c r="I1563" s="16">
        <f t="shared" si="2"/>
        <v>0</v>
      </c>
      <c r="J1563" s="4"/>
      <c r="K1563" s="4"/>
      <c r="L1563" s="4"/>
      <c r="M1563" s="4"/>
    </row>
    <row r="1564" ht="13.5" customHeight="1">
      <c r="A1564" s="4" t="str">
        <f t="shared" si="1"/>
        <v>RDL-VIOS02XYG</v>
      </c>
      <c r="B1564" s="29" t="s">
        <v>1260</v>
      </c>
      <c r="C1564" s="28" t="s">
        <v>1259</v>
      </c>
      <c r="D1564" s="28" t="s">
        <v>132</v>
      </c>
      <c r="E1564" s="4" t="s">
        <v>16</v>
      </c>
      <c r="F1564" s="28"/>
      <c r="G1564" s="4">
        <f>SUMIFS(X!$F$5:$F$2005,X!$D$5:$D$2005,'Current Stock'!A1564)</f>
        <v>0</v>
      </c>
      <c r="H1564" s="4">
        <f>SUMIFS(PENJUALAN!$E$4:$E$11000,PENJUALAN!$C$4:$C$11000,'Current Stock'!A1564)</f>
        <v>0</v>
      </c>
      <c r="I1564" s="16">
        <f t="shared" si="2"/>
        <v>0</v>
      </c>
      <c r="J1564" s="4"/>
      <c r="K1564" s="4"/>
      <c r="L1564" s="4"/>
      <c r="M1564" s="4"/>
    </row>
    <row r="1565" ht="13.5" customHeight="1">
      <c r="A1565" s="4" t="str">
        <f t="shared" si="1"/>
        <v>RDR-VIOS02XYG</v>
      </c>
      <c r="B1565" s="29" t="s">
        <v>1261</v>
      </c>
      <c r="C1565" s="28" t="s">
        <v>1259</v>
      </c>
      <c r="D1565" s="28" t="s">
        <v>134</v>
      </c>
      <c r="E1565" s="4" t="s">
        <v>16</v>
      </c>
      <c r="F1565" s="28"/>
      <c r="G1565" s="4">
        <f>SUMIFS(X!$F$5:$F$2005,X!$D$5:$D$2005,'Current Stock'!A1565)</f>
        <v>0</v>
      </c>
      <c r="H1565" s="4">
        <f>SUMIFS(PENJUALAN!$E$4:$E$11000,PENJUALAN!$C$4:$C$11000,'Current Stock'!A1565)</f>
        <v>0</v>
      </c>
      <c r="I1565" s="16">
        <f t="shared" si="2"/>
        <v>0</v>
      </c>
      <c r="J1565" s="4"/>
      <c r="K1565" s="4"/>
      <c r="L1565" s="4"/>
      <c r="M1565" s="4"/>
    </row>
    <row r="1566" ht="13.5" customHeight="1">
      <c r="A1566" s="4" t="str">
        <f t="shared" si="1"/>
        <v>LFW-VIOS07XYG</v>
      </c>
      <c r="B1566" s="29" t="s">
        <v>1262</v>
      </c>
      <c r="C1566" s="28" t="s">
        <v>1263</v>
      </c>
      <c r="D1566" s="28" t="s">
        <v>22</v>
      </c>
      <c r="E1566" s="4" t="s">
        <v>16</v>
      </c>
      <c r="F1566" s="28" t="s">
        <v>125</v>
      </c>
      <c r="G1566" s="4">
        <f>SUMIFS(X!$F$5:$F$2005,X!$D$5:$D$2005,'Current Stock'!A1566)</f>
        <v>2</v>
      </c>
      <c r="H1566" s="4">
        <f>SUMIFS(PENJUALAN!$E$4:$E$11000,PENJUALAN!$C$4:$C$11000,'Current Stock'!A1566)</f>
        <v>0</v>
      </c>
      <c r="I1566" s="16">
        <f t="shared" si="2"/>
        <v>2</v>
      </c>
      <c r="J1566" s="15" t="s">
        <v>1475</v>
      </c>
      <c r="K1566" s="4"/>
      <c r="L1566" s="4"/>
      <c r="M1566" s="4"/>
    </row>
    <row r="1567" ht="13.5" customHeight="1">
      <c r="A1567" s="4" t="str">
        <f t="shared" si="1"/>
        <v>LFW-PANDAXYG</v>
      </c>
      <c r="B1567" s="29" t="s">
        <v>321</v>
      </c>
      <c r="C1567" s="28" t="s">
        <v>322</v>
      </c>
      <c r="D1567" s="28" t="s">
        <v>22</v>
      </c>
      <c r="E1567" s="4" t="s">
        <v>16</v>
      </c>
      <c r="F1567" s="28" t="s">
        <v>125</v>
      </c>
      <c r="G1567" s="4">
        <f>SUMIFS(X!$F$5:$F$2005,X!$D$5:$D$2005,'Current Stock'!A1567)</f>
        <v>2</v>
      </c>
      <c r="H1567" s="4">
        <f>SUMIFS(PENJUALAN!$E$4:$E$11000,PENJUALAN!$C$4:$C$11000,'Current Stock'!A1567)</f>
        <v>2</v>
      </c>
      <c r="I1567" s="16">
        <f t="shared" si="2"/>
        <v>0</v>
      </c>
      <c r="J1567" s="4"/>
      <c r="K1567" s="4"/>
      <c r="L1567" s="4"/>
      <c r="M1567" s="4"/>
    </row>
    <row r="1568" ht="13.5" customHeight="1">
      <c r="A1568" s="4" t="str">
        <f t="shared" si="1"/>
        <v>RVL-VIOS07XYG</v>
      </c>
      <c r="B1568" s="29" t="s">
        <v>1268</v>
      </c>
      <c r="C1568" s="28" t="s">
        <v>1263</v>
      </c>
      <c r="D1568" s="28" t="s">
        <v>387</v>
      </c>
      <c r="E1568" s="4" t="s">
        <v>16</v>
      </c>
      <c r="F1568" s="28"/>
      <c r="G1568" s="4">
        <f>SUMIFS(X!$F$5:$F$2005,X!$D$5:$D$2005,'Current Stock'!A1568)</f>
        <v>0</v>
      </c>
      <c r="H1568" s="4">
        <f>SUMIFS(PENJUALAN!$E$4:$E$11000,PENJUALAN!$C$4:$C$11000,'Current Stock'!A1568)</f>
        <v>0</v>
      </c>
      <c r="I1568" s="16">
        <f t="shared" si="2"/>
        <v>0</v>
      </c>
      <c r="J1568" s="4"/>
      <c r="K1568" s="4"/>
      <c r="L1568" s="4"/>
      <c r="M1568" s="4"/>
    </row>
    <row r="1569" ht="13.5" customHeight="1">
      <c r="A1569" s="4" t="str">
        <f t="shared" si="1"/>
        <v>RVR-VIOS07XYG</v>
      </c>
      <c r="B1569" s="29" t="s">
        <v>1955</v>
      </c>
      <c r="C1569" s="28" t="s">
        <v>1263</v>
      </c>
      <c r="D1569" s="28" t="s">
        <v>389</v>
      </c>
      <c r="E1569" s="4" t="s">
        <v>16</v>
      </c>
      <c r="F1569" s="28"/>
      <c r="G1569" s="4">
        <f>SUMIFS(X!$F$5:$F$2005,X!$D$5:$D$2005,'Current Stock'!A1569)</f>
        <v>0</v>
      </c>
      <c r="H1569" s="4">
        <f>SUMIFS(PENJUALAN!$E$4:$E$11000,PENJUALAN!$C$4:$C$11000,'Current Stock'!A1569)</f>
        <v>0</v>
      </c>
      <c r="I1569" s="16">
        <f t="shared" si="2"/>
        <v>0</v>
      </c>
      <c r="J1569" s="4"/>
      <c r="K1569" s="4"/>
      <c r="L1569" s="4"/>
      <c r="M1569" s="4"/>
    </row>
    <row r="1570" ht="13.5" customHeight="1">
      <c r="A1570" s="4" t="str">
        <f t="shared" si="1"/>
        <v>TRW-ESCUDO00XYG</v>
      </c>
      <c r="B1570" s="41" t="s">
        <v>1956</v>
      </c>
      <c r="C1570" s="30" t="s">
        <v>1797</v>
      </c>
      <c r="D1570" s="28" t="s">
        <v>41</v>
      </c>
      <c r="E1570" s="4" t="s">
        <v>16</v>
      </c>
      <c r="F1570" s="28" t="s">
        <v>67</v>
      </c>
      <c r="G1570" s="4">
        <f>SUMIFS(X!$F$5:$F$2005,X!$D$5:$D$2005,'Current Stock'!A1570)</f>
        <v>3</v>
      </c>
      <c r="H1570" s="4">
        <f>SUMIFS(PENJUALAN!$E$4:$E$11000,PENJUALAN!$C$4:$C$11000,'Current Stock'!A1570)</f>
        <v>1</v>
      </c>
      <c r="I1570" s="16">
        <f t="shared" si="2"/>
        <v>2</v>
      </c>
      <c r="J1570" s="15" t="s">
        <v>1456</v>
      </c>
      <c r="K1570" s="15"/>
      <c r="L1570" s="4"/>
      <c r="M1570" s="67"/>
    </row>
    <row r="1571" ht="13.5" customHeight="1">
      <c r="A1571" s="4" t="str">
        <f t="shared" si="1"/>
        <v>TRW-VIOS13XYG</v>
      </c>
      <c r="B1571" s="29" t="s">
        <v>1957</v>
      </c>
      <c r="C1571" s="28" t="s">
        <v>1958</v>
      </c>
      <c r="D1571" s="28" t="s">
        <v>41</v>
      </c>
      <c r="E1571" s="4" t="s">
        <v>16</v>
      </c>
      <c r="F1571" s="28" t="s">
        <v>67</v>
      </c>
      <c r="G1571" s="4">
        <f>SUMIFS(X!$F$5:$F$2005,X!$D$5:$D$2005,'Current Stock'!A1571)</f>
        <v>0</v>
      </c>
      <c r="H1571" s="4">
        <f>SUMIFS(PENJUALAN!$E$4:$E$11000,PENJUALAN!$C$4:$C$11000,'Current Stock'!A1571)</f>
        <v>0</v>
      </c>
      <c r="I1571" s="16">
        <f t="shared" si="2"/>
        <v>0</v>
      </c>
      <c r="J1571" s="4"/>
      <c r="K1571" s="4"/>
      <c r="L1571" s="4"/>
      <c r="M1571" s="4"/>
    </row>
    <row r="1572" ht="13.5" customHeight="1">
      <c r="A1572" s="4" t="str">
        <f t="shared" si="1"/>
        <v>LFW-CHEROKEEMU</v>
      </c>
      <c r="B1572" s="29" t="s">
        <v>1959</v>
      </c>
      <c r="C1572" s="30" t="s">
        <v>1960</v>
      </c>
      <c r="D1572" s="30" t="s">
        <v>22</v>
      </c>
      <c r="E1572" s="4" t="s">
        <v>1361</v>
      </c>
      <c r="F1572" s="28" t="s">
        <v>1961</v>
      </c>
      <c r="G1572" s="4">
        <f>SUMIFS(X!$F$5:$F$2005,X!$D$5:$D$2005,'Current Stock'!A1572)</f>
        <v>5</v>
      </c>
      <c r="H1572" s="4">
        <f>SUMIFS(PENJUALAN!$E$4:$E$11000,PENJUALAN!$C$4:$C$11000,'Current Stock'!A1572)</f>
        <v>5</v>
      </c>
      <c r="I1572" s="16">
        <f t="shared" si="2"/>
        <v>0</v>
      </c>
      <c r="J1572" s="15" t="s">
        <v>1728</v>
      </c>
      <c r="K1572" s="15"/>
      <c r="L1572" s="5">
        <v>1.0</v>
      </c>
      <c r="M1572" s="4"/>
    </row>
    <row r="1573" ht="13.5" customHeight="1">
      <c r="A1573" s="4" t="str">
        <f t="shared" si="1"/>
        <v>TRW-ERTIGA12XYG</v>
      </c>
      <c r="B1573" s="29" t="s">
        <v>1962</v>
      </c>
      <c r="C1573" s="28" t="s">
        <v>1024</v>
      </c>
      <c r="D1573" s="28" t="s">
        <v>41</v>
      </c>
      <c r="E1573" s="4" t="s">
        <v>16</v>
      </c>
      <c r="F1573" s="33" t="s">
        <v>97</v>
      </c>
      <c r="G1573" s="4">
        <f>SUMIFS(X!$F$5:$F$2005,X!$D$5:$D$2005,'Current Stock'!A1573)</f>
        <v>21</v>
      </c>
      <c r="H1573" s="4">
        <f>SUMIFS(PENJUALAN!$E$4:$E$11000,PENJUALAN!$C$4:$C$11000,'Current Stock'!A1573)</f>
        <v>18</v>
      </c>
      <c r="I1573" s="16">
        <f t="shared" si="2"/>
        <v>3</v>
      </c>
      <c r="J1573" s="15" t="s">
        <v>1398</v>
      </c>
      <c r="K1573" s="15"/>
      <c r="L1573" s="5">
        <v>2.0</v>
      </c>
      <c r="M1573" s="4"/>
    </row>
    <row r="1574" ht="13.5" customHeight="1">
      <c r="A1574" s="4" t="str">
        <f t="shared" si="1"/>
        <v>LFW-WISHXYG</v>
      </c>
      <c r="B1574" s="29" t="s">
        <v>1273</v>
      </c>
      <c r="C1574" s="28" t="s">
        <v>1274</v>
      </c>
      <c r="D1574" s="28" t="s">
        <v>22</v>
      </c>
      <c r="E1574" s="4" t="s">
        <v>16</v>
      </c>
      <c r="F1574" s="28" t="s">
        <v>125</v>
      </c>
      <c r="G1574" s="4">
        <f>SUMIFS(X!$F$5:$F$2005,X!$D$5:$D$2005,'Current Stock'!A1574)</f>
        <v>0</v>
      </c>
      <c r="H1574" s="4">
        <f>SUMIFS(PENJUALAN!$E$4:$E$11000,PENJUALAN!$C$4:$C$11000,'Current Stock'!A1574)</f>
        <v>0</v>
      </c>
      <c r="I1574" s="16">
        <f t="shared" si="2"/>
        <v>0</v>
      </c>
      <c r="J1574" s="4"/>
      <c r="K1574" s="4"/>
      <c r="L1574" s="4"/>
      <c r="M1574" s="4"/>
    </row>
    <row r="1575" ht="13.5" customHeight="1">
      <c r="A1575" s="4" t="str">
        <f t="shared" si="1"/>
        <v>TRW-WISHXYG</v>
      </c>
      <c r="B1575" s="29" t="s">
        <v>1275</v>
      </c>
      <c r="C1575" s="28" t="s">
        <v>1274</v>
      </c>
      <c r="D1575" s="28" t="s">
        <v>41</v>
      </c>
      <c r="E1575" s="4" t="s">
        <v>16</v>
      </c>
      <c r="F1575" s="28" t="s">
        <v>221</v>
      </c>
      <c r="G1575" s="4">
        <f>SUMIFS(X!$F$5:$F$2005,X!$D$5:$D$2005,'Current Stock'!A1575)</f>
        <v>0</v>
      </c>
      <c r="H1575" s="4">
        <f>SUMIFS(PENJUALAN!$E$4:$E$11000,PENJUALAN!$C$4:$C$11000,'Current Stock'!A1575)</f>
        <v>0</v>
      </c>
      <c r="I1575" s="16">
        <f t="shared" si="2"/>
        <v>0</v>
      </c>
      <c r="J1575" s="4"/>
      <c r="K1575" s="4"/>
      <c r="L1575" s="4"/>
      <c r="M1575" s="4"/>
    </row>
    <row r="1576" ht="13.5" customHeight="1">
      <c r="A1576" s="4" t="str">
        <f t="shared" si="1"/>
        <v>LFW-YARIS05XYG</v>
      </c>
      <c r="B1576" s="29" t="s">
        <v>1276</v>
      </c>
      <c r="C1576" s="28" t="s">
        <v>1277</v>
      </c>
      <c r="D1576" s="28" t="s">
        <v>22</v>
      </c>
      <c r="E1576" s="4" t="s">
        <v>16</v>
      </c>
      <c r="F1576" s="28" t="s">
        <v>125</v>
      </c>
      <c r="G1576" s="4">
        <f>SUMIFS(X!$F$5:$F$2005,X!$D$5:$D$2005,'Current Stock'!A1576)</f>
        <v>0</v>
      </c>
      <c r="H1576" s="4">
        <f>SUMIFS(PENJUALAN!$E$4:$E$11000,PENJUALAN!$C$4:$C$11000,'Current Stock'!A1576)</f>
        <v>0</v>
      </c>
      <c r="I1576" s="16">
        <f t="shared" si="2"/>
        <v>0</v>
      </c>
      <c r="J1576" s="4"/>
      <c r="K1576" s="4"/>
      <c r="L1576" s="4"/>
      <c r="M1576" s="4"/>
    </row>
    <row r="1577" ht="13.5" customHeight="1">
      <c r="A1577" s="4" t="str">
        <f t="shared" si="1"/>
        <v>SWL-ERTIGA18AGC</v>
      </c>
      <c r="B1577" s="15" t="s">
        <v>1963</v>
      </c>
      <c r="C1577" s="15" t="s">
        <v>1794</v>
      </c>
      <c r="D1577" s="15" t="s">
        <v>1434</v>
      </c>
      <c r="E1577" s="15" t="s">
        <v>78</v>
      </c>
      <c r="F1577" s="15" t="s">
        <v>97</v>
      </c>
      <c r="G1577" s="4">
        <f>SUMIFS(X!$F$5:$F$2005,X!$D$5:$D$2005,'Current Stock'!A1577)</f>
        <v>1</v>
      </c>
      <c r="H1577" s="4">
        <f>SUMIFS(PENJUALAN!$E$4:$E$11000,PENJUALAN!$C$4:$C$11000,'Current Stock'!A1577)</f>
        <v>1</v>
      </c>
      <c r="I1577" s="16">
        <f t="shared" si="2"/>
        <v>0</v>
      </c>
      <c r="J1577" s="18"/>
      <c r="K1577" s="18"/>
      <c r="L1577" s="18"/>
      <c r="M1577" s="18"/>
    </row>
    <row r="1578" ht="13.5" customHeight="1">
      <c r="A1578" s="4" t="str">
        <f t="shared" si="1"/>
        <v>LFW-VIOS13XYG</v>
      </c>
      <c r="B1578" s="29" t="s">
        <v>1279</v>
      </c>
      <c r="C1578" s="28" t="s">
        <v>1280</v>
      </c>
      <c r="D1578" s="28" t="s">
        <v>22</v>
      </c>
      <c r="E1578" s="4" t="s">
        <v>16</v>
      </c>
      <c r="F1578" s="28" t="s">
        <v>125</v>
      </c>
      <c r="G1578" s="4">
        <f>SUMIFS(X!$F$5:$F$2005,X!$D$5:$D$2005,'Current Stock'!A1578)</f>
        <v>9</v>
      </c>
      <c r="H1578" s="4">
        <f>SUMIFS(PENJUALAN!$E$4:$E$11000,PENJUALAN!$C$4:$C$11000,'Current Stock'!A1578)</f>
        <v>5</v>
      </c>
      <c r="I1578" s="16">
        <f t="shared" si="2"/>
        <v>4</v>
      </c>
      <c r="J1578" s="15" t="s">
        <v>1475</v>
      </c>
      <c r="K1578" s="4"/>
      <c r="L1578" s="4"/>
      <c r="M1578" s="4"/>
    </row>
    <row r="1579" ht="13.5" customHeight="1">
      <c r="A1579" s="4" t="str">
        <f t="shared" si="1"/>
        <v>LFW-CRV17XYG</v>
      </c>
      <c r="B1579" s="29" t="s">
        <v>443</v>
      </c>
      <c r="C1579" s="28" t="s">
        <v>444</v>
      </c>
      <c r="D1579" s="28" t="s">
        <v>22</v>
      </c>
      <c r="E1579" s="4" t="s">
        <v>16</v>
      </c>
      <c r="F1579" s="28" t="s">
        <v>125</v>
      </c>
      <c r="G1579" s="4">
        <f>SUMIFS(X!$F$5:$F$2005,X!$D$5:$D$2005,'Current Stock'!A1579)</f>
        <v>6</v>
      </c>
      <c r="H1579" s="4">
        <f>SUMIFS(PENJUALAN!$E$4:$E$11000,PENJUALAN!$C$4:$C$11000,'Current Stock'!A1579)</f>
        <v>2</v>
      </c>
      <c r="I1579" s="16">
        <f t="shared" si="2"/>
        <v>4</v>
      </c>
      <c r="J1579" s="15" t="s">
        <v>1964</v>
      </c>
      <c r="K1579" s="15"/>
      <c r="L1579" s="4"/>
      <c r="M1579" s="15" t="s">
        <v>1965</v>
      </c>
    </row>
    <row r="1580" ht="13.5" customHeight="1">
      <c r="A1580" s="4" t="str">
        <f t="shared" si="1"/>
        <v>LFW-ERTIGA12XYG</v>
      </c>
      <c r="B1580" s="29" t="s">
        <v>1023</v>
      </c>
      <c r="C1580" s="28" t="s">
        <v>1024</v>
      </c>
      <c r="D1580" s="28" t="s">
        <v>22</v>
      </c>
      <c r="E1580" s="4" t="s">
        <v>16</v>
      </c>
      <c r="F1580" s="28" t="s">
        <v>97</v>
      </c>
      <c r="G1580" s="4">
        <f>SUMIFS(X!$F$5:$F$2005,X!$D$5:$D$2005,'Current Stock'!A1580)</f>
        <v>7</v>
      </c>
      <c r="H1580" s="4">
        <f>SUMIFS(PENJUALAN!$E$4:$E$11000,PENJUALAN!$C$4:$C$11000,'Current Stock'!A1580)</f>
        <v>7</v>
      </c>
      <c r="I1580" s="16">
        <f t="shared" si="2"/>
        <v>0</v>
      </c>
      <c r="J1580" s="15" t="s">
        <v>1966</v>
      </c>
      <c r="K1580" s="15"/>
      <c r="L1580" s="4"/>
      <c r="M1580" s="4"/>
    </row>
    <row r="1581" ht="13.5" customHeight="1">
      <c r="A1581" s="4" t="str">
        <f t="shared" si="1"/>
        <v>LFW-T5XYG</v>
      </c>
      <c r="B1581" s="29" t="s">
        <v>1281</v>
      </c>
      <c r="C1581" s="28" t="s">
        <v>1282</v>
      </c>
      <c r="D1581" s="28" t="s">
        <v>22</v>
      </c>
      <c r="E1581" s="4" t="s">
        <v>16</v>
      </c>
      <c r="F1581" s="28" t="s">
        <v>125</v>
      </c>
      <c r="G1581" s="4">
        <f>SUMIFS(X!$F$5:$F$2005,X!$D$5:$D$2005,'Current Stock'!A1581)</f>
        <v>0</v>
      </c>
      <c r="H1581" s="4">
        <f>SUMIFS(PENJUALAN!$E$4:$E$11000,PENJUALAN!$C$4:$C$11000,'Current Stock'!A1581)</f>
        <v>0</v>
      </c>
      <c r="I1581" s="16">
        <f t="shared" si="2"/>
        <v>0</v>
      </c>
      <c r="J1581" s="4"/>
      <c r="K1581" s="4"/>
      <c r="L1581" s="4"/>
      <c r="M1581" s="4"/>
    </row>
    <row r="1582" ht="13.5" customHeight="1">
      <c r="A1582" s="4" t="str">
        <f t="shared" si="1"/>
        <v>TRW-T5XYG</v>
      </c>
      <c r="B1582" s="29" t="s">
        <v>1283</v>
      </c>
      <c r="C1582" s="28" t="s">
        <v>1282</v>
      </c>
      <c r="D1582" s="28" t="s">
        <v>41</v>
      </c>
      <c r="E1582" s="4" t="s">
        <v>16</v>
      </c>
      <c r="F1582" s="28" t="s">
        <v>221</v>
      </c>
      <c r="G1582" s="4">
        <f>SUMIFS(X!$F$5:$F$2005,X!$D$5:$D$2005,'Current Stock'!A1582)</f>
        <v>0</v>
      </c>
      <c r="H1582" s="4">
        <f>SUMIFS(PENJUALAN!$E$4:$E$11000,PENJUALAN!$C$4:$C$11000,'Current Stock'!A1582)</f>
        <v>0</v>
      </c>
      <c r="I1582" s="16">
        <f t="shared" si="2"/>
        <v>0</v>
      </c>
      <c r="J1582" s="4"/>
      <c r="K1582" s="4"/>
      <c r="L1582" s="4"/>
      <c r="M1582" s="4"/>
    </row>
    <row r="1583" ht="13.5" customHeight="1">
      <c r="A1583" s="4" t="str">
        <f t="shared" si="1"/>
        <v>LFW-GOLFMK6XYG</v>
      </c>
      <c r="B1583" s="29" t="s">
        <v>1286</v>
      </c>
      <c r="C1583" s="28" t="s">
        <v>1287</v>
      </c>
      <c r="D1583" s="28" t="s">
        <v>22</v>
      </c>
      <c r="E1583" s="4" t="s">
        <v>16</v>
      </c>
      <c r="F1583" s="28" t="s">
        <v>112</v>
      </c>
      <c r="G1583" s="4">
        <f>SUMIFS(X!$F$5:$F$2005,X!$D$5:$D$2005,'Current Stock'!A1583)</f>
        <v>0</v>
      </c>
      <c r="H1583" s="4">
        <f>SUMIFS(PENJUALAN!$E$4:$E$11000,PENJUALAN!$C$4:$C$11000,'Current Stock'!A1583)</f>
        <v>0</v>
      </c>
      <c r="I1583" s="16">
        <f t="shared" si="2"/>
        <v>0</v>
      </c>
      <c r="J1583" s="4"/>
      <c r="K1583" s="4"/>
      <c r="L1583" s="4"/>
      <c r="M1583" s="4"/>
    </row>
    <row r="1584" ht="13.5" customHeight="1">
      <c r="A1584" s="4" t="str">
        <f t="shared" si="1"/>
        <v>TRW-MK6XYG</v>
      </c>
      <c r="B1584" s="29" t="s">
        <v>1288</v>
      </c>
      <c r="C1584" s="28" t="s">
        <v>1287</v>
      </c>
      <c r="D1584" s="28" t="s">
        <v>41</v>
      </c>
      <c r="E1584" s="4" t="s">
        <v>16</v>
      </c>
      <c r="F1584" s="28" t="s">
        <v>659</v>
      </c>
      <c r="G1584" s="4">
        <f>SUMIFS(X!$F$5:$F$2005,X!$D$5:$D$2005,'Current Stock'!A1584)</f>
        <v>0</v>
      </c>
      <c r="H1584" s="4">
        <f>SUMIFS(PENJUALAN!$E$4:$E$11000,PENJUALAN!$C$4:$C$11000,'Current Stock'!A1584)</f>
        <v>0</v>
      </c>
      <c r="I1584" s="16">
        <f t="shared" si="2"/>
        <v>0</v>
      </c>
      <c r="J1584" s="4"/>
      <c r="K1584" s="4"/>
      <c r="L1584" s="4"/>
      <c r="M1584" s="4"/>
    </row>
    <row r="1585" ht="13.5" customHeight="1">
      <c r="A1585" s="4" t="str">
        <f t="shared" si="1"/>
        <v>LFW-POLO09RSXYG</v>
      </c>
      <c r="B1585" s="29" t="s">
        <v>1293</v>
      </c>
      <c r="C1585" s="28" t="s">
        <v>1294</v>
      </c>
      <c r="D1585" s="28" t="s">
        <v>22</v>
      </c>
      <c r="E1585" s="4" t="s">
        <v>16</v>
      </c>
      <c r="F1585" s="28" t="s">
        <v>112</v>
      </c>
      <c r="G1585" s="4">
        <f>SUMIFS(X!$F$5:$F$2005,X!$D$5:$D$2005,'Current Stock'!A1585)</f>
        <v>0</v>
      </c>
      <c r="H1585" s="4">
        <f>SUMIFS(PENJUALAN!$E$4:$E$11000,PENJUALAN!$C$4:$C$11000,'Current Stock'!A1585)</f>
        <v>0</v>
      </c>
      <c r="I1585" s="16">
        <f t="shared" si="2"/>
        <v>0</v>
      </c>
      <c r="J1585" s="4"/>
      <c r="K1585" s="4"/>
      <c r="L1585" s="4"/>
      <c r="M1585" s="4"/>
    </row>
    <row r="1586" ht="13.5" customHeight="1">
      <c r="A1586" s="4" t="str">
        <f t="shared" si="1"/>
        <v>LFW-POLO09XYG</v>
      </c>
      <c r="B1586" s="29" t="s">
        <v>1295</v>
      </c>
      <c r="C1586" s="28" t="s">
        <v>1296</v>
      </c>
      <c r="D1586" s="28" t="s">
        <v>22</v>
      </c>
      <c r="E1586" s="4" t="s">
        <v>16</v>
      </c>
      <c r="F1586" s="28" t="s">
        <v>737</v>
      </c>
      <c r="G1586" s="4">
        <f>SUMIFS(X!$F$5:$F$2005,X!$D$5:$D$2005,'Current Stock'!A1586)</f>
        <v>0</v>
      </c>
      <c r="H1586" s="4">
        <f>SUMIFS(PENJUALAN!$E$4:$E$11000,PENJUALAN!$C$4:$C$11000,'Current Stock'!A1586)</f>
        <v>0</v>
      </c>
      <c r="I1586" s="16">
        <f t="shared" si="2"/>
        <v>0</v>
      </c>
      <c r="J1586" s="4"/>
      <c r="K1586" s="4"/>
      <c r="L1586" s="4"/>
      <c r="M1586" s="4"/>
    </row>
    <row r="1587" ht="13.5" customHeight="1">
      <c r="A1587" s="4" t="str">
        <f t="shared" si="1"/>
        <v>LFW-SCIROCCOXYG</v>
      </c>
      <c r="B1587" s="29" t="s">
        <v>1298</v>
      </c>
      <c r="C1587" s="28" t="s">
        <v>1299</v>
      </c>
      <c r="D1587" s="28" t="s">
        <v>22</v>
      </c>
      <c r="E1587" s="4" t="s">
        <v>16</v>
      </c>
      <c r="F1587" s="28" t="s">
        <v>189</v>
      </c>
      <c r="G1587" s="4">
        <f>SUMIFS(X!$F$5:$F$2005,X!$D$5:$D$2005,'Current Stock'!A1587)</f>
        <v>0</v>
      </c>
      <c r="H1587" s="4">
        <f>SUMIFS(PENJUALAN!$E$4:$E$11000,PENJUALAN!$C$4:$C$11000,'Current Stock'!A1587)</f>
        <v>0</v>
      </c>
      <c r="I1587" s="16">
        <f t="shared" si="2"/>
        <v>0</v>
      </c>
      <c r="J1587" s="4"/>
      <c r="K1587" s="4"/>
      <c r="L1587" s="4"/>
      <c r="M1587" s="4"/>
    </row>
    <row r="1588" ht="13.5" customHeight="1">
      <c r="A1588" s="4" t="str">
        <f t="shared" si="1"/>
        <v>TRW-SCIROCCOXYG</v>
      </c>
      <c r="B1588" s="29" t="s">
        <v>1967</v>
      </c>
      <c r="C1588" s="28" t="s">
        <v>1299</v>
      </c>
      <c r="D1588" s="30" t="s">
        <v>41</v>
      </c>
      <c r="E1588" s="4" t="s">
        <v>16</v>
      </c>
      <c r="F1588" s="30" t="s">
        <v>221</v>
      </c>
      <c r="G1588" s="4">
        <f>SUMIFS(X!$F$5:$F$2005,X!$D$5:$D$2005,'Current Stock'!A1588)</f>
        <v>0</v>
      </c>
      <c r="H1588" s="4">
        <f>SUMIFS(PENJUALAN!$E$4:$E$11000,PENJUALAN!$C$4:$C$11000,'Current Stock'!A1588)</f>
        <v>0</v>
      </c>
      <c r="I1588" s="16">
        <f t="shared" si="2"/>
        <v>0</v>
      </c>
      <c r="J1588" s="4"/>
      <c r="K1588" s="4"/>
      <c r="L1588" s="4"/>
      <c r="M1588" s="4"/>
    </row>
    <row r="1589" ht="13.5" customHeight="1">
      <c r="A1589" s="4" t="str">
        <f t="shared" si="1"/>
        <v>LFW-TIGUANXYG</v>
      </c>
      <c r="B1589" s="29" t="s">
        <v>1300</v>
      </c>
      <c r="C1589" s="28" t="s">
        <v>1301</v>
      </c>
      <c r="D1589" s="28" t="s">
        <v>22</v>
      </c>
      <c r="E1589" s="4" t="s">
        <v>16</v>
      </c>
      <c r="F1589" s="28" t="s">
        <v>112</v>
      </c>
      <c r="G1589" s="4">
        <f>SUMIFS(X!$F$5:$F$2005,X!$D$5:$D$2005,'Current Stock'!A1589)</f>
        <v>0</v>
      </c>
      <c r="H1589" s="4">
        <f>SUMIFS(PENJUALAN!$E$4:$E$11000,PENJUALAN!$C$4:$C$11000,'Current Stock'!A1589)</f>
        <v>0</v>
      </c>
      <c r="I1589" s="16">
        <f t="shared" si="2"/>
        <v>0</v>
      </c>
      <c r="J1589" s="4"/>
      <c r="K1589" s="4"/>
      <c r="L1589" s="4"/>
      <c r="M1589" s="4"/>
    </row>
    <row r="1590" ht="13.5" customHeight="1">
      <c r="A1590" s="4" t="str">
        <f t="shared" si="1"/>
        <v>TRW-TIGUAN07XYG</v>
      </c>
      <c r="B1590" s="41" t="s">
        <v>1968</v>
      </c>
      <c r="C1590" s="28" t="s">
        <v>1301</v>
      </c>
      <c r="D1590" s="28" t="s">
        <v>41</v>
      </c>
      <c r="E1590" s="4" t="s">
        <v>16</v>
      </c>
      <c r="F1590" s="28" t="s">
        <v>221</v>
      </c>
      <c r="G1590" s="4">
        <f>SUMIFS(X!$F$5:$F$2005,X!$D$5:$D$2005,'Current Stock'!A1590)</f>
        <v>0</v>
      </c>
      <c r="H1590" s="4">
        <f>SUMIFS(PENJUALAN!$E$4:$E$11000,PENJUALAN!$C$4:$C$11000,'Current Stock'!A1590)</f>
        <v>0</v>
      </c>
      <c r="I1590" s="16">
        <f t="shared" si="2"/>
        <v>0</v>
      </c>
      <c r="J1590" s="4"/>
      <c r="K1590" s="4"/>
      <c r="L1590" s="4"/>
      <c r="M1590" s="4"/>
    </row>
    <row r="1591" ht="13.5" customHeight="1">
      <c r="A1591" s="4" t="str">
        <f t="shared" si="1"/>
        <v>LFW-TIGUAN17RSXYG</v>
      </c>
      <c r="B1591" s="41" t="s">
        <v>1969</v>
      </c>
      <c r="C1591" s="30" t="s">
        <v>1970</v>
      </c>
      <c r="D1591" s="30" t="s">
        <v>22</v>
      </c>
      <c r="E1591" s="4" t="s">
        <v>16</v>
      </c>
      <c r="F1591" s="30" t="s">
        <v>112</v>
      </c>
      <c r="G1591" s="4">
        <f>SUMIFS(X!$F$5:$F$2005,X!$D$5:$D$2005,'Current Stock'!A1591)</f>
        <v>0</v>
      </c>
      <c r="H1591" s="4">
        <f>SUMIFS(PENJUALAN!$E$4:$E$11000,PENJUALAN!$C$4:$C$11000,'Current Stock'!A1591)</f>
        <v>0</v>
      </c>
      <c r="I1591" s="16">
        <f t="shared" si="2"/>
        <v>0</v>
      </c>
      <c r="J1591" s="4"/>
      <c r="K1591" s="4"/>
      <c r="L1591" s="4"/>
      <c r="M1591" s="4"/>
    </row>
    <row r="1592" ht="13.5" customHeight="1">
      <c r="A1592" s="4" t="str">
        <f t="shared" si="1"/>
        <v>TRW-TIGUAN17XYG</v>
      </c>
      <c r="B1592" s="41" t="s">
        <v>1971</v>
      </c>
      <c r="C1592" s="28" t="s">
        <v>1970</v>
      </c>
      <c r="D1592" s="28" t="s">
        <v>41</v>
      </c>
      <c r="E1592" s="4" t="s">
        <v>16</v>
      </c>
      <c r="F1592" s="28" t="s">
        <v>221</v>
      </c>
      <c r="G1592" s="4">
        <f>SUMIFS(X!$F$5:$F$2005,X!$D$5:$D$2005,'Current Stock'!A1592)</f>
        <v>0</v>
      </c>
      <c r="H1592" s="4">
        <f>SUMIFS(PENJUALAN!$E$4:$E$11000,PENJUALAN!$C$4:$C$11000,'Current Stock'!A1592)</f>
        <v>0</v>
      </c>
      <c r="I1592" s="16">
        <f t="shared" si="2"/>
        <v>0</v>
      </c>
      <c r="J1592" s="4"/>
      <c r="K1592" s="4"/>
      <c r="L1592" s="4"/>
      <c r="M1592" s="4"/>
    </row>
    <row r="1593" ht="13.5" customHeight="1">
      <c r="A1593" s="4" t="str">
        <f t="shared" si="1"/>
        <v>LFW-COROLLA87MU</v>
      </c>
      <c r="B1593" s="41" t="s">
        <v>1871</v>
      </c>
      <c r="C1593" s="65" t="s">
        <v>1120</v>
      </c>
      <c r="D1593" s="30" t="s">
        <v>22</v>
      </c>
      <c r="E1593" s="4" t="s">
        <v>1361</v>
      </c>
      <c r="F1593" s="28" t="s">
        <v>1961</v>
      </c>
      <c r="G1593" s="4">
        <f>SUMIFS(X!$F$5:$F$2005,X!$D$5:$D$2005,'Current Stock'!A1593)</f>
        <v>5</v>
      </c>
      <c r="H1593" s="4">
        <f>SUMIFS(PENJUALAN!$E$4:$E$11000,PENJUALAN!$C$4:$C$11000,'Current Stock'!A1593)</f>
        <v>5</v>
      </c>
      <c r="I1593" s="16">
        <f t="shared" si="2"/>
        <v>0</v>
      </c>
      <c r="J1593" s="15" t="s">
        <v>1416</v>
      </c>
      <c r="K1593" s="15"/>
      <c r="L1593" s="5">
        <v>1.0</v>
      </c>
      <c r="M1593" s="4"/>
    </row>
    <row r="1594" ht="13.5" customHeight="1">
      <c r="A1594" s="4" t="str">
        <f t="shared" si="1"/>
        <v>LFW-COROLLA95MU</v>
      </c>
      <c r="B1594" s="29" t="s">
        <v>1972</v>
      </c>
      <c r="C1594" s="28" t="s">
        <v>1973</v>
      </c>
      <c r="D1594" s="28" t="s">
        <v>22</v>
      </c>
      <c r="E1594" s="4" t="s">
        <v>1361</v>
      </c>
      <c r="F1594" s="28" t="s">
        <v>1961</v>
      </c>
      <c r="G1594" s="4">
        <f>SUMIFS(X!$F$5:$F$2005,X!$D$5:$D$2005,'Current Stock'!A1594)</f>
        <v>2</v>
      </c>
      <c r="H1594" s="4">
        <f>SUMIFS(PENJUALAN!$E$4:$E$11000,PENJUALAN!$C$4:$C$11000,'Current Stock'!A1594)</f>
        <v>1</v>
      </c>
      <c r="I1594" s="16">
        <f t="shared" si="2"/>
        <v>1</v>
      </c>
      <c r="J1594" s="15" t="s">
        <v>1974</v>
      </c>
      <c r="K1594" s="15"/>
      <c r="L1594" s="5">
        <v>1.0</v>
      </c>
      <c r="M1594" s="4"/>
    </row>
    <row r="1595" ht="13.5" customHeight="1">
      <c r="A1595" s="4" t="str">
        <f t="shared" si="1"/>
        <v>TRW-ALMAZHXYG</v>
      </c>
      <c r="B1595" s="31" t="s">
        <v>1975</v>
      </c>
      <c r="C1595" s="28" t="s">
        <v>1976</v>
      </c>
      <c r="D1595" s="30" t="s">
        <v>41</v>
      </c>
      <c r="E1595" s="4" t="s">
        <v>16</v>
      </c>
      <c r="F1595" s="28" t="s">
        <v>67</v>
      </c>
      <c r="G1595" s="4">
        <f>SUMIFS(X!$F$5:$F$2005,X!$D$5:$D$2005,'Current Stock'!A1595)</f>
        <v>0</v>
      </c>
      <c r="H1595" s="4">
        <f>SUMIFS(PENJUALAN!$E$4:$E$11000,PENJUALAN!$C$4:$C$11000,'Current Stock'!A1595)</f>
        <v>0</v>
      </c>
      <c r="I1595" s="16">
        <f t="shared" si="2"/>
        <v>0</v>
      </c>
      <c r="J1595" s="4"/>
      <c r="K1595" s="4"/>
      <c r="L1595" s="4"/>
      <c r="M1595" s="4"/>
    </row>
    <row r="1596" ht="13.5" customHeight="1">
      <c r="A1596" s="4" t="str">
        <f t="shared" si="1"/>
        <v>LFW-BRV16MU</v>
      </c>
      <c r="B1596" s="29" t="s">
        <v>1977</v>
      </c>
      <c r="C1596" s="28" t="s">
        <v>1978</v>
      </c>
      <c r="D1596" s="28" t="s">
        <v>22</v>
      </c>
      <c r="E1596" s="4" t="s">
        <v>1361</v>
      </c>
      <c r="F1596" s="28"/>
      <c r="G1596" s="4">
        <f>SUMIFS(X!$F$5:$F$2005,X!$D$5:$D$2005,'Current Stock'!A1596)</f>
        <v>15</v>
      </c>
      <c r="H1596" s="4">
        <f>SUMIFS(PENJUALAN!$E$4:$E$11000,PENJUALAN!$C$4:$C$11000,'Current Stock'!A1596)</f>
        <v>13</v>
      </c>
      <c r="I1596" s="16">
        <f t="shared" si="2"/>
        <v>2</v>
      </c>
      <c r="J1596" s="15" t="s">
        <v>1979</v>
      </c>
      <c r="K1596" s="15"/>
      <c r="L1596" s="5">
        <v>1.0</v>
      </c>
      <c r="M1596" s="15" t="s">
        <v>1980</v>
      </c>
    </row>
    <row r="1597" ht="13.5" customHeight="1">
      <c r="A1597" s="4" t="str">
        <f t="shared" si="1"/>
        <v>LFW-FIESTAMU</v>
      </c>
      <c r="B1597" s="29" t="s">
        <v>298</v>
      </c>
      <c r="C1597" s="28" t="s">
        <v>299</v>
      </c>
      <c r="D1597" s="28" t="s">
        <v>22</v>
      </c>
      <c r="E1597" s="4" t="s">
        <v>1361</v>
      </c>
      <c r="F1597" s="28" t="s">
        <v>125</v>
      </c>
      <c r="G1597" s="4">
        <f>SUMIFS(X!$F$5:$F$2005,X!$D$5:$D$2005,'Current Stock'!A1597)</f>
        <v>12</v>
      </c>
      <c r="H1597" s="4">
        <f>SUMIFS(PENJUALAN!$E$4:$E$11000,PENJUALAN!$C$4:$C$11000,'Current Stock'!A1597)</f>
        <v>12</v>
      </c>
      <c r="I1597" s="16">
        <f t="shared" si="2"/>
        <v>0</v>
      </c>
      <c r="J1597" s="15" t="s">
        <v>1387</v>
      </c>
      <c r="L1597" s="5">
        <v>1.0</v>
      </c>
      <c r="M1597" s="4"/>
    </row>
    <row r="1598" ht="13.5" customHeight="1">
      <c r="A1598" s="4" t="str">
        <f t="shared" si="1"/>
        <v>LFW-RANGER11MU</v>
      </c>
      <c r="B1598" s="29" t="s">
        <v>1392</v>
      </c>
      <c r="C1598" s="28" t="s">
        <v>318</v>
      </c>
      <c r="D1598" s="28" t="s">
        <v>22</v>
      </c>
      <c r="E1598" s="4" t="s">
        <v>1361</v>
      </c>
      <c r="F1598" s="28" t="s">
        <v>125</v>
      </c>
      <c r="G1598" s="4">
        <f>SUMIFS(X!$F$5:$F$2005,X!$D$5:$D$2005,'Current Stock'!A1598)</f>
        <v>6</v>
      </c>
      <c r="H1598" s="4">
        <f>SUMIFS(PENJUALAN!$E$4:$E$11000,PENJUALAN!$C$4:$C$11000,'Current Stock'!A1598)</f>
        <v>5</v>
      </c>
      <c r="I1598" s="16">
        <f t="shared" si="2"/>
        <v>1</v>
      </c>
      <c r="J1598" s="15" t="s">
        <v>1027</v>
      </c>
      <c r="K1598" s="15"/>
      <c r="L1598" s="4"/>
      <c r="M1598" s="4"/>
    </row>
    <row r="1599" ht="13.5" customHeight="1">
      <c r="A1599" s="4" t="str">
        <f t="shared" si="1"/>
        <v>TRW-CONFEROHOLEXYG</v>
      </c>
      <c r="B1599" s="29" t="s">
        <v>1981</v>
      </c>
      <c r="C1599" s="30" t="s">
        <v>1982</v>
      </c>
      <c r="D1599" s="30" t="s">
        <v>41</v>
      </c>
      <c r="E1599" s="4" t="s">
        <v>16</v>
      </c>
      <c r="F1599" s="30" t="s">
        <v>533</v>
      </c>
      <c r="G1599" s="4">
        <f>SUMIFS(X!$F$5:$F$2005,X!$D$5:$D$2005,'Current Stock'!A1599)</f>
        <v>3</v>
      </c>
      <c r="H1599" s="4">
        <f>SUMIFS(PENJUALAN!$E$4:$E$11000,PENJUALAN!$C$4:$C$11000,'Current Stock'!A1599)</f>
        <v>2</v>
      </c>
      <c r="I1599" s="16">
        <f t="shared" si="2"/>
        <v>1</v>
      </c>
      <c r="J1599" s="15" t="s">
        <v>1366</v>
      </c>
      <c r="K1599" s="4"/>
      <c r="L1599" s="4"/>
      <c r="M1599" s="4"/>
    </row>
    <row r="1600" ht="13.5" customHeight="1">
      <c r="A1600" s="4" t="str">
        <f t="shared" si="1"/>
        <v>TRW-CONFEROXYG</v>
      </c>
      <c r="B1600" s="29" t="s">
        <v>1983</v>
      </c>
      <c r="C1600" s="43" t="s">
        <v>1984</v>
      </c>
      <c r="D1600" s="30" t="s">
        <v>41</v>
      </c>
      <c r="E1600" s="4" t="s">
        <v>16</v>
      </c>
      <c r="F1600" s="30" t="s">
        <v>97</v>
      </c>
      <c r="G1600" s="4">
        <f>SUMIFS(X!$F$5:$F$2005,X!$D$5:$D$2005,'Current Stock'!A1600)</f>
        <v>2</v>
      </c>
      <c r="H1600" s="4">
        <f>SUMIFS(PENJUALAN!$E$4:$E$11000,PENJUALAN!$C$4:$C$11000,'Current Stock'!A1600)</f>
        <v>1</v>
      </c>
      <c r="I1600" s="16">
        <f t="shared" si="2"/>
        <v>1</v>
      </c>
      <c r="J1600" s="15" t="s">
        <v>1366</v>
      </c>
      <c r="K1600" s="4"/>
      <c r="L1600" s="4"/>
      <c r="M1600" s="4"/>
    </row>
    <row r="1601" ht="13.5" customHeight="1">
      <c r="A1601" s="4" t="str">
        <f t="shared" si="1"/>
        <v>FDR-SIGRA16MU</v>
      </c>
      <c r="B1601" s="29" t="s">
        <v>1985</v>
      </c>
      <c r="C1601" s="28" t="s">
        <v>1517</v>
      </c>
      <c r="D1601" s="28" t="s">
        <v>45</v>
      </c>
      <c r="E1601" s="4" t="s">
        <v>1361</v>
      </c>
      <c r="F1601" s="33" t="s">
        <v>397</v>
      </c>
      <c r="G1601" s="4">
        <f>SUMIFS(X!$F$5:$F$2005,X!$D$5:$D$2005,'Current Stock'!A1601)</f>
        <v>5</v>
      </c>
      <c r="H1601" s="4">
        <f>SUMIFS(PENJUALAN!$E$4:$E$11000,PENJUALAN!$C$4:$C$11000,'Current Stock'!A1601)</f>
        <v>5</v>
      </c>
      <c r="I1601" s="16">
        <f t="shared" si="2"/>
        <v>0</v>
      </c>
      <c r="J1601" s="15" t="s">
        <v>48</v>
      </c>
      <c r="K1601" s="15"/>
      <c r="L1601" s="5">
        <v>1.0</v>
      </c>
      <c r="M1601" s="15" t="s">
        <v>1986</v>
      </c>
    </row>
    <row r="1602" ht="13.5" customHeight="1">
      <c r="A1602" s="4" t="str">
        <f t="shared" si="1"/>
        <v>TRW-CORTEZXYG</v>
      </c>
      <c r="B1602" s="29" t="s">
        <v>1987</v>
      </c>
      <c r="C1602" s="28" t="s">
        <v>1988</v>
      </c>
      <c r="D1602" s="28" t="s">
        <v>41</v>
      </c>
      <c r="E1602" s="4" t="s">
        <v>16</v>
      </c>
      <c r="F1602" s="28" t="s">
        <v>221</v>
      </c>
      <c r="G1602" s="4">
        <f>SUMIFS(X!$F$5:$F$2005,X!$D$5:$D$2005,'Current Stock'!A1602)</f>
        <v>3</v>
      </c>
      <c r="H1602" s="4">
        <f>SUMIFS(PENJUALAN!$E$4:$E$11000,PENJUALAN!$C$4:$C$11000,'Current Stock'!A1602)</f>
        <v>0</v>
      </c>
      <c r="I1602" s="16">
        <f t="shared" si="2"/>
        <v>3</v>
      </c>
      <c r="J1602" s="15" t="s">
        <v>1711</v>
      </c>
      <c r="K1602" s="15"/>
      <c r="L1602" s="4"/>
      <c r="M1602" s="4"/>
    </row>
    <row r="1603" ht="13.5" customHeight="1">
      <c r="A1603" s="4" t="str">
        <f t="shared" si="1"/>
        <v>LFW-LOUHANXYG</v>
      </c>
      <c r="B1603" s="29" t="s">
        <v>1304</v>
      </c>
      <c r="C1603" s="30" t="s">
        <v>1305</v>
      </c>
      <c r="D1603" s="30" t="s">
        <v>22</v>
      </c>
      <c r="E1603" s="4" t="s">
        <v>16</v>
      </c>
      <c r="F1603" s="28"/>
      <c r="G1603" s="4">
        <f>SUMIFS(X!$F$5:$F$2005,X!$D$5:$D$2005,'Current Stock'!A1603)</f>
        <v>4</v>
      </c>
      <c r="H1603" s="4">
        <f>SUMIFS(PENJUALAN!$E$4:$E$11000,PENJUALAN!$C$4:$C$11000,'Current Stock'!A1603)</f>
        <v>3</v>
      </c>
      <c r="I1603" s="16">
        <f t="shared" si="2"/>
        <v>1</v>
      </c>
      <c r="J1603" s="15" t="s">
        <v>1485</v>
      </c>
      <c r="K1603" s="4"/>
      <c r="L1603" s="4"/>
      <c r="M1603" s="4"/>
    </row>
    <row r="1604" ht="13.5" customHeight="1">
      <c r="A1604" s="4" t="str">
        <f t="shared" si="1"/>
        <v>FDL-LOUHANXYGXYG</v>
      </c>
      <c r="B1604" s="29" t="s">
        <v>1989</v>
      </c>
      <c r="C1604" s="30" t="s">
        <v>1305</v>
      </c>
      <c r="D1604" s="28" t="s">
        <v>128</v>
      </c>
      <c r="E1604" s="4" t="s">
        <v>16</v>
      </c>
      <c r="F1604" s="28"/>
      <c r="G1604" s="4">
        <f>SUMIFS(X!$F$5:$F$2005,X!$D$5:$D$2005,'Current Stock'!A1604)</f>
        <v>0</v>
      </c>
      <c r="H1604" s="4">
        <f>SUMIFS(PENJUALAN!$E$4:$E$11000,PENJUALAN!$C$4:$C$11000,'Current Stock'!A1604)</f>
        <v>0</v>
      </c>
      <c r="I1604" s="16">
        <f t="shared" si="2"/>
        <v>0</v>
      </c>
      <c r="J1604" s="4"/>
      <c r="K1604" s="4"/>
      <c r="L1604" s="4"/>
      <c r="M1604" s="4"/>
    </row>
    <row r="1605" ht="13.5" customHeight="1">
      <c r="A1605" s="4" t="str">
        <f t="shared" si="1"/>
        <v>FDR-LOUHANXYGXYG</v>
      </c>
      <c r="B1605" s="29" t="s">
        <v>1990</v>
      </c>
      <c r="C1605" s="30" t="s">
        <v>1305</v>
      </c>
      <c r="D1605" s="28" t="s">
        <v>130</v>
      </c>
      <c r="E1605" s="4" t="s">
        <v>16</v>
      </c>
      <c r="F1605" s="28"/>
      <c r="G1605" s="4">
        <f>SUMIFS(X!$F$5:$F$2005,X!$D$5:$D$2005,'Current Stock'!A1605)</f>
        <v>0</v>
      </c>
      <c r="H1605" s="4">
        <f>SUMIFS(PENJUALAN!$E$4:$E$11000,PENJUALAN!$C$4:$C$11000,'Current Stock'!A1605)</f>
        <v>0</v>
      </c>
      <c r="I1605" s="16">
        <f t="shared" si="2"/>
        <v>0</v>
      </c>
      <c r="J1605" s="4"/>
      <c r="K1605" s="4"/>
      <c r="L1605" s="4"/>
      <c r="M1605" s="4"/>
    </row>
    <row r="1606" ht="13.5" customHeight="1">
      <c r="A1606" s="4" t="str">
        <f t="shared" si="1"/>
        <v>LFW-MIGHTYXYG</v>
      </c>
      <c r="B1606" s="29" t="s">
        <v>1991</v>
      </c>
      <c r="C1606" s="28" t="s">
        <v>1992</v>
      </c>
      <c r="D1606" s="28" t="s">
        <v>22</v>
      </c>
      <c r="E1606" s="4" t="s">
        <v>16</v>
      </c>
      <c r="F1606" s="28" t="s">
        <v>1993</v>
      </c>
      <c r="G1606" s="4">
        <f>SUMIFS(X!$F$5:$F$2005,X!$D$5:$D$2005,'Current Stock'!A1606)</f>
        <v>0</v>
      </c>
      <c r="H1606" s="4">
        <f>SUMIFS(PENJUALAN!$E$4:$E$11000,PENJUALAN!$C$4:$C$11000,'Current Stock'!A1606)</f>
        <v>0</v>
      </c>
      <c r="I1606" s="16">
        <f t="shared" si="2"/>
        <v>0</v>
      </c>
      <c r="J1606" s="4"/>
      <c r="K1606" s="4"/>
      <c r="L1606" s="4"/>
      <c r="M1606" s="4"/>
    </row>
    <row r="1607" ht="13.5" customHeight="1">
      <c r="A1607" s="4" t="str">
        <f t="shared" si="1"/>
        <v>LFW-ELFNKRXYG</v>
      </c>
      <c r="B1607" s="29" t="s">
        <v>1306</v>
      </c>
      <c r="C1607" s="30" t="s">
        <v>1307</v>
      </c>
      <c r="D1607" s="28" t="s">
        <v>22</v>
      </c>
      <c r="E1607" s="4" t="s">
        <v>16</v>
      </c>
      <c r="F1607" s="28"/>
      <c r="G1607" s="4">
        <f>SUMIFS(X!$F$5:$F$2005,X!$D$5:$D$2005,'Current Stock'!A1607)</f>
        <v>6</v>
      </c>
      <c r="H1607" s="4">
        <f>SUMIFS(PENJUALAN!$E$4:$E$11000,PENJUALAN!$C$4:$C$11000,'Current Stock'!A1607)</f>
        <v>3</v>
      </c>
      <c r="I1607" s="16">
        <f t="shared" si="2"/>
        <v>3</v>
      </c>
      <c r="J1607" s="15" t="s">
        <v>1843</v>
      </c>
      <c r="K1607" s="15"/>
      <c r="L1607" s="4"/>
      <c r="M1607" s="4"/>
    </row>
    <row r="1608" ht="13.5" customHeight="1">
      <c r="A1608" s="4" t="str">
        <f t="shared" si="1"/>
        <v>LFW-CARRY19XYG</v>
      </c>
      <c r="B1608" s="29" t="s">
        <v>1994</v>
      </c>
      <c r="C1608" s="28" t="s">
        <v>1995</v>
      </c>
      <c r="D1608" s="28" t="s">
        <v>22</v>
      </c>
      <c r="E1608" s="4" t="s">
        <v>16</v>
      </c>
      <c r="F1608" s="28"/>
      <c r="G1608" s="4">
        <f>SUMIFS(X!$F$5:$F$2005,X!$D$5:$D$2005,'Current Stock'!A1608)</f>
        <v>14</v>
      </c>
      <c r="H1608" s="4">
        <f>SUMIFS(PENJUALAN!$E$4:$E$11000,PENJUALAN!$C$4:$C$11000,'Current Stock'!A1608)</f>
        <v>12</v>
      </c>
      <c r="I1608" s="16">
        <f t="shared" si="2"/>
        <v>2</v>
      </c>
      <c r="J1608" s="15" t="s">
        <v>1996</v>
      </c>
      <c r="K1608" s="4"/>
      <c r="L1608" s="4"/>
      <c r="M1608" s="4"/>
    </row>
    <row r="1609" ht="13.5" customHeight="1">
      <c r="A1609" s="4" t="str">
        <f t="shared" si="1"/>
        <v>LFW-AVANZA11MU</v>
      </c>
      <c r="B1609" s="29" t="s">
        <v>1098</v>
      </c>
      <c r="C1609" s="28" t="s">
        <v>81</v>
      </c>
      <c r="D1609" s="28" t="s">
        <v>22</v>
      </c>
      <c r="E1609" s="4" t="s">
        <v>1361</v>
      </c>
      <c r="F1609" s="28" t="s">
        <v>97</v>
      </c>
      <c r="G1609" s="4">
        <f>SUMIFS(X!$F$5:$F$2005,X!$D$5:$D$2005,'Current Stock'!A1609)</f>
        <v>46</v>
      </c>
      <c r="H1609" s="4">
        <f>SUMIFS(PENJUALAN!$E$4:$E$11000,PENJUALAN!$C$4:$C$11000,'Current Stock'!A1609)</f>
        <v>41</v>
      </c>
      <c r="I1609" s="16">
        <f t="shared" si="2"/>
        <v>5</v>
      </c>
      <c r="J1609" s="15" t="s">
        <v>1848</v>
      </c>
      <c r="K1609" s="15"/>
      <c r="L1609" s="5">
        <v>3.0</v>
      </c>
      <c r="M1609" s="15" t="s">
        <v>1997</v>
      </c>
    </row>
    <row r="1610" ht="13.5" customHeight="1">
      <c r="A1610" s="4" t="str">
        <f t="shared" si="1"/>
        <v>LFW-GIGASHORTXYG</v>
      </c>
      <c r="B1610" s="29" t="s">
        <v>1998</v>
      </c>
      <c r="C1610" s="28" t="s">
        <v>1999</v>
      </c>
      <c r="D1610" s="28" t="s">
        <v>22</v>
      </c>
      <c r="E1610" s="4" t="s">
        <v>16</v>
      </c>
      <c r="F1610" s="28"/>
      <c r="G1610" s="4">
        <f>SUMIFS(X!$F$5:$F$2005,X!$D$5:$D$2005,'Current Stock'!A1610)</f>
        <v>1</v>
      </c>
      <c r="H1610" s="4">
        <f>SUMIFS(PENJUALAN!$E$4:$E$11000,PENJUALAN!$C$4:$C$11000,'Current Stock'!A1610)</f>
        <v>0</v>
      </c>
      <c r="I1610" s="16">
        <f t="shared" si="2"/>
        <v>1</v>
      </c>
      <c r="J1610" s="15" t="s">
        <v>1485</v>
      </c>
      <c r="K1610" s="15"/>
      <c r="L1610" s="4"/>
      <c r="M1610" s="4"/>
    </row>
    <row r="1611" ht="13.5" customHeight="1">
      <c r="A1611" s="4" t="str">
        <f t="shared" si="1"/>
        <v>LFW-AXORXYG</v>
      </c>
      <c r="B1611" s="41" t="s">
        <v>2000</v>
      </c>
      <c r="C1611" s="30" t="s">
        <v>2001</v>
      </c>
      <c r="D1611" s="30" t="s">
        <v>22</v>
      </c>
      <c r="E1611" s="4" t="s">
        <v>16</v>
      </c>
      <c r="F1611" s="28" t="s">
        <v>97</v>
      </c>
      <c r="G1611" s="4">
        <f>SUMIFS(X!$F$5:$F$2005,X!$D$5:$D$2005,'Current Stock'!A1611)</f>
        <v>2</v>
      </c>
      <c r="H1611" s="4">
        <f>SUMIFS(PENJUALAN!$E$4:$E$11000,PENJUALAN!$C$4:$C$11000,'Current Stock'!A1611)</f>
        <v>2</v>
      </c>
      <c r="I1611" s="16">
        <f t="shared" si="2"/>
        <v>0</v>
      </c>
      <c r="J1611" s="4"/>
      <c r="K1611" s="4"/>
      <c r="L1611" s="4"/>
      <c r="M1611" s="4"/>
    </row>
    <row r="1612" ht="13.5" customHeight="1">
      <c r="A1612" s="4" t="str">
        <f t="shared" si="1"/>
        <v>LFW-FE300XYG</v>
      </c>
      <c r="B1612" s="29" t="s">
        <v>2002</v>
      </c>
      <c r="C1612" s="30" t="s">
        <v>2003</v>
      </c>
      <c r="D1612" s="28" t="s">
        <v>22</v>
      </c>
      <c r="E1612" s="4" t="s">
        <v>16</v>
      </c>
      <c r="F1612" s="28"/>
      <c r="G1612" s="4">
        <f>SUMIFS(X!$F$5:$F$2005,X!$D$5:$D$2005,'Current Stock'!A1612)</f>
        <v>0</v>
      </c>
      <c r="H1612" s="4">
        <f>SUMIFS(PENJUALAN!$E$4:$E$11000,PENJUALAN!$C$4:$C$11000,'Current Stock'!A1612)</f>
        <v>0</v>
      </c>
      <c r="I1612" s="16">
        <f t="shared" si="2"/>
        <v>0</v>
      </c>
      <c r="J1612" s="4"/>
      <c r="K1612" s="4"/>
      <c r="L1612" s="4"/>
      <c r="M1612" s="4"/>
    </row>
    <row r="1613" ht="13.5" customHeight="1">
      <c r="A1613" s="4" t="str">
        <f t="shared" si="1"/>
        <v>LFW-BALENO15XYG</v>
      </c>
      <c r="B1613" s="41" t="s">
        <v>2004</v>
      </c>
      <c r="C1613" s="28" t="s">
        <v>1783</v>
      </c>
      <c r="D1613" s="30" t="s">
        <v>22</v>
      </c>
      <c r="E1613" s="4" t="s">
        <v>16</v>
      </c>
      <c r="F1613" s="28" t="s">
        <v>125</v>
      </c>
      <c r="G1613" s="4">
        <f>SUMIFS(X!$F$5:$F$2005,X!$D$5:$D$2005,'Current Stock'!A1613)</f>
        <v>4</v>
      </c>
      <c r="H1613" s="4">
        <f>SUMIFS(PENJUALAN!$E$4:$E$11000,PENJUALAN!$C$4:$C$11000,'Current Stock'!A1613)</f>
        <v>3</v>
      </c>
      <c r="I1613" s="16">
        <f t="shared" si="2"/>
        <v>1</v>
      </c>
      <c r="J1613" s="15" t="s">
        <v>1792</v>
      </c>
      <c r="K1613" s="15"/>
      <c r="L1613" s="4"/>
      <c r="M1613" s="15" t="s">
        <v>1518</v>
      </c>
    </row>
    <row r="1614" ht="13.5" customHeight="1">
      <c r="A1614" s="4" t="str">
        <f t="shared" si="1"/>
        <v>LFW-FK40XYG</v>
      </c>
      <c r="B1614" s="29" t="s">
        <v>1314</v>
      </c>
      <c r="C1614" s="30" t="s">
        <v>1315</v>
      </c>
      <c r="D1614" s="28" t="s">
        <v>22</v>
      </c>
      <c r="E1614" s="4" t="s">
        <v>16</v>
      </c>
      <c r="F1614" s="28"/>
      <c r="G1614" s="4">
        <f>SUMIFS(X!$F$5:$F$2005,X!$D$5:$D$2005,'Current Stock'!A1614)</f>
        <v>5</v>
      </c>
      <c r="H1614" s="4">
        <f>SUMIFS(PENJUALAN!$E$4:$E$11000,PENJUALAN!$C$4:$C$11000,'Current Stock'!A1614)</f>
        <v>3</v>
      </c>
      <c r="I1614" s="16">
        <f t="shared" si="2"/>
        <v>2</v>
      </c>
      <c r="J1614" s="15" t="s">
        <v>1485</v>
      </c>
      <c r="K1614" s="15"/>
      <c r="L1614" s="4"/>
      <c r="M1614" s="4"/>
    </row>
    <row r="1615" ht="13.5" customHeight="1">
      <c r="A1615" s="4" t="str">
        <f t="shared" si="1"/>
        <v>TRW-HIUFY</v>
      </c>
      <c r="B1615" s="29" t="s">
        <v>1677</v>
      </c>
      <c r="C1615" s="28" t="s">
        <v>828</v>
      </c>
      <c r="D1615" s="28" t="s">
        <v>41</v>
      </c>
      <c r="E1615" s="4" t="s">
        <v>111</v>
      </c>
      <c r="F1615" s="28" t="s">
        <v>67</v>
      </c>
      <c r="G1615" s="4">
        <f>SUMIFS(X!$F$5:$F$2005,X!$D$5:$D$2005,'Current Stock'!A1615)</f>
        <v>1</v>
      </c>
      <c r="H1615" s="4">
        <f>SUMIFS(PENJUALAN!$E$4:$E$11000,PENJUALAN!$C$4:$C$11000,'Current Stock'!A1615)</f>
        <v>1</v>
      </c>
      <c r="I1615" s="16">
        <f t="shared" si="2"/>
        <v>0</v>
      </c>
      <c r="J1615" s="4"/>
      <c r="K1615" s="4"/>
      <c r="L1615" s="4"/>
      <c r="M1615" s="4"/>
    </row>
    <row r="1616" ht="13.5" customHeight="1">
      <c r="A1616" s="4" t="str">
        <f t="shared" si="1"/>
        <v>LFW-FV100XYG</v>
      </c>
      <c r="B1616" s="29" t="s">
        <v>1316</v>
      </c>
      <c r="C1616" s="28" t="s">
        <v>1317</v>
      </c>
      <c r="D1616" s="28" t="s">
        <v>22</v>
      </c>
      <c r="E1616" s="4" t="s">
        <v>16</v>
      </c>
      <c r="F1616" s="28"/>
      <c r="G1616" s="4">
        <f>SUMIFS(X!$F$5:$F$2005,X!$D$5:$D$2005,'Current Stock'!A1616)</f>
        <v>0</v>
      </c>
      <c r="H1616" s="4">
        <f>SUMIFS(PENJUALAN!$E$4:$E$11000,PENJUALAN!$C$4:$C$11000,'Current Stock'!A1616)</f>
        <v>0</v>
      </c>
      <c r="I1616" s="16">
        <f t="shared" si="2"/>
        <v>0</v>
      </c>
      <c r="J1616" s="4"/>
      <c r="K1616" s="4"/>
      <c r="L1616" s="4"/>
      <c r="M1616" s="4"/>
    </row>
    <row r="1617" ht="13.5" customHeight="1">
      <c r="A1617" s="4" t="str">
        <f t="shared" si="1"/>
        <v>LFW-L300XYG</v>
      </c>
      <c r="B1617" s="29" t="s">
        <v>1318</v>
      </c>
      <c r="C1617" s="30" t="s">
        <v>1319</v>
      </c>
      <c r="D1617" s="28" t="s">
        <v>22</v>
      </c>
      <c r="E1617" s="4" t="s">
        <v>16</v>
      </c>
      <c r="F1617" s="28"/>
      <c r="G1617" s="4">
        <f>SUMIFS(X!$F$5:$F$2005,X!$D$5:$D$2005,'Current Stock'!A1617)</f>
        <v>2</v>
      </c>
      <c r="H1617" s="4">
        <f>SUMIFS(PENJUALAN!$E$4:$E$11000,PENJUALAN!$C$4:$C$11000,'Current Stock'!A1617)</f>
        <v>1</v>
      </c>
      <c r="I1617" s="16">
        <f t="shared" si="2"/>
        <v>1</v>
      </c>
      <c r="J1617" s="15" t="s">
        <v>1908</v>
      </c>
      <c r="K1617" s="4"/>
      <c r="L1617" s="4"/>
      <c r="M1617" s="4"/>
    </row>
    <row r="1618" ht="13.5" customHeight="1">
      <c r="A1618" s="4" t="str">
        <f t="shared" si="1"/>
        <v>LFW-QUESTERXYG</v>
      </c>
      <c r="B1618" s="29" t="s">
        <v>2005</v>
      </c>
      <c r="C1618" s="30" t="s">
        <v>2006</v>
      </c>
      <c r="D1618" s="28" t="s">
        <v>22</v>
      </c>
      <c r="E1618" s="4" t="s">
        <v>16</v>
      </c>
      <c r="F1618" s="28"/>
      <c r="G1618" s="4">
        <f>SUMIFS(X!$F$5:$F$2005,X!$D$5:$D$2005,'Current Stock'!A1618)</f>
        <v>0</v>
      </c>
      <c r="H1618" s="4">
        <f>SUMIFS(PENJUALAN!$E$4:$E$11000,PENJUALAN!$C$4:$C$11000,'Current Stock'!A1618)</f>
        <v>0</v>
      </c>
      <c r="I1618" s="16">
        <f t="shared" si="2"/>
        <v>0</v>
      </c>
      <c r="J1618" s="4"/>
      <c r="K1618" s="4"/>
      <c r="L1618" s="4"/>
      <c r="M1618" s="4"/>
    </row>
    <row r="1619" ht="13.5" customHeight="1">
      <c r="A1619" s="4" t="str">
        <f t="shared" si="1"/>
        <v>LFW-DYNAXYG</v>
      </c>
      <c r="B1619" s="29" t="s">
        <v>2007</v>
      </c>
      <c r="C1619" s="30" t="s">
        <v>1381</v>
      </c>
      <c r="D1619" s="28" t="s">
        <v>22</v>
      </c>
      <c r="E1619" s="4" t="s">
        <v>16</v>
      </c>
      <c r="F1619" s="28"/>
      <c r="G1619" s="4">
        <f>SUMIFS(X!$F$5:$F$2005,X!$D$5:$D$2005,'Current Stock'!A1619)</f>
        <v>12</v>
      </c>
      <c r="H1619" s="4">
        <f>SUMIFS(PENJUALAN!$E$4:$E$11000,PENJUALAN!$C$4:$C$11000,'Current Stock'!A1619)</f>
        <v>4</v>
      </c>
      <c r="I1619" s="16">
        <f t="shared" si="2"/>
        <v>8</v>
      </c>
      <c r="J1619" s="6" t="s">
        <v>1683</v>
      </c>
      <c r="K1619" s="4"/>
      <c r="L1619" s="4"/>
      <c r="M1619" s="4"/>
    </row>
    <row r="1620" ht="13.5" customHeight="1">
      <c r="A1620" s="4" t="str">
        <f t="shared" si="1"/>
        <v>LFW-AUDIA4B5MU</v>
      </c>
      <c r="B1620" s="65" t="s">
        <v>2008</v>
      </c>
      <c r="C1620" s="65" t="s">
        <v>2009</v>
      </c>
      <c r="D1620" s="65" t="s">
        <v>22</v>
      </c>
      <c r="E1620" s="68" t="s">
        <v>1361</v>
      </c>
      <c r="F1620" s="65" t="s">
        <v>2010</v>
      </c>
      <c r="G1620" s="4">
        <f>SUMIFS(X!$F$5:$F$2005,X!$D$5:$D$2005,'Current Stock'!A1620)</f>
        <v>0</v>
      </c>
      <c r="H1620" s="4">
        <f>SUMIFS(PENJUALAN!$E$4:$E$11000,PENJUALAN!$C$4:$C$11000,'Current Stock'!A1620)</f>
        <v>0</v>
      </c>
      <c r="I1620" s="16">
        <f t="shared" si="2"/>
        <v>0</v>
      </c>
      <c r="J1620" s="68"/>
      <c r="K1620" s="68"/>
      <c r="L1620" s="69">
        <v>1.0</v>
      </c>
      <c r="M1620" s="68"/>
    </row>
    <row r="1621" ht="13.5" customHeight="1">
      <c r="A1621" s="4" t="str">
        <f t="shared" si="1"/>
        <v>LFW-E34MU</v>
      </c>
      <c r="B1621" s="65" t="s">
        <v>2011</v>
      </c>
      <c r="C1621" s="65" t="s">
        <v>2012</v>
      </c>
      <c r="D1621" s="65" t="s">
        <v>22</v>
      </c>
      <c r="E1621" s="68" t="s">
        <v>1361</v>
      </c>
      <c r="F1621" s="65" t="s">
        <v>1876</v>
      </c>
      <c r="G1621" s="4">
        <f>SUMIFS(X!$F$5:$F$2005,X!$D$5:$D$2005,'Current Stock'!A1621)</f>
        <v>0</v>
      </c>
      <c r="H1621" s="4">
        <f>SUMIFS(PENJUALAN!$E$4:$E$11000,PENJUALAN!$C$4:$C$11000,'Current Stock'!A1621)</f>
        <v>0</v>
      </c>
      <c r="I1621" s="16">
        <f t="shared" si="2"/>
        <v>0</v>
      </c>
      <c r="J1621" s="68"/>
      <c r="K1621" s="68"/>
      <c r="L1621" s="69">
        <v>1.0</v>
      </c>
      <c r="M1621" s="68"/>
    </row>
    <row r="1622" ht="13.5" customHeight="1">
      <c r="A1622" s="4" t="str">
        <f t="shared" si="1"/>
        <v>RDR-PICANTO04FY</v>
      </c>
      <c r="B1622" s="29" t="s">
        <v>2013</v>
      </c>
      <c r="C1622" s="28" t="s">
        <v>590</v>
      </c>
      <c r="D1622" s="28" t="s">
        <v>134</v>
      </c>
      <c r="E1622" s="4" t="s">
        <v>111</v>
      </c>
      <c r="F1622" s="28"/>
      <c r="G1622" s="4">
        <f>SUMIFS(X!$F$5:$F$2005,X!$D$5:$D$2005,'Current Stock'!A1622)</f>
        <v>2</v>
      </c>
      <c r="H1622" s="4">
        <f>SUMIFS(PENJUALAN!$E$4:$E$11000,PENJUALAN!$C$4:$C$11000,'Current Stock'!A1622)</f>
        <v>1</v>
      </c>
      <c r="I1622" s="16">
        <f t="shared" si="2"/>
        <v>1</v>
      </c>
      <c r="J1622" s="15" t="s">
        <v>594</v>
      </c>
      <c r="K1622" s="4"/>
      <c r="L1622" s="4"/>
      <c r="M1622" s="4"/>
    </row>
    <row r="1623" ht="13.5" customHeight="1">
      <c r="A1623" s="4" t="str">
        <f t="shared" si="1"/>
        <v>LFW-CX5GEN1RS3XYG</v>
      </c>
      <c r="B1623" s="29" t="s">
        <v>2014</v>
      </c>
      <c r="C1623" s="28" t="s">
        <v>2015</v>
      </c>
      <c r="D1623" s="28" t="s">
        <v>22</v>
      </c>
      <c r="E1623" s="4" t="s">
        <v>16</v>
      </c>
      <c r="F1623" s="28" t="s">
        <v>23</v>
      </c>
      <c r="G1623" s="4">
        <f>SUMIFS(X!$F$5:$F$2005,X!$D$5:$D$2005,'Current Stock'!A1623)</f>
        <v>2</v>
      </c>
      <c r="H1623" s="4">
        <f>SUMIFS(PENJUALAN!$E$4:$E$11000,PENJUALAN!$C$4:$C$11000,'Current Stock'!A1623)</f>
        <v>2</v>
      </c>
      <c r="I1623" s="16">
        <f t="shared" si="2"/>
        <v>0</v>
      </c>
      <c r="J1623" s="4"/>
      <c r="K1623" s="4"/>
      <c r="L1623" s="4"/>
      <c r="M1623" s="4"/>
    </row>
    <row r="1624" ht="13.5" customHeight="1">
      <c r="A1624" s="4" t="str">
        <f t="shared" si="1"/>
        <v>LFW-E8187MU</v>
      </c>
      <c r="B1624" s="65" t="s">
        <v>2016</v>
      </c>
      <c r="C1624" s="65" t="s">
        <v>2017</v>
      </c>
      <c r="D1624" s="65" t="s">
        <v>22</v>
      </c>
      <c r="E1624" s="68" t="s">
        <v>1361</v>
      </c>
      <c r="F1624" s="65" t="s">
        <v>2018</v>
      </c>
      <c r="G1624" s="4">
        <f>SUMIFS(X!$F$5:$F$2005,X!$D$5:$D$2005,'Current Stock'!A1624)</f>
        <v>0</v>
      </c>
      <c r="H1624" s="4">
        <f>SUMIFS(PENJUALAN!$E$4:$E$11000,PENJUALAN!$C$4:$C$11000,'Current Stock'!A1624)</f>
        <v>0</v>
      </c>
      <c r="I1624" s="16">
        <f t="shared" si="2"/>
        <v>0</v>
      </c>
      <c r="J1624" s="68"/>
      <c r="K1624" s="68"/>
      <c r="L1624" s="69">
        <v>1.0</v>
      </c>
      <c r="M1624" s="68"/>
    </row>
    <row r="1625" ht="13.5" customHeight="1">
      <c r="A1625" s="4" t="str">
        <f t="shared" si="1"/>
        <v>LFW-CX5GEN1RSFY</v>
      </c>
      <c r="B1625" s="29" t="s">
        <v>740</v>
      </c>
      <c r="C1625" s="28" t="s">
        <v>2015</v>
      </c>
      <c r="D1625" s="28" t="s">
        <v>22</v>
      </c>
      <c r="E1625" s="4" t="s">
        <v>111</v>
      </c>
      <c r="F1625" s="28" t="s">
        <v>2019</v>
      </c>
      <c r="G1625" s="4">
        <f>SUMIFS(X!$F$5:$F$2005,X!$D$5:$D$2005,'Current Stock'!A1625)</f>
        <v>0</v>
      </c>
      <c r="H1625" s="4">
        <f>SUMIFS(PENJUALAN!$E$4:$E$11000,PENJUALAN!$C$4:$C$11000,'Current Stock'!A1625)</f>
        <v>0</v>
      </c>
      <c r="I1625" s="16">
        <f t="shared" si="2"/>
        <v>0</v>
      </c>
      <c r="J1625" s="4"/>
      <c r="K1625" s="4"/>
      <c r="L1625" s="4"/>
      <c r="M1625" s="4"/>
    </row>
    <row r="1626" ht="13.5" customHeight="1">
      <c r="A1626" s="4" t="str">
        <f t="shared" si="1"/>
        <v>LFW-CAPTIVAXYG</v>
      </c>
      <c r="B1626" s="29" t="s">
        <v>225</v>
      </c>
      <c r="C1626" s="28" t="s">
        <v>223</v>
      </c>
      <c r="D1626" s="28" t="s">
        <v>22</v>
      </c>
      <c r="E1626" s="4" t="s">
        <v>16</v>
      </c>
      <c r="F1626" s="28" t="s">
        <v>125</v>
      </c>
      <c r="G1626" s="4">
        <f>SUMIFS(X!$F$5:$F$2005,X!$D$5:$D$2005,'Current Stock'!A1626)</f>
        <v>8</v>
      </c>
      <c r="H1626" s="4">
        <f>SUMIFS(PENJUALAN!$E$4:$E$11000,PENJUALAN!$C$4:$C$11000,'Current Stock'!A1626)</f>
        <v>7</v>
      </c>
      <c r="I1626" s="16">
        <f t="shared" si="2"/>
        <v>1</v>
      </c>
      <c r="J1626" s="15" t="s">
        <v>2020</v>
      </c>
      <c r="K1626" s="15"/>
      <c r="L1626" s="5">
        <v>1.0</v>
      </c>
      <c r="M1626" s="4"/>
    </row>
    <row r="1627" ht="13.5" customHeight="1">
      <c r="A1627" s="4" t="str">
        <f t="shared" si="1"/>
        <v>LFW-ALPHARD02PIL</v>
      </c>
      <c r="B1627" s="29" t="s">
        <v>1028</v>
      </c>
      <c r="C1627" s="28" t="s">
        <v>1029</v>
      </c>
      <c r="D1627" s="28" t="s">
        <v>22</v>
      </c>
      <c r="E1627" s="4" t="s">
        <v>74</v>
      </c>
      <c r="F1627" s="28" t="s">
        <v>125</v>
      </c>
      <c r="G1627" s="4">
        <f>SUMIFS(X!$F$5:$F$2005,X!$D$5:$D$2005,'Current Stock'!A1627)</f>
        <v>2</v>
      </c>
      <c r="H1627" s="4">
        <f>SUMIFS(PENJUALAN!$E$4:$E$11000,PENJUALAN!$C$4:$C$11000,'Current Stock'!A1627)</f>
        <v>2</v>
      </c>
      <c r="I1627" s="16">
        <f t="shared" si="2"/>
        <v>0</v>
      </c>
      <c r="J1627" s="15" t="s">
        <v>1496</v>
      </c>
      <c r="K1627" s="15"/>
      <c r="L1627" s="4"/>
      <c r="M1627" s="4"/>
    </row>
    <row r="1628" ht="13.5" customHeight="1">
      <c r="A1628" s="4" t="str">
        <f t="shared" si="1"/>
        <v>LFW-TROOPERMU</v>
      </c>
      <c r="B1628" s="29" t="s">
        <v>2021</v>
      </c>
      <c r="C1628" s="28" t="s">
        <v>2022</v>
      </c>
      <c r="D1628" s="28" t="s">
        <v>22</v>
      </c>
      <c r="E1628" s="4" t="s">
        <v>1361</v>
      </c>
      <c r="F1628" s="28"/>
      <c r="G1628" s="4">
        <f>SUMIFS(X!$F$5:$F$2005,X!$D$5:$D$2005,'Current Stock'!A1628)</f>
        <v>0</v>
      </c>
      <c r="H1628" s="4">
        <f>SUMIFS(PENJUALAN!$E$4:$E$11000,PENJUALAN!$C$4:$C$11000,'Current Stock'!A1628)</f>
        <v>0</v>
      </c>
      <c r="I1628" s="16">
        <f t="shared" si="2"/>
        <v>0</v>
      </c>
      <c r="J1628" s="4"/>
      <c r="K1628" s="4"/>
      <c r="L1628" s="4"/>
      <c r="M1628" s="4"/>
    </row>
    <row r="1629" ht="13.5" customHeight="1">
      <c r="A1629" s="4" t="str">
        <f t="shared" si="1"/>
        <v>TRW-JAZZ07XYG</v>
      </c>
      <c r="B1629" s="29" t="s">
        <v>471</v>
      </c>
      <c r="C1629" s="28" t="s">
        <v>470</v>
      </c>
      <c r="D1629" s="28" t="s">
        <v>41</v>
      </c>
      <c r="E1629" s="4" t="s">
        <v>16</v>
      </c>
      <c r="F1629" s="28" t="s">
        <v>67</v>
      </c>
      <c r="G1629" s="4">
        <f>SUMIFS(X!$F$5:$F$2005,X!$D$5:$D$2005,'Current Stock'!A1629)</f>
        <v>13</v>
      </c>
      <c r="H1629" s="4">
        <f>SUMIFS(PENJUALAN!$E$4:$E$11000,PENJUALAN!$C$4:$C$11000,'Current Stock'!A1629)</f>
        <v>11</v>
      </c>
      <c r="I1629" s="16">
        <f t="shared" si="2"/>
        <v>2</v>
      </c>
      <c r="J1629" s="70" t="s">
        <v>1422</v>
      </c>
      <c r="K1629" s="15"/>
      <c r="L1629" s="5">
        <v>1.0</v>
      </c>
      <c r="M1629" s="4"/>
    </row>
    <row r="1630" ht="13.5" customHeight="1">
      <c r="A1630" s="4" t="str">
        <f t="shared" si="1"/>
        <v>TRW-GRANMAXVANMU</v>
      </c>
      <c r="B1630" s="29" t="s">
        <v>2023</v>
      </c>
      <c r="C1630" s="28" t="s">
        <v>2024</v>
      </c>
      <c r="D1630" s="28" t="s">
        <v>41</v>
      </c>
      <c r="E1630" s="4" t="s">
        <v>1361</v>
      </c>
      <c r="F1630" s="28" t="s">
        <v>97</v>
      </c>
      <c r="G1630" s="4">
        <f>SUMIFS(X!$F$5:$F$2005,X!$D$5:$D$2005,'Current Stock'!A1630)</f>
        <v>18</v>
      </c>
      <c r="H1630" s="4">
        <f>SUMIFS(PENJUALAN!$E$4:$E$11000,PENJUALAN!$C$4:$C$11000,'Current Stock'!A1630)</f>
        <v>13</v>
      </c>
      <c r="I1630" s="16">
        <f t="shared" si="2"/>
        <v>5</v>
      </c>
      <c r="J1630" s="15" t="s">
        <v>1445</v>
      </c>
      <c r="K1630" s="15"/>
      <c r="L1630" s="5">
        <v>2.0</v>
      </c>
      <c r="M1630" s="15" t="s">
        <v>1850</v>
      </c>
    </row>
    <row r="1631" ht="13.5" customHeight="1">
      <c r="A1631" s="4" t="str">
        <f t="shared" si="1"/>
        <v>LFW-JAZZ07XYG</v>
      </c>
      <c r="B1631" s="29" t="s">
        <v>76</v>
      </c>
      <c r="C1631" s="28" t="s">
        <v>470</v>
      </c>
      <c r="D1631" s="28" t="s">
        <v>22</v>
      </c>
      <c r="E1631" s="4" t="s">
        <v>16</v>
      </c>
      <c r="F1631" s="28" t="s">
        <v>125</v>
      </c>
      <c r="G1631" s="4">
        <f>SUMIFS(X!$F$5:$F$2005,X!$D$5:$D$2005,'Current Stock'!A1631)</f>
        <v>7</v>
      </c>
      <c r="H1631" s="4">
        <f>SUMIFS(PENJUALAN!$E$4:$E$11000,PENJUALAN!$C$4:$C$11000,'Current Stock'!A1631)</f>
        <v>6</v>
      </c>
      <c r="I1631" s="16">
        <f t="shared" si="2"/>
        <v>1</v>
      </c>
      <c r="J1631" s="15" t="s">
        <v>1964</v>
      </c>
      <c r="K1631" s="4"/>
      <c r="L1631" s="4"/>
      <c r="M1631" s="15" t="s">
        <v>2025</v>
      </c>
    </row>
    <row r="1632" ht="13.5" customHeight="1">
      <c r="A1632" s="4" t="str">
        <f t="shared" si="1"/>
        <v>TRW-MAZDA209XYG</v>
      </c>
      <c r="B1632" s="29" t="s">
        <v>687</v>
      </c>
      <c r="C1632" s="28" t="s">
        <v>688</v>
      </c>
      <c r="D1632" s="28" t="s">
        <v>41</v>
      </c>
      <c r="E1632" s="4" t="s">
        <v>16</v>
      </c>
      <c r="F1632" s="28" t="s">
        <v>67</v>
      </c>
      <c r="G1632" s="4">
        <f>SUMIFS(X!$F$5:$F$2005,X!$D$5:$D$2005,'Current Stock'!A1632)</f>
        <v>3</v>
      </c>
      <c r="H1632" s="4">
        <f>SUMIFS(PENJUALAN!$E$4:$E$11000,PENJUALAN!$C$4:$C$11000,'Current Stock'!A1632)</f>
        <v>3</v>
      </c>
      <c r="I1632" s="16">
        <f t="shared" si="2"/>
        <v>0</v>
      </c>
      <c r="J1632" s="71" t="s">
        <v>1382</v>
      </c>
      <c r="K1632" s="70"/>
      <c r="L1632" s="4"/>
      <c r="M1632" s="4"/>
    </row>
    <row r="1633" ht="13.5" customHeight="1">
      <c r="A1633" s="4" t="str">
        <f t="shared" si="1"/>
        <v>TRW-PICANTO04XYG</v>
      </c>
      <c r="B1633" s="29" t="s">
        <v>589</v>
      </c>
      <c r="C1633" s="28" t="s">
        <v>590</v>
      </c>
      <c r="D1633" s="28" t="s">
        <v>41</v>
      </c>
      <c r="E1633" s="4" t="s">
        <v>16</v>
      </c>
      <c r="F1633" s="28" t="s">
        <v>221</v>
      </c>
      <c r="G1633" s="4">
        <f>SUMIFS(X!$F$5:$F$2005,X!$D$5:$D$2005,'Current Stock'!A1633)</f>
        <v>2</v>
      </c>
      <c r="H1633" s="4">
        <f>SUMIFS(PENJUALAN!$E$4:$E$11000,PENJUALAN!$C$4:$C$11000,'Current Stock'!A1633)</f>
        <v>1</v>
      </c>
      <c r="I1633" s="16">
        <f t="shared" si="2"/>
        <v>1</v>
      </c>
      <c r="J1633" s="15" t="s">
        <v>1567</v>
      </c>
      <c r="K1633" s="15"/>
      <c r="L1633" s="5">
        <v>1.0</v>
      </c>
      <c r="M1633" s="4"/>
    </row>
    <row r="1634" ht="13.5" customHeight="1">
      <c r="A1634" s="4" t="str">
        <f t="shared" si="1"/>
        <v>LFW-RIO11XYG</v>
      </c>
      <c r="B1634" s="29" t="s">
        <v>617</v>
      </c>
      <c r="C1634" s="28" t="s">
        <v>618</v>
      </c>
      <c r="D1634" s="28" t="s">
        <v>22</v>
      </c>
      <c r="E1634" s="4" t="s">
        <v>16</v>
      </c>
      <c r="F1634" s="28" t="s">
        <v>125</v>
      </c>
      <c r="G1634" s="4">
        <f>SUMIFS(X!$F$5:$F$2005,X!$D$5:$D$2005,'Current Stock'!A1634)</f>
        <v>1</v>
      </c>
      <c r="H1634" s="4">
        <f>SUMIFS(PENJUALAN!$E$4:$E$11000,PENJUALAN!$C$4:$C$11000,'Current Stock'!A1634)</f>
        <v>1</v>
      </c>
      <c r="I1634" s="16">
        <f t="shared" si="2"/>
        <v>0</v>
      </c>
      <c r="J1634" s="4"/>
      <c r="K1634" s="4"/>
      <c r="L1634" s="4"/>
      <c r="M1634" s="4"/>
    </row>
    <row r="1635" ht="13.5" customHeight="1">
      <c r="A1635" s="4" t="str">
        <f t="shared" si="1"/>
        <v>LFW-SONETXYG</v>
      </c>
      <c r="B1635" s="29" t="s">
        <v>2026</v>
      </c>
      <c r="C1635" s="28" t="s">
        <v>1574</v>
      </c>
      <c r="D1635" s="28" t="s">
        <v>22</v>
      </c>
      <c r="E1635" s="4" t="s">
        <v>16</v>
      </c>
      <c r="F1635" s="28" t="s">
        <v>125</v>
      </c>
      <c r="G1635" s="4">
        <f>SUMIFS(X!$F$5:$F$2005,X!$D$5:$D$2005,'Current Stock'!A1635)</f>
        <v>2</v>
      </c>
      <c r="H1635" s="4">
        <f>SUMIFS(PENJUALAN!$E$4:$E$11000,PENJUALAN!$C$4:$C$11000,'Current Stock'!A1635)</f>
        <v>1</v>
      </c>
      <c r="I1635" s="16">
        <f t="shared" si="2"/>
        <v>1</v>
      </c>
      <c r="J1635" s="15" t="s">
        <v>1949</v>
      </c>
      <c r="K1635" s="15"/>
      <c r="L1635" s="4"/>
      <c r="M1635" s="4"/>
    </row>
    <row r="1636" ht="13.5" customHeight="1">
      <c r="A1636" s="4" t="str">
        <f t="shared" si="1"/>
        <v>LFW-FOCUS04MU</v>
      </c>
      <c r="B1636" s="29" t="s">
        <v>309</v>
      </c>
      <c r="C1636" s="28" t="s">
        <v>310</v>
      </c>
      <c r="D1636" s="28" t="s">
        <v>22</v>
      </c>
      <c r="E1636" s="4" t="s">
        <v>1361</v>
      </c>
      <c r="F1636" s="28"/>
      <c r="G1636" s="4">
        <f>SUMIFS(X!$F$5:$F$2005,X!$D$5:$D$2005,'Current Stock'!A1636)</f>
        <v>0</v>
      </c>
      <c r="H1636" s="4">
        <f>SUMIFS(PENJUALAN!$E$4:$E$11000,PENJUALAN!$C$4:$C$11000,'Current Stock'!A1636)</f>
        <v>0</v>
      </c>
      <c r="I1636" s="16">
        <f t="shared" si="2"/>
        <v>0</v>
      </c>
      <c r="J1636" s="4"/>
      <c r="K1636" s="4"/>
      <c r="L1636" s="5">
        <v>1.0</v>
      </c>
      <c r="M1636" s="4"/>
    </row>
    <row r="1637" ht="13.5" customHeight="1">
      <c r="A1637" s="4" t="str">
        <f t="shared" si="1"/>
        <v>LFW-SORENTOXYG</v>
      </c>
      <c r="B1637" s="29" t="s">
        <v>628</v>
      </c>
      <c r="C1637" s="28" t="s">
        <v>629</v>
      </c>
      <c r="D1637" s="28" t="s">
        <v>22</v>
      </c>
      <c r="E1637" s="4" t="s">
        <v>16</v>
      </c>
      <c r="F1637" s="28" t="s">
        <v>125</v>
      </c>
      <c r="G1637" s="4">
        <f>SUMIFS(X!$F$5:$F$2005,X!$D$5:$D$2005,'Current Stock'!A1637)</f>
        <v>1</v>
      </c>
      <c r="H1637" s="4">
        <f>SUMIFS(PENJUALAN!$E$4:$E$11000,PENJUALAN!$C$4:$C$11000,'Current Stock'!A1637)</f>
        <v>1</v>
      </c>
      <c r="I1637" s="16">
        <f t="shared" si="2"/>
        <v>0</v>
      </c>
      <c r="J1637" s="4"/>
      <c r="K1637" s="4"/>
      <c r="L1637" s="4"/>
      <c r="M1637" s="4"/>
    </row>
    <row r="1638" ht="13.5" customHeight="1">
      <c r="A1638" s="4" t="str">
        <f t="shared" si="1"/>
        <v>LFW-ACCORD93MU</v>
      </c>
      <c r="B1638" s="29" t="s">
        <v>333</v>
      </c>
      <c r="C1638" s="28" t="s">
        <v>334</v>
      </c>
      <c r="D1638" s="28" t="s">
        <v>22</v>
      </c>
      <c r="E1638" s="4" t="s">
        <v>1361</v>
      </c>
      <c r="F1638" s="28"/>
      <c r="G1638" s="4">
        <f>SUMIFS(X!$F$5:$F$2005,X!$D$5:$D$2005,'Current Stock'!A1638)</f>
        <v>0</v>
      </c>
      <c r="H1638" s="4">
        <f>SUMIFS(PENJUALAN!$E$4:$E$11000,PENJUALAN!$C$4:$C$11000,'Current Stock'!A1638)</f>
        <v>0</v>
      </c>
      <c r="I1638" s="16">
        <f t="shared" si="2"/>
        <v>0</v>
      </c>
      <c r="J1638" s="4"/>
      <c r="K1638" s="4"/>
      <c r="L1638" s="5">
        <v>1.0</v>
      </c>
      <c r="M1638" s="4"/>
    </row>
    <row r="1639" ht="13.5" customHeight="1">
      <c r="A1639" s="4" t="str">
        <f t="shared" si="1"/>
        <v>LFW-SPORTAGE10XYG</v>
      </c>
      <c r="B1639" s="29" t="s">
        <v>631</v>
      </c>
      <c r="C1639" s="28" t="s">
        <v>632</v>
      </c>
      <c r="D1639" s="28" t="s">
        <v>22</v>
      </c>
      <c r="E1639" s="4" t="s">
        <v>16</v>
      </c>
      <c r="F1639" s="28" t="s">
        <v>125</v>
      </c>
      <c r="G1639" s="4">
        <f>SUMIFS(X!$F$5:$F$2005,X!$D$5:$D$2005,'Current Stock'!A1639)</f>
        <v>1</v>
      </c>
      <c r="H1639" s="4">
        <f>SUMIFS(PENJUALAN!$E$4:$E$11000,PENJUALAN!$C$4:$C$11000,'Current Stock'!A1639)</f>
        <v>1</v>
      </c>
      <c r="I1639" s="16">
        <f t="shared" si="2"/>
        <v>0</v>
      </c>
      <c r="J1639" s="4"/>
      <c r="K1639" s="4"/>
      <c r="L1639" s="4"/>
      <c r="M1639" s="4"/>
    </row>
    <row r="1640" ht="13.5" customHeight="1">
      <c r="A1640" s="4" t="str">
        <f t="shared" si="1"/>
        <v>LFW-BRIOMU</v>
      </c>
      <c r="B1640" s="29" t="s">
        <v>356</v>
      </c>
      <c r="C1640" s="28" t="s">
        <v>357</v>
      </c>
      <c r="D1640" s="28" t="s">
        <v>22</v>
      </c>
      <c r="E1640" s="4" t="s">
        <v>1361</v>
      </c>
      <c r="F1640" s="28" t="s">
        <v>97</v>
      </c>
      <c r="G1640" s="4">
        <f>SUMIFS(X!$F$5:$F$2005,X!$D$5:$D$2005,'Current Stock'!A1640)</f>
        <v>22</v>
      </c>
      <c r="H1640" s="4">
        <f>SUMIFS(PENJUALAN!$E$4:$E$11000,PENJUALAN!$C$4:$C$11000,'Current Stock'!A1640)</f>
        <v>20</v>
      </c>
      <c r="I1640" s="16">
        <f t="shared" si="2"/>
        <v>2</v>
      </c>
      <c r="J1640" s="15" t="s">
        <v>2027</v>
      </c>
      <c r="K1640" s="15"/>
      <c r="L1640" s="5">
        <v>2.0</v>
      </c>
      <c r="M1640" s="15"/>
    </row>
    <row r="1641" ht="13.5" customHeight="1">
      <c r="A1641" s="4" t="str">
        <f t="shared" si="1"/>
        <v>LFW-CITY96MU</v>
      </c>
      <c r="B1641" s="29" t="s">
        <v>358</v>
      </c>
      <c r="C1641" s="28" t="s">
        <v>359</v>
      </c>
      <c r="D1641" s="28" t="s">
        <v>22</v>
      </c>
      <c r="E1641" s="4" t="s">
        <v>1361</v>
      </c>
      <c r="F1641" s="28" t="s">
        <v>2010</v>
      </c>
      <c r="G1641" s="4">
        <f>SUMIFS(X!$F$5:$F$2005,X!$D$5:$D$2005,'Current Stock'!A1641)</f>
        <v>1</v>
      </c>
      <c r="H1641" s="4">
        <f>SUMIFS(PENJUALAN!$E$4:$E$11000,PENJUALAN!$C$4:$C$11000,'Current Stock'!A1641)</f>
        <v>0</v>
      </c>
      <c r="I1641" s="16">
        <f t="shared" si="2"/>
        <v>1</v>
      </c>
      <c r="J1641" s="15" t="s">
        <v>1432</v>
      </c>
      <c r="K1641" s="15"/>
      <c r="L1641" s="5">
        <v>1.0</v>
      </c>
      <c r="M1641" s="4"/>
    </row>
    <row r="1642" ht="13.5" customHeight="1">
      <c r="A1642" s="4" t="str">
        <f t="shared" si="1"/>
        <v>TRW-SPORTAGE10SXYG</v>
      </c>
      <c r="B1642" s="29" t="s">
        <v>637</v>
      </c>
      <c r="C1642" s="28" t="s">
        <v>638</v>
      </c>
      <c r="D1642" s="28" t="s">
        <v>41</v>
      </c>
      <c r="E1642" s="4" t="s">
        <v>16</v>
      </c>
      <c r="F1642" s="28" t="s">
        <v>221</v>
      </c>
      <c r="G1642" s="4">
        <f>SUMIFS(X!$F$5:$F$2005,X!$D$5:$D$2005,'Current Stock'!A1642)</f>
        <v>1</v>
      </c>
      <c r="H1642" s="4">
        <f>SUMIFS(PENJUALAN!$E$4:$E$11000,PENJUALAN!$C$4:$C$11000,'Current Stock'!A1642)</f>
        <v>1</v>
      </c>
      <c r="I1642" s="16">
        <f t="shared" si="2"/>
        <v>0</v>
      </c>
      <c r="J1642" s="4"/>
      <c r="K1642" s="4"/>
      <c r="L1642" s="4"/>
      <c r="M1642" s="4"/>
    </row>
    <row r="1643" ht="13.5" customHeight="1">
      <c r="A1643" s="4" t="str">
        <f t="shared" si="1"/>
        <v>LFW-CIVIC88MU</v>
      </c>
      <c r="B1643" s="29" t="s">
        <v>2028</v>
      </c>
      <c r="C1643" s="30" t="s">
        <v>2029</v>
      </c>
      <c r="D1643" s="30" t="s">
        <v>22</v>
      </c>
      <c r="E1643" s="4" t="s">
        <v>1361</v>
      </c>
      <c r="F1643" s="28" t="s">
        <v>1961</v>
      </c>
      <c r="G1643" s="4">
        <f>SUMIFS(X!$F$5:$F$2005,X!$D$5:$D$2005,'Current Stock'!A1643)</f>
        <v>0</v>
      </c>
      <c r="H1643" s="4">
        <f>SUMIFS(PENJUALAN!$E$4:$E$11000,PENJUALAN!$C$4:$C$11000,'Current Stock'!A1643)</f>
        <v>0</v>
      </c>
      <c r="I1643" s="16">
        <f t="shared" si="2"/>
        <v>0</v>
      </c>
      <c r="J1643" s="4"/>
      <c r="K1643" s="4"/>
      <c r="L1643" s="5">
        <v>1.0</v>
      </c>
      <c r="M1643" s="4"/>
    </row>
    <row r="1644" ht="13.5" customHeight="1">
      <c r="A1644" s="4" t="str">
        <f t="shared" si="1"/>
        <v>LFW-CIVIC882DMU</v>
      </c>
      <c r="B1644" s="29" t="s">
        <v>2030</v>
      </c>
      <c r="C1644" s="30" t="s">
        <v>2031</v>
      </c>
      <c r="D1644" s="30" t="s">
        <v>22</v>
      </c>
      <c r="E1644" s="4" t="s">
        <v>1361</v>
      </c>
      <c r="F1644" s="28" t="s">
        <v>1961</v>
      </c>
      <c r="G1644" s="4">
        <f>SUMIFS(X!$F$5:$F$2005,X!$D$5:$D$2005,'Current Stock'!A1644)</f>
        <v>0</v>
      </c>
      <c r="H1644" s="4">
        <f>SUMIFS(PENJUALAN!$E$4:$E$11000,PENJUALAN!$C$4:$C$11000,'Current Stock'!A1644)</f>
        <v>0</v>
      </c>
      <c r="I1644" s="16">
        <f t="shared" si="2"/>
        <v>0</v>
      </c>
      <c r="J1644" s="4"/>
      <c r="K1644" s="4"/>
      <c r="L1644" s="5">
        <v>1.0</v>
      </c>
      <c r="M1644" s="4"/>
    </row>
    <row r="1645" ht="13.5" customHeight="1">
      <c r="A1645" s="4" t="str">
        <f t="shared" si="1"/>
        <v>LFW-XU30XYG</v>
      </c>
      <c r="B1645" s="29" t="s">
        <v>656</v>
      </c>
      <c r="C1645" s="28" t="s">
        <v>655</v>
      </c>
      <c r="D1645" s="28" t="s">
        <v>22</v>
      </c>
      <c r="E1645" s="4" t="s">
        <v>16</v>
      </c>
      <c r="F1645" s="28" t="s">
        <v>125</v>
      </c>
      <c r="G1645" s="4">
        <f>SUMIFS(X!$F$5:$F$2005,X!$D$5:$D$2005,'Current Stock'!A1645)</f>
        <v>1</v>
      </c>
      <c r="H1645" s="4">
        <f>SUMIFS(PENJUALAN!$E$4:$E$11000,PENJUALAN!$C$4:$C$11000,'Current Stock'!A1645)</f>
        <v>1</v>
      </c>
      <c r="I1645" s="16">
        <f t="shared" si="2"/>
        <v>0</v>
      </c>
      <c r="J1645" s="4"/>
      <c r="K1645" s="4"/>
      <c r="L1645" s="4"/>
      <c r="M1645" s="4"/>
    </row>
    <row r="1646" ht="13.5" customHeight="1">
      <c r="A1646" s="4" t="str">
        <f t="shared" si="1"/>
        <v>LFW-CIVIC05MU</v>
      </c>
      <c r="B1646" s="29" t="s">
        <v>393</v>
      </c>
      <c r="C1646" s="65" t="s">
        <v>394</v>
      </c>
      <c r="D1646" s="30" t="s">
        <v>22</v>
      </c>
      <c r="E1646" s="4" t="s">
        <v>1361</v>
      </c>
      <c r="F1646" s="28" t="s">
        <v>2032</v>
      </c>
      <c r="G1646" s="4">
        <f>SUMIFS(X!$F$5:$F$2005,X!$D$5:$D$2005,'Current Stock'!A1646)</f>
        <v>0</v>
      </c>
      <c r="H1646" s="4">
        <f>SUMIFS(PENJUALAN!$E$4:$E$11000,PENJUALAN!$C$4:$C$11000,'Current Stock'!A1646)</f>
        <v>0</v>
      </c>
      <c r="I1646" s="16">
        <f t="shared" si="2"/>
        <v>0</v>
      </c>
      <c r="J1646" s="4"/>
      <c r="K1646" s="4"/>
      <c r="L1646" s="4"/>
      <c r="M1646" s="4"/>
    </row>
    <row r="1647" ht="13.5" customHeight="1">
      <c r="A1647" s="4" t="str">
        <f t="shared" si="1"/>
        <v>LFW-MAZDA209XYG</v>
      </c>
      <c r="B1647" s="29" t="s">
        <v>685</v>
      </c>
      <c r="C1647" s="28" t="s">
        <v>686</v>
      </c>
      <c r="D1647" s="28" t="s">
        <v>22</v>
      </c>
      <c r="E1647" s="4" t="s">
        <v>16</v>
      </c>
      <c r="F1647" s="28" t="s">
        <v>125</v>
      </c>
      <c r="G1647" s="4">
        <f>SUMIFS(X!$F$5:$F$2005,X!$D$5:$D$2005,'Current Stock'!A1647)</f>
        <v>2</v>
      </c>
      <c r="H1647" s="4">
        <f>SUMIFS(PENJUALAN!$E$4:$E$11000,PENJUALAN!$C$4:$C$11000,'Current Stock'!A1647)</f>
        <v>1</v>
      </c>
      <c r="I1647" s="16">
        <f t="shared" si="2"/>
        <v>1</v>
      </c>
      <c r="J1647" s="15" t="s">
        <v>744</v>
      </c>
      <c r="K1647" s="4"/>
      <c r="L1647" s="4"/>
      <c r="M1647" s="4"/>
    </row>
    <row r="1648" ht="13.5" customHeight="1">
      <c r="A1648" s="4" t="str">
        <f t="shared" si="1"/>
        <v>LFW-CRV12MU</v>
      </c>
      <c r="B1648" s="29" t="s">
        <v>434</v>
      </c>
      <c r="C1648" s="28" t="s">
        <v>69</v>
      </c>
      <c r="D1648" s="28" t="s">
        <v>22</v>
      </c>
      <c r="E1648" s="4" t="s">
        <v>1361</v>
      </c>
      <c r="F1648" s="28" t="s">
        <v>1721</v>
      </c>
      <c r="G1648" s="4">
        <f>SUMIFS(X!$F$5:$F$2005,X!$D$5:$D$2005,'Current Stock'!A1648)</f>
        <v>0</v>
      </c>
      <c r="H1648" s="4">
        <f>SUMIFS(PENJUALAN!$E$4:$E$11000,PENJUALAN!$C$4:$C$11000,'Current Stock'!A1648)</f>
        <v>0</v>
      </c>
      <c r="I1648" s="16">
        <f t="shared" si="2"/>
        <v>0</v>
      </c>
      <c r="J1648" s="4"/>
      <c r="K1648" s="4"/>
      <c r="L1648" s="5">
        <v>1.0</v>
      </c>
      <c r="M1648" s="4"/>
    </row>
    <row r="1649" ht="13.5" customHeight="1">
      <c r="A1649" s="4" t="str">
        <f t="shared" si="1"/>
        <v>LFW-FREEDMU</v>
      </c>
      <c r="B1649" s="29" t="s">
        <v>454</v>
      </c>
      <c r="C1649" s="28" t="s">
        <v>455</v>
      </c>
      <c r="D1649" s="28" t="s">
        <v>22</v>
      </c>
      <c r="E1649" s="4" t="s">
        <v>1361</v>
      </c>
      <c r="F1649" s="28" t="s">
        <v>125</v>
      </c>
      <c r="G1649" s="4">
        <f>SUMIFS(X!$F$5:$F$2005,X!$D$5:$D$2005,'Current Stock'!A1649)</f>
        <v>0</v>
      </c>
      <c r="H1649" s="4">
        <f>SUMIFS(PENJUALAN!$E$4:$E$11000,PENJUALAN!$C$4:$C$11000,'Current Stock'!A1649)</f>
        <v>0</v>
      </c>
      <c r="I1649" s="16">
        <f t="shared" si="2"/>
        <v>0</v>
      </c>
      <c r="J1649" s="4"/>
      <c r="K1649" s="72"/>
      <c r="L1649" s="5">
        <v>1.0</v>
      </c>
      <c r="M1649" s="4"/>
    </row>
    <row r="1650" ht="13.5" customHeight="1">
      <c r="A1650" s="4" t="str">
        <f t="shared" si="1"/>
        <v>LFW-SIENTAXYG</v>
      </c>
      <c r="B1650" s="29" t="s">
        <v>1248</v>
      </c>
      <c r="C1650" s="28" t="s">
        <v>1249</v>
      </c>
      <c r="D1650" s="28" t="s">
        <v>22</v>
      </c>
      <c r="E1650" s="4" t="s">
        <v>16</v>
      </c>
      <c r="F1650" s="28" t="s">
        <v>125</v>
      </c>
      <c r="G1650" s="4">
        <f>SUMIFS(X!$F$5:$F$2005,X!$D$5:$D$2005,'Current Stock'!A1650)</f>
        <v>7</v>
      </c>
      <c r="H1650" s="4">
        <f>SUMIFS(PENJUALAN!$E$4:$E$11000,PENJUALAN!$C$4:$C$11000,'Current Stock'!A1650)</f>
        <v>6</v>
      </c>
      <c r="I1650" s="16">
        <f t="shared" si="2"/>
        <v>1</v>
      </c>
      <c r="J1650" s="15" t="s">
        <v>1863</v>
      </c>
      <c r="K1650" s="15"/>
      <c r="L1650" s="5">
        <v>1.0</v>
      </c>
      <c r="M1650" s="4"/>
    </row>
    <row r="1651" ht="13.5" customHeight="1">
      <c r="A1651" s="4" t="str">
        <f t="shared" si="1"/>
        <v>LFW-CORTEZRSXYG</v>
      </c>
      <c r="B1651" s="31" t="s">
        <v>2033</v>
      </c>
      <c r="C1651" s="33" t="s">
        <v>1988</v>
      </c>
      <c r="D1651" s="28" t="s">
        <v>22</v>
      </c>
      <c r="E1651" s="4" t="s">
        <v>16</v>
      </c>
      <c r="F1651" s="33" t="s">
        <v>2034</v>
      </c>
      <c r="G1651" s="4">
        <f>SUMIFS(X!$F$5:$F$2005,X!$D$5:$D$2005,'Current Stock'!A1651)</f>
        <v>6</v>
      </c>
      <c r="H1651" s="4">
        <f>SUMIFS(PENJUALAN!$E$4:$E$11000,PENJUALAN!$C$4:$C$11000,'Current Stock'!A1651)</f>
        <v>5</v>
      </c>
      <c r="I1651" s="16">
        <f t="shared" si="2"/>
        <v>1</v>
      </c>
      <c r="J1651" s="15" t="s">
        <v>1722</v>
      </c>
      <c r="K1651" s="15"/>
      <c r="L1651" s="4"/>
      <c r="M1651" s="4"/>
    </row>
    <row r="1652" ht="13.5" customHeight="1">
      <c r="A1652" s="4" t="str">
        <f t="shared" si="1"/>
        <v>LFW-CORTEZXYG</v>
      </c>
      <c r="B1652" s="31" t="s">
        <v>2035</v>
      </c>
      <c r="C1652" s="33" t="s">
        <v>1988</v>
      </c>
      <c r="D1652" s="33" t="s">
        <v>22</v>
      </c>
      <c r="E1652" s="15" t="s">
        <v>16</v>
      </c>
      <c r="F1652" s="33" t="s">
        <v>97</v>
      </c>
      <c r="G1652" s="4">
        <f>SUMIFS(X!$F$5:$F$2005,X!$D$5:$D$2005,'Current Stock'!A1652)</f>
        <v>5</v>
      </c>
      <c r="H1652" s="4">
        <f>SUMIFS(PENJUALAN!$E$4:$E$11000,PENJUALAN!$C$4:$C$11000,'Current Stock'!A1652)</f>
        <v>0</v>
      </c>
      <c r="I1652" s="16">
        <f t="shared" si="2"/>
        <v>5</v>
      </c>
      <c r="J1652" s="15" t="s">
        <v>1722</v>
      </c>
      <c r="K1652" s="15"/>
      <c r="L1652" s="4"/>
      <c r="M1652" s="4"/>
    </row>
    <row r="1653" ht="13.5" customHeight="1">
      <c r="A1653" s="4" t="str">
        <f t="shared" si="1"/>
        <v>LFW-VOXY17XYG</v>
      </c>
      <c r="B1653" s="29" t="s">
        <v>1269</v>
      </c>
      <c r="C1653" s="28" t="s">
        <v>1270</v>
      </c>
      <c r="D1653" s="28" t="s">
        <v>22</v>
      </c>
      <c r="E1653" s="4" t="s">
        <v>16</v>
      </c>
      <c r="F1653" s="28" t="s">
        <v>125</v>
      </c>
      <c r="G1653" s="4">
        <f>SUMIFS(X!$F$5:$F$2005,X!$D$5:$D$2005,'Current Stock'!A1653)</f>
        <v>3</v>
      </c>
      <c r="H1653" s="4">
        <f>SUMIFS(PENJUALAN!$E$4:$E$11000,PENJUALAN!$C$4:$C$11000,'Current Stock'!A1653)</f>
        <v>2</v>
      </c>
      <c r="I1653" s="16">
        <f t="shared" si="2"/>
        <v>1</v>
      </c>
      <c r="J1653" s="15" t="s">
        <v>1851</v>
      </c>
      <c r="K1653" s="15"/>
      <c r="L1653" s="4"/>
      <c r="M1653" s="4"/>
    </row>
    <row r="1654" ht="13.5" customHeight="1">
      <c r="A1654" s="4" t="str">
        <f t="shared" si="1"/>
        <v>TRW-CONFEROHHOLEXYG</v>
      </c>
      <c r="B1654" s="29" t="s">
        <v>2036</v>
      </c>
      <c r="C1654" s="33" t="s">
        <v>2037</v>
      </c>
      <c r="D1654" s="28" t="s">
        <v>41</v>
      </c>
      <c r="E1654" s="4" t="s">
        <v>16</v>
      </c>
      <c r="F1654" s="28" t="s">
        <v>221</v>
      </c>
      <c r="G1654" s="4">
        <f>SUMIFS(X!$F$5:$F$2005,X!$D$5:$D$2005,'Current Stock'!A1654)</f>
        <v>2</v>
      </c>
      <c r="H1654" s="4">
        <f>SUMIFS(PENJUALAN!$E$4:$E$11000,PENJUALAN!$C$4:$C$11000,'Current Stock'!A1654)</f>
        <v>2</v>
      </c>
      <c r="I1654" s="16">
        <f t="shared" si="2"/>
        <v>0</v>
      </c>
      <c r="J1654" s="15" t="s">
        <v>1366</v>
      </c>
      <c r="K1654" s="15"/>
      <c r="L1654" s="4"/>
      <c r="M1654" s="4"/>
    </row>
    <row r="1655" ht="13.5" customHeight="1">
      <c r="A1655" s="4" t="str">
        <f t="shared" si="1"/>
        <v>TRW-SIENTAXYG</v>
      </c>
      <c r="B1655" s="29" t="s">
        <v>1250</v>
      </c>
      <c r="C1655" s="28" t="s">
        <v>1249</v>
      </c>
      <c r="D1655" s="28" t="s">
        <v>41</v>
      </c>
      <c r="E1655" s="4" t="s">
        <v>16</v>
      </c>
      <c r="F1655" s="28" t="s">
        <v>67</v>
      </c>
      <c r="G1655" s="4">
        <f>SUMIFS(X!$F$5:$F$2005,X!$D$5:$D$2005,'Current Stock'!A1655)</f>
        <v>2</v>
      </c>
      <c r="H1655" s="4">
        <f>SUMIFS(PENJUALAN!$E$4:$E$11000,PENJUALAN!$C$4:$C$11000,'Current Stock'!A1655)</f>
        <v>1</v>
      </c>
      <c r="I1655" s="16">
        <f t="shared" si="2"/>
        <v>1</v>
      </c>
      <c r="J1655" s="15" t="s">
        <v>139</v>
      </c>
      <c r="K1655" s="4"/>
      <c r="L1655" s="4"/>
      <c r="M1655" s="4"/>
    </row>
    <row r="1656" ht="13.5" customHeight="1">
      <c r="A1656" s="4" t="str">
        <f t="shared" si="1"/>
        <v>LFW-AVEGA01MU</v>
      </c>
      <c r="B1656" s="29" t="s">
        <v>1506</v>
      </c>
      <c r="C1656" s="30" t="s">
        <v>1507</v>
      </c>
      <c r="D1656" s="30" t="s">
        <v>22</v>
      </c>
      <c r="E1656" s="4" t="s">
        <v>1361</v>
      </c>
      <c r="F1656" s="28"/>
      <c r="G1656" s="4">
        <f>SUMIFS(X!$F$5:$F$2005,X!$D$5:$D$2005,'Current Stock'!A1656)</f>
        <v>0</v>
      </c>
      <c r="H1656" s="4">
        <f>SUMIFS(PENJUALAN!$E$4:$E$11000,PENJUALAN!$C$4:$C$11000,'Current Stock'!A1656)</f>
        <v>0</v>
      </c>
      <c r="I1656" s="16">
        <f t="shared" si="2"/>
        <v>0</v>
      </c>
      <c r="J1656" s="4"/>
      <c r="K1656" s="4"/>
      <c r="L1656" s="5">
        <v>1.0</v>
      </c>
      <c r="M1656" s="4"/>
    </row>
    <row r="1657" ht="13.5" customHeight="1">
      <c r="A1657" s="4" t="str">
        <f t="shared" si="1"/>
        <v>TRW-VIOS02XYG</v>
      </c>
      <c r="B1657" s="29" t="s">
        <v>1258</v>
      </c>
      <c r="C1657" s="28" t="s">
        <v>1259</v>
      </c>
      <c r="D1657" s="28" t="s">
        <v>41</v>
      </c>
      <c r="E1657" s="4" t="s">
        <v>16</v>
      </c>
      <c r="F1657" s="28" t="s">
        <v>67</v>
      </c>
      <c r="G1657" s="4">
        <f>SUMIFS(X!$F$5:$F$2005,X!$D$5:$D$2005,'Current Stock'!A1657)</f>
        <v>1</v>
      </c>
      <c r="H1657" s="4">
        <f>SUMIFS(PENJUALAN!$E$4:$E$11000,PENJUALAN!$C$4:$C$11000,'Current Stock'!A1657)</f>
        <v>1</v>
      </c>
      <c r="I1657" s="16">
        <f t="shared" si="2"/>
        <v>0</v>
      </c>
      <c r="J1657" s="4"/>
      <c r="K1657" s="4"/>
      <c r="L1657" s="4"/>
      <c r="M1657" s="4"/>
    </row>
    <row r="1658" ht="13.5" customHeight="1">
      <c r="A1658" s="4" t="str">
        <f t="shared" si="1"/>
        <v>LFW-GETZMU</v>
      </c>
      <c r="B1658" s="29" t="s">
        <v>515</v>
      </c>
      <c r="C1658" s="28" t="s">
        <v>516</v>
      </c>
      <c r="D1658" s="28" t="s">
        <v>22</v>
      </c>
      <c r="E1658" s="4" t="s">
        <v>1361</v>
      </c>
      <c r="F1658" s="28" t="s">
        <v>125</v>
      </c>
      <c r="G1658" s="4">
        <f>SUMIFS(X!$F$5:$F$2005,X!$D$5:$D$2005,'Current Stock'!A1658)</f>
        <v>0</v>
      </c>
      <c r="H1658" s="4">
        <f>SUMIFS(PENJUALAN!$E$4:$E$11000,PENJUALAN!$C$4:$C$11000,'Current Stock'!A1658)</f>
        <v>0</v>
      </c>
      <c r="I1658" s="16">
        <f t="shared" si="2"/>
        <v>0</v>
      </c>
      <c r="J1658" s="4"/>
      <c r="K1658" s="4"/>
      <c r="L1658" s="5">
        <v>1.0</v>
      </c>
      <c r="M1658" s="4"/>
    </row>
    <row r="1659" ht="13.5" customHeight="1">
      <c r="A1659" s="4" t="str">
        <f t="shared" si="1"/>
        <v>TRW-VIOS07LIMOXYG</v>
      </c>
      <c r="B1659" s="29" t="s">
        <v>2038</v>
      </c>
      <c r="C1659" s="28" t="s">
        <v>2039</v>
      </c>
      <c r="D1659" s="28" t="s">
        <v>41</v>
      </c>
      <c r="E1659" s="4" t="s">
        <v>16</v>
      </c>
      <c r="F1659" s="28" t="s">
        <v>97</v>
      </c>
      <c r="G1659" s="4">
        <f>SUMIFS(X!$F$5:$F$2005,X!$D$5:$D$2005,'Current Stock'!A1659)</f>
        <v>2</v>
      </c>
      <c r="H1659" s="4">
        <f>SUMIFS(PENJUALAN!$E$4:$E$11000,PENJUALAN!$C$4:$C$11000,'Current Stock'!A1659)</f>
        <v>1</v>
      </c>
      <c r="I1659" s="16">
        <f t="shared" si="2"/>
        <v>1</v>
      </c>
      <c r="J1659" s="15" t="s">
        <v>1499</v>
      </c>
      <c r="K1659" s="15"/>
      <c r="L1659" s="4"/>
      <c r="M1659" s="4"/>
    </row>
    <row r="1660" ht="13.5" customHeight="1">
      <c r="A1660" s="4" t="str">
        <f t="shared" si="1"/>
        <v>LFW-PANTHER00MU</v>
      </c>
      <c r="B1660" s="29" t="s">
        <v>1780</v>
      </c>
      <c r="C1660" s="28" t="s">
        <v>1781</v>
      </c>
      <c r="D1660" s="30" t="s">
        <v>22</v>
      </c>
      <c r="E1660" s="4" t="s">
        <v>1361</v>
      </c>
      <c r="F1660" s="33" t="s">
        <v>97</v>
      </c>
      <c r="G1660" s="4">
        <f>SUMIFS(X!$F$5:$F$2005,X!$D$5:$D$2005,'Current Stock'!A1660)</f>
        <v>0</v>
      </c>
      <c r="H1660" s="4">
        <f>SUMIFS(PENJUALAN!$E$4:$E$11000,PENJUALAN!$C$4:$C$11000,'Current Stock'!A1660)</f>
        <v>0</v>
      </c>
      <c r="I1660" s="16">
        <f t="shared" si="2"/>
        <v>0</v>
      </c>
      <c r="J1660" s="4"/>
      <c r="K1660" s="4"/>
      <c r="L1660" s="5"/>
      <c r="M1660" s="4"/>
    </row>
    <row r="1661" ht="13.5" customHeight="1">
      <c r="A1661" s="4" t="str">
        <f t="shared" si="1"/>
        <v>TRW-F10XYG</v>
      </c>
      <c r="B1661" s="29" t="s">
        <v>2040</v>
      </c>
      <c r="C1661" s="28" t="s">
        <v>179</v>
      </c>
      <c r="D1661" s="28" t="s">
        <v>41</v>
      </c>
      <c r="E1661" s="4" t="s">
        <v>16</v>
      </c>
      <c r="F1661" s="28" t="s">
        <v>67</v>
      </c>
      <c r="G1661" s="4">
        <f>SUMIFS(X!$F$5:$F$2005,X!$D$5:$D$2005,'Current Stock'!A1661)</f>
        <v>1</v>
      </c>
      <c r="H1661" s="4">
        <f>SUMIFS(PENJUALAN!$E$4:$E$11000,PENJUALAN!$C$4:$C$11000,'Current Stock'!A1661)</f>
        <v>1</v>
      </c>
      <c r="I1661" s="16">
        <f t="shared" si="2"/>
        <v>0</v>
      </c>
      <c r="J1661" s="4"/>
      <c r="K1661" s="4"/>
      <c r="L1661" s="4"/>
      <c r="M1661" s="4"/>
    </row>
    <row r="1662" ht="13.5" customHeight="1">
      <c r="A1662" s="4" t="str">
        <f t="shared" si="1"/>
        <v>LFW-ACCORD98XYG</v>
      </c>
      <c r="B1662" s="29" t="s">
        <v>337</v>
      </c>
      <c r="C1662" s="28" t="s">
        <v>338</v>
      </c>
      <c r="D1662" s="28" t="s">
        <v>22</v>
      </c>
      <c r="E1662" s="4" t="s">
        <v>16</v>
      </c>
      <c r="F1662" s="28" t="s">
        <v>125</v>
      </c>
      <c r="G1662" s="4">
        <f>SUMIFS(X!$F$5:$F$2005,X!$D$5:$D$2005,'Current Stock'!A1662)</f>
        <v>2</v>
      </c>
      <c r="H1662" s="4">
        <f>SUMIFS(PENJUALAN!$E$4:$E$11000,PENJUALAN!$C$4:$C$11000,'Current Stock'!A1662)</f>
        <v>2</v>
      </c>
      <c r="I1662" s="16">
        <f t="shared" si="2"/>
        <v>0</v>
      </c>
      <c r="J1662" s="15" t="s">
        <v>1442</v>
      </c>
      <c r="K1662" s="15"/>
      <c r="L1662" s="4"/>
      <c r="M1662" s="4"/>
    </row>
    <row r="1663" ht="13.5" customHeight="1">
      <c r="A1663" s="4" t="str">
        <f t="shared" si="1"/>
        <v>LFW-ACCORD03XYG</v>
      </c>
      <c r="B1663" s="29" t="s">
        <v>342</v>
      </c>
      <c r="C1663" s="28" t="s">
        <v>343</v>
      </c>
      <c r="D1663" s="28" t="s">
        <v>22</v>
      </c>
      <c r="E1663" s="4" t="s">
        <v>16</v>
      </c>
      <c r="F1663" s="28" t="s">
        <v>125</v>
      </c>
      <c r="G1663" s="4">
        <f>SUMIFS(X!$F$5:$F$2005,X!$D$5:$D$2005,'Current Stock'!A1663)</f>
        <v>1</v>
      </c>
      <c r="H1663" s="4">
        <f>SUMIFS(PENJUALAN!$E$4:$E$11000,PENJUALAN!$C$4:$C$11000,'Current Stock'!A1663)</f>
        <v>1</v>
      </c>
      <c r="I1663" s="16">
        <f t="shared" si="2"/>
        <v>0</v>
      </c>
      <c r="J1663" s="15" t="s">
        <v>1432</v>
      </c>
      <c r="K1663" s="15"/>
      <c r="L1663" s="4"/>
      <c r="M1663" s="4"/>
    </row>
    <row r="1664" ht="13.5" customHeight="1">
      <c r="A1664" s="4" t="str">
        <f t="shared" si="1"/>
        <v>TRW-JAZZ01XYG</v>
      </c>
      <c r="B1664" s="29" t="s">
        <v>464</v>
      </c>
      <c r="C1664" s="28" t="s">
        <v>463</v>
      </c>
      <c r="D1664" s="28" t="s">
        <v>41</v>
      </c>
      <c r="E1664" s="4" t="s">
        <v>16</v>
      </c>
      <c r="F1664" s="28" t="s">
        <v>221</v>
      </c>
      <c r="G1664" s="4">
        <f>SUMIFS(X!$F$5:$F$2005,X!$D$5:$D$2005,'Current Stock'!A1664)</f>
        <v>4</v>
      </c>
      <c r="H1664" s="4">
        <f>SUMIFS(PENJUALAN!$E$4:$E$11000,PENJUALAN!$C$4:$C$11000,'Current Stock'!A1664)</f>
        <v>3</v>
      </c>
      <c r="I1664" s="16">
        <f t="shared" si="2"/>
        <v>1</v>
      </c>
      <c r="J1664" s="15" t="s">
        <v>1422</v>
      </c>
      <c r="K1664" s="15"/>
      <c r="L1664" s="5">
        <v>1.0</v>
      </c>
      <c r="M1664" s="4"/>
    </row>
    <row r="1665" ht="13.5" customHeight="1">
      <c r="A1665" s="4" t="str">
        <f t="shared" si="1"/>
        <v>LFW-RUBICON07MU</v>
      </c>
      <c r="B1665" s="29" t="s">
        <v>575</v>
      </c>
      <c r="C1665" s="30" t="s">
        <v>576</v>
      </c>
      <c r="D1665" s="30" t="s">
        <v>22</v>
      </c>
      <c r="E1665" s="4" t="s">
        <v>1361</v>
      </c>
      <c r="F1665" s="28"/>
      <c r="G1665" s="4">
        <f>SUMIFS(X!$F$5:$F$2005,X!$D$5:$D$2005,'Current Stock'!A1665)</f>
        <v>0</v>
      </c>
      <c r="H1665" s="4">
        <f>SUMIFS(PENJUALAN!$E$4:$E$11000,PENJUALAN!$C$4:$C$11000,'Current Stock'!A1665)</f>
        <v>0</v>
      </c>
      <c r="I1665" s="16">
        <f t="shared" si="2"/>
        <v>0</v>
      </c>
      <c r="J1665" s="4"/>
      <c r="K1665" s="4"/>
      <c r="L1665" s="4"/>
      <c r="M1665" s="4"/>
    </row>
    <row r="1666" ht="13.5" customHeight="1">
      <c r="A1666" s="4" t="str">
        <f t="shared" si="1"/>
        <v>TRW-PAJERO08XYG</v>
      </c>
      <c r="B1666" s="29" t="s">
        <v>883</v>
      </c>
      <c r="C1666" s="28" t="s">
        <v>882</v>
      </c>
      <c r="D1666" s="28" t="s">
        <v>41</v>
      </c>
      <c r="E1666" s="4" t="s">
        <v>16</v>
      </c>
      <c r="F1666" s="28" t="s">
        <v>221</v>
      </c>
      <c r="G1666" s="4">
        <f>SUMIFS(X!$F$5:$F$2005,X!$D$5:$D$2005,'Current Stock'!A1666)</f>
        <v>8</v>
      </c>
      <c r="H1666" s="4">
        <f>SUMIFS(PENJUALAN!$E$4:$E$11000,PENJUALAN!$C$4:$C$11000,'Current Stock'!A1666)</f>
        <v>7</v>
      </c>
      <c r="I1666" s="16">
        <f t="shared" si="2"/>
        <v>1</v>
      </c>
      <c r="J1666" s="15" t="s">
        <v>1567</v>
      </c>
      <c r="K1666" s="15"/>
      <c r="L1666" s="4"/>
      <c r="M1666" s="4"/>
    </row>
    <row r="1667" ht="13.5" customHeight="1">
      <c r="A1667" s="4" t="str">
        <f t="shared" si="1"/>
        <v>LFW-CERATO09MU</v>
      </c>
      <c r="B1667" s="29" t="s">
        <v>1563</v>
      </c>
      <c r="C1667" s="28" t="s">
        <v>1564</v>
      </c>
      <c r="D1667" s="28" t="s">
        <v>22</v>
      </c>
      <c r="E1667" s="4" t="s">
        <v>1361</v>
      </c>
      <c r="F1667" s="28" t="s">
        <v>125</v>
      </c>
      <c r="G1667" s="4">
        <f>SUMIFS(X!$F$5:$F$2005,X!$D$5:$D$2005,'Current Stock'!A1667)</f>
        <v>0</v>
      </c>
      <c r="H1667" s="4">
        <f>SUMIFS(PENJUALAN!$E$4:$E$11000,PENJUALAN!$C$4:$C$11000,'Current Stock'!A1667)</f>
        <v>0</v>
      </c>
      <c r="I1667" s="16">
        <f t="shared" si="2"/>
        <v>0</v>
      </c>
      <c r="J1667" s="4"/>
      <c r="K1667" s="4"/>
      <c r="L1667" s="5">
        <v>1.0</v>
      </c>
      <c r="M1667" s="4"/>
    </row>
    <row r="1668" ht="13.5" customHeight="1">
      <c r="A1668" s="4" t="str">
        <f t="shared" si="1"/>
        <v>LFW-CARRYFUTURAMU</v>
      </c>
      <c r="B1668" s="29" t="s">
        <v>1784</v>
      </c>
      <c r="C1668" s="28" t="s">
        <v>1785</v>
      </c>
      <c r="D1668" s="28" t="s">
        <v>22</v>
      </c>
      <c r="E1668" s="4" t="s">
        <v>1361</v>
      </c>
      <c r="F1668" s="28"/>
      <c r="G1668" s="4">
        <f>SUMIFS(X!$F$5:$F$2005,X!$D$5:$D$2005,'Current Stock'!A1668)</f>
        <v>11</v>
      </c>
      <c r="H1668" s="4">
        <f>SUMIFS(PENJUALAN!$E$4:$E$11000,PENJUALAN!$C$4:$C$11000,'Current Stock'!A1668)</f>
        <v>10</v>
      </c>
      <c r="I1668" s="16">
        <f t="shared" si="2"/>
        <v>1</v>
      </c>
      <c r="J1668" s="15" t="s">
        <v>1996</v>
      </c>
      <c r="K1668" s="15"/>
      <c r="L1668" s="5">
        <v>2.0</v>
      </c>
      <c r="M1668" s="4"/>
    </row>
    <row r="1669" ht="13.5" customHeight="1">
      <c r="A1669" s="4" t="str">
        <f t="shared" si="1"/>
        <v>TRW-APVVANMU</v>
      </c>
      <c r="B1669" s="29" t="s">
        <v>2041</v>
      </c>
      <c r="C1669" s="30" t="s">
        <v>2042</v>
      </c>
      <c r="D1669" s="30" t="s">
        <v>41</v>
      </c>
      <c r="E1669" s="4" t="s">
        <v>1361</v>
      </c>
      <c r="F1669" s="28"/>
      <c r="G1669" s="4">
        <f>SUMIFS(X!$F$5:$F$2005,X!$D$5:$D$2005,'Current Stock'!A1669)</f>
        <v>5</v>
      </c>
      <c r="H1669" s="4">
        <f>SUMIFS(PENJUALAN!$E$4:$E$11000,PENJUALAN!$C$4:$C$11000,'Current Stock'!A1669)</f>
        <v>3</v>
      </c>
      <c r="I1669" s="16">
        <f t="shared" si="2"/>
        <v>2</v>
      </c>
      <c r="J1669" s="15" t="s">
        <v>1445</v>
      </c>
      <c r="K1669" s="15"/>
      <c r="L1669" s="5">
        <v>3.0</v>
      </c>
      <c r="M1669" s="4"/>
    </row>
    <row r="1670" ht="13.5" customHeight="1">
      <c r="A1670" s="20" t="str">
        <f t="shared" si="1"/>
        <v>FDL-AGYA13ASH</v>
      </c>
      <c r="B1670" s="24" t="s">
        <v>2043</v>
      </c>
      <c r="C1670" s="22" t="s">
        <v>85</v>
      </c>
      <c r="D1670" s="25" t="str">
        <f>LEFT(A1670,FIND("-",A1670) - 1)</f>
        <v>FDL</v>
      </c>
      <c r="E1670" s="22" t="s">
        <v>82</v>
      </c>
      <c r="F1670" s="25"/>
      <c r="G1670" s="4">
        <f>SUMIFS(X!$F$5:$F$2005,X!$D$5:$D$2005,'Current Stock'!A1670)</f>
        <v>5</v>
      </c>
      <c r="H1670" s="4">
        <f>SUMIFS(PENJUALAN!$E$4:$E$11000,PENJUALAN!$C$4:$C$11000,'Current Stock'!A1670)</f>
        <v>3</v>
      </c>
      <c r="I1670" s="16">
        <f t="shared" si="2"/>
        <v>2</v>
      </c>
      <c r="J1670" s="22" t="s">
        <v>594</v>
      </c>
      <c r="K1670" s="22"/>
      <c r="L1670" s="25"/>
      <c r="M1670" s="25"/>
    </row>
    <row r="1671" ht="13.5" customHeight="1">
      <c r="A1671" s="4" t="str">
        <f t="shared" si="1"/>
        <v>LFW-SPORTAGE93MU</v>
      </c>
      <c r="B1671" s="29" t="s">
        <v>2044</v>
      </c>
      <c r="C1671" s="65" t="s">
        <v>2045</v>
      </c>
      <c r="D1671" s="30" t="s">
        <v>22</v>
      </c>
      <c r="E1671" s="4" t="s">
        <v>1361</v>
      </c>
      <c r="F1671" s="28" t="s">
        <v>1455</v>
      </c>
      <c r="G1671" s="4">
        <f>SUMIFS(X!$F$5:$F$2005,X!$D$5:$D$2005,'Current Stock'!A1671)</f>
        <v>0</v>
      </c>
      <c r="H1671" s="4">
        <f>SUMIFS(PENJUALAN!$E$4:$E$11000,PENJUALAN!$C$4:$C$11000,'Current Stock'!A1671)</f>
        <v>0</v>
      </c>
      <c r="I1671" s="16">
        <f t="shared" si="2"/>
        <v>0</v>
      </c>
      <c r="J1671" s="4"/>
      <c r="K1671" s="4"/>
      <c r="L1671" s="5">
        <v>1.0</v>
      </c>
      <c r="M1671" s="4"/>
    </row>
    <row r="1672" ht="13.5" customHeight="1">
      <c r="A1672" s="4" t="str">
        <f t="shared" si="1"/>
        <v>LFW-AUDIQ508XYG</v>
      </c>
      <c r="B1672" s="29" t="s">
        <v>2046</v>
      </c>
      <c r="C1672" s="28" t="s">
        <v>2047</v>
      </c>
      <c r="D1672" s="28" t="s">
        <v>22</v>
      </c>
      <c r="E1672" s="4" t="s">
        <v>16</v>
      </c>
      <c r="F1672" s="28" t="s">
        <v>112</v>
      </c>
      <c r="G1672" s="4">
        <f>SUMIFS(X!$F$5:$F$2005,X!$D$5:$D$2005,'Current Stock'!A1672)</f>
        <v>1</v>
      </c>
      <c r="H1672" s="4">
        <f>SUMIFS(PENJUALAN!$E$4:$E$11000,PENJUALAN!$C$4:$C$11000,'Current Stock'!A1672)</f>
        <v>1</v>
      </c>
      <c r="I1672" s="16">
        <f t="shared" si="2"/>
        <v>0</v>
      </c>
      <c r="J1672" s="4"/>
      <c r="K1672" s="4"/>
      <c r="L1672" s="4"/>
      <c r="M1672" s="4"/>
    </row>
    <row r="1673" ht="13.5" customHeight="1">
      <c r="A1673" s="4" t="str">
        <f t="shared" si="1"/>
        <v>LFW-SPINXYG</v>
      </c>
      <c r="B1673" s="29" t="s">
        <v>260</v>
      </c>
      <c r="C1673" s="28" t="s">
        <v>261</v>
      </c>
      <c r="D1673" s="28" t="s">
        <v>22</v>
      </c>
      <c r="E1673" s="4" t="s">
        <v>16</v>
      </c>
      <c r="F1673" s="28" t="s">
        <v>125</v>
      </c>
      <c r="G1673" s="4">
        <f>SUMIFS(X!$F$5:$F$2005,X!$D$5:$D$2005,'Current Stock'!A1673)</f>
        <v>5</v>
      </c>
      <c r="H1673" s="4">
        <f>SUMIFS(PENJUALAN!$E$4:$E$11000,PENJUALAN!$C$4:$C$11000,'Current Stock'!A1673)</f>
        <v>5</v>
      </c>
      <c r="I1673" s="16">
        <f t="shared" si="2"/>
        <v>0</v>
      </c>
      <c r="J1673" s="56" t="s">
        <v>1641</v>
      </c>
      <c r="K1673" s="73"/>
      <c r="L1673" s="4"/>
      <c r="M1673" s="4"/>
    </row>
    <row r="1674" ht="13.5" customHeight="1">
      <c r="A1674" s="4" t="str">
        <f t="shared" si="1"/>
        <v>LFW-TRAVELLOMU</v>
      </c>
      <c r="B1674" s="29" t="s">
        <v>2048</v>
      </c>
      <c r="C1674" s="30" t="s">
        <v>2049</v>
      </c>
      <c r="D1674" s="30" t="s">
        <v>22</v>
      </c>
      <c r="E1674" s="4" t="s">
        <v>1361</v>
      </c>
      <c r="F1674" s="28" t="s">
        <v>79</v>
      </c>
      <c r="G1674" s="4">
        <f>SUMIFS(X!$F$5:$F$2005,X!$D$5:$D$2005,'Current Stock'!A1674)</f>
        <v>0</v>
      </c>
      <c r="H1674" s="4">
        <f>SUMIFS(PENJUALAN!$E$4:$E$11000,PENJUALAN!$C$4:$C$11000,'Current Stock'!A1674)</f>
        <v>0</v>
      </c>
      <c r="I1674" s="16">
        <f t="shared" si="2"/>
        <v>0</v>
      </c>
      <c r="J1674" s="4"/>
      <c r="K1674" s="4"/>
      <c r="L1674" s="5">
        <v>1.0</v>
      </c>
      <c r="M1674" s="4"/>
    </row>
    <row r="1675" ht="13.5" customHeight="1">
      <c r="A1675" s="4" t="str">
        <f t="shared" si="1"/>
        <v>LFW-VISTOMU</v>
      </c>
      <c r="B1675" s="29" t="s">
        <v>647</v>
      </c>
      <c r="C1675" s="30" t="s">
        <v>648</v>
      </c>
      <c r="D1675" s="30" t="s">
        <v>22</v>
      </c>
      <c r="E1675" s="4" t="s">
        <v>1361</v>
      </c>
      <c r="F1675" s="28" t="s">
        <v>1947</v>
      </c>
      <c r="G1675" s="4">
        <f>SUMIFS(X!$F$5:$F$2005,X!$D$5:$D$2005,'Current Stock'!A1675)</f>
        <v>0</v>
      </c>
      <c r="H1675" s="4">
        <f>SUMIFS(PENJUALAN!$E$4:$E$11000,PENJUALAN!$C$4:$C$11000,'Current Stock'!A1675)</f>
        <v>0</v>
      </c>
      <c r="I1675" s="16">
        <f t="shared" si="2"/>
        <v>0</v>
      </c>
      <c r="J1675" s="4"/>
      <c r="K1675" s="4"/>
      <c r="L1675" s="5">
        <v>1.0</v>
      </c>
      <c r="M1675" s="4"/>
    </row>
    <row r="1676" ht="13.5" customHeight="1">
      <c r="A1676" s="4" t="str">
        <f t="shared" si="1"/>
        <v>TRW-HRV14XYG</v>
      </c>
      <c r="B1676" s="31" t="s">
        <v>461</v>
      </c>
      <c r="C1676" s="28" t="s">
        <v>460</v>
      </c>
      <c r="D1676" s="28" t="s">
        <v>41</v>
      </c>
      <c r="E1676" s="4" t="s">
        <v>16</v>
      </c>
      <c r="F1676" s="28" t="s">
        <v>221</v>
      </c>
      <c r="G1676" s="4">
        <f>SUMIFS(X!$F$5:$F$2005,X!$D$5:$D$2005,'Current Stock'!A1676)</f>
        <v>5</v>
      </c>
      <c r="H1676" s="4">
        <f>SUMIFS(PENJUALAN!$E$4:$E$11000,PENJUALAN!$C$4:$C$11000,'Current Stock'!A1676)</f>
        <v>4</v>
      </c>
      <c r="I1676" s="16">
        <f t="shared" si="2"/>
        <v>1</v>
      </c>
      <c r="J1676" s="15" t="s">
        <v>1459</v>
      </c>
      <c r="K1676" s="15"/>
      <c r="L1676" s="4"/>
      <c r="M1676" s="4"/>
    </row>
    <row r="1677" ht="13.5" customHeight="1">
      <c r="A1677" s="4" t="str">
        <f t="shared" si="1"/>
        <v>LFW-MX6COUPEMU</v>
      </c>
      <c r="B1677" s="29" t="s">
        <v>2050</v>
      </c>
      <c r="C1677" s="65" t="s">
        <v>2051</v>
      </c>
      <c r="D1677" s="28" t="s">
        <v>22</v>
      </c>
      <c r="E1677" s="4" t="s">
        <v>1361</v>
      </c>
      <c r="F1677" s="28"/>
      <c r="G1677" s="4">
        <f>SUMIFS(X!$F$5:$F$2005,X!$D$5:$D$2005,'Current Stock'!A1677)</f>
        <v>0</v>
      </c>
      <c r="H1677" s="4">
        <f>SUMIFS(PENJUALAN!$E$4:$E$11000,PENJUALAN!$C$4:$C$11000,'Current Stock'!A1677)</f>
        <v>0</v>
      </c>
      <c r="I1677" s="16">
        <f t="shared" si="2"/>
        <v>0</v>
      </c>
      <c r="J1677" s="4"/>
      <c r="K1677" s="4"/>
      <c r="L1677" s="4"/>
      <c r="M1677" s="4"/>
    </row>
    <row r="1678" ht="13.5" customHeight="1">
      <c r="A1678" s="4" t="str">
        <f t="shared" si="1"/>
        <v>LFW-CAMRY06XYG</v>
      </c>
      <c r="B1678" s="29" t="s">
        <v>1110</v>
      </c>
      <c r="C1678" s="28" t="s">
        <v>1111</v>
      </c>
      <c r="D1678" s="28" t="s">
        <v>22</v>
      </c>
      <c r="E1678" s="4" t="s">
        <v>16</v>
      </c>
      <c r="F1678" s="28" t="s">
        <v>125</v>
      </c>
      <c r="G1678" s="4">
        <f>SUMIFS(X!$F$5:$F$2005,X!$D$5:$D$2005,'Current Stock'!A1678)</f>
        <v>3</v>
      </c>
      <c r="H1678" s="4">
        <f>SUMIFS(PENJUALAN!$E$4:$E$11000,PENJUALAN!$C$4:$C$11000,'Current Stock'!A1678)</f>
        <v>2</v>
      </c>
      <c r="I1678" s="16">
        <f t="shared" si="2"/>
        <v>1</v>
      </c>
      <c r="J1678" s="15" t="s">
        <v>1851</v>
      </c>
      <c r="K1678" s="15"/>
      <c r="L1678" s="4"/>
      <c r="M1678" s="4"/>
    </row>
    <row r="1679" ht="13.5" customHeight="1">
      <c r="A1679" s="4" t="str">
        <f t="shared" si="1"/>
        <v>LFW-CAMRY06RSXYG</v>
      </c>
      <c r="B1679" s="29" t="s">
        <v>1112</v>
      </c>
      <c r="C1679" s="28" t="s">
        <v>1111</v>
      </c>
      <c r="D1679" s="28" t="s">
        <v>22</v>
      </c>
      <c r="E1679" s="4" t="s">
        <v>16</v>
      </c>
      <c r="F1679" s="28" t="s">
        <v>75</v>
      </c>
      <c r="G1679" s="4">
        <f>SUMIFS(X!$F$5:$F$2005,X!$D$5:$D$2005,'Current Stock'!A1679)</f>
        <v>5</v>
      </c>
      <c r="H1679" s="4">
        <f>SUMIFS(PENJUALAN!$E$4:$E$11000,PENJUALAN!$C$4:$C$11000,'Current Stock'!A1679)</f>
        <v>4</v>
      </c>
      <c r="I1679" s="16">
        <f t="shared" si="2"/>
        <v>1</v>
      </c>
      <c r="J1679" s="15" t="s">
        <v>1851</v>
      </c>
      <c r="K1679" s="15"/>
      <c r="L1679" s="4"/>
      <c r="M1679" s="4"/>
    </row>
    <row r="1680" ht="13.5" customHeight="1">
      <c r="A1680" s="4" t="str">
        <f t="shared" si="1"/>
        <v>LFW-LELEMU</v>
      </c>
      <c r="B1680" s="29" t="s">
        <v>2052</v>
      </c>
      <c r="C1680" s="30" t="s">
        <v>822</v>
      </c>
      <c r="D1680" s="30" t="s">
        <v>22</v>
      </c>
      <c r="E1680" s="4" t="s">
        <v>1361</v>
      </c>
      <c r="F1680" s="28"/>
      <c r="G1680" s="4">
        <f>SUMIFS(X!$F$5:$F$2005,X!$D$5:$D$2005,'Current Stock'!A1680)</f>
        <v>0</v>
      </c>
      <c r="H1680" s="4">
        <f>SUMIFS(PENJUALAN!$E$4:$E$11000,PENJUALAN!$C$4:$C$11000,'Current Stock'!A1680)</f>
        <v>0</v>
      </c>
      <c r="I1680" s="16">
        <f t="shared" si="2"/>
        <v>0</v>
      </c>
      <c r="J1680" s="4"/>
      <c r="K1680" s="4"/>
      <c r="L1680" s="4"/>
      <c r="M1680" s="4"/>
    </row>
    <row r="1681" ht="13.5" customHeight="1">
      <c r="A1681" s="4" t="str">
        <f t="shared" si="1"/>
        <v>LFW-W203RS2MU</v>
      </c>
      <c r="B1681" s="29" t="s">
        <v>776</v>
      </c>
      <c r="C1681" s="28" t="s">
        <v>777</v>
      </c>
      <c r="D1681" s="30" t="s">
        <v>22</v>
      </c>
      <c r="E1681" s="4" t="s">
        <v>1361</v>
      </c>
      <c r="F1681" s="28" t="s">
        <v>2053</v>
      </c>
      <c r="G1681" s="4">
        <f>SUMIFS(X!$F$5:$F$2005,X!$D$5:$D$2005,'Current Stock'!A1681)</f>
        <v>0</v>
      </c>
      <c r="H1681" s="4">
        <f>SUMIFS(PENJUALAN!$E$4:$E$11000,PENJUALAN!$C$4:$C$11000,'Current Stock'!A1681)</f>
        <v>0</v>
      </c>
      <c r="I1681" s="16">
        <f t="shared" si="2"/>
        <v>0</v>
      </c>
      <c r="J1681" s="4"/>
      <c r="K1681" s="4"/>
      <c r="L1681" s="5">
        <v>1.0</v>
      </c>
      <c r="M1681" s="4"/>
    </row>
    <row r="1682" ht="13.5" customHeight="1">
      <c r="A1682" s="4" t="str">
        <f t="shared" si="1"/>
        <v>LFW-W204RS1MU</v>
      </c>
      <c r="B1682" s="29" t="s">
        <v>2054</v>
      </c>
      <c r="C1682" s="65" t="s">
        <v>2055</v>
      </c>
      <c r="D1682" s="30" t="s">
        <v>22</v>
      </c>
      <c r="E1682" s="4" t="s">
        <v>1361</v>
      </c>
      <c r="F1682" s="28" t="s">
        <v>2018</v>
      </c>
      <c r="G1682" s="4">
        <f>SUMIFS(X!$F$5:$F$2005,X!$D$5:$D$2005,'Current Stock'!A1682)</f>
        <v>0</v>
      </c>
      <c r="H1682" s="4">
        <f>SUMIFS(PENJUALAN!$E$4:$E$11000,PENJUALAN!$C$4:$C$11000,'Current Stock'!A1682)</f>
        <v>0</v>
      </c>
      <c r="I1682" s="16">
        <f t="shared" si="2"/>
        <v>0</v>
      </c>
      <c r="J1682" s="4"/>
      <c r="K1682" s="4"/>
      <c r="L1682" s="5">
        <v>1.0</v>
      </c>
      <c r="M1682" s="4"/>
    </row>
    <row r="1683" ht="13.5" customHeight="1">
      <c r="A1683" s="4" t="str">
        <f t="shared" si="1"/>
        <v>LFW-W1244DOORMU</v>
      </c>
      <c r="B1683" s="29" t="s">
        <v>1648</v>
      </c>
      <c r="C1683" s="65" t="s">
        <v>2056</v>
      </c>
      <c r="D1683" s="30" t="s">
        <v>22</v>
      </c>
      <c r="E1683" s="4" t="s">
        <v>1361</v>
      </c>
      <c r="F1683" s="28" t="s">
        <v>2010</v>
      </c>
      <c r="G1683" s="4">
        <f>SUMIFS(X!$F$5:$F$2005,X!$D$5:$D$2005,'Current Stock'!A1683)</f>
        <v>0</v>
      </c>
      <c r="H1683" s="4">
        <f>SUMIFS(PENJUALAN!$E$4:$E$11000,PENJUALAN!$C$4:$C$11000,'Current Stock'!A1683)</f>
        <v>0</v>
      </c>
      <c r="I1683" s="16">
        <f t="shared" si="2"/>
        <v>0</v>
      </c>
      <c r="J1683" s="4"/>
      <c r="K1683" s="4"/>
      <c r="L1683" s="5">
        <v>1.0</v>
      </c>
      <c r="M1683" s="15" t="s">
        <v>1484</v>
      </c>
    </row>
    <row r="1684" ht="13.5" customHeight="1">
      <c r="A1684" s="4" t="str">
        <f t="shared" si="1"/>
        <v>LFW-W210MU</v>
      </c>
      <c r="B1684" s="29" t="s">
        <v>795</v>
      </c>
      <c r="C1684" s="65" t="s">
        <v>2057</v>
      </c>
      <c r="D1684" s="30" t="s">
        <v>22</v>
      </c>
      <c r="E1684" s="4" t="s">
        <v>1361</v>
      </c>
      <c r="F1684" s="28" t="s">
        <v>2053</v>
      </c>
      <c r="G1684" s="4">
        <f>SUMIFS(X!$F$5:$F$2005,X!$D$5:$D$2005,'Current Stock'!A1684)</f>
        <v>0</v>
      </c>
      <c r="H1684" s="4">
        <f>SUMIFS(PENJUALAN!$E$4:$E$11000,PENJUALAN!$C$4:$C$11000,'Current Stock'!A1684)</f>
        <v>0</v>
      </c>
      <c r="I1684" s="16">
        <f t="shared" si="2"/>
        <v>0</v>
      </c>
      <c r="J1684" s="4"/>
      <c r="K1684" s="4"/>
      <c r="L1684" s="5">
        <v>1.0</v>
      </c>
      <c r="M1684" s="4"/>
    </row>
    <row r="1685" ht="13.5" customHeight="1">
      <c r="A1685" s="4" t="str">
        <f t="shared" si="1"/>
        <v>LFW-W211MU</v>
      </c>
      <c r="B1685" s="29" t="s">
        <v>798</v>
      </c>
      <c r="C1685" s="65" t="s">
        <v>2058</v>
      </c>
      <c r="D1685" s="30" t="s">
        <v>22</v>
      </c>
      <c r="E1685" s="4" t="s">
        <v>1361</v>
      </c>
      <c r="F1685" s="28" t="s">
        <v>2018</v>
      </c>
      <c r="G1685" s="4">
        <f>SUMIFS(X!$F$5:$F$2005,X!$D$5:$D$2005,'Current Stock'!A1685)</f>
        <v>0</v>
      </c>
      <c r="H1685" s="4">
        <f>SUMIFS(PENJUALAN!$E$4:$E$11000,PENJUALAN!$C$4:$C$11000,'Current Stock'!A1685)</f>
        <v>0</v>
      </c>
      <c r="I1685" s="16">
        <f t="shared" si="2"/>
        <v>0</v>
      </c>
      <c r="J1685" s="4"/>
      <c r="K1685" s="4"/>
      <c r="L1685" s="5">
        <v>1.0</v>
      </c>
      <c r="M1685" s="4"/>
    </row>
    <row r="1686" ht="13.5" customHeight="1">
      <c r="A1686" s="4" t="str">
        <f t="shared" si="1"/>
        <v>LFW-W220MU</v>
      </c>
      <c r="B1686" s="29" t="s">
        <v>1664</v>
      </c>
      <c r="C1686" s="65" t="s">
        <v>2059</v>
      </c>
      <c r="D1686" s="30" t="s">
        <v>22</v>
      </c>
      <c r="E1686" s="4" t="s">
        <v>1361</v>
      </c>
      <c r="F1686" s="28" t="s">
        <v>2053</v>
      </c>
      <c r="G1686" s="4">
        <f>SUMIFS(X!$F$5:$F$2005,X!$D$5:$D$2005,'Current Stock'!A1686)</f>
        <v>0</v>
      </c>
      <c r="H1686" s="4">
        <f>SUMIFS(PENJUALAN!$E$4:$E$11000,PENJUALAN!$C$4:$C$11000,'Current Stock'!A1686)</f>
        <v>0</v>
      </c>
      <c r="I1686" s="16">
        <f t="shared" si="2"/>
        <v>0</v>
      </c>
      <c r="J1686" s="4"/>
      <c r="K1686" s="4"/>
      <c r="L1686" s="5">
        <v>1.0</v>
      </c>
      <c r="M1686" s="4"/>
    </row>
    <row r="1687" ht="13.5" customHeight="1">
      <c r="A1687" s="4" t="str">
        <f t="shared" si="1"/>
        <v>LFW-W123MU</v>
      </c>
      <c r="B1687" s="29" t="s">
        <v>2060</v>
      </c>
      <c r="C1687" s="65" t="s">
        <v>2061</v>
      </c>
      <c r="D1687" s="30" t="s">
        <v>22</v>
      </c>
      <c r="E1687" s="4" t="s">
        <v>1361</v>
      </c>
      <c r="F1687" s="28"/>
      <c r="G1687" s="4">
        <f>SUMIFS(X!$F$5:$F$2005,X!$D$5:$D$2005,'Current Stock'!A1687)</f>
        <v>0</v>
      </c>
      <c r="H1687" s="4">
        <f>SUMIFS(PENJUALAN!$E$4:$E$11000,PENJUALAN!$C$4:$C$11000,'Current Stock'!A1687)</f>
        <v>0</v>
      </c>
      <c r="I1687" s="16">
        <f t="shared" si="2"/>
        <v>0</v>
      </c>
      <c r="J1687" s="4"/>
      <c r="K1687" s="4"/>
      <c r="L1687" s="5">
        <v>1.0</v>
      </c>
      <c r="M1687" s="4"/>
    </row>
    <row r="1688" ht="13.5" customHeight="1">
      <c r="A1688" s="4" t="str">
        <f t="shared" si="1"/>
        <v>LFW-CAMRY02XYG</v>
      </c>
      <c r="B1688" s="29" t="s">
        <v>1105</v>
      </c>
      <c r="C1688" s="28" t="s">
        <v>1106</v>
      </c>
      <c r="D1688" s="28" t="s">
        <v>22</v>
      </c>
      <c r="E1688" s="4" t="s">
        <v>16</v>
      </c>
      <c r="F1688" s="28" t="s">
        <v>125</v>
      </c>
      <c r="G1688" s="4">
        <f>SUMIFS(X!$F$5:$F$2005,X!$D$5:$D$2005,'Current Stock'!A1688)</f>
        <v>3</v>
      </c>
      <c r="H1688" s="4">
        <f>SUMIFS(PENJUALAN!$E$4:$E$11000,PENJUALAN!$C$4:$C$11000,'Current Stock'!A1688)</f>
        <v>2</v>
      </c>
      <c r="I1688" s="16">
        <f t="shared" si="2"/>
        <v>1</v>
      </c>
      <c r="J1688" s="15" t="s">
        <v>1851</v>
      </c>
      <c r="K1688" s="15"/>
      <c r="L1688" s="4"/>
      <c r="M1688" s="4"/>
    </row>
    <row r="1689" ht="13.5" customHeight="1">
      <c r="A1689" s="4" t="str">
        <f t="shared" si="1"/>
        <v>TRW-CAMRY02XYG</v>
      </c>
      <c r="B1689" s="29" t="s">
        <v>1107</v>
      </c>
      <c r="C1689" s="28" t="s">
        <v>1106</v>
      </c>
      <c r="D1689" s="28" t="s">
        <v>41</v>
      </c>
      <c r="E1689" s="4" t="s">
        <v>16</v>
      </c>
      <c r="F1689" s="28" t="s">
        <v>114</v>
      </c>
      <c r="G1689" s="4">
        <f>SUMIFS(X!$F$5:$F$2005,X!$D$5:$D$2005,'Current Stock'!A1689)</f>
        <v>1</v>
      </c>
      <c r="H1689" s="4">
        <f>SUMIFS(PENJUALAN!$E$4:$E$11000,PENJUALAN!$C$4:$C$11000,'Current Stock'!A1689)</f>
        <v>1</v>
      </c>
      <c r="I1689" s="16">
        <f t="shared" si="2"/>
        <v>0</v>
      </c>
      <c r="J1689" s="4"/>
      <c r="K1689" s="4"/>
      <c r="L1689" s="4"/>
      <c r="M1689" s="4"/>
    </row>
    <row r="1690" ht="13.5" customHeight="1">
      <c r="A1690" s="4" t="str">
        <f t="shared" si="1"/>
        <v>TRW-CAMRY06XYG</v>
      </c>
      <c r="B1690" s="31" t="s">
        <v>1113</v>
      </c>
      <c r="C1690" s="28" t="s">
        <v>1111</v>
      </c>
      <c r="D1690" s="33" t="s">
        <v>41</v>
      </c>
      <c r="E1690" s="15" t="s">
        <v>16</v>
      </c>
      <c r="F1690" s="33" t="s">
        <v>2062</v>
      </c>
      <c r="G1690" s="4">
        <f>SUMIFS(X!$F$5:$F$2005,X!$D$5:$D$2005,'Current Stock'!A1690)</f>
        <v>2</v>
      </c>
      <c r="H1690" s="4">
        <f>SUMIFS(PENJUALAN!$E$4:$E$11000,PENJUALAN!$C$4:$C$11000,'Current Stock'!A1690)</f>
        <v>2</v>
      </c>
      <c r="I1690" s="16">
        <f t="shared" si="2"/>
        <v>0</v>
      </c>
      <c r="J1690" s="15"/>
      <c r="K1690" s="15"/>
      <c r="L1690" s="4"/>
      <c r="M1690" s="4"/>
    </row>
    <row r="1691" ht="13.5" customHeight="1">
      <c r="A1691" s="4" t="str">
        <f t="shared" si="1"/>
        <v>LFW-C24MU</v>
      </c>
      <c r="B1691" s="29" t="s">
        <v>963</v>
      </c>
      <c r="C1691" s="28" t="s">
        <v>964</v>
      </c>
      <c r="D1691" s="28" t="s">
        <v>22</v>
      </c>
      <c r="E1691" s="4" t="s">
        <v>1361</v>
      </c>
      <c r="F1691" s="28" t="s">
        <v>97</v>
      </c>
      <c r="G1691" s="4">
        <f>SUMIFS(X!$F$5:$F$2005,X!$D$5:$D$2005,'Current Stock'!A1691)</f>
        <v>6</v>
      </c>
      <c r="H1691" s="4">
        <f>SUMIFS(PENJUALAN!$E$4:$E$11000,PENJUALAN!$C$4:$C$11000,'Current Stock'!A1691)</f>
        <v>6</v>
      </c>
      <c r="I1691" s="16">
        <f t="shared" si="2"/>
        <v>0</v>
      </c>
      <c r="J1691" s="15" t="s">
        <v>1792</v>
      </c>
      <c r="K1691" s="15"/>
      <c r="L1691" s="5">
        <v>1.0</v>
      </c>
      <c r="M1691" s="15" t="s">
        <v>1484</v>
      </c>
    </row>
    <row r="1692" ht="13.5" customHeight="1">
      <c r="A1692" s="4" t="str">
        <f t="shared" si="1"/>
        <v>LFW-JAZZ13PIL</v>
      </c>
      <c r="B1692" s="15" t="s">
        <v>475</v>
      </c>
      <c r="C1692" s="15" t="s">
        <v>2063</v>
      </c>
      <c r="D1692" s="15" t="str">
        <f>LEFT(A1692,FIND("-",A1692) - 1)</f>
        <v>LFW</v>
      </c>
      <c r="E1692" s="15" t="s">
        <v>74</v>
      </c>
      <c r="F1692" s="15" t="s">
        <v>2064</v>
      </c>
      <c r="G1692" s="4">
        <f>SUMIFS(X!$F$5:$F$2005,X!$D$5:$D$2005,'Current Stock'!A1692)</f>
        <v>5</v>
      </c>
      <c r="H1692" s="4">
        <f>SUMIFS(PENJUALAN!$E$4:$E$11000,PENJUALAN!$C$4:$C$11000,'Current Stock'!A1692)</f>
        <v>5</v>
      </c>
      <c r="I1692" s="16">
        <f t="shared" si="2"/>
        <v>0</v>
      </c>
      <c r="J1692" s="15" t="s">
        <v>1487</v>
      </c>
      <c r="K1692" s="15"/>
      <c r="L1692" s="18"/>
      <c r="M1692" s="18"/>
    </row>
    <row r="1693" ht="13.5" customHeight="1">
      <c r="A1693" s="4" t="str">
        <f t="shared" si="1"/>
        <v>LFW-ALPHARD08RSFR</v>
      </c>
      <c r="B1693" s="15" t="s">
        <v>72</v>
      </c>
      <c r="C1693" s="15" t="s">
        <v>2065</v>
      </c>
      <c r="D1693" s="15" t="s">
        <v>22</v>
      </c>
      <c r="E1693" s="15" t="s">
        <v>1449</v>
      </c>
      <c r="F1693" s="15" t="s">
        <v>75</v>
      </c>
      <c r="G1693" s="4">
        <f>SUMIFS(X!$F$5:$F$2005,X!$D$5:$D$2005,'Current Stock'!A1693)</f>
        <v>4</v>
      </c>
      <c r="H1693" s="4">
        <f>SUMIFS(PENJUALAN!$E$4:$E$11000,PENJUALAN!$C$4:$C$11000,'Current Stock'!A1693)</f>
        <v>3</v>
      </c>
      <c r="I1693" s="16">
        <f t="shared" si="2"/>
        <v>1</v>
      </c>
      <c r="J1693" s="15" t="s">
        <v>1863</v>
      </c>
      <c r="K1693" s="15"/>
      <c r="L1693" s="18"/>
      <c r="M1693" s="18"/>
    </row>
    <row r="1694" ht="13.5" customHeight="1">
      <c r="A1694" s="4" t="str">
        <f t="shared" si="1"/>
        <v>LFW-T31FR</v>
      </c>
      <c r="B1694" s="15" t="s">
        <v>990</v>
      </c>
      <c r="C1694" s="15" t="s">
        <v>991</v>
      </c>
      <c r="D1694" s="15" t="s">
        <v>22</v>
      </c>
      <c r="E1694" s="15" t="s">
        <v>1449</v>
      </c>
      <c r="F1694" s="15" t="s">
        <v>125</v>
      </c>
      <c r="G1694" s="4">
        <f>SUMIFS(X!$F$5:$F$2005,X!$D$5:$D$2005,'Current Stock'!A1694)</f>
        <v>1</v>
      </c>
      <c r="H1694" s="4">
        <f>SUMIFS(PENJUALAN!$E$4:$E$11000,PENJUALAN!$C$4:$C$11000,'Current Stock'!A1694)</f>
        <v>1</v>
      </c>
      <c r="I1694" s="16">
        <f t="shared" si="2"/>
        <v>0</v>
      </c>
      <c r="J1694" s="15" t="s">
        <v>1544</v>
      </c>
      <c r="K1694" s="15"/>
      <c r="L1694" s="18"/>
      <c r="M1694" s="18"/>
    </row>
    <row r="1695" ht="13.5" customHeight="1">
      <c r="A1695" s="20" t="str">
        <f t="shared" si="1"/>
        <v>RDR-MOBILIOASH</v>
      </c>
      <c r="B1695" s="24" t="s">
        <v>2066</v>
      </c>
      <c r="C1695" s="22" t="s">
        <v>1891</v>
      </c>
      <c r="D1695" s="25" t="str">
        <f>LEFT(A1695,FIND("-",A1695) - 1)</f>
        <v>RDR</v>
      </c>
      <c r="E1695" s="22" t="s">
        <v>82</v>
      </c>
      <c r="F1695" s="25"/>
      <c r="G1695" s="4">
        <f>SUMIFS(X!$F$5:$F$2005,X!$D$5:$D$2005,'Current Stock'!A1695)</f>
        <v>2</v>
      </c>
      <c r="H1695" s="4">
        <f>SUMIFS(PENJUALAN!$E$4:$E$11000,PENJUALAN!$C$4:$C$11000,'Current Stock'!A1695)</f>
        <v>2</v>
      </c>
      <c r="I1695" s="16">
        <f t="shared" si="2"/>
        <v>0</v>
      </c>
      <c r="J1695" s="22" t="s">
        <v>2067</v>
      </c>
      <c r="K1695" s="22"/>
      <c r="L1695" s="25"/>
      <c r="M1695" s="25"/>
    </row>
    <row r="1696" ht="13.5" customHeight="1">
      <c r="A1696" s="4" t="str">
        <f t="shared" si="1"/>
        <v>LFW-XPANDERMU</v>
      </c>
      <c r="B1696" s="29" t="s">
        <v>1467</v>
      </c>
      <c r="C1696" s="28" t="s">
        <v>1706</v>
      </c>
      <c r="D1696" s="28" t="s">
        <v>22</v>
      </c>
      <c r="E1696" s="4" t="s">
        <v>1361</v>
      </c>
      <c r="F1696" s="28" t="s">
        <v>125</v>
      </c>
      <c r="G1696" s="4">
        <f>SUMIFS(X!$F$5:$F$2005,X!$D$5:$D$2005,'Current Stock'!A1696)</f>
        <v>30</v>
      </c>
      <c r="H1696" s="4">
        <f>SUMIFS(PENJUALAN!$E$4:$E$11000,PENJUALAN!$C$4:$C$11000,'Current Stock'!A1696)</f>
        <v>28</v>
      </c>
      <c r="I1696" s="16">
        <f t="shared" si="2"/>
        <v>2</v>
      </c>
      <c r="J1696" s="15" t="s">
        <v>1707</v>
      </c>
      <c r="K1696" s="15"/>
      <c r="L1696" s="5">
        <v>2.0</v>
      </c>
      <c r="M1696" s="4"/>
    </row>
    <row r="1697" ht="13.5" customHeight="1">
      <c r="A1697" s="4" t="str">
        <f t="shared" si="1"/>
        <v>LFW-DATSUNGOMU</v>
      </c>
      <c r="B1697" s="29" t="s">
        <v>2068</v>
      </c>
      <c r="C1697" s="28" t="s">
        <v>895</v>
      </c>
      <c r="D1697" s="28" t="s">
        <v>22</v>
      </c>
      <c r="E1697" s="4" t="s">
        <v>1361</v>
      </c>
      <c r="F1697" s="33" t="s">
        <v>97</v>
      </c>
      <c r="G1697" s="4">
        <f>SUMIFS(X!$F$5:$F$2005,X!$D$5:$D$2005,'Current Stock'!A1697)</f>
        <v>15</v>
      </c>
      <c r="H1697" s="4">
        <f>SUMIFS(PENJUALAN!$E$4:$E$11000,PENJUALAN!$C$4:$C$11000,'Current Stock'!A1697)</f>
        <v>8</v>
      </c>
      <c r="I1697" s="16">
        <f t="shared" si="2"/>
        <v>7</v>
      </c>
      <c r="J1697" s="15" t="s">
        <v>2069</v>
      </c>
      <c r="K1697" s="15"/>
      <c r="L1697" s="5">
        <v>1.0</v>
      </c>
      <c r="M1697" s="70"/>
    </row>
    <row r="1698" ht="13.5" customHeight="1">
      <c r="A1698" s="4" t="str">
        <f t="shared" si="1"/>
        <v>RDL-CRV02ASH</v>
      </c>
      <c r="B1698" s="32" t="s">
        <v>424</v>
      </c>
      <c r="C1698" s="15" t="s">
        <v>423</v>
      </c>
      <c r="D1698" s="18" t="str">
        <f>LEFT(A1698,FIND("-",A1698) - 1)</f>
        <v>RDL</v>
      </c>
      <c r="E1698" s="15" t="s">
        <v>82</v>
      </c>
      <c r="F1698" s="18"/>
      <c r="G1698" s="4">
        <f>SUMIFS(X!$F$5:$F$2005,X!$D$5:$D$2005,'Current Stock'!A1698)</f>
        <v>1</v>
      </c>
      <c r="H1698" s="4">
        <f>SUMIFS(PENJUALAN!$E$4:$E$11000,PENJUALAN!$C$4:$C$11000,'Current Stock'!A1698)</f>
        <v>1</v>
      </c>
      <c r="I1698" s="16">
        <f t="shared" si="2"/>
        <v>0</v>
      </c>
      <c r="J1698" s="56" t="s">
        <v>2067</v>
      </c>
      <c r="K1698" s="15"/>
      <c r="L1698" s="18"/>
      <c r="M1698" s="18"/>
    </row>
    <row r="1699" ht="13.5" customHeight="1">
      <c r="A1699" s="4" t="str">
        <f t="shared" si="1"/>
        <v>LFW-NAVARA04MU</v>
      </c>
      <c r="B1699" s="29" t="s">
        <v>924</v>
      </c>
      <c r="C1699" s="30" t="s">
        <v>925</v>
      </c>
      <c r="D1699" s="30" t="s">
        <v>22</v>
      </c>
      <c r="E1699" s="4" t="s">
        <v>1361</v>
      </c>
      <c r="F1699" s="28" t="s">
        <v>125</v>
      </c>
      <c r="G1699" s="4">
        <f>SUMIFS(X!$F$5:$F$2005,X!$D$5:$D$2005,'Current Stock'!A1699)</f>
        <v>0</v>
      </c>
      <c r="H1699" s="4">
        <f>SUMIFS(PENJUALAN!$E$4:$E$11000,PENJUALAN!$C$4:$C$11000,'Current Stock'!A1699)</f>
        <v>0</v>
      </c>
      <c r="I1699" s="16">
        <f t="shared" si="2"/>
        <v>0</v>
      </c>
      <c r="J1699" s="4"/>
      <c r="K1699" s="4"/>
      <c r="L1699" s="5">
        <v>1.0</v>
      </c>
      <c r="M1699" s="4"/>
    </row>
    <row r="1700" ht="13.5" customHeight="1">
      <c r="A1700" s="4" t="str">
        <f t="shared" si="1"/>
        <v>LFW-NAVARA15MU</v>
      </c>
      <c r="B1700" s="29" t="s">
        <v>954</v>
      </c>
      <c r="C1700" s="30" t="s">
        <v>955</v>
      </c>
      <c r="D1700" s="30" t="s">
        <v>22</v>
      </c>
      <c r="E1700" s="4" t="s">
        <v>1361</v>
      </c>
      <c r="F1700" s="28" t="s">
        <v>125</v>
      </c>
      <c r="G1700" s="4">
        <f>SUMIFS(X!$F$5:$F$2005,X!$D$5:$D$2005,'Current Stock'!A1700)</f>
        <v>0</v>
      </c>
      <c r="H1700" s="4">
        <f>SUMIFS(PENJUALAN!$E$4:$E$11000,PENJUALAN!$C$4:$C$11000,'Current Stock'!A1700)</f>
        <v>0</v>
      </c>
      <c r="I1700" s="16">
        <f t="shared" si="2"/>
        <v>0</v>
      </c>
      <c r="J1700" s="4"/>
      <c r="K1700" s="4"/>
      <c r="L1700" s="5">
        <v>1.0</v>
      </c>
      <c r="M1700" s="4"/>
    </row>
    <row r="1701" ht="13.5" customHeight="1">
      <c r="A1701" s="4" t="str">
        <f t="shared" si="1"/>
        <v>TRW-CARRY19AGC</v>
      </c>
      <c r="B1701" s="32" t="s">
        <v>2070</v>
      </c>
      <c r="C1701" s="15" t="s">
        <v>2071</v>
      </c>
      <c r="D1701" s="15" t="s">
        <v>41</v>
      </c>
      <c r="E1701" s="15" t="s">
        <v>78</v>
      </c>
      <c r="F1701" s="18"/>
      <c r="G1701" s="4">
        <f>SUMIFS(X!$F$5:$F$2005,X!$D$5:$D$2005,'Current Stock'!A1701)</f>
        <v>1</v>
      </c>
      <c r="H1701" s="4">
        <f>SUMIFS(PENJUALAN!$E$4:$E$11000,PENJUALAN!$C$4:$C$11000,'Current Stock'!A1701)</f>
        <v>1</v>
      </c>
      <c r="I1701" s="16">
        <f t="shared" si="2"/>
        <v>0</v>
      </c>
      <c r="J1701" s="15"/>
      <c r="K1701" s="15"/>
      <c r="L1701" s="18"/>
      <c r="M1701" s="18"/>
    </row>
    <row r="1702" ht="13.5" customHeight="1">
      <c r="A1702" s="4" t="str">
        <f t="shared" si="1"/>
        <v>LFW-LATIOMU</v>
      </c>
      <c r="B1702" s="29" t="s">
        <v>2072</v>
      </c>
      <c r="C1702" s="30" t="s">
        <v>2073</v>
      </c>
      <c r="D1702" s="30" t="s">
        <v>22</v>
      </c>
      <c r="E1702" s="4" t="s">
        <v>1361</v>
      </c>
      <c r="F1702" s="28" t="s">
        <v>1721</v>
      </c>
      <c r="G1702" s="4">
        <f>SUMIFS(X!$F$5:$F$2005,X!$D$5:$D$2005,'Current Stock'!A1702)</f>
        <v>0</v>
      </c>
      <c r="H1702" s="4">
        <f>SUMIFS(PENJUALAN!$E$4:$E$11000,PENJUALAN!$C$4:$C$11000,'Current Stock'!A1702)</f>
        <v>0</v>
      </c>
      <c r="I1702" s="16">
        <f t="shared" si="2"/>
        <v>0</v>
      </c>
      <c r="J1702" s="4"/>
      <c r="K1702" s="4"/>
      <c r="L1702" s="5">
        <v>1.0</v>
      </c>
      <c r="M1702" s="4"/>
    </row>
    <row r="1703" ht="13.5" customHeight="1">
      <c r="A1703" s="4" t="str">
        <f t="shared" si="1"/>
        <v>TRW-FREEDXYG</v>
      </c>
      <c r="B1703" s="29" t="s">
        <v>456</v>
      </c>
      <c r="C1703" s="28" t="s">
        <v>455</v>
      </c>
      <c r="D1703" s="28" t="s">
        <v>41</v>
      </c>
      <c r="E1703" s="4" t="s">
        <v>16</v>
      </c>
      <c r="F1703" s="28" t="s">
        <v>67</v>
      </c>
      <c r="G1703" s="4">
        <f>SUMIFS(X!$F$5:$F$2005,X!$D$5:$D$2005,'Current Stock'!A1703)</f>
        <v>13</v>
      </c>
      <c r="H1703" s="4">
        <f>SUMIFS(PENJUALAN!$E$4:$E$11000,PENJUALAN!$C$4:$C$11000,'Current Stock'!A1703)</f>
        <v>11</v>
      </c>
      <c r="I1703" s="16">
        <f t="shared" si="2"/>
        <v>2</v>
      </c>
      <c r="J1703" s="64" t="s">
        <v>1459</v>
      </c>
      <c r="K1703" s="15"/>
      <c r="L1703" s="4"/>
      <c r="M1703" s="4"/>
    </row>
    <row r="1704" ht="13.5" customHeight="1">
      <c r="A1704" s="4" t="str">
        <f t="shared" si="1"/>
        <v>LFW-HRV14XYG</v>
      </c>
      <c r="B1704" s="31" t="s">
        <v>459</v>
      </c>
      <c r="C1704" s="28" t="s">
        <v>460</v>
      </c>
      <c r="D1704" s="28" t="s">
        <v>22</v>
      </c>
      <c r="E1704" s="4" t="s">
        <v>16</v>
      </c>
      <c r="F1704" s="28" t="s">
        <v>125</v>
      </c>
      <c r="G1704" s="4">
        <f>SUMIFS(X!$F$5:$F$2005,X!$D$5:$D$2005,'Current Stock'!A1704)</f>
        <v>16</v>
      </c>
      <c r="H1704" s="4">
        <f>SUMIFS(PENJUALAN!$E$4:$E$11000,PENJUALAN!$C$4:$C$11000,'Current Stock'!A1704)</f>
        <v>10</v>
      </c>
      <c r="I1704" s="16">
        <f t="shared" si="2"/>
        <v>6</v>
      </c>
      <c r="J1704" s="15" t="s">
        <v>2074</v>
      </c>
      <c r="K1704" s="4"/>
      <c r="L1704" s="4"/>
      <c r="M1704" s="4"/>
    </row>
    <row r="1705" ht="13.5" customHeight="1">
      <c r="A1705" s="4" t="str">
        <f t="shared" si="1"/>
        <v>LFW-FREEDXYG</v>
      </c>
      <c r="B1705" s="29" t="s">
        <v>454</v>
      </c>
      <c r="C1705" s="28" t="s">
        <v>455</v>
      </c>
      <c r="D1705" s="28" t="s">
        <v>22</v>
      </c>
      <c r="E1705" s="4" t="s">
        <v>16</v>
      </c>
      <c r="F1705" s="28" t="s">
        <v>125</v>
      </c>
      <c r="G1705" s="4">
        <f>SUMIFS(X!$F$5:$F$2005,X!$D$5:$D$2005,'Current Stock'!A1705)</f>
        <v>20</v>
      </c>
      <c r="H1705" s="4">
        <f>SUMIFS(PENJUALAN!$E$4:$E$11000,PENJUALAN!$C$4:$C$11000,'Current Stock'!A1705)</f>
        <v>14</v>
      </c>
      <c r="I1705" s="16">
        <f t="shared" si="2"/>
        <v>6</v>
      </c>
      <c r="J1705" s="15" t="s">
        <v>2075</v>
      </c>
      <c r="K1705" s="15"/>
      <c r="L1705" s="4"/>
      <c r="M1705" s="4"/>
    </row>
    <row r="1706" ht="13.5" customHeight="1">
      <c r="A1706" s="4" t="str">
        <f t="shared" si="1"/>
        <v>LFW-TEANAMU</v>
      </c>
      <c r="B1706" s="29" t="s">
        <v>1684</v>
      </c>
      <c r="C1706" s="28" t="s">
        <v>1685</v>
      </c>
      <c r="D1706" s="28" t="s">
        <v>22</v>
      </c>
      <c r="E1706" s="4" t="s">
        <v>1361</v>
      </c>
      <c r="F1706" s="28"/>
      <c r="G1706" s="4">
        <f>SUMIFS(X!$F$5:$F$2005,X!$D$5:$D$2005,'Current Stock'!A1706)</f>
        <v>0</v>
      </c>
      <c r="H1706" s="4">
        <f>SUMIFS(PENJUALAN!$E$4:$E$11000,PENJUALAN!$C$4:$C$11000,'Current Stock'!A1706)</f>
        <v>0</v>
      </c>
      <c r="I1706" s="16">
        <f t="shared" si="2"/>
        <v>0</v>
      </c>
      <c r="J1706" s="4"/>
      <c r="K1706" s="4"/>
      <c r="L1706" s="4"/>
      <c r="M1706" s="4"/>
    </row>
    <row r="1707" ht="13.5" customHeight="1">
      <c r="A1707" s="4" t="str">
        <f t="shared" si="1"/>
        <v>LFW-MIRAGEMU</v>
      </c>
      <c r="B1707" s="29" t="s">
        <v>875</v>
      </c>
      <c r="C1707" s="65" t="s">
        <v>2076</v>
      </c>
      <c r="D1707" s="30" t="s">
        <v>22</v>
      </c>
      <c r="E1707" s="4" t="s">
        <v>1361</v>
      </c>
      <c r="F1707" s="34" t="s">
        <v>97</v>
      </c>
      <c r="G1707" s="4">
        <f>SUMIFS(X!$F$5:$F$2005,X!$D$5:$D$2005,'Current Stock'!A1707)</f>
        <v>5</v>
      </c>
      <c r="H1707" s="4">
        <f>SUMIFS(PENJUALAN!$E$4:$E$11000,PENJUALAN!$C$4:$C$11000,'Current Stock'!A1707)</f>
        <v>5</v>
      </c>
      <c r="I1707" s="16">
        <f t="shared" si="2"/>
        <v>0</v>
      </c>
      <c r="J1707" s="15" t="s">
        <v>1683</v>
      </c>
      <c r="K1707" s="15"/>
      <c r="L1707" s="5">
        <v>1.0</v>
      </c>
      <c r="M1707" s="4"/>
    </row>
    <row r="1708" ht="13.5" customHeight="1">
      <c r="A1708" s="4" t="str">
        <f t="shared" si="1"/>
        <v>LFW-EVO3MU</v>
      </c>
      <c r="B1708" s="29" t="s">
        <v>846</v>
      </c>
      <c r="C1708" s="65" t="s">
        <v>2077</v>
      </c>
      <c r="D1708" s="30" t="s">
        <v>22</v>
      </c>
      <c r="E1708" s="4" t="s">
        <v>1361</v>
      </c>
      <c r="F1708" s="34" t="s">
        <v>2010</v>
      </c>
      <c r="G1708" s="4">
        <f>SUMIFS(X!$F$5:$F$2005,X!$D$5:$D$2005,'Current Stock'!A1708)</f>
        <v>3</v>
      </c>
      <c r="H1708" s="4">
        <f>SUMIFS(PENJUALAN!$E$4:$E$11000,PENJUALAN!$C$4:$C$11000,'Current Stock'!A1708)</f>
        <v>3</v>
      </c>
      <c r="I1708" s="16">
        <f t="shared" si="2"/>
        <v>0</v>
      </c>
      <c r="J1708" s="15" t="s">
        <v>1683</v>
      </c>
      <c r="K1708" s="15"/>
      <c r="L1708" s="5">
        <v>1.0</v>
      </c>
      <c r="M1708" s="4"/>
    </row>
    <row r="1709" ht="13.5" customHeight="1">
      <c r="A1709" s="4" t="str">
        <f t="shared" si="1"/>
        <v>LFW-HILUX15MU</v>
      </c>
      <c r="B1709" s="29" t="s">
        <v>1155</v>
      </c>
      <c r="C1709" s="33" t="s">
        <v>1156</v>
      </c>
      <c r="D1709" s="30" t="s">
        <v>22</v>
      </c>
      <c r="E1709" s="4" t="s">
        <v>1361</v>
      </c>
      <c r="F1709" s="28" t="s">
        <v>125</v>
      </c>
      <c r="G1709" s="4">
        <f>SUMIFS(X!$F$5:$F$2005,X!$D$5:$D$2005,'Current Stock'!A1709)</f>
        <v>10</v>
      </c>
      <c r="H1709" s="4">
        <f>SUMIFS(PENJUALAN!$E$4:$E$11000,PENJUALAN!$C$4:$C$11000,'Current Stock'!A1709)</f>
        <v>10</v>
      </c>
      <c r="I1709" s="16">
        <f t="shared" si="2"/>
        <v>0</v>
      </c>
      <c r="J1709" s="15" t="s">
        <v>1877</v>
      </c>
      <c r="K1709" s="15"/>
      <c r="L1709" s="5">
        <v>1.0</v>
      </c>
      <c r="M1709" s="4"/>
    </row>
    <row r="1710" ht="13.5" customHeight="1">
      <c r="A1710" s="4" t="str">
        <f t="shared" si="1"/>
        <v>LFW-EXORAMU</v>
      </c>
      <c r="B1710" s="29" t="s">
        <v>1740</v>
      </c>
      <c r="C1710" s="28" t="s">
        <v>1741</v>
      </c>
      <c r="D1710" s="28" t="s">
        <v>22</v>
      </c>
      <c r="E1710" s="4" t="s">
        <v>1361</v>
      </c>
      <c r="F1710" s="28" t="s">
        <v>125</v>
      </c>
      <c r="G1710" s="4">
        <f>SUMIFS(X!$F$5:$F$2005,X!$D$5:$D$2005,'Current Stock'!A1710)</f>
        <v>0</v>
      </c>
      <c r="H1710" s="4">
        <f>SUMIFS(PENJUALAN!$E$4:$E$11000,PENJUALAN!$C$4:$C$11000,'Current Stock'!A1710)</f>
        <v>0</v>
      </c>
      <c r="I1710" s="16">
        <f t="shared" si="2"/>
        <v>0</v>
      </c>
      <c r="J1710" s="4"/>
      <c r="K1710" s="4"/>
      <c r="L1710" s="4"/>
      <c r="M1710" s="4"/>
    </row>
    <row r="1711" ht="13.5" customHeight="1">
      <c r="A1711" s="4" t="str">
        <f t="shared" si="1"/>
        <v>LFW-KIJANGK125MU</v>
      </c>
      <c r="B1711" s="29" t="s">
        <v>2078</v>
      </c>
      <c r="C1711" s="33" t="s">
        <v>2079</v>
      </c>
      <c r="D1711" s="28" t="s">
        <v>22</v>
      </c>
      <c r="E1711" s="4" t="s">
        <v>1361</v>
      </c>
      <c r="F1711" s="28"/>
      <c r="G1711" s="4">
        <f>SUMIFS(X!$F$5:$F$2005,X!$D$5:$D$2005,'Current Stock'!A1711)</f>
        <v>5</v>
      </c>
      <c r="H1711" s="4">
        <f>SUMIFS(PENJUALAN!$E$4:$E$11000,PENJUALAN!$C$4:$C$11000,'Current Stock'!A1711)</f>
        <v>5</v>
      </c>
      <c r="I1711" s="16">
        <f t="shared" si="2"/>
        <v>0</v>
      </c>
      <c r="J1711" s="15" t="s">
        <v>1416</v>
      </c>
      <c r="K1711" s="15"/>
      <c r="L1711" s="5">
        <v>1.0</v>
      </c>
      <c r="M1711" s="4"/>
    </row>
    <row r="1712" ht="13.5" customHeight="1">
      <c r="A1712" s="4" t="str">
        <f t="shared" si="1"/>
        <v>LFW-FORTUNER05MU</v>
      </c>
      <c r="B1712" s="29" t="s">
        <v>1128</v>
      </c>
      <c r="C1712" s="28" t="s">
        <v>1129</v>
      </c>
      <c r="D1712" s="28" t="s">
        <v>22</v>
      </c>
      <c r="E1712" s="4" t="s">
        <v>1361</v>
      </c>
      <c r="F1712" s="28" t="s">
        <v>1876</v>
      </c>
      <c r="G1712" s="4">
        <f>SUMIFS(X!$F$5:$F$2005,X!$D$5:$D$2005,'Current Stock'!A1712)</f>
        <v>22</v>
      </c>
      <c r="H1712" s="4">
        <f>SUMIFS(PENJUALAN!$E$4:$E$11000,PENJUALAN!$C$4:$C$11000,'Current Stock'!A1712)</f>
        <v>22</v>
      </c>
      <c r="I1712" s="16">
        <f t="shared" si="2"/>
        <v>0</v>
      </c>
      <c r="J1712" s="15" t="s">
        <v>1877</v>
      </c>
      <c r="K1712" s="15"/>
      <c r="L1712" s="5">
        <v>2.0</v>
      </c>
      <c r="M1712" s="15" t="s">
        <v>2080</v>
      </c>
    </row>
    <row r="1713" ht="13.5" customHeight="1">
      <c r="A1713" s="4" t="str">
        <f t="shared" si="1"/>
        <v>LFW-BALENO96MU</v>
      </c>
      <c r="B1713" s="29" t="s">
        <v>1766</v>
      </c>
      <c r="C1713" s="30" t="s">
        <v>1767</v>
      </c>
      <c r="D1713" s="30" t="s">
        <v>22</v>
      </c>
      <c r="E1713" s="4" t="s">
        <v>1361</v>
      </c>
      <c r="F1713" s="28" t="s">
        <v>2010</v>
      </c>
      <c r="G1713" s="4">
        <f>SUMIFS(X!$F$5:$F$2005,X!$D$5:$D$2005,'Current Stock'!A1713)</f>
        <v>2</v>
      </c>
      <c r="H1713" s="4">
        <f>SUMIFS(PENJUALAN!$E$4:$E$11000,PENJUALAN!$C$4:$C$11000,'Current Stock'!A1713)</f>
        <v>0</v>
      </c>
      <c r="I1713" s="16">
        <f t="shared" si="2"/>
        <v>2</v>
      </c>
      <c r="J1713" s="15" t="s">
        <v>1362</v>
      </c>
      <c r="K1713" s="15"/>
      <c r="L1713" s="5">
        <v>1.0</v>
      </c>
      <c r="M1713" s="4"/>
    </row>
    <row r="1714" ht="13.5" customHeight="1">
      <c r="A1714" s="4" t="str">
        <f t="shared" si="1"/>
        <v>LFW-FORTUNER15MU</v>
      </c>
      <c r="B1714" s="29" t="s">
        <v>1137</v>
      </c>
      <c r="C1714" s="28" t="s">
        <v>1138</v>
      </c>
      <c r="D1714" s="28" t="s">
        <v>22</v>
      </c>
      <c r="E1714" s="4" t="s">
        <v>1361</v>
      </c>
      <c r="F1714" s="28" t="s">
        <v>1876</v>
      </c>
      <c r="G1714" s="4">
        <f>SUMIFS(X!$F$5:$F$2005,X!$D$5:$D$2005,'Current Stock'!A1714)</f>
        <v>11</v>
      </c>
      <c r="H1714" s="4">
        <f>SUMIFS(PENJUALAN!$E$4:$E$11000,PENJUALAN!$C$4:$C$11000,'Current Stock'!A1714)</f>
        <v>10</v>
      </c>
      <c r="I1714" s="16">
        <f t="shared" si="2"/>
        <v>1</v>
      </c>
      <c r="J1714" s="15" t="s">
        <v>1877</v>
      </c>
      <c r="K1714" s="4"/>
      <c r="L1714" s="5">
        <v>1.0</v>
      </c>
      <c r="M1714" s="4"/>
    </row>
    <row r="1715" ht="13.5" customHeight="1">
      <c r="A1715" s="4" t="str">
        <f t="shared" si="1"/>
        <v>FDL-CARRYFUTURAMU</v>
      </c>
      <c r="B1715" s="29" t="s">
        <v>2081</v>
      </c>
      <c r="C1715" s="66" t="s">
        <v>2082</v>
      </c>
      <c r="D1715" s="28" t="s">
        <v>93</v>
      </c>
      <c r="E1715" s="4" t="s">
        <v>1361</v>
      </c>
      <c r="F1715" s="28"/>
      <c r="G1715" s="4">
        <f>SUMIFS(X!$F$5:$F$2005,X!$D$5:$D$2005,'Current Stock'!A1715)</f>
        <v>0</v>
      </c>
      <c r="H1715" s="4">
        <f>SUMIFS(PENJUALAN!$E$4:$E$11000,PENJUALAN!$C$4:$C$11000,'Current Stock'!A1715)</f>
        <v>0</v>
      </c>
      <c r="I1715" s="16">
        <f t="shared" si="2"/>
        <v>0</v>
      </c>
      <c r="J1715" s="4"/>
      <c r="K1715" s="4"/>
      <c r="L1715" s="5">
        <v>1.0</v>
      </c>
      <c r="M1715" s="4"/>
    </row>
    <row r="1716" ht="13.5" customHeight="1">
      <c r="A1716" s="4" t="str">
        <f t="shared" si="1"/>
        <v>FDR-CARRYFUTURAMU</v>
      </c>
      <c r="B1716" s="29" t="s">
        <v>2083</v>
      </c>
      <c r="C1716" s="66" t="s">
        <v>2082</v>
      </c>
      <c r="D1716" s="28" t="s">
        <v>45</v>
      </c>
      <c r="E1716" s="4" t="s">
        <v>1361</v>
      </c>
      <c r="F1716" s="28"/>
      <c r="G1716" s="4">
        <f>SUMIFS(X!$F$5:$F$2005,X!$D$5:$D$2005,'Current Stock'!A1716)</f>
        <v>0</v>
      </c>
      <c r="H1716" s="4">
        <f>SUMIFS(PENJUALAN!$E$4:$E$11000,PENJUALAN!$C$4:$C$11000,'Current Stock'!A1716)</f>
        <v>0</v>
      </c>
      <c r="I1716" s="16">
        <f t="shared" si="2"/>
        <v>0</v>
      </c>
      <c r="J1716" s="4"/>
      <c r="K1716" s="4"/>
      <c r="L1716" s="5">
        <v>1.0</v>
      </c>
      <c r="M1716" s="4"/>
    </row>
    <row r="1717" ht="13.5" customHeight="1">
      <c r="A1717" s="4" t="str">
        <f t="shared" si="1"/>
        <v>LFW-CITY02MU</v>
      </c>
      <c r="B1717" s="29" t="s">
        <v>361</v>
      </c>
      <c r="C1717" s="28" t="s">
        <v>362</v>
      </c>
      <c r="D1717" s="28" t="s">
        <v>22</v>
      </c>
      <c r="E1717" s="4" t="s">
        <v>1361</v>
      </c>
      <c r="F1717" s="28" t="s">
        <v>97</v>
      </c>
      <c r="G1717" s="4">
        <f>SUMIFS(X!$F$5:$F$2005,X!$D$5:$D$2005,'Current Stock'!A1717)</f>
        <v>10</v>
      </c>
      <c r="H1717" s="4">
        <f>SUMIFS(PENJUALAN!$E$4:$E$11000,PENJUALAN!$C$4:$C$11000,'Current Stock'!A1717)</f>
        <v>10</v>
      </c>
      <c r="I1717" s="16">
        <f t="shared" si="2"/>
        <v>0</v>
      </c>
      <c r="J1717" s="15" t="s">
        <v>2084</v>
      </c>
      <c r="K1717" s="15"/>
      <c r="L1717" s="5">
        <v>1.0</v>
      </c>
      <c r="M1717" s="15"/>
    </row>
    <row r="1718" ht="13.5" customHeight="1">
      <c r="A1718" s="4" t="str">
        <f t="shared" si="1"/>
        <v>LFW-HRV14MU</v>
      </c>
      <c r="B1718" s="29" t="s">
        <v>459</v>
      </c>
      <c r="C1718" s="28" t="s">
        <v>460</v>
      </c>
      <c r="D1718" s="28" t="s">
        <v>22</v>
      </c>
      <c r="E1718" s="4" t="s">
        <v>1361</v>
      </c>
      <c r="F1718" s="28" t="s">
        <v>1721</v>
      </c>
      <c r="G1718" s="4">
        <f>SUMIFS(X!$F$5:$F$2005,X!$D$5:$D$2005,'Current Stock'!A1718)</f>
        <v>10</v>
      </c>
      <c r="H1718" s="4">
        <f>SUMIFS(PENJUALAN!$E$4:$E$11000,PENJUALAN!$C$4:$C$11000,'Current Stock'!A1718)</f>
        <v>10</v>
      </c>
      <c r="I1718" s="16">
        <f t="shared" si="2"/>
        <v>0</v>
      </c>
      <c r="J1718" s="15" t="s">
        <v>2085</v>
      </c>
      <c r="K1718" s="74"/>
      <c r="L1718" s="5">
        <v>2.0</v>
      </c>
      <c r="M1718" s="15"/>
    </row>
    <row r="1719" ht="13.5" customHeight="1">
      <c r="A1719" s="4" t="str">
        <f t="shared" si="1"/>
        <v>LFW-CIVIC96MU</v>
      </c>
      <c r="B1719" s="29" t="s">
        <v>382</v>
      </c>
      <c r="C1719" s="65" t="s">
        <v>2086</v>
      </c>
      <c r="D1719" s="30" t="s">
        <v>22</v>
      </c>
      <c r="E1719" s="4" t="s">
        <v>1361</v>
      </c>
      <c r="F1719" s="28" t="s">
        <v>2010</v>
      </c>
      <c r="G1719" s="4">
        <f>SUMIFS(X!$F$5:$F$2005,X!$D$5:$D$2005,'Current Stock'!A1719)</f>
        <v>5</v>
      </c>
      <c r="H1719" s="4">
        <f>SUMIFS(PENJUALAN!$E$4:$E$11000,PENJUALAN!$C$4:$C$11000,'Current Stock'!A1719)</f>
        <v>5</v>
      </c>
      <c r="I1719" s="16">
        <f t="shared" si="2"/>
        <v>0</v>
      </c>
      <c r="J1719" s="15" t="s">
        <v>1333</v>
      </c>
      <c r="K1719" s="15"/>
      <c r="L1719" s="5">
        <v>1.0</v>
      </c>
      <c r="M1719" s="4"/>
    </row>
    <row r="1720" ht="13.5" customHeight="1">
      <c r="A1720" s="4" t="str">
        <f t="shared" si="1"/>
        <v>FDL-ERTIGA18MU</v>
      </c>
      <c r="B1720" s="31" t="s">
        <v>2087</v>
      </c>
      <c r="C1720" s="28" t="s">
        <v>2088</v>
      </c>
      <c r="D1720" s="30" t="s">
        <v>128</v>
      </c>
      <c r="E1720" s="4" t="s">
        <v>1361</v>
      </c>
      <c r="F1720" s="28"/>
      <c r="G1720" s="4">
        <f>SUMIFS(X!$F$5:$F$2005,X!$D$5:$D$2005,'Current Stock'!A1720)</f>
        <v>3</v>
      </c>
      <c r="H1720" s="4">
        <f>SUMIFS(PENJUALAN!$E$4:$E$11000,PENJUALAN!$C$4:$C$11000,'Current Stock'!A1720)</f>
        <v>0</v>
      </c>
      <c r="I1720" s="16">
        <f t="shared" si="2"/>
        <v>3</v>
      </c>
      <c r="J1720" s="15" t="s">
        <v>48</v>
      </c>
      <c r="K1720" s="15"/>
      <c r="L1720" s="4"/>
      <c r="M1720" s="4"/>
    </row>
    <row r="1721" ht="13.5" customHeight="1">
      <c r="A1721" s="4" t="str">
        <f t="shared" si="1"/>
        <v>FDR-ERTIGA18MU</v>
      </c>
      <c r="B1721" s="31" t="s">
        <v>2089</v>
      </c>
      <c r="C1721" s="28" t="s">
        <v>2088</v>
      </c>
      <c r="D1721" s="30" t="s">
        <v>130</v>
      </c>
      <c r="E1721" s="4" t="s">
        <v>1361</v>
      </c>
      <c r="F1721" s="28"/>
      <c r="G1721" s="4">
        <f>SUMIFS(X!$F$5:$F$2005,X!$D$5:$D$2005,'Current Stock'!A1721)</f>
        <v>5</v>
      </c>
      <c r="H1721" s="4">
        <f>SUMIFS(PENJUALAN!$E$4:$E$11000,PENJUALAN!$C$4:$C$11000,'Current Stock'!A1721)</f>
        <v>0</v>
      </c>
      <c r="I1721" s="16">
        <f t="shared" si="2"/>
        <v>5</v>
      </c>
      <c r="J1721" s="15" t="s">
        <v>1720</v>
      </c>
      <c r="K1721" s="15"/>
      <c r="L1721" s="4"/>
      <c r="M1721" s="4"/>
    </row>
    <row r="1722" ht="13.5" customHeight="1">
      <c r="A1722" s="4" t="str">
        <f t="shared" si="1"/>
        <v>RDL-ERTIGA18MU</v>
      </c>
      <c r="B1722" s="31" t="s">
        <v>2090</v>
      </c>
      <c r="C1722" s="28" t="s">
        <v>2088</v>
      </c>
      <c r="D1722" s="30" t="s">
        <v>132</v>
      </c>
      <c r="E1722" s="4" t="s">
        <v>1361</v>
      </c>
      <c r="F1722" s="28"/>
      <c r="G1722" s="4">
        <f>SUMIFS(X!$F$5:$F$2005,X!$D$5:$D$2005,'Current Stock'!A1722)</f>
        <v>3</v>
      </c>
      <c r="H1722" s="4">
        <f>SUMIFS(PENJUALAN!$E$4:$E$11000,PENJUALAN!$C$4:$C$11000,'Current Stock'!A1722)</f>
        <v>0</v>
      </c>
      <c r="I1722" s="16">
        <f t="shared" si="2"/>
        <v>3</v>
      </c>
      <c r="J1722" s="15" t="s">
        <v>1720</v>
      </c>
      <c r="K1722" s="15"/>
      <c r="L1722" s="4"/>
      <c r="M1722" s="4"/>
    </row>
    <row r="1723" ht="13.5" customHeight="1">
      <c r="A1723" s="4" t="str">
        <f t="shared" si="1"/>
        <v>RDR-ERTIGA18MU</v>
      </c>
      <c r="B1723" s="31" t="s">
        <v>2091</v>
      </c>
      <c r="C1723" s="28" t="s">
        <v>2088</v>
      </c>
      <c r="D1723" s="30" t="s">
        <v>134</v>
      </c>
      <c r="E1723" s="4" t="s">
        <v>1361</v>
      </c>
      <c r="F1723" s="28"/>
      <c r="G1723" s="4">
        <f>SUMIFS(X!$F$5:$F$2005,X!$D$5:$D$2005,'Current Stock'!A1723)</f>
        <v>3</v>
      </c>
      <c r="H1723" s="4">
        <f>SUMIFS(PENJUALAN!$E$4:$E$11000,PENJUALAN!$C$4:$C$11000,'Current Stock'!A1723)</f>
        <v>0</v>
      </c>
      <c r="I1723" s="16">
        <f t="shared" si="2"/>
        <v>3</v>
      </c>
      <c r="J1723" s="15" t="s">
        <v>1720</v>
      </c>
      <c r="K1723" s="15"/>
      <c r="L1723" s="4"/>
      <c r="M1723" s="4"/>
    </row>
    <row r="1724" ht="13.5" customHeight="1">
      <c r="A1724" s="4" t="str">
        <f t="shared" si="1"/>
        <v>LFW-CRV07MU</v>
      </c>
      <c r="B1724" s="29" t="s">
        <v>428</v>
      </c>
      <c r="C1724" s="28" t="s">
        <v>429</v>
      </c>
      <c r="D1724" s="28" t="s">
        <v>22</v>
      </c>
      <c r="E1724" s="4" t="s">
        <v>1361</v>
      </c>
      <c r="F1724" s="28" t="s">
        <v>1721</v>
      </c>
      <c r="G1724" s="4">
        <f>SUMIFS(X!$F$5:$F$2005,X!$D$5:$D$2005,'Current Stock'!A1724)</f>
        <v>3</v>
      </c>
      <c r="H1724" s="4">
        <f>SUMIFS(PENJUALAN!$E$4:$E$11000,PENJUALAN!$C$4:$C$11000,'Current Stock'!A1724)</f>
        <v>3</v>
      </c>
      <c r="I1724" s="16">
        <f t="shared" si="2"/>
        <v>0</v>
      </c>
      <c r="J1724" s="15" t="s">
        <v>1333</v>
      </c>
      <c r="K1724" s="15"/>
      <c r="L1724" s="5">
        <v>1.0</v>
      </c>
      <c r="M1724" s="4"/>
    </row>
    <row r="1725" ht="13.5" customHeight="1">
      <c r="A1725" s="4" t="str">
        <f t="shared" si="1"/>
        <v>TRW-AVANZA11MU</v>
      </c>
      <c r="B1725" s="29" t="s">
        <v>87</v>
      </c>
      <c r="C1725" s="33" t="s">
        <v>1472</v>
      </c>
      <c r="D1725" s="28" t="s">
        <v>41</v>
      </c>
      <c r="E1725" s="4" t="s">
        <v>1361</v>
      </c>
      <c r="F1725" s="28" t="s">
        <v>97</v>
      </c>
      <c r="G1725" s="4">
        <f>SUMIFS(X!$F$5:$F$2005,X!$D$5:$D$2005,'Current Stock'!A1725)</f>
        <v>34</v>
      </c>
      <c r="H1725" s="4">
        <f>SUMIFS(PENJUALAN!$E$4:$E$11000,PENJUALAN!$C$4:$C$11000,'Current Stock'!A1725)</f>
        <v>25</v>
      </c>
      <c r="I1725" s="16">
        <f t="shared" si="2"/>
        <v>9</v>
      </c>
      <c r="J1725" s="15" t="s">
        <v>2092</v>
      </c>
      <c r="K1725" s="15"/>
      <c r="L1725" s="5">
        <v>2.0</v>
      </c>
      <c r="M1725" s="4"/>
    </row>
    <row r="1726" ht="13.5" customHeight="1">
      <c r="A1726" s="4" t="str">
        <f t="shared" si="1"/>
        <v>LFW-IGNISMU</v>
      </c>
      <c r="B1726" s="29" t="s">
        <v>1801</v>
      </c>
      <c r="C1726" s="30" t="s">
        <v>1802</v>
      </c>
      <c r="D1726" s="28" t="s">
        <v>22</v>
      </c>
      <c r="E1726" s="4" t="s">
        <v>1361</v>
      </c>
      <c r="F1726" s="28" t="s">
        <v>97</v>
      </c>
      <c r="G1726" s="4">
        <f>SUMIFS(X!$F$5:$F$2005,X!$D$5:$D$2005,'Current Stock'!A1726)</f>
        <v>1</v>
      </c>
      <c r="H1726" s="4">
        <f>SUMIFS(PENJUALAN!$E$4:$E$11000,PENJUALAN!$C$4:$C$11000,'Current Stock'!A1726)</f>
        <v>1</v>
      </c>
      <c r="I1726" s="16">
        <f t="shared" si="2"/>
        <v>0</v>
      </c>
      <c r="J1726" s="15" t="s">
        <v>1478</v>
      </c>
      <c r="K1726" s="4"/>
      <c r="L1726" s="4"/>
      <c r="M1726" s="4"/>
    </row>
    <row r="1727" ht="13.5" customHeight="1">
      <c r="A1727" s="4" t="str">
        <f t="shared" si="1"/>
        <v>LFW-E36MU</v>
      </c>
      <c r="B1727" s="65" t="s">
        <v>123</v>
      </c>
      <c r="C1727" s="65" t="s">
        <v>124</v>
      </c>
      <c r="D1727" s="65" t="s">
        <v>22</v>
      </c>
      <c r="E1727" s="68" t="s">
        <v>1361</v>
      </c>
      <c r="F1727" s="65" t="s">
        <v>125</v>
      </c>
      <c r="G1727" s="4">
        <f>SUMIFS(X!$F$5:$F$2005,X!$D$5:$D$2005,'Current Stock'!A1727)</f>
        <v>10</v>
      </c>
      <c r="H1727" s="4">
        <f>SUMIFS(PENJUALAN!$E$4:$E$11000,PENJUALAN!$C$4:$C$11000,'Current Stock'!A1727)</f>
        <v>10</v>
      </c>
      <c r="I1727" s="16">
        <f t="shared" si="2"/>
        <v>0</v>
      </c>
      <c r="J1727" s="75" t="s">
        <v>1341</v>
      </c>
      <c r="K1727" s="75"/>
      <c r="L1727" s="69">
        <v>1.0</v>
      </c>
      <c r="M1727" s="68"/>
    </row>
    <row r="1728" ht="13.5" customHeight="1">
      <c r="A1728" s="4" t="str">
        <f t="shared" si="1"/>
        <v>LFW-KATANA84MU</v>
      </c>
      <c r="B1728" s="31" t="s">
        <v>2093</v>
      </c>
      <c r="C1728" s="30" t="s">
        <v>1454</v>
      </c>
      <c r="D1728" s="43" t="s">
        <v>22</v>
      </c>
      <c r="E1728" s="15" t="s">
        <v>1361</v>
      </c>
      <c r="F1728" s="28"/>
      <c r="G1728" s="4">
        <f>SUMIFS(X!$F$5:$F$2005,X!$D$5:$D$2005,'Current Stock'!A1728)</f>
        <v>1</v>
      </c>
      <c r="H1728" s="4">
        <f>SUMIFS(PENJUALAN!$E$4:$E$11000,PENJUALAN!$C$4:$C$11000,'Current Stock'!A1728)</f>
        <v>0</v>
      </c>
      <c r="I1728" s="16">
        <f t="shared" si="2"/>
        <v>1</v>
      </c>
      <c r="J1728" s="15" t="s">
        <v>1445</v>
      </c>
      <c r="K1728" s="15"/>
      <c r="L1728" s="4"/>
      <c r="M1728" s="4"/>
    </row>
    <row r="1729" ht="13.5" customHeight="1">
      <c r="A1729" s="4" t="str">
        <f t="shared" si="1"/>
        <v>OTH-LISTPJR16MIT</v>
      </c>
      <c r="B1729" s="19" t="s">
        <v>2094</v>
      </c>
      <c r="C1729" s="15" t="s">
        <v>2095</v>
      </c>
      <c r="D1729" s="15" t="s">
        <v>15</v>
      </c>
      <c r="E1729" s="15" t="s">
        <v>2096</v>
      </c>
      <c r="F1729" s="4"/>
      <c r="G1729" s="4">
        <f>SUMIFS(X!$F$5:$F$2005,X!$D$5:$D$2005,'Current Stock'!A1729)</f>
        <v>2</v>
      </c>
      <c r="H1729" s="4">
        <f>SUMIFS(PENJUALAN!$E$4:$E$11000,PENJUALAN!$C$4:$C$11000,'Current Stock'!A1729)</f>
        <v>1</v>
      </c>
      <c r="I1729" s="16">
        <f t="shared" si="2"/>
        <v>1</v>
      </c>
      <c r="J1729" s="4"/>
      <c r="K1729" s="4"/>
      <c r="L1729" s="5"/>
      <c r="M1729" s="4"/>
    </row>
    <row r="1730" ht="13.5" customHeight="1">
      <c r="A1730" s="4" t="str">
        <f t="shared" si="1"/>
        <v>OTH-LISTTRWGRANMAXPUDAI</v>
      </c>
      <c r="B1730" s="19" t="s">
        <v>2097</v>
      </c>
      <c r="C1730" s="15" t="s">
        <v>2098</v>
      </c>
      <c r="D1730" s="15" t="s">
        <v>15</v>
      </c>
      <c r="E1730" s="15" t="s">
        <v>2099</v>
      </c>
      <c r="F1730" s="4"/>
      <c r="G1730" s="4">
        <f>SUMIFS(X!$F$5:$F$2005,X!$D$5:$D$2005,'Current Stock'!A1730)</f>
        <v>1</v>
      </c>
      <c r="H1730" s="4">
        <f>SUMIFS(PENJUALAN!$E$4:$E$11000,PENJUALAN!$C$4:$C$11000,'Current Stock'!A1730)</f>
        <v>0</v>
      </c>
      <c r="I1730" s="16">
        <f t="shared" si="2"/>
        <v>1</v>
      </c>
      <c r="J1730" s="4"/>
      <c r="K1730" s="4"/>
      <c r="L1730" s="5"/>
      <c r="M1730" s="4"/>
    </row>
    <row r="1731" ht="13.5" customHeight="1">
      <c r="A1731" s="4" t="str">
        <f t="shared" si="1"/>
        <v>TRW-MAZDA612FY</v>
      </c>
      <c r="B1731" s="29" t="s">
        <v>2100</v>
      </c>
      <c r="C1731" s="28" t="s">
        <v>714</v>
      </c>
      <c r="D1731" s="28" t="s">
        <v>41</v>
      </c>
      <c r="E1731" s="4" t="s">
        <v>111</v>
      </c>
      <c r="F1731" s="28" t="s">
        <v>67</v>
      </c>
      <c r="G1731" s="4">
        <f>SUMIFS(X!$F$5:$F$2005,X!$D$5:$D$2005,'Current Stock'!A1731)</f>
        <v>1</v>
      </c>
      <c r="H1731" s="4">
        <f>SUMIFS(PENJUALAN!$E$4:$E$11000,PENJUALAN!$C$4:$C$11000,'Current Stock'!A1731)</f>
        <v>1</v>
      </c>
      <c r="I1731" s="16">
        <f t="shared" si="2"/>
        <v>0</v>
      </c>
      <c r="J1731" s="4"/>
      <c r="K1731" s="4"/>
      <c r="L1731" s="4"/>
      <c r="M1731" s="4"/>
    </row>
    <row r="1732" ht="13.5" customHeight="1">
      <c r="A1732" s="4" t="str">
        <f t="shared" si="1"/>
        <v>LFW-E84XYG</v>
      </c>
      <c r="B1732" s="29" t="s">
        <v>183</v>
      </c>
      <c r="C1732" s="28" t="s">
        <v>184</v>
      </c>
      <c r="D1732" s="28" t="s">
        <v>22</v>
      </c>
      <c r="E1732" s="4" t="s">
        <v>16</v>
      </c>
      <c r="F1732" s="28" t="s">
        <v>75</v>
      </c>
      <c r="G1732" s="4">
        <f>SUMIFS(X!$F$5:$F$2005,X!$D$5:$D$2005,'Current Stock'!A1732)</f>
        <v>1</v>
      </c>
      <c r="H1732" s="4">
        <f>SUMIFS(PENJUALAN!$E$4:$E$11000,PENJUALAN!$C$4:$C$11000,'Current Stock'!A1732)</f>
        <v>1</v>
      </c>
      <c r="I1732" s="16">
        <f t="shared" si="2"/>
        <v>0</v>
      </c>
      <c r="J1732" s="4"/>
      <c r="K1732" s="4"/>
      <c r="L1732" s="4"/>
      <c r="M1732" s="4"/>
    </row>
    <row r="1733" ht="13.5" customHeight="1">
      <c r="A1733" s="4" t="str">
        <f t="shared" si="1"/>
        <v>LFW-AGYA13MU</v>
      </c>
      <c r="B1733" s="31" t="s">
        <v>2101</v>
      </c>
      <c r="C1733" s="57" t="s">
        <v>85</v>
      </c>
      <c r="D1733" s="30" t="s">
        <v>22</v>
      </c>
      <c r="E1733" s="4" t="s">
        <v>1361</v>
      </c>
      <c r="F1733" s="28" t="s">
        <v>97</v>
      </c>
      <c r="G1733" s="4">
        <f>SUMIFS(X!$F$5:$F$2005,X!$D$5:$D$2005,'Current Stock'!A1733)</f>
        <v>39</v>
      </c>
      <c r="H1733" s="4">
        <f>SUMIFS(PENJUALAN!$E$4:$E$11000,PENJUALAN!$C$4:$C$11000,'Current Stock'!A1733)</f>
        <v>33</v>
      </c>
      <c r="I1733" s="16">
        <f t="shared" si="2"/>
        <v>6</v>
      </c>
      <c r="J1733" s="15" t="s">
        <v>1603</v>
      </c>
      <c r="K1733" s="15"/>
      <c r="L1733" s="5">
        <v>3.0</v>
      </c>
      <c r="M1733" s="4"/>
    </row>
    <row r="1734" ht="13.5" customHeight="1">
      <c r="A1734" s="4" t="str">
        <f t="shared" si="1"/>
        <v>TRW-TARUNAXYG</v>
      </c>
      <c r="B1734" s="29" t="s">
        <v>2102</v>
      </c>
      <c r="C1734" s="28" t="s">
        <v>1761</v>
      </c>
      <c r="D1734" s="28" t="s">
        <v>41</v>
      </c>
      <c r="E1734" s="4" t="s">
        <v>16</v>
      </c>
      <c r="F1734" s="28" t="s">
        <v>97</v>
      </c>
      <c r="G1734" s="4">
        <f>SUMIFS(X!$F$5:$F$2005,X!$D$5:$D$2005,'Current Stock'!A1734)</f>
        <v>4</v>
      </c>
      <c r="H1734" s="4">
        <f>SUMIFS(PENJUALAN!$E$4:$E$11000,PENJUALAN!$C$4:$C$11000,'Current Stock'!A1734)</f>
        <v>3</v>
      </c>
      <c r="I1734" s="16">
        <f t="shared" si="2"/>
        <v>1</v>
      </c>
      <c r="J1734" s="15" t="s">
        <v>1460</v>
      </c>
      <c r="K1734" s="15"/>
      <c r="L1734" s="4"/>
      <c r="M1734" s="4"/>
    </row>
    <row r="1735" ht="13.5" customHeight="1">
      <c r="A1735" s="4" t="str">
        <f t="shared" si="1"/>
        <v>LFW-ALTIS00MU</v>
      </c>
      <c r="B1735" s="29" t="s">
        <v>1072</v>
      </c>
      <c r="C1735" s="65" t="s">
        <v>1073</v>
      </c>
      <c r="D1735" s="30" t="s">
        <v>22</v>
      </c>
      <c r="E1735" s="4" t="s">
        <v>1361</v>
      </c>
      <c r="F1735" s="28"/>
      <c r="G1735" s="4">
        <f>SUMIFS(X!$F$5:$F$2005,X!$D$5:$D$2005,'Current Stock'!A1735)</f>
        <v>0</v>
      </c>
      <c r="H1735" s="4">
        <f>SUMIFS(PENJUALAN!$E$4:$E$11000,PENJUALAN!$C$4:$C$11000,'Current Stock'!A1735)</f>
        <v>0</v>
      </c>
      <c r="I1735" s="16">
        <f t="shared" si="2"/>
        <v>0</v>
      </c>
      <c r="J1735" s="4"/>
      <c r="K1735" s="4"/>
      <c r="L1735" s="5">
        <v>1.0</v>
      </c>
      <c r="M1735" s="4"/>
    </row>
    <row r="1736" ht="13.5" customHeight="1">
      <c r="A1736" s="4" t="str">
        <f t="shared" si="1"/>
        <v>LFW-AVANZA03MU</v>
      </c>
      <c r="B1736" s="29" t="s">
        <v>1096</v>
      </c>
      <c r="C1736" s="28" t="s">
        <v>65</v>
      </c>
      <c r="D1736" s="28" t="s">
        <v>22</v>
      </c>
      <c r="E1736" s="4" t="s">
        <v>1361</v>
      </c>
      <c r="F1736" s="28" t="s">
        <v>97</v>
      </c>
      <c r="G1736" s="4">
        <f>SUMIFS(X!$F$5:$F$2005,X!$D$5:$D$2005,'Current Stock'!A1736)</f>
        <v>35</v>
      </c>
      <c r="H1736" s="4">
        <f>SUMIFS(PENJUALAN!$E$4:$E$11000,PENJUALAN!$C$4:$C$11000,'Current Stock'!A1736)</f>
        <v>32</v>
      </c>
      <c r="I1736" s="16">
        <f t="shared" si="2"/>
        <v>3</v>
      </c>
      <c r="J1736" s="15" t="s">
        <v>1845</v>
      </c>
      <c r="K1736" s="15"/>
      <c r="L1736" s="5">
        <v>3.0</v>
      </c>
      <c r="M1736" s="15" t="s">
        <v>2103</v>
      </c>
    </row>
    <row r="1737" ht="13.5" customHeight="1">
      <c r="A1737" s="4" t="str">
        <f t="shared" si="1"/>
        <v>LFW-CAPTIVARSXYG</v>
      </c>
      <c r="B1737" s="29" t="s">
        <v>222</v>
      </c>
      <c r="C1737" s="28" t="s">
        <v>223</v>
      </c>
      <c r="D1737" s="28" t="s">
        <v>22</v>
      </c>
      <c r="E1737" s="4" t="s">
        <v>16</v>
      </c>
      <c r="F1737" s="28" t="s">
        <v>75</v>
      </c>
      <c r="G1737" s="4">
        <f>SUMIFS(X!$F$5:$F$2005,X!$D$5:$D$2005,'Current Stock'!A1737)</f>
        <v>2</v>
      </c>
      <c r="H1737" s="4">
        <f>SUMIFS(PENJUALAN!$E$4:$E$11000,PENJUALAN!$C$4:$C$11000,'Current Stock'!A1737)</f>
        <v>2</v>
      </c>
      <c r="I1737" s="16">
        <f t="shared" si="2"/>
        <v>0</v>
      </c>
      <c r="J1737" s="4"/>
      <c r="K1737" s="4"/>
      <c r="L1737" s="4"/>
      <c r="M1737" s="4"/>
    </row>
    <row r="1738" ht="13.5" customHeight="1">
      <c r="A1738" s="4" t="str">
        <f t="shared" si="1"/>
        <v>LFW-ECOSPORTXYG</v>
      </c>
      <c r="B1738" s="29" t="s">
        <v>283</v>
      </c>
      <c r="C1738" s="28" t="s">
        <v>284</v>
      </c>
      <c r="D1738" s="28" t="s">
        <v>22</v>
      </c>
      <c r="E1738" s="4" t="s">
        <v>16</v>
      </c>
      <c r="F1738" s="28" t="s">
        <v>125</v>
      </c>
      <c r="G1738" s="4">
        <f>SUMIFS(X!$F$5:$F$2005,X!$D$5:$D$2005,'Current Stock'!A1738)</f>
        <v>3</v>
      </c>
      <c r="H1738" s="4">
        <f>SUMIFS(PENJUALAN!$E$4:$E$11000,PENJUALAN!$C$4:$C$11000,'Current Stock'!A1738)</f>
        <v>2</v>
      </c>
      <c r="I1738" s="16">
        <f t="shared" si="2"/>
        <v>1</v>
      </c>
      <c r="J1738" s="15" t="s">
        <v>1387</v>
      </c>
      <c r="K1738" s="15"/>
      <c r="L1738" s="4"/>
      <c r="M1738" s="4"/>
    </row>
    <row r="1739" ht="13.5" customHeight="1">
      <c r="A1739" s="4" t="str">
        <f t="shared" si="1"/>
        <v>TRW-BRIONOLBGXYG</v>
      </c>
      <c r="B1739" s="29" t="s">
        <v>2104</v>
      </c>
      <c r="C1739" s="28" t="s">
        <v>2105</v>
      </c>
      <c r="D1739" s="28" t="s">
        <v>41</v>
      </c>
      <c r="E1739" s="4" t="s">
        <v>16</v>
      </c>
      <c r="F1739" s="28" t="s">
        <v>97</v>
      </c>
      <c r="G1739" s="4">
        <f>SUMIFS(X!$F$5:$F$2005,X!$D$5:$D$2005,'Current Stock'!A1739)</f>
        <v>3</v>
      </c>
      <c r="H1739" s="4">
        <f>SUMIFS(PENJUALAN!$E$4:$E$11000,PENJUALAN!$C$4:$C$11000,'Current Stock'!A1739)</f>
        <v>2</v>
      </c>
      <c r="I1739" s="16">
        <f t="shared" si="2"/>
        <v>1</v>
      </c>
      <c r="J1739" s="15" t="s">
        <v>1711</v>
      </c>
      <c r="K1739" s="15"/>
      <c r="L1739" s="4"/>
      <c r="M1739" s="4"/>
    </row>
    <row r="1740" ht="13.5" customHeight="1">
      <c r="A1740" s="4" t="str">
        <f t="shared" si="1"/>
        <v>TRW-BRIOXYG</v>
      </c>
      <c r="B1740" s="29" t="s">
        <v>2106</v>
      </c>
      <c r="C1740" s="28" t="s">
        <v>2107</v>
      </c>
      <c r="D1740" s="28" t="s">
        <v>41</v>
      </c>
      <c r="E1740" s="4" t="s">
        <v>16</v>
      </c>
      <c r="F1740" s="28" t="s">
        <v>2108</v>
      </c>
      <c r="G1740" s="4">
        <f>SUMIFS(X!$F$5:$F$2005,X!$D$5:$D$2005,'Current Stock'!A1740)</f>
        <v>3</v>
      </c>
      <c r="H1740" s="4">
        <f>SUMIFS(PENJUALAN!$E$4:$E$11000,PENJUALAN!$C$4:$C$11000,'Current Stock'!A1740)</f>
        <v>2</v>
      </c>
      <c r="I1740" s="16">
        <f t="shared" si="2"/>
        <v>1</v>
      </c>
      <c r="J1740" s="15" t="s">
        <v>1711</v>
      </c>
      <c r="K1740" s="15"/>
      <c r="L1740" s="4"/>
      <c r="M1740" s="4"/>
    </row>
    <row r="1741" ht="13.5" customHeight="1">
      <c r="A1741" s="4" t="str">
        <f t="shared" si="1"/>
        <v>SWL-AVANZA11MU</v>
      </c>
      <c r="B1741" s="29" t="s">
        <v>2109</v>
      </c>
      <c r="C1741" s="33" t="s">
        <v>1472</v>
      </c>
      <c r="D1741" s="28" t="s">
        <v>1434</v>
      </c>
      <c r="E1741" s="4" t="s">
        <v>1361</v>
      </c>
      <c r="F1741" s="28"/>
      <c r="G1741" s="4">
        <f>SUMIFS(X!$F$5:$F$2005,X!$D$5:$D$2005,'Current Stock'!A1741)</f>
        <v>10</v>
      </c>
      <c r="H1741" s="4">
        <f>SUMIFS(PENJUALAN!$E$4:$E$11000,PENJUALAN!$C$4:$C$11000,'Current Stock'!A1741)</f>
        <v>8</v>
      </c>
      <c r="I1741" s="16">
        <f t="shared" si="2"/>
        <v>2</v>
      </c>
      <c r="J1741" s="15" t="s">
        <v>2110</v>
      </c>
      <c r="K1741" s="15"/>
      <c r="L1741" s="5">
        <v>2.0</v>
      </c>
      <c r="M1741" s="4"/>
    </row>
    <row r="1742" ht="13.5" customHeight="1">
      <c r="A1742" s="4" t="str">
        <f t="shared" si="1"/>
        <v>LFW-CITY96XYG</v>
      </c>
      <c r="B1742" s="29" t="s">
        <v>358</v>
      </c>
      <c r="C1742" s="28" t="s">
        <v>359</v>
      </c>
      <c r="D1742" s="28" t="s">
        <v>22</v>
      </c>
      <c r="E1742" s="4" t="s">
        <v>16</v>
      </c>
      <c r="F1742" s="28" t="s">
        <v>97</v>
      </c>
      <c r="G1742" s="4">
        <f>SUMIFS(X!$F$5:$F$2005,X!$D$5:$D$2005,'Current Stock'!A1742)</f>
        <v>2</v>
      </c>
      <c r="H1742" s="4">
        <f>SUMIFS(PENJUALAN!$E$4:$E$11000,PENJUALAN!$C$4:$C$11000,'Current Stock'!A1742)</f>
        <v>1</v>
      </c>
      <c r="I1742" s="16">
        <f t="shared" si="2"/>
        <v>1</v>
      </c>
      <c r="J1742" s="15" t="s">
        <v>1432</v>
      </c>
      <c r="K1742" s="15"/>
      <c r="L1742" s="4"/>
      <c r="M1742" s="4"/>
    </row>
    <row r="1743" ht="13.5" customHeight="1">
      <c r="A1743" s="4" t="str">
        <f t="shared" si="1"/>
        <v>LFW-AVANZA16MU</v>
      </c>
      <c r="B1743" s="29" t="s">
        <v>1100</v>
      </c>
      <c r="C1743" s="28" t="s">
        <v>1101</v>
      </c>
      <c r="D1743" s="28" t="s">
        <v>22</v>
      </c>
      <c r="E1743" s="4" t="s">
        <v>1361</v>
      </c>
      <c r="F1743" s="28" t="s">
        <v>97</v>
      </c>
      <c r="G1743" s="4">
        <f>SUMIFS(X!$F$5:$F$2005,X!$D$5:$D$2005,'Current Stock'!A1743)</f>
        <v>66</v>
      </c>
      <c r="H1743" s="4">
        <f>SUMIFS(PENJUALAN!$E$4:$E$11000,PENJUALAN!$C$4:$C$11000,'Current Stock'!A1743)</f>
        <v>63</v>
      </c>
      <c r="I1743" s="16">
        <f t="shared" si="2"/>
        <v>3</v>
      </c>
      <c r="J1743" s="15" t="s">
        <v>1845</v>
      </c>
      <c r="K1743" s="15"/>
      <c r="L1743" s="5">
        <v>3.0</v>
      </c>
      <c r="M1743" s="15"/>
    </row>
    <row r="1744" ht="13.5" customHeight="1">
      <c r="A1744" s="4" t="str">
        <f t="shared" si="1"/>
        <v>LFW-CITY02XYG</v>
      </c>
      <c r="B1744" s="29" t="s">
        <v>361</v>
      </c>
      <c r="C1744" s="28" t="s">
        <v>362</v>
      </c>
      <c r="D1744" s="28" t="s">
        <v>22</v>
      </c>
      <c r="E1744" s="4" t="s">
        <v>16</v>
      </c>
      <c r="F1744" s="28" t="s">
        <v>97</v>
      </c>
      <c r="G1744" s="4">
        <f>SUMIFS(X!$F$5:$F$2005,X!$D$5:$D$2005,'Current Stock'!A1744)</f>
        <v>11</v>
      </c>
      <c r="H1744" s="4">
        <f>SUMIFS(PENJUALAN!$E$4:$E$11000,PENJUALAN!$C$4:$C$11000,'Current Stock'!A1744)</f>
        <v>6</v>
      </c>
      <c r="I1744" s="16">
        <f t="shared" si="2"/>
        <v>5</v>
      </c>
      <c r="J1744" s="15" t="s">
        <v>2084</v>
      </c>
      <c r="K1744" s="15"/>
      <c r="L1744" s="4"/>
      <c r="M1744" s="4"/>
    </row>
    <row r="1745" ht="13.5" customHeight="1">
      <c r="A1745" s="4" t="str">
        <f t="shared" si="1"/>
        <v>LFW-SIGRA16MU</v>
      </c>
      <c r="B1745" s="31" t="s">
        <v>2111</v>
      </c>
      <c r="C1745" s="30" t="s">
        <v>1517</v>
      </c>
      <c r="D1745" s="30" t="s">
        <v>22</v>
      </c>
      <c r="E1745" s="4" t="s">
        <v>1361</v>
      </c>
      <c r="F1745" s="28"/>
      <c r="G1745" s="4">
        <f>SUMIFS(X!$F$5:$F$2005,X!$D$5:$D$2005,'Current Stock'!A1745)</f>
        <v>56</v>
      </c>
      <c r="H1745" s="4">
        <f>SUMIFS(PENJUALAN!$E$4:$E$11000,PENJUALAN!$C$4:$C$11000,'Current Stock'!A1745)</f>
        <v>55</v>
      </c>
      <c r="I1745" s="16">
        <f t="shared" si="2"/>
        <v>1</v>
      </c>
      <c r="J1745" s="15" t="s">
        <v>1603</v>
      </c>
      <c r="K1745" s="15"/>
      <c r="L1745" s="5">
        <v>3.0</v>
      </c>
      <c r="M1745" s="15" t="s">
        <v>1850</v>
      </c>
    </row>
    <row r="1746" ht="13.5" customHeight="1">
      <c r="A1746" s="4" t="str">
        <f t="shared" si="1"/>
        <v>TRW-CITY08XYG</v>
      </c>
      <c r="B1746" s="29" t="s">
        <v>367</v>
      </c>
      <c r="C1746" s="28" t="s">
        <v>366</v>
      </c>
      <c r="D1746" s="28" t="s">
        <v>41</v>
      </c>
      <c r="E1746" s="4" t="s">
        <v>16</v>
      </c>
      <c r="F1746" s="28" t="s">
        <v>67</v>
      </c>
      <c r="G1746" s="4">
        <f>SUMIFS(X!$F$5:$F$2005,X!$D$5:$D$2005,'Current Stock'!A1746)</f>
        <v>1</v>
      </c>
      <c r="H1746" s="4">
        <f>SUMIFS(PENJUALAN!$E$4:$E$11000,PENJUALAN!$C$4:$C$11000,'Current Stock'!A1746)</f>
        <v>1</v>
      </c>
      <c r="I1746" s="16">
        <f t="shared" si="2"/>
        <v>0</v>
      </c>
      <c r="J1746" s="4"/>
      <c r="K1746" s="4"/>
      <c r="L1746" s="4"/>
      <c r="M1746" s="4"/>
    </row>
    <row r="1747" ht="13.5" customHeight="1">
      <c r="A1747" s="4" t="str">
        <f t="shared" si="1"/>
        <v>LFW-CITY19XYG</v>
      </c>
      <c r="B1747" s="29" t="s">
        <v>2112</v>
      </c>
      <c r="C1747" s="30" t="s">
        <v>2113</v>
      </c>
      <c r="D1747" s="30" t="s">
        <v>22</v>
      </c>
      <c r="E1747" s="4" t="s">
        <v>16</v>
      </c>
      <c r="F1747" s="28" t="s">
        <v>125</v>
      </c>
      <c r="G1747" s="4">
        <f>SUMIFS(X!$F$5:$F$2005,X!$D$5:$D$2005,'Current Stock'!A1747)</f>
        <v>6</v>
      </c>
      <c r="H1747" s="4">
        <f>SUMIFS(PENJUALAN!$E$4:$E$11000,PENJUALAN!$C$4:$C$11000,'Current Stock'!A1747)</f>
        <v>5</v>
      </c>
      <c r="I1747" s="16">
        <f t="shared" si="2"/>
        <v>1</v>
      </c>
      <c r="J1747" s="15" t="s">
        <v>1442</v>
      </c>
      <c r="K1747" s="15"/>
      <c r="L1747" s="4"/>
      <c r="M1747" s="4"/>
    </row>
    <row r="1748" ht="13.5" customHeight="1">
      <c r="A1748" s="4" t="str">
        <f t="shared" si="1"/>
        <v>SWR-SIGRA16MU</v>
      </c>
      <c r="B1748" s="29" t="s">
        <v>2114</v>
      </c>
      <c r="C1748" s="28" t="s">
        <v>1517</v>
      </c>
      <c r="D1748" s="28" t="s">
        <v>104</v>
      </c>
      <c r="E1748" s="4" t="s">
        <v>1361</v>
      </c>
      <c r="F1748" s="28"/>
      <c r="G1748" s="4">
        <f>SUMIFS(X!$F$5:$F$2005,X!$D$5:$D$2005,'Current Stock'!A1748)</f>
        <v>10</v>
      </c>
      <c r="H1748" s="4">
        <f>SUMIFS(PENJUALAN!$E$4:$E$11000,PENJUALAN!$C$4:$C$11000,'Current Stock'!A1748)</f>
        <v>3</v>
      </c>
      <c r="I1748" s="16">
        <f t="shared" si="2"/>
        <v>7</v>
      </c>
      <c r="J1748" s="15" t="s">
        <v>1473</v>
      </c>
      <c r="K1748" s="15"/>
      <c r="L1748" s="5">
        <v>1.0</v>
      </c>
      <c r="M1748" s="4"/>
    </row>
    <row r="1749" ht="13.5" customHeight="1">
      <c r="A1749" s="4" t="str">
        <f t="shared" si="1"/>
        <v>FDL-SIGRA16MU</v>
      </c>
      <c r="B1749" s="29" t="s">
        <v>2115</v>
      </c>
      <c r="C1749" s="28" t="s">
        <v>1517</v>
      </c>
      <c r="D1749" s="28" t="s">
        <v>93</v>
      </c>
      <c r="E1749" s="4" t="s">
        <v>1361</v>
      </c>
      <c r="F1749" s="33" t="s">
        <v>397</v>
      </c>
      <c r="G1749" s="4">
        <f>SUMIFS(X!$F$5:$F$2005,X!$D$5:$D$2005,'Current Stock'!A1749)</f>
        <v>5</v>
      </c>
      <c r="H1749" s="4">
        <f>SUMIFS(PENJUALAN!$E$4:$E$11000,PENJUALAN!$C$4:$C$11000,'Current Stock'!A1749)</f>
        <v>2</v>
      </c>
      <c r="I1749" s="16">
        <f t="shared" si="2"/>
        <v>3</v>
      </c>
      <c r="J1749" s="15" t="s">
        <v>1391</v>
      </c>
      <c r="K1749" s="15"/>
      <c r="L1749" s="5">
        <v>1.0</v>
      </c>
    </row>
    <row r="1750" ht="13.5" customHeight="1">
      <c r="A1750" s="4" t="str">
        <f t="shared" si="1"/>
        <v>TRW-CRV02XYG</v>
      </c>
      <c r="B1750" s="29" t="s">
        <v>422</v>
      </c>
      <c r="C1750" s="28" t="s">
        <v>423</v>
      </c>
      <c r="D1750" s="28" t="s">
        <v>41</v>
      </c>
      <c r="E1750" s="4" t="s">
        <v>16</v>
      </c>
      <c r="F1750" s="28" t="s">
        <v>227</v>
      </c>
      <c r="G1750" s="4">
        <f>SUMIFS(X!$F$5:$F$2005,X!$D$5:$D$2005,'Current Stock'!A1750)</f>
        <v>4</v>
      </c>
      <c r="H1750" s="4">
        <f>SUMIFS(PENJUALAN!$E$4:$E$11000,PENJUALAN!$C$4:$C$11000,'Current Stock'!A1750)</f>
        <v>3</v>
      </c>
      <c r="I1750" s="16">
        <f t="shared" si="2"/>
        <v>1</v>
      </c>
      <c r="J1750" s="15" t="s">
        <v>1422</v>
      </c>
      <c r="K1750" s="4"/>
      <c r="L1750" s="4"/>
      <c r="M1750" s="73"/>
    </row>
    <row r="1751" ht="13.5" customHeight="1">
      <c r="A1751" s="4" t="str">
        <f t="shared" si="1"/>
        <v>LFW-CAMRY11RSMU</v>
      </c>
      <c r="B1751" s="41" t="s">
        <v>1866</v>
      </c>
      <c r="C1751" s="65" t="s">
        <v>1115</v>
      </c>
      <c r="D1751" s="30" t="s">
        <v>22</v>
      </c>
      <c r="E1751" s="4" t="s">
        <v>1361</v>
      </c>
      <c r="F1751" s="28" t="s">
        <v>2116</v>
      </c>
      <c r="G1751" s="4">
        <f>SUMIFS(X!$F$5:$F$2005,X!$D$5:$D$2005,'Current Stock'!A1751)</f>
        <v>0</v>
      </c>
      <c r="H1751" s="4">
        <f>SUMIFS(PENJUALAN!$E$4:$E$11000,PENJUALAN!$C$4:$C$11000,'Current Stock'!A1751)</f>
        <v>0</v>
      </c>
      <c r="I1751" s="16">
        <f t="shared" si="2"/>
        <v>0</v>
      </c>
      <c r="J1751" s="4"/>
      <c r="K1751" s="4"/>
      <c r="L1751" s="5">
        <v>1.0</v>
      </c>
      <c r="M1751" s="4"/>
    </row>
    <row r="1752" ht="13.5" customHeight="1">
      <c r="A1752" s="4" t="str">
        <f t="shared" si="1"/>
        <v>LFW-COROLLA83MU</v>
      </c>
      <c r="B1752" s="41" t="s">
        <v>2117</v>
      </c>
      <c r="C1752" s="65" t="s">
        <v>2118</v>
      </c>
      <c r="D1752" s="30" t="s">
        <v>22</v>
      </c>
      <c r="E1752" s="4" t="s">
        <v>1361</v>
      </c>
      <c r="F1752" s="28" t="s">
        <v>1455</v>
      </c>
      <c r="G1752" s="4">
        <f>SUMIFS(X!$F$5:$F$2005,X!$D$5:$D$2005,'Current Stock'!A1752)</f>
        <v>0</v>
      </c>
      <c r="H1752" s="4">
        <f>SUMIFS(PENJUALAN!$E$4:$E$11000,PENJUALAN!$C$4:$C$11000,'Current Stock'!A1752)</f>
        <v>0</v>
      </c>
      <c r="I1752" s="16">
        <f t="shared" si="2"/>
        <v>0</v>
      </c>
      <c r="J1752" s="4"/>
      <c r="K1752" s="4"/>
      <c r="L1752" s="4"/>
      <c r="M1752" s="4"/>
    </row>
    <row r="1753" ht="13.5" customHeight="1">
      <c r="A1753" s="4" t="str">
        <f t="shared" si="1"/>
        <v>LFW-CRV05XYG</v>
      </c>
      <c r="B1753" s="29" t="s">
        <v>420</v>
      </c>
      <c r="C1753" s="28" t="s">
        <v>421</v>
      </c>
      <c r="D1753" s="28" t="s">
        <v>22</v>
      </c>
      <c r="E1753" s="4" t="s">
        <v>16</v>
      </c>
      <c r="F1753" s="28" t="s">
        <v>125</v>
      </c>
      <c r="G1753" s="4">
        <f>SUMIFS(X!$F$5:$F$2005,X!$D$5:$D$2005,'Current Stock'!A1753)</f>
        <v>2</v>
      </c>
      <c r="H1753" s="4">
        <f>SUMIFS(PENJUALAN!$E$4:$E$11000,PENJUALAN!$C$4:$C$11000,'Current Stock'!A1753)</f>
        <v>2</v>
      </c>
      <c r="I1753" s="16">
        <f t="shared" si="2"/>
        <v>0</v>
      </c>
      <c r="J1753" s="15" t="s">
        <v>1432</v>
      </c>
      <c r="K1753" s="15"/>
      <c r="L1753" s="4"/>
      <c r="M1753" s="4"/>
    </row>
    <row r="1754" ht="13.5" customHeight="1">
      <c r="A1754" s="4" t="str">
        <f t="shared" si="1"/>
        <v>LFW-COROLLA91MU</v>
      </c>
      <c r="B1754" s="41" t="s">
        <v>1121</v>
      </c>
      <c r="C1754" s="65" t="s">
        <v>1122</v>
      </c>
      <c r="D1754" s="30" t="s">
        <v>22</v>
      </c>
      <c r="E1754" s="4" t="s">
        <v>1361</v>
      </c>
      <c r="F1754" s="28" t="s">
        <v>1961</v>
      </c>
      <c r="G1754" s="4">
        <f>SUMIFS(X!$F$5:$F$2005,X!$D$5:$D$2005,'Current Stock'!A1754)</f>
        <v>0</v>
      </c>
      <c r="H1754" s="4">
        <f>SUMIFS(PENJUALAN!$E$4:$E$11000,PENJUALAN!$C$4:$C$11000,'Current Stock'!A1754)</f>
        <v>0</v>
      </c>
      <c r="I1754" s="16">
        <f t="shared" si="2"/>
        <v>0</v>
      </c>
      <c r="J1754" s="4"/>
      <c r="K1754" s="4"/>
      <c r="L1754" s="5">
        <v>1.0</v>
      </c>
      <c r="M1754" s="4"/>
    </row>
    <row r="1755" ht="13.5" customHeight="1">
      <c r="A1755" s="4" t="str">
        <f t="shared" si="1"/>
        <v>LFW-CRV07XYG</v>
      </c>
      <c r="B1755" s="29" t="s">
        <v>428</v>
      </c>
      <c r="C1755" s="28" t="s">
        <v>429</v>
      </c>
      <c r="D1755" s="28" t="s">
        <v>22</v>
      </c>
      <c r="E1755" s="4" t="s">
        <v>16</v>
      </c>
      <c r="F1755" s="28" t="s">
        <v>125</v>
      </c>
      <c r="G1755" s="4">
        <f>SUMIFS(X!$F$5:$F$2005,X!$D$5:$D$2005,'Current Stock'!A1755)</f>
        <v>11</v>
      </c>
      <c r="H1755" s="4">
        <f>SUMIFS(PENJUALAN!$E$4:$E$11000,PENJUALAN!$C$4:$C$11000,'Current Stock'!A1755)</f>
        <v>4</v>
      </c>
      <c r="I1755" s="16">
        <f t="shared" si="2"/>
        <v>7</v>
      </c>
      <c r="J1755" s="15" t="s">
        <v>2119</v>
      </c>
      <c r="K1755" s="15"/>
      <c r="L1755" s="4"/>
      <c r="M1755" s="4"/>
    </row>
    <row r="1756" ht="13.5" customHeight="1">
      <c r="A1756" s="4" t="str">
        <f t="shared" si="1"/>
        <v>SWL-CRV02XYG</v>
      </c>
      <c r="B1756" s="29" t="s">
        <v>426</v>
      </c>
      <c r="C1756" s="28" t="s">
        <v>423</v>
      </c>
      <c r="D1756" s="28" t="s">
        <v>202</v>
      </c>
      <c r="E1756" s="4" t="s">
        <v>16</v>
      </c>
      <c r="F1756" s="28" t="s">
        <v>97</v>
      </c>
      <c r="G1756" s="4">
        <f>SUMIFS(X!$F$5:$F$2005,X!$D$5:$D$2005,'Current Stock'!A1756)</f>
        <v>3</v>
      </c>
      <c r="H1756" s="4">
        <f>SUMIFS(PENJUALAN!$E$4:$E$11000,PENJUALAN!$C$4:$C$11000,'Current Stock'!A1756)</f>
        <v>1</v>
      </c>
      <c r="I1756" s="16">
        <f t="shared" si="2"/>
        <v>2</v>
      </c>
      <c r="J1756" s="15" t="s">
        <v>1391</v>
      </c>
      <c r="K1756" s="15"/>
      <c r="L1756" s="4"/>
      <c r="M1756" s="4"/>
    </row>
    <row r="1757" ht="13.5" customHeight="1">
      <c r="A1757" s="4" t="str">
        <f t="shared" si="1"/>
        <v>TRW-CRV07XYG</v>
      </c>
      <c r="B1757" s="29" t="s">
        <v>430</v>
      </c>
      <c r="C1757" s="28" t="s">
        <v>429</v>
      </c>
      <c r="D1757" s="28" t="s">
        <v>41</v>
      </c>
      <c r="E1757" s="4" t="s">
        <v>16</v>
      </c>
      <c r="F1757" s="28" t="s">
        <v>431</v>
      </c>
      <c r="G1757" s="4">
        <f>SUMIFS(X!$F$5:$F$2005,X!$D$5:$D$2005,'Current Stock'!A1757)</f>
        <v>2</v>
      </c>
      <c r="H1757" s="4">
        <f>SUMIFS(PENJUALAN!$E$4:$E$11000,PENJUALAN!$C$4:$C$11000,'Current Stock'!A1757)</f>
        <v>1</v>
      </c>
      <c r="I1757" s="16">
        <f t="shared" si="2"/>
        <v>1</v>
      </c>
      <c r="J1757" s="15" t="s">
        <v>1459</v>
      </c>
      <c r="K1757" s="15"/>
      <c r="L1757" s="4"/>
      <c r="M1757" s="4"/>
    </row>
    <row r="1758" ht="13.5" customHeight="1">
      <c r="A1758" s="4" t="str">
        <f t="shared" si="1"/>
        <v>LFW-HILUX05MU</v>
      </c>
      <c r="B1758" s="29" t="s">
        <v>1909</v>
      </c>
      <c r="C1758" s="28" t="s">
        <v>1154</v>
      </c>
      <c r="D1758" s="30" t="s">
        <v>22</v>
      </c>
      <c r="E1758" s="4" t="s">
        <v>1361</v>
      </c>
      <c r="F1758" s="28" t="s">
        <v>125</v>
      </c>
      <c r="G1758" s="4">
        <f>SUMIFS(X!$F$5:$F$2005,X!$D$5:$D$2005,'Current Stock'!A1758)</f>
        <v>1</v>
      </c>
      <c r="H1758" s="4">
        <f>SUMIFS(PENJUALAN!$E$4:$E$11000,PENJUALAN!$C$4:$C$11000,'Current Stock'!A1758)</f>
        <v>1</v>
      </c>
      <c r="I1758" s="16">
        <f t="shared" si="2"/>
        <v>0</v>
      </c>
      <c r="J1758" s="4"/>
      <c r="K1758" s="4"/>
      <c r="L1758" s="5">
        <v>2.0</v>
      </c>
      <c r="M1758" s="4"/>
    </row>
    <row r="1759" ht="13.5" customHeight="1">
      <c r="A1759" s="4" t="str">
        <f t="shared" si="1"/>
        <v>TRW-BIANTEBLACKXYG</v>
      </c>
      <c r="B1759" s="29" t="s">
        <v>729</v>
      </c>
      <c r="C1759" s="28" t="s">
        <v>730</v>
      </c>
      <c r="D1759" s="28" t="s">
        <v>41</v>
      </c>
      <c r="E1759" s="4" t="s">
        <v>16</v>
      </c>
      <c r="F1759" s="28" t="s">
        <v>439</v>
      </c>
      <c r="G1759" s="4">
        <f>SUMIFS(X!$F$5:$F$2005,X!$D$5:$D$2005,'Current Stock'!A1759)</f>
        <v>3</v>
      </c>
      <c r="H1759" s="4">
        <f>SUMIFS(PENJUALAN!$E$4:$E$11000,PENJUALAN!$C$4:$C$11000,'Current Stock'!A1759)</f>
        <v>3</v>
      </c>
      <c r="I1759" s="16">
        <f t="shared" si="2"/>
        <v>0</v>
      </c>
      <c r="J1759" s="15" t="s">
        <v>1567</v>
      </c>
      <c r="K1759" s="15"/>
      <c r="L1759" s="4"/>
      <c r="M1759" s="4"/>
    </row>
    <row r="1760" ht="13.5" customHeight="1">
      <c r="A1760" s="4" t="str">
        <f t="shared" si="1"/>
        <v>LFW-INNOVA04MU</v>
      </c>
      <c r="B1760" s="29" t="s">
        <v>1159</v>
      </c>
      <c r="C1760" s="28" t="s">
        <v>1160</v>
      </c>
      <c r="D1760" s="28" t="s">
        <v>22</v>
      </c>
      <c r="E1760" s="4" t="s">
        <v>1361</v>
      </c>
      <c r="F1760" s="28" t="s">
        <v>125</v>
      </c>
      <c r="G1760" s="4">
        <f>SUMIFS(X!$F$5:$F$2005,X!$D$5:$D$2005,'Current Stock'!A1760)</f>
        <v>33</v>
      </c>
      <c r="H1760" s="4">
        <f>SUMIFS(PENJUALAN!$E$4:$E$11000,PENJUALAN!$C$4:$C$11000,'Current Stock'!A1760)</f>
        <v>30</v>
      </c>
      <c r="I1760" s="16">
        <f t="shared" si="2"/>
        <v>3</v>
      </c>
      <c r="J1760" s="15" t="s">
        <v>1863</v>
      </c>
      <c r="K1760" s="15"/>
      <c r="L1760" s="5">
        <v>3.0</v>
      </c>
      <c r="M1760" s="4"/>
    </row>
    <row r="1761" ht="13.5" customHeight="1">
      <c r="A1761" s="4" t="str">
        <f t="shared" si="1"/>
        <v>LFW-INNOVA15MU</v>
      </c>
      <c r="B1761" s="29" t="s">
        <v>1166</v>
      </c>
      <c r="C1761" s="28" t="s">
        <v>1167</v>
      </c>
      <c r="D1761" s="28" t="s">
        <v>22</v>
      </c>
      <c r="E1761" s="4" t="s">
        <v>1361</v>
      </c>
      <c r="F1761" s="28" t="s">
        <v>125</v>
      </c>
      <c r="G1761" s="4">
        <f>SUMIFS(X!$F$5:$F$2005,X!$D$5:$D$2005,'Current Stock'!A1761)</f>
        <v>19</v>
      </c>
      <c r="H1761" s="4">
        <f>SUMIFS(PENJUALAN!$E$4:$E$11000,PENJUALAN!$C$4:$C$11000,'Current Stock'!A1761)</f>
        <v>17</v>
      </c>
      <c r="I1761" s="16">
        <f t="shared" si="2"/>
        <v>2</v>
      </c>
      <c r="J1761" s="15" t="s">
        <v>158</v>
      </c>
      <c r="K1761" s="15"/>
      <c r="L1761" s="5">
        <v>2.0</v>
      </c>
      <c r="M1761" s="15" t="s">
        <v>2120</v>
      </c>
    </row>
    <row r="1762" ht="13.5" customHeight="1">
      <c r="A1762" s="4" t="str">
        <f t="shared" si="1"/>
        <v>LFW-MAZDA214RS1XYG</v>
      </c>
      <c r="B1762" s="29" t="s">
        <v>2121</v>
      </c>
      <c r="C1762" s="28" t="s">
        <v>2122</v>
      </c>
      <c r="D1762" s="28" t="s">
        <v>22</v>
      </c>
      <c r="E1762" s="4" t="s">
        <v>16</v>
      </c>
      <c r="F1762" s="28" t="s">
        <v>75</v>
      </c>
      <c r="G1762" s="4">
        <f>SUMIFS(X!$F$5:$F$2005,X!$D$5:$D$2005,'Current Stock'!A1762)</f>
        <v>7</v>
      </c>
      <c r="H1762" s="4">
        <f>SUMIFS(PENJUALAN!$E$4:$E$11000,PENJUALAN!$C$4:$C$11000,'Current Stock'!A1762)</f>
        <v>2</v>
      </c>
      <c r="I1762" s="16">
        <f t="shared" si="2"/>
        <v>5</v>
      </c>
      <c r="J1762" s="15" t="s">
        <v>744</v>
      </c>
      <c r="K1762" s="15"/>
      <c r="L1762" s="4"/>
      <c r="M1762" s="4"/>
    </row>
    <row r="1763" ht="13.5" customHeight="1">
      <c r="A1763" s="4" t="str">
        <f t="shared" si="1"/>
        <v>LFW-MAZDA214RS3XYG</v>
      </c>
      <c r="B1763" s="29" t="s">
        <v>2123</v>
      </c>
      <c r="C1763" s="28" t="s">
        <v>696</v>
      </c>
      <c r="D1763" s="28" t="s">
        <v>22</v>
      </c>
      <c r="E1763" s="4" t="s">
        <v>16</v>
      </c>
      <c r="F1763" s="28" t="s">
        <v>697</v>
      </c>
      <c r="G1763" s="4">
        <f>SUMIFS(X!$F$5:$F$2005,X!$D$5:$D$2005,'Current Stock'!A1763)</f>
        <v>4</v>
      </c>
      <c r="H1763" s="4">
        <f>SUMIFS(PENJUALAN!$E$4:$E$11000,PENJUALAN!$C$4:$C$11000,'Current Stock'!A1763)</f>
        <v>3</v>
      </c>
      <c r="I1763" s="16">
        <f t="shared" si="2"/>
        <v>1</v>
      </c>
      <c r="J1763" s="15" t="s">
        <v>1387</v>
      </c>
      <c r="K1763" s="15"/>
      <c r="L1763" s="4"/>
      <c r="M1763" s="4"/>
    </row>
    <row r="1764" ht="13.5" customHeight="1">
      <c r="A1764" s="4" t="str">
        <f t="shared" si="1"/>
        <v>LFW-JAZZ13XYG</v>
      </c>
      <c r="B1764" s="29" t="s">
        <v>475</v>
      </c>
      <c r="C1764" s="28" t="s">
        <v>476</v>
      </c>
      <c r="D1764" s="28" t="s">
        <v>22</v>
      </c>
      <c r="E1764" s="4" t="s">
        <v>16</v>
      </c>
      <c r="F1764" s="28" t="s">
        <v>125</v>
      </c>
      <c r="G1764" s="4">
        <f>SUMIFS(X!$F$5:$F$2005,X!$D$5:$D$2005,'Current Stock'!A1764)</f>
        <v>9</v>
      </c>
      <c r="H1764" s="4">
        <f>SUMIFS(PENJUALAN!$E$4:$E$11000,PENJUALAN!$C$4:$C$11000,'Current Stock'!A1764)</f>
        <v>8</v>
      </c>
      <c r="I1764" s="16">
        <f t="shared" si="2"/>
        <v>1</v>
      </c>
      <c r="J1764" s="56" t="s">
        <v>2124</v>
      </c>
      <c r="K1764" s="4"/>
      <c r="L1764" s="4"/>
      <c r="M1764" s="4"/>
    </row>
    <row r="1765" ht="13.5" customHeight="1">
      <c r="A1765" s="4" t="str">
        <f t="shared" si="1"/>
        <v>FDL-MAZDA214XYG</v>
      </c>
      <c r="B1765" s="29" t="s">
        <v>700</v>
      </c>
      <c r="C1765" s="28" t="s">
        <v>699</v>
      </c>
      <c r="D1765" s="28" t="s">
        <v>128</v>
      </c>
      <c r="E1765" s="4" t="s">
        <v>16</v>
      </c>
      <c r="F1765" s="28" t="s">
        <v>397</v>
      </c>
      <c r="G1765" s="4">
        <f>SUMIFS(X!$F$5:$F$2005,X!$D$5:$D$2005,'Current Stock'!A1765)</f>
        <v>1</v>
      </c>
      <c r="H1765" s="4">
        <f>SUMIFS(PENJUALAN!$E$4:$E$11000,PENJUALAN!$C$4:$C$11000,'Current Stock'!A1765)</f>
        <v>1</v>
      </c>
      <c r="I1765" s="16">
        <f t="shared" si="2"/>
        <v>0</v>
      </c>
      <c r="J1765" s="15" t="s">
        <v>1431</v>
      </c>
      <c r="K1765" s="4"/>
      <c r="L1765" s="4"/>
      <c r="M1765" s="4"/>
    </row>
    <row r="1766" ht="13.5" customHeight="1">
      <c r="A1766" s="4" t="str">
        <f t="shared" si="1"/>
        <v>LFW-FJ70HTOPMU</v>
      </c>
      <c r="B1766" s="29" t="s">
        <v>2125</v>
      </c>
      <c r="C1766" s="28" t="s">
        <v>2126</v>
      </c>
      <c r="D1766" s="30" t="s">
        <v>22</v>
      </c>
      <c r="E1766" s="4" t="s">
        <v>1361</v>
      </c>
      <c r="F1766" s="28"/>
      <c r="G1766" s="4">
        <f>SUMIFS(X!$F$5:$F$2005,X!$D$5:$D$2005,'Current Stock'!A1766)</f>
        <v>0</v>
      </c>
      <c r="H1766" s="4">
        <f>SUMIFS(PENJUALAN!$E$4:$E$11000,PENJUALAN!$C$4:$C$11000,'Current Stock'!A1766)</f>
        <v>0</v>
      </c>
      <c r="I1766" s="16">
        <f t="shared" si="2"/>
        <v>0</v>
      </c>
      <c r="J1766" s="4"/>
      <c r="K1766" s="4"/>
      <c r="L1766" s="5">
        <v>1.0</v>
      </c>
      <c r="M1766" s="4"/>
    </row>
    <row r="1767" ht="13.5" customHeight="1">
      <c r="A1767" s="4" t="str">
        <f t="shared" si="1"/>
        <v>LFW-FJ80MU</v>
      </c>
      <c r="B1767" s="29" t="s">
        <v>1171</v>
      </c>
      <c r="C1767" s="28" t="s">
        <v>1172</v>
      </c>
      <c r="D1767" s="30" t="s">
        <v>22</v>
      </c>
      <c r="E1767" s="4" t="s">
        <v>1361</v>
      </c>
      <c r="F1767" s="28"/>
      <c r="G1767" s="4">
        <f>SUMIFS(X!$F$5:$F$2005,X!$D$5:$D$2005,'Current Stock'!A1767)</f>
        <v>1</v>
      </c>
      <c r="H1767" s="4">
        <f>SUMIFS(PENJUALAN!$E$4:$E$11000,PENJUALAN!$C$4:$C$11000,'Current Stock'!A1767)</f>
        <v>1</v>
      </c>
      <c r="I1767" s="16">
        <f t="shared" si="2"/>
        <v>0</v>
      </c>
      <c r="J1767" s="4"/>
      <c r="K1767" s="4"/>
      <c r="L1767" s="5">
        <v>1.0</v>
      </c>
      <c r="M1767" s="4"/>
    </row>
    <row r="1768" ht="13.5" customHeight="1">
      <c r="A1768" s="4" t="str">
        <f t="shared" si="1"/>
        <v>TRW-INNOVA04XYG</v>
      </c>
      <c r="B1768" s="29" t="s">
        <v>1162</v>
      </c>
      <c r="C1768" s="28" t="s">
        <v>1160</v>
      </c>
      <c r="D1768" s="28" t="s">
        <v>41</v>
      </c>
      <c r="E1768" s="4" t="s">
        <v>16</v>
      </c>
      <c r="F1768" s="28" t="s">
        <v>97</v>
      </c>
      <c r="G1768" s="4">
        <f>SUMIFS(X!$F$5:$F$2005,X!$D$5:$D$2005,'Current Stock'!A1768)</f>
        <v>16</v>
      </c>
      <c r="H1768" s="4">
        <f>SUMIFS(PENJUALAN!$E$4:$E$11000,PENJUALAN!$C$4:$C$11000,'Current Stock'!A1768)</f>
        <v>15</v>
      </c>
      <c r="I1768" s="16">
        <f t="shared" si="2"/>
        <v>1</v>
      </c>
      <c r="J1768" s="15" t="s">
        <v>1860</v>
      </c>
      <c r="K1768" s="15"/>
      <c r="L1768" s="5">
        <v>1.0</v>
      </c>
      <c r="M1768" s="15" t="s">
        <v>2127</v>
      </c>
    </row>
    <row r="1769" ht="13.5" customHeight="1">
      <c r="A1769" s="4" t="str">
        <f t="shared" si="1"/>
        <v>LFW-ELFNMRXYG</v>
      </c>
      <c r="B1769" s="29" t="s">
        <v>1308</v>
      </c>
      <c r="C1769" s="28" t="s">
        <v>1309</v>
      </c>
      <c r="D1769" s="28" t="s">
        <v>22</v>
      </c>
      <c r="E1769" s="4" t="s">
        <v>16</v>
      </c>
      <c r="F1769" s="33" t="s">
        <v>97</v>
      </c>
      <c r="G1769" s="4">
        <f>SUMIFS(X!$F$5:$F$2005,X!$D$5:$D$2005,'Current Stock'!A1769)</f>
        <v>13</v>
      </c>
      <c r="H1769" s="4">
        <f>SUMIFS(PENJUALAN!$E$4:$E$11000,PENJUALAN!$C$4:$C$11000,'Current Stock'!A1769)</f>
        <v>9</v>
      </c>
      <c r="I1769" s="16">
        <f t="shared" si="2"/>
        <v>4</v>
      </c>
      <c r="J1769" s="15" t="s">
        <v>1843</v>
      </c>
      <c r="K1769" s="15"/>
      <c r="L1769" s="4"/>
      <c r="M1769" s="4"/>
    </row>
    <row r="1770" ht="13.5" customHeight="1">
      <c r="A1770" s="4" t="str">
        <f t="shared" si="1"/>
        <v>TRW-TERIOS06HOLEXYG</v>
      </c>
      <c r="B1770" s="29" t="s">
        <v>1245</v>
      </c>
      <c r="C1770" s="28" t="s">
        <v>1244</v>
      </c>
      <c r="D1770" s="28" t="s">
        <v>41</v>
      </c>
      <c r="E1770" s="4" t="s">
        <v>16</v>
      </c>
      <c r="F1770" s="28" t="s">
        <v>533</v>
      </c>
      <c r="G1770" s="4">
        <f>SUMIFS(X!$F$5:$F$2005,X!$D$5:$D$2005,'Current Stock'!A1770)</f>
        <v>6</v>
      </c>
      <c r="H1770" s="4">
        <f>SUMIFS(PENJUALAN!$E$4:$E$11000,PENJUALAN!$C$4:$C$11000,'Current Stock'!A1770)</f>
        <v>4</v>
      </c>
      <c r="I1770" s="16">
        <f t="shared" si="2"/>
        <v>2</v>
      </c>
      <c r="J1770" s="15" t="s">
        <v>2128</v>
      </c>
      <c r="K1770" s="15"/>
      <c r="L1770" s="4"/>
      <c r="M1770" s="4"/>
    </row>
    <row r="1771" ht="13.5" customHeight="1">
      <c r="A1771" s="4" t="str">
        <f t="shared" si="1"/>
        <v>TRW-TERIOS06HHOLEXYG</v>
      </c>
      <c r="B1771" s="29" t="s">
        <v>1246</v>
      </c>
      <c r="C1771" s="28" t="s">
        <v>1244</v>
      </c>
      <c r="D1771" s="28" t="s">
        <v>41</v>
      </c>
      <c r="E1771" s="4" t="s">
        <v>16</v>
      </c>
      <c r="F1771" s="28" t="s">
        <v>221</v>
      </c>
      <c r="G1771" s="4">
        <f>SUMIFS(X!$F$5:$F$2005,X!$D$5:$D$2005,'Current Stock'!A1771)</f>
        <v>10</v>
      </c>
      <c r="H1771" s="4">
        <f>SUMIFS(PENJUALAN!$E$4:$E$11000,PENJUALAN!$C$4:$C$11000,'Current Stock'!A1771)</f>
        <v>8</v>
      </c>
      <c r="I1771" s="16">
        <f t="shared" si="2"/>
        <v>2</v>
      </c>
      <c r="J1771" s="15" t="s">
        <v>2129</v>
      </c>
      <c r="K1771" s="15"/>
      <c r="L1771" s="4"/>
      <c r="M1771" s="4"/>
    </row>
    <row r="1772" ht="13.5" customHeight="1">
      <c r="A1772" s="4" t="str">
        <f t="shared" si="1"/>
        <v>TRW-INNOVA15HXYG</v>
      </c>
      <c r="B1772" s="29" t="s">
        <v>1859</v>
      </c>
      <c r="C1772" s="28" t="s">
        <v>1167</v>
      </c>
      <c r="D1772" s="28" t="s">
        <v>41</v>
      </c>
      <c r="E1772" s="4" t="s">
        <v>16</v>
      </c>
      <c r="F1772" s="28" t="s">
        <v>221</v>
      </c>
      <c r="G1772" s="4">
        <f>SUMIFS(X!$F$5:$F$2005,X!$D$5:$D$2005,'Current Stock'!A1772)</f>
        <v>7</v>
      </c>
      <c r="H1772" s="4">
        <f>SUMIFS(PENJUALAN!$E$4:$E$11000,PENJUALAN!$C$4:$C$11000,'Current Stock'!A1772)</f>
        <v>5</v>
      </c>
      <c r="I1772" s="16">
        <f t="shared" si="2"/>
        <v>2</v>
      </c>
      <c r="J1772" s="15" t="s">
        <v>1860</v>
      </c>
      <c r="K1772" s="15"/>
      <c r="L1772" s="4"/>
      <c r="M1772" s="4"/>
    </row>
    <row r="1773" ht="13.5" customHeight="1">
      <c r="A1773" s="4" t="str">
        <f t="shared" si="1"/>
        <v>LFW-FE700XYG</v>
      </c>
      <c r="B1773" s="29" t="s">
        <v>1310</v>
      </c>
      <c r="C1773" s="30" t="s">
        <v>1311</v>
      </c>
      <c r="D1773" s="28" t="s">
        <v>22</v>
      </c>
      <c r="E1773" s="4" t="s">
        <v>16</v>
      </c>
      <c r="F1773" s="28"/>
      <c r="G1773" s="4">
        <f>SUMIFS(X!$F$5:$F$2005,X!$D$5:$D$2005,'Current Stock'!A1773)</f>
        <v>7</v>
      </c>
      <c r="H1773" s="4">
        <f>SUMIFS(PENJUALAN!$E$4:$E$11000,PENJUALAN!$C$4:$C$11000,'Current Stock'!A1773)</f>
        <v>5</v>
      </c>
      <c r="I1773" s="16">
        <f t="shared" si="2"/>
        <v>2</v>
      </c>
      <c r="J1773" s="15" t="s">
        <v>1843</v>
      </c>
      <c r="K1773" s="15"/>
      <c r="L1773" s="4"/>
      <c r="M1773" s="4"/>
    </row>
    <row r="1774" ht="13.5" customHeight="1">
      <c r="A1774" s="4" t="str">
        <f t="shared" si="1"/>
        <v>TRW-VIOS07XYG</v>
      </c>
      <c r="B1774" s="29" t="s">
        <v>1265</v>
      </c>
      <c r="C1774" s="28" t="s">
        <v>1263</v>
      </c>
      <c r="D1774" s="28" t="s">
        <v>41</v>
      </c>
      <c r="E1774" s="4" t="s">
        <v>16</v>
      </c>
      <c r="F1774" s="28" t="s">
        <v>67</v>
      </c>
      <c r="G1774" s="4">
        <f>SUMIFS(X!$F$5:$F$2005,X!$D$5:$D$2005,'Current Stock'!A1774)</f>
        <v>5</v>
      </c>
      <c r="H1774" s="4">
        <f>SUMIFS(PENJUALAN!$E$4:$E$11000,PENJUALAN!$C$4:$C$11000,'Current Stock'!A1774)</f>
        <v>4</v>
      </c>
      <c r="I1774" s="16">
        <f t="shared" si="2"/>
        <v>1</v>
      </c>
      <c r="J1774" s="15" t="s">
        <v>1499</v>
      </c>
      <c r="K1774" s="15"/>
      <c r="L1774" s="4"/>
      <c r="M1774" s="4"/>
    </row>
    <row r="1775" ht="13.5" customHeight="1">
      <c r="A1775" s="4" t="str">
        <f t="shared" si="1"/>
        <v>LFW-NAV07XYG</v>
      </c>
      <c r="B1775" s="29" t="s">
        <v>1213</v>
      </c>
      <c r="C1775" s="28" t="s">
        <v>1214</v>
      </c>
      <c r="D1775" s="28" t="s">
        <v>22</v>
      </c>
      <c r="E1775" s="4" t="s">
        <v>16</v>
      </c>
      <c r="F1775" s="28" t="s">
        <v>125</v>
      </c>
      <c r="G1775" s="4">
        <f>SUMIFS(X!$F$5:$F$2005,X!$D$5:$D$2005,'Current Stock'!A1775)</f>
        <v>2</v>
      </c>
      <c r="H1775" s="4">
        <f>SUMIFS(PENJUALAN!$E$4:$E$11000,PENJUALAN!$C$4:$C$11000,'Current Stock'!A1775)</f>
        <v>2</v>
      </c>
      <c r="I1775" s="16">
        <f t="shared" si="2"/>
        <v>0</v>
      </c>
      <c r="J1775" s="15" t="s">
        <v>1851</v>
      </c>
      <c r="K1775" s="15"/>
      <c r="L1775" s="4"/>
      <c r="M1775" s="4"/>
    </row>
    <row r="1776" ht="13.5" customHeight="1">
      <c r="A1776" s="4" t="str">
        <f t="shared" si="1"/>
        <v>TRW-VOXYXYG</v>
      </c>
      <c r="B1776" s="29" t="s">
        <v>1271</v>
      </c>
      <c r="C1776" s="28" t="s">
        <v>1272</v>
      </c>
      <c r="D1776" s="28" t="s">
        <v>41</v>
      </c>
      <c r="E1776" s="4" t="s">
        <v>16</v>
      </c>
      <c r="F1776" s="28" t="s">
        <v>221</v>
      </c>
      <c r="G1776" s="4">
        <f>SUMIFS(X!$F$5:$F$2005,X!$D$5:$D$2005,'Current Stock'!A1776)</f>
        <v>3</v>
      </c>
      <c r="H1776" s="4">
        <f>SUMIFS(PENJUALAN!$E$4:$E$11000,PENJUALAN!$C$4:$C$11000,'Current Stock'!A1776)</f>
        <v>2</v>
      </c>
      <c r="I1776" s="16">
        <f t="shared" si="2"/>
        <v>1</v>
      </c>
      <c r="J1776" s="15" t="s">
        <v>1378</v>
      </c>
      <c r="K1776" s="4"/>
      <c r="L1776" s="4"/>
      <c r="M1776" s="4"/>
    </row>
    <row r="1777" ht="13.5" customHeight="1">
      <c r="A1777" s="4" t="str">
        <f t="shared" si="1"/>
        <v>LFW-ALMAZXYG</v>
      </c>
      <c r="B1777" s="29" t="s">
        <v>2130</v>
      </c>
      <c r="C1777" s="28" t="s">
        <v>1976</v>
      </c>
      <c r="D1777" s="28" t="s">
        <v>22</v>
      </c>
      <c r="E1777" s="4" t="s">
        <v>16</v>
      </c>
      <c r="F1777" s="28" t="s">
        <v>125</v>
      </c>
      <c r="G1777" s="4">
        <f>SUMIFS(X!$F$5:$F$2005,X!$D$5:$D$2005,'Current Stock'!A1777)</f>
        <v>3</v>
      </c>
      <c r="H1777" s="4">
        <f>SUMIFS(PENJUALAN!$E$4:$E$11000,PENJUALAN!$C$4:$C$11000,'Current Stock'!A1777)</f>
        <v>3</v>
      </c>
      <c r="I1777" s="16">
        <f t="shared" si="2"/>
        <v>0</v>
      </c>
      <c r="J1777" s="15" t="s">
        <v>2020</v>
      </c>
      <c r="K1777" s="15"/>
      <c r="L1777" s="4"/>
      <c r="M1777" s="4"/>
    </row>
    <row r="1778" ht="13.5" customHeight="1">
      <c r="A1778" s="4" t="str">
        <f t="shared" si="1"/>
        <v>TRW-ALMAZXYG</v>
      </c>
      <c r="B1778" s="31" t="s">
        <v>2131</v>
      </c>
      <c r="C1778" s="28" t="s">
        <v>1976</v>
      </c>
      <c r="D1778" s="30" t="s">
        <v>41</v>
      </c>
      <c r="E1778" s="4" t="s">
        <v>16</v>
      </c>
      <c r="F1778" s="33" t="s">
        <v>97</v>
      </c>
      <c r="G1778" s="4">
        <f>SUMIFS(X!$F$5:$F$2005,X!$D$5:$D$2005,'Current Stock'!A1778)</f>
        <v>3</v>
      </c>
      <c r="H1778" s="4">
        <f>SUMIFS(PENJUALAN!$E$4:$E$11000,PENJUALAN!$C$4:$C$11000,'Current Stock'!A1778)</f>
        <v>2</v>
      </c>
      <c r="I1778" s="16">
        <f t="shared" si="2"/>
        <v>1</v>
      </c>
      <c r="J1778" s="15" t="s">
        <v>1366</v>
      </c>
      <c r="K1778" s="15"/>
      <c r="L1778" s="4"/>
      <c r="M1778" s="4"/>
    </row>
    <row r="1779" ht="13.5" customHeight="1">
      <c r="A1779" s="4" t="str">
        <f t="shared" si="1"/>
        <v>RDR-HILUX15XYG</v>
      </c>
      <c r="B1779" s="29" t="s">
        <v>2132</v>
      </c>
      <c r="C1779" s="30" t="s">
        <v>1156</v>
      </c>
      <c r="D1779" s="30" t="s">
        <v>134</v>
      </c>
      <c r="E1779" s="4" t="s">
        <v>16</v>
      </c>
      <c r="F1779" s="30"/>
      <c r="G1779" s="4">
        <f>SUMIFS(X!$F$5:$F$2005,X!$D$5:$D$2005,'Current Stock'!A1779)</f>
        <v>2</v>
      </c>
      <c r="H1779" s="4">
        <f>SUMIFS(PENJUALAN!$E$4:$E$11000,PENJUALAN!$C$4:$C$11000,'Current Stock'!A1779)</f>
        <v>2</v>
      </c>
      <c r="I1779" s="16">
        <f t="shared" si="2"/>
        <v>0</v>
      </c>
      <c r="J1779" s="15" t="s">
        <v>2133</v>
      </c>
      <c r="K1779" s="15"/>
      <c r="L1779" s="4"/>
      <c r="M1779" s="4"/>
    </row>
    <row r="1780" ht="13.5" customHeight="1">
      <c r="A1780" s="4" t="str">
        <f t="shared" si="1"/>
        <v>FDR-LOUHANMU</v>
      </c>
      <c r="B1780" s="29" t="s">
        <v>738</v>
      </c>
      <c r="C1780" s="28" t="s">
        <v>2134</v>
      </c>
      <c r="D1780" s="28" t="s">
        <v>130</v>
      </c>
      <c r="E1780" s="4" t="s">
        <v>1361</v>
      </c>
      <c r="F1780" s="28" t="s">
        <v>397</v>
      </c>
      <c r="G1780" s="4">
        <f>SUMIFS(X!$F$5:$F$2005,X!$D$5:$D$2005,'Current Stock'!A1780)</f>
        <v>2</v>
      </c>
      <c r="H1780" s="4">
        <f>SUMIFS(PENJUALAN!$E$4:$E$11000,PENJUALAN!$C$4:$C$11000,'Current Stock'!A1780)</f>
        <v>0</v>
      </c>
      <c r="I1780" s="16">
        <f t="shared" si="2"/>
        <v>2</v>
      </c>
      <c r="J1780" s="15" t="s">
        <v>1382</v>
      </c>
      <c r="K1780" s="4"/>
      <c r="L1780" s="5">
        <v>1.0</v>
      </c>
      <c r="M1780" s="4"/>
    </row>
    <row r="1781" ht="13.5" customHeight="1">
      <c r="A1781" s="4" t="str">
        <f t="shared" si="1"/>
        <v>LFW-ACTROSMU</v>
      </c>
      <c r="B1781" s="29" t="s">
        <v>2135</v>
      </c>
      <c r="C1781" s="30" t="s">
        <v>2136</v>
      </c>
      <c r="D1781" s="30" t="s">
        <v>22</v>
      </c>
      <c r="E1781" s="4" t="s">
        <v>1361</v>
      </c>
      <c r="F1781" s="28"/>
      <c r="G1781" s="4">
        <f>SUMIFS(X!$F$5:$F$2005,X!$D$5:$D$2005,'Current Stock'!A1781)</f>
        <v>0</v>
      </c>
      <c r="H1781" s="4">
        <f>SUMIFS(PENJUALAN!$E$4:$E$11000,PENJUALAN!$C$4:$C$11000,'Current Stock'!A1781)</f>
        <v>0</v>
      </c>
      <c r="I1781" s="16">
        <f t="shared" si="2"/>
        <v>0</v>
      </c>
      <c r="J1781" s="4"/>
      <c r="K1781" s="4"/>
      <c r="L1781" s="4"/>
      <c r="M1781" s="4"/>
    </row>
    <row r="1782" ht="13.5" customHeight="1">
      <c r="A1782" s="4" t="str">
        <f t="shared" si="1"/>
        <v>RVL-HILUX15XYG</v>
      </c>
      <c r="B1782" s="29" t="s">
        <v>2137</v>
      </c>
      <c r="C1782" s="30" t="s">
        <v>1156</v>
      </c>
      <c r="D1782" s="30" t="s">
        <v>387</v>
      </c>
      <c r="E1782" s="4" t="s">
        <v>16</v>
      </c>
      <c r="F1782" s="30"/>
      <c r="G1782" s="4">
        <f>SUMIFS(X!$F$5:$F$2005,X!$D$5:$D$2005,'Current Stock'!A1782)</f>
        <v>1</v>
      </c>
      <c r="H1782" s="4">
        <f>SUMIFS(PENJUALAN!$E$4:$E$11000,PENJUALAN!$C$4:$C$11000,'Current Stock'!A1782)</f>
        <v>1</v>
      </c>
      <c r="I1782" s="16">
        <f t="shared" si="2"/>
        <v>0</v>
      </c>
      <c r="J1782" s="4"/>
      <c r="K1782" s="4"/>
      <c r="L1782" s="4"/>
      <c r="M1782" s="4"/>
    </row>
    <row r="1783" ht="13.5" customHeight="1">
      <c r="A1783" s="4" t="str">
        <f t="shared" si="1"/>
        <v>RVR-HILUX15XYG</v>
      </c>
      <c r="B1783" s="29" t="s">
        <v>2138</v>
      </c>
      <c r="C1783" s="30" t="s">
        <v>1156</v>
      </c>
      <c r="D1783" s="30" t="s">
        <v>389</v>
      </c>
      <c r="E1783" s="4" t="s">
        <v>16</v>
      </c>
      <c r="F1783" s="30"/>
      <c r="G1783" s="4">
        <f>SUMIFS(X!$F$5:$F$2005,X!$D$5:$D$2005,'Current Stock'!A1783)</f>
        <v>2</v>
      </c>
      <c r="H1783" s="4">
        <f>SUMIFS(PENJUALAN!$E$4:$E$11000,PENJUALAN!$C$4:$C$11000,'Current Stock'!A1783)</f>
        <v>1</v>
      </c>
      <c r="I1783" s="16">
        <f t="shared" si="2"/>
        <v>1</v>
      </c>
      <c r="J1783" s="15" t="s">
        <v>1470</v>
      </c>
      <c r="K1783" s="15"/>
      <c r="L1783" s="4"/>
      <c r="M1783" s="15"/>
    </row>
    <row r="1784" ht="13.5" customHeight="1">
      <c r="A1784" s="4" t="str">
        <f t="shared" si="1"/>
        <v>LFW-FK40MU</v>
      </c>
      <c r="B1784" s="29" t="s">
        <v>1314</v>
      </c>
      <c r="C1784" s="65" t="s">
        <v>1315</v>
      </c>
      <c r="D1784" s="28" t="s">
        <v>22</v>
      </c>
      <c r="E1784" s="4" t="s">
        <v>1361</v>
      </c>
      <c r="F1784" s="28"/>
      <c r="G1784" s="4">
        <f>SUMIFS(X!$F$5:$F$2005,X!$D$5:$D$2005,'Current Stock'!A1784)</f>
        <v>0</v>
      </c>
      <c r="H1784" s="4">
        <f>SUMIFS(PENJUALAN!$E$4:$E$11000,PENJUALAN!$C$4:$C$11000,'Current Stock'!A1784)</f>
        <v>0</v>
      </c>
      <c r="I1784" s="16">
        <f t="shared" si="2"/>
        <v>0</v>
      </c>
      <c r="J1784" s="4"/>
      <c r="K1784" s="4"/>
      <c r="L1784" s="4"/>
      <c r="M1784" s="4"/>
    </row>
    <row r="1785" ht="13.5" customHeight="1">
      <c r="A1785" s="4" t="str">
        <f t="shared" si="1"/>
        <v>LFW-L300MU</v>
      </c>
      <c r="B1785" s="29" t="s">
        <v>1318</v>
      </c>
      <c r="C1785" s="30" t="s">
        <v>1319</v>
      </c>
      <c r="D1785" s="28" t="s">
        <v>22</v>
      </c>
      <c r="E1785" s="4" t="s">
        <v>1361</v>
      </c>
      <c r="F1785" s="28"/>
      <c r="G1785" s="4">
        <f>SUMIFS(X!$F$5:$F$2005,X!$D$5:$D$2005,'Current Stock'!A1785)</f>
        <v>10</v>
      </c>
      <c r="H1785" s="4">
        <f>SUMIFS(PENJUALAN!$E$4:$E$11000,PENJUALAN!$C$4:$C$11000,'Current Stock'!A1785)</f>
        <v>9</v>
      </c>
      <c r="I1785" s="16">
        <f t="shared" si="2"/>
        <v>1</v>
      </c>
      <c r="J1785" s="15" t="s">
        <v>1908</v>
      </c>
      <c r="K1785" s="15"/>
      <c r="L1785" s="5">
        <v>1.0</v>
      </c>
      <c r="M1785" s="4"/>
    </row>
    <row r="1786" ht="13.5" customHeight="1">
      <c r="A1786" s="4" t="str">
        <f t="shared" si="1"/>
        <v>LFW-SCANIAMU</v>
      </c>
      <c r="B1786" s="29" t="s">
        <v>2139</v>
      </c>
      <c r="C1786" s="30" t="s">
        <v>2140</v>
      </c>
      <c r="D1786" s="30" t="s">
        <v>22</v>
      </c>
      <c r="E1786" s="4" t="s">
        <v>1361</v>
      </c>
      <c r="F1786" s="28"/>
      <c r="G1786" s="4">
        <f>SUMIFS(X!$F$5:$F$2005,X!$D$5:$D$2005,'Current Stock'!A1786)</f>
        <v>0</v>
      </c>
      <c r="H1786" s="4">
        <f>SUMIFS(PENJUALAN!$E$4:$E$11000,PENJUALAN!$C$4:$C$11000,'Current Stock'!A1786)</f>
        <v>0</v>
      </c>
      <c r="I1786" s="16">
        <f t="shared" si="2"/>
        <v>0</v>
      </c>
      <c r="J1786" s="4"/>
      <c r="K1786" s="4"/>
      <c r="L1786" s="4"/>
      <c r="M1786" s="4"/>
    </row>
    <row r="1787" ht="13.5" customHeight="1">
      <c r="A1787" s="4" t="str">
        <f t="shared" si="1"/>
        <v>LFW-INNOVA04XYG</v>
      </c>
      <c r="B1787" s="29" t="s">
        <v>1159</v>
      </c>
      <c r="C1787" s="28" t="s">
        <v>1160</v>
      </c>
      <c r="D1787" s="28" t="s">
        <v>22</v>
      </c>
      <c r="E1787" s="4" t="s">
        <v>16</v>
      </c>
      <c r="F1787" s="28" t="s">
        <v>125</v>
      </c>
      <c r="G1787" s="4">
        <f>SUMIFS(X!$F$5:$F$2005,X!$D$5:$D$2005,'Current Stock'!A1787)</f>
        <v>7</v>
      </c>
      <c r="H1787" s="4">
        <f>SUMIFS(PENJUALAN!$E$4:$E$11000,PENJUALAN!$C$4:$C$11000,'Current Stock'!A1787)</f>
        <v>7</v>
      </c>
      <c r="I1787" s="16">
        <f t="shared" si="2"/>
        <v>0</v>
      </c>
      <c r="J1787" s="15" t="s">
        <v>1863</v>
      </c>
      <c r="K1787" s="15"/>
      <c r="L1787" s="4"/>
      <c r="M1787" s="4"/>
    </row>
    <row r="1788" ht="13.5" customHeight="1">
      <c r="A1788" s="4" t="str">
        <f t="shared" si="1"/>
        <v>FDL-DYNAMU</v>
      </c>
      <c r="B1788" s="29" t="s">
        <v>2141</v>
      </c>
      <c r="C1788" s="30" t="s">
        <v>1381</v>
      </c>
      <c r="D1788" s="28" t="s">
        <v>128</v>
      </c>
      <c r="E1788" s="4" t="s">
        <v>1361</v>
      </c>
      <c r="F1788" s="30" t="s">
        <v>2142</v>
      </c>
      <c r="G1788" s="4">
        <f>SUMIFS(X!$F$5:$F$2005,X!$D$5:$D$2005,'Current Stock'!A1788)</f>
        <v>0</v>
      </c>
      <c r="H1788" s="4">
        <f>SUMIFS(PENJUALAN!$E$4:$E$11000,PENJUALAN!$C$4:$C$11000,'Current Stock'!A1788)</f>
        <v>0</v>
      </c>
      <c r="I1788" s="16">
        <f t="shared" si="2"/>
        <v>0</v>
      </c>
      <c r="J1788" s="4"/>
      <c r="K1788" s="4"/>
      <c r="L1788" s="4"/>
      <c r="M1788" s="4"/>
    </row>
    <row r="1789" ht="13.5" customHeight="1">
      <c r="A1789" s="4" t="str">
        <f t="shared" si="1"/>
        <v>FDR-DYNAMU</v>
      </c>
      <c r="B1789" s="29" t="s">
        <v>1380</v>
      </c>
      <c r="C1789" s="30" t="s">
        <v>1381</v>
      </c>
      <c r="D1789" s="28" t="s">
        <v>130</v>
      </c>
      <c r="E1789" s="4" t="s">
        <v>1361</v>
      </c>
      <c r="F1789" s="30" t="s">
        <v>2142</v>
      </c>
      <c r="G1789" s="4">
        <f>SUMIFS(X!$F$5:$F$2005,X!$D$5:$D$2005,'Current Stock'!A1789)</f>
        <v>0</v>
      </c>
      <c r="H1789" s="4">
        <f>SUMIFS(PENJUALAN!$E$4:$E$11000,PENJUALAN!$C$4:$C$11000,'Current Stock'!A1789)</f>
        <v>0</v>
      </c>
      <c r="I1789" s="16">
        <f t="shared" si="2"/>
        <v>0</v>
      </c>
      <c r="J1789" s="4"/>
      <c r="K1789" s="4"/>
      <c r="L1789" s="4"/>
      <c r="M1789" s="4"/>
    </row>
    <row r="1790" ht="13.5" customHeight="1">
      <c r="A1790" s="4" t="str">
        <f t="shared" si="1"/>
        <v>TRW-NKINGMU</v>
      </c>
      <c r="B1790" s="41" t="s">
        <v>2143</v>
      </c>
      <c r="C1790" s="30" t="s">
        <v>2144</v>
      </c>
      <c r="D1790" s="30" t="s">
        <v>41</v>
      </c>
      <c r="E1790" s="4" t="s">
        <v>1361</v>
      </c>
      <c r="F1790" s="30"/>
      <c r="G1790" s="4">
        <f>SUMIFS(X!$F$5:$F$2005,X!$D$5:$D$2005,'Current Stock'!A1790)</f>
        <v>0</v>
      </c>
      <c r="H1790" s="4">
        <f>SUMIFS(PENJUALAN!$E$4:$E$11000,PENJUALAN!$C$4:$C$11000,'Current Stock'!A1790)</f>
        <v>0</v>
      </c>
      <c r="I1790" s="16">
        <f t="shared" si="2"/>
        <v>0</v>
      </c>
      <c r="J1790" s="4"/>
      <c r="K1790" s="4"/>
      <c r="L1790" s="4"/>
      <c r="M1790" s="4"/>
    </row>
    <row r="1791" ht="13.5" customHeight="1">
      <c r="A1791" s="4" t="str">
        <f t="shared" si="1"/>
        <v>LFW-SIRION18XYG</v>
      </c>
      <c r="B1791" s="14" t="s">
        <v>2145</v>
      </c>
      <c r="C1791" s="4" t="s">
        <v>2146</v>
      </c>
      <c r="D1791" s="4" t="s">
        <v>22</v>
      </c>
      <c r="E1791" s="4" t="s">
        <v>16</v>
      </c>
      <c r="F1791" s="4" t="s">
        <v>97</v>
      </c>
      <c r="G1791" s="4">
        <f>SUMIFS(X!$F$5:$F$2005,X!$D$5:$D$2005,'Current Stock'!A1791)</f>
        <v>1</v>
      </c>
      <c r="H1791" s="4">
        <f>SUMIFS(PENJUALAN!$E$4:$E$11000,PENJUALAN!$C$4:$C$11000,'Current Stock'!A1791)</f>
        <v>0</v>
      </c>
      <c r="I1791" s="16">
        <f t="shared" si="2"/>
        <v>1</v>
      </c>
      <c r="J1791" s="15" t="s">
        <v>1595</v>
      </c>
      <c r="K1791" s="4"/>
      <c r="L1791" s="5"/>
      <c r="M1791" s="4"/>
    </row>
    <row r="1792" ht="13.5" customHeight="1">
      <c r="A1792" s="4" t="str">
        <f t="shared" si="1"/>
        <v>LFW-FJ150XYG</v>
      </c>
      <c r="B1792" s="29" t="s">
        <v>1207</v>
      </c>
      <c r="C1792" s="28" t="s">
        <v>1208</v>
      </c>
      <c r="D1792" s="28" t="s">
        <v>22</v>
      </c>
      <c r="E1792" s="4" t="s">
        <v>16</v>
      </c>
      <c r="F1792" s="28" t="s">
        <v>23</v>
      </c>
      <c r="G1792" s="4">
        <f>SUMIFS(X!$F$5:$F$2005,X!$D$5:$D$2005,'Current Stock'!A1792)</f>
        <v>2</v>
      </c>
      <c r="H1792" s="4">
        <f>SUMIFS(PENJUALAN!$E$4:$E$11000,PENJUALAN!$C$4:$C$11000,'Current Stock'!A1792)</f>
        <v>2</v>
      </c>
      <c r="I1792" s="16">
        <f t="shared" si="2"/>
        <v>0</v>
      </c>
      <c r="J1792" s="4"/>
      <c r="K1792" s="4"/>
      <c r="L1792" s="4"/>
      <c r="M1792" s="4"/>
    </row>
    <row r="1793" ht="13.5" customHeight="1">
      <c r="A1793" s="4" t="str">
        <f t="shared" si="1"/>
        <v>LFW-FJ150RS2XYG</v>
      </c>
      <c r="B1793" s="31" t="s">
        <v>2147</v>
      </c>
      <c r="C1793" s="33" t="s">
        <v>2148</v>
      </c>
      <c r="D1793" s="28" t="s">
        <v>22</v>
      </c>
      <c r="E1793" s="4" t="s">
        <v>16</v>
      </c>
      <c r="F1793" s="33" t="s">
        <v>804</v>
      </c>
      <c r="G1793" s="4">
        <f>SUMIFS(X!$F$5:$F$2005,X!$D$5:$D$2005,'Current Stock'!A1793)</f>
        <v>1</v>
      </c>
      <c r="H1793" s="4">
        <f>SUMIFS(PENJUALAN!$E$4:$E$11000,PENJUALAN!$C$4:$C$11000,'Current Stock'!A1793)</f>
        <v>1</v>
      </c>
      <c r="I1793" s="16">
        <f t="shared" si="2"/>
        <v>0</v>
      </c>
      <c r="J1793" s="4"/>
      <c r="K1793" s="4"/>
      <c r="L1793" s="4"/>
      <c r="M1793" s="4"/>
    </row>
    <row r="1794" ht="13.5" customHeight="1">
      <c r="A1794" s="4" t="str">
        <f t="shared" si="1"/>
        <v>RDR-BRIO18AGC</v>
      </c>
      <c r="B1794" s="14" t="s">
        <v>2149</v>
      </c>
      <c r="C1794" s="28" t="s">
        <v>1421</v>
      </c>
      <c r="D1794" s="4" t="s">
        <v>70</v>
      </c>
      <c r="E1794" s="15" t="s">
        <v>78</v>
      </c>
      <c r="F1794" s="15" t="s">
        <v>2150</v>
      </c>
      <c r="G1794" s="4">
        <f>SUMIFS(X!$F$5:$F$2005,X!$D$5:$D$2005,'Current Stock'!A1794)</f>
        <v>2</v>
      </c>
      <c r="H1794" s="4">
        <f>SUMIFS(PENJUALAN!$E$4:$E$11000,PENJUALAN!$C$4:$C$11000,'Current Stock'!A1794)</f>
        <v>0</v>
      </c>
      <c r="I1794" s="16">
        <f t="shared" si="2"/>
        <v>2</v>
      </c>
      <c r="J1794" s="15" t="s">
        <v>2067</v>
      </c>
      <c r="K1794" s="15"/>
      <c r="L1794" s="5"/>
      <c r="M1794" s="4"/>
    </row>
    <row r="1795" ht="13.5" customHeight="1">
      <c r="A1795" s="4" t="str">
        <f t="shared" si="1"/>
        <v>TRW-NAV07XYG</v>
      </c>
      <c r="B1795" s="29" t="s">
        <v>1215</v>
      </c>
      <c r="C1795" s="28" t="s">
        <v>1214</v>
      </c>
      <c r="D1795" s="28" t="s">
        <v>41</v>
      </c>
      <c r="E1795" s="4" t="s">
        <v>16</v>
      </c>
      <c r="F1795" s="28" t="s">
        <v>67</v>
      </c>
      <c r="G1795" s="4">
        <f>SUMIFS(X!$F$5:$F$2005,X!$D$5:$D$2005,'Current Stock'!A1795)</f>
        <v>1</v>
      </c>
      <c r="H1795" s="4">
        <f>SUMIFS(PENJUALAN!$E$4:$E$11000,PENJUALAN!$C$4:$C$11000,'Current Stock'!A1795)</f>
        <v>1</v>
      </c>
      <c r="I1795" s="16">
        <f t="shared" si="2"/>
        <v>0</v>
      </c>
      <c r="J1795" s="4"/>
      <c r="K1795" s="4"/>
      <c r="L1795" s="4"/>
      <c r="M1795" s="4"/>
    </row>
    <row r="1796" ht="13.5" customHeight="1">
      <c r="A1796" s="4" t="str">
        <f t="shared" si="1"/>
        <v>LFW-RAIZERSXYG</v>
      </c>
      <c r="B1796" s="29" t="s">
        <v>2151</v>
      </c>
      <c r="C1796" s="28" t="s">
        <v>2152</v>
      </c>
      <c r="D1796" s="28" t="s">
        <v>22</v>
      </c>
      <c r="E1796" s="4" t="s">
        <v>16</v>
      </c>
      <c r="F1796" s="28" t="s">
        <v>75</v>
      </c>
      <c r="G1796" s="4">
        <f>SUMIFS(X!$F$5:$F$2005,X!$D$5:$D$2005,'Current Stock'!A1796)</f>
        <v>1</v>
      </c>
      <c r="H1796" s="4">
        <f>SUMIFS(PENJUALAN!$E$4:$E$11000,PENJUALAN!$C$4:$C$11000,'Current Stock'!A1796)</f>
        <v>1</v>
      </c>
      <c r="I1796" s="16">
        <f t="shared" si="2"/>
        <v>0</v>
      </c>
      <c r="J1796" s="4"/>
      <c r="K1796" s="4"/>
      <c r="L1796" s="4"/>
      <c r="M1796" s="4"/>
    </row>
    <row r="1797" ht="13.5" customHeight="1">
      <c r="A1797" s="4" t="str">
        <f t="shared" si="1"/>
        <v>TRW-YARIS05XYG</v>
      </c>
      <c r="B1797" s="29" t="s">
        <v>1278</v>
      </c>
      <c r="C1797" s="28" t="s">
        <v>1277</v>
      </c>
      <c r="D1797" s="28" t="s">
        <v>41</v>
      </c>
      <c r="E1797" s="4" t="s">
        <v>16</v>
      </c>
      <c r="F1797" s="28" t="s">
        <v>67</v>
      </c>
      <c r="G1797" s="4">
        <f>SUMIFS(X!$F$5:$F$2005,X!$D$5:$D$2005,'Current Stock'!A1797)</f>
        <v>4</v>
      </c>
      <c r="H1797" s="4">
        <f>SUMIFS(PENJUALAN!$E$4:$E$11000,PENJUALAN!$C$4:$C$11000,'Current Stock'!A1797)</f>
        <v>3</v>
      </c>
      <c r="I1797" s="16">
        <f t="shared" si="2"/>
        <v>1</v>
      </c>
      <c r="J1797" s="15" t="s">
        <v>1884</v>
      </c>
      <c r="K1797" s="15"/>
      <c r="L1797" s="4"/>
      <c r="M1797" s="4"/>
    </row>
    <row r="1798" ht="13.5" customHeight="1">
      <c r="A1798" s="4" t="str">
        <f t="shared" si="1"/>
        <v>LFW-ALMAZRSXYG</v>
      </c>
      <c r="B1798" s="41" t="s">
        <v>2153</v>
      </c>
      <c r="C1798" s="28" t="s">
        <v>2154</v>
      </c>
      <c r="D1798" s="28" t="s">
        <v>22</v>
      </c>
      <c r="E1798" s="4" t="s">
        <v>16</v>
      </c>
      <c r="F1798" s="33" t="s">
        <v>2034</v>
      </c>
      <c r="G1798" s="4">
        <f>SUMIFS(X!$F$5:$F$2005,X!$D$5:$D$2005,'Current Stock'!A1798)</f>
        <v>5</v>
      </c>
      <c r="H1798" s="4">
        <f>SUMIFS(PENJUALAN!$E$4:$E$11000,PENJUALAN!$C$4:$C$11000,'Current Stock'!A1798)</f>
        <v>4</v>
      </c>
      <c r="I1798" s="16">
        <f t="shared" si="2"/>
        <v>1</v>
      </c>
      <c r="J1798" s="15" t="s">
        <v>2020</v>
      </c>
      <c r="K1798" s="4"/>
      <c r="L1798" s="4"/>
      <c r="M1798" s="4"/>
    </row>
    <row r="1799" ht="13.5" customHeight="1">
      <c r="A1799" s="4" t="str">
        <f t="shared" si="1"/>
        <v>LFW-GIGALONGXYG</v>
      </c>
      <c r="B1799" s="29" t="s">
        <v>2155</v>
      </c>
      <c r="C1799" s="28" t="s">
        <v>2156</v>
      </c>
      <c r="D1799" s="28" t="s">
        <v>22</v>
      </c>
      <c r="E1799" s="4" t="s">
        <v>16</v>
      </c>
      <c r="F1799" s="28"/>
      <c r="G1799" s="4">
        <f>SUMIFS(X!$F$5:$F$2005,X!$D$5:$D$2005,'Current Stock'!A1799)</f>
        <v>4</v>
      </c>
      <c r="H1799" s="4">
        <f>SUMIFS(PENJUALAN!$E$4:$E$11000,PENJUALAN!$C$4:$C$11000,'Current Stock'!A1799)</f>
        <v>2</v>
      </c>
      <c r="I1799" s="16">
        <f t="shared" si="2"/>
        <v>2</v>
      </c>
      <c r="J1799" s="15" t="s">
        <v>1485</v>
      </c>
      <c r="K1799" s="15"/>
      <c r="L1799" s="4"/>
      <c r="M1799" s="4"/>
    </row>
    <row r="1800" ht="13.5" customHeight="1">
      <c r="A1800" s="4" t="str">
        <f t="shared" si="1"/>
        <v>LFW-PICANTO04BMU</v>
      </c>
      <c r="B1800" s="14" t="s">
        <v>585</v>
      </c>
      <c r="C1800" s="28" t="s">
        <v>586</v>
      </c>
      <c r="D1800" s="15" t="s">
        <v>22</v>
      </c>
      <c r="E1800" s="4" t="s">
        <v>1361</v>
      </c>
      <c r="F1800" s="4" t="s">
        <v>79</v>
      </c>
      <c r="G1800" s="4">
        <f>SUMIFS(X!$F$5:$F$2005,X!$D$5:$D$2005,'Current Stock'!A1800)</f>
        <v>0</v>
      </c>
      <c r="H1800" s="4">
        <f>SUMIFS(PENJUALAN!$E$4:$E$11000,PENJUALAN!$C$4:$C$11000,'Current Stock'!A1800)</f>
        <v>0</v>
      </c>
      <c r="I1800" s="16">
        <f t="shared" si="2"/>
        <v>0</v>
      </c>
      <c r="J1800" s="4"/>
      <c r="K1800" s="4"/>
      <c r="L1800" s="5"/>
      <c r="M1800" s="4"/>
    </row>
    <row r="1801" ht="13.5" customHeight="1">
      <c r="A1801" s="4" t="str">
        <f t="shared" si="1"/>
        <v>RDL-RIO11XYG</v>
      </c>
      <c r="B1801" s="29" t="s">
        <v>622</v>
      </c>
      <c r="C1801" s="28" t="s">
        <v>618</v>
      </c>
      <c r="D1801" s="28" t="s">
        <v>132</v>
      </c>
      <c r="E1801" s="4" t="s">
        <v>16</v>
      </c>
      <c r="F1801" s="4" t="s">
        <v>397</v>
      </c>
      <c r="G1801" s="4">
        <f>SUMIFS(X!$F$5:$F$2005,X!$D$5:$D$2005,'Current Stock'!A1801)</f>
        <v>0</v>
      </c>
      <c r="H1801" s="4">
        <f>SUMIFS(PENJUALAN!$E$4:$E$11000,PENJUALAN!$C$4:$C$11000,'Current Stock'!A1801)</f>
        <v>0</v>
      </c>
      <c r="I1801" s="16">
        <f t="shared" si="2"/>
        <v>0</v>
      </c>
      <c r="J1801" s="4"/>
      <c r="K1801" s="4"/>
      <c r="L1801" s="5"/>
    </row>
    <row r="1802" ht="13.5" customHeight="1">
      <c r="A1802" s="4" t="str">
        <f t="shared" si="1"/>
        <v>RDR-RIO11XYG</v>
      </c>
      <c r="B1802" s="29" t="s">
        <v>623</v>
      </c>
      <c r="C1802" s="28" t="s">
        <v>618</v>
      </c>
      <c r="D1802" s="28" t="s">
        <v>134</v>
      </c>
      <c r="E1802" s="4" t="s">
        <v>16</v>
      </c>
      <c r="F1802" s="4" t="s">
        <v>397</v>
      </c>
      <c r="G1802" s="4">
        <f>SUMIFS(X!$F$5:$F$2005,X!$D$5:$D$2005,'Current Stock'!A1802)</f>
        <v>0</v>
      </c>
      <c r="H1802" s="4">
        <f>SUMIFS(PENJUALAN!$E$4:$E$11000,PENJUALAN!$C$4:$C$11000,'Current Stock'!A1802)</f>
        <v>0</v>
      </c>
      <c r="I1802" s="16">
        <f t="shared" si="2"/>
        <v>0</v>
      </c>
      <c r="J1802" s="4"/>
      <c r="K1802" s="4"/>
      <c r="L1802" s="5"/>
      <c r="M1802" s="4"/>
    </row>
    <row r="1803" ht="13.5" customHeight="1">
      <c r="A1803" s="4" t="str">
        <f t="shared" si="1"/>
        <v>RDL-EVALIAFRAMEXYG</v>
      </c>
      <c r="B1803" s="14" t="s">
        <v>2157</v>
      </c>
      <c r="C1803" s="28" t="s">
        <v>920</v>
      </c>
      <c r="D1803" s="4" t="s">
        <v>47</v>
      </c>
      <c r="E1803" s="4" t="s">
        <v>16</v>
      </c>
      <c r="F1803" s="4" t="s">
        <v>2158</v>
      </c>
      <c r="G1803" s="4">
        <f>SUMIFS(X!$F$5:$F$2005,X!$D$5:$D$2005,'Current Stock'!A1803)</f>
        <v>0</v>
      </c>
      <c r="H1803" s="4">
        <f>SUMIFS(PENJUALAN!$E$4:$E$11000,PENJUALAN!$C$4:$C$11000,'Current Stock'!A1803)</f>
        <v>0</v>
      </c>
      <c r="I1803" s="16">
        <f t="shared" si="2"/>
        <v>0</v>
      </c>
      <c r="J1803" s="4"/>
      <c r="K1803" s="4"/>
      <c r="L1803" s="5"/>
      <c r="M1803" s="4"/>
    </row>
    <row r="1804" ht="13.5" customHeight="1">
      <c r="A1804" s="4" t="str">
        <f t="shared" si="1"/>
        <v>LFW-PICANTO11MU</v>
      </c>
      <c r="B1804" s="29" t="s">
        <v>597</v>
      </c>
      <c r="C1804" s="28" t="s">
        <v>598</v>
      </c>
      <c r="D1804" s="28" t="s">
        <v>22</v>
      </c>
      <c r="E1804" s="4" t="s">
        <v>1361</v>
      </c>
      <c r="F1804" s="28" t="s">
        <v>125</v>
      </c>
      <c r="G1804" s="4">
        <f>SUMIFS(X!$F$5:$F$2005,X!$D$5:$D$2005,'Current Stock'!A1804)</f>
        <v>0</v>
      </c>
      <c r="H1804" s="4">
        <f>SUMIFS(PENJUALAN!$E$4:$E$11000,PENJUALAN!$C$4:$C$11000,'Current Stock'!A1804)</f>
        <v>0</v>
      </c>
      <c r="I1804" s="16">
        <f t="shared" si="2"/>
        <v>0</v>
      </c>
      <c r="J1804" s="4"/>
      <c r="K1804" s="4"/>
      <c r="L1804" s="5"/>
      <c r="M1804" s="4"/>
    </row>
    <row r="1805" ht="13.5" customHeight="1">
      <c r="A1805" s="4" t="str">
        <f t="shared" si="1"/>
        <v>LFW-F30AUTO</v>
      </c>
      <c r="B1805" s="29" t="s">
        <v>156</v>
      </c>
      <c r="C1805" s="28" t="s">
        <v>157</v>
      </c>
      <c r="D1805" s="28" t="s">
        <v>22</v>
      </c>
      <c r="E1805" s="4" t="s">
        <v>66</v>
      </c>
      <c r="F1805" s="28" t="s">
        <v>112</v>
      </c>
      <c r="G1805" s="4">
        <f>SUMIFS(X!$F$5:$F$2005,X!$D$5:$D$2005,'Current Stock'!A1805)</f>
        <v>0</v>
      </c>
      <c r="H1805" s="4">
        <f>SUMIFS(PENJUALAN!$E$4:$E$11000,PENJUALAN!$C$4:$C$11000,'Current Stock'!A1805)</f>
        <v>0</v>
      </c>
      <c r="I1805" s="16">
        <f t="shared" si="2"/>
        <v>0</v>
      </c>
      <c r="J1805" s="4"/>
      <c r="K1805" s="4"/>
      <c r="L1805" s="5"/>
      <c r="M1805" s="4"/>
    </row>
    <row r="1806" ht="13.5" customHeight="1">
      <c r="A1806" s="4" t="str">
        <f t="shared" si="1"/>
        <v>TRW-BRV16AUTO</v>
      </c>
      <c r="B1806" s="14" t="s">
        <v>105</v>
      </c>
      <c r="C1806" s="28" t="s">
        <v>1978</v>
      </c>
      <c r="D1806" s="4" t="s">
        <v>41</v>
      </c>
      <c r="E1806" s="4" t="s">
        <v>66</v>
      </c>
      <c r="F1806" s="4"/>
      <c r="G1806" s="4">
        <f>SUMIFS(X!$F$5:$F$2005,X!$D$5:$D$2005,'Current Stock'!A1806)</f>
        <v>0</v>
      </c>
      <c r="H1806" s="4">
        <f>SUMIFS(PENJUALAN!$E$4:$E$11000,PENJUALAN!$C$4:$C$11000,'Current Stock'!A1806)</f>
        <v>0</v>
      </c>
      <c r="I1806" s="16">
        <f t="shared" si="2"/>
        <v>0</v>
      </c>
      <c r="J1806" s="4"/>
      <c r="K1806" s="4"/>
      <c r="L1806" s="5"/>
      <c r="M1806" s="4"/>
    </row>
    <row r="1807" ht="13.5" customHeight="1">
      <c r="A1807" s="20" t="str">
        <f t="shared" si="1"/>
        <v>LFW-BRV22ASH</v>
      </c>
      <c r="B1807" s="21" t="s">
        <v>2159</v>
      </c>
      <c r="C1807" s="39" t="s">
        <v>2160</v>
      </c>
      <c r="D1807" s="20" t="s">
        <v>22</v>
      </c>
      <c r="E1807" s="20" t="s">
        <v>82</v>
      </c>
      <c r="F1807" s="20"/>
      <c r="G1807" s="4">
        <f>SUMIFS(X!$F$5:$F$2005,X!$D$5:$D$2005,'Current Stock'!A1807)</f>
        <v>10</v>
      </c>
      <c r="H1807" s="4">
        <f>SUMIFS(PENJUALAN!$E$4:$E$11000,PENJUALAN!$C$4:$C$11000,'Current Stock'!A1807)</f>
        <v>10</v>
      </c>
      <c r="I1807" s="16">
        <f t="shared" si="2"/>
        <v>0</v>
      </c>
      <c r="J1807" s="22" t="s">
        <v>2161</v>
      </c>
      <c r="K1807" s="22"/>
      <c r="L1807" s="23"/>
      <c r="M1807" s="22"/>
    </row>
    <row r="1808" ht="13.5" customHeight="1">
      <c r="A1808" s="4" t="str">
        <f t="shared" si="1"/>
        <v>LFW-ALPHARD15AUTO</v>
      </c>
      <c r="B1808" s="29" t="s">
        <v>1070</v>
      </c>
      <c r="C1808" s="28" t="s">
        <v>1071</v>
      </c>
      <c r="D1808" s="28" t="s">
        <v>22</v>
      </c>
      <c r="E1808" s="4" t="s">
        <v>66</v>
      </c>
      <c r="F1808" s="28" t="s">
        <v>75</v>
      </c>
      <c r="G1808" s="4">
        <f>SUMIFS(X!$F$5:$F$2005,X!$D$5:$D$2005,'Current Stock'!A1808)</f>
        <v>0</v>
      </c>
      <c r="H1808" s="4">
        <f>SUMIFS(PENJUALAN!$E$4:$E$11000,PENJUALAN!$C$4:$C$11000,'Current Stock'!A1808)</f>
        <v>0</v>
      </c>
      <c r="I1808" s="16">
        <f t="shared" si="2"/>
        <v>0</v>
      </c>
      <c r="J1808" s="4"/>
      <c r="K1808" s="4"/>
      <c r="L1808" s="5"/>
      <c r="M1808" s="4"/>
    </row>
    <row r="1809" ht="13.5" customHeight="1">
      <c r="A1809" s="4" t="str">
        <f t="shared" si="1"/>
        <v>LFW-W212RS2AUTO</v>
      </c>
      <c r="B1809" s="29" t="s">
        <v>802</v>
      </c>
      <c r="C1809" s="28" t="s">
        <v>803</v>
      </c>
      <c r="D1809" s="28" t="s">
        <v>22</v>
      </c>
      <c r="E1809" s="4" t="s">
        <v>66</v>
      </c>
      <c r="F1809" s="28" t="s">
        <v>804</v>
      </c>
      <c r="G1809" s="4">
        <f>SUMIFS(X!$F$5:$F$2005,X!$D$5:$D$2005,'Current Stock'!A1809)</f>
        <v>0</v>
      </c>
      <c r="H1809" s="4">
        <f>SUMIFS(PENJUALAN!$E$4:$E$11000,PENJUALAN!$C$4:$C$11000,'Current Stock'!A1809)</f>
        <v>0</v>
      </c>
      <c r="I1809" s="16">
        <f t="shared" si="2"/>
        <v>0</v>
      </c>
      <c r="J1809" s="4"/>
      <c r="K1809" s="4"/>
      <c r="L1809" s="5"/>
      <c r="M1809" s="4"/>
    </row>
    <row r="1810" ht="13.5" customHeight="1">
      <c r="A1810" s="4" t="str">
        <f t="shared" si="1"/>
        <v>FDL-BRIOASH</v>
      </c>
      <c r="B1810" s="14" t="s">
        <v>2162</v>
      </c>
      <c r="C1810" s="4" t="s">
        <v>2163</v>
      </c>
      <c r="D1810" s="4" t="s">
        <v>93</v>
      </c>
      <c r="E1810" s="4" t="s">
        <v>82</v>
      </c>
      <c r="F1810" s="4"/>
      <c r="G1810" s="4">
        <f>SUMIFS(X!$F$5:$F$2005,X!$D$5:$D$2005,'Current Stock'!A1810)</f>
        <v>0</v>
      </c>
      <c r="H1810" s="4">
        <f>SUMIFS(PENJUALAN!$E$4:$E$11000,PENJUALAN!$C$4:$C$11000,'Current Stock'!A1810)</f>
        <v>0</v>
      </c>
      <c r="I1810" s="16">
        <f t="shared" si="2"/>
        <v>0</v>
      </c>
      <c r="J1810" s="4"/>
      <c r="K1810" s="4"/>
      <c r="L1810" s="5"/>
      <c r="M1810" s="4"/>
    </row>
    <row r="1811" ht="13.5" customHeight="1">
      <c r="A1811" s="4" t="str">
        <f t="shared" si="1"/>
        <v>LFW-ERTIGA12MU</v>
      </c>
      <c r="B1811" s="29" t="s">
        <v>1023</v>
      </c>
      <c r="C1811" s="28" t="s">
        <v>1024</v>
      </c>
      <c r="D1811" s="28" t="s">
        <v>22</v>
      </c>
      <c r="E1811" s="4" t="s">
        <v>1361</v>
      </c>
      <c r="F1811" s="28" t="s">
        <v>97</v>
      </c>
      <c r="G1811" s="4">
        <f>SUMIFS(X!$F$5:$F$2005,X!$D$5:$D$2005,'Current Stock'!A1811)</f>
        <v>22</v>
      </c>
      <c r="H1811" s="4">
        <f>SUMIFS(PENJUALAN!$E$4:$E$11000,PENJUALAN!$C$4:$C$11000,'Current Stock'!A1811)</f>
        <v>21</v>
      </c>
      <c r="I1811" s="16">
        <f t="shared" si="2"/>
        <v>1</v>
      </c>
      <c r="J1811" s="15" t="s">
        <v>1966</v>
      </c>
      <c r="K1811" s="15"/>
      <c r="L1811" s="5">
        <v>2.0</v>
      </c>
      <c r="M1811" s="4"/>
    </row>
    <row r="1812" ht="13.5" customHeight="1">
      <c r="A1812" s="4" t="str">
        <f t="shared" si="1"/>
        <v>LFW-ERTIGA18MU</v>
      </c>
      <c r="B1812" s="29" t="s">
        <v>1793</v>
      </c>
      <c r="C1812" s="33" t="s">
        <v>1794</v>
      </c>
      <c r="D1812" s="28" t="s">
        <v>22</v>
      </c>
      <c r="E1812" s="4" t="s">
        <v>1361</v>
      </c>
      <c r="F1812" s="28"/>
      <c r="G1812" s="4">
        <f>SUMIFS(X!$F$5:$F$2005,X!$D$5:$D$2005,'Current Stock'!A1812)</f>
        <v>20</v>
      </c>
      <c r="H1812" s="4">
        <f>SUMIFS(PENJUALAN!$E$4:$E$11000,PENJUALAN!$C$4:$C$11000,'Current Stock'!A1812)</f>
        <v>18</v>
      </c>
      <c r="I1812" s="16">
        <f t="shared" si="2"/>
        <v>2</v>
      </c>
      <c r="J1812" s="15" t="s">
        <v>1966</v>
      </c>
      <c r="K1812" s="15"/>
      <c r="L1812" s="5">
        <v>1.0</v>
      </c>
      <c r="M1812" s="4"/>
    </row>
    <row r="1813" ht="13.5" customHeight="1">
      <c r="A1813" s="4" t="str">
        <f t="shared" si="1"/>
        <v>RDL-INNOVA15ASH</v>
      </c>
      <c r="B1813" s="14" t="s">
        <v>1858</v>
      </c>
      <c r="C1813" s="28" t="s">
        <v>1167</v>
      </c>
      <c r="D1813" s="4" t="s">
        <v>47</v>
      </c>
      <c r="E1813" s="4" t="s">
        <v>82</v>
      </c>
      <c r="F1813" s="4"/>
      <c r="G1813" s="4">
        <f>SUMIFS(X!$F$5:$F$2005,X!$D$5:$D$2005,'Current Stock'!A1813)</f>
        <v>0</v>
      </c>
      <c r="H1813" s="4">
        <f>SUMIFS(PENJUALAN!$E$4:$E$11000,PENJUALAN!$C$4:$C$11000,'Current Stock'!A1813)</f>
        <v>0</v>
      </c>
      <c r="I1813" s="16">
        <f t="shared" si="2"/>
        <v>0</v>
      </c>
      <c r="J1813" s="4"/>
      <c r="K1813" s="4"/>
      <c r="L1813" s="5"/>
      <c r="M1813" s="4"/>
    </row>
    <row r="1814" ht="13.5" customHeight="1">
      <c r="A1814" s="4" t="str">
        <f t="shared" si="1"/>
        <v>RDR-INNOVA15ASH</v>
      </c>
      <c r="B1814" s="14" t="s">
        <v>1857</v>
      </c>
      <c r="C1814" s="28" t="s">
        <v>1167</v>
      </c>
      <c r="D1814" s="4" t="s">
        <v>70</v>
      </c>
      <c r="E1814" s="4" t="s">
        <v>82</v>
      </c>
      <c r="F1814" s="4"/>
      <c r="G1814" s="4">
        <f>SUMIFS(X!$F$5:$F$2005,X!$D$5:$D$2005,'Current Stock'!A1814)</f>
        <v>0</v>
      </c>
      <c r="H1814" s="4">
        <f>SUMIFS(PENJUALAN!$E$4:$E$11000,PENJUALAN!$C$4:$C$11000,'Current Stock'!A1814)</f>
        <v>0</v>
      </c>
      <c r="I1814" s="16">
        <f t="shared" si="2"/>
        <v>0</v>
      </c>
      <c r="J1814" s="4"/>
      <c r="K1814" s="4"/>
      <c r="L1814" s="5"/>
      <c r="M1814" s="4"/>
    </row>
    <row r="1815" ht="13.5" customHeight="1">
      <c r="A1815" s="4" t="str">
        <f t="shared" si="1"/>
        <v>LFW-CARRY19MU</v>
      </c>
      <c r="B1815" s="29" t="s">
        <v>1994</v>
      </c>
      <c r="C1815" s="65" t="s">
        <v>1995</v>
      </c>
      <c r="D1815" s="28" t="s">
        <v>22</v>
      </c>
      <c r="E1815" s="4" t="s">
        <v>1361</v>
      </c>
      <c r="F1815" s="28"/>
      <c r="G1815" s="4">
        <f>SUMIFS(X!$F$5:$F$2005,X!$D$5:$D$2005,'Current Stock'!A1815)</f>
        <v>10</v>
      </c>
      <c r="H1815" s="4">
        <f>SUMIFS(PENJUALAN!$E$4:$E$11000,PENJUALAN!$C$4:$C$11000,'Current Stock'!A1815)</f>
        <v>10</v>
      </c>
      <c r="I1815" s="16">
        <f t="shared" si="2"/>
        <v>0</v>
      </c>
      <c r="J1815" s="15" t="s">
        <v>1996</v>
      </c>
      <c r="K1815" s="15"/>
      <c r="L1815" s="5">
        <v>1.0</v>
      </c>
      <c r="M1815" s="4"/>
    </row>
    <row r="1816" ht="13.5" customHeight="1">
      <c r="A1816" s="4" t="str">
        <f t="shared" si="1"/>
        <v>SWR-INNOVA15ASH</v>
      </c>
      <c r="B1816" s="14" t="s">
        <v>2164</v>
      </c>
      <c r="C1816" s="28" t="s">
        <v>1167</v>
      </c>
      <c r="D1816" s="4" t="s">
        <v>104</v>
      </c>
      <c r="E1816" s="4" t="s">
        <v>82</v>
      </c>
      <c r="F1816" s="4" t="s">
        <v>2165</v>
      </c>
      <c r="G1816" s="4">
        <f>SUMIFS(X!$F$5:$F$2005,X!$D$5:$D$2005,'Current Stock'!A1816)</f>
        <v>0</v>
      </c>
      <c r="H1816" s="4">
        <f>SUMIFS(PENJUALAN!$E$4:$E$11000,PENJUALAN!$C$4:$C$11000,'Current Stock'!A1816)</f>
        <v>0</v>
      </c>
      <c r="I1816" s="16">
        <f t="shared" si="2"/>
        <v>0</v>
      </c>
      <c r="J1816" s="4"/>
      <c r="K1816" s="4"/>
      <c r="L1816" s="5"/>
      <c r="M1816" s="4"/>
    </row>
    <row r="1817" ht="15.0" customHeight="1">
      <c r="A1817" s="4" t="str">
        <f t="shared" si="1"/>
        <v>TRW-SPORTAGE04XYG</v>
      </c>
      <c r="B1817" s="29" t="s">
        <v>2166</v>
      </c>
      <c r="C1817" s="65" t="s">
        <v>2167</v>
      </c>
      <c r="D1817" s="28" t="s">
        <v>41</v>
      </c>
      <c r="E1817" s="4" t="s">
        <v>16</v>
      </c>
      <c r="F1817" s="28" t="s">
        <v>2168</v>
      </c>
      <c r="G1817" s="4">
        <f>SUMIFS(X!$F$5:$F$2005,X!$D$5:$D$2005,'Current Stock'!A1817)</f>
        <v>0</v>
      </c>
      <c r="H1817" s="4">
        <f>SUMIFS(PENJUALAN!$E$4:$E$11000,PENJUALAN!$C$4:$C$11000,'Current Stock'!A1817)</f>
        <v>0</v>
      </c>
      <c r="I1817" s="16">
        <f t="shared" si="2"/>
        <v>0</v>
      </c>
      <c r="J1817" s="18"/>
      <c r="K1817" s="18"/>
      <c r="L1817" s="18"/>
      <c r="M1817" s="18"/>
    </row>
    <row r="1818" ht="15.0" customHeight="1">
      <c r="A1818" s="4" t="str">
        <f t="shared" si="1"/>
        <v>FDL-AVANZA03ORI</v>
      </c>
      <c r="B1818" s="14" t="s">
        <v>1879</v>
      </c>
      <c r="C1818" s="4" t="s">
        <v>65</v>
      </c>
      <c r="D1818" s="4" t="s">
        <v>93</v>
      </c>
      <c r="E1818" s="4" t="s">
        <v>89</v>
      </c>
      <c r="F1818" s="4" t="s">
        <v>2169</v>
      </c>
      <c r="G1818" s="4">
        <f>SUMIFS(X!$F$5:$F$2005,X!$D$5:$D$2005,'Current Stock'!A1818)</f>
        <v>0</v>
      </c>
      <c r="H1818" s="4">
        <f>SUMIFS(PENJUALAN!$E$4:$E$11000,PENJUALAN!$C$4:$C$11000,'Current Stock'!A1818)</f>
        <v>0</v>
      </c>
      <c r="I1818" s="16">
        <f t="shared" si="2"/>
        <v>0</v>
      </c>
      <c r="J1818" s="4"/>
      <c r="K1818" s="4"/>
      <c r="L1818" s="18"/>
      <c r="M1818" s="18"/>
    </row>
    <row r="1819" ht="15.0" customHeight="1">
      <c r="A1819" s="4" t="str">
        <f t="shared" si="1"/>
        <v>SWR-BALENOSX408ORI</v>
      </c>
      <c r="B1819" s="4" t="s">
        <v>1776</v>
      </c>
      <c r="C1819" s="28" t="s">
        <v>1775</v>
      </c>
      <c r="D1819" s="4" t="s">
        <v>104</v>
      </c>
      <c r="E1819" s="4" t="s">
        <v>89</v>
      </c>
      <c r="F1819" s="4" t="s">
        <v>97</v>
      </c>
      <c r="G1819" s="4">
        <f>SUMIFS(X!$F$5:$F$2005,X!$D$5:$D$2005,'Current Stock'!A1819)</f>
        <v>0</v>
      </c>
      <c r="H1819" s="4">
        <f>SUMIFS(PENJUALAN!$E$4:$E$11000,PENJUALAN!$C$4:$C$11000,'Current Stock'!A1819)</f>
        <v>0</v>
      </c>
      <c r="I1819" s="16">
        <f t="shared" si="2"/>
        <v>0</v>
      </c>
      <c r="J1819" s="18"/>
      <c r="K1819" s="18"/>
      <c r="L1819" s="18"/>
      <c r="M1819" s="18"/>
    </row>
    <row r="1820" ht="15.0" customHeight="1">
      <c r="A1820" s="4" t="str">
        <f t="shared" si="1"/>
        <v>LFW-TAFTGTASH</v>
      </c>
      <c r="B1820" s="14" t="s">
        <v>2170</v>
      </c>
      <c r="C1820" s="28" t="s">
        <v>2171</v>
      </c>
      <c r="D1820" s="4" t="s">
        <v>22</v>
      </c>
      <c r="E1820" s="4" t="s">
        <v>82</v>
      </c>
      <c r="F1820" s="18"/>
      <c r="G1820" s="4">
        <f>SUMIFS(X!$F$5:$F$2005,X!$D$5:$D$2005,'Current Stock'!A1820)</f>
        <v>0</v>
      </c>
      <c r="H1820" s="4">
        <f>SUMIFS(PENJUALAN!$E$4:$E$11000,PENJUALAN!$C$4:$C$11000,'Current Stock'!A1820)</f>
        <v>0</v>
      </c>
      <c r="I1820" s="16">
        <f t="shared" si="2"/>
        <v>0</v>
      </c>
      <c r="J1820" s="18"/>
      <c r="K1820" s="18"/>
      <c r="L1820" s="18"/>
      <c r="M1820" s="18"/>
    </row>
    <row r="1821" ht="15.0" customHeight="1">
      <c r="A1821" s="4" t="str">
        <f t="shared" si="1"/>
        <v>LFW-ESCUDO00MU</v>
      </c>
      <c r="B1821" s="29" t="s">
        <v>1796</v>
      </c>
      <c r="C1821" s="30" t="s">
        <v>1797</v>
      </c>
      <c r="D1821" s="30" t="s">
        <v>22</v>
      </c>
      <c r="E1821" s="4" t="s">
        <v>1361</v>
      </c>
      <c r="F1821" s="28" t="s">
        <v>125</v>
      </c>
      <c r="G1821" s="4">
        <f>SUMIFS(X!$F$5:$F$2005,X!$D$5:$D$2005,'Current Stock'!A1821)</f>
        <v>8</v>
      </c>
      <c r="H1821" s="4">
        <f>SUMIFS(PENJUALAN!$E$4:$E$11000,PENJUALAN!$C$4:$C$11000,'Current Stock'!A1821)</f>
        <v>7</v>
      </c>
      <c r="I1821" s="16">
        <f t="shared" si="2"/>
        <v>1</v>
      </c>
      <c r="J1821" s="15" t="s">
        <v>1362</v>
      </c>
      <c r="K1821" s="15"/>
      <c r="L1821" s="4"/>
      <c r="M1821" s="4"/>
    </row>
    <row r="1822" ht="15.0" customHeight="1">
      <c r="A1822" s="4" t="str">
        <f t="shared" si="1"/>
        <v>FDR-ACCORD08MSG</v>
      </c>
      <c r="B1822" s="29" t="s">
        <v>2172</v>
      </c>
      <c r="C1822" s="28" t="s">
        <v>346</v>
      </c>
      <c r="D1822" s="28" t="s">
        <v>45</v>
      </c>
      <c r="E1822" s="4" t="s">
        <v>42</v>
      </c>
      <c r="F1822" s="18"/>
      <c r="G1822" s="4">
        <f>SUMIFS(X!$F$5:$F$2005,X!$D$5:$D$2005,'Current Stock'!A1822)</f>
        <v>0</v>
      </c>
      <c r="H1822" s="4">
        <f>SUMIFS(PENJUALAN!$E$4:$E$11000,PENJUALAN!$C$4:$C$11000,'Current Stock'!A1822)</f>
        <v>0</v>
      </c>
      <c r="I1822" s="16">
        <f t="shared" si="2"/>
        <v>0</v>
      </c>
      <c r="J1822" s="18"/>
      <c r="K1822" s="18"/>
      <c r="L1822" s="18"/>
      <c r="M1822" s="18"/>
    </row>
    <row r="1823" ht="15.0" customHeight="1">
      <c r="A1823" s="4" t="str">
        <f t="shared" si="1"/>
        <v>RDR-BRIOASH</v>
      </c>
      <c r="B1823" s="14" t="s">
        <v>2173</v>
      </c>
      <c r="C1823" s="4" t="s">
        <v>2163</v>
      </c>
      <c r="D1823" s="4" t="s">
        <v>70</v>
      </c>
      <c r="E1823" s="4" t="s">
        <v>82</v>
      </c>
      <c r="F1823" s="18"/>
      <c r="G1823" s="4">
        <f>SUMIFS(X!$F$5:$F$2005,X!$D$5:$D$2005,'Current Stock'!A1823)</f>
        <v>0</v>
      </c>
      <c r="H1823" s="4">
        <f>SUMIFS(PENJUALAN!$E$4:$E$11000,PENJUALAN!$C$4:$C$11000,'Current Stock'!A1823)</f>
        <v>0</v>
      </c>
      <c r="I1823" s="16">
        <f t="shared" si="2"/>
        <v>0</v>
      </c>
      <c r="J1823" s="4"/>
      <c r="K1823" s="4"/>
      <c r="L1823" s="18"/>
      <c r="M1823" s="18"/>
    </row>
    <row r="1824" ht="15.0" customHeight="1">
      <c r="A1824" s="4" t="str">
        <f t="shared" si="1"/>
        <v>FDR-ALTIS00ASH</v>
      </c>
      <c r="B1824" s="29" t="s">
        <v>2174</v>
      </c>
      <c r="C1824" s="65" t="s">
        <v>1073</v>
      </c>
      <c r="D1824" s="28" t="s">
        <v>45</v>
      </c>
      <c r="E1824" s="4" t="s">
        <v>82</v>
      </c>
      <c r="F1824" s="18"/>
      <c r="G1824" s="4">
        <f>SUMIFS(X!$F$5:$F$2005,X!$D$5:$D$2005,'Current Stock'!A1824)</f>
        <v>0</v>
      </c>
      <c r="H1824" s="4">
        <f>SUMIFS(PENJUALAN!$E$4:$E$11000,PENJUALAN!$C$4:$C$11000,'Current Stock'!A1824)</f>
        <v>0</v>
      </c>
      <c r="I1824" s="16">
        <f t="shared" si="2"/>
        <v>0</v>
      </c>
      <c r="J1824" s="18"/>
      <c r="K1824" s="18"/>
      <c r="L1824" s="18"/>
      <c r="M1824" s="18"/>
    </row>
    <row r="1825" ht="15.0" customHeight="1">
      <c r="A1825" s="4" t="str">
        <f t="shared" si="1"/>
        <v>FDR-AVANZA03ORI</v>
      </c>
      <c r="B1825" s="14" t="s">
        <v>2175</v>
      </c>
      <c r="C1825" s="4" t="s">
        <v>65</v>
      </c>
      <c r="D1825" s="4" t="s">
        <v>45</v>
      </c>
      <c r="E1825" s="4" t="s">
        <v>89</v>
      </c>
      <c r="F1825" s="4" t="s">
        <v>2169</v>
      </c>
      <c r="G1825" s="4">
        <f>SUMIFS(X!$F$5:$F$2005,X!$D$5:$D$2005,'Current Stock'!A1825)</f>
        <v>0</v>
      </c>
      <c r="H1825" s="4">
        <f>SUMIFS(PENJUALAN!$E$4:$E$11000,PENJUALAN!$C$4:$C$11000,'Current Stock'!A1825)</f>
        <v>0</v>
      </c>
      <c r="I1825" s="16">
        <f t="shared" si="2"/>
        <v>0</v>
      </c>
      <c r="J1825" s="18"/>
      <c r="K1825" s="18"/>
      <c r="L1825" s="18"/>
      <c r="M1825" s="18"/>
    </row>
    <row r="1826" ht="15.0" customHeight="1">
      <c r="A1826" s="20" t="str">
        <f t="shared" si="1"/>
        <v>TRW-PANTHER00SEALASH</v>
      </c>
      <c r="B1826" s="76" t="s">
        <v>2176</v>
      </c>
      <c r="C1826" s="77" t="s">
        <v>2177</v>
      </c>
      <c r="D1826" s="20" t="s">
        <v>41</v>
      </c>
      <c r="E1826" s="20" t="s">
        <v>82</v>
      </c>
      <c r="F1826" s="22" t="s">
        <v>97</v>
      </c>
      <c r="G1826" s="4">
        <f>SUMIFS(X!$F$5:$F$2005,X!$D$5:$D$2005,'Current Stock'!A1826)</f>
        <v>10</v>
      </c>
      <c r="H1826" s="4">
        <f>SUMIFS(PENJUALAN!$E$4:$E$11000,PENJUALAN!$C$4:$C$11000,'Current Stock'!A1826)</f>
        <v>9</v>
      </c>
      <c r="I1826" s="16">
        <f t="shared" si="2"/>
        <v>1</v>
      </c>
      <c r="J1826" s="22" t="s">
        <v>1456</v>
      </c>
      <c r="K1826" s="22"/>
      <c r="L1826" s="25"/>
      <c r="M1826" s="25"/>
    </row>
    <row r="1827" ht="15.0" customHeight="1">
      <c r="A1827" s="4" t="str">
        <f t="shared" si="1"/>
        <v>TRW-PANTHER00KRTASH</v>
      </c>
      <c r="B1827" s="31" t="s">
        <v>2178</v>
      </c>
      <c r="C1827" s="33" t="s">
        <v>2179</v>
      </c>
      <c r="D1827" s="4" t="s">
        <v>41</v>
      </c>
      <c r="E1827" s="4" t="s">
        <v>82</v>
      </c>
      <c r="F1827" s="4"/>
      <c r="G1827" s="4">
        <f>SUMIFS(X!$F$5:$F$2005,X!$D$5:$D$2005,'Current Stock'!A1827)</f>
        <v>1</v>
      </c>
      <c r="H1827" s="4">
        <f>SUMIFS(PENJUALAN!$E$4:$E$11000,PENJUALAN!$C$4:$C$11000,'Current Stock'!A1827)</f>
        <v>1</v>
      </c>
      <c r="I1827" s="16">
        <f t="shared" si="2"/>
        <v>0</v>
      </c>
      <c r="J1827" s="15" t="s">
        <v>1456</v>
      </c>
      <c r="K1827" s="15"/>
      <c r="L1827" s="18"/>
      <c r="M1827" s="18"/>
    </row>
    <row r="1828" ht="15.0" customHeight="1">
      <c r="A1828" s="4" t="str">
        <f t="shared" si="1"/>
        <v>RDR-BALENOSX408SG</v>
      </c>
      <c r="B1828" s="29" t="s">
        <v>2180</v>
      </c>
      <c r="C1828" s="28" t="s">
        <v>1775</v>
      </c>
      <c r="D1828" s="28" t="s">
        <v>70</v>
      </c>
      <c r="E1828" s="4" t="s">
        <v>71</v>
      </c>
      <c r="F1828" s="18"/>
      <c r="G1828" s="4">
        <f>SUMIFS(X!$F$5:$F$2005,X!$D$5:$D$2005,'Current Stock'!A1828)</f>
        <v>0</v>
      </c>
      <c r="H1828" s="4">
        <f>SUMIFS(PENJUALAN!$E$4:$E$11000,PENJUALAN!$C$4:$C$11000,'Current Stock'!A1828)</f>
        <v>0</v>
      </c>
      <c r="I1828" s="16">
        <f t="shared" si="2"/>
        <v>0</v>
      </c>
      <c r="J1828" s="18"/>
      <c r="K1828" s="18"/>
      <c r="L1828" s="18"/>
      <c r="M1828" s="18"/>
    </row>
    <row r="1829" ht="15.0" customHeight="1">
      <c r="A1829" s="4" t="str">
        <f t="shared" si="1"/>
        <v>SWL-EVEREST06XYG</v>
      </c>
      <c r="B1829" s="14" t="s">
        <v>2181</v>
      </c>
      <c r="C1829" s="28" t="s">
        <v>297</v>
      </c>
      <c r="D1829" s="4" t="s">
        <v>1434</v>
      </c>
      <c r="E1829" s="4" t="s">
        <v>16</v>
      </c>
      <c r="F1829" s="4" t="s">
        <v>97</v>
      </c>
      <c r="G1829" s="4">
        <f>SUMIFS(X!$F$5:$F$2005,X!$D$5:$D$2005,'Current Stock'!A1829)</f>
        <v>0</v>
      </c>
      <c r="H1829" s="4">
        <f>SUMIFS(PENJUALAN!$E$4:$E$11000,PENJUALAN!$C$4:$C$11000,'Current Stock'!A1829)</f>
        <v>0</v>
      </c>
      <c r="I1829" s="16">
        <f t="shared" si="2"/>
        <v>0</v>
      </c>
      <c r="J1829" s="18"/>
      <c r="K1829" s="18"/>
      <c r="L1829" s="18"/>
      <c r="M1829" s="18"/>
    </row>
    <row r="1830" ht="15.0" customHeight="1">
      <c r="A1830" s="4" t="str">
        <f t="shared" si="1"/>
        <v>RDL-EVEREST06XYG</v>
      </c>
      <c r="B1830" s="14" t="s">
        <v>2182</v>
      </c>
      <c r="C1830" s="28" t="s">
        <v>297</v>
      </c>
      <c r="D1830" s="4" t="s">
        <v>47</v>
      </c>
      <c r="E1830" s="4" t="s">
        <v>16</v>
      </c>
      <c r="F1830" s="4"/>
      <c r="G1830" s="4">
        <f>SUMIFS(X!$F$5:$F$2005,X!$D$5:$D$2005,'Current Stock'!A1830)</f>
        <v>0</v>
      </c>
      <c r="H1830" s="4">
        <f>SUMIFS(PENJUALAN!$E$4:$E$11000,PENJUALAN!$C$4:$C$11000,'Current Stock'!A1830)</f>
        <v>0</v>
      </c>
      <c r="I1830" s="16">
        <f t="shared" si="2"/>
        <v>0</v>
      </c>
      <c r="J1830" s="18"/>
      <c r="K1830" s="18"/>
      <c r="L1830" s="18"/>
      <c r="M1830" s="18"/>
    </row>
    <row r="1831" ht="15.0" customHeight="1">
      <c r="A1831" s="4" t="str">
        <f t="shared" si="1"/>
        <v>SWR-EVEREST06XYG</v>
      </c>
      <c r="B1831" s="14" t="s">
        <v>2183</v>
      </c>
      <c r="C1831" s="28" t="s">
        <v>297</v>
      </c>
      <c r="D1831" s="4" t="s">
        <v>104</v>
      </c>
      <c r="E1831" s="4" t="s">
        <v>16</v>
      </c>
      <c r="F1831" s="4" t="s">
        <v>97</v>
      </c>
      <c r="G1831" s="4">
        <f>SUMIFS(X!$F$5:$F$2005,X!$D$5:$D$2005,'Current Stock'!A1831)</f>
        <v>0</v>
      </c>
      <c r="H1831" s="4">
        <f>SUMIFS(PENJUALAN!$E$4:$E$11000,PENJUALAN!$C$4:$C$11000,'Current Stock'!A1831)</f>
        <v>0</v>
      </c>
      <c r="I1831" s="16">
        <f t="shared" si="2"/>
        <v>0</v>
      </c>
      <c r="J1831" s="18"/>
      <c r="K1831" s="18"/>
      <c r="L1831" s="18"/>
      <c r="M1831" s="18"/>
    </row>
    <row r="1832" ht="15.0" customHeight="1">
      <c r="A1832" s="20" t="str">
        <f t="shared" si="1"/>
        <v>TRW-AGYA13ASH</v>
      </c>
      <c r="B1832" s="76" t="s">
        <v>2184</v>
      </c>
      <c r="C1832" s="39" t="s">
        <v>2185</v>
      </c>
      <c r="D1832" s="77" t="s">
        <v>41</v>
      </c>
      <c r="E1832" s="22" t="s">
        <v>82</v>
      </c>
      <c r="F1832" s="77" t="s">
        <v>97</v>
      </c>
      <c r="G1832" s="4">
        <f>SUMIFS(X!$F$5:$F$2005,X!$D$5:$D$2005,'Current Stock'!A1832)</f>
        <v>12</v>
      </c>
      <c r="H1832" s="4">
        <f>SUMIFS(PENJUALAN!$E$4:$E$11000,PENJUALAN!$C$4:$C$11000,'Current Stock'!A1832)</f>
        <v>11</v>
      </c>
      <c r="I1832" s="16">
        <f t="shared" si="2"/>
        <v>1</v>
      </c>
      <c r="J1832" s="22" t="s">
        <v>1846</v>
      </c>
      <c r="K1832" s="22"/>
      <c r="L1832" s="25"/>
      <c r="M1832" s="22" t="s">
        <v>2186</v>
      </c>
    </row>
    <row r="1833" ht="15.0" customHeight="1">
      <c r="A1833" s="4" t="str">
        <f t="shared" si="1"/>
        <v>LFW-ESTEEMMU</v>
      </c>
      <c r="B1833" s="29" t="s">
        <v>2187</v>
      </c>
      <c r="C1833" s="30" t="s">
        <v>2188</v>
      </c>
      <c r="D1833" s="30" t="s">
        <v>22</v>
      </c>
      <c r="E1833" s="4" t="s">
        <v>1361</v>
      </c>
      <c r="F1833" s="28"/>
      <c r="G1833" s="4">
        <f>SUMIFS(X!$F$5:$F$2005,X!$D$5:$D$2005,'Current Stock'!A1833)</f>
        <v>2</v>
      </c>
      <c r="H1833" s="4">
        <f>SUMIFS(PENJUALAN!$E$4:$E$11000,PENJUALAN!$C$4:$C$11000,'Current Stock'!A1833)</f>
        <v>2</v>
      </c>
      <c r="I1833" s="16">
        <f t="shared" si="2"/>
        <v>0</v>
      </c>
      <c r="J1833" s="4"/>
      <c r="K1833" s="4"/>
      <c r="L1833" s="4"/>
      <c r="M1833" s="4"/>
    </row>
    <row r="1834" ht="15.0" customHeight="1">
      <c r="A1834" s="20" t="str">
        <f t="shared" si="1"/>
        <v>FDR-ELFNKRASH</v>
      </c>
      <c r="B1834" s="24" t="s">
        <v>2189</v>
      </c>
      <c r="C1834" s="22" t="s">
        <v>2190</v>
      </c>
      <c r="D1834" s="22" t="s">
        <v>45</v>
      </c>
      <c r="E1834" s="22" t="s">
        <v>82</v>
      </c>
      <c r="F1834" s="25"/>
      <c r="G1834" s="4">
        <f>SUMIFS(X!$F$5:$F$2005,X!$D$5:$D$2005,'Current Stock'!A1834)</f>
        <v>5</v>
      </c>
      <c r="H1834" s="4">
        <f>SUMIFS(PENJUALAN!$E$4:$E$11000,PENJUALAN!$C$4:$C$11000,'Current Stock'!A1834)</f>
        <v>4</v>
      </c>
      <c r="I1834" s="16">
        <f t="shared" si="2"/>
        <v>1</v>
      </c>
      <c r="J1834" s="22" t="s">
        <v>1499</v>
      </c>
      <c r="K1834" s="22"/>
      <c r="L1834" s="25"/>
      <c r="M1834" s="25"/>
    </row>
    <row r="1835" ht="15.0" customHeight="1">
      <c r="A1835" s="4" t="str">
        <f t="shared" si="1"/>
        <v>LFW-INNOVA04MSG</v>
      </c>
      <c r="B1835" s="15" t="s">
        <v>1159</v>
      </c>
      <c r="C1835" s="28" t="s">
        <v>1160</v>
      </c>
      <c r="D1835" s="15" t="s">
        <v>22</v>
      </c>
      <c r="E1835" s="15" t="s">
        <v>42</v>
      </c>
      <c r="F1835" s="15" t="s">
        <v>2191</v>
      </c>
      <c r="G1835" s="4">
        <f>SUMIFS(X!$F$5:$F$2005,X!$D$5:$D$2005,'Current Stock'!A1835)</f>
        <v>13</v>
      </c>
      <c r="H1835" s="4">
        <f>SUMIFS(PENJUALAN!$E$4:$E$11000,PENJUALAN!$C$4:$C$11000,'Current Stock'!A1835)</f>
        <v>13</v>
      </c>
      <c r="I1835" s="16">
        <f t="shared" si="2"/>
        <v>0</v>
      </c>
      <c r="J1835" s="15" t="s">
        <v>1863</v>
      </c>
      <c r="K1835" s="15"/>
      <c r="L1835" s="18"/>
      <c r="M1835" s="18"/>
    </row>
    <row r="1836" ht="15.0" customHeight="1">
      <c r="A1836" s="4" t="str">
        <f t="shared" si="1"/>
        <v>TRW-ERTIGA18ASH</v>
      </c>
      <c r="B1836" s="15" t="s">
        <v>1795</v>
      </c>
      <c r="C1836" s="15" t="s">
        <v>1794</v>
      </c>
      <c r="D1836" s="15" t="s">
        <v>41</v>
      </c>
      <c r="E1836" s="15" t="s">
        <v>82</v>
      </c>
      <c r="F1836" s="15" t="s">
        <v>97</v>
      </c>
      <c r="G1836" s="4">
        <f>SUMIFS(X!$F$5:$F$2005,X!$D$5:$D$2005,'Current Stock'!A1836)</f>
        <v>5</v>
      </c>
      <c r="H1836" s="4">
        <f>SUMIFS(PENJUALAN!$E$4:$E$11000,PENJUALAN!$C$4:$C$11000,'Current Stock'!A1836)</f>
        <v>4</v>
      </c>
      <c r="I1836" s="16">
        <f t="shared" si="2"/>
        <v>1</v>
      </c>
      <c r="J1836" s="15" t="s">
        <v>1398</v>
      </c>
      <c r="K1836" s="15"/>
      <c r="L1836" s="18"/>
      <c r="M1836" s="18"/>
    </row>
    <row r="1837" ht="15.0" customHeight="1">
      <c r="A1837" s="4" t="str">
        <f t="shared" si="1"/>
        <v>FDL-ALPHARD08FR</v>
      </c>
      <c r="B1837" s="15" t="s">
        <v>1046</v>
      </c>
      <c r="C1837" s="15" t="s">
        <v>73</v>
      </c>
      <c r="D1837" s="15" t="s">
        <v>93</v>
      </c>
      <c r="E1837" s="15" t="s">
        <v>1449</v>
      </c>
      <c r="F1837" s="18"/>
      <c r="G1837" s="4">
        <f>SUMIFS(X!$F$5:$F$2005,X!$D$5:$D$2005,'Current Stock'!A1837)</f>
        <v>1</v>
      </c>
      <c r="H1837" s="4">
        <f>SUMIFS(PENJUALAN!$E$4:$E$11000,PENJUALAN!$C$4:$C$11000,'Current Stock'!A1837)</f>
        <v>0</v>
      </c>
      <c r="I1837" s="16">
        <f t="shared" si="2"/>
        <v>1</v>
      </c>
      <c r="J1837" s="15" t="s">
        <v>596</v>
      </c>
      <c r="K1837" s="15"/>
      <c r="L1837" s="18"/>
      <c r="M1837" s="18"/>
    </row>
    <row r="1838" ht="15.0" customHeight="1">
      <c r="A1838" s="4" t="str">
        <f t="shared" si="1"/>
        <v>FDR-ALPHARD08FR</v>
      </c>
      <c r="B1838" s="15" t="s">
        <v>1047</v>
      </c>
      <c r="C1838" s="15" t="s">
        <v>73</v>
      </c>
      <c r="D1838" s="15" t="s">
        <v>45</v>
      </c>
      <c r="E1838" s="15" t="s">
        <v>1449</v>
      </c>
      <c r="F1838" s="18"/>
      <c r="G1838" s="4">
        <f>SUMIFS(X!$F$5:$F$2005,X!$D$5:$D$2005,'Current Stock'!A1838)</f>
        <v>1</v>
      </c>
      <c r="H1838" s="4">
        <f>SUMIFS(PENJUALAN!$E$4:$E$11000,PENJUALAN!$C$4:$C$11000,'Current Stock'!A1838)</f>
        <v>0</v>
      </c>
      <c r="I1838" s="16">
        <f t="shared" si="2"/>
        <v>1</v>
      </c>
      <c r="J1838" s="15" t="s">
        <v>596</v>
      </c>
      <c r="K1838" s="15"/>
      <c r="L1838" s="18"/>
      <c r="M1838" s="18"/>
    </row>
    <row r="1839" ht="15.0" customHeight="1">
      <c r="A1839" s="20" t="str">
        <f t="shared" si="1"/>
        <v>RDR-SIGRA16ASH</v>
      </c>
      <c r="B1839" s="22" t="s">
        <v>2192</v>
      </c>
      <c r="C1839" s="39" t="s">
        <v>1517</v>
      </c>
      <c r="D1839" s="22" t="s">
        <v>70</v>
      </c>
      <c r="E1839" s="22" t="s">
        <v>82</v>
      </c>
      <c r="F1839" s="25"/>
      <c r="G1839" s="4">
        <f>SUMIFS(X!$F$5:$F$2005,X!$D$5:$D$2005,'Current Stock'!A1839)</f>
        <v>5</v>
      </c>
      <c r="H1839" s="4">
        <f>SUMIFS(PENJUALAN!$E$4:$E$11000,PENJUALAN!$C$4:$C$11000,'Current Stock'!A1839)</f>
        <v>4</v>
      </c>
      <c r="I1839" s="16">
        <f t="shared" si="2"/>
        <v>1</v>
      </c>
      <c r="J1839" s="22" t="s">
        <v>1391</v>
      </c>
      <c r="K1839" s="22"/>
      <c r="L1839" s="25"/>
      <c r="M1839" s="25"/>
    </row>
    <row r="1840" ht="15.0" customHeight="1">
      <c r="A1840" s="4" t="str">
        <f t="shared" si="1"/>
        <v>TRW-ALPHARD15BLACKFR</v>
      </c>
      <c r="B1840" s="15" t="s">
        <v>1066</v>
      </c>
      <c r="C1840" s="15" t="s">
        <v>1067</v>
      </c>
      <c r="D1840" s="15" t="s">
        <v>41</v>
      </c>
      <c r="E1840" s="15" t="s">
        <v>1449</v>
      </c>
      <c r="F1840" s="15" t="s">
        <v>2193</v>
      </c>
      <c r="G1840" s="4">
        <f>SUMIFS(X!$F$5:$F$2005,X!$D$5:$D$2005,'Current Stock'!A1840)</f>
        <v>1</v>
      </c>
      <c r="H1840" s="4">
        <f>SUMIFS(PENJUALAN!$E$4:$E$11000,PENJUALAN!$C$4:$C$11000,'Current Stock'!A1840)</f>
        <v>1</v>
      </c>
      <c r="I1840" s="16">
        <f t="shared" si="2"/>
        <v>0</v>
      </c>
      <c r="J1840" s="15" t="s">
        <v>1616</v>
      </c>
      <c r="K1840" s="15"/>
      <c r="L1840" s="18"/>
      <c r="M1840" s="18"/>
    </row>
    <row r="1841" ht="15.0" customHeight="1">
      <c r="A1841" s="4" t="str">
        <f t="shared" si="1"/>
        <v>RDL-ALPHARD15FR</v>
      </c>
      <c r="B1841" s="15" t="s">
        <v>1059</v>
      </c>
      <c r="C1841" s="15" t="s">
        <v>1057</v>
      </c>
      <c r="D1841" s="15" t="s">
        <v>47</v>
      </c>
      <c r="E1841" s="15" t="s">
        <v>1449</v>
      </c>
      <c r="F1841" s="18"/>
      <c r="G1841" s="4">
        <f>SUMIFS(X!$F$5:$F$2005,X!$D$5:$D$2005,'Current Stock'!A1841)</f>
        <v>1</v>
      </c>
      <c r="H1841" s="4">
        <f>SUMIFS(PENJUALAN!$E$4:$E$11000,PENJUALAN!$C$4:$C$11000,'Current Stock'!A1841)</f>
        <v>0</v>
      </c>
      <c r="I1841" s="16">
        <f t="shared" si="2"/>
        <v>1</v>
      </c>
      <c r="J1841" s="15" t="s">
        <v>1382</v>
      </c>
      <c r="K1841" s="15"/>
      <c r="L1841" s="18"/>
      <c r="M1841" s="18"/>
    </row>
    <row r="1842" ht="15.0" customHeight="1">
      <c r="A1842" s="4" t="str">
        <f t="shared" si="1"/>
        <v>RDR-ALPHARD15FR</v>
      </c>
      <c r="B1842" s="15" t="s">
        <v>1060</v>
      </c>
      <c r="C1842" s="15" t="s">
        <v>1057</v>
      </c>
      <c r="D1842" s="15" t="s">
        <v>70</v>
      </c>
      <c r="E1842" s="15" t="s">
        <v>1449</v>
      </c>
      <c r="F1842" s="18"/>
      <c r="G1842" s="4">
        <f>SUMIFS(X!$F$5:$F$2005,X!$D$5:$D$2005,'Current Stock'!A1842)</f>
        <v>1</v>
      </c>
      <c r="H1842" s="4">
        <f>SUMIFS(PENJUALAN!$E$4:$E$11000,PENJUALAN!$C$4:$C$11000,'Current Stock'!A1842)</f>
        <v>0</v>
      </c>
      <c r="I1842" s="16">
        <f t="shared" si="2"/>
        <v>1</v>
      </c>
      <c r="J1842" s="15" t="s">
        <v>1382</v>
      </c>
      <c r="K1842" s="15"/>
      <c r="L1842" s="18"/>
      <c r="M1842" s="18"/>
    </row>
    <row r="1843" ht="15.0" customHeight="1">
      <c r="A1843" s="4" t="str">
        <f t="shared" si="1"/>
        <v>LFW-ALPHARD15RSFR</v>
      </c>
      <c r="B1843" s="15" t="s">
        <v>2194</v>
      </c>
      <c r="C1843" s="15" t="s">
        <v>1071</v>
      </c>
      <c r="D1843" s="15" t="s">
        <v>22</v>
      </c>
      <c r="E1843" s="15" t="s">
        <v>1449</v>
      </c>
      <c r="F1843" s="15" t="s">
        <v>75</v>
      </c>
      <c r="G1843" s="4">
        <f>SUMIFS(X!$F$5:$F$2005,X!$D$5:$D$2005,'Current Stock'!A1843)</f>
        <v>1</v>
      </c>
      <c r="H1843" s="4">
        <f>SUMIFS(PENJUALAN!$E$4:$E$11000,PENJUALAN!$C$4:$C$11000,'Current Stock'!A1843)</f>
        <v>1</v>
      </c>
      <c r="I1843" s="16">
        <f t="shared" si="2"/>
        <v>0</v>
      </c>
      <c r="J1843" s="15" t="s">
        <v>1496</v>
      </c>
      <c r="K1843" s="15"/>
      <c r="L1843" s="18"/>
      <c r="M1843" s="18"/>
    </row>
    <row r="1844" ht="15.0" customHeight="1">
      <c r="A1844" s="4" t="str">
        <f t="shared" si="1"/>
        <v>TRW-CAPTIVAFR</v>
      </c>
      <c r="B1844" s="15" t="s">
        <v>228</v>
      </c>
      <c r="C1844" s="15" t="s">
        <v>223</v>
      </c>
      <c r="D1844" s="15" t="s">
        <v>41</v>
      </c>
      <c r="E1844" s="15" t="s">
        <v>1449</v>
      </c>
      <c r="F1844" s="15" t="s">
        <v>2193</v>
      </c>
      <c r="G1844" s="4">
        <f>SUMIFS(X!$F$5:$F$2005,X!$D$5:$D$2005,'Current Stock'!A1844)</f>
        <v>1</v>
      </c>
      <c r="H1844" s="4">
        <f>SUMIFS(PENJUALAN!$E$4:$E$11000,PENJUALAN!$C$4:$C$11000,'Current Stock'!A1844)</f>
        <v>0</v>
      </c>
      <c r="I1844" s="16">
        <f t="shared" si="2"/>
        <v>1</v>
      </c>
      <c r="J1844" s="15" t="s">
        <v>1366</v>
      </c>
      <c r="K1844" s="15"/>
      <c r="L1844" s="18"/>
      <c r="M1844" s="18"/>
    </row>
    <row r="1845" ht="15.0" customHeight="1">
      <c r="A1845" s="4" t="str">
        <f t="shared" si="1"/>
        <v>LFW-CAPTIVARSFR</v>
      </c>
      <c r="B1845" s="15" t="s">
        <v>222</v>
      </c>
      <c r="C1845" s="15" t="s">
        <v>223</v>
      </c>
      <c r="D1845" s="15" t="s">
        <v>22</v>
      </c>
      <c r="E1845" s="15" t="s">
        <v>1449</v>
      </c>
      <c r="F1845" s="15" t="s">
        <v>125</v>
      </c>
      <c r="G1845" s="4">
        <f>SUMIFS(X!$F$5:$F$2005,X!$D$5:$D$2005,'Current Stock'!A1845)</f>
        <v>1</v>
      </c>
      <c r="H1845" s="4">
        <f>SUMIFS(PENJUALAN!$E$4:$E$11000,PENJUALAN!$C$4:$C$11000,'Current Stock'!A1845)</f>
        <v>0</v>
      </c>
      <c r="I1845" s="16">
        <f t="shared" si="2"/>
        <v>1</v>
      </c>
      <c r="J1845" s="15" t="s">
        <v>2020</v>
      </c>
      <c r="K1845" s="15"/>
      <c r="L1845" s="18"/>
      <c r="M1845" s="18"/>
    </row>
    <row r="1846" ht="15.0" customHeight="1">
      <c r="A1846" s="20" t="str">
        <f t="shared" si="1"/>
        <v>SWR-AVANZA21ASH</v>
      </c>
      <c r="B1846" s="24" t="s">
        <v>1557</v>
      </c>
      <c r="C1846" s="22" t="s">
        <v>1503</v>
      </c>
      <c r="D1846" s="22" t="s">
        <v>104</v>
      </c>
      <c r="E1846" s="22" t="s">
        <v>82</v>
      </c>
      <c r="F1846" s="25"/>
      <c r="G1846" s="4">
        <f>SUMIFS(X!$F$5:$F$2005,X!$D$5:$D$2005,'Current Stock'!A1846)</f>
        <v>5</v>
      </c>
      <c r="H1846" s="4">
        <f>SUMIFS(PENJUALAN!$E$4:$E$11000,PENJUALAN!$C$4:$C$11000,'Current Stock'!A1846)</f>
        <v>3</v>
      </c>
      <c r="I1846" s="16">
        <f t="shared" si="2"/>
        <v>2</v>
      </c>
      <c r="J1846" s="22" t="s">
        <v>1509</v>
      </c>
      <c r="K1846" s="22"/>
      <c r="L1846" s="25"/>
      <c r="M1846" s="25"/>
    </row>
    <row r="1847" ht="15.0" customHeight="1">
      <c r="A1847" s="4" t="str">
        <f t="shared" si="1"/>
        <v>TRW-FIESTAFR</v>
      </c>
      <c r="B1847" s="15" t="s">
        <v>300</v>
      </c>
      <c r="C1847" s="15" t="s">
        <v>299</v>
      </c>
      <c r="D1847" s="15" t="s">
        <v>41</v>
      </c>
      <c r="E1847" s="15" t="s">
        <v>1449</v>
      </c>
      <c r="F1847" s="15" t="s">
        <v>2193</v>
      </c>
      <c r="G1847" s="4">
        <f>SUMIFS(X!$F$5:$F$2005,X!$D$5:$D$2005,'Current Stock'!A1847)</f>
        <v>1</v>
      </c>
      <c r="H1847" s="4">
        <f>SUMIFS(PENJUALAN!$E$4:$E$11000,PENJUALAN!$C$4:$C$11000,'Current Stock'!A1847)</f>
        <v>1</v>
      </c>
      <c r="I1847" s="16">
        <f t="shared" si="2"/>
        <v>0</v>
      </c>
      <c r="J1847" s="15" t="s">
        <v>1366</v>
      </c>
      <c r="K1847" s="15"/>
      <c r="L1847" s="18"/>
      <c r="M1847" s="18"/>
    </row>
    <row r="1848" ht="15.0" customHeight="1">
      <c r="A1848" s="4" t="str">
        <f t="shared" si="1"/>
        <v>FDL-HARRIER480NFR</v>
      </c>
      <c r="B1848" s="15" t="s">
        <v>2195</v>
      </c>
      <c r="C1848" s="15" t="s">
        <v>2196</v>
      </c>
      <c r="D1848" s="15" t="s">
        <v>93</v>
      </c>
      <c r="E1848" s="15" t="s">
        <v>1449</v>
      </c>
      <c r="F1848" s="18"/>
      <c r="G1848" s="4">
        <f>SUMIFS(X!$F$5:$F$2005,X!$D$5:$D$2005,'Current Stock'!A1848)</f>
        <v>1</v>
      </c>
      <c r="H1848" s="4">
        <f>SUMIFS(PENJUALAN!$E$4:$E$11000,PENJUALAN!$C$4:$C$11000,'Current Stock'!A1848)</f>
        <v>0</v>
      </c>
      <c r="I1848" s="16">
        <f t="shared" si="2"/>
        <v>1</v>
      </c>
      <c r="J1848" s="15" t="s">
        <v>48</v>
      </c>
      <c r="K1848" s="15"/>
      <c r="L1848" s="18"/>
      <c r="M1848" s="18"/>
    </row>
    <row r="1849" ht="15.0" customHeight="1">
      <c r="A1849" s="4" t="str">
        <f t="shared" si="1"/>
        <v>FDR-HARRIER480NFR</v>
      </c>
      <c r="B1849" s="15" t="s">
        <v>2197</v>
      </c>
      <c r="C1849" s="15" t="s">
        <v>2196</v>
      </c>
      <c r="D1849" s="15" t="s">
        <v>45</v>
      </c>
      <c r="E1849" s="15" t="s">
        <v>1449</v>
      </c>
      <c r="F1849" s="18"/>
      <c r="G1849" s="4">
        <f>SUMIFS(X!$F$5:$F$2005,X!$D$5:$D$2005,'Current Stock'!A1849)</f>
        <v>1</v>
      </c>
      <c r="H1849" s="4">
        <f>SUMIFS(PENJUALAN!$E$4:$E$11000,PENJUALAN!$C$4:$C$11000,'Current Stock'!A1849)</f>
        <v>1</v>
      </c>
      <c r="I1849" s="16">
        <f t="shared" si="2"/>
        <v>0</v>
      </c>
      <c r="J1849" s="15" t="s">
        <v>48</v>
      </c>
      <c r="K1849" s="15"/>
      <c r="L1849" s="18"/>
      <c r="M1849" s="18"/>
    </row>
    <row r="1850" ht="15.0" customHeight="1">
      <c r="A1850" s="4" t="str">
        <f t="shared" si="1"/>
        <v>RDL-HARRIER480NFR</v>
      </c>
      <c r="B1850" s="15" t="s">
        <v>2198</v>
      </c>
      <c r="C1850" s="15" t="s">
        <v>2196</v>
      </c>
      <c r="D1850" s="15" t="s">
        <v>47</v>
      </c>
      <c r="E1850" s="15" t="s">
        <v>1449</v>
      </c>
      <c r="F1850" s="18"/>
      <c r="G1850" s="4">
        <f>SUMIFS(X!$F$5:$F$2005,X!$D$5:$D$2005,'Current Stock'!A1850)</f>
        <v>1</v>
      </c>
      <c r="H1850" s="4">
        <f>SUMIFS(PENJUALAN!$E$4:$E$11000,PENJUALAN!$C$4:$C$11000,'Current Stock'!A1850)</f>
        <v>0</v>
      </c>
      <c r="I1850" s="16">
        <f t="shared" si="2"/>
        <v>1</v>
      </c>
      <c r="J1850" s="15" t="s">
        <v>48</v>
      </c>
      <c r="K1850" s="15"/>
      <c r="L1850" s="18"/>
      <c r="M1850" s="18"/>
    </row>
    <row r="1851" ht="15.0" customHeight="1">
      <c r="A1851" s="4" t="str">
        <f t="shared" si="1"/>
        <v>RDR-HARRIER480NFR</v>
      </c>
      <c r="B1851" s="15" t="s">
        <v>2199</v>
      </c>
      <c r="C1851" s="15" t="s">
        <v>2196</v>
      </c>
      <c r="D1851" s="15" t="s">
        <v>70</v>
      </c>
      <c r="E1851" s="15" t="s">
        <v>1449</v>
      </c>
      <c r="F1851" s="18"/>
      <c r="G1851" s="4">
        <f>SUMIFS(X!$F$5:$F$2005,X!$D$5:$D$2005,'Current Stock'!A1851)</f>
        <v>1</v>
      </c>
      <c r="H1851" s="4">
        <f>SUMIFS(PENJUALAN!$E$4:$E$11000,PENJUALAN!$C$4:$C$11000,'Current Stock'!A1851)</f>
        <v>0</v>
      </c>
      <c r="I1851" s="16">
        <f t="shared" si="2"/>
        <v>1</v>
      </c>
      <c r="J1851" s="15" t="s">
        <v>48</v>
      </c>
      <c r="K1851" s="15"/>
      <c r="L1851" s="18"/>
      <c r="M1851" s="18"/>
    </row>
    <row r="1852" ht="15.0" customHeight="1">
      <c r="A1852" s="4" t="str">
        <f t="shared" si="1"/>
        <v>SRR-HIACEFFR</v>
      </c>
      <c r="B1852" s="15" t="s">
        <v>2200</v>
      </c>
      <c r="C1852" s="78" t="s">
        <v>1897</v>
      </c>
      <c r="D1852" s="15" t="s">
        <v>2201</v>
      </c>
      <c r="E1852" s="15" t="s">
        <v>1449</v>
      </c>
      <c r="F1852" s="79" t="s">
        <v>97</v>
      </c>
      <c r="G1852" s="4">
        <f>SUMIFS(X!$F$5:$F$2005,X!$D$5:$D$2005,'Current Stock'!A1852)</f>
        <v>0</v>
      </c>
      <c r="H1852" s="4">
        <f>SUMIFS(PENJUALAN!$E$4:$E$11000,PENJUALAN!$C$4:$C$11000,'Current Stock'!A1852)</f>
        <v>0</v>
      </c>
      <c r="I1852" s="16">
        <f t="shared" si="2"/>
        <v>0</v>
      </c>
      <c r="J1852" s="15" t="s">
        <v>1616</v>
      </c>
      <c r="K1852" s="15"/>
      <c r="L1852" s="18"/>
      <c r="M1852" s="18"/>
    </row>
    <row r="1853" ht="15.0" customHeight="1">
      <c r="A1853" s="4" t="str">
        <f t="shared" si="1"/>
        <v>RDL-HIACEFBLACKFR</v>
      </c>
      <c r="B1853" s="15" t="s">
        <v>2202</v>
      </c>
      <c r="C1853" s="80" t="s">
        <v>2203</v>
      </c>
      <c r="D1853" s="15" t="s">
        <v>47</v>
      </c>
      <c r="E1853" s="15" t="s">
        <v>1449</v>
      </c>
      <c r="F1853" s="79" t="s">
        <v>97</v>
      </c>
      <c r="G1853" s="4">
        <f>SUMIFS(X!$F$5:$F$2005,X!$D$5:$D$2005,'Current Stock'!A1853)</f>
        <v>1</v>
      </c>
      <c r="H1853" s="4">
        <f>SUMIFS(PENJUALAN!$E$4:$E$11000,PENJUALAN!$C$4:$C$11000,'Current Stock'!A1853)</f>
        <v>0</v>
      </c>
      <c r="I1853" s="16">
        <f t="shared" si="2"/>
        <v>1</v>
      </c>
      <c r="J1853" s="15" t="s">
        <v>1616</v>
      </c>
      <c r="K1853" s="15"/>
      <c r="L1853" s="18"/>
      <c r="M1853" s="18"/>
    </row>
    <row r="1854" ht="15.0" customHeight="1">
      <c r="A1854" s="4" t="str">
        <f t="shared" si="1"/>
        <v>RDL-HIACEFFR</v>
      </c>
      <c r="B1854" s="15" t="s">
        <v>1896</v>
      </c>
      <c r="C1854" s="78" t="s">
        <v>1897</v>
      </c>
      <c r="D1854" s="15" t="s">
        <v>47</v>
      </c>
      <c r="E1854" s="15" t="s">
        <v>1449</v>
      </c>
      <c r="F1854" s="79" t="s">
        <v>97</v>
      </c>
      <c r="G1854" s="4">
        <f>SUMIFS(X!$F$5:$F$2005,X!$D$5:$D$2005,'Current Stock'!A1854)</f>
        <v>1</v>
      </c>
      <c r="H1854" s="4">
        <f>SUMIFS(PENJUALAN!$E$4:$E$11000,PENJUALAN!$C$4:$C$11000,'Current Stock'!A1854)</f>
        <v>0</v>
      </c>
      <c r="I1854" s="16">
        <f t="shared" si="2"/>
        <v>1</v>
      </c>
      <c r="J1854" s="15" t="s">
        <v>1616</v>
      </c>
      <c r="K1854" s="15"/>
      <c r="L1854" s="18"/>
      <c r="M1854" s="18"/>
    </row>
    <row r="1855" ht="15.0" customHeight="1">
      <c r="A1855" s="4" t="str">
        <f t="shared" si="1"/>
        <v>SRR-HIACEFBLACKFR</v>
      </c>
      <c r="B1855" s="15" t="s">
        <v>2204</v>
      </c>
      <c r="C1855" s="80" t="s">
        <v>2203</v>
      </c>
      <c r="D1855" s="15" t="s">
        <v>2201</v>
      </c>
      <c r="E1855" s="15" t="s">
        <v>1449</v>
      </c>
      <c r="F1855" s="79" t="s">
        <v>97</v>
      </c>
      <c r="G1855" s="4">
        <f>SUMIFS(X!$F$5:$F$2005,X!$D$5:$D$2005,'Current Stock'!A1855)</f>
        <v>0</v>
      </c>
      <c r="H1855" s="4">
        <f>SUMIFS(PENJUALAN!$E$4:$E$11000,PENJUALAN!$C$4:$C$11000,'Current Stock'!A1855)</f>
        <v>0</v>
      </c>
      <c r="I1855" s="16">
        <f t="shared" si="2"/>
        <v>0</v>
      </c>
      <c r="J1855" s="15" t="s">
        <v>1616</v>
      </c>
      <c r="K1855" s="15"/>
      <c r="L1855" s="18"/>
      <c r="M1855" s="18"/>
    </row>
    <row r="1856" ht="15.0" customHeight="1">
      <c r="A1856" s="4" t="str">
        <f t="shared" si="1"/>
        <v>LFW-TELSTAR93MU</v>
      </c>
      <c r="B1856" s="15" t="s">
        <v>2205</v>
      </c>
      <c r="C1856" s="15" t="s">
        <v>2206</v>
      </c>
      <c r="D1856" s="18" t="str">
        <f>LEFT(A1856,FIND("-",A1856) - 1)</f>
        <v>LFW</v>
      </c>
      <c r="E1856" s="15" t="s">
        <v>1361</v>
      </c>
      <c r="F1856" s="15" t="s">
        <v>1961</v>
      </c>
      <c r="G1856" s="4">
        <f>SUMIFS(X!$F$5:$F$2005,X!$D$5:$D$2005,'Current Stock'!A1856)</f>
        <v>3</v>
      </c>
      <c r="H1856" s="4">
        <f>SUMIFS(PENJUALAN!$E$4:$E$11000,PENJUALAN!$C$4:$C$11000,'Current Stock'!A1856)</f>
        <v>3</v>
      </c>
      <c r="I1856" s="16">
        <f t="shared" si="2"/>
        <v>0</v>
      </c>
      <c r="J1856" s="15" t="s">
        <v>1695</v>
      </c>
      <c r="K1856" s="15"/>
      <c r="L1856" s="18"/>
      <c r="M1856" s="18"/>
    </row>
    <row r="1857" ht="15.0" customHeight="1">
      <c r="A1857" s="4" t="str">
        <f t="shared" si="1"/>
        <v>TRW-RX270/350FR</v>
      </c>
      <c r="B1857" s="15" t="s">
        <v>2207</v>
      </c>
      <c r="C1857" s="15" t="s">
        <v>2208</v>
      </c>
      <c r="D1857" s="15" t="s">
        <v>41</v>
      </c>
      <c r="E1857" s="15" t="s">
        <v>1449</v>
      </c>
      <c r="F1857" s="15" t="s">
        <v>2193</v>
      </c>
      <c r="G1857" s="4">
        <f>SUMIFS(X!$F$5:$F$2005,X!$D$5:$D$2005,'Current Stock'!A1857)</f>
        <v>1</v>
      </c>
      <c r="H1857" s="4">
        <f>SUMIFS(PENJUALAN!$E$4:$E$11000,PENJUALAN!$C$4:$C$11000,'Current Stock'!A1857)</f>
        <v>0</v>
      </c>
      <c r="I1857" s="16">
        <f t="shared" si="2"/>
        <v>1</v>
      </c>
      <c r="J1857" s="15" t="s">
        <v>1711</v>
      </c>
      <c r="K1857" s="15"/>
      <c r="L1857" s="18"/>
      <c r="M1857" s="18"/>
    </row>
    <row r="1858" ht="15.0" customHeight="1">
      <c r="A1858" s="4" t="str">
        <f t="shared" si="1"/>
        <v>TRW-VOXY22FR</v>
      </c>
      <c r="B1858" s="15" t="s">
        <v>2209</v>
      </c>
      <c r="C1858" s="15" t="s">
        <v>2210</v>
      </c>
      <c r="D1858" s="15" t="s">
        <v>41</v>
      </c>
      <c r="E1858" s="15" t="s">
        <v>1449</v>
      </c>
      <c r="F1858" s="15" t="s">
        <v>2193</v>
      </c>
      <c r="G1858" s="4">
        <f>SUMIFS(X!$F$5:$F$2005,X!$D$5:$D$2005,'Current Stock'!A1858)</f>
        <v>1</v>
      </c>
      <c r="H1858" s="4">
        <f>SUMIFS(PENJUALAN!$E$4:$E$11000,PENJUALAN!$C$4:$C$11000,'Current Stock'!A1858)</f>
        <v>0</v>
      </c>
      <c r="I1858" s="16">
        <f t="shared" si="2"/>
        <v>1</v>
      </c>
      <c r="J1858" s="15" t="s">
        <v>1846</v>
      </c>
      <c r="K1858" s="15"/>
      <c r="L1858" s="18"/>
      <c r="M1858" s="18"/>
    </row>
    <row r="1859" ht="15.0" customHeight="1">
      <c r="A1859" s="4" t="str">
        <f t="shared" si="1"/>
        <v>LFW-VOXY22RSFR</v>
      </c>
      <c r="B1859" s="15" t="s">
        <v>2211</v>
      </c>
      <c r="C1859" s="15" t="s">
        <v>2212</v>
      </c>
      <c r="D1859" s="15" t="s">
        <v>22</v>
      </c>
      <c r="E1859" s="15" t="s">
        <v>1449</v>
      </c>
      <c r="F1859" s="15" t="s">
        <v>75</v>
      </c>
      <c r="G1859" s="4">
        <f>SUMIFS(X!$F$5:$F$2005,X!$D$5:$D$2005,'Current Stock'!A1859)</f>
        <v>1</v>
      </c>
      <c r="H1859" s="4">
        <f>SUMIFS(PENJUALAN!$E$4:$E$11000,PENJUALAN!$C$4:$C$11000,'Current Stock'!A1859)</f>
        <v>0</v>
      </c>
      <c r="I1859" s="16">
        <f t="shared" si="2"/>
        <v>1</v>
      </c>
      <c r="J1859" s="15" t="s">
        <v>1851</v>
      </c>
      <c r="K1859" s="15"/>
      <c r="L1859" s="18"/>
      <c r="M1859" s="18"/>
    </row>
    <row r="1860" ht="15.0" customHeight="1">
      <c r="A1860" s="4" t="str">
        <f t="shared" si="1"/>
        <v>FDL-HIACE19FR</v>
      </c>
      <c r="B1860" s="15" t="s">
        <v>1899</v>
      </c>
      <c r="C1860" s="79" t="s">
        <v>1900</v>
      </c>
      <c r="D1860" s="15" t="s">
        <v>93</v>
      </c>
      <c r="E1860" s="15" t="s">
        <v>1449</v>
      </c>
      <c r="F1860" s="18"/>
      <c r="G1860" s="4">
        <f>SUMIFS(X!$F$5:$F$2005,X!$D$5:$D$2005,'Current Stock'!A1860)</f>
        <v>1</v>
      </c>
      <c r="H1860" s="4">
        <f>SUMIFS(PENJUALAN!$E$4:$E$11000,PENJUALAN!$C$4:$C$11000,'Current Stock'!A1860)</f>
        <v>0</v>
      </c>
      <c r="I1860" s="16">
        <f t="shared" si="2"/>
        <v>1</v>
      </c>
      <c r="J1860" s="15" t="s">
        <v>1382</v>
      </c>
      <c r="K1860" s="15"/>
      <c r="L1860" s="18"/>
      <c r="M1860" s="18"/>
    </row>
    <row r="1861" ht="15.0" customHeight="1">
      <c r="A1861" s="4" t="str">
        <f t="shared" si="1"/>
        <v>FDR-HIACE19FR</v>
      </c>
      <c r="B1861" s="81" t="s">
        <v>1901</v>
      </c>
      <c r="C1861" s="79" t="s">
        <v>1900</v>
      </c>
      <c r="D1861" s="15" t="s">
        <v>45</v>
      </c>
      <c r="E1861" s="15" t="s">
        <v>1449</v>
      </c>
      <c r="F1861" s="18"/>
      <c r="G1861" s="4">
        <f>SUMIFS(X!$F$5:$F$2005,X!$D$5:$D$2005,'Current Stock'!A1861)</f>
        <v>1</v>
      </c>
      <c r="H1861" s="4">
        <f>SUMIFS(PENJUALAN!$E$4:$E$11000,PENJUALAN!$C$4:$C$11000,'Current Stock'!A1861)</f>
        <v>0</v>
      </c>
      <c r="I1861" s="16">
        <f t="shared" si="2"/>
        <v>1</v>
      </c>
      <c r="J1861" s="15" t="s">
        <v>1382</v>
      </c>
      <c r="K1861" s="15"/>
      <c r="L1861" s="18"/>
      <c r="M1861" s="18"/>
    </row>
    <row r="1862" ht="15.0" customHeight="1">
      <c r="A1862" s="20" t="str">
        <f t="shared" si="1"/>
        <v>RVL-SIGRA16ASH</v>
      </c>
      <c r="B1862" s="22" t="s">
        <v>2213</v>
      </c>
      <c r="C1862" s="22" t="s">
        <v>1514</v>
      </c>
      <c r="D1862" s="22" t="s">
        <v>2214</v>
      </c>
      <c r="E1862" s="22" t="s">
        <v>82</v>
      </c>
      <c r="F1862" s="25"/>
      <c r="G1862" s="4">
        <f>SUMIFS(X!$F$5:$F$2005,X!$D$5:$D$2005,'Current Stock'!A1862)</f>
        <v>5</v>
      </c>
      <c r="H1862" s="4">
        <f>SUMIFS(PENJUALAN!$E$4:$E$11000,PENJUALAN!$C$4:$C$11000,'Current Stock'!A1862)</f>
        <v>3</v>
      </c>
      <c r="I1862" s="16">
        <f t="shared" si="2"/>
        <v>2</v>
      </c>
      <c r="J1862" s="22" t="s">
        <v>1473</v>
      </c>
      <c r="K1862" s="22"/>
      <c r="L1862" s="25"/>
      <c r="M1862" s="25"/>
    </row>
    <row r="1863" ht="15.0" customHeight="1">
      <c r="A1863" s="4" t="str">
        <f t="shared" si="1"/>
        <v>RDR-HIACE19FR</v>
      </c>
      <c r="B1863" s="15" t="s">
        <v>1904</v>
      </c>
      <c r="C1863" s="79" t="s">
        <v>1900</v>
      </c>
      <c r="D1863" s="15" t="s">
        <v>70</v>
      </c>
      <c r="E1863" s="15" t="s">
        <v>1449</v>
      </c>
      <c r="F1863" s="79" t="s">
        <v>97</v>
      </c>
      <c r="G1863" s="4">
        <f>SUMIFS(X!$F$5:$F$2005,X!$D$5:$D$2005,'Current Stock'!A1863)</f>
        <v>0</v>
      </c>
      <c r="H1863" s="4">
        <f>SUMIFS(PENJUALAN!$E$4:$E$11000,PENJUALAN!$C$4:$C$11000,'Current Stock'!A1863)</f>
        <v>0</v>
      </c>
      <c r="I1863" s="16">
        <f t="shared" si="2"/>
        <v>0</v>
      </c>
      <c r="J1863" s="15"/>
      <c r="K1863" s="15"/>
      <c r="L1863" s="18"/>
      <c r="M1863" s="18"/>
    </row>
    <row r="1864" ht="15.0" customHeight="1">
      <c r="A1864" s="4" t="str">
        <f t="shared" si="1"/>
        <v>RDL-HIACE19FR</v>
      </c>
      <c r="B1864" s="15" t="s">
        <v>2215</v>
      </c>
      <c r="C1864" s="79" t="s">
        <v>1900</v>
      </c>
      <c r="D1864" s="15" t="s">
        <v>47</v>
      </c>
      <c r="E1864" s="15" t="s">
        <v>1449</v>
      </c>
      <c r="F1864" s="79" t="s">
        <v>97</v>
      </c>
      <c r="G1864" s="4">
        <f>SUMIFS(X!$F$5:$F$2005,X!$D$5:$D$2005,'Current Stock'!A1864)</f>
        <v>0</v>
      </c>
      <c r="H1864" s="4">
        <f>SUMIFS(PENJUALAN!$E$4:$E$11000,PENJUALAN!$C$4:$C$11000,'Current Stock'!A1864)</f>
        <v>0</v>
      </c>
      <c r="I1864" s="16">
        <f t="shared" si="2"/>
        <v>0</v>
      </c>
      <c r="J1864" s="15"/>
      <c r="K1864" s="15"/>
      <c r="L1864" s="18"/>
      <c r="M1864" s="18"/>
    </row>
    <row r="1865" ht="15.0" customHeight="1">
      <c r="A1865" s="4" t="str">
        <f t="shared" si="1"/>
        <v>SRL-HIACE19FR</v>
      </c>
      <c r="B1865" s="15" t="s">
        <v>1905</v>
      </c>
      <c r="C1865" s="79" t="s">
        <v>1900</v>
      </c>
      <c r="D1865" s="15" t="s">
        <v>2216</v>
      </c>
      <c r="E1865" s="15" t="s">
        <v>1449</v>
      </c>
      <c r="F1865" s="79" t="s">
        <v>97</v>
      </c>
      <c r="G1865" s="4">
        <f>SUMIFS(X!$F$5:$F$2005,X!$D$5:$D$2005,'Current Stock'!A1865)</f>
        <v>0</v>
      </c>
      <c r="H1865" s="4">
        <f>SUMIFS(PENJUALAN!$E$4:$E$11000,PENJUALAN!$C$4:$C$11000,'Current Stock'!A1865)</f>
        <v>0</v>
      </c>
      <c r="I1865" s="16">
        <f t="shared" si="2"/>
        <v>0</v>
      </c>
      <c r="J1865" s="15"/>
      <c r="K1865" s="15"/>
      <c r="L1865" s="18"/>
      <c r="M1865" s="18"/>
    </row>
    <row r="1866" ht="15.0" customHeight="1">
      <c r="A1866" s="4" t="str">
        <f t="shared" si="1"/>
        <v>SRR-HIACE19FR</v>
      </c>
      <c r="B1866" s="15" t="s">
        <v>2217</v>
      </c>
      <c r="C1866" s="79" t="s">
        <v>1900</v>
      </c>
      <c r="D1866" s="15" t="s">
        <v>2201</v>
      </c>
      <c r="E1866" s="15" t="s">
        <v>1449</v>
      </c>
      <c r="F1866" s="79" t="s">
        <v>97</v>
      </c>
      <c r="G1866" s="4">
        <f>SUMIFS(X!$F$5:$F$2005,X!$D$5:$D$2005,'Current Stock'!A1866)</f>
        <v>0</v>
      </c>
      <c r="H1866" s="4">
        <f>SUMIFS(PENJUALAN!$E$4:$E$11000,PENJUALAN!$C$4:$C$11000,'Current Stock'!A1866)</f>
        <v>0</v>
      </c>
      <c r="I1866" s="16">
        <f t="shared" si="2"/>
        <v>0</v>
      </c>
      <c r="J1866" s="15"/>
      <c r="K1866" s="15"/>
      <c r="L1866" s="18"/>
      <c r="M1866" s="18"/>
    </row>
    <row r="1867" ht="15.0" customHeight="1">
      <c r="A1867" s="20" t="str">
        <f t="shared" si="1"/>
        <v>TRW-DYNAASH</v>
      </c>
      <c r="B1867" s="22" t="s">
        <v>2218</v>
      </c>
      <c r="C1867" s="22" t="s">
        <v>1381</v>
      </c>
      <c r="D1867" s="22" t="s">
        <v>41</v>
      </c>
      <c r="E1867" s="22" t="s">
        <v>82</v>
      </c>
      <c r="F1867" s="25"/>
      <c r="G1867" s="4">
        <f>SUMIFS(X!$F$5:$F$2005,X!$D$5:$D$2005,'Current Stock'!A1867)</f>
        <v>5</v>
      </c>
      <c r="H1867" s="4">
        <f>SUMIFS(PENJUALAN!$E$4:$E$11000,PENJUALAN!$C$4:$C$11000,'Current Stock'!A1867)</f>
        <v>4</v>
      </c>
      <c r="I1867" s="16">
        <f t="shared" si="2"/>
        <v>1</v>
      </c>
      <c r="J1867" s="22" t="s">
        <v>1355</v>
      </c>
      <c r="K1867" s="22"/>
      <c r="L1867" s="25"/>
      <c r="M1867" s="25"/>
    </row>
    <row r="1868" ht="15.0" customHeight="1">
      <c r="A1868" s="4" t="str">
        <f t="shared" si="1"/>
        <v>FDL-PAJERO16AGC</v>
      </c>
      <c r="B1868" s="15" t="s">
        <v>2219</v>
      </c>
      <c r="C1868" s="15" t="s">
        <v>2220</v>
      </c>
      <c r="D1868" s="15" t="s">
        <v>93</v>
      </c>
      <c r="E1868" s="15" t="s">
        <v>78</v>
      </c>
      <c r="F1868" s="18"/>
      <c r="G1868" s="4">
        <f>SUMIFS(X!$F$5:$F$2005,X!$D$5:$D$2005,'Current Stock'!A1868)</f>
        <v>1</v>
      </c>
      <c r="H1868" s="4">
        <f>SUMIFS(PENJUALAN!$E$4:$E$11000,PENJUALAN!$C$4:$C$11000,'Current Stock'!A1868)</f>
        <v>1</v>
      </c>
      <c r="I1868" s="16">
        <f t="shared" si="2"/>
        <v>0</v>
      </c>
      <c r="J1868" s="15" t="s">
        <v>832</v>
      </c>
      <c r="K1868" s="15"/>
      <c r="L1868" s="18"/>
      <c r="M1868" s="18"/>
    </row>
    <row r="1869" ht="15.0" customHeight="1">
      <c r="A1869" s="4" t="str">
        <f t="shared" si="1"/>
        <v>RDR-YARIS13ASH</v>
      </c>
      <c r="B1869" s="15" t="s">
        <v>2221</v>
      </c>
      <c r="C1869" s="15" t="s">
        <v>2222</v>
      </c>
      <c r="D1869" s="15" t="s">
        <v>70</v>
      </c>
      <c r="E1869" s="15" t="s">
        <v>82</v>
      </c>
      <c r="F1869" s="18"/>
      <c r="G1869" s="4">
        <f>SUMIFS(X!$F$5:$F$2005,X!$D$5:$D$2005,'Current Stock'!A1869)</f>
        <v>1</v>
      </c>
      <c r="H1869" s="4">
        <f>SUMIFS(PENJUALAN!$E$4:$E$11000,PENJUALAN!$C$4:$C$11000,'Current Stock'!A1869)</f>
        <v>1</v>
      </c>
      <c r="I1869" s="16">
        <f t="shared" si="2"/>
        <v>0</v>
      </c>
      <c r="J1869" s="18"/>
      <c r="K1869" s="18"/>
      <c r="L1869" s="18"/>
      <c r="M1869" s="18"/>
    </row>
    <row r="1870" ht="15.0" customHeight="1">
      <c r="A1870" s="4" t="str">
        <f t="shared" si="1"/>
        <v>FDR-FORTUNER15AGC</v>
      </c>
      <c r="B1870" s="15" t="s">
        <v>2223</v>
      </c>
      <c r="C1870" s="15" t="s">
        <v>2224</v>
      </c>
      <c r="D1870" s="15" t="s">
        <v>45</v>
      </c>
      <c r="E1870" s="15" t="s">
        <v>78</v>
      </c>
      <c r="F1870" s="18"/>
      <c r="G1870" s="4">
        <f>SUMIFS(X!$F$5:$F$2005,X!$D$5:$D$2005,'Current Stock'!A1870)</f>
        <v>1</v>
      </c>
      <c r="H1870" s="4">
        <f>SUMIFS(PENJUALAN!$E$4:$E$11000,PENJUALAN!$C$4:$C$11000,'Current Stock'!A1870)</f>
        <v>1</v>
      </c>
      <c r="I1870" s="16">
        <f t="shared" si="2"/>
        <v>0</v>
      </c>
      <c r="J1870" s="18"/>
      <c r="K1870" s="18"/>
      <c r="L1870" s="18"/>
      <c r="M1870" s="18"/>
    </row>
    <row r="1871" ht="15.0" customHeight="1">
      <c r="A1871" s="4" t="str">
        <f t="shared" si="1"/>
        <v>TRW-JAZZ13PIL</v>
      </c>
      <c r="B1871" s="15" t="s">
        <v>477</v>
      </c>
      <c r="C1871" s="15" t="s">
        <v>2063</v>
      </c>
      <c r="D1871" s="15" t="s">
        <v>41</v>
      </c>
      <c r="E1871" s="15" t="s">
        <v>74</v>
      </c>
      <c r="F1871" s="15" t="s">
        <v>108</v>
      </c>
      <c r="G1871" s="4">
        <f>SUMIFS(X!$F$5:$F$2005,X!$D$5:$D$2005,'Current Stock'!A1871)</f>
        <v>1</v>
      </c>
      <c r="H1871" s="4">
        <f>SUMIFS(PENJUALAN!$E$4:$E$11000,PENJUALAN!$C$4:$C$11000,'Current Stock'!A1871)</f>
        <v>0</v>
      </c>
      <c r="I1871" s="16">
        <f t="shared" si="2"/>
        <v>1</v>
      </c>
      <c r="J1871" s="15" t="s">
        <v>1460</v>
      </c>
      <c r="K1871" s="15"/>
      <c r="L1871" s="18"/>
      <c r="M1871" s="18"/>
    </row>
    <row r="1872" ht="15.0" customHeight="1">
      <c r="A1872" s="4" t="str">
        <f t="shared" si="1"/>
        <v>LFW-HIACEPIL</v>
      </c>
      <c r="B1872" s="15" t="s">
        <v>1144</v>
      </c>
      <c r="C1872" s="15" t="s">
        <v>1145</v>
      </c>
      <c r="D1872" s="15" t="str">
        <f>LEFT(A1872,FIND("-",A1872) - 1)</f>
        <v>LFW</v>
      </c>
      <c r="E1872" s="15" t="s">
        <v>74</v>
      </c>
      <c r="F1872" s="15" t="s">
        <v>97</v>
      </c>
      <c r="G1872" s="4">
        <f>SUMIFS(X!$F$5:$F$2005,X!$D$5:$D$2005,'Current Stock'!A1872)</f>
        <v>59</v>
      </c>
      <c r="H1872" s="4">
        <f>SUMIFS(PENJUALAN!$E$4:$E$11000,PENJUALAN!$C$4:$C$11000,'Current Stock'!A1872)</f>
        <v>54</v>
      </c>
      <c r="I1872" s="16">
        <f t="shared" si="2"/>
        <v>5</v>
      </c>
      <c r="J1872" s="15" t="s">
        <v>2225</v>
      </c>
      <c r="K1872" s="15"/>
      <c r="L1872" s="18"/>
      <c r="M1872" s="18"/>
    </row>
    <row r="1873" ht="15.0" customHeight="1">
      <c r="A1873" s="4" t="str">
        <f t="shared" si="1"/>
        <v>OTH-LISTWSERT12SGP</v>
      </c>
      <c r="B1873" s="19" t="s">
        <v>2226</v>
      </c>
      <c r="C1873" s="15" t="s">
        <v>2227</v>
      </c>
      <c r="D1873" s="15" t="s">
        <v>15</v>
      </c>
      <c r="E1873" s="15" t="s">
        <v>2228</v>
      </c>
      <c r="F1873" s="4"/>
      <c r="G1873" s="4">
        <f>SUMIFS(X!$F$5:$F$2005,X!$D$5:$D$2005,'Current Stock'!A1873)</f>
        <v>2</v>
      </c>
      <c r="H1873" s="4">
        <f>SUMIFS(PENJUALAN!$E$4:$E$11000,PENJUALAN!$C$4:$C$11000,'Current Stock'!A1873)</f>
        <v>2</v>
      </c>
      <c r="I1873" s="16">
        <f t="shared" si="2"/>
        <v>0</v>
      </c>
      <c r="J1873" s="4"/>
      <c r="K1873" s="4"/>
      <c r="L1873" s="5"/>
      <c r="M1873" s="4"/>
    </row>
    <row r="1874" ht="15.0" customHeight="1">
      <c r="A1874" s="4" t="str">
        <f t="shared" si="1"/>
        <v>TRW-SIRION1XYG</v>
      </c>
      <c r="B1874" s="29" t="s">
        <v>276</v>
      </c>
      <c r="C1874" s="28" t="s">
        <v>277</v>
      </c>
      <c r="D1874" s="28" t="s">
        <v>41</v>
      </c>
      <c r="E1874" s="4" t="s">
        <v>16</v>
      </c>
      <c r="F1874" s="28" t="s">
        <v>67</v>
      </c>
      <c r="G1874" s="4">
        <f>SUMIFS(X!$F$5:$F$2005,X!$D$5:$D$2005,'Current Stock'!A1874)</f>
        <v>2</v>
      </c>
      <c r="H1874" s="4">
        <f>SUMIFS(PENJUALAN!$E$4:$E$11000,PENJUALAN!$C$4:$C$11000,'Current Stock'!A1874)</f>
        <v>2</v>
      </c>
      <c r="I1874" s="16">
        <f t="shared" si="2"/>
        <v>0</v>
      </c>
      <c r="J1874" s="82"/>
      <c r="K1874" s="15"/>
      <c r="L1874" s="4"/>
      <c r="M1874" s="4"/>
    </row>
    <row r="1875" ht="15.0" customHeight="1">
      <c r="A1875" s="4" t="str">
        <f t="shared" si="1"/>
        <v>TRW-HRV14PIL</v>
      </c>
      <c r="B1875" s="31" t="s">
        <v>461</v>
      </c>
      <c r="C1875" s="33" t="s">
        <v>2229</v>
      </c>
      <c r="D1875" s="33" t="s">
        <v>41</v>
      </c>
      <c r="E1875" s="15" t="s">
        <v>74</v>
      </c>
      <c r="F1875" s="33" t="s">
        <v>108</v>
      </c>
      <c r="G1875" s="4">
        <f>SUMIFS(X!$F$5:$F$2005,X!$D$5:$D$2005,'Current Stock'!A1875)</f>
        <v>1</v>
      </c>
      <c r="H1875" s="4">
        <f>SUMIFS(PENJUALAN!$E$4:$E$11000,PENJUALAN!$C$4:$C$11000,'Current Stock'!A1875)</f>
        <v>1</v>
      </c>
      <c r="I1875" s="16">
        <f t="shared" si="2"/>
        <v>0</v>
      </c>
      <c r="J1875" s="15" t="s">
        <v>1460</v>
      </c>
      <c r="K1875" s="15"/>
      <c r="L1875" s="18"/>
      <c r="M1875" s="18"/>
    </row>
    <row r="1876" ht="15.0" customHeight="1">
      <c r="A1876" s="4" t="str">
        <f t="shared" si="1"/>
        <v>TRW-SPINXYG</v>
      </c>
      <c r="B1876" s="29" t="s">
        <v>2230</v>
      </c>
      <c r="C1876" s="28" t="s">
        <v>261</v>
      </c>
      <c r="D1876" s="28" t="s">
        <v>41</v>
      </c>
      <c r="E1876" s="4" t="s">
        <v>16</v>
      </c>
      <c r="F1876" s="28" t="s">
        <v>221</v>
      </c>
      <c r="G1876" s="4">
        <f>SUMIFS(X!$F$5:$F$2005,X!$D$5:$D$2005,'Current Stock'!A1876)</f>
        <v>1</v>
      </c>
      <c r="H1876" s="4">
        <f>SUMIFS(PENJUALAN!$E$4:$E$11000,PENJUALAN!$C$4:$C$11000,'Current Stock'!A1876)</f>
        <v>1</v>
      </c>
      <c r="I1876" s="16">
        <f t="shared" si="2"/>
        <v>0</v>
      </c>
      <c r="J1876" s="4"/>
      <c r="K1876" s="4"/>
      <c r="L1876" s="4"/>
      <c r="M1876" s="4"/>
    </row>
    <row r="1877" ht="15.0" customHeight="1">
      <c r="A1877" s="4" t="str">
        <f t="shared" si="1"/>
        <v>LFW-FORTUNER05MSG</v>
      </c>
      <c r="B1877" s="29" t="s">
        <v>1128</v>
      </c>
      <c r="C1877" s="33" t="s">
        <v>2231</v>
      </c>
      <c r="D1877" s="28" t="str">
        <f>LEFT(A1877,FIND("-",A1877) - 1)</f>
        <v>LFW</v>
      </c>
      <c r="E1877" s="15" t="s">
        <v>42</v>
      </c>
      <c r="F1877" s="33" t="s">
        <v>2232</v>
      </c>
      <c r="G1877" s="4">
        <f>SUMIFS(X!$F$5:$F$2005,X!$D$5:$D$2005,'Current Stock'!A1877)</f>
        <v>15</v>
      </c>
      <c r="H1877" s="4">
        <f>SUMIFS(PENJUALAN!$E$4:$E$11000,PENJUALAN!$C$4:$C$11000,'Current Stock'!A1877)</f>
        <v>14</v>
      </c>
      <c r="I1877" s="16">
        <f t="shared" si="2"/>
        <v>1</v>
      </c>
      <c r="J1877" s="15" t="s">
        <v>1935</v>
      </c>
      <c r="K1877" s="15"/>
      <c r="L1877" s="18"/>
      <c r="M1877" s="18"/>
    </row>
    <row r="1878" ht="15.0" customHeight="1">
      <c r="A1878" s="4" t="str">
        <f t="shared" si="1"/>
        <v>FDR-FORTUNER05AGC</v>
      </c>
      <c r="B1878" s="31" t="s">
        <v>2233</v>
      </c>
      <c r="C1878" s="33" t="s">
        <v>2231</v>
      </c>
      <c r="D1878" s="33" t="s">
        <v>45</v>
      </c>
      <c r="E1878" s="15" t="s">
        <v>78</v>
      </c>
      <c r="F1878" s="33" t="s">
        <v>1855</v>
      </c>
      <c r="G1878" s="4">
        <f>SUMIFS(X!$F$5:$F$2005,X!$D$5:$D$2005,'Current Stock'!A1878)</f>
        <v>1</v>
      </c>
      <c r="H1878" s="4">
        <f>SUMIFS(PENJUALAN!$E$4:$E$11000,PENJUALAN!$C$4:$C$11000,'Current Stock'!A1878)</f>
        <v>1</v>
      </c>
      <c r="I1878" s="16">
        <f t="shared" si="2"/>
        <v>0</v>
      </c>
      <c r="J1878" s="15"/>
      <c r="K1878" s="15"/>
      <c r="L1878" s="18"/>
      <c r="M1878" s="18"/>
    </row>
    <row r="1879" ht="15.0" customHeight="1">
      <c r="A1879" s="4" t="str">
        <f t="shared" si="1"/>
        <v>TRW-BRV16XYG</v>
      </c>
      <c r="B1879" s="29" t="s">
        <v>105</v>
      </c>
      <c r="C1879" s="28" t="s">
        <v>1978</v>
      </c>
      <c r="D1879" s="28" t="s">
        <v>41</v>
      </c>
      <c r="E1879" s="4" t="s">
        <v>16</v>
      </c>
      <c r="F1879" s="28" t="s">
        <v>533</v>
      </c>
      <c r="G1879" s="4">
        <f>SUMIFS(X!$F$5:$F$2005,X!$D$5:$D$2005,'Current Stock'!A1879)</f>
        <v>10</v>
      </c>
      <c r="H1879" s="4">
        <f>SUMIFS(PENJUALAN!$E$4:$E$11000,PENJUALAN!$C$4:$C$11000,'Current Stock'!A1879)</f>
        <v>9</v>
      </c>
      <c r="I1879" s="16">
        <f t="shared" si="2"/>
        <v>1</v>
      </c>
      <c r="J1879" s="15" t="s">
        <v>1460</v>
      </c>
      <c r="K1879" s="15"/>
      <c r="L1879" s="4"/>
      <c r="M1879" s="4"/>
    </row>
    <row r="1880" ht="15.0" customHeight="1">
      <c r="A1880" s="4" t="str">
        <f t="shared" si="1"/>
        <v>LFW-BRV16XYG</v>
      </c>
      <c r="B1880" s="29" t="s">
        <v>1977</v>
      </c>
      <c r="C1880" s="28" t="s">
        <v>1978</v>
      </c>
      <c r="D1880" s="28" t="s">
        <v>22</v>
      </c>
      <c r="E1880" s="4" t="s">
        <v>16</v>
      </c>
      <c r="F1880" s="28" t="s">
        <v>97</v>
      </c>
      <c r="G1880" s="4">
        <f>SUMIFS(X!$F$5:$F$2005,X!$D$5:$D$2005,'Current Stock'!A1880)</f>
        <v>4</v>
      </c>
      <c r="H1880" s="4">
        <f>SUMIFS(PENJUALAN!$E$4:$E$11000,PENJUALAN!$C$4:$C$11000,'Current Stock'!A1880)</f>
        <v>4</v>
      </c>
      <c r="I1880" s="16">
        <f t="shared" si="2"/>
        <v>0</v>
      </c>
      <c r="J1880" s="15" t="s">
        <v>1979</v>
      </c>
      <c r="K1880" s="4"/>
      <c r="L1880" s="4"/>
      <c r="M1880" s="4"/>
    </row>
    <row r="1881" ht="15.0" customHeight="1">
      <c r="A1881" s="4" t="str">
        <f t="shared" si="1"/>
        <v>FDL-HRV14PIL</v>
      </c>
      <c r="B1881" s="15" t="s">
        <v>2234</v>
      </c>
      <c r="C1881" s="28" t="s">
        <v>460</v>
      </c>
      <c r="D1881" s="15" t="str">
        <f>LEFT(A1881,FIND("-",A1881) - 1)</f>
        <v>FDL</v>
      </c>
      <c r="E1881" s="15" t="s">
        <v>74</v>
      </c>
      <c r="F1881" s="18"/>
      <c r="G1881" s="4">
        <f>SUMIFS(X!$F$5:$F$2005,X!$D$5:$D$2005,'Current Stock'!A1881)</f>
        <v>1</v>
      </c>
      <c r="H1881" s="4">
        <f>SUMIFS(PENJUALAN!$E$4:$E$11000,PENJUALAN!$C$4:$C$11000,'Current Stock'!A1881)</f>
        <v>0</v>
      </c>
      <c r="I1881" s="16">
        <f t="shared" si="2"/>
        <v>1</v>
      </c>
      <c r="J1881" s="15" t="s">
        <v>596</v>
      </c>
      <c r="K1881" s="15"/>
      <c r="L1881" s="18"/>
      <c r="M1881" s="18"/>
    </row>
    <row r="1882" ht="15.0" customHeight="1">
      <c r="A1882" s="4" t="str">
        <f t="shared" si="1"/>
        <v>LFW-CITY08XYG</v>
      </c>
      <c r="B1882" s="29" t="s">
        <v>365</v>
      </c>
      <c r="C1882" s="28" t="s">
        <v>366</v>
      </c>
      <c r="D1882" s="28" t="s">
        <v>22</v>
      </c>
      <c r="E1882" s="4" t="s">
        <v>16</v>
      </c>
      <c r="F1882" s="28" t="s">
        <v>97</v>
      </c>
      <c r="G1882" s="4">
        <f>SUMIFS(X!$F$5:$F$2005,X!$D$5:$D$2005,'Current Stock'!A1882)</f>
        <v>1</v>
      </c>
      <c r="H1882" s="4">
        <f>SUMIFS(PENJUALAN!$E$4:$E$11000,PENJUALAN!$C$4:$C$11000,'Current Stock'!A1882)</f>
        <v>1</v>
      </c>
      <c r="I1882" s="16">
        <f t="shared" si="2"/>
        <v>0</v>
      </c>
      <c r="J1882" s="15" t="s">
        <v>1964</v>
      </c>
      <c r="K1882" s="4"/>
      <c r="L1882" s="4"/>
      <c r="M1882" s="4"/>
    </row>
    <row r="1883" ht="15.0" customHeight="1">
      <c r="A1883" s="4" t="str">
        <f t="shared" si="1"/>
        <v>RDL-HRV14PIL</v>
      </c>
      <c r="B1883" s="15" t="s">
        <v>2235</v>
      </c>
      <c r="C1883" s="28" t="s">
        <v>460</v>
      </c>
      <c r="D1883" s="15" t="str">
        <f>LEFT(A1883,FIND("-",A1883) - 1)</f>
        <v>RDL</v>
      </c>
      <c r="E1883" s="15" t="s">
        <v>74</v>
      </c>
      <c r="F1883" s="15" t="s">
        <v>1855</v>
      </c>
      <c r="G1883" s="4">
        <f>SUMIFS(X!$F$5:$F$2005,X!$D$5:$D$2005,'Current Stock'!A1883)</f>
        <v>1</v>
      </c>
      <c r="H1883" s="4">
        <f>SUMIFS(PENJUALAN!$E$4:$E$11000,PENJUALAN!$C$4:$C$11000,'Current Stock'!A1883)</f>
        <v>0</v>
      </c>
      <c r="I1883" s="16">
        <f t="shared" si="2"/>
        <v>1</v>
      </c>
      <c r="J1883" s="15" t="s">
        <v>596</v>
      </c>
      <c r="K1883" s="15"/>
      <c r="L1883" s="18"/>
      <c r="M1883" s="18"/>
    </row>
    <row r="1884" ht="15.0" customHeight="1">
      <c r="A1884" s="4" t="str">
        <f t="shared" si="1"/>
        <v>LFW-CRV02XYG</v>
      </c>
      <c r="B1884" s="29" t="s">
        <v>1864</v>
      </c>
      <c r="C1884" s="28" t="s">
        <v>1865</v>
      </c>
      <c r="D1884" s="28" t="s">
        <v>22</v>
      </c>
      <c r="E1884" s="4" t="s">
        <v>16</v>
      </c>
      <c r="F1884" s="28" t="s">
        <v>125</v>
      </c>
      <c r="G1884" s="4">
        <f>SUMIFS(X!$F$5:$F$2005,X!$D$5:$D$2005,'Current Stock'!A1884)</f>
        <v>12</v>
      </c>
      <c r="H1884" s="4">
        <f>SUMIFS(PENJUALAN!$E$4:$E$11000,PENJUALAN!$C$4:$C$11000,'Current Stock'!A1884)</f>
        <v>9</v>
      </c>
      <c r="I1884" s="16">
        <f t="shared" si="2"/>
        <v>3</v>
      </c>
      <c r="J1884" s="6" t="s">
        <v>2236</v>
      </c>
      <c r="K1884" s="15"/>
      <c r="L1884" s="4"/>
      <c r="M1884" s="15" t="s">
        <v>2237</v>
      </c>
    </row>
    <row r="1885" ht="15.0" customHeight="1">
      <c r="A1885" s="4" t="str">
        <f t="shared" si="1"/>
        <v>LFW-CIVIC16RSXYG</v>
      </c>
      <c r="B1885" s="29" t="s">
        <v>2238</v>
      </c>
      <c r="C1885" s="28" t="s">
        <v>2239</v>
      </c>
      <c r="D1885" s="28" t="s">
        <v>22</v>
      </c>
      <c r="E1885" s="4" t="s">
        <v>16</v>
      </c>
      <c r="F1885" s="28" t="s">
        <v>75</v>
      </c>
      <c r="G1885" s="4">
        <f>SUMIFS(X!$F$5:$F$2005,X!$D$5:$D$2005,'Current Stock'!A1885)</f>
        <v>4</v>
      </c>
      <c r="H1885" s="4">
        <f>SUMIFS(PENJUALAN!$E$4:$E$11000,PENJUALAN!$C$4:$C$11000,'Current Stock'!A1885)</f>
        <v>3</v>
      </c>
      <c r="I1885" s="16">
        <f t="shared" si="2"/>
        <v>1</v>
      </c>
      <c r="J1885" s="15" t="s">
        <v>1442</v>
      </c>
      <c r="K1885" s="15"/>
      <c r="L1885" s="4"/>
      <c r="M1885" s="4"/>
    </row>
    <row r="1886" ht="15.0" customHeight="1">
      <c r="A1886" s="4" t="str">
        <f t="shared" si="1"/>
        <v>SWL-LUXIOASH</v>
      </c>
      <c r="B1886" s="32" t="s">
        <v>2240</v>
      </c>
      <c r="C1886" s="15" t="s">
        <v>1862</v>
      </c>
      <c r="D1886" s="15" t="str">
        <f t="shared" ref="D1886:D1890" si="8">LEFT(A1886,FIND("-",A1886) - 1)</f>
        <v>SWL</v>
      </c>
      <c r="E1886" s="15" t="s">
        <v>82</v>
      </c>
      <c r="F1886" s="18"/>
      <c r="G1886" s="4">
        <f>SUMIFS(X!$F$5:$F$2005,X!$D$5:$D$2005,'Current Stock'!A1886)</f>
        <v>1</v>
      </c>
      <c r="H1886" s="4">
        <f>SUMIFS(PENJUALAN!$E$4:$E$11000,PENJUALAN!$C$4:$C$11000,'Current Stock'!A1886)</f>
        <v>0</v>
      </c>
      <c r="I1886" s="16">
        <f t="shared" si="2"/>
        <v>1</v>
      </c>
      <c r="J1886" s="15" t="s">
        <v>2241</v>
      </c>
      <c r="K1886" s="15"/>
      <c r="L1886" s="18"/>
      <c r="M1886" s="18"/>
    </row>
    <row r="1887" ht="15.0" customHeight="1">
      <c r="A1887" s="4" t="str">
        <f t="shared" si="1"/>
        <v>FDL-TARUNAASH</v>
      </c>
      <c r="B1887" s="32" t="s">
        <v>2242</v>
      </c>
      <c r="C1887" s="15" t="s">
        <v>1761</v>
      </c>
      <c r="D1887" s="15" t="str">
        <f t="shared" si="8"/>
        <v>FDL</v>
      </c>
      <c r="E1887" s="15" t="s">
        <v>82</v>
      </c>
      <c r="F1887" s="18"/>
      <c r="G1887" s="4">
        <f>SUMIFS(X!$F$5:$F$2005,X!$D$5:$D$2005,'Current Stock'!A1887)</f>
        <v>1</v>
      </c>
      <c r="H1887" s="4">
        <f>SUMIFS(PENJUALAN!$E$4:$E$11000,PENJUALAN!$C$4:$C$11000,'Current Stock'!A1887)</f>
        <v>0</v>
      </c>
      <c r="I1887" s="16">
        <f t="shared" si="2"/>
        <v>1</v>
      </c>
      <c r="J1887" s="15" t="s">
        <v>594</v>
      </c>
      <c r="K1887" s="15"/>
      <c r="L1887" s="18"/>
      <c r="M1887" s="18"/>
    </row>
    <row r="1888" ht="15.0" customHeight="1">
      <c r="A1888" s="4" t="str">
        <f t="shared" si="1"/>
        <v>FDR-TARUNAASH</v>
      </c>
      <c r="B1888" s="32" t="s">
        <v>2243</v>
      </c>
      <c r="C1888" s="15" t="s">
        <v>1761</v>
      </c>
      <c r="D1888" s="15" t="str">
        <f t="shared" si="8"/>
        <v>FDR</v>
      </c>
      <c r="E1888" s="15" t="s">
        <v>82</v>
      </c>
      <c r="F1888" s="18"/>
      <c r="G1888" s="4">
        <f>SUMIFS(X!$F$5:$F$2005,X!$D$5:$D$2005,'Current Stock'!A1888)</f>
        <v>1</v>
      </c>
      <c r="H1888" s="4">
        <f>SUMIFS(PENJUALAN!$E$4:$E$11000,PENJUALAN!$C$4:$C$11000,'Current Stock'!A1888)</f>
        <v>0</v>
      </c>
      <c r="I1888" s="16">
        <f t="shared" si="2"/>
        <v>1</v>
      </c>
      <c r="J1888" s="15" t="s">
        <v>594</v>
      </c>
      <c r="K1888" s="15"/>
      <c r="L1888" s="18"/>
      <c r="M1888" s="18"/>
    </row>
    <row r="1889" ht="15.0" customHeight="1">
      <c r="A1889" s="4" t="str">
        <f t="shared" si="1"/>
        <v>RDR-TARUNAASH</v>
      </c>
      <c r="B1889" s="32" t="s">
        <v>2244</v>
      </c>
      <c r="C1889" s="15" t="s">
        <v>1761</v>
      </c>
      <c r="D1889" s="15" t="str">
        <f t="shared" si="8"/>
        <v>RDR</v>
      </c>
      <c r="E1889" s="15" t="s">
        <v>82</v>
      </c>
      <c r="F1889" s="18"/>
      <c r="G1889" s="4">
        <f>SUMIFS(X!$F$5:$F$2005,X!$D$5:$D$2005,'Current Stock'!A1889)</f>
        <v>1</v>
      </c>
      <c r="H1889" s="4">
        <f>SUMIFS(PENJUALAN!$E$4:$E$11000,PENJUALAN!$C$4:$C$11000,'Current Stock'!A1889)</f>
        <v>1</v>
      </c>
      <c r="I1889" s="16">
        <f t="shared" si="2"/>
        <v>0</v>
      </c>
      <c r="J1889" s="15" t="s">
        <v>1720</v>
      </c>
      <c r="K1889" s="15"/>
      <c r="L1889" s="18"/>
      <c r="M1889" s="18"/>
    </row>
    <row r="1890" ht="15.0" customHeight="1">
      <c r="A1890" s="4" t="str">
        <f t="shared" si="1"/>
        <v>FDL-DATSUNASH</v>
      </c>
      <c r="B1890" s="32" t="s">
        <v>894</v>
      </c>
      <c r="C1890" s="15" t="s">
        <v>895</v>
      </c>
      <c r="D1890" s="18" t="str">
        <f t="shared" si="8"/>
        <v>FDL</v>
      </c>
      <c r="E1890" s="15" t="s">
        <v>82</v>
      </c>
      <c r="F1890" s="18"/>
      <c r="G1890" s="4">
        <f>SUMIFS(X!$F$5:$F$2005,X!$D$5:$D$2005,'Current Stock'!A1890)</f>
        <v>1</v>
      </c>
      <c r="H1890" s="4">
        <f>SUMIFS(PENJUALAN!$E$4:$E$11000,PENJUALAN!$C$4:$C$11000,'Current Stock'!A1890)</f>
        <v>0</v>
      </c>
      <c r="I1890" s="16">
        <f t="shared" si="2"/>
        <v>1</v>
      </c>
      <c r="J1890" s="15" t="s">
        <v>1720</v>
      </c>
      <c r="K1890" s="15"/>
      <c r="L1890" s="18"/>
      <c r="M1890" s="18"/>
    </row>
    <row r="1891" ht="15.0" customHeight="1">
      <c r="A1891" s="4" t="str">
        <f t="shared" si="1"/>
        <v>TRW-STREAM00XYG</v>
      </c>
      <c r="B1891" s="29" t="s">
        <v>506</v>
      </c>
      <c r="C1891" s="28" t="s">
        <v>507</v>
      </c>
      <c r="D1891" s="28" t="s">
        <v>41</v>
      </c>
      <c r="E1891" s="4" t="s">
        <v>16</v>
      </c>
      <c r="F1891" s="28" t="s">
        <v>221</v>
      </c>
      <c r="G1891" s="4">
        <f>SUMIFS(X!$F$5:$F$2005,X!$D$5:$D$2005,'Current Stock'!A1891)</f>
        <v>1</v>
      </c>
      <c r="H1891" s="4">
        <f>SUMIFS(PENJUALAN!$E$4:$E$11000,PENJUALAN!$C$4:$C$11000,'Current Stock'!A1891)</f>
        <v>1</v>
      </c>
      <c r="I1891" s="16">
        <f t="shared" si="2"/>
        <v>0</v>
      </c>
      <c r="J1891" s="15">
        <v>0.0</v>
      </c>
      <c r="K1891" s="4"/>
      <c r="L1891" s="4"/>
      <c r="M1891" s="4"/>
    </row>
    <row r="1892" ht="15.0" customHeight="1">
      <c r="A1892" s="4" t="str">
        <f t="shared" si="1"/>
        <v>RDL-RANGER02ASH</v>
      </c>
      <c r="B1892" s="32" t="s">
        <v>2245</v>
      </c>
      <c r="C1892" s="15" t="s">
        <v>2246</v>
      </c>
      <c r="D1892" s="18" t="str">
        <f t="shared" ref="D1892:D1895" si="9">LEFT(A1892,FIND("-",A1892) - 1)</f>
        <v>RDL</v>
      </c>
      <c r="E1892" s="15" t="s">
        <v>82</v>
      </c>
      <c r="F1892" s="18"/>
      <c r="G1892" s="4">
        <f>SUMIFS(X!$F$5:$F$2005,X!$D$5:$D$2005,'Current Stock'!A1892)</f>
        <v>1</v>
      </c>
      <c r="H1892" s="4">
        <f>SUMIFS(PENJUALAN!$E$4:$E$11000,PENJUALAN!$C$4:$C$11000,'Current Stock'!A1892)</f>
        <v>0</v>
      </c>
      <c r="I1892" s="16">
        <f t="shared" si="2"/>
        <v>1</v>
      </c>
      <c r="J1892" s="15" t="s">
        <v>48</v>
      </c>
      <c r="K1892" s="15"/>
      <c r="L1892" s="18"/>
      <c r="M1892" s="18"/>
    </row>
    <row r="1893" ht="15.0" customHeight="1">
      <c r="A1893" s="4" t="str">
        <f t="shared" si="1"/>
        <v>FDR-RANGER06ASH</v>
      </c>
      <c r="B1893" s="32" t="s">
        <v>2247</v>
      </c>
      <c r="C1893" s="15" t="s">
        <v>2248</v>
      </c>
      <c r="D1893" s="18" t="str">
        <f t="shared" si="9"/>
        <v>FDR</v>
      </c>
      <c r="E1893" s="15" t="s">
        <v>82</v>
      </c>
      <c r="F1893" s="18"/>
      <c r="G1893" s="4">
        <f>SUMIFS(X!$F$5:$F$2005,X!$D$5:$D$2005,'Current Stock'!A1893)</f>
        <v>1</v>
      </c>
      <c r="H1893" s="4">
        <f>SUMIFS(PENJUALAN!$E$4:$E$11000,PENJUALAN!$C$4:$C$11000,'Current Stock'!A1893)</f>
        <v>0</v>
      </c>
      <c r="I1893" s="16">
        <f t="shared" si="2"/>
        <v>1</v>
      </c>
      <c r="J1893" s="15" t="s">
        <v>48</v>
      </c>
      <c r="K1893" s="15"/>
      <c r="L1893" s="18"/>
      <c r="M1893" s="18"/>
    </row>
    <row r="1894" ht="15.0" customHeight="1">
      <c r="A1894" s="4" t="str">
        <f t="shared" si="1"/>
        <v>FDR-RANGER11ASH</v>
      </c>
      <c r="B1894" s="32" t="s">
        <v>2249</v>
      </c>
      <c r="C1894" s="15" t="s">
        <v>2250</v>
      </c>
      <c r="D1894" s="18" t="str">
        <f t="shared" si="9"/>
        <v>FDR</v>
      </c>
      <c r="E1894" s="15" t="s">
        <v>82</v>
      </c>
      <c r="F1894" s="18"/>
      <c r="G1894" s="4">
        <f>SUMIFS(X!$F$5:$F$2005,X!$D$5:$D$2005,'Current Stock'!A1894)</f>
        <v>1</v>
      </c>
      <c r="H1894" s="4">
        <f>SUMIFS(PENJUALAN!$E$4:$E$11000,PENJUALAN!$C$4:$C$11000,'Current Stock'!A1894)</f>
        <v>0</v>
      </c>
      <c r="I1894" s="16">
        <f t="shared" si="2"/>
        <v>1</v>
      </c>
      <c r="J1894" s="15" t="s">
        <v>48</v>
      </c>
      <c r="K1894" s="15"/>
      <c r="L1894" s="18"/>
      <c r="M1894" s="18"/>
    </row>
    <row r="1895" ht="15.0" customHeight="1">
      <c r="A1895" s="4" t="str">
        <f t="shared" si="1"/>
        <v>RDL-BRIO10ASH</v>
      </c>
      <c r="B1895" s="32" t="s">
        <v>2251</v>
      </c>
      <c r="C1895" s="15" t="s">
        <v>2252</v>
      </c>
      <c r="D1895" s="18" t="str">
        <f t="shared" si="9"/>
        <v>RDL</v>
      </c>
      <c r="E1895" s="15" t="s">
        <v>82</v>
      </c>
      <c r="F1895" s="18"/>
      <c r="G1895" s="4">
        <f>SUMIFS(X!$F$5:$F$2005,X!$D$5:$D$2005,'Current Stock'!A1895)</f>
        <v>1</v>
      </c>
      <c r="H1895" s="4">
        <f>SUMIFS(PENJUALAN!$E$4:$E$11000,PENJUALAN!$C$4:$C$11000,'Current Stock'!A1895)</f>
        <v>0</v>
      </c>
      <c r="I1895" s="16">
        <f t="shared" si="2"/>
        <v>1</v>
      </c>
      <c r="J1895" s="15" t="s">
        <v>2067</v>
      </c>
      <c r="K1895" s="15"/>
      <c r="L1895" s="18"/>
      <c r="M1895" s="18"/>
    </row>
    <row r="1896" ht="15.0" customHeight="1">
      <c r="A1896" s="4" t="str">
        <f t="shared" si="1"/>
        <v>LFW-STREAM00MBXYG</v>
      </c>
      <c r="B1896" s="29" t="s">
        <v>509</v>
      </c>
      <c r="C1896" s="28" t="s">
        <v>510</v>
      </c>
      <c r="D1896" s="28" t="s">
        <v>22</v>
      </c>
      <c r="E1896" s="4" t="s">
        <v>16</v>
      </c>
      <c r="F1896" s="28" t="s">
        <v>125</v>
      </c>
      <c r="G1896" s="4">
        <f>SUMIFS(X!$F$5:$F$2005,X!$D$5:$D$2005,'Current Stock'!A1896)</f>
        <v>3</v>
      </c>
      <c r="H1896" s="4">
        <f>SUMIFS(PENJUALAN!$E$4:$E$11000,PENJUALAN!$C$4:$C$11000,'Current Stock'!A1896)</f>
        <v>3</v>
      </c>
      <c r="I1896" s="16">
        <f t="shared" si="2"/>
        <v>0</v>
      </c>
      <c r="J1896" s="15" t="s">
        <v>1442</v>
      </c>
      <c r="K1896" s="15"/>
      <c r="L1896" s="4"/>
      <c r="M1896" s="4"/>
    </row>
    <row r="1897" ht="15.0" customHeight="1">
      <c r="A1897" s="4" t="str">
        <f t="shared" si="1"/>
        <v>TRW-AVEGA99XYG</v>
      </c>
      <c r="B1897" s="29" t="s">
        <v>2253</v>
      </c>
      <c r="C1897" s="28" t="s">
        <v>2254</v>
      </c>
      <c r="D1897" s="30" t="s">
        <v>41</v>
      </c>
      <c r="E1897" s="4" t="s">
        <v>16</v>
      </c>
      <c r="F1897" s="28" t="s">
        <v>67</v>
      </c>
      <c r="G1897" s="4">
        <f>SUMIFS(X!$F$5:$F$2005,X!$D$5:$D$2005,'Current Stock'!A1897)</f>
        <v>1</v>
      </c>
      <c r="H1897" s="4">
        <f>SUMIFS(PENJUALAN!$E$4:$E$11000,PENJUALAN!$C$4:$C$11000,'Current Stock'!A1897)</f>
        <v>1</v>
      </c>
      <c r="I1897" s="16">
        <f t="shared" si="2"/>
        <v>0</v>
      </c>
      <c r="J1897" s="4"/>
      <c r="K1897" s="4"/>
      <c r="L1897" s="4"/>
      <c r="M1897" s="4"/>
    </row>
    <row r="1898" ht="15.0" customHeight="1">
      <c r="A1898" s="4" t="str">
        <f t="shared" si="1"/>
        <v>LFW-W204RSXYG</v>
      </c>
      <c r="B1898" s="29" t="s">
        <v>780</v>
      </c>
      <c r="C1898" s="28" t="s">
        <v>781</v>
      </c>
      <c r="D1898" s="28" t="s">
        <v>22</v>
      </c>
      <c r="E1898" s="4" t="s">
        <v>16</v>
      </c>
      <c r="F1898" s="28" t="s">
        <v>112</v>
      </c>
      <c r="G1898" s="4">
        <f>SUMIFS(X!$F$5:$F$2005,X!$D$5:$D$2005,'Current Stock'!A1898)</f>
        <v>10</v>
      </c>
      <c r="H1898" s="4">
        <f>SUMIFS(PENJUALAN!$E$4:$E$11000,PENJUALAN!$C$4:$C$11000,'Current Stock'!A1898)</f>
        <v>3</v>
      </c>
      <c r="I1898" s="16">
        <f t="shared" si="2"/>
        <v>7</v>
      </c>
      <c r="J1898" s="15" t="s">
        <v>2255</v>
      </c>
      <c r="K1898" s="15"/>
      <c r="L1898" s="4"/>
      <c r="M1898" s="4"/>
    </row>
    <row r="1899" ht="15.0" customHeight="1">
      <c r="A1899" s="4" t="str">
        <f t="shared" si="1"/>
        <v>LFW-W211XYG</v>
      </c>
      <c r="B1899" s="29" t="s">
        <v>798</v>
      </c>
      <c r="C1899" s="28" t="s">
        <v>799</v>
      </c>
      <c r="D1899" s="28" t="s">
        <v>22</v>
      </c>
      <c r="E1899" s="4" t="s">
        <v>16</v>
      </c>
      <c r="F1899" s="28" t="s">
        <v>189</v>
      </c>
      <c r="G1899" s="4">
        <f>SUMIFS(X!$F$5:$F$2005,X!$D$5:$D$2005,'Current Stock'!A1899)</f>
        <v>1</v>
      </c>
      <c r="H1899" s="4">
        <f>SUMIFS(PENJUALAN!$E$4:$E$11000,PENJUALAN!$C$4:$C$11000,'Current Stock'!A1899)</f>
        <v>1</v>
      </c>
      <c r="I1899" s="16">
        <f t="shared" si="2"/>
        <v>0</v>
      </c>
      <c r="J1899" s="4"/>
      <c r="K1899" s="4"/>
      <c r="L1899" s="4"/>
      <c r="M1899" s="4"/>
    </row>
    <row r="1900" ht="15.0" customHeight="1">
      <c r="A1900" s="4" t="str">
        <f t="shared" si="1"/>
        <v>FDL-CRV02ASH</v>
      </c>
      <c r="B1900" s="32" t="s">
        <v>2256</v>
      </c>
      <c r="C1900" s="15" t="s">
        <v>423</v>
      </c>
      <c r="D1900" s="18" t="str">
        <f t="shared" ref="D1900:D1901" si="10">LEFT(A1900,FIND("-",A1900) - 1)</f>
        <v>FDL</v>
      </c>
      <c r="E1900" s="15" t="s">
        <v>82</v>
      </c>
      <c r="F1900" s="18"/>
      <c r="G1900" s="4">
        <f>SUMIFS(X!$F$5:$F$2005,X!$D$5:$D$2005,'Current Stock'!A1900)</f>
        <v>1</v>
      </c>
      <c r="H1900" s="4">
        <f>SUMIFS(PENJUALAN!$E$4:$E$11000,PENJUALAN!$C$4:$C$11000,'Current Stock'!A1900)</f>
        <v>0</v>
      </c>
      <c r="I1900" s="16">
        <f t="shared" si="2"/>
        <v>1</v>
      </c>
      <c r="J1900" s="15" t="s">
        <v>1428</v>
      </c>
      <c r="K1900" s="15"/>
      <c r="L1900" s="18"/>
      <c r="M1900" s="18"/>
    </row>
    <row r="1901" ht="15.0" customHeight="1">
      <c r="A1901" s="4" t="str">
        <f t="shared" si="1"/>
        <v>FDR-CRV02ASH</v>
      </c>
      <c r="B1901" s="32" t="s">
        <v>2257</v>
      </c>
      <c r="C1901" s="15" t="s">
        <v>423</v>
      </c>
      <c r="D1901" s="18" t="str">
        <f t="shared" si="10"/>
        <v>FDR</v>
      </c>
      <c r="E1901" s="15" t="s">
        <v>82</v>
      </c>
      <c r="F1901" s="18"/>
      <c r="G1901" s="4">
        <f>SUMIFS(X!$F$5:$F$2005,X!$D$5:$D$2005,'Current Stock'!A1901)</f>
        <v>1</v>
      </c>
      <c r="H1901" s="4">
        <f>SUMIFS(PENJUALAN!$E$4:$E$11000,PENJUALAN!$C$4:$C$11000,'Current Stock'!A1901)</f>
        <v>0</v>
      </c>
      <c r="I1901" s="16">
        <f t="shared" si="2"/>
        <v>1</v>
      </c>
      <c r="J1901" s="15" t="s">
        <v>1428</v>
      </c>
      <c r="K1901" s="15"/>
      <c r="L1901" s="18"/>
      <c r="M1901" s="18"/>
    </row>
    <row r="1902" ht="15.0" customHeight="1">
      <c r="A1902" s="4" t="str">
        <f t="shared" si="1"/>
        <v>LFW-W212RS2XYG</v>
      </c>
      <c r="B1902" s="29" t="s">
        <v>802</v>
      </c>
      <c r="C1902" s="28" t="s">
        <v>803</v>
      </c>
      <c r="D1902" s="28" t="s">
        <v>22</v>
      </c>
      <c r="E1902" s="4" t="s">
        <v>16</v>
      </c>
      <c r="F1902" s="28" t="s">
        <v>804</v>
      </c>
      <c r="G1902" s="4">
        <f>SUMIFS(X!$F$5:$F$2005,X!$D$5:$D$2005,'Current Stock'!A1902)</f>
        <v>6</v>
      </c>
      <c r="H1902" s="4">
        <f>SUMIFS(PENJUALAN!$E$4:$E$11000,PENJUALAN!$C$4:$C$11000,'Current Stock'!A1902)</f>
        <v>2</v>
      </c>
      <c r="I1902" s="16">
        <f t="shared" si="2"/>
        <v>4</v>
      </c>
      <c r="J1902" s="15" t="s">
        <v>1641</v>
      </c>
      <c r="K1902" s="4"/>
      <c r="L1902" s="4"/>
      <c r="M1902" s="4"/>
    </row>
    <row r="1903" ht="15.0" customHeight="1">
      <c r="A1903" s="4" t="str">
        <f t="shared" si="1"/>
        <v>RDR-CRV02ASH</v>
      </c>
      <c r="B1903" s="32" t="s">
        <v>425</v>
      </c>
      <c r="C1903" s="15" t="s">
        <v>423</v>
      </c>
      <c r="D1903" s="18" t="str">
        <f t="shared" ref="D1903:D1921" si="11">LEFT(A1903,FIND("-",A1903) - 1)</f>
        <v>RDR</v>
      </c>
      <c r="E1903" s="15" t="s">
        <v>82</v>
      </c>
      <c r="F1903" s="18"/>
      <c r="G1903" s="4">
        <f>SUMIFS(X!$F$5:$F$2005,X!$D$5:$D$2005,'Current Stock'!A1903)</f>
        <v>1</v>
      </c>
      <c r="H1903" s="4">
        <f>SUMIFS(PENJUALAN!$E$4:$E$11000,PENJUALAN!$C$4:$C$11000,'Current Stock'!A1903)</f>
        <v>0</v>
      </c>
      <c r="I1903" s="16">
        <f t="shared" si="2"/>
        <v>1</v>
      </c>
      <c r="J1903" s="15" t="s">
        <v>1428</v>
      </c>
      <c r="K1903" s="15"/>
      <c r="L1903" s="18"/>
      <c r="M1903" s="18"/>
    </row>
    <row r="1904" ht="15.0" customHeight="1">
      <c r="A1904" s="4" t="str">
        <f t="shared" si="1"/>
        <v>FDR-CRV07ASH</v>
      </c>
      <c r="B1904" s="32" t="s">
        <v>2258</v>
      </c>
      <c r="C1904" s="15" t="s">
        <v>429</v>
      </c>
      <c r="D1904" s="18" t="str">
        <f t="shared" si="11"/>
        <v>FDR</v>
      </c>
      <c r="E1904" s="15" t="s">
        <v>82</v>
      </c>
      <c r="F1904" s="18"/>
      <c r="G1904" s="4">
        <f>SUMIFS(X!$F$5:$F$2005,X!$D$5:$D$2005,'Current Stock'!A1904)</f>
        <v>0</v>
      </c>
      <c r="H1904" s="4">
        <f>SUMIFS(PENJUALAN!$E$4:$E$11000,PENJUALAN!$C$4:$C$11000,'Current Stock'!A1904)</f>
        <v>0</v>
      </c>
      <c r="I1904" s="16">
        <f t="shared" si="2"/>
        <v>0</v>
      </c>
      <c r="J1904" s="18"/>
      <c r="K1904" s="18"/>
      <c r="L1904" s="18"/>
      <c r="M1904" s="18"/>
    </row>
    <row r="1905" ht="15.0" customHeight="1">
      <c r="A1905" s="4" t="str">
        <f t="shared" si="1"/>
        <v>RDL-CRV07ASH</v>
      </c>
      <c r="B1905" s="32" t="s">
        <v>2259</v>
      </c>
      <c r="C1905" s="15" t="s">
        <v>429</v>
      </c>
      <c r="D1905" s="18" t="str">
        <f t="shared" si="11"/>
        <v>RDL</v>
      </c>
      <c r="E1905" s="15" t="s">
        <v>82</v>
      </c>
      <c r="F1905" s="18"/>
      <c r="G1905" s="4">
        <f>SUMIFS(X!$F$5:$F$2005,X!$D$5:$D$2005,'Current Stock'!A1905)</f>
        <v>1</v>
      </c>
      <c r="H1905" s="4">
        <f>SUMIFS(PENJUALAN!$E$4:$E$11000,PENJUALAN!$C$4:$C$11000,'Current Stock'!A1905)</f>
        <v>0</v>
      </c>
      <c r="I1905" s="16">
        <f t="shared" si="2"/>
        <v>1</v>
      </c>
      <c r="J1905" s="15" t="s">
        <v>2067</v>
      </c>
      <c r="K1905" s="15"/>
      <c r="L1905" s="18"/>
      <c r="M1905" s="18"/>
    </row>
    <row r="1906" ht="15.0" customHeight="1">
      <c r="A1906" s="4" t="str">
        <f t="shared" si="1"/>
        <v>RDR-CRV07ASH</v>
      </c>
      <c r="B1906" s="32" t="s">
        <v>2260</v>
      </c>
      <c r="C1906" s="15" t="s">
        <v>429</v>
      </c>
      <c r="D1906" s="18" t="str">
        <f t="shared" si="11"/>
        <v>RDR</v>
      </c>
      <c r="E1906" s="15" t="s">
        <v>82</v>
      </c>
      <c r="F1906" s="18"/>
      <c r="G1906" s="4">
        <f>SUMIFS(X!$F$5:$F$2005,X!$D$5:$D$2005,'Current Stock'!A1906)</f>
        <v>1</v>
      </c>
      <c r="H1906" s="4">
        <f>SUMIFS(PENJUALAN!$E$4:$E$11000,PENJUALAN!$C$4:$C$11000,'Current Stock'!A1906)</f>
        <v>0</v>
      </c>
      <c r="I1906" s="16">
        <f t="shared" si="2"/>
        <v>1</v>
      </c>
      <c r="J1906" s="15" t="s">
        <v>2067</v>
      </c>
      <c r="K1906" s="15"/>
      <c r="L1906" s="18"/>
      <c r="M1906" s="18"/>
    </row>
    <row r="1907" ht="15.0" customHeight="1">
      <c r="A1907" s="4" t="str">
        <f t="shared" si="1"/>
        <v>RDL-JAZZ13ASH</v>
      </c>
      <c r="B1907" s="32" t="s">
        <v>2261</v>
      </c>
      <c r="C1907" s="15" t="s">
        <v>2262</v>
      </c>
      <c r="D1907" s="18" t="str">
        <f t="shared" si="11"/>
        <v>RDL</v>
      </c>
      <c r="E1907" s="15" t="s">
        <v>82</v>
      </c>
      <c r="F1907" s="18"/>
      <c r="G1907" s="4">
        <f>SUMIFS(X!$F$5:$F$2005,X!$D$5:$D$2005,'Current Stock'!A1907)</f>
        <v>1</v>
      </c>
      <c r="H1907" s="4">
        <f>SUMIFS(PENJUALAN!$E$4:$E$11000,PENJUALAN!$C$4:$C$11000,'Current Stock'!A1907)</f>
        <v>0</v>
      </c>
      <c r="I1907" s="16">
        <f t="shared" si="2"/>
        <v>1</v>
      </c>
      <c r="J1907" s="15" t="s">
        <v>2067</v>
      </c>
      <c r="K1907" s="15"/>
      <c r="L1907" s="18"/>
      <c r="M1907" s="18"/>
    </row>
    <row r="1908" ht="15.0" customHeight="1">
      <c r="A1908" s="4" t="str">
        <f t="shared" si="1"/>
        <v>TRW-GIGAPUASH</v>
      </c>
      <c r="B1908" s="32" t="s">
        <v>2263</v>
      </c>
      <c r="C1908" s="15" t="s">
        <v>2264</v>
      </c>
      <c r="D1908" s="18" t="str">
        <f t="shared" si="11"/>
        <v>TRW</v>
      </c>
      <c r="E1908" s="15" t="s">
        <v>82</v>
      </c>
      <c r="F1908" s="18"/>
      <c r="G1908" s="4">
        <f>SUMIFS(X!$F$5:$F$2005,X!$D$5:$D$2005,'Current Stock'!A1908)</f>
        <v>1</v>
      </c>
      <c r="H1908" s="4">
        <f>SUMIFS(PENJUALAN!$E$4:$E$11000,PENJUALAN!$C$4:$C$11000,'Current Stock'!A1908)</f>
        <v>0</v>
      </c>
      <c r="I1908" s="16">
        <f t="shared" si="2"/>
        <v>1</v>
      </c>
      <c r="J1908" s="15" t="s">
        <v>1456</v>
      </c>
      <c r="K1908" s="15"/>
      <c r="L1908" s="18"/>
      <c r="M1908" s="18"/>
    </row>
    <row r="1909" ht="15.0" customHeight="1">
      <c r="A1909" s="4" t="str">
        <f t="shared" si="1"/>
        <v>RDL-TRITON05ASH</v>
      </c>
      <c r="B1909" s="32" t="s">
        <v>2265</v>
      </c>
      <c r="C1909" s="15" t="s">
        <v>887</v>
      </c>
      <c r="D1909" s="18" t="str">
        <f t="shared" si="11"/>
        <v>RDL</v>
      </c>
      <c r="E1909" s="15" t="s">
        <v>82</v>
      </c>
      <c r="F1909" s="18"/>
      <c r="G1909" s="4">
        <f>SUMIFS(X!$F$5:$F$2005,X!$D$5:$D$2005,'Current Stock'!A1909)</f>
        <v>1</v>
      </c>
      <c r="H1909" s="4">
        <f>SUMIFS(PENJUALAN!$E$4:$E$11000,PENJUALAN!$C$4:$C$11000,'Current Stock'!A1909)</f>
        <v>0</v>
      </c>
      <c r="I1909" s="16">
        <f t="shared" si="2"/>
        <v>1</v>
      </c>
      <c r="J1909" s="15" t="s">
        <v>596</v>
      </c>
      <c r="K1909" s="15"/>
      <c r="L1909" s="18"/>
      <c r="M1909" s="18"/>
    </row>
    <row r="1910" ht="15.0" customHeight="1">
      <c r="A1910" s="4" t="str">
        <f t="shared" si="1"/>
        <v>FDL-XPANDERASH</v>
      </c>
      <c r="B1910" s="32" t="s">
        <v>2266</v>
      </c>
      <c r="C1910" s="15" t="s">
        <v>2267</v>
      </c>
      <c r="D1910" s="18" t="str">
        <f t="shared" si="11"/>
        <v>FDL</v>
      </c>
      <c r="E1910" s="15" t="s">
        <v>82</v>
      </c>
      <c r="F1910" s="18"/>
      <c r="G1910" s="4">
        <f>SUMIFS(X!$F$5:$F$2005,X!$D$5:$D$2005,'Current Stock'!A1910)</f>
        <v>1</v>
      </c>
      <c r="H1910" s="4">
        <f>SUMIFS(PENJUALAN!$E$4:$E$11000,PENJUALAN!$C$4:$C$11000,'Current Stock'!A1910)</f>
        <v>0</v>
      </c>
      <c r="I1910" s="16">
        <f t="shared" si="2"/>
        <v>1</v>
      </c>
      <c r="J1910" s="15" t="s">
        <v>596</v>
      </c>
      <c r="K1910" s="15"/>
      <c r="L1910" s="18"/>
      <c r="M1910" s="18"/>
    </row>
    <row r="1911" ht="15.0" customHeight="1">
      <c r="A1911" s="4" t="str">
        <f t="shared" si="1"/>
        <v>FDR-XPANDERASH</v>
      </c>
      <c r="B1911" s="32" t="s">
        <v>2268</v>
      </c>
      <c r="C1911" s="15" t="s">
        <v>2267</v>
      </c>
      <c r="D1911" s="18" t="str">
        <f t="shared" si="11"/>
        <v>FDR</v>
      </c>
      <c r="E1911" s="15" t="s">
        <v>82</v>
      </c>
      <c r="F1911" s="18"/>
      <c r="G1911" s="4">
        <f>SUMIFS(X!$F$5:$F$2005,X!$D$5:$D$2005,'Current Stock'!A1911)</f>
        <v>1</v>
      </c>
      <c r="H1911" s="4">
        <f>SUMIFS(PENJUALAN!$E$4:$E$11000,PENJUALAN!$C$4:$C$11000,'Current Stock'!A1911)</f>
        <v>0</v>
      </c>
      <c r="I1911" s="16">
        <f t="shared" si="2"/>
        <v>1</v>
      </c>
      <c r="J1911" s="15" t="s">
        <v>596</v>
      </c>
      <c r="K1911" s="15"/>
      <c r="L1911" s="18"/>
      <c r="M1911" s="18"/>
    </row>
    <row r="1912" ht="15.0" customHeight="1">
      <c r="A1912" s="4" t="str">
        <f t="shared" si="1"/>
        <v>RDL-XPANDERASH</v>
      </c>
      <c r="B1912" s="32" t="s">
        <v>2269</v>
      </c>
      <c r="C1912" s="15" t="s">
        <v>2267</v>
      </c>
      <c r="D1912" s="18" t="str">
        <f t="shared" si="11"/>
        <v>RDL</v>
      </c>
      <c r="E1912" s="15" t="s">
        <v>82</v>
      </c>
      <c r="F1912" s="18"/>
      <c r="G1912" s="4">
        <f>SUMIFS(X!$F$5:$F$2005,X!$D$5:$D$2005,'Current Stock'!A1912)</f>
        <v>1</v>
      </c>
      <c r="H1912" s="4">
        <f>SUMIFS(PENJUALAN!$E$4:$E$11000,PENJUALAN!$C$4:$C$11000,'Current Stock'!A1912)</f>
        <v>0</v>
      </c>
      <c r="I1912" s="16">
        <f t="shared" si="2"/>
        <v>1</v>
      </c>
      <c r="J1912" s="15" t="s">
        <v>594</v>
      </c>
      <c r="K1912" s="15"/>
      <c r="L1912" s="18"/>
      <c r="M1912" s="18"/>
    </row>
    <row r="1913" ht="15.0" customHeight="1">
      <c r="A1913" s="4" t="str">
        <f t="shared" si="1"/>
        <v>RDR-XPANDERASH</v>
      </c>
      <c r="B1913" s="32" t="s">
        <v>1403</v>
      </c>
      <c r="C1913" s="15" t="s">
        <v>2267</v>
      </c>
      <c r="D1913" s="18" t="str">
        <f t="shared" si="11"/>
        <v>RDR</v>
      </c>
      <c r="E1913" s="15" t="s">
        <v>82</v>
      </c>
      <c r="F1913" s="18"/>
      <c r="G1913" s="4">
        <f>SUMIFS(X!$F$5:$F$2005,X!$D$5:$D$2005,'Current Stock'!A1913)</f>
        <v>0</v>
      </c>
      <c r="H1913" s="4">
        <f>SUMIFS(PENJUALAN!$E$4:$E$11000,PENJUALAN!$C$4:$C$11000,'Current Stock'!A1913)</f>
        <v>0</v>
      </c>
      <c r="I1913" s="16">
        <f t="shared" si="2"/>
        <v>0</v>
      </c>
      <c r="J1913" s="18"/>
      <c r="K1913" s="18"/>
      <c r="L1913" s="18"/>
      <c r="M1913" s="18"/>
    </row>
    <row r="1914" ht="15.0" customHeight="1">
      <c r="A1914" s="4" t="str">
        <f t="shared" si="1"/>
        <v>SWL-XPANDERASH</v>
      </c>
      <c r="B1914" s="32" t="s">
        <v>2270</v>
      </c>
      <c r="C1914" s="15" t="s">
        <v>2267</v>
      </c>
      <c r="D1914" s="18" t="str">
        <f t="shared" si="11"/>
        <v>SWL</v>
      </c>
      <c r="E1914" s="15" t="s">
        <v>82</v>
      </c>
      <c r="F1914" s="15" t="s">
        <v>2271</v>
      </c>
      <c r="G1914" s="4">
        <f>SUMIFS(X!$F$5:$F$2005,X!$D$5:$D$2005,'Current Stock'!A1914)</f>
        <v>1</v>
      </c>
      <c r="H1914" s="4">
        <f>SUMIFS(PENJUALAN!$E$4:$E$11000,PENJUALAN!$C$4:$C$11000,'Current Stock'!A1914)</f>
        <v>0</v>
      </c>
      <c r="I1914" s="16">
        <f t="shared" si="2"/>
        <v>1</v>
      </c>
      <c r="J1914" s="15" t="s">
        <v>1509</v>
      </c>
      <c r="K1914" s="15"/>
      <c r="L1914" s="18"/>
      <c r="M1914" s="18"/>
    </row>
    <row r="1915" ht="15.0" customHeight="1">
      <c r="A1915" s="4" t="str">
        <f t="shared" si="1"/>
        <v>FDL-LIVINA07ASH</v>
      </c>
      <c r="B1915" s="32" t="s">
        <v>938</v>
      </c>
      <c r="C1915" s="15" t="s">
        <v>2272</v>
      </c>
      <c r="D1915" s="18" t="str">
        <f t="shared" si="11"/>
        <v>FDL</v>
      </c>
      <c r="E1915" s="15" t="s">
        <v>82</v>
      </c>
      <c r="F1915" s="18"/>
      <c r="G1915" s="4">
        <f>SUMIFS(X!$F$5:$F$2005,X!$D$5:$D$2005,'Current Stock'!A1915)</f>
        <v>5</v>
      </c>
      <c r="H1915" s="4">
        <f>SUMIFS(PENJUALAN!$E$4:$E$11000,PENJUALAN!$C$4:$C$11000,'Current Stock'!A1915)</f>
        <v>4</v>
      </c>
      <c r="I1915" s="16">
        <f t="shared" si="2"/>
        <v>1</v>
      </c>
      <c r="J1915" s="15" t="s">
        <v>594</v>
      </c>
      <c r="K1915" s="15"/>
      <c r="L1915" s="18"/>
      <c r="M1915" s="18"/>
    </row>
    <row r="1916" ht="15.0" customHeight="1">
      <c r="A1916" s="4" t="str">
        <f t="shared" si="1"/>
        <v>RDL-LIVINA07ASH</v>
      </c>
      <c r="B1916" s="32" t="s">
        <v>2273</v>
      </c>
      <c r="C1916" s="15" t="s">
        <v>2272</v>
      </c>
      <c r="D1916" s="18" t="str">
        <f t="shared" si="11"/>
        <v>RDL</v>
      </c>
      <c r="E1916" s="15" t="s">
        <v>82</v>
      </c>
      <c r="F1916" s="18"/>
      <c r="G1916" s="4">
        <f>SUMIFS(X!$F$5:$F$2005,X!$D$5:$D$2005,'Current Stock'!A1916)</f>
        <v>1</v>
      </c>
      <c r="H1916" s="4">
        <f>SUMIFS(PENJUALAN!$E$4:$E$11000,PENJUALAN!$C$4:$C$11000,'Current Stock'!A1916)</f>
        <v>0</v>
      </c>
      <c r="I1916" s="16">
        <f t="shared" si="2"/>
        <v>1</v>
      </c>
      <c r="J1916" s="15" t="s">
        <v>594</v>
      </c>
      <c r="K1916" s="15"/>
      <c r="L1916" s="18"/>
      <c r="M1916" s="18"/>
    </row>
    <row r="1917" ht="15.0" customHeight="1">
      <c r="A1917" s="4" t="str">
        <f t="shared" si="1"/>
        <v>RDR-LIVINA07ASH</v>
      </c>
      <c r="B1917" s="32" t="s">
        <v>2274</v>
      </c>
      <c r="C1917" s="15" t="s">
        <v>2272</v>
      </c>
      <c r="D1917" s="18" t="str">
        <f t="shared" si="11"/>
        <v>RDR</v>
      </c>
      <c r="E1917" s="15" t="s">
        <v>82</v>
      </c>
      <c r="F1917" s="18"/>
      <c r="G1917" s="4">
        <f>SUMIFS(X!$F$5:$F$2005,X!$D$5:$D$2005,'Current Stock'!A1917)</f>
        <v>1</v>
      </c>
      <c r="H1917" s="4">
        <f>SUMIFS(PENJUALAN!$E$4:$E$11000,PENJUALAN!$C$4:$C$11000,'Current Stock'!A1917)</f>
        <v>0</v>
      </c>
      <c r="I1917" s="16">
        <f t="shared" si="2"/>
        <v>1</v>
      </c>
      <c r="J1917" s="15" t="s">
        <v>594</v>
      </c>
      <c r="K1917" s="15"/>
      <c r="L1917" s="18"/>
      <c r="M1917" s="18"/>
    </row>
    <row r="1918" ht="15.0" customHeight="1">
      <c r="A1918" s="4" t="str">
        <f t="shared" si="1"/>
        <v>FDL-APVASH</v>
      </c>
      <c r="B1918" s="32" t="s">
        <v>2275</v>
      </c>
      <c r="C1918" s="15" t="s">
        <v>1022</v>
      </c>
      <c r="D1918" s="18" t="str">
        <f t="shared" si="11"/>
        <v>FDL</v>
      </c>
      <c r="E1918" s="15" t="s">
        <v>82</v>
      </c>
      <c r="F1918" s="18"/>
      <c r="G1918" s="4">
        <f>SUMIFS(X!$F$5:$F$2005,X!$D$5:$D$2005,'Current Stock'!A1918)</f>
        <v>1</v>
      </c>
      <c r="H1918" s="4">
        <f>SUMIFS(PENJUALAN!$E$4:$E$11000,PENJUALAN!$C$4:$C$11000,'Current Stock'!A1918)</f>
        <v>0</v>
      </c>
      <c r="I1918" s="16">
        <f t="shared" si="2"/>
        <v>1</v>
      </c>
      <c r="J1918" s="15" t="s">
        <v>2241</v>
      </c>
      <c r="K1918" s="15"/>
      <c r="L1918" s="18"/>
      <c r="M1918" s="18"/>
    </row>
    <row r="1919" ht="15.0" customHeight="1">
      <c r="A1919" s="4" t="str">
        <f t="shared" si="1"/>
        <v>SWL-APVASH</v>
      </c>
      <c r="B1919" s="32" t="s">
        <v>2276</v>
      </c>
      <c r="C1919" s="15" t="s">
        <v>1022</v>
      </c>
      <c r="D1919" s="18" t="str">
        <f t="shared" si="11"/>
        <v>SWL</v>
      </c>
      <c r="E1919" s="15" t="s">
        <v>82</v>
      </c>
      <c r="F1919" s="18"/>
      <c r="G1919" s="4">
        <f>SUMIFS(X!$F$5:$F$2005,X!$D$5:$D$2005,'Current Stock'!A1919)</f>
        <v>1</v>
      </c>
      <c r="H1919" s="4">
        <f>SUMIFS(PENJUALAN!$E$4:$E$11000,PENJUALAN!$C$4:$C$11000,'Current Stock'!A1919)</f>
        <v>0</v>
      </c>
      <c r="I1919" s="16">
        <f t="shared" si="2"/>
        <v>1</v>
      </c>
      <c r="J1919" s="15" t="s">
        <v>2241</v>
      </c>
      <c r="K1919" s="15"/>
      <c r="L1919" s="18"/>
      <c r="M1919" s="18"/>
    </row>
    <row r="1920" ht="15.0" customHeight="1">
      <c r="A1920" s="4" t="str">
        <f t="shared" si="1"/>
        <v>FDL-CARRY19ASH</v>
      </c>
      <c r="B1920" s="32" t="s">
        <v>2277</v>
      </c>
      <c r="C1920" s="15" t="s">
        <v>1995</v>
      </c>
      <c r="D1920" s="18" t="str">
        <f t="shared" si="11"/>
        <v>FDL</v>
      </c>
      <c r="E1920" s="15" t="s">
        <v>82</v>
      </c>
      <c r="F1920" s="18"/>
      <c r="G1920" s="4">
        <f>SUMIFS(X!$F$5:$F$2005,X!$D$5:$D$2005,'Current Stock'!A1920)</f>
        <v>1</v>
      </c>
      <c r="H1920" s="4">
        <f>SUMIFS(PENJUALAN!$E$4:$E$11000,PENJUALAN!$C$4:$C$11000,'Current Stock'!A1920)</f>
        <v>0</v>
      </c>
      <c r="I1920" s="16">
        <f t="shared" si="2"/>
        <v>1</v>
      </c>
      <c r="J1920" s="15" t="s">
        <v>2278</v>
      </c>
      <c r="K1920" s="15"/>
      <c r="L1920" s="18"/>
      <c r="M1920" s="18"/>
    </row>
    <row r="1921" ht="15.0" customHeight="1">
      <c r="A1921" s="4" t="str">
        <f t="shared" si="1"/>
        <v>FDR-CARRY19ASH</v>
      </c>
      <c r="B1921" s="32" t="s">
        <v>2279</v>
      </c>
      <c r="C1921" s="15" t="s">
        <v>1995</v>
      </c>
      <c r="D1921" s="18" t="str">
        <f t="shared" si="11"/>
        <v>FDR</v>
      </c>
      <c r="E1921" s="15" t="s">
        <v>82</v>
      </c>
      <c r="F1921" s="18"/>
      <c r="G1921" s="4">
        <f>SUMIFS(X!$F$5:$F$2005,X!$D$5:$D$2005,'Current Stock'!A1921)</f>
        <v>1</v>
      </c>
      <c r="H1921" s="4">
        <f>SUMIFS(PENJUALAN!$E$4:$E$11000,PENJUALAN!$C$4:$C$11000,'Current Stock'!A1921)</f>
        <v>0</v>
      </c>
      <c r="I1921" s="16">
        <f t="shared" si="2"/>
        <v>1</v>
      </c>
      <c r="J1921" s="15" t="s">
        <v>1720</v>
      </c>
      <c r="K1921" s="15"/>
      <c r="L1921" s="18"/>
      <c r="M1921" s="18"/>
    </row>
    <row r="1922" ht="15.0" customHeight="1">
      <c r="A1922" s="4" t="str">
        <f t="shared" si="1"/>
        <v>TRW-FORTUNER05BLACKXYG</v>
      </c>
      <c r="B1922" s="29" t="s">
        <v>1131</v>
      </c>
      <c r="C1922" s="28" t="s">
        <v>1132</v>
      </c>
      <c r="D1922" s="28" t="s">
        <v>41</v>
      </c>
      <c r="E1922" s="4" t="s">
        <v>16</v>
      </c>
      <c r="F1922" s="28" t="s">
        <v>67</v>
      </c>
      <c r="G1922" s="4">
        <f>SUMIFS(X!$F$5:$F$2005,X!$D$5:$D$2005,'Current Stock'!A1922)</f>
        <v>11</v>
      </c>
      <c r="H1922" s="4">
        <f>SUMIFS(PENJUALAN!$E$4:$E$11000,PENJUALAN!$C$4:$C$11000,'Current Stock'!A1922)</f>
        <v>9</v>
      </c>
      <c r="I1922" s="16">
        <f t="shared" si="2"/>
        <v>2</v>
      </c>
      <c r="J1922" s="15" t="s">
        <v>1884</v>
      </c>
      <c r="K1922" s="15"/>
      <c r="L1922" s="5">
        <v>1.0</v>
      </c>
      <c r="M1922" s="4"/>
    </row>
    <row r="1923" ht="15.0" customHeight="1">
      <c r="A1923" s="4" t="str">
        <f t="shared" si="1"/>
        <v>FVL-ERTIGA12ASH</v>
      </c>
      <c r="B1923" s="32" t="s">
        <v>2280</v>
      </c>
      <c r="C1923" s="15" t="s">
        <v>1024</v>
      </c>
      <c r="D1923" s="18" t="str">
        <f t="shared" ref="D1923:D1928" si="12">LEFT(A1923,FIND("-",A1923) - 1)</f>
        <v>FVL</v>
      </c>
      <c r="E1923" s="15" t="s">
        <v>82</v>
      </c>
      <c r="F1923" s="18"/>
      <c r="G1923" s="4">
        <f>SUMIFS(X!$F$5:$F$2005,X!$D$5:$D$2005,'Current Stock'!A1923)</f>
        <v>1</v>
      </c>
      <c r="H1923" s="4">
        <f>SUMIFS(PENJUALAN!$E$4:$E$11000,PENJUALAN!$C$4:$C$11000,'Current Stock'!A1923)</f>
        <v>0</v>
      </c>
      <c r="I1923" s="16">
        <f t="shared" si="2"/>
        <v>1</v>
      </c>
      <c r="J1923" s="15" t="s">
        <v>1470</v>
      </c>
      <c r="K1923" s="15"/>
      <c r="L1923" s="18"/>
      <c r="M1923" s="18"/>
    </row>
    <row r="1924" ht="15.0" customHeight="1">
      <c r="A1924" s="4" t="str">
        <f t="shared" si="1"/>
        <v>FVR-ERTIGA12ASH</v>
      </c>
      <c r="B1924" s="32" t="s">
        <v>2281</v>
      </c>
      <c r="C1924" s="15" t="s">
        <v>1024</v>
      </c>
      <c r="D1924" s="18" t="str">
        <f t="shared" si="12"/>
        <v>FVR</v>
      </c>
      <c r="E1924" s="15" t="s">
        <v>82</v>
      </c>
      <c r="F1924" s="18"/>
      <c r="G1924" s="4">
        <f>SUMIFS(X!$F$5:$F$2005,X!$D$5:$D$2005,'Current Stock'!A1924)</f>
        <v>1</v>
      </c>
      <c r="H1924" s="4">
        <f>SUMIFS(PENJUALAN!$E$4:$E$11000,PENJUALAN!$C$4:$C$11000,'Current Stock'!A1924)</f>
        <v>0</v>
      </c>
      <c r="I1924" s="16">
        <f t="shared" si="2"/>
        <v>1</v>
      </c>
      <c r="J1924" s="15" t="s">
        <v>1470</v>
      </c>
      <c r="K1924" s="15"/>
      <c r="L1924" s="18"/>
      <c r="M1924" s="18"/>
    </row>
    <row r="1925" ht="15.0" customHeight="1">
      <c r="A1925" s="4" t="str">
        <f t="shared" si="1"/>
        <v>SWR-ERTIGA12ASH</v>
      </c>
      <c r="B1925" s="32" t="s">
        <v>2282</v>
      </c>
      <c r="C1925" s="15" t="s">
        <v>1024</v>
      </c>
      <c r="D1925" s="18" t="str">
        <f t="shared" si="12"/>
        <v>SWR</v>
      </c>
      <c r="E1925" s="15" t="s">
        <v>82</v>
      </c>
      <c r="F1925" s="18"/>
      <c r="G1925" s="4">
        <f>SUMIFS(X!$F$5:$F$2005,X!$D$5:$D$2005,'Current Stock'!A1925)</f>
        <v>1</v>
      </c>
      <c r="H1925" s="4">
        <f>SUMIFS(PENJUALAN!$E$4:$E$11000,PENJUALAN!$C$4:$C$11000,'Current Stock'!A1925)</f>
        <v>0</v>
      </c>
      <c r="I1925" s="16">
        <f t="shared" si="2"/>
        <v>1</v>
      </c>
      <c r="J1925" s="15" t="s">
        <v>1509</v>
      </c>
      <c r="K1925" s="15"/>
      <c r="L1925" s="18"/>
      <c r="M1925" s="18"/>
    </row>
    <row r="1926" ht="15.0" customHeight="1">
      <c r="A1926" s="4" t="str">
        <f t="shared" si="1"/>
        <v>RVL-AGYA13ASH</v>
      </c>
      <c r="B1926" s="32" t="s">
        <v>2283</v>
      </c>
      <c r="C1926" s="15" t="s">
        <v>85</v>
      </c>
      <c r="D1926" s="18" t="str">
        <f t="shared" si="12"/>
        <v>RVL</v>
      </c>
      <c r="E1926" s="15" t="s">
        <v>82</v>
      </c>
      <c r="F1926" s="18"/>
      <c r="G1926" s="4">
        <f>SUMIFS(X!$F$5:$F$2005,X!$D$5:$D$2005,'Current Stock'!A1926)</f>
        <v>6</v>
      </c>
      <c r="H1926" s="4">
        <f>SUMIFS(PENJUALAN!$E$4:$E$11000,PENJUALAN!$C$4:$C$11000,'Current Stock'!A1926)</f>
        <v>4</v>
      </c>
      <c r="I1926" s="16">
        <f t="shared" si="2"/>
        <v>2</v>
      </c>
      <c r="J1926" s="15" t="s">
        <v>1470</v>
      </c>
      <c r="K1926" s="15"/>
      <c r="L1926" s="18"/>
      <c r="M1926" s="18"/>
    </row>
    <row r="1927" ht="15.0" customHeight="1">
      <c r="A1927" s="4" t="str">
        <f t="shared" si="1"/>
        <v>RVR-AGYA13ASH</v>
      </c>
      <c r="B1927" s="32" t="s">
        <v>2284</v>
      </c>
      <c r="C1927" s="15" t="s">
        <v>85</v>
      </c>
      <c r="D1927" s="18" t="str">
        <f t="shared" si="12"/>
        <v>RVR</v>
      </c>
      <c r="E1927" s="15" t="s">
        <v>82</v>
      </c>
      <c r="F1927" s="18"/>
      <c r="G1927" s="4">
        <f>SUMIFS(X!$F$5:$F$2005,X!$D$5:$D$2005,'Current Stock'!A1927)</f>
        <v>1</v>
      </c>
      <c r="H1927" s="4">
        <f>SUMIFS(PENJUALAN!$E$4:$E$11000,PENJUALAN!$C$4:$C$11000,'Current Stock'!A1927)</f>
        <v>0</v>
      </c>
      <c r="I1927" s="16">
        <f t="shared" si="2"/>
        <v>1</v>
      </c>
      <c r="J1927" s="15" t="s">
        <v>1470</v>
      </c>
      <c r="K1927" s="15"/>
      <c r="L1927" s="18"/>
      <c r="M1927" s="18"/>
    </row>
    <row r="1928" ht="15.0" customHeight="1">
      <c r="A1928" s="4" t="str">
        <f t="shared" si="1"/>
        <v>FDL-FORTUNER05ASH</v>
      </c>
      <c r="B1928" s="32" t="s">
        <v>2285</v>
      </c>
      <c r="C1928" s="15" t="s">
        <v>2286</v>
      </c>
      <c r="D1928" s="18" t="str">
        <f t="shared" si="12"/>
        <v>FDL</v>
      </c>
      <c r="E1928" s="15" t="s">
        <v>82</v>
      </c>
      <c r="F1928" s="18"/>
      <c r="G1928" s="4">
        <f>SUMIFS(X!$F$5:$F$2005,X!$D$5:$D$2005,'Current Stock'!A1928)</f>
        <v>1</v>
      </c>
      <c r="H1928" s="4">
        <f>SUMIFS(PENJUALAN!$E$4:$E$11000,PENJUALAN!$C$4:$C$11000,'Current Stock'!A1928)</f>
        <v>0</v>
      </c>
      <c r="I1928" s="16">
        <f t="shared" si="2"/>
        <v>1</v>
      </c>
      <c r="J1928" s="15" t="s">
        <v>1882</v>
      </c>
      <c r="K1928" s="15"/>
      <c r="L1928" s="18"/>
      <c r="M1928" s="18"/>
    </row>
    <row r="1929" ht="15.0" customHeight="1">
      <c r="A1929" s="4" t="str">
        <f t="shared" si="1"/>
        <v>TRW-HIACEBLACKXYG</v>
      </c>
      <c r="B1929" s="29" t="s">
        <v>1151</v>
      </c>
      <c r="C1929" s="28" t="s">
        <v>1152</v>
      </c>
      <c r="D1929" s="28" t="s">
        <v>41</v>
      </c>
      <c r="E1929" s="4" t="s">
        <v>16</v>
      </c>
      <c r="F1929" s="28" t="s">
        <v>439</v>
      </c>
      <c r="G1929" s="4">
        <f>SUMIFS(X!$F$5:$F$2005,X!$D$5:$D$2005,'Current Stock'!A1929)</f>
        <v>6</v>
      </c>
      <c r="H1929" s="4">
        <f>SUMIFS(PENJUALAN!$E$4:$E$11000,PENJUALAN!$C$4:$C$11000,'Current Stock'!A1929)</f>
        <v>5</v>
      </c>
      <c r="I1929" s="16">
        <f t="shared" si="2"/>
        <v>1</v>
      </c>
      <c r="J1929" s="15" t="s">
        <v>1378</v>
      </c>
      <c r="K1929" s="15"/>
      <c r="L1929" s="4"/>
      <c r="M1929" s="4"/>
    </row>
    <row r="1930" ht="15.0" customHeight="1">
      <c r="A1930" s="4" t="str">
        <f t="shared" si="1"/>
        <v>SFL-HIACEXYG</v>
      </c>
      <c r="B1930" s="29" t="s">
        <v>2287</v>
      </c>
      <c r="C1930" s="28" t="s">
        <v>1145</v>
      </c>
      <c r="D1930" s="28" t="s">
        <v>904</v>
      </c>
      <c r="E1930" s="4" t="s">
        <v>16</v>
      </c>
      <c r="F1930" s="28" t="s">
        <v>97</v>
      </c>
      <c r="G1930" s="4">
        <f>SUMIFS(X!$F$5:$F$2005,X!$D$5:$D$2005,'Current Stock'!A1930)</f>
        <v>6</v>
      </c>
      <c r="H1930" s="4">
        <f>SUMIFS(PENJUALAN!$E$4:$E$11000,PENJUALAN!$C$4:$C$11000,'Current Stock'!A1930)</f>
        <v>5</v>
      </c>
      <c r="I1930" s="16">
        <f t="shared" si="2"/>
        <v>1</v>
      </c>
      <c r="J1930" s="15" t="s">
        <v>719</v>
      </c>
      <c r="K1930" s="15"/>
      <c r="L1930" s="4"/>
      <c r="M1930" s="4"/>
    </row>
    <row r="1931" ht="15.0" customHeight="1">
      <c r="A1931" s="4" t="str">
        <f t="shared" si="1"/>
        <v>TRW-HILUX05XYG</v>
      </c>
      <c r="B1931" s="29" t="s">
        <v>1153</v>
      </c>
      <c r="C1931" s="28" t="s">
        <v>1154</v>
      </c>
      <c r="D1931" s="28" t="s">
        <v>41</v>
      </c>
      <c r="E1931" s="4" t="s">
        <v>16</v>
      </c>
      <c r="F1931" s="28" t="s">
        <v>118</v>
      </c>
      <c r="G1931" s="4">
        <f>SUMIFS(X!$F$5:$F$2005,X!$D$5:$D$2005,'Current Stock'!A1931)</f>
        <v>6</v>
      </c>
      <c r="H1931" s="4">
        <f>SUMIFS(PENJUALAN!$E$4:$E$11000,PENJUALAN!$C$4:$C$11000,'Current Stock'!A1931)</f>
        <v>5</v>
      </c>
      <c r="I1931" s="16">
        <f t="shared" si="2"/>
        <v>1</v>
      </c>
      <c r="J1931" s="15" t="s">
        <v>43</v>
      </c>
      <c r="K1931" s="15"/>
      <c r="L1931" s="4"/>
      <c r="M1931" s="4"/>
    </row>
    <row r="1932" ht="15.0" customHeight="1">
      <c r="A1932" s="4" t="str">
        <f t="shared" si="1"/>
        <v>RDR-FORTUNER15ASH</v>
      </c>
      <c r="B1932" s="32" t="s">
        <v>1143</v>
      </c>
      <c r="C1932" s="15" t="s">
        <v>2224</v>
      </c>
      <c r="D1932" s="18" t="str">
        <f>LEFT(A1932,FIND("-",A1932) - 1)</f>
        <v>RDR</v>
      </c>
      <c r="E1932" s="15" t="s">
        <v>82</v>
      </c>
      <c r="F1932" s="18"/>
      <c r="G1932" s="4">
        <f>SUMIFS(X!$F$5:$F$2005,X!$D$5:$D$2005,'Current Stock'!A1932)</f>
        <v>1</v>
      </c>
      <c r="H1932" s="4">
        <f>SUMIFS(PENJUALAN!$E$4:$E$11000,PENJUALAN!$C$4:$C$11000,'Current Stock'!A1932)</f>
        <v>0</v>
      </c>
      <c r="I1932" s="16">
        <f t="shared" si="2"/>
        <v>1</v>
      </c>
      <c r="J1932" s="15" t="s">
        <v>1882</v>
      </c>
      <c r="K1932" s="15"/>
      <c r="L1932" s="18"/>
      <c r="M1932" s="18"/>
    </row>
    <row r="1933" ht="15.0" customHeight="1">
      <c r="A1933" s="4" t="str">
        <f t="shared" si="1"/>
        <v>TRW-FORTUNER15XYG</v>
      </c>
      <c r="B1933" s="29" t="s">
        <v>1139</v>
      </c>
      <c r="C1933" s="28" t="s">
        <v>1138</v>
      </c>
      <c r="D1933" s="28" t="s">
        <v>41</v>
      </c>
      <c r="E1933" s="4" t="s">
        <v>16</v>
      </c>
      <c r="F1933" s="28" t="s">
        <v>221</v>
      </c>
      <c r="G1933" s="4">
        <f>SUMIFS(X!$F$5:$F$2005,X!$D$5:$D$2005,'Current Stock'!A1933)</f>
        <v>4</v>
      </c>
      <c r="H1933" s="4">
        <f>SUMIFS(PENJUALAN!$E$4:$E$11000,PENJUALAN!$C$4:$C$11000,'Current Stock'!A1933)</f>
        <v>3</v>
      </c>
      <c r="I1933" s="16">
        <f t="shared" si="2"/>
        <v>1</v>
      </c>
      <c r="J1933" s="15" t="s">
        <v>1884</v>
      </c>
      <c r="K1933" s="15"/>
      <c r="L1933" s="5">
        <v>1.0</v>
      </c>
      <c r="M1933" s="4"/>
    </row>
    <row r="1934" ht="15.0" customHeight="1">
      <c r="A1934" s="4" t="str">
        <f t="shared" si="1"/>
        <v>SRL-HIACEXYG</v>
      </c>
      <c r="B1934" s="29" t="s">
        <v>1149</v>
      </c>
      <c r="C1934" s="28" t="s">
        <v>1145</v>
      </c>
      <c r="D1934" s="28" t="s">
        <v>908</v>
      </c>
      <c r="E1934" s="4" t="s">
        <v>16</v>
      </c>
      <c r="F1934" s="28" t="s">
        <v>97</v>
      </c>
      <c r="G1934" s="4">
        <f>SUMIFS(X!$F$5:$F$2005,X!$D$5:$D$2005,'Current Stock'!A1934)</f>
        <v>5</v>
      </c>
      <c r="H1934" s="4">
        <f>SUMIFS(PENJUALAN!$E$4:$E$11000,PENJUALAN!$C$4:$C$11000,'Current Stock'!A1934)</f>
        <v>4</v>
      </c>
      <c r="I1934" s="16">
        <f t="shared" si="2"/>
        <v>1</v>
      </c>
      <c r="J1934" s="15" t="s">
        <v>1616</v>
      </c>
      <c r="K1934" s="15"/>
      <c r="L1934" s="5">
        <v>1.0</v>
      </c>
      <c r="M1934" s="4"/>
    </row>
    <row r="1935" ht="15.0" customHeight="1">
      <c r="A1935" s="4" t="str">
        <f t="shared" si="1"/>
        <v>TRW-HILUX15HXYG</v>
      </c>
      <c r="B1935" s="29" t="s">
        <v>1157</v>
      </c>
      <c r="C1935" s="28" t="s">
        <v>1156</v>
      </c>
      <c r="D1935" s="28" t="s">
        <v>41</v>
      </c>
      <c r="E1935" s="4" t="s">
        <v>16</v>
      </c>
      <c r="F1935" s="28" t="s">
        <v>67</v>
      </c>
      <c r="G1935" s="4">
        <f>SUMIFS(X!$F$5:$F$2005,X!$D$5:$D$2005,'Current Stock'!A1935)</f>
        <v>4</v>
      </c>
      <c r="H1935" s="4">
        <f>SUMIFS(PENJUALAN!$E$4:$E$11000,PENJUALAN!$C$4:$C$11000,'Current Stock'!A1935)</f>
        <v>3</v>
      </c>
      <c r="I1935" s="16">
        <f t="shared" si="2"/>
        <v>1</v>
      </c>
      <c r="J1935" s="15" t="s">
        <v>43</v>
      </c>
      <c r="K1935" s="15"/>
      <c r="L1935" s="4"/>
      <c r="M1935" s="4"/>
    </row>
    <row r="1936" ht="15.0" customHeight="1">
      <c r="A1936" s="4" t="str">
        <f t="shared" si="1"/>
        <v>SWL-FORTUNER15ASH</v>
      </c>
      <c r="B1936" s="32" t="s">
        <v>2288</v>
      </c>
      <c r="C1936" s="15" t="s">
        <v>2224</v>
      </c>
      <c r="D1936" s="18" t="str">
        <f t="shared" ref="D1936:D1940" si="13">LEFT(A1936,FIND("-",A1936) - 1)</f>
        <v>SWL</v>
      </c>
      <c r="E1936" s="15" t="s">
        <v>82</v>
      </c>
      <c r="F1936" s="18"/>
      <c r="G1936" s="4">
        <f>SUMIFS(X!$F$5:$F$2005,X!$D$5:$D$2005,'Current Stock'!A1936)</f>
        <v>7</v>
      </c>
      <c r="H1936" s="4">
        <f>SUMIFS(PENJUALAN!$E$4:$E$11000,PENJUALAN!$C$4:$C$11000,'Current Stock'!A1936)</f>
        <v>6</v>
      </c>
      <c r="I1936" s="16">
        <f t="shared" si="2"/>
        <v>1</v>
      </c>
      <c r="J1936" s="15" t="s">
        <v>1882</v>
      </c>
      <c r="K1936" s="15"/>
      <c r="L1936" s="18"/>
      <c r="M1936" s="18"/>
    </row>
    <row r="1937" ht="15.0" customHeight="1">
      <c r="A1937" s="4" t="str">
        <f t="shared" si="1"/>
        <v>SWR-CRV07ASH</v>
      </c>
      <c r="B1937" s="32" t="s">
        <v>433</v>
      </c>
      <c r="C1937" s="15" t="s">
        <v>429</v>
      </c>
      <c r="D1937" s="18" t="str">
        <f t="shared" si="13"/>
        <v>SWR</v>
      </c>
      <c r="E1937" s="15" t="s">
        <v>82</v>
      </c>
      <c r="F1937" s="18"/>
      <c r="G1937" s="4">
        <f>SUMIFS(X!$F$5:$F$2005,X!$D$5:$D$2005,'Current Stock'!A1937)</f>
        <v>1</v>
      </c>
      <c r="H1937" s="4">
        <f>SUMIFS(PENJUALAN!$E$4:$E$11000,PENJUALAN!$C$4:$C$11000,'Current Stock'!A1937)</f>
        <v>0</v>
      </c>
      <c r="I1937" s="16">
        <f t="shared" si="2"/>
        <v>1</v>
      </c>
      <c r="J1937" s="15" t="s">
        <v>1470</v>
      </c>
      <c r="K1937" s="15"/>
      <c r="L1937" s="18"/>
      <c r="M1937" s="18"/>
    </row>
    <row r="1938" ht="15.0" customHeight="1">
      <c r="A1938" s="4" t="str">
        <f t="shared" si="1"/>
        <v>FDL-CRV12ASH</v>
      </c>
      <c r="B1938" s="32" t="s">
        <v>440</v>
      </c>
      <c r="C1938" s="15" t="s">
        <v>69</v>
      </c>
      <c r="D1938" s="18" t="str">
        <f t="shared" si="13"/>
        <v>FDL</v>
      </c>
      <c r="E1938" s="15" t="s">
        <v>82</v>
      </c>
      <c r="F1938" s="18"/>
      <c r="G1938" s="4">
        <f>SUMIFS(X!$F$5:$F$2005,X!$D$5:$D$2005,'Current Stock'!A1938)</f>
        <v>1</v>
      </c>
      <c r="H1938" s="4">
        <f>SUMIFS(PENJUALAN!$E$4:$E$11000,PENJUALAN!$C$4:$C$11000,'Current Stock'!A1938)</f>
        <v>0</v>
      </c>
      <c r="I1938" s="16">
        <f t="shared" si="2"/>
        <v>1</v>
      </c>
      <c r="J1938" s="15" t="s">
        <v>1428</v>
      </c>
      <c r="K1938" s="15"/>
      <c r="L1938" s="18"/>
      <c r="M1938" s="18"/>
    </row>
    <row r="1939" ht="15.0" customHeight="1">
      <c r="A1939" s="4" t="str">
        <f t="shared" si="1"/>
        <v>FDR-CRV12ASH</v>
      </c>
      <c r="B1939" s="32" t="s">
        <v>441</v>
      </c>
      <c r="C1939" s="15" t="s">
        <v>69</v>
      </c>
      <c r="D1939" s="18" t="str">
        <f t="shared" si="13"/>
        <v>FDR</v>
      </c>
      <c r="E1939" s="15" t="s">
        <v>82</v>
      </c>
      <c r="F1939" s="18"/>
      <c r="G1939" s="4">
        <f>SUMIFS(X!$F$5:$F$2005,X!$D$5:$D$2005,'Current Stock'!A1939)</f>
        <v>1</v>
      </c>
      <c r="H1939" s="4">
        <f>SUMIFS(PENJUALAN!$E$4:$E$11000,PENJUALAN!$C$4:$C$11000,'Current Stock'!A1939)</f>
        <v>0</v>
      </c>
      <c r="I1939" s="16">
        <f t="shared" si="2"/>
        <v>1</v>
      </c>
      <c r="J1939" s="15" t="s">
        <v>1428</v>
      </c>
      <c r="K1939" s="15"/>
      <c r="L1939" s="18"/>
      <c r="M1939" s="18"/>
    </row>
    <row r="1940" ht="15.0" customHeight="1">
      <c r="A1940" s="4" t="str">
        <f t="shared" si="1"/>
        <v>RDL-CRV12ASH</v>
      </c>
      <c r="B1940" s="32" t="s">
        <v>442</v>
      </c>
      <c r="C1940" s="15" t="s">
        <v>69</v>
      </c>
      <c r="D1940" s="18" t="str">
        <f t="shared" si="13"/>
        <v>RDL</v>
      </c>
      <c r="E1940" s="15" t="s">
        <v>82</v>
      </c>
      <c r="F1940" s="18"/>
      <c r="G1940" s="4">
        <f>SUMIFS(X!$F$5:$F$2005,X!$D$5:$D$2005,'Current Stock'!A1940)</f>
        <v>1</v>
      </c>
      <c r="H1940" s="4">
        <f>SUMIFS(PENJUALAN!$E$4:$E$11000,PENJUALAN!$C$4:$C$11000,'Current Stock'!A1940)</f>
        <v>0</v>
      </c>
      <c r="I1940" s="16">
        <f t="shared" si="2"/>
        <v>1</v>
      </c>
      <c r="J1940" s="15" t="s">
        <v>2067</v>
      </c>
      <c r="K1940" s="15"/>
      <c r="L1940" s="18"/>
      <c r="M1940" s="18"/>
    </row>
    <row r="1941" ht="15.0" customHeight="1">
      <c r="A1941" s="4" t="str">
        <f t="shared" si="1"/>
        <v>TRW-FORTUNER05XYG</v>
      </c>
      <c r="B1941" s="31" t="s">
        <v>1130</v>
      </c>
      <c r="C1941" s="33" t="s">
        <v>2289</v>
      </c>
      <c r="D1941" s="28" t="s">
        <v>41</v>
      </c>
      <c r="E1941" s="4" t="s">
        <v>16</v>
      </c>
      <c r="F1941" s="28" t="s">
        <v>67</v>
      </c>
      <c r="G1941" s="4">
        <f>SUMIFS(X!$F$5:$F$2005,X!$D$5:$D$2005,'Current Stock'!A1941)</f>
        <v>6</v>
      </c>
      <c r="H1941" s="4">
        <f>SUMIFS(PENJUALAN!$E$4:$E$11000,PENJUALAN!$C$4:$C$11000,'Current Stock'!A1941)</f>
        <v>5</v>
      </c>
      <c r="I1941" s="16">
        <f t="shared" si="2"/>
        <v>1</v>
      </c>
      <c r="J1941" s="15" t="s">
        <v>1884</v>
      </c>
      <c r="K1941" s="15"/>
      <c r="L1941" s="5"/>
      <c r="M1941" s="15" t="s">
        <v>2290</v>
      </c>
    </row>
    <row r="1942" ht="15.0" customHeight="1">
      <c r="A1942" s="4" t="str">
        <f t="shared" si="1"/>
        <v>SRR-HIACEXYG</v>
      </c>
      <c r="B1942" s="29" t="s">
        <v>1150</v>
      </c>
      <c r="C1942" s="28" t="s">
        <v>1145</v>
      </c>
      <c r="D1942" s="28" t="s">
        <v>911</v>
      </c>
      <c r="E1942" s="4" t="s">
        <v>16</v>
      </c>
      <c r="F1942" s="28" t="s">
        <v>97</v>
      </c>
      <c r="G1942" s="4">
        <f>SUMIFS(X!$F$5:$F$2005,X!$D$5:$D$2005,'Current Stock'!A1942)</f>
        <v>3</v>
      </c>
      <c r="H1942" s="4">
        <f>SUMIFS(PENJUALAN!$E$4:$E$11000,PENJUALAN!$C$4:$C$11000,'Current Stock'!A1942)</f>
        <v>1</v>
      </c>
      <c r="I1942" s="16">
        <f t="shared" si="2"/>
        <v>2</v>
      </c>
      <c r="J1942" s="15" t="s">
        <v>1616</v>
      </c>
      <c r="K1942" s="15"/>
      <c r="L1942" s="4"/>
      <c r="M1942" s="4"/>
    </row>
    <row r="1943" ht="15.0" customHeight="1">
      <c r="A1943" s="4" t="str">
        <f t="shared" si="1"/>
        <v>RDL-FREEDASH</v>
      </c>
      <c r="B1943" s="32" t="s">
        <v>2291</v>
      </c>
      <c r="C1943" s="15" t="s">
        <v>455</v>
      </c>
      <c r="D1943" s="18" t="str">
        <f t="shared" ref="D1943:D1947" si="14">LEFT(A1943,FIND("-",A1943) - 1)</f>
        <v>RDL</v>
      </c>
      <c r="E1943" s="15" t="s">
        <v>82</v>
      </c>
      <c r="F1943" s="18"/>
      <c r="G1943" s="4">
        <f>SUMIFS(X!$F$5:$F$2005,X!$D$5:$D$2005,'Current Stock'!A1943)</f>
        <v>0</v>
      </c>
      <c r="H1943" s="4">
        <f>SUMIFS(PENJUALAN!$E$4:$E$11000,PENJUALAN!$C$4:$C$11000,'Current Stock'!A1943)</f>
        <v>0</v>
      </c>
      <c r="I1943" s="16">
        <f t="shared" si="2"/>
        <v>0</v>
      </c>
      <c r="J1943" s="18"/>
      <c r="K1943" s="18"/>
      <c r="L1943" s="18"/>
      <c r="M1943" s="18"/>
    </row>
    <row r="1944" ht="15.0" customHeight="1">
      <c r="A1944" s="4" t="str">
        <f t="shared" si="1"/>
        <v>RDR-FREEDASH</v>
      </c>
      <c r="B1944" s="32" t="s">
        <v>2292</v>
      </c>
      <c r="C1944" s="15" t="s">
        <v>455</v>
      </c>
      <c r="D1944" s="18" t="str">
        <f t="shared" si="14"/>
        <v>RDR</v>
      </c>
      <c r="E1944" s="15" t="s">
        <v>82</v>
      </c>
      <c r="F1944" s="18"/>
      <c r="G1944" s="4">
        <f>SUMIFS(X!$F$5:$F$2005,X!$D$5:$D$2005,'Current Stock'!A1944)</f>
        <v>1</v>
      </c>
      <c r="H1944" s="4">
        <f>SUMIFS(PENJUALAN!$E$4:$E$11000,PENJUALAN!$C$4:$C$11000,'Current Stock'!A1944)</f>
        <v>0</v>
      </c>
      <c r="I1944" s="16">
        <f t="shared" si="2"/>
        <v>1</v>
      </c>
      <c r="J1944" s="15" t="s">
        <v>2067</v>
      </c>
      <c r="K1944" s="15"/>
      <c r="L1944" s="18"/>
      <c r="M1944" s="18"/>
    </row>
    <row r="1945" ht="15.0" customHeight="1">
      <c r="A1945" s="4" t="str">
        <f t="shared" si="1"/>
        <v>SWR-FREEDASH</v>
      </c>
      <c r="B1945" s="32" t="s">
        <v>458</v>
      </c>
      <c r="C1945" s="15" t="s">
        <v>455</v>
      </c>
      <c r="D1945" s="18" t="str">
        <f t="shared" si="14"/>
        <v>SWR</v>
      </c>
      <c r="E1945" s="15" t="s">
        <v>82</v>
      </c>
      <c r="F1945" s="18"/>
      <c r="G1945" s="4">
        <f>SUMIFS(X!$F$5:$F$2005,X!$D$5:$D$2005,'Current Stock'!A1945)</f>
        <v>0</v>
      </c>
      <c r="H1945" s="4">
        <f>SUMIFS(PENJUALAN!$E$4:$E$11000,PENJUALAN!$C$4:$C$11000,'Current Stock'!A1945)</f>
        <v>0</v>
      </c>
      <c r="I1945" s="16">
        <f t="shared" si="2"/>
        <v>0</v>
      </c>
      <c r="J1945" s="18"/>
      <c r="K1945" s="18"/>
      <c r="L1945" s="18"/>
      <c r="M1945" s="18"/>
    </row>
    <row r="1946" ht="15.0" customHeight="1">
      <c r="A1946" s="4" t="str">
        <f t="shared" si="1"/>
        <v>FVL-JAZZ01ASH</v>
      </c>
      <c r="B1946" s="32" t="s">
        <v>467</v>
      </c>
      <c r="C1946" s="15" t="s">
        <v>463</v>
      </c>
      <c r="D1946" s="18" t="str">
        <f t="shared" si="14"/>
        <v>FVL</v>
      </c>
      <c r="E1946" s="15" t="s">
        <v>82</v>
      </c>
      <c r="F1946" s="18"/>
      <c r="G1946" s="4">
        <f>SUMIFS(X!$F$5:$F$2005,X!$D$5:$D$2005,'Current Stock'!A1946)</f>
        <v>1</v>
      </c>
      <c r="H1946" s="4">
        <f>SUMIFS(PENJUALAN!$E$4:$E$11000,PENJUALAN!$C$4:$C$11000,'Current Stock'!A1946)</f>
        <v>0</v>
      </c>
      <c r="I1946" s="16">
        <f t="shared" si="2"/>
        <v>1</v>
      </c>
      <c r="J1946" s="15" t="s">
        <v>1470</v>
      </c>
      <c r="K1946" s="15"/>
      <c r="L1946" s="18"/>
      <c r="M1946" s="18"/>
    </row>
    <row r="1947" ht="15.0" customHeight="1">
      <c r="A1947" s="4" t="str">
        <f t="shared" si="1"/>
        <v>FVR-JAZZ01ASH</v>
      </c>
      <c r="B1947" s="32" t="s">
        <v>2293</v>
      </c>
      <c r="C1947" s="15" t="s">
        <v>463</v>
      </c>
      <c r="D1947" s="18" t="str">
        <f t="shared" si="14"/>
        <v>FVR</v>
      </c>
      <c r="E1947" s="15" t="s">
        <v>82</v>
      </c>
      <c r="F1947" s="18"/>
      <c r="G1947" s="4">
        <f>SUMIFS(X!$F$5:$F$2005,X!$D$5:$D$2005,'Current Stock'!A1947)</f>
        <v>1</v>
      </c>
      <c r="H1947" s="4">
        <f>SUMIFS(PENJUALAN!$E$4:$E$11000,PENJUALAN!$C$4:$C$11000,'Current Stock'!A1947)</f>
        <v>0</v>
      </c>
      <c r="I1947" s="16">
        <f t="shared" si="2"/>
        <v>1</v>
      </c>
      <c r="J1947" s="15" t="s">
        <v>1470</v>
      </c>
      <c r="K1947" s="15"/>
      <c r="L1947" s="18"/>
      <c r="M1947" s="18"/>
    </row>
    <row r="1948" ht="15.0" customHeight="1">
      <c r="A1948" s="4" t="str">
        <f t="shared" si="1"/>
        <v>SRR-HIACEFXYG</v>
      </c>
      <c r="B1948" s="29" t="s">
        <v>2200</v>
      </c>
      <c r="C1948" s="28" t="s">
        <v>1897</v>
      </c>
      <c r="D1948" s="28" t="s">
        <v>911</v>
      </c>
      <c r="E1948" s="4" t="s">
        <v>16</v>
      </c>
      <c r="F1948" s="28" t="s">
        <v>97</v>
      </c>
      <c r="G1948" s="4">
        <f>SUMIFS(X!$F$5:$F$2005,X!$D$5:$D$2005,'Current Stock'!A1948)</f>
        <v>6</v>
      </c>
      <c r="H1948" s="4">
        <f>SUMIFS(PENJUALAN!$E$4:$E$11000,PENJUALAN!$C$4:$C$11000,'Current Stock'!A1948)</f>
        <v>4</v>
      </c>
      <c r="I1948" s="16">
        <f t="shared" si="2"/>
        <v>2</v>
      </c>
      <c r="J1948" s="15" t="s">
        <v>1898</v>
      </c>
      <c r="K1948" s="15"/>
      <c r="L1948" s="5">
        <v>1.0</v>
      </c>
      <c r="M1948" s="4"/>
    </row>
    <row r="1949" ht="15.0" customHeight="1">
      <c r="A1949" s="4" t="str">
        <f t="shared" si="1"/>
        <v>FVL-JAZZ07ASH</v>
      </c>
      <c r="B1949" s="32" t="s">
        <v>2294</v>
      </c>
      <c r="C1949" s="15" t="s">
        <v>470</v>
      </c>
      <c r="D1949" s="18" t="str">
        <f t="shared" ref="D1949:D1951" si="15">LEFT(A1949,FIND("-",A1949) - 1)</f>
        <v>FVL</v>
      </c>
      <c r="E1949" s="15" t="s">
        <v>82</v>
      </c>
      <c r="F1949" s="18"/>
      <c r="G1949" s="4">
        <f>SUMIFS(X!$F$5:$F$2005,X!$D$5:$D$2005,'Current Stock'!A1949)</f>
        <v>1</v>
      </c>
      <c r="H1949" s="4">
        <f>SUMIFS(PENJUALAN!$E$4:$E$11000,PENJUALAN!$C$4:$C$11000,'Current Stock'!A1949)</f>
        <v>0</v>
      </c>
      <c r="I1949" s="16">
        <f t="shared" si="2"/>
        <v>1</v>
      </c>
      <c r="J1949" s="15" t="s">
        <v>1470</v>
      </c>
      <c r="K1949" s="15"/>
      <c r="L1949" s="18"/>
      <c r="M1949" s="18"/>
    </row>
    <row r="1950" ht="15.0" customHeight="1">
      <c r="A1950" s="4" t="str">
        <f t="shared" si="1"/>
        <v>RDR-JAZZ07ASH</v>
      </c>
      <c r="B1950" s="32" t="s">
        <v>2295</v>
      </c>
      <c r="C1950" s="15" t="s">
        <v>470</v>
      </c>
      <c r="D1950" s="18" t="str">
        <f t="shared" si="15"/>
        <v>RDR</v>
      </c>
      <c r="E1950" s="15" t="s">
        <v>82</v>
      </c>
      <c r="F1950" s="18"/>
      <c r="G1950" s="4">
        <f>SUMIFS(X!$F$5:$F$2005,X!$D$5:$D$2005,'Current Stock'!A1950)</f>
        <v>1</v>
      </c>
      <c r="H1950" s="4">
        <f>SUMIFS(PENJUALAN!$E$4:$E$11000,PENJUALAN!$C$4:$C$11000,'Current Stock'!A1950)</f>
        <v>0</v>
      </c>
      <c r="I1950" s="16">
        <f t="shared" si="2"/>
        <v>1</v>
      </c>
      <c r="J1950" s="15" t="s">
        <v>2067</v>
      </c>
      <c r="K1950" s="15"/>
      <c r="L1950" s="18"/>
      <c r="M1950" s="18"/>
    </row>
    <row r="1951" ht="15.0" customHeight="1">
      <c r="A1951" s="4" t="str">
        <f t="shared" si="1"/>
        <v>FDL-JAZZ13ASH</v>
      </c>
      <c r="B1951" s="32" t="s">
        <v>2296</v>
      </c>
      <c r="C1951" s="78" t="s">
        <v>2262</v>
      </c>
      <c r="D1951" s="18" t="str">
        <f t="shared" si="15"/>
        <v>FDL</v>
      </c>
      <c r="E1951" s="15" t="s">
        <v>82</v>
      </c>
      <c r="F1951" s="18"/>
      <c r="G1951" s="4">
        <f>SUMIFS(X!$F$5:$F$2005,X!$D$5:$D$2005,'Current Stock'!A1951)</f>
        <v>1</v>
      </c>
      <c r="H1951" s="4">
        <f>SUMIFS(PENJUALAN!$E$4:$E$11000,PENJUALAN!$C$4:$C$11000,'Current Stock'!A1951)</f>
        <v>0</v>
      </c>
      <c r="I1951" s="16">
        <f t="shared" si="2"/>
        <v>1</v>
      </c>
      <c r="J1951" s="15" t="s">
        <v>1428</v>
      </c>
      <c r="K1951" s="15"/>
      <c r="L1951" s="18"/>
      <c r="M1951" s="18"/>
    </row>
    <row r="1952" ht="15.0" customHeight="1">
      <c r="A1952" s="4" t="str">
        <f t="shared" si="1"/>
        <v>TRW-HIACE19XYG</v>
      </c>
      <c r="B1952" s="29" t="s">
        <v>2297</v>
      </c>
      <c r="C1952" s="28" t="s">
        <v>2298</v>
      </c>
      <c r="D1952" s="28" t="s">
        <v>41</v>
      </c>
      <c r="E1952" s="4" t="s">
        <v>16</v>
      </c>
      <c r="F1952" s="28" t="s">
        <v>221</v>
      </c>
      <c r="G1952" s="4">
        <f>SUMIFS(X!$F$5:$F$2005,X!$D$5:$D$2005,'Current Stock'!A1952)</f>
        <v>4</v>
      </c>
      <c r="H1952" s="4">
        <f>SUMIFS(PENJUALAN!$E$4:$E$11000,PENJUALAN!$C$4:$C$11000,'Current Stock'!A1952)</f>
        <v>3</v>
      </c>
      <c r="I1952" s="16">
        <f t="shared" si="2"/>
        <v>1</v>
      </c>
      <c r="J1952" s="15" t="s">
        <v>1378</v>
      </c>
      <c r="K1952" s="15"/>
      <c r="L1952" s="4"/>
      <c r="M1952" s="4"/>
    </row>
    <row r="1953" ht="15.0" customHeight="1">
      <c r="A1953" s="4" t="str">
        <f t="shared" si="1"/>
        <v>SWL-FORTUNER05BLACKXYG</v>
      </c>
      <c r="B1953" s="29" t="s">
        <v>1135</v>
      </c>
      <c r="C1953" s="28" t="s">
        <v>1132</v>
      </c>
      <c r="D1953" s="28" t="s">
        <v>202</v>
      </c>
      <c r="E1953" s="4" t="s">
        <v>16</v>
      </c>
      <c r="F1953" s="28" t="s">
        <v>97</v>
      </c>
      <c r="G1953" s="4">
        <f>SUMIFS(X!$F$5:$F$2005,X!$D$5:$D$2005,'Current Stock'!A1953)</f>
        <v>2</v>
      </c>
      <c r="H1953" s="4">
        <f>SUMIFS(PENJUALAN!$E$4:$E$11000,PENJUALAN!$C$4:$C$11000,'Current Stock'!A1953)</f>
        <v>1</v>
      </c>
      <c r="I1953" s="16">
        <f t="shared" si="2"/>
        <v>1</v>
      </c>
      <c r="J1953" s="15" t="s">
        <v>1882</v>
      </c>
      <c r="K1953" s="4"/>
      <c r="L1953" s="4"/>
      <c r="M1953" s="4"/>
    </row>
    <row r="1954" ht="15.0" customHeight="1">
      <c r="A1954" s="4" t="str">
        <f t="shared" si="1"/>
        <v>TRW-HIACEC20XYG</v>
      </c>
      <c r="B1954" s="31" t="s">
        <v>2299</v>
      </c>
      <c r="C1954" s="33" t="s">
        <v>2300</v>
      </c>
      <c r="D1954" s="33" t="s">
        <v>41</v>
      </c>
      <c r="E1954" s="15" t="s">
        <v>16</v>
      </c>
      <c r="F1954" s="33" t="s">
        <v>2301</v>
      </c>
      <c r="G1954" s="4">
        <f>SUMIFS(X!$F$5:$F$2005,X!$D$5:$D$2005,'Current Stock'!A1954)</f>
        <v>3</v>
      </c>
      <c r="H1954" s="4">
        <f>SUMIFS(PENJUALAN!$E$4:$E$11000,PENJUALAN!$C$4:$C$11000,'Current Stock'!A1954)</f>
        <v>2</v>
      </c>
      <c r="I1954" s="16">
        <f t="shared" si="2"/>
        <v>1</v>
      </c>
      <c r="J1954" s="15" t="s">
        <v>1378</v>
      </c>
      <c r="K1954" s="15"/>
      <c r="L1954" s="4"/>
      <c r="M1954" s="4"/>
    </row>
    <row r="1955" ht="15.0" customHeight="1">
      <c r="A1955" s="4" t="str">
        <f t="shared" si="1"/>
        <v>RDR-TERIOS06ASH</v>
      </c>
      <c r="B1955" s="32" t="s">
        <v>2302</v>
      </c>
      <c r="C1955" s="15" t="s">
        <v>1244</v>
      </c>
      <c r="D1955" s="18" t="str">
        <f t="shared" ref="D1955:D1957" si="16">LEFT(A1955,FIND("-",A1955) - 1)</f>
        <v>RDR</v>
      </c>
      <c r="E1955" s="15" t="s">
        <v>82</v>
      </c>
      <c r="F1955" s="18"/>
      <c r="G1955" s="4">
        <f>SUMIFS(X!$F$5:$F$2005,X!$D$5:$D$2005,'Current Stock'!A1955)</f>
        <v>1</v>
      </c>
      <c r="H1955" s="4">
        <f>SUMIFS(PENJUALAN!$E$4:$E$11000,PENJUALAN!$C$4:$C$11000,'Current Stock'!A1955)</f>
        <v>1</v>
      </c>
      <c r="I1955" s="16">
        <f t="shared" si="2"/>
        <v>0</v>
      </c>
      <c r="J1955" s="15" t="s">
        <v>1882</v>
      </c>
      <c r="K1955" s="15"/>
      <c r="L1955" s="18"/>
      <c r="M1955" s="18"/>
    </row>
    <row r="1956" ht="15.0" customHeight="1">
      <c r="A1956" s="4" t="str">
        <f t="shared" si="1"/>
        <v>FDL-RAIZEASH</v>
      </c>
      <c r="B1956" s="32" t="s">
        <v>2303</v>
      </c>
      <c r="C1956" s="15" t="s">
        <v>2304</v>
      </c>
      <c r="D1956" s="18" t="str">
        <f t="shared" si="16"/>
        <v>FDL</v>
      </c>
      <c r="E1956" s="15" t="s">
        <v>82</v>
      </c>
      <c r="F1956" s="18"/>
      <c r="G1956" s="4">
        <f>SUMIFS(X!$F$5:$F$2005,X!$D$5:$D$2005,'Current Stock'!A1956)</f>
        <v>1</v>
      </c>
      <c r="H1956" s="4">
        <f>SUMIFS(PENJUALAN!$E$4:$E$11000,PENJUALAN!$C$4:$C$11000,'Current Stock'!A1956)</f>
        <v>0</v>
      </c>
      <c r="I1956" s="16">
        <f t="shared" si="2"/>
        <v>1</v>
      </c>
      <c r="J1956" s="15" t="s">
        <v>719</v>
      </c>
      <c r="K1956" s="15"/>
      <c r="L1956" s="18"/>
      <c r="M1956" s="18"/>
    </row>
    <row r="1957" ht="15.0" customHeight="1">
      <c r="A1957" s="4" t="str">
        <f t="shared" si="1"/>
        <v>TRW-KAPSUL97ASH</v>
      </c>
      <c r="B1957" s="32" t="s">
        <v>2305</v>
      </c>
      <c r="C1957" s="15" t="s">
        <v>2306</v>
      </c>
      <c r="D1957" s="18" t="str">
        <f t="shared" si="16"/>
        <v>TRW</v>
      </c>
      <c r="E1957" s="15" t="s">
        <v>82</v>
      </c>
      <c r="F1957" s="18"/>
      <c r="G1957" s="4">
        <f>SUMIFS(X!$F$5:$F$2005,X!$D$5:$D$2005,'Current Stock'!A1957)</f>
        <v>1</v>
      </c>
      <c r="H1957" s="4">
        <f>SUMIFS(PENJUALAN!$E$4:$E$11000,PENJUALAN!$C$4:$C$11000,'Current Stock'!A1957)</f>
        <v>0</v>
      </c>
      <c r="I1957" s="16">
        <f t="shared" si="2"/>
        <v>1</v>
      </c>
      <c r="J1957" s="15" t="s">
        <v>1616</v>
      </c>
      <c r="K1957" s="15"/>
      <c r="L1957" s="18"/>
      <c r="M1957" s="18"/>
    </row>
    <row r="1958" ht="15.0" customHeight="1">
      <c r="A1958" s="20" t="str">
        <f t="shared" si="1"/>
        <v>TRW-KAPSUL02ASH</v>
      </c>
      <c r="B1958" s="24" t="s">
        <v>2307</v>
      </c>
      <c r="C1958" s="22" t="s">
        <v>2308</v>
      </c>
      <c r="D1958" s="22" t="s">
        <v>41</v>
      </c>
      <c r="E1958" s="22" t="s">
        <v>82</v>
      </c>
      <c r="F1958" s="22" t="s">
        <v>97</v>
      </c>
      <c r="G1958" s="4">
        <f>SUMIFS(X!$F$5:$F$2005,X!$D$5:$D$2005,'Current Stock'!A1958)</f>
        <v>15</v>
      </c>
      <c r="H1958" s="4">
        <f>SUMIFS(PENJUALAN!$E$4:$E$11000,PENJUALAN!$C$4:$C$11000,'Current Stock'!A1958)</f>
        <v>10</v>
      </c>
      <c r="I1958" s="16">
        <f t="shared" si="2"/>
        <v>5</v>
      </c>
      <c r="J1958" s="22" t="s">
        <v>1499</v>
      </c>
      <c r="K1958" s="22"/>
      <c r="L1958" s="25"/>
      <c r="M1958" s="25"/>
    </row>
    <row r="1959" ht="15.0" customHeight="1">
      <c r="A1959" s="4" t="str">
        <f t="shared" si="1"/>
        <v>FDR-KAPSUL97ASH</v>
      </c>
      <c r="B1959" s="32" t="s">
        <v>2309</v>
      </c>
      <c r="C1959" s="15" t="s">
        <v>2306</v>
      </c>
      <c r="D1959" s="18" t="str">
        <f t="shared" ref="D1959:D1960" si="17">LEFT(A1959,FIND("-",A1959) - 1)</f>
        <v>FDR</v>
      </c>
      <c r="E1959" s="15" t="s">
        <v>82</v>
      </c>
      <c r="F1959" s="18"/>
      <c r="G1959" s="4">
        <f>SUMIFS(X!$F$5:$F$2005,X!$D$5:$D$2005,'Current Stock'!A1959)</f>
        <v>1</v>
      </c>
      <c r="H1959" s="4">
        <f>SUMIFS(PENJUALAN!$E$4:$E$11000,PENJUALAN!$C$4:$C$11000,'Current Stock'!A1959)</f>
        <v>0</v>
      </c>
      <c r="I1959" s="16">
        <f t="shared" si="2"/>
        <v>1</v>
      </c>
      <c r="J1959" s="15" t="s">
        <v>1880</v>
      </c>
      <c r="K1959" s="15"/>
      <c r="L1959" s="18"/>
      <c r="M1959" s="18"/>
    </row>
    <row r="1960" ht="15.0" customHeight="1">
      <c r="A1960" s="4" t="str">
        <f t="shared" si="1"/>
        <v>RVR-KAPSUL97ASH</v>
      </c>
      <c r="B1960" s="32" t="s">
        <v>2310</v>
      </c>
      <c r="C1960" s="15" t="s">
        <v>2306</v>
      </c>
      <c r="D1960" s="18" t="str">
        <f t="shared" si="17"/>
        <v>RVR</v>
      </c>
      <c r="E1960" s="15" t="s">
        <v>82</v>
      </c>
      <c r="F1960" s="18"/>
      <c r="G1960" s="4">
        <f>SUMIFS(X!$F$5:$F$2005,X!$D$5:$D$2005,'Current Stock'!A1960)</f>
        <v>1</v>
      </c>
      <c r="H1960" s="4">
        <f>SUMIFS(PENJUALAN!$E$4:$E$11000,PENJUALAN!$C$4:$C$11000,'Current Stock'!A1960)</f>
        <v>0</v>
      </c>
      <c r="I1960" s="16">
        <f t="shared" si="2"/>
        <v>1</v>
      </c>
      <c r="J1960" s="15" t="s">
        <v>1470</v>
      </c>
      <c r="K1960" s="15"/>
      <c r="L1960" s="18"/>
      <c r="M1960" s="18"/>
    </row>
    <row r="1961" ht="15.0" customHeight="1">
      <c r="A1961" s="4" t="str">
        <f t="shared" si="1"/>
        <v>FDR-HIACEXYG</v>
      </c>
      <c r="B1961" s="29" t="s">
        <v>1148</v>
      </c>
      <c r="C1961" s="28" t="s">
        <v>1145</v>
      </c>
      <c r="D1961" s="28" t="s">
        <v>130</v>
      </c>
      <c r="E1961" s="4" t="s">
        <v>16</v>
      </c>
      <c r="F1961" s="28" t="s">
        <v>397</v>
      </c>
      <c r="G1961" s="4">
        <f>SUMIFS(X!$F$5:$F$2005,X!$D$5:$D$2005,'Current Stock'!A1961)</f>
        <v>2</v>
      </c>
      <c r="H1961" s="4">
        <f>SUMIFS(PENJUALAN!$E$4:$E$11000,PENJUALAN!$C$4:$C$11000,'Current Stock'!A1961)</f>
        <v>1</v>
      </c>
      <c r="I1961" s="16">
        <f t="shared" si="2"/>
        <v>1</v>
      </c>
      <c r="J1961" s="15" t="s">
        <v>1431</v>
      </c>
      <c r="K1961" s="15"/>
      <c r="L1961" s="4"/>
      <c r="M1961" s="4"/>
    </row>
    <row r="1962" ht="15.0" customHeight="1">
      <c r="A1962" s="4" t="str">
        <f t="shared" si="1"/>
        <v>TGA-KIJANGK125ASH</v>
      </c>
      <c r="B1962" s="32" t="s">
        <v>2311</v>
      </c>
      <c r="C1962" s="15" t="s">
        <v>2079</v>
      </c>
      <c r="D1962" s="18" t="str">
        <f>LEFT(A1962,FIND("-",A1962) - 1)</f>
        <v>TGA</v>
      </c>
      <c r="E1962" s="15" t="s">
        <v>82</v>
      </c>
      <c r="F1962" s="18"/>
      <c r="G1962" s="4">
        <f>SUMIFS(X!$F$5:$F$2005,X!$D$5:$D$2005,'Current Stock'!A1962)</f>
        <v>1</v>
      </c>
      <c r="H1962" s="4">
        <f>SUMIFS(PENJUALAN!$E$4:$E$11000,PENJUALAN!$C$4:$C$11000,'Current Stock'!A1962)</f>
        <v>0</v>
      </c>
      <c r="I1962" s="16">
        <f t="shared" si="2"/>
        <v>1</v>
      </c>
      <c r="J1962" s="15" t="s">
        <v>1473</v>
      </c>
      <c r="K1962" s="15"/>
      <c r="L1962" s="18"/>
      <c r="M1962" s="18"/>
    </row>
    <row r="1963" ht="15.0" customHeight="1">
      <c r="A1963" s="4" t="str">
        <f t="shared" si="1"/>
        <v>RDR-HIACEXYG</v>
      </c>
      <c r="B1963" s="29" t="s">
        <v>2312</v>
      </c>
      <c r="C1963" s="28" t="s">
        <v>1145</v>
      </c>
      <c r="D1963" s="28" t="s">
        <v>134</v>
      </c>
      <c r="E1963" s="4" t="s">
        <v>16</v>
      </c>
      <c r="F1963" s="28" t="s">
        <v>97</v>
      </c>
      <c r="G1963" s="4">
        <f>SUMIFS(X!$F$5:$F$2005,X!$D$5:$D$2005,'Current Stock'!A1963)</f>
        <v>2</v>
      </c>
      <c r="H1963" s="4">
        <f>SUMIFS(PENJUALAN!$E$4:$E$11000,PENJUALAN!$C$4:$C$11000,'Current Stock'!A1963)</f>
        <v>1</v>
      </c>
      <c r="I1963" s="16">
        <f t="shared" si="2"/>
        <v>1</v>
      </c>
      <c r="J1963" s="15" t="s">
        <v>1898</v>
      </c>
      <c r="K1963" s="15"/>
      <c r="L1963" s="4"/>
      <c r="M1963" s="4"/>
    </row>
    <row r="1964" ht="15.0" customHeight="1">
      <c r="A1964" s="4" t="str">
        <f t="shared" si="1"/>
        <v>TRW-HILUX15XYG</v>
      </c>
      <c r="B1964" s="29" t="s">
        <v>1158</v>
      </c>
      <c r="C1964" s="28" t="s">
        <v>1156</v>
      </c>
      <c r="D1964" s="28" t="s">
        <v>41</v>
      </c>
      <c r="E1964" s="4" t="s">
        <v>16</v>
      </c>
      <c r="F1964" s="28" t="s">
        <v>97</v>
      </c>
      <c r="G1964" s="4">
        <f>SUMIFS(X!$F$5:$F$2005,X!$D$5:$D$2005,'Current Stock'!A1964)</f>
        <v>2</v>
      </c>
      <c r="H1964" s="4">
        <f>SUMIFS(PENJUALAN!$E$4:$E$11000,PENJUALAN!$C$4:$C$11000,'Current Stock'!A1964)</f>
        <v>1</v>
      </c>
      <c r="I1964" s="16">
        <f t="shared" si="2"/>
        <v>1</v>
      </c>
      <c r="J1964" s="15" t="s">
        <v>43</v>
      </c>
      <c r="K1964" s="15"/>
      <c r="L1964" s="4"/>
      <c r="M1964" s="4"/>
    </row>
    <row r="1965" ht="15.0" customHeight="1">
      <c r="A1965" s="4" t="str">
        <f t="shared" si="1"/>
        <v>FDR-L300ASH</v>
      </c>
      <c r="B1965" s="32" t="s">
        <v>2313</v>
      </c>
      <c r="C1965" s="15" t="s">
        <v>1319</v>
      </c>
      <c r="D1965" s="18" t="str">
        <f t="shared" ref="D1965:D1967" si="18">LEFT(A1965,FIND("-",A1965) - 1)</f>
        <v>FDR</v>
      </c>
      <c r="E1965" s="15" t="s">
        <v>82</v>
      </c>
      <c r="F1965" s="18"/>
      <c r="G1965" s="4">
        <f>SUMIFS(X!$F$5:$F$2005,X!$D$5:$D$2005,'Current Stock'!A1965)</f>
        <v>7</v>
      </c>
      <c r="H1965" s="4">
        <f>SUMIFS(PENJUALAN!$E$4:$E$11000,PENJUALAN!$C$4:$C$11000,'Current Stock'!A1965)</f>
        <v>2</v>
      </c>
      <c r="I1965" s="16">
        <f t="shared" si="2"/>
        <v>5</v>
      </c>
      <c r="J1965" s="15" t="s">
        <v>2067</v>
      </c>
      <c r="K1965" s="15"/>
      <c r="L1965" s="18"/>
      <c r="M1965" s="18"/>
    </row>
    <row r="1966" ht="15.0" customHeight="1">
      <c r="A1966" s="4" t="str">
        <f t="shared" si="1"/>
        <v>TRW-L300PUASH</v>
      </c>
      <c r="B1966" s="32" t="s">
        <v>2314</v>
      </c>
      <c r="C1966" s="15" t="s">
        <v>2315</v>
      </c>
      <c r="D1966" s="18" t="str">
        <f t="shared" si="18"/>
        <v>TRW</v>
      </c>
      <c r="E1966" s="15" t="s">
        <v>82</v>
      </c>
      <c r="F1966" s="18"/>
      <c r="G1966" s="4">
        <f>SUMIFS(X!$F$5:$F$2005,X!$D$5:$D$2005,'Current Stock'!A1966)</f>
        <v>1</v>
      </c>
      <c r="H1966" s="4">
        <f>SUMIFS(PENJUALAN!$E$4:$E$11000,PENJUALAN!$C$4:$C$11000,'Current Stock'!A1966)</f>
        <v>0</v>
      </c>
      <c r="I1966" s="16">
        <f t="shared" si="2"/>
        <v>1</v>
      </c>
      <c r="J1966" s="15" t="s">
        <v>1355</v>
      </c>
      <c r="K1966" s="15"/>
      <c r="L1966" s="18"/>
      <c r="M1966" s="18"/>
    </row>
    <row r="1967" ht="15.0" customHeight="1">
      <c r="A1967" s="4" t="str">
        <f t="shared" si="1"/>
        <v>RVL-INNOVA04ASH</v>
      </c>
      <c r="B1967" s="32" t="s">
        <v>1163</v>
      </c>
      <c r="C1967" s="15" t="s">
        <v>1160</v>
      </c>
      <c r="D1967" s="18" t="str">
        <f t="shared" si="18"/>
        <v>RVL</v>
      </c>
      <c r="E1967" s="15" t="s">
        <v>82</v>
      </c>
      <c r="F1967" s="18"/>
      <c r="G1967" s="4">
        <f>SUMIFS(X!$F$5:$F$2005,X!$D$5:$D$2005,'Current Stock'!A1967)</f>
        <v>1</v>
      </c>
      <c r="H1967" s="4">
        <f>SUMIFS(PENJUALAN!$E$4:$E$11000,PENJUALAN!$C$4:$C$11000,'Current Stock'!A1967)</f>
        <v>0</v>
      </c>
      <c r="I1967" s="16">
        <f t="shared" si="2"/>
        <v>1</v>
      </c>
      <c r="J1967" s="15" t="s">
        <v>1470</v>
      </c>
      <c r="K1967" s="15"/>
      <c r="L1967" s="18"/>
      <c r="M1967" s="18"/>
    </row>
    <row r="1968" ht="15.0" customHeight="1">
      <c r="A1968" s="4" t="str">
        <f t="shared" si="1"/>
        <v>RDL-HILUX15XYG</v>
      </c>
      <c r="B1968" s="29" t="s">
        <v>2316</v>
      </c>
      <c r="C1968" s="30" t="s">
        <v>1156</v>
      </c>
      <c r="D1968" s="30" t="s">
        <v>132</v>
      </c>
      <c r="E1968" s="4" t="s">
        <v>16</v>
      </c>
      <c r="F1968" s="30"/>
      <c r="G1968" s="4">
        <f>SUMIFS(X!$F$5:$F$2005,X!$D$5:$D$2005,'Current Stock'!A1968)</f>
        <v>2</v>
      </c>
      <c r="H1968" s="4">
        <f>SUMIFS(PENJUALAN!$E$4:$E$11000,PENJUALAN!$C$4:$C$11000,'Current Stock'!A1968)</f>
        <v>1</v>
      </c>
      <c r="I1968" s="16">
        <f t="shared" si="2"/>
        <v>1</v>
      </c>
      <c r="J1968" s="15" t="s">
        <v>86</v>
      </c>
      <c r="K1968" s="15"/>
      <c r="L1968" s="4"/>
      <c r="M1968" s="4"/>
    </row>
    <row r="1969" ht="15.0" customHeight="1">
      <c r="A1969" s="4" t="str">
        <f t="shared" si="1"/>
        <v>FVL-INNOVA15ASH</v>
      </c>
      <c r="B1969" s="32" t="s">
        <v>2317</v>
      </c>
      <c r="C1969" s="15" t="s">
        <v>2318</v>
      </c>
      <c r="D1969" s="18" t="str">
        <f t="shared" ref="D1969:D1972" si="19">LEFT(A1969,FIND("-",A1969) - 1)</f>
        <v>FVL</v>
      </c>
      <c r="E1969" s="15" t="s">
        <v>82</v>
      </c>
      <c r="F1969" s="18"/>
      <c r="G1969" s="4">
        <f>SUMIFS(X!$F$5:$F$2005,X!$D$5:$D$2005,'Current Stock'!A1969)</f>
        <v>1</v>
      </c>
      <c r="H1969" s="4">
        <f>SUMIFS(PENJUALAN!$E$4:$E$11000,PENJUALAN!$C$4:$C$11000,'Current Stock'!A1969)</f>
        <v>0</v>
      </c>
      <c r="I1969" s="16">
        <f t="shared" si="2"/>
        <v>1</v>
      </c>
      <c r="J1969" s="15" t="s">
        <v>1470</v>
      </c>
      <c r="K1969" s="15"/>
      <c r="L1969" s="18"/>
      <c r="M1969" s="18"/>
    </row>
    <row r="1970" ht="15.0" customHeight="1">
      <c r="A1970" s="4" t="str">
        <f t="shared" si="1"/>
        <v>FVR-INNOVA15ASH</v>
      </c>
      <c r="B1970" s="32" t="s">
        <v>2319</v>
      </c>
      <c r="C1970" s="15" t="s">
        <v>2318</v>
      </c>
      <c r="D1970" s="18" t="str">
        <f t="shared" si="19"/>
        <v>FVR</v>
      </c>
      <c r="E1970" s="15" t="s">
        <v>82</v>
      </c>
      <c r="F1970" s="18"/>
      <c r="G1970" s="4">
        <f>SUMIFS(X!$F$5:$F$2005,X!$D$5:$D$2005,'Current Stock'!A1970)</f>
        <v>1</v>
      </c>
      <c r="H1970" s="4">
        <f>SUMIFS(PENJUALAN!$E$4:$E$11000,PENJUALAN!$C$4:$C$11000,'Current Stock'!A1970)</f>
        <v>0</v>
      </c>
      <c r="I1970" s="16">
        <f t="shared" si="2"/>
        <v>1</v>
      </c>
      <c r="J1970" s="15" t="s">
        <v>1470</v>
      </c>
      <c r="K1970" s="15"/>
      <c r="L1970" s="18"/>
      <c r="M1970" s="18"/>
    </row>
    <row r="1971" ht="15.0" customHeight="1">
      <c r="A1971" s="4" t="str">
        <f t="shared" si="1"/>
        <v>RVR-INNOVA15ASH</v>
      </c>
      <c r="B1971" s="32" t="s">
        <v>2320</v>
      </c>
      <c r="C1971" s="15" t="s">
        <v>2318</v>
      </c>
      <c r="D1971" s="18" t="str">
        <f t="shared" si="19"/>
        <v>RVR</v>
      </c>
      <c r="E1971" s="15" t="s">
        <v>82</v>
      </c>
      <c r="F1971" s="18"/>
      <c r="G1971" s="4">
        <f>SUMIFS(X!$F$5:$F$2005,X!$D$5:$D$2005,'Current Stock'!A1971)</f>
        <v>1</v>
      </c>
      <c r="H1971" s="4">
        <f>SUMIFS(PENJUALAN!$E$4:$E$11000,PENJUALAN!$C$4:$C$11000,'Current Stock'!A1971)</f>
        <v>1</v>
      </c>
      <c r="I1971" s="16">
        <f t="shared" si="2"/>
        <v>0</v>
      </c>
      <c r="J1971" s="15" t="s">
        <v>1470</v>
      </c>
      <c r="K1971" s="15"/>
      <c r="L1971" s="18"/>
      <c r="M1971" s="18"/>
    </row>
    <row r="1972" ht="15.0" customHeight="1">
      <c r="A1972" s="4" t="str">
        <f t="shared" si="1"/>
        <v>FDL-VIOS07ASH</v>
      </c>
      <c r="B1972" s="32" t="s">
        <v>2321</v>
      </c>
      <c r="C1972" s="15" t="s">
        <v>1263</v>
      </c>
      <c r="D1972" s="18" t="str">
        <f t="shared" si="19"/>
        <v>FDL</v>
      </c>
      <c r="E1972" s="15" t="s">
        <v>82</v>
      </c>
      <c r="F1972" s="18"/>
      <c r="G1972" s="4">
        <f>SUMIFS(X!$F$5:$F$2005,X!$D$5:$D$2005,'Current Stock'!A1972)</f>
        <v>1</v>
      </c>
      <c r="H1972" s="4">
        <f>SUMIFS(PENJUALAN!$E$4:$E$11000,PENJUALAN!$C$4:$C$11000,'Current Stock'!A1972)</f>
        <v>0</v>
      </c>
      <c r="I1972" s="16">
        <f t="shared" si="2"/>
        <v>1</v>
      </c>
      <c r="J1972" s="15" t="s">
        <v>719</v>
      </c>
      <c r="K1972" s="15"/>
      <c r="L1972" s="18"/>
      <c r="M1972" s="18"/>
    </row>
    <row r="1973" ht="15.0" customHeight="1">
      <c r="A1973" s="4" t="str">
        <f t="shared" si="1"/>
        <v>LFW-APVMU</v>
      </c>
      <c r="B1973" s="29" t="s">
        <v>1021</v>
      </c>
      <c r="C1973" s="28" t="s">
        <v>2322</v>
      </c>
      <c r="D1973" s="28" t="s">
        <v>22</v>
      </c>
      <c r="E1973" s="4" t="s">
        <v>1361</v>
      </c>
      <c r="F1973" s="28" t="s">
        <v>97</v>
      </c>
      <c r="G1973" s="4">
        <f>SUMIFS(X!$F$5:$F$2005,X!$D$5:$D$2005,'Current Stock'!A1973)</f>
        <v>10</v>
      </c>
      <c r="H1973" s="4">
        <f>SUMIFS(PENJUALAN!$E$4:$E$11000,PENJUALAN!$C$4:$C$11000,'Current Stock'!A1973)</f>
        <v>10</v>
      </c>
      <c r="I1973" s="16">
        <f t="shared" si="2"/>
        <v>0</v>
      </c>
      <c r="J1973" s="15" t="s">
        <v>1478</v>
      </c>
      <c r="K1973" s="15"/>
      <c r="L1973" s="5">
        <v>3.0</v>
      </c>
      <c r="M1973" s="4"/>
    </row>
    <row r="1974" ht="15.0" customHeight="1">
      <c r="A1974" s="20" t="str">
        <f t="shared" si="1"/>
        <v>FDR-AGYA13ASH</v>
      </c>
      <c r="B1974" s="24" t="s">
        <v>2323</v>
      </c>
      <c r="C1974" s="22" t="s">
        <v>85</v>
      </c>
      <c r="D1974" s="25" t="str">
        <f>LEFT(A1974,FIND("-",A1974) - 1)</f>
        <v>FDR</v>
      </c>
      <c r="E1974" s="22" t="s">
        <v>82</v>
      </c>
      <c r="F1974" s="25"/>
      <c r="G1974" s="4">
        <f>SUMIFS(X!$F$5:$F$2005,X!$D$5:$D$2005,'Current Stock'!A1974)</f>
        <v>5</v>
      </c>
      <c r="H1974" s="4">
        <f>SUMIFS(PENJUALAN!$E$4:$E$11000,PENJUALAN!$C$4:$C$11000,'Current Stock'!A1974)</f>
        <v>4</v>
      </c>
      <c r="I1974" s="16">
        <f t="shared" si="2"/>
        <v>1</v>
      </c>
      <c r="J1974" s="22" t="s">
        <v>594</v>
      </c>
      <c r="K1974" s="22"/>
      <c r="L1974" s="25"/>
      <c r="M1974" s="25"/>
    </row>
    <row r="1975" ht="15.0" customHeight="1">
      <c r="A1975" s="20" t="str">
        <f t="shared" si="1"/>
        <v>RDL-AVANZA03ASH</v>
      </c>
      <c r="B1975" s="21" t="s">
        <v>1881</v>
      </c>
      <c r="C1975" s="20" t="s">
        <v>65</v>
      </c>
      <c r="D1975" s="20" t="s">
        <v>47</v>
      </c>
      <c r="E1975" s="20" t="s">
        <v>82</v>
      </c>
      <c r="F1975" s="20"/>
      <c r="G1975" s="4">
        <f>SUMIFS(X!$F$5:$F$2005,X!$D$5:$D$2005,'Current Stock'!A1975)</f>
        <v>5</v>
      </c>
      <c r="H1975" s="4">
        <f>SUMIFS(PENJUALAN!$E$4:$E$11000,PENJUALAN!$C$4:$C$11000,'Current Stock'!A1975)</f>
        <v>3</v>
      </c>
      <c r="I1975" s="16">
        <f t="shared" si="2"/>
        <v>2</v>
      </c>
      <c r="J1975" s="22" t="s">
        <v>86</v>
      </c>
      <c r="K1975" s="22"/>
      <c r="L1975" s="23"/>
      <c r="M1975" s="20"/>
    </row>
    <row r="1976" ht="15.0" customHeight="1">
      <c r="A1976" s="4" t="str">
        <f t="shared" si="1"/>
        <v>FDL-YARIS05ASH</v>
      </c>
      <c r="B1976" s="32" t="s">
        <v>2324</v>
      </c>
      <c r="C1976" s="15" t="s">
        <v>1277</v>
      </c>
      <c r="D1976" s="18" t="str">
        <f t="shared" ref="D1976:D1977" si="20">LEFT(A1976,FIND("-",A1976) - 1)</f>
        <v>FDL</v>
      </c>
      <c r="E1976" s="15" t="s">
        <v>82</v>
      </c>
      <c r="F1976" s="18"/>
      <c r="G1976" s="4">
        <f>SUMIFS(X!$F$5:$F$2005,X!$D$5:$D$2005,'Current Stock'!A1976)</f>
        <v>1</v>
      </c>
      <c r="H1976" s="4">
        <f>SUMIFS(PENJUALAN!$E$4:$E$11000,PENJUALAN!$C$4:$C$11000,'Current Stock'!A1976)</f>
        <v>0</v>
      </c>
      <c r="I1976" s="16">
        <f t="shared" si="2"/>
        <v>1</v>
      </c>
      <c r="J1976" s="15" t="s">
        <v>1880</v>
      </c>
      <c r="K1976" s="15"/>
      <c r="L1976" s="18"/>
      <c r="M1976" s="18"/>
    </row>
    <row r="1977" ht="15.0" customHeight="1">
      <c r="A1977" s="4" t="str">
        <f t="shared" si="1"/>
        <v>FDR-YARIS05ASH</v>
      </c>
      <c r="B1977" s="32" t="s">
        <v>2325</v>
      </c>
      <c r="C1977" s="15" t="s">
        <v>1277</v>
      </c>
      <c r="D1977" s="18" t="str">
        <f t="shared" si="20"/>
        <v>FDR</v>
      </c>
      <c r="E1977" s="15" t="s">
        <v>82</v>
      </c>
      <c r="F1977" s="18"/>
      <c r="G1977" s="4">
        <f>SUMIFS(X!$F$5:$F$2005,X!$D$5:$D$2005,'Current Stock'!A1977)</f>
        <v>1</v>
      </c>
      <c r="H1977" s="4">
        <f>SUMIFS(PENJUALAN!$E$4:$E$11000,PENJUALAN!$C$4:$C$11000,'Current Stock'!A1977)</f>
        <v>0</v>
      </c>
      <c r="I1977" s="16">
        <f t="shared" si="2"/>
        <v>1</v>
      </c>
      <c r="J1977" s="15" t="s">
        <v>719</v>
      </c>
      <c r="K1977" s="15"/>
      <c r="L1977" s="18"/>
      <c r="M1977" s="18"/>
    </row>
    <row r="1978" ht="15.0" customHeight="1">
      <c r="A1978" s="20" t="str">
        <f t="shared" si="1"/>
        <v>RDL-AVANZA11ASH</v>
      </c>
      <c r="B1978" s="83" t="s">
        <v>91</v>
      </c>
      <c r="C1978" s="20" t="s">
        <v>81</v>
      </c>
      <c r="D1978" s="22" t="s">
        <v>47</v>
      </c>
      <c r="E1978" s="20" t="s">
        <v>82</v>
      </c>
      <c r="F1978" s="20"/>
      <c r="G1978" s="4">
        <f>SUMIFS(X!$F$5:$F$2005,X!$D$5:$D$2005,'Current Stock'!A1978)</f>
        <v>5</v>
      </c>
      <c r="H1978" s="4">
        <f>SUMIFS(PENJUALAN!$E$4:$E$11000,PENJUALAN!$C$4:$C$11000,'Current Stock'!A1978)</f>
        <v>3</v>
      </c>
      <c r="I1978" s="16">
        <f t="shared" si="2"/>
        <v>2</v>
      </c>
      <c r="J1978" s="22" t="s">
        <v>83</v>
      </c>
      <c r="K1978" s="22"/>
      <c r="L1978" s="23"/>
      <c r="M1978" s="20"/>
    </row>
    <row r="1979" ht="15.0" customHeight="1">
      <c r="A1979" s="4" t="str">
        <f t="shared" si="1"/>
        <v>LFW-CIVICGENIOXYG</v>
      </c>
      <c r="B1979" s="29" t="s">
        <v>378</v>
      </c>
      <c r="C1979" s="28" t="s">
        <v>379</v>
      </c>
      <c r="D1979" s="28" t="s">
        <v>22</v>
      </c>
      <c r="E1979" s="4" t="s">
        <v>16</v>
      </c>
      <c r="F1979" s="28" t="s">
        <v>125</v>
      </c>
      <c r="G1979" s="4">
        <f>SUMIFS(X!$F$5:$F$2005,X!$D$5:$D$2005,'Current Stock'!A1979)</f>
        <v>3</v>
      </c>
      <c r="H1979" s="4">
        <f>SUMIFS(PENJUALAN!$E$4:$E$11000,PENJUALAN!$C$4:$C$11000,'Current Stock'!A1979)</f>
        <v>1</v>
      </c>
      <c r="I1979" s="16">
        <f t="shared" si="2"/>
        <v>2</v>
      </c>
      <c r="J1979" s="15" t="s">
        <v>1432</v>
      </c>
      <c r="K1979" s="15"/>
      <c r="L1979" s="4"/>
      <c r="M1979" s="4"/>
    </row>
    <row r="1980" ht="15.0" customHeight="1">
      <c r="A1980" s="20" t="str">
        <f t="shared" si="1"/>
        <v>RDL-GRANMAXASH</v>
      </c>
      <c r="B1980" s="24" t="s">
        <v>2326</v>
      </c>
      <c r="C1980" s="22" t="s">
        <v>275</v>
      </c>
      <c r="D1980" s="25" t="str">
        <f t="shared" ref="D1980:D1983" si="21">LEFT(A1980,FIND("-",A1980) - 1)</f>
        <v>RDL</v>
      </c>
      <c r="E1980" s="22" t="s">
        <v>82</v>
      </c>
      <c r="F1980" s="25"/>
      <c r="G1980" s="4">
        <f>SUMIFS(X!$F$5:$F$2005,X!$D$5:$D$2005,'Current Stock'!A1980)</f>
        <v>11</v>
      </c>
      <c r="H1980" s="4">
        <f>SUMIFS(PENJUALAN!$E$4:$E$11000,PENJUALAN!$C$4:$C$11000,'Current Stock'!A1980)</f>
        <v>9</v>
      </c>
      <c r="I1980" s="16">
        <f t="shared" si="2"/>
        <v>2</v>
      </c>
      <c r="J1980" s="22" t="s">
        <v>2327</v>
      </c>
      <c r="K1980" s="22"/>
      <c r="L1980" s="25"/>
      <c r="M1980" s="84" t="s">
        <v>2328</v>
      </c>
    </row>
    <row r="1981" ht="15.0" customHeight="1">
      <c r="A1981" s="20" t="str">
        <f t="shared" si="1"/>
        <v>RDR-GRANMAXASH</v>
      </c>
      <c r="B1981" s="24" t="s">
        <v>2329</v>
      </c>
      <c r="C1981" s="22" t="s">
        <v>275</v>
      </c>
      <c r="D1981" s="25" t="str">
        <f t="shared" si="21"/>
        <v>RDR</v>
      </c>
      <c r="E1981" s="22" t="s">
        <v>82</v>
      </c>
      <c r="F1981" s="25"/>
      <c r="G1981" s="4">
        <f>SUMIFS(X!$F$5:$F$2005,X!$D$5:$D$2005,'Current Stock'!A1981)</f>
        <v>10</v>
      </c>
      <c r="H1981" s="4">
        <f>SUMIFS(PENJUALAN!$E$4:$E$11000,PENJUALAN!$C$4:$C$11000,'Current Stock'!A1981)</f>
        <v>9</v>
      </c>
      <c r="I1981" s="16">
        <f t="shared" si="2"/>
        <v>1</v>
      </c>
      <c r="J1981" s="22" t="s">
        <v>2327</v>
      </c>
      <c r="K1981" s="22"/>
      <c r="L1981" s="25"/>
      <c r="M1981" s="25"/>
    </row>
    <row r="1982" ht="15.0" customHeight="1">
      <c r="A1982" s="20" t="str">
        <f t="shared" si="1"/>
        <v>SWL-GRANMAXASH</v>
      </c>
      <c r="B1982" s="24" t="s">
        <v>2330</v>
      </c>
      <c r="C1982" s="22" t="s">
        <v>2331</v>
      </c>
      <c r="D1982" s="25" t="str">
        <f t="shared" si="21"/>
        <v>SWL</v>
      </c>
      <c r="E1982" s="22" t="s">
        <v>82</v>
      </c>
      <c r="F1982" s="25"/>
      <c r="G1982" s="4">
        <f>SUMIFS(X!$F$5:$F$2005,X!$D$5:$D$2005,'Current Stock'!A1982)</f>
        <v>10</v>
      </c>
      <c r="H1982" s="4">
        <f>SUMIFS(PENJUALAN!$E$4:$E$11000,PENJUALAN!$C$4:$C$11000,'Current Stock'!A1982)</f>
        <v>8</v>
      </c>
      <c r="I1982" s="16">
        <f t="shared" si="2"/>
        <v>2</v>
      </c>
      <c r="J1982" s="22" t="s">
        <v>2241</v>
      </c>
      <c r="K1982" s="22"/>
      <c r="L1982" s="25"/>
      <c r="M1982" s="25"/>
    </row>
    <row r="1983" ht="15.0" customHeight="1">
      <c r="A1983" s="20" t="str">
        <f t="shared" si="1"/>
        <v>SWR-GRANMAXASH</v>
      </c>
      <c r="B1983" s="24" t="s">
        <v>2332</v>
      </c>
      <c r="C1983" s="22" t="s">
        <v>2331</v>
      </c>
      <c r="D1983" s="25" t="str">
        <f t="shared" si="21"/>
        <v>SWR</v>
      </c>
      <c r="E1983" s="22" t="s">
        <v>82</v>
      </c>
      <c r="F1983" s="25"/>
      <c r="G1983" s="4">
        <f>SUMIFS(X!$F$5:$F$2005,X!$D$5:$D$2005,'Current Stock'!A1983)</f>
        <v>10</v>
      </c>
      <c r="H1983" s="4">
        <f>SUMIFS(PENJUALAN!$E$4:$E$11000,PENJUALAN!$C$4:$C$11000,'Current Stock'!A1983)</f>
        <v>9</v>
      </c>
      <c r="I1983" s="16">
        <f t="shared" si="2"/>
        <v>1</v>
      </c>
      <c r="J1983" s="22" t="s">
        <v>2241</v>
      </c>
      <c r="K1983" s="22"/>
      <c r="L1983" s="25"/>
      <c r="M1983" s="25"/>
    </row>
    <row r="1984" ht="15.0" customHeight="1">
      <c r="A1984" s="4" t="str">
        <f t="shared" si="1"/>
        <v>TRW-CIVIC96XYG</v>
      </c>
      <c r="B1984" s="29" t="s">
        <v>384</v>
      </c>
      <c r="C1984" s="28" t="s">
        <v>383</v>
      </c>
      <c r="D1984" s="28" t="s">
        <v>41</v>
      </c>
      <c r="E1984" s="4" t="s">
        <v>16</v>
      </c>
      <c r="F1984" s="28" t="s">
        <v>67</v>
      </c>
      <c r="G1984" s="4">
        <f>SUMIFS(X!$F$5:$F$2005,X!$D$5:$D$2005,'Current Stock'!A1984)</f>
        <v>2</v>
      </c>
      <c r="H1984" s="4">
        <f>SUMIFS(PENJUALAN!$E$4:$E$11000,PENJUALAN!$C$4:$C$11000,'Current Stock'!A1984)</f>
        <v>2</v>
      </c>
      <c r="I1984" s="16">
        <f t="shared" si="2"/>
        <v>0</v>
      </c>
      <c r="J1984" s="15" t="s">
        <v>1711</v>
      </c>
      <c r="K1984" s="15"/>
      <c r="L1984" s="4"/>
      <c r="M1984" s="4"/>
    </row>
    <row r="1985" ht="15.0" customHeight="1">
      <c r="A1985" s="20" t="str">
        <f t="shared" si="1"/>
        <v>FDR-AVANZA03ASH</v>
      </c>
      <c r="B1985" s="24" t="s">
        <v>2175</v>
      </c>
      <c r="C1985" s="22" t="s">
        <v>65</v>
      </c>
      <c r="D1985" s="25" t="str">
        <f>LEFT(A1985,FIND("-",A1985) - 1)</f>
        <v>FDR</v>
      </c>
      <c r="E1985" s="22" t="s">
        <v>82</v>
      </c>
      <c r="F1985" s="25"/>
      <c r="G1985" s="4">
        <f>SUMIFS(X!$F$5:$F$2005,X!$D$5:$D$2005,'Current Stock'!A1985)</f>
        <v>10</v>
      </c>
      <c r="H1985" s="4">
        <f>SUMIFS(PENJUALAN!$E$4:$E$11000,PENJUALAN!$C$4:$C$11000,'Current Stock'!A1985)</f>
        <v>9</v>
      </c>
      <c r="I1985" s="16">
        <f t="shared" si="2"/>
        <v>1</v>
      </c>
      <c r="J1985" s="22" t="s">
        <v>1880</v>
      </c>
      <c r="K1985" s="22"/>
      <c r="L1985" s="25"/>
      <c r="M1985" s="25"/>
    </row>
    <row r="1986" ht="15.0" customHeight="1">
      <c r="A1986" s="4" t="str">
        <f t="shared" si="1"/>
        <v>SWR-CRV02XYG</v>
      </c>
      <c r="B1986" s="29" t="s">
        <v>427</v>
      </c>
      <c r="C1986" s="28" t="s">
        <v>423</v>
      </c>
      <c r="D1986" s="28" t="s">
        <v>236</v>
      </c>
      <c r="E1986" s="4" t="s">
        <v>16</v>
      </c>
      <c r="F1986" s="28" t="s">
        <v>97</v>
      </c>
      <c r="G1986" s="4">
        <f>SUMIFS(X!$F$5:$F$2005,X!$D$5:$D$2005,'Current Stock'!A1986)</f>
        <v>3</v>
      </c>
      <c r="H1986" s="4">
        <f>SUMIFS(PENJUALAN!$E$4:$E$11000,PENJUALAN!$C$4:$C$11000,'Current Stock'!A1986)</f>
        <v>1</v>
      </c>
      <c r="I1986" s="16">
        <f t="shared" si="2"/>
        <v>2</v>
      </c>
      <c r="J1986" s="15" t="s">
        <v>1391</v>
      </c>
      <c r="K1986" s="15"/>
      <c r="L1986" s="4"/>
      <c r="M1986" s="4"/>
    </row>
    <row r="1987" ht="15.0" customHeight="1">
      <c r="A1987" s="4" t="str">
        <f t="shared" si="1"/>
        <v>TRW-MOBILIOXYG</v>
      </c>
      <c r="B1987" s="29" t="s">
        <v>2333</v>
      </c>
      <c r="C1987" s="33" t="s">
        <v>2334</v>
      </c>
      <c r="D1987" s="28" t="s">
        <v>41</v>
      </c>
      <c r="E1987" s="4" t="s">
        <v>16</v>
      </c>
      <c r="F1987" s="28" t="s">
        <v>97</v>
      </c>
      <c r="G1987" s="4">
        <f>SUMIFS(X!$F$5:$F$2005,X!$D$5:$D$2005,'Current Stock'!A1987)</f>
        <v>8</v>
      </c>
      <c r="H1987" s="4">
        <f>SUMIFS(PENJUALAN!$E$4:$E$11000,PENJUALAN!$C$4:$C$11000,'Current Stock'!A1987)</f>
        <v>7</v>
      </c>
      <c r="I1987" s="16">
        <f t="shared" si="2"/>
        <v>1</v>
      </c>
      <c r="J1987" s="15" t="s">
        <v>1422</v>
      </c>
      <c r="K1987" s="15"/>
      <c r="L1987" s="4"/>
      <c r="M1987" s="4"/>
    </row>
    <row r="1988" ht="15.0" customHeight="1">
      <c r="A1988" s="4" t="str">
        <f t="shared" si="1"/>
        <v>LFW-ODYSSEY99XYG</v>
      </c>
      <c r="B1988" s="29" t="s">
        <v>480</v>
      </c>
      <c r="C1988" s="28" t="s">
        <v>481</v>
      </c>
      <c r="D1988" s="28" t="s">
        <v>22</v>
      </c>
      <c r="E1988" s="4" t="s">
        <v>16</v>
      </c>
      <c r="F1988" s="28" t="s">
        <v>125</v>
      </c>
      <c r="G1988" s="4">
        <f>SUMIFS(X!$F$5:$F$2005,X!$D$5:$D$2005,'Current Stock'!A1988)</f>
        <v>3</v>
      </c>
      <c r="H1988" s="4">
        <f>SUMIFS(PENJUALAN!$E$4:$E$11000,PENJUALAN!$C$4:$C$11000,'Current Stock'!A1988)</f>
        <v>1</v>
      </c>
      <c r="I1988" s="16">
        <f t="shared" si="2"/>
        <v>2</v>
      </c>
      <c r="J1988" s="15" t="s">
        <v>2085</v>
      </c>
      <c r="K1988" s="15"/>
      <c r="L1988" s="4"/>
      <c r="M1988" s="4"/>
    </row>
    <row r="1989" ht="15.0" customHeight="1">
      <c r="A1989" s="20" t="str">
        <f t="shared" si="1"/>
        <v>FDR-AVANZA11ASH</v>
      </c>
      <c r="B1989" s="24" t="s">
        <v>94</v>
      </c>
      <c r="C1989" s="22" t="s">
        <v>1472</v>
      </c>
      <c r="D1989" s="25" t="str">
        <f>LEFT(A1989,FIND("-",A1989) - 1)</f>
        <v>FDR</v>
      </c>
      <c r="E1989" s="22" t="s">
        <v>82</v>
      </c>
      <c r="F1989" s="25"/>
      <c r="G1989" s="4">
        <f>SUMIFS(X!$F$5:$F$2005,X!$D$5:$D$2005,'Current Stock'!A1989)</f>
        <v>10</v>
      </c>
      <c r="H1989" s="4">
        <f>SUMIFS(PENJUALAN!$E$4:$E$11000,PENJUALAN!$C$4:$C$11000,'Current Stock'!A1989)</f>
        <v>10</v>
      </c>
      <c r="I1989" s="16">
        <f t="shared" si="2"/>
        <v>0</v>
      </c>
      <c r="J1989" s="22" t="s">
        <v>1880</v>
      </c>
      <c r="K1989" s="22"/>
      <c r="L1989" s="25"/>
      <c r="M1989" s="25"/>
    </row>
    <row r="1990" ht="15.0" customHeight="1">
      <c r="A1990" s="20" t="str">
        <f t="shared" si="1"/>
        <v>FDL-AVANZA21ASH</v>
      </c>
      <c r="B1990" s="24" t="s">
        <v>2335</v>
      </c>
      <c r="C1990" s="22" t="s">
        <v>1503</v>
      </c>
      <c r="D1990" s="22" t="s">
        <v>93</v>
      </c>
      <c r="E1990" s="22" t="s">
        <v>82</v>
      </c>
      <c r="F1990" s="25"/>
      <c r="G1990" s="4">
        <f>SUMIFS(X!$F$5:$F$2005,X!$D$5:$D$2005,'Current Stock'!A1990)</f>
        <v>5</v>
      </c>
      <c r="H1990" s="4">
        <f>SUMIFS(PENJUALAN!$E$4:$E$11000,PENJUALAN!$C$4:$C$11000,'Current Stock'!A1990)</f>
        <v>4</v>
      </c>
      <c r="I1990" s="16">
        <f t="shared" si="2"/>
        <v>1</v>
      </c>
      <c r="J1990" s="22" t="s">
        <v>2327</v>
      </c>
      <c r="K1990" s="22"/>
      <c r="L1990" s="25"/>
      <c r="M1990" s="25"/>
    </row>
    <row r="1991" ht="15.0" customHeight="1">
      <c r="A1991" s="20" t="str">
        <f t="shared" si="1"/>
        <v>FDR-AVANZA21ASH</v>
      </c>
      <c r="B1991" s="24" t="s">
        <v>2336</v>
      </c>
      <c r="C1991" s="22" t="s">
        <v>1503</v>
      </c>
      <c r="D1991" s="22" t="s">
        <v>45</v>
      </c>
      <c r="E1991" s="22" t="s">
        <v>82</v>
      </c>
      <c r="F1991" s="25"/>
      <c r="G1991" s="4">
        <f>SUMIFS(X!$F$5:$F$2005,X!$D$5:$D$2005,'Current Stock'!A1991)</f>
        <v>5</v>
      </c>
      <c r="H1991" s="4">
        <f>SUMIFS(PENJUALAN!$E$4:$E$11000,PENJUALAN!$C$4:$C$11000,'Current Stock'!A1991)</f>
        <v>5</v>
      </c>
      <c r="I1991" s="16">
        <f t="shared" si="2"/>
        <v>0</v>
      </c>
      <c r="J1991" s="22" t="s">
        <v>2133</v>
      </c>
      <c r="K1991" s="22"/>
      <c r="L1991" s="25"/>
      <c r="M1991" s="25"/>
    </row>
    <row r="1992" ht="15.0" customHeight="1">
      <c r="A1992" s="4" t="str">
        <f t="shared" si="1"/>
        <v>LFW-ODYSSEY09XYG</v>
      </c>
      <c r="B1992" s="29" t="s">
        <v>492</v>
      </c>
      <c r="C1992" s="28" t="s">
        <v>493</v>
      </c>
      <c r="D1992" s="28" t="s">
        <v>22</v>
      </c>
      <c r="E1992" s="4" t="s">
        <v>16</v>
      </c>
      <c r="F1992" s="28" t="s">
        <v>125</v>
      </c>
      <c r="G1992" s="4">
        <f>SUMIFS(X!$F$5:$F$2005,X!$D$5:$D$2005,'Current Stock'!A1992)</f>
        <v>2</v>
      </c>
      <c r="H1992" s="4">
        <f>SUMIFS(PENJUALAN!$E$4:$E$11000,PENJUALAN!$C$4:$C$11000,'Current Stock'!A1992)</f>
        <v>1</v>
      </c>
      <c r="I1992" s="16">
        <f t="shared" si="2"/>
        <v>1</v>
      </c>
      <c r="J1992" s="15" t="s">
        <v>2085</v>
      </c>
      <c r="K1992" s="15"/>
      <c r="L1992" s="4"/>
      <c r="M1992" s="4"/>
    </row>
    <row r="1993" ht="15.0" customHeight="1">
      <c r="A1993" s="4" t="str">
        <f t="shared" si="1"/>
        <v>LFW-W169XYG</v>
      </c>
      <c r="B1993" s="41" t="s">
        <v>1545</v>
      </c>
      <c r="C1993" s="28" t="s">
        <v>1631</v>
      </c>
      <c r="D1993" s="28" t="s">
        <v>22</v>
      </c>
      <c r="E1993" s="4" t="s">
        <v>16</v>
      </c>
      <c r="F1993" s="28" t="s">
        <v>1547</v>
      </c>
      <c r="G1993" s="4">
        <f>SUMIFS(X!$F$5:$F$2005,X!$D$5:$D$2005,'Current Stock'!A1993)</f>
        <v>1</v>
      </c>
      <c r="H1993" s="4">
        <f>SUMIFS(PENJUALAN!$E$4:$E$11000,PENJUALAN!$C$4:$C$11000,'Current Stock'!A1993)</f>
        <v>1</v>
      </c>
      <c r="I1993" s="16">
        <f t="shared" si="2"/>
        <v>0</v>
      </c>
      <c r="J1993" s="4"/>
      <c r="K1993" s="4"/>
      <c r="L1993" s="4"/>
      <c r="M1993" s="4"/>
    </row>
    <row r="1994" ht="15.0" customHeight="1">
      <c r="A1994" s="4" t="str">
        <f t="shared" si="1"/>
        <v>LFW-W176XYG</v>
      </c>
      <c r="B1994" s="29" t="s">
        <v>774</v>
      </c>
      <c r="C1994" s="28" t="s">
        <v>775</v>
      </c>
      <c r="D1994" s="28" t="s">
        <v>22</v>
      </c>
      <c r="E1994" s="4" t="s">
        <v>16</v>
      </c>
      <c r="F1994" s="28" t="s">
        <v>23</v>
      </c>
      <c r="G1994" s="4">
        <f>SUMIFS(X!$F$5:$F$2005,X!$D$5:$D$2005,'Current Stock'!A1994)</f>
        <v>1</v>
      </c>
      <c r="H1994" s="4">
        <f>SUMIFS(PENJUALAN!$E$4:$E$11000,PENJUALAN!$C$4:$C$11000,'Current Stock'!A1994)</f>
        <v>1</v>
      </c>
      <c r="I1994" s="16">
        <f t="shared" si="2"/>
        <v>0</v>
      </c>
      <c r="J1994" s="4"/>
      <c r="K1994" s="4"/>
      <c r="L1994" s="4"/>
      <c r="M1994" s="4"/>
    </row>
    <row r="1995" ht="15.0" customHeight="1">
      <c r="A1995" s="4" t="str">
        <f t="shared" si="1"/>
        <v>LFW-COROLLA95XYG</v>
      </c>
      <c r="B1995" s="29" t="s">
        <v>1972</v>
      </c>
      <c r="C1995" s="28" t="s">
        <v>1125</v>
      </c>
      <c r="D1995" s="28" t="s">
        <v>22</v>
      </c>
      <c r="E1995" s="4" t="s">
        <v>16</v>
      </c>
      <c r="F1995" s="28" t="s">
        <v>97</v>
      </c>
      <c r="G1995" s="4">
        <f>SUMIFS(X!$F$5:$F$2005,X!$D$5:$D$2005,'Current Stock'!A1995)</f>
        <v>1</v>
      </c>
      <c r="H1995" s="4">
        <f>SUMIFS(PENJUALAN!$E$4:$E$11000,PENJUALAN!$C$4:$C$11000,'Current Stock'!A1995)</f>
        <v>1</v>
      </c>
      <c r="I1995" s="16">
        <f t="shared" si="2"/>
        <v>0</v>
      </c>
      <c r="J1995" s="4"/>
      <c r="K1995" s="4"/>
      <c r="L1995" s="4"/>
      <c r="M1995" s="4"/>
    </row>
    <row r="1996" ht="15.0" customHeight="1">
      <c r="A1996" s="4" t="str">
        <f t="shared" si="1"/>
        <v>LFW-LIVINA07MU</v>
      </c>
      <c r="B1996" s="29" t="s">
        <v>934</v>
      </c>
      <c r="C1996" s="28" t="s">
        <v>935</v>
      </c>
      <c r="D1996" s="28" t="s">
        <v>22</v>
      </c>
      <c r="E1996" s="4" t="s">
        <v>1361</v>
      </c>
      <c r="F1996" s="28" t="s">
        <v>125</v>
      </c>
      <c r="G1996" s="4">
        <f>SUMIFS(X!$F$5:$F$2005,X!$D$5:$D$2005,'Current Stock'!A1996)</f>
        <v>14</v>
      </c>
      <c r="H1996" s="4">
        <f>SUMIFS(PENJUALAN!$E$4:$E$11000,PENJUALAN!$C$4:$C$11000,'Current Stock'!A1996)</f>
        <v>14</v>
      </c>
      <c r="I1996" s="16">
        <f t="shared" si="2"/>
        <v>0</v>
      </c>
      <c r="J1996" s="15" t="s">
        <v>1716</v>
      </c>
      <c r="K1996" s="15"/>
      <c r="L1996" s="5">
        <v>3.0</v>
      </c>
      <c r="M1996" s="4"/>
    </row>
    <row r="1997" ht="15.0" customHeight="1">
      <c r="A1997" s="20" t="str">
        <f t="shared" si="1"/>
        <v>FDL-DYNAASH</v>
      </c>
      <c r="B1997" s="24" t="s">
        <v>2141</v>
      </c>
      <c r="C1997" s="22" t="s">
        <v>1381</v>
      </c>
      <c r="D1997" s="22" t="str">
        <f>LEFT(A1997,FIND("-",A1997) - 1)</f>
        <v>FDL</v>
      </c>
      <c r="E1997" s="22" t="s">
        <v>82</v>
      </c>
      <c r="F1997" s="25"/>
      <c r="G1997" s="4">
        <f>SUMIFS(X!$F$5:$F$2005,X!$D$5:$D$2005,'Current Stock'!A1997)</f>
        <v>5</v>
      </c>
      <c r="H1997" s="4">
        <f>SUMIFS(PENJUALAN!$E$4:$E$11000,PENJUALAN!$C$4:$C$11000,'Current Stock'!A1997)</f>
        <v>5</v>
      </c>
      <c r="I1997" s="16">
        <f t="shared" si="2"/>
        <v>0</v>
      </c>
      <c r="J1997" s="22" t="s">
        <v>2241</v>
      </c>
      <c r="K1997" s="22"/>
      <c r="L1997" s="25"/>
      <c r="M1997" s="25"/>
    </row>
    <row r="1998" ht="15.0" customHeight="1">
      <c r="A1998" s="4" t="str">
        <f t="shared" si="1"/>
        <v>LFW-TERRANOMU</v>
      </c>
      <c r="B1998" s="29" t="s">
        <v>2337</v>
      </c>
      <c r="C1998" s="30" t="s">
        <v>2338</v>
      </c>
      <c r="D1998" s="30" t="s">
        <v>22</v>
      </c>
      <c r="E1998" s="4" t="s">
        <v>1361</v>
      </c>
      <c r="F1998" s="28"/>
      <c r="G1998" s="4">
        <f>SUMIFS(X!$F$5:$F$2005,X!$D$5:$D$2005,'Current Stock'!A1998)</f>
        <v>7</v>
      </c>
      <c r="H1998" s="4">
        <f>SUMIFS(PENJUALAN!$E$4:$E$11000,PENJUALAN!$C$4:$C$11000,'Current Stock'!A1998)</f>
        <v>6</v>
      </c>
      <c r="I1998" s="16">
        <f t="shared" si="2"/>
        <v>1</v>
      </c>
      <c r="J1998" s="15" t="s">
        <v>1716</v>
      </c>
      <c r="K1998" s="15"/>
      <c r="L1998" s="5">
        <v>1.0</v>
      </c>
      <c r="M1998" s="15" t="s">
        <v>2339</v>
      </c>
    </row>
    <row r="1999" ht="15.0" customHeight="1">
      <c r="A1999" s="4" t="str">
        <f t="shared" si="1"/>
        <v>LFW-T30MU</v>
      </c>
      <c r="B1999" s="29" t="s">
        <v>982</v>
      </c>
      <c r="C1999" s="28" t="s">
        <v>983</v>
      </c>
      <c r="D1999" s="28" t="s">
        <v>22</v>
      </c>
      <c r="E1999" s="4" t="s">
        <v>1361</v>
      </c>
      <c r="F1999" s="28" t="s">
        <v>97</v>
      </c>
      <c r="G1999" s="4">
        <f>SUMIFS(X!$F$5:$F$2005,X!$D$5:$D$2005,'Current Stock'!A1999)</f>
        <v>7</v>
      </c>
      <c r="H1999" s="4">
        <f>SUMIFS(PENJUALAN!$E$4:$E$11000,PENJUALAN!$C$4:$C$11000,'Current Stock'!A1999)</f>
        <v>7</v>
      </c>
      <c r="I1999" s="16">
        <f t="shared" si="2"/>
        <v>0</v>
      </c>
      <c r="J1999" s="15" t="s">
        <v>1792</v>
      </c>
      <c r="K1999" s="15"/>
      <c r="L1999" s="5">
        <v>1.0</v>
      </c>
      <c r="M1999" s="15"/>
    </row>
    <row r="2000" ht="15.0" customHeight="1">
      <c r="A2000" s="4" t="str">
        <f t="shared" si="1"/>
        <v>LFW-JUKEMU</v>
      </c>
      <c r="B2000" s="29" t="s">
        <v>927</v>
      </c>
      <c r="C2000" s="30" t="s">
        <v>928</v>
      </c>
      <c r="D2000" s="30" t="s">
        <v>22</v>
      </c>
      <c r="E2000" s="4" t="s">
        <v>1361</v>
      </c>
      <c r="F2000" s="28"/>
      <c r="G2000" s="4">
        <f>SUMIFS(X!$F$5:$F$2005,X!$D$5:$D$2005,'Current Stock'!A2000)</f>
        <v>5</v>
      </c>
      <c r="H2000" s="4">
        <f>SUMIFS(PENJUALAN!$E$4:$E$11000,PENJUALAN!$C$4:$C$11000,'Current Stock'!A2000)</f>
        <v>5</v>
      </c>
      <c r="I2000" s="16">
        <f t="shared" si="2"/>
        <v>0</v>
      </c>
      <c r="J2000" s="15" t="s">
        <v>1714</v>
      </c>
      <c r="K2000" s="15"/>
      <c r="L2000" s="5">
        <v>1.0</v>
      </c>
      <c r="M2000" s="4"/>
    </row>
    <row r="2001" ht="15.0" customHeight="1">
      <c r="A2001" s="4" t="str">
        <f t="shared" si="1"/>
        <v>SWL-INNOVA04ASH</v>
      </c>
      <c r="B2001" s="32" t="s">
        <v>2340</v>
      </c>
      <c r="C2001" s="28" t="s">
        <v>1160</v>
      </c>
      <c r="D2001" s="15" t="s">
        <v>1434</v>
      </c>
      <c r="E2001" s="15" t="s">
        <v>82</v>
      </c>
      <c r="F2001" s="15" t="s">
        <v>97</v>
      </c>
      <c r="G2001" s="4">
        <f>SUMIFS(X!$F$5:$F$2005,X!$D$5:$D$2005,'Current Stock'!A2001)</f>
        <v>5</v>
      </c>
      <c r="H2001" s="4">
        <f>SUMIFS(PENJUALAN!$E$4:$E$11000,PENJUALAN!$C$4:$C$11000,'Current Stock'!A2001)</f>
        <v>0</v>
      </c>
      <c r="I2001" s="16">
        <f t="shared" si="2"/>
        <v>5</v>
      </c>
      <c r="J2001" s="15" t="s">
        <v>1355</v>
      </c>
      <c r="K2001" s="15"/>
      <c r="L2001" s="18"/>
      <c r="M2001" s="18"/>
    </row>
    <row r="2002" ht="15.0" customHeight="1">
      <c r="A2002" s="4" t="str">
        <f t="shared" si="1"/>
        <v>LFW-T31MU</v>
      </c>
      <c r="B2002" s="29" t="s">
        <v>990</v>
      </c>
      <c r="C2002" s="28" t="s">
        <v>991</v>
      </c>
      <c r="D2002" s="28" t="s">
        <v>22</v>
      </c>
      <c r="E2002" s="4" t="s">
        <v>1361</v>
      </c>
      <c r="F2002" s="28" t="s">
        <v>1721</v>
      </c>
      <c r="G2002" s="4">
        <f>SUMIFS(X!$F$5:$F$2005,X!$D$5:$D$2005,'Current Stock'!A2002)</f>
        <v>5</v>
      </c>
      <c r="H2002" s="4">
        <f>SUMIFS(PENJUALAN!$E$4:$E$11000,PENJUALAN!$C$4:$C$11000,'Current Stock'!A2002)</f>
        <v>5</v>
      </c>
      <c r="I2002" s="16">
        <f t="shared" si="2"/>
        <v>0</v>
      </c>
      <c r="J2002" s="15" t="s">
        <v>1544</v>
      </c>
      <c r="K2002" s="15"/>
      <c r="L2002" s="5">
        <v>1.0</v>
      </c>
      <c r="M2002" s="15"/>
    </row>
    <row r="2003" ht="15.0" customHeight="1">
      <c r="A2003" s="4" t="str">
        <f t="shared" si="1"/>
        <v>SWL-INNOVA04AGC</v>
      </c>
      <c r="B2003" s="32" t="s">
        <v>2340</v>
      </c>
      <c r="C2003" s="77" t="s">
        <v>1853</v>
      </c>
      <c r="D2003" s="15" t="s">
        <v>1434</v>
      </c>
      <c r="E2003" s="15" t="s">
        <v>78</v>
      </c>
      <c r="F2003" s="22" t="s">
        <v>97</v>
      </c>
      <c r="G2003" s="4">
        <f>SUMIFS(X!$F$5:$F$2005,X!$D$5:$D$2005,'Current Stock'!A2003)</f>
        <v>1</v>
      </c>
      <c r="H2003" s="4">
        <f>SUMIFS(PENJUALAN!$E$4:$E$11000,PENJUALAN!$C$4:$C$11000,'Current Stock'!A2003)</f>
        <v>0</v>
      </c>
      <c r="I2003" s="16">
        <f t="shared" si="2"/>
        <v>1</v>
      </c>
      <c r="J2003" s="22" t="s">
        <v>1355</v>
      </c>
      <c r="K2003" s="22"/>
      <c r="L2003" s="25"/>
      <c r="M2003" s="25"/>
    </row>
    <row r="2004" ht="15.0" customHeight="1">
      <c r="A2004" s="4" t="str">
        <f t="shared" si="1"/>
        <v>SWR-INNOVA04AGC</v>
      </c>
      <c r="B2004" s="24" t="s">
        <v>1426</v>
      </c>
      <c r="C2004" s="77" t="s">
        <v>1853</v>
      </c>
      <c r="D2004" s="22" t="s">
        <v>104</v>
      </c>
      <c r="E2004" s="22" t="s">
        <v>78</v>
      </c>
      <c r="F2004" s="22" t="s">
        <v>97</v>
      </c>
      <c r="G2004" s="4">
        <f>SUMIFS(X!$F$5:$F$2005,X!$D$5:$D$2005,'Current Stock'!A2004)</f>
        <v>0</v>
      </c>
      <c r="H2004" s="4">
        <f>SUMIFS(PENJUALAN!$E$4:$E$11000,PENJUALAN!$C$4:$C$11000,'Current Stock'!A2004)</f>
        <v>0</v>
      </c>
      <c r="I2004" s="16">
        <f t="shared" si="2"/>
        <v>0</v>
      </c>
      <c r="J2004" s="22"/>
      <c r="K2004" s="22"/>
      <c r="L2004" s="25"/>
      <c r="M2004" s="25"/>
    </row>
    <row r="2005" ht="15.0" customHeight="1">
      <c r="A2005" s="4" t="str">
        <f t="shared" si="1"/>
        <v>LFW-NAVARA97MU</v>
      </c>
      <c r="B2005" s="29" t="s">
        <v>2341</v>
      </c>
      <c r="C2005" s="30" t="s">
        <v>923</v>
      </c>
      <c r="D2005" s="30" t="s">
        <v>22</v>
      </c>
      <c r="E2005" s="4" t="s">
        <v>1361</v>
      </c>
      <c r="F2005" s="28"/>
      <c r="G2005" s="4">
        <f>SUMIFS(X!$F$5:$F$2005,X!$D$5:$D$2005,'Current Stock'!A2005)</f>
        <v>2</v>
      </c>
      <c r="H2005" s="4">
        <f>SUMIFS(PENJUALAN!$E$4:$E$11000,PENJUALAN!$C$4:$C$11000,'Current Stock'!A2005)</f>
        <v>2</v>
      </c>
      <c r="I2005" s="16">
        <f t="shared" si="2"/>
        <v>0</v>
      </c>
      <c r="J2005" s="82"/>
      <c r="K2005" s="4"/>
      <c r="L2005" s="5">
        <v>1.0</v>
      </c>
      <c r="M2005" s="4"/>
    </row>
    <row r="2006" ht="15.0" customHeight="1">
      <c r="A2006" s="20" t="str">
        <f t="shared" si="1"/>
        <v>FDR-FE700ASH</v>
      </c>
      <c r="B2006" s="24" t="s">
        <v>2342</v>
      </c>
      <c r="C2006" s="22" t="s">
        <v>1311</v>
      </c>
      <c r="D2006" s="25" t="str">
        <f t="shared" ref="D2006:D2013" si="22">LEFT(A2006,FIND("-",A2006) - 1)</f>
        <v>FDR</v>
      </c>
      <c r="E2006" s="22" t="s">
        <v>82</v>
      </c>
      <c r="F2006" s="25"/>
      <c r="G2006" s="4">
        <f>SUMIFS(X!$F$5:$F$2005,X!$D$5:$D$2005,'Current Stock'!A2006)</f>
        <v>5</v>
      </c>
      <c r="H2006" s="4">
        <f>SUMIFS(PENJUALAN!$E$4:$E$11000,PENJUALAN!$C$4:$C$11000,'Current Stock'!A2006)</f>
        <v>4</v>
      </c>
      <c r="I2006" s="16">
        <f t="shared" si="2"/>
        <v>1</v>
      </c>
      <c r="J2006" s="22" t="s">
        <v>1382</v>
      </c>
      <c r="K2006" s="22"/>
      <c r="L2006" s="25"/>
      <c r="M2006" s="22" t="s">
        <v>2343</v>
      </c>
    </row>
    <row r="2007" ht="15.0" customHeight="1">
      <c r="A2007" s="20" t="str">
        <f t="shared" si="1"/>
        <v>FDL-ELFNMRASH</v>
      </c>
      <c r="B2007" s="24" t="s">
        <v>2344</v>
      </c>
      <c r="C2007" s="22" t="s">
        <v>1498</v>
      </c>
      <c r="D2007" s="25" t="str">
        <f t="shared" si="22"/>
        <v>FDL</v>
      </c>
      <c r="E2007" s="22" t="s">
        <v>82</v>
      </c>
      <c r="F2007" s="25"/>
      <c r="G2007" s="4">
        <f>SUMIFS(X!$F$5:$F$2005,X!$D$5:$D$2005,'Current Stock'!A2007)</f>
        <v>5</v>
      </c>
      <c r="H2007" s="4">
        <f>SUMIFS(PENJUALAN!$E$4:$E$11000,PENJUALAN!$C$4:$C$11000,'Current Stock'!A2007)</f>
        <v>5</v>
      </c>
      <c r="I2007" s="16">
        <f t="shared" si="2"/>
        <v>0</v>
      </c>
      <c r="J2007" s="22" t="s">
        <v>1499</v>
      </c>
      <c r="K2007" s="22"/>
      <c r="L2007" s="25"/>
      <c r="M2007" s="25"/>
    </row>
    <row r="2008" ht="15.0" customHeight="1">
      <c r="A2008" s="4" t="str">
        <f t="shared" si="1"/>
        <v>LFW-HRV14PIL</v>
      </c>
      <c r="B2008" s="29" t="s">
        <v>459</v>
      </c>
      <c r="C2008" s="33" t="s">
        <v>2229</v>
      </c>
      <c r="D2008" s="28" t="str">
        <f t="shared" si="22"/>
        <v>LFW</v>
      </c>
      <c r="E2008" s="15" t="s">
        <v>74</v>
      </c>
      <c r="F2008" s="33" t="s">
        <v>79</v>
      </c>
      <c r="G2008" s="4">
        <f>SUMIFS(X!$F$5:$F$2005,X!$D$5:$D$2005,'Current Stock'!A2008)</f>
        <v>8</v>
      </c>
      <c r="H2008" s="4">
        <f>SUMIFS(PENJUALAN!$E$4:$E$11000,PENJUALAN!$C$4:$C$11000,'Current Stock'!A2008)</f>
        <v>8</v>
      </c>
      <c r="I2008" s="16">
        <f t="shared" si="2"/>
        <v>0</v>
      </c>
      <c r="J2008" s="15" t="s">
        <v>2345</v>
      </c>
      <c r="K2008" s="15"/>
      <c r="L2008" s="18"/>
      <c r="M2008" s="18"/>
    </row>
    <row r="2009" ht="15.0" customHeight="1">
      <c r="A2009" s="4" t="str">
        <f t="shared" si="1"/>
        <v>LFW-HRV14AGC</v>
      </c>
      <c r="B2009" s="29" t="s">
        <v>459</v>
      </c>
      <c r="C2009" s="33" t="s">
        <v>2229</v>
      </c>
      <c r="D2009" s="28" t="str">
        <f t="shared" si="22"/>
        <v>LFW</v>
      </c>
      <c r="E2009" s="15" t="s">
        <v>78</v>
      </c>
      <c r="F2009" s="33" t="s">
        <v>2346</v>
      </c>
      <c r="G2009" s="4">
        <f>SUMIFS(X!$F$5:$F$2005,X!$D$5:$D$2005,'Current Stock'!A2009)</f>
        <v>3</v>
      </c>
      <c r="H2009" s="4">
        <f>SUMIFS(PENJUALAN!$E$4:$E$11000,PENJUALAN!$C$4:$C$11000,'Current Stock'!A2009)</f>
        <v>1</v>
      </c>
      <c r="I2009" s="16">
        <f t="shared" si="2"/>
        <v>2</v>
      </c>
      <c r="J2009" s="15" t="s">
        <v>2345</v>
      </c>
      <c r="K2009" s="15"/>
      <c r="L2009" s="18"/>
      <c r="M2009" s="18"/>
    </row>
    <row r="2010" ht="15.0" customHeight="1">
      <c r="A2010" s="4" t="str">
        <f t="shared" si="1"/>
        <v>LFW-INNOVA15PIL</v>
      </c>
      <c r="B2010" s="15" t="s">
        <v>1166</v>
      </c>
      <c r="C2010" s="15" t="s">
        <v>1167</v>
      </c>
      <c r="D2010" s="15" t="str">
        <f t="shared" si="22"/>
        <v>LFW</v>
      </c>
      <c r="E2010" s="15" t="s">
        <v>74</v>
      </c>
      <c r="F2010" s="15" t="s">
        <v>2347</v>
      </c>
      <c r="G2010" s="4">
        <f>SUMIFS(X!$F$5:$F$2005,X!$D$5:$D$2005,'Current Stock'!A2010)</f>
        <v>4</v>
      </c>
      <c r="H2010" s="4">
        <f>SUMIFS(PENJUALAN!$E$4:$E$11000,PENJUALAN!$C$4:$C$11000,'Current Stock'!A2010)</f>
        <v>4</v>
      </c>
      <c r="I2010" s="16">
        <f t="shared" si="2"/>
        <v>0</v>
      </c>
      <c r="J2010" s="15" t="s">
        <v>1487</v>
      </c>
      <c r="K2010" s="15"/>
      <c r="L2010" s="18"/>
      <c r="M2010" s="18"/>
    </row>
    <row r="2011" ht="15.0" customHeight="1">
      <c r="A2011" s="4" t="str">
        <f t="shared" si="1"/>
        <v>TRW-DATSUN3AGC</v>
      </c>
      <c r="B2011" s="15" t="s">
        <v>2348</v>
      </c>
      <c r="C2011" s="15" t="s">
        <v>2349</v>
      </c>
      <c r="D2011" s="15" t="str">
        <f t="shared" si="22"/>
        <v>TRW</v>
      </c>
      <c r="E2011" s="15" t="s">
        <v>78</v>
      </c>
      <c r="F2011" s="15" t="s">
        <v>97</v>
      </c>
      <c r="G2011" s="4">
        <f>SUMIFS(X!$F$5:$F$2005,X!$D$5:$D$2005,'Current Stock'!A2011)</f>
        <v>2</v>
      </c>
      <c r="H2011" s="4">
        <f>SUMIFS(PENJUALAN!$E$4:$E$11000,PENJUALAN!$C$4:$C$11000,'Current Stock'!A2011)</f>
        <v>2</v>
      </c>
      <c r="I2011" s="16">
        <f t="shared" si="2"/>
        <v>0</v>
      </c>
      <c r="J2011" s="15" t="s">
        <v>1567</v>
      </c>
      <c r="K2011" s="15"/>
      <c r="L2011" s="18"/>
      <c r="M2011" s="18"/>
    </row>
    <row r="2012" ht="15.0" customHeight="1">
      <c r="A2012" s="4" t="str">
        <f t="shared" si="1"/>
        <v>TRW-FORTUNER05MSG</v>
      </c>
      <c r="B2012" s="15" t="s">
        <v>1130</v>
      </c>
      <c r="C2012" s="28" t="s">
        <v>1129</v>
      </c>
      <c r="D2012" s="15" t="str">
        <f t="shared" si="22"/>
        <v>TRW</v>
      </c>
      <c r="E2012" s="15" t="s">
        <v>42</v>
      </c>
      <c r="F2012" s="15" t="s">
        <v>108</v>
      </c>
      <c r="G2012" s="4">
        <f>SUMIFS(X!$F$5:$F$2005,X!$D$5:$D$2005,'Current Stock'!A2012)</f>
        <v>2</v>
      </c>
      <c r="H2012" s="4">
        <f>SUMIFS(PENJUALAN!$E$4:$E$11000,PENJUALAN!$C$4:$C$11000,'Current Stock'!A2012)</f>
        <v>2</v>
      </c>
      <c r="I2012" s="16">
        <f t="shared" si="2"/>
        <v>0</v>
      </c>
      <c r="J2012" s="15" t="s">
        <v>1884</v>
      </c>
      <c r="K2012" s="15"/>
      <c r="L2012" s="18"/>
      <c r="M2012" s="18"/>
    </row>
    <row r="2013" ht="15.0" customHeight="1">
      <c r="A2013" s="20" t="str">
        <f t="shared" si="1"/>
        <v>SWR-FORTUNER15ASH</v>
      </c>
      <c r="B2013" s="24" t="s">
        <v>2350</v>
      </c>
      <c r="C2013" s="22" t="s">
        <v>2224</v>
      </c>
      <c r="D2013" s="25" t="str">
        <f t="shared" si="22"/>
        <v>SWR</v>
      </c>
      <c r="E2013" s="22" t="s">
        <v>82</v>
      </c>
      <c r="F2013" s="25"/>
      <c r="G2013" s="4">
        <f>SUMIFS(X!$F$5:$F$2005,X!$D$5:$D$2005,'Current Stock'!A2013)</f>
        <v>7</v>
      </c>
      <c r="H2013" s="4">
        <f>SUMIFS(PENJUALAN!$E$4:$E$11000,PENJUALAN!$C$4:$C$11000,'Current Stock'!A2013)</f>
        <v>2</v>
      </c>
      <c r="I2013" s="16">
        <f t="shared" si="2"/>
        <v>5</v>
      </c>
      <c r="J2013" s="22" t="s">
        <v>1882</v>
      </c>
      <c r="K2013" s="22"/>
      <c r="L2013" s="25"/>
      <c r="M2013" s="25"/>
    </row>
    <row r="2014" ht="15.0" customHeight="1">
      <c r="A2014" s="4" t="str">
        <f t="shared" si="1"/>
        <v>LFW-HIACE19FR</v>
      </c>
      <c r="B2014" s="15" t="s">
        <v>1907</v>
      </c>
      <c r="C2014" s="78" t="s">
        <v>1900</v>
      </c>
      <c r="D2014" s="15" t="s">
        <v>22</v>
      </c>
      <c r="E2014" s="15" t="s">
        <v>1449</v>
      </c>
      <c r="F2014" s="27" t="s">
        <v>125</v>
      </c>
      <c r="G2014" s="4">
        <f>SUMIFS(X!$F$5:$F$2005,X!$D$5:$D$2005,'Current Stock'!A2014)</f>
        <v>1</v>
      </c>
      <c r="H2014" s="4">
        <f>SUMIFS(PENJUALAN!$E$4:$E$11000,PENJUALAN!$C$4:$C$11000,'Current Stock'!A2014)</f>
        <v>1</v>
      </c>
      <c r="I2014" s="16">
        <f t="shared" si="2"/>
        <v>0</v>
      </c>
      <c r="J2014" s="15" t="s">
        <v>2351</v>
      </c>
      <c r="K2014" s="15"/>
      <c r="L2014" s="18"/>
      <c r="M2014" s="18"/>
    </row>
    <row r="2015" ht="15.0" customHeight="1">
      <c r="A2015" s="20" t="str">
        <f t="shared" si="1"/>
        <v>FDL-ELFNKRASH</v>
      </c>
      <c r="B2015" s="24" t="s">
        <v>2352</v>
      </c>
      <c r="C2015" s="22" t="s">
        <v>2190</v>
      </c>
      <c r="D2015" s="25" t="str">
        <f>LEFT(A2015,FIND("-",A2015) - 1)</f>
        <v>FDL</v>
      </c>
      <c r="E2015" s="22" t="s">
        <v>82</v>
      </c>
      <c r="F2015" s="25"/>
      <c r="G2015" s="4">
        <f>SUMIFS(X!$F$5:$F$2005,X!$D$5:$D$2005,'Current Stock'!A2015)</f>
        <v>6</v>
      </c>
      <c r="H2015" s="4">
        <f>SUMIFS(PENJUALAN!$E$4:$E$11000,PENJUALAN!$C$4:$C$11000,'Current Stock'!A2015)</f>
        <v>5</v>
      </c>
      <c r="I2015" s="16">
        <f t="shared" si="2"/>
        <v>1</v>
      </c>
      <c r="J2015" s="22" t="s">
        <v>1382</v>
      </c>
      <c r="K2015" s="22"/>
      <c r="L2015" s="25"/>
      <c r="M2015" s="25"/>
    </row>
    <row r="2016" ht="15.0" customHeight="1">
      <c r="A2016" s="4" t="str">
        <f t="shared" si="1"/>
        <v>TRW-YARIS05FR</v>
      </c>
      <c r="B2016" s="15" t="s">
        <v>1278</v>
      </c>
      <c r="C2016" s="15" t="s">
        <v>1277</v>
      </c>
      <c r="D2016" s="15" t="s">
        <v>41</v>
      </c>
      <c r="E2016" s="15" t="s">
        <v>1449</v>
      </c>
      <c r="F2016" s="15" t="s">
        <v>2193</v>
      </c>
      <c r="G2016" s="4">
        <f>SUMIFS(X!$F$5:$F$2005,X!$D$5:$D$2005,'Current Stock'!A2016)</f>
        <v>1</v>
      </c>
      <c r="H2016" s="4">
        <f>SUMIFS(PENJUALAN!$E$4:$E$11000,PENJUALAN!$C$4:$C$11000,'Current Stock'!A2016)</f>
        <v>1</v>
      </c>
      <c r="I2016" s="16">
        <f t="shared" si="2"/>
        <v>0</v>
      </c>
      <c r="J2016" s="15" t="s">
        <v>1884</v>
      </c>
      <c r="K2016" s="15"/>
      <c r="L2016" s="18"/>
      <c r="M2016" s="18"/>
    </row>
    <row r="2017" ht="15.0" customHeight="1">
      <c r="A2017" s="20" t="str">
        <f t="shared" si="1"/>
        <v>RDR-HILUX05ASH</v>
      </c>
      <c r="B2017" s="24" t="s">
        <v>2353</v>
      </c>
      <c r="C2017" s="22" t="s">
        <v>1154</v>
      </c>
      <c r="D2017" s="25" t="str">
        <f t="shared" ref="D2017:D2025" si="23">LEFT(A2017,FIND("-",A2017) - 1)</f>
        <v>RDR</v>
      </c>
      <c r="E2017" s="22" t="s">
        <v>82</v>
      </c>
      <c r="F2017" s="25"/>
      <c r="G2017" s="4">
        <f>SUMIFS(X!$F$5:$F$2005,X!$D$5:$D$2005,'Current Stock'!A2017)</f>
        <v>2</v>
      </c>
      <c r="H2017" s="4">
        <f>SUMIFS(PENJUALAN!$E$4:$E$11000,PENJUALAN!$C$4:$C$11000,'Current Stock'!A2017)</f>
        <v>1</v>
      </c>
      <c r="I2017" s="16">
        <f t="shared" si="2"/>
        <v>1</v>
      </c>
      <c r="J2017" s="22" t="s">
        <v>1882</v>
      </c>
      <c r="K2017" s="22"/>
      <c r="L2017" s="25"/>
      <c r="M2017" s="25"/>
    </row>
    <row r="2018" ht="15.0" customHeight="1">
      <c r="A2018" s="20" t="str">
        <f t="shared" si="1"/>
        <v>FDL-FORTUNER15ASH</v>
      </c>
      <c r="B2018" s="24" t="s">
        <v>2354</v>
      </c>
      <c r="C2018" s="22" t="s">
        <v>2355</v>
      </c>
      <c r="D2018" s="25" t="str">
        <f t="shared" si="23"/>
        <v>FDL</v>
      </c>
      <c r="E2018" s="22" t="s">
        <v>82</v>
      </c>
      <c r="F2018" s="25"/>
      <c r="G2018" s="4">
        <f>SUMIFS(X!$F$5:$F$2005,X!$D$5:$D$2005,'Current Stock'!A2018)</f>
        <v>2</v>
      </c>
      <c r="H2018" s="4">
        <f>SUMIFS(PENJUALAN!$E$4:$E$11000,PENJUALAN!$C$4:$C$11000,'Current Stock'!A2018)</f>
        <v>2</v>
      </c>
      <c r="I2018" s="16">
        <f t="shared" si="2"/>
        <v>0</v>
      </c>
      <c r="J2018" s="22" t="s">
        <v>1882</v>
      </c>
      <c r="K2018" s="22"/>
      <c r="L2018" s="25"/>
      <c r="M2018" s="25"/>
    </row>
    <row r="2019" ht="15.0" customHeight="1">
      <c r="A2019" s="4" t="str">
        <f t="shared" si="1"/>
        <v>RDL-FORTUNER15ASH</v>
      </c>
      <c r="B2019" s="32" t="s">
        <v>1142</v>
      </c>
      <c r="C2019" s="15" t="s">
        <v>2224</v>
      </c>
      <c r="D2019" s="18" t="str">
        <f t="shared" si="23"/>
        <v>RDL</v>
      </c>
      <c r="E2019" s="15" t="s">
        <v>82</v>
      </c>
      <c r="F2019" s="18"/>
      <c r="G2019" s="4">
        <f>SUMIFS(X!$F$5:$F$2005,X!$D$5:$D$2005,'Current Stock'!A2019)</f>
        <v>2</v>
      </c>
      <c r="H2019" s="4">
        <f>SUMIFS(PENJUALAN!$E$4:$E$11000,PENJUALAN!$C$4:$C$11000,'Current Stock'!A2019)</f>
        <v>2</v>
      </c>
      <c r="I2019" s="16">
        <f t="shared" si="2"/>
        <v>0</v>
      </c>
      <c r="J2019" s="15" t="s">
        <v>1882</v>
      </c>
      <c r="K2019" s="15"/>
      <c r="L2019" s="18"/>
      <c r="M2019" s="18"/>
    </row>
    <row r="2020" ht="15.0" customHeight="1">
      <c r="A2020" s="20" t="str">
        <f t="shared" si="1"/>
        <v>RVL-FORTUNER15ASH</v>
      </c>
      <c r="B2020" s="24" t="s">
        <v>2356</v>
      </c>
      <c r="C2020" s="22" t="s">
        <v>2224</v>
      </c>
      <c r="D2020" s="25" t="str">
        <f t="shared" si="23"/>
        <v>RVL</v>
      </c>
      <c r="E2020" s="22" t="s">
        <v>82</v>
      </c>
      <c r="F2020" s="25"/>
      <c r="G2020" s="4">
        <f>SUMIFS(X!$F$5:$F$2005,X!$D$5:$D$2005,'Current Stock'!A2020)</f>
        <v>2</v>
      </c>
      <c r="H2020" s="4">
        <f>SUMIFS(PENJUALAN!$E$4:$E$11000,PENJUALAN!$C$4:$C$11000,'Current Stock'!A2020)</f>
        <v>1</v>
      </c>
      <c r="I2020" s="16">
        <f t="shared" si="2"/>
        <v>1</v>
      </c>
      <c r="J2020" s="22" t="s">
        <v>1470</v>
      </c>
      <c r="K2020" s="22"/>
      <c r="L2020" s="25"/>
      <c r="M2020" s="25"/>
    </row>
    <row r="2021" ht="15.0" customHeight="1">
      <c r="A2021" s="20" t="str">
        <f t="shared" si="1"/>
        <v>TRW-CRV17PIL</v>
      </c>
      <c r="B2021" s="22" t="s">
        <v>445</v>
      </c>
      <c r="C2021" s="22" t="s">
        <v>2357</v>
      </c>
      <c r="D2021" s="25" t="str">
        <f t="shared" si="23"/>
        <v>TRW</v>
      </c>
      <c r="E2021" s="22" t="s">
        <v>74</v>
      </c>
      <c r="F2021" s="22" t="s">
        <v>2358</v>
      </c>
      <c r="G2021" s="4">
        <f>SUMIFS(X!$F$5:$F$2005,X!$D$5:$D$2005,'Current Stock'!A2021)</f>
        <v>6</v>
      </c>
      <c r="H2021" s="4">
        <f>SUMIFS(PENJUALAN!$E$4:$E$11000,PENJUALAN!$C$4:$C$11000,'Current Stock'!A2021)</f>
        <v>5</v>
      </c>
      <c r="I2021" s="16">
        <f t="shared" si="2"/>
        <v>1</v>
      </c>
      <c r="J2021" s="22" t="s">
        <v>1459</v>
      </c>
      <c r="K2021" s="22"/>
      <c r="L2021" s="25"/>
      <c r="M2021" s="25"/>
    </row>
    <row r="2022" ht="15.0" customHeight="1">
      <c r="A2022" s="20" t="str">
        <f t="shared" si="1"/>
        <v>RVR-FORTUNER15ASH</v>
      </c>
      <c r="B2022" s="24" t="s">
        <v>2359</v>
      </c>
      <c r="C2022" s="22" t="s">
        <v>2224</v>
      </c>
      <c r="D2022" s="25" t="str">
        <f t="shared" si="23"/>
        <v>RVR</v>
      </c>
      <c r="E2022" s="22" t="s">
        <v>82</v>
      </c>
      <c r="F2022" s="25"/>
      <c r="G2022" s="4">
        <f>SUMIFS(X!$F$5:$F$2005,X!$D$5:$D$2005,'Current Stock'!A2022)</f>
        <v>2</v>
      </c>
      <c r="H2022" s="4">
        <f>SUMIFS(PENJUALAN!$E$4:$E$11000,PENJUALAN!$C$4:$C$11000,'Current Stock'!A2022)</f>
        <v>1</v>
      </c>
      <c r="I2022" s="16">
        <f t="shared" si="2"/>
        <v>1</v>
      </c>
      <c r="J2022" s="22" t="s">
        <v>1470</v>
      </c>
      <c r="K2022" s="22"/>
      <c r="L2022" s="25"/>
      <c r="M2022" s="25"/>
    </row>
    <row r="2023" ht="15.0" customHeight="1">
      <c r="A2023" s="4" t="str">
        <f t="shared" si="1"/>
        <v>RDR-CRV12ASH</v>
      </c>
      <c r="B2023" s="32" t="s">
        <v>68</v>
      </c>
      <c r="C2023" s="15" t="s">
        <v>69</v>
      </c>
      <c r="D2023" s="18" t="str">
        <f t="shared" si="23"/>
        <v>RDR</v>
      </c>
      <c r="E2023" s="15" t="s">
        <v>82</v>
      </c>
      <c r="F2023" s="18"/>
      <c r="G2023" s="4">
        <f>SUMIFS(X!$F$5:$F$2005,X!$D$5:$D$2005,'Current Stock'!A2023)</f>
        <v>1</v>
      </c>
      <c r="H2023" s="4">
        <f>SUMIFS(PENJUALAN!$E$4:$E$11000,PENJUALAN!$C$4:$C$11000,'Current Stock'!A2023)</f>
        <v>1</v>
      </c>
      <c r="I2023" s="16">
        <f t="shared" si="2"/>
        <v>0</v>
      </c>
      <c r="J2023" s="15" t="s">
        <v>2067</v>
      </c>
      <c r="K2023" s="15"/>
      <c r="L2023" s="18"/>
      <c r="M2023" s="18"/>
    </row>
    <row r="2024" ht="15.0" customHeight="1">
      <c r="A2024" s="20" t="str">
        <f t="shared" si="1"/>
        <v>RDL-RUSH17ASH</v>
      </c>
      <c r="B2024" s="24" t="s">
        <v>2360</v>
      </c>
      <c r="C2024" s="22" t="s">
        <v>1713</v>
      </c>
      <c r="D2024" s="25" t="str">
        <f t="shared" si="23"/>
        <v>RDL</v>
      </c>
      <c r="E2024" s="22" t="s">
        <v>82</v>
      </c>
      <c r="F2024" s="25"/>
      <c r="G2024" s="4">
        <f>SUMIFS(X!$F$5:$F$2005,X!$D$5:$D$2005,'Current Stock'!A2024)</f>
        <v>2</v>
      </c>
      <c r="H2024" s="4">
        <f>SUMIFS(PENJUALAN!$E$4:$E$11000,PENJUALAN!$C$4:$C$11000,'Current Stock'!A2024)</f>
        <v>1</v>
      </c>
      <c r="I2024" s="16">
        <f t="shared" si="2"/>
        <v>1</v>
      </c>
      <c r="J2024" s="22" t="s">
        <v>1431</v>
      </c>
      <c r="K2024" s="22"/>
      <c r="L2024" s="25"/>
      <c r="M2024" s="25"/>
    </row>
    <row r="2025" ht="15.0" customHeight="1">
      <c r="A2025" s="4" t="str">
        <f t="shared" si="1"/>
        <v>RDL-TERIOS06ASH</v>
      </c>
      <c r="B2025" s="32" t="s">
        <v>2361</v>
      </c>
      <c r="C2025" s="15" t="s">
        <v>1244</v>
      </c>
      <c r="D2025" s="18" t="str">
        <f t="shared" si="23"/>
        <v>RDL</v>
      </c>
      <c r="E2025" s="15" t="s">
        <v>82</v>
      </c>
      <c r="F2025" s="18"/>
      <c r="G2025" s="4">
        <f>SUMIFS(X!$F$5:$F$2005,X!$D$5:$D$2005,'Current Stock'!A2025)</f>
        <v>2</v>
      </c>
      <c r="H2025" s="4">
        <f>SUMIFS(PENJUALAN!$E$4:$E$11000,PENJUALAN!$C$4:$C$11000,'Current Stock'!A2025)</f>
        <v>1</v>
      </c>
      <c r="I2025" s="16">
        <f t="shared" si="2"/>
        <v>1</v>
      </c>
      <c r="J2025" s="15" t="s">
        <v>1882</v>
      </c>
      <c r="K2025" s="15"/>
      <c r="L2025" s="18"/>
      <c r="M2025" s="18"/>
    </row>
    <row r="2026" ht="15.0" customHeight="1">
      <c r="A2026" s="20" t="str">
        <f t="shared" si="1"/>
        <v>TRW-ALPHARD08BLACKFR</v>
      </c>
      <c r="B2026" s="22" t="s">
        <v>1052</v>
      </c>
      <c r="C2026" s="22" t="s">
        <v>1053</v>
      </c>
      <c r="D2026" s="22" t="s">
        <v>41</v>
      </c>
      <c r="E2026" s="22" t="s">
        <v>1449</v>
      </c>
      <c r="F2026" s="22" t="s">
        <v>2193</v>
      </c>
      <c r="G2026" s="4">
        <f>SUMIFS(X!$F$5:$F$2005,X!$D$5:$D$2005,'Current Stock'!A2026)</f>
        <v>8</v>
      </c>
      <c r="H2026" s="4">
        <f>SUMIFS(PENJUALAN!$E$4:$E$11000,PENJUALAN!$C$4:$C$11000,'Current Stock'!A2026)</f>
        <v>8</v>
      </c>
      <c r="I2026" s="16">
        <f t="shared" si="2"/>
        <v>0</v>
      </c>
      <c r="J2026" s="22" t="s">
        <v>1711</v>
      </c>
      <c r="K2026" s="22"/>
      <c r="L2026" s="25"/>
      <c r="M2026" s="22" t="s">
        <v>1913</v>
      </c>
    </row>
    <row r="2027" ht="15.0" customHeight="1">
      <c r="A2027" s="4" t="str">
        <f t="shared" si="1"/>
        <v>TRW-ELFNKRASH</v>
      </c>
      <c r="B2027" s="15" t="s">
        <v>2362</v>
      </c>
      <c r="C2027" s="15" t="s">
        <v>2190</v>
      </c>
      <c r="D2027" s="15" t="s">
        <v>41</v>
      </c>
      <c r="E2027" s="15" t="s">
        <v>82</v>
      </c>
      <c r="F2027" s="18"/>
      <c r="G2027" s="4">
        <f>SUMIFS(X!$F$5:$F$2005,X!$D$5:$D$2005,'Current Stock'!A2027)</f>
        <v>0</v>
      </c>
      <c r="H2027" s="4">
        <f>SUMIFS(PENJUALAN!$E$4:$E$11000,PENJUALAN!$C$4:$C$11000,'Current Stock'!A2027)</f>
        <v>0</v>
      </c>
      <c r="I2027" s="16">
        <f t="shared" si="2"/>
        <v>0</v>
      </c>
      <c r="J2027" s="18"/>
      <c r="K2027" s="18"/>
      <c r="L2027" s="18"/>
      <c r="M2027" s="18"/>
    </row>
    <row r="2028" ht="15.0" customHeight="1">
      <c r="A2028" s="4" t="str">
        <f t="shared" si="1"/>
        <v>TRW-CAMRY11PIL</v>
      </c>
      <c r="B2028" s="15" t="s">
        <v>1116</v>
      </c>
      <c r="C2028" s="15" t="s">
        <v>2363</v>
      </c>
      <c r="D2028" s="15" t="s">
        <v>41</v>
      </c>
      <c r="E2028" s="15" t="s">
        <v>74</v>
      </c>
      <c r="F2028" s="15" t="s">
        <v>67</v>
      </c>
      <c r="G2028" s="4">
        <f>SUMIFS(X!$F$5:$F$2005,X!$D$5:$D$2005,'Current Stock'!A2028)</f>
        <v>2</v>
      </c>
      <c r="H2028" s="4">
        <f>SUMIFS(PENJUALAN!$E$4:$E$11000,PENJUALAN!$C$4:$C$11000,'Current Stock'!A2028)</f>
        <v>0</v>
      </c>
      <c r="I2028" s="16">
        <f t="shared" si="2"/>
        <v>2</v>
      </c>
      <c r="J2028" s="15" t="s">
        <v>1378</v>
      </c>
      <c r="K2028" s="15"/>
      <c r="L2028" s="18"/>
      <c r="M2028" s="18"/>
    </row>
    <row r="2029" ht="15.0" customHeight="1">
      <c r="A2029" s="4" t="str">
        <f t="shared" si="1"/>
        <v>LFW-NAVARA04PIL</v>
      </c>
      <c r="B2029" s="15" t="s">
        <v>924</v>
      </c>
      <c r="C2029" s="15" t="s">
        <v>925</v>
      </c>
      <c r="D2029" s="15" t="s">
        <v>22</v>
      </c>
      <c r="E2029" s="15" t="s">
        <v>74</v>
      </c>
      <c r="F2029" s="18"/>
      <c r="G2029" s="4">
        <f>SUMIFS(X!$F$5:$F$2005,X!$D$5:$D$2005,'Current Stock'!A2029)</f>
        <v>1</v>
      </c>
      <c r="H2029" s="4">
        <f>SUMIFS(PENJUALAN!$E$4:$E$11000,PENJUALAN!$C$4:$C$11000,'Current Stock'!A2029)</f>
        <v>0</v>
      </c>
      <c r="I2029" s="16">
        <f t="shared" si="2"/>
        <v>1</v>
      </c>
      <c r="J2029" s="15" t="s">
        <v>1544</v>
      </c>
      <c r="K2029" s="15"/>
      <c r="L2029" s="18"/>
      <c r="M2029" s="18"/>
    </row>
    <row r="2030" ht="15.0" customHeight="1">
      <c r="A2030" s="4" t="str">
        <f t="shared" si="1"/>
        <v>TRW-CX7XYG</v>
      </c>
      <c r="B2030" s="31" t="s">
        <v>758</v>
      </c>
      <c r="C2030" s="33" t="s">
        <v>759</v>
      </c>
      <c r="D2030" s="33" t="s">
        <v>41</v>
      </c>
      <c r="E2030" s="15" t="s">
        <v>16</v>
      </c>
      <c r="F2030" s="33" t="s">
        <v>2364</v>
      </c>
      <c r="G2030" s="4">
        <f>SUMIFS(X!$F$5:$F$2005,X!$D$5:$D$2005,'Current Stock'!A2030)</f>
        <v>2</v>
      </c>
      <c r="H2030" s="4">
        <f>SUMIFS(PENJUALAN!$E$4:$E$11000,PENJUALAN!$C$4:$C$11000,'Current Stock'!A2030)</f>
        <v>1</v>
      </c>
      <c r="I2030" s="16">
        <f t="shared" si="2"/>
        <v>1</v>
      </c>
      <c r="J2030" s="15" t="s">
        <v>139</v>
      </c>
      <c r="K2030" s="15"/>
      <c r="L2030" s="4"/>
      <c r="M2030" s="4"/>
    </row>
    <row r="2031" ht="15.0" customHeight="1">
      <c r="A2031" s="4" t="str">
        <f t="shared" si="1"/>
        <v>LFW-CX9GEN1XYG</v>
      </c>
      <c r="B2031" s="29" t="s">
        <v>766</v>
      </c>
      <c r="C2031" s="28" t="s">
        <v>767</v>
      </c>
      <c r="D2031" s="28" t="s">
        <v>22</v>
      </c>
      <c r="E2031" s="4" t="s">
        <v>16</v>
      </c>
      <c r="F2031" s="28" t="s">
        <v>189</v>
      </c>
      <c r="G2031" s="4">
        <f>SUMIFS(X!$F$5:$F$2005,X!$D$5:$D$2005,'Current Stock'!A2031)</f>
        <v>1</v>
      </c>
      <c r="H2031" s="4">
        <f>SUMIFS(PENJUALAN!$E$4:$E$11000,PENJUALAN!$C$4:$C$11000,'Current Stock'!A2031)</f>
        <v>1</v>
      </c>
      <c r="I2031" s="16">
        <f t="shared" si="2"/>
        <v>0</v>
      </c>
      <c r="J2031" s="4"/>
      <c r="K2031" s="4"/>
      <c r="L2031" s="4"/>
      <c r="M2031" s="4"/>
    </row>
    <row r="2032" ht="15.0" customHeight="1">
      <c r="A2032" s="4" t="str">
        <f t="shared" si="1"/>
        <v>LFW-TRITON14MU</v>
      </c>
      <c r="B2032" s="29" t="s">
        <v>889</v>
      </c>
      <c r="C2032" s="28" t="s">
        <v>890</v>
      </c>
      <c r="D2032" s="28" t="s">
        <v>22</v>
      </c>
      <c r="E2032" s="4" t="s">
        <v>1361</v>
      </c>
      <c r="F2032" s="28" t="s">
        <v>125</v>
      </c>
      <c r="G2032" s="4">
        <f>SUMIFS(X!$F$5:$F$2005,X!$D$5:$D$2005,'Current Stock'!A2032)</f>
        <v>10</v>
      </c>
      <c r="H2032" s="4">
        <f>SUMIFS(PENJUALAN!$E$4:$E$11000,PENJUALAN!$C$4:$C$11000,'Current Stock'!A2032)</f>
        <v>10</v>
      </c>
      <c r="I2032" s="16">
        <f t="shared" si="2"/>
        <v>0</v>
      </c>
      <c r="J2032" s="15" t="s">
        <v>1692</v>
      </c>
      <c r="K2032" s="15"/>
      <c r="L2032" s="4"/>
      <c r="M2032" s="4"/>
    </row>
    <row r="2033" ht="15.0" customHeight="1">
      <c r="A2033" s="4" t="str">
        <f t="shared" si="1"/>
        <v>LFW-BRIOAGC</v>
      </c>
      <c r="B2033" s="14" t="s">
        <v>356</v>
      </c>
      <c r="C2033" s="28" t="s">
        <v>357</v>
      </c>
      <c r="D2033" s="4" t="s">
        <v>22</v>
      </c>
      <c r="E2033" s="15" t="s">
        <v>78</v>
      </c>
      <c r="F2033" s="15" t="s">
        <v>90</v>
      </c>
      <c r="G2033" s="4">
        <f>SUMIFS(X!$F$5:$F$2005,X!$D$5:$D$2005,'Current Stock'!A2033)</f>
        <v>34</v>
      </c>
      <c r="H2033" s="4">
        <f>SUMIFS(PENJUALAN!$E$4:$E$11000,PENJUALAN!$C$4:$C$11000,'Current Stock'!A2033)</f>
        <v>32</v>
      </c>
      <c r="I2033" s="16">
        <f t="shared" si="2"/>
        <v>2</v>
      </c>
      <c r="J2033" s="15" t="s">
        <v>1475</v>
      </c>
      <c r="K2033" s="15"/>
      <c r="L2033" s="5"/>
      <c r="M2033" s="4"/>
    </row>
    <row r="2034" ht="15.0" customHeight="1">
      <c r="A2034" s="4" t="str">
        <f t="shared" si="1"/>
        <v>TRW-MOBILIOAGC</v>
      </c>
      <c r="B2034" s="19" t="s">
        <v>2333</v>
      </c>
      <c r="C2034" s="33" t="s">
        <v>2365</v>
      </c>
      <c r="D2034" s="15" t="s">
        <v>41</v>
      </c>
      <c r="E2034" s="15" t="s">
        <v>78</v>
      </c>
      <c r="F2034" s="15" t="s">
        <v>90</v>
      </c>
      <c r="G2034" s="4">
        <f>SUMIFS(X!$F$5:$F$2005,X!$D$5:$D$2005,'Current Stock'!A2034)</f>
        <v>2</v>
      </c>
      <c r="H2034" s="4">
        <f>SUMIFS(PENJUALAN!$E$4:$E$11000,PENJUALAN!$C$4:$C$11000,'Current Stock'!A2034)</f>
        <v>2</v>
      </c>
      <c r="I2034" s="16">
        <f t="shared" si="2"/>
        <v>0</v>
      </c>
      <c r="J2034" s="15"/>
      <c r="K2034" s="15"/>
      <c r="L2034" s="5"/>
      <c r="M2034" s="4"/>
    </row>
    <row r="2035" ht="15.0" customHeight="1">
      <c r="A2035" s="20" t="str">
        <f t="shared" si="1"/>
        <v>LFW-AVANZA21RSASH</v>
      </c>
      <c r="B2035" s="22" t="s">
        <v>2366</v>
      </c>
      <c r="C2035" s="22" t="s">
        <v>2367</v>
      </c>
      <c r="D2035" s="22" t="s">
        <v>22</v>
      </c>
      <c r="E2035" s="22" t="s">
        <v>82</v>
      </c>
      <c r="F2035" s="22" t="s">
        <v>189</v>
      </c>
      <c r="G2035" s="4">
        <f>SUMIFS(X!$F$5:$F$2005,X!$D$5:$D$2005,'Current Stock'!A2035)</f>
        <v>5</v>
      </c>
      <c r="H2035" s="4">
        <f>SUMIFS(PENJUALAN!$E$4:$E$11000,PENJUALAN!$C$4:$C$11000,'Current Stock'!A2035)</f>
        <v>4</v>
      </c>
      <c r="I2035" s="16">
        <f t="shared" si="2"/>
        <v>1</v>
      </c>
      <c r="J2035" s="22" t="s">
        <v>1770</v>
      </c>
      <c r="K2035" s="22"/>
      <c r="L2035" s="25"/>
      <c r="M2035" s="25"/>
    </row>
    <row r="2036" ht="15.0" customHeight="1">
      <c r="A2036" s="4" t="str">
        <f t="shared" si="1"/>
        <v>RDL-PAJERO16AGC</v>
      </c>
      <c r="B2036" s="15" t="s">
        <v>2368</v>
      </c>
      <c r="C2036" s="15" t="s">
        <v>830</v>
      </c>
      <c r="D2036" s="15" t="s">
        <v>47</v>
      </c>
      <c r="E2036" s="15" t="s">
        <v>78</v>
      </c>
      <c r="F2036" s="18"/>
      <c r="G2036" s="4">
        <f>SUMIFS(X!$F$5:$F$2005,X!$D$5:$D$2005,'Current Stock'!A2036)</f>
        <v>1</v>
      </c>
      <c r="H2036" s="4">
        <f>SUMIFS(PENJUALAN!$E$4:$E$11000,PENJUALAN!$C$4:$C$11000,'Current Stock'!A2036)</f>
        <v>0</v>
      </c>
      <c r="I2036" s="16">
        <f t="shared" si="2"/>
        <v>1</v>
      </c>
      <c r="J2036" s="15" t="s">
        <v>596</v>
      </c>
      <c r="K2036" s="15"/>
      <c r="L2036" s="18"/>
      <c r="M2036" s="18"/>
    </row>
    <row r="2037" ht="15.0" customHeight="1">
      <c r="A2037" s="4" t="str">
        <f t="shared" si="1"/>
        <v>RDR-PAJERO16AGC</v>
      </c>
      <c r="B2037" s="15" t="s">
        <v>2369</v>
      </c>
      <c r="C2037" s="15" t="s">
        <v>830</v>
      </c>
      <c r="D2037" s="15" t="s">
        <v>70</v>
      </c>
      <c r="E2037" s="15" t="s">
        <v>78</v>
      </c>
      <c r="F2037" s="18"/>
      <c r="G2037" s="4">
        <f>SUMIFS(X!$F$5:$F$2005,X!$D$5:$D$2005,'Current Stock'!A2037)</f>
        <v>1</v>
      </c>
      <c r="H2037" s="4">
        <f>SUMIFS(PENJUALAN!$E$4:$E$11000,PENJUALAN!$C$4:$C$11000,'Current Stock'!A2037)</f>
        <v>0</v>
      </c>
      <c r="I2037" s="16">
        <f t="shared" si="2"/>
        <v>1</v>
      </c>
      <c r="J2037" s="15" t="s">
        <v>594</v>
      </c>
      <c r="K2037" s="15"/>
      <c r="L2037" s="18"/>
      <c r="M2037" s="18"/>
    </row>
    <row r="2038" ht="15.0" customHeight="1">
      <c r="A2038" s="4" t="str">
        <f t="shared" si="1"/>
        <v>LFW-DYNAMU</v>
      </c>
      <c r="B2038" s="29" t="s">
        <v>2007</v>
      </c>
      <c r="C2038" s="30" t="s">
        <v>1381</v>
      </c>
      <c r="D2038" s="28" t="s">
        <v>22</v>
      </c>
      <c r="E2038" s="4" t="s">
        <v>1361</v>
      </c>
      <c r="F2038" s="28"/>
      <c r="G2038" s="4">
        <f>SUMIFS(X!$F$5:$F$2005,X!$D$5:$D$2005,'Current Stock'!A2038)</f>
        <v>18</v>
      </c>
      <c r="H2038" s="4">
        <f>SUMIFS(PENJUALAN!$E$4:$E$11000,PENJUALAN!$C$4:$C$11000,'Current Stock'!A2038)</f>
        <v>17</v>
      </c>
      <c r="I2038" s="16">
        <f t="shared" si="2"/>
        <v>1</v>
      </c>
      <c r="J2038" s="15" t="s">
        <v>1683</v>
      </c>
      <c r="K2038" s="15"/>
      <c r="L2038" s="5">
        <v>2.0</v>
      </c>
      <c r="M2038" s="15"/>
    </row>
    <row r="2039" ht="15.0" customHeight="1">
      <c r="A2039" s="4" t="str">
        <f t="shared" si="1"/>
        <v>Mitsubishi Pajero 16- / Strada Triton 08-15ASH</v>
      </c>
      <c r="B2039" s="4" t="str">
        <f>CONCATENATE(C2039,F2039)</f>
        <v>Mitsubishi Pajero 16- / Strada Triton 08-15</v>
      </c>
      <c r="C2039" s="15" t="s">
        <v>2370</v>
      </c>
      <c r="D2039" s="15" t="s">
        <v>93</v>
      </c>
      <c r="E2039" s="15" t="s">
        <v>82</v>
      </c>
      <c r="F2039" s="18"/>
      <c r="G2039" s="4">
        <f>SUMIFS(X!$F$5:$F$2005,X!$D$5:$D$2005,'Current Stock'!A2039)</f>
        <v>0</v>
      </c>
      <c r="H2039" s="4">
        <f>SUMIFS(PENJUALAN!$E$4:$E$11000,PENJUALAN!$C$4:$C$11000,'Current Stock'!A2039)</f>
        <v>0</v>
      </c>
      <c r="I2039" s="16">
        <f t="shared" si="2"/>
        <v>0</v>
      </c>
      <c r="J2039" s="15" t="s">
        <v>83</v>
      </c>
      <c r="K2039" s="15"/>
      <c r="L2039" s="18"/>
      <c r="M2039" s="18"/>
    </row>
    <row r="2040" ht="15.0" customHeight="1">
      <c r="A2040" s="4" t="str">
        <f t="shared" si="1"/>
        <v>FDR-PAJERO16ASH</v>
      </c>
      <c r="B2040" s="15" t="s">
        <v>2371</v>
      </c>
      <c r="C2040" s="15" t="s">
        <v>2370</v>
      </c>
      <c r="D2040" s="15" t="s">
        <v>45</v>
      </c>
      <c r="E2040" s="15" t="s">
        <v>82</v>
      </c>
      <c r="F2040" s="18"/>
      <c r="G2040" s="4">
        <f>SUMIFS(X!$F$5:$F$2005,X!$D$5:$D$2005,'Current Stock'!A2040)</f>
        <v>0</v>
      </c>
      <c r="H2040" s="4">
        <f>SUMIFS(PENJUALAN!$E$4:$E$11000,PENJUALAN!$C$4:$C$11000,'Current Stock'!A2040)</f>
        <v>0</v>
      </c>
      <c r="I2040" s="16">
        <f t="shared" si="2"/>
        <v>0</v>
      </c>
      <c r="J2040" s="15"/>
      <c r="K2040" s="15"/>
      <c r="L2040" s="18"/>
      <c r="M2040" s="18"/>
    </row>
    <row r="2041" ht="15.0" customHeight="1">
      <c r="A2041" s="4" t="str">
        <f t="shared" si="1"/>
        <v>TRW-XPANDERHAGC</v>
      </c>
      <c r="B2041" s="15" t="s">
        <v>1708</v>
      </c>
      <c r="C2041" s="79" t="s">
        <v>2372</v>
      </c>
      <c r="D2041" s="15" t="s">
        <v>41</v>
      </c>
      <c r="E2041" s="15" t="s">
        <v>78</v>
      </c>
      <c r="F2041" s="15" t="s">
        <v>2373</v>
      </c>
      <c r="G2041" s="4">
        <f>SUMIFS(X!$F$5:$F$2005,X!$D$5:$D$2005,'Current Stock'!A2041)</f>
        <v>6</v>
      </c>
      <c r="H2041" s="4">
        <f>SUMIFS(PENJUALAN!$E$4:$E$11000,PENJUALAN!$C$4:$C$11000,'Current Stock'!A2041)</f>
        <v>2</v>
      </c>
      <c r="I2041" s="16">
        <f t="shared" si="2"/>
        <v>4</v>
      </c>
      <c r="J2041" s="15" t="s">
        <v>101</v>
      </c>
      <c r="K2041" s="15"/>
      <c r="L2041" s="18"/>
      <c r="M2041" s="15"/>
    </row>
    <row r="2042" ht="15.0" customHeight="1">
      <c r="A2042" s="4" t="str">
        <f t="shared" si="1"/>
        <v>FDR-PAJERO16AGC</v>
      </c>
      <c r="B2042" s="15" t="s">
        <v>2371</v>
      </c>
      <c r="C2042" s="15" t="s">
        <v>830</v>
      </c>
      <c r="D2042" s="15" t="s">
        <v>45</v>
      </c>
      <c r="E2042" s="15" t="s">
        <v>78</v>
      </c>
      <c r="F2042" s="18"/>
      <c r="G2042" s="4">
        <f>SUMIFS(X!$F$5:$F$2005,X!$D$5:$D$2005,'Current Stock'!A2042)</f>
        <v>1</v>
      </c>
      <c r="H2042" s="4">
        <f>SUMIFS(PENJUALAN!$E$4:$E$11000,PENJUALAN!$C$4:$C$11000,'Current Stock'!A2042)</f>
        <v>0</v>
      </c>
      <c r="I2042" s="16">
        <f t="shared" si="2"/>
        <v>1</v>
      </c>
      <c r="J2042" s="15" t="s">
        <v>832</v>
      </c>
      <c r="K2042" s="15"/>
      <c r="L2042" s="18"/>
      <c r="M2042" s="18"/>
    </row>
    <row r="2043" ht="15.0" customHeight="1">
      <c r="A2043" s="4" t="str">
        <f t="shared" si="1"/>
        <v>LFW-FE300MU</v>
      </c>
      <c r="B2043" s="29" t="s">
        <v>2002</v>
      </c>
      <c r="C2043" s="30" t="s">
        <v>2003</v>
      </c>
      <c r="D2043" s="28" t="s">
        <v>22</v>
      </c>
      <c r="E2043" s="4" t="s">
        <v>1361</v>
      </c>
      <c r="F2043" s="28"/>
      <c r="G2043" s="4">
        <f>SUMIFS(X!$F$5:$F$2005,X!$D$5:$D$2005,'Current Stock'!A2043)</f>
        <v>11</v>
      </c>
      <c r="H2043" s="4">
        <f>SUMIFS(PENJUALAN!$E$4:$E$11000,PENJUALAN!$C$4:$C$11000,'Current Stock'!A2043)</f>
        <v>10</v>
      </c>
      <c r="I2043" s="16">
        <f t="shared" si="2"/>
        <v>1</v>
      </c>
      <c r="J2043" s="15" t="s">
        <v>1683</v>
      </c>
      <c r="K2043" s="15"/>
      <c r="L2043" s="5">
        <v>1.0</v>
      </c>
      <c r="M2043" s="4"/>
    </row>
    <row r="2044" ht="15.0" customHeight="1">
      <c r="A2044" s="4" t="str">
        <f t="shared" si="1"/>
        <v>LFW-LOUHANMU</v>
      </c>
      <c r="B2044" s="29" t="s">
        <v>1304</v>
      </c>
      <c r="C2044" s="30" t="s">
        <v>1305</v>
      </c>
      <c r="D2044" s="30" t="s">
        <v>22</v>
      </c>
      <c r="E2044" s="4" t="s">
        <v>1361</v>
      </c>
      <c r="F2044" s="28"/>
      <c r="G2044" s="4">
        <f>SUMIFS(X!$F$5:$F$2005,X!$D$5:$D$2005,'Current Stock'!A2044)</f>
        <v>5</v>
      </c>
      <c r="H2044" s="4">
        <f>SUMIFS(PENJUALAN!$E$4:$E$11000,PENJUALAN!$C$4:$C$11000,'Current Stock'!A2044)</f>
        <v>5</v>
      </c>
      <c r="I2044" s="16">
        <f t="shared" si="2"/>
        <v>0</v>
      </c>
      <c r="J2044" s="15" t="s">
        <v>1485</v>
      </c>
      <c r="K2044" s="4"/>
      <c r="L2044" s="4"/>
      <c r="M2044" s="4"/>
    </row>
    <row r="2045" ht="15.0" customHeight="1">
      <c r="A2045" s="4" t="str">
        <f t="shared" si="1"/>
        <v>LFW-FE700MU</v>
      </c>
      <c r="B2045" s="29" t="s">
        <v>1310</v>
      </c>
      <c r="C2045" s="30" t="s">
        <v>1311</v>
      </c>
      <c r="D2045" s="28" t="s">
        <v>22</v>
      </c>
      <c r="E2045" s="4" t="s">
        <v>1361</v>
      </c>
      <c r="F2045" s="28"/>
      <c r="G2045" s="4">
        <f>SUMIFS(X!$F$5:$F$2005,X!$D$5:$D$2005,'Current Stock'!A2045)</f>
        <v>6</v>
      </c>
      <c r="H2045" s="4">
        <f>SUMIFS(PENJUALAN!$E$4:$E$11000,PENJUALAN!$C$4:$C$11000,'Current Stock'!A2045)</f>
        <v>6</v>
      </c>
      <c r="I2045" s="16">
        <f t="shared" si="2"/>
        <v>0</v>
      </c>
      <c r="J2045" s="15" t="s">
        <v>1908</v>
      </c>
      <c r="K2045" s="15"/>
      <c r="L2045" s="5">
        <v>1.0</v>
      </c>
      <c r="M2045" s="4"/>
    </row>
    <row r="2046" ht="15.0" customHeight="1">
      <c r="A2046" s="4" t="str">
        <f t="shared" si="1"/>
        <v>TRW-XPANDER22HAGC</v>
      </c>
      <c r="B2046" s="15" t="s">
        <v>2374</v>
      </c>
      <c r="C2046" s="27" t="s">
        <v>2375</v>
      </c>
      <c r="D2046" s="15" t="s">
        <v>41</v>
      </c>
      <c r="E2046" s="15" t="s">
        <v>78</v>
      </c>
      <c r="F2046" s="15" t="s">
        <v>67</v>
      </c>
      <c r="G2046" s="4">
        <f>SUMIFS(X!$F$5:$F$2005,X!$D$5:$D$2005,'Current Stock'!A2046)</f>
        <v>5</v>
      </c>
      <c r="H2046" s="4">
        <f>SUMIFS(PENJUALAN!$E$4:$E$11000,PENJUALAN!$C$4:$C$11000,'Current Stock'!A2046)</f>
        <v>2</v>
      </c>
      <c r="I2046" s="16">
        <f t="shared" si="2"/>
        <v>3</v>
      </c>
      <c r="J2046" s="15" t="s">
        <v>1398</v>
      </c>
      <c r="K2046" s="15"/>
      <c r="L2046" s="18"/>
      <c r="M2046" s="15"/>
    </row>
    <row r="2047" ht="15.0" customHeight="1">
      <c r="A2047" s="20" t="str">
        <f t="shared" si="1"/>
        <v>FDL-INNOVA15ASH</v>
      </c>
      <c r="B2047" s="21" t="s">
        <v>1856</v>
      </c>
      <c r="C2047" s="39" t="s">
        <v>1167</v>
      </c>
      <c r="D2047" s="20" t="s">
        <v>93</v>
      </c>
      <c r="E2047" s="20" t="s">
        <v>82</v>
      </c>
      <c r="F2047" s="20" t="s">
        <v>397</v>
      </c>
      <c r="G2047" s="4">
        <f>SUMIFS(X!$F$5:$F$2005,X!$D$5:$D$2005,'Current Stock'!A2047)</f>
        <v>5</v>
      </c>
      <c r="H2047" s="4">
        <f>SUMIFS(PENJUALAN!$E$4:$E$11000,PENJUALAN!$C$4:$C$11000,'Current Stock'!A2047)</f>
        <v>3</v>
      </c>
      <c r="I2047" s="16">
        <f t="shared" si="2"/>
        <v>2</v>
      </c>
      <c r="J2047" s="22" t="s">
        <v>596</v>
      </c>
      <c r="K2047" s="22"/>
      <c r="L2047" s="23"/>
      <c r="M2047" s="20"/>
    </row>
    <row r="2048" ht="15.0" customHeight="1">
      <c r="A2048" s="20" t="str">
        <f t="shared" si="1"/>
        <v>SWL-INNOVA15ASH</v>
      </c>
      <c r="B2048" s="21" t="s">
        <v>2376</v>
      </c>
      <c r="C2048" s="39" t="s">
        <v>1167</v>
      </c>
      <c r="D2048" s="20" t="s">
        <v>1434</v>
      </c>
      <c r="E2048" s="20" t="s">
        <v>82</v>
      </c>
      <c r="F2048" s="20" t="s">
        <v>2165</v>
      </c>
      <c r="G2048" s="4">
        <f>SUMIFS(X!$F$5:$F$2005,X!$D$5:$D$2005,'Current Stock'!A2048)</f>
        <v>4</v>
      </c>
      <c r="H2048" s="4">
        <f>SUMIFS(PENJUALAN!$E$4:$E$11000,PENJUALAN!$C$4:$C$11000,'Current Stock'!A2048)</f>
        <v>4</v>
      </c>
      <c r="I2048" s="16">
        <f t="shared" si="2"/>
        <v>0</v>
      </c>
      <c r="J2048" s="22" t="s">
        <v>1435</v>
      </c>
      <c r="K2048" s="22"/>
      <c r="L2048" s="23"/>
      <c r="M2048" s="20"/>
    </row>
    <row r="2049" ht="15.0" customHeight="1">
      <c r="A2049" s="20" t="str">
        <f t="shared" si="1"/>
        <v>FDR-INNOVA15ASH</v>
      </c>
      <c r="B2049" s="21" t="s">
        <v>1854</v>
      </c>
      <c r="C2049" s="39" t="s">
        <v>1167</v>
      </c>
      <c r="D2049" s="20" t="s">
        <v>45</v>
      </c>
      <c r="E2049" s="20" t="s">
        <v>82</v>
      </c>
      <c r="F2049" s="20" t="s">
        <v>397</v>
      </c>
      <c r="G2049" s="4">
        <f>SUMIFS(X!$F$5:$F$2005,X!$D$5:$D$2005,'Current Stock'!A2049)</f>
        <v>3</v>
      </c>
      <c r="H2049" s="4">
        <f>SUMIFS(PENJUALAN!$E$4:$E$11000,PENJUALAN!$C$4:$C$11000,'Current Stock'!A2049)</f>
        <v>2</v>
      </c>
      <c r="I2049" s="16">
        <f t="shared" si="2"/>
        <v>1</v>
      </c>
      <c r="J2049" s="22" t="s">
        <v>1391</v>
      </c>
      <c r="K2049" s="22"/>
      <c r="L2049" s="23"/>
      <c r="M2049" s="20"/>
    </row>
    <row r="2050" ht="15.0" customHeight="1">
      <c r="A2050" s="4" t="str">
        <f t="shared" si="1"/>
        <v>TRW-FUTURAMBASH</v>
      </c>
      <c r="B2050" s="31" t="s">
        <v>2377</v>
      </c>
      <c r="C2050" s="43" t="s">
        <v>2378</v>
      </c>
      <c r="D2050" s="43" t="s">
        <v>41</v>
      </c>
      <c r="E2050" s="15" t="s">
        <v>82</v>
      </c>
      <c r="F2050" s="33"/>
      <c r="G2050" s="4">
        <f>SUMIFS(X!$F$5:$F$2005,X!$D$5:$D$2005,'Current Stock'!A2050)</f>
        <v>2</v>
      </c>
      <c r="H2050" s="4">
        <f>SUMIFS(PENJUALAN!$E$4:$E$11000,PENJUALAN!$C$4:$C$11000,'Current Stock'!A2050)</f>
        <v>2</v>
      </c>
      <c r="I2050" s="16">
        <f t="shared" si="2"/>
        <v>0</v>
      </c>
      <c r="J2050" s="15" t="s">
        <v>101</v>
      </c>
      <c r="K2050" s="15"/>
      <c r="L2050" s="18"/>
      <c r="M2050" s="18"/>
    </row>
    <row r="2051" ht="15.0" customHeight="1">
      <c r="A2051" s="20" t="str">
        <f t="shared" si="1"/>
        <v>FDL-FE300ASH</v>
      </c>
      <c r="B2051" s="22" t="s">
        <v>2379</v>
      </c>
      <c r="C2051" s="39" t="s">
        <v>2003</v>
      </c>
      <c r="D2051" s="22" t="s">
        <v>93</v>
      </c>
      <c r="E2051" s="22" t="s">
        <v>82</v>
      </c>
      <c r="F2051" s="25"/>
      <c r="G2051" s="4">
        <f>SUMIFS(X!$F$5:$F$2005,X!$D$5:$D$2005,'Current Stock'!A2051)</f>
        <v>5</v>
      </c>
      <c r="H2051" s="4">
        <f>SUMIFS(PENJUALAN!$E$4:$E$11000,PENJUALAN!$C$4:$C$11000,'Current Stock'!A2051)</f>
        <v>5</v>
      </c>
      <c r="I2051" s="16">
        <f t="shared" si="2"/>
        <v>0</v>
      </c>
      <c r="J2051" s="22" t="s">
        <v>1382</v>
      </c>
      <c r="K2051" s="22"/>
      <c r="L2051" s="25"/>
      <c r="M2051" s="25"/>
    </row>
    <row r="2052" ht="15.0" customHeight="1">
      <c r="A2052" s="20" t="str">
        <f t="shared" si="1"/>
        <v>FDR-FE300ASH</v>
      </c>
      <c r="B2052" s="22" t="s">
        <v>2380</v>
      </c>
      <c r="C2052" s="39" t="s">
        <v>2003</v>
      </c>
      <c r="D2052" s="22" t="s">
        <v>93</v>
      </c>
      <c r="E2052" s="22" t="s">
        <v>82</v>
      </c>
      <c r="F2052" s="25"/>
      <c r="G2052" s="4">
        <f>SUMIFS(X!$F$5:$F$2005,X!$D$5:$D$2005,'Current Stock'!A2052)</f>
        <v>5</v>
      </c>
      <c r="H2052" s="4">
        <f>SUMIFS(PENJUALAN!$E$4:$E$11000,PENJUALAN!$C$4:$C$11000,'Current Stock'!A2052)</f>
        <v>4</v>
      </c>
      <c r="I2052" s="16">
        <f t="shared" si="2"/>
        <v>1</v>
      </c>
      <c r="J2052" s="22" t="s">
        <v>1382</v>
      </c>
      <c r="K2052" s="22"/>
      <c r="L2052" s="25"/>
      <c r="M2052" s="25"/>
    </row>
    <row r="2053" ht="15.0" customHeight="1">
      <c r="A2053" s="4" t="str">
        <f t="shared" si="1"/>
        <v>FDL-LOUHANMU</v>
      </c>
      <c r="B2053" s="29" t="s">
        <v>2381</v>
      </c>
      <c r="C2053" s="28" t="s">
        <v>2134</v>
      </c>
      <c r="D2053" s="28" t="s">
        <v>128</v>
      </c>
      <c r="E2053" s="4" t="s">
        <v>1361</v>
      </c>
      <c r="F2053" s="28" t="s">
        <v>397</v>
      </c>
      <c r="G2053" s="4">
        <f>SUMIFS(X!$F$5:$F$2005,X!$D$5:$D$2005,'Current Stock'!A2053)</f>
        <v>2</v>
      </c>
      <c r="H2053" s="4">
        <f>SUMIFS(PENJUALAN!$E$4:$E$11000,PENJUALAN!$C$4:$C$11000,'Current Stock'!A2053)</f>
        <v>1</v>
      </c>
      <c r="I2053" s="16">
        <f t="shared" si="2"/>
        <v>1</v>
      </c>
      <c r="J2053" s="15" t="s">
        <v>1382</v>
      </c>
      <c r="K2053" s="15"/>
      <c r="L2053" s="5">
        <v>1.0</v>
      </c>
      <c r="M2053" s="4"/>
    </row>
    <row r="2054" ht="15.0" customHeight="1">
      <c r="A2054" s="4" t="str">
        <f t="shared" si="1"/>
        <v>RDL-BRIO18AGC</v>
      </c>
      <c r="B2054" s="14" t="s">
        <v>2382</v>
      </c>
      <c r="C2054" s="28" t="s">
        <v>1421</v>
      </c>
      <c r="D2054" s="4" t="s">
        <v>47</v>
      </c>
      <c r="E2054" s="15" t="s">
        <v>78</v>
      </c>
      <c r="F2054" s="15" t="s">
        <v>2150</v>
      </c>
      <c r="G2054" s="4">
        <f>SUMIFS(X!$F$5:$F$2005,X!$D$5:$D$2005,'Current Stock'!A2054)</f>
        <v>2</v>
      </c>
      <c r="H2054" s="4">
        <f>SUMIFS(PENJUALAN!$E$4:$E$11000,PENJUALAN!$C$4:$C$11000,'Current Stock'!A2054)</f>
        <v>1</v>
      </c>
      <c r="I2054" s="16">
        <f t="shared" si="2"/>
        <v>1</v>
      </c>
      <c r="J2054" s="15" t="s">
        <v>2067</v>
      </c>
      <c r="K2054" s="15"/>
      <c r="L2054" s="5"/>
      <c r="M2054" s="4"/>
    </row>
    <row r="2055" ht="15.0" customHeight="1">
      <c r="A2055" s="4" t="str">
        <f t="shared" si="1"/>
        <v>FDR-BRIOAGC</v>
      </c>
      <c r="B2055" s="85" t="s">
        <v>2383</v>
      </c>
      <c r="C2055" s="86" t="s">
        <v>2163</v>
      </c>
      <c r="D2055" s="15" t="s">
        <v>45</v>
      </c>
      <c r="E2055" s="15" t="s">
        <v>78</v>
      </c>
      <c r="F2055" s="15" t="s">
        <v>2150</v>
      </c>
      <c r="G2055" s="4">
        <f>SUMIFS(X!$F$5:$F$2005,X!$D$5:$D$2005,'Current Stock'!A2055)</f>
        <v>2</v>
      </c>
      <c r="H2055" s="4">
        <f>SUMIFS(PENJUALAN!$E$4:$E$11000,PENJUALAN!$C$4:$C$11000,'Current Stock'!A2055)</f>
        <v>2</v>
      </c>
      <c r="I2055" s="16">
        <f t="shared" si="2"/>
        <v>0</v>
      </c>
      <c r="J2055" s="15" t="s">
        <v>2067</v>
      </c>
      <c r="K2055" s="15"/>
      <c r="L2055" s="5"/>
      <c r="M2055" s="4"/>
    </row>
    <row r="2056" ht="15.0" customHeight="1">
      <c r="A2056" s="4" t="str">
        <f t="shared" si="1"/>
        <v>FDR-ERTIGA12ASH</v>
      </c>
      <c r="B2056" s="15" t="s">
        <v>2384</v>
      </c>
      <c r="C2056" s="15" t="s">
        <v>1024</v>
      </c>
      <c r="D2056" s="15" t="s">
        <v>45</v>
      </c>
      <c r="E2056" s="15" t="s">
        <v>82</v>
      </c>
      <c r="F2056" s="18"/>
      <c r="G2056" s="4">
        <f>SUMIFS(X!$F$5:$F$2005,X!$D$5:$D$2005,'Current Stock'!A2056)</f>
        <v>5</v>
      </c>
      <c r="H2056" s="4">
        <f>SUMIFS(PENJUALAN!$E$4:$E$11000,PENJUALAN!$C$4:$C$11000,'Current Stock'!A2056)</f>
        <v>1</v>
      </c>
      <c r="I2056" s="16">
        <f t="shared" si="2"/>
        <v>4</v>
      </c>
      <c r="J2056" s="22" t="s">
        <v>1720</v>
      </c>
      <c r="K2056" s="18"/>
      <c r="L2056" s="18"/>
      <c r="M2056" s="18"/>
    </row>
    <row r="2057" ht="15.0" customHeight="1">
      <c r="A2057" s="4" t="str">
        <f t="shared" si="1"/>
        <v>FDL-BRIOAGC</v>
      </c>
      <c r="B2057" s="85" t="s">
        <v>2162</v>
      </c>
      <c r="C2057" s="86" t="s">
        <v>2163</v>
      </c>
      <c r="D2057" s="15" t="s">
        <v>93</v>
      </c>
      <c r="E2057" s="15" t="s">
        <v>78</v>
      </c>
      <c r="F2057" s="15" t="s">
        <v>2150</v>
      </c>
      <c r="G2057" s="4">
        <f>SUMIFS(X!$F$5:$F$2005,X!$D$5:$D$2005,'Current Stock'!A2057)</f>
        <v>2</v>
      </c>
      <c r="H2057" s="4">
        <f>SUMIFS(PENJUALAN!$E$4:$E$11000,PENJUALAN!$C$4:$C$11000,'Current Stock'!A2057)</f>
        <v>2</v>
      </c>
      <c r="I2057" s="16">
        <f t="shared" si="2"/>
        <v>0</v>
      </c>
      <c r="J2057" s="15" t="s">
        <v>1428</v>
      </c>
      <c r="K2057" s="15"/>
      <c r="L2057" s="5"/>
      <c r="M2057" s="4"/>
    </row>
    <row r="2058" ht="15.0" customHeight="1">
      <c r="A2058" s="4" t="str">
        <f t="shared" si="1"/>
        <v>SWR-MOBILIOAGC</v>
      </c>
      <c r="B2058" s="85" t="s">
        <v>2385</v>
      </c>
      <c r="C2058" s="86" t="s">
        <v>2386</v>
      </c>
      <c r="D2058" s="15" t="s">
        <v>104</v>
      </c>
      <c r="E2058" s="15" t="s">
        <v>78</v>
      </c>
      <c r="F2058" s="15" t="s">
        <v>90</v>
      </c>
      <c r="G2058" s="4">
        <f>SUMIFS(X!$F$5:$F$2005,X!$D$5:$D$2005,'Current Stock'!A2058)</f>
        <v>2</v>
      </c>
      <c r="H2058" s="4">
        <f>SUMIFS(PENJUALAN!$E$4:$E$11000,PENJUALAN!$C$4:$C$11000,'Current Stock'!A2058)</f>
        <v>2</v>
      </c>
      <c r="I2058" s="16">
        <f t="shared" si="2"/>
        <v>0</v>
      </c>
      <c r="J2058" s="15" t="s">
        <v>1404</v>
      </c>
      <c r="K2058" s="15"/>
      <c r="L2058" s="5"/>
      <c r="M2058" s="4"/>
    </row>
    <row r="2059" ht="15.0" customHeight="1">
      <c r="A2059" s="4" t="str">
        <f t="shared" si="1"/>
        <v>LFW-ALMAZFY</v>
      </c>
      <c r="B2059" s="15" t="s">
        <v>2130</v>
      </c>
      <c r="C2059" s="15" t="s">
        <v>2387</v>
      </c>
      <c r="D2059" s="15" t="s">
        <v>22</v>
      </c>
      <c r="E2059" s="15" t="s">
        <v>111</v>
      </c>
      <c r="F2059" s="15" t="s">
        <v>2388</v>
      </c>
      <c r="G2059" s="4">
        <f>SUMIFS(X!$F$5:$F$2005,X!$D$5:$D$2005,'Current Stock'!A2059)</f>
        <v>8</v>
      </c>
      <c r="H2059" s="4">
        <f>SUMIFS(PENJUALAN!$E$4:$E$11000,PENJUALAN!$C$4:$C$11000,'Current Stock'!A2059)</f>
        <v>7</v>
      </c>
      <c r="I2059" s="16">
        <f t="shared" si="2"/>
        <v>1</v>
      </c>
      <c r="J2059" s="15" t="s">
        <v>2020</v>
      </c>
      <c r="K2059" s="15"/>
      <c r="L2059" s="18"/>
      <c r="M2059" s="15"/>
    </row>
    <row r="2060" ht="15.0" customHeight="1">
      <c r="A2060" s="4" t="str">
        <f t="shared" si="1"/>
        <v>SWL-MOBILIOAGC</v>
      </c>
      <c r="B2060" s="85" t="s">
        <v>2389</v>
      </c>
      <c r="C2060" s="86" t="s">
        <v>2386</v>
      </c>
      <c r="D2060" s="15" t="s">
        <v>1434</v>
      </c>
      <c r="E2060" s="15" t="s">
        <v>78</v>
      </c>
      <c r="F2060" s="15" t="s">
        <v>90</v>
      </c>
      <c r="G2060" s="4">
        <f>SUMIFS(X!$F$5:$F$2005,X!$D$5:$D$2005,'Current Stock'!A2060)</f>
        <v>2</v>
      </c>
      <c r="H2060" s="4">
        <f>SUMIFS(PENJUALAN!$E$4:$E$11000,PENJUALAN!$C$4:$C$11000,'Current Stock'!A2060)</f>
        <v>1</v>
      </c>
      <c r="I2060" s="16">
        <f t="shared" si="2"/>
        <v>1</v>
      </c>
      <c r="J2060" s="15" t="s">
        <v>1404</v>
      </c>
      <c r="K2060" s="15"/>
      <c r="L2060" s="5"/>
      <c r="M2060" s="4"/>
    </row>
    <row r="2061" ht="15.0" customHeight="1">
      <c r="A2061" s="4" t="str">
        <f t="shared" si="1"/>
        <v>TRW-TAFTGTASH</v>
      </c>
      <c r="B2061" s="19" t="s">
        <v>2390</v>
      </c>
      <c r="C2061" s="28" t="s">
        <v>2171</v>
      </c>
      <c r="D2061" s="15" t="s">
        <v>41</v>
      </c>
      <c r="E2061" s="15" t="s">
        <v>82</v>
      </c>
      <c r="F2061" s="18"/>
      <c r="G2061" s="4">
        <f>SUMIFS(X!$F$5:$F$2005,X!$D$5:$D$2005,'Current Stock'!A2061)</f>
        <v>1</v>
      </c>
      <c r="H2061" s="4">
        <f>SUMIFS(PENJUALAN!$E$4:$E$11000,PENJUALAN!$C$4:$C$11000,'Current Stock'!A2061)</f>
        <v>1</v>
      </c>
      <c r="I2061" s="16">
        <f t="shared" si="2"/>
        <v>0</v>
      </c>
      <c r="J2061" s="18"/>
      <c r="K2061" s="18"/>
      <c r="L2061" s="18"/>
      <c r="M2061" s="18"/>
    </row>
    <row r="2062" ht="15.0" customHeight="1">
      <c r="A2062" s="4" t="str">
        <f t="shared" si="1"/>
        <v>TRW-LUXIODAIHATSU</v>
      </c>
      <c r="B2062" s="14" t="s">
        <v>2391</v>
      </c>
      <c r="C2062" s="4" t="s">
        <v>1862</v>
      </c>
      <c r="D2062" s="4" t="s">
        <v>41</v>
      </c>
      <c r="E2062" s="4" t="s">
        <v>2392</v>
      </c>
      <c r="F2062" s="4" t="s">
        <v>90</v>
      </c>
      <c r="G2062" s="4">
        <f>SUMIFS(X!$F$5:$F$2005,X!$D$5:$D$2005,'Current Stock'!A2062)</f>
        <v>12</v>
      </c>
      <c r="H2062" s="4">
        <f>SUMIFS(PENJUALAN!$E$4:$E$11000,PENJUALAN!$C$4:$C$11000,'Current Stock'!A2062)</f>
        <v>7</v>
      </c>
      <c r="I2062" s="16">
        <f t="shared" si="2"/>
        <v>5</v>
      </c>
      <c r="J2062" s="15" t="s">
        <v>1445</v>
      </c>
      <c r="K2062" s="15"/>
      <c r="L2062" s="5">
        <v>1.0</v>
      </c>
      <c r="M2062" s="4"/>
    </row>
    <row r="2063" ht="15.0" customHeight="1">
      <c r="A2063" s="4" t="str">
        <f t="shared" si="1"/>
        <v>FDL-CX5GEN2XYG</v>
      </c>
      <c r="B2063" s="29" t="s">
        <v>2393</v>
      </c>
      <c r="C2063" s="43" t="s">
        <v>2394</v>
      </c>
      <c r="D2063" s="30" t="s">
        <v>128</v>
      </c>
      <c r="E2063" s="4" t="s">
        <v>16</v>
      </c>
      <c r="F2063" s="34" t="s">
        <v>397</v>
      </c>
      <c r="G2063" s="4">
        <f>SUMIFS(X!$F$5:$F$2005,X!$D$5:$D$2005,'Current Stock'!A2063)</f>
        <v>1</v>
      </c>
      <c r="H2063" s="4">
        <f>SUMIFS(PENJUALAN!$E$4:$E$11000,PENJUALAN!$C$4:$C$11000,'Current Stock'!A2063)</f>
        <v>1</v>
      </c>
      <c r="I2063" s="16">
        <f t="shared" si="2"/>
        <v>0</v>
      </c>
      <c r="J2063" s="4"/>
      <c r="K2063" s="4"/>
      <c r="L2063" s="4"/>
      <c r="M2063" s="4"/>
    </row>
    <row r="2064" ht="15.0" customHeight="1">
      <c r="A2064" s="4" t="str">
        <f t="shared" si="1"/>
        <v>LFW-PAJERO08MU</v>
      </c>
      <c r="B2064" s="29" t="s">
        <v>881</v>
      </c>
      <c r="C2064" s="28" t="s">
        <v>882</v>
      </c>
      <c r="D2064" s="28" t="s">
        <v>22</v>
      </c>
      <c r="E2064" s="4" t="s">
        <v>1361</v>
      </c>
      <c r="F2064" s="28" t="s">
        <v>125</v>
      </c>
      <c r="G2064" s="4">
        <f>SUMIFS(X!$F$5:$F$2005,X!$D$5:$D$2005,'Current Stock'!A2064)</f>
        <v>19</v>
      </c>
      <c r="H2064" s="4">
        <f>SUMIFS(PENJUALAN!$E$4:$E$11000,PENJUALAN!$C$4:$C$11000,'Current Stock'!A2064)</f>
        <v>19</v>
      </c>
      <c r="I2064" s="16">
        <f t="shared" si="2"/>
        <v>0</v>
      </c>
      <c r="J2064" s="15" t="s">
        <v>1692</v>
      </c>
      <c r="K2064" s="15"/>
      <c r="L2064" s="5">
        <v>1.0</v>
      </c>
      <c r="M2064" s="4"/>
    </row>
    <row r="2065" ht="15.0" customHeight="1">
      <c r="A2065" s="4" t="str">
        <f t="shared" si="1"/>
        <v>LFW-VIOS13MU</v>
      </c>
      <c r="B2065" s="29" t="s">
        <v>1279</v>
      </c>
      <c r="C2065" s="28" t="s">
        <v>1280</v>
      </c>
      <c r="D2065" s="28" t="s">
        <v>22</v>
      </c>
      <c r="E2065" s="4" t="s">
        <v>1361</v>
      </c>
      <c r="F2065" s="28" t="s">
        <v>125</v>
      </c>
      <c r="G2065" s="4">
        <f>SUMIFS(X!$F$5:$F$2005,X!$D$5:$D$2005,'Current Stock'!A2065)</f>
        <v>21</v>
      </c>
      <c r="H2065" s="4">
        <f>SUMIFS(PENJUALAN!$E$4:$E$11000,PENJUALAN!$C$4:$C$11000,'Current Stock'!A2065)</f>
        <v>21</v>
      </c>
      <c r="I2065" s="16">
        <f t="shared" si="2"/>
        <v>0</v>
      </c>
      <c r="J2065" s="15" t="s">
        <v>1475</v>
      </c>
      <c r="K2065" s="15"/>
      <c r="L2065" s="5">
        <v>1.0</v>
      </c>
      <c r="M2065" s="4"/>
    </row>
    <row r="2066" ht="15.0" customHeight="1">
      <c r="A2066" s="4" t="str">
        <f t="shared" si="1"/>
        <v>LFW-RUSH17MU</v>
      </c>
      <c r="B2066" s="29" t="s">
        <v>1941</v>
      </c>
      <c r="C2066" s="28" t="s">
        <v>1713</v>
      </c>
      <c r="D2066" s="28" t="s">
        <v>22</v>
      </c>
      <c r="E2066" s="4" t="s">
        <v>1361</v>
      </c>
      <c r="F2066" s="28" t="s">
        <v>97</v>
      </c>
      <c r="G2066" s="4">
        <f>SUMIFS(X!$F$5:$F$2005,X!$D$5:$D$2005,'Current Stock'!A2066)</f>
        <v>25</v>
      </c>
      <c r="H2066" s="4">
        <f>SUMIFS(PENJUALAN!$E$4:$E$11000,PENJUALAN!$C$4:$C$11000,'Current Stock'!A2066)</f>
        <v>20</v>
      </c>
      <c r="I2066" s="16">
        <f t="shared" si="2"/>
        <v>5</v>
      </c>
      <c r="J2066" s="15" t="s">
        <v>1935</v>
      </c>
      <c r="K2066" s="15"/>
      <c r="L2066" s="5">
        <v>3.0</v>
      </c>
      <c r="M2066" s="15"/>
    </row>
    <row r="2067" ht="15.0" customHeight="1">
      <c r="A2067" s="4" t="str">
        <f t="shared" si="1"/>
        <v>LFW-TERIOS06MU</v>
      </c>
      <c r="B2067" s="29" t="s">
        <v>1243</v>
      </c>
      <c r="C2067" s="28" t="s">
        <v>1244</v>
      </c>
      <c r="D2067" s="28" t="s">
        <v>22</v>
      </c>
      <c r="E2067" s="4" t="s">
        <v>1361</v>
      </c>
      <c r="F2067" s="28" t="s">
        <v>97</v>
      </c>
      <c r="G2067" s="4">
        <f>SUMIFS(X!$F$5:$F$2005,X!$D$5:$D$2005,'Current Stock'!A2067)</f>
        <v>19</v>
      </c>
      <c r="H2067" s="4">
        <f>SUMIFS(PENJUALAN!$E$4:$E$11000,PENJUALAN!$C$4:$C$11000,'Current Stock'!A2067)</f>
        <v>17</v>
      </c>
      <c r="I2067" s="16">
        <f t="shared" si="2"/>
        <v>2</v>
      </c>
      <c r="J2067" s="15" t="s">
        <v>1935</v>
      </c>
      <c r="K2067" s="15"/>
      <c r="L2067" s="5">
        <v>3.0</v>
      </c>
      <c r="M2067" s="4"/>
    </row>
    <row r="2068" ht="15.0" customHeight="1">
      <c r="A2068" s="4" t="str">
        <f t="shared" si="1"/>
        <v>LFW-PAJERO20RS2AGC</v>
      </c>
      <c r="B2068" s="15" t="s">
        <v>2395</v>
      </c>
      <c r="C2068" s="15" t="s">
        <v>2396</v>
      </c>
      <c r="D2068" s="15" t="s">
        <v>22</v>
      </c>
      <c r="E2068" s="15" t="s">
        <v>78</v>
      </c>
      <c r="F2068" s="15" t="s">
        <v>23</v>
      </c>
      <c r="G2068" s="4">
        <f>SUMIFS(X!$F$5:$F$2005,X!$D$5:$D$2005,'Current Stock'!A2068)</f>
        <v>1</v>
      </c>
      <c r="H2068" s="4">
        <f>SUMIFS(PENJUALAN!$E$4:$E$11000,PENJUALAN!$C$4:$C$11000,'Current Stock'!A2068)</f>
        <v>0</v>
      </c>
      <c r="I2068" s="16">
        <f t="shared" si="2"/>
        <v>1</v>
      </c>
      <c r="J2068" s="15" t="s">
        <v>1487</v>
      </c>
      <c r="K2068" s="18"/>
      <c r="L2068" s="18"/>
      <c r="M2068" s="18"/>
    </row>
    <row r="2069" ht="15.0" customHeight="1">
      <c r="A2069" s="4" t="str">
        <f t="shared" si="1"/>
        <v>LFW-PAJERO20RS2XYG</v>
      </c>
      <c r="B2069" s="15" t="s">
        <v>2395</v>
      </c>
      <c r="C2069" s="15" t="s">
        <v>2397</v>
      </c>
      <c r="D2069" s="15" t="s">
        <v>22</v>
      </c>
      <c r="E2069" s="15" t="s">
        <v>16</v>
      </c>
      <c r="F2069" s="15" t="s">
        <v>75</v>
      </c>
      <c r="G2069" s="4">
        <f>SUMIFS(X!$F$5:$F$2005,X!$D$5:$D$2005,'Current Stock'!A2069)</f>
        <v>0</v>
      </c>
      <c r="H2069" s="4">
        <f>SUMIFS(PENJUALAN!$E$4:$E$11000,PENJUALAN!$C$4:$C$11000,'Current Stock'!A2069)</f>
        <v>0</v>
      </c>
      <c r="I2069" s="16">
        <f t="shared" si="2"/>
        <v>0</v>
      </c>
      <c r="J2069" s="18"/>
      <c r="K2069" s="18"/>
      <c r="L2069" s="18"/>
      <c r="M2069" s="18"/>
    </row>
    <row r="2070" ht="15.0" customHeight="1">
      <c r="A2070" s="4" t="str">
        <f t="shared" si="1"/>
        <v>TRW-BRIO10HOLEAGC</v>
      </c>
      <c r="B2070" s="15" t="s">
        <v>2398</v>
      </c>
      <c r="C2070" s="15" t="s">
        <v>2399</v>
      </c>
      <c r="D2070" s="15" t="s">
        <v>41</v>
      </c>
      <c r="E2070" s="15" t="s">
        <v>78</v>
      </c>
      <c r="F2070" s="15" t="s">
        <v>2400</v>
      </c>
      <c r="G2070" s="4">
        <f>SUMIFS(X!$F$5:$F$2005,X!$D$5:$D$2005,'Current Stock'!A2070)</f>
        <v>1</v>
      </c>
      <c r="H2070" s="4">
        <f>SUMIFS(PENJUALAN!$E$4:$E$11000,PENJUALAN!$C$4:$C$11000,'Current Stock'!A2070)</f>
        <v>1</v>
      </c>
      <c r="I2070" s="16">
        <f t="shared" si="2"/>
        <v>0</v>
      </c>
      <c r="J2070" s="15" t="s">
        <v>139</v>
      </c>
      <c r="K2070" s="15"/>
      <c r="L2070" s="18"/>
      <c r="M2070" s="18"/>
    </row>
    <row r="2071" ht="15.0" customHeight="1">
      <c r="A2071" s="4" t="str">
        <f t="shared" si="1"/>
        <v>LFW-VIOS02MU</v>
      </c>
      <c r="B2071" s="29" t="s">
        <v>1951</v>
      </c>
      <c r="C2071" s="28" t="s">
        <v>1259</v>
      </c>
      <c r="D2071" s="28" t="s">
        <v>22</v>
      </c>
      <c r="E2071" s="4" t="s">
        <v>1361</v>
      </c>
      <c r="F2071" s="28" t="s">
        <v>125</v>
      </c>
      <c r="G2071" s="4">
        <f>SUMIFS(X!$F$5:$F$2005,X!$D$5:$D$2005,'Current Stock'!A2071)</f>
        <v>13</v>
      </c>
      <c r="H2071" s="4">
        <f>SUMIFS(PENJUALAN!$E$4:$E$11000,PENJUALAN!$C$4:$C$11000,'Current Stock'!A2071)</f>
        <v>12</v>
      </c>
      <c r="I2071" s="16">
        <f t="shared" si="2"/>
        <v>1</v>
      </c>
      <c r="J2071" s="15" t="s">
        <v>2345</v>
      </c>
      <c r="K2071" s="15"/>
      <c r="L2071" s="5">
        <v>1.0</v>
      </c>
      <c r="M2071" s="4"/>
    </row>
    <row r="2072" ht="15.0" customHeight="1">
      <c r="A2072" s="4" t="str">
        <f t="shared" si="1"/>
        <v>FDL-DMAX1MSG</v>
      </c>
      <c r="B2072" s="15" t="s">
        <v>2401</v>
      </c>
      <c r="C2072" s="15" t="s">
        <v>40</v>
      </c>
      <c r="D2072" s="15" t="s">
        <v>93</v>
      </c>
      <c r="E2072" s="15" t="s">
        <v>42</v>
      </c>
      <c r="F2072" s="18"/>
      <c r="G2072" s="4">
        <f>SUMIFS(X!$F$5:$F$2005,X!$D$5:$D$2005,'Current Stock'!A2072)</f>
        <v>0</v>
      </c>
      <c r="H2072" s="4">
        <f>SUMIFS(PENJUALAN!$E$4:$E$11000,PENJUALAN!$C$4:$C$11000,'Current Stock'!A2072)</f>
        <v>0</v>
      </c>
      <c r="I2072" s="16">
        <f t="shared" si="2"/>
        <v>0</v>
      </c>
      <c r="J2072" s="18"/>
      <c r="K2072" s="18"/>
      <c r="L2072" s="18"/>
      <c r="M2072" s="15"/>
    </row>
    <row r="2073" ht="15.0" customHeight="1">
      <c r="A2073" s="4" t="str">
        <f t="shared" si="1"/>
        <v>LFW-VIOS07MU</v>
      </c>
      <c r="B2073" s="29" t="s">
        <v>1262</v>
      </c>
      <c r="C2073" s="28" t="s">
        <v>1263</v>
      </c>
      <c r="D2073" s="28" t="s">
        <v>22</v>
      </c>
      <c r="E2073" s="4" t="s">
        <v>1361</v>
      </c>
      <c r="F2073" s="28" t="s">
        <v>125</v>
      </c>
      <c r="G2073" s="4">
        <f>SUMIFS(X!$F$5:$F$2005,X!$D$5:$D$2005,'Current Stock'!A2073)</f>
        <v>15</v>
      </c>
      <c r="H2073" s="4">
        <f>SUMIFS(PENJUALAN!$E$4:$E$11000,PENJUALAN!$C$4:$C$11000,'Current Stock'!A2073)</f>
        <v>15</v>
      </c>
      <c r="I2073" s="16">
        <f t="shared" si="2"/>
        <v>0</v>
      </c>
      <c r="J2073" s="15" t="s">
        <v>2345</v>
      </c>
      <c r="K2073" s="15"/>
      <c r="L2073" s="5">
        <v>1.0</v>
      </c>
      <c r="M2073" s="4"/>
    </row>
    <row r="2074" ht="15.0" customHeight="1">
      <c r="A2074" s="4" t="str">
        <f t="shared" si="1"/>
        <v>LFW-YARIS05MU</v>
      </c>
      <c r="B2074" s="29" t="s">
        <v>1276</v>
      </c>
      <c r="C2074" s="28" t="s">
        <v>1277</v>
      </c>
      <c r="D2074" s="28" t="s">
        <v>22</v>
      </c>
      <c r="E2074" s="4" t="s">
        <v>1361</v>
      </c>
      <c r="F2074" s="28" t="s">
        <v>125</v>
      </c>
      <c r="G2074" s="4">
        <f>SUMIFS(X!$F$5:$F$2005,X!$D$5:$D$2005,'Current Stock'!A2074)</f>
        <v>15</v>
      </c>
      <c r="H2074" s="4">
        <f>SUMIFS(PENJUALAN!$E$4:$E$11000,PENJUALAN!$C$4:$C$11000,'Current Stock'!A2074)</f>
        <v>14</v>
      </c>
      <c r="I2074" s="16">
        <f t="shared" si="2"/>
        <v>1</v>
      </c>
      <c r="J2074" s="15" t="s">
        <v>1979</v>
      </c>
      <c r="K2074" s="15"/>
      <c r="L2074" s="5">
        <v>1.0</v>
      </c>
      <c r="M2074" s="4"/>
    </row>
    <row r="2075" ht="15.0" customHeight="1">
      <c r="A2075" s="4" t="str">
        <f t="shared" si="1"/>
        <v>LFW-CONFEROMU</v>
      </c>
      <c r="B2075" s="29" t="s">
        <v>1302</v>
      </c>
      <c r="C2075" s="28" t="s">
        <v>1303</v>
      </c>
      <c r="D2075" s="28" t="s">
        <v>22</v>
      </c>
      <c r="E2075" s="4" t="s">
        <v>1361</v>
      </c>
      <c r="F2075" s="28" t="s">
        <v>1961</v>
      </c>
      <c r="G2075" s="4">
        <f>SUMIFS(X!$F$5:$F$2005,X!$D$5:$D$2005,'Current Stock'!A2075)</f>
        <v>14</v>
      </c>
      <c r="H2075" s="4">
        <f>SUMIFS(PENJUALAN!$E$4:$E$11000,PENJUALAN!$C$4:$C$11000,'Current Stock'!A2075)</f>
        <v>14</v>
      </c>
      <c r="I2075" s="16">
        <f t="shared" si="2"/>
        <v>0</v>
      </c>
      <c r="J2075" s="15" t="s">
        <v>1383</v>
      </c>
      <c r="K2075" s="15"/>
      <c r="L2075" s="5">
        <v>1.0</v>
      </c>
      <c r="M2075" s="4"/>
    </row>
    <row r="2076" ht="15.0" customHeight="1">
      <c r="A2076" s="4" t="str">
        <f t="shared" si="1"/>
        <v>TRW-RUSH17HMU</v>
      </c>
      <c r="B2076" s="29" t="s">
        <v>1943</v>
      </c>
      <c r="C2076" s="28" t="s">
        <v>1713</v>
      </c>
      <c r="D2076" s="28" t="s">
        <v>41</v>
      </c>
      <c r="E2076" s="4" t="s">
        <v>1361</v>
      </c>
      <c r="F2076" s="28" t="s">
        <v>67</v>
      </c>
      <c r="G2076" s="4">
        <f>SUMIFS(X!$F$5:$F$2005,X!$D$5:$D$2005,'Current Stock'!A2076)</f>
        <v>15</v>
      </c>
      <c r="H2076" s="4">
        <f>SUMIFS(PENJUALAN!$E$4:$E$11000,PENJUALAN!$C$4:$C$11000,'Current Stock'!A2076)</f>
        <v>13</v>
      </c>
      <c r="I2076" s="16">
        <f t="shared" si="2"/>
        <v>2</v>
      </c>
      <c r="J2076" s="15" t="s">
        <v>1765</v>
      </c>
      <c r="K2076" s="15"/>
      <c r="L2076" s="5">
        <v>1.0</v>
      </c>
      <c r="M2076" s="4"/>
    </row>
    <row r="2077" ht="15.0" customHeight="1">
      <c r="A2077" s="4" t="str">
        <f t="shared" si="1"/>
        <v>FDR-CARRYASH</v>
      </c>
      <c r="B2077" s="15" t="s">
        <v>2402</v>
      </c>
      <c r="C2077" s="15" t="s">
        <v>1702</v>
      </c>
      <c r="D2077" s="15" t="s">
        <v>45</v>
      </c>
      <c r="E2077" s="15" t="s">
        <v>82</v>
      </c>
      <c r="F2077" s="18"/>
      <c r="G2077" s="4">
        <f>SUMIFS(X!$F$5:$F$2005,X!$D$5:$D$2005,'Current Stock'!A2077)</f>
        <v>0</v>
      </c>
      <c r="H2077" s="4">
        <f>SUMIFS(PENJUALAN!$E$4:$E$11000,PENJUALAN!$C$4:$C$11000,'Current Stock'!A2077)</f>
        <v>0</v>
      </c>
      <c r="I2077" s="16">
        <f t="shared" si="2"/>
        <v>0</v>
      </c>
      <c r="J2077" s="18"/>
      <c r="K2077" s="18"/>
      <c r="L2077" s="18"/>
      <c r="M2077" s="18"/>
    </row>
    <row r="2078" ht="15.0" customHeight="1">
      <c r="A2078" s="4" t="str">
        <f t="shared" si="1"/>
        <v>LFW-KAPSUL02MU</v>
      </c>
      <c r="B2078" s="29" t="s">
        <v>1918</v>
      </c>
      <c r="C2078" s="28" t="s">
        <v>1919</v>
      </c>
      <c r="D2078" s="28" t="s">
        <v>22</v>
      </c>
      <c r="E2078" s="4" t="s">
        <v>1361</v>
      </c>
      <c r="F2078" s="28" t="s">
        <v>97</v>
      </c>
      <c r="G2078" s="4">
        <f>SUMIFS(X!$F$5:$F$2005,X!$D$5:$D$2005,'Current Stock'!A2078)</f>
        <v>5</v>
      </c>
      <c r="H2078" s="4">
        <f>SUMIFS(PENJUALAN!$E$4:$E$11000,PENJUALAN!$C$4:$C$11000,'Current Stock'!A2078)</f>
        <v>5</v>
      </c>
      <c r="I2078" s="16">
        <f t="shared" si="2"/>
        <v>0</v>
      </c>
      <c r="J2078" s="15" t="s">
        <v>1416</v>
      </c>
      <c r="K2078" s="15"/>
      <c r="L2078" s="5">
        <v>1.0</v>
      </c>
      <c r="M2078" s="4"/>
    </row>
    <row r="2079" ht="15.0" customHeight="1">
      <c r="A2079" s="4" t="str">
        <f t="shared" si="1"/>
        <v>LFW-FJ40MU</v>
      </c>
      <c r="B2079" s="29" t="s">
        <v>1921</v>
      </c>
      <c r="C2079" s="28" t="s">
        <v>1922</v>
      </c>
      <c r="D2079" s="28" t="s">
        <v>22</v>
      </c>
      <c r="E2079" s="4" t="s">
        <v>1361</v>
      </c>
      <c r="F2079" s="28"/>
      <c r="G2079" s="4">
        <f>SUMIFS(X!$F$5:$F$2005,X!$D$5:$D$2005,'Current Stock'!A2079)</f>
        <v>5</v>
      </c>
      <c r="H2079" s="4">
        <f>SUMIFS(PENJUALAN!$E$4:$E$11000,PENJUALAN!$C$4:$C$11000,'Current Stock'!A2079)</f>
        <v>5</v>
      </c>
      <c r="I2079" s="16">
        <f t="shared" si="2"/>
        <v>0</v>
      </c>
      <c r="J2079" s="15" t="s">
        <v>2403</v>
      </c>
      <c r="K2079" s="15"/>
      <c r="L2079" s="5">
        <v>1.0</v>
      </c>
      <c r="M2079" s="4"/>
    </row>
    <row r="2080" ht="15.0" customHeight="1">
      <c r="A2080" s="4" t="str">
        <f t="shared" si="1"/>
        <v>LFW-RAIZEMU</v>
      </c>
      <c r="B2080" s="29" t="s">
        <v>2404</v>
      </c>
      <c r="C2080" s="28" t="s">
        <v>103</v>
      </c>
      <c r="D2080" s="28" t="s">
        <v>22</v>
      </c>
      <c r="E2080" s="4" t="s">
        <v>1361</v>
      </c>
      <c r="F2080" s="28" t="s">
        <v>125</v>
      </c>
      <c r="G2080" s="4">
        <f>SUMIFS(X!$F$5:$F$2005,X!$D$5:$D$2005,'Current Stock'!A2080)</f>
        <v>9</v>
      </c>
      <c r="H2080" s="4">
        <f>SUMIFS(PENJUALAN!$E$4:$E$11000,PENJUALAN!$C$4:$C$11000,'Current Stock'!A2080)</f>
        <v>7</v>
      </c>
      <c r="I2080" s="16">
        <f t="shared" si="2"/>
        <v>2</v>
      </c>
      <c r="J2080" s="15" t="s">
        <v>1770</v>
      </c>
      <c r="K2080" s="15"/>
      <c r="L2080" s="5">
        <v>1.0</v>
      </c>
      <c r="M2080" s="4"/>
    </row>
    <row r="2081" ht="15.0" customHeight="1">
      <c r="A2081" s="4" t="str">
        <f t="shared" si="1"/>
        <v>LFW-SOLUNAMU</v>
      </c>
      <c r="B2081" s="29" t="s">
        <v>1251</v>
      </c>
      <c r="C2081" s="28" t="s">
        <v>1252</v>
      </c>
      <c r="D2081" s="28" t="s">
        <v>22</v>
      </c>
      <c r="E2081" s="4" t="s">
        <v>1361</v>
      </c>
      <c r="F2081" s="87" t="s">
        <v>97</v>
      </c>
      <c r="G2081" s="4">
        <f>SUMIFS(X!$F$5:$F$2005,X!$D$5:$D$2005,'Current Stock'!A2081)</f>
        <v>5</v>
      </c>
      <c r="H2081" s="4">
        <f>SUMIFS(PENJUALAN!$E$4:$E$11000,PENJUALAN!$C$4:$C$11000,'Current Stock'!A2081)</f>
        <v>6</v>
      </c>
      <c r="I2081" s="16">
        <f t="shared" si="2"/>
        <v>-1</v>
      </c>
      <c r="J2081" s="15" t="s">
        <v>1416</v>
      </c>
      <c r="K2081" s="15"/>
      <c r="L2081" s="5">
        <v>1.0</v>
      </c>
      <c r="M2081" s="15"/>
    </row>
    <row r="2082" ht="15.0" customHeight="1">
      <c r="A2082" s="4" t="str">
        <f t="shared" si="1"/>
        <v>SWL-AVANZA21AGC</v>
      </c>
      <c r="B2082" s="15" t="s">
        <v>1508</v>
      </c>
      <c r="C2082" s="15" t="s">
        <v>1503</v>
      </c>
      <c r="D2082" s="15" t="s">
        <v>1434</v>
      </c>
      <c r="E2082" s="15" t="s">
        <v>78</v>
      </c>
      <c r="F2082" s="15" t="s">
        <v>97</v>
      </c>
      <c r="G2082" s="4">
        <f>SUMIFS(X!$F$5:$F$2005,X!$D$5:$D$2005,'Current Stock'!A2082)</f>
        <v>0</v>
      </c>
      <c r="H2082" s="4">
        <f>SUMIFS(PENJUALAN!$E$4:$E$11000,PENJUALAN!$C$4:$C$11000,'Current Stock'!A2082)</f>
        <v>0</v>
      </c>
      <c r="I2082" s="16">
        <f t="shared" si="2"/>
        <v>0</v>
      </c>
      <c r="J2082" s="18"/>
      <c r="K2082" s="18"/>
      <c r="L2082" s="18"/>
      <c r="M2082" s="18"/>
    </row>
    <row r="2083" ht="15.0" customHeight="1">
      <c r="A2083" s="4" t="str">
        <f t="shared" si="1"/>
        <v>LFW-DMAX1MU</v>
      </c>
      <c r="B2083" s="29" t="s">
        <v>2405</v>
      </c>
      <c r="C2083" s="30" t="s">
        <v>40</v>
      </c>
      <c r="D2083" s="30" t="s">
        <v>22</v>
      </c>
      <c r="E2083" s="4" t="s">
        <v>1361</v>
      </c>
      <c r="F2083" s="28" t="s">
        <v>97</v>
      </c>
      <c r="G2083" s="4">
        <f>SUMIFS(X!$F$5:$F$2005,X!$D$5:$D$2005,'Current Stock'!A2083)</f>
        <v>4</v>
      </c>
      <c r="H2083" s="4">
        <f>SUMIFS(PENJUALAN!$E$4:$E$11000,PENJUALAN!$C$4:$C$11000,'Current Stock'!A2083)</f>
        <v>3</v>
      </c>
      <c r="I2083" s="16">
        <f t="shared" si="2"/>
        <v>1</v>
      </c>
      <c r="J2083" s="15" t="s">
        <v>2406</v>
      </c>
      <c r="K2083" s="15"/>
      <c r="L2083" s="5">
        <v>1.0</v>
      </c>
      <c r="M2083" s="4"/>
    </row>
    <row r="2084" ht="15.0" customHeight="1">
      <c r="A2084" s="4" t="str">
        <f t="shared" si="1"/>
        <v>LFW-ATOZMU</v>
      </c>
      <c r="B2084" s="29" t="s">
        <v>2407</v>
      </c>
      <c r="C2084" s="30" t="s">
        <v>2408</v>
      </c>
      <c r="D2084" s="30" t="s">
        <v>22</v>
      </c>
      <c r="E2084" s="4" t="s">
        <v>1361</v>
      </c>
      <c r="F2084" s="28" t="s">
        <v>97</v>
      </c>
      <c r="G2084" s="4">
        <f>SUMIFS(X!$F$5:$F$2005,X!$D$5:$D$2005,'Current Stock'!A2084)</f>
        <v>1</v>
      </c>
      <c r="H2084" s="4">
        <f>SUMIFS(PENJUALAN!$E$4:$E$11000,PENJUALAN!$C$4:$C$11000,'Current Stock'!A2084)</f>
        <v>1</v>
      </c>
      <c r="I2084" s="16">
        <f t="shared" si="2"/>
        <v>0</v>
      </c>
      <c r="J2084" s="4"/>
      <c r="K2084" s="4"/>
      <c r="L2084" s="5">
        <v>1.0</v>
      </c>
      <c r="M2084" s="4"/>
    </row>
    <row r="2085" ht="15.0" customHeight="1">
      <c r="A2085" s="4" t="str">
        <f t="shared" si="1"/>
        <v>RDL-YARIS13ASH</v>
      </c>
      <c r="B2085" s="15" t="s">
        <v>2409</v>
      </c>
      <c r="C2085" s="15" t="s">
        <v>2222</v>
      </c>
      <c r="D2085" s="15" t="s">
        <v>47</v>
      </c>
      <c r="E2085" s="15" t="s">
        <v>82</v>
      </c>
      <c r="F2085" s="18"/>
      <c r="G2085" s="4">
        <f>SUMIFS(X!$F$5:$F$2005,X!$D$5:$D$2005,'Current Stock'!A2085)</f>
        <v>0</v>
      </c>
      <c r="H2085" s="4">
        <f>SUMIFS(PENJUALAN!$E$4:$E$11000,PENJUALAN!$C$4:$C$11000,'Current Stock'!A2085)</f>
        <v>0</v>
      </c>
      <c r="I2085" s="16">
        <f t="shared" si="2"/>
        <v>0</v>
      </c>
      <c r="J2085" s="18"/>
      <c r="K2085" s="18"/>
      <c r="L2085" s="18"/>
      <c r="M2085" s="18"/>
    </row>
    <row r="2086" ht="15.0" customHeight="1">
      <c r="A2086" s="4" t="str">
        <f t="shared" si="1"/>
        <v>LFW-KAPSUL97MU</v>
      </c>
      <c r="B2086" s="29" t="s">
        <v>1916</v>
      </c>
      <c r="C2086" s="28" t="s">
        <v>1917</v>
      </c>
      <c r="D2086" s="28" t="s">
        <v>22</v>
      </c>
      <c r="E2086" s="4" t="s">
        <v>1361</v>
      </c>
      <c r="F2086" s="28"/>
      <c r="G2086" s="4">
        <f>SUMIFS(X!$F$5:$F$2005,X!$D$5:$D$2005,'Current Stock'!A2086)</f>
        <v>5</v>
      </c>
      <c r="H2086" s="4">
        <f>SUMIFS(PENJUALAN!$E$4:$E$11000,PENJUALAN!$C$4:$C$11000,'Current Stock'!A2086)</f>
        <v>5</v>
      </c>
      <c r="I2086" s="16">
        <f t="shared" si="2"/>
        <v>0</v>
      </c>
      <c r="J2086" s="15" t="s">
        <v>1416</v>
      </c>
      <c r="K2086" s="15"/>
      <c r="L2086" s="5">
        <v>1.0</v>
      </c>
      <c r="M2086" s="4"/>
    </row>
    <row r="2087" ht="15.0" customHeight="1">
      <c r="A2087" s="4" t="str">
        <f t="shared" si="1"/>
        <v>LFW-EXCEL94MU</v>
      </c>
      <c r="B2087" s="29" t="s">
        <v>2410</v>
      </c>
      <c r="C2087" s="30" t="s">
        <v>1505</v>
      </c>
      <c r="D2087" s="30" t="s">
        <v>22</v>
      </c>
      <c r="E2087" s="4" t="s">
        <v>1361</v>
      </c>
      <c r="F2087" s="28" t="s">
        <v>97</v>
      </c>
      <c r="G2087" s="4">
        <f>SUMIFS(X!$F$5:$F$2005,X!$D$5:$D$2005,'Current Stock'!A2087)</f>
        <v>1</v>
      </c>
      <c r="H2087" s="4">
        <f>SUMIFS(PENJUALAN!$E$4:$E$11000,PENJUALAN!$C$4:$C$11000,'Current Stock'!A2087)</f>
        <v>1</v>
      </c>
      <c r="I2087" s="16">
        <f t="shared" si="2"/>
        <v>0</v>
      </c>
      <c r="J2087" s="15" t="s">
        <v>1365</v>
      </c>
      <c r="K2087" s="15"/>
      <c r="L2087" s="5">
        <v>1.0</v>
      </c>
      <c r="M2087" s="4"/>
    </row>
    <row r="2088" ht="15.0" customHeight="1">
      <c r="A2088" s="4" t="str">
        <f t="shared" si="1"/>
        <v>LFW-JAZZ07MU</v>
      </c>
      <c r="B2088" s="29" t="s">
        <v>76</v>
      </c>
      <c r="C2088" s="28" t="s">
        <v>470</v>
      </c>
      <c r="D2088" s="28" t="s">
        <v>22</v>
      </c>
      <c r="E2088" s="4" t="s">
        <v>1361</v>
      </c>
      <c r="F2088" s="28" t="s">
        <v>125</v>
      </c>
      <c r="G2088" s="4">
        <f>SUMIFS(X!$F$5:$F$2005,X!$D$5:$D$2005,'Current Stock'!A2088)</f>
        <v>17</v>
      </c>
      <c r="H2088" s="4">
        <f>SUMIFS(PENJUALAN!$E$4:$E$11000,PENJUALAN!$C$4:$C$11000,'Current Stock'!A2088)</f>
        <v>17</v>
      </c>
      <c r="I2088" s="16">
        <f t="shared" si="2"/>
        <v>0</v>
      </c>
      <c r="J2088" s="15" t="s">
        <v>1964</v>
      </c>
      <c r="K2088" s="15"/>
      <c r="L2088" s="5">
        <v>1.0</v>
      </c>
      <c r="M2088" s="4"/>
    </row>
    <row r="2089" ht="15.0" customHeight="1">
      <c r="A2089" s="4" t="str">
        <f t="shared" si="1"/>
        <v>LFW-FORTUNER15AGC</v>
      </c>
      <c r="B2089" s="15" t="s">
        <v>1137</v>
      </c>
      <c r="C2089" s="15" t="s">
        <v>2411</v>
      </c>
      <c r="D2089" s="15" t="s">
        <v>22</v>
      </c>
      <c r="E2089" s="15" t="s">
        <v>78</v>
      </c>
      <c r="F2089" s="15" t="s">
        <v>1569</v>
      </c>
      <c r="G2089" s="4">
        <f>SUMIFS(X!$F$5:$F$2005,X!$D$5:$D$2005,'Current Stock'!A2089)</f>
        <v>12</v>
      </c>
      <c r="H2089" s="4">
        <f>SUMIFS(PENJUALAN!$E$4:$E$11000,PENJUALAN!$C$4:$C$11000,'Current Stock'!A2089)</f>
        <v>11</v>
      </c>
      <c r="I2089" s="16">
        <f t="shared" si="2"/>
        <v>1</v>
      </c>
      <c r="J2089" s="15" t="s">
        <v>1877</v>
      </c>
      <c r="K2089" s="15"/>
      <c r="L2089" s="18"/>
      <c r="M2089" s="18"/>
    </row>
    <row r="2090" ht="15.0" customHeight="1">
      <c r="A2090" s="4" t="str">
        <f t="shared" si="1"/>
        <v>LFW-JAZZ13MU</v>
      </c>
      <c r="B2090" s="29" t="s">
        <v>475</v>
      </c>
      <c r="C2090" s="28" t="s">
        <v>476</v>
      </c>
      <c r="D2090" s="28" t="s">
        <v>22</v>
      </c>
      <c r="E2090" s="4" t="s">
        <v>1361</v>
      </c>
      <c r="F2090" s="28" t="s">
        <v>125</v>
      </c>
      <c r="G2090" s="4">
        <f>SUMIFS(X!$F$5:$F$2005,X!$D$5:$D$2005,'Current Stock'!A2090)</f>
        <v>10</v>
      </c>
      <c r="H2090" s="4">
        <f>SUMIFS(PENJUALAN!$E$4:$E$11000,PENJUALAN!$C$4:$C$11000,'Current Stock'!A2090)</f>
        <v>10</v>
      </c>
      <c r="I2090" s="16">
        <f t="shared" si="2"/>
        <v>0</v>
      </c>
      <c r="J2090" s="15" t="s">
        <v>1964</v>
      </c>
      <c r="K2090" s="15"/>
      <c r="L2090" s="5">
        <v>1.0</v>
      </c>
      <c r="M2090" s="4"/>
    </row>
    <row r="2091" ht="15.0" customHeight="1">
      <c r="A2091" s="4" t="str">
        <f t="shared" si="1"/>
        <v>LFW-JAZZ01MU</v>
      </c>
      <c r="B2091" s="29" t="s">
        <v>462</v>
      </c>
      <c r="C2091" s="28" t="s">
        <v>463</v>
      </c>
      <c r="D2091" s="28" t="s">
        <v>22</v>
      </c>
      <c r="E2091" s="4" t="s">
        <v>1361</v>
      </c>
      <c r="F2091" s="28" t="s">
        <v>97</v>
      </c>
      <c r="G2091" s="4">
        <f>SUMIFS(X!$F$5:$F$2005,X!$D$5:$D$2005,'Current Stock'!A2091)</f>
        <v>18</v>
      </c>
      <c r="H2091" s="4">
        <f>SUMIFS(PENJUALAN!$E$4:$E$11000,PENJUALAN!$C$4:$C$11000,'Current Stock'!A2091)</f>
        <v>16</v>
      </c>
      <c r="I2091" s="16">
        <f t="shared" si="2"/>
        <v>2</v>
      </c>
      <c r="J2091" s="15" t="s">
        <v>1475</v>
      </c>
      <c r="K2091" s="15"/>
      <c r="L2091" s="5">
        <v>1.0</v>
      </c>
      <c r="M2091" s="15"/>
    </row>
    <row r="2092" ht="15.0" customHeight="1">
      <c r="A2092" s="4" t="str">
        <f t="shared" si="1"/>
        <v>TRW-JAZZ13XYG</v>
      </c>
      <c r="B2092" s="29" t="s">
        <v>477</v>
      </c>
      <c r="C2092" s="28" t="s">
        <v>476</v>
      </c>
      <c r="D2092" s="28" t="s">
        <v>41</v>
      </c>
      <c r="E2092" s="4" t="s">
        <v>16</v>
      </c>
      <c r="F2092" s="28" t="s">
        <v>67</v>
      </c>
      <c r="G2092" s="4">
        <f>SUMIFS(X!$F$5:$F$2005,X!$D$5:$D$2005,'Current Stock'!A2092)</f>
        <v>5</v>
      </c>
      <c r="H2092" s="4">
        <f>SUMIFS(PENJUALAN!$E$4:$E$11000,PENJUALAN!$C$4:$C$11000,'Current Stock'!A2092)</f>
        <v>4</v>
      </c>
      <c r="I2092" s="16">
        <f t="shared" si="2"/>
        <v>1</v>
      </c>
      <c r="J2092" s="15" t="s">
        <v>1422</v>
      </c>
      <c r="K2092" s="15"/>
      <c r="L2092" s="5">
        <v>1.0</v>
      </c>
      <c r="M2092" s="4"/>
    </row>
    <row r="2093" ht="15.0" customHeight="1">
      <c r="A2093" s="4" t="str">
        <f t="shared" si="1"/>
        <v>LFW-GRANMAXMU</v>
      </c>
      <c r="B2093" s="88" t="s">
        <v>274</v>
      </c>
      <c r="C2093" s="28" t="s">
        <v>275</v>
      </c>
      <c r="D2093" s="28" t="s">
        <v>22</v>
      </c>
      <c r="E2093" s="4" t="s">
        <v>1361</v>
      </c>
      <c r="F2093" s="28" t="s">
        <v>97</v>
      </c>
      <c r="G2093" s="4">
        <f>SUMIFS(X!$F$5:$F$2005,X!$D$5:$D$2005,'Current Stock'!A2093)</f>
        <v>119</v>
      </c>
      <c r="H2093" s="4">
        <f>SUMIFS(PENJUALAN!$E$4:$E$11000,PENJUALAN!$C$4:$C$11000,'Current Stock'!A2093)</f>
        <v>117</v>
      </c>
      <c r="I2093" s="16">
        <f t="shared" si="2"/>
        <v>2</v>
      </c>
      <c r="J2093" s="15" t="s">
        <v>1878</v>
      </c>
      <c r="K2093" s="15"/>
      <c r="L2093" s="5">
        <v>3.0</v>
      </c>
      <c r="M2093" s="15"/>
    </row>
    <row r="2094" ht="15.0" customHeight="1">
      <c r="A2094" s="4" t="str">
        <f t="shared" si="1"/>
        <v>LFW-SPINMU</v>
      </c>
      <c r="B2094" s="88" t="s">
        <v>260</v>
      </c>
      <c r="C2094" s="28" t="s">
        <v>261</v>
      </c>
      <c r="D2094" s="28" t="s">
        <v>22</v>
      </c>
      <c r="E2094" s="4" t="s">
        <v>1361</v>
      </c>
      <c r="F2094" s="28" t="s">
        <v>125</v>
      </c>
      <c r="G2094" s="4">
        <f>SUMIFS(X!$F$5:$F$2005,X!$D$5:$D$2005,'Current Stock'!A2094)</f>
        <v>5</v>
      </c>
      <c r="H2094" s="4">
        <f>SUMIFS(PENJUALAN!$E$4:$E$11000,PENJUALAN!$C$4:$C$11000,'Current Stock'!A2094)</f>
        <v>5</v>
      </c>
      <c r="I2094" s="16">
        <f t="shared" si="2"/>
        <v>0</v>
      </c>
      <c r="J2094" s="56" t="s">
        <v>1641</v>
      </c>
      <c r="K2094" s="15"/>
      <c r="L2094" s="5">
        <v>1.0</v>
      </c>
      <c r="M2094" s="4"/>
    </row>
    <row r="2095" ht="15.0" customHeight="1">
      <c r="A2095" s="4" t="str">
        <f t="shared" si="1"/>
        <v>LFW-AVEO08MU</v>
      </c>
      <c r="B2095" s="88" t="s">
        <v>216</v>
      </c>
      <c r="C2095" s="28" t="s">
        <v>2412</v>
      </c>
      <c r="D2095" s="28" t="s">
        <v>22</v>
      </c>
      <c r="E2095" s="4" t="s">
        <v>1361</v>
      </c>
      <c r="F2095" s="28" t="s">
        <v>97</v>
      </c>
      <c r="G2095" s="4">
        <f>SUMIFS(X!$F$5:$F$2005,X!$D$5:$D$2005,'Current Stock'!A2095)</f>
        <v>5</v>
      </c>
      <c r="H2095" s="4">
        <f>SUMIFS(PENJUALAN!$E$4:$E$11000,PENJUALAN!$C$4:$C$11000,'Current Stock'!A2095)</f>
        <v>5</v>
      </c>
      <c r="I2095" s="16">
        <f t="shared" si="2"/>
        <v>0</v>
      </c>
      <c r="J2095" s="15" t="s">
        <v>1641</v>
      </c>
      <c r="K2095" s="15"/>
      <c r="L2095" s="5">
        <v>1.0</v>
      </c>
      <c r="M2095" s="4"/>
    </row>
    <row r="2096" ht="15.0" customHeight="1">
      <c r="A2096" s="4" t="str">
        <f t="shared" si="1"/>
        <v>LFW-QQ03MU</v>
      </c>
      <c r="B2096" s="29" t="s">
        <v>207</v>
      </c>
      <c r="C2096" s="28" t="s">
        <v>208</v>
      </c>
      <c r="D2096" s="28" t="s">
        <v>22</v>
      </c>
      <c r="E2096" s="4" t="s">
        <v>1361</v>
      </c>
      <c r="F2096" s="28" t="s">
        <v>125</v>
      </c>
      <c r="G2096" s="4">
        <f>SUMIFS(X!$F$5:$F$2005,X!$D$5:$D$2005,'Current Stock'!A2096)</f>
        <v>1</v>
      </c>
      <c r="H2096" s="4">
        <f>SUMIFS(PENJUALAN!$E$4:$E$11000,PENJUALAN!$C$4:$C$11000,'Current Stock'!A2096)</f>
        <v>1</v>
      </c>
      <c r="I2096" s="16">
        <f t="shared" si="2"/>
        <v>0</v>
      </c>
      <c r="J2096" s="4"/>
      <c r="K2096" s="4"/>
      <c r="L2096" s="5">
        <v>1.0</v>
      </c>
      <c r="M2096" s="4"/>
    </row>
    <row r="2097" ht="15.0" customHeight="1">
      <c r="A2097" s="4" t="str">
        <f t="shared" si="1"/>
        <v>LFW-W204RSFR</v>
      </c>
      <c r="B2097" s="15" t="s">
        <v>780</v>
      </c>
      <c r="C2097" s="15" t="s">
        <v>2413</v>
      </c>
      <c r="D2097" s="15" t="s">
        <v>22</v>
      </c>
      <c r="E2097" s="15" t="s">
        <v>1449</v>
      </c>
      <c r="F2097" s="15" t="s">
        <v>112</v>
      </c>
      <c r="G2097" s="4">
        <f>SUMIFS(X!$F$5:$F$2005,X!$D$5:$D$2005,'Current Stock'!A2097)</f>
        <v>2</v>
      </c>
      <c r="H2097" s="4">
        <f>SUMIFS(PENJUALAN!$E$4:$E$11000,PENJUALAN!$C$4:$C$11000,'Current Stock'!A2097)</f>
        <v>0</v>
      </c>
      <c r="I2097" s="16">
        <f t="shared" si="2"/>
        <v>2</v>
      </c>
      <c r="J2097" s="15" t="s">
        <v>158</v>
      </c>
      <c r="K2097" s="15"/>
      <c r="L2097" s="18"/>
      <c r="M2097" s="15" t="s">
        <v>2414</v>
      </c>
    </row>
    <row r="2098" ht="15.0" customHeight="1">
      <c r="A2098" s="4" t="str">
        <f t="shared" si="1"/>
        <v>LFW-E46NORSMU</v>
      </c>
      <c r="B2098" s="65" t="s">
        <v>2415</v>
      </c>
      <c r="C2098" s="65" t="s">
        <v>136</v>
      </c>
      <c r="D2098" s="65" t="s">
        <v>22</v>
      </c>
      <c r="E2098" s="68" t="s">
        <v>1361</v>
      </c>
      <c r="F2098" s="65" t="s">
        <v>1876</v>
      </c>
      <c r="G2098" s="4">
        <f>SUMIFS(X!$F$5:$F$2005,X!$D$5:$D$2005,'Current Stock'!A2098)</f>
        <v>6</v>
      </c>
      <c r="H2098" s="4">
        <f>SUMIFS(PENJUALAN!$E$4:$E$11000,PENJUALAN!$C$4:$C$11000,'Current Stock'!A2098)</f>
        <v>6</v>
      </c>
      <c r="I2098" s="16">
        <f t="shared" si="2"/>
        <v>0</v>
      </c>
      <c r="J2098" s="75" t="s">
        <v>1341</v>
      </c>
      <c r="K2098" s="75"/>
      <c r="L2098" s="69">
        <v>1.0</v>
      </c>
      <c r="M2098" s="68"/>
    </row>
    <row r="2099" ht="15.0" customHeight="1">
      <c r="A2099" s="4" t="str">
        <f t="shared" si="1"/>
        <v>OTH-SERTR</v>
      </c>
      <c r="B2099" s="19" t="s">
        <v>24</v>
      </c>
      <c r="C2099" s="15" t="s">
        <v>2416</v>
      </c>
      <c r="D2099" s="4" t="s">
        <v>15</v>
      </c>
      <c r="E2099" s="15" t="s">
        <v>2417</v>
      </c>
      <c r="F2099" s="4"/>
      <c r="G2099" s="4">
        <f>SUMIFS(X!$F$5:$F$2005,X!$D$5:$D$2005,'Current Stock'!A2099)</f>
        <v>20</v>
      </c>
      <c r="H2099" s="4">
        <f>SUMIFS(PENJUALAN!$E$4:$E$11000,PENJUALAN!$C$4:$C$11000,'Current Stock'!A2099)</f>
        <v>18</v>
      </c>
      <c r="I2099" s="16">
        <f t="shared" si="2"/>
        <v>2</v>
      </c>
      <c r="J2099" s="4"/>
      <c r="K2099" s="4"/>
      <c r="L2099" s="5"/>
      <c r="M2099" s="4"/>
    </row>
    <row r="2100" ht="15.0" customHeight="1">
      <c r="A2100" s="4" t="str">
        <f t="shared" si="1"/>
        <v>TRW-AVANZA21HASH</v>
      </c>
      <c r="B2100" s="15" t="s">
        <v>2418</v>
      </c>
      <c r="C2100" s="15" t="s">
        <v>1503</v>
      </c>
      <c r="D2100" s="15" t="s">
        <v>41</v>
      </c>
      <c r="E2100" s="15" t="s">
        <v>82</v>
      </c>
      <c r="F2100" s="15" t="s">
        <v>2193</v>
      </c>
      <c r="G2100" s="4">
        <f>SUMIFS(X!$F$5:$F$2005,X!$D$5:$D$2005,'Current Stock'!A2100)</f>
        <v>10</v>
      </c>
      <c r="H2100" s="4">
        <f>SUMIFS(PENJUALAN!$E$4:$E$11000,PENJUALAN!$C$4:$C$11000,'Current Stock'!A2100)</f>
        <v>6</v>
      </c>
      <c r="I2100" s="16">
        <f t="shared" si="2"/>
        <v>4</v>
      </c>
      <c r="J2100" s="15" t="s">
        <v>2419</v>
      </c>
      <c r="K2100" s="15"/>
      <c r="L2100" s="18"/>
      <c r="M2100" s="18"/>
    </row>
    <row r="2101" ht="15.0" customHeight="1">
      <c r="A2101" s="4" t="str">
        <f t="shared" si="1"/>
        <v>TRW-SWIFT04AGC</v>
      </c>
      <c r="B2101" s="15" t="s">
        <v>1811</v>
      </c>
      <c r="C2101" s="15" t="s">
        <v>1406</v>
      </c>
      <c r="D2101" s="15" t="s">
        <v>41</v>
      </c>
      <c r="E2101" s="15" t="s">
        <v>78</v>
      </c>
      <c r="F2101" s="15" t="s">
        <v>97</v>
      </c>
      <c r="G2101" s="4">
        <f>SUMIFS(X!$F$5:$F$2005,X!$D$5:$D$2005,'Current Stock'!A2101)</f>
        <v>1</v>
      </c>
      <c r="H2101" s="4">
        <f>SUMIFS(PENJUALAN!$E$4:$E$11000,PENJUALAN!$C$4:$C$11000,'Current Stock'!A2101)</f>
        <v>0</v>
      </c>
      <c r="I2101" s="16">
        <f t="shared" si="2"/>
        <v>1</v>
      </c>
      <c r="J2101" s="15" t="s">
        <v>1398</v>
      </c>
      <c r="K2101" s="15"/>
      <c r="L2101" s="18"/>
      <c r="M2101" s="18"/>
    </row>
    <row r="2102" ht="15.0" customHeight="1">
      <c r="A2102" s="4" t="str">
        <f t="shared" si="1"/>
        <v>LFW-KATANAG84MU</v>
      </c>
      <c r="B2102" s="31" t="s">
        <v>2420</v>
      </c>
      <c r="C2102" s="30" t="s">
        <v>1454</v>
      </c>
      <c r="D2102" s="30" t="s">
        <v>22</v>
      </c>
      <c r="E2102" s="4" t="s">
        <v>1361</v>
      </c>
      <c r="F2102" s="33" t="s">
        <v>2421</v>
      </c>
      <c r="G2102" s="4">
        <f>SUMIFS(X!$F$5:$F$2005,X!$D$5:$D$2005,'Current Stock'!A2102)</f>
        <v>3</v>
      </c>
      <c r="H2102" s="4">
        <f>SUMIFS(PENJUALAN!$E$4:$E$11000,PENJUALAN!$C$4:$C$11000,'Current Stock'!A2102)</f>
        <v>3</v>
      </c>
      <c r="I2102" s="16">
        <f t="shared" si="2"/>
        <v>0</v>
      </c>
      <c r="J2102" s="15" t="s">
        <v>1456</v>
      </c>
      <c r="K2102" s="15"/>
      <c r="L2102" s="4"/>
      <c r="M2102" s="4"/>
    </row>
    <row r="2103" ht="15.0" customHeight="1">
      <c r="A2103" s="4" t="str">
        <f t="shared" si="1"/>
        <v>LFW-CORTEZASH</v>
      </c>
      <c r="B2103" s="15" t="s">
        <v>2035</v>
      </c>
      <c r="C2103" s="15" t="s">
        <v>1988</v>
      </c>
      <c r="D2103" s="15" t="s">
        <v>22</v>
      </c>
      <c r="E2103" s="15" t="s">
        <v>82</v>
      </c>
      <c r="F2103" s="15" t="s">
        <v>125</v>
      </c>
      <c r="G2103" s="4">
        <f>SUMIFS(X!$F$5:$F$2005,X!$D$5:$D$2005,'Current Stock'!A2103)</f>
        <v>5</v>
      </c>
      <c r="H2103" s="4">
        <f>SUMIFS(PENJUALAN!$E$4:$E$11000,PENJUALAN!$C$4:$C$11000,'Current Stock'!A2103)</f>
        <v>5</v>
      </c>
      <c r="I2103" s="16">
        <f t="shared" si="2"/>
        <v>0</v>
      </c>
      <c r="J2103" s="15" t="s">
        <v>1722</v>
      </c>
      <c r="K2103" s="15"/>
      <c r="L2103" s="18"/>
      <c r="M2103" s="18"/>
    </row>
    <row r="2104" ht="15.0" customHeight="1">
      <c r="A2104" s="4" t="str">
        <f t="shared" si="1"/>
        <v>TRW-F30FY</v>
      </c>
      <c r="B2104" s="29" t="s">
        <v>2422</v>
      </c>
      <c r="C2104" s="28" t="s">
        <v>157</v>
      </c>
      <c r="D2104" s="28" t="s">
        <v>41</v>
      </c>
      <c r="E2104" s="4" t="s">
        <v>111</v>
      </c>
      <c r="F2104" s="28" t="s">
        <v>67</v>
      </c>
      <c r="G2104" s="4">
        <f>SUMIFS(X!$F$5:$F$2005,X!$D$5:$D$2005,'Current Stock'!A2104)</f>
        <v>2</v>
      </c>
      <c r="H2104" s="4">
        <f>SUMIFS(PENJUALAN!$E$4:$E$11000,PENJUALAN!$C$4:$C$11000,'Current Stock'!A2104)</f>
        <v>2</v>
      </c>
      <c r="I2104" s="16">
        <f t="shared" si="2"/>
        <v>0</v>
      </c>
      <c r="J2104" s="15" t="s">
        <v>1378</v>
      </c>
      <c r="K2104" s="4"/>
      <c r="L2104" s="4"/>
      <c r="M2104" s="4"/>
    </row>
    <row r="2105" ht="15.0" customHeight="1">
      <c r="A2105" s="4" t="str">
        <f t="shared" si="1"/>
        <v>SWR-ERTIGA18AGC</v>
      </c>
      <c r="B2105" s="15" t="s">
        <v>2423</v>
      </c>
      <c r="C2105" s="15" t="s">
        <v>1794</v>
      </c>
      <c r="D2105" s="15" t="s">
        <v>104</v>
      </c>
      <c r="E2105" s="15" t="s">
        <v>78</v>
      </c>
      <c r="F2105" s="15" t="s">
        <v>97</v>
      </c>
      <c r="G2105" s="4">
        <f>SUMIFS(X!$F$5:$F$2005,X!$D$5:$D$2005,'Current Stock'!A2105)</f>
        <v>0</v>
      </c>
      <c r="H2105" s="4">
        <f>SUMIFS(PENJUALAN!$E$4:$E$11000,PENJUALAN!$C$4:$C$11000,'Current Stock'!A2105)</f>
        <v>0</v>
      </c>
      <c r="I2105" s="16">
        <f t="shared" si="2"/>
        <v>0</v>
      </c>
      <c r="J2105" s="18"/>
      <c r="K2105" s="18"/>
      <c r="L2105" s="18"/>
      <c r="M2105" s="18"/>
    </row>
    <row r="2106" ht="15.0" customHeight="1">
      <c r="A2106" s="4" t="str">
        <f t="shared" si="1"/>
        <v>LFW-INNOVA04COP</v>
      </c>
      <c r="B2106" s="15" t="s">
        <v>1159</v>
      </c>
      <c r="C2106" s="15" t="s">
        <v>2424</v>
      </c>
      <c r="D2106" s="15" t="s">
        <v>22</v>
      </c>
      <c r="E2106" s="15" t="s">
        <v>2425</v>
      </c>
      <c r="F2106" s="15" t="s">
        <v>79</v>
      </c>
      <c r="G2106" s="4">
        <f>SUMIFS(X!$F$5:$F$2005,X!$D$5:$D$2005,'Current Stock'!A2106)</f>
        <v>1</v>
      </c>
      <c r="H2106" s="4">
        <f>SUMIFS(PENJUALAN!$E$4:$E$11000,PENJUALAN!$C$4:$C$11000,'Current Stock'!A2106)</f>
        <v>0</v>
      </c>
      <c r="I2106" s="16">
        <f t="shared" si="2"/>
        <v>1</v>
      </c>
      <c r="J2106" s="15" t="s">
        <v>1863</v>
      </c>
      <c r="K2106" s="18"/>
      <c r="L2106" s="18"/>
      <c r="M2106" s="18"/>
    </row>
    <row r="2107" ht="15.0" customHeight="1">
      <c r="A2107" s="4" t="str">
        <f t="shared" si="1"/>
        <v>LFW-XPANDERCOP</v>
      </c>
      <c r="B2107" s="15" t="s">
        <v>1467</v>
      </c>
      <c r="C2107" s="15" t="s">
        <v>2426</v>
      </c>
      <c r="D2107" s="15" t="s">
        <v>22</v>
      </c>
      <c r="E2107" s="15" t="s">
        <v>2425</v>
      </c>
      <c r="F2107" s="15" t="s">
        <v>125</v>
      </c>
      <c r="G2107" s="4">
        <f>SUMIFS(X!$F$5:$F$2005,X!$D$5:$D$2005,'Current Stock'!A2107)</f>
        <v>1</v>
      </c>
      <c r="H2107" s="4">
        <f>SUMIFS(PENJUALAN!$E$4:$E$11000,PENJUALAN!$C$4:$C$11000,'Current Stock'!A2107)</f>
        <v>0</v>
      </c>
      <c r="I2107" s="16">
        <f t="shared" si="2"/>
        <v>1</v>
      </c>
      <c r="J2107" s="15" t="s">
        <v>1707</v>
      </c>
      <c r="K2107" s="18"/>
      <c r="L2107" s="18"/>
      <c r="M2107" s="18"/>
    </row>
    <row r="2108" ht="15.0" customHeight="1">
      <c r="A2108" s="4" t="str">
        <f t="shared" si="1"/>
        <v>SWL-TAFTGTASH</v>
      </c>
      <c r="B2108" s="15" t="s">
        <v>2427</v>
      </c>
      <c r="C2108" s="15" t="s">
        <v>2428</v>
      </c>
      <c r="D2108" s="15" t="s">
        <v>1434</v>
      </c>
      <c r="E2108" s="15" t="s">
        <v>82</v>
      </c>
      <c r="F2108" s="15" t="s">
        <v>2429</v>
      </c>
      <c r="G2108" s="4">
        <f>SUMIFS(X!$F$5:$F$2005,X!$D$5:$D$2005,'Current Stock'!A2108)</f>
        <v>1</v>
      </c>
      <c r="H2108" s="4">
        <f>SUMIFS(PENJUALAN!$E$4:$E$11000,PENJUALAN!$C$4:$C$11000,'Current Stock'!A2108)</f>
        <v>1</v>
      </c>
      <c r="I2108" s="16">
        <f t="shared" si="2"/>
        <v>0</v>
      </c>
      <c r="J2108" s="18"/>
      <c r="K2108" s="18"/>
      <c r="L2108" s="18"/>
      <c r="M2108" s="18"/>
    </row>
    <row r="2109" ht="15.0" customHeight="1">
      <c r="A2109" s="4" t="str">
        <f t="shared" si="1"/>
        <v>SWR-TAFTGTASH</v>
      </c>
      <c r="B2109" s="15" t="s">
        <v>2430</v>
      </c>
      <c r="C2109" s="15" t="s">
        <v>2428</v>
      </c>
      <c r="D2109" s="15" t="s">
        <v>104</v>
      </c>
      <c r="E2109" s="15" t="s">
        <v>82</v>
      </c>
      <c r="F2109" s="15" t="s">
        <v>2429</v>
      </c>
      <c r="G2109" s="4">
        <f>SUMIFS(X!$F$5:$F$2005,X!$D$5:$D$2005,'Current Stock'!A2109)</f>
        <v>0</v>
      </c>
      <c r="H2109" s="4">
        <f>SUMIFS(PENJUALAN!$E$4:$E$11000,PENJUALAN!$C$4:$C$11000,'Current Stock'!A2109)</f>
        <v>0</v>
      </c>
      <c r="I2109" s="16">
        <f t="shared" si="2"/>
        <v>0</v>
      </c>
      <c r="J2109" s="18"/>
      <c r="K2109" s="18"/>
      <c r="L2109" s="18"/>
      <c r="M2109" s="18"/>
    </row>
    <row r="2110" ht="15.0" customHeight="1">
      <c r="A2110" s="4" t="str">
        <f t="shared" si="1"/>
        <v>LFW-TERIOS06AGC</v>
      </c>
      <c r="B2110" s="15" t="s">
        <v>1243</v>
      </c>
      <c r="C2110" s="15" t="s">
        <v>2431</v>
      </c>
      <c r="D2110" s="15" t="s">
        <v>22</v>
      </c>
      <c r="E2110" s="15" t="s">
        <v>78</v>
      </c>
      <c r="F2110" s="15" t="s">
        <v>97</v>
      </c>
      <c r="G2110" s="4">
        <f>SUMIFS(X!$F$5:$F$2005,X!$D$5:$D$2005,'Current Stock'!A2110)</f>
        <v>1</v>
      </c>
      <c r="H2110" s="4">
        <f>SUMIFS(PENJUALAN!$E$4:$E$11000,PENJUALAN!$C$4:$C$11000,'Current Stock'!A2110)</f>
        <v>1</v>
      </c>
      <c r="I2110" s="16">
        <f t="shared" si="2"/>
        <v>0</v>
      </c>
      <c r="J2110" s="18"/>
      <c r="K2110" s="18"/>
      <c r="L2110" s="18"/>
      <c r="M2110" s="18"/>
    </row>
    <row r="2111" ht="15.0" customHeight="1">
      <c r="A2111" s="4" t="str">
        <f t="shared" si="1"/>
        <v>SWL-ERTIGA12AGC</v>
      </c>
      <c r="B2111" s="15" t="s">
        <v>2432</v>
      </c>
      <c r="C2111" s="15" t="s">
        <v>2433</v>
      </c>
      <c r="D2111" s="15" t="s">
        <v>1434</v>
      </c>
      <c r="E2111" s="15" t="s">
        <v>78</v>
      </c>
      <c r="F2111" s="15" t="s">
        <v>97</v>
      </c>
      <c r="G2111" s="4">
        <f>SUMIFS(X!$F$5:$F$2005,X!$D$5:$D$2005,'Current Stock'!A2111)</f>
        <v>1</v>
      </c>
      <c r="H2111" s="4">
        <f>SUMIFS(PENJUALAN!$E$4:$E$11000,PENJUALAN!$C$4:$C$11000,'Current Stock'!A2111)</f>
        <v>1</v>
      </c>
      <c r="I2111" s="16">
        <f t="shared" si="2"/>
        <v>0</v>
      </c>
      <c r="J2111" s="18"/>
      <c r="K2111" s="18"/>
      <c r="L2111" s="18"/>
      <c r="M2111" s="18"/>
    </row>
    <row r="2112" ht="15.0" customHeight="1">
      <c r="A2112" s="4" t="str">
        <f t="shared" si="1"/>
        <v>LFW-AGYA13AGC</v>
      </c>
      <c r="B2112" s="15" t="s">
        <v>2101</v>
      </c>
      <c r="C2112" s="15" t="s">
        <v>2434</v>
      </c>
      <c r="D2112" s="15" t="s">
        <v>22</v>
      </c>
      <c r="E2112" s="15" t="s">
        <v>78</v>
      </c>
      <c r="F2112" s="15" t="s">
        <v>97</v>
      </c>
      <c r="G2112" s="4">
        <f>SUMIFS(X!$F$5:$F$2005,X!$D$5:$D$2005,'Current Stock'!A2112)</f>
        <v>1</v>
      </c>
      <c r="H2112" s="4">
        <f>SUMIFS(PENJUALAN!$E$4:$E$11000,PENJUALAN!$C$4:$C$11000,'Current Stock'!A2112)</f>
        <v>1</v>
      </c>
      <c r="I2112" s="16">
        <f t="shared" si="2"/>
        <v>0</v>
      </c>
      <c r="J2112" s="18"/>
      <c r="K2112" s="18"/>
      <c r="L2112" s="18"/>
      <c r="M2112" s="18"/>
    </row>
    <row r="2113" ht="15.0" customHeight="1">
      <c r="A2113" s="4" t="str">
        <f t="shared" si="1"/>
        <v>TRW-PAJERO16AGC</v>
      </c>
      <c r="B2113" s="15" t="s">
        <v>885</v>
      </c>
      <c r="C2113" s="15" t="s">
        <v>830</v>
      </c>
      <c r="D2113" s="15" t="s">
        <v>41</v>
      </c>
      <c r="E2113" s="15" t="s">
        <v>78</v>
      </c>
      <c r="F2113" s="15" t="s">
        <v>2168</v>
      </c>
      <c r="G2113" s="4">
        <f>SUMIFS(X!$F$5:$F$2005,X!$D$5:$D$2005,'Current Stock'!A2113)</f>
        <v>1</v>
      </c>
      <c r="H2113" s="4">
        <f>SUMIFS(PENJUALAN!$E$4:$E$11000,PENJUALAN!$C$4:$C$11000,'Current Stock'!A2113)</f>
        <v>1</v>
      </c>
      <c r="I2113" s="16">
        <f t="shared" si="2"/>
        <v>0</v>
      </c>
      <c r="J2113" s="15" t="s">
        <v>1366</v>
      </c>
      <c r="K2113" s="18"/>
      <c r="L2113" s="18"/>
      <c r="M2113" s="18"/>
    </row>
    <row r="2114" ht="15.0" customHeight="1">
      <c r="A2114" s="4" t="str">
        <f t="shared" si="1"/>
        <v>TRW-FORTUNER15AGC</v>
      </c>
      <c r="B2114" s="15" t="s">
        <v>1139</v>
      </c>
      <c r="C2114" s="15" t="s">
        <v>2411</v>
      </c>
      <c r="D2114" s="15" t="s">
        <v>41</v>
      </c>
      <c r="E2114" s="15" t="s">
        <v>78</v>
      </c>
      <c r="F2114" s="15" t="s">
        <v>2435</v>
      </c>
      <c r="G2114" s="4">
        <f>SUMIFS(X!$F$5:$F$2005,X!$D$5:$D$2005,'Current Stock'!A2114)</f>
        <v>1</v>
      </c>
      <c r="H2114" s="4">
        <f>SUMIFS(PENJUALAN!$E$4:$E$11000,PENJUALAN!$C$4:$C$11000,'Current Stock'!A2114)</f>
        <v>1</v>
      </c>
      <c r="I2114" s="16">
        <f t="shared" si="2"/>
        <v>0</v>
      </c>
      <c r="J2114" s="18"/>
      <c r="K2114" s="18"/>
      <c r="L2114" s="18"/>
      <c r="M2114" s="18"/>
    </row>
    <row r="2115" ht="15.0" customHeight="1">
      <c r="A2115" s="4" t="str">
        <f t="shared" si="1"/>
        <v>TRW-AGYA23AGC</v>
      </c>
      <c r="B2115" s="15" t="s">
        <v>2436</v>
      </c>
      <c r="C2115" s="15" t="s">
        <v>2437</v>
      </c>
      <c r="D2115" s="15" t="s">
        <v>41</v>
      </c>
      <c r="E2115" s="15" t="s">
        <v>78</v>
      </c>
      <c r="F2115" s="15" t="s">
        <v>97</v>
      </c>
      <c r="G2115" s="4">
        <f>SUMIFS(X!$F$5:$F$2005,X!$D$5:$D$2005,'Current Stock'!A2115)</f>
        <v>2</v>
      </c>
      <c r="H2115" s="4">
        <f>SUMIFS(PENJUALAN!$E$4:$E$11000,PENJUALAN!$C$4:$C$11000,'Current Stock'!A2115)</f>
        <v>2</v>
      </c>
      <c r="I2115" s="16">
        <f t="shared" si="2"/>
        <v>0</v>
      </c>
      <c r="J2115" s="15" t="s">
        <v>1846</v>
      </c>
      <c r="K2115" s="18"/>
      <c r="L2115" s="18"/>
      <c r="M2115" s="18"/>
    </row>
    <row r="2116" ht="15.0" customHeight="1">
      <c r="A2116" s="4" t="str">
        <f t="shared" si="1"/>
        <v>FDR-STREAM00ASH</v>
      </c>
      <c r="B2116" s="15" t="s">
        <v>2438</v>
      </c>
      <c r="C2116" s="15" t="s">
        <v>507</v>
      </c>
      <c r="D2116" s="15" t="s">
        <v>45</v>
      </c>
      <c r="E2116" s="15" t="s">
        <v>82</v>
      </c>
      <c r="F2116" s="18"/>
      <c r="G2116" s="4">
        <f>SUMIFS(X!$F$5:$F$2005,X!$D$5:$D$2005,'Current Stock'!A2116)</f>
        <v>1</v>
      </c>
      <c r="H2116" s="4">
        <f>SUMIFS(PENJUALAN!$E$4:$E$11000,PENJUALAN!$C$4:$C$11000,'Current Stock'!A2116)</f>
        <v>1</v>
      </c>
      <c r="I2116" s="16">
        <f t="shared" si="2"/>
        <v>0</v>
      </c>
      <c r="J2116" s="18"/>
      <c r="K2116" s="18"/>
      <c r="L2116" s="18"/>
      <c r="M2116" s="18"/>
    </row>
    <row r="2117" ht="15.0" customHeight="1">
      <c r="A2117" s="4" t="str">
        <f t="shared" si="1"/>
        <v>FDL-STREAM00ASH</v>
      </c>
      <c r="B2117" s="15" t="s">
        <v>2439</v>
      </c>
      <c r="C2117" s="15" t="s">
        <v>507</v>
      </c>
      <c r="D2117" s="15" t="s">
        <v>93</v>
      </c>
      <c r="E2117" s="15" t="s">
        <v>82</v>
      </c>
      <c r="F2117" s="18"/>
      <c r="G2117" s="4">
        <f>SUMIFS(X!$F$5:$F$2005,X!$D$5:$D$2005,'Current Stock'!A2117)</f>
        <v>0</v>
      </c>
      <c r="H2117" s="4">
        <f>SUMIFS(PENJUALAN!$E$4:$E$11000,PENJUALAN!$C$4:$C$11000,'Current Stock'!A2117)</f>
        <v>0</v>
      </c>
      <c r="I2117" s="16">
        <f t="shared" si="2"/>
        <v>0</v>
      </c>
      <c r="J2117" s="18"/>
      <c r="K2117" s="18"/>
      <c r="L2117" s="18"/>
      <c r="M2117" s="18"/>
    </row>
    <row r="2118" ht="15.0" customHeight="1">
      <c r="A2118" s="4" t="str">
        <f t="shared" si="1"/>
        <v>LFW-RAIZERSAGC</v>
      </c>
      <c r="B2118" s="15" t="s">
        <v>2151</v>
      </c>
      <c r="C2118" s="15" t="s">
        <v>2440</v>
      </c>
      <c r="D2118" s="15" t="s">
        <v>22</v>
      </c>
      <c r="E2118" s="15" t="s">
        <v>78</v>
      </c>
      <c r="F2118" s="15" t="s">
        <v>75</v>
      </c>
      <c r="G2118" s="4">
        <f>SUMIFS(X!$F$5:$F$2005,X!$D$5:$D$2005,'Current Stock'!A2118)</f>
        <v>1</v>
      </c>
      <c r="H2118" s="4">
        <f>SUMIFS(PENJUALAN!$E$4:$E$11000,PENJUALAN!$C$4:$C$11000,'Current Stock'!A2118)</f>
        <v>1</v>
      </c>
      <c r="I2118" s="16">
        <f t="shared" si="2"/>
        <v>0</v>
      </c>
      <c r="J2118" s="18"/>
      <c r="K2118" s="18"/>
      <c r="L2118" s="18"/>
      <c r="M2118" s="18"/>
    </row>
    <row r="2119" ht="15.0" customHeight="1">
      <c r="A2119" s="4" t="str">
        <f t="shared" si="1"/>
        <v>LFW-CRV17PIL</v>
      </c>
      <c r="B2119" s="15" t="s">
        <v>443</v>
      </c>
      <c r="C2119" s="15" t="s">
        <v>2441</v>
      </c>
      <c r="D2119" s="15" t="s">
        <v>22</v>
      </c>
      <c r="E2119" s="15" t="s">
        <v>74</v>
      </c>
      <c r="F2119" s="15" t="s">
        <v>79</v>
      </c>
      <c r="G2119" s="4">
        <f>SUMIFS(X!$F$5:$F$2005,X!$D$5:$D$2005,'Current Stock'!A2119)</f>
        <v>2</v>
      </c>
      <c r="H2119" s="4">
        <f>SUMIFS(PENJUALAN!$E$4:$E$11000,PENJUALAN!$C$4:$C$11000,'Current Stock'!A2119)</f>
        <v>2</v>
      </c>
      <c r="I2119" s="16">
        <f t="shared" si="2"/>
        <v>0</v>
      </c>
      <c r="J2119" s="15" t="s">
        <v>1964</v>
      </c>
      <c r="K2119" s="18"/>
      <c r="L2119" s="18"/>
      <c r="M2119" s="18"/>
    </row>
    <row r="2120" ht="15.0" customHeight="1">
      <c r="A2120" s="4" t="str">
        <f t="shared" si="1"/>
        <v>RDR-ERTIGA12ASH</v>
      </c>
      <c r="B2120" s="15" t="s">
        <v>2442</v>
      </c>
      <c r="C2120" s="15" t="s">
        <v>1024</v>
      </c>
      <c r="D2120" s="15" t="s">
        <v>70</v>
      </c>
      <c r="E2120" s="15" t="s">
        <v>82</v>
      </c>
      <c r="F2120" s="18"/>
      <c r="G2120" s="4">
        <f>SUMIFS(X!$F$5:$F$2005,X!$D$5:$D$2005,'Current Stock'!A2120)</f>
        <v>10</v>
      </c>
      <c r="H2120" s="4">
        <f>SUMIFS(PENJUALAN!$E$4:$E$11000,PENJUALAN!$C$4:$C$11000,'Current Stock'!A2120)</f>
        <v>5</v>
      </c>
      <c r="I2120" s="16">
        <f t="shared" si="2"/>
        <v>5</v>
      </c>
      <c r="J2120" s="15" t="s">
        <v>1720</v>
      </c>
      <c r="K2120" s="18"/>
      <c r="L2120" s="18"/>
      <c r="M2120" s="18"/>
    </row>
    <row r="2121" ht="15.0" customHeight="1">
      <c r="A2121" s="4" t="str">
        <f t="shared" si="1"/>
        <v>RDL-ERTIGA12ASH</v>
      </c>
      <c r="B2121" s="15" t="s">
        <v>2443</v>
      </c>
      <c r="C2121" s="15" t="s">
        <v>1024</v>
      </c>
      <c r="D2121" s="15" t="s">
        <v>47</v>
      </c>
      <c r="E2121" s="15" t="s">
        <v>82</v>
      </c>
      <c r="F2121" s="18"/>
      <c r="G2121" s="4">
        <f>SUMIFS(X!$F$5:$F$2005,X!$D$5:$D$2005,'Current Stock'!A2121)</f>
        <v>0</v>
      </c>
      <c r="H2121" s="4">
        <f>SUMIFS(PENJUALAN!$E$4:$E$11000,PENJUALAN!$C$4:$C$11000,'Current Stock'!A2121)</f>
        <v>0</v>
      </c>
      <c r="I2121" s="16">
        <f t="shared" si="2"/>
        <v>0</v>
      </c>
      <c r="K2121" s="18"/>
      <c r="L2121" s="18"/>
      <c r="M2121" s="18"/>
    </row>
    <row r="2122" ht="15.0" customHeight="1">
      <c r="A2122" s="4" t="str">
        <f t="shared" si="1"/>
        <v>FDR-FV100ASH</v>
      </c>
      <c r="B2122" s="15" t="s">
        <v>2444</v>
      </c>
      <c r="C2122" s="15" t="s">
        <v>2445</v>
      </c>
      <c r="D2122" s="15" t="s">
        <v>45</v>
      </c>
      <c r="E2122" s="15" t="s">
        <v>82</v>
      </c>
      <c r="F2122" s="18"/>
      <c r="G2122" s="4">
        <f>SUMIFS(X!$F$5:$F$2005,X!$D$5:$D$2005,'Current Stock'!A2122)</f>
        <v>2</v>
      </c>
      <c r="H2122" s="4">
        <f>SUMIFS(PENJUALAN!$E$4:$E$11000,PENJUALAN!$C$4:$C$11000,'Current Stock'!A2122)</f>
        <v>2</v>
      </c>
      <c r="I2122" s="16">
        <f t="shared" si="2"/>
        <v>0</v>
      </c>
      <c r="J2122" s="18"/>
      <c r="K2122" s="18"/>
      <c r="L2122" s="18"/>
      <c r="M2122" s="18"/>
    </row>
    <row r="2123" ht="15.0" customHeight="1">
      <c r="A2123" s="4" t="str">
        <f t="shared" si="1"/>
        <v>FDL-FV100ASH</v>
      </c>
      <c r="B2123" s="15" t="s">
        <v>2446</v>
      </c>
      <c r="C2123" s="15" t="s">
        <v>2445</v>
      </c>
      <c r="D2123" s="15" t="s">
        <v>93</v>
      </c>
      <c r="E2123" s="15" t="s">
        <v>82</v>
      </c>
      <c r="F2123" s="18"/>
      <c r="G2123" s="4">
        <f>SUMIFS(X!$F$5:$F$2005,X!$D$5:$D$2005,'Current Stock'!A2123)</f>
        <v>0</v>
      </c>
      <c r="H2123" s="4">
        <f>SUMIFS(PENJUALAN!$E$4:$E$11000,PENJUALAN!$C$4:$C$11000,'Current Stock'!A2123)</f>
        <v>0</v>
      </c>
      <c r="I2123" s="16">
        <f t="shared" si="2"/>
        <v>0</v>
      </c>
      <c r="J2123" s="18"/>
      <c r="K2123" s="18"/>
      <c r="L2123" s="18"/>
      <c r="M2123" s="18"/>
    </row>
    <row r="2124" ht="15.0" customHeight="1">
      <c r="A2124" s="4" t="str">
        <f t="shared" si="1"/>
        <v>TRW-JAZZ01ASH</v>
      </c>
      <c r="B2124" s="15" t="s">
        <v>464</v>
      </c>
      <c r="C2124" s="15" t="s">
        <v>463</v>
      </c>
      <c r="D2124" s="15" t="s">
        <v>41</v>
      </c>
      <c r="E2124" s="15" t="s">
        <v>82</v>
      </c>
      <c r="F2124" s="15" t="s">
        <v>1377</v>
      </c>
      <c r="G2124" s="4">
        <f>SUMIFS(X!$F$5:$F$2005,X!$D$5:$D$2005,'Current Stock'!A2124)</f>
        <v>1</v>
      </c>
      <c r="H2124" s="4">
        <f>SUMIFS(PENJUALAN!$E$4:$E$11000,PENJUALAN!$C$4:$C$11000,'Current Stock'!A2124)</f>
        <v>1</v>
      </c>
      <c r="I2124" s="16">
        <f t="shared" si="2"/>
        <v>0</v>
      </c>
      <c r="J2124" s="18"/>
      <c r="K2124" s="18"/>
      <c r="L2124" s="18"/>
      <c r="M2124" s="18"/>
    </row>
    <row r="2125" ht="15.0" customHeight="1">
      <c r="A2125" s="4" t="str">
        <f t="shared" si="1"/>
        <v>LFW-SPORTAGE04XYG</v>
      </c>
      <c r="B2125" s="15" t="s">
        <v>1937</v>
      </c>
      <c r="C2125" s="15" t="s">
        <v>1938</v>
      </c>
      <c r="D2125" s="15" t="s">
        <v>22</v>
      </c>
      <c r="E2125" s="15" t="s">
        <v>16</v>
      </c>
      <c r="F2125" s="15" t="s">
        <v>125</v>
      </c>
      <c r="G2125" s="4">
        <f>SUMIFS(X!$F$5:$F$2005,X!$D$5:$D$2005,'Current Stock'!A2125)</f>
        <v>1</v>
      </c>
      <c r="H2125" s="4">
        <f>SUMIFS(PENJUALAN!$E$4:$E$11000,PENJUALAN!$C$4:$C$11000,'Current Stock'!A2125)</f>
        <v>1</v>
      </c>
      <c r="I2125" s="16">
        <f t="shared" si="2"/>
        <v>0</v>
      </c>
      <c r="J2125" s="18"/>
      <c r="K2125" s="18"/>
      <c r="L2125" s="18"/>
      <c r="M2125" s="18"/>
    </row>
    <row r="2126" ht="15.0" customHeight="1">
      <c r="A2126" s="4" t="str">
        <f t="shared" si="1"/>
        <v>LFW-T30PIL</v>
      </c>
      <c r="B2126" s="15" t="s">
        <v>982</v>
      </c>
      <c r="C2126" s="15" t="s">
        <v>983</v>
      </c>
      <c r="D2126" s="15" t="s">
        <v>22</v>
      </c>
      <c r="E2126" s="15" t="s">
        <v>74</v>
      </c>
      <c r="F2126" s="15" t="s">
        <v>97</v>
      </c>
      <c r="G2126" s="4">
        <f>SUMIFS(X!$F$5:$F$2005,X!$D$5:$D$2005,'Current Stock'!A2126)</f>
        <v>1</v>
      </c>
      <c r="H2126" s="4">
        <f>SUMIFS(PENJUALAN!$E$4:$E$11000,PENJUALAN!$C$4:$C$11000,'Current Stock'!A2126)</f>
        <v>1</v>
      </c>
      <c r="I2126" s="16">
        <f t="shared" si="2"/>
        <v>0</v>
      </c>
      <c r="J2126" s="15" t="s">
        <v>1792</v>
      </c>
      <c r="K2126" s="18"/>
      <c r="L2126" s="18"/>
      <c r="M2126" s="18"/>
    </row>
    <row r="2127" ht="15.0" customHeight="1">
      <c r="A2127" s="4" t="str">
        <f t="shared" si="1"/>
        <v>FDR-APVAGC</v>
      </c>
      <c r="B2127" s="15" t="s">
        <v>2447</v>
      </c>
      <c r="C2127" s="15" t="s">
        <v>1022</v>
      </c>
      <c r="D2127" s="15" t="s">
        <v>45</v>
      </c>
      <c r="E2127" s="15" t="s">
        <v>78</v>
      </c>
      <c r="F2127" s="18"/>
      <c r="G2127" s="4">
        <f>SUMIFS(X!$F$5:$F$2005,X!$D$5:$D$2005,'Current Stock'!A2127)</f>
        <v>1</v>
      </c>
      <c r="H2127" s="4">
        <f>SUMIFS(PENJUALAN!$E$4:$E$11000,PENJUALAN!$C$4:$C$11000,'Current Stock'!A2127)</f>
        <v>0</v>
      </c>
      <c r="I2127" s="16">
        <f t="shared" si="2"/>
        <v>1</v>
      </c>
      <c r="J2127" s="15" t="s">
        <v>1720</v>
      </c>
      <c r="K2127" s="18"/>
      <c r="L2127" s="18"/>
      <c r="M2127" s="18"/>
    </row>
    <row r="2128" ht="15.0" customHeight="1">
      <c r="A2128" s="4" t="str">
        <f t="shared" si="1"/>
        <v>LFW-OUTLANDERRSPIL</v>
      </c>
      <c r="B2128" s="15" t="s">
        <v>2448</v>
      </c>
      <c r="C2128" s="15" t="s">
        <v>1844</v>
      </c>
      <c r="D2128" s="15" t="s">
        <v>22</v>
      </c>
      <c r="E2128" s="15" t="s">
        <v>74</v>
      </c>
      <c r="F2128" s="15" t="s">
        <v>2034</v>
      </c>
      <c r="G2128" s="4">
        <f>SUMIFS(X!$F$5:$F$2005,X!$D$5:$D$2005,'Current Stock'!A2128)</f>
        <v>1</v>
      </c>
      <c r="H2128" s="4">
        <f>SUMIFS(PENJUALAN!$E$4:$E$11000,PENJUALAN!$C$4:$C$11000,'Current Stock'!A2128)</f>
        <v>1</v>
      </c>
      <c r="I2128" s="16">
        <f t="shared" si="2"/>
        <v>0</v>
      </c>
      <c r="J2128" s="18"/>
      <c r="K2128" s="18"/>
      <c r="L2128" s="18"/>
      <c r="M2128" s="18"/>
    </row>
    <row r="2129" ht="15.0" customHeight="1">
      <c r="A2129" s="4" t="str">
        <f t="shared" si="1"/>
        <v>LFW-DUSTER10MU</v>
      </c>
      <c r="B2129" s="15" t="s">
        <v>2449</v>
      </c>
      <c r="C2129" s="15" t="s">
        <v>2450</v>
      </c>
      <c r="D2129" s="15" t="s">
        <v>22</v>
      </c>
      <c r="E2129" s="15" t="s">
        <v>1361</v>
      </c>
      <c r="F2129" s="15" t="s">
        <v>125</v>
      </c>
      <c r="G2129" s="4">
        <f>SUMIFS(X!$F$5:$F$2005,X!$D$5:$D$2005,'Current Stock'!A2129)</f>
        <v>1</v>
      </c>
      <c r="H2129" s="4">
        <f>SUMIFS(PENJUALAN!$E$4:$E$11000,PENJUALAN!$C$4:$C$11000,'Current Stock'!A2129)</f>
        <v>1</v>
      </c>
      <c r="I2129" s="16">
        <f t="shared" si="2"/>
        <v>0</v>
      </c>
      <c r="J2129" s="18"/>
      <c r="K2129" s="18"/>
      <c r="L2129" s="18"/>
      <c r="M2129" s="18"/>
    </row>
    <row r="2130" ht="15.0" customHeight="1">
      <c r="A2130" s="4" t="str">
        <f t="shared" si="1"/>
        <v>RVR-RAIZEAGC</v>
      </c>
      <c r="B2130" s="15" t="s">
        <v>2451</v>
      </c>
      <c r="C2130" s="15" t="s">
        <v>103</v>
      </c>
      <c r="D2130" s="15" t="s">
        <v>1469</v>
      </c>
      <c r="E2130" s="15" t="s">
        <v>78</v>
      </c>
      <c r="F2130" s="18"/>
      <c r="G2130" s="4">
        <f>SUMIFS(X!$F$5:$F$2005,X!$D$5:$D$2005,'Current Stock'!A2130)</f>
        <v>1</v>
      </c>
      <c r="H2130" s="4">
        <f>SUMIFS(PENJUALAN!$E$4:$E$11000,PENJUALAN!$C$4:$C$11000,'Current Stock'!A2130)</f>
        <v>1</v>
      </c>
      <c r="I2130" s="16">
        <f t="shared" si="2"/>
        <v>0</v>
      </c>
      <c r="J2130" s="18"/>
      <c r="K2130" s="18"/>
      <c r="L2130" s="18"/>
      <c r="M2130" s="18"/>
    </row>
    <row r="2131" ht="15.0" customHeight="1">
      <c r="A2131" s="4" t="str">
        <f t="shared" si="1"/>
        <v>RVL-RAIZEAGC</v>
      </c>
      <c r="B2131" s="15" t="s">
        <v>2452</v>
      </c>
      <c r="C2131" s="15" t="s">
        <v>103</v>
      </c>
      <c r="D2131" s="15" t="s">
        <v>2453</v>
      </c>
      <c r="E2131" s="15" t="s">
        <v>78</v>
      </c>
      <c r="F2131" s="18"/>
      <c r="G2131" s="4">
        <f>SUMIFS(X!$F$5:$F$2005,X!$D$5:$D$2005,'Current Stock'!A2131)</f>
        <v>0</v>
      </c>
      <c r="H2131" s="4">
        <f>SUMIFS(PENJUALAN!$E$4:$E$11000,PENJUALAN!$C$4:$C$11000,'Current Stock'!A2131)</f>
        <v>0</v>
      </c>
      <c r="I2131" s="16">
        <f t="shared" si="2"/>
        <v>0</v>
      </c>
      <c r="J2131" s="18"/>
      <c r="K2131" s="18"/>
      <c r="L2131" s="18"/>
      <c r="M2131" s="18"/>
    </row>
    <row r="2132" ht="15.0" customHeight="1">
      <c r="A2132" s="4" t="str">
        <f t="shared" si="1"/>
        <v>LFW-SUPERCABXYG</v>
      </c>
      <c r="B2132" s="15" t="s">
        <v>2454</v>
      </c>
      <c r="C2132" s="15" t="s">
        <v>2455</v>
      </c>
      <c r="D2132" s="15" t="s">
        <v>22</v>
      </c>
      <c r="E2132" s="15" t="s">
        <v>16</v>
      </c>
      <c r="F2132" s="15" t="s">
        <v>125</v>
      </c>
      <c r="G2132" s="4">
        <f>SUMIFS(X!$F$5:$F$2005,X!$D$5:$D$2005,'Current Stock'!A2132)</f>
        <v>2</v>
      </c>
      <c r="H2132" s="4">
        <f>SUMIFS(PENJUALAN!$E$4:$E$11000,PENJUALAN!$C$4:$C$11000,'Current Stock'!A2132)</f>
        <v>2</v>
      </c>
      <c r="I2132" s="16">
        <f t="shared" si="2"/>
        <v>0</v>
      </c>
      <c r="J2132" s="18"/>
      <c r="K2132" s="18"/>
      <c r="L2132" s="18"/>
      <c r="M2132" s="18"/>
    </row>
    <row r="2133" ht="15.0" customHeight="1">
      <c r="A2133" s="4" t="str">
        <f t="shared" si="1"/>
        <v>LFW-TRAGAAGC</v>
      </c>
      <c r="B2133" s="15" t="s">
        <v>1417</v>
      </c>
      <c r="C2133" s="15" t="s">
        <v>2456</v>
      </c>
      <c r="D2133" s="15" t="s">
        <v>22</v>
      </c>
      <c r="E2133" s="15" t="s">
        <v>78</v>
      </c>
      <c r="F2133" s="18"/>
      <c r="G2133" s="4">
        <f>SUMIFS(X!$F$5:$F$2005,X!$D$5:$D$2005,'Current Stock'!A2133)</f>
        <v>1</v>
      </c>
      <c r="H2133" s="4">
        <f>SUMIFS(PENJUALAN!$E$4:$E$11000,PENJUALAN!$C$4:$C$11000,'Current Stock'!A2133)</f>
        <v>1</v>
      </c>
      <c r="I2133" s="16">
        <f t="shared" si="2"/>
        <v>0</v>
      </c>
      <c r="J2133" s="18"/>
      <c r="K2133" s="18"/>
      <c r="L2133" s="18"/>
      <c r="M2133" s="18"/>
    </row>
    <row r="2134" ht="15.0" customHeight="1">
      <c r="A2134" s="4" t="str">
        <f t="shared" si="1"/>
        <v>FDR-TRAGAAGC</v>
      </c>
      <c r="B2134" s="15" t="s">
        <v>2457</v>
      </c>
      <c r="C2134" s="15" t="s">
        <v>2456</v>
      </c>
      <c r="D2134" s="15" t="s">
        <v>45</v>
      </c>
      <c r="E2134" s="15" t="s">
        <v>78</v>
      </c>
      <c r="F2134" s="18"/>
      <c r="G2134" s="4">
        <f>SUMIFS(X!$F$5:$F$2005,X!$D$5:$D$2005,'Current Stock'!A2134)</f>
        <v>2</v>
      </c>
      <c r="H2134" s="4">
        <f>SUMIFS(PENJUALAN!$E$4:$E$11000,PENJUALAN!$C$4:$C$11000,'Current Stock'!A2134)</f>
        <v>1</v>
      </c>
      <c r="I2134" s="16">
        <f t="shared" si="2"/>
        <v>1</v>
      </c>
      <c r="J2134" s="15" t="s">
        <v>1382</v>
      </c>
      <c r="K2134" s="18"/>
      <c r="L2134" s="18"/>
      <c r="M2134" s="18"/>
    </row>
    <row r="2135" ht="15.0" customHeight="1">
      <c r="A2135" s="4" t="str">
        <f t="shared" si="1"/>
        <v>FDL-TRAGAAGC</v>
      </c>
      <c r="B2135" s="15" t="s">
        <v>2458</v>
      </c>
      <c r="C2135" s="15" t="s">
        <v>2456</v>
      </c>
      <c r="D2135" s="15" t="s">
        <v>93</v>
      </c>
      <c r="E2135" s="15" t="s">
        <v>78</v>
      </c>
      <c r="F2135" s="18"/>
      <c r="G2135" s="4">
        <f>SUMIFS(X!$F$5:$F$2005,X!$D$5:$D$2005,'Current Stock'!A2135)</f>
        <v>1</v>
      </c>
      <c r="H2135" s="4">
        <f>SUMIFS(PENJUALAN!$E$4:$E$11000,PENJUALAN!$C$4:$C$11000,'Current Stock'!A2135)</f>
        <v>0</v>
      </c>
      <c r="I2135" s="16">
        <f t="shared" si="2"/>
        <v>1</v>
      </c>
      <c r="J2135" s="15" t="s">
        <v>1382</v>
      </c>
      <c r="K2135" s="18"/>
      <c r="L2135" s="18"/>
      <c r="M2135" s="18"/>
    </row>
    <row r="2136" ht="15.0" customHeight="1">
      <c r="A2136" s="4" t="str">
        <f t="shared" si="1"/>
        <v>LFW-INNOVA22RSAGC</v>
      </c>
      <c r="B2136" s="15" t="s">
        <v>2459</v>
      </c>
      <c r="C2136" s="15" t="s">
        <v>2460</v>
      </c>
      <c r="D2136" s="15" t="s">
        <v>22</v>
      </c>
      <c r="E2136" s="15" t="s">
        <v>78</v>
      </c>
      <c r="F2136" s="15" t="s">
        <v>1332</v>
      </c>
      <c r="G2136" s="4">
        <f>SUMIFS(X!$F$5:$F$2005,X!$D$5:$D$2005,'Current Stock'!A2136)</f>
        <v>1</v>
      </c>
      <c r="H2136" s="4">
        <f>SUMIFS(PENJUALAN!$E$4:$E$11000,PENJUALAN!$C$4:$C$11000,'Current Stock'!A2136)</f>
        <v>1</v>
      </c>
      <c r="I2136" s="16">
        <f t="shared" si="2"/>
        <v>0</v>
      </c>
      <c r="J2136" s="18"/>
      <c r="K2136" s="18"/>
      <c r="L2136" s="18"/>
      <c r="M2136" s="18"/>
    </row>
    <row r="2137" ht="15.0" customHeight="1">
      <c r="A2137" s="4" t="str">
        <f t="shared" si="1"/>
        <v>TRW-INNOVA22AGC</v>
      </c>
      <c r="B2137" s="15" t="s">
        <v>2461</v>
      </c>
      <c r="C2137" s="15" t="s">
        <v>2462</v>
      </c>
      <c r="D2137" s="15" t="s">
        <v>41</v>
      </c>
      <c r="E2137" s="15" t="s">
        <v>78</v>
      </c>
      <c r="F2137" s="15" t="s">
        <v>90</v>
      </c>
      <c r="G2137" s="4">
        <f>SUMIFS(X!$F$5:$F$2005,X!$D$5:$D$2005,'Current Stock'!A2137)</f>
        <v>1</v>
      </c>
      <c r="H2137" s="4">
        <f>SUMIFS(PENJUALAN!$E$4:$E$11000,PENJUALAN!$C$4:$C$11000,'Current Stock'!A2137)</f>
        <v>1</v>
      </c>
      <c r="I2137" s="16">
        <f t="shared" si="2"/>
        <v>0</v>
      </c>
      <c r="J2137" s="18"/>
      <c r="K2137" s="18"/>
      <c r="L2137" s="18"/>
      <c r="M2137" s="18"/>
    </row>
    <row r="2138" ht="15.0" customHeight="1">
      <c r="A2138" s="4" t="str">
        <f t="shared" si="1"/>
        <v>TRW-INNOVA22HAGC</v>
      </c>
      <c r="B2138" s="15" t="s">
        <v>2463</v>
      </c>
      <c r="C2138" s="15" t="s">
        <v>2462</v>
      </c>
      <c r="D2138" s="15" t="s">
        <v>41</v>
      </c>
      <c r="E2138" s="15" t="s">
        <v>78</v>
      </c>
      <c r="F2138" s="15" t="s">
        <v>2464</v>
      </c>
      <c r="G2138" s="4">
        <f>SUMIFS(X!$F$5:$F$2005,X!$D$5:$D$2005,'Current Stock'!A2138)</f>
        <v>1</v>
      </c>
      <c r="H2138" s="4">
        <f>SUMIFS(PENJUALAN!$E$4:$E$11000,PENJUALAN!$C$4:$C$11000,'Current Stock'!A2138)</f>
        <v>0</v>
      </c>
      <c r="I2138" s="16">
        <f t="shared" si="2"/>
        <v>1</v>
      </c>
      <c r="J2138" s="15" t="s">
        <v>1860</v>
      </c>
      <c r="K2138" s="18"/>
      <c r="L2138" s="18"/>
      <c r="M2138" s="18"/>
    </row>
    <row r="2139" ht="15.0" customHeight="1">
      <c r="A2139" s="4" t="str">
        <f t="shared" si="1"/>
        <v>LFW-ERTIGA12AGC</v>
      </c>
      <c r="B2139" s="15" t="s">
        <v>1023</v>
      </c>
      <c r="C2139" s="15" t="s">
        <v>2433</v>
      </c>
      <c r="D2139" s="15" t="s">
        <v>22</v>
      </c>
      <c r="E2139" s="15" t="s">
        <v>78</v>
      </c>
      <c r="F2139" s="15" t="s">
        <v>97</v>
      </c>
      <c r="G2139" s="4">
        <f>SUMIFS(X!$F$5:$F$2005,X!$D$5:$D$2005,'Current Stock'!A2139)</f>
        <v>1</v>
      </c>
      <c r="H2139" s="4">
        <f>SUMIFS(PENJUALAN!$E$4:$E$11000,PENJUALAN!$C$4:$C$11000,'Current Stock'!A2139)</f>
        <v>1</v>
      </c>
      <c r="I2139" s="16">
        <f t="shared" si="2"/>
        <v>0</v>
      </c>
      <c r="J2139" s="18"/>
      <c r="K2139" s="18"/>
      <c r="L2139" s="18"/>
      <c r="M2139" s="18"/>
    </row>
    <row r="2140" ht="15.0" customHeight="1">
      <c r="A2140" s="4" t="str">
        <f t="shared" si="1"/>
        <v>SWL-SIENTAASH</v>
      </c>
      <c r="B2140" s="15" t="s">
        <v>2465</v>
      </c>
      <c r="C2140" s="15" t="s">
        <v>1249</v>
      </c>
      <c r="D2140" s="15" t="s">
        <v>1434</v>
      </c>
      <c r="E2140" s="15" t="s">
        <v>82</v>
      </c>
      <c r="F2140" s="15" t="s">
        <v>97</v>
      </c>
      <c r="G2140" s="4">
        <f>SUMIFS(X!$F$5:$F$2005,X!$D$5:$D$2005,'Current Stock'!A2140)</f>
        <v>1</v>
      </c>
      <c r="H2140" s="4">
        <f>SUMIFS(PENJUALAN!$E$4:$E$11000,PENJUALAN!$C$4:$C$11000,'Current Stock'!A2140)</f>
        <v>1</v>
      </c>
      <c r="I2140" s="16">
        <f t="shared" si="2"/>
        <v>0</v>
      </c>
      <c r="J2140" s="18"/>
      <c r="K2140" s="18"/>
      <c r="L2140" s="18"/>
      <c r="M2140" s="18"/>
    </row>
    <row r="2141" ht="15.0" customHeight="1">
      <c r="A2141" s="4" t="str">
        <f t="shared" si="1"/>
        <v>TRW-AVANZA11ASH</v>
      </c>
      <c r="B2141" s="15" t="s">
        <v>87</v>
      </c>
      <c r="C2141" s="15" t="s">
        <v>1472</v>
      </c>
      <c r="D2141" s="15" t="s">
        <v>41</v>
      </c>
      <c r="E2141" s="15" t="s">
        <v>82</v>
      </c>
      <c r="F2141" s="15" t="s">
        <v>97</v>
      </c>
      <c r="G2141" s="4">
        <f>SUMIFS(X!$F$5:$F$2005,X!$D$5:$D$2005,'Current Stock'!A2141)</f>
        <v>5</v>
      </c>
      <c r="H2141" s="4">
        <f>SUMIFS(PENJUALAN!$E$4:$E$11000,PENJUALAN!$C$4:$C$11000,'Current Stock'!A2141)</f>
        <v>5</v>
      </c>
      <c r="I2141" s="16">
        <f t="shared" si="2"/>
        <v>0</v>
      </c>
      <c r="J2141" s="15" t="s">
        <v>1849</v>
      </c>
      <c r="K2141" s="18"/>
      <c r="L2141" s="18"/>
      <c r="M2141" s="18"/>
    </row>
    <row r="2142" ht="15.0" customHeight="1">
      <c r="A2142" s="4" t="str">
        <f t="shared" si="1"/>
        <v>LFW-PANTHER00ASH</v>
      </c>
      <c r="B2142" s="15" t="s">
        <v>1780</v>
      </c>
      <c r="C2142" s="15" t="s">
        <v>2466</v>
      </c>
      <c r="D2142" s="15" t="s">
        <v>22</v>
      </c>
      <c r="E2142" s="15" t="s">
        <v>82</v>
      </c>
      <c r="F2142" s="15" t="s">
        <v>2347</v>
      </c>
      <c r="G2142" s="4">
        <f>SUMIFS(X!$F$5:$F$2005,X!$D$5:$D$2005,'Current Stock'!A2142)</f>
        <v>10</v>
      </c>
      <c r="H2142" s="4">
        <f>SUMIFS(PENJUALAN!$E$4:$E$11000,PENJUALAN!$C$4:$C$11000,'Current Stock'!A2142)</f>
        <v>7</v>
      </c>
      <c r="I2142" s="16">
        <f t="shared" si="2"/>
        <v>3</v>
      </c>
      <c r="J2142" s="15" t="s">
        <v>1425</v>
      </c>
      <c r="K2142" s="18"/>
      <c r="L2142" s="18"/>
      <c r="M2142" s="18"/>
    </row>
    <row r="2143" ht="15.0" customHeight="1">
      <c r="A2143" s="4" t="str">
        <f t="shared" si="1"/>
        <v>LFW-BRV16AGC</v>
      </c>
      <c r="B2143" s="15" t="s">
        <v>1977</v>
      </c>
      <c r="C2143" s="15" t="s">
        <v>2467</v>
      </c>
      <c r="D2143" s="15" t="s">
        <v>22</v>
      </c>
      <c r="E2143" s="15" t="s">
        <v>78</v>
      </c>
      <c r="F2143" s="15" t="s">
        <v>90</v>
      </c>
      <c r="G2143" s="4">
        <f>SUMIFS(X!$F$5:$F$2005,X!$D$5:$D$2005,'Current Stock'!A2143)</f>
        <v>1</v>
      </c>
      <c r="H2143" s="4">
        <f>SUMIFS(PENJUALAN!$E$4:$E$11000,PENJUALAN!$C$4:$C$11000,'Current Stock'!A2143)</f>
        <v>1</v>
      </c>
      <c r="I2143" s="16">
        <f t="shared" si="2"/>
        <v>0</v>
      </c>
      <c r="J2143" s="18"/>
      <c r="K2143" s="18"/>
      <c r="L2143" s="18"/>
      <c r="M2143" s="18"/>
    </row>
    <row r="2144" ht="15.0" customHeight="1">
      <c r="A2144" s="4" t="str">
        <f t="shared" si="1"/>
        <v>SWL-RAIZEMU</v>
      </c>
      <c r="B2144" s="15" t="s">
        <v>2468</v>
      </c>
      <c r="C2144" s="15" t="s">
        <v>2440</v>
      </c>
      <c r="D2144" s="15" t="s">
        <v>1434</v>
      </c>
      <c r="E2144" s="15" t="s">
        <v>1361</v>
      </c>
      <c r="F2144" s="15" t="s">
        <v>97</v>
      </c>
      <c r="G2144" s="4">
        <f>SUMIFS(X!$F$5:$F$2005,X!$D$5:$D$2005,'Current Stock'!A2144)</f>
        <v>1</v>
      </c>
      <c r="H2144" s="4">
        <f>SUMIFS(PENJUALAN!$E$4:$E$11000,PENJUALAN!$C$4:$C$11000,'Current Stock'!A2144)</f>
        <v>0</v>
      </c>
      <c r="I2144" s="16">
        <f t="shared" si="2"/>
        <v>1</v>
      </c>
      <c r="J2144" s="15" t="s">
        <v>1473</v>
      </c>
      <c r="K2144" s="18"/>
      <c r="L2144" s="18"/>
      <c r="M2144" s="18"/>
    </row>
    <row r="2145" ht="15.0" customHeight="1">
      <c r="A2145" s="4" t="str">
        <f t="shared" si="1"/>
        <v>SWR-RAIZEMU</v>
      </c>
      <c r="B2145" s="15" t="s">
        <v>102</v>
      </c>
      <c r="C2145" s="15" t="s">
        <v>2440</v>
      </c>
      <c r="D2145" s="15" t="s">
        <v>104</v>
      </c>
      <c r="E2145" s="15" t="s">
        <v>1361</v>
      </c>
      <c r="F2145" s="15" t="s">
        <v>97</v>
      </c>
      <c r="G2145" s="4">
        <f>SUMIFS(X!$F$5:$F$2005,X!$D$5:$D$2005,'Current Stock'!A2145)</f>
        <v>1</v>
      </c>
      <c r="H2145" s="4">
        <f>SUMIFS(PENJUALAN!$E$4:$E$11000,PENJUALAN!$C$4:$C$11000,'Current Stock'!A2145)</f>
        <v>1</v>
      </c>
      <c r="I2145" s="16">
        <f t="shared" si="2"/>
        <v>0</v>
      </c>
      <c r="J2145" s="6" t="s">
        <v>1473</v>
      </c>
      <c r="K2145" s="18"/>
      <c r="L2145" s="18"/>
      <c r="M2145" s="18"/>
    </row>
    <row r="2146" ht="15.0" customHeight="1">
      <c r="A2146" s="4" t="str">
        <f t="shared" si="1"/>
        <v>LFW-SIGRA16AGC</v>
      </c>
      <c r="B2146" s="15" t="s">
        <v>2111</v>
      </c>
      <c r="C2146" s="15" t="s">
        <v>2469</v>
      </c>
      <c r="D2146" s="15" t="s">
        <v>22</v>
      </c>
      <c r="E2146" s="15" t="s">
        <v>78</v>
      </c>
      <c r="F2146" s="15" t="s">
        <v>97</v>
      </c>
      <c r="G2146" s="4">
        <f>SUMIFS(X!$F$5:$F$2005,X!$D$5:$D$2005,'Current Stock'!A2146)</f>
        <v>1</v>
      </c>
      <c r="H2146" s="4">
        <f>SUMIFS(PENJUALAN!$E$4:$E$11000,PENJUALAN!$C$4:$C$11000,'Current Stock'!A2146)</f>
        <v>1</v>
      </c>
      <c r="I2146" s="16">
        <f t="shared" si="2"/>
        <v>0</v>
      </c>
      <c r="J2146" s="18"/>
      <c r="K2146" s="18"/>
      <c r="L2146" s="18"/>
      <c r="M2146" s="18"/>
    </row>
    <row r="2147" ht="15.0" customHeight="1">
      <c r="A2147" s="4" t="str">
        <f t="shared" si="1"/>
        <v>TRW-TRAJETXYG</v>
      </c>
      <c r="B2147" s="15" t="s">
        <v>2470</v>
      </c>
      <c r="C2147" s="15" t="s">
        <v>2471</v>
      </c>
      <c r="D2147" s="15" t="s">
        <v>41</v>
      </c>
      <c r="E2147" s="15" t="s">
        <v>16</v>
      </c>
      <c r="F2147" s="15" t="s">
        <v>1377</v>
      </c>
      <c r="G2147" s="4">
        <f>SUMIFS(X!$F$5:$F$2005,X!$D$5:$D$2005,'Current Stock'!A2147)</f>
        <v>1</v>
      </c>
      <c r="H2147" s="4">
        <f>SUMIFS(PENJUALAN!$E$4:$E$11000,PENJUALAN!$C$4:$C$11000,'Current Stock'!A2147)</f>
        <v>1</v>
      </c>
      <c r="I2147" s="16">
        <f t="shared" si="2"/>
        <v>0</v>
      </c>
      <c r="J2147" s="18"/>
      <c r="K2147" s="18"/>
      <c r="L2147" s="18"/>
      <c r="M2147" s="18"/>
    </row>
    <row r="2148" ht="15.0" customHeight="1">
      <c r="A2148" s="4" t="str">
        <f t="shared" si="1"/>
        <v>LFW-ERTIGA18AGC</v>
      </c>
      <c r="B2148" s="15" t="s">
        <v>1793</v>
      </c>
      <c r="C2148" s="15" t="s">
        <v>1397</v>
      </c>
      <c r="D2148" s="15" t="s">
        <v>22</v>
      </c>
      <c r="E2148" s="15" t="s">
        <v>78</v>
      </c>
      <c r="F2148" s="15" t="s">
        <v>97</v>
      </c>
      <c r="G2148" s="4">
        <f>SUMIFS(X!$F$5:$F$2005,X!$D$5:$D$2005,'Current Stock'!A2148)</f>
        <v>1</v>
      </c>
      <c r="H2148" s="4">
        <f>SUMIFS(PENJUALAN!$E$4:$E$11000,PENJUALAN!$C$4:$C$11000,'Current Stock'!A2148)</f>
        <v>1</v>
      </c>
      <c r="I2148" s="16">
        <f t="shared" si="2"/>
        <v>0</v>
      </c>
      <c r="J2148" s="18"/>
      <c r="K2148" s="18"/>
      <c r="L2148" s="18"/>
      <c r="M2148" s="18"/>
    </row>
    <row r="2149" ht="15.0" customHeight="1">
      <c r="A2149" s="4" t="str">
        <f t="shared" si="1"/>
        <v>FVL-INNOVA04AGC</v>
      </c>
      <c r="B2149" s="15" t="s">
        <v>2472</v>
      </c>
      <c r="C2149" s="15" t="s">
        <v>1853</v>
      </c>
      <c r="D2149" s="15" t="s">
        <v>2473</v>
      </c>
      <c r="E2149" s="15" t="s">
        <v>78</v>
      </c>
      <c r="F2149" s="15" t="s">
        <v>90</v>
      </c>
      <c r="G2149" s="4">
        <f>SUMIFS(X!$F$5:$F$2005,X!$D$5:$D$2005,'Current Stock'!A2149)</f>
        <v>1</v>
      </c>
      <c r="H2149" s="4">
        <f>SUMIFS(PENJUALAN!$E$4:$E$11000,PENJUALAN!$C$4:$C$11000,'Current Stock'!A2149)</f>
        <v>1</v>
      </c>
      <c r="I2149" s="16">
        <f t="shared" si="2"/>
        <v>0</v>
      </c>
      <c r="J2149" s="18"/>
      <c r="K2149" s="18"/>
      <c r="L2149" s="18"/>
      <c r="M2149" s="18"/>
    </row>
    <row r="2150" ht="15.0" customHeight="1">
      <c r="A2150" s="4" t="str">
        <f t="shared" si="1"/>
        <v>FVR-INNOVA04AGC</v>
      </c>
      <c r="B2150" s="15" t="s">
        <v>2474</v>
      </c>
      <c r="C2150" s="15" t="s">
        <v>1853</v>
      </c>
      <c r="D2150" s="15" t="s">
        <v>2475</v>
      </c>
      <c r="E2150" s="15" t="s">
        <v>78</v>
      </c>
      <c r="F2150" s="15" t="s">
        <v>90</v>
      </c>
      <c r="G2150" s="4">
        <f>SUMIFS(X!$F$5:$F$2005,X!$D$5:$D$2005,'Current Stock'!A2150)</f>
        <v>0</v>
      </c>
      <c r="H2150" s="4">
        <f>SUMIFS(PENJUALAN!$E$4:$E$11000,PENJUALAN!$C$4:$C$11000,'Current Stock'!A2150)</f>
        <v>0</v>
      </c>
      <c r="I2150" s="16">
        <f t="shared" si="2"/>
        <v>0</v>
      </c>
      <c r="J2150" s="18"/>
      <c r="K2150" s="18"/>
      <c r="L2150" s="18"/>
      <c r="M2150" s="18"/>
    </row>
    <row r="2151" ht="15.0" customHeight="1">
      <c r="A2151" s="4" t="str">
        <f t="shared" si="1"/>
        <v>FDR-RUSH17ASH</v>
      </c>
      <c r="B2151" s="15" t="s">
        <v>2476</v>
      </c>
      <c r="C2151" s="15" t="s">
        <v>1713</v>
      </c>
      <c r="D2151" s="15" t="s">
        <v>45</v>
      </c>
      <c r="E2151" s="15" t="s">
        <v>82</v>
      </c>
      <c r="F2151" s="18"/>
      <c r="G2151" s="4">
        <f>SUMIFS(X!$F$5:$F$2005,X!$D$5:$D$2005,'Current Stock'!A2151)</f>
        <v>5</v>
      </c>
      <c r="H2151" s="4">
        <f>SUMIFS(PENJUALAN!$E$4:$E$11000,PENJUALAN!$C$4:$C$11000,'Current Stock'!A2151)</f>
        <v>3</v>
      </c>
      <c r="I2151" s="16">
        <f t="shared" si="2"/>
        <v>2</v>
      </c>
      <c r="J2151" s="15" t="s">
        <v>1882</v>
      </c>
      <c r="K2151" s="18"/>
      <c r="L2151" s="18"/>
      <c r="M2151" s="18"/>
    </row>
    <row r="2152" ht="15.0" customHeight="1">
      <c r="A2152" s="4" t="str">
        <f t="shared" si="1"/>
        <v>FDL-RUSH17ASH</v>
      </c>
      <c r="B2152" s="15" t="s">
        <v>2477</v>
      </c>
      <c r="C2152" s="15" t="s">
        <v>1713</v>
      </c>
      <c r="D2152" s="15" t="s">
        <v>93</v>
      </c>
      <c r="E2152" s="15" t="s">
        <v>82</v>
      </c>
      <c r="F2152" s="18"/>
      <c r="G2152" s="4">
        <f>SUMIFS(X!$F$5:$F$2005,X!$D$5:$D$2005,'Current Stock'!A2152)</f>
        <v>6</v>
      </c>
      <c r="H2152" s="4">
        <f>SUMIFS(PENJUALAN!$E$4:$E$11000,PENJUALAN!$C$4:$C$11000,'Current Stock'!A2152)</f>
        <v>1</v>
      </c>
      <c r="I2152" s="16">
        <f t="shared" si="2"/>
        <v>5</v>
      </c>
      <c r="J2152" s="15" t="s">
        <v>1720</v>
      </c>
      <c r="K2152" s="18"/>
      <c r="L2152" s="18"/>
      <c r="M2152" s="18"/>
    </row>
    <row r="2153" ht="15.0" customHeight="1">
      <c r="A2153" s="4" t="str">
        <f t="shared" si="1"/>
        <v>LFW-CX5GEN2RS1NSG</v>
      </c>
      <c r="B2153" s="15" t="s">
        <v>1609</v>
      </c>
      <c r="C2153" s="15" t="s">
        <v>2478</v>
      </c>
      <c r="D2153" s="15" t="s">
        <v>22</v>
      </c>
      <c r="E2153" s="15" t="s">
        <v>2479</v>
      </c>
      <c r="F2153" s="15" t="s">
        <v>1332</v>
      </c>
      <c r="G2153" s="4">
        <f>SUMIFS(X!$F$5:$F$2005,X!$D$5:$D$2005,'Current Stock'!A2153)</f>
        <v>1</v>
      </c>
      <c r="H2153" s="4">
        <f>SUMIFS(PENJUALAN!$E$4:$E$11000,PENJUALAN!$C$4:$C$11000,'Current Stock'!A2153)</f>
        <v>1</v>
      </c>
      <c r="I2153" s="16">
        <f t="shared" si="2"/>
        <v>0</v>
      </c>
      <c r="J2153" s="18"/>
      <c r="K2153" s="18"/>
      <c r="L2153" s="18"/>
      <c r="M2153" s="18"/>
    </row>
    <row r="2154" ht="15.0" customHeight="1">
      <c r="A2154" s="4" t="str">
        <f t="shared" si="1"/>
        <v>TRW-ERTIGA12AGC</v>
      </c>
      <c r="B2154" s="15" t="s">
        <v>1962</v>
      </c>
      <c r="C2154" s="15" t="s">
        <v>2433</v>
      </c>
      <c r="D2154" s="15" t="s">
        <v>41</v>
      </c>
      <c r="E2154" s="15" t="s">
        <v>78</v>
      </c>
      <c r="F2154" s="15" t="s">
        <v>97</v>
      </c>
      <c r="G2154" s="4">
        <f>SUMIFS(X!$F$5:$F$2005,X!$D$5:$D$2005,'Current Stock'!A2154)</f>
        <v>1</v>
      </c>
      <c r="H2154" s="4">
        <f>SUMIFS(PENJUALAN!$E$4:$E$11000,PENJUALAN!$C$4:$C$11000,'Current Stock'!A2154)</f>
        <v>1</v>
      </c>
      <c r="I2154" s="16">
        <f t="shared" si="2"/>
        <v>0</v>
      </c>
      <c r="J2154" s="15" t="s">
        <v>1398</v>
      </c>
      <c r="K2154" s="18"/>
      <c r="L2154" s="18"/>
      <c r="M2154" s="18"/>
    </row>
    <row r="2155" ht="15.0" customHeight="1">
      <c r="A2155" s="4" t="str">
        <f t="shared" si="1"/>
        <v>TRW-INNOVA04HAGC</v>
      </c>
      <c r="B2155" s="15" t="s">
        <v>1161</v>
      </c>
      <c r="C2155" s="15" t="s">
        <v>1853</v>
      </c>
      <c r="D2155" s="15" t="s">
        <v>41</v>
      </c>
      <c r="E2155" s="15" t="s">
        <v>78</v>
      </c>
      <c r="F2155" s="15" t="s">
        <v>108</v>
      </c>
      <c r="G2155" s="4">
        <f>SUMIFS(X!$F$5:$F$2005,X!$D$5:$D$2005,'Current Stock'!A2155)</f>
        <v>1</v>
      </c>
      <c r="H2155" s="4">
        <f>SUMIFS(PENJUALAN!$E$4:$E$11000,PENJUALAN!$C$4:$C$11000,'Current Stock'!A2155)</f>
        <v>0</v>
      </c>
      <c r="I2155" s="16">
        <f t="shared" si="2"/>
        <v>1</v>
      </c>
      <c r="J2155" s="15" t="s">
        <v>1860</v>
      </c>
      <c r="K2155" s="18"/>
      <c r="L2155" s="18"/>
      <c r="M2155" s="18"/>
    </row>
    <row r="2156" ht="15.0" customHeight="1">
      <c r="A2156" s="4" t="str">
        <f t="shared" si="1"/>
        <v>TRW-WAGONRAGC</v>
      </c>
      <c r="B2156" s="15" t="s">
        <v>2480</v>
      </c>
      <c r="C2156" s="15" t="s">
        <v>2481</v>
      </c>
      <c r="D2156" s="15" t="s">
        <v>41</v>
      </c>
      <c r="E2156" s="15" t="s">
        <v>78</v>
      </c>
      <c r="F2156" s="15" t="s">
        <v>90</v>
      </c>
      <c r="G2156" s="4">
        <f>SUMIFS(X!$F$5:$F$2005,X!$D$5:$D$2005,'Current Stock'!A2156)</f>
        <v>1</v>
      </c>
      <c r="H2156" s="4">
        <f>SUMIFS(PENJUALAN!$E$4:$E$11000,PENJUALAN!$C$4:$C$11000,'Current Stock'!A2156)</f>
        <v>1</v>
      </c>
      <c r="I2156" s="16">
        <f t="shared" si="2"/>
        <v>0</v>
      </c>
      <c r="J2156" s="18"/>
      <c r="K2156" s="18"/>
      <c r="L2156" s="18"/>
      <c r="M2156" s="18"/>
    </row>
    <row r="2157" ht="15.0" customHeight="1">
      <c r="A2157" s="4" t="str">
        <f t="shared" si="1"/>
        <v>LFW-CITY19AGC</v>
      </c>
      <c r="B2157" s="15" t="s">
        <v>2112</v>
      </c>
      <c r="C2157" s="15" t="s">
        <v>2482</v>
      </c>
      <c r="D2157" s="15" t="s">
        <v>22</v>
      </c>
      <c r="E2157" s="15" t="s">
        <v>78</v>
      </c>
      <c r="F2157" s="15" t="s">
        <v>79</v>
      </c>
      <c r="G2157" s="4">
        <f>SUMIFS(X!$F$5:$F$2005,X!$D$5:$D$2005,'Current Stock'!A2157)</f>
        <v>1</v>
      </c>
      <c r="H2157" s="4">
        <f>SUMIFS(PENJUALAN!$E$4:$E$11000,PENJUALAN!$C$4:$C$11000,'Current Stock'!A2157)</f>
        <v>1</v>
      </c>
      <c r="I2157" s="16">
        <f t="shared" si="2"/>
        <v>0</v>
      </c>
      <c r="J2157" s="18"/>
      <c r="K2157" s="18"/>
      <c r="L2157" s="18"/>
      <c r="M2157" s="18"/>
    </row>
    <row r="2158" ht="15.0" customHeight="1">
      <c r="A2158" s="4" t="str">
        <f t="shared" si="1"/>
        <v>TRW-CITY19AGC</v>
      </c>
      <c r="B2158" s="15" t="s">
        <v>2483</v>
      </c>
      <c r="C2158" s="15" t="s">
        <v>2482</v>
      </c>
      <c r="D2158" s="15" t="s">
        <v>41</v>
      </c>
      <c r="E2158" s="15" t="s">
        <v>78</v>
      </c>
      <c r="F2158" s="15" t="s">
        <v>108</v>
      </c>
      <c r="G2158" s="4">
        <f>SUMIFS(X!$F$5:$F$2005,X!$D$5:$D$2005,'Current Stock'!A2158)</f>
        <v>1</v>
      </c>
      <c r="H2158" s="4">
        <f>SUMIFS(PENJUALAN!$E$4:$E$11000,PENJUALAN!$C$4:$C$11000,'Current Stock'!A2158)</f>
        <v>1</v>
      </c>
      <c r="I2158" s="16">
        <f t="shared" si="2"/>
        <v>0</v>
      </c>
      <c r="J2158" s="18"/>
      <c r="K2158" s="18"/>
      <c r="L2158" s="18"/>
      <c r="M2158" s="18"/>
    </row>
    <row r="2159" ht="15.0" customHeight="1">
      <c r="A2159" s="4" t="str">
        <f t="shared" si="1"/>
        <v>LFW-SPLASHAIS</v>
      </c>
      <c r="B2159" s="15" t="s">
        <v>1025</v>
      </c>
      <c r="C2159" s="15" t="s">
        <v>2484</v>
      </c>
      <c r="D2159" s="15" t="s">
        <v>22</v>
      </c>
      <c r="E2159" s="15" t="s">
        <v>1466</v>
      </c>
      <c r="F2159" s="15" t="s">
        <v>97</v>
      </c>
      <c r="G2159" s="4">
        <f>SUMIFS(X!$F$5:$F$2005,X!$D$5:$D$2005,'Current Stock'!A2159)</f>
        <v>1</v>
      </c>
      <c r="H2159" s="4">
        <f>SUMIFS(PENJUALAN!$E$4:$E$11000,PENJUALAN!$C$4:$C$11000,'Current Stock'!A2159)</f>
        <v>1</v>
      </c>
      <c r="I2159" s="16">
        <f t="shared" si="2"/>
        <v>0</v>
      </c>
      <c r="J2159" s="18"/>
      <c r="K2159" s="18"/>
      <c r="L2159" s="18"/>
      <c r="M2159" s="18"/>
    </row>
    <row r="2160" ht="15.0" customHeight="1">
      <c r="A2160" s="4" t="str">
        <f t="shared" si="1"/>
        <v>FDR-CARRYFUTURAASH</v>
      </c>
      <c r="B2160" s="15" t="s">
        <v>2083</v>
      </c>
      <c r="C2160" s="15" t="s">
        <v>2082</v>
      </c>
      <c r="D2160" s="15" t="s">
        <v>45</v>
      </c>
      <c r="E2160" s="15" t="s">
        <v>82</v>
      </c>
      <c r="F2160" s="18"/>
      <c r="G2160" s="4">
        <f>SUMIFS(X!$F$5:$F$2005,X!$D$5:$D$2005,'Current Stock'!A2160)</f>
        <v>1</v>
      </c>
      <c r="H2160" s="4">
        <f>SUMIFS(PENJUALAN!$E$4:$E$11000,PENJUALAN!$C$4:$C$11000,'Current Stock'!A2160)</f>
        <v>0</v>
      </c>
      <c r="I2160" s="16">
        <f t="shared" si="2"/>
        <v>1</v>
      </c>
      <c r="J2160" s="15" t="s">
        <v>1435</v>
      </c>
      <c r="K2160" s="18"/>
      <c r="L2160" s="18"/>
      <c r="M2160" s="18"/>
    </row>
    <row r="2161" ht="15.0" customHeight="1">
      <c r="A2161" s="4" t="str">
        <f t="shared" si="1"/>
        <v>FDL-CARRYFUTURAASH</v>
      </c>
      <c r="B2161" s="15" t="s">
        <v>2081</v>
      </c>
      <c r="C2161" s="15" t="s">
        <v>2082</v>
      </c>
      <c r="D2161" s="15" t="s">
        <v>93</v>
      </c>
      <c r="E2161" s="15" t="s">
        <v>82</v>
      </c>
      <c r="F2161" s="18"/>
      <c r="G2161" s="4">
        <f>SUMIFS(X!$F$5:$F$2005,X!$D$5:$D$2005,'Current Stock'!A2161)</f>
        <v>5</v>
      </c>
      <c r="H2161" s="4">
        <f>SUMIFS(PENJUALAN!$E$4:$E$11000,PENJUALAN!$C$4:$C$11000,'Current Stock'!A2161)</f>
        <v>0</v>
      </c>
      <c r="I2161" s="16">
        <f t="shared" si="2"/>
        <v>5</v>
      </c>
      <c r="J2161" s="15" t="s">
        <v>1720</v>
      </c>
      <c r="K2161" s="18"/>
      <c r="L2161" s="18"/>
      <c r="M2161" s="18"/>
    </row>
    <row r="2162" ht="15.0" customHeight="1">
      <c r="A2162" s="4" t="str">
        <f t="shared" si="1"/>
        <v>FDR-CIVIC05SG</v>
      </c>
      <c r="B2162" s="15" t="s">
        <v>398</v>
      </c>
      <c r="C2162" s="15" t="s">
        <v>2485</v>
      </c>
      <c r="D2162" s="15" t="s">
        <v>45</v>
      </c>
      <c r="E2162" s="15" t="s">
        <v>71</v>
      </c>
      <c r="F2162" s="15" t="s">
        <v>1855</v>
      </c>
      <c r="G2162" s="4">
        <f>SUMIFS(X!$F$5:$F$2005,X!$D$5:$D$2005,'Current Stock'!A2162)</f>
        <v>1</v>
      </c>
      <c r="H2162" s="4">
        <f>SUMIFS(PENJUALAN!$E$4:$E$11000,PENJUALAN!$C$4:$C$11000,'Current Stock'!A2162)</f>
        <v>1</v>
      </c>
      <c r="I2162" s="16">
        <f t="shared" si="2"/>
        <v>0</v>
      </c>
      <c r="J2162" s="18"/>
      <c r="K2162" s="18"/>
      <c r="L2162" s="18"/>
      <c r="M2162" s="18"/>
    </row>
    <row r="2163" ht="15.0" customHeight="1">
      <c r="A2163" s="4" t="str">
        <f t="shared" si="1"/>
        <v>LFW-CIVIC96ASH</v>
      </c>
      <c r="B2163" s="15" t="s">
        <v>382</v>
      </c>
      <c r="C2163" s="15" t="s">
        <v>2486</v>
      </c>
      <c r="D2163" s="15" t="s">
        <v>22</v>
      </c>
      <c r="E2163" s="15" t="s">
        <v>82</v>
      </c>
      <c r="F2163" s="15" t="s">
        <v>97</v>
      </c>
      <c r="G2163" s="4">
        <f>SUMIFS(X!$F$5:$F$2005,X!$D$5:$D$2005,'Current Stock'!A2163)</f>
        <v>1</v>
      </c>
      <c r="H2163" s="4">
        <f>SUMIFS(PENJUALAN!$E$4:$E$11000,PENJUALAN!$C$4:$C$11000,'Current Stock'!A2163)</f>
        <v>1</v>
      </c>
      <c r="I2163" s="16">
        <f t="shared" si="2"/>
        <v>0</v>
      </c>
      <c r="J2163" s="18"/>
      <c r="K2163" s="18"/>
      <c r="L2163" s="18"/>
      <c r="M2163" s="18"/>
    </row>
    <row r="2164" ht="15.0" customHeight="1">
      <c r="A2164" s="4" t="str">
        <f t="shared" si="1"/>
        <v>FDR-ACCORD03SG</v>
      </c>
      <c r="B2164" s="15" t="s">
        <v>2487</v>
      </c>
      <c r="C2164" s="15" t="s">
        <v>2488</v>
      </c>
      <c r="D2164" s="15" t="s">
        <v>45</v>
      </c>
      <c r="E2164" s="15" t="s">
        <v>71</v>
      </c>
      <c r="F2164" s="15" t="s">
        <v>2150</v>
      </c>
      <c r="G2164" s="4">
        <f>SUMIFS(X!$F$5:$F$2005,X!$D$5:$D$2005,'Current Stock'!A2164)</f>
        <v>1</v>
      </c>
      <c r="H2164" s="4">
        <f>SUMIFS(PENJUALAN!$E$4:$E$11000,PENJUALAN!$C$4:$C$11000,'Current Stock'!A2164)</f>
        <v>1</v>
      </c>
      <c r="I2164" s="16">
        <f t="shared" si="2"/>
        <v>0</v>
      </c>
      <c r="J2164" s="18"/>
      <c r="K2164" s="18"/>
      <c r="L2164" s="18"/>
      <c r="M2164" s="18"/>
    </row>
    <row r="2165" ht="15.0" customHeight="1">
      <c r="A2165" s="4" t="str">
        <f t="shared" si="1"/>
        <v>LFW-DMAX3XYG</v>
      </c>
      <c r="B2165" s="15" t="s">
        <v>2489</v>
      </c>
      <c r="C2165" s="15" t="s">
        <v>2490</v>
      </c>
      <c r="D2165" s="15" t="s">
        <v>22</v>
      </c>
      <c r="E2165" s="15" t="s">
        <v>16</v>
      </c>
      <c r="F2165" s="15" t="s">
        <v>125</v>
      </c>
      <c r="G2165" s="4">
        <f>SUMIFS(X!$F$5:$F$2005,X!$D$5:$D$2005,'Current Stock'!A2165)</f>
        <v>1</v>
      </c>
      <c r="H2165" s="4">
        <f>SUMIFS(PENJUALAN!$E$4:$E$11000,PENJUALAN!$C$4:$C$11000,'Current Stock'!A2165)</f>
        <v>1</v>
      </c>
      <c r="I2165" s="16">
        <f t="shared" si="2"/>
        <v>0</v>
      </c>
      <c r="J2165" s="18"/>
      <c r="K2165" s="18"/>
      <c r="L2165" s="18"/>
      <c r="M2165" s="18"/>
    </row>
    <row r="2166" ht="15.0" customHeight="1">
      <c r="A2166" s="4" t="str">
        <f t="shared" si="1"/>
        <v>SWR-AVANZA03ASH</v>
      </c>
      <c r="B2166" s="15" t="s">
        <v>1599</v>
      </c>
      <c r="C2166" s="15" t="s">
        <v>65</v>
      </c>
      <c r="D2166" s="15" t="s">
        <v>104</v>
      </c>
      <c r="E2166" s="15" t="s">
        <v>82</v>
      </c>
      <c r="F2166" s="15" t="s">
        <v>97</v>
      </c>
      <c r="G2166" s="4">
        <f>SUMIFS(X!$F$5:$F$2005,X!$D$5:$D$2005,'Current Stock'!A2166)</f>
        <v>5</v>
      </c>
      <c r="H2166" s="4">
        <f>SUMIFS(PENJUALAN!$E$4:$E$11000,PENJUALAN!$C$4:$C$11000,'Current Stock'!A2166)</f>
        <v>0</v>
      </c>
      <c r="I2166" s="16">
        <f t="shared" si="2"/>
        <v>5</v>
      </c>
      <c r="J2166" s="15" t="s">
        <v>1473</v>
      </c>
      <c r="K2166" s="18"/>
      <c r="L2166" s="18"/>
      <c r="M2166" s="18"/>
    </row>
    <row r="2167" ht="15.0" customHeight="1">
      <c r="A2167" s="4" t="str">
        <f t="shared" si="1"/>
        <v>SWL-AVANZA03ASH</v>
      </c>
      <c r="B2167" s="15" t="s">
        <v>1608</v>
      </c>
      <c r="C2167" s="15" t="s">
        <v>65</v>
      </c>
      <c r="D2167" s="15" t="s">
        <v>1434</v>
      </c>
      <c r="E2167" s="15" t="s">
        <v>82</v>
      </c>
      <c r="F2167" s="15" t="s">
        <v>97</v>
      </c>
      <c r="G2167" s="4">
        <f>SUMIFS(X!$F$5:$F$2005,X!$D$5:$D$2005,'Current Stock'!A2167)</f>
        <v>0</v>
      </c>
      <c r="H2167" s="4">
        <f>SUMIFS(PENJUALAN!$E$4:$E$11000,PENJUALAN!$C$4:$C$11000,'Current Stock'!A2167)</f>
        <v>0</v>
      </c>
      <c r="I2167" s="16">
        <f t="shared" si="2"/>
        <v>0</v>
      </c>
      <c r="J2167" s="18"/>
      <c r="K2167" s="18"/>
      <c r="L2167" s="18"/>
      <c r="M2167" s="18"/>
    </row>
    <row r="2168" ht="15.0" customHeight="1">
      <c r="A2168" s="4" t="str">
        <f t="shared" si="1"/>
        <v>LFW-BRV22AGC</v>
      </c>
      <c r="B2168" s="15" t="s">
        <v>2159</v>
      </c>
      <c r="C2168" s="15" t="s">
        <v>2491</v>
      </c>
      <c r="D2168" s="15" t="s">
        <v>22</v>
      </c>
      <c r="E2168" s="15" t="s">
        <v>78</v>
      </c>
      <c r="F2168" s="15" t="s">
        <v>125</v>
      </c>
      <c r="G2168" s="4">
        <f>SUMIFS(X!$F$5:$F$2005,X!$D$5:$D$2005,'Current Stock'!A2168)</f>
        <v>2</v>
      </c>
      <c r="H2168" s="4">
        <f>SUMIFS(PENJUALAN!$E$4:$E$11000,PENJUALAN!$C$4:$C$11000,'Current Stock'!A2168)</f>
        <v>1</v>
      </c>
      <c r="I2168" s="16">
        <f t="shared" si="2"/>
        <v>1</v>
      </c>
      <c r="J2168" s="15" t="s">
        <v>2084</v>
      </c>
      <c r="K2168" s="18"/>
      <c r="L2168" s="18"/>
      <c r="M2168" s="18"/>
    </row>
    <row r="2169" ht="15.0" customHeight="1">
      <c r="A2169" s="4" t="str">
        <f t="shared" si="1"/>
        <v>FDR-VIOS13PIL</v>
      </c>
      <c r="B2169" s="15" t="s">
        <v>1589</v>
      </c>
      <c r="C2169" s="15" t="s">
        <v>2492</v>
      </c>
      <c r="D2169" s="18"/>
      <c r="E2169" s="15" t="s">
        <v>74</v>
      </c>
      <c r="F2169" s="18"/>
      <c r="G2169" s="4">
        <f>SUMIFS(X!$F$5:$F$2005,X!$D$5:$D$2005,'Current Stock'!A2169)</f>
        <v>2</v>
      </c>
      <c r="H2169" s="4">
        <f>SUMIFS(PENJUALAN!$E$4:$E$11000,PENJUALAN!$C$4:$C$11000,'Current Stock'!A2169)</f>
        <v>1</v>
      </c>
      <c r="I2169" s="16">
        <f t="shared" si="2"/>
        <v>1</v>
      </c>
      <c r="J2169" s="15" t="s">
        <v>719</v>
      </c>
      <c r="K2169" s="18"/>
      <c r="L2169" s="18"/>
      <c r="M2169" s="18"/>
    </row>
    <row r="2170" ht="15.0" customHeight="1">
      <c r="A2170" s="4" t="str">
        <f t="shared" si="1"/>
        <v>FDR-CIVIC16PIL</v>
      </c>
      <c r="B2170" s="15" t="s">
        <v>2493</v>
      </c>
      <c r="C2170" s="15" t="s">
        <v>2494</v>
      </c>
      <c r="D2170" s="15" t="s">
        <v>45</v>
      </c>
      <c r="E2170" s="15" t="s">
        <v>74</v>
      </c>
      <c r="F2170" s="18"/>
      <c r="G2170" s="4">
        <f>SUMIFS(X!$F$5:$F$2005,X!$D$5:$D$2005,'Current Stock'!A2170)</f>
        <v>1</v>
      </c>
      <c r="H2170" s="4">
        <f>SUMIFS(PENJUALAN!$E$4:$E$11000,PENJUALAN!$C$4:$C$11000,'Current Stock'!A2170)</f>
        <v>0</v>
      </c>
      <c r="I2170" s="16">
        <f t="shared" si="2"/>
        <v>1</v>
      </c>
      <c r="J2170" s="15" t="s">
        <v>1485</v>
      </c>
      <c r="K2170" s="18"/>
      <c r="L2170" s="18"/>
      <c r="M2170" s="18"/>
    </row>
    <row r="2171" ht="15.0" customHeight="1">
      <c r="A2171" s="4" t="str">
        <f t="shared" si="1"/>
        <v>TRW-BRV16AGC</v>
      </c>
      <c r="B2171" s="15" t="s">
        <v>105</v>
      </c>
      <c r="C2171" s="15" t="s">
        <v>2467</v>
      </c>
      <c r="D2171" s="15" t="s">
        <v>41</v>
      </c>
      <c r="E2171" s="15" t="s">
        <v>78</v>
      </c>
      <c r="F2171" s="15" t="s">
        <v>2495</v>
      </c>
      <c r="G2171" s="4">
        <f>SUMIFS(X!$F$5:$F$2005,X!$D$5:$D$2005,'Current Stock'!A2171)</f>
        <v>1</v>
      </c>
      <c r="H2171" s="4">
        <f>SUMIFS(PENJUALAN!$E$4:$E$11000,PENJUALAN!$C$4:$C$11000,'Current Stock'!A2171)</f>
        <v>1</v>
      </c>
      <c r="I2171" s="16">
        <f t="shared" si="2"/>
        <v>0</v>
      </c>
      <c r="J2171" s="18"/>
      <c r="K2171" s="18"/>
      <c r="L2171" s="18"/>
      <c r="M2171" s="18"/>
    </row>
    <row r="2172" ht="15.0" customHeight="1">
      <c r="A2172" s="4" t="str">
        <f t="shared" si="1"/>
        <v>LFW-CX5GEN2RS3NSG</v>
      </c>
      <c r="B2172" s="15" t="s">
        <v>2496</v>
      </c>
      <c r="C2172" s="15" t="s">
        <v>2497</v>
      </c>
      <c r="D2172" s="15" t="s">
        <v>22</v>
      </c>
      <c r="E2172" s="15" t="s">
        <v>2479</v>
      </c>
      <c r="F2172" s="15" t="s">
        <v>2498</v>
      </c>
      <c r="G2172" s="4">
        <f>SUMIFS(X!$F$5:$F$2005,X!$D$5:$D$2005,'Current Stock'!A2172)</f>
        <v>1</v>
      </c>
      <c r="H2172" s="4">
        <f>SUMIFS(PENJUALAN!$E$4:$E$11000,PENJUALAN!$C$4:$C$11000,'Current Stock'!A2172)</f>
        <v>1</v>
      </c>
      <c r="I2172" s="16">
        <f t="shared" si="2"/>
        <v>0</v>
      </c>
      <c r="J2172" s="18"/>
      <c r="K2172" s="18"/>
      <c r="L2172" s="18"/>
      <c r="M2172" s="18"/>
    </row>
    <row r="2173" ht="15.0" customHeight="1">
      <c r="A2173" s="4" t="str">
        <f t="shared" si="1"/>
        <v>RDR-WAGON13AGC</v>
      </c>
      <c r="B2173" s="15" t="s">
        <v>2499</v>
      </c>
      <c r="C2173" s="15" t="s">
        <v>2481</v>
      </c>
      <c r="D2173" s="15" t="s">
        <v>70</v>
      </c>
      <c r="E2173" s="15" t="s">
        <v>78</v>
      </c>
      <c r="F2173" s="18"/>
      <c r="G2173" s="4">
        <f>SUMIFS(X!$F$5:$F$2005,X!$D$5:$D$2005,'Current Stock'!A2173)</f>
        <v>1</v>
      </c>
      <c r="H2173" s="4">
        <f>SUMIFS(PENJUALAN!$E$4:$E$11000,PENJUALAN!$C$4:$C$11000,'Current Stock'!A2173)</f>
        <v>1</v>
      </c>
      <c r="I2173" s="16">
        <f t="shared" si="2"/>
        <v>0</v>
      </c>
      <c r="J2173" s="18"/>
      <c r="K2173" s="18"/>
      <c r="L2173" s="18"/>
      <c r="M2173" s="18"/>
    </row>
    <row r="2174" ht="15.0" customHeight="1">
      <c r="A2174" s="4" t="str">
        <f t="shared" si="1"/>
        <v>SWL-AVANZA11ASH</v>
      </c>
      <c r="B2174" s="15" t="s">
        <v>2109</v>
      </c>
      <c r="C2174" s="15" t="s">
        <v>1472</v>
      </c>
      <c r="D2174" s="15" t="s">
        <v>1434</v>
      </c>
      <c r="E2174" s="15" t="s">
        <v>82</v>
      </c>
      <c r="F2174" s="15" t="s">
        <v>97</v>
      </c>
      <c r="G2174" s="4">
        <f>SUMIFS(X!$F$5:$F$2005,X!$D$5:$D$2005,'Current Stock'!A2174)</f>
        <v>5</v>
      </c>
      <c r="H2174" s="4">
        <f>SUMIFS(PENJUALAN!$E$4:$E$11000,PENJUALAN!$C$4:$C$11000,'Current Stock'!A2174)</f>
        <v>0</v>
      </c>
      <c r="I2174" s="16">
        <f t="shared" si="2"/>
        <v>5</v>
      </c>
      <c r="J2174" s="15" t="s">
        <v>1473</v>
      </c>
      <c r="K2174" s="18"/>
      <c r="L2174" s="18"/>
      <c r="M2174" s="18"/>
    </row>
    <row r="2175" ht="15.0" customHeight="1">
      <c r="A2175" s="4" t="str">
        <f t="shared" si="1"/>
        <v>SWR-AVANZA11ASH</v>
      </c>
      <c r="B2175" s="15" t="s">
        <v>1471</v>
      </c>
      <c r="C2175" s="15" t="s">
        <v>1472</v>
      </c>
      <c r="D2175" s="15" t="s">
        <v>104</v>
      </c>
      <c r="E2175" s="15" t="s">
        <v>82</v>
      </c>
      <c r="F2175" s="15" t="s">
        <v>97</v>
      </c>
      <c r="G2175" s="4">
        <f>SUMIFS(X!$F$5:$F$2005,X!$D$5:$D$2005,'Current Stock'!A2175)</f>
        <v>5</v>
      </c>
      <c r="H2175" s="4">
        <f>SUMIFS(PENJUALAN!$E$4:$E$11000,PENJUALAN!$C$4:$C$11000,'Current Stock'!A2175)</f>
        <v>2</v>
      </c>
      <c r="I2175" s="16">
        <f t="shared" si="2"/>
        <v>3</v>
      </c>
      <c r="J2175" s="15" t="s">
        <v>1473</v>
      </c>
      <c r="K2175" s="18"/>
      <c r="L2175" s="18"/>
      <c r="M2175" s="18"/>
    </row>
    <row r="2176" ht="15.0" customHeight="1">
      <c r="A2176" s="4" t="str">
        <f t="shared" si="1"/>
        <v>SWR-TERIOS06AGC</v>
      </c>
      <c r="B2176" s="15" t="s">
        <v>1940</v>
      </c>
      <c r="C2176" s="15" t="s">
        <v>2431</v>
      </c>
      <c r="D2176" s="15" t="s">
        <v>104</v>
      </c>
      <c r="E2176" s="15" t="s">
        <v>78</v>
      </c>
      <c r="F2176" s="15" t="s">
        <v>97</v>
      </c>
      <c r="G2176" s="4">
        <f>SUMIFS(X!$F$5:$F$2005,X!$D$5:$D$2005,'Current Stock'!A2176)</f>
        <v>2</v>
      </c>
      <c r="H2176" s="4">
        <f>SUMIFS(PENJUALAN!$E$4:$E$11000,PENJUALAN!$C$4:$C$11000,'Current Stock'!A2176)</f>
        <v>2</v>
      </c>
      <c r="I2176" s="16">
        <f t="shared" si="2"/>
        <v>0</v>
      </c>
      <c r="J2176" s="15" t="s">
        <v>1473</v>
      </c>
      <c r="K2176" s="18"/>
      <c r="L2176" s="18"/>
      <c r="M2176" s="18"/>
    </row>
    <row r="2177" ht="15.0" customHeight="1">
      <c r="A2177" s="4" t="str">
        <f t="shared" si="1"/>
        <v>RDL-AVANZA21ASH</v>
      </c>
      <c r="B2177" s="15" t="s">
        <v>2500</v>
      </c>
      <c r="C2177" s="15" t="s">
        <v>1503</v>
      </c>
      <c r="D2177" s="15" t="s">
        <v>47</v>
      </c>
      <c r="E2177" s="15" t="s">
        <v>82</v>
      </c>
      <c r="F2177" s="18"/>
      <c r="G2177" s="4">
        <f>SUMIFS(X!$F$5:$F$2005,X!$D$5:$D$2005,'Current Stock'!A2177)</f>
        <v>3</v>
      </c>
      <c r="H2177" s="4">
        <f>SUMIFS(PENJUALAN!$E$4:$E$11000,PENJUALAN!$C$4:$C$11000,'Current Stock'!A2177)</f>
        <v>0</v>
      </c>
      <c r="I2177" s="16">
        <f t="shared" si="2"/>
        <v>3</v>
      </c>
      <c r="J2177" s="15" t="s">
        <v>2133</v>
      </c>
      <c r="K2177" s="18"/>
      <c r="L2177" s="18"/>
      <c r="M2177" s="18"/>
    </row>
    <row r="2178" ht="15.0" customHeight="1">
      <c r="A2178" s="4" t="str">
        <f t="shared" si="1"/>
        <v>FDL-JAZZ01ASH</v>
      </c>
      <c r="B2178" s="15" t="s">
        <v>465</v>
      </c>
      <c r="C2178" s="15" t="s">
        <v>463</v>
      </c>
      <c r="D2178" s="15" t="s">
        <v>93</v>
      </c>
      <c r="E2178" s="15" t="s">
        <v>82</v>
      </c>
      <c r="F2178" s="18"/>
      <c r="G2178" s="4">
        <f>SUMIFS(X!$F$5:$F$2005,X!$D$5:$D$2005,'Current Stock'!A2178)</f>
        <v>5</v>
      </c>
      <c r="H2178" s="4">
        <f>SUMIFS(PENJUALAN!$E$4:$E$11000,PENJUALAN!$C$4:$C$11000,'Current Stock'!A2178)</f>
        <v>0</v>
      </c>
      <c r="I2178" s="16">
        <f t="shared" si="2"/>
        <v>5</v>
      </c>
      <c r="J2178" s="15" t="s">
        <v>1404</v>
      </c>
      <c r="K2178" s="18"/>
      <c r="L2178" s="18"/>
      <c r="M2178" s="18"/>
    </row>
    <row r="2179" ht="15.0" customHeight="1">
      <c r="A2179" s="4" t="str">
        <f t="shared" si="1"/>
        <v>MLDG-FDRCRV02HON</v>
      </c>
      <c r="B2179" s="89" t="s">
        <v>2501</v>
      </c>
      <c r="C2179" s="15" t="s">
        <v>2502</v>
      </c>
      <c r="D2179" s="15" t="s">
        <v>2503</v>
      </c>
      <c r="E2179" s="15" t="s">
        <v>2504</v>
      </c>
      <c r="F2179" s="18"/>
      <c r="G2179" s="4">
        <f>SUMIFS(X!$F$5:$F$2005,X!$D$5:$D$2005,'Current Stock'!A2179)</f>
        <v>1</v>
      </c>
      <c r="H2179" s="4">
        <f>SUMIFS(PENJUALAN!$E$4:$E$11000,PENJUALAN!$C$4:$C$11000,'Current Stock'!A2179)</f>
        <v>1</v>
      </c>
      <c r="I2179" s="16">
        <f t="shared" si="2"/>
        <v>0</v>
      </c>
      <c r="J2179" s="18"/>
      <c r="K2179" s="18"/>
      <c r="L2179" s="18"/>
      <c r="M2179" s="18"/>
    </row>
    <row r="2180" ht="15.0" customHeight="1">
      <c r="A2180" s="4" t="str">
        <f t="shared" si="1"/>
        <v>MLDG-FDLCRV02HON</v>
      </c>
      <c r="B2180" s="90" t="s">
        <v>2505</v>
      </c>
      <c r="C2180" s="15" t="s">
        <v>2502</v>
      </c>
      <c r="D2180" s="15" t="s">
        <v>2503</v>
      </c>
      <c r="E2180" s="15" t="s">
        <v>2504</v>
      </c>
      <c r="F2180" s="18"/>
      <c r="G2180" s="4">
        <f>SUMIFS(X!$F$5:$F$2005,X!$D$5:$D$2005,'Current Stock'!A2180)</f>
        <v>1</v>
      </c>
      <c r="H2180" s="4">
        <f>SUMIFS(PENJUALAN!$E$4:$E$11000,PENJUALAN!$C$4:$C$11000,'Current Stock'!A2180)</f>
        <v>1</v>
      </c>
      <c r="I2180" s="16">
        <f t="shared" si="2"/>
        <v>0</v>
      </c>
      <c r="J2180" s="18"/>
      <c r="K2180" s="18"/>
      <c r="L2180" s="18"/>
      <c r="M2180" s="18"/>
    </row>
    <row r="2181" ht="15.0" customHeight="1">
      <c r="A2181" s="4" t="str">
        <f t="shared" si="1"/>
        <v>LFW-CRV05ASH</v>
      </c>
      <c r="B2181" s="15" t="s">
        <v>420</v>
      </c>
      <c r="C2181" s="15" t="s">
        <v>2506</v>
      </c>
      <c r="D2181" s="15" t="s">
        <v>22</v>
      </c>
      <c r="E2181" s="15" t="s">
        <v>82</v>
      </c>
      <c r="F2181" s="15" t="s">
        <v>125</v>
      </c>
      <c r="G2181" s="4">
        <f>SUMIFS(X!$F$5:$F$2005,X!$D$5:$D$2005,'Current Stock'!A2181)</f>
        <v>1</v>
      </c>
      <c r="H2181" s="4">
        <f>SUMIFS(PENJUALAN!$E$4:$E$11000,PENJUALAN!$C$4:$C$11000,'Current Stock'!A2181)</f>
        <v>1</v>
      </c>
      <c r="I2181" s="16">
        <f t="shared" si="2"/>
        <v>0</v>
      </c>
      <c r="J2181" s="18"/>
      <c r="K2181" s="18"/>
      <c r="L2181" s="18"/>
      <c r="M2181" s="18"/>
    </row>
    <row r="2182" ht="15.0" customHeight="1">
      <c r="A2182" s="4" t="str">
        <f t="shared" si="1"/>
        <v>FDR-HILUX05SCSG</v>
      </c>
      <c r="B2182" s="15" t="s">
        <v>2507</v>
      </c>
      <c r="C2182" s="15" t="s">
        <v>2508</v>
      </c>
      <c r="D2182" s="15" t="s">
        <v>45</v>
      </c>
      <c r="E2182" s="15" t="s">
        <v>71</v>
      </c>
      <c r="F2182" s="18"/>
      <c r="G2182" s="4">
        <f>SUMIFS(X!$F$5:$F$2005,X!$D$5:$D$2005,'Current Stock'!A2182)</f>
        <v>1</v>
      </c>
      <c r="H2182" s="4">
        <f>SUMIFS(PENJUALAN!$E$4:$E$11000,PENJUALAN!$C$4:$C$11000,'Current Stock'!A2182)</f>
        <v>1</v>
      </c>
      <c r="I2182" s="16">
        <f t="shared" si="2"/>
        <v>0</v>
      </c>
      <c r="J2182" s="18"/>
      <c r="K2182" s="18"/>
      <c r="L2182" s="18"/>
      <c r="M2182" s="18"/>
    </row>
    <row r="2183" ht="15.0" customHeight="1">
      <c r="A2183" s="4" t="str">
        <f t="shared" si="1"/>
        <v>TRW-CIVIC05PIL</v>
      </c>
      <c r="B2183" s="15" t="s">
        <v>395</v>
      </c>
      <c r="C2183" s="15" t="s">
        <v>2485</v>
      </c>
      <c r="D2183" s="15" t="s">
        <v>41</v>
      </c>
      <c r="E2183" s="15" t="s">
        <v>74</v>
      </c>
      <c r="F2183" s="15" t="s">
        <v>108</v>
      </c>
      <c r="G2183" s="4">
        <f>SUMIFS(X!$F$5:$F$2005,X!$D$5:$D$2005,'Current Stock'!A2183)</f>
        <v>2</v>
      </c>
      <c r="H2183" s="4">
        <f>SUMIFS(PENJUALAN!$E$4:$E$11000,PENJUALAN!$C$4:$C$11000,'Current Stock'!A2183)</f>
        <v>1</v>
      </c>
      <c r="I2183" s="16">
        <f t="shared" si="2"/>
        <v>1</v>
      </c>
      <c r="J2183" s="15" t="s">
        <v>1898</v>
      </c>
      <c r="K2183" s="18"/>
      <c r="L2183" s="18"/>
      <c r="M2183" s="18"/>
    </row>
    <row r="2184" ht="15.0" customHeight="1">
      <c r="A2184" s="4" t="str">
        <f t="shared" si="1"/>
        <v>LFW-QUESTERASH</v>
      </c>
      <c r="B2184" s="15" t="s">
        <v>2005</v>
      </c>
      <c r="C2184" s="15" t="s">
        <v>2006</v>
      </c>
      <c r="D2184" s="15" t="s">
        <v>22</v>
      </c>
      <c r="E2184" s="15" t="s">
        <v>82</v>
      </c>
      <c r="F2184" s="15"/>
      <c r="G2184" s="4">
        <f>SUMIFS(X!$F$5:$F$2005,X!$D$5:$D$2005,'Current Stock'!A2184)</f>
        <v>2</v>
      </c>
      <c r="H2184" s="4">
        <f>SUMIFS(PENJUALAN!$E$4:$E$11000,PENJUALAN!$C$4:$C$11000,'Current Stock'!A2184)</f>
        <v>2</v>
      </c>
      <c r="I2184" s="16">
        <f t="shared" si="2"/>
        <v>0</v>
      </c>
      <c r="J2184" s="18"/>
      <c r="K2184" s="18"/>
      <c r="L2184" s="18"/>
      <c r="M2184" s="18"/>
    </row>
    <row r="2185" ht="15.0" customHeight="1">
      <c r="A2185" s="4" t="str">
        <f t="shared" si="1"/>
        <v>FDR-SWIFT04ASH</v>
      </c>
      <c r="B2185" s="15" t="s">
        <v>1405</v>
      </c>
      <c r="C2185" s="15" t="s">
        <v>1406</v>
      </c>
      <c r="D2185" s="15" t="s">
        <v>45</v>
      </c>
      <c r="E2185" s="15" t="s">
        <v>82</v>
      </c>
      <c r="F2185" s="18"/>
      <c r="G2185" s="4">
        <f>SUMIFS(X!$F$5:$F$2005,X!$D$5:$D$2005,'Current Stock'!A2185)</f>
        <v>1</v>
      </c>
      <c r="H2185" s="4">
        <f>SUMIFS(PENJUALAN!$E$4:$E$11000,PENJUALAN!$C$4:$C$11000,'Current Stock'!A2185)</f>
        <v>1</v>
      </c>
      <c r="I2185" s="16">
        <f t="shared" si="2"/>
        <v>0</v>
      </c>
      <c r="J2185" s="18"/>
      <c r="K2185" s="18"/>
      <c r="L2185" s="18"/>
      <c r="M2185" s="18"/>
    </row>
    <row r="2186" ht="15.0" customHeight="1">
      <c r="A2186" s="4" t="str">
        <f t="shared" si="1"/>
        <v>FDL-SWIFT04ASH</v>
      </c>
      <c r="B2186" s="15" t="s">
        <v>2509</v>
      </c>
      <c r="C2186" s="15" t="s">
        <v>1406</v>
      </c>
      <c r="D2186" s="15" t="s">
        <v>93</v>
      </c>
      <c r="E2186" s="15" t="s">
        <v>82</v>
      </c>
      <c r="F2186" s="18"/>
      <c r="G2186" s="4">
        <f>SUMIFS(X!$F$5:$F$2005,X!$D$5:$D$2005,'Current Stock'!A2186)</f>
        <v>0</v>
      </c>
      <c r="H2186" s="4">
        <f>SUMIFS(PENJUALAN!$E$4:$E$11000,PENJUALAN!$C$4:$C$11000,'Current Stock'!A2186)</f>
        <v>0</v>
      </c>
      <c r="I2186" s="16">
        <f t="shared" si="2"/>
        <v>0</v>
      </c>
      <c r="J2186" s="18"/>
      <c r="K2186" s="18"/>
      <c r="L2186" s="18"/>
      <c r="M2186" s="18"/>
    </row>
    <row r="2187" ht="15.0" customHeight="1">
      <c r="A2187" s="4" t="str">
        <f t="shared" si="1"/>
        <v>TRW-STARGAZERFY</v>
      </c>
      <c r="B2187" s="15" t="s">
        <v>1615</v>
      </c>
      <c r="C2187" s="15" t="s">
        <v>2510</v>
      </c>
      <c r="D2187" s="15" t="s">
        <v>41</v>
      </c>
      <c r="E2187" s="15" t="s">
        <v>111</v>
      </c>
      <c r="F2187" s="15" t="s">
        <v>90</v>
      </c>
      <c r="G2187" s="4">
        <f>SUMIFS(X!$F$5:$F$2005,X!$D$5:$D$2005,'Current Stock'!A2187)</f>
        <v>1</v>
      </c>
      <c r="H2187" s="4">
        <f>SUMIFS(PENJUALAN!$E$4:$E$11000,PENJUALAN!$C$4:$C$11000,'Current Stock'!A2187)</f>
        <v>1</v>
      </c>
      <c r="I2187" s="16">
        <f t="shared" si="2"/>
        <v>0</v>
      </c>
      <c r="J2187" s="18"/>
      <c r="K2187" s="18"/>
      <c r="L2187" s="18"/>
      <c r="M2187" s="18"/>
    </row>
    <row r="2188" ht="15.0" customHeight="1">
      <c r="A2188" s="4" t="str">
        <f t="shared" si="1"/>
        <v>TRW-W117XYG</v>
      </c>
      <c r="B2188" s="15" t="s">
        <v>2511</v>
      </c>
      <c r="C2188" s="15" t="s">
        <v>2512</v>
      </c>
      <c r="D2188" s="15" t="s">
        <v>41</v>
      </c>
      <c r="E2188" s="15" t="s">
        <v>16</v>
      </c>
      <c r="F2188" s="15" t="s">
        <v>118</v>
      </c>
      <c r="G2188" s="4">
        <f>SUMIFS(X!$F$5:$F$2005,X!$D$5:$D$2005,'Current Stock'!A2188)</f>
        <v>1</v>
      </c>
      <c r="H2188" s="4">
        <f>SUMIFS(PENJUALAN!$E$4:$E$11000,PENJUALAN!$C$4:$C$11000,'Current Stock'!A2188)</f>
        <v>1</v>
      </c>
      <c r="I2188" s="16">
        <f t="shared" si="2"/>
        <v>0</v>
      </c>
      <c r="J2188" s="18"/>
      <c r="K2188" s="18"/>
      <c r="L2188" s="18"/>
      <c r="M2188" s="18"/>
    </row>
    <row r="2189" ht="15.0" customHeight="1">
      <c r="A2189" s="4" t="str">
        <f t="shared" si="1"/>
        <v>LFW-TERRANOXYG</v>
      </c>
      <c r="B2189" s="15" t="s">
        <v>2337</v>
      </c>
      <c r="C2189" s="15" t="s">
        <v>2338</v>
      </c>
      <c r="D2189" s="15" t="s">
        <v>22</v>
      </c>
      <c r="E2189" s="15" t="s">
        <v>16</v>
      </c>
      <c r="F2189" s="15" t="s">
        <v>2513</v>
      </c>
      <c r="G2189" s="4">
        <f>SUMIFS(X!$F$5:$F$2005,X!$D$5:$D$2005,'Current Stock'!A2189)</f>
        <v>6</v>
      </c>
      <c r="H2189" s="4">
        <f>SUMIFS(PENJUALAN!$E$4:$E$11000,PENJUALAN!$C$4:$C$11000,'Current Stock'!A2189)</f>
        <v>0</v>
      </c>
      <c r="I2189" s="16">
        <f t="shared" si="2"/>
        <v>6</v>
      </c>
      <c r="J2189" s="15" t="s">
        <v>1878</v>
      </c>
      <c r="K2189" s="18"/>
      <c r="L2189" s="18"/>
      <c r="M2189" s="18"/>
    </row>
    <row r="2190" ht="15.0" customHeight="1">
      <c r="A2190" s="4" t="str">
        <f t="shared" si="1"/>
        <v>LFW-DYNABY40ASH</v>
      </c>
      <c r="B2190" s="15" t="s">
        <v>2514</v>
      </c>
      <c r="C2190" s="15" t="s">
        <v>2515</v>
      </c>
      <c r="D2190" s="15" t="s">
        <v>22</v>
      </c>
      <c r="E2190" s="15" t="s">
        <v>82</v>
      </c>
      <c r="F2190" s="18"/>
      <c r="G2190" s="4">
        <f>SUMIFS(X!$F$5:$F$2005,X!$D$5:$D$2005,'Current Stock'!A2190)</f>
        <v>1</v>
      </c>
      <c r="H2190" s="4">
        <f>SUMIFS(PENJUALAN!$E$4:$E$11000,PENJUALAN!$C$4:$C$11000,'Current Stock'!A2190)</f>
        <v>1</v>
      </c>
      <c r="I2190" s="16">
        <f t="shared" si="2"/>
        <v>0</v>
      </c>
      <c r="J2190" s="18"/>
      <c r="K2190" s="18"/>
      <c r="L2190" s="18"/>
      <c r="M2190" s="18"/>
    </row>
    <row r="2191" ht="15.0" customHeight="1">
      <c r="A2191" s="4" t="str">
        <f t="shared" si="1"/>
        <v>FDL-DYNABY40ASH</v>
      </c>
      <c r="B2191" s="15" t="s">
        <v>2516</v>
      </c>
      <c r="C2191" s="15" t="s">
        <v>2515</v>
      </c>
      <c r="D2191" s="15" t="s">
        <v>93</v>
      </c>
      <c r="E2191" s="15" t="s">
        <v>82</v>
      </c>
      <c r="F2191" s="18"/>
      <c r="G2191" s="4">
        <f>SUMIFS(X!$F$5:$F$2005,X!$D$5:$D$2005,'Current Stock'!A2191)</f>
        <v>1</v>
      </c>
      <c r="H2191" s="4">
        <f>SUMIFS(PENJUALAN!$E$4:$E$11000,PENJUALAN!$C$4:$C$11000,'Current Stock'!A2191)</f>
        <v>1</v>
      </c>
      <c r="I2191" s="16">
        <f t="shared" si="2"/>
        <v>0</v>
      </c>
      <c r="J2191" s="18"/>
      <c r="K2191" s="18"/>
      <c r="L2191" s="18"/>
      <c r="M2191" s="18"/>
    </row>
    <row r="2192" ht="15.0" customHeight="1">
      <c r="A2192" s="4" t="str">
        <f t="shared" si="1"/>
        <v>FDR-DYNABY40ASH</v>
      </c>
      <c r="B2192" s="15" t="s">
        <v>2517</v>
      </c>
      <c r="C2192" s="15" t="s">
        <v>2515</v>
      </c>
      <c r="D2192" s="15" t="s">
        <v>45</v>
      </c>
      <c r="E2192" s="15" t="s">
        <v>82</v>
      </c>
      <c r="F2192" s="18"/>
      <c r="G2192" s="4">
        <f>SUMIFS(X!$F$5:$F$2005,X!$D$5:$D$2005,'Current Stock'!A2192)</f>
        <v>0</v>
      </c>
      <c r="H2192" s="4">
        <f>SUMIFS(PENJUALAN!$E$4:$E$11000,PENJUALAN!$C$4:$C$11000,'Current Stock'!A2192)</f>
        <v>0</v>
      </c>
      <c r="I2192" s="16">
        <f t="shared" si="2"/>
        <v>0</v>
      </c>
      <c r="J2192" s="18"/>
      <c r="K2192" s="18"/>
      <c r="L2192" s="18"/>
      <c r="M2192" s="18"/>
    </row>
    <row r="2193" ht="15.0" customHeight="1">
      <c r="A2193" s="4" t="str">
        <f t="shared" si="1"/>
        <v>FDR-SIGRA16ASH</v>
      </c>
      <c r="B2193" s="15" t="s">
        <v>1985</v>
      </c>
      <c r="C2193" s="15" t="s">
        <v>2518</v>
      </c>
      <c r="D2193" s="15" t="s">
        <v>45</v>
      </c>
      <c r="E2193" s="15" t="s">
        <v>82</v>
      </c>
      <c r="F2193" s="18"/>
      <c r="G2193" s="4">
        <f>SUMIFS(X!$F$5:$F$2005,X!$D$5:$D$2005,'Current Stock'!A2193)</f>
        <v>5</v>
      </c>
      <c r="H2193" s="4">
        <f>SUMIFS(PENJUALAN!$E$4:$E$11000,PENJUALAN!$C$4:$C$11000,'Current Stock'!A2193)</f>
        <v>0</v>
      </c>
      <c r="I2193" s="16">
        <f t="shared" si="2"/>
        <v>5</v>
      </c>
      <c r="J2193" s="15" t="s">
        <v>2519</v>
      </c>
      <c r="K2193" s="18"/>
      <c r="L2193" s="18"/>
      <c r="M2193" s="18"/>
    </row>
    <row r="2194" ht="15.0" customHeight="1">
      <c r="A2194" s="4" t="str">
        <f t="shared" si="1"/>
        <v>FDL-SIGRA16ASH</v>
      </c>
      <c r="B2194" s="15" t="s">
        <v>2115</v>
      </c>
      <c r="C2194" s="15" t="s">
        <v>2518</v>
      </c>
      <c r="D2194" s="15" t="s">
        <v>93</v>
      </c>
      <c r="E2194" s="15" t="s">
        <v>82</v>
      </c>
      <c r="F2194" s="18"/>
      <c r="G2194" s="4">
        <f>SUMIFS(X!$F$5:$F$2005,X!$D$5:$D$2005,'Current Stock'!A2194)</f>
        <v>0</v>
      </c>
      <c r="H2194" s="4">
        <f>SUMIFS(PENJUALAN!$E$4:$E$11000,PENJUALAN!$C$4:$C$11000,'Current Stock'!A2194)</f>
        <v>0</v>
      </c>
      <c r="I2194" s="16">
        <f t="shared" si="2"/>
        <v>0</v>
      </c>
      <c r="J2194" s="18"/>
      <c r="K2194" s="18"/>
      <c r="L2194" s="18"/>
      <c r="M2194" s="18"/>
    </row>
    <row r="2195" ht="15.0" customHeight="1">
      <c r="A2195" s="4" t="str">
        <f t="shared" si="1"/>
        <v>FDR-SIGRA16AGC</v>
      </c>
      <c r="B2195" s="15" t="s">
        <v>1985</v>
      </c>
      <c r="C2195" s="15" t="s">
        <v>2469</v>
      </c>
      <c r="D2195" s="15" t="s">
        <v>45</v>
      </c>
      <c r="E2195" s="15" t="s">
        <v>78</v>
      </c>
      <c r="F2195" s="18"/>
      <c r="G2195" s="4">
        <f>SUMIFS(X!$F$5:$F$2005,X!$D$5:$D$2005,'Current Stock'!A2195)</f>
        <v>1</v>
      </c>
      <c r="H2195" s="4">
        <f>SUMIFS(PENJUALAN!$E$4:$E$11000,PENJUALAN!$C$4:$C$11000,'Current Stock'!A2195)</f>
        <v>1</v>
      </c>
      <c r="I2195" s="16">
        <f t="shared" si="2"/>
        <v>0</v>
      </c>
      <c r="J2195" s="18"/>
      <c r="K2195" s="18"/>
      <c r="L2195" s="18"/>
      <c r="M2195" s="18"/>
    </row>
    <row r="2196" ht="15.0" customHeight="1">
      <c r="A2196" s="4" t="str">
        <f t="shared" si="1"/>
        <v>FDL-SIGRA16AGC</v>
      </c>
      <c r="B2196" s="15" t="s">
        <v>2115</v>
      </c>
      <c r="C2196" s="15" t="s">
        <v>2469</v>
      </c>
      <c r="D2196" s="15" t="s">
        <v>93</v>
      </c>
      <c r="E2196" s="15" t="s">
        <v>78</v>
      </c>
      <c r="F2196" s="18"/>
      <c r="G2196" s="4">
        <f>SUMIFS(X!$F$5:$F$2005,X!$D$5:$D$2005,'Current Stock'!A2196)</f>
        <v>1</v>
      </c>
      <c r="H2196" s="4">
        <f>SUMIFS(PENJUALAN!$E$4:$E$11000,PENJUALAN!$C$4:$C$11000,'Current Stock'!A2196)</f>
        <v>1</v>
      </c>
      <c r="I2196" s="16">
        <f t="shared" si="2"/>
        <v>0</v>
      </c>
      <c r="J2196" s="18"/>
      <c r="K2196" s="18"/>
      <c r="L2196" s="18"/>
      <c r="M2196" s="18"/>
    </row>
    <row r="2197" ht="15.0" customHeight="1">
      <c r="A2197" s="4" t="str">
        <f t="shared" si="1"/>
        <v>LFW-JAZZ13AGC</v>
      </c>
      <c r="B2197" s="15" t="s">
        <v>475</v>
      </c>
      <c r="C2197" s="15" t="s">
        <v>2520</v>
      </c>
      <c r="D2197" s="15" t="s">
        <v>22</v>
      </c>
      <c r="E2197" s="15" t="s">
        <v>78</v>
      </c>
      <c r="F2197" s="15" t="s">
        <v>79</v>
      </c>
      <c r="G2197" s="4">
        <f>SUMIFS(X!$F$5:$F$2005,X!$D$5:$D$2005,'Current Stock'!A2197)</f>
        <v>1</v>
      </c>
      <c r="H2197" s="4">
        <f>SUMIFS(PENJUALAN!$E$4:$E$11000,PENJUALAN!$C$4:$C$11000,'Current Stock'!A2197)</f>
        <v>1</v>
      </c>
      <c r="I2197" s="16">
        <f t="shared" si="2"/>
        <v>0</v>
      </c>
      <c r="J2197" s="18"/>
      <c r="K2197" s="18"/>
      <c r="L2197" s="18"/>
      <c r="M2197" s="18"/>
    </row>
    <row r="2198" ht="15.0" customHeight="1">
      <c r="A2198" s="4" t="str">
        <f t="shared" si="1"/>
        <v>TRW-CX3XYG</v>
      </c>
      <c r="B2198" s="15" t="s">
        <v>2521</v>
      </c>
      <c r="C2198" s="15" t="s">
        <v>2522</v>
      </c>
      <c r="D2198" s="15" t="s">
        <v>41</v>
      </c>
      <c r="E2198" s="15" t="s">
        <v>16</v>
      </c>
      <c r="F2198" s="15" t="s">
        <v>1377</v>
      </c>
      <c r="G2198" s="4">
        <f>SUMIFS(X!$F$5:$F$2005,X!$D$5:$D$2005,'Current Stock'!A2198)</f>
        <v>1</v>
      </c>
      <c r="H2198" s="4">
        <f>SUMIFS(PENJUALAN!$E$4:$E$11000,PENJUALAN!$C$4:$C$11000,'Current Stock'!A2198)</f>
        <v>1</v>
      </c>
      <c r="I2198" s="16">
        <f t="shared" si="2"/>
        <v>0</v>
      </c>
      <c r="J2198" s="18"/>
      <c r="K2198" s="18"/>
      <c r="L2198" s="18"/>
      <c r="M2198" s="18"/>
    </row>
    <row r="2199" ht="15.0" customHeight="1">
      <c r="A2199" s="4" t="str">
        <f t="shared" si="1"/>
        <v>LFW-G11RS1XYG</v>
      </c>
      <c r="B2199" s="15" t="s">
        <v>2523</v>
      </c>
      <c r="C2199" s="15" t="s">
        <v>2524</v>
      </c>
      <c r="D2199" s="15" t="s">
        <v>22</v>
      </c>
      <c r="E2199" s="15" t="s">
        <v>16</v>
      </c>
      <c r="F2199" s="15" t="s">
        <v>112</v>
      </c>
      <c r="G2199" s="4">
        <f>SUMIFS(X!$F$5:$F$2005,X!$D$5:$D$2005,'Current Stock'!A2199)</f>
        <v>1</v>
      </c>
      <c r="H2199" s="4">
        <f>SUMIFS(PENJUALAN!$E$4:$E$11000,PENJUALAN!$C$4:$C$11000,'Current Stock'!A2199)</f>
        <v>1</v>
      </c>
      <c r="I2199" s="16">
        <f t="shared" si="2"/>
        <v>0</v>
      </c>
      <c r="J2199" s="18"/>
      <c r="K2199" s="18"/>
      <c r="L2199" s="18"/>
      <c r="M2199" s="18"/>
    </row>
    <row r="2200" ht="15.0" customHeight="1">
      <c r="A2200" s="4" t="str">
        <f t="shared" si="1"/>
        <v>LFW-G11RS2XYG</v>
      </c>
      <c r="B2200" s="15" t="s">
        <v>2525</v>
      </c>
      <c r="C2200" s="15" t="s">
        <v>2526</v>
      </c>
      <c r="D2200" s="15" t="s">
        <v>22</v>
      </c>
      <c r="E2200" s="15" t="s">
        <v>16</v>
      </c>
      <c r="F2200" s="15" t="s">
        <v>112</v>
      </c>
      <c r="G2200" s="4">
        <f>SUMIFS(X!$F$5:$F$2005,X!$D$5:$D$2005,'Current Stock'!A2200)</f>
        <v>0</v>
      </c>
      <c r="H2200" s="4">
        <f>SUMIFS(PENJUALAN!$E$4:$E$11000,PENJUALAN!$C$4:$C$11000,'Current Stock'!A2200)</f>
        <v>0</v>
      </c>
      <c r="I2200" s="16">
        <f t="shared" si="2"/>
        <v>0</v>
      </c>
      <c r="J2200" s="18"/>
      <c r="K2200" s="18"/>
      <c r="L2200" s="18"/>
      <c r="M2200" s="18"/>
    </row>
    <row r="2201" ht="15.0" customHeight="1">
      <c r="A2201" s="4" t="str">
        <f t="shared" si="1"/>
        <v>LFW-SALSARS1XYG</v>
      </c>
      <c r="B2201" s="15" t="s">
        <v>2527</v>
      </c>
      <c r="C2201" s="15" t="s">
        <v>2528</v>
      </c>
      <c r="D2201" s="15" t="s">
        <v>22</v>
      </c>
      <c r="E2201" s="15" t="s">
        <v>16</v>
      </c>
      <c r="F2201" s="18"/>
      <c r="G2201" s="4">
        <f>SUMIFS(X!$F$5:$F$2005,X!$D$5:$D$2005,'Current Stock'!A2201)</f>
        <v>0</v>
      </c>
      <c r="H2201" s="4">
        <f>SUMIFS(PENJUALAN!$E$4:$E$11000,PENJUALAN!$C$4:$C$11000,'Current Stock'!A2201)</f>
        <v>1</v>
      </c>
      <c r="I2201" s="16">
        <f t="shared" si="2"/>
        <v>-1</v>
      </c>
      <c r="J2201" s="18"/>
      <c r="K2201" s="18"/>
      <c r="L2201" s="18"/>
      <c r="M2201" s="18"/>
    </row>
    <row r="2202" ht="15.0" customHeight="1">
      <c r="A2202" s="4" t="str">
        <f t="shared" si="1"/>
        <v>LFW-TRAGAXYG</v>
      </c>
      <c r="B2202" s="15" t="s">
        <v>1417</v>
      </c>
      <c r="C2202" s="15" t="s">
        <v>1418</v>
      </c>
      <c r="D2202" s="15" t="s">
        <v>22</v>
      </c>
      <c r="E2202" s="15" t="s">
        <v>16</v>
      </c>
      <c r="F2202" s="18"/>
      <c r="G2202" s="4">
        <f>SUMIFS(X!$F$5:$F$2005,X!$D$5:$D$2005,'Current Stock'!A2202)</f>
        <v>2</v>
      </c>
      <c r="H2202" s="4">
        <f>SUMIFS(PENJUALAN!$E$4:$E$11000,PENJUALAN!$C$4:$C$11000,'Current Stock'!A2202)</f>
        <v>0</v>
      </c>
      <c r="I2202" s="16">
        <f t="shared" si="2"/>
        <v>2</v>
      </c>
      <c r="J2202" s="15" t="s">
        <v>1683</v>
      </c>
      <c r="K2202" s="18"/>
      <c r="L2202" s="18"/>
      <c r="M2202" s="18"/>
    </row>
    <row r="2203" ht="15.0" customHeight="1">
      <c r="A2203" s="4" t="str">
        <f t="shared" si="1"/>
        <v>LFW-PAJERO16RS2AGC</v>
      </c>
      <c r="B2203" s="15" t="s">
        <v>1698</v>
      </c>
      <c r="C2203" s="4" t="s">
        <v>1699</v>
      </c>
      <c r="D2203" s="15" t="s">
        <v>22</v>
      </c>
      <c r="E2203" s="15" t="s">
        <v>78</v>
      </c>
      <c r="F2203" s="15" t="s">
        <v>2529</v>
      </c>
      <c r="G2203" s="4">
        <f>SUMIFS(X!$F$5:$F$2005,X!$D$5:$D$2005,'Current Stock'!A2203)</f>
        <v>0</v>
      </c>
      <c r="H2203" s="4">
        <f>SUMIFS(PENJUALAN!$E$4:$E$11000,PENJUALAN!$C$4:$C$11000,'Current Stock'!A2203)</f>
        <v>0</v>
      </c>
      <c r="I2203" s="16">
        <f t="shared" si="2"/>
        <v>0</v>
      </c>
      <c r="J2203" s="18"/>
      <c r="K2203" s="18"/>
      <c r="L2203" s="18"/>
      <c r="M2203" s="18"/>
    </row>
    <row r="2204" ht="15.0" customHeight="1">
      <c r="A2204" s="4" t="str">
        <f t="shared" si="1"/>
        <v>TRW-AGYA13MU</v>
      </c>
      <c r="B2204" s="76" t="s">
        <v>2184</v>
      </c>
      <c r="C2204" s="39" t="s">
        <v>2185</v>
      </c>
      <c r="D2204" s="77" t="s">
        <v>41</v>
      </c>
      <c r="E2204" s="22" t="s">
        <v>1361</v>
      </c>
      <c r="F2204" s="77" t="s">
        <v>97</v>
      </c>
      <c r="G2204" s="4">
        <f>SUMIFS(X!$F$5:$F$2005,X!$D$5:$D$2005,'Current Stock'!A2204)</f>
        <v>3</v>
      </c>
      <c r="H2204" s="4">
        <f>SUMIFS(PENJUALAN!$E$4:$E$11000,PENJUALAN!$C$4:$C$11000,'Current Stock'!A2204)</f>
        <v>0</v>
      </c>
      <c r="I2204" s="16">
        <f t="shared" si="2"/>
        <v>3</v>
      </c>
      <c r="J2204" s="18"/>
      <c r="K2204" s="18"/>
      <c r="L2204" s="18"/>
      <c r="M2204" s="18"/>
    </row>
    <row r="2205" ht="15.0" customHeight="1">
      <c r="A2205" s="4" t="str">
        <f t="shared" si="1"/>
        <v>LFW-HRV14AGC</v>
      </c>
      <c r="B2205" s="15" t="s">
        <v>459</v>
      </c>
      <c r="C2205" s="28" t="s">
        <v>460</v>
      </c>
      <c r="D2205" s="28" t="s">
        <v>22</v>
      </c>
      <c r="E2205" s="15" t="s">
        <v>78</v>
      </c>
      <c r="F2205" s="28" t="s">
        <v>125</v>
      </c>
      <c r="G2205" s="4">
        <f>SUMIFS(X!$F$5:$F$2005,X!$D$5:$D$2005,'Current Stock'!A2205)</f>
        <v>3</v>
      </c>
      <c r="H2205" s="4">
        <f>SUMIFS(PENJUALAN!$E$4:$E$11000,PENJUALAN!$C$4:$C$11000,'Current Stock'!A2205)</f>
        <v>1</v>
      </c>
      <c r="I2205" s="16">
        <f t="shared" si="2"/>
        <v>2</v>
      </c>
      <c r="J2205" s="18"/>
      <c r="K2205" s="18"/>
      <c r="L2205" s="18"/>
      <c r="M2205" s="18"/>
    </row>
    <row r="2206" ht="15.0" customHeight="1">
      <c r="A2206" s="4" t="str">
        <f t="shared" si="1"/>
        <v>SWR-RUSH17AGC</v>
      </c>
      <c r="B2206" s="31" t="s">
        <v>2530</v>
      </c>
      <c r="C2206" s="28" t="s">
        <v>1713</v>
      </c>
      <c r="D2206" s="33" t="s">
        <v>104</v>
      </c>
      <c r="E2206" s="15" t="s">
        <v>78</v>
      </c>
      <c r="F2206" s="28" t="s">
        <v>97</v>
      </c>
      <c r="G2206" s="4">
        <f>SUMIFS(X!$F$5:$F$2005,X!$D$5:$D$2005,'Current Stock'!A2206)</f>
        <v>1</v>
      </c>
      <c r="H2206" s="4">
        <f>SUMIFS(PENJUALAN!$E$4:$E$11000,PENJUALAN!$C$4:$C$11000,'Current Stock'!A2206)</f>
        <v>0</v>
      </c>
      <c r="I2206" s="16">
        <f t="shared" si="2"/>
        <v>1</v>
      </c>
      <c r="J2206" s="18"/>
      <c r="K2206" s="18"/>
      <c r="L2206" s="18"/>
      <c r="M2206" s="18"/>
    </row>
    <row r="2207" ht="15.0" customHeight="1">
      <c r="A2207" s="4" t="str">
        <f t="shared" si="1"/>
        <v>SWL-RUSH17AGC</v>
      </c>
      <c r="B2207" s="31" t="s">
        <v>2531</v>
      </c>
      <c r="C2207" s="28" t="s">
        <v>1713</v>
      </c>
      <c r="D2207" s="33" t="s">
        <v>1434</v>
      </c>
      <c r="E2207" s="15" t="s">
        <v>78</v>
      </c>
      <c r="F2207" s="28" t="s">
        <v>97</v>
      </c>
      <c r="G2207" s="4">
        <f>SUMIFS(X!$F$5:$F$2005,X!$D$5:$D$2005,'Current Stock'!A2207)</f>
        <v>1</v>
      </c>
      <c r="H2207" s="4">
        <f>SUMIFS(PENJUALAN!$E$4:$E$11000,PENJUALAN!$C$4:$C$11000,'Current Stock'!A2207)</f>
        <v>0</v>
      </c>
      <c r="I2207" s="16">
        <f t="shared" si="2"/>
        <v>1</v>
      </c>
      <c r="J2207" s="18"/>
      <c r="K2207" s="18"/>
      <c r="L2207" s="18"/>
      <c r="M2207" s="18"/>
    </row>
    <row r="2208" ht="15.0" customHeight="1">
      <c r="A2208" s="4" t="str">
        <f t="shared" si="1"/>
        <v>TRW-SPLASHAGC</v>
      </c>
      <c r="B2208" s="31" t="s">
        <v>2532</v>
      </c>
      <c r="C2208" s="15" t="s">
        <v>2484</v>
      </c>
      <c r="D2208" s="15" t="s">
        <v>41</v>
      </c>
      <c r="E2208" s="15" t="s">
        <v>78</v>
      </c>
      <c r="F2208" s="15" t="s">
        <v>97</v>
      </c>
      <c r="G2208" s="4">
        <f>SUMIFS(X!$F$5:$F$2005,X!$D$5:$D$2005,'Current Stock'!A2208)</f>
        <v>0</v>
      </c>
      <c r="H2208" s="4">
        <f>SUMIFS(PENJUALAN!$E$4:$E$11000,PENJUALAN!$C$4:$C$11000,'Current Stock'!A2208)</f>
        <v>0</v>
      </c>
      <c r="I2208" s="16">
        <f t="shared" si="2"/>
        <v>0</v>
      </c>
      <c r="J2208" s="18"/>
      <c r="K2208" s="18"/>
      <c r="L2208" s="18"/>
      <c r="M2208" s="18"/>
    </row>
    <row r="2209" ht="15.0" customHeight="1">
      <c r="A2209" s="4" t="str">
        <f t="shared" si="1"/>
        <v>LFW-TRITON23SMLAGC</v>
      </c>
      <c r="B2209" s="15" t="s">
        <v>2533</v>
      </c>
      <c r="C2209" s="15" t="s">
        <v>2534</v>
      </c>
      <c r="D2209" s="15" t="s">
        <v>22</v>
      </c>
      <c r="E2209" s="15" t="s">
        <v>78</v>
      </c>
      <c r="F2209" s="15" t="s">
        <v>125</v>
      </c>
      <c r="G2209" s="4">
        <f>SUMIFS(X!$F$5:$F$2005,X!$D$5:$D$2005,'Current Stock'!A2209)</f>
        <v>1</v>
      </c>
      <c r="H2209" s="4">
        <f>SUMIFS(PENJUALAN!$E$4:$E$11000,PENJUALAN!$C$4:$C$11000,'Current Stock'!A2209)</f>
        <v>1</v>
      </c>
      <c r="I2209" s="16">
        <f t="shared" si="2"/>
        <v>0</v>
      </c>
      <c r="J2209" s="18"/>
      <c r="K2209" s="18"/>
      <c r="L2209" s="18"/>
      <c r="M2209" s="18"/>
    </row>
    <row r="2210" ht="15.0" customHeight="1">
      <c r="A2210" s="4" t="str">
        <f t="shared" si="1"/>
        <v>LFW-FJ78MU</v>
      </c>
      <c r="B2210" s="15" t="s">
        <v>1438</v>
      </c>
      <c r="C2210" s="15" t="s">
        <v>2535</v>
      </c>
      <c r="D2210" s="15" t="s">
        <v>22</v>
      </c>
      <c r="E2210" s="15" t="s">
        <v>1361</v>
      </c>
      <c r="F2210" s="18"/>
      <c r="G2210" s="4">
        <f>SUMIFS(X!$F$5:$F$2005,X!$D$5:$D$2005,'Current Stock'!A2210)</f>
        <v>2</v>
      </c>
      <c r="H2210" s="4">
        <f>SUMIFS(PENJUALAN!$E$4:$E$11000,PENJUALAN!$C$4:$C$11000,'Current Stock'!A2210)</f>
        <v>2</v>
      </c>
      <c r="I2210" s="16">
        <f t="shared" si="2"/>
        <v>0</v>
      </c>
      <c r="J2210" s="18"/>
      <c r="K2210" s="18"/>
      <c r="L2210" s="18"/>
      <c r="M2210" s="18"/>
    </row>
    <row r="2211" ht="15.0" customHeight="1">
      <c r="A2211" s="4" t="str">
        <f t="shared" si="1"/>
        <v/>
      </c>
      <c r="B2211" s="18"/>
      <c r="C2211" s="18"/>
      <c r="D2211" s="18"/>
      <c r="E2211" s="18"/>
      <c r="F2211" s="18"/>
      <c r="G2211" s="4">
        <f>SUMIFS(X!$F$5:$F$2005,X!$D$5:$D$2005,'Current Stock'!A2211)</f>
        <v>3</v>
      </c>
      <c r="H2211" s="4">
        <f>SUMIFS(PENJUALAN!$E$4:$E$11000,PENJUALAN!$C$4:$C$11000,'Current Stock'!A2211)</f>
        <v>0</v>
      </c>
      <c r="I2211" s="16">
        <f t="shared" si="2"/>
        <v>3</v>
      </c>
      <c r="J2211" s="18"/>
      <c r="K2211" s="18"/>
      <c r="L2211" s="18"/>
      <c r="M2211" s="18"/>
    </row>
    <row r="2212" ht="15.0" customHeight="1">
      <c r="A2212" s="4" t="str">
        <f t="shared" si="1"/>
        <v/>
      </c>
      <c r="B2212" s="18"/>
      <c r="C2212" s="18"/>
      <c r="D2212" s="18"/>
      <c r="E2212" s="18"/>
      <c r="F2212" s="18"/>
      <c r="G2212" s="4">
        <f>SUMIFS(X!$F$5:$F$2005,X!$D$5:$D$2005,'Current Stock'!A2212)</f>
        <v>3</v>
      </c>
      <c r="H2212" s="4">
        <f>SUMIFS(PENJUALAN!$E$4:$E$11000,PENJUALAN!$C$4:$C$11000,'Current Stock'!A2212)</f>
        <v>0</v>
      </c>
      <c r="I2212" s="16">
        <f t="shared" si="2"/>
        <v>3</v>
      </c>
      <c r="J2212" s="18"/>
      <c r="K2212" s="18"/>
      <c r="L2212" s="18"/>
      <c r="M2212" s="18"/>
    </row>
    <row r="2213" ht="15.0" customHeight="1">
      <c r="A2213" s="4" t="str">
        <f t="shared" si="1"/>
        <v/>
      </c>
      <c r="B2213" s="18"/>
      <c r="C2213" s="18"/>
      <c r="D2213" s="18"/>
      <c r="E2213" s="18"/>
      <c r="F2213" s="18"/>
      <c r="G2213" s="4">
        <f>SUMIFS(X!$F$5:$F$2005,X!$D$5:$D$2005,'Current Stock'!A2213)</f>
        <v>3</v>
      </c>
      <c r="H2213" s="4">
        <f>SUMIFS(PENJUALAN!$E$4:$E$11000,PENJUALAN!$C$4:$C$11000,'Current Stock'!A2213)</f>
        <v>0</v>
      </c>
      <c r="I2213" s="16">
        <f t="shared" si="2"/>
        <v>3</v>
      </c>
      <c r="J2213" s="18"/>
      <c r="K2213" s="18"/>
      <c r="L2213" s="18"/>
      <c r="M2213" s="18"/>
    </row>
    <row r="2214" ht="15.0" customHeight="1">
      <c r="A2214" s="4" t="str">
        <f t="shared" si="1"/>
        <v/>
      </c>
      <c r="B2214" s="18"/>
      <c r="C2214" s="18"/>
      <c r="D2214" s="18"/>
      <c r="E2214" s="18"/>
      <c r="F2214" s="18"/>
      <c r="G2214" s="4">
        <f>SUMIFS(X!$F$5:$F$2005,X!$D$5:$D$2005,'Current Stock'!A2214)</f>
        <v>3</v>
      </c>
      <c r="H2214" s="4">
        <f>SUMIFS(PENJUALAN!$E$4:$E$11000,PENJUALAN!$C$4:$C$11000,'Current Stock'!A2214)</f>
        <v>0</v>
      </c>
      <c r="I2214" s="16">
        <f t="shared" si="2"/>
        <v>3</v>
      </c>
      <c r="J2214" s="18"/>
      <c r="K2214" s="18"/>
      <c r="L2214" s="18"/>
      <c r="M2214" s="18"/>
    </row>
    <row r="2215" ht="15.0" customHeight="1">
      <c r="A2215" s="4" t="str">
        <f t="shared" si="1"/>
        <v/>
      </c>
      <c r="B2215" s="18"/>
      <c r="C2215" s="18"/>
      <c r="D2215" s="18"/>
      <c r="E2215" s="18"/>
      <c r="F2215" s="18"/>
      <c r="G2215" s="4">
        <f>SUMIFS(X!$F$5:$F$2005,X!$D$5:$D$2005,'Current Stock'!A2215)</f>
        <v>3</v>
      </c>
      <c r="H2215" s="4">
        <f>SUMIFS(PENJUALAN!$E$4:$E$11000,PENJUALAN!$C$4:$C$11000,'Current Stock'!A2215)</f>
        <v>0</v>
      </c>
      <c r="I2215" s="16">
        <f t="shared" si="2"/>
        <v>3</v>
      </c>
      <c r="J2215" s="18"/>
      <c r="K2215" s="18"/>
      <c r="L2215" s="18"/>
      <c r="M2215" s="18"/>
    </row>
    <row r="2216" ht="15.0" customHeight="1">
      <c r="A2216" s="4" t="str">
        <f t="shared" si="1"/>
        <v/>
      </c>
      <c r="B2216" s="18"/>
      <c r="C2216" s="18"/>
      <c r="D2216" s="18"/>
      <c r="E2216" s="18"/>
      <c r="F2216" s="18"/>
      <c r="G2216" s="4">
        <f>SUMIFS(X!$F$5:$F$2005,X!$D$5:$D$2005,'Current Stock'!A2216)</f>
        <v>3</v>
      </c>
      <c r="H2216" s="4">
        <f>SUMIFS(PENJUALAN!$E$4:$E$11000,PENJUALAN!$C$4:$C$11000,'Current Stock'!A2216)</f>
        <v>0</v>
      </c>
      <c r="I2216" s="91"/>
      <c r="J2216" s="18"/>
      <c r="K2216" s="18"/>
      <c r="L2216" s="18"/>
      <c r="M2216" s="18"/>
    </row>
    <row r="2217" ht="15.0" customHeight="1">
      <c r="A2217" s="4" t="str">
        <f t="shared" si="1"/>
        <v/>
      </c>
      <c r="B2217" s="18"/>
      <c r="C2217" s="18"/>
      <c r="D2217" s="18"/>
      <c r="E2217" s="18"/>
      <c r="F2217" s="18"/>
      <c r="G2217" s="4">
        <f>SUMIFS(X!$F$5:$F$2005,X!$D$5:$D$2005,'Current Stock'!A2217)</f>
        <v>3</v>
      </c>
      <c r="H2217" s="4">
        <f>SUMIFS(PENJUALAN!$E$4:$E$11000,PENJUALAN!$C$4:$C$11000,'Current Stock'!A2217)</f>
        <v>0</v>
      </c>
      <c r="I2217" s="91"/>
      <c r="J2217" s="18"/>
      <c r="K2217" s="18"/>
      <c r="L2217" s="18"/>
      <c r="M2217" s="18"/>
    </row>
    <row r="2218" ht="15.0" customHeight="1">
      <c r="A2218" s="4" t="str">
        <f t="shared" si="1"/>
        <v/>
      </c>
      <c r="B2218" s="18"/>
      <c r="C2218" s="18"/>
      <c r="D2218" s="18"/>
      <c r="E2218" s="18"/>
      <c r="F2218" s="18"/>
      <c r="G2218" s="4">
        <f>SUMIFS(X!$F$5:$F$2005,X!$D$5:$D$2005,'Current Stock'!A2218)</f>
        <v>3</v>
      </c>
      <c r="H2218" s="4">
        <f>SUMIFS(PENJUALAN!$E$4:$E$11000,PENJUALAN!$C$4:$C$11000,'Current Stock'!A2218)</f>
        <v>0</v>
      </c>
      <c r="I2218" s="91"/>
      <c r="J2218" s="18"/>
      <c r="K2218" s="18"/>
      <c r="L2218" s="18"/>
      <c r="M2218" s="18"/>
    </row>
    <row r="2219" ht="15.0" customHeight="1">
      <c r="A2219" s="4" t="str">
        <f t="shared" si="1"/>
        <v/>
      </c>
      <c r="B2219" s="18"/>
      <c r="C2219" s="18"/>
      <c r="D2219" s="18"/>
      <c r="E2219" s="18"/>
      <c r="F2219" s="18"/>
      <c r="G2219" s="4">
        <f>SUMIFS(X!$F$5:$F$2005,X!$D$5:$D$2005,'Current Stock'!A2219)</f>
        <v>3</v>
      </c>
      <c r="H2219" s="4">
        <f>SUMIFS(PENJUALAN!$E$4:$E$11000,PENJUALAN!$C$4:$C$11000,'Current Stock'!A2219)</f>
        <v>0</v>
      </c>
      <c r="I2219" s="91"/>
      <c r="J2219" s="18"/>
      <c r="K2219" s="18"/>
      <c r="L2219" s="18"/>
      <c r="M2219" s="18"/>
    </row>
    <row r="2220" ht="15.0" customHeight="1">
      <c r="A2220" s="4" t="str">
        <f t="shared" si="1"/>
        <v/>
      </c>
      <c r="B2220" s="18"/>
      <c r="C2220" s="18"/>
      <c r="D2220" s="18"/>
      <c r="E2220" s="18"/>
      <c r="F2220" s="18"/>
      <c r="G2220" s="4">
        <f>SUMIFS(X!$F$5:$F$2005,X!$D$5:$D$2005,'Current Stock'!A2220)</f>
        <v>3</v>
      </c>
      <c r="H2220" s="4">
        <f>SUMIFS(PENJUALAN!$E$4:$E$11000,PENJUALAN!$C$4:$C$11000,'Current Stock'!A2220)</f>
        <v>0</v>
      </c>
      <c r="I2220" s="91"/>
      <c r="J2220" s="18"/>
      <c r="K2220" s="18"/>
      <c r="L2220" s="18"/>
      <c r="M2220" s="18"/>
    </row>
    <row r="2221" ht="15.0" customHeight="1">
      <c r="A2221" s="4" t="str">
        <f t="shared" si="1"/>
        <v/>
      </c>
      <c r="B2221" s="18"/>
      <c r="C2221" s="18"/>
      <c r="D2221" s="18"/>
      <c r="E2221" s="18"/>
      <c r="F2221" s="18"/>
      <c r="G2221" s="4">
        <f>SUMIFS(X!$F$5:$F$2005,X!$D$5:$D$2005,'Current Stock'!A2221)</f>
        <v>3</v>
      </c>
      <c r="H2221" s="4">
        <f>SUMIFS(PENJUALAN!$E$4:$E$11000,PENJUALAN!$C$4:$C$11000,'Current Stock'!A2221)</f>
        <v>0</v>
      </c>
      <c r="I2221" s="91"/>
      <c r="J2221" s="18"/>
      <c r="K2221" s="18"/>
      <c r="L2221" s="18"/>
      <c r="M2221" s="18"/>
    </row>
    <row r="2222" ht="15.0" customHeight="1">
      <c r="A2222" s="4" t="str">
        <f t="shared" si="1"/>
        <v/>
      </c>
      <c r="B2222" s="18"/>
      <c r="C2222" s="18"/>
      <c r="D2222" s="18"/>
      <c r="E2222" s="18"/>
      <c r="F2222" s="18"/>
      <c r="G2222" s="4">
        <f>SUMIFS(X!$F$5:$F$2005,X!$D$5:$D$2005,'Current Stock'!A2222)</f>
        <v>3</v>
      </c>
      <c r="H2222" s="4">
        <f>SUMIFS(PENJUALAN!$E$4:$E$11000,PENJUALAN!$C$4:$C$11000,'Current Stock'!A2222)</f>
        <v>0</v>
      </c>
      <c r="I2222" s="91"/>
      <c r="J2222" s="18"/>
      <c r="K2222" s="18"/>
      <c r="L2222" s="18"/>
      <c r="M2222" s="18"/>
    </row>
    <row r="2223" ht="15.0" customHeight="1">
      <c r="A2223" s="4" t="str">
        <f t="shared" si="1"/>
        <v/>
      </c>
      <c r="B2223" s="18"/>
      <c r="C2223" s="18"/>
      <c r="D2223" s="18"/>
      <c r="E2223" s="18"/>
      <c r="F2223" s="18"/>
      <c r="G2223" s="4">
        <f>SUMIFS(X!$F$5:$F$2005,X!$D$5:$D$2005,'Current Stock'!A2223)</f>
        <v>3</v>
      </c>
      <c r="H2223" s="4">
        <f>SUMIFS(PENJUALAN!$E$4:$E$11000,PENJUALAN!$C$4:$C$11000,'Current Stock'!A2223)</f>
        <v>0</v>
      </c>
      <c r="I2223" s="91"/>
      <c r="J2223" s="18"/>
      <c r="K2223" s="18"/>
      <c r="L2223" s="18"/>
      <c r="M2223" s="18"/>
    </row>
    <row r="2224" ht="15.0" customHeight="1">
      <c r="A2224" s="4" t="str">
        <f t="shared" si="1"/>
        <v/>
      </c>
      <c r="B2224" s="18"/>
      <c r="C2224" s="18"/>
      <c r="D2224" s="18"/>
      <c r="E2224" s="18"/>
      <c r="F2224" s="18"/>
      <c r="G2224" s="4">
        <f>SUMIFS(X!$F$5:$F$2005,X!$D$5:$D$2005,'Current Stock'!A2224)</f>
        <v>3</v>
      </c>
      <c r="H2224" s="4">
        <f>SUMIFS(PENJUALAN!$E$4:$E$11000,PENJUALAN!$C$4:$C$11000,'Current Stock'!A2224)</f>
        <v>0</v>
      </c>
      <c r="I2224" s="91"/>
      <c r="J2224" s="18"/>
      <c r="K2224" s="18"/>
      <c r="L2224" s="18"/>
      <c r="M2224" s="18"/>
    </row>
    <row r="2225" ht="15.0" customHeight="1">
      <c r="A2225" s="4" t="str">
        <f t="shared" si="1"/>
        <v/>
      </c>
      <c r="B2225" s="18"/>
      <c r="C2225" s="18"/>
      <c r="D2225" s="18"/>
      <c r="E2225" s="18"/>
      <c r="F2225" s="18"/>
      <c r="G2225" s="4">
        <f>SUMIFS(X!$F$5:$F$2005,X!$D$5:$D$2005,'Current Stock'!A2225)</f>
        <v>3</v>
      </c>
      <c r="H2225" s="4">
        <f>SUMIFS(PENJUALAN!$E$4:$E$11000,PENJUALAN!$C$4:$C$11000,'Current Stock'!A2225)</f>
        <v>0</v>
      </c>
      <c r="I2225" s="91"/>
      <c r="J2225" s="18"/>
      <c r="K2225" s="18"/>
      <c r="L2225" s="18"/>
      <c r="M2225" s="18"/>
    </row>
    <row r="2226" ht="15.0" customHeight="1">
      <c r="A2226" s="4" t="str">
        <f t="shared" si="1"/>
        <v/>
      </c>
      <c r="B2226" s="18"/>
      <c r="C2226" s="18"/>
      <c r="D2226" s="18"/>
      <c r="E2226" s="18"/>
      <c r="F2226" s="18"/>
      <c r="G2226" s="4">
        <f>SUMIFS(X!$F$5:$F$2005,X!$D$5:$D$2005,'Current Stock'!A2226)</f>
        <v>3</v>
      </c>
      <c r="H2226" s="4">
        <f>SUMIFS(PENJUALAN!$E$4:$E$11000,PENJUALAN!$C$4:$C$11000,'Current Stock'!A2226)</f>
        <v>0</v>
      </c>
      <c r="I2226" s="91"/>
      <c r="J2226" s="18"/>
      <c r="K2226" s="18"/>
      <c r="L2226" s="18"/>
      <c r="M2226" s="18"/>
    </row>
    <row r="2227" ht="15.0" customHeight="1">
      <c r="A2227" s="4" t="str">
        <f t="shared" si="1"/>
        <v/>
      </c>
      <c r="B2227" s="18"/>
      <c r="C2227" s="18"/>
      <c r="D2227" s="18"/>
      <c r="E2227" s="18"/>
      <c r="F2227" s="18"/>
      <c r="G2227" s="4">
        <f>SUMIFS(X!$F$5:$F$2005,X!$D$5:$D$2005,'Current Stock'!A2227)</f>
        <v>3</v>
      </c>
      <c r="H2227" s="4">
        <f>SUMIFS(PENJUALAN!$E$4:$E$11000,PENJUALAN!$C$4:$C$11000,'Current Stock'!A2227)</f>
        <v>0</v>
      </c>
      <c r="I2227" s="91"/>
      <c r="J2227" s="18"/>
      <c r="K2227" s="18"/>
      <c r="L2227" s="18"/>
      <c r="M2227" s="18"/>
    </row>
    <row r="2228" ht="15.0" customHeight="1">
      <c r="A2228" s="4" t="str">
        <f t="shared" si="1"/>
        <v/>
      </c>
      <c r="B2228" s="18"/>
      <c r="C2228" s="18"/>
      <c r="D2228" s="18"/>
      <c r="E2228" s="18"/>
      <c r="F2228" s="18"/>
      <c r="G2228" s="4">
        <f>SUMIFS(X!$F$5:$F$2005,X!$D$5:$D$2005,'Current Stock'!A2228)</f>
        <v>3</v>
      </c>
      <c r="H2228" s="4">
        <f>SUMIFS(PENJUALAN!$E$4:$E$11000,PENJUALAN!$C$4:$C$11000,'Current Stock'!A2228)</f>
        <v>0</v>
      </c>
      <c r="I2228" s="91"/>
      <c r="J2228" s="18"/>
      <c r="K2228" s="18"/>
      <c r="L2228" s="18"/>
      <c r="M2228" s="18"/>
    </row>
    <row r="2229" ht="15.0" customHeight="1">
      <c r="A2229" s="4" t="str">
        <f t="shared" si="1"/>
        <v/>
      </c>
      <c r="B2229" s="18"/>
      <c r="C2229" s="18"/>
      <c r="D2229" s="18"/>
      <c r="E2229" s="18"/>
      <c r="F2229" s="18"/>
      <c r="G2229" s="4">
        <f>SUMIFS(X!$F$5:$F$2005,X!$D$5:$D$2005,'Current Stock'!A2229)</f>
        <v>3</v>
      </c>
      <c r="H2229" s="4">
        <f>SUMIFS(PENJUALAN!$E$4:$E$11000,PENJUALAN!$C$4:$C$11000,'Current Stock'!A2229)</f>
        <v>0</v>
      </c>
      <c r="I2229" s="91"/>
      <c r="J2229" s="18"/>
      <c r="K2229" s="18"/>
      <c r="L2229" s="18"/>
      <c r="M2229" s="18"/>
    </row>
    <row r="2230" ht="15.0" customHeight="1">
      <c r="A2230" s="4" t="str">
        <f t="shared" si="1"/>
        <v/>
      </c>
      <c r="B2230" s="18"/>
      <c r="C2230" s="18"/>
      <c r="D2230" s="18"/>
      <c r="E2230" s="18"/>
      <c r="F2230" s="18"/>
      <c r="G2230" s="4">
        <f>SUMIFS(X!$F$5:$F$2005,X!$D$5:$D$2005,'Current Stock'!A2230)</f>
        <v>3</v>
      </c>
      <c r="H2230" s="4">
        <f>SUMIFS(PENJUALAN!$E$4:$E$11000,PENJUALAN!$C$4:$C$11000,'Current Stock'!A2230)</f>
        <v>0</v>
      </c>
      <c r="I2230" s="91"/>
      <c r="J2230" s="18"/>
      <c r="K2230" s="18"/>
      <c r="L2230" s="18"/>
      <c r="M2230" s="18"/>
    </row>
    <row r="2231" ht="15.0" customHeight="1">
      <c r="A2231" s="4" t="str">
        <f t="shared" si="1"/>
        <v/>
      </c>
      <c r="B2231" s="18"/>
      <c r="C2231" s="18"/>
      <c r="D2231" s="18"/>
      <c r="E2231" s="18"/>
      <c r="F2231" s="18"/>
      <c r="G2231" s="4">
        <f>SUMIFS(X!$F$5:$F$2005,X!$D$5:$D$2005,'Current Stock'!A2231)</f>
        <v>3</v>
      </c>
      <c r="H2231" s="4">
        <f>SUMIFS(PENJUALAN!$E$4:$E$11000,PENJUALAN!$C$4:$C$11000,'Current Stock'!A2231)</f>
        <v>0</v>
      </c>
      <c r="I2231" s="91"/>
      <c r="J2231" s="18"/>
      <c r="K2231" s="18"/>
      <c r="L2231" s="18"/>
      <c r="M2231" s="18"/>
    </row>
    <row r="2232" ht="15.0" customHeight="1">
      <c r="A2232" s="4" t="str">
        <f t="shared" si="1"/>
        <v/>
      </c>
      <c r="B2232" s="18"/>
      <c r="C2232" s="18"/>
      <c r="D2232" s="18"/>
      <c r="E2232" s="18"/>
      <c r="F2232" s="18"/>
      <c r="G2232" s="4">
        <f>SUMIFS(X!$F$5:$F$2005,X!$D$5:$D$2005,'Current Stock'!A2232)</f>
        <v>3</v>
      </c>
      <c r="H2232" s="4">
        <f>SUMIFS(PENJUALAN!$E$4:$E$11000,PENJUALAN!$C$4:$C$11000,'Current Stock'!A2232)</f>
        <v>0</v>
      </c>
      <c r="I2232" s="91"/>
      <c r="J2232" s="18"/>
      <c r="K2232" s="18"/>
      <c r="L2232" s="18"/>
      <c r="M2232" s="18"/>
    </row>
    <row r="2233" ht="15.0" customHeight="1">
      <c r="A2233" s="4" t="str">
        <f t="shared" si="1"/>
        <v/>
      </c>
      <c r="B2233" s="18"/>
      <c r="C2233" s="18"/>
      <c r="D2233" s="18"/>
      <c r="E2233" s="18"/>
      <c r="F2233" s="18"/>
      <c r="G2233" s="4">
        <f>SUMIFS(X!$F$5:$F$2005,X!$D$5:$D$2005,'Current Stock'!A2233)</f>
        <v>3</v>
      </c>
      <c r="H2233" s="4">
        <f>SUMIFS(PENJUALAN!$E$4:$E$11000,PENJUALAN!$C$4:$C$11000,'Current Stock'!A2233)</f>
        <v>0</v>
      </c>
      <c r="I2233" s="91"/>
      <c r="J2233" s="18"/>
      <c r="K2233" s="18"/>
      <c r="L2233" s="18"/>
      <c r="M2233" s="18"/>
    </row>
    <row r="2234" ht="15.0" customHeight="1">
      <c r="A2234" s="4" t="str">
        <f t="shared" si="1"/>
        <v/>
      </c>
      <c r="B2234" s="18"/>
      <c r="C2234" s="18"/>
      <c r="D2234" s="18"/>
      <c r="E2234" s="18"/>
      <c r="F2234" s="18"/>
      <c r="G2234" s="4">
        <f>SUMIFS(X!$F$5:$F$2005,X!$D$5:$D$2005,'Current Stock'!A2234)</f>
        <v>3</v>
      </c>
      <c r="H2234" s="4">
        <f>SUMIFS(PENJUALAN!$E$4:$E$11000,PENJUALAN!$C$4:$C$11000,'Current Stock'!A2234)</f>
        <v>0</v>
      </c>
      <c r="I2234" s="91"/>
      <c r="J2234" s="18"/>
      <c r="K2234" s="18"/>
      <c r="L2234" s="18"/>
      <c r="M2234" s="18"/>
    </row>
    <row r="2235" ht="15.0" customHeight="1">
      <c r="A2235" s="18"/>
      <c r="B2235" s="18"/>
      <c r="C2235" s="18"/>
      <c r="D2235" s="18"/>
      <c r="E2235" s="18"/>
      <c r="F2235" s="18"/>
      <c r="G2235" s="4">
        <f>SUMIFS(X!$F$5:$F$2005,X!$D$5:$D$2005,'Current Stock'!A2235)</f>
        <v>0</v>
      </c>
      <c r="H2235" s="4">
        <f>SUMIFS(PENJUALAN!$E$4:$E$11000,PENJUALAN!$C$4:$C$11000,'Current Stock'!A2235)</f>
        <v>0</v>
      </c>
      <c r="I2235" s="91"/>
      <c r="J2235" s="18"/>
      <c r="K2235" s="18"/>
      <c r="L2235" s="18"/>
      <c r="M2235" s="18"/>
    </row>
    <row r="2236" ht="15.0" customHeight="1">
      <c r="A2236" s="18"/>
      <c r="B2236" s="18"/>
      <c r="C2236" s="18"/>
      <c r="D2236" s="18"/>
      <c r="E2236" s="18"/>
      <c r="F2236" s="18"/>
      <c r="G2236" s="4">
        <f>SUMIFS(X!$F$5:$F$2005,X!$D$5:$D$2005,'Current Stock'!A2236)</f>
        <v>0</v>
      </c>
      <c r="H2236" s="4">
        <f>SUMIFS(PENJUALAN!$E$4:$E$11000,PENJUALAN!$C$4:$C$11000,'Current Stock'!A2236)</f>
        <v>0</v>
      </c>
      <c r="I2236" s="91"/>
      <c r="J2236" s="18"/>
      <c r="K2236" s="18"/>
      <c r="L2236" s="18"/>
      <c r="M2236" s="18"/>
    </row>
    <row r="2237" ht="15.0" customHeight="1">
      <c r="A2237" s="18"/>
      <c r="B2237" s="18"/>
      <c r="C2237" s="18"/>
      <c r="D2237" s="18"/>
      <c r="E2237" s="18"/>
      <c r="F2237" s="18"/>
      <c r="G2237" s="4">
        <f>SUMIFS(X!$F$5:$F$2005,X!$D$5:$D$2005,'Current Stock'!A2237)</f>
        <v>0</v>
      </c>
      <c r="H2237" s="4">
        <f>SUMIFS(PENJUALAN!$E$4:$E$11000,PENJUALAN!$C$4:$C$11000,'Current Stock'!A2237)</f>
        <v>0</v>
      </c>
      <c r="I2237" s="91"/>
      <c r="J2237" s="18"/>
      <c r="K2237" s="18"/>
      <c r="L2237" s="18"/>
      <c r="M2237" s="18"/>
    </row>
    <row r="2238" ht="15.0" customHeight="1">
      <c r="A2238" s="18"/>
      <c r="B2238" s="18"/>
      <c r="C2238" s="18"/>
      <c r="D2238" s="18"/>
      <c r="E2238" s="18"/>
      <c r="F2238" s="18"/>
      <c r="G2238" s="4">
        <f>SUMIFS(X!$F$5:$F$2005,X!$D$5:$D$2005,'Current Stock'!A2238)</f>
        <v>0</v>
      </c>
      <c r="H2238" s="4">
        <f>SUMIFS(PENJUALAN!$E$4:$E$11000,PENJUALAN!$C$4:$C$11000,'Current Stock'!A2238)</f>
        <v>0</v>
      </c>
      <c r="I2238" s="91"/>
      <c r="J2238" s="18"/>
      <c r="K2238" s="18"/>
      <c r="L2238" s="18"/>
      <c r="M2238" s="18"/>
    </row>
    <row r="2239" ht="15.0" customHeight="1">
      <c r="A2239" s="18"/>
      <c r="B2239" s="18"/>
      <c r="C2239" s="18"/>
      <c r="D2239" s="18"/>
      <c r="E2239" s="18"/>
      <c r="F2239" s="18"/>
      <c r="G2239" s="4">
        <f>SUMIFS(X!$F$5:$F$2005,X!$D$5:$D$2005,'Current Stock'!A2239)</f>
        <v>0</v>
      </c>
      <c r="H2239" s="4">
        <f>SUMIFS(PENJUALAN!$E$4:$E$11000,PENJUALAN!$C$4:$C$11000,'Current Stock'!A2239)</f>
        <v>0</v>
      </c>
      <c r="I2239" s="91"/>
      <c r="J2239" s="18"/>
      <c r="K2239" s="18"/>
      <c r="L2239" s="18"/>
      <c r="M2239" s="18"/>
    </row>
    <row r="2240" ht="15.0" customHeight="1">
      <c r="A2240" s="18"/>
      <c r="B2240" s="18"/>
      <c r="C2240" s="18"/>
      <c r="D2240" s="18"/>
      <c r="E2240" s="18"/>
      <c r="F2240" s="18"/>
      <c r="G2240" s="4">
        <f>SUMIFS(X!$F$5:$F$2005,X!$D$5:$D$2005,'Current Stock'!A2240)</f>
        <v>0</v>
      </c>
      <c r="H2240" s="4">
        <f>SUMIFS(PENJUALAN!$E$4:$E$11000,PENJUALAN!$C$4:$C$11000,'Current Stock'!A2240)</f>
        <v>0</v>
      </c>
      <c r="I2240" s="91"/>
      <c r="J2240" s="18"/>
      <c r="K2240" s="18"/>
      <c r="L2240" s="18"/>
      <c r="M2240" s="18"/>
    </row>
    <row r="2241" ht="15.0" customHeight="1">
      <c r="A2241" s="18"/>
      <c r="B2241" s="18"/>
      <c r="C2241" s="18"/>
      <c r="D2241" s="18"/>
      <c r="E2241" s="18"/>
      <c r="F2241" s="18"/>
      <c r="G2241" s="4">
        <f>SUMIFS(X!$F$5:$F$2005,X!$D$5:$D$2005,'Current Stock'!A2241)</f>
        <v>0</v>
      </c>
      <c r="H2241" s="4">
        <f>SUMIFS(PENJUALAN!$E$4:$E$11000,PENJUALAN!$C$4:$C$11000,'Current Stock'!A2241)</f>
        <v>0</v>
      </c>
      <c r="I2241" s="91"/>
      <c r="J2241" s="18"/>
      <c r="K2241" s="18"/>
      <c r="L2241" s="18"/>
      <c r="M2241" s="18"/>
    </row>
    <row r="2242" ht="15.0" customHeight="1">
      <c r="A2242" s="18"/>
      <c r="B2242" s="18"/>
      <c r="C2242" s="18"/>
      <c r="D2242" s="18"/>
      <c r="E2242" s="18"/>
      <c r="F2242" s="18"/>
      <c r="G2242" s="4">
        <f>SUMIFS(X!$F$5:$F$2005,X!$D$5:$D$2005,'Current Stock'!A2242)</f>
        <v>0</v>
      </c>
      <c r="H2242" s="4">
        <f>SUMIFS(PENJUALAN!$E$4:$E$11000,PENJUALAN!$C$4:$C$11000,'Current Stock'!A2242)</f>
        <v>0</v>
      </c>
      <c r="I2242" s="91"/>
      <c r="J2242" s="18"/>
      <c r="K2242" s="18"/>
      <c r="L2242" s="18"/>
      <c r="M2242" s="18"/>
    </row>
    <row r="2243" ht="15.0" customHeight="1">
      <c r="A2243" s="18"/>
      <c r="B2243" s="18"/>
      <c r="C2243" s="18"/>
      <c r="D2243" s="18"/>
      <c r="E2243" s="18"/>
      <c r="F2243" s="18"/>
      <c r="G2243" s="4">
        <f>SUMIFS(X!$F$5:$F$2005,X!$D$5:$D$2005,'Current Stock'!A2243)</f>
        <v>0</v>
      </c>
      <c r="H2243" s="4">
        <f>SUMIFS(PENJUALAN!$E$4:$E$11000,PENJUALAN!$C$4:$C$11000,'Current Stock'!A2243)</f>
        <v>0</v>
      </c>
      <c r="I2243" s="91"/>
      <c r="J2243" s="18"/>
      <c r="K2243" s="18"/>
      <c r="L2243" s="18"/>
      <c r="M2243" s="18"/>
    </row>
    <row r="2244" ht="15.0" customHeight="1">
      <c r="A2244" s="18"/>
      <c r="B2244" s="18"/>
      <c r="C2244" s="18"/>
      <c r="D2244" s="18"/>
      <c r="E2244" s="18"/>
      <c r="F2244" s="18"/>
      <c r="G2244" s="4">
        <f>SUMIFS(X!$F$5:$F$2005,X!$D$5:$D$2005,'Current Stock'!A2244)</f>
        <v>0</v>
      </c>
      <c r="H2244" s="4">
        <f>SUMIFS(PENJUALAN!$E$4:$E$11000,PENJUALAN!$C$4:$C$11000,'Current Stock'!A2244)</f>
        <v>0</v>
      </c>
      <c r="I2244" s="91"/>
      <c r="J2244" s="18"/>
      <c r="K2244" s="18"/>
      <c r="L2244" s="18"/>
      <c r="M2244" s="18"/>
    </row>
    <row r="2245" ht="15.0" customHeight="1">
      <c r="A2245" s="18"/>
      <c r="B2245" s="18"/>
      <c r="C2245" s="18"/>
      <c r="D2245" s="18"/>
      <c r="E2245" s="18"/>
      <c r="F2245" s="18"/>
      <c r="G2245" s="4">
        <f>SUMIFS(X!$F$5:$F$2005,X!$D$5:$D$2005,'Current Stock'!A2245)</f>
        <v>0</v>
      </c>
      <c r="H2245" s="4">
        <f>SUMIFS(PENJUALAN!$E$4:$E$11000,PENJUALAN!$C$4:$C$11000,'Current Stock'!A2245)</f>
        <v>0</v>
      </c>
      <c r="I2245" s="91"/>
      <c r="J2245" s="18"/>
      <c r="K2245" s="18"/>
      <c r="L2245" s="18"/>
      <c r="M2245" s="18"/>
    </row>
    <row r="2246" ht="15.0" customHeight="1">
      <c r="A2246" s="18"/>
      <c r="B2246" s="18"/>
      <c r="C2246" s="18"/>
      <c r="D2246" s="18"/>
      <c r="E2246" s="18"/>
      <c r="F2246" s="18"/>
      <c r="G2246" s="4">
        <f>SUMIFS(X!$F$5:$F$2005,X!$D$5:$D$2005,'Current Stock'!A2246)</f>
        <v>0</v>
      </c>
      <c r="H2246" s="4">
        <f>SUMIFS(PENJUALAN!$E$4:$E$11000,PENJUALAN!$C$4:$C$11000,'Current Stock'!A2246)</f>
        <v>0</v>
      </c>
      <c r="I2246" s="91"/>
      <c r="J2246" s="18"/>
      <c r="K2246" s="18"/>
      <c r="L2246" s="18"/>
      <c r="M2246" s="18"/>
    </row>
    <row r="2247" ht="15.0" customHeight="1">
      <c r="A2247" s="18"/>
      <c r="B2247" s="18"/>
      <c r="C2247" s="18"/>
      <c r="D2247" s="18"/>
      <c r="E2247" s="18"/>
      <c r="F2247" s="18"/>
      <c r="G2247" s="4"/>
      <c r="H2247" s="4">
        <f>SUMIFS(PENJUALAN!$E$4:$E$11000,PENJUALAN!$C$4:$C$11000,'Current Stock'!A2247)</f>
        <v>0</v>
      </c>
      <c r="I2247" s="91"/>
      <c r="J2247" s="18"/>
      <c r="K2247" s="18"/>
      <c r="L2247" s="18"/>
      <c r="M2247" s="18"/>
    </row>
    <row r="2248" ht="15.0" customHeight="1">
      <c r="A2248" s="18"/>
      <c r="B2248" s="18"/>
      <c r="C2248" s="18"/>
      <c r="D2248" s="18"/>
      <c r="E2248" s="18"/>
      <c r="F2248" s="18"/>
      <c r="G2248" s="4"/>
      <c r="H2248" s="4">
        <f>SUMIFS(PENJUALAN!$E$4:$E$11000,PENJUALAN!$C$4:$C$11000,'Current Stock'!A2248)</f>
        <v>0</v>
      </c>
      <c r="I2248" s="91"/>
      <c r="J2248" s="18"/>
      <c r="K2248" s="18"/>
      <c r="L2248" s="18"/>
      <c r="M2248" s="18"/>
    </row>
    <row r="2249" ht="15.0" customHeight="1">
      <c r="A2249" s="18"/>
      <c r="B2249" s="18"/>
      <c r="C2249" s="18"/>
      <c r="D2249" s="18"/>
      <c r="E2249" s="18"/>
      <c r="F2249" s="18"/>
      <c r="G2249" s="4"/>
      <c r="H2249" s="4">
        <f>SUMIFS(PENJUALAN!$E$4:$E$11000,PENJUALAN!$C$4:$C$11000,'Current Stock'!A2249)</f>
        <v>0</v>
      </c>
      <c r="I2249" s="91"/>
      <c r="J2249" s="18"/>
      <c r="K2249" s="18"/>
      <c r="L2249" s="18"/>
      <c r="M2249" s="18"/>
    </row>
    <row r="2250" ht="15.0" customHeight="1">
      <c r="A2250" s="18"/>
      <c r="B2250" s="18"/>
      <c r="C2250" s="18"/>
      <c r="D2250" s="18"/>
      <c r="E2250" s="18"/>
      <c r="F2250" s="18"/>
      <c r="G2250" s="4"/>
      <c r="H2250" s="4">
        <f>SUMIFS(PENJUALAN!$E$4:$E$11000,PENJUALAN!$C$4:$C$11000,'Current Stock'!A2250)</f>
        <v>0</v>
      </c>
      <c r="I2250" s="91"/>
      <c r="J2250" s="18"/>
      <c r="K2250" s="18"/>
      <c r="L2250" s="18"/>
      <c r="M2250" s="18"/>
    </row>
    <row r="2251" ht="15.0" customHeight="1">
      <c r="A2251" s="18"/>
      <c r="B2251" s="18"/>
      <c r="C2251" s="18"/>
      <c r="D2251" s="18"/>
      <c r="E2251" s="18"/>
      <c r="F2251" s="18"/>
      <c r="G2251" s="4"/>
      <c r="H2251" s="4">
        <f>SUMIFS(PENJUALAN!$E$4:$E$11000,PENJUALAN!$C$4:$C$11000,'Current Stock'!A2251)</f>
        <v>0</v>
      </c>
      <c r="I2251" s="91"/>
      <c r="J2251" s="18"/>
      <c r="K2251" s="18"/>
      <c r="L2251" s="18"/>
      <c r="M2251" s="18"/>
    </row>
    <row r="2252" ht="15.0" customHeight="1">
      <c r="A2252" s="18"/>
      <c r="B2252" s="18"/>
      <c r="C2252" s="18"/>
      <c r="D2252" s="18"/>
      <c r="E2252" s="18"/>
      <c r="F2252" s="18"/>
      <c r="G2252" s="4"/>
      <c r="H2252" s="4">
        <f>SUMIFS(PENJUALAN!$E$4:$E$11000,PENJUALAN!$C$4:$C$11000,'Current Stock'!A2252)</f>
        <v>0</v>
      </c>
      <c r="I2252" s="91"/>
      <c r="J2252" s="18"/>
      <c r="K2252" s="18"/>
      <c r="L2252" s="18"/>
      <c r="M2252" s="18"/>
    </row>
    <row r="2253" ht="15.0" customHeight="1">
      <c r="A2253" s="18"/>
      <c r="B2253" s="18"/>
      <c r="C2253" s="18"/>
      <c r="D2253" s="18"/>
      <c r="E2253" s="18"/>
      <c r="F2253" s="18"/>
      <c r="G2253" s="4"/>
      <c r="H2253" s="4">
        <f>SUMIFS(PENJUALAN!$E$4:$E$11000,PENJUALAN!$C$4:$C$11000,'Current Stock'!A2253)</f>
        <v>0</v>
      </c>
      <c r="I2253" s="91"/>
      <c r="J2253" s="18"/>
      <c r="K2253" s="18"/>
      <c r="L2253" s="18"/>
      <c r="M2253" s="18"/>
    </row>
    <row r="2254" ht="15.0" customHeight="1">
      <c r="A2254" s="18"/>
      <c r="B2254" s="18"/>
      <c r="C2254" s="18"/>
      <c r="D2254" s="18"/>
      <c r="E2254" s="18"/>
      <c r="F2254" s="18"/>
      <c r="G2254" s="4"/>
      <c r="H2254" s="4">
        <f>SUMIFS(PENJUALAN!$E$4:$E$11000,PENJUALAN!$C$4:$C$11000,'Current Stock'!A2254)</f>
        <v>0</v>
      </c>
      <c r="I2254" s="91"/>
      <c r="J2254" s="18"/>
      <c r="K2254" s="18"/>
      <c r="L2254" s="18"/>
      <c r="M2254" s="18"/>
    </row>
    <row r="2255" ht="15.0" customHeight="1">
      <c r="A2255" s="18"/>
      <c r="B2255" s="18"/>
      <c r="C2255" s="18"/>
      <c r="D2255" s="18"/>
      <c r="E2255" s="18"/>
      <c r="F2255" s="18"/>
      <c r="G2255" s="4"/>
      <c r="H2255" s="4">
        <f>SUMIFS(PENJUALAN!$E$4:$E$11000,PENJUALAN!$C$4:$C$11000,'Current Stock'!A2255)</f>
        <v>0</v>
      </c>
      <c r="I2255" s="91"/>
      <c r="J2255" s="18"/>
      <c r="K2255" s="18"/>
      <c r="L2255" s="18"/>
      <c r="M2255" s="18"/>
    </row>
    <row r="2256" ht="15.0" customHeight="1">
      <c r="A2256" s="18"/>
      <c r="B2256" s="18"/>
      <c r="C2256" s="18"/>
      <c r="D2256" s="18"/>
      <c r="E2256" s="18"/>
      <c r="F2256" s="18"/>
      <c r="G2256" s="4"/>
      <c r="H2256" s="4">
        <f>SUMIFS(PENJUALAN!$E$4:$E$11000,PENJUALAN!$C$4:$C$11000,'Current Stock'!A2256)</f>
        <v>0</v>
      </c>
      <c r="I2256" s="91"/>
      <c r="J2256" s="18"/>
      <c r="K2256" s="18"/>
      <c r="L2256" s="18"/>
      <c r="M2256" s="18"/>
    </row>
    <row r="2257" ht="15.0" customHeight="1">
      <c r="A2257" s="18"/>
      <c r="B2257" s="18"/>
      <c r="C2257" s="18"/>
      <c r="D2257" s="18"/>
      <c r="E2257" s="18"/>
      <c r="F2257" s="18"/>
      <c r="G2257" s="4"/>
      <c r="H2257" s="4">
        <f>SUMIFS(PENJUALAN!$E$4:$E$11000,PENJUALAN!$C$4:$C$11000,'Current Stock'!A2257)</f>
        <v>0</v>
      </c>
      <c r="I2257" s="91"/>
      <c r="J2257" s="18"/>
      <c r="K2257" s="18"/>
      <c r="L2257" s="18"/>
      <c r="M2257" s="18"/>
    </row>
    <row r="2258" ht="15.0" customHeight="1">
      <c r="A2258" s="18"/>
      <c r="B2258" s="18"/>
      <c r="C2258" s="18"/>
      <c r="D2258" s="18"/>
      <c r="E2258" s="18"/>
      <c r="F2258" s="18"/>
      <c r="G2258" s="4"/>
      <c r="H2258" s="4">
        <f>SUMIFS(PENJUALAN!$E$4:$E$11000,PENJUALAN!$C$4:$C$11000,'Current Stock'!A2258)</f>
        <v>0</v>
      </c>
      <c r="I2258" s="91"/>
      <c r="J2258" s="18"/>
      <c r="K2258" s="18"/>
      <c r="L2258" s="18"/>
      <c r="M2258" s="18"/>
    </row>
    <row r="2259" ht="15.0" customHeight="1">
      <c r="A2259" s="18"/>
      <c r="B2259" s="18"/>
      <c r="C2259" s="18"/>
      <c r="D2259" s="18"/>
      <c r="E2259" s="18"/>
      <c r="F2259" s="18"/>
      <c r="G2259" s="4"/>
      <c r="H2259" s="4">
        <f>SUMIFS(PENJUALAN!$E$4:$E$11000,PENJUALAN!$C$4:$C$11000,'Current Stock'!A2259)</f>
        <v>0</v>
      </c>
      <c r="I2259" s="91"/>
      <c r="J2259" s="18"/>
      <c r="K2259" s="18"/>
      <c r="L2259" s="18"/>
      <c r="M2259" s="18"/>
    </row>
    <row r="2260" ht="15.0" customHeight="1">
      <c r="A2260" s="18"/>
      <c r="B2260" s="18"/>
      <c r="C2260" s="18"/>
      <c r="D2260" s="18"/>
      <c r="E2260" s="18"/>
      <c r="F2260" s="18"/>
      <c r="G2260" s="4"/>
      <c r="H2260" s="4">
        <f>SUMIFS(PENJUALAN!$E$4:$E$11000,PENJUALAN!$C$4:$C$11000,'Current Stock'!A2260)</f>
        <v>0</v>
      </c>
      <c r="I2260" s="91"/>
      <c r="J2260" s="18"/>
      <c r="K2260" s="18"/>
      <c r="L2260" s="18"/>
      <c r="M2260" s="18"/>
    </row>
    <row r="2261" ht="15.0" customHeight="1">
      <c r="A2261" s="18"/>
      <c r="B2261" s="18"/>
      <c r="C2261" s="18"/>
      <c r="D2261" s="18"/>
      <c r="E2261" s="18"/>
      <c r="F2261" s="18"/>
      <c r="G2261" s="4"/>
      <c r="H2261" s="4">
        <f>SUMIFS(PENJUALAN!$E$4:$E$11000,PENJUALAN!$C$4:$C$11000,'Current Stock'!A2261)</f>
        <v>0</v>
      </c>
      <c r="I2261" s="91"/>
      <c r="J2261" s="18"/>
      <c r="K2261" s="18"/>
      <c r="L2261" s="18"/>
      <c r="M2261" s="18"/>
    </row>
    <row r="2262" ht="15.0" customHeight="1">
      <c r="A2262" s="18"/>
      <c r="B2262" s="18"/>
      <c r="C2262" s="18"/>
      <c r="D2262" s="18"/>
      <c r="E2262" s="18"/>
      <c r="F2262" s="18"/>
      <c r="G2262" s="4"/>
      <c r="H2262" s="4">
        <f>SUMIFS(PENJUALAN!$E$4:$E$11000,PENJUALAN!$C$4:$C$11000,'Current Stock'!A2262)</f>
        <v>0</v>
      </c>
      <c r="I2262" s="91"/>
      <c r="J2262" s="18"/>
      <c r="K2262" s="18"/>
      <c r="L2262" s="18"/>
      <c r="M2262" s="18"/>
    </row>
    <row r="2263" ht="15.0" customHeight="1">
      <c r="A2263" s="18"/>
      <c r="B2263" s="18"/>
      <c r="C2263" s="18"/>
      <c r="D2263" s="18"/>
      <c r="E2263" s="18"/>
      <c r="F2263" s="18"/>
      <c r="G2263" s="4"/>
      <c r="H2263" s="4">
        <f>SUMIFS(PENJUALAN!$E$4:$E$11000,PENJUALAN!$C$4:$C$11000,'Current Stock'!A2263)</f>
        <v>0</v>
      </c>
      <c r="I2263" s="91"/>
      <c r="J2263" s="18"/>
      <c r="K2263" s="18"/>
      <c r="L2263" s="18"/>
      <c r="M2263" s="18"/>
    </row>
    <row r="2264" ht="15.0" customHeight="1">
      <c r="A2264" s="18"/>
      <c r="B2264" s="18"/>
      <c r="C2264" s="18"/>
      <c r="D2264" s="18"/>
      <c r="E2264" s="18"/>
      <c r="F2264" s="18"/>
      <c r="G2264" s="4"/>
      <c r="H2264" s="4">
        <f>SUMIFS(PENJUALAN!$E$4:$E$11000,PENJUALAN!$C$4:$C$11000,'Current Stock'!A2264)</f>
        <v>0</v>
      </c>
      <c r="I2264" s="91"/>
      <c r="J2264" s="18"/>
      <c r="K2264" s="18"/>
      <c r="L2264" s="18"/>
      <c r="M2264" s="18"/>
    </row>
    <row r="2265" ht="15.0" customHeight="1">
      <c r="A2265" s="18"/>
      <c r="B2265" s="18"/>
      <c r="C2265" s="18"/>
      <c r="D2265" s="18"/>
      <c r="E2265" s="18"/>
      <c r="F2265" s="18"/>
      <c r="G2265" s="4"/>
      <c r="H2265" s="4">
        <f>SUMIFS(PENJUALAN!$E$4:$E$11000,PENJUALAN!$C$4:$C$11000,'Current Stock'!A2265)</f>
        <v>0</v>
      </c>
      <c r="I2265" s="91"/>
      <c r="J2265" s="18"/>
      <c r="K2265" s="18"/>
      <c r="L2265" s="18"/>
      <c r="M2265" s="18"/>
    </row>
    <row r="2266" ht="15.0" customHeight="1">
      <c r="A2266" s="18"/>
      <c r="B2266" s="18"/>
      <c r="C2266" s="18"/>
      <c r="D2266" s="18"/>
      <c r="E2266" s="18"/>
      <c r="F2266" s="18"/>
      <c r="G2266" s="4"/>
      <c r="H2266" s="18"/>
      <c r="I2266" s="91"/>
      <c r="J2266" s="18"/>
      <c r="K2266" s="18"/>
      <c r="L2266" s="18"/>
      <c r="M2266" s="18"/>
    </row>
    <row r="2267" ht="15.0" customHeight="1">
      <c r="A2267" s="18"/>
      <c r="B2267" s="18"/>
      <c r="C2267" s="18"/>
      <c r="D2267" s="18"/>
      <c r="E2267" s="18"/>
      <c r="F2267" s="18"/>
      <c r="G2267" s="4"/>
      <c r="H2267" s="18"/>
      <c r="I2267" s="91"/>
      <c r="J2267" s="18"/>
      <c r="K2267" s="18"/>
      <c r="L2267" s="18"/>
      <c r="M2267" s="18"/>
    </row>
    <row r="2268" ht="15.0" customHeight="1">
      <c r="A2268" s="18"/>
      <c r="B2268" s="18"/>
      <c r="C2268" s="18"/>
      <c r="D2268" s="18"/>
      <c r="E2268" s="18"/>
      <c r="F2268" s="18"/>
      <c r="G2268" s="4"/>
      <c r="H2268" s="18"/>
      <c r="I2268" s="91"/>
      <c r="J2268" s="18"/>
      <c r="K2268" s="18"/>
      <c r="L2268" s="18"/>
      <c r="M2268" s="18"/>
    </row>
    <row r="2269" ht="15.0" customHeight="1">
      <c r="A2269" s="18"/>
      <c r="B2269" s="18"/>
      <c r="C2269" s="18"/>
      <c r="D2269" s="18"/>
      <c r="E2269" s="18"/>
      <c r="F2269" s="18"/>
      <c r="G2269" s="4"/>
      <c r="H2269" s="18"/>
      <c r="I2269" s="91"/>
      <c r="J2269" s="18"/>
      <c r="K2269" s="18"/>
      <c r="L2269" s="18"/>
      <c r="M2269" s="18"/>
    </row>
    <row r="2270" ht="15.0" customHeight="1">
      <c r="A2270" s="18"/>
      <c r="B2270" s="18"/>
      <c r="C2270" s="18"/>
      <c r="D2270" s="18"/>
      <c r="E2270" s="18"/>
      <c r="F2270" s="18"/>
      <c r="G2270" s="4"/>
      <c r="H2270" s="18"/>
      <c r="I2270" s="91"/>
      <c r="J2270" s="18"/>
      <c r="K2270" s="18"/>
      <c r="L2270" s="18"/>
      <c r="M2270" s="18"/>
    </row>
    <row r="2271" ht="15.0" customHeight="1">
      <c r="A2271" s="18"/>
      <c r="B2271" s="18"/>
      <c r="C2271" s="18"/>
      <c r="D2271" s="18"/>
      <c r="E2271" s="18"/>
      <c r="F2271" s="18"/>
      <c r="G2271" s="4"/>
      <c r="H2271" s="18"/>
      <c r="I2271" s="91"/>
      <c r="J2271" s="18"/>
      <c r="K2271" s="18"/>
      <c r="L2271" s="18"/>
      <c r="M2271" s="18"/>
    </row>
    <row r="2272" ht="15.0" customHeight="1">
      <c r="A2272" s="18"/>
      <c r="B2272" s="18"/>
      <c r="C2272" s="18"/>
      <c r="D2272" s="18"/>
      <c r="E2272" s="18"/>
      <c r="F2272" s="18"/>
      <c r="G2272" s="4"/>
      <c r="H2272" s="18"/>
      <c r="I2272" s="91"/>
      <c r="J2272" s="18"/>
      <c r="K2272" s="18"/>
      <c r="L2272" s="18"/>
      <c r="M2272" s="18"/>
    </row>
    <row r="2273" ht="15.0" customHeight="1">
      <c r="A2273" s="18"/>
      <c r="B2273" s="18"/>
      <c r="C2273" s="18"/>
      <c r="D2273" s="18"/>
      <c r="E2273" s="18"/>
      <c r="F2273" s="18"/>
      <c r="G2273" s="4"/>
      <c r="H2273" s="18"/>
      <c r="I2273" s="91"/>
      <c r="J2273" s="18"/>
      <c r="K2273" s="18"/>
      <c r="L2273" s="18"/>
      <c r="M2273" s="18"/>
    </row>
    <row r="2274" ht="15.0" customHeight="1">
      <c r="A2274" s="18"/>
      <c r="B2274" s="18"/>
      <c r="C2274" s="18"/>
      <c r="D2274" s="18"/>
      <c r="E2274" s="18"/>
      <c r="F2274" s="18"/>
      <c r="G2274" s="4"/>
      <c r="H2274" s="18"/>
      <c r="I2274" s="91"/>
      <c r="J2274" s="18"/>
      <c r="K2274" s="18"/>
      <c r="L2274" s="18"/>
      <c r="M2274" s="18"/>
    </row>
    <row r="2275" ht="15.0" customHeight="1">
      <c r="A2275" s="18"/>
      <c r="B2275" s="18"/>
      <c r="C2275" s="18"/>
      <c r="D2275" s="18"/>
      <c r="E2275" s="18"/>
      <c r="F2275" s="18"/>
      <c r="G2275" s="4"/>
      <c r="H2275" s="18"/>
      <c r="I2275" s="91"/>
      <c r="J2275" s="18"/>
      <c r="K2275" s="18"/>
      <c r="L2275" s="18"/>
      <c r="M2275" s="18"/>
    </row>
    <row r="2276" ht="15.0" customHeight="1">
      <c r="A2276" s="18"/>
      <c r="B2276" s="18"/>
      <c r="C2276" s="18"/>
      <c r="D2276" s="18"/>
      <c r="E2276" s="18"/>
      <c r="F2276" s="18"/>
      <c r="G2276" s="4"/>
      <c r="H2276" s="18"/>
      <c r="I2276" s="91"/>
      <c r="J2276" s="18"/>
      <c r="K2276" s="18"/>
      <c r="L2276" s="18"/>
      <c r="M2276" s="18"/>
    </row>
    <row r="2277" ht="15.0" customHeight="1">
      <c r="A2277" s="18"/>
      <c r="B2277" s="18"/>
      <c r="C2277" s="18"/>
      <c r="D2277" s="18"/>
      <c r="E2277" s="18"/>
      <c r="F2277" s="18"/>
      <c r="G2277" s="4"/>
      <c r="H2277" s="18"/>
      <c r="I2277" s="91"/>
      <c r="J2277" s="18"/>
      <c r="K2277" s="18"/>
      <c r="L2277" s="18"/>
      <c r="M2277" s="18"/>
    </row>
    <row r="2278" ht="15.0" customHeight="1">
      <c r="A2278" s="18"/>
      <c r="B2278" s="18"/>
      <c r="C2278" s="18"/>
      <c r="D2278" s="18"/>
      <c r="E2278" s="18"/>
      <c r="F2278" s="18"/>
      <c r="G2278" s="4"/>
      <c r="H2278" s="18"/>
      <c r="I2278" s="91"/>
      <c r="J2278" s="18"/>
      <c r="K2278" s="18"/>
      <c r="L2278" s="18"/>
      <c r="M2278" s="18"/>
    </row>
    <row r="2279" ht="15.0" customHeight="1">
      <c r="A2279" s="18"/>
      <c r="B2279" s="18"/>
      <c r="C2279" s="18"/>
      <c r="D2279" s="18"/>
      <c r="E2279" s="18"/>
      <c r="F2279" s="18"/>
      <c r="G2279" s="4"/>
      <c r="H2279" s="18"/>
      <c r="I2279" s="91"/>
      <c r="J2279" s="18"/>
      <c r="K2279" s="18"/>
      <c r="L2279" s="18"/>
      <c r="M2279" s="18"/>
    </row>
    <row r="2280" ht="15.0" customHeight="1">
      <c r="A2280" s="18"/>
      <c r="B2280" s="18"/>
      <c r="C2280" s="18"/>
      <c r="D2280" s="18"/>
      <c r="E2280" s="18"/>
      <c r="F2280" s="18"/>
      <c r="G2280" s="4"/>
      <c r="H2280" s="18"/>
      <c r="I2280" s="91"/>
      <c r="J2280" s="18"/>
      <c r="K2280" s="18"/>
      <c r="L2280" s="18"/>
      <c r="M2280" s="18"/>
    </row>
    <row r="2281" ht="15.0" customHeight="1">
      <c r="A2281" s="18"/>
      <c r="B2281" s="18"/>
      <c r="C2281" s="18"/>
      <c r="D2281" s="18"/>
      <c r="E2281" s="18"/>
      <c r="F2281" s="18"/>
      <c r="G2281" s="4"/>
      <c r="H2281" s="18"/>
      <c r="I2281" s="91"/>
      <c r="J2281" s="18"/>
      <c r="K2281" s="18"/>
      <c r="L2281" s="18"/>
      <c r="M2281" s="18"/>
    </row>
    <row r="2282" ht="15.0" customHeight="1">
      <c r="A2282" s="18"/>
      <c r="B2282" s="18"/>
      <c r="C2282" s="18"/>
      <c r="D2282" s="18"/>
      <c r="E2282" s="18"/>
      <c r="F2282" s="18"/>
      <c r="G2282" s="4"/>
      <c r="H2282" s="18"/>
      <c r="I2282" s="91"/>
      <c r="J2282" s="18"/>
      <c r="K2282" s="18"/>
      <c r="L2282" s="18"/>
      <c r="M2282" s="18"/>
    </row>
    <row r="2283" ht="15.0" customHeight="1">
      <c r="A2283" s="18"/>
      <c r="B2283" s="18"/>
      <c r="C2283" s="18"/>
      <c r="D2283" s="18"/>
      <c r="E2283" s="18"/>
      <c r="F2283" s="18"/>
      <c r="G2283" s="4"/>
      <c r="H2283" s="18"/>
      <c r="I2283" s="91"/>
      <c r="J2283" s="18"/>
      <c r="K2283" s="18"/>
      <c r="L2283" s="18"/>
      <c r="M2283" s="18"/>
    </row>
    <row r="2284" ht="15.0" customHeight="1">
      <c r="A2284" s="18"/>
      <c r="B2284" s="18"/>
      <c r="C2284" s="18"/>
      <c r="D2284" s="18"/>
      <c r="E2284" s="18"/>
      <c r="F2284" s="18"/>
      <c r="G2284" s="4"/>
      <c r="H2284" s="18"/>
      <c r="I2284" s="91"/>
      <c r="J2284" s="18"/>
      <c r="K2284" s="18"/>
      <c r="L2284" s="18"/>
      <c r="M2284" s="18"/>
    </row>
    <row r="2285" ht="15.0" customHeight="1">
      <c r="A2285" s="18"/>
      <c r="B2285" s="18"/>
      <c r="C2285" s="18"/>
      <c r="D2285" s="18"/>
      <c r="E2285" s="18"/>
      <c r="F2285" s="18"/>
      <c r="G2285" s="4"/>
      <c r="H2285" s="18"/>
      <c r="I2285" s="91"/>
      <c r="J2285" s="18"/>
      <c r="K2285" s="18"/>
      <c r="L2285" s="18"/>
      <c r="M2285" s="18"/>
    </row>
    <row r="2286" ht="15.0" customHeight="1">
      <c r="A2286" s="18"/>
      <c r="B2286" s="18"/>
      <c r="C2286" s="18"/>
      <c r="D2286" s="18"/>
      <c r="E2286" s="18"/>
      <c r="F2286" s="18"/>
      <c r="G2286" s="4"/>
      <c r="H2286" s="18"/>
      <c r="I2286" s="91"/>
      <c r="J2286" s="18"/>
      <c r="K2286" s="18"/>
      <c r="L2286" s="18"/>
      <c r="M2286" s="18"/>
    </row>
    <row r="2287" ht="15.0" customHeight="1">
      <c r="A2287" s="18"/>
      <c r="B2287" s="18"/>
      <c r="C2287" s="18"/>
      <c r="D2287" s="18"/>
      <c r="E2287" s="18"/>
      <c r="F2287" s="18"/>
      <c r="G2287" s="4"/>
      <c r="H2287" s="18"/>
      <c r="I2287" s="91"/>
      <c r="J2287" s="18"/>
      <c r="K2287" s="18"/>
      <c r="L2287" s="18"/>
      <c r="M2287" s="18"/>
    </row>
    <row r="2288" ht="15.0" customHeight="1">
      <c r="A2288" s="18"/>
      <c r="B2288" s="18"/>
      <c r="C2288" s="18"/>
      <c r="D2288" s="18"/>
      <c r="E2288" s="18"/>
      <c r="F2288" s="18"/>
      <c r="G2288" s="4"/>
      <c r="H2288" s="18"/>
      <c r="I2288" s="91"/>
      <c r="J2288" s="18"/>
      <c r="K2288" s="18"/>
      <c r="L2288" s="18"/>
      <c r="M2288" s="18"/>
    </row>
    <row r="2289" ht="15.0" customHeight="1">
      <c r="A2289" s="18"/>
      <c r="B2289" s="18"/>
      <c r="C2289" s="18"/>
      <c r="D2289" s="18"/>
      <c r="E2289" s="18"/>
      <c r="F2289" s="18"/>
      <c r="G2289" s="4"/>
      <c r="H2289" s="18"/>
      <c r="I2289" s="91"/>
      <c r="J2289" s="18"/>
      <c r="K2289" s="18"/>
      <c r="L2289" s="18"/>
      <c r="M2289" s="18"/>
    </row>
    <row r="2290" ht="15.0" customHeight="1">
      <c r="A2290" s="18"/>
      <c r="B2290" s="18"/>
      <c r="C2290" s="18"/>
      <c r="D2290" s="18"/>
      <c r="E2290" s="18"/>
      <c r="F2290" s="18"/>
      <c r="G2290" s="4"/>
      <c r="H2290" s="18"/>
      <c r="I2290" s="91"/>
      <c r="J2290" s="18"/>
      <c r="K2290" s="18"/>
      <c r="L2290" s="18"/>
      <c r="M2290" s="18"/>
    </row>
    <row r="2291" ht="15.0" customHeight="1">
      <c r="A2291" s="18"/>
      <c r="B2291" s="18"/>
      <c r="C2291" s="18"/>
      <c r="D2291" s="18"/>
      <c r="E2291" s="18"/>
      <c r="F2291" s="18"/>
      <c r="G2291" s="4"/>
      <c r="H2291" s="18"/>
      <c r="I2291" s="91"/>
      <c r="J2291" s="18"/>
      <c r="K2291" s="18"/>
      <c r="L2291" s="18"/>
      <c r="M2291" s="18"/>
    </row>
    <row r="2292" ht="15.0" customHeight="1">
      <c r="A2292" s="18"/>
      <c r="B2292" s="18"/>
      <c r="C2292" s="18"/>
      <c r="D2292" s="18"/>
      <c r="E2292" s="18"/>
      <c r="F2292" s="18"/>
      <c r="G2292" s="4"/>
      <c r="H2292" s="18"/>
      <c r="I2292" s="91"/>
      <c r="J2292" s="18"/>
      <c r="K2292" s="18"/>
      <c r="L2292" s="18"/>
      <c r="M2292" s="18"/>
    </row>
    <row r="2293" ht="15.0" customHeight="1">
      <c r="A2293" s="18"/>
      <c r="B2293" s="18"/>
      <c r="C2293" s="18"/>
      <c r="D2293" s="18"/>
      <c r="E2293" s="18"/>
      <c r="F2293" s="18"/>
      <c r="G2293" s="4"/>
      <c r="H2293" s="18"/>
      <c r="I2293" s="91"/>
      <c r="J2293" s="18"/>
      <c r="K2293" s="18"/>
      <c r="L2293" s="18"/>
      <c r="M2293" s="18"/>
    </row>
    <row r="2294" ht="15.0" customHeight="1">
      <c r="A2294" s="18"/>
      <c r="B2294" s="18"/>
      <c r="C2294" s="18"/>
      <c r="D2294" s="18"/>
      <c r="E2294" s="18"/>
      <c r="F2294" s="18"/>
      <c r="G2294" s="4"/>
      <c r="H2294" s="18"/>
      <c r="I2294" s="91"/>
      <c r="J2294" s="18"/>
      <c r="K2294" s="18"/>
      <c r="L2294" s="18"/>
      <c r="M2294" s="18"/>
    </row>
    <row r="2295" ht="15.0" customHeight="1">
      <c r="A2295" s="18"/>
      <c r="B2295" s="18"/>
      <c r="C2295" s="18"/>
      <c r="D2295" s="18"/>
      <c r="E2295" s="18"/>
      <c r="F2295" s="18"/>
      <c r="G2295" s="4"/>
      <c r="H2295" s="18"/>
      <c r="I2295" s="91"/>
      <c r="J2295" s="18"/>
      <c r="K2295" s="18"/>
      <c r="L2295" s="18"/>
      <c r="M2295" s="18"/>
    </row>
    <row r="2296" ht="15.0" customHeight="1">
      <c r="A2296" s="18"/>
      <c r="B2296" s="18"/>
      <c r="C2296" s="18"/>
      <c r="D2296" s="18"/>
      <c r="E2296" s="18"/>
      <c r="F2296" s="18"/>
      <c r="G2296" s="4"/>
      <c r="H2296" s="18"/>
      <c r="I2296" s="91"/>
      <c r="J2296" s="18"/>
      <c r="K2296" s="18"/>
      <c r="L2296" s="18"/>
      <c r="M2296" s="18"/>
    </row>
    <row r="2297" ht="15.0" customHeight="1">
      <c r="A2297" s="18"/>
      <c r="B2297" s="18"/>
      <c r="C2297" s="18"/>
      <c r="D2297" s="18"/>
      <c r="E2297" s="18"/>
      <c r="F2297" s="18"/>
      <c r="G2297" s="4"/>
      <c r="H2297" s="18"/>
      <c r="I2297" s="91"/>
      <c r="J2297" s="18"/>
      <c r="K2297" s="18"/>
      <c r="L2297" s="18"/>
      <c r="M2297" s="18"/>
    </row>
    <row r="2298" ht="15.0" customHeight="1">
      <c r="A2298" s="18"/>
      <c r="B2298" s="18"/>
      <c r="C2298" s="18"/>
      <c r="D2298" s="18"/>
      <c r="E2298" s="18"/>
      <c r="F2298" s="18"/>
      <c r="G2298" s="4"/>
      <c r="H2298" s="18"/>
      <c r="I2298" s="91"/>
      <c r="J2298" s="18"/>
      <c r="K2298" s="18"/>
      <c r="L2298" s="18"/>
      <c r="M2298" s="18"/>
    </row>
    <row r="2299" ht="15.0" customHeight="1">
      <c r="A2299" s="18"/>
      <c r="B2299" s="18"/>
      <c r="C2299" s="18"/>
      <c r="D2299" s="18"/>
      <c r="E2299" s="18"/>
      <c r="F2299" s="18"/>
      <c r="G2299" s="4"/>
      <c r="H2299" s="18"/>
      <c r="I2299" s="91"/>
      <c r="J2299" s="18"/>
      <c r="K2299" s="18"/>
      <c r="L2299" s="18"/>
      <c r="M2299" s="18"/>
    </row>
    <row r="2300" ht="15.0" customHeight="1">
      <c r="A2300" s="18"/>
      <c r="B2300" s="18"/>
      <c r="C2300" s="18"/>
      <c r="D2300" s="18"/>
      <c r="E2300" s="18"/>
      <c r="F2300" s="18"/>
      <c r="G2300" s="4"/>
      <c r="H2300" s="18"/>
      <c r="I2300" s="91"/>
      <c r="J2300" s="18"/>
      <c r="K2300" s="18"/>
      <c r="L2300" s="18"/>
      <c r="M2300" s="18"/>
    </row>
    <row r="2301" ht="15.0" customHeight="1">
      <c r="A2301" s="18"/>
      <c r="B2301" s="18"/>
      <c r="C2301" s="18"/>
      <c r="D2301" s="18"/>
      <c r="E2301" s="18"/>
      <c r="F2301" s="18"/>
      <c r="G2301" s="4"/>
      <c r="H2301" s="18"/>
      <c r="I2301" s="91"/>
      <c r="J2301" s="18"/>
      <c r="K2301" s="18"/>
      <c r="L2301" s="18"/>
      <c r="M2301" s="18"/>
    </row>
    <row r="2302" ht="15.0" customHeight="1">
      <c r="A2302" s="18"/>
      <c r="B2302" s="18"/>
      <c r="C2302" s="18"/>
      <c r="D2302" s="18"/>
      <c r="E2302" s="18"/>
      <c r="F2302" s="18"/>
      <c r="G2302" s="4"/>
      <c r="H2302" s="18"/>
      <c r="I2302" s="91"/>
      <c r="J2302" s="18"/>
      <c r="K2302" s="18"/>
      <c r="L2302" s="18"/>
      <c r="M2302" s="18"/>
    </row>
    <row r="2303" ht="15.0" customHeight="1">
      <c r="A2303" s="18"/>
      <c r="B2303" s="18"/>
      <c r="C2303" s="18"/>
      <c r="D2303" s="18"/>
      <c r="E2303" s="18"/>
      <c r="F2303" s="18"/>
      <c r="G2303" s="4"/>
      <c r="H2303" s="18"/>
      <c r="I2303" s="91"/>
      <c r="J2303" s="18"/>
      <c r="K2303" s="18"/>
      <c r="L2303" s="18"/>
      <c r="M2303" s="18"/>
    </row>
    <row r="2304" ht="15.0" customHeight="1">
      <c r="A2304" s="18"/>
      <c r="B2304" s="18"/>
      <c r="C2304" s="18"/>
      <c r="D2304" s="18"/>
      <c r="E2304" s="18"/>
      <c r="F2304" s="18"/>
      <c r="G2304" s="4"/>
      <c r="H2304" s="18"/>
      <c r="I2304" s="91"/>
      <c r="J2304" s="18"/>
      <c r="K2304" s="18"/>
      <c r="L2304" s="18"/>
      <c r="M2304" s="18"/>
    </row>
    <row r="2305" ht="15.0" customHeight="1">
      <c r="A2305" s="18"/>
      <c r="B2305" s="18"/>
      <c r="C2305" s="18"/>
      <c r="D2305" s="18"/>
      <c r="E2305" s="18"/>
      <c r="F2305" s="18"/>
      <c r="G2305" s="4"/>
      <c r="H2305" s="18"/>
      <c r="I2305" s="91"/>
      <c r="J2305" s="18"/>
      <c r="K2305" s="18"/>
      <c r="L2305" s="18"/>
      <c r="M2305" s="18"/>
    </row>
    <row r="2306" ht="15.0" customHeight="1">
      <c r="A2306" s="18"/>
      <c r="B2306" s="18"/>
      <c r="C2306" s="18"/>
      <c r="D2306" s="18"/>
      <c r="E2306" s="18"/>
      <c r="F2306" s="18"/>
      <c r="G2306" s="4"/>
      <c r="H2306" s="18"/>
      <c r="I2306" s="91"/>
      <c r="J2306" s="18"/>
      <c r="K2306" s="18"/>
      <c r="L2306" s="18"/>
      <c r="M2306" s="18"/>
    </row>
    <row r="2307" ht="15.0" customHeight="1">
      <c r="A2307" s="18"/>
      <c r="B2307" s="18"/>
      <c r="C2307" s="18"/>
      <c r="D2307" s="18"/>
      <c r="E2307" s="18"/>
      <c r="F2307" s="18"/>
      <c r="G2307" s="4"/>
      <c r="H2307" s="18"/>
      <c r="I2307" s="91"/>
      <c r="J2307" s="18"/>
      <c r="K2307" s="18"/>
      <c r="L2307" s="18"/>
      <c r="M2307" s="18"/>
    </row>
    <row r="2308" ht="15.0" customHeight="1">
      <c r="A2308" s="18"/>
      <c r="B2308" s="18"/>
      <c r="C2308" s="18"/>
      <c r="D2308" s="18"/>
      <c r="E2308" s="18"/>
      <c r="F2308" s="18"/>
      <c r="G2308" s="4"/>
      <c r="H2308" s="18"/>
      <c r="I2308" s="91"/>
      <c r="J2308" s="18"/>
      <c r="K2308" s="18"/>
      <c r="L2308" s="18"/>
      <c r="M2308" s="18"/>
    </row>
    <row r="2309" ht="15.0" customHeight="1">
      <c r="A2309" s="18"/>
      <c r="B2309" s="18"/>
      <c r="C2309" s="18"/>
      <c r="D2309" s="18"/>
      <c r="E2309" s="18"/>
      <c r="F2309" s="18"/>
      <c r="G2309" s="4"/>
      <c r="H2309" s="18"/>
      <c r="I2309" s="91"/>
      <c r="J2309" s="18"/>
      <c r="K2309" s="18"/>
      <c r="L2309" s="18"/>
      <c r="M2309" s="18"/>
    </row>
    <row r="2310" ht="15.0" customHeight="1">
      <c r="A2310" s="18"/>
      <c r="B2310" s="18"/>
      <c r="C2310" s="18"/>
      <c r="D2310" s="18"/>
      <c r="E2310" s="18"/>
      <c r="F2310" s="18"/>
      <c r="G2310" s="4"/>
      <c r="H2310" s="18"/>
      <c r="I2310" s="91"/>
      <c r="J2310" s="18"/>
      <c r="K2310" s="18"/>
      <c r="L2310" s="18"/>
      <c r="M2310" s="18"/>
    </row>
    <row r="2311" ht="15.0" customHeight="1">
      <c r="A2311" s="18"/>
      <c r="B2311" s="18"/>
      <c r="C2311" s="18"/>
      <c r="D2311" s="18"/>
      <c r="E2311" s="18"/>
      <c r="F2311" s="18"/>
      <c r="G2311" s="4"/>
      <c r="H2311" s="18"/>
      <c r="I2311" s="91"/>
      <c r="J2311" s="18"/>
      <c r="K2311" s="18"/>
      <c r="L2311" s="18"/>
      <c r="M2311" s="18"/>
    </row>
    <row r="2312" ht="15.0" customHeight="1">
      <c r="A2312" s="18"/>
      <c r="B2312" s="18"/>
      <c r="C2312" s="18"/>
      <c r="D2312" s="18"/>
      <c r="E2312" s="18"/>
      <c r="F2312" s="18"/>
      <c r="G2312" s="4"/>
      <c r="H2312" s="18"/>
      <c r="I2312" s="91"/>
      <c r="J2312" s="18"/>
      <c r="K2312" s="18"/>
      <c r="L2312" s="18"/>
      <c r="M2312" s="18"/>
    </row>
    <row r="2313" ht="15.0" customHeight="1">
      <c r="A2313" s="18"/>
      <c r="B2313" s="18"/>
      <c r="C2313" s="18"/>
      <c r="D2313" s="18"/>
      <c r="E2313" s="18"/>
      <c r="F2313" s="18"/>
      <c r="G2313" s="4"/>
      <c r="H2313" s="18"/>
      <c r="I2313" s="91"/>
      <c r="J2313" s="18"/>
      <c r="K2313" s="18"/>
      <c r="L2313" s="18"/>
      <c r="M2313" s="18"/>
    </row>
    <row r="2314" ht="15.0" customHeight="1">
      <c r="A2314" s="18"/>
      <c r="B2314" s="18"/>
      <c r="C2314" s="18"/>
      <c r="D2314" s="18"/>
      <c r="E2314" s="18"/>
      <c r="F2314" s="18"/>
      <c r="G2314" s="4"/>
      <c r="H2314" s="18"/>
      <c r="I2314" s="91"/>
      <c r="J2314" s="18"/>
      <c r="K2314" s="18"/>
      <c r="L2314" s="18"/>
      <c r="M2314" s="18"/>
    </row>
    <row r="2315" ht="15.0" customHeight="1">
      <c r="A2315" s="18"/>
      <c r="B2315" s="18"/>
      <c r="C2315" s="18"/>
      <c r="D2315" s="18"/>
      <c r="E2315" s="18"/>
      <c r="F2315" s="18"/>
      <c r="G2315" s="4"/>
      <c r="H2315" s="18"/>
      <c r="I2315" s="91"/>
      <c r="J2315" s="18"/>
      <c r="K2315" s="18"/>
      <c r="L2315" s="18"/>
      <c r="M2315" s="18"/>
    </row>
    <row r="2316" ht="15.0" customHeight="1">
      <c r="A2316" s="18"/>
      <c r="B2316" s="18"/>
      <c r="C2316" s="18"/>
      <c r="D2316" s="18"/>
      <c r="E2316" s="18"/>
      <c r="F2316" s="18"/>
      <c r="G2316" s="4"/>
      <c r="H2316" s="18"/>
      <c r="I2316" s="91"/>
      <c r="J2316" s="18"/>
      <c r="K2316" s="18"/>
      <c r="L2316" s="18"/>
      <c r="M2316" s="18"/>
    </row>
    <row r="2317" ht="15.0" customHeight="1">
      <c r="A2317" s="18"/>
      <c r="B2317" s="18"/>
      <c r="C2317" s="18"/>
      <c r="D2317" s="18"/>
      <c r="E2317" s="18"/>
      <c r="F2317" s="18"/>
      <c r="G2317" s="4"/>
      <c r="H2317" s="18"/>
      <c r="I2317" s="91"/>
      <c r="J2317" s="18"/>
      <c r="K2317" s="18"/>
      <c r="L2317" s="18"/>
      <c r="M2317" s="18"/>
    </row>
    <row r="2318" ht="15.0" customHeight="1">
      <c r="A2318" s="18"/>
      <c r="B2318" s="18"/>
      <c r="C2318" s="18"/>
      <c r="D2318" s="18"/>
      <c r="E2318" s="18"/>
      <c r="F2318" s="18"/>
      <c r="G2318" s="4"/>
      <c r="H2318" s="18"/>
      <c r="I2318" s="91"/>
      <c r="J2318" s="18"/>
      <c r="K2318" s="18"/>
      <c r="L2318" s="18"/>
      <c r="M2318" s="18"/>
    </row>
    <row r="2319" ht="15.0" customHeight="1">
      <c r="A2319" s="18"/>
      <c r="B2319" s="18"/>
      <c r="C2319" s="18"/>
      <c r="D2319" s="18"/>
      <c r="E2319" s="18"/>
      <c r="F2319" s="18"/>
      <c r="G2319" s="4"/>
      <c r="H2319" s="18"/>
      <c r="I2319" s="91"/>
      <c r="J2319" s="18"/>
      <c r="K2319" s="18"/>
      <c r="L2319" s="18"/>
      <c r="M2319" s="18"/>
    </row>
    <row r="2320" ht="15.0" customHeight="1">
      <c r="A2320" s="18"/>
      <c r="B2320" s="18"/>
      <c r="C2320" s="18"/>
      <c r="D2320" s="18"/>
      <c r="E2320" s="18"/>
      <c r="F2320" s="18"/>
      <c r="G2320" s="4"/>
      <c r="H2320" s="18"/>
      <c r="I2320" s="91"/>
      <c r="J2320" s="18"/>
      <c r="K2320" s="18"/>
      <c r="L2320" s="18"/>
      <c r="M2320" s="18"/>
    </row>
    <row r="2321" ht="15.0" customHeight="1">
      <c r="A2321" s="18"/>
      <c r="B2321" s="18"/>
      <c r="C2321" s="18"/>
      <c r="D2321" s="18"/>
      <c r="E2321" s="18"/>
      <c r="F2321" s="18"/>
      <c r="G2321" s="4"/>
      <c r="H2321" s="18"/>
      <c r="I2321" s="91"/>
      <c r="J2321" s="18"/>
      <c r="K2321" s="18"/>
      <c r="L2321" s="18"/>
      <c r="M2321" s="18"/>
    </row>
    <row r="2322" ht="15.0" customHeight="1">
      <c r="A2322" s="18"/>
      <c r="B2322" s="18"/>
      <c r="C2322" s="18"/>
      <c r="D2322" s="18"/>
      <c r="E2322" s="18"/>
      <c r="F2322" s="18"/>
      <c r="G2322" s="4"/>
      <c r="H2322" s="18"/>
      <c r="I2322" s="91"/>
      <c r="J2322" s="18"/>
      <c r="K2322" s="18"/>
      <c r="L2322" s="18"/>
      <c r="M2322" s="18"/>
    </row>
    <row r="2323" ht="15.0" customHeight="1">
      <c r="A2323" s="18"/>
      <c r="B2323" s="18"/>
      <c r="C2323" s="18"/>
      <c r="D2323" s="18"/>
      <c r="E2323" s="18"/>
      <c r="F2323" s="18"/>
      <c r="G2323" s="4"/>
      <c r="H2323" s="18"/>
      <c r="I2323" s="91"/>
      <c r="J2323" s="18"/>
      <c r="K2323" s="18"/>
      <c r="L2323" s="18"/>
      <c r="M2323" s="18"/>
    </row>
    <row r="2324" ht="15.0" customHeight="1">
      <c r="A2324" s="18"/>
      <c r="B2324" s="18"/>
      <c r="C2324" s="18"/>
      <c r="D2324" s="18"/>
      <c r="E2324" s="18"/>
      <c r="F2324" s="18"/>
      <c r="G2324" s="4"/>
      <c r="H2324" s="18"/>
      <c r="I2324" s="91"/>
      <c r="J2324" s="18"/>
      <c r="K2324" s="18"/>
      <c r="L2324" s="18"/>
      <c r="M2324" s="18"/>
    </row>
    <row r="2325" ht="15.0" customHeight="1">
      <c r="A2325" s="18"/>
      <c r="B2325" s="18"/>
      <c r="C2325" s="18"/>
      <c r="D2325" s="18"/>
      <c r="E2325" s="18"/>
      <c r="F2325" s="18"/>
      <c r="G2325" s="4"/>
      <c r="H2325" s="18"/>
      <c r="I2325" s="91"/>
      <c r="J2325" s="18"/>
      <c r="K2325" s="18"/>
      <c r="L2325" s="18"/>
      <c r="M2325" s="18"/>
    </row>
    <row r="2326" ht="15.0" customHeight="1">
      <c r="A2326" s="18"/>
      <c r="B2326" s="18"/>
      <c r="C2326" s="18"/>
      <c r="D2326" s="18"/>
      <c r="E2326" s="18"/>
      <c r="F2326" s="18"/>
      <c r="G2326" s="4"/>
      <c r="H2326" s="18"/>
      <c r="I2326" s="91"/>
      <c r="J2326" s="18"/>
      <c r="K2326" s="18"/>
      <c r="L2326" s="18"/>
      <c r="M2326" s="18"/>
    </row>
    <row r="2327" ht="15.0" customHeight="1">
      <c r="A2327" s="18"/>
      <c r="B2327" s="18"/>
      <c r="C2327" s="18"/>
      <c r="D2327" s="18"/>
      <c r="E2327" s="18"/>
      <c r="F2327" s="18"/>
      <c r="G2327" s="4"/>
      <c r="H2327" s="18"/>
      <c r="I2327" s="91"/>
      <c r="J2327" s="18"/>
      <c r="K2327" s="18"/>
      <c r="L2327" s="18"/>
      <c r="M2327" s="18"/>
    </row>
    <row r="2328" ht="15.0" customHeight="1">
      <c r="A2328" s="18"/>
      <c r="B2328" s="18"/>
      <c r="C2328" s="18"/>
      <c r="D2328" s="18"/>
      <c r="E2328" s="18"/>
      <c r="F2328" s="18"/>
      <c r="G2328" s="4"/>
      <c r="H2328" s="18"/>
      <c r="I2328" s="91"/>
      <c r="J2328" s="18"/>
      <c r="K2328" s="18"/>
      <c r="L2328" s="18"/>
      <c r="M2328" s="18"/>
    </row>
    <row r="2329" ht="15.0" customHeight="1">
      <c r="A2329" s="18"/>
      <c r="B2329" s="18"/>
      <c r="C2329" s="18"/>
      <c r="D2329" s="18"/>
      <c r="E2329" s="18"/>
      <c r="F2329" s="18"/>
      <c r="G2329" s="4"/>
      <c r="H2329" s="18"/>
      <c r="I2329" s="91"/>
      <c r="J2329" s="18"/>
      <c r="K2329" s="18"/>
      <c r="L2329" s="18"/>
      <c r="M2329" s="18"/>
    </row>
    <row r="2330" ht="15.0" customHeight="1">
      <c r="A2330" s="18"/>
      <c r="B2330" s="18"/>
      <c r="C2330" s="18"/>
      <c r="D2330" s="18"/>
      <c r="E2330" s="18"/>
      <c r="F2330" s="18"/>
      <c r="G2330" s="4"/>
      <c r="H2330" s="18"/>
      <c r="I2330" s="91"/>
      <c r="J2330" s="18"/>
      <c r="K2330" s="18"/>
      <c r="L2330" s="18"/>
      <c r="M2330" s="18"/>
    </row>
    <row r="2331" ht="15.0" customHeight="1">
      <c r="A2331" s="18"/>
      <c r="B2331" s="18"/>
      <c r="C2331" s="18"/>
      <c r="D2331" s="18"/>
      <c r="E2331" s="18"/>
      <c r="F2331" s="18"/>
      <c r="G2331" s="4"/>
      <c r="H2331" s="18"/>
      <c r="I2331" s="91"/>
      <c r="J2331" s="18"/>
      <c r="K2331" s="18"/>
      <c r="L2331" s="18"/>
      <c r="M2331" s="18"/>
    </row>
    <row r="2332" ht="15.0" customHeight="1">
      <c r="A2332" s="18"/>
      <c r="B2332" s="18"/>
      <c r="C2332" s="18"/>
      <c r="D2332" s="18"/>
      <c r="E2332" s="18"/>
      <c r="F2332" s="18"/>
      <c r="G2332" s="4"/>
      <c r="H2332" s="18"/>
      <c r="I2332" s="91"/>
      <c r="J2332" s="18"/>
      <c r="K2332" s="18"/>
      <c r="L2332" s="18"/>
      <c r="M2332" s="18"/>
    </row>
    <row r="2333" ht="15.0" customHeight="1">
      <c r="A2333" s="18"/>
      <c r="B2333" s="18"/>
      <c r="C2333" s="18"/>
      <c r="D2333" s="18"/>
      <c r="E2333" s="18"/>
      <c r="F2333" s="18"/>
      <c r="G2333" s="4"/>
      <c r="H2333" s="18"/>
      <c r="I2333" s="91"/>
      <c r="J2333" s="18"/>
      <c r="K2333" s="18"/>
      <c r="L2333" s="18"/>
      <c r="M2333" s="18"/>
    </row>
    <row r="2334" ht="15.0" customHeight="1">
      <c r="A2334" s="18"/>
      <c r="B2334" s="18"/>
      <c r="C2334" s="18"/>
      <c r="D2334" s="18"/>
      <c r="E2334" s="18"/>
      <c r="F2334" s="18"/>
      <c r="G2334" s="4"/>
      <c r="H2334" s="18"/>
      <c r="I2334" s="91"/>
      <c r="J2334" s="18"/>
      <c r="K2334" s="18"/>
      <c r="L2334" s="18"/>
      <c r="M2334" s="18"/>
    </row>
    <row r="2335" ht="15.0" customHeight="1">
      <c r="A2335" s="18"/>
      <c r="B2335" s="18"/>
      <c r="C2335" s="18"/>
      <c r="D2335" s="18"/>
      <c r="E2335" s="18"/>
      <c r="F2335" s="18"/>
      <c r="G2335" s="4"/>
      <c r="H2335" s="18"/>
      <c r="I2335" s="91"/>
      <c r="J2335" s="18"/>
      <c r="K2335" s="18"/>
      <c r="L2335" s="18"/>
      <c r="M2335" s="18"/>
    </row>
    <row r="2336" ht="15.0" customHeight="1">
      <c r="A2336" s="18"/>
      <c r="B2336" s="18"/>
      <c r="C2336" s="18"/>
      <c r="D2336" s="18"/>
      <c r="E2336" s="18"/>
      <c r="F2336" s="18"/>
      <c r="G2336" s="4"/>
      <c r="H2336" s="18"/>
      <c r="I2336" s="91"/>
      <c r="J2336" s="18"/>
      <c r="K2336" s="18"/>
      <c r="L2336" s="18"/>
      <c r="M2336" s="18"/>
    </row>
    <row r="2337" ht="15.0" customHeight="1">
      <c r="A2337" s="18"/>
      <c r="B2337" s="18"/>
      <c r="C2337" s="18"/>
      <c r="D2337" s="18"/>
      <c r="E2337" s="18"/>
      <c r="F2337" s="18"/>
      <c r="G2337" s="4"/>
      <c r="H2337" s="18"/>
      <c r="I2337" s="91"/>
      <c r="J2337" s="18"/>
      <c r="K2337" s="18"/>
      <c r="L2337" s="18"/>
      <c r="M2337" s="18"/>
    </row>
    <row r="2338" ht="15.0" customHeight="1">
      <c r="A2338" s="18"/>
      <c r="B2338" s="18"/>
      <c r="C2338" s="18"/>
      <c r="D2338" s="18"/>
      <c r="E2338" s="18"/>
      <c r="F2338" s="18"/>
      <c r="G2338" s="4"/>
      <c r="H2338" s="18"/>
      <c r="I2338" s="91"/>
      <c r="J2338" s="18"/>
      <c r="K2338" s="18"/>
      <c r="L2338" s="18"/>
      <c r="M2338" s="18"/>
    </row>
    <row r="2339" ht="15.0" customHeight="1">
      <c r="A2339" s="18"/>
      <c r="B2339" s="18"/>
      <c r="C2339" s="18"/>
      <c r="D2339" s="18"/>
      <c r="E2339" s="18"/>
      <c r="F2339" s="18"/>
      <c r="G2339" s="4"/>
      <c r="H2339" s="18"/>
      <c r="I2339" s="91"/>
      <c r="J2339" s="18"/>
      <c r="K2339" s="18"/>
      <c r="L2339" s="18"/>
      <c r="M2339" s="18"/>
    </row>
    <row r="2340" ht="15.0" customHeight="1">
      <c r="A2340" s="18"/>
      <c r="B2340" s="18"/>
      <c r="C2340" s="18"/>
      <c r="D2340" s="18"/>
      <c r="E2340" s="18"/>
      <c r="F2340" s="18"/>
      <c r="G2340" s="4"/>
      <c r="H2340" s="18"/>
      <c r="I2340" s="91"/>
      <c r="J2340" s="18"/>
      <c r="K2340" s="18"/>
      <c r="L2340" s="18"/>
      <c r="M2340" s="18"/>
    </row>
    <row r="2341" ht="15.0" customHeight="1">
      <c r="A2341" s="18"/>
      <c r="B2341" s="18"/>
      <c r="C2341" s="18"/>
      <c r="D2341" s="18"/>
      <c r="E2341" s="18"/>
      <c r="F2341" s="18"/>
      <c r="G2341" s="4"/>
      <c r="H2341" s="18"/>
      <c r="I2341" s="91"/>
      <c r="J2341" s="18"/>
      <c r="K2341" s="18"/>
      <c r="L2341" s="18"/>
      <c r="M2341" s="18"/>
    </row>
    <row r="2342" ht="15.0" customHeight="1">
      <c r="A2342" s="18"/>
      <c r="B2342" s="18"/>
      <c r="C2342" s="18"/>
      <c r="D2342" s="18"/>
      <c r="E2342" s="18"/>
      <c r="F2342" s="18"/>
      <c r="G2342" s="4"/>
      <c r="H2342" s="18"/>
      <c r="I2342" s="91"/>
      <c r="J2342" s="18"/>
      <c r="K2342" s="18"/>
      <c r="L2342" s="18"/>
      <c r="M2342" s="18"/>
    </row>
    <row r="2343" ht="15.0" customHeight="1">
      <c r="A2343" s="18"/>
      <c r="B2343" s="18"/>
      <c r="C2343" s="18"/>
      <c r="D2343" s="18"/>
      <c r="E2343" s="18"/>
      <c r="F2343" s="18"/>
      <c r="G2343" s="4"/>
      <c r="H2343" s="18"/>
      <c r="I2343" s="91"/>
      <c r="J2343" s="18"/>
      <c r="K2343" s="18"/>
      <c r="L2343" s="18"/>
      <c r="M2343" s="18"/>
    </row>
    <row r="2344" ht="15.0" customHeight="1">
      <c r="A2344" s="18"/>
      <c r="B2344" s="18"/>
      <c r="C2344" s="18"/>
      <c r="D2344" s="18"/>
      <c r="E2344" s="18"/>
      <c r="F2344" s="18"/>
      <c r="G2344" s="4"/>
      <c r="H2344" s="18"/>
      <c r="I2344" s="91"/>
      <c r="J2344" s="18"/>
      <c r="K2344" s="18"/>
      <c r="L2344" s="18"/>
      <c r="M2344" s="18"/>
    </row>
    <row r="2345" ht="15.0" customHeight="1">
      <c r="A2345" s="18"/>
      <c r="B2345" s="18"/>
      <c r="C2345" s="18"/>
      <c r="D2345" s="18"/>
      <c r="E2345" s="18"/>
      <c r="F2345" s="18"/>
      <c r="G2345" s="4"/>
      <c r="H2345" s="18"/>
      <c r="I2345" s="91"/>
      <c r="J2345" s="18"/>
      <c r="K2345" s="18"/>
      <c r="L2345" s="18"/>
      <c r="M2345" s="18"/>
    </row>
    <row r="2346" ht="15.0" customHeight="1">
      <c r="A2346" s="18"/>
      <c r="B2346" s="18"/>
      <c r="C2346" s="18"/>
      <c r="D2346" s="18"/>
      <c r="E2346" s="18"/>
      <c r="F2346" s="18"/>
      <c r="G2346" s="4"/>
      <c r="H2346" s="18"/>
      <c r="I2346" s="91"/>
      <c r="J2346" s="18"/>
      <c r="K2346" s="18"/>
      <c r="L2346" s="18"/>
      <c r="M2346" s="18"/>
    </row>
    <row r="2347" ht="15.0" customHeight="1">
      <c r="A2347" s="18"/>
      <c r="B2347" s="18"/>
      <c r="C2347" s="18"/>
      <c r="D2347" s="18"/>
      <c r="E2347" s="18"/>
      <c r="F2347" s="18"/>
      <c r="G2347" s="4"/>
      <c r="H2347" s="18"/>
      <c r="I2347" s="91"/>
      <c r="J2347" s="18"/>
      <c r="K2347" s="18"/>
      <c r="L2347" s="18"/>
      <c r="M2347" s="18"/>
    </row>
    <row r="2348" ht="15.0" customHeight="1">
      <c r="A2348" s="18"/>
      <c r="B2348" s="18"/>
      <c r="C2348" s="18"/>
      <c r="D2348" s="18"/>
      <c r="E2348" s="18"/>
      <c r="F2348" s="18"/>
      <c r="G2348" s="4"/>
      <c r="H2348" s="18"/>
      <c r="I2348" s="91"/>
      <c r="J2348" s="18"/>
      <c r="K2348" s="18"/>
      <c r="L2348" s="18"/>
      <c r="M2348" s="18"/>
    </row>
    <row r="2349" ht="15.0" customHeight="1">
      <c r="A2349" s="18"/>
      <c r="B2349" s="18"/>
      <c r="C2349" s="18"/>
      <c r="D2349" s="18"/>
      <c r="E2349" s="18"/>
      <c r="F2349" s="18"/>
      <c r="G2349" s="4"/>
      <c r="H2349" s="18"/>
      <c r="I2349" s="91"/>
      <c r="J2349" s="18"/>
      <c r="K2349" s="18"/>
      <c r="L2349" s="18"/>
      <c r="M2349" s="18"/>
    </row>
    <row r="2350" ht="15.0" customHeight="1">
      <c r="A2350" s="18"/>
      <c r="B2350" s="18"/>
      <c r="C2350" s="18"/>
      <c r="D2350" s="18"/>
      <c r="E2350" s="18"/>
      <c r="F2350" s="18"/>
      <c r="G2350" s="4"/>
      <c r="H2350" s="18"/>
      <c r="I2350" s="91"/>
      <c r="J2350" s="18"/>
      <c r="K2350" s="18"/>
      <c r="L2350" s="18"/>
      <c r="M2350" s="18"/>
    </row>
    <row r="2351" ht="15.0" customHeight="1">
      <c r="A2351" s="18"/>
      <c r="B2351" s="18"/>
      <c r="C2351" s="18"/>
      <c r="D2351" s="18"/>
      <c r="E2351" s="18"/>
      <c r="F2351" s="18"/>
      <c r="G2351" s="4"/>
      <c r="H2351" s="18"/>
      <c r="I2351" s="91"/>
      <c r="J2351" s="18"/>
      <c r="K2351" s="18"/>
      <c r="L2351" s="18"/>
      <c r="M2351" s="18"/>
    </row>
    <row r="2352" ht="15.0" customHeight="1">
      <c r="A2352" s="18"/>
      <c r="B2352" s="18"/>
      <c r="C2352" s="18"/>
      <c r="D2352" s="18"/>
      <c r="E2352" s="18"/>
      <c r="F2352" s="18"/>
      <c r="G2352" s="4"/>
      <c r="H2352" s="18"/>
      <c r="I2352" s="91"/>
      <c r="J2352" s="18"/>
      <c r="K2352" s="18"/>
      <c r="L2352" s="18"/>
      <c r="M2352" s="18"/>
    </row>
    <row r="2353" ht="15.0" customHeight="1">
      <c r="A2353" s="18"/>
      <c r="B2353" s="18"/>
      <c r="C2353" s="18"/>
      <c r="D2353" s="18"/>
      <c r="E2353" s="18"/>
      <c r="F2353" s="18"/>
      <c r="G2353" s="4"/>
      <c r="H2353" s="18"/>
      <c r="I2353" s="91"/>
      <c r="J2353" s="18"/>
      <c r="K2353" s="18"/>
      <c r="L2353" s="18"/>
      <c r="M2353" s="18"/>
    </row>
    <row r="2354" ht="15.0" customHeight="1">
      <c r="A2354" s="18"/>
      <c r="B2354" s="18"/>
      <c r="C2354" s="18"/>
      <c r="D2354" s="18"/>
      <c r="E2354" s="18"/>
      <c r="F2354" s="18"/>
      <c r="G2354" s="4"/>
      <c r="H2354" s="18"/>
      <c r="I2354" s="91"/>
      <c r="J2354" s="18"/>
      <c r="K2354" s="18"/>
      <c r="L2354" s="18"/>
      <c r="M2354" s="18"/>
    </row>
    <row r="2355" ht="15.0" customHeight="1">
      <c r="A2355" s="18"/>
      <c r="B2355" s="18"/>
      <c r="C2355" s="18"/>
      <c r="D2355" s="18"/>
      <c r="E2355" s="18"/>
      <c r="F2355" s="18"/>
      <c r="G2355" s="4"/>
      <c r="H2355" s="18"/>
      <c r="I2355" s="91"/>
      <c r="J2355" s="18"/>
      <c r="K2355" s="18"/>
      <c r="L2355" s="18"/>
      <c r="M2355" s="18"/>
    </row>
    <row r="2356" ht="15.0" customHeight="1">
      <c r="A2356" s="18"/>
      <c r="B2356" s="18"/>
      <c r="C2356" s="18"/>
      <c r="D2356" s="18"/>
      <c r="E2356" s="18"/>
      <c r="F2356" s="18"/>
      <c r="G2356" s="4"/>
      <c r="H2356" s="18"/>
      <c r="I2356" s="91"/>
      <c r="J2356" s="18"/>
      <c r="K2356" s="18"/>
      <c r="L2356" s="18"/>
      <c r="M2356" s="18"/>
    </row>
    <row r="2357" ht="15.0" customHeight="1">
      <c r="A2357" s="18"/>
      <c r="B2357" s="18"/>
      <c r="C2357" s="18"/>
      <c r="D2357" s="18"/>
      <c r="E2357" s="18"/>
      <c r="F2357" s="18"/>
      <c r="G2357" s="4"/>
      <c r="H2357" s="18"/>
      <c r="I2357" s="91"/>
      <c r="J2357" s="18"/>
      <c r="K2357" s="18"/>
      <c r="L2357" s="18"/>
      <c r="M2357" s="18"/>
    </row>
    <row r="2358" ht="15.0" customHeight="1">
      <c r="A2358" s="18"/>
      <c r="B2358" s="18"/>
      <c r="C2358" s="18"/>
      <c r="D2358" s="18"/>
      <c r="E2358" s="18"/>
      <c r="F2358" s="18"/>
      <c r="G2358" s="4"/>
      <c r="H2358" s="18"/>
      <c r="I2358" s="91"/>
      <c r="J2358" s="18"/>
      <c r="K2358" s="18"/>
      <c r="L2358" s="18"/>
      <c r="M2358" s="18"/>
    </row>
    <row r="2359" ht="15.0" customHeight="1">
      <c r="A2359" s="18"/>
      <c r="B2359" s="18"/>
      <c r="C2359" s="18"/>
      <c r="D2359" s="18"/>
      <c r="E2359" s="18"/>
      <c r="F2359" s="18"/>
      <c r="G2359" s="4"/>
      <c r="H2359" s="18"/>
      <c r="I2359" s="91"/>
      <c r="J2359" s="18"/>
      <c r="K2359" s="18"/>
      <c r="L2359" s="18"/>
      <c r="M2359" s="18"/>
    </row>
    <row r="2360" ht="15.0" customHeight="1">
      <c r="A2360" s="18"/>
      <c r="B2360" s="18"/>
      <c r="C2360" s="18"/>
      <c r="D2360" s="18"/>
      <c r="E2360" s="18"/>
      <c r="F2360" s="18"/>
      <c r="G2360" s="4"/>
      <c r="H2360" s="18"/>
      <c r="I2360" s="91"/>
      <c r="J2360" s="18"/>
      <c r="K2360" s="18"/>
      <c r="L2360" s="18"/>
      <c r="M2360" s="18"/>
    </row>
    <row r="2361" ht="15.0" customHeight="1">
      <c r="A2361" s="18"/>
      <c r="B2361" s="18"/>
      <c r="C2361" s="18"/>
      <c r="D2361" s="18"/>
      <c r="E2361" s="18"/>
      <c r="F2361" s="18"/>
      <c r="G2361" s="4"/>
      <c r="H2361" s="18"/>
      <c r="I2361" s="91"/>
      <c r="J2361" s="18"/>
      <c r="K2361" s="18"/>
      <c r="L2361" s="18"/>
      <c r="M2361" s="18"/>
    </row>
    <row r="2362" ht="15.0" customHeight="1">
      <c r="A2362" s="18"/>
      <c r="B2362" s="18"/>
      <c r="C2362" s="18"/>
      <c r="D2362" s="18"/>
      <c r="E2362" s="18"/>
      <c r="F2362" s="18"/>
      <c r="G2362" s="4"/>
      <c r="H2362" s="18"/>
      <c r="I2362" s="91"/>
      <c r="J2362" s="18"/>
      <c r="K2362" s="18"/>
      <c r="L2362" s="18"/>
      <c r="M2362" s="18"/>
    </row>
    <row r="2363" ht="15.0" customHeight="1">
      <c r="A2363" s="18"/>
      <c r="B2363" s="18"/>
      <c r="C2363" s="18"/>
      <c r="D2363" s="18"/>
      <c r="E2363" s="18"/>
      <c r="F2363" s="18"/>
      <c r="G2363" s="4"/>
      <c r="H2363" s="18"/>
      <c r="I2363" s="91"/>
      <c r="J2363" s="18"/>
      <c r="K2363" s="18"/>
      <c r="L2363" s="18"/>
      <c r="M2363" s="18"/>
    </row>
    <row r="2364" ht="15.0" customHeight="1">
      <c r="A2364" s="18"/>
      <c r="B2364" s="18"/>
      <c r="C2364" s="18"/>
      <c r="D2364" s="18"/>
      <c r="E2364" s="18"/>
      <c r="F2364" s="18"/>
      <c r="G2364" s="4"/>
      <c r="H2364" s="18"/>
      <c r="I2364" s="91"/>
      <c r="J2364" s="18"/>
      <c r="K2364" s="18"/>
      <c r="L2364" s="18"/>
      <c r="M2364" s="18"/>
    </row>
    <row r="2365" ht="15.0" customHeight="1">
      <c r="A2365" s="18"/>
      <c r="B2365" s="18"/>
      <c r="C2365" s="18"/>
      <c r="D2365" s="18"/>
      <c r="E2365" s="18"/>
      <c r="F2365" s="18"/>
      <c r="G2365" s="4"/>
      <c r="H2365" s="18"/>
      <c r="I2365" s="91"/>
      <c r="J2365" s="18"/>
      <c r="K2365" s="18"/>
      <c r="L2365" s="18"/>
      <c r="M2365" s="18"/>
    </row>
    <row r="2366" ht="15.0" customHeight="1">
      <c r="A2366" s="18"/>
      <c r="B2366" s="18"/>
      <c r="C2366" s="18"/>
      <c r="D2366" s="18"/>
      <c r="E2366" s="18"/>
      <c r="F2366" s="18"/>
      <c r="G2366" s="4"/>
      <c r="H2366" s="18"/>
      <c r="I2366" s="91"/>
      <c r="J2366" s="18"/>
      <c r="K2366" s="18"/>
      <c r="L2366" s="18"/>
      <c r="M2366" s="18"/>
    </row>
    <row r="2367" ht="15.0" customHeight="1">
      <c r="A2367" s="18"/>
      <c r="B2367" s="18"/>
      <c r="C2367" s="18"/>
      <c r="D2367" s="18"/>
      <c r="E2367" s="18"/>
      <c r="F2367" s="18"/>
      <c r="G2367" s="4"/>
      <c r="H2367" s="18"/>
      <c r="I2367" s="91"/>
      <c r="J2367" s="18"/>
      <c r="K2367" s="18"/>
      <c r="L2367" s="18"/>
      <c r="M2367" s="18"/>
    </row>
    <row r="2368" ht="15.0" customHeight="1">
      <c r="A2368" s="18"/>
      <c r="B2368" s="18"/>
      <c r="C2368" s="18"/>
      <c r="D2368" s="18"/>
      <c r="E2368" s="18"/>
      <c r="F2368" s="18"/>
      <c r="G2368" s="4"/>
      <c r="H2368" s="18"/>
      <c r="I2368" s="91"/>
      <c r="J2368" s="18"/>
      <c r="K2368" s="18"/>
      <c r="L2368" s="18"/>
      <c r="M2368" s="18"/>
    </row>
    <row r="2369" ht="15.0" customHeight="1">
      <c r="A2369" s="18"/>
      <c r="B2369" s="18"/>
      <c r="C2369" s="18"/>
      <c r="D2369" s="18"/>
      <c r="E2369" s="18"/>
      <c r="F2369" s="18"/>
      <c r="G2369" s="4"/>
      <c r="H2369" s="18"/>
      <c r="I2369" s="91"/>
      <c r="J2369" s="18"/>
      <c r="K2369" s="18"/>
      <c r="L2369" s="18"/>
      <c r="M2369" s="18"/>
    </row>
    <row r="2370" ht="15.0" customHeight="1">
      <c r="A2370" s="18"/>
      <c r="B2370" s="18"/>
      <c r="C2370" s="18"/>
      <c r="D2370" s="18"/>
      <c r="E2370" s="18"/>
      <c r="F2370" s="18"/>
      <c r="G2370" s="4"/>
      <c r="H2370" s="18"/>
      <c r="I2370" s="91"/>
      <c r="J2370" s="18"/>
      <c r="K2370" s="18"/>
      <c r="L2370" s="18"/>
      <c r="M2370" s="18"/>
    </row>
    <row r="2371" ht="15.0" customHeight="1">
      <c r="A2371" s="18"/>
      <c r="B2371" s="18"/>
      <c r="C2371" s="18"/>
      <c r="D2371" s="18"/>
      <c r="E2371" s="18"/>
      <c r="F2371" s="18"/>
      <c r="G2371" s="4"/>
      <c r="H2371" s="18"/>
      <c r="I2371" s="91"/>
      <c r="J2371" s="18"/>
      <c r="K2371" s="18"/>
      <c r="L2371" s="18"/>
      <c r="M2371" s="18"/>
    </row>
    <row r="2372" ht="15.0" customHeight="1">
      <c r="A2372" s="18"/>
      <c r="B2372" s="18"/>
      <c r="C2372" s="18"/>
      <c r="D2372" s="18"/>
      <c r="E2372" s="18"/>
      <c r="F2372" s="18"/>
      <c r="G2372" s="4"/>
      <c r="H2372" s="18"/>
      <c r="I2372" s="91"/>
      <c r="J2372" s="18"/>
      <c r="K2372" s="18"/>
      <c r="L2372" s="18"/>
      <c r="M2372" s="18"/>
    </row>
    <row r="2373" ht="15.0" customHeight="1">
      <c r="A2373" s="18"/>
      <c r="B2373" s="18"/>
      <c r="C2373" s="18"/>
      <c r="D2373" s="18"/>
      <c r="E2373" s="18"/>
      <c r="F2373" s="18"/>
      <c r="G2373" s="4"/>
      <c r="H2373" s="18"/>
      <c r="I2373" s="91"/>
      <c r="J2373" s="18"/>
      <c r="K2373" s="18"/>
      <c r="L2373" s="18"/>
      <c r="M2373" s="18"/>
    </row>
    <row r="2374" ht="15.0" customHeight="1">
      <c r="A2374" s="18"/>
      <c r="B2374" s="18"/>
      <c r="C2374" s="18"/>
      <c r="D2374" s="18"/>
      <c r="E2374" s="18"/>
      <c r="F2374" s="18"/>
      <c r="G2374" s="4"/>
      <c r="H2374" s="18"/>
      <c r="I2374" s="91"/>
      <c r="J2374" s="18"/>
      <c r="K2374" s="18"/>
      <c r="L2374" s="18"/>
      <c r="M2374" s="18"/>
    </row>
    <row r="2375" ht="15.0" customHeight="1">
      <c r="A2375" s="18"/>
      <c r="B2375" s="18"/>
      <c r="C2375" s="18"/>
      <c r="D2375" s="18"/>
      <c r="E2375" s="18"/>
      <c r="F2375" s="18"/>
      <c r="G2375" s="4"/>
      <c r="H2375" s="18"/>
      <c r="I2375" s="91"/>
      <c r="J2375" s="18"/>
      <c r="K2375" s="18"/>
      <c r="L2375" s="18"/>
      <c r="M2375" s="18"/>
    </row>
    <row r="2376" ht="15.0" customHeight="1">
      <c r="A2376" s="18"/>
      <c r="B2376" s="18"/>
      <c r="C2376" s="18"/>
      <c r="D2376" s="18"/>
      <c r="E2376" s="18"/>
      <c r="F2376" s="18"/>
      <c r="G2376" s="4"/>
      <c r="H2376" s="18"/>
      <c r="I2376" s="91"/>
      <c r="J2376" s="18"/>
      <c r="K2376" s="18"/>
      <c r="L2376" s="18"/>
      <c r="M2376" s="18"/>
    </row>
    <row r="2377" ht="15.0" customHeight="1">
      <c r="A2377" s="18"/>
      <c r="B2377" s="18"/>
      <c r="C2377" s="18"/>
      <c r="D2377" s="18"/>
      <c r="E2377" s="18"/>
      <c r="F2377" s="18"/>
      <c r="G2377" s="4"/>
      <c r="H2377" s="18"/>
      <c r="I2377" s="91"/>
      <c r="J2377" s="18"/>
      <c r="K2377" s="18"/>
      <c r="L2377" s="18"/>
      <c r="M2377" s="18"/>
    </row>
    <row r="2378" ht="15.0" customHeight="1">
      <c r="A2378" s="18"/>
      <c r="B2378" s="18"/>
      <c r="C2378" s="18"/>
      <c r="D2378" s="18"/>
      <c r="E2378" s="18"/>
      <c r="F2378" s="18"/>
      <c r="G2378" s="4"/>
      <c r="H2378" s="18"/>
      <c r="I2378" s="91"/>
      <c r="J2378" s="18"/>
      <c r="K2378" s="18"/>
      <c r="L2378" s="18"/>
      <c r="M2378" s="18"/>
    </row>
    <row r="2379" ht="15.0" customHeight="1">
      <c r="A2379" s="18"/>
      <c r="B2379" s="18"/>
      <c r="C2379" s="18"/>
      <c r="D2379" s="18"/>
      <c r="E2379" s="18"/>
      <c r="F2379" s="18"/>
      <c r="G2379" s="4"/>
      <c r="H2379" s="18"/>
      <c r="I2379" s="91"/>
      <c r="J2379" s="18"/>
      <c r="K2379" s="18"/>
      <c r="L2379" s="18"/>
      <c r="M2379" s="18"/>
    </row>
    <row r="2380" ht="15.0" customHeight="1">
      <c r="A2380" s="18"/>
      <c r="B2380" s="18"/>
      <c r="C2380" s="18"/>
      <c r="D2380" s="18"/>
      <c r="E2380" s="18"/>
      <c r="F2380" s="18"/>
      <c r="G2380" s="4"/>
      <c r="H2380" s="18"/>
      <c r="I2380" s="91"/>
      <c r="J2380" s="18"/>
      <c r="K2380" s="18"/>
      <c r="L2380" s="18"/>
      <c r="M2380" s="18"/>
    </row>
    <row r="2381" ht="15.0" customHeight="1">
      <c r="A2381" s="18"/>
      <c r="B2381" s="18"/>
      <c r="C2381" s="18"/>
      <c r="D2381" s="18"/>
      <c r="E2381" s="18"/>
      <c r="F2381" s="18"/>
      <c r="G2381" s="4"/>
      <c r="H2381" s="18"/>
      <c r="I2381" s="91"/>
      <c r="J2381" s="18"/>
      <c r="K2381" s="18"/>
      <c r="L2381" s="18"/>
      <c r="M2381" s="18"/>
    </row>
    <row r="2382" ht="15.0" customHeight="1">
      <c r="A2382" s="18"/>
      <c r="B2382" s="18"/>
      <c r="C2382" s="18"/>
      <c r="D2382" s="18"/>
      <c r="E2382" s="18"/>
      <c r="F2382" s="18"/>
      <c r="G2382" s="4"/>
      <c r="H2382" s="18"/>
      <c r="I2382" s="91"/>
      <c r="J2382" s="18"/>
      <c r="K2382" s="18"/>
      <c r="L2382" s="18"/>
      <c r="M2382" s="18"/>
    </row>
    <row r="2383" ht="15.0" customHeight="1">
      <c r="A2383" s="18"/>
      <c r="B2383" s="18"/>
      <c r="C2383" s="18"/>
      <c r="D2383" s="18"/>
      <c r="E2383" s="18"/>
      <c r="F2383" s="18"/>
      <c r="G2383" s="4"/>
      <c r="H2383" s="18"/>
      <c r="I2383" s="91"/>
      <c r="J2383" s="18"/>
      <c r="K2383" s="18"/>
      <c r="L2383" s="18"/>
      <c r="M2383" s="18"/>
    </row>
    <row r="2384" ht="15.0" customHeight="1">
      <c r="A2384" s="18"/>
      <c r="B2384" s="18"/>
      <c r="C2384" s="18"/>
      <c r="D2384" s="18"/>
      <c r="E2384" s="18"/>
      <c r="F2384" s="18"/>
      <c r="G2384" s="4"/>
      <c r="H2384" s="18"/>
      <c r="I2384" s="91"/>
      <c r="J2384" s="18"/>
      <c r="K2384" s="18"/>
      <c r="L2384" s="18"/>
      <c r="M2384" s="18"/>
    </row>
    <row r="2385" ht="15.0" customHeight="1">
      <c r="A2385" s="18"/>
      <c r="B2385" s="18"/>
      <c r="C2385" s="18"/>
      <c r="D2385" s="18"/>
      <c r="E2385" s="18"/>
      <c r="F2385" s="18"/>
      <c r="G2385" s="4"/>
      <c r="H2385" s="18"/>
      <c r="I2385" s="91"/>
      <c r="J2385" s="18"/>
      <c r="K2385" s="18"/>
      <c r="L2385" s="18"/>
      <c r="M2385" s="18"/>
    </row>
    <row r="2386" ht="15.0" customHeight="1">
      <c r="A2386" s="18"/>
      <c r="B2386" s="18"/>
      <c r="C2386" s="18"/>
      <c r="D2386" s="18"/>
      <c r="E2386" s="18"/>
      <c r="F2386" s="18"/>
      <c r="G2386" s="4"/>
      <c r="H2386" s="18"/>
      <c r="I2386" s="91"/>
      <c r="J2386" s="18"/>
      <c r="K2386" s="18"/>
      <c r="L2386" s="18"/>
      <c r="M2386" s="18"/>
    </row>
    <row r="2387" ht="15.0" customHeight="1">
      <c r="A2387" s="18"/>
      <c r="B2387" s="18"/>
      <c r="C2387" s="18"/>
      <c r="D2387" s="18"/>
      <c r="E2387" s="18"/>
      <c r="F2387" s="18"/>
      <c r="G2387" s="4"/>
      <c r="H2387" s="18"/>
      <c r="I2387" s="91"/>
      <c r="J2387" s="18"/>
      <c r="K2387" s="18"/>
      <c r="L2387" s="18"/>
      <c r="M2387" s="18"/>
    </row>
    <row r="2388" ht="15.0" customHeight="1">
      <c r="A2388" s="18"/>
      <c r="B2388" s="18"/>
      <c r="C2388" s="18"/>
      <c r="D2388" s="18"/>
      <c r="E2388" s="18"/>
      <c r="F2388" s="18"/>
      <c r="G2388" s="4"/>
      <c r="H2388" s="18"/>
      <c r="I2388" s="91"/>
      <c r="J2388" s="18"/>
      <c r="K2388" s="18"/>
      <c r="L2388" s="18"/>
      <c r="M2388" s="18"/>
    </row>
    <row r="2389" ht="15.0" customHeight="1">
      <c r="A2389" s="18"/>
      <c r="B2389" s="18"/>
      <c r="C2389" s="18"/>
      <c r="D2389" s="18"/>
      <c r="E2389" s="18"/>
      <c r="F2389" s="18"/>
      <c r="G2389" s="4"/>
      <c r="H2389" s="18"/>
      <c r="I2389" s="91"/>
      <c r="J2389" s="18"/>
      <c r="K2389" s="18"/>
      <c r="L2389" s="18"/>
      <c r="M2389" s="18"/>
    </row>
    <row r="2390" ht="15.0" customHeight="1">
      <c r="A2390" s="18"/>
      <c r="B2390" s="18"/>
      <c r="C2390" s="18"/>
      <c r="D2390" s="18"/>
      <c r="E2390" s="18"/>
      <c r="F2390" s="18"/>
      <c r="G2390" s="4"/>
      <c r="H2390" s="18"/>
      <c r="I2390" s="91"/>
      <c r="J2390" s="18"/>
      <c r="K2390" s="18"/>
      <c r="L2390" s="18"/>
      <c r="M2390" s="18"/>
    </row>
    <row r="2391" ht="15.0" customHeight="1">
      <c r="A2391" s="18"/>
      <c r="B2391" s="18"/>
      <c r="C2391" s="18"/>
      <c r="D2391" s="18"/>
      <c r="E2391" s="18"/>
      <c r="F2391" s="18"/>
      <c r="G2391" s="4"/>
      <c r="H2391" s="18"/>
      <c r="I2391" s="91"/>
      <c r="J2391" s="18"/>
      <c r="K2391" s="18"/>
      <c r="L2391" s="18"/>
      <c r="M2391" s="18"/>
    </row>
    <row r="2392" ht="15.0" customHeight="1">
      <c r="A2392" s="18"/>
      <c r="B2392" s="18"/>
      <c r="C2392" s="18"/>
      <c r="D2392" s="18"/>
      <c r="E2392" s="18"/>
      <c r="F2392" s="18"/>
      <c r="G2392" s="4"/>
      <c r="H2392" s="18"/>
      <c r="I2392" s="91"/>
      <c r="J2392" s="18"/>
      <c r="K2392" s="18"/>
      <c r="L2392" s="18"/>
      <c r="M2392" s="18"/>
    </row>
    <row r="2393" ht="15.0" customHeight="1">
      <c r="A2393" s="18"/>
      <c r="B2393" s="18"/>
      <c r="C2393" s="18"/>
      <c r="D2393" s="18"/>
      <c r="E2393" s="18"/>
      <c r="F2393" s="18"/>
      <c r="G2393" s="4"/>
      <c r="H2393" s="18"/>
      <c r="I2393" s="91"/>
      <c r="J2393" s="18"/>
      <c r="K2393" s="18"/>
      <c r="L2393" s="18"/>
      <c r="M2393" s="18"/>
    </row>
    <row r="2394" ht="15.0" customHeight="1">
      <c r="A2394" s="18"/>
      <c r="B2394" s="18"/>
      <c r="C2394" s="18"/>
      <c r="D2394" s="18"/>
      <c r="E2394" s="18"/>
      <c r="F2394" s="18"/>
      <c r="G2394" s="4"/>
      <c r="H2394" s="18"/>
      <c r="I2394" s="91"/>
      <c r="J2394" s="18"/>
      <c r="K2394" s="18"/>
      <c r="L2394" s="18"/>
      <c r="M2394" s="18"/>
    </row>
    <row r="2395" ht="15.0" customHeight="1">
      <c r="A2395" s="18"/>
      <c r="B2395" s="18"/>
      <c r="C2395" s="18"/>
      <c r="D2395" s="18"/>
      <c r="E2395" s="18"/>
      <c r="F2395" s="18"/>
      <c r="G2395" s="4"/>
      <c r="H2395" s="18"/>
      <c r="I2395" s="91"/>
      <c r="J2395" s="18"/>
      <c r="K2395" s="18"/>
      <c r="L2395" s="18"/>
      <c r="M2395" s="18"/>
    </row>
    <row r="2396" ht="15.0" customHeight="1">
      <c r="A2396" s="18"/>
      <c r="B2396" s="18"/>
      <c r="C2396" s="18"/>
      <c r="D2396" s="18"/>
      <c r="E2396" s="18"/>
      <c r="F2396" s="18"/>
      <c r="G2396" s="4"/>
      <c r="H2396" s="18"/>
      <c r="I2396" s="91"/>
      <c r="J2396" s="18"/>
      <c r="K2396" s="18"/>
      <c r="L2396" s="18"/>
      <c r="M2396" s="18"/>
    </row>
    <row r="2397" ht="15.0" customHeight="1">
      <c r="A2397" s="18"/>
      <c r="B2397" s="18"/>
      <c r="C2397" s="18"/>
      <c r="D2397" s="18"/>
      <c r="E2397" s="18"/>
      <c r="F2397" s="18"/>
      <c r="G2397" s="4"/>
      <c r="H2397" s="18"/>
      <c r="I2397" s="91"/>
      <c r="J2397" s="18"/>
      <c r="K2397" s="18"/>
      <c r="L2397" s="18"/>
      <c r="M2397" s="18"/>
    </row>
    <row r="2398" ht="15.0" customHeight="1">
      <c r="A2398" s="18"/>
      <c r="B2398" s="18"/>
      <c r="C2398" s="18"/>
      <c r="D2398" s="18"/>
      <c r="E2398" s="18"/>
      <c r="F2398" s="18"/>
      <c r="G2398" s="4"/>
      <c r="H2398" s="18"/>
      <c r="I2398" s="91"/>
      <c r="J2398" s="18"/>
      <c r="K2398" s="18"/>
      <c r="L2398" s="18"/>
      <c r="M2398" s="18"/>
    </row>
    <row r="2399" ht="15.0" customHeight="1">
      <c r="A2399" s="18"/>
      <c r="B2399" s="18"/>
      <c r="C2399" s="18"/>
      <c r="D2399" s="18"/>
      <c r="E2399" s="18"/>
      <c r="F2399" s="18"/>
      <c r="G2399" s="4"/>
      <c r="H2399" s="18"/>
      <c r="I2399" s="91"/>
      <c r="J2399" s="18"/>
      <c r="K2399" s="18"/>
      <c r="L2399" s="18"/>
      <c r="M2399" s="18"/>
    </row>
    <row r="2400" ht="15.0" customHeight="1">
      <c r="A2400" s="18"/>
      <c r="B2400" s="18"/>
      <c r="C2400" s="18"/>
      <c r="D2400" s="18"/>
      <c r="E2400" s="18"/>
      <c r="F2400" s="18"/>
      <c r="G2400" s="4"/>
      <c r="H2400" s="18"/>
      <c r="I2400" s="91"/>
      <c r="J2400" s="18"/>
      <c r="K2400" s="18"/>
      <c r="L2400" s="18"/>
      <c r="M2400" s="18"/>
    </row>
    <row r="2401" ht="15.0" customHeight="1">
      <c r="A2401" s="18"/>
      <c r="B2401" s="18"/>
      <c r="C2401" s="18"/>
      <c r="D2401" s="18"/>
      <c r="E2401" s="18"/>
      <c r="F2401" s="18"/>
      <c r="G2401" s="4"/>
      <c r="H2401" s="18"/>
      <c r="I2401" s="91"/>
      <c r="J2401" s="18"/>
      <c r="K2401" s="18"/>
      <c r="L2401" s="18"/>
      <c r="M2401" s="18"/>
    </row>
    <row r="2402" ht="15.0" customHeight="1">
      <c r="A2402" s="18"/>
      <c r="B2402" s="18"/>
      <c r="C2402" s="18"/>
      <c r="D2402" s="18"/>
      <c r="E2402" s="18"/>
      <c r="F2402" s="18"/>
      <c r="G2402" s="4"/>
      <c r="H2402" s="18"/>
      <c r="I2402" s="91"/>
      <c r="J2402" s="18"/>
      <c r="K2402" s="18"/>
      <c r="L2402" s="18"/>
      <c r="M2402" s="18"/>
    </row>
    <row r="2403" ht="15.0" customHeight="1">
      <c r="A2403" s="18"/>
      <c r="B2403" s="18"/>
      <c r="C2403" s="18"/>
      <c r="D2403" s="18"/>
      <c r="E2403" s="18"/>
      <c r="F2403" s="18"/>
      <c r="G2403" s="4"/>
      <c r="H2403" s="18"/>
      <c r="I2403" s="91"/>
      <c r="J2403" s="18"/>
      <c r="K2403" s="18"/>
      <c r="L2403" s="18"/>
      <c r="M2403" s="18"/>
    </row>
    <row r="2404" ht="15.0" customHeight="1">
      <c r="A2404" s="18"/>
      <c r="B2404" s="18"/>
      <c r="C2404" s="18"/>
      <c r="D2404" s="18"/>
      <c r="E2404" s="18"/>
      <c r="F2404" s="18"/>
      <c r="G2404" s="4"/>
      <c r="H2404" s="18"/>
      <c r="I2404" s="91"/>
      <c r="J2404" s="18"/>
      <c r="K2404" s="18"/>
      <c r="L2404" s="18"/>
      <c r="M2404" s="18"/>
    </row>
    <row r="2405" ht="15.0" customHeight="1">
      <c r="A2405" s="18"/>
      <c r="B2405" s="18"/>
      <c r="C2405" s="18"/>
      <c r="D2405" s="18"/>
      <c r="E2405" s="18"/>
      <c r="F2405" s="18"/>
      <c r="G2405" s="4"/>
      <c r="H2405" s="18"/>
      <c r="I2405" s="91"/>
      <c r="J2405" s="18"/>
      <c r="K2405" s="18"/>
      <c r="L2405" s="18"/>
      <c r="M2405" s="18"/>
    </row>
    <row r="2406" ht="15.0" customHeight="1">
      <c r="A2406" s="18"/>
      <c r="B2406" s="18"/>
      <c r="C2406" s="18"/>
      <c r="D2406" s="18"/>
      <c r="E2406" s="18"/>
      <c r="F2406" s="18"/>
      <c r="G2406" s="4"/>
      <c r="H2406" s="18"/>
      <c r="I2406" s="91"/>
      <c r="J2406" s="18"/>
      <c r="K2406" s="18"/>
      <c r="L2406" s="18"/>
      <c r="M2406" s="18"/>
    </row>
    <row r="2407" ht="15.0" customHeight="1">
      <c r="A2407" s="18"/>
      <c r="B2407" s="18"/>
      <c r="C2407" s="18"/>
      <c r="D2407" s="18"/>
      <c r="E2407" s="18"/>
      <c r="F2407" s="18"/>
      <c r="G2407" s="4"/>
      <c r="H2407" s="18"/>
      <c r="I2407" s="91"/>
      <c r="J2407" s="18"/>
      <c r="K2407" s="18"/>
      <c r="L2407" s="18"/>
      <c r="M2407" s="18"/>
    </row>
    <row r="2408" ht="15.0" customHeight="1">
      <c r="A2408" s="18"/>
      <c r="B2408" s="18"/>
      <c r="C2408" s="18"/>
      <c r="D2408" s="18"/>
      <c r="E2408" s="18"/>
      <c r="F2408" s="18"/>
      <c r="G2408" s="4"/>
      <c r="H2408" s="18"/>
      <c r="I2408" s="91"/>
      <c r="J2408" s="18"/>
      <c r="K2408" s="18"/>
      <c r="L2408" s="18"/>
      <c r="M2408" s="18"/>
    </row>
    <row r="2409" ht="15.0" customHeight="1">
      <c r="A2409" s="18"/>
      <c r="B2409" s="18"/>
      <c r="C2409" s="18"/>
      <c r="D2409" s="18"/>
      <c r="E2409" s="18"/>
      <c r="F2409" s="18"/>
      <c r="G2409" s="4"/>
      <c r="H2409" s="18"/>
      <c r="I2409" s="91"/>
      <c r="J2409" s="18"/>
      <c r="K2409" s="18"/>
      <c r="L2409" s="18"/>
      <c r="M2409" s="18"/>
    </row>
    <row r="2410" ht="15.0" customHeight="1">
      <c r="A2410" s="18"/>
      <c r="B2410" s="18"/>
      <c r="C2410" s="18"/>
      <c r="D2410" s="18"/>
      <c r="E2410" s="18"/>
      <c r="F2410" s="18"/>
      <c r="G2410" s="4"/>
      <c r="H2410" s="18"/>
      <c r="I2410" s="91"/>
      <c r="J2410" s="18"/>
      <c r="K2410" s="18"/>
      <c r="L2410" s="18"/>
      <c r="M2410" s="18"/>
    </row>
    <row r="2411" ht="15.0" customHeight="1">
      <c r="A2411" s="18"/>
      <c r="B2411" s="18"/>
      <c r="C2411" s="18"/>
      <c r="D2411" s="18"/>
      <c r="E2411" s="18"/>
      <c r="F2411" s="18"/>
      <c r="G2411" s="4"/>
      <c r="H2411" s="18"/>
      <c r="I2411" s="91"/>
      <c r="J2411" s="18"/>
      <c r="K2411" s="18"/>
      <c r="L2411" s="18"/>
      <c r="M2411" s="18"/>
    </row>
    <row r="2412" ht="15.0" customHeight="1">
      <c r="A2412" s="18"/>
      <c r="B2412" s="18"/>
      <c r="C2412" s="18"/>
      <c r="D2412" s="18"/>
      <c r="E2412" s="18"/>
      <c r="F2412" s="18"/>
      <c r="G2412" s="4"/>
      <c r="H2412" s="18"/>
      <c r="I2412" s="91"/>
      <c r="J2412" s="18"/>
      <c r="K2412" s="18"/>
      <c r="L2412" s="18"/>
      <c r="M2412" s="18"/>
    </row>
    <row r="2413" ht="15.0" customHeight="1">
      <c r="A2413" s="18"/>
      <c r="B2413" s="18"/>
      <c r="C2413" s="18"/>
      <c r="D2413" s="18"/>
      <c r="E2413" s="18"/>
      <c r="F2413" s="18"/>
      <c r="G2413" s="4"/>
      <c r="H2413" s="18"/>
      <c r="I2413" s="91"/>
      <c r="J2413" s="18"/>
      <c r="K2413" s="18"/>
      <c r="L2413" s="18"/>
      <c r="M2413" s="18"/>
    </row>
    <row r="2414" ht="15.0" customHeight="1">
      <c r="A2414" s="18"/>
      <c r="B2414" s="18"/>
      <c r="C2414" s="18"/>
      <c r="D2414" s="18"/>
      <c r="E2414" s="18"/>
      <c r="F2414" s="18"/>
      <c r="G2414" s="4"/>
      <c r="H2414" s="18"/>
      <c r="I2414" s="91"/>
      <c r="J2414" s="18"/>
      <c r="K2414" s="18"/>
      <c r="L2414" s="18"/>
      <c r="M2414" s="18"/>
    </row>
    <row r="2415" ht="15.0" customHeight="1">
      <c r="A2415" s="18"/>
      <c r="B2415" s="18"/>
      <c r="C2415" s="18"/>
      <c r="D2415" s="18"/>
      <c r="E2415" s="18"/>
      <c r="F2415" s="18"/>
      <c r="G2415" s="4"/>
      <c r="H2415" s="18"/>
      <c r="I2415" s="91"/>
      <c r="J2415" s="18"/>
      <c r="K2415" s="18"/>
      <c r="L2415" s="18"/>
      <c r="M2415" s="18"/>
    </row>
    <row r="2416" ht="15.0" customHeight="1">
      <c r="A2416" s="18"/>
      <c r="B2416" s="18"/>
      <c r="C2416" s="18"/>
      <c r="D2416" s="18"/>
      <c r="E2416" s="18"/>
      <c r="F2416" s="18"/>
      <c r="G2416" s="4"/>
      <c r="H2416" s="18"/>
      <c r="I2416" s="91"/>
      <c r="J2416" s="18"/>
      <c r="K2416" s="18"/>
      <c r="L2416" s="18"/>
      <c r="M2416" s="18"/>
    </row>
    <row r="2417" ht="15.0" customHeight="1">
      <c r="A2417" s="18"/>
      <c r="B2417" s="18"/>
      <c r="C2417" s="18"/>
      <c r="D2417" s="18"/>
      <c r="E2417" s="18"/>
      <c r="F2417" s="18"/>
      <c r="G2417" s="4"/>
      <c r="H2417" s="18"/>
      <c r="I2417" s="91"/>
      <c r="J2417" s="18"/>
      <c r="K2417" s="18"/>
      <c r="L2417" s="18"/>
      <c r="M2417" s="18"/>
    </row>
    <row r="2418" ht="15.0" customHeight="1">
      <c r="A2418" s="18"/>
      <c r="B2418" s="18"/>
      <c r="C2418" s="18"/>
      <c r="D2418" s="18"/>
      <c r="E2418" s="18"/>
      <c r="F2418" s="18"/>
      <c r="G2418" s="4"/>
      <c r="H2418" s="18"/>
      <c r="I2418" s="91"/>
      <c r="J2418" s="18"/>
      <c r="K2418" s="18"/>
      <c r="L2418" s="18"/>
      <c r="M2418" s="18"/>
    </row>
    <row r="2419" ht="15.0" customHeight="1">
      <c r="A2419" s="18"/>
      <c r="B2419" s="18"/>
      <c r="C2419" s="18"/>
      <c r="D2419" s="18"/>
      <c r="E2419" s="18"/>
      <c r="F2419" s="18"/>
      <c r="G2419" s="4"/>
      <c r="H2419" s="18"/>
      <c r="I2419" s="91"/>
      <c r="J2419" s="18"/>
      <c r="K2419" s="18"/>
      <c r="L2419" s="18"/>
      <c r="M2419" s="18"/>
    </row>
    <row r="2420" ht="15.0" customHeight="1">
      <c r="A2420" s="18"/>
      <c r="B2420" s="18"/>
      <c r="C2420" s="18"/>
      <c r="D2420" s="18"/>
      <c r="E2420" s="18"/>
      <c r="F2420" s="18"/>
      <c r="G2420" s="4"/>
      <c r="H2420" s="18"/>
      <c r="I2420" s="91"/>
      <c r="J2420" s="18"/>
      <c r="K2420" s="18"/>
      <c r="L2420" s="18"/>
      <c r="M2420" s="18"/>
    </row>
    <row r="2421" ht="15.0" customHeight="1">
      <c r="A2421" s="18"/>
      <c r="B2421" s="18"/>
      <c r="C2421" s="18"/>
      <c r="D2421" s="18"/>
      <c r="E2421" s="18"/>
      <c r="F2421" s="18"/>
      <c r="G2421" s="4"/>
      <c r="H2421" s="18"/>
      <c r="I2421" s="91"/>
      <c r="J2421" s="18"/>
      <c r="K2421" s="18"/>
      <c r="L2421" s="18"/>
      <c r="M2421" s="18"/>
    </row>
    <row r="2422" ht="15.0" customHeight="1">
      <c r="A2422" s="18"/>
      <c r="B2422" s="18"/>
      <c r="C2422" s="18"/>
      <c r="D2422" s="18"/>
      <c r="E2422" s="18"/>
      <c r="F2422" s="18"/>
      <c r="G2422" s="4"/>
      <c r="H2422" s="18"/>
      <c r="I2422" s="91"/>
      <c r="J2422" s="18"/>
      <c r="K2422" s="18"/>
      <c r="L2422" s="18"/>
      <c r="M2422" s="18"/>
    </row>
    <row r="2423" ht="15.0" customHeight="1">
      <c r="A2423" s="18"/>
      <c r="B2423" s="18"/>
      <c r="C2423" s="18"/>
      <c r="D2423" s="18"/>
      <c r="E2423" s="18"/>
      <c r="F2423" s="18"/>
      <c r="G2423" s="4"/>
      <c r="H2423" s="18"/>
      <c r="I2423" s="91"/>
      <c r="J2423" s="18"/>
      <c r="K2423" s="18"/>
      <c r="L2423" s="18"/>
      <c r="M2423" s="18"/>
    </row>
    <row r="2424" ht="15.0" customHeight="1">
      <c r="A2424" s="18"/>
      <c r="B2424" s="18"/>
      <c r="C2424" s="18"/>
      <c r="D2424" s="18"/>
      <c r="E2424" s="18"/>
      <c r="F2424" s="18"/>
      <c r="G2424" s="4"/>
      <c r="H2424" s="18"/>
      <c r="I2424" s="91"/>
      <c r="J2424" s="18"/>
      <c r="K2424" s="18"/>
      <c r="L2424" s="18"/>
      <c r="M2424" s="18"/>
    </row>
    <row r="2425" ht="15.0" customHeight="1">
      <c r="A2425" s="18"/>
      <c r="B2425" s="18"/>
      <c r="C2425" s="18"/>
      <c r="D2425" s="18"/>
      <c r="E2425" s="18"/>
      <c r="F2425" s="18"/>
      <c r="G2425" s="4"/>
      <c r="H2425" s="18"/>
      <c r="I2425" s="91"/>
      <c r="J2425" s="18"/>
      <c r="K2425" s="18"/>
      <c r="L2425" s="18"/>
      <c r="M2425" s="18"/>
    </row>
    <row r="2426" ht="15.0" customHeight="1">
      <c r="A2426" s="18"/>
      <c r="B2426" s="18"/>
      <c r="C2426" s="18"/>
      <c r="D2426" s="18"/>
      <c r="E2426" s="18"/>
      <c r="F2426" s="18"/>
      <c r="G2426" s="4"/>
      <c r="H2426" s="18"/>
      <c r="I2426" s="91"/>
      <c r="J2426" s="18"/>
      <c r="K2426" s="18"/>
      <c r="L2426" s="18"/>
      <c r="M2426" s="18"/>
    </row>
    <row r="2427" ht="15.0" customHeight="1">
      <c r="A2427" s="18"/>
      <c r="B2427" s="18"/>
      <c r="C2427" s="18"/>
      <c r="D2427" s="18"/>
      <c r="E2427" s="18"/>
      <c r="F2427" s="18"/>
      <c r="G2427" s="4"/>
      <c r="H2427" s="18"/>
      <c r="I2427" s="91"/>
      <c r="J2427" s="18"/>
      <c r="K2427" s="18"/>
      <c r="L2427" s="18"/>
      <c r="M2427" s="18"/>
    </row>
    <row r="2428" ht="15.0" customHeight="1">
      <c r="A2428" s="18"/>
      <c r="B2428" s="18"/>
      <c r="C2428" s="18"/>
      <c r="D2428" s="18"/>
      <c r="E2428" s="18"/>
      <c r="F2428" s="18"/>
      <c r="G2428" s="4"/>
      <c r="H2428" s="18"/>
      <c r="I2428" s="91"/>
      <c r="J2428" s="18"/>
      <c r="K2428" s="18"/>
      <c r="L2428" s="18"/>
      <c r="M2428" s="18"/>
    </row>
    <row r="2429" ht="15.0" customHeight="1">
      <c r="A2429" s="18"/>
      <c r="B2429" s="18"/>
      <c r="C2429" s="18"/>
      <c r="D2429" s="18"/>
      <c r="E2429" s="18"/>
      <c r="F2429" s="18"/>
      <c r="G2429" s="4"/>
      <c r="H2429" s="18"/>
      <c r="I2429" s="91"/>
      <c r="J2429" s="18"/>
      <c r="K2429" s="18"/>
      <c r="L2429" s="18"/>
      <c r="M2429" s="18"/>
    </row>
    <row r="2430" ht="15.0" customHeight="1">
      <c r="A2430" s="18"/>
      <c r="B2430" s="18"/>
      <c r="C2430" s="18"/>
      <c r="D2430" s="18"/>
      <c r="E2430" s="18"/>
      <c r="F2430" s="18"/>
      <c r="G2430" s="4"/>
      <c r="H2430" s="18"/>
      <c r="I2430" s="91"/>
      <c r="J2430" s="18"/>
      <c r="K2430" s="18"/>
      <c r="L2430" s="18"/>
      <c r="M2430" s="18"/>
    </row>
    <row r="2431" ht="15.0" customHeight="1">
      <c r="A2431" s="18"/>
      <c r="B2431" s="18"/>
      <c r="C2431" s="18"/>
      <c r="D2431" s="18"/>
      <c r="E2431" s="18"/>
      <c r="F2431" s="18"/>
      <c r="G2431" s="4"/>
      <c r="H2431" s="18"/>
      <c r="I2431" s="91"/>
      <c r="J2431" s="18"/>
      <c r="K2431" s="18"/>
      <c r="L2431" s="18"/>
      <c r="M2431" s="18"/>
    </row>
    <row r="2432" ht="15.0" customHeight="1">
      <c r="A2432" s="18"/>
      <c r="B2432" s="18"/>
      <c r="C2432" s="18"/>
      <c r="D2432" s="18"/>
      <c r="E2432" s="18"/>
      <c r="F2432" s="18"/>
      <c r="G2432" s="4"/>
      <c r="H2432" s="18"/>
      <c r="I2432" s="91"/>
      <c r="J2432" s="18"/>
      <c r="K2432" s="18"/>
      <c r="L2432" s="18"/>
      <c r="M2432" s="18"/>
    </row>
    <row r="2433" ht="15.0" customHeight="1">
      <c r="A2433" s="18"/>
      <c r="B2433" s="18"/>
      <c r="C2433" s="18"/>
      <c r="D2433" s="18"/>
      <c r="E2433" s="18"/>
      <c r="F2433" s="18"/>
      <c r="G2433" s="4"/>
      <c r="H2433" s="18"/>
      <c r="I2433" s="91"/>
      <c r="J2433" s="18"/>
      <c r="K2433" s="18"/>
      <c r="L2433" s="18"/>
      <c r="M2433" s="18"/>
    </row>
    <row r="2434" ht="15.0" customHeight="1">
      <c r="A2434" s="18"/>
      <c r="B2434" s="18"/>
      <c r="C2434" s="18"/>
      <c r="D2434" s="18"/>
      <c r="E2434" s="18"/>
      <c r="F2434" s="18"/>
      <c r="G2434" s="4"/>
      <c r="H2434" s="18"/>
      <c r="I2434" s="91"/>
      <c r="J2434" s="18"/>
      <c r="K2434" s="18"/>
      <c r="L2434" s="18"/>
      <c r="M2434" s="18"/>
    </row>
    <row r="2435" ht="15.0" customHeight="1">
      <c r="A2435" s="18"/>
      <c r="B2435" s="18"/>
      <c r="C2435" s="18"/>
      <c r="D2435" s="18"/>
      <c r="E2435" s="18"/>
      <c r="F2435" s="18"/>
      <c r="G2435" s="4"/>
      <c r="H2435" s="18"/>
      <c r="I2435" s="91"/>
      <c r="J2435" s="18"/>
      <c r="K2435" s="18"/>
      <c r="L2435" s="18"/>
      <c r="M2435" s="18"/>
    </row>
    <row r="2436" ht="15.0" customHeight="1">
      <c r="A2436" s="18"/>
      <c r="B2436" s="18"/>
      <c r="C2436" s="18"/>
      <c r="D2436" s="18"/>
      <c r="E2436" s="18"/>
      <c r="F2436" s="18"/>
      <c r="G2436" s="4"/>
      <c r="H2436" s="18"/>
      <c r="I2436" s="91"/>
      <c r="J2436" s="18"/>
      <c r="K2436" s="18"/>
      <c r="L2436" s="18"/>
      <c r="M2436" s="18"/>
    </row>
    <row r="2437" ht="15.0" customHeight="1">
      <c r="A2437" s="18"/>
      <c r="B2437" s="18"/>
      <c r="C2437" s="18"/>
      <c r="D2437" s="18"/>
      <c r="E2437" s="18"/>
      <c r="F2437" s="18"/>
      <c r="G2437" s="4"/>
      <c r="H2437" s="18"/>
      <c r="I2437" s="91"/>
      <c r="J2437" s="18"/>
      <c r="K2437" s="18"/>
      <c r="L2437" s="18"/>
      <c r="M2437" s="18"/>
    </row>
    <row r="2438" ht="15.0" customHeight="1">
      <c r="A2438" s="18"/>
      <c r="B2438" s="18"/>
      <c r="C2438" s="18"/>
      <c r="D2438" s="18"/>
      <c r="E2438" s="18"/>
      <c r="F2438" s="18"/>
      <c r="G2438" s="4"/>
      <c r="H2438" s="18"/>
      <c r="I2438" s="91"/>
      <c r="J2438" s="18"/>
      <c r="K2438" s="18"/>
      <c r="L2438" s="18"/>
      <c r="M2438" s="18"/>
    </row>
    <row r="2439" ht="15.0" customHeight="1">
      <c r="A2439" s="18"/>
      <c r="B2439" s="18"/>
      <c r="C2439" s="18"/>
      <c r="D2439" s="18"/>
      <c r="E2439" s="18"/>
      <c r="F2439" s="18"/>
      <c r="G2439" s="4"/>
      <c r="H2439" s="18"/>
      <c r="I2439" s="91"/>
      <c r="J2439" s="18"/>
      <c r="K2439" s="18"/>
      <c r="L2439" s="18"/>
      <c r="M2439" s="18"/>
    </row>
    <row r="2440" ht="15.0" customHeight="1">
      <c r="A2440" s="18"/>
      <c r="B2440" s="18"/>
      <c r="C2440" s="18"/>
      <c r="D2440" s="18"/>
      <c r="E2440" s="18"/>
      <c r="F2440" s="18"/>
      <c r="G2440" s="4"/>
      <c r="H2440" s="18"/>
      <c r="I2440" s="91"/>
      <c r="J2440" s="18"/>
      <c r="K2440" s="18"/>
      <c r="L2440" s="18"/>
      <c r="M2440" s="18"/>
    </row>
    <row r="2441" ht="15.0" customHeight="1">
      <c r="A2441" s="18"/>
      <c r="B2441" s="18"/>
      <c r="C2441" s="18"/>
      <c r="D2441" s="18"/>
      <c r="E2441" s="18"/>
      <c r="F2441" s="18"/>
      <c r="G2441" s="4"/>
      <c r="H2441" s="18"/>
      <c r="I2441" s="91"/>
      <c r="J2441" s="18"/>
      <c r="K2441" s="18"/>
      <c r="L2441" s="18"/>
      <c r="M2441" s="18"/>
    </row>
    <row r="2442" ht="15.0" customHeight="1">
      <c r="A2442" s="18"/>
      <c r="B2442" s="18"/>
      <c r="C2442" s="18"/>
      <c r="D2442" s="18"/>
      <c r="E2442" s="18"/>
      <c r="F2442" s="18"/>
      <c r="G2442" s="4"/>
      <c r="H2442" s="18"/>
      <c r="I2442" s="91"/>
      <c r="J2442" s="18"/>
      <c r="K2442" s="18"/>
      <c r="L2442" s="18"/>
      <c r="M2442" s="18"/>
    </row>
    <row r="2443" ht="15.0" customHeight="1">
      <c r="A2443" s="18"/>
      <c r="B2443" s="18"/>
      <c r="C2443" s="18"/>
      <c r="D2443" s="18"/>
      <c r="E2443" s="18"/>
      <c r="F2443" s="18"/>
      <c r="G2443" s="4"/>
      <c r="H2443" s="18"/>
      <c r="I2443" s="91"/>
      <c r="J2443" s="18"/>
      <c r="K2443" s="18"/>
      <c r="L2443" s="18"/>
      <c r="M2443" s="18"/>
    </row>
    <row r="2444" ht="15.0" customHeight="1">
      <c r="A2444" s="18"/>
      <c r="B2444" s="18"/>
      <c r="C2444" s="18"/>
      <c r="D2444" s="18"/>
      <c r="E2444" s="18"/>
      <c r="F2444" s="18"/>
      <c r="G2444" s="4"/>
      <c r="H2444" s="18"/>
      <c r="I2444" s="91"/>
      <c r="J2444" s="18"/>
      <c r="K2444" s="18"/>
      <c r="L2444" s="18"/>
      <c r="M2444" s="18"/>
    </row>
    <row r="2445" ht="15.0" customHeight="1">
      <c r="A2445" s="18"/>
      <c r="B2445" s="18"/>
      <c r="C2445" s="18"/>
      <c r="D2445" s="18"/>
      <c r="E2445" s="18"/>
      <c r="F2445" s="18"/>
      <c r="G2445" s="4"/>
      <c r="H2445" s="18"/>
      <c r="I2445" s="91"/>
      <c r="J2445" s="18"/>
      <c r="K2445" s="18"/>
      <c r="L2445" s="18"/>
      <c r="M2445" s="18"/>
    </row>
    <row r="2446" ht="15.0" customHeight="1">
      <c r="A2446" s="18"/>
      <c r="B2446" s="18"/>
      <c r="C2446" s="18"/>
      <c r="D2446" s="18"/>
      <c r="E2446" s="18"/>
      <c r="F2446" s="18"/>
      <c r="G2446" s="4"/>
      <c r="H2446" s="18"/>
      <c r="I2446" s="91"/>
      <c r="J2446" s="18"/>
      <c r="K2446" s="18"/>
      <c r="L2446" s="18"/>
      <c r="M2446" s="18"/>
    </row>
    <row r="2447" ht="15.0" customHeight="1">
      <c r="A2447" s="18"/>
      <c r="B2447" s="18"/>
      <c r="C2447" s="18"/>
      <c r="D2447" s="18"/>
      <c r="E2447" s="18"/>
      <c r="F2447" s="18"/>
      <c r="G2447" s="4"/>
      <c r="H2447" s="18"/>
      <c r="I2447" s="91"/>
      <c r="J2447" s="18"/>
      <c r="K2447" s="18"/>
      <c r="L2447" s="18"/>
      <c r="M2447" s="18"/>
    </row>
    <row r="2448" ht="15.0" customHeight="1">
      <c r="A2448" s="18"/>
      <c r="B2448" s="18"/>
      <c r="C2448" s="18"/>
      <c r="D2448" s="18"/>
      <c r="E2448" s="18"/>
      <c r="F2448" s="18"/>
      <c r="G2448" s="4"/>
      <c r="H2448" s="18"/>
      <c r="I2448" s="91"/>
      <c r="J2448" s="18"/>
      <c r="K2448" s="18"/>
      <c r="L2448" s="18"/>
      <c r="M2448" s="18"/>
    </row>
    <row r="2449" ht="15.0" customHeight="1">
      <c r="A2449" s="18"/>
      <c r="B2449" s="18"/>
      <c r="C2449" s="18"/>
      <c r="D2449" s="18"/>
      <c r="E2449" s="18"/>
      <c r="F2449" s="18"/>
      <c r="G2449" s="4"/>
      <c r="H2449" s="18"/>
      <c r="I2449" s="91"/>
      <c r="J2449" s="18"/>
      <c r="K2449" s="18"/>
      <c r="L2449" s="18"/>
      <c r="M2449" s="18"/>
    </row>
    <row r="2450" ht="15.0" customHeight="1">
      <c r="A2450" s="18"/>
      <c r="B2450" s="18"/>
      <c r="C2450" s="18"/>
      <c r="D2450" s="18"/>
      <c r="E2450" s="18"/>
      <c r="F2450" s="18"/>
      <c r="G2450" s="4"/>
      <c r="H2450" s="18"/>
      <c r="I2450" s="91"/>
      <c r="J2450" s="18"/>
      <c r="K2450" s="18"/>
      <c r="L2450" s="18"/>
      <c r="M2450" s="18"/>
    </row>
    <row r="2451" ht="15.0" customHeight="1">
      <c r="A2451" s="18"/>
      <c r="B2451" s="18"/>
      <c r="C2451" s="18"/>
      <c r="D2451" s="18"/>
      <c r="E2451" s="18"/>
      <c r="F2451" s="18"/>
      <c r="G2451" s="4"/>
      <c r="H2451" s="18"/>
      <c r="I2451" s="91"/>
      <c r="J2451" s="18"/>
      <c r="K2451" s="18"/>
      <c r="L2451" s="18"/>
      <c r="M2451" s="18"/>
    </row>
    <row r="2452" ht="15.0" customHeight="1">
      <c r="A2452" s="18"/>
      <c r="B2452" s="18"/>
      <c r="C2452" s="18"/>
      <c r="D2452" s="18"/>
      <c r="E2452" s="18"/>
      <c r="F2452" s="18"/>
      <c r="G2452" s="4"/>
      <c r="H2452" s="18"/>
      <c r="I2452" s="91"/>
      <c r="J2452" s="18"/>
      <c r="K2452" s="18"/>
      <c r="L2452" s="18"/>
      <c r="M2452" s="18"/>
    </row>
    <row r="2453" ht="15.0" customHeight="1">
      <c r="A2453" s="18"/>
      <c r="B2453" s="18"/>
      <c r="C2453" s="18"/>
      <c r="D2453" s="18"/>
      <c r="E2453" s="18"/>
      <c r="F2453" s="18"/>
      <c r="G2453" s="4"/>
      <c r="H2453" s="18"/>
      <c r="I2453" s="91"/>
      <c r="J2453" s="18"/>
      <c r="K2453" s="18"/>
      <c r="L2453" s="18"/>
      <c r="M2453" s="18"/>
    </row>
    <row r="2454" ht="15.0" customHeight="1">
      <c r="A2454" s="18"/>
      <c r="B2454" s="18"/>
      <c r="C2454" s="18"/>
      <c r="D2454" s="18"/>
      <c r="E2454" s="18"/>
      <c r="F2454" s="18"/>
      <c r="G2454" s="4"/>
      <c r="H2454" s="18"/>
      <c r="I2454" s="91"/>
      <c r="J2454" s="18"/>
      <c r="K2454" s="18"/>
      <c r="L2454" s="18"/>
      <c r="M2454" s="18"/>
    </row>
    <row r="2455" ht="15.0" customHeight="1">
      <c r="A2455" s="18"/>
      <c r="B2455" s="18"/>
      <c r="C2455" s="18"/>
      <c r="D2455" s="18"/>
      <c r="E2455" s="18"/>
      <c r="F2455" s="18"/>
      <c r="G2455" s="4"/>
      <c r="H2455" s="18"/>
      <c r="I2455" s="91"/>
      <c r="J2455" s="18"/>
      <c r="K2455" s="18"/>
      <c r="L2455" s="18"/>
      <c r="M2455" s="18"/>
    </row>
    <row r="2456" ht="15.0" customHeight="1">
      <c r="A2456" s="18"/>
      <c r="B2456" s="18"/>
      <c r="C2456" s="18"/>
      <c r="D2456" s="18"/>
      <c r="E2456" s="18"/>
      <c r="F2456" s="18"/>
      <c r="G2456" s="4"/>
      <c r="H2456" s="18"/>
      <c r="I2456" s="91"/>
      <c r="J2456" s="18"/>
      <c r="K2456" s="18"/>
      <c r="L2456" s="18"/>
      <c r="M2456" s="18"/>
    </row>
    <row r="2457" ht="15.0" customHeight="1">
      <c r="A2457" s="18"/>
      <c r="B2457" s="18"/>
      <c r="C2457" s="18"/>
      <c r="D2457" s="18"/>
      <c r="E2457" s="18"/>
      <c r="F2457" s="18"/>
      <c r="G2457" s="4"/>
      <c r="H2457" s="18"/>
      <c r="I2457" s="91"/>
      <c r="J2457" s="18"/>
      <c r="K2457" s="18"/>
      <c r="L2457" s="18"/>
      <c r="M2457" s="18"/>
    </row>
    <row r="2458" ht="15.0" customHeight="1">
      <c r="A2458" s="18"/>
      <c r="B2458" s="18"/>
      <c r="C2458" s="18"/>
      <c r="D2458" s="18"/>
      <c r="E2458" s="18"/>
      <c r="F2458" s="18"/>
      <c r="G2458" s="4"/>
      <c r="H2458" s="18"/>
      <c r="I2458" s="91"/>
      <c r="J2458" s="18"/>
      <c r="K2458" s="18"/>
      <c r="L2458" s="18"/>
      <c r="M2458" s="18"/>
    </row>
    <row r="2459" ht="15.0" customHeight="1">
      <c r="A2459" s="18"/>
      <c r="B2459" s="18"/>
      <c r="C2459" s="18"/>
      <c r="D2459" s="18"/>
      <c r="E2459" s="18"/>
      <c r="F2459" s="18"/>
      <c r="G2459" s="4"/>
      <c r="H2459" s="18"/>
      <c r="I2459" s="91"/>
      <c r="J2459" s="18"/>
      <c r="K2459" s="18"/>
      <c r="L2459" s="18"/>
      <c r="M2459" s="18"/>
    </row>
    <row r="2460" ht="15.0" customHeight="1">
      <c r="A2460" s="18"/>
      <c r="B2460" s="18"/>
      <c r="C2460" s="18"/>
      <c r="D2460" s="18"/>
      <c r="E2460" s="18"/>
      <c r="F2460" s="18"/>
      <c r="G2460" s="4"/>
      <c r="H2460" s="18"/>
      <c r="I2460" s="91"/>
      <c r="J2460" s="18"/>
      <c r="K2460" s="18"/>
      <c r="L2460" s="18"/>
      <c r="M2460" s="18"/>
    </row>
    <row r="2461" ht="15.0" customHeight="1">
      <c r="A2461" s="18"/>
      <c r="B2461" s="18"/>
      <c r="C2461" s="18"/>
      <c r="D2461" s="18"/>
      <c r="E2461" s="18"/>
      <c r="F2461" s="18"/>
      <c r="G2461" s="4"/>
      <c r="H2461" s="18"/>
      <c r="I2461" s="91"/>
      <c r="J2461" s="18"/>
      <c r="K2461" s="18"/>
      <c r="L2461" s="18"/>
      <c r="M2461" s="18"/>
    </row>
    <row r="2462" ht="15.0" customHeight="1">
      <c r="A2462" s="18"/>
      <c r="B2462" s="18"/>
      <c r="C2462" s="18"/>
      <c r="D2462" s="18"/>
      <c r="E2462" s="18"/>
      <c r="F2462" s="18"/>
      <c r="G2462" s="4"/>
      <c r="H2462" s="18"/>
      <c r="I2462" s="91"/>
      <c r="J2462" s="18"/>
      <c r="K2462" s="18"/>
      <c r="L2462" s="18"/>
      <c r="M2462" s="18"/>
    </row>
    <row r="2463" ht="15.0" customHeight="1">
      <c r="A2463" s="18"/>
      <c r="B2463" s="18"/>
      <c r="C2463" s="18"/>
      <c r="D2463" s="18"/>
      <c r="E2463" s="18"/>
      <c r="F2463" s="18"/>
      <c r="G2463" s="4"/>
      <c r="H2463" s="18"/>
      <c r="I2463" s="91"/>
      <c r="J2463" s="18"/>
      <c r="K2463" s="18"/>
      <c r="L2463" s="18"/>
      <c r="M2463" s="18"/>
    </row>
    <row r="2464" ht="15.0" customHeight="1">
      <c r="A2464" s="18"/>
      <c r="B2464" s="18"/>
      <c r="C2464" s="18"/>
      <c r="D2464" s="18"/>
      <c r="E2464" s="18"/>
      <c r="F2464" s="18"/>
      <c r="G2464" s="4"/>
      <c r="H2464" s="18"/>
      <c r="I2464" s="91"/>
      <c r="J2464" s="18"/>
      <c r="K2464" s="18"/>
      <c r="L2464" s="18"/>
      <c r="M2464" s="18"/>
    </row>
    <row r="2465" ht="15.0" customHeight="1">
      <c r="A2465" s="18"/>
      <c r="B2465" s="18"/>
      <c r="C2465" s="18"/>
      <c r="D2465" s="18"/>
      <c r="E2465" s="18"/>
      <c r="F2465" s="18"/>
      <c r="G2465" s="4"/>
      <c r="H2465" s="18"/>
      <c r="I2465" s="91"/>
      <c r="J2465" s="18"/>
      <c r="K2465" s="18"/>
      <c r="L2465" s="18"/>
      <c r="M2465" s="18"/>
    </row>
    <row r="2466" ht="15.0" customHeight="1">
      <c r="A2466" s="18"/>
      <c r="B2466" s="18"/>
      <c r="C2466" s="18"/>
      <c r="D2466" s="18"/>
      <c r="E2466" s="18"/>
      <c r="F2466" s="18"/>
      <c r="G2466" s="4"/>
      <c r="H2466" s="18"/>
      <c r="I2466" s="91"/>
      <c r="J2466" s="18"/>
      <c r="K2466" s="18"/>
      <c r="L2466" s="18"/>
      <c r="M2466" s="18"/>
    </row>
    <row r="2467" ht="15.0" customHeight="1">
      <c r="A2467" s="18"/>
      <c r="B2467" s="18"/>
      <c r="C2467" s="18"/>
      <c r="D2467" s="18"/>
      <c r="E2467" s="18"/>
      <c r="F2467" s="18"/>
      <c r="G2467" s="4"/>
      <c r="H2467" s="18"/>
      <c r="I2467" s="91"/>
      <c r="J2467" s="18"/>
      <c r="K2467" s="18"/>
      <c r="L2467" s="18"/>
      <c r="M2467" s="18"/>
    </row>
    <row r="2468" ht="15.0" customHeight="1">
      <c r="A2468" s="18"/>
      <c r="B2468" s="18"/>
      <c r="C2468" s="18"/>
      <c r="D2468" s="18"/>
      <c r="E2468" s="18"/>
      <c r="F2468" s="18"/>
      <c r="G2468" s="4"/>
      <c r="H2468" s="18"/>
      <c r="I2468" s="91"/>
      <c r="J2468" s="18"/>
      <c r="K2468" s="18"/>
      <c r="L2468" s="18"/>
      <c r="M2468" s="18"/>
    </row>
    <row r="2469" ht="15.0" customHeight="1">
      <c r="A2469" s="18"/>
      <c r="B2469" s="18"/>
      <c r="C2469" s="18"/>
      <c r="D2469" s="18"/>
      <c r="E2469" s="18"/>
      <c r="F2469" s="18"/>
      <c r="G2469" s="4"/>
      <c r="H2469" s="18"/>
      <c r="I2469" s="91"/>
      <c r="J2469" s="18"/>
      <c r="K2469" s="18"/>
      <c r="L2469" s="18"/>
      <c r="M2469" s="18"/>
    </row>
    <row r="2470" ht="15.0" customHeight="1">
      <c r="A2470" s="18"/>
      <c r="B2470" s="18"/>
      <c r="C2470" s="18"/>
      <c r="D2470" s="18"/>
      <c r="E2470" s="18"/>
      <c r="F2470" s="18"/>
      <c r="G2470" s="4"/>
      <c r="H2470" s="18"/>
      <c r="I2470" s="91"/>
      <c r="J2470" s="18"/>
      <c r="K2470" s="18"/>
      <c r="L2470" s="18"/>
      <c r="M2470" s="18"/>
    </row>
    <row r="2471" ht="15.0" customHeight="1">
      <c r="A2471" s="18"/>
      <c r="B2471" s="18"/>
      <c r="C2471" s="18"/>
      <c r="D2471" s="18"/>
      <c r="E2471" s="18"/>
      <c r="F2471" s="18"/>
      <c r="G2471" s="4"/>
      <c r="H2471" s="18"/>
      <c r="I2471" s="91"/>
      <c r="J2471" s="18"/>
      <c r="K2471" s="18"/>
      <c r="L2471" s="18"/>
      <c r="M2471" s="18"/>
    </row>
    <row r="2472" ht="15.0" customHeight="1">
      <c r="A2472" s="18"/>
      <c r="B2472" s="18"/>
      <c r="C2472" s="18"/>
      <c r="D2472" s="18"/>
      <c r="E2472" s="18"/>
      <c r="F2472" s="18"/>
      <c r="G2472" s="4"/>
      <c r="H2472" s="18"/>
      <c r="I2472" s="91"/>
      <c r="J2472" s="18"/>
      <c r="K2472" s="18"/>
      <c r="L2472" s="18"/>
      <c r="M2472" s="18"/>
    </row>
    <row r="2473" ht="15.0" customHeight="1">
      <c r="A2473" s="18"/>
      <c r="B2473" s="18"/>
      <c r="C2473" s="18"/>
      <c r="D2473" s="18"/>
      <c r="E2473" s="18"/>
      <c r="F2473" s="18"/>
      <c r="G2473" s="4"/>
      <c r="H2473" s="18"/>
      <c r="I2473" s="91"/>
      <c r="J2473" s="18"/>
      <c r="K2473" s="18"/>
      <c r="L2473" s="18"/>
      <c r="M2473" s="18"/>
    </row>
    <row r="2474" ht="15.0" customHeight="1">
      <c r="A2474" s="18"/>
      <c r="B2474" s="18"/>
      <c r="C2474" s="18"/>
      <c r="D2474" s="18"/>
      <c r="E2474" s="18"/>
      <c r="F2474" s="18"/>
      <c r="G2474" s="4"/>
      <c r="H2474" s="18"/>
      <c r="I2474" s="91"/>
      <c r="J2474" s="18"/>
      <c r="K2474" s="18"/>
      <c r="L2474" s="18"/>
      <c r="M2474" s="18"/>
    </row>
    <row r="2475" ht="15.0" customHeight="1">
      <c r="A2475" s="18"/>
      <c r="B2475" s="18"/>
      <c r="C2475" s="18"/>
      <c r="D2475" s="18"/>
      <c r="E2475" s="18"/>
      <c r="F2475" s="18"/>
      <c r="G2475" s="4"/>
      <c r="H2475" s="18"/>
      <c r="I2475" s="91"/>
      <c r="J2475" s="18"/>
      <c r="K2475" s="18"/>
      <c r="L2475" s="18"/>
      <c r="M2475" s="18"/>
    </row>
    <row r="2476" ht="15.0" customHeight="1">
      <c r="A2476" s="18"/>
      <c r="B2476" s="18"/>
      <c r="C2476" s="18"/>
      <c r="D2476" s="18"/>
      <c r="E2476" s="18"/>
      <c r="F2476" s="18"/>
      <c r="G2476" s="4"/>
      <c r="H2476" s="18"/>
      <c r="I2476" s="91"/>
      <c r="J2476" s="18"/>
      <c r="K2476" s="18"/>
      <c r="L2476" s="18"/>
      <c r="M2476" s="18"/>
    </row>
    <row r="2477" ht="15.0" customHeight="1">
      <c r="A2477" s="18"/>
      <c r="B2477" s="18"/>
      <c r="C2477" s="18"/>
      <c r="D2477" s="18"/>
      <c r="E2477" s="18"/>
      <c r="F2477" s="18"/>
      <c r="G2477" s="4"/>
      <c r="H2477" s="18"/>
      <c r="I2477" s="91"/>
      <c r="J2477" s="18"/>
      <c r="K2477" s="18"/>
      <c r="L2477" s="18"/>
      <c r="M2477" s="18"/>
    </row>
    <row r="2478" ht="15.0" customHeight="1">
      <c r="A2478" s="18"/>
      <c r="B2478" s="18"/>
      <c r="C2478" s="18"/>
      <c r="D2478" s="18"/>
      <c r="E2478" s="18"/>
      <c r="F2478" s="18"/>
      <c r="G2478" s="4"/>
      <c r="H2478" s="18"/>
      <c r="I2478" s="91"/>
      <c r="J2478" s="18"/>
      <c r="K2478" s="18"/>
      <c r="L2478" s="18"/>
      <c r="M2478" s="18"/>
    </row>
    <row r="2479" ht="15.0" customHeight="1">
      <c r="A2479" s="18"/>
      <c r="B2479" s="18"/>
      <c r="C2479" s="18"/>
      <c r="D2479" s="18"/>
      <c r="E2479" s="18"/>
      <c r="F2479" s="18"/>
      <c r="G2479" s="4"/>
      <c r="H2479" s="18"/>
      <c r="I2479" s="91"/>
      <c r="J2479" s="18"/>
      <c r="K2479" s="18"/>
      <c r="L2479" s="18"/>
      <c r="M2479" s="18"/>
    </row>
    <row r="2480" ht="15.0" customHeight="1">
      <c r="A2480" s="18"/>
      <c r="B2480" s="18"/>
      <c r="C2480" s="18"/>
      <c r="D2480" s="18"/>
      <c r="E2480" s="18"/>
      <c r="F2480" s="18"/>
      <c r="G2480" s="4"/>
      <c r="H2480" s="18"/>
      <c r="I2480" s="91"/>
      <c r="J2480" s="18"/>
      <c r="K2480" s="18"/>
      <c r="L2480" s="18"/>
      <c r="M2480" s="18"/>
    </row>
    <row r="2481" ht="15.0" customHeight="1">
      <c r="A2481" s="18"/>
      <c r="B2481" s="18"/>
      <c r="C2481" s="18"/>
      <c r="D2481" s="18"/>
      <c r="E2481" s="18"/>
      <c r="F2481" s="18"/>
      <c r="G2481" s="4"/>
      <c r="H2481" s="18"/>
      <c r="I2481" s="91"/>
      <c r="J2481" s="18"/>
      <c r="K2481" s="18"/>
      <c r="L2481" s="18"/>
      <c r="M2481" s="18"/>
    </row>
    <row r="2482" ht="15.0" customHeight="1">
      <c r="A2482" s="18"/>
      <c r="B2482" s="18"/>
      <c r="C2482" s="18"/>
      <c r="D2482" s="18"/>
      <c r="E2482" s="18"/>
      <c r="F2482" s="18"/>
      <c r="G2482" s="4"/>
      <c r="H2482" s="18"/>
      <c r="I2482" s="91"/>
      <c r="J2482" s="18"/>
      <c r="K2482" s="18"/>
      <c r="L2482" s="18"/>
      <c r="M2482" s="18"/>
    </row>
    <row r="2483" ht="15.0" customHeight="1">
      <c r="A2483" s="18"/>
      <c r="B2483" s="18"/>
      <c r="C2483" s="18"/>
      <c r="D2483" s="18"/>
      <c r="E2483" s="18"/>
      <c r="F2483" s="18"/>
      <c r="G2483" s="4"/>
      <c r="H2483" s="18"/>
      <c r="I2483" s="91"/>
      <c r="J2483" s="18"/>
      <c r="K2483" s="18"/>
      <c r="L2483" s="18"/>
      <c r="M2483" s="18"/>
    </row>
    <row r="2484" ht="15.0" customHeight="1">
      <c r="A2484" s="18"/>
      <c r="B2484" s="18"/>
      <c r="C2484" s="18"/>
      <c r="D2484" s="18"/>
      <c r="E2484" s="18"/>
      <c r="F2484" s="18"/>
      <c r="G2484" s="4"/>
      <c r="H2484" s="18"/>
      <c r="I2484" s="91"/>
      <c r="J2484" s="18"/>
      <c r="K2484" s="18"/>
      <c r="L2484" s="18"/>
      <c r="M2484" s="18"/>
    </row>
    <row r="2485" ht="15.0" customHeight="1">
      <c r="A2485" s="18"/>
      <c r="B2485" s="18"/>
      <c r="C2485" s="18"/>
      <c r="D2485" s="18"/>
      <c r="E2485" s="18"/>
      <c r="F2485" s="18"/>
      <c r="G2485" s="4"/>
      <c r="H2485" s="18"/>
      <c r="I2485" s="91"/>
      <c r="J2485" s="18"/>
      <c r="K2485" s="18"/>
      <c r="L2485" s="18"/>
      <c r="M2485" s="18"/>
    </row>
    <row r="2486" ht="15.0" customHeight="1">
      <c r="A2486" s="18"/>
      <c r="B2486" s="18"/>
      <c r="C2486" s="18"/>
      <c r="D2486" s="18"/>
      <c r="E2486" s="18"/>
      <c r="F2486" s="18"/>
      <c r="G2486" s="4"/>
      <c r="H2486" s="18"/>
      <c r="I2486" s="91"/>
      <c r="J2486" s="18"/>
      <c r="K2486" s="18"/>
      <c r="L2486" s="18"/>
      <c r="M2486" s="18"/>
    </row>
    <row r="2487" ht="15.0" customHeight="1">
      <c r="A2487" s="18"/>
      <c r="B2487" s="18"/>
      <c r="C2487" s="18"/>
      <c r="D2487" s="18"/>
      <c r="E2487" s="18"/>
      <c r="F2487" s="18"/>
      <c r="G2487" s="4"/>
      <c r="H2487" s="18"/>
      <c r="I2487" s="91"/>
      <c r="J2487" s="18"/>
      <c r="K2487" s="18"/>
      <c r="L2487" s="18"/>
      <c r="M2487" s="18"/>
    </row>
    <row r="2488" ht="15.0" customHeight="1">
      <c r="A2488" s="18"/>
      <c r="B2488" s="18"/>
      <c r="C2488" s="18"/>
      <c r="D2488" s="18"/>
      <c r="E2488" s="18"/>
      <c r="F2488" s="18"/>
      <c r="G2488" s="4"/>
      <c r="H2488" s="18"/>
      <c r="I2488" s="91"/>
      <c r="J2488" s="18"/>
      <c r="K2488" s="18"/>
      <c r="L2488" s="18"/>
      <c r="M2488" s="18"/>
    </row>
    <row r="2489" ht="15.0" customHeight="1">
      <c r="A2489" s="18"/>
      <c r="B2489" s="18"/>
      <c r="C2489" s="18"/>
      <c r="D2489" s="18"/>
      <c r="E2489" s="18"/>
      <c r="F2489" s="18"/>
      <c r="G2489" s="4"/>
      <c r="H2489" s="18"/>
      <c r="I2489" s="91"/>
      <c r="J2489" s="18"/>
      <c r="K2489" s="18"/>
      <c r="L2489" s="18"/>
      <c r="M2489" s="18"/>
    </row>
    <row r="2490" ht="15.0" customHeight="1">
      <c r="A2490" s="18"/>
      <c r="B2490" s="18"/>
      <c r="C2490" s="18"/>
      <c r="D2490" s="18"/>
      <c r="E2490" s="18"/>
      <c r="F2490" s="18"/>
      <c r="G2490" s="4"/>
      <c r="H2490" s="18"/>
      <c r="I2490" s="91"/>
      <c r="J2490" s="18"/>
      <c r="K2490" s="18"/>
      <c r="L2490" s="18"/>
      <c r="M2490" s="18"/>
    </row>
    <row r="2491" ht="15.0" customHeight="1">
      <c r="A2491" s="18"/>
      <c r="B2491" s="18"/>
      <c r="C2491" s="18"/>
      <c r="D2491" s="18"/>
      <c r="E2491" s="18"/>
      <c r="F2491" s="18"/>
      <c r="G2491" s="4"/>
      <c r="H2491" s="18"/>
      <c r="I2491" s="91"/>
      <c r="J2491" s="18"/>
      <c r="K2491" s="18"/>
      <c r="L2491" s="18"/>
      <c r="M2491" s="18"/>
    </row>
    <row r="2492" ht="15.0" customHeight="1">
      <c r="A2492" s="18"/>
      <c r="B2492" s="18"/>
      <c r="C2492" s="18"/>
      <c r="D2492" s="18"/>
      <c r="E2492" s="18"/>
      <c r="F2492" s="18"/>
      <c r="G2492" s="4"/>
      <c r="H2492" s="18"/>
      <c r="I2492" s="91"/>
      <c r="J2492" s="18"/>
      <c r="K2492" s="18"/>
      <c r="L2492" s="18"/>
      <c r="M2492" s="18"/>
    </row>
    <row r="2493" ht="15.0" customHeight="1">
      <c r="A2493" s="18"/>
      <c r="B2493" s="18"/>
      <c r="C2493" s="18"/>
      <c r="D2493" s="18"/>
      <c r="E2493" s="18"/>
      <c r="F2493" s="18"/>
      <c r="G2493" s="4"/>
      <c r="H2493" s="18"/>
      <c r="I2493" s="91"/>
      <c r="J2493" s="18"/>
      <c r="K2493" s="18"/>
      <c r="L2493" s="18"/>
      <c r="M2493" s="18"/>
    </row>
    <row r="2494" ht="15.0" customHeight="1">
      <c r="A2494" s="18"/>
      <c r="B2494" s="18"/>
      <c r="C2494" s="18"/>
      <c r="D2494" s="18"/>
      <c r="E2494" s="18"/>
      <c r="F2494" s="18"/>
      <c r="G2494" s="4"/>
      <c r="H2494" s="18"/>
      <c r="I2494" s="91"/>
      <c r="J2494" s="18"/>
      <c r="K2494" s="18"/>
      <c r="L2494" s="18"/>
      <c r="M2494" s="18"/>
    </row>
    <row r="2495" ht="15.0" customHeight="1">
      <c r="A2495" s="18"/>
      <c r="B2495" s="18"/>
      <c r="C2495" s="18"/>
      <c r="D2495" s="18"/>
      <c r="E2495" s="18"/>
      <c r="F2495" s="18"/>
      <c r="G2495" s="4"/>
      <c r="H2495" s="18"/>
      <c r="I2495" s="91"/>
      <c r="J2495" s="18"/>
      <c r="K2495" s="18"/>
      <c r="L2495" s="18"/>
      <c r="M2495" s="18"/>
    </row>
    <row r="2496" ht="15.0" customHeight="1">
      <c r="A2496" s="18"/>
      <c r="B2496" s="18"/>
      <c r="C2496" s="18"/>
      <c r="D2496" s="18"/>
      <c r="E2496" s="18"/>
      <c r="F2496" s="18"/>
      <c r="G2496" s="4"/>
      <c r="H2496" s="18"/>
      <c r="I2496" s="91"/>
      <c r="J2496" s="18"/>
      <c r="K2496" s="18"/>
      <c r="L2496" s="18"/>
      <c r="M2496" s="18"/>
    </row>
    <row r="2497" ht="15.0" customHeight="1">
      <c r="A2497" s="18"/>
      <c r="B2497" s="18"/>
      <c r="C2497" s="18"/>
      <c r="D2497" s="18"/>
      <c r="E2497" s="18"/>
      <c r="F2497" s="18"/>
      <c r="G2497" s="4"/>
      <c r="H2497" s="18"/>
      <c r="I2497" s="91"/>
      <c r="J2497" s="18"/>
      <c r="K2497" s="18"/>
      <c r="L2497" s="18"/>
      <c r="M2497" s="18"/>
    </row>
    <row r="2498" ht="15.0" customHeight="1">
      <c r="A2498" s="18"/>
      <c r="B2498" s="18"/>
      <c r="C2498" s="18"/>
      <c r="D2498" s="18"/>
      <c r="E2498" s="18"/>
      <c r="F2498" s="18"/>
      <c r="G2498" s="4"/>
      <c r="H2498" s="18"/>
      <c r="I2498" s="91"/>
      <c r="J2498" s="18"/>
      <c r="K2498" s="18"/>
      <c r="L2498" s="18"/>
      <c r="M2498" s="18"/>
    </row>
    <row r="2499" ht="15.0" customHeight="1">
      <c r="A2499" s="18"/>
      <c r="B2499" s="18"/>
      <c r="C2499" s="18"/>
      <c r="D2499" s="18"/>
      <c r="E2499" s="18"/>
      <c r="F2499" s="18"/>
      <c r="G2499" s="4"/>
      <c r="H2499" s="18"/>
      <c r="I2499" s="91"/>
      <c r="J2499" s="18"/>
      <c r="K2499" s="18"/>
      <c r="L2499" s="18"/>
      <c r="M2499" s="18"/>
    </row>
    <row r="2500" ht="15.0" customHeight="1">
      <c r="A2500" s="18"/>
      <c r="B2500" s="18"/>
      <c r="C2500" s="18"/>
      <c r="D2500" s="18"/>
      <c r="E2500" s="18"/>
      <c r="F2500" s="18"/>
      <c r="G2500" s="4"/>
      <c r="H2500" s="18"/>
      <c r="I2500" s="91"/>
      <c r="J2500" s="18"/>
      <c r="K2500" s="18"/>
      <c r="L2500" s="18"/>
      <c r="M2500" s="18"/>
    </row>
    <row r="2501" ht="15.0" customHeight="1">
      <c r="A2501" s="18"/>
      <c r="B2501" s="18"/>
      <c r="C2501" s="18"/>
      <c r="D2501" s="18"/>
      <c r="E2501" s="18"/>
      <c r="F2501" s="18"/>
      <c r="G2501" s="4"/>
      <c r="H2501" s="18"/>
      <c r="I2501" s="91"/>
      <c r="J2501" s="18"/>
      <c r="K2501" s="18"/>
      <c r="L2501" s="18"/>
      <c r="M2501" s="18"/>
    </row>
    <row r="2502" ht="15.0" customHeight="1">
      <c r="A2502" s="18"/>
      <c r="B2502" s="18"/>
      <c r="C2502" s="18"/>
      <c r="D2502" s="18"/>
      <c r="E2502" s="18"/>
      <c r="F2502" s="18"/>
      <c r="G2502" s="4"/>
      <c r="H2502" s="18"/>
      <c r="I2502" s="91"/>
      <c r="J2502" s="18"/>
      <c r="K2502" s="18"/>
      <c r="L2502" s="18"/>
      <c r="M2502" s="18"/>
    </row>
    <row r="2503" ht="15.0" customHeight="1">
      <c r="A2503" s="18"/>
      <c r="B2503" s="18"/>
      <c r="C2503" s="18"/>
      <c r="D2503" s="18"/>
      <c r="E2503" s="18"/>
      <c r="F2503" s="18"/>
      <c r="G2503" s="4"/>
      <c r="H2503" s="18"/>
      <c r="I2503" s="91"/>
      <c r="J2503" s="18"/>
      <c r="K2503" s="18"/>
      <c r="L2503" s="18"/>
      <c r="M2503" s="18"/>
    </row>
    <row r="2504" ht="15.0" customHeight="1">
      <c r="A2504" s="18"/>
      <c r="B2504" s="18"/>
      <c r="C2504" s="18"/>
      <c r="D2504" s="18"/>
      <c r="E2504" s="18"/>
      <c r="F2504" s="18"/>
      <c r="G2504" s="4"/>
      <c r="H2504" s="18"/>
      <c r="I2504" s="91"/>
      <c r="J2504" s="18"/>
      <c r="K2504" s="18"/>
      <c r="L2504" s="18"/>
      <c r="M2504" s="18"/>
    </row>
    <row r="2505" ht="15.0" customHeight="1">
      <c r="A2505" s="18"/>
      <c r="B2505" s="18"/>
      <c r="C2505" s="18"/>
      <c r="D2505" s="18"/>
      <c r="E2505" s="18"/>
      <c r="F2505" s="18"/>
      <c r="G2505" s="4"/>
      <c r="H2505" s="18"/>
      <c r="I2505" s="91"/>
      <c r="J2505" s="18"/>
      <c r="K2505" s="18"/>
      <c r="L2505" s="18"/>
      <c r="M2505" s="18"/>
    </row>
    <row r="2506" ht="15.0" customHeight="1">
      <c r="A2506" s="18"/>
      <c r="B2506" s="18"/>
      <c r="C2506" s="18"/>
      <c r="D2506" s="18"/>
      <c r="E2506" s="18"/>
      <c r="F2506" s="18"/>
      <c r="G2506" s="4"/>
      <c r="H2506" s="18"/>
      <c r="I2506" s="91"/>
      <c r="J2506" s="18"/>
      <c r="K2506" s="18"/>
      <c r="L2506" s="18"/>
      <c r="M2506" s="18"/>
    </row>
    <row r="2507" ht="15.0" customHeight="1">
      <c r="A2507" s="18"/>
      <c r="B2507" s="18"/>
      <c r="C2507" s="18"/>
      <c r="D2507" s="18"/>
      <c r="E2507" s="18"/>
      <c r="F2507" s="18"/>
      <c r="G2507" s="4"/>
      <c r="H2507" s="18"/>
      <c r="I2507" s="91"/>
      <c r="J2507" s="18"/>
      <c r="K2507" s="18"/>
      <c r="L2507" s="18"/>
      <c r="M2507" s="18"/>
    </row>
    <row r="2508" ht="15.0" customHeight="1">
      <c r="A2508" s="18"/>
      <c r="B2508" s="18"/>
      <c r="C2508" s="18"/>
      <c r="D2508" s="18"/>
      <c r="E2508" s="18"/>
      <c r="F2508" s="18"/>
      <c r="G2508" s="4"/>
      <c r="H2508" s="18"/>
      <c r="I2508" s="91"/>
      <c r="J2508" s="18"/>
      <c r="K2508" s="18"/>
      <c r="L2508" s="18"/>
      <c r="M2508" s="18"/>
    </row>
    <row r="2509" ht="15.0" customHeight="1">
      <c r="A2509" s="18"/>
      <c r="B2509" s="18"/>
      <c r="C2509" s="18"/>
      <c r="D2509" s="18"/>
      <c r="E2509" s="18"/>
      <c r="F2509" s="18"/>
      <c r="G2509" s="4"/>
      <c r="H2509" s="18"/>
      <c r="I2509" s="91"/>
      <c r="J2509" s="18"/>
      <c r="K2509" s="18"/>
      <c r="L2509" s="18"/>
      <c r="M2509" s="18"/>
    </row>
    <row r="2510" ht="15.0" customHeight="1">
      <c r="A2510" s="18"/>
      <c r="B2510" s="18"/>
      <c r="C2510" s="18"/>
      <c r="D2510" s="18"/>
      <c r="E2510" s="18"/>
      <c r="F2510" s="18"/>
      <c r="G2510" s="4"/>
      <c r="H2510" s="18"/>
      <c r="I2510" s="91"/>
      <c r="J2510" s="18"/>
      <c r="K2510" s="18"/>
      <c r="L2510" s="18"/>
      <c r="M2510" s="18"/>
    </row>
    <row r="2511" ht="15.0" customHeight="1">
      <c r="A2511" s="18"/>
      <c r="B2511" s="18"/>
      <c r="C2511" s="18"/>
      <c r="D2511" s="18"/>
      <c r="E2511" s="18"/>
      <c r="F2511" s="18"/>
      <c r="G2511" s="4"/>
      <c r="H2511" s="18"/>
      <c r="I2511" s="91"/>
      <c r="J2511" s="18"/>
      <c r="K2511" s="18"/>
      <c r="L2511" s="18"/>
      <c r="M2511" s="18"/>
    </row>
    <row r="2512" ht="15.0" customHeight="1">
      <c r="A2512" s="18"/>
      <c r="B2512" s="18"/>
      <c r="C2512" s="18"/>
      <c r="D2512" s="18"/>
      <c r="E2512" s="18"/>
      <c r="F2512" s="18"/>
      <c r="G2512" s="4"/>
      <c r="H2512" s="18"/>
      <c r="I2512" s="91"/>
      <c r="J2512" s="18"/>
      <c r="K2512" s="18"/>
      <c r="L2512" s="18"/>
      <c r="M2512" s="18"/>
    </row>
    <row r="2513" ht="15.0" customHeight="1">
      <c r="A2513" s="18"/>
      <c r="B2513" s="18"/>
      <c r="C2513" s="18"/>
      <c r="D2513" s="18"/>
      <c r="E2513" s="18"/>
      <c r="F2513" s="18"/>
      <c r="G2513" s="4"/>
      <c r="H2513" s="18"/>
      <c r="I2513" s="91"/>
      <c r="J2513" s="18"/>
      <c r="K2513" s="18"/>
      <c r="L2513" s="18"/>
      <c r="M2513" s="18"/>
    </row>
    <row r="2514" ht="15.0" customHeight="1">
      <c r="A2514" s="18"/>
      <c r="B2514" s="18"/>
      <c r="C2514" s="18"/>
      <c r="D2514" s="18"/>
      <c r="E2514" s="18"/>
      <c r="F2514" s="18"/>
      <c r="G2514" s="4"/>
      <c r="H2514" s="18"/>
      <c r="I2514" s="91"/>
      <c r="J2514" s="18"/>
      <c r="K2514" s="18"/>
      <c r="L2514" s="18"/>
      <c r="M2514" s="18"/>
    </row>
    <row r="2515" ht="15.0" customHeight="1">
      <c r="A2515" s="18"/>
      <c r="B2515" s="18"/>
      <c r="C2515" s="18"/>
      <c r="D2515" s="18"/>
      <c r="E2515" s="18"/>
      <c r="F2515" s="18"/>
      <c r="G2515" s="4"/>
      <c r="H2515" s="18"/>
      <c r="I2515" s="91"/>
      <c r="J2515" s="18"/>
      <c r="K2515" s="18"/>
      <c r="L2515" s="18"/>
      <c r="M2515" s="18"/>
    </row>
    <row r="2516" ht="15.0" customHeight="1">
      <c r="A2516" s="18"/>
      <c r="B2516" s="18"/>
      <c r="C2516" s="18"/>
      <c r="D2516" s="18"/>
      <c r="E2516" s="18"/>
      <c r="F2516" s="18"/>
      <c r="G2516" s="4"/>
      <c r="H2516" s="18"/>
      <c r="I2516" s="91"/>
      <c r="J2516" s="18"/>
      <c r="K2516" s="18"/>
      <c r="L2516" s="18"/>
      <c r="M2516" s="18"/>
    </row>
    <row r="2517" ht="15.0" customHeight="1">
      <c r="A2517" s="18"/>
      <c r="B2517" s="18"/>
      <c r="C2517" s="18"/>
      <c r="D2517" s="18"/>
      <c r="E2517" s="18"/>
      <c r="F2517" s="18"/>
      <c r="G2517" s="4"/>
      <c r="H2517" s="18"/>
      <c r="I2517" s="91"/>
      <c r="J2517" s="18"/>
      <c r="K2517" s="18"/>
      <c r="L2517" s="18"/>
      <c r="M2517" s="18"/>
    </row>
    <row r="2518" ht="15.0" customHeight="1">
      <c r="A2518" s="18"/>
      <c r="B2518" s="18"/>
      <c r="C2518" s="18"/>
      <c r="D2518" s="18"/>
      <c r="E2518" s="18"/>
      <c r="F2518" s="18"/>
      <c r="G2518" s="4"/>
      <c r="H2518" s="18"/>
      <c r="I2518" s="91"/>
      <c r="J2518" s="18"/>
      <c r="K2518" s="18"/>
      <c r="L2518" s="18"/>
      <c r="M2518" s="18"/>
    </row>
    <row r="2519" ht="15.0" customHeight="1">
      <c r="A2519" s="18"/>
      <c r="B2519" s="18"/>
      <c r="C2519" s="18"/>
      <c r="D2519" s="18"/>
      <c r="E2519" s="18"/>
      <c r="F2519" s="18"/>
      <c r="G2519" s="4"/>
      <c r="H2519" s="18"/>
      <c r="I2519" s="91"/>
      <c r="J2519" s="18"/>
      <c r="K2519" s="18"/>
      <c r="L2519" s="18"/>
      <c r="M2519" s="18"/>
    </row>
    <row r="2520" ht="15.0" customHeight="1">
      <c r="A2520" s="18"/>
      <c r="B2520" s="18"/>
      <c r="C2520" s="18"/>
      <c r="D2520" s="18"/>
      <c r="E2520" s="18"/>
      <c r="F2520" s="18"/>
      <c r="G2520" s="4"/>
      <c r="H2520" s="18"/>
      <c r="I2520" s="91"/>
      <c r="J2520" s="18"/>
      <c r="K2520" s="18"/>
      <c r="L2520" s="18"/>
      <c r="M2520" s="18"/>
    </row>
    <row r="2521" ht="15.0" customHeight="1">
      <c r="A2521" s="18"/>
      <c r="B2521" s="18"/>
      <c r="C2521" s="18"/>
      <c r="D2521" s="18"/>
      <c r="E2521" s="18"/>
      <c r="F2521" s="18"/>
      <c r="G2521" s="4"/>
      <c r="H2521" s="18"/>
      <c r="I2521" s="91"/>
      <c r="J2521" s="18"/>
      <c r="K2521" s="18"/>
      <c r="L2521" s="18"/>
      <c r="M2521" s="18"/>
    </row>
    <row r="2522" ht="15.0" customHeight="1">
      <c r="A2522" s="18"/>
      <c r="B2522" s="18"/>
      <c r="C2522" s="18"/>
      <c r="D2522" s="18"/>
      <c r="E2522" s="18"/>
      <c r="F2522" s="18"/>
      <c r="G2522" s="4"/>
      <c r="H2522" s="18"/>
      <c r="I2522" s="91"/>
      <c r="J2522" s="18"/>
      <c r="K2522" s="18"/>
      <c r="L2522" s="18"/>
      <c r="M2522" s="18"/>
    </row>
    <row r="2523" ht="15.0" customHeight="1">
      <c r="A2523" s="18"/>
      <c r="B2523" s="18"/>
      <c r="C2523" s="18"/>
      <c r="D2523" s="18"/>
      <c r="E2523" s="18"/>
      <c r="F2523" s="18"/>
      <c r="G2523" s="4"/>
      <c r="H2523" s="18"/>
      <c r="I2523" s="91"/>
      <c r="J2523" s="18"/>
      <c r="K2523" s="18"/>
      <c r="L2523" s="18"/>
      <c r="M2523" s="18"/>
    </row>
    <row r="2524" ht="15.0" customHeight="1">
      <c r="A2524" s="18"/>
      <c r="B2524" s="18"/>
      <c r="C2524" s="18"/>
      <c r="D2524" s="18"/>
      <c r="E2524" s="18"/>
      <c r="F2524" s="18"/>
      <c r="G2524" s="4"/>
      <c r="H2524" s="18"/>
      <c r="I2524" s="91"/>
      <c r="J2524" s="18"/>
      <c r="K2524" s="18"/>
      <c r="L2524" s="18"/>
      <c r="M2524" s="18"/>
    </row>
    <row r="2525" ht="15.0" customHeight="1">
      <c r="A2525" s="18"/>
      <c r="B2525" s="18"/>
      <c r="C2525" s="18"/>
      <c r="D2525" s="18"/>
      <c r="E2525" s="18"/>
      <c r="F2525" s="18"/>
      <c r="G2525" s="4"/>
      <c r="H2525" s="18"/>
      <c r="I2525" s="91"/>
      <c r="J2525" s="18"/>
      <c r="K2525" s="18"/>
      <c r="L2525" s="18"/>
      <c r="M2525" s="18"/>
    </row>
    <row r="2526" ht="15.0" customHeight="1">
      <c r="A2526" s="18"/>
      <c r="B2526" s="18"/>
      <c r="C2526" s="18"/>
      <c r="D2526" s="18"/>
      <c r="E2526" s="18"/>
      <c r="F2526" s="18"/>
      <c r="G2526" s="4"/>
      <c r="H2526" s="18"/>
      <c r="I2526" s="91"/>
      <c r="J2526" s="18"/>
      <c r="K2526" s="18"/>
      <c r="L2526" s="18"/>
      <c r="M2526" s="18"/>
    </row>
    <row r="2527" ht="15.0" customHeight="1">
      <c r="A2527" s="18"/>
      <c r="B2527" s="18"/>
      <c r="C2527" s="18"/>
      <c r="D2527" s="18"/>
      <c r="E2527" s="18"/>
      <c r="F2527" s="18"/>
      <c r="G2527" s="4"/>
      <c r="H2527" s="18"/>
      <c r="I2527" s="91"/>
      <c r="J2527" s="18"/>
      <c r="K2527" s="18"/>
      <c r="L2527" s="18"/>
      <c r="M2527" s="18"/>
    </row>
    <row r="2528" ht="15.0" customHeight="1">
      <c r="A2528" s="18"/>
      <c r="B2528" s="18"/>
      <c r="C2528" s="18"/>
      <c r="D2528" s="18"/>
      <c r="E2528" s="18"/>
      <c r="F2528" s="18"/>
      <c r="G2528" s="4"/>
      <c r="H2528" s="18"/>
      <c r="I2528" s="91"/>
      <c r="J2528" s="18"/>
      <c r="K2528" s="18"/>
      <c r="L2528" s="18"/>
      <c r="M2528" s="18"/>
    </row>
    <row r="2529" ht="15.0" customHeight="1">
      <c r="A2529" s="18"/>
      <c r="B2529" s="18"/>
      <c r="C2529" s="18"/>
      <c r="D2529" s="18"/>
      <c r="E2529" s="18"/>
      <c r="F2529" s="18"/>
      <c r="G2529" s="4"/>
      <c r="H2529" s="18"/>
      <c r="I2529" s="91"/>
      <c r="J2529" s="18"/>
      <c r="K2529" s="18"/>
      <c r="L2529" s="18"/>
      <c r="M2529" s="18"/>
    </row>
    <row r="2530" ht="15.0" customHeight="1">
      <c r="A2530" s="18"/>
      <c r="B2530" s="18"/>
      <c r="C2530" s="18"/>
      <c r="D2530" s="18"/>
      <c r="E2530" s="18"/>
      <c r="F2530" s="18"/>
      <c r="G2530" s="4"/>
      <c r="H2530" s="18"/>
      <c r="I2530" s="91"/>
      <c r="J2530" s="18"/>
      <c r="K2530" s="18"/>
      <c r="L2530" s="18"/>
      <c r="M2530" s="18"/>
    </row>
    <row r="2531" ht="15.0" customHeight="1">
      <c r="A2531" s="18"/>
      <c r="B2531" s="18"/>
      <c r="C2531" s="18"/>
      <c r="D2531" s="18"/>
      <c r="E2531" s="18"/>
      <c r="F2531" s="18"/>
      <c r="G2531" s="4"/>
      <c r="H2531" s="18"/>
      <c r="I2531" s="91"/>
      <c r="J2531" s="18"/>
      <c r="K2531" s="18"/>
      <c r="L2531" s="18"/>
      <c r="M2531" s="18"/>
    </row>
    <row r="2532" ht="15.0" customHeight="1">
      <c r="A2532" s="18"/>
      <c r="B2532" s="18"/>
      <c r="C2532" s="18"/>
      <c r="D2532" s="18"/>
      <c r="E2532" s="18"/>
      <c r="F2532" s="18"/>
      <c r="G2532" s="4"/>
      <c r="H2532" s="18"/>
      <c r="I2532" s="91"/>
      <c r="J2532" s="18"/>
      <c r="K2532" s="18"/>
      <c r="L2532" s="18"/>
      <c r="M2532" s="18"/>
    </row>
    <row r="2533" ht="15.0" customHeight="1">
      <c r="A2533" s="18"/>
      <c r="B2533" s="18"/>
      <c r="C2533" s="18"/>
      <c r="D2533" s="18"/>
      <c r="E2533" s="18"/>
      <c r="F2533" s="18"/>
      <c r="G2533" s="4"/>
      <c r="H2533" s="18"/>
      <c r="I2533" s="91"/>
      <c r="J2533" s="18"/>
      <c r="K2533" s="18"/>
      <c r="L2533" s="18"/>
      <c r="M2533" s="18"/>
    </row>
    <row r="2534" ht="15.0" customHeight="1">
      <c r="A2534" s="18"/>
      <c r="B2534" s="18"/>
      <c r="C2534" s="18"/>
      <c r="D2534" s="18"/>
      <c r="E2534" s="18"/>
      <c r="F2534" s="18"/>
      <c r="G2534" s="4"/>
      <c r="H2534" s="18"/>
      <c r="I2534" s="91"/>
      <c r="J2534" s="18"/>
      <c r="K2534" s="18"/>
      <c r="L2534" s="18"/>
      <c r="M2534" s="18"/>
    </row>
    <row r="2535" ht="15.0" customHeight="1">
      <c r="A2535" s="18"/>
      <c r="B2535" s="18"/>
      <c r="C2535" s="18"/>
      <c r="D2535" s="18"/>
      <c r="E2535" s="18"/>
      <c r="F2535" s="18"/>
      <c r="G2535" s="4"/>
      <c r="H2535" s="18"/>
      <c r="I2535" s="91"/>
      <c r="J2535" s="18"/>
      <c r="K2535" s="18"/>
      <c r="L2535" s="18"/>
      <c r="M2535" s="18"/>
    </row>
    <row r="2536" ht="15.0" customHeight="1">
      <c r="A2536" s="18"/>
      <c r="B2536" s="18"/>
      <c r="C2536" s="18"/>
      <c r="D2536" s="18"/>
      <c r="E2536" s="18"/>
      <c r="F2536" s="18"/>
      <c r="G2536" s="4"/>
      <c r="H2536" s="18"/>
      <c r="I2536" s="91"/>
      <c r="J2536" s="18"/>
      <c r="K2536" s="18"/>
      <c r="L2536" s="18"/>
      <c r="M2536" s="18"/>
    </row>
    <row r="2537" ht="15.0" customHeight="1">
      <c r="A2537" s="18"/>
      <c r="B2537" s="18"/>
      <c r="C2537" s="18"/>
      <c r="D2537" s="18"/>
      <c r="E2537" s="18"/>
      <c r="F2537" s="18"/>
      <c r="G2537" s="4"/>
      <c r="H2537" s="18"/>
      <c r="I2537" s="91"/>
      <c r="J2537" s="18"/>
      <c r="K2537" s="18"/>
      <c r="L2537" s="18"/>
      <c r="M2537" s="18"/>
    </row>
    <row r="2538" ht="15.0" customHeight="1">
      <c r="A2538" s="18"/>
      <c r="B2538" s="18"/>
      <c r="C2538" s="18"/>
      <c r="D2538" s="18"/>
      <c r="E2538" s="18"/>
      <c r="F2538" s="18"/>
      <c r="G2538" s="4"/>
      <c r="H2538" s="18"/>
      <c r="I2538" s="91"/>
      <c r="J2538" s="18"/>
      <c r="K2538" s="18"/>
      <c r="L2538" s="18"/>
      <c r="M2538" s="18"/>
    </row>
    <row r="2539" ht="15.0" customHeight="1">
      <c r="A2539" s="18"/>
      <c r="B2539" s="18"/>
      <c r="C2539" s="18"/>
      <c r="D2539" s="18"/>
      <c r="E2539" s="18"/>
      <c r="F2539" s="18"/>
      <c r="G2539" s="4"/>
      <c r="H2539" s="18"/>
      <c r="I2539" s="91"/>
      <c r="J2539" s="18"/>
      <c r="K2539" s="18"/>
      <c r="L2539" s="18"/>
      <c r="M2539" s="18"/>
    </row>
    <row r="2540" ht="15.0" customHeight="1">
      <c r="A2540" s="18"/>
      <c r="B2540" s="18"/>
      <c r="C2540" s="18"/>
      <c r="D2540" s="18"/>
      <c r="E2540" s="18"/>
      <c r="F2540" s="18"/>
      <c r="G2540" s="4"/>
      <c r="H2540" s="18"/>
      <c r="I2540" s="91"/>
      <c r="J2540" s="18"/>
      <c r="K2540" s="18"/>
      <c r="L2540" s="18"/>
      <c r="M2540" s="18"/>
    </row>
    <row r="2541" ht="15.0" customHeight="1">
      <c r="A2541" s="18"/>
      <c r="B2541" s="18"/>
      <c r="C2541" s="18"/>
      <c r="D2541" s="18"/>
      <c r="E2541" s="18"/>
      <c r="F2541" s="18"/>
      <c r="G2541" s="4"/>
      <c r="H2541" s="18"/>
      <c r="I2541" s="91"/>
      <c r="J2541" s="18"/>
      <c r="K2541" s="18"/>
      <c r="L2541" s="18"/>
      <c r="M2541" s="18"/>
    </row>
    <row r="2542" ht="15.0" customHeight="1">
      <c r="A2542" s="18"/>
      <c r="B2542" s="18"/>
      <c r="C2542" s="18"/>
      <c r="D2542" s="18"/>
      <c r="E2542" s="18"/>
      <c r="F2542" s="18"/>
      <c r="G2542" s="4"/>
      <c r="H2542" s="18"/>
      <c r="I2542" s="91"/>
      <c r="J2542" s="18"/>
      <c r="K2542" s="18"/>
      <c r="L2542" s="18"/>
      <c r="M2542" s="18"/>
    </row>
    <row r="2543" ht="15.0" customHeight="1">
      <c r="A2543" s="18"/>
      <c r="B2543" s="18"/>
      <c r="C2543" s="18"/>
      <c r="D2543" s="18"/>
      <c r="E2543" s="18"/>
      <c r="F2543" s="18"/>
      <c r="G2543" s="4"/>
      <c r="H2543" s="18"/>
      <c r="I2543" s="91"/>
      <c r="J2543" s="18"/>
      <c r="K2543" s="18"/>
      <c r="L2543" s="18"/>
      <c r="M2543" s="18"/>
    </row>
    <row r="2544" ht="15.0" customHeight="1">
      <c r="A2544" s="18"/>
      <c r="B2544" s="18"/>
      <c r="C2544" s="18"/>
      <c r="D2544" s="18"/>
      <c r="E2544" s="18"/>
      <c r="F2544" s="18"/>
      <c r="G2544" s="4"/>
      <c r="H2544" s="18"/>
      <c r="I2544" s="91"/>
      <c r="J2544" s="18"/>
      <c r="K2544" s="18"/>
      <c r="L2544" s="18"/>
      <c r="M2544" s="18"/>
    </row>
    <row r="2545" ht="15.0" customHeight="1">
      <c r="A2545" s="18"/>
      <c r="B2545" s="18"/>
      <c r="C2545" s="18"/>
      <c r="D2545" s="18"/>
      <c r="E2545" s="18"/>
      <c r="F2545" s="18"/>
      <c r="G2545" s="4"/>
      <c r="H2545" s="18"/>
      <c r="I2545" s="91"/>
      <c r="J2545" s="18"/>
      <c r="K2545" s="18"/>
      <c r="L2545" s="18"/>
      <c r="M2545" s="18"/>
    </row>
    <row r="2546" ht="15.0" customHeight="1">
      <c r="A2546" s="18"/>
      <c r="B2546" s="18"/>
      <c r="C2546" s="18"/>
      <c r="D2546" s="18"/>
      <c r="E2546" s="18"/>
      <c r="F2546" s="18"/>
      <c r="G2546" s="4"/>
      <c r="H2546" s="18"/>
      <c r="I2546" s="91"/>
      <c r="J2546" s="18"/>
      <c r="K2546" s="18"/>
      <c r="L2546" s="18"/>
      <c r="M2546" s="18"/>
    </row>
    <row r="2547" ht="15.0" customHeight="1">
      <c r="A2547" s="18"/>
      <c r="B2547" s="18"/>
      <c r="C2547" s="18"/>
      <c r="D2547" s="18"/>
      <c r="E2547" s="18"/>
      <c r="F2547" s="18"/>
      <c r="G2547" s="4"/>
      <c r="H2547" s="18"/>
      <c r="I2547" s="91"/>
      <c r="J2547" s="18"/>
      <c r="K2547" s="18"/>
      <c r="L2547" s="18"/>
      <c r="M2547" s="18"/>
    </row>
    <row r="2548" ht="15.0" customHeight="1">
      <c r="A2548" s="18"/>
      <c r="B2548" s="18"/>
      <c r="C2548" s="18"/>
      <c r="D2548" s="18"/>
      <c r="E2548" s="18"/>
      <c r="F2548" s="18"/>
      <c r="G2548" s="4"/>
      <c r="H2548" s="18"/>
      <c r="I2548" s="91"/>
      <c r="J2548" s="18"/>
      <c r="K2548" s="18"/>
      <c r="L2548" s="18"/>
      <c r="M2548" s="18"/>
    </row>
    <row r="2549" ht="15.0" customHeight="1">
      <c r="A2549" s="18"/>
      <c r="B2549" s="18"/>
      <c r="C2549" s="18"/>
      <c r="D2549" s="18"/>
      <c r="E2549" s="18"/>
      <c r="F2549" s="18"/>
      <c r="G2549" s="4"/>
      <c r="H2549" s="18"/>
      <c r="I2549" s="91"/>
      <c r="J2549" s="18"/>
      <c r="K2549" s="18"/>
      <c r="L2549" s="18"/>
      <c r="M2549" s="18"/>
    </row>
    <row r="2550" ht="15.0" customHeight="1">
      <c r="A2550" s="18"/>
      <c r="B2550" s="18"/>
      <c r="C2550" s="18"/>
      <c r="D2550" s="18"/>
      <c r="E2550" s="18"/>
      <c r="F2550" s="18"/>
      <c r="G2550" s="4"/>
      <c r="H2550" s="18"/>
      <c r="I2550" s="91"/>
      <c r="J2550" s="18"/>
      <c r="K2550" s="18"/>
      <c r="L2550" s="18"/>
      <c r="M2550" s="18"/>
    </row>
    <row r="2551" ht="15.0" customHeight="1">
      <c r="A2551" s="18"/>
      <c r="B2551" s="18"/>
      <c r="C2551" s="18"/>
      <c r="D2551" s="18"/>
      <c r="E2551" s="18"/>
      <c r="F2551" s="18"/>
      <c r="G2551" s="4"/>
      <c r="H2551" s="18"/>
      <c r="I2551" s="91"/>
      <c r="J2551" s="18"/>
      <c r="K2551" s="18"/>
      <c r="L2551" s="18"/>
      <c r="M2551" s="18"/>
    </row>
    <row r="2552" ht="15.0" customHeight="1">
      <c r="A2552" s="18"/>
      <c r="B2552" s="18"/>
      <c r="C2552" s="18"/>
      <c r="D2552" s="18"/>
      <c r="E2552" s="18"/>
      <c r="F2552" s="18"/>
      <c r="G2552" s="4"/>
      <c r="H2552" s="18"/>
      <c r="I2552" s="91"/>
      <c r="J2552" s="18"/>
      <c r="K2552" s="18"/>
      <c r="L2552" s="18"/>
      <c r="M2552" s="18"/>
    </row>
    <row r="2553" ht="15.0" customHeight="1">
      <c r="A2553" s="18"/>
      <c r="B2553" s="18"/>
      <c r="C2553" s="18"/>
      <c r="D2553" s="18"/>
      <c r="E2553" s="18"/>
      <c r="F2553" s="18"/>
      <c r="G2553" s="4"/>
      <c r="H2553" s="18"/>
      <c r="I2553" s="91"/>
      <c r="J2553" s="18"/>
      <c r="K2553" s="18"/>
      <c r="L2553" s="18"/>
      <c r="M2553" s="18"/>
    </row>
    <row r="2554" ht="15.0" customHeight="1">
      <c r="A2554" s="18"/>
      <c r="B2554" s="18"/>
      <c r="C2554" s="18"/>
      <c r="D2554" s="18"/>
      <c r="E2554" s="18"/>
      <c r="F2554" s="18"/>
      <c r="G2554" s="4"/>
      <c r="H2554" s="18"/>
      <c r="I2554" s="91"/>
      <c r="J2554" s="18"/>
      <c r="K2554" s="18"/>
      <c r="L2554" s="18"/>
      <c r="M2554" s="18"/>
    </row>
    <row r="2555" ht="15.0" customHeight="1">
      <c r="A2555" s="18"/>
      <c r="B2555" s="18"/>
      <c r="C2555" s="18"/>
      <c r="D2555" s="18"/>
      <c r="E2555" s="18"/>
      <c r="F2555" s="18"/>
      <c r="G2555" s="4"/>
      <c r="H2555" s="18"/>
      <c r="I2555" s="91"/>
      <c r="J2555" s="18"/>
      <c r="K2555" s="18"/>
      <c r="L2555" s="18"/>
      <c r="M2555" s="18"/>
    </row>
    <row r="2556" ht="15.0" customHeight="1">
      <c r="A2556" s="18"/>
      <c r="B2556" s="18"/>
      <c r="C2556" s="18"/>
      <c r="D2556" s="18"/>
      <c r="E2556" s="18"/>
      <c r="F2556" s="18"/>
      <c r="G2556" s="4"/>
      <c r="H2556" s="18"/>
      <c r="I2556" s="91"/>
      <c r="J2556" s="18"/>
      <c r="K2556" s="18"/>
      <c r="L2556" s="18"/>
      <c r="M2556" s="18"/>
    </row>
    <row r="2557" ht="15.0" customHeight="1">
      <c r="A2557" s="18"/>
      <c r="B2557" s="18"/>
      <c r="C2557" s="18"/>
      <c r="D2557" s="18"/>
      <c r="E2557" s="18"/>
      <c r="F2557" s="18"/>
      <c r="G2557" s="4"/>
      <c r="H2557" s="18"/>
      <c r="I2557" s="91"/>
      <c r="J2557" s="18"/>
      <c r="K2557" s="18"/>
      <c r="L2557" s="18"/>
      <c r="M2557" s="18"/>
    </row>
    <row r="2558" ht="15.0" customHeight="1">
      <c r="A2558" s="18"/>
      <c r="B2558" s="18"/>
      <c r="C2558" s="18"/>
      <c r="D2558" s="18"/>
      <c r="E2558" s="18"/>
      <c r="F2558" s="18"/>
      <c r="G2558" s="4"/>
      <c r="H2558" s="18"/>
      <c r="I2558" s="91"/>
      <c r="J2558" s="18"/>
      <c r="K2558" s="18"/>
      <c r="L2558" s="18"/>
      <c r="M2558" s="18"/>
    </row>
    <row r="2559" ht="15.0" customHeight="1">
      <c r="A2559" s="18"/>
      <c r="B2559" s="18"/>
      <c r="C2559" s="18"/>
      <c r="D2559" s="18"/>
      <c r="E2559" s="18"/>
      <c r="F2559" s="18"/>
      <c r="G2559" s="4"/>
      <c r="H2559" s="18"/>
      <c r="I2559" s="91"/>
      <c r="J2559" s="18"/>
      <c r="K2559" s="18"/>
      <c r="L2559" s="18"/>
      <c r="M2559" s="18"/>
    </row>
    <row r="2560" ht="15.0" customHeight="1">
      <c r="A2560" s="18"/>
      <c r="B2560" s="18"/>
      <c r="C2560" s="18"/>
      <c r="D2560" s="18"/>
      <c r="E2560" s="18"/>
      <c r="F2560" s="18"/>
      <c r="G2560" s="4"/>
      <c r="H2560" s="18"/>
      <c r="I2560" s="91"/>
      <c r="J2560" s="18"/>
      <c r="K2560" s="18"/>
      <c r="L2560" s="18"/>
      <c r="M2560" s="18"/>
    </row>
    <row r="2561" ht="15.0" customHeight="1">
      <c r="A2561" s="18"/>
      <c r="B2561" s="18"/>
      <c r="C2561" s="18"/>
      <c r="D2561" s="18"/>
      <c r="E2561" s="18"/>
      <c r="F2561" s="18"/>
      <c r="G2561" s="4"/>
      <c r="H2561" s="18"/>
      <c r="I2561" s="91"/>
      <c r="J2561" s="18"/>
      <c r="K2561" s="18"/>
      <c r="L2561" s="18"/>
      <c r="M2561" s="18"/>
    </row>
    <row r="2562" ht="15.0" customHeight="1">
      <c r="A2562" s="18"/>
      <c r="B2562" s="18"/>
      <c r="C2562" s="18"/>
      <c r="D2562" s="18"/>
      <c r="E2562" s="18"/>
      <c r="F2562" s="18"/>
      <c r="G2562" s="4"/>
      <c r="H2562" s="18"/>
      <c r="I2562" s="91"/>
      <c r="J2562" s="18"/>
      <c r="K2562" s="18"/>
      <c r="L2562" s="18"/>
      <c r="M2562" s="18"/>
    </row>
    <row r="2563" ht="15.0" customHeight="1">
      <c r="A2563" s="18"/>
      <c r="B2563" s="18"/>
      <c r="C2563" s="18"/>
      <c r="D2563" s="18"/>
      <c r="E2563" s="18"/>
      <c r="F2563" s="18"/>
      <c r="G2563" s="4"/>
      <c r="H2563" s="18"/>
      <c r="I2563" s="91"/>
      <c r="J2563" s="18"/>
      <c r="K2563" s="18"/>
      <c r="L2563" s="18"/>
      <c r="M2563" s="18"/>
    </row>
    <row r="2564" ht="15.0" customHeight="1">
      <c r="A2564" s="18"/>
      <c r="B2564" s="18"/>
      <c r="C2564" s="18"/>
      <c r="D2564" s="18"/>
      <c r="E2564" s="18"/>
      <c r="F2564" s="18"/>
      <c r="G2564" s="4"/>
      <c r="H2564" s="18"/>
      <c r="I2564" s="91"/>
      <c r="J2564" s="18"/>
      <c r="K2564" s="18"/>
      <c r="L2564" s="18"/>
      <c r="M2564" s="18"/>
    </row>
    <row r="2565" ht="15.0" customHeight="1">
      <c r="A2565" s="18"/>
      <c r="B2565" s="18"/>
      <c r="C2565" s="18"/>
      <c r="D2565" s="18"/>
      <c r="E2565" s="18"/>
      <c r="F2565" s="18"/>
      <c r="G2565" s="4"/>
      <c r="H2565" s="18"/>
      <c r="I2565" s="91"/>
      <c r="J2565" s="18"/>
      <c r="K2565" s="18"/>
      <c r="L2565" s="18"/>
      <c r="M2565" s="18"/>
    </row>
    <row r="2566" ht="15.0" customHeight="1">
      <c r="A2566" s="18"/>
      <c r="B2566" s="18"/>
      <c r="C2566" s="18"/>
      <c r="D2566" s="18"/>
      <c r="E2566" s="18"/>
      <c r="F2566" s="18"/>
      <c r="G2566" s="4"/>
      <c r="H2566" s="18"/>
      <c r="I2566" s="91"/>
      <c r="J2566" s="18"/>
      <c r="K2566" s="18"/>
      <c r="L2566" s="18"/>
      <c r="M2566" s="18"/>
    </row>
    <row r="2567" ht="15.0" customHeight="1">
      <c r="A2567" s="18"/>
      <c r="B2567" s="18"/>
      <c r="C2567" s="18"/>
      <c r="D2567" s="18"/>
      <c r="E2567" s="18"/>
      <c r="F2567" s="18"/>
      <c r="G2567" s="4"/>
      <c r="H2567" s="18"/>
      <c r="I2567" s="91"/>
      <c r="J2567" s="18"/>
      <c r="K2567" s="18"/>
      <c r="L2567" s="18"/>
      <c r="M2567" s="18"/>
    </row>
    <row r="2568" ht="15.0" customHeight="1">
      <c r="A2568" s="18"/>
      <c r="B2568" s="18"/>
      <c r="C2568" s="18"/>
      <c r="D2568" s="18"/>
      <c r="E2568" s="18"/>
      <c r="F2568" s="18"/>
      <c r="G2568" s="4"/>
      <c r="H2568" s="18"/>
      <c r="I2568" s="91"/>
      <c r="J2568" s="18"/>
      <c r="K2568" s="18"/>
      <c r="L2568" s="18"/>
      <c r="M2568" s="18"/>
    </row>
    <row r="2569" ht="15.0" customHeight="1">
      <c r="A2569" s="18"/>
      <c r="B2569" s="18"/>
      <c r="C2569" s="18"/>
      <c r="D2569" s="18"/>
      <c r="E2569" s="18"/>
      <c r="F2569" s="18"/>
      <c r="G2569" s="4"/>
      <c r="H2569" s="18"/>
      <c r="I2569" s="91"/>
      <c r="J2569" s="18"/>
      <c r="K2569" s="18"/>
      <c r="L2569" s="18"/>
      <c r="M2569" s="18"/>
    </row>
    <row r="2570" ht="15.0" customHeight="1">
      <c r="A2570" s="18"/>
      <c r="B2570" s="18"/>
      <c r="C2570" s="18"/>
      <c r="D2570" s="18"/>
      <c r="E2570" s="18"/>
      <c r="F2570" s="18"/>
      <c r="G2570" s="4"/>
      <c r="H2570" s="18"/>
      <c r="I2570" s="91"/>
      <c r="J2570" s="18"/>
      <c r="K2570" s="18"/>
      <c r="L2570" s="18"/>
      <c r="M2570" s="18"/>
    </row>
    <row r="2571" ht="15.0" customHeight="1">
      <c r="A2571" s="18"/>
      <c r="B2571" s="18"/>
      <c r="C2571" s="18"/>
      <c r="D2571" s="18"/>
      <c r="E2571" s="18"/>
      <c r="F2571" s="18"/>
      <c r="G2571" s="4"/>
      <c r="H2571" s="18"/>
      <c r="I2571" s="91"/>
      <c r="J2571" s="18"/>
      <c r="K2571" s="18"/>
      <c r="L2571" s="18"/>
      <c r="M2571" s="18"/>
    </row>
    <row r="2572" ht="15.0" customHeight="1">
      <c r="A2572" s="18"/>
      <c r="B2572" s="18"/>
      <c r="C2572" s="18"/>
      <c r="D2572" s="18"/>
      <c r="E2572" s="18"/>
      <c r="F2572" s="18"/>
      <c r="G2572" s="4"/>
      <c r="H2572" s="18"/>
      <c r="I2572" s="91"/>
      <c r="J2572" s="18"/>
      <c r="K2572" s="18"/>
      <c r="L2572" s="18"/>
      <c r="M2572" s="18"/>
    </row>
    <row r="2573" ht="15.0" customHeight="1">
      <c r="A2573" s="18"/>
      <c r="B2573" s="18"/>
      <c r="C2573" s="18"/>
      <c r="D2573" s="18"/>
      <c r="E2573" s="18"/>
      <c r="F2573" s="18"/>
      <c r="G2573" s="4"/>
      <c r="H2573" s="18"/>
      <c r="I2573" s="91"/>
      <c r="J2573" s="18"/>
      <c r="K2573" s="18"/>
      <c r="L2573" s="18"/>
      <c r="M2573" s="18"/>
    </row>
    <row r="2574" ht="15.0" customHeight="1">
      <c r="A2574" s="18"/>
      <c r="B2574" s="18"/>
      <c r="C2574" s="18"/>
      <c r="D2574" s="18"/>
      <c r="E2574" s="18"/>
      <c r="F2574" s="18"/>
      <c r="G2574" s="4"/>
      <c r="H2574" s="18"/>
      <c r="I2574" s="91"/>
      <c r="J2574" s="18"/>
      <c r="K2574" s="18"/>
      <c r="L2574" s="18"/>
      <c r="M2574" s="18"/>
    </row>
    <row r="2575" ht="15.0" customHeight="1">
      <c r="A2575" s="18"/>
      <c r="B2575" s="18"/>
      <c r="C2575" s="18"/>
      <c r="D2575" s="18"/>
      <c r="E2575" s="18"/>
      <c r="F2575" s="18"/>
      <c r="G2575" s="4"/>
      <c r="H2575" s="18"/>
      <c r="I2575" s="91"/>
      <c r="J2575" s="18"/>
      <c r="K2575" s="18"/>
      <c r="L2575" s="18"/>
      <c r="M2575" s="18"/>
    </row>
    <row r="2576" ht="15.0" customHeight="1">
      <c r="A2576" s="18"/>
      <c r="B2576" s="18"/>
      <c r="C2576" s="18"/>
      <c r="D2576" s="18"/>
      <c r="E2576" s="18"/>
      <c r="F2576" s="18"/>
      <c r="G2576" s="4"/>
      <c r="H2576" s="18"/>
      <c r="I2576" s="91"/>
      <c r="J2576" s="18"/>
      <c r="K2576" s="18"/>
      <c r="L2576" s="18"/>
      <c r="M2576" s="18"/>
    </row>
    <row r="2577" ht="15.0" customHeight="1">
      <c r="A2577" s="18"/>
      <c r="B2577" s="18"/>
      <c r="C2577" s="18"/>
      <c r="D2577" s="18"/>
      <c r="E2577" s="18"/>
      <c r="F2577" s="18"/>
      <c r="G2577" s="4"/>
      <c r="H2577" s="18"/>
      <c r="I2577" s="91"/>
      <c r="J2577" s="18"/>
      <c r="K2577" s="18"/>
      <c r="L2577" s="18"/>
      <c r="M2577" s="18"/>
    </row>
    <row r="2578" ht="15.0" customHeight="1">
      <c r="A2578" s="18"/>
      <c r="B2578" s="18"/>
      <c r="C2578" s="18"/>
      <c r="D2578" s="18"/>
      <c r="E2578" s="18"/>
      <c r="F2578" s="18"/>
      <c r="G2578" s="4"/>
      <c r="H2578" s="18"/>
      <c r="I2578" s="91"/>
      <c r="J2578" s="18"/>
      <c r="K2578" s="18"/>
      <c r="L2578" s="18"/>
      <c r="M2578" s="18"/>
    </row>
    <row r="2579" ht="15.0" customHeight="1">
      <c r="A2579" s="18"/>
      <c r="B2579" s="18"/>
      <c r="C2579" s="18"/>
      <c r="D2579" s="18"/>
      <c r="E2579" s="18"/>
      <c r="F2579" s="18"/>
      <c r="G2579" s="4"/>
      <c r="H2579" s="18"/>
      <c r="I2579" s="91"/>
      <c r="J2579" s="18"/>
      <c r="K2579" s="18"/>
      <c r="L2579" s="18"/>
      <c r="M2579" s="18"/>
    </row>
    <row r="2580" ht="15.0" customHeight="1">
      <c r="A2580" s="18"/>
      <c r="B2580" s="18"/>
      <c r="C2580" s="18"/>
      <c r="D2580" s="18"/>
      <c r="E2580" s="18"/>
      <c r="F2580" s="18"/>
      <c r="G2580" s="4"/>
      <c r="H2580" s="18"/>
      <c r="I2580" s="91"/>
      <c r="J2580" s="18"/>
      <c r="K2580" s="18"/>
      <c r="L2580" s="18"/>
      <c r="M2580" s="18"/>
    </row>
    <row r="2581" ht="15.0" customHeight="1">
      <c r="A2581" s="18"/>
      <c r="B2581" s="18"/>
      <c r="C2581" s="18"/>
      <c r="D2581" s="18"/>
      <c r="E2581" s="18"/>
      <c r="F2581" s="18"/>
      <c r="G2581" s="4"/>
      <c r="H2581" s="18"/>
      <c r="I2581" s="91"/>
      <c r="J2581" s="18"/>
      <c r="K2581" s="18"/>
      <c r="L2581" s="18"/>
      <c r="M2581" s="18"/>
    </row>
    <row r="2582" ht="15.0" customHeight="1">
      <c r="A2582" s="18"/>
      <c r="B2582" s="18"/>
      <c r="C2582" s="18"/>
      <c r="D2582" s="18"/>
      <c r="E2582" s="18"/>
      <c r="F2582" s="18"/>
      <c r="G2582" s="4"/>
      <c r="H2582" s="18"/>
      <c r="I2582" s="91"/>
      <c r="J2582" s="18"/>
      <c r="K2582" s="18"/>
      <c r="L2582" s="18"/>
      <c r="M2582" s="18"/>
    </row>
    <row r="2583" ht="15.0" customHeight="1">
      <c r="A2583" s="18"/>
      <c r="B2583" s="18"/>
      <c r="C2583" s="18"/>
      <c r="D2583" s="18"/>
      <c r="E2583" s="18"/>
      <c r="F2583" s="18"/>
      <c r="G2583" s="4"/>
      <c r="H2583" s="18"/>
      <c r="I2583" s="91"/>
      <c r="J2583" s="18"/>
      <c r="K2583" s="18"/>
      <c r="L2583" s="18"/>
      <c r="M2583" s="18"/>
    </row>
    <row r="2584" ht="15.0" customHeight="1">
      <c r="A2584" s="18"/>
      <c r="B2584" s="18"/>
      <c r="C2584" s="18"/>
      <c r="D2584" s="18"/>
      <c r="E2584" s="18"/>
      <c r="F2584" s="18"/>
      <c r="G2584" s="4"/>
      <c r="H2584" s="18"/>
      <c r="I2584" s="91"/>
      <c r="J2584" s="18"/>
      <c r="K2584" s="18"/>
      <c r="L2584" s="18"/>
      <c r="M2584" s="18"/>
    </row>
    <row r="2585" ht="15.0" customHeight="1">
      <c r="A2585" s="18"/>
      <c r="B2585" s="18"/>
      <c r="C2585" s="18"/>
      <c r="D2585" s="18"/>
      <c r="E2585" s="18"/>
      <c r="F2585" s="18"/>
      <c r="G2585" s="4"/>
      <c r="H2585" s="18"/>
      <c r="I2585" s="91"/>
      <c r="J2585" s="18"/>
      <c r="K2585" s="18"/>
      <c r="L2585" s="18"/>
      <c r="M2585" s="18"/>
    </row>
    <row r="2586" ht="15.0" customHeight="1">
      <c r="A2586" s="18"/>
      <c r="B2586" s="18"/>
      <c r="C2586" s="18"/>
      <c r="D2586" s="18"/>
      <c r="E2586" s="18"/>
      <c r="F2586" s="18"/>
      <c r="G2586" s="4"/>
      <c r="H2586" s="18"/>
      <c r="I2586" s="91"/>
      <c r="J2586" s="18"/>
      <c r="K2586" s="18"/>
      <c r="L2586" s="18"/>
      <c r="M2586" s="18"/>
    </row>
    <row r="2587" ht="15.0" customHeight="1">
      <c r="A2587" s="18"/>
      <c r="B2587" s="18"/>
      <c r="C2587" s="18"/>
      <c r="D2587" s="18"/>
      <c r="E2587" s="18"/>
      <c r="F2587" s="18"/>
      <c r="G2587" s="4"/>
      <c r="H2587" s="18"/>
      <c r="I2587" s="91"/>
      <c r="J2587" s="18"/>
      <c r="K2587" s="18"/>
      <c r="L2587" s="18"/>
      <c r="M2587" s="18"/>
    </row>
    <row r="2588" ht="15.0" customHeight="1">
      <c r="A2588" s="18"/>
      <c r="B2588" s="18"/>
      <c r="C2588" s="18"/>
      <c r="D2588" s="18"/>
      <c r="E2588" s="18"/>
      <c r="F2588" s="18"/>
      <c r="G2588" s="4"/>
      <c r="H2588" s="18"/>
      <c r="I2588" s="91"/>
      <c r="J2588" s="18"/>
      <c r="K2588" s="18"/>
      <c r="L2588" s="18"/>
      <c r="M2588" s="18"/>
    </row>
    <row r="2589" ht="15.0" customHeight="1">
      <c r="A2589" s="18"/>
      <c r="B2589" s="18"/>
      <c r="C2589" s="18"/>
      <c r="D2589" s="18"/>
      <c r="E2589" s="18"/>
      <c r="F2589" s="18"/>
      <c r="G2589" s="4"/>
      <c r="H2589" s="18"/>
      <c r="I2589" s="91"/>
      <c r="J2589" s="18"/>
      <c r="K2589" s="18"/>
      <c r="L2589" s="18"/>
      <c r="M2589" s="18"/>
    </row>
    <row r="2590" ht="15.0" customHeight="1">
      <c r="A2590" s="18"/>
      <c r="B2590" s="18"/>
      <c r="C2590" s="18"/>
      <c r="D2590" s="18"/>
      <c r="E2590" s="18"/>
      <c r="F2590" s="18"/>
      <c r="G2590" s="4"/>
      <c r="H2590" s="18"/>
      <c r="I2590" s="91"/>
      <c r="J2590" s="18"/>
      <c r="K2590" s="18"/>
      <c r="L2590" s="18"/>
      <c r="M2590" s="18"/>
    </row>
    <row r="2591" ht="15.0" customHeight="1">
      <c r="A2591" s="18"/>
      <c r="B2591" s="18"/>
      <c r="C2591" s="18"/>
      <c r="D2591" s="18"/>
      <c r="E2591" s="18"/>
      <c r="F2591" s="18"/>
      <c r="G2591" s="4"/>
      <c r="H2591" s="18"/>
      <c r="I2591" s="91"/>
      <c r="J2591" s="18"/>
      <c r="K2591" s="18"/>
      <c r="L2591" s="18"/>
      <c r="M2591" s="18"/>
    </row>
    <row r="2592" ht="15.0" customHeight="1">
      <c r="A2592" s="18"/>
      <c r="B2592" s="18"/>
      <c r="C2592" s="18"/>
      <c r="D2592" s="18"/>
      <c r="E2592" s="18"/>
      <c r="F2592" s="18"/>
      <c r="G2592" s="4"/>
      <c r="H2592" s="18"/>
      <c r="I2592" s="91"/>
      <c r="J2592" s="18"/>
      <c r="K2592" s="18"/>
      <c r="L2592" s="18"/>
      <c r="M2592" s="18"/>
    </row>
    <row r="2593" ht="15.0" customHeight="1">
      <c r="A2593" s="18"/>
      <c r="B2593" s="18"/>
      <c r="C2593" s="18"/>
      <c r="D2593" s="18"/>
      <c r="E2593" s="18"/>
      <c r="F2593" s="18"/>
      <c r="G2593" s="4"/>
      <c r="H2593" s="18"/>
      <c r="I2593" s="91"/>
      <c r="J2593" s="18"/>
      <c r="K2593" s="18"/>
      <c r="L2593" s="18"/>
      <c r="M2593" s="18"/>
    </row>
    <row r="2594" ht="15.0" customHeight="1">
      <c r="A2594" s="18"/>
      <c r="B2594" s="18"/>
      <c r="C2594" s="18"/>
      <c r="D2594" s="18"/>
      <c r="E2594" s="18"/>
      <c r="F2594" s="18"/>
      <c r="G2594" s="4"/>
      <c r="H2594" s="18"/>
      <c r="I2594" s="91"/>
      <c r="J2594" s="18"/>
      <c r="K2594" s="18"/>
      <c r="L2594" s="18"/>
      <c r="M2594" s="18"/>
    </row>
    <row r="2595" ht="15.0" customHeight="1">
      <c r="A2595" s="18"/>
      <c r="B2595" s="18"/>
      <c r="C2595" s="18"/>
      <c r="D2595" s="18"/>
      <c r="E2595" s="18"/>
      <c r="F2595" s="18"/>
      <c r="G2595" s="4"/>
      <c r="H2595" s="18"/>
      <c r="I2595" s="91"/>
      <c r="J2595" s="18"/>
      <c r="K2595" s="18"/>
      <c r="L2595" s="18"/>
      <c r="M2595" s="18"/>
    </row>
    <row r="2596" ht="15.0" customHeight="1">
      <c r="A2596" s="18"/>
      <c r="B2596" s="18"/>
      <c r="C2596" s="18"/>
      <c r="D2596" s="18"/>
      <c r="E2596" s="18"/>
      <c r="F2596" s="18"/>
      <c r="G2596" s="4"/>
      <c r="H2596" s="18"/>
      <c r="I2596" s="91"/>
      <c r="J2596" s="18"/>
      <c r="K2596" s="18"/>
      <c r="L2596" s="18"/>
      <c r="M2596" s="18"/>
    </row>
    <row r="2597" ht="15.0" customHeight="1">
      <c r="A2597" s="18"/>
      <c r="B2597" s="18"/>
      <c r="C2597" s="18"/>
      <c r="D2597" s="18"/>
      <c r="E2597" s="18"/>
      <c r="F2597" s="18"/>
      <c r="G2597" s="4"/>
      <c r="H2597" s="18"/>
      <c r="I2597" s="91"/>
      <c r="J2597" s="18"/>
      <c r="K2597" s="18"/>
      <c r="L2597" s="18"/>
      <c r="M2597" s="18"/>
    </row>
    <row r="2598" ht="15.0" customHeight="1">
      <c r="A2598" s="18"/>
      <c r="B2598" s="18"/>
      <c r="C2598" s="18"/>
      <c r="D2598" s="18"/>
      <c r="E2598" s="18"/>
      <c r="F2598" s="18"/>
      <c r="G2598" s="4"/>
      <c r="H2598" s="18"/>
      <c r="I2598" s="91"/>
      <c r="J2598" s="18"/>
      <c r="K2598" s="18"/>
      <c r="L2598" s="18"/>
      <c r="M2598" s="18"/>
    </row>
    <row r="2599" ht="15.0" customHeight="1">
      <c r="A2599" s="18"/>
      <c r="B2599" s="18"/>
      <c r="C2599" s="18"/>
      <c r="D2599" s="18"/>
      <c r="E2599" s="18"/>
      <c r="F2599" s="18"/>
      <c r="G2599" s="4"/>
      <c r="H2599" s="18"/>
      <c r="I2599" s="91"/>
      <c r="J2599" s="18"/>
      <c r="K2599" s="18"/>
      <c r="L2599" s="18"/>
      <c r="M2599" s="18"/>
    </row>
    <row r="2600" ht="15.0" customHeight="1">
      <c r="A2600" s="18"/>
      <c r="B2600" s="18"/>
      <c r="C2600" s="18"/>
      <c r="D2600" s="18"/>
      <c r="E2600" s="18"/>
      <c r="F2600" s="18"/>
      <c r="G2600" s="4"/>
      <c r="H2600" s="18"/>
      <c r="I2600" s="91"/>
      <c r="J2600" s="18"/>
      <c r="K2600" s="18"/>
      <c r="L2600" s="18"/>
      <c r="M2600" s="18"/>
    </row>
    <row r="2601" ht="15.0" customHeight="1">
      <c r="A2601" s="18"/>
      <c r="B2601" s="18"/>
      <c r="C2601" s="18"/>
      <c r="D2601" s="18"/>
      <c r="E2601" s="18"/>
      <c r="F2601" s="18"/>
      <c r="G2601" s="4"/>
      <c r="H2601" s="18"/>
      <c r="I2601" s="91"/>
      <c r="J2601" s="18"/>
      <c r="K2601" s="18"/>
      <c r="L2601" s="18"/>
      <c r="M2601" s="18"/>
    </row>
    <row r="2602" ht="15.0" customHeight="1">
      <c r="A2602" s="18"/>
      <c r="B2602" s="18"/>
      <c r="C2602" s="18"/>
      <c r="D2602" s="18"/>
      <c r="E2602" s="18"/>
      <c r="F2602" s="18"/>
      <c r="G2602" s="4"/>
      <c r="H2602" s="18"/>
      <c r="I2602" s="91"/>
      <c r="J2602" s="18"/>
      <c r="K2602" s="18"/>
      <c r="L2602" s="18"/>
      <c r="M2602" s="18"/>
    </row>
    <row r="2603" ht="15.0" customHeight="1">
      <c r="A2603" s="18"/>
      <c r="B2603" s="18"/>
      <c r="C2603" s="18"/>
      <c r="D2603" s="18"/>
      <c r="E2603" s="18"/>
      <c r="F2603" s="18"/>
      <c r="G2603" s="4"/>
      <c r="H2603" s="18"/>
      <c r="I2603" s="91"/>
      <c r="J2603" s="18"/>
      <c r="K2603" s="18"/>
      <c r="L2603" s="18"/>
      <c r="M2603" s="18"/>
    </row>
    <row r="2604" ht="15.0" customHeight="1">
      <c r="A2604" s="18"/>
      <c r="B2604" s="18"/>
      <c r="C2604" s="18"/>
      <c r="D2604" s="18"/>
      <c r="E2604" s="18"/>
      <c r="F2604" s="18"/>
      <c r="G2604" s="4"/>
      <c r="H2604" s="18"/>
      <c r="I2604" s="91"/>
      <c r="J2604" s="18"/>
      <c r="K2604" s="18"/>
      <c r="L2604" s="18"/>
      <c r="M2604" s="18"/>
    </row>
    <row r="2605" ht="15.0" customHeight="1">
      <c r="A2605" s="18"/>
      <c r="B2605" s="18"/>
      <c r="C2605" s="18"/>
      <c r="D2605" s="18"/>
      <c r="E2605" s="18"/>
      <c r="F2605" s="18"/>
      <c r="G2605" s="4"/>
      <c r="H2605" s="18"/>
      <c r="I2605" s="91"/>
      <c r="J2605" s="18"/>
      <c r="K2605" s="18"/>
      <c r="L2605" s="18"/>
      <c r="M2605" s="18"/>
    </row>
    <row r="2606" ht="15.0" customHeight="1">
      <c r="A2606" s="18"/>
      <c r="B2606" s="18"/>
      <c r="C2606" s="18"/>
      <c r="D2606" s="18"/>
      <c r="E2606" s="18"/>
      <c r="F2606" s="18"/>
      <c r="G2606" s="4"/>
      <c r="H2606" s="18"/>
      <c r="I2606" s="91"/>
      <c r="J2606" s="18"/>
      <c r="K2606" s="18"/>
      <c r="L2606" s="18"/>
      <c r="M2606" s="18"/>
    </row>
    <row r="2607" ht="15.0" customHeight="1">
      <c r="A2607" s="18"/>
      <c r="B2607" s="18"/>
      <c r="C2607" s="18"/>
      <c r="D2607" s="18"/>
      <c r="E2607" s="18"/>
      <c r="F2607" s="18"/>
      <c r="G2607" s="4"/>
      <c r="H2607" s="18"/>
      <c r="I2607" s="91"/>
      <c r="J2607" s="18"/>
      <c r="K2607" s="18"/>
      <c r="L2607" s="18"/>
      <c r="M2607" s="18"/>
    </row>
    <row r="2608" ht="15.0" customHeight="1">
      <c r="A2608" s="18"/>
      <c r="B2608" s="18"/>
      <c r="C2608" s="18"/>
      <c r="D2608" s="18"/>
      <c r="E2608" s="18"/>
      <c r="F2608" s="18"/>
      <c r="G2608" s="4"/>
      <c r="H2608" s="18"/>
      <c r="I2608" s="91"/>
      <c r="J2608" s="18"/>
      <c r="K2608" s="18"/>
      <c r="L2608" s="18"/>
      <c r="M2608" s="18"/>
    </row>
    <row r="2609" ht="15.0" customHeight="1">
      <c r="A2609" s="18"/>
      <c r="B2609" s="18"/>
      <c r="C2609" s="18"/>
      <c r="D2609" s="18"/>
      <c r="E2609" s="18"/>
      <c r="F2609" s="18"/>
      <c r="G2609" s="4"/>
      <c r="H2609" s="18"/>
      <c r="I2609" s="91"/>
      <c r="J2609" s="18"/>
      <c r="K2609" s="18"/>
      <c r="L2609" s="18"/>
      <c r="M2609" s="18"/>
    </row>
    <row r="2610" ht="15.0" customHeight="1">
      <c r="A2610" s="18"/>
      <c r="B2610" s="18"/>
      <c r="C2610" s="18"/>
      <c r="D2610" s="18"/>
      <c r="E2610" s="18"/>
      <c r="F2610" s="18"/>
      <c r="G2610" s="4"/>
      <c r="H2610" s="18"/>
      <c r="I2610" s="91"/>
      <c r="J2610" s="18"/>
      <c r="K2610" s="18"/>
      <c r="L2610" s="18"/>
      <c r="M2610" s="18"/>
    </row>
    <row r="2611" ht="15.0" customHeight="1">
      <c r="A2611" s="18"/>
      <c r="B2611" s="18"/>
      <c r="C2611" s="18"/>
      <c r="D2611" s="18"/>
      <c r="E2611" s="18"/>
      <c r="F2611" s="18"/>
      <c r="G2611" s="4"/>
      <c r="H2611" s="18"/>
      <c r="I2611" s="91"/>
      <c r="J2611" s="18"/>
      <c r="K2611" s="18"/>
      <c r="L2611" s="18"/>
      <c r="M2611" s="18"/>
    </row>
    <row r="2612" ht="15.0" customHeight="1">
      <c r="A2612" s="18"/>
      <c r="B2612" s="18"/>
      <c r="C2612" s="18"/>
      <c r="D2612" s="18"/>
      <c r="E2612" s="18"/>
      <c r="F2612" s="18"/>
      <c r="G2612" s="4"/>
      <c r="H2612" s="18"/>
      <c r="I2612" s="91"/>
      <c r="J2612" s="18"/>
      <c r="K2612" s="18"/>
      <c r="L2612" s="18"/>
      <c r="M2612" s="18"/>
    </row>
    <row r="2613" ht="15.0" customHeight="1">
      <c r="A2613" s="18"/>
      <c r="B2613" s="18"/>
      <c r="C2613" s="18"/>
      <c r="D2613" s="18"/>
      <c r="E2613" s="18"/>
      <c r="F2613" s="18"/>
      <c r="G2613" s="4"/>
      <c r="H2613" s="18"/>
      <c r="I2613" s="91"/>
      <c r="J2613" s="18"/>
      <c r="K2613" s="18"/>
      <c r="L2613" s="18"/>
      <c r="M2613" s="18"/>
    </row>
    <row r="2614" ht="15.0" customHeight="1">
      <c r="A2614" s="18"/>
      <c r="B2614" s="18"/>
      <c r="C2614" s="18"/>
      <c r="D2614" s="18"/>
      <c r="E2614" s="18"/>
      <c r="F2614" s="18"/>
      <c r="G2614" s="4"/>
      <c r="H2614" s="18"/>
      <c r="I2614" s="91"/>
      <c r="J2614" s="18"/>
      <c r="K2614" s="18"/>
      <c r="L2614" s="18"/>
      <c r="M2614" s="18"/>
    </row>
    <row r="2615" ht="15.0" customHeight="1">
      <c r="A2615" s="18"/>
      <c r="B2615" s="18"/>
      <c r="C2615" s="18"/>
      <c r="D2615" s="18"/>
      <c r="E2615" s="18"/>
      <c r="F2615" s="18"/>
      <c r="G2615" s="4"/>
      <c r="H2615" s="18"/>
      <c r="I2615" s="91"/>
      <c r="J2615" s="18"/>
      <c r="K2615" s="18"/>
      <c r="L2615" s="18"/>
      <c r="M2615" s="18"/>
    </row>
    <row r="2616" ht="15.0" customHeight="1">
      <c r="A2616" s="18"/>
      <c r="B2616" s="18"/>
      <c r="C2616" s="18"/>
      <c r="D2616" s="18"/>
      <c r="E2616" s="18"/>
      <c r="F2616" s="18"/>
      <c r="G2616" s="4"/>
      <c r="H2616" s="18"/>
      <c r="I2616" s="91"/>
      <c r="J2616" s="18"/>
      <c r="K2616" s="18"/>
      <c r="L2616" s="18"/>
      <c r="M2616" s="18"/>
    </row>
    <row r="2617" ht="15.0" customHeight="1">
      <c r="A2617" s="18"/>
      <c r="B2617" s="18"/>
      <c r="C2617" s="18"/>
      <c r="D2617" s="18"/>
      <c r="E2617" s="18"/>
      <c r="F2617" s="18"/>
      <c r="G2617" s="4"/>
      <c r="H2617" s="18"/>
      <c r="I2617" s="91"/>
      <c r="J2617" s="18"/>
      <c r="K2617" s="18"/>
      <c r="L2617" s="18"/>
      <c r="M2617" s="18"/>
    </row>
    <row r="2618" ht="15.0" customHeight="1">
      <c r="A2618" s="18"/>
      <c r="B2618" s="18"/>
      <c r="C2618" s="18"/>
      <c r="D2618" s="18"/>
      <c r="E2618" s="18"/>
      <c r="F2618" s="18"/>
      <c r="G2618" s="4"/>
      <c r="H2618" s="18"/>
      <c r="I2618" s="91"/>
      <c r="J2618" s="18"/>
      <c r="K2618" s="18"/>
      <c r="L2618" s="18"/>
      <c r="M2618" s="18"/>
    </row>
    <row r="2619" ht="15.0" customHeight="1">
      <c r="A2619" s="18"/>
      <c r="B2619" s="18"/>
      <c r="C2619" s="18"/>
      <c r="D2619" s="18"/>
      <c r="E2619" s="18"/>
      <c r="F2619" s="18"/>
      <c r="G2619" s="4"/>
      <c r="H2619" s="18"/>
      <c r="I2619" s="91"/>
      <c r="J2619" s="18"/>
      <c r="K2619" s="18"/>
      <c r="L2619" s="18"/>
      <c r="M2619" s="18"/>
    </row>
    <row r="2620" ht="15.0" customHeight="1">
      <c r="A2620" s="18"/>
      <c r="B2620" s="18"/>
      <c r="C2620" s="18"/>
      <c r="D2620" s="18"/>
      <c r="E2620" s="18"/>
      <c r="F2620" s="18"/>
      <c r="G2620" s="4"/>
      <c r="H2620" s="18"/>
      <c r="I2620" s="91"/>
      <c r="J2620" s="18"/>
      <c r="K2620" s="18"/>
      <c r="L2620" s="18"/>
      <c r="M2620" s="18"/>
    </row>
    <row r="2621" ht="15.0" customHeight="1">
      <c r="A2621" s="18"/>
      <c r="B2621" s="18"/>
      <c r="C2621" s="18"/>
      <c r="D2621" s="18"/>
      <c r="E2621" s="18"/>
      <c r="F2621" s="18"/>
      <c r="G2621" s="4"/>
      <c r="H2621" s="18"/>
      <c r="I2621" s="91"/>
      <c r="J2621" s="18"/>
      <c r="K2621" s="18"/>
      <c r="L2621" s="18"/>
      <c r="M2621" s="18"/>
    </row>
    <row r="2622" ht="15.0" customHeight="1">
      <c r="A2622" s="18"/>
      <c r="B2622" s="18"/>
      <c r="C2622" s="18"/>
      <c r="D2622" s="18"/>
      <c r="E2622" s="18"/>
      <c r="F2622" s="18"/>
      <c r="G2622" s="4"/>
      <c r="H2622" s="18"/>
      <c r="I2622" s="91"/>
      <c r="J2622" s="18"/>
      <c r="K2622" s="18"/>
      <c r="L2622" s="18"/>
      <c r="M2622" s="18"/>
    </row>
    <row r="2623" ht="15.0" customHeight="1">
      <c r="A2623" s="18"/>
      <c r="B2623" s="18"/>
      <c r="C2623" s="18"/>
      <c r="D2623" s="18"/>
      <c r="E2623" s="18"/>
      <c r="F2623" s="18"/>
      <c r="G2623" s="4"/>
      <c r="H2623" s="18"/>
      <c r="I2623" s="91"/>
      <c r="J2623" s="18"/>
      <c r="K2623" s="18"/>
      <c r="L2623" s="18"/>
      <c r="M2623" s="18"/>
    </row>
    <row r="2624" ht="15.0" customHeight="1">
      <c r="A2624" s="18"/>
      <c r="B2624" s="18"/>
      <c r="C2624" s="18"/>
      <c r="D2624" s="18"/>
      <c r="E2624" s="18"/>
      <c r="F2624" s="18"/>
      <c r="G2624" s="4"/>
      <c r="H2624" s="18"/>
      <c r="I2624" s="91"/>
      <c r="J2624" s="18"/>
      <c r="K2624" s="18"/>
      <c r="L2624" s="18"/>
      <c r="M2624" s="18"/>
    </row>
    <row r="2625" ht="15.0" customHeight="1">
      <c r="A2625" s="18"/>
      <c r="B2625" s="18"/>
      <c r="C2625" s="18"/>
      <c r="D2625" s="18"/>
      <c r="E2625" s="18"/>
      <c r="F2625" s="18"/>
      <c r="G2625" s="4"/>
      <c r="H2625" s="18"/>
      <c r="I2625" s="91"/>
      <c r="J2625" s="18"/>
      <c r="K2625" s="18"/>
      <c r="L2625" s="18"/>
      <c r="M2625" s="18"/>
    </row>
    <row r="2626" ht="15.0" customHeight="1">
      <c r="A2626" s="18"/>
      <c r="B2626" s="18"/>
      <c r="C2626" s="18"/>
      <c r="D2626" s="18"/>
      <c r="E2626" s="18"/>
      <c r="F2626" s="18"/>
      <c r="G2626" s="4"/>
      <c r="H2626" s="18"/>
      <c r="I2626" s="91"/>
      <c r="J2626" s="18"/>
      <c r="K2626" s="18"/>
      <c r="L2626" s="18"/>
      <c r="M2626" s="18"/>
    </row>
    <row r="2627" ht="15.0" customHeight="1">
      <c r="A2627" s="18"/>
      <c r="B2627" s="18"/>
      <c r="C2627" s="18"/>
      <c r="D2627" s="18"/>
      <c r="E2627" s="18"/>
      <c r="F2627" s="18"/>
      <c r="G2627" s="4"/>
      <c r="H2627" s="18"/>
      <c r="I2627" s="91"/>
      <c r="J2627" s="18"/>
      <c r="K2627" s="18"/>
      <c r="L2627" s="18"/>
      <c r="M2627" s="18"/>
    </row>
    <row r="2628" ht="15.0" customHeight="1">
      <c r="A2628" s="18"/>
      <c r="B2628" s="18"/>
      <c r="C2628" s="18"/>
      <c r="D2628" s="18"/>
      <c r="E2628" s="18"/>
      <c r="F2628" s="18"/>
      <c r="G2628" s="4"/>
      <c r="H2628" s="18"/>
      <c r="I2628" s="91"/>
      <c r="J2628" s="18"/>
      <c r="K2628" s="18"/>
      <c r="L2628" s="18"/>
      <c r="M2628" s="18"/>
    </row>
    <row r="2629" ht="15.0" customHeight="1">
      <c r="A2629" s="18"/>
      <c r="B2629" s="18"/>
      <c r="C2629" s="18"/>
      <c r="D2629" s="18"/>
      <c r="E2629" s="18"/>
      <c r="F2629" s="18"/>
      <c r="G2629" s="4"/>
      <c r="H2629" s="18"/>
      <c r="I2629" s="91"/>
      <c r="J2629" s="18"/>
      <c r="K2629" s="18"/>
      <c r="L2629" s="18"/>
      <c r="M2629" s="18"/>
    </row>
    <row r="2630" ht="15.0" customHeight="1">
      <c r="A2630" s="18"/>
      <c r="B2630" s="18"/>
      <c r="C2630" s="18"/>
      <c r="D2630" s="18"/>
      <c r="E2630" s="18"/>
      <c r="F2630" s="18"/>
      <c r="G2630" s="4"/>
      <c r="H2630" s="18"/>
      <c r="I2630" s="91"/>
      <c r="J2630" s="18"/>
      <c r="K2630" s="18"/>
      <c r="L2630" s="18"/>
      <c r="M2630" s="18"/>
    </row>
    <row r="2631" ht="15.0" customHeight="1">
      <c r="A2631" s="18"/>
      <c r="B2631" s="18"/>
      <c r="C2631" s="18"/>
      <c r="D2631" s="18"/>
      <c r="E2631" s="18"/>
      <c r="F2631" s="18"/>
      <c r="G2631" s="4"/>
      <c r="H2631" s="18"/>
      <c r="I2631" s="91"/>
      <c r="J2631" s="18"/>
      <c r="K2631" s="18"/>
      <c r="L2631" s="18"/>
      <c r="M2631" s="18"/>
    </row>
    <row r="2632" ht="15.0" customHeight="1">
      <c r="A2632" s="18"/>
      <c r="B2632" s="18"/>
      <c r="C2632" s="18"/>
      <c r="D2632" s="18"/>
      <c r="E2632" s="18"/>
      <c r="F2632" s="18"/>
      <c r="G2632" s="4"/>
      <c r="H2632" s="18"/>
      <c r="I2632" s="91"/>
      <c r="J2632" s="18"/>
      <c r="K2632" s="18"/>
      <c r="L2632" s="18"/>
      <c r="M2632" s="18"/>
    </row>
    <row r="2633" ht="15.0" customHeight="1">
      <c r="A2633" s="18"/>
      <c r="B2633" s="18"/>
      <c r="C2633" s="18"/>
      <c r="D2633" s="18"/>
      <c r="E2633" s="18"/>
      <c r="F2633" s="18"/>
      <c r="G2633" s="4"/>
      <c r="H2633" s="18"/>
      <c r="I2633" s="91"/>
      <c r="J2633" s="18"/>
      <c r="K2633" s="18"/>
      <c r="L2633" s="18"/>
      <c r="M2633" s="18"/>
    </row>
    <row r="2634" ht="15.0" customHeight="1">
      <c r="A2634" s="18"/>
      <c r="B2634" s="18"/>
      <c r="C2634" s="18"/>
      <c r="D2634" s="18"/>
      <c r="E2634" s="18"/>
      <c r="F2634" s="18"/>
      <c r="G2634" s="4"/>
      <c r="H2634" s="18"/>
      <c r="I2634" s="91"/>
      <c r="J2634" s="18"/>
      <c r="K2634" s="18"/>
      <c r="L2634" s="18"/>
      <c r="M2634" s="18"/>
    </row>
    <row r="2635" ht="15.0" customHeight="1">
      <c r="A2635" s="18"/>
      <c r="B2635" s="18"/>
      <c r="C2635" s="18"/>
      <c r="D2635" s="18"/>
      <c r="E2635" s="18"/>
      <c r="F2635" s="18"/>
      <c r="G2635" s="4"/>
      <c r="H2635" s="18"/>
      <c r="I2635" s="91"/>
      <c r="J2635" s="18"/>
      <c r="K2635" s="18"/>
      <c r="L2635" s="18"/>
      <c r="M2635" s="18"/>
    </row>
    <row r="2636" ht="15.0" customHeight="1">
      <c r="A2636" s="18"/>
      <c r="B2636" s="18"/>
      <c r="C2636" s="18"/>
      <c r="D2636" s="18"/>
      <c r="E2636" s="18"/>
      <c r="F2636" s="18"/>
      <c r="G2636" s="4"/>
      <c r="H2636" s="18"/>
      <c r="I2636" s="91"/>
      <c r="J2636" s="18"/>
      <c r="K2636" s="18"/>
      <c r="L2636" s="18"/>
      <c r="M2636" s="18"/>
    </row>
    <row r="2637" ht="15.0" customHeight="1">
      <c r="A2637" s="18"/>
      <c r="B2637" s="18"/>
      <c r="C2637" s="18"/>
      <c r="D2637" s="18"/>
      <c r="E2637" s="18"/>
      <c r="F2637" s="18"/>
      <c r="G2637" s="4"/>
      <c r="H2637" s="18"/>
      <c r="I2637" s="91"/>
      <c r="J2637" s="18"/>
      <c r="K2637" s="18"/>
      <c r="L2637" s="18"/>
      <c r="M2637" s="18"/>
    </row>
    <row r="2638" ht="15.0" customHeight="1">
      <c r="A2638" s="18"/>
      <c r="B2638" s="18"/>
      <c r="C2638" s="18"/>
      <c r="D2638" s="18"/>
      <c r="E2638" s="18"/>
      <c r="F2638" s="18"/>
      <c r="G2638" s="4"/>
      <c r="H2638" s="18"/>
      <c r="I2638" s="91"/>
      <c r="J2638" s="18"/>
      <c r="K2638" s="18"/>
      <c r="L2638" s="18"/>
      <c r="M2638" s="18"/>
    </row>
    <row r="2639" ht="15.0" customHeight="1">
      <c r="A2639" s="18"/>
      <c r="B2639" s="18"/>
      <c r="C2639" s="18"/>
      <c r="D2639" s="18"/>
      <c r="E2639" s="18"/>
      <c r="F2639" s="18"/>
      <c r="G2639" s="4"/>
      <c r="H2639" s="18"/>
      <c r="I2639" s="91"/>
      <c r="J2639" s="18"/>
      <c r="K2639" s="18"/>
      <c r="L2639" s="18"/>
      <c r="M2639" s="18"/>
    </row>
    <row r="2640" ht="15.0" customHeight="1">
      <c r="A2640" s="18"/>
      <c r="B2640" s="18"/>
      <c r="C2640" s="18"/>
      <c r="D2640" s="18"/>
      <c r="E2640" s="18"/>
      <c r="F2640" s="18"/>
      <c r="G2640" s="4"/>
      <c r="H2640" s="18"/>
      <c r="I2640" s="91"/>
      <c r="J2640" s="18"/>
      <c r="K2640" s="18"/>
      <c r="L2640" s="18"/>
      <c r="M2640" s="18"/>
    </row>
    <row r="2641" ht="15.0" customHeight="1">
      <c r="A2641" s="18"/>
      <c r="B2641" s="18"/>
      <c r="C2641" s="18"/>
      <c r="D2641" s="18"/>
      <c r="E2641" s="18"/>
      <c r="F2641" s="18"/>
      <c r="G2641" s="4"/>
      <c r="H2641" s="18"/>
      <c r="I2641" s="91"/>
      <c r="J2641" s="18"/>
      <c r="K2641" s="18"/>
      <c r="L2641" s="18"/>
      <c r="M2641" s="18"/>
    </row>
    <row r="2642" ht="15.0" customHeight="1">
      <c r="A2642" s="18"/>
      <c r="B2642" s="18"/>
      <c r="C2642" s="18"/>
      <c r="D2642" s="18"/>
      <c r="E2642" s="18"/>
      <c r="F2642" s="18"/>
      <c r="G2642" s="4"/>
      <c r="H2642" s="18"/>
      <c r="I2642" s="91"/>
      <c r="J2642" s="18"/>
      <c r="K2642" s="18"/>
      <c r="L2642" s="18"/>
      <c r="M2642" s="18"/>
    </row>
    <row r="2643" ht="15.0" customHeight="1">
      <c r="A2643" s="18"/>
      <c r="B2643" s="18"/>
      <c r="C2643" s="18"/>
      <c r="D2643" s="18"/>
      <c r="E2643" s="18"/>
      <c r="F2643" s="18"/>
      <c r="G2643" s="4"/>
      <c r="H2643" s="18"/>
      <c r="I2643" s="91"/>
      <c r="J2643" s="18"/>
      <c r="K2643" s="18"/>
      <c r="L2643" s="18"/>
      <c r="M2643" s="18"/>
    </row>
    <row r="2644" ht="15.0" customHeight="1">
      <c r="A2644" s="18"/>
      <c r="B2644" s="18"/>
      <c r="C2644" s="18"/>
      <c r="D2644" s="18"/>
      <c r="E2644" s="18"/>
      <c r="F2644" s="18"/>
      <c r="G2644" s="4"/>
      <c r="H2644" s="18"/>
      <c r="I2644" s="91"/>
      <c r="J2644" s="18"/>
      <c r="K2644" s="18"/>
      <c r="L2644" s="18"/>
      <c r="M2644" s="18"/>
    </row>
    <row r="2645" ht="15.0" customHeight="1">
      <c r="A2645" s="18"/>
      <c r="B2645" s="18"/>
      <c r="C2645" s="18"/>
      <c r="D2645" s="18"/>
      <c r="E2645" s="18"/>
      <c r="F2645" s="18"/>
      <c r="G2645" s="4"/>
      <c r="H2645" s="18"/>
      <c r="I2645" s="91"/>
      <c r="J2645" s="18"/>
      <c r="K2645" s="18"/>
      <c r="L2645" s="18"/>
      <c r="M2645" s="18"/>
    </row>
    <row r="2646" ht="15.0" customHeight="1">
      <c r="A2646" s="18"/>
      <c r="B2646" s="18"/>
      <c r="C2646" s="18"/>
      <c r="D2646" s="18"/>
      <c r="E2646" s="18"/>
      <c r="F2646" s="18"/>
      <c r="G2646" s="4"/>
      <c r="H2646" s="18"/>
      <c r="I2646" s="91"/>
      <c r="J2646" s="18"/>
      <c r="K2646" s="18"/>
      <c r="L2646" s="18"/>
      <c r="M2646" s="18"/>
    </row>
    <row r="2647" ht="15.0" customHeight="1">
      <c r="A2647" s="18"/>
      <c r="B2647" s="18"/>
      <c r="C2647" s="18"/>
      <c r="D2647" s="18"/>
      <c r="E2647" s="18"/>
      <c r="F2647" s="18"/>
      <c r="G2647" s="4"/>
      <c r="H2647" s="18"/>
      <c r="I2647" s="91"/>
      <c r="J2647" s="18"/>
      <c r="K2647" s="18"/>
      <c r="L2647" s="18"/>
      <c r="M2647" s="18"/>
    </row>
    <row r="2648" ht="15.0" customHeight="1">
      <c r="A2648" s="18"/>
      <c r="B2648" s="18"/>
      <c r="C2648" s="18"/>
      <c r="D2648" s="18"/>
      <c r="E2648" s="18"/>
      <c r="F2648" s="18"/>
      <c r="G2648" s="4"/>
      <c r="H2648" s="18"/>
      <c r="I2648" s="91"/>
      <c r="J2648" s="18"/>
      <c r="K2648" s="18"/>
      <c r="L2648" s="18"/>
      <c r="M2648" s="18"/>
    </row>
    <row r="2649" ht="15.0" customHeight="1">
      <c r="A2649" s="18"/>
      <c r="B2649" s="18"/>
      <c r="C2649" s="18"/>
      <c r="D2649" s="18"/>
      <c r="E2649" s="18"/>
      <c r="F2649" s="18"/>
      <c r="G2649" s="4"/>
      <c r="H2649" s="18"/>
      <c r="I2649" s="91"/>
      <c r="J2649" s="18"/>
      <c r="K2649" s="18"/>
      <c r="L2649" s="18"/>
      <c r="M2649" s="18"/>
    </row>
    <row r="2650" ht="15.0" customHeight="1">
      <c r="A2650" s="18"/>
      <c r="B2650" s="18"/>
      <c r="C2650" s="18"/>
      <c r="D2650" s="18"/>
      <c r="E2650" s="18"/>
      <c r="F2650" s="18"/>
      <c r="G2650" s="4"/>
      <c r="H2650" s="18"/>
      <c r="I2650" s="91"/>
      <c r="J2650" s="18"/>
      <c r="K2650" s="18"/>
      <c r="L2650" s="18"/>
      <c r="M2650" s="18"/>
    </row>
    <row r="2651" ht="15.0" customHeight="1">
      <c r="A2651" s="18"/>
      <c r="B2651" s="18"/>
      <c r="C2651" s="18"/>
      <c r="D2651" s="18"/>
      <c r="E2651" s="18"/>
      <c r="F2651" s="18"/>
      <c r="G2651" s="4"/>
      <c r="H2651" s="18"/>
      <c r="I2651" s="91"/>
      <c r="J2651" s="18"/>
      <c r="K2651" s="18"/>
      <c r="L2651" s="18"/>
      <c r="M2651" s="18"/>
    </row>
    <row r="2652" ht="15.0" customHeight="1">
      <c r="A2652" s="18"/>
      <c r="B2652" s="18"/>
      <c r="C2652" s="18"/>
      <c r="D2652" s="18"/>
      <c r="E2652" s="18"/>
      <c r="F2652" s="18"/>
      <c r="G2652" s="4"/>
      <c r="H2652" s="18"/>
      <c r="I2652" s="91"/>
      <c r="J2652" s="18"/>
      <c r="K2652" s="18"/>
      <c r="L2652" s="18"/>
      <c r="M2652" s="18"/>
    </row>
    <row r="2653" ht="15.0" customHeight="1">
      <c r="A2653" s="18"/>
      <c r="B2653" s="18"/>
      <c r="C2653" s="18"/>
      <c r="D2653" s="18"/>
      <c r="E2653" s="18"/>
      <c r="F2653" s="18"/>
      <c r="G2653" s="4"/>
      <c r="H2653" s="18"/>
      <c r="I2653" s="91"/>
      <c r="J2653" s="18"/>
      <c r="K2653" s="18"/>
      <c r="L2653" s="18"/>
      <c r="M2653" s="18"/>
    </row>
    <row r="2654" ht="15.0" customHeight="1">
      <c r="A2654" s="18"/>
      <c r="B2654" s="18"/>
      <c r="C2654" s="18"/>
      <c r="D2654" s="18"/>
      <c r="E2654" s="18"/>
      <c r="F2654" s="18"/>
      <c r="G2654" s="4"/>
      <c r="H2654" s="18"/>
      <c r="I2654" s="91"/>
      <c r="J2654" s="18"/>
      <c r="K2654" s="18"/>
      <c r="L2654" s="18"/>
      <c r="M2654" s="18"/>
    </row>
    <row r="2655" ht="15.0" customHeight="1">
      <c r="A2655" s="18"/>
      <c r="B2655" s="18"/>
      <c r="C2655" s="18"/>
      <c r="D2655" s="18"/>
      <c r="E2655" s="18"/>
      <c r="F2655" s="18"/>
      <c r="G2655" s="4"/>
      <c r="H2655" s="18"/>
      <c r="I2655" s="91"/>
      <c r="J2655" s="18"/>
      <c r="K2655" s="18"/>
      <c r="L2655" s="18"/>
      <c r="M2655" s="18"/>
    </row>
    <row r="2656" ht="15.0" customHeight="1">
      <c r="A2656" s="18"/>
      <c r="B2656" s="18"/>
      <c r="C2656" s="18"/>
      <c r="D2656" s="18"/>
      <c r="E2656" s="18"/>
      <c r="F2656" s="18"/>
      <c r="G2656" s="4"/>
      <c r="H2656" s="18"/>
      <c r="I2656" s="91"/>
      <c r="J2656" s="18"/>
      <c r="K2656" s="18"/>
      <c r="L2656" s="18"/>
      <c r="M2656" s="18"/>
    </row>
    <row r="2657" ht="15.0" customHeight="1">
      <c r="A2657" s="18"/>
      <c r="B2657" s="18"/>
      <c r="C2657" s="18"/>
      <c r="D2657" s="18"/>
      <c r="E2657" s="18"/>
      <c r="F2657" s="18"/>
      <c r="G2657" s="4"/>
      <c r="H2657" s="18"/>
      <c r="I2657" s="91"/>
      <c r="J2657" s="18"/>
      <c r="K2657" s="18"/>
      <c r="L2657" s="18"/>
      <c r="M2657" s="18"/>
    </row>
    <row r="2658" ht="15.0" customHeight="1">
      <c r="A2658" s="18"/>
      <c r="B2658" s="18"/>
      <c r="C2658" s="18"/>
      <c r="D2658" s="18"/>
      <c r="E2658" s="18"/>
      <c r="F2658" s="18"/>
      <c r="G2658" s="4"/>
      <c r="H2658" s="18"/>
      <c r="I2658" s="91"/>
      <c r="J2658" s="18"/>
      <c r="K2658" s="18"/>
      <c r="L2658" s="18"/>
      <c r="M2658" s="18"/>
    </row>
    <row r="2659" ht="15.0" customHeight="1">
      <c r="A2659" s="18"/>
      <c r="B2659" s="18"/>
      <c r="C2659" s="18"/>
      <c r="D2659" s="18"/>
      <c r="E2659" s="18"/>
      <c r="F2659" s="18"/>
      <c r="G2659" s="4"/>
      <c r="H2659" s="18"/>
      <c r="I2659" s="91"/>
      <c r="J2659" s="18"/>
      <c r="K2659" s="18"/>
      <c r="L2659" s="18"/>
      <c r="M2659" s="18"/>
    </row>
    <row r="2660" ht="15.0" customHeight="1">
      <c r="A2660" s="18"/>
      <c r="B2660" s="18"/>
      <c r="C2660" s="18"/>
      <c r="D2660" s="18"/>
      <c r="E2660" s="18"/>
      <c r="F2660" s="18"/>
      <c r="G2660" s="4"/>
      <c r="H2660" s="18"/>
      <c r="I2660" s="91"/>
      <c r="J2660" s="18"/>
      <c r="K2660" s="18"/>
      <c r="L2660" s="18"/>
      <c r="M2660" s="18"/>
    </row>
    <row r="2661" ht="15.0" customHeight="1">
      <c r="A2661" s="18"/>
      <c r="B2661" s="18"/>
      <c r="C2661" s="18"/>
      <c r="D2661" s="18"/>
      <c r="E2661" s="18"/>
      <c r="F2661" s="18"/>
      <c r="G2661" s="4"/>
      <c r="H2661" s="18"/>
      <c r="I2661" s="91"/>
      <c r="J2661" s="18"/>
      <c r="K2661" s="18"/>
      <c r="L2661" s="18"/>
      <c r="M2661" s="18"/>
    </row>
    <row r="2662" ht="15.0" customHeight="1">
      <c r="A2662" s="18"/>
      <c r="B2662" s="18"/>
      <c r="C2662" s="18"/>
      <c r="D2662" s="18"/>
      <c r="E2662" s="18"/>
      <c r="F2662" s="18"/>
      <c r="G2662" s="4"/>
      <c r="H2662" s="18"/>
      <c r="I2662" s="91"/>
      <c r="J2662" s="18"/>
      <c r="K2662" s="18"/>
      <c r="L2662" s="18"/>
      <c r="M2662" s="18"/>
    </row>
    <row r="2663" ht="15.0" customHeight="1">
      <c r="A2663" s="18"/>
      <c r="B2663" s="18"/>
      <c r="C2663" s="18"/>
      <c r="D2663" s="18"/>
      <c r="E2663" s="18"/>
      <c r="F2663" s="18"/>
      <c r="G2663" s="4"/>
      <c r="H2663" s="18"/>
      <c r="I2663" s="91"/>
      <c r="J2663" s="18"/>
      <c r="K2663" s="18"/>
      <c r="L2663" s="18"/>
      <c r="M2663" s="18"/>
    </row>
    <row r="2664" ht="15.0" customHeight="1">
      <c r="A2664" s="18"/>
      <c r="B2664" s="18"/>
      <c r="C2664" s="18"/>
      <c r="D2664" s="18"/>
      <c r="E2664" s="18"/>
      <c r="F2664" s="18"/>
      <c r="G2664" s="4"/>
      <c r="H2664" s="18"/>
      <c r="I2664" s="91"/>
      <c r="J2664" s="18"/>
      <c r="K2664" s="18"/>
      <c r="L2664" s="18"/>
      <c r="M2664" s="18"/>
    </row>
    <row r="2665" ht="15.0" customHeight="1">
      <c r="A2665" s="18"/>
      <c r="B2665" s="18"/>
      <c r="C2665" s="18"/>
      <c r="D2665" s="18"/>
      <c r="E2665" s="18"/>
      <c r="F2665" s="18"/>
      <c r="G2665" s="4"/>
      <c r="H2665" s="18"/>
      <c r="I2665" s="91"/>
      <c r="J2665" s="18"/>
      <c r="K2665" s="18"/>
      <c r="L2665" s="18"/>
      <c r="M2665" s="18"/>
    </row>
    <row r="2666" ht="15.0" customHeight="1">
      <c r="A2666" s="18"/>
      <c r="B2666" s="18"/>
      <c r="C2666" s="18"/>
      <c r="D2666" s="18"/>
      <c r="E2666" s="18"/>
      <c r="F2666" s="18"/>
      <c r="G2666" s="4"/>
      <c r="H2666" s="18"/>
      <c r="I2666" s="91"/>
      <c r="J2666" s="18"/>
      <c r="K2666" s="18"/>
      <c r="L2666" s="18"/>
      <c r="M2666" s="18"/>
    </row>
    <row r="2667" ht="15.0" customHeight="1">
      <c r="A2667" s="18"/>
      <c r="B2667" s="18"/>
      <c r="C2667" s="18"/>
      <c r="D2667" s="18"/>
      <c r="E2667" s="18"/>
      <c r="F2667" s="18"/>
      <c r="G2667" s="4"/>
      <c r="H2667" s="18"/>
      <c r="I2667" s="91"/>
      <c r="J2667" s="18"/>
      <c r="K2667" s="18"/>
      <c r="L2667" s="18"/>
      <c r="M2667" s="18"/>
    </row>
    <row r="2668" ht="15.0" customHeight="1">
      <c r="A2668" s="18"/>
      <c r="B2668" s="18"/>
      <c r="C2668" s="18"/>
      <c r="D2668" s="18"/>
      <c r="E2668" s="18"/>
      <c r="F2668" s="18"/>
      <c r="G2668" s="4"/>
      <c r="H2668" s="18"/>
      <c r="I2668" s="91"/>
      <c r="J2668" s="18"/>
      <c r="K2668" s="18"/>
      <c r="L2668" s="18"/>
      <c r="M2668" s="18"/>
    </row>
    <row r="2669" ht="15.0" customHeight="1">
      <c r="A2669" s="18"/>
      <c r="B2669" s="18"/>
      <c r="C2669" s="18"/>
      <c r="D2669" s="18"/>
      <c r="E2669" s="18"/>
      <c r="F2669" s="18"/>
      <c r="G2669" s="4"/>
      <c r="H2669" s="18"/>
      <c r="I2669" s="91"/>
      <c r="J2669" s="18"/>
      <c r="K2669" s="18"/>
      <c r="L2669" s="18"/>
      <c r="M2669" s="18"/>
    </row>
    <row r="2670" ht="15.0" customHeight="1">
      <c r="A2670" s="18"/>
      <c r="B2670" s="18"/>
      <c r="C2670" s="18"/>
      <c r="D2670" s="18"/>
      <c r="E2670" s="18"/>
      <c r="F2670" s="18"/>
      <c r="G2670" s="4"/>
      <c r="H2670" s="18"/>
      <c r="I2670" s="91"/>
      <c r="J2670" s="18"/>
      <c r="K2670" s="18"/>
      <c r="L2670" s="18"/>
      <c r="M2670" s="18"/>
    </row>
    <row r="2671" ht="15.0" customHeight="1">
      <c r="A2671" s="18"/>
      <c r="B2671" s="18"/>
      <c r="C2671" s="18"/>
      <c r="D2671" s="18"/>
      <c r="E2671" s="18"/>
      <c r="F2671" s="18"/>
      <c r="G2671" s="4"/>
      <c r="H2671" s="18"/>
      <c r="I2671" s="91"/>
      <c r="J2671" s="18"/>
      <c r="K2671" s="18"/>
      <c r="L2671" s="18"/>
      <c r="M2671" s="18"/>
    </row>
    <row r="2672" ht="15.0" customHeight="1">
      <c r="A2672" s="18"/>
      <c r="B2672" s="18"/>
      <c r="C2672" s="18"/>
      <c r="D2672" s="18"/>
      <c r="E2672" s="18"/>
      <c r="F2672" s="18"/>
      <c r="G2672" s="4"/>
      <c r="H2672" s="18"/>
      <c r="I2672" s="91"/>
      <c r="J2672" s="18"/>
      <c r="K2672" s="18"/>
      <c r="L2672" s="18"/>
      <c r="M2672" s="18"/>
    </row>
    <row r="2673" ht="15.0" customHeight="1">
      <c r="A2673" s="18"/>
      <c r="B2673" s="18"/>
      <c r="C2673" s="18"/>
      <c r="D2673" s="18"/>
      <c r="E2673" s="18"/>
      <c r="F2673" s="18"/>
      <c r="G2673" s="4"/>
      <c r="H2673" s="18"/>
      <c r="I2673" s="91"/>
      <c r="J2673" s="18"/>
      <c r="K2673" s="18"/>
      <c r="L2673" s="18"/>
      <c r="M2673" s="18"/>
    </row>
    <row r="2674" ht="15.0" customHeight="1">
      <c r="A2674" s="18"/>
      <c r="B2674" s="18"/>
      <c r="C2674" s="18"/>
      <c r="D2674" s="18"/>
      <c r="E2674" s="18"/>
      <c r="F2674" s="18"/>
      <c r="G2674" s="4"/>
      <c r="H2674" s="18"/>
      <c r="I2674" s="91"/>
      <c r="J2674" s="18"/>
      <c r="K2674" s="18"/>
      <c r="L2674" s="18"/>
      <c r="M2674" s="18"/>
    </row>
    <row r="2675" ht="15.0" customHeight="1">
      <c r="A2675" s="18"/>
      <c r="B2675" s="18"/>
      <c r="C2675" s="18"/>
      <c r="D2675" s="18"/>
      <c r="E2675" s="18"/>
      <c r="F2675" s="18"/>
      <c r="G2675" s="4"/>
      <c r="H2675" s="18"/>
      <c r="I2675" s="91"/>
      <c r="J2675" s="18"/>
      <c r="K2675" s="18"/>
      <c r="L2675" s="18"/>
      <c r="M2675" s="18"/>
    </row>
    <row r="2676" ht="15.0" customHeight="1">
      <c r="A2676" s="18"/>
      <c r="B2676" s="18"/>
      <c r="C2676" s="18"/>
      <c r="D2676" s="18"/>
      <c r="E2676" s="18"/>
      <c r="F2676" s="18"/>
      <c r="G2676" s="4"/>
      <c r="H2676" s="18"/>
      <c r="I2676" s="91"/>
      <c r="J2676" s="18"/>
      <c r="K2676" s="18"/>
      <c r="L2676" s="18"/>
      <c r="M2676" s="18"/>
    </row>
    <row r="2677" ht="15.0" customHeight="1">
      <c r="A2677" s="18"/>
      <c r="B2677" s="18"/>
      <c r="C2677" s="18"/>
      <c r="D2677" s="18"/>
      <c r="E2677" s="18"/>
      <c r="F2677" s="18"/>
      <c r="G2677" s="4"/>
      <c r="H2677" s="18"/>
      <c r="I2677" s="91"/>
      <c r="J2677" s="18"/>
      <c r="K2677" s="18"/>
      <c r="L2677" s="18"/>
      <c r="M2677" s="18"/>
    </row>
    <row r="2678" ht="15.0" customHeight="1">
      <c r="A2678" s="18"/>
      <c r="B2678" s="18"/>
      <c r="C2678" s="18"/>
      <c r="D2678" s="18"/>
      <c r="E2678" s="18"/>
      <c r="F2678" s="18"/>
      <c r="G2678" s="4"/>
      <c r="H2678" s="18"/>
      <c r="I2678" s="91"/>
      <c r="J2678" s="18"/>
      <c r="K2678" s="18"/>
      <c r="L2678" s="18"/>
      <c r="M2678" s="18"/>
    </row>
    <row r="2679" ht="15.0" customHeight="1">
      <c r="A2679" s="18"/>
      <c r="B2679" s="18"/>
      <c r="C2679" s="18"/>
      <c r="D2679" s="18"/>
      <c r="E2679" s="18"/>
      <c r="F2679" s="18"/>
      <c r="G2679" s="4"/>
      <c r="H2679" s="18"/>
      <c r="I2679" s="91"/>
      <c r="J2679" s="18"/>
      <c r="K2679" s="18"/>
      <c r="L2679" s="18"/>
      <c r="M2679" s="18"/>
    </row>
    <row r="2680" ht="15.0" customHeight="1">
      <c r="A2680" s="18"/>
      <c r="B2680" s="18"/>
      <c r="C2680" s="18"/>
      <c r="D2680" s="18"/>
      <c r="E2680" s="18"/>
      <c r="F2680" s="18"/>
      <c r="G2680" s="4"/>
      <c r="H2680" s="18"/>
      <c r="I2680" s="91"/>
      <c r="J2680" s="18"/>
      <c r="K2680" s="18"/>
      <c r="L2680" s="18"/>
      <c r="M2680" s="18"/>
    </row>
    <row r="2681" ht="15.0" customHeight="1">
      <c r="A2681" s="18"/>
      <c r="B2681" s="18"/>
      <c r="C2681" s="18"/>
      <c r="D2681" s="18"/>
      <c r="E2681" s="18"/>
      <c r="F2681" s="18"/>
      <c r="G2681" s="4"/>
      <c r="H2681" s="18"/>
      <c r="I2681" s="91"/>
      <c r="J2681" s="18"/>
      <c r="K2681" s="18"/>
      <c r="L2681" s="18"/>
      <c r="M2681" s="18"/>
    </row>
    <row r="2682" ht="15.0" customHeight="1">
      <c r="A2682" s="18"/>
      <c r="B2682" s="18"/>
      <c r="C2682" s="18"/>
      <c r="D2682" s="18"/>
      <c r="E2682" s="18"/>
      <c r="F2682" s="18"/>
      <c r="G2682" s="4"/>
      <c r="H2682" s="18"/>
      <c r="I2682" s="91"/>
      <c r="J2682" s="18"/>
      <c r="K2682" s="18"/>
      <c r="L2682" s="18"/>
      <c r="M2682" s="18"/>
    </row>
    <row r="2683" ht="15.0" customHeight="1">
      <c r="A2683" s="18"/>
      <c r="B2683" s="18"/>
      <c r="C2683" s="18"/>
      <c r="D2683" s="18"/>
      <c r="E2683" s="18"/>
      <c r="F2683" s="18"/>
      <c r="G2683" s="4"/>
      <c r="H2683" s="18"/>
      <c r="I2683" s="91"/>
      <c r="J2683" s="18"/>
      <c r="K2683" s="18"/>
      <c r="L2683" s="18"/>
      <c r="M2683" s="18"/>
    </row>
    <row r="2684" ht="15.0" customHeight="1">
      <c r="A2684" s="18"/>
      <c r="B2684" s="18"/>
      <c r="C2684" s="18"/>
      <c r="D2684" s="18"/>
      <c r="E2684" s="18"/>
      <c r="F2684" s="18"/>
      <c r="G2684" s="4"/>
      <c r="H2684" s="18"/>
      <c r="I2684" s="91"/>
      <c r="J2684" s="18"/>
      <c r="K2684" s="18"/>
      <c r="L2684" s="18"/>
      <c r="M2684" s="18"/>
    </row>
    <row r="2685" ht="15.0" customHeight="1">
      <c r="A2685" s="18"/>
      <c r="B2685" s="18"/>
      <c r="C2685" s="18"/>
      <c r="D2685" s="18"/>
      <c r="E2685" s="18"/>
      <c r="F2685" s="18"/>
      <c r="G2685" s="4"/>
      <c r="H2685" s="18"/>
      <c r="I2685" s="91"/>
      <c r="J2685" s="18"/>
      <c r="K2685" s="18"/>
      <c r="L2685" s="18"/>
      <c r="M2685" s="18"/>
    </row>
    <row r="2686" ht="15.0" customHeight="1">
      <c r="A2686" s="18"/>
      <c r="B2686" s="18"/>
      <c r="C2686" s="18"/>
      <c r="D2686" s="18"/>
      <c r="E2686" s="18"/>
      <c r="F2686" s="18"/>
      <c r="G2686" s="4"/>
      <c r="H2686" s="18"/>
      <c r="I2686" s="91"/>
      <c r="J2686" s="18"/>
      <c r="K2686" s="18"/>
      <c r="L2686" s="18"/>
      <c r="M2686" s="18"/>
    </row>
    <row r="2687" ht="15.0" customHeight="1">
      <c r="A2687" s="18"/>
      <c r="B2687" s="18"/>
      <c r="C2687" s="18"/>
      <c r="D2687" s="18"/>
      <c r="E2687" s="18"/>
      <c r="F2687" s="18"/>
      <c r="G2687" s="4"/>
      <c r="H2687" s="18"/>
      <c r="I2687" s="91"/>
      <c r="J2687" s="18"/>
      <c r="K2687" s="18"/>
      <c r="L2687" s="18"/>
      <c r="M2687" s="18"/>
    </row>
    <row r="2688" ht="15.0" customHeight="1">
      <c r="A2688" s="18"/>
      <c r="B2688" s="18"/>
      <c r="C2688" s="18"/>
      <c r="D2688" s="18"/>
      <c r="E2688" s="18"/>
      <c r="F2688" s="18"/>
      <c r="G2688" s="4"/>
      <c r="H2688" s="18"/>
      <c r="I2688" s="91"/>
      <c r="J2688" s="18"/>
      <c r="K2688" s="18"/>
      <c r="L2688" s="18"/>
      <c r="M2688" s="18"/>
    </row>
    <row r="2689" ht="15.0" customHeight="1">
      <c r="A2689" s="18"/>
      <c r="B2689" s="18"/>
      <c r="C2689" s="18"/>
      <c r="D2689" s="18"/>
      <c r="E2689" s="18"/>
      <c r="F2689" s="18"/>
      <c r="G2689" s="4"/>
      <c r="H2689" s="18"/>
      <c r="I2689" s="91"/>
      <c r="J2689" s="18"/>
      <c r="K2689" s="18"/>
      <c r="L2689" s="18"/>
      <c r="M2689" s="18"/>
    </row>
    <row r="2690" ht="15.0" customHeight="1">
      <c r="A2690" s="18"/>
      <c r="B2690" s="18"/>
      <c r="C2690" s="18"/>
      <c r="D2690" s="18"/>
      <c r="E2690" s="18"/>
      <c r="F2690" s="18"/>
      <c r="G2690" s="4"/>
      <c r="H2690" s="18"/>
      <c r="I2690" s="91"/>
      <c r="J2690" s="18"/>
      <c r="K2690" s="18"/>
      <c r="L2690" s="18"/>
      <c r="M2690" s="18"/>
    </row>
    <row r="2691" ht="15.0" customHeight="1">
      <c r="A2691" s="18"/>
      <c r="B2691" s="18"/>
      <c r="C2691" s="18"/>
      <c r="D2691" s="18"/>
      <c r="E2691" s="18"/>
      <c r="F2691" s="18"/>
      <c r="G2691" s="4"/>
      <c r="H2691" s="18"/>
      <c r="I2691" s="91"/>
      <c r="J2691" s="18"/>
      <c r="K2691" s="18"/>
      <c r="L2691" s="18"/>
      <c r="M2691" s="18"/>
    </row>
    <row r="2692" ht="15.0" customHeight="1">
      <c r="A2692" s="18"/>
      <c r="B2692" s="18"/>
      <c r="C2692" s="18"/>
      <c r="D2692" s="18"/>
      <c r="E2692" s="18"/>
      <c r="F2692" s="18"/>
      <c r="G2692" s="4"/>
      <c r="H2692" s="18"/>
      <c r="I2692" s="91"/>
      <c r="J2692" s="18"/>
      <c r="K2692" s="18"/>
      <c r="L2692" s="18"/>
      <c r="M2692" s="18"/>
    </row>
    <row r="2693" ht="15.0" customHeight="1">
      <c r="A2693" s="18"/>
      <c r="B2693" s="18"/>
      <c r="C2693" s="18"/>
      <c r="D2693" s="18"/>
      <c r="E2693" s="18"/>
      <c r="F2693" s="18"/>
      <c r="G2693" s="4"/>
      <c r="H2693" s="18"/>
      <c r="I2693" s="91"/>
      <c r="J2693" s="18"/>
      <c r="K2693" s="18"/>
      <c r="L2693" s="18"/>
      <c r="M2693" s="18"/>
    </row>
    <row r="2694" ht="15.0" customHeight="1">
      <c r="A2694" s="18"/>
      <c r="B2694" s="18"/>
      <c r="C2694" s="18"/>
      <c r="D2694" s="18"/>
      <c r="E2694" s="18"/>
      <c r="F2694" s="18"/>
      <c r="G2694" s="4"/>
      <c r="H2694" s="18"/>
      <c r="I2694" s="91"/>
      <c r="J2694" s="18"/>
      <c r="K2694" s="18"/>
      <c r="L2694" s="18"/>
      <c r="M2694" s="18"/>
    </row>
    <row r="2695" ht="15.0" customHeight="1">
      <c r="A2695" s="18"/>
      <c r="B2695" s="18"/>
      <c r="C2695" s="18"/>
      <c r="D2695" s="18"/>
      <c r="E2695" s="18"/>
      <c r="F2695" s="18"/>
      <c r="G2695" s="4"/>
      <c r="H2695" s="18"/>
      <c r="I2695" s="91"/>
      <c r="J2695" s="18"/>
      <c r="K2695" s="18"/>
      <c r="L2695" s="18"/>
      <c r="M2695" s="18"/>
    </row>
    <row r="2696" ht="15.0" customHeight="1">
      <c r="A2696" s="18"/>
      <c r="B2696" s="18"/>
      <c r="C2696" s="18"/>
      <c r="D2696" s="18"/>
      <c r="E2696" s="18"/>
      <c r="F2696" s="18"/>
      <c r="G2696" s="4"/>
      <c r="H2696" s="18"/>
      <c r="I2696" s="91"/>
      <c r="J2696" s="18"/>
      <c r="K2696" s="18"/>
      <c r="L2696" s="18"/>
      <c r="M2696" s="18"/>
    </row>
    <row r="2697" ht="15.0" customHeight="1">
      <c r="A2697" s="18"/>
      <c r="B2697" s="18"/>
      <c r="C2697" s="18"/>
      <c r="D2697" s="18"/>
      <c r="E2697" s="18"/>
      <c r="F2697" s="18"/>
      <c r="G2697" s="4"/>
      <c r="H2697" s="18"/>
      <c r="I2697" s="91"/>
      <c r="J2697" s="18"/>
      <c r="K2697" s="18"/>
      <c r="L2697" s="18"/>
      <c r="M2697" s="18"/>
    </row>
    <row r="2698" ht="15.0" customHeight="1">
      <c r="A2698" s="18"/>
      <c r="B2698" s="18"/>
      <c r="C2698" s="18"/>
      <c r="D2698" s="18"/>
      <c r="E2698" s="18"/>
      <c r="F2698" s="18"/>
      <c r="G2698" s="4"/>
      <c r="H2698" s="18"/>
      <c r="I2698" s="91"/>
      <c r="J2698" s="18"/>
      <c r="K2698" s="18"/>
      <c r="L2698" s="18"/>
      <c r="M2698" s="18"/>
    </row>
    <row r="2699" ht="15.0" customHeight="1">
      <c r="A2699" s="18"/>
      <c r="B2699" s="18"/>
      <c r="C2699" s="18"/>
      <c r="D2699" s="18"/>
      <c r="E2699" s="18"/>
      <c r="F2699" s="18"/>
      <c r="G2699" s="4"/>
      <c r="H2699" s="18"/>
      <c r="I2699" s="91"/>
      <c r="J2699" s="18"/>
      <c r="K2699" s="18"/>
      <c r="L2699" s="18"/>
      <c r="M2699" s="18"/>
    </row>
    <row r="2700" ht="15.0" customHeight="1">
      <c r="A2700" s="18"/>
      <c r="B2700" s="18"/>
      <c r="C2700" s="18"/>
      <c r="D2700" s="18"/>
      <c r="E2700" s="18"/>
      <c r="F2700" s="18"/>
      <c r="G2700" s="4"/>
      <c r="H2700" s="18"/>
      <c r="I2700" s="91"/>
      <c r="J2700" s="18"/>
      <c r="K2700" s="18"/>
      <c r="L2700" s="18"/>
      <c r="M2700" s="18"/>
    </row>
    <row r="2701" ht="15.0" customHeight="1">
      <c r="A2701" s="18"/>
      <c r="B2701" s="18"/>
      <c r="C2701" s="18"/>
      <c r="D2701" s="18"/>
      <c r="E2701" s="18"/>
      <c r="F2701" s="18"/>
      <c r="G2701" s="4"/>
      <c r="H2701" s="18"/>
      <c r="I2701" s="91"/>
      <c r="J2701" s="18"/>
      <c r="K2701" s="18"/>
      <c r="L2701" s="18"/>
      <c r="M2701" s="18"/>
    </row>
    <row r="2702" ht="15.0" customHeight="1">
      <c r="A2702" s="18"/>
      <c r="B2702" s="18"/>
      <c r="C2702" s="18"/>
      <c r="D2702" s="18"/>
      <c r="E2702" s="18"/>
      <c r="F2702" s="18"/>
      <c r="G2702" s="4"/>
      <c r="H2702" s="18"/>
      <c r="I2702" s="91"/>
      <c r="J2702" s="18"/>
      <c r="K2702" s="18"/>
      <c r="L2702" s="18"/>
      <c r="M2702" s="18"/>
    </row>
    <row r="2703" ht="15.0" customHeight="1">
      <c r="A2703" s="18"/>
      <c r="B2703" s="18"/>
      <c r="C2703" s="18"/>
      <c r="D2703" s="18"/>
      <c r="E2703" s="18"/>
      <c r="F2703" s="18"/>
      <c r="G2703" s="4"/>
      <c r="H2703" s="18"/>
      <c r="I2703" s="91"/>
      <c r="J2703" s="18"/>
      <c r="K2703" s="18"/>
      <c r="L2703" s="18"/>
      <c r="M2703" s="18"/>
    </row>
    <row r="2704" ht="15.0" customHeight="1">
      <c r="A2704" s="18"/>
      <c r="B2704" s="18"/>
      <c r="C2704" s="18"/>
      <c r="D2704" s="18"/>
      <c r="E2704" s="18"/>
      <c r="F2704" s="18"/>
      <c r="G2704" s="4"/>
      <c r="H2704" s="18"/>
      <c r="I2704" s="91"/>
      <c r="J2704" s="18"/>
      <c r="K2704" s="18"/>
      <c r="L2704" s="18"/>
      <c r="M2704" s="18"/>
    </row>
    <row r="2705" ht="15.0" customHeight="1">
      <c r="A2705" s="18"/>
      <c r="B2705" s="18"/>
      <c r="C2705" s="18"/>
      <c r="D2705" s="18"/>
      <c r="E2705" s="18"/>
      <c r="F2705" s="18"/>
      <c r="G2705" s="4"/>
      <c r="H2705" s="18"/>
      <c r="I2705" s="91"/>
      <c r="J2705" s="18"/>
      <c r="K2705" s="18"/>
      <c r="L2705" s="18"/>
      <c r="M2705" s="18"/>
    </row>
    <row r="2706" ht="15.0" customHeight="1">
      <c r="A2706" s="18"/>
      <c r="B2706" s="18"/>
      <c r="C2706" s="18"/>
      <c r="D2706" s="18"/>
      <c r="E2706" s="18"/>
      <c r="F2706" s="18"/>
      <c r="G2706" s="4"/>
      <c r="H2706" s="18"/>
      <c r="I2706" s="91"/>
      <c r="J2706" s="18"/>
      <c r="K2706" s="18"/>
      <c r="L2706" s="18"/>
      <c r="M2706" s="18"/>
    </row>
    <row r="2707" ht="15.0" customHeight="1">
      <c r="A2707" s="18"/>
      <c r="B2707" s="18"/>
      <c r="C2707" s="18"/>
      <c r="D2707" s="18"/>
      <c r="E2707" s="18"/>
      <c r="F2707" s="18"/>
      <c r="G2707" s="4"/>
      <c r="H2707" s="18"/>
      <c r="I2707" s="91"/>
      <c r="J2707" s="18"/>
      <c r="K2707" s="18"/>
      <c r="L2707" s="18"/>
      <c r="M2707" s="18"/>
    </row>
    <row r="2708" ht="15.0" customHeight="1">
      <c r="A2708" s="18"/>
      <c r="B2708" s="18"/>
      <c r="C2708" s="18"/>
      <c r="D2708" s="18"/>
      <c r="E2708" s="18"/>
      <c r="F2708" s="18"/>
      <c r="G2708" s="4"/>
      <c r="H2708" s="18"/>
      <c r="I2708" s="91"/>
      <c r="J2708" s="18"/>
      <c r="K2708" s="18"/>
      <c r="L2708" s="18"/>
      <c r="M2708" s="18"/>
    </row>
    <row r="2709" ht="15.0" customHeight="1">
      <c r="A2709" s="18"/>
      <c r="B2709" s="18"/>
      <c r="C2709" s="18"/>
      <c r="D2709" s="18"/>
      <c r="E2709" s="18"/>
      <c r="F2709" s="18"/>
      <c r="G2709" s="4"/>
      <c r="H2709" s="18"/>
      <c r="I2709" s="91"/>
      <c r="J2709" s="18"/>
      <c r="K2709" s="18"/>
      <c r="L2709" s="18"/>
      <c r="M2709" s="18"/>
    </row>
    <row r="2710" ht="15.0" customHeight="1">
      <c r="A2710" s="18"/>
      <c r="B2710" s="18"/>
      <c r="C2710" s="18"/>
      <c r="D2710" s="18"/>
      <c r="E2710" s="18"/>
      <c r="F2710" s="18"/>
      <c r="G2710" s="4"/>
      <c r="H2710" s="18"/>
      <c r="I2710" s="91"/>
      <c r="J2710" s="18"/>
      <c r="K2710" s="18"/>
      <c r="L2710" s="18"/>
      <c r="M2710" s="18"/>
    </row>
    <row r="2711" ht="15.0" customHeight="1">
      <c r="A2711" s="18"/>
      <c r="B2711" s="18"/>
      <c r="C2711" s="18"/>
      <c r="D2711" s="18"/>
      <c r="E2711" s="18"/>
      <c r="F2711" s="18"/>
      <c r="G2711" s="4"/>
      <c r="H2711" s="18"/>
      <c r="I2711" s="91"/>
      <c r="J2711" s="18"/>
      <c r="K2711" s="18"/>
      <c r="L2711" s="18"/>
      <c r="M2711" s="18"/>
    </row>
    <row r="2712" ht="15.0" customHeight="1">
      <c r="A2712" s="18"/>
      <c r="B2712" s="18"/>
      <c r="C2712" s="18"/>
      <c r="D2712" s="18"/>
      <c r="E2712" s="18"/>
      <c r="F2712" s="18"/>
      <c r="G2712" s="4"/>
      <c r="H2712" s="18"/>
      <c r="I2712" s="91"/>
      <c r="J2712" s="18"/>
      <c r="K2712" s="18"/>
      <c r="L2712" s="18"/>
      <c r="M2712" s="18"/>
    </row>
    <row r="2713" ht="15.0" customHeight="1">
      <c r="A2713" s="18"/>
      <c r="B2713" s="18"/>
      <c r="C2713" s="18"/>
      <c r="D2713" s="18"/>
      <c r="E2713" s="18"/>
      <c r="F2713" s="18"/>
      <c r="G2713" s="4"/>
      <c r="H2713" s="18"/>
      <c r="I2713" s="91"/>
      <c r="J2713" s="18"/>
      <c r="K2713" s="18"/>
      <c r="L2713" s="18"/>
      <c r="M2713" s="18"/>
    </row>
    <row r="2714" ht="15.0" customHeight="1">
      <c r="A2714" s="18"/>
      <c r="B2714" s="18"/>
      <c r="C2714" s="18"/>
      <c r="D2714" s="18"/>
      <c r="E2714" s="18"/>
      <c r="F2714" s="18"/>
      <c r="G2714" s="4"/>
      <c r="H2714" s="18"/>
      <c r="I2714" s="91"/>
      <c r="J2714" s="18"/>
      <c r="K2714" s="18"/>
      <c r="L2714" s="18"/>
      <c r="M2714" s="18"/>
    </row>
    <row r="2715" ht="15.0" customHeight="1">
      <c r="A2715" s="18"/>
      <c r="B2715" s="18"/>
      <c r="C2715" s="18"/>
      <c r="D2715" s="18"/>
      <c r="E2715" s="18"/>
      <c r="F2715" s="18"/>
      <c r="G2715" s="4"/>
      <c r="H2715" s="18"/>
      <c r="I2715" s="91"/>
      <c r="J2715" s="18"/>
      <c r="K2715" s="18"/>
      <c r="L2715" s="18"/>
      <c r="M2715" s="18"/>
    </row>
    <row r="2716" ht="15.0" customHeight="1">
      <c r="A2716" s="18"/>
      <c r="B2716" s="18"/>
      <c r="C2716" s="18"/>
      <c r="D2716" s="18"/>
      <c r="E2716" s="18"/>
      <c r="F2716" s="18"/>
      <c r="G2716" s="4"/>
      <c r="H2716" s="18"/>
      <c r="I2716" s="91"/>
      <c r="J2716" s="18"/>
      <c r="K2716" s="18"/>
      <c r="L2716" s="18"/>
      <c r="M2716" s="18"/>
    </row>
    <row r="2717" ht="15.0" customHeight="1">
      <c r="A2717" s="18"/>
      <c r="B2717" s="18"/>
      <c r="C2717" s="18"/>
      <c r="D2717" s="18"/>
      <c r="E2717" s="18"/>
      <c r="F2717" s="18"/>
      <c r="G2717" s="4"/>
      <c r="H2717" s="18"/>
      <c r="I2717" s="91"/>
      <c r="J2717" s="18"/>
      <c r="K2717" s="18"/>
      <c r="L2717" s="18"/>
      <c r="M2717" s="18"/>
    </row>
    <row r="2718" ht="15.0" customHeight="1">
      <c r="A2718" s="18"/>
      <c r="B2718" s="18"/>
      <c r="C2718" s="18"/>
      <c r="D2718" s="18"/>
      <c r="E2718" s="18"/>
      <c r="F2718" s="18"/>
      <c r="G2718" s="4"/>
      <c r="H2718" s="18"/>
      <c r="I2718" s="91"/>
      <c r="J2718" s="18"/>
      <c r="K2718" s="18"/>
      <c r="L2718" s="18"/>
      <c r="M2718" s="18"/>
    </row>
    <row r="2719" ht="15.0" customHeight="1">
      <c r="A2719" s="18"/>
      <c r="B2719" s="18"/>
      <c r="C2719" s="18"/>
      <c r="D2719" s="18"/>
      <c r="E2719" s="18"/>
      <c r="F2719" s="18"/>
      <c r="G2719" s="4"/>
      <c r="H2719" s="18"/>
      <c r="I2719" s="91"/>
      <c r="J2719" s="18"/>
      <c r="K2719" s="18"/>
      <c r="L2719" s="18"/>
      <c r="M2719" s="18"/>
    </row>
    <row r="2720" ht="15.0" customHeight="1">
      <c r="A2720" s="18"/>
      <c r="B2720" s="18"/>
      <c r="C2720" s="18"/>
      <c r="D2720" s="18"/>
      <c r="E2720" s="18"/>
      <c r="F2720" s="18"/>
      <c r="G2720" s="4"/>
      <c r="H2720" s="18"/>
      <c r="I2720" s="91"/>
      <c r="J2720" s="18"/>
      <c r="K2720" s="18"/>
      <c r="L2720" s="18"/>
      <c r="M2720" s="18"/>
    </row>
    <row r="2721" ht="15.0" customHeight="1">
      <c r="A2721" s="18"/>
      <c r="B2721" s="18"/>
      <c r="C2721" s="18"/>
      <c r="D2721" s="18"/>
      <c r="E2721" s="18"/>
      <c r="F2721" s="18"/>
      <c r="G2721" s="4"/>
      <c r="H2721" s="18"/>
      <c r="I2721" s="91"/>
      <c r="J2721" s="18"/>
      <c r="K2721" s="18"/>
      <c r="L2721" s="18"/>
      <c r="M2721" s="18"/>
    </row>
    <row r="2722" ht="15.0" customHeight="1">
      <c r="A2722" s="18"/>
      <c r="B2722" s="18"/>
      <c r="C2722" s="18"/>
      <c r="D2722" s="18"/>
      <c r="E2722" s="18"/>
      <c r="F2722" s="18"/>
      <c r="G2722" s="4"/>
      <c r="H2722" s="18"/>
      <c r="I2722" s="91"/>
      <c r="J2722" s="18"/>
      <c r="K2722" s="18"/>
      <c r="L2722" s="18"/>
      <c r="M2722" s="18"/>
    </row>
    <row r="2723" ht="15.0" customHeight="1">
      <c r="A2723" s="18"/>
      <c r="B2723" s="18"/>
      <c r="C2723" s="18"/>
      <c r="D2723" s="18"/>
      <c r="E2723" s="18"/>
      <c r="F2723" s="18"/>
      <c r="G2723" s="4"/>
      <c r="H2723" s="18"/>
      <c r="I2723" s="91"/>
      <c r="J2723" s="18"/>
      <c r="K2723" s="18"/>
      <c r="L2723" s="18"/>
      <c r="M2723" s="18"/>
    </row>
    <row r="2724" ht="15.0" customHeight="1">
      <c r="A2724" s="18"/>
      <c r="B2724" s="18"/>
      <c r="C2724" s="18"/>
      <c r="D2724" s="18"/>
      <c r="E2724" s="18"/>
      <c r="F2724" s="18"/>
      <c r="G2724" s="4"/>
      <c r="H2724" s="18"/>
      <c r="I2724" s="91"/>
      <c r="J2724" s="18"/>
      <c r="K2724" s="18"/>
      <c r="L2724" s="18"/>
      <c r="M2724" s="18"/>
    </row>
    <row r="2725" ht="15.0" customHeight="1">
      <c r="A2725" s="18"/>
      <c r="B2725" s="18"/>
      <c r="C2725" s="18"/>
      <c r="D2725" s="18"/>
      <c r="E2725" s="18"/>
      <c r="F2725" s="18"/>
      <c r="G2725" s="4"/>
      <c r="H2725" s="18"/>
      <c r="I2725" s="91"/>
      <c r="J2725" s="18"/>
      <c r="K2725" s="18"/>
      <c r="L2725" s="18"/>
      <c r="M2725" s="18"/>
    </row>
    <row r="2726" ht="15.0" customHeight="1">
      <c r="A2726" s="18"/>
      <c r="B2726" s="18"/>
      <c r="C2726" s="18"/>
      <c r="D2726" s="18"/>
      <c r="E2726" s="18"/>
      <c r="F2726" s="18"/>
      <c r="G2726" s="4"/>
      <c r="H2726" s="18"/>
      <c r="I2726" s="91"/>
      <c r="J2726" s="18"/>
      <c r="K2726" s="18"/>
      <c r="L2726" s="18"/>
      <c r="M2726" s="18"/>
    </row>
    <row r="2727" ht="15.0" customHeight="1">
      <c r="A2727" s="18"/>
      <c r="B2727" s="18"/>
      <c r="C2727" s="18"/>
      <c r="D2727" s="18"/>
      <c r="E2727" s="18"/>
      <c r="F2727" s="18"/>
      <c r="G2727" s="4"/>
      <c r="H2727" s="18"/>
      <c r="I2727" s="91"/>
      <c r="J2727" s="18"/>
      <c r="K2727" s="18"/>
      <c r="L2727" s="18"/>
      <c r="M2727" s="18"/>
    </row>
    <row r="2728" ht="15.0" customHeight="1">
      <c r="A2728" s="18"/>
      <c r="B2728" s="18"/>
      <c r="C2728" s="18"/>
      <c r="D2728" s="18"/>
      <c r="E2728" s="18"/>
      <c r="F2728" s="18"/>
      <c r="G2728" s="4"/>
      <c r="H2728" s="18"/>
      <c r="I2728" s="91"/>
      <c r="J2728" s="18"/>
      <c r="K2728" s="18"/>
      <c r="L2728" s="18"/>
      <c r="M2728" s="18"/>
    </row>
    <row r="2729" ht="15.0" customHeight="1">
      <c r="A2729" s="18"/>
      <c r="B2729" s="18"/>
      <c r="C2729" s="18"/>
      <c r="D2729" s="18"/>
      <c r="E2729" s="18"/>
      <c r="F2729" s="18"/>
      <c r="G2729" s="4"/>
      <c r="H2729" s="18"/>
      <c r="I2729" s="91"/>
      <c r="J2729" s="18"/>
      <c r="K2729" s="18"/>
      <c r="L2729" s="18"/>
      <c r="M2729" s="18"/>
    </row>
    <row r="2730" ht="15.0" customHeight="1">
      <c r="A2730" s="18"/>
      <c r="B2730" s="18"/>
      <c r="C2730" s="18"/>
      <c r="D2730" s="18"/>
      <c r="E2730" s="18"/>
      <c r="F2730" s="18"/>
      <c r="G2730" s="4"/>
      <c r="H2730" s="18"/>
      <c r="I2730" s="91"/>
      <c r="J2730" s="18"/>
      <c r="K2730" s="18"/>
      <c r="L2730" s="18"/>
      <c r="M2730" s="18"/>
    </row>
    <row r="2731" ht="15.0" customHeight="1">
      <c r="A2731" s="18"/>
      <c r="B2731" s="18"/>
      <c r="C2731" s="18"/>
      <c r="D2731" s="18"/>
      <c r="E2731" s="18"/>
      <c r="F2731" s="18"/>
      <c r="G2731" s="4"/>
      <c r="H2731" s="18"/>
      <c r="I2731" s="91"/>
      <c r="J2731" s="18"/>
      <c r="K2731" s="18"/>
      <c r="L2731" s="18"/>
      <c r="M2731" s="18"/>
    </row>
    <row r="2732" ht="15.0" customHeight="1">
      <c r="A2732" s="18"/>
      <c r="B2732" s="18"/>
      <c r="C2732" s="18"/>
      <c r="D2732" s="18"/>
      <c r="E2732" s="18"/>
      <c r="F2732" s="18"/>
      <c r="G2732" s="4"/>
      <c r="H2732" s="18"/>
      <c r="I2732" s="91"/>
      <c r="J2732" s="18"/>
      <c r="K2732" s="18"/>
      <c r="L2732" s="18"/>
      <c r="M2732" s="18"/>
    </row>
    <row r="2733" ht="15.0" customHeight="1">
      <c r="A2733" s="18"/>
      <c r="B2733" s="18"/>
      <c r="C2733" s="18"/>
      <c r="D2733" s="18"/>
      <c r="E2733" s="18"/>
      <c r="F2733" s="18"/>
      <c r="G2733" s="4"/>
      <c r="H2733" s="18"/>
      <c r="I2733" s="91"/>
      <c r="J2733" s="18"/>
      <c r="K2733" s="18"/>
      <c r="L2733" s="18"/>
      <c r="M2733" s="18"/>
    </row>
    <row r="2734" ht="15.0" customHeight="1">
      <c r="A2734" s="18"/>
      <c r="B2734" s="18"/>
      <c r="C2734" s="18"/>
      <c r="D2734" s="18"/>
      <c r="E2734" s="18"/>
      <c r="F2734" s="18"/>
      <c r="G2734" s="4"/>
      <c r="H2734" s="18"/>
      <c r="I2734" s="91"/>
      <c r="J2734" s="18"/>
      <c r="K2734" s="18"/>
      <c r="L2734" s="18"/>
      <c r="M2734" s="18"/>
    </row>
    <row r="2735" ht="15.0" customHeight="1">
      <c r="A2735" s="18"/>
      <c r="B2735" s="18"/>
      <c r="C2735" s="18"/>
      <c r="D2735" s="18"/>
      <c r="E2735" s="18"/>
      <c r="F2735" s="18"/>
      <c r="G2735" s="4"/>
      <c r="H2735" s="18"/>
      <c r="I2735" s="91"/>
      <c r="J2735" s="18"/>
      <c r="K2735" s="18"/>
      <c r="L2735" s="18"/>
      <c r="M2735" s="18"/>
    </row>
    <row r="2736" ht="15.0" customHeight="1">
      <c r="A2736" s="18"/>
      <c r="B2736" s="18"/>
      <c r="C2736" s="18"/>
      <c r="D2736" s="18"/>
      <c r="E2736" s="18"/>
      <c r="F2736" s="18"/>
      <c r="G2736" s="4"/>
      <c r="H2736" s="18"/>
      <c r="I2736" s="91"/>
      <c r="J2736" s="18"/>
      <c r="K2736" s="18"/>
      <c r="L2736" s="18"/>
      <c r="M2736" s="18"/>
    </row>
    <row r="2737" ht="15.0" customHeight="1">
      <c r="A2737" s="18"/>
      <c r="B2737" s="18"/>
      <c r="C2737" s="18"/>
      <c r="D2737" s="18"/>
      <c r="E2737" s="18"/>
      <c r="F2737" s="18"/>
      <c r="G2737" s="4"/>
      <c r="H2737" s="18"/>
      <c r="I2737" s="91"/>
      <c r="J2737" s="18"/>
      <c r="K2737" s="18"/>
      <c r="L2737" s="18"/>
      <c r="M2737" s="18"/>
    </row>
    <row r="2738" ht="15.0" customHeight="1">
      <c r="A2738" s="18"/>
      <c r="B2738" s="18"/>
      <c r="C2738" s="18"/>
      <c r="D2738" s="18"/>
      <c r="E2738" s="18"/>
      <c r="F2738" s="18"/>
      <c r="G2738" s="4"/>
      <c r="H2738" s="18"/>
      <c r="I2738" s="91"/>
      <c r="J2738" s="18"/>
      <c r="K2738" s="18"/>
      <c r="L2738" s="18"/>
      <c r="M2738" s="18"/>
    </row>
    <row r="2739" ht="15.0" customHeight="1">
      <c r="A2739" s="18"/>
      <c r="B2739" s="18"/>
      <c r="C2739" s="18"/>
      <c r="D2739" s="18"/>
      <c r="E2739" s="18"/>
      <c r="F2739" s="18"/>
      <c r="G2739" s="4"/>
      <c r="H2739" s="18"/>
      <c r="I2739" s="91"/>
      <c r="J2739" s="18"/>
      <c r="K2739" s="18"/>
      <c r="L2739" s="18"/>
      <c r="M2739" s="18"/>
    </row>
    <row r="2740" ht="15.0" customHeight="1">
      <c r="A2740" s="18"/>
      <c r="B2740" s="18"/>
      <c r="C2740" s="18"/>
      <c r="D2740" s="18"/>
      <c r="E2740" s="18"/>
      <c r="F2740" s="18"/>
      <c r="G2740" s="4"/>
      <c r="H2740" s="18"/>
      <c r="I2740" s="91"/>
      <c r="J2740" s="18"/>
      <c r="K2740" s="18"/>
      <c r="L2740" s="18"/>
      <c r="M2740" s="18"/>
    </row>
    <row r="2741" ht="15.0" customHeight="1">
      <c r="A2741" s="18"/>
      <c r="B2741" s="18"/>
      <c r="C2741" s="18"/>
      <c r="D2741" s="18"/>
      <c r="E2741" s="18"/>
      <c r="F2741" s="18"/>
      <c r="G2741" s="4"/>
      <c r="H2741" s="18"/>
      <c r="I2741" s="91"/>
      <c r="J2741" s="18"/>
      <c r="K2741" s="18"/>
      <c r="L2741" s="18"/>
      <c r="M2741" s="18"/>
    </row>
    <row r="2742" ht="15.0" customHeight="1">
      <c r="A2742" s="18"/>
      <c r="B2742" s="18"/>
      <c r="C2742" s="18"/>
      <c r="D2742" s="18"/>
      <c r="E2742" s="18"/>
      <c r="F2742" s="18"/>
      <c r="G2742" s="4"/>
      <c r="H2742" s="18"/>
      <c r="I2742" s="91"/>
      <c r="J2742" s="18"/>
      <c r="K2742" s="18"/>
      <c r="L2742" s="18"/>
      <c r="M2742" s="18"/>
    </row>
    <row r="2743" ht="15.0" customHeight="1">
      <c r="A2743" s="18"/>
      <c r="B2743" s="18"/>
      <c r="C2743" s="18"/>
      <c r="D2743" s="18"/>
      <c r="E2743" s="18"/>
      <c r="F2743" s="18"/>
      <c r="G2743" s="4"/>
      <c r="H2743" s="18"/>
      <c r="I2743" s="91"/>
      <c r="J2743" s="18"/>
      <c r="K2743" s="18"/>
      <c r="L2743" s="18"/>
      <c r="M2743" s="18"/>
    </row>
    <row r="2744" ht="15.0" customHeight="1">
      <c r="A2744" s="18"/>
      <c r="B2744" s="18"/>
      <c r="C2744" s="18"/>
      <c r="D2744" s="18"/>
      <c r="E2744" s="18"/>
      <c r="F2744" s="18"/>
      <c r="G2744" s="4"/>
      <c r="H2744" s="18"/>
      <c r="I2744" s="91"/>
      <c r="J2744" s="18"/>
      <c r="K2744" s="18"/>
      <c r="L2744" s="18"/>
      <c r="M2744" s="18"/>
    </row>
    <row r="2745" ht="15.0" customHeight="1">
      <c r="A2745" s="18"/>
      <c r="B2745" s="18"/>
      <c r="C2745" s="18"/>
      <c r="D2745" s="18"/>
      <c r="E2745" s="18"/>
      <c r="F2745" s="18"/>
      <c r="G2745" s="4"/>
      <c r="H2745" s="18"/>
      <c r="I2745" s="91"/>
      <c r="J2745" s="18"/>
      <c r="K2745" s="18"/>
      <c r="L2745" s="18"/>
      <c r="M2745" s="18"/>
    </row>
    <row r="2746" ht="15.0" customHeight="1">
      <c r="A2746" s="18"/>
      <c r="B2746" s="18"/>
      <c r="C2746" s="18"/>
      <c r="D2746" s="18"/>
      <c r="E2746" s="18"/>
      <c r="F2746" s="18"/>
      <c r="G2746" s="4"/>
      <c r="H2746" s="18"/>
      <c r="I2746" s="91"/>
      <c r="J2746" s="18"/>
      <c r="K2746" s="18"/>
      <c r="L2746" s="18"/>
      <c r="M2746" s="18"/>
    </row>
    <row r="2747" ht="15.0" customHeight="1">
      <c r="A2747" s="18"/>
      <c r="B2747" s="18"/>
      <c r="C2747" s="18"/>
      <c r="D2747" s="18"/>
      <c r="E2747" s="18"/>
      <c r="F2747" s="18"/>
      <c r="G2747" s="4"/>
      <c r="H2747" s="18"/>
      <c r="I2747" s="91"/>
      <c r="J2747" s="18"/>
      <c r="K2747" s="18"/>
      <c r="L2747" s="18"/>
      <c r="M2747" s="18"/>
    </row>
    <row r="2748" ht="15.0" customHeight="1">
      <c r="A2748" s="18"/>
      <c r="B2748" s="18"/>
      <c r="C2748" s="18"/>
      <c r="D2748" s="18"/>
      <c r="E2748" s="18"/>
      <c r="F2748" s="18"/>
      <c r="G2748" s="4"/>
      <c r="H2748" s="18"/>
      <c r="I2748" s="91"/>
      <c r="J2748" s="18"/>
      <c r="K2748" s="18"/>
      <c r="L2748" s="18"/>
      <c r="M2748" s="18"/>
    </row>
    <row r="2749" ht="15.0" customHeight="1">
      <c r="A2749" s="18"/>
      <c r="B2749" s="18"/>
      <c r="C2749" s="18"/>
      <c r="D2749" s="18"/>
      <c r="E2749" s="18"/>
      <c r="F2749" s="18"/>
      <c r="G2749" s="4"/>
      <c r="H2749" s="18"/>
      <c r="I2749" s="91"/>
      <c r="J2749" s="18"/>
      <c r="K2749" s="18"/>
      <c r="L2749" s="18"/>
      <c r="M2749" s="18"/>
    </row>
    <row r="2750" ht="15.0" customHeight="1">
      <c r="A2750" s="18"/>
      <c r="B2750" s="18"/>
      <c r="C2750" s="18"/>
      <c r="D2750" s="18"/>
      <c r="E2750" s="18"/>
      <c r="F2750" s="18"/>
      <c r="G2750" s="4"/>
      <c r="H2750" s="18"/>
      <c r="I2750" s="91"/>
      <c r="J2750" s="18"/>
      <c r="K2750" s="18"/>
      <c r="L2750" s="18"/>
      <c r="M2750" s="18"/>
    </row>
    <row r="2751" ht="15.0" customHeight="1">
      <c r="A2751" s="18"/>
      <c r="B2751" s="18"/>
      <c r="C2751" s="18"/>
      <c r="D2751" s="18"/>
      <c r="E2751" s="18"/>
      <c r="F2751" s="18"/>
      <c r="G2751" s="4"/>
      <c r="H2751" s="18"/>
      <c r="I2751" s="91"/>
      <c r="J2751" s="18"/>
      <c r="K2751" s="18"/>
      <c r="L2751" s="18"/>
      <c r="M2751" s="18"/>
    </row>
    <row r="2752" ht="15.0" customHeight="1">
      <c r="A2752" s="18"/>
      <c r="B2752" s="18"/>
      <c r="C2752" s="18"/>
      <c r="D2752" s="18"/>
      <c r="E2752" s="18"/>
      <c r="F2752" s="18"/>
      <c r="G2752" s="4"/>
      <c r="H2752" s="18"/>
      <c r="I2752" s="91"/>
      <c r="J2752" s="18"/>
      <c r="K2752" s="18"/>
      <c r="L2752" s="18"/>
      <c r="M2752" s="18"/>
    </row>
    <row r="2753" ht="15.0" customHeight="1">
      <c r="A2753" s="18"/>
      <c r="B2753" s="18"/>
      <c r="C2753" s="18"/>
      <c r="D2753" s="18"/>
      <c r="E2753" s="18"/>
      <c r="F2753" s="18"/>
      <c r="G2753" s="4"/>
      <c r="H2753" s="18"/>
      <c r="I2753" s="91"/>
      <c r="J2753" s="18"/>
      <c r="K2753" s="18"/>
      <c r="L2753" s="18"/>
      <c r="M2753" s="18"/>
    </row>
    <row r="2754" ht="15.0" customHeight="1">
      <c r="A2754" s="18"/>
      <c r="B2754" s="18"/>
      <c r="C2754" s="18"/>
      <c r="D2754" s="18"/>
      <c r="E2754" s="18"/>
      <c r="F2754" s="18"/>
      <c r="G2754" s="4"/>
      <c r="H2754" s="18"/>
      <c r="I2754" s="91"/>
      <c r="J2754" s="18"/>
      <c r="K2754" s="18"/>
      <c r="L2754" s="18"/>
      <c r="M2754" s="18"/>
    </row>
    <row r="2755" ht="15.0" customHeight="1">
      <c r="A2755" s="18"/>
      <c r="B2755" s="18"/>
      <c r="C2755" s="18"/>
      <c r="D2755" s="18"/>
      <c r="E2755" s="18"/>
      <c r="F2755" s="18"/>
      <c r="G2755" s="4"/>
      <c r="H2755" s="18"/>
      <c r="I2755" s="91"/>
      <c r="J2755" s="18"/>
      <c r="K2755" s="18"/>
      <c r="L2755" s="18"/>
      <c r="M2755" s="18"/>
    </row>
    <row r="2756" ht="15.0" customHeight="1">
      <c r="A2756" s="18"/>
      <c r="B2756" s="18"/>
      <c r="C2756" s="18"/>
      <c r="D2756" s="18"/>
      <c r="E2756" s="18"/>
      <c r="F2756" s="18"/>
      <c r="G2756" s="4"/>
      <c r="H2756" s="18"/>
      <c r="I2756" s="91"/>
      <c r="J2756" s="18"/>
      <c r="K2756" s="18"/>
      <c r="L2756" s="18"/>
      <c r="M2756" s="18"/>
    </row>
    <row r="2757" ht="15.0" customHeight="1">
      <c r="A2757" s="18"/>
      <c r="B2757" s="18"/>
      <c r="C2757" s="18"/>
      <c r="D2757" s="18"/>
      <c r="E2757" s="18"/>
      <c r="F2757" s="18"/>
      <c r="G2757" s="4"/>
      <c r="H2757" s="18"/>
      <c r="I2757" s="91"/>
      <c r="J2757" s="18"/>
      <c r="K2757" s="18"/>
      <c r="L2757" s="18"/>
      <c r="M2757" s="18"/>
    </row>
    <row r="2758" ht="15.0" customHeight="1">
      <c r="A2758" s="18"/>
      <c r="B2758" s="18"/>
      <c r="C2758" s="18"/>
      <c r="D2758" s="18"/>
      <c r="E2758" s="18"/>
      <c r="F2758" s="18"/>
      <c r="G2758" s="4"/>
      <c r="H2758" s="18"/>
      <c r="I2758" s="91"/>
      <c r="J2758" s="18"/>
      <c r="K2758" s="18"/>
      <c r="L2758" s="18"/>
      <c r="M2758" s="18"/>
    </row>
    <row r="2759" ht="15.0" customHeight="1">
      <c r="A2759" s="18"/>
      <c r="B2759" s="18"/>
      <c r="C2759" s="18"/>
      <c r="D2759" s="18"/>
      <c r="E2759" s="18"/>
      <c r="F2759" s="18"/>
      <c r="G2759" s="4"/>
      <c r="H2759" s="18"/>
      <c r="I2759" s="91"/>
      <c r="J2759" s="18"/>
      <c r="K2759" s="18"/>
      <c r="L2759" s="18"/>
      <c r="M2759" s="18"/>
    </row>
    <row r="2760" ht="15.0" customHeight="1">
      <c r="A2760" s="18"/>
      <c r="B2760" s="18"/>
      <c r="C2760" s="18"/>
      <c r="D2760" s="18"/>
      <c r="E2760" s="18"/>
      <c r="F2760" s="18"/>
      <c r="G2760" s="4"/>
      <c r="H2760" s="18"/>
      <c r="I2760" s="91"/>
      <c r="J2760" s="18"/>
      <c r="K2760" s="18"/>
      <c r="L2760" s="18"/>
      <c r="M2760" s="18"/>
    </row>
    <row r="2761" ht="15.0" customHeight="1">
      <c r="A2761" s="18"/>
      <c r="B2761" s="18"/>
      <c r="C2761" s="18"/>
      <c r="D2761" s="18"/>
      <c r="E2761" s="18"/>
      <c r="F2761" s="18"/>
      <c r="G2761" s="4"/>
      <c r="H2761" s="18"/>
      <c r="I2761" s="91"/>
      <c r="J2761" s="18"/>
      <c r="K2761" s="18"/>
      <c r="L2761" s="18"/>
      <c r="M2761" s="18"/>
    </row>
    <row r="2762" ht="15.0" customHeight="1">
      <c r="A2762" s="18"/>
      <c r="B2762" s="18"/>
      <c r="C2762" s="18"/>
      <c r="D2762" s="18"/>
      <c r="E2762" s="18"/>
      <c r="F2762" s="18"/>
      <c r="G2762" s="4"/>
      <c r="H2762" s="18"/>
      <c r="I2762" s="91"/>
      <c r="J2762" s="18"/>
      <c r="K2762" s="18"/>
      <c r="L2762" s="18"/>
      <c r="M2762" s="18"/>
    </row>
    <row r="2763" ht="15.0" customHeight="1">
      <c r="A2763" s="18"/>
      <c r="B2763" s="18"/>
      <c r="C2763" s="18"/>
      <c r="D2763" s="18"/>
      <c r="E2763" s="18"/>
      <c r="F2763" s="18"/>
      <c r="G2763" s="4"/>
      <c r="H2763" s="18"/>
      <c r="I2763" s="91"/>
      <c r="J2763" s="18"/>
      <c r="K2763" s="18"/>
      <c r="L2763" s="18"/>
      <c r="M2763" s="18"/>
    </row>
    <row r="2764" ht="15.0" customHeight="1">
      <c r="A2764" s="18"/>
      <c r="B2764" s="18"/>
      <c r="C2764" s="18"/>
      <c r="D2764" s="18"/>
      <c r="E2764" s="18"/>
      <c r="F2764" s="18"/>
      <c r="G2764" s="4"/>
      <c r="H2764" s="18"/>
      <c r="I2764" s="91"/>
      <c r="J2764" s="18"/>
      <c r="K2764" s="18"/>
      <c r="L2764" s="18"/>
      <c r="M2764" s="18"/>
    </row>
    <row r="2765" ht="15.0" customHeight="1">
      <c r="A2765" s="18"/>
      <c r="B2765" s="18"/>
      <c r="C2765" s="18"/>
      <c r="D2765" s="18"/>
      <c r="E2765" s="18"/>
      <c r="F2765" s="18"/>
      <c r="G2765" s="4"/>
      <c r="H2765" s="18"/>
      <c r="I2765" s="91"/>
      <c r="J2765" s="18"/>
      <c r="K2765" s="18"/>
      <c r="L2765" s="18"/>
      <c r="M2765" s="18"/>
    </row>
    <row r="2766" ht="15.0" customHeight="1">
      <c r="A2766" s="18"/>
      <c r="B2766" s="18"/>
      <c r="C2766" s="18"/>
      <c r="D2766" s="18"/>
      <c r="E2766" s="18"/>
      <c r="F2766" s="18"/>
      <c r="G2766" s="4"/>
      <c r="H2766" s="18"/>
      <c r="I2766" s="91"/>
      <c r="J2766" s="18"/>
      <c r="K2766" s="18"/>
      <c r="L2766" s="18"/>
      <c r="M2766" s="18"/>
    </row>
    <row r="2767" ht="15.0" customHeight="1">
      <c r="A2767" s="18"/>
      <c r="B2767" s="18"/>
      <c r="C2767" s="18"/>
      <c r="D2767" s="18"/>
      <c r="E2767" s="18"/>
      <c r="F2767" s="18"/>
      <c r="G2767" s="4"/>
      <c r="H2767" s="18"/>
      <c r="I2767" s="91"/>
      <c r="J2767" s="18"/>
      <c r="K2767" s="18"/>
      <c r="L2767" s="18"/>
      <c r="M2767" s="18"/>
    </row>
    <row r="2768" ht="15.0" customHeight="1">
      <c r="A2768" s="18"/>
      <c r="B2768" s="18"/>
      <c r="C2768" s="18"/>
      <c r="D2768" s="18"/>
      <c r="E2768" s="18"/>
      <c r="F2768" s="18"/>
      <c r="G2768" s="4"/>
      <c r="H2768" s="18"/>
      <c r="I2768" s="91"/>
      <c r="J2768" s="18"/>
      <c r="K2768" s="18"/>
      <c r="L2768" s="18"/>
      <c r="M2768" s="18"/>
    </row>
    <row r="2769" ht="15.0" customHeight="1">
      <c r="A2769" s="18"/>
      <c r="B2769" s="18"/>
      <c r="C2769" s="18"/>
      <c r="D2769" s="18"/>
      <c r="E2769" s="18"/>
      <c r="F2769" s="18"/>
      <c r="G2769" s="4"/>
      <c r="H2769" s="18"/>
      <c r="I2769" s="91"/>
      <c r="J2769" s="18"/>
      <c r="K2769" s="18"/>
      <c r="L2769" s="18"/>
      <c r="M2769" s="18"/>
    </row>
    <row r="2770" ht="15.0" customHeight="1">
      <c r="A2770" s="18"/>
      <c r="B2770" s="18"/>
      <c r="C2770" s="18"/>
      <c r="D2770" s="18"/>
      <c r="E2770" s="18"/>
      <c r="F2770" s="18"/>
      <c r="G2770" s="4"/>
      <c r="H2770" s="18"/>
      <c r="I2770" s="91"/>
      <c r="J2770" s="18"/>
      <c r="K2770" s="18"/>
      <c r="L2770" s="18"/>
      <c r="M2770" s="18"/>
    </row>
    <row r="2771" ht="15.0" customHeight="1">
      <c r="A2771" s="18"/>
      <c r="B2771" s="18"/>
      <c r="C2771" s="18"/>
      <c r="D2771" s="18"/>
      <c r="E2771" s="18"/>
      <c r="F2771" s="18"/>
      <c r="G2771" s="4"/>
      <c r="H2771" s="18"/>
      <c r="I2771" s="91"/>
      <c r="J2771" s="18"/>
      <c r="K2771" s="18"/>
      <c r="L2771" s="18"/>
      <c r="M2771" s="18"/>
    </row>
    <row r="2772" ht="15.0" customHeight="1">
      <c r="A2772" s="18"/>
      <c r="B2772" s="18"/>
      <c r="C2772" s="18"/>
      <c r="D2772" s="18"/>
      <c r="E2772" s="18"/>
      <c r="F2772" s="18"/>
      <c r="G2772" s="4"/>
      <c r="H2772" s="18"/>
      <c r="I2772" s="91"/>
      <c r="J2772" s="18"/>
      <c r="K2772" s="18"/>
      <c r="L2772" s="18"/>
      <c r="M2772" s="18"/>
    </row>
    <row r="2773" ht="15.0" customHeight="1">
      <c r="A2773" s="18"/>
      <c r="B2773" s="18"/>
      <c r="C2773" s="18"/>
      <c r="D2773" s="18"/>
      <c r="E2773" s="18"/>
      <c r="F2773" s="18"/>
      <c r="G2773" s="4"/>
      <c r="H2773" s="18"/>
      <c r="I2773" s="91"/>
      <c r="J2773" s="18"/>
      <c r="K2773" s="18"/>
      <c r="L2773" s="18"/>
      <c r="M2773" s="18"/>
    </row>
    <row r="2774" ht="15.0" customHeight="1">
      <c r="A2774" s="18"/>
      <c r="B2774" s="18"/>
      <c r="C2774" s="18"/>
      <c r="D2774" s="18"/>
      <c r="E2774" s="18"/>
      <c r="F2774" s="18"/>
      <c r="G2774" s="4"/>
      <c r="H2774" s="18"/>
      <c r="I2774" s="91"/>
      <c r="J2774" s="18"/>
      <c r="K2774" s="18"/>
      <c r="L2774" s="18"/>
      <c r="M2774" s="18"/>
    </row>
    <row r="2775" ht="15.0" customHeight="1">
      <c r="A2775" s="18"/>
      <c r="B2775" s="18"/>
      <c r="C2775" s="18"/>
      <c r="D2775" s="18"/>
      <c r="E2775" s="18"/>
      <c r="F2775" s="18"/>
      <c r="G2775" s="4"/>
      <c r="H2775" s="18"/>
      <c r="I2775" s="91"/>
      <c r="J2775" s="18"/>
      <c r="K2775" s="18"/>
      <c r="L2775" s="18"/>
      <c r="M2775" s="18"/>
    </row>
    <row r="2776" ht="15.0" customHeight="1">
      <c r="A2776" s="18"/>
      <c r="B2776" s="18"/>
      <c r="C2776" s="18"/>
      <c r="D2776" s="18"/>
      <c r="E2776" s="18"/>
      <c r="F2776" s="18"/>
      <c r="G2776" s="4"/>
      <c r="H2776" s="18"/>
      <c r="I2776" s="91"/>
      <c r="J2776" s="18"/>
      <c r="K2776" s="18"/>
      <c r="L2776" s="18"/>
      <c r="M2776" s="18"/>
    </row>
    <row r="2777" ht="15.0" customHeight="1">
      <c r="A2777" s="18"/>
      <c r="B2777" s="18"/>
      <c r="C2777" s="18"/>
      <c r="D2777" s="18"/>
      <c r="E2777" s="18"/>
      <c r="F2777" s="18"/>
      <c r="G2777" s="4"/>
      <c r="H2777" s="18"/>
      <c r="I2777" s="91"/>
      <c r="J2777" s="18"/>
      <c r="K2777" s="18"/>
      <c r="L2777" s="18"/>
      <c r="M2777" s="18"/>
    </row>
    <row r="2778" ht="15.0" customHeight="1">
      <c r="A2778" s="18"/>
      <c r="B2778" s="18"/>
      <c r="C2778" s="18"/>
      <c r="D2778" s="18"/>
      <c r="E2778" s="18"/>
      <c r="F2778" s="18"/>
      <c r="G2778" s="4"/>
      <c r="H2778" s="18"/>
      <c r="I2778" s="91"/>
      <c r="J2778" s="18"/>
      <c r="K2778" s="18"/>
      <c r="L2778" s="18"/>
      <c r="M2778" s="18"/>
    </row>
    <row r="2779" ht="15.0" customHeight="1">
      <c r="A2779" s="18"/>
      <c r="B2779" s="18"/>
      <c r="C2779" s="18"/>
      <c r="D2779" s="18"/>
      <c r="E2779" s="18"/>
      <c r="F2779" s="18"/>
      <c r="G2779" s="4"/>
      <c r="H2779" s="18"/>
      <c r="I2779" s="91"/>
      <c r="J2779" s="18"/>
      <c r="K2779" s="18"/>
      <c r="L2779" s="18"/>
      <c r="M2779" s="18"/>
    </row>
    <row r="2780" ht="15.0" customHeight="1">
      <c r="A2780" s="18"/>
      <c r="B2780" s="18"/>
      <c r="C2780" s="18"/>
      <c r="D2780" s="18"/>
      <c r="E2780" s="18"/>
      <c r="F2780" s="18"/>
      <c r="G2780" s="4"/>
      <c r="H2780" s="18"/>
      <c r="I2780" s="91"/>
      <c r="J2780" s="18"/>
      <c r="K2780" s="18"/>
      <c r="L2780" s="18"/>
      <c r="M2780" s="18"/>
    </row>
    <row r="2781" ht="15.0" customHeight="1">
      <c r="A2781" s="18"/>
      <c r="B2781" s="18"/>
      <c r="C2781" s="18"/>
      <c r="D2781" s="18"/>
      <c r="E2781" s="18"/>
      <c r="F2781" s="18"/>
      <c r="G2781" s="4"/>
      <c r="H2781" s="18"/>
      <c r="I2781" s="91"/>
      <c r="J2781" s="18"/>
      <c r="K2781" s="18"/>
      <c r="L2781" s="18"/>
      <c r="M2781" s="18"/>
    </row>
    <row r="2782" ht="15.0" customHeight="1">
      <c r="A2782" s="18"/>
      <c r="B2782" s="18"/>
      <c r="C2782" s="18"/>
      <c r="D2782" s="18"/>
      <c r="E2782" s="18"/>
      <c r="F2782" s="18"/>
      <c r="G2782" s="4"/>
      <c r="H2782" s="18"/>
      <c r="I2782" s="91"/>
      <c r="J2782" s="18"/>
      <c r="K2782" s="18"/>
      <c r="L2782" s="18"/>
      <c r="M2782" s="18"/>
    </row>
    <row r="2783" ht="15.0" customHeight="1">
      <c r="A2783" s="18"/>
      <c r="B2783" s="18"/>
      <c r="C2783" s="18"/>
      <c r="D2783" s="18"/>
      <c r="E2783" s="18"/>
      <c r="F2783" s="18"/>
      <c r="G2783" s="4"/>
      <c r="H2783" s="18"/>
      <c r="I2783" s="91"/>
      <c r="J2783" s="18"/>
      <c r="K2783" s="18"/>
      <c r="L2783" s="18"/>
      <c r="M2783" s="18"/>
    </row>
    <row r="2784" ht="15.0" customHeight="1">
      <c r="A2784" s="18"/>
      <c r="B2784" s="18"/>
      <c r="C2784" s="18"/>
      <c r="D2784" s="18"/>
      <c r="E2784" s="18"/>
      <c r="F2784" s="18"/>
      <c r="G2784" s="4"/>
      <c r="H2784" s="18"/>
      <c r="I2784" s="91"/>
      <c r="J2784" s="18"/>
      <c r="K2784" s="18"/>
      <c r="L2784" s="18"/>
      <c r="M2784" s="18"/>
    </row>
    <row r="2785" ht="15.0" customHeight="1">
      <c r="A2785" s="18"/>
      <c r="B2785" s="18"/>
      <c r="C2785" s="18"/>
      <c r="D2785" s="18"/>
      <c r="E2785" s="18"/>
      <c r="F2785" s="18"/>
      <c r="G2785" s="4"/>
      <c r="H2785" s="18"/>
      <c r="I2785" s="91"/>
      <c r="J2785" s="18"/>
      <c r="K2785" s="18"/>
      <c r="L2785" s="18"/>
      <c r="M2785" s="18"/>
    </row>
    <row r="2786" ht="15.0" customHeight="1">
      <c r="A2786" s="18"/>
      <c r="B2786" s="18"/>
      <c r="C2786" s="18"/>
      <c r="D2786" s="18"/>
      <c r="E2786" s="18"/>
      <c r="F2786" s="18"/>
      <c r="G2786" s="4"/>
      <c r="H2786" s="18"/>
      <c r="I2786" s="91"/>
      <c r="J2786" s="18"/>
      <c r="K2786" s="18"/>
      <c r="L2786" s="18"/>
      <c r="M2786" s="18"/>
    </row>
    <row r="2787" ht="15.0" customHeight="1">
      <c r="A2787" s="18"/>
      <c r="B2787" s="18"/>
      <c r="C2787" s="18"/>
      <c r="D2787" s="18"/>
      <c r="E2787" s="18"/>
      <c r="F2787" s="18"/>
      <c r="G2787" s="4"/>
      <c r="H2787" s="18"/>
      <c r="I2787" s="91"/>
      <c r="J2787" s="18"/>
      <c r="K2787" s="18"/>
      <c r="L2787" s="18"/>
      <c r="M2787" s="18"/>
    </row>
    <row r="2788" ht="15.0" customHeight="1">
      <c r="A2788" s="18"/>
      <c r="B2788" s="18"/>
      <c r="C2788" s="18"/>
      <c r="D2788" s="18"/>
      <c r="E2788" s="18"/>
      <c r="F2788" s="18"/>
      <c r="G2788" s="4"/>
      <c r="H2788" s="18"/>
      <c r="I2788" s="91"/>
      <c r="J2788" s="18"/>
      <c r="K2788" s="18"/>
      <c r="L2788" s="18"/>
      <c r="M2788" s="18"/>
    </row>
    <row r="2789" ht="15.0" customHeight="1">
      <c r="A2789" s="18"/>
      <c r="B2789" s="18"/>
      <c r="C2789" s="18"/>
      <c r="D2789" s="18"/>
      <c r="E2789" s="18"/>
      <c r="F2789" s="18"/>
      <c r="G2789" s="4"/>
      <c r="H2789" s="18"/>
      <c r="I2789" s="91"/>
      <c r="J2789" s="18"/>
      <c r="K2789" s="18"/>
      <c r="L2789" s="18"/>
      <c r="M2789" s="18"/>
    </row>
    <row r="2790" ht="15.0" customHeight="1">
      <c r="A2790" s="18"/>
      <c r="B2790" s="18"/>
      <c r="C2790" s="18"/>
      <c r="D2790" s="18"/>
      <c r="E2790" s="18"/>
      <c r="F2790" s="18"/>
      <c r="G2790" s="4"/>
      <c r="H2790" s="18"/>
      <c r="I2790" s="91"/>
      <c r="J2790" s="18"/>
      <c r="K2790" s="18"/>
      <c r="L2790" s="18"/>
      <c r="M2790" s="18"/>
    </row>
    <row r="2791" ht="15.0" customHeight="1">
      <c r="A2791" s="18"/>
      <c r="B2791" s="18"/>
      <c r="C2791" s="18"/>
      <c r="D2791" s="18"/>
      <c r="E2791" s="18"/>
      <c r="F2791" s="18"/>
      <c r="G2791" s="4"/>
      <c r="H2791" s="18"/>
      <c r="I2791" s="91"/>
      <c r="J2791" s="18"/>
      <c r="K2791" s="18"/>
      <c r="L2791" s="18"/>
      <c r="M2791" s="18"/>
    </row>
    <row r="2792" ht="15.0" customHeight="1">
      <c r="A2792" s="18"/>
      <c r="B2792" s="18"/>
      <c r="C2792" s="18"/>
      <c r="D2792" s="18"/>
      <c r="E2792" s="18"/>
      <c r="F2792" s="18"/>
      <c r="G2792" s="4"/>
      <c r="H2792" s="18"/>
      <c r="I2792" s="91"/>
      <c r="J2792" s="18"/>
      <c r="K2792" s="18"/>
      <c r="L2792" s="18"/>
      <c r="M2792" s="18"/>
    </row>
    <row r="2793" ht="15.0" customHeight="1">
      <c r="A2793" s="18"/>
      <c r="B2793" s="18"/>
      <c r="C2793" s="18"/>
      <c r="D2793" s="18"/>
      <c r="E2793" s="18"/>
      <c r="F2793" s="18"/>
      <c r="G2793" s="4"/>
      <c r="H2793" s="18"/>
      <c r="I2793" s="91"/>
      <c r="J2793" s="18"/>
      <c r="K2793" s="18"/>
      <c r="L2793" s="18"/>
      <c r="M2793" s="18"/>
    </row>
    <row r="2794" ht="15.0" customHeight="1">
      <c r="A2794" s="18"/>
      <c r="B2794" s="18"/>
      <c r="C2794" s="18"/>
      <c r="D2794" s="18"/>
      <c r="E2794" s="18"/>
      <c r="F2794" s="18"/>
      <c r="G2794" s="4"/>
      <c r="H2794" s="18"/>
      <c r="I2794" s="91"/>
      <c r="J2794" s="18"/>
      <c r="K2794" s="18"/>
      <c r="L2794" s="18"/>
      <c r="M2794" s="18"/>
    </row>
    <row r="2795" ht="15.0" customHeight="1">
      <c r="A2795" s="18"/>
      <c r="B2795" s="18"/>
      <c r="C2795" s="18"/>
      <c r="D2795" s="18"/>
      <c r="E2795" s="18"/>
      <c r="F2795" s="18"/>
      <c r="G2795" s="4"/>
      <c r="H2795" s="18"/>
      <c r="I2795" s="91"/>
      <c r="J2795" s="18"/>
      <c r="K2795" s="18"/>
      <c r="L2795" s="18"/>
      <c r="M2795" s="18"/>
    </row>
    <row r="2796" ht="15.0" customHeight="1">
      <c r="A2796" s="18"/>
      <c r="B2796" s="18"/>
      <c r="C2796" s="18"/>
      <c r="D2796" s="18"/>
      <c r="E2796" s="18"/>
      <c r="F2796" s="18"/>
      <c r="G2796" s="4"/>
      <c r="H2796" s="18"/>
      <c r="I2796" s="91"/>
      <c r="J2796" s="18"/>
      <c r="K2796" s="18"/>
      <c r="L2796" s="18"/>
      <c r="M2796" s="18"/>
    </row>
    <row r="2797" ht="15.0" customHeight="1">
      <c r="A2797" s="18"/>
      <c r="B2797" s="18"/>
      <c r="C2797" s="18"/>
      <c r="D2797" s="18"/>
      <c r="E2797" s="18"/>
      <c r="F2797" s="18"/>
      <c r="G2797" s="4"/>
      <c r="H2797" s="18"/>
      <c r="I2797" s="91"/>
      <c r="J2797" s="18"/>
      <c r="K2797" s="18"/>
      <c r="L2797" s="18"/>
      <c r="M2797" s="18"/>
    </row>
    <row r="2798" ht="15.0" customHeight="1">
      <c r="A2798" s="18"/>
      <c r="B2798" s="18"/>
      <c r="C2798" s="18"/>
      <c r="D2798" s="18"/>
      <c r="E2798" s="18"/>
      <c r="F2798" s="18"/>
      <c r="G2798" s="4"/>
      <c r="H2798" s="18"/>
      <c r="I2798" s="91"/>
      <c r="J2798" s="18"/>
      <c r="K2798" s="18"/>
      <c r="L2798" s="18"/>
      <c r="M2798" s="18"/>
    </row>
    <row r="2799" ht="15.0" customHeight="1">
      <c r="A2799" s="18"/>
      <c r="B2799" s="18"/>
      <c r="C2799" s="18"/>
      <c r="D2799" s="18"/>
      <c r="E2799" s="18"/>
      <c r="F2799" s="18"/>
      <c r="G2799" s="4"/>
      <c r="H2799" s="18"/>
      <c r="I2799" s="91"/>
      <c r="J2799" s="18"/>
      <c r="K2799" s="18"/>
      <c r="L2799" s="18"/>
      <c r="M2799" s="18"/>
    </row>
    <row r="2800" ht="15.0" customHeight="1">
      <c r="A2800" s="18"/>
      <c r="B2800" s="18"/>
      <c r="C2800" s="18"/>
      <c r="D2800" s="18"/>
      <c r="E2800" s="18"/>
      <c r="F2800" s="18"/>
      <c r="G2800" s="4"/>
      <c r="H2800" s="18"/>
      <c r="I2800" s="91"/>
      <c r="J2800" s="18"/>
      <c r="K2800" s="18"/>
      <c r="L2800" s="18"/>
      <c r="M2800" s="18"/>
    </row>
    <row r="2801" ht="15.0" customHeight="1">
      <c r="A2801" s="18"/>
      <c r="B2801" s="18"/>
      <c r="C2801" s="18"/>
      <c r="D2801" s="18"/>
      <c r="E2801" s="18"/>
      <c r="F2801" s="18"/>
      <c r="G2801" s="4"/>
      <c r="H2801" s="18"/>
      <c r="I2801" s="91"/>
      <c r="J2801" s="18"/>
      <c r="K2801" s="18"/>
      <c r="L2801" s="18"/>
      <c r="M2801" s="18"/>
    </row>
    <row r="2802" ht="15.0" customHeight="1">
      <c r="A2802" s="18"/>
      <c r="B2802" s="18"/>
      <c r="C2802" s="18"/>
      <c r="D2802" s="18"/>
      <c r="E2802" s="18"/>
      <c r="F2802" s="18"/>
      <c r="G2802" s="4"/>
      <c r="H2802" s="18"/>
      <c r="I2802" s="91"/>
      <c r="J2802" s="18"/>
      <c r="K2802" s="18"/>
      <c r="L2802" s="18"/>
      <c r="M2802" s="18"/>
    </row>
    <row r="2803" ht="15.0" customHeight="1">
      <c r="A2803" s="18"/>
      <c r="B2803" s="18"/>
      <c r="C2803" s="18"/>
      <c r="D2803" s="18"/>
      <c r="E2803" s="18"/>
      <c r="F2803" s="18"/>
      <c r="G2803" s="4"/>
      <c r="H2803" s="18"/>
      <c r="I2803" s="91"/>
      <c r="J2803" s="18"/>
      <c r="K2803" s="18"/>
      <c r="L2803" s="18"/>
      <c r="M2803" s="18"/>
    </row>
    <row r="2804" ht="15.0" customHeight="1">
      <c r="A2804" s="18"/>
      <c r="B2804" s="18"/>
      <c r="C2804" s="18"/>
      <c r="D2804" s="18"/>
      <c r="E2804" s="18"/>
      <c r="F2804" s="18"/>
      <c r="G2804" s="4"/>
      <c r="H2804" s="18"/>
      <c r="I2804" s="91"/>
      <c r="J2804" s="18"/>
      <c r="K2804" s="18"/>
      <c r="L2804" s="18"/>
      <c r="M2804" s="18"/>
    </row>
    <row r="2805" ht="15.0" customHeight="1">
      <c r="A2805" s="18"/>
      <c r="B2805" s="18"/>
      <c r="C2805" s="18"/>
      <c r="D2805" s="18"/>
      <c r="E2805" s="18"/>
      <c r="F2805" s="18"/>
      <c r="G2805" s="4"/>
      <c r="H2805" s="18"/>
      <c r="I2805" s="91"/>
      <c r="J2805" s="18"/>
      <c r="K2805" s="18"/>
      <c r="L2805" s="18"/>
      <c r="M2805" s="18"/>
    </row>
    <row r="2806" ht="15.0" customHeight="1">
      <c r="A2806" s="18"/>
      <c r="B2806" s="18"/>
      <c r="C2806" s="18"/>
      <c r="D2806" s="18"/>
      <c r="E2806" s="18"/>
      <c r="F2806" s="18"/>
      <c r="G2806" s="4"/>
      <c r="H2806" s="18"/>
      <c r="I2806" s="91"/>
      <c r="J2806" s="18"/>
      <c r="K2806" s="18"/>
      <c r="L2806" s="18"/>
      <c r="M2806" s="18"/>
    </row>
    <row r="2807" ht="15.0" customHeight="1">
      <c r="A2807" s="18"/>
      <c r="B2807" s="18"/>
      <c r="C2807" s="18"/>
      <c r="D2807" s="18"/>
      <c r="E2807" s="18"/>
      <c r="F2807" s="18"/>
      <c r="G2807" s="4"/>
      <c r="H2807" s="18"/>
      <c r="I2807" s="91"/>
      <c r="J2807" s="18"/>
      <c r="K2807" s="18"/>
      <c r="L2807" s="18"/>
      <c r="M2807" s="18"/>
    </row>
    <row r="2808" ht="15.0" customHeight="1">
      <c r="A2808" s="18"/>
      <c r="B2808" s="18"/>
      <c r="C2808" s="18"/>
      <c r="D2808" s="18"/>
      <c r="E2808" s="18"/>
      <c r="F2808" s="18"/>
      <c r="G2808" s="4"/>
      <c r="H2808" s="18"/>
      <c r="I2808" s="91"/>
      <c r="J2808" s="18"/>
      <c r="K2808" s="18"/>
      <c r="L2808" s="18"/>
      <c r="M2808" s="18"/>
    </row>
    <row r="2809" ht="15.0" customHeight="1">
      <c r="A2809" s="18"/>
      <c r="B2809" s="18"/>
      <c r="C2809" s="18"/>
      <c r="D2809" s="18"/>
      <c r="E2809" s="18"/>
      <c r="F2809" s="18"/>
      <c r="G2809" s="4"/>
      <c r="H2809" s="18"/>
      <c r="I2809" s="91"/>
      <c r="J2809" s="18"/>
      <c r="K2809" s="18"/>
      <c r="L2809" s="18"/>
      <c r="M2809" s="18"/>
    </row>
    <row r="2810" ht="15.0" customHeight="1">
      <c r="A2810" s="18"/>
      <c r="B2810" s="18"/>
      <c r="C2810" s="18"/>
      <c r="D2810" s="18"/>
      <c r="E2810" s="18"/>
      <c r="F2810" s="18"/>
      <c r="G2810" s="4"/>
      <c r="H2810" s="18"/>
      <c r="I2810" s="91"/>
      <c r="J2810" s="18"/>
      <c r="K2810" s="18"/>
      <c r="L2810" s="18"/>
      <c r="M2810" s="18"/>
    </row>
    <row r="2811" ht="15.0" customHeight="1">
      <c r="A2811" s="18"/>
      <c r="B2811" s="18"/>
      <c r="C2811" s="18"/>
      <c r="D2811" s="18"/>
      <c r="E2811" s="18"/>
      <c r="F2811" s="18"/>
      <c r="G2811" s="4"/>
      <c r="H2811" s="18"/>
      <c r="I2811" s="91"/>
      <c r="J2811" s="18"/>
      <c r="K2811" s="18"/>
      <c r="L2811" s="18"/>
      <c r="M2811" s="18"/>
    </row>
    <row r="2812" ht="15.0" customHeight="1">
      <c r="A2812" s="18"/>
      <c r="B2812" s="18"/>
      <c r="C2812" s="18"/>
      <c r="D2812" s="18"/>
      <c r="E2812" s="18"/>
      <c r="F2812" s="18"/>
      <c r="G2812" s="4"/>
      <c r="H2812" s="18"/>
      <c r="I2812" s="91"/>
      <c r="J2812" s="18"/>
      <c r="K2812" s="18"/>
      <c r="L2812" s="18"/>
      <c r="M2812" s="18"/>
    </row>
    <row r="2813" ht="15.0" customHeight="1">
      <c r="A2813" s="18"/>
      <c r="B2813" s="18"/>
      <c r="C2813" s="18"/>
      <c r="D2813" s="18"/>
      <c r="E2813" s="18"/>
      <c r="F2813" s="18"/>
      <c r="G2813" s="4"/>
      <c r="H2813" s="18"/>
      <c r="I2813" s="91"/>
      <c r="J2813" s="18"/>
      <c r="K2813" s="18"/>
      <c r="L2813" s="18"/>
      <c r="M2813" s="18"/>
    </row>
    <row r="2814" ht="15.0" customHeight="1">
      <c r="A2814" s="18"/>
      <c r="B2814" s="18"/>
      <c r="C2814" s="18"/>
      <c r="D2814" s="18"/>
      <c r="E2814" s="18"/>
      <c r="F2814" s="18"/>
      <c r="G2814" s="4"/>
      <c r="H2814" s="18"/>
      <c r="I2814" s="91"/>
      <c r="J2814" s="18"/>
      <c r="K2814" s="18"/>
      <c r="L2814" s="18"/>
      <c r="M2814" s="18"/>
    </row>
    <row r="2815" ht="15.0" customHeight="1">
      <c r="A2815" s="18"/>
      <c r="B2815" s="18"/>
      <c r="C2815" s="18"/>
      <c r="D2815" s="18"/>
      <c r="E2815" s="18"/>
      <c r="F2815" s="18"/>
      <c r="G2815" s="4"/>
      <c r="H2815" s="18"/>
      <c r="I2815" s="91"/>
      <c r="J2815" s="18"/>
      <c r="K2815" s="18"/>
      <c r="L2815" s="18"/>
      <c r="M2815" s="18"/>
    </row>
    <row r="2816" ht="15.0" customHeight="1">
      <c r="A2816" s="18"/>
      <c r="B2816" s="18"/>
      <c r="C2816" s="18"/>
      <c r="D2816" s="18"/>
      <c r="E2816" s="18"/>
      <c r="F2816" s="18"/>
      <c r="G2816" s="4"/>
      <c r="H2816" s="18"/>
      <c r="I2816" s="91"/>
      <c r="J2816" s="18"/>
      <c r="K2816" s="18"/>
      <c r="L2816" s="18"/>
      <c r="M2816" s="18"/>
    </row>
    <row r="2817" ht="15.0" customHeight="1">
      <c r="A2817" s="18"/>
      <c r="B2817" s="18"/>
      <c r="C2817" s="18"/>
      <c r="D2817" s="18"/>
      <c r="E2817" s="18"/>
      <c r="F2817" s="18"/>
      <c r="G2817" s="4"/>
      <c r="H2817" s="18"/>
      <c r="I2817" s="91"/>
      <c r="J2817" s="18"/>
      <c r="K2817" s="18"/>
      <c r="L2817" s="18"/>
      <c r="M2817" s="18"/>
    </row>
    <row r="2818" ht="15.0" customHeight="1">
      <c r="A2818" s="18"/>
      <c r="B2818" s="18"/>
      <c r="C2818" s="18"/>
      <c r="D2818" s="18"/>
      <c r="E2818" s="18"/>
      <c r="F2818" s="18"/>
      <c r="G2818" s="4"/>
      <c r="H2818" s="18"/>
      <c r="I2818" s="91"/>
      <c r="J2818" s="18"/>
      <c r="K2818" s="18"/>
      <c r="L2818" s="18"/>
      <c r="M2818" s="18"/>
    </row>
    <row r="2819" ht="15.0" customHeight="1">
      <c r="A2819" s="18"/>
      <c r="B2819" s="18"/>
      <c r="C2819" s="18"/>
      <c r="D2819" s="18"/>
      <c r="E2819" s="18"/>
      <c r="F2819" s="18"/>
      <c r="G2819" s="4"/>
      <c r="H2819" s="18"/>
      <c r="I2819" s="91"/>
      <c r="J2819" s="18"/>
      <c r="K2819" s="18"/>
      <c r="L2819" s="18"/>
      <c r="M2819" s="18"/>
    </row>
    <row r="2820" ht="15.0" customHeight="1">
      <c r="A2820" s="18"/>
      <c r="B2820" s="18"/>
      <c r="C2820" s="18"/>
      <c r="D2820" s="18"/>
      <c r="E2820" s="18"/>
      <c r="F2820" s="18"/>
      <c r="G2820" s="4"/>
      <c r="H2820" s="18"/>
      <c r="I2820" s="91"/>
      <c r="J2820" s="18"/>
      <c r="K2820" s="18"/>
      <c r="L2820" s="18"/>
      <c r="M2820" s="18"/>
    </row>
    <row r="2821" ht="15.0" customHeight="1">
      <c r="A2821" s="18"/>
      <c r="B2821" s="18"/>
      <c r="C2821" s="18"/>
      <c r="D2821" s="18"/>
      <c r="E2821" s="18"/>
      <c r="F2821" s="18"/>
      <c r="G2821" s="4"/>
      <c r="H2821" s="18"/>
      <c r="I2821" s="91"/>
      <c r="J2821" s="18"/>
      <c r="K2821" s="18"/>
      <c r="L2821" s="18"/>
      <c r="M2821" s="18"/>
    </row>
    <row r="2822" ht="15.0" customHeight="1">
      <c r="A2822" s="18"/>
      <c r="B2822" s="18"/>
      <c r="C2822" s="18"/>
      <c r="D2822" s="18"/>
      <c r="E2822" s="18"/>
      <c r="F2822" s="18"/>
      <c r="G2822" s="4"/>
      <c r="H2822" s="18"/>
      <c r="I2822" s="91"/>
      <c r="J2822" s="18"/>
      <c r="K2822" s="18"/>
      <c r="L2822" s="18"/>
      <c r="M2822" s="18"/>
    </row>
    <row r="2823" ht="15.0" customHeight="1">
      <c r="A2823" s="18"/>
      <c r="B2823" s="18"/>
      <c r="C2823" s="18"/>
      <c r="D2823" s="18"/>
      <c r="E2823" s="18"/>
      <c r="F2823" s="18"/>
      <c r="G2823" s="4"/>
      <c r="H2823" s="18"/>
      <c r="I2823" s="91"/>
      <c r="J2823" s="18"/>
      <c r="K2823" s="18"/>
      <c r="L2823" s="18"/>
      <c r="M2823" s="18"/>
    </row>
    <row r="2824" ht="15.0" customHeight="1">
      <c r="A2824" s="18"/>
      <c r="B2824" s="18"/>
      <c r="C2824" s="18"/>
      <c r="D2824" s="18"/>
      <c r="E2824" s="18"/>
      <c r="F2824" s="18"/>
      <c r="G2824" s="4"/>
      <c r="H2824" s="18"/>
      <c r="I2824" s="91"/>
      <c r="J2824" s="18"/>
      <c r="K2824" s="18"/>
      <c r="L2824" s="18"/>
      <c r="M2824" s="18"/>
    </row>
    <row r="2825" ht="15.0" customHeight="1">
      <c r="A2825" s="18"/>
      <c r="B2825" s="18"/>
      <c r="C2825" s="18"/>
      <c r="D2825" s="18"/>
      <c r="E2825" s="18"/>
      <c r="F2825" s="18"/>
      <c r="G2825" s="4"/>
      <c r="H2825" s="18"/>
      <c r="I2825" s="91"/>
      <c r="J2825" s="18"/>
      <c r="K2825" s="18"/>
      <c r="L2825" s="18"/>
      <c r="M2825" s="18"/>
    </row>
    <row r="2826" ht="15.0" customHeight="1">
      <c r="A2826" s="18"/>
      <c r="B2826" s="18"/>
      <c r="C2826" s="18"/>
      <c r="D2826" s="18"/>
      <c r="E2826" s="18"/>
      <c r="F2826" s="18"/>
      <c r="G2826" s="4"/>
      <c r="H2826" s="18"/>
      <c r="I2826" s="91"/>
      <c r="J2826" s="18"/>
      <c r="K2826" s="18"/>
      <c r="L2826" s="18"/>
      <c r="M2826" s="18"/>
    </row>
    <row r="2827" ht="15.0" customHeight="1">
      <c r="A2827" s="18"/>
      <c r="B2827" s="18"/>
      <c r="C2827" s="18"/>
      <c r="D2827" s="18"/>
      <c r="E2827" s="18"/>
      <c r="F2827" s="18"/>
      <c r="G2827" s="4"/>
      <c r="H2827" s="18"/>
      <c r="I2827" s="91"/>
      <c r="J2827" s="18"/>
      <c r="K2827" s="18"/>
      <c r="L2827" s="18"/>
      <c r="M2827" s="18"/>
    </row>
    <row r="2828" ht="15.0" customHeight="1">
      <c r="A2828" s="18"/>
      <c r="B2828" s="18"/>
      <c r="C2828" s="18"/>
      <c r="D2828" s="18"/>
      <c r="E2828" s="18"/>
      <c r="F2828" s="18"/>
      <c r="G2828" s="4"/>
      <c r="H2828" s="18"/>
      <c r="I2828" s="91"/>
      <c r="J2828" s="18"/>
      <c r="K2828" s="18"/>
      <c r="L2828" s="18"/>
      <c r="M2828" s="18"/>
    </row>
    <row r="2829" ht="15.0" customHeight="1">
      <c r="A2829" s="18"/>
      <c r="B2829" s="18"/>
      <c r="C2829" s="18"/>
      <c r="D2829" s="18"/>
      <c r="E2829" s="18"/>
      <c r="F2829" s="18"/>
      <c r="G2829" s="4"/>
      <c r="H2829" s="18"/>
      <c r="I2829" s="91"/>
      <c r="J2829" s="18"/>
      <c r="K2829" s="18"/>
      <c r="L2829" s="18"/>
      <c r="M2829" s="18"/>
    </row>
    <row r="2830" ht="15.0" customHeight="1">
      <c r="A2830" s="18"/>
      <c r="B2830" s="18"/>
      <c r="C2830" s="18"/>
      <c r="D2830" s="18"/>
      <c r="E2830" s="18"/>
      <c r="F2830" s="18"/>
      <c r="G2830" s="4"/>
      <c r="H2830" s="18"/>
      <c r="I2830" s="91"/>
      <c r="J2830" s="18"/>
      <c r="K2830" s="18"/>
      <c r="L2830" s="18"/>
      <c r="M2830" s="18"/>
    </row>
    <row r="2831" ht="15.0" customHeight="1">
      <c r="A2831" s="18"/>
      <c r="B2831" s="18"/>
      <c r="C2831" s="18"/>
      <c r="D2831" s="18"/>
      <c r="E2831" s="18"/>
      <c r="F2831" s="18"/>
      <c r="G2831" s="4"/>
      <c r="H2831" s="18"/>
      <c r="I2831" s="91"/>
      <c r="J2831" s="18"/>
      <c r="K2831" s="18"/>
      <c r="L2831" s="18"/>
      <c r="M2831" s="18"/>
    </row>
    <row r="2832" ht="15.0" customHeight="1">
      <c r="A2832" s="18"/>
      <c r="B2832" s="18"/>
      <c r="C2832" s="18"/>
      <c r="D2832" s="18"/>
      <c r="E2832" s="18"/>
      <c r="F2832" s="18"/>
      <c r="G2832" s="4"/>
      <c r="H2832" s="18"/>
      <c r="I2832" s="91"/>
      <c r="J2832" s="18"/>
      <c r="K2832" s="18"/>
      <c r="L2832" s="18"/>
      <c r="M2832" s="18"/>
    </row>
    <row r="2833" ht="15.0" customHeight="1">
      <c r="A2833" s="18"/>
      <c r="B2833" s="18"/>
      <c r="C2833" s="18"/>
      <c r="D2833" s="18"/>
      <c r="E2833" s="18"/>
      <c r="F2833" s="18"/>
      <c r="G2833" s="4"/>
      <c r="H2833" s="18"/>
      <c r="I2833" s="91"/>
      <c r="J2833" s="18"/>
      <c r="K2833" s="18"/>
      <c r="L2833" s="18"/>
      <c r="M2833" s="18"/>
    </row>
  </sheetData>
  <mergeCells count="1">
    <mergeCell ref="A1:I1"/>
  </mergeCells>
  <printOptions/>
  <pageMargins bottom="0.25" footer="0.0" header="0.0" left="0.25" right="0.25" top="0.2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4.29"/>
  </cols>
  <sheetData>
    <row r="1">
      <c r="A1" s="92"/>
      <c r="B1" s="93" t="s">
        <v>0</v>
      </c>
      <c r="C1" s="94" t="s">
        <v>9</v>
      </c>
      <c r="D1" s="95" t="s">
        <v>2536</v>
      </c>
      <c r="E1" s="96" t="s">
        <v>2537</v>
      </c>
      <c r="F1" s="96" t="s">
        <v>2538</v>
      </c>
      <c r="G1" s="97" t="s">
        <v>2539</v>
      </c>
      <c r="H1" s="97" t="s">
        <v>2540</v>
      </c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</row>
    <row r="2">
      <c r="A2" s="99">
        <v>1.0</v>
      </c>
      <c r="B2" s="59" t="s">
        <v>2541</v>
      </c>
      <c r="C2" s="59" t="s">
        <v>2069</v>
      </c>
      <c r="D2" s="100">
        <v>10.0</v>
      </c>
      <c r="E2" s="100">
        <v>1.0</v>
      </c>
      <c r="F2" s="100">
        <v>0.0</v>
      </c>
      <c r="G2" s="101" t="str">
        <f>IFERROR(VLOOKUP(A2,Oktober25,9,FALSE),"")</f>
        <v>#ERROR!</v>
      </c>
      <c r="K2" s="6" t="s">
        <v>2542</v>
      </c>
      <c r="N2" s="6" t="s">
        <v>2543</v>
      </c>
    </row>
    <row r="3">
      <c r="A3" s="99">
        <v>2.0</v>
      </c>
      <c r="B3" s="59" t="s">
        <v>2544</v>
      </c>
      <c r="C3" s="59" t="s">
        <v>1714</v>
      </c>
      <c r="D3" s="100">
        <v>0.0</v>
      </c>
      <c r="E3" s="100">
        <v>1.0</v>
      </c>
      <c r="F3" s="100">
        <v>0.0</v>
      </c>
      <c r="K3" s="6" t="s">
        <v>2545</v>
      </c>
      <c r="N3" s="6" t="s">
        <v>2545</v>
      </c>
    </row>
    <row r="4">
      <c r="A4" s="99">
        <v>3.0</v>
      </c>
      <c r="B4" s="59" t="s">
        <v>2546</v>
      </c>
      <c r="C4" s="59" t="s">
        <v>1383</v>
      </c>
      <c r="D4" s="100">
        <v>1.0</v>
      </c>
      <c r="E4" s="100">
        <v>1.0</v>
      </c>
      <c r="F4" s="100">
        <v>0.0</v>
      </c>
      <c r="G4" s="6" t="s">
        <v>2547</v>
      </c>
      <c r="K4" s="6" t="s">
        <v>2548</v>
      </c>
      <c r="N4" s="6" t="s">
        <v>2548</v>
      </c>
    </row>
    <row r="5">
      <c r="A5" s="102">
        <v>4.0</v>
      </c>
      <c r="B5" s="103" t="s">
        <v>2549</v>
      </c>
      <c r="C5" s="103" t="s">
        <v>1848</v>
      </c>
      <c r="D5" s="104">
        <v>0.0</v>
      </c>
      <c r="E5" s="104">
        <v>2.0</v>
      </c>
      <c r="F5" s="104">
        <v>1.0</v>
      </c>
      <c r="G5" s="6"/>
      <c r="H5" s="6" t="s">
        <v>2550</v>
      </c>
      <c r="K5" s="6" t="s">
        <v>2551</v>
      </c>
      <c r="N5" s="6" t="s">
        <v>2551</v>
      </c>
    </row>
    <row r="6">
      <c r="A6" s="99">
        <v>5.0</v>
      </c>
      <c r="B6" s="59" t="s">
        <v>2552</v>
      </c>
      <c r="C6" s="59" t="s">
        <v>1416</v>
      </c>
      <c r="D6" s="100">
        <v>2.0</v>
      </c>
      <c r="E6" s="100">
        <v>2.0</v>
      </c>
      <c r="F6" s="100">
        <v>0.0</v>
      </c>
      <c r="G6" s="6" t="s">
        <v>2553</v>
      </c>
      <c r="K6" s="6" t="s">
        <v>2554</v>
      </c>
      <c r="N6" s="6" t="s">
        <v>2554</v>
      </c>
    </row>
    <row r="7">
      <c r="A7" s="99">
        <v>6.0</v>
      </c>
      <c r="B7" s="64" t="s">
        <v>2555</v>
      </c>
      <c r="C7" s="59" t="s">
        <v>1877</v>
      </c>
      <c r="D7" s="100">
        <v>0.0</v>
      </c>
      <c r="E7" s="100">
        <v>2.0</v>
      </c>
      <c r="F7" s="100">
        <v>1.0</v>
      </c>
      <c r="G7" s="6" t="s">
        <v>2553</v>
      </c>
      <c r="K7" s="6" t="s">
        <v>2556</v>
      </c>
      <c r="N7" s="6" t="s">
        <v>2556</v>
      </c>
    </row>
    <row r="8">
      <c r="A8" s="99">
        <v>7.0</v>
      </c>
      <c r="B8" s="59" t="s">
        <v>2557</v>
      </c>
      <c r="C8" s="59" t="s">
        <v>1487</v>
      </c>
      <c r="D8" s="100">
        <v>0.0</v>
      </c>
      <c r="E8" s="100">
        <v>2.0</v>
      </c>
      <c r="F8" s="100">
        <v>1.0</v>
      </c>
      <c r="G8" s="6" t="s">
        <v>2553</v>
      </c>
      <c r="K8" s="6" t="s">
        <v>2558</v>
      </c>
      <c r="N8" s="6" t="s">
        <v>2558</v>
      </c>
    </row>
    <row r="9">
      <c r="A9" s="99">
        <v>9.0</v>
      </c>
      <c r="B9" s="59" t="s">
        <v>2559</v>
      </c>
      <c r="C9" s="59" t="s">
        <v>1416</v>
      </c>
      <c r="D9" s="100">
        <v>0.0</v>
      </c>
      <c r="E9" s="100">
        <v>2.0</v>
      </c>
      <c r="F9" s="100">
        <v>0.0</v>
      </c>
      <c r="G9" s="6" t="s">
        <v>2553</v>
      </c>
      <c r="K9" s="6" t="s">
        <v>2560</v>
      </c>
      <c r="N9" s="6" t="s">
        <v>2561</v>
      </c>
    </row>
    <row r="10">
      <c r="A10" s="99">
        <v>10.0</v>
      </c>
      <c r="B10" s="59" t="s">
        <v>2562</v>
      </c>
      <c r="C10" s="59" t="s">
        <v>1845</v>
      </c>
      <c r="D10" s="100">
        <v>0.0</v>
      </c>
      <c r="E10" s="100">
        <v>2.0</v>
      </c>
      <c r="F10" s="100">
        <v>0.0</v>
      </c>
      <c r="G10" s="6" t="s">
        <v>2553</v>
      </c>
      <c r="K10" s="6" t="s">
        <v>2563</v>
      </c>
      <c r="N10" s="6" t="s">
        <v>2564</v>
      </c>
    </row>
    <row r="11">
      <c r="A11" s="99">
        <v>11.0</v>
      </c>
      <c r="B11" s="59" t="s">
        <v>2565</v>
      </c>
      <c r="C11" s="59" t="s">
        <v>1845</v>
      </c>
      <c r="D11" s="100">
        <v>0.0</v>
      </c>
      <c r="E11" s="100">
        <v>2.0</v>
      </c>
      <c r="F11" s="100">
        <v>2.0</v>
      </c>
      <c r="G11" s="6" t="s">
        <v>2553</v>
      </c>
      <c r="K11" s="6" t="s">
        <v>2566</v>
      </c>
      <c r="N11" s="6" t="s">
        <v>2560</v>
      </c>
    </row>
    <row r="12">
      <c r="A12" s="99">
        <v>12.0</v>
      </c>
      <c r="B12" s="59" t="s">
        <v>2567</v>
      </c>
      <c r="C12" s="59" t="s">
        <v>1851</v>
      </c>
      <c r="D12" s="100">
        <v>2.0</v>
      </c>
      <c r="E12" s="100">
        <v>3.0</v>
      </c>
      <c r="F12" s="100">
        <v>0.0</v>
      </c>
      <c r="K12" s="6" t="s">
        <v>2568</v>
      </c>
      <c r="N12" s="6" t="s">
        <v>2569</v>
      </c>
    </row>
    <row r="13">
      <c r="A13" s="99">
        <v>13.0</v>
      </c>
      <c r="B13" s="59" t="s">
        <v>2570</v>
      </c>
      <c r="C13" s="59" t="s">
        <v>1851</v>
      </c>
      <c r="D13" s="100">
        <v>1.0</v>
      </c>
      <c r="E13" s="100">
        <v>3.0</v>
      </c>
      <c r="F13" s="100">
        <v>0.0</v>
      </c>
      <c r="K13" s="6" t="s">
        <v>2571</v>
      </c>
      <c r="N13" s="6" t="s">
        <v>2572</v>
      </c>
    </row>
    <row r="14">
      <c r="A14" s="99">
        <v>14.0</v>
      </c>
      <c r="B14" s="59" t="s">
        <v>2573</v>
      </c>
      <c r="C14" s="59" t="s">
        <v>1851</v>
      </c>
      <c r="D14" s="100">
        <v>1.0</v>
      </c>
      <c r="E14" s="100">
        <v>3.0</v>
      </c>
      <c r="F14" s="100">
        <v>0.0</v>
      </c>
      <c r="K14" s="6" t="s">
        <v>2574</v>
      </c>
      <c r="N14" s="6" t="s">
        <v>2574</v>
      </c>
    </row>
    <row r="15">
      <c r="A15" s="99">
        <v>15.0</v>
      </c>
      <c r="B15" s="59" t="s">
        <v>2575</v>
      </c>
      <c r="C15" s="59" t="s">
        <v>1851</v>
      </c>
      <c r="D15" s="100">
        <v>1.0</v>
      </c>
      <c r="E15" s="100">
        <v>3.0</v>
      </c>
      <c r="F15" s="100">
        <v>0.0</v>
      </c>
      <c r="K15" s="6" t="s">
        <v>2569</v>
      </c>
      <c r="N15" s="6" t="s">
        <v>2563</v>
      </c>
    </row>
    <row r="16">
      <c r="A16" s="102">
        <v>16.0</v>
      </c>
      <c r="B16" s="103" t="s">
        <v>2576</v>
      </c>
      <c r="C16" s="103" t="s">
        <v>1851</v>
      </c>
      <c r="D16" s="104">
        <v>0.0</v>
      </c>
      <c r="E16" s="104">
        <v>3.0</v>
      </c>
      <c r="F16" s="104">
        <v>0.0</v>
      </c>
      <c r="K16" s="6" t="s">
        <v>2577</v>
      </c>
      <c r="N16" s="6" t="s">
        <v>2568</v>
      </c>
    </row>
    <row r="17">
      <c r="A17" s="99">
        <v>17.0</v>
      </c>
      <c r="B17" s="59" t="s">
        <v>2578</v>
      </c>
      <c r="C17" s="59" t="s">
        <v>1851</v>
      </c>
      <c r="D17" s="100">
        <v>1.0</v>
      </c>
      <c r="E17" s="100">
        <v>3.0</v>
      </c>
      <c r="F17" s="100">
        <v>0.0</v>
      </c>
      <c r="K17" s="6" t="s">
        <v>2579</v>
      </c>
      <c r="N17" s="6" t="s">
        <v>2577</v>
      </c>
    </row>
    <row r="18">
      <c r="A18" s="99">
        <v>18.0</v>
      </c>
      <c r="B18" s="15" t="s">
        <v>2580</v>
      </c>
      <c r="C18" s="59" t="s">
        <v>1851</v>
      </c>
      <c r="D18" s="100">
        <v>1.0</v>
      </c>
      <c r="E18" s="100">
        <v>3.0</v>
      </c>
      <c r="F18" s="100">
        <v>0.0</v>
      </c>
      <c r="K18" s="6" t="s">
        <v>2581</v>
      </c>
      <c r="N18" s="6" t="s">
        <v>2582</v>
      </c>
    </row>
    <row r="19">
      <c r="A19" s="99">
        <v>19.0</v>
      </c>
      <c r="B19" s="15" t="s">
        <v>2583</v>
      </c>
      <c r="C19" s="15" t="s">
        <v>1027</v>
      </c>
      <c r="D19" s="100">
        <v>2.0</v>
      </c>
      <c r="E19" s="100">
        <v>3.0</v>
      </c>
      <c r="F19" s="100">
        <v>0.0</v>
      </c>
      <c r="K19" s="6" t="s">
        <v>2584</v>
      </c>
      <c r="N19" s="6" t="s">
        <v>2581</v>
      </c>
    </row>
    <row r="20">
      <c r="A20" s="99">
        <v>20.0</v>
      </c>
      <c r="B20" s="59" t="s">
        <v>2585</v>
      </c>
      <c r="C20" s="59" t="s">
        <v>1027</v>
      </c>
      <c r="D20" s="100">
        <v>1.0</v>
      </c>
      <c r="E20" s="100">
        <v>3.0</v>
      </c>
      <c r="F20" s="100">
        <v>0.0</v>
      </c>
      <c r="K20" s="6" t="s">
        <v>2561</v>
      </c>
      <c r="N20" s="6" t="s">
        <v>2584</v>
      </c>
    </row>
    <row r="21">
      <c r="A21" s="99">
        <v>21.0</v>
      </c>
      <c r="B21" s="15" t="s">
        <v>2586</v>
      </c>
      <c r="C21" s="59" t="s">
        <v>1851</v>
      </c>
      <c r="D21" s="100">
        <v>1.0</v>
      </c>
      <c r="E21" s="100">
        <v>3.0</v>
      </c>
      <c r="F21" s="100">
        <v>0.0</v>
      </c>
      <c r="K21" s="6" t="s">
        <v>2564</v>
      </c>
      <c r="N21" s="6" t="s">
        <v>2587</v>
      </c>
    </row>
    <row r="22">
      <c r="A22" s="99">
        <v>22.0</v>
      </c>
      <c r="B22" s="59" t="s">
        <v>2588</v>
      </c>
      <c r="C22" s="59" t="s">
        <v>1387</v>
      </c>
      <c r="D22" s="100">
        <v>2.0</v>
      </c>
      <c r="E22" s="100">
        <v>4.0</v>
      </c>
      <c r="F22" s="100">
        <v>0.0</v>
      </c>
      <c r="G22" s="6" t="s">
        <v>2589</v>
      </c>
      <c r="K22" s="6" t="s">
        <v>2587</v>
      </c>
      <c r="N22" s="6" t="s">
        <v>2590</v>
      </c>
    </row>
    <row r="23">
      <c r="A23" s="99">
        <v>23.0</v>
      </c>
      <c r="B23" s="59" t="s">
        <v>2591</v>
      </c>
      <c r="C23" s="59" t="s">
        <v>1496</v>
      </c>
      <c r="D23" s="100">
        <v>0.0</v>
      </c>
      <c r="E23" s="100">
        <v>4.0</v>
      </c>
      <c r="F23" s="100">
        <v>0.0</v>
      </c>
      <c r="G23" s="6" t="s">
        <v>2589</v>
      </c>
      <c r="K23" s="6" t="s">
        <v>2590</v>
      </c>
      <c r="N23" s="6" t="s">
        <v>2592</v>
      </c>
    </row>
    <row r="24">
      <c r="A24" s="99">
        <v>24.0</v>
      </c>
      <c r="B24" s="59" t="s">
        <v>2593</v>
      </c>
      <c r="C24" s="59" t="s">
        <v>1496</v>
      </c>
      <c r="D24" s="100">
        <v>1.0</v>
      </c>
      <c r="E24" s="100">
        <v>4.0</v>
      </c>
      <c r="F24" s="100">
        <v>0.0</v>
      </c>
      <c r="G24" s="6" t="s">
        <v>2589</v>
      </c>
      <c r="K24" s="6" t="s">
        <v>2592</v>
      </c>
      <c r="N24" s="6" t="s">
        <v>2594</v>
      </c>
    </row>
    <row r="25">
      <c r="A25" s="99">
        <v>25.0</v>
      </c>
      <c r="B25" s="59" t="s">
        <v>2595</v>
      </c>
      <c r="C25" s="59" t="s">
        <v>1496</v>
      </c>
      <c r="D25" s="100">
        <v>1.0</v>
      </c>
      <c r="E25" s="100">
        <v>4.0</v>
      </c>
      <c r="F25" s="100">
        <v>0.0</v>
      </c>
      <c r="G25" s="6" t="s">
        <v>2589</v>
      </c>
      <c r="K25" s="6" t="s">
        <v>2594</v>
      </c>
      <c r="N25" s="6" t="s">
        <v>2596</v>
      </c>
    </row>
    <row r="26">
      <c r="A26" s="99">
        <v>26.0</v>
      </c>
      <c r="B26" s="59" t="s">
        <v>2597</v>
      </c>
      <c r="C26" s="59" t="s">
        <v>1851</v>
      </c>
      <c r="D26" s="100">
        <v>1.0</v>
      </c>
      <c r="E26" s="100">
        <v>4.0</v>
      </c>
      <c r="F26" s="100">
        <v>0.0</v>
      </c>
      <c r="G26" s="6" t="s">
        <v>2589</v>
      </c>
      <c r="K26" s="6" t="s">
        <v>2596</v>
      </c>
      <c r="N26" s="6" t="s">
        <v>2598</v>
      </c>
    </row>
    <row r="27">
      <c r="A27" s="99">
        <v>27.0</v>
      </c>
      <c r="B27" s="59" t="s">
        <v>2599</v>
      </c>
      <c r="C27" s="59" t="s">
        <v>1851</v>
      </c>
      <c r="D27" s="100">
        <v>1.0</v>
      </c>
      <c r="E27" s="100">
        <v>4.0</v>
      </c>
      <c r="F27" s="100">
        <v>0.0</v>
      </c>
      <c r="G27" s="6" t="s">
        <v>2589</v>
      </c>
      <c r="K27" s="6" t="s">
        <v>2598</v>
      </c>
      <c r="N27" s="6" t="s">
        <v>2600</v>
      </c>
    </row>
    <row r="28">
      <c r="A28" s="99">
        <v>28.0</v>
      </c>
      <c r="B28" s="59" t="s">
        <v>2601</v>
      </c>
      <c r="C28" s="59" t="s">
        <v>1641</v>
      </c>
      <c r="D28" s="100">
        <v>2.0</v>
      </c>
      <c r="E28" s="100">
        <v>5.0</v>
      </c>
      <c r="F28" s="100">
        <v>0.0</v>
      </c>
      <c r="G28" s="6" t="s">
        <v>2589</v>
      </c>
      <c r="K28" s="6" t="s">
        <v>2600</v>
      </c>
      <c r="N28" s="6" t="s">
        <v>2602</v>
      </c>
    </row>
    <row r="29">
      <c r="A29" s="99">
        <v>29.0</v>
      </c>
      <c r="B29" s="15" t="s">
        <v>2603</v>
      </c>
      <c r="C29" s="59" t="s">
        <v>158</v>
      </c>
      <c r="D29" s="100">
        <v>2.0</v>
      </c>
      <c r="E29" s="100">
        <v>5.0</v>
      </c>
      <c r="F29" s="100">
        <v>0.0</v>
      </c>
      <c r="G29" s="6" t="s">
        <v>2589</v>
      </c>
      <c r="K29" s="6" t="s">
        <v>2602</v>
      </c>
      <c r="N29" s="6" t="s">
        <v>2604</v>
      </c>
    </row>
    <row r="30">
      <c r="A30" s="99">
        <v>30.0</v>
      </c>
      <c r="B30" s="59" t="s">
        <v>2605</v>
      </c>
      <c r="C30" s="59" t="s">
        <v>158</v>
      </c>
      <c r="D30" s="100">
        <v>1.0</v>
      </c>
      <c r="E30" s="100">
        <v>5.0</v>
      </c>
      <c r="F30" s="100">
        <v>0.0</v>
      </c>
      <c r="G30" s="6" t="s">
        <v>2589</v>
      </c>
      <c r="K30" s="6" t="s">
        <v>2604</v>
      </c>
      <c r="N30" s="6" t="s">
        <v>2606</v>
      </c>
    </row>
    <row r="31">
      <c r="A31" s="102">
        <v>31.0</v>
      </c>
      <c r="B31" s="103" t="s">
        <v>2607</v>
      </c>
      <c r="C31" s="103" t="s">
        <v>744</v>
      </c>
      <c r="D31" s="104">
        <v>0.0</v>
      </c>
      <c r="E31" s="104">
        <v>5.0</v>
      </c>
      <c r="F31" s="104">
        <v>0.0</v>
      </c>
      <c r="G31" s="6" t="s">
        <v>2589</v>
      </c>
      <c r="K31" s="6" t="s">
        <v>2606</v>
      </c>
      <c r="N31" s="6" t="s">
        <v>2608</v>
      </c>
    </row>
    <row r="32">
      <c r="A32" s="99">
        <v>32.0</v>
      </c>
      <c r="B32" s="59" t="s">
        <v>2609</v>
      </c>
      <c r="C32" s="59" t="s">
        <v>744</v>
      </c>
      <c r="D32" s="100">
        <v>1.0</v>
      </c>
      <c r="E32" s="100">
        <v>5.0</v>
      </c>
      <c r="F32" s="100">
        <v>0.0</v>
      </c>
      <c r="G32" s="6" t="s">
        <v>2589</v>
      </c>
      <c r="K32" s="6" t="s">
        <v>2610</v>
      </c>
      <c r="N32" s="6" t="s">
        <v>2610</v>
      </c>
    </row>
    <row r="33">
      <c r="A33" s="99">
        <v>33.0</v>
      </c>
      <c r="B33" s="59" t="s">
        <v>2611</v>
      </c>
      <c r="C33" s="59" t="s">
        <v>744</v>
      </c>
      <c r="D33" s="100">
        <v>1.0</v>
      </c>
      <c r="E33" s="100">
        <v>5.0</v>
      </c>
      <c r="F33" s="100">
        <v>0.0</v>
      </c>
      <c r="G33" s="6" t="s">
        <v>2589</v>
      </c>
      <c r="K33" s="6" t="s">
        <v>2608</v>
      </c>
      <c r="N33" s="6" t="s">
        <v>2612</v>
      </c>
    </row>
    <row r="34">
      <c r="A34" s="99">
        <v>34.0</v>
      </c>
      <c r="B34" s="59" t="s">
        <v>2613</v>
      </c>
      <c r="C34" s="59" t="s">
        <v>744</v>
      </c>
      <c r="D34" s="100">
        <v>1.0</v>
      </c>
      <c r="E34" s="100">
        <v>5.0</v>
      </c>
      <c r="F34" s="100">
        <v>0.0</v>
      </c>
      <c r="G34" s="6" t="s">
        <v>2589</v>
      </c>
      <c r="N34" s="6" t="s">
        <v>2614</v>
      </c>
    </row>
    <row r="35">
      <c r="A35" s="99">
        <v>35.0</v>
      </c>
      <c r="B35" s="59" t="s">
        <v>2615</v>
      </c>
      <c r="C35" s="59" t="s">
        <v>744</v>
      </c>
      <c r="D35" s="100">
        <v>1.0</v>
      </c>
      <c r="E35" s="100">
        <v>5.0</v>
      </c>
      <c r="F35" s="100">
        <v>0.0</v>
      </c>
      <c r="G35" s="6" t="s">
        <v>2589</v>
      </c>
      <c r="N35" s="6" t="s">
        <v>2616</v>
      </c>
    </row>
    <row r="36">
      <c r="A36" s="99">
        <v>36.0</v>
      </c>
      <c r="B36" s="64" t="s">
        <v>2617</v>
      </c>
      <c r="C36" s="59" t="s">
        <v>1695</v>
      </c>
      <c r="D36" s="100">
        <v>2.0</v>
      </c>
      <c r="E36" s="100">
        <v>5.0</v>
      </c>
      <c r="F36" s="100">
        <v>2.0</v>
      </c>
      <c r="G36" s="6" t="s">
        <v>2589</v>
      </c>
      <c r="N36" s="6" t="s">
        <v>2618</v>
      </c>
    </row>
    <row r="37">
      <c r="A37" s="99">
        <v>37.0</v>
      </c>
      <c r="B37" s="15" t="s">
        <v>2619</v>
      </c>
      <c r="C37" s="59" t="s">
        <v>1432</v>
      </c>
      <c r="D37" s="100">
        <v>1.0</v>
      </c>
      <c r="E37" s="100">
        <v>6.0</v>
      </c>
      <c r="F37" s="100">
        <v>0.0</v>
      </c>
      <c r="G37" s="6" t="s">
        <v>2553</v>
      </c>
      <c r="N37" s="6" t="s">
        <v>2620</v>
      </c>
    </row>
    <row r="38">
      <c r="A38" s="99">
        <v>38.0</v>
      </c>
      <c r="B38" s="59" t="s">
        <v>2621</v>
      </c>
      <c r="C38" s="59" t="s">
        <v>1442</v>
      </c>
      <c r="D38" s="100">
        <v>1.0</v>
      </c>
      <c r="E38" s="100">
        <v>6.0</v>
      </c>
      <c r="F38" s="100">
        <v>0.0</v>
      </c>
      <c r="G38" s="6" t="s">
        <v>2553</v>
      </c>
      <c r="N38" s="6" t="s">
        <v>2622</v>
      </c>
    </row>
    <row r="39">
      <c r="A39" s="99">
        <v>39.0</v>
      </c>
      <c r="B39" s="59" t="s">
        <v>2623</v>
      </c>
      <c r="C39" s="59" t="s">
        <v>1442</v>
      </c>
      <c r="D39" s="100">
        <v>2.0</v>
      </c>
      <c r="E39" s="100">
        <v>6.0</v>
      </c>
      <c r="F39" s="100">
        <v>0.0</v>
      </c>
      <c r="G39" s="6" t="s">
        <v>2553</v>
      </c>
      <c r="N39" s="6" t="s">
        <v>2624</v>
      </c>
    </row>
    <row r="40">
      <c r="A40" s="99">
        <v>40.0</v>
      </c>
      <c r="B40" s="59" t="s">
        <v>2625</v>
      </c>
      <c r="C40" s="59" t="s">
        <v>1442</v>
      </c>
      <c r="D40" s="100">
        <v>1.0</v>
      </c>
      <c r="E40" s="100">
        <v>6.0</v>
      </c>
      <c r="F40" s="100">
        <v>0.0</v>
      </c>
      <c r="G40" s="6" t="s">
        <v>2553</v>
      </c>
      <c r="N40" s="6" t="s">
        <v>2626</v>
      </c>
    </row>
    <row r="41">
      <c r="A41" s="99">
        <v>41.0</v>
      </c>
      <c r="B41" s="59" t="s">
        <v>2627</v>
      </c>
      <c r="C41" s="59" t="s">
        <v>1432</v>
      </c>
      <c r="D41" s="100">
        <v>2.0</v>
      </c>
      <c r="E41" s="100">
        <v>6.0</v>
      </c>
      <c r="F41" s="100">
        <v>0.0</v>
      </c>
      <c r="G41" s="6" t="s">
        <v>2553</v>
      </c>
      <c r="N41" s="6" t="s">
        <v>2628</v>
      </c>
    </row>
    <row r="42">
      <c r="A42" s="99">
        <v>42.0</v>
      </c>
      <c r="B42" s="15" t="s">
        <v>2629</v>
      </c>
      <c r="C42" s="59" t="s">
        <v>1792</v>
      </c>
      <c r="D42" s="100">
        <v>1.0</v>
      </c>
      <c r="E42" s="100">
        <v>6.0</v>
      </c>
      <c r="F42" s="100">
        <v>0.0</v>
      </c>
      <c r="G42" s="6" t="s">
        <v>2553</v>
      </c>
      <c r="N42" s="6" t="s">
        <v>2630</v>
      </c>
    </row>
    <row r="43">
      <c r="A43" s="99">
        <v>43.0</v>
      </c>
      <c r="B43" s="59" t="s">
        <v>2631</v>
      </c>
      <c r="C43" s="59" t="s">
        <v>1792</v>
      </c>
      <c r="D43" s="100">
        <v>1.0</v>
      </c>
      <c r="E43" s="100">
        <v>6.0</v>
      </c>
      <c r="F43" s="100">
        <v>0.0</v>
      </c>
      <c r="G43" s="6" t="s">
        <v>2553</v>
      </c>
      <c r="N43" s="6" t="s">
        <v>2632</v>
      </c>
    </row>
    <row r="44">
      <c r="A44" s="99">
        <v>44.0</v>
      </c>
      <c r="B44" s="59" t="s">
        <v>2633</v>
      </c>
      <c r="C44" s="59" t="s">
        <v>1362</v>
      </c>
      <c r="D44" s="100">
        <v>2.0</v>
      </c>
      <c r="E44" s="100">
        <v>6.0</v>
      </c>
      <c r="F44" s="100">
        <v>0.0</v>
      </c>
      <c r="G44" s="6" t="s">
        <v>2553</v>
      </c>
      <c r="N44" s="6" t="s">
        <v>2634</v>
      </c>
    </row>
    <row r="45">
      <c r="A45" s="99">
        <v>45.0</v>
      </c>
      <c r="B45" s="15" t="s">
        <v>2635</v>
      </c>
      <c r="C45" s="59" t="s">
        <v>1416</v>
      </c>
      <c r="D45" s="100">
        <v>1.0</v>
      </c>
      <c r="E45" s="100">
        <v>6.0</v>
      </c>
      <c r="F45" s="100">
        <v>0.0</v>
      </c>
      <c r="G45" s="6" t="s">
        <v>2553</v>
      </c>
      <c r="N45" s="6" t="s">
        <v>2636</v>
      </c>
    </row>
    <row r="46">
      <c r="A46" s="99">
        <v>46.0</v>
      </c>
      <c r="B46" s="59" t="s">
        <v>2637</v>
      </c>
      <c r="C46" s="59" t="s">
        <v>1027</v>
      </c>
      <c r="D46" s="100">
        <v>2.0</v>
      </c>
      <c r="E46" s="100">
        <v>6.0</v>
      </c>
      <c r="F46" s="100">
        <v>0.0</v>
      </c>
      <c r="G46" s="6" t="s">
        <v>2553</v>
      </c>
      <c r="N46" s="6" t="s">
        <v>2638</v>
      </c>
    </row>
    <row r="47">
      <c r="A47" s="99">
        <v>47.0</v>
      </c>
      <c r="B47" s="59" t="s">
        <v>2639</v>
      </c>
      <c r="C47" s="59" t="s">
        <v>1949</v>
      </c>
      <c r="D47" s="100">
        <v>1.0</v>
      </c>
      <c r="E47" s="100">
        <v>7.0</v>
      </c>
      <c r="F47" s="100">
        <v>0.0</v>
      </c>
      <c r="G47" s="6" t="s">
        <v>2553</v>
      </c>
      <c r="N47" s="6" t="s">
        <v>2640</v>
      </c>
    </row>
    <row r="48">
      <c r="A48" s="99">
        <v>48.0</v>
      </c>
      <c r="B48" s="59" t="s">
        <v>2641</v>
      </c>
      <c r="C48" s="59" t="s">
        <v>1949</v>
      </c>
      <c r="D48" s="100">
        <v>1.0</v>
      </c>
      <c r="E48" s="100">
        <v>7.0</v>
      </c>
      <c r="F48" s="100">
        <v>0.0</v>
      </c>
      <c r="G48" s="6" t="s">
        <v>2553</v>
      </c>
      <c r="N48" s="6" t="s">
        <v>2642</v>
      </c>
    </row>
    <row r="49">
      <c r="A49" s="99">
        <v>49.0</v>
      </c>
      <c r="B49" s="59" t="s">
        <v>2643</v>
      </c>
      <c r="C49" s="59" t="s">
        <v>2345</v>
      </c>
      <c r="D49" s="100">
        <v>1.0</v>
      </c>
      <c r="E49" s="100">
        <v>7.0</v>
      </c>
      <c r="F49" s="100">
        <v>0.0</v>
      </c>
      <c r="G49" s="6" t="s">
        <v>2553</v>
      </c>
      <c r="N49" s="6" t="s">
        <v>2644</v>
      </c>
    </row>
    <row r="50">
      <c r="A50" s="99">
        <v>50.0</v>
      </c>
      <c r="B50" s="59" t="s">
        <v>2645</v>
      </c>
      <c r="C50" s="59" t="s">
        <v>1877</v>
      </c>
      <c r="D50" s="100">
        <v>1.0</v>
      </c>
      <c r="E50" s="100">
        <v>7.0</v>
      </c>
      <c r="F50" s="100">
        <v>0.0</v>
      </c>
      <c r="G50" s="6" t="s">
        <v>2553</v>
      </c>
      <c r="N50" s="6" t="s">
        <v>2646</v>
      </c>
    </row>
    <row r="51">
      <c r="A51" s="99">
        <v>51.0</v>
      </c>
      <c r="B51" s="59" t="s">
        <v>2647</v>
      </c>
      <c r="C51" s="59" t="s">
        <v>2084</v>
      </c>
      <c r="D51" s="100">
        <v>1.0</v>
      </c>
      <c r="E51" s="100">
        <v>7.0</v>
      </c>
      <c r="F51" s="100">
        <v>0.0</v>
      </c>
      <c r="G51" s="6" t="s">
        <v>2553</v>
      </c>
      <c r="N51" s="6" t="s">
        <v>2648</v>
      </c>
    </row>
    <row r="52">
      <c r="A52" s="99">
        <v>52.0</v>
      </c>
      <c r="B52" s="59" t="s">
        <v>2649</v>
      </c>
      <c r="C52" s="59" t="s">
        <v>2084</v>
      </c>
      <c r="D52" s="100">
        <v>1.0</v>
      </c>
      <c r="E52" s="100">
        <v>7.0</v>
      </c>
      <c r="F52" s="100">
        <v>0.0</v>
      </c>
      <c r="G52" s="6" t="s">
        <v>2553</v>
      </c>
      <c r="N52" s="6" t="s">
        <v>2650</v>
      </c>
    </row>
    <row r="53">
      <c r="A53" s="99">
        <v>53.0</v>
      </c>
      <c r="B53" s="59" t="s">
        <v>2651</v>
      </c>
      <c r="C53" s="59" t="s">
        <v>1478</v>
      </c>
      <c r="D53" s="100">
        <v>1.0</v>
      </c>
      <c r="E53" s="100">
        <v>7.0</v>
      </c>
      <c r="F53" s="100">
        <v>1.0</v>
      </c>
      <c r="G53" s="6" t="s">
        <v>2553</v>
      </c>
      <c r="N53" s="6" t="s">
        <v>2652</v>
      </c>
    </row>
    <row r="54">
      <c r="A54" s="99">
        <v>54.0</v>
      </c>
      <c r="B54" s="59" t="s">
        <v>2653</v>
      </c>
      <c r="C54" s="59" t="s">
        <v>1478</v>
      </c>
      <c r="D54" s="100">
        <v>1.0</v>
      </c>
      <c r="E54" s="100">
        <v>7.0</v>
      </c>
      <c r="F54" s="100">
        <v>0.0</v>
      </c>
      <c r="G54" s="6" t="s">
        <v>2553</v>
      </c>
      <c r="N54" s="6" t="s">
        <v>2654</v>
      </c>
    </row>
    <row r="55">
      <c r="A55" s="99">
        <v>55.0</v>
      </c>
      <c r="B55" s="59" t="s">
        <v>2655</v>
      </c>
      <c r="C55" s="59" t="s">
        <v>1387</v>
      </c>
      <c r="D55" s="100">
        <v>1.0</v>
      </c>
      <c r="E55" s="100">
        <v>7.0</v>
      </c>
      <c r="F55" s="100">
        <v>0.0</v>
      </c>
      <c r="G55" s="6" t="s">
        <v>2553</v>
      </c>
      <c r="N55" s="6" t="s">
        <v>2656</v>
      </c>
    </row>
    <row r="56">
      <c r="A56" s="99">
        <v>56.0</v>
      </c>
      <c r="B56" s="59" t="s">
        <v>2657</v>
      </c>
      <c r="C56" s="59" t="s">
        <v>1383</v>
      </c>
      <c r="D56" s="100">
        <v>1.0</v>
      </c>
      <c r="E56" s="100">
        <v>7.0</v>
      </c>
      <c r="F56" s="100">
        <v>0.0</v>
      </c>
      <c r="G56" s="6" t="s">
        <v>2553</v>
      </c>
      <c r="N56" s="6" t="s">
        <v>2658</v>
      </c>
    </row>
    <row r="57">
      <c r="A57" s="99">
        <v>57.0</v>
      </c>
      <c r="B57" s="59" t="s">
        <v>2659</v>
      </c>
      <c r="C57" s="15" t="s">
        <v>1383</v>
      </c>
      <c r="D57" s="100">
        <v>3.0</v>
      </c>
      <c r="E57" s="100">
        <v>7.0</v>
      </c>
      <c r="F57" s="100">
        <v>0.0</v>
      </c>
      <c r="G57" s="6" t="s">
        <v>2553</v>
      </c>
      <c r="N57" s="6" t="s">
        <v>2660</v>
      </c>
    </row>
    <row r="58">
      <c r="A58" s="99">
        <v>58.0</v>
      </c>
      <c r="B58" s="59" t="s">
        <v>2661</v>
      </c>
      <c r="C58" s="59" t="s">
        <v>1419</v>
      </c>
      <c r="D58" s="100">
        <v>3.0</v>
      </c>
      <c r="E58" s="100">
        <v>8.0</v>
      </c>
      <c r="F58" s="100">
        <v>0.0</v>
      </c>
      <c r="G58" s="6" t="s">
        <v>2553</v>
      </c>
    </row>
    <row r="59">
      <c r="A59" s="99">
        <v>59.0</v>
      </c>
      <c r="B59" s="59" t="s">
        <v>2662</v>
      </c>
      <c r="C59" s="59" t="s">
        <v>2020</v>
      </c>
      <c r="D59" s="100">
        <v>0.0</v>
      </c>
      <c r="E59" s="100">
        <v>8.0</v>
      </c>
      <c r="F59" s="100">
        <v>0.0</v>
      </c>
      <c r="G59" s="6" t="s">
        <v>2553</v>
      </c>
    </row>
    <row r="60">
      <c r="A60" s="99">
        <v>60.0</v>
      </c>
      <c r="B60" s="59" t="s">
        <v>2663</v>
      </c>
      <c r="C60" s="59" t="s">
        <v>2020</v>
      </c>
      <c r="D60" s="100">
        <v>1.0</v>
      </c>
      <c r="E60" s="100">
        <v>8.0</v>
      </c>
      <c r="F60" s="100">
        <v>0.0</v>
      </c>
      <c r="G60" s="6" t="s">
        <v>2553</v>
      </c>
    </row>
    <row r="61">
      <c r="A61" s="99">
        <v>61.0</v>
      </c>
      <c r="B61" s="59" t="s">
        <v>2664</v>
      </c>
      <c r="C61" s="59" t="s">
        <v>2020</v>
      </c>
      <c r="D61" s="100">
        <v>1.0</v>
      </c>
      <c r="E61" s="100">
        <v>8.0</v>
      </c>
      <c r="F61" s="100">
        <v>0.0</v>
      </c>
      <c r="G61" s="6" t="s">
        <v>2553</v>
      </c>
    </row>
    <row r="62">
      <c r="A62" s="99">
        <v>62.0</v>
      </c>
      <c r="B62" s="59" t="s">
        <v>2665</v>
      </c>
      <c r="C62" s="59" t="s">
        <v>1641</v>
      </c>
      <c r="D62" s="100">
        <v>0.0</v>
      </c>
      <c r="E62" s="100">
        <v>8.0</v>
      </c>
      <c r="F62" s="100">
        <v>0.0</v>
      </c>
      <c r="G62" s="6" t="s">
        <v>2553</v>
      </c>
    </row>
    <row r="63">
      <c r="A63" s="99">
        <v>63.0</v>
      </c>
      <c r="B63" s="59" t="s">
        <v>2666</v>
      </c>
      <c r="C63" s="59" t="s">
        <v>1365</v>
      </c>
      <c r="D63" s="100">
        <v>1.0</v>
      </c>
      <c r="E63" s="100">
        <v>8.0</v>
      </c>
      <c r="F63" s="100">
        <v>0.0</v>
      </c>
      <c r="G63" s="6" t="s">
        <v>2553</v>
      </c>
    </row>
    <row r="64">
      <c r="A64" s="99">
        <v>64.0</v>
      </c>
      <c r="B64" s="59" t="s">
        <v>2667</v>
      </c>
      <c r="C64" s="59" t="s">
        <v>1365</v>
      </c>
      <c r="D64" s="100">
        <v>1.0</v>
      </c>
      <c r="E64" s="100">
        <v>8.0</v>
      </c>
      <c r="F64" s="100">
        <v>0.0</v>
      </c>
      <c r="G64" s="6" t="s">
        <v>2553</v>
      </c>
    </row>
    <row r="65">
      <c r="A65" s="99">
        <v>65.0</v>
      </c>
      <c r="B65" s="59" t="s">
        <v>2668</v>
      </c>
      <c r="C65" s="59" t="s">
        <v>1365</v>
      </c>
      <c r="D65" s="100">
        <v>1.0</v>
      </c>
      <c r="E65" s="100">
        <v>8.0</v>
      </c>
      <c r="F65" s="100">
        <v>0.0</v>
      </c>
      <c r="G65" s="6" t="s">
        <v>2553</v>
      </c>
    </row>
    <row r="66">
      <c r="A66" s="99">
        <v>66.0</v>
      </c>
      <c r="B66" s="59" t="s">
        <v>2669</v>
      </c>
      <c r="C66" s="59" t="s">
        <v>2069</v>
      </c>
      <c r="D66" s="100">
        <v>2.0</v>
      </c>
      <c r="E66" s="100">
        <v>8.0</v>
      </c>
      <c r="F66" s="100">
        <v>0.0</v>
      </c>
      <c r="G66" s="6" t="s">
        <v>2553</v>
      </c>
    </row>
    <row r="67">
      <c r="A67" s="99">
        <v>67.0</v>
      </c>
      <c r="B67" s="59" t="s">
        <v>2670</v>
      </c>
      <c r="C67" s="59" t="s">
        <v>2084</v>
      </c>
      <c r="D67" s="100">
        <v>1.0</v>
      </c>
      <c r="E67" s="100">
        <v>8.0</v>
      </c>
      <c r="F67" s="100">
        <v>0.0</v>
      </c>
      <c r="G67" s="6" t="s">
        <v>2553</v>
      </c>
    </row>
    <row r="68">
      <c r="A68" s="99">
        <v>68.0</v>
      </c>
      <c r="B68" s="15" t="s">
        <v>2671</v>
      </c>
      <c r="C68" s="59" t="s">
        <v>2406</v>
      </c>
      <c r="D68" s="100">
        <v>1.0</v>
      </c>
      <c r="E68" s="100">
        <v>8.0</v>
      </c>
      <c r="F68" s="100">
        <v>0.0</v>
      </c>
      <c r="G68" s="6" t="s">
        <v>2553</v>
      </c>
    </row>
    <row r="69">
      <c r="A69" s="99">
        <v>69.0</v>
      </c>
      <c r="B69" s="59" t="s">
        <v>2672</v>
      </c>
      <c r="C69" s="59" t="s">
        <v>1544</v>
      </c>
      <c r="D69" s="100">
        <v>1.0</v>
      </c>
      <c r="E69" s="100">
        <v>9.0</v>
      </c>
      <c r="F69" s="100">
        <v>0.0</v>
      </c>
      <c r="G69" s="6" t="s">
        <v>2553</v>
      </c>
    </row>
    <row r="70">
      <c r="A70" s="99">
        <v>70.0</v>
      </c>
      <c r="B70" s="59" t="s">
        <v>2673</v>
      </c>
      <c r="C70" s="59" t="s">
        <v>1544</v>
      </c>
      <c r="D70" s="100">
        <v>1.0</v>
      </c>
      <c r="E70" s="100">
        <v>9.0</v>
      </c>
      <c r="F70" s="100">
        <v>0.0</v>
      </c>
      <c r="G70" s="6" t="s">
        <v>2553</v>
      </c>
    </row>
    <row r="71">
      <c r="A71" s="99">
        <v>71.0</v>
      </c>
      <c r="B71" s="59" t="s">
        <v>2674</v>
      </c>
      <c r="C71" s="59" t="s">
        <v>1544</v>
      </c>
      <c r="D71" s="100">
        <v>1.0</v>
      </c>
      <c r="E71" s="100">
        <v>9.0</v>
      </c>
      <c r="F71" s="100">
        <v>0.0</v>
      </c>
      <c r="G71" s="6" t="s">
        <v>2553</v>
      </c>
    </row>
    <row r="72">
      <c r="A72" s="99">
        <v>72.0</v>
      </c>
      <c r="B72" s="59" t="s">
        <v>2675</v>
      </c>
      <c r="C72" s="59" t="s">
        <v>1544</v>
      </c>
      <c r="D72" s="100">
        <v>1.0</v>
      </c>
      <c r="E72" s="100">
        <v>9.0</v>
      </c>
      <c r="F72" s="100">
        <v>0.0</v>
      </c>
      <c r="G72" s="6" t="s">
        <v>2553</v>
      </c>
    </row>
    <row r="73">
      <c r="A73" s="99">
        <v>73.0</v>
      </c>
      <c r="B73" s="59" t="s">
        <v>2676</v>
      </c>
      <c r="C73" s="59" t="s">
        <v>1544</v>
      </c>
      <c r="D73" s="100">
        <v>0.0</v>
      </c>
      <c r="E73" s="100">
        <v>9.0</v>
      </c>
      <c r="F73" s="100">
        <v>0.0</v>
      </c>
      <c r="G73" s="6" t="s">
        <v>2553</v>
      </c>
    </row>
    <row r="74">
      <c r="A74" s="99">
        <v>74.0</v>
      </c>
      <c r="B74" s="59" t="s">
        <v>2677</v>
      </c>
      <c r="C74" s="59" t="s">
        <v>1362</v>
      </c>
      <c r="D74" s="100">
        <v>1.0</v>
      </c>
      <c r="E74" s="100">
        <v>9.0</v>
      </c>
      <c r="F74" s="100">
        <v>0.0</v>
      </c>
      <c r="G74" s="6" t="s">
        <v>2553</v>
      </c>
    </row>
    <row r="75">
      <c r="A75" s="99">
        <v>75.0</v>
      </c>
      <c r="B75" s="59" t="s">
        <v>2678</v>
      </c>
      <c r="C75" s="59" t="s">
        <v>1683</v>
      </c>
      <c r="D75" s="100">
        <v>1.0</v>
      </c>
      <c r="E75" s="100">
        <v>9.0</v>
      </c>
      <c r="F75" s="100">
        <v>0.0</v>
      </c>
      <c r="G75" s="6" t="s">
        <v>2553</v>
      </c>
    </row>
    <row r="76">
      <c r="A76" s="99">
        <v>76.0</v>
      </c>
      <c r="B76" s="59" t="s">
        <v>2679</v>
      </c>
      <c r="C76" s="59" t="s">
        <v>1333</v>
      </c>
      <c r="D76" s="100">
        <v>1.0</v>
      </c>
      <c r="E76" s="100">
        <v>9.0</v>
      </c>
      <c r="F76" s="100">
        <v>0.0</v>
      </c>
      <c r="G76" s="6" t="s">
        <v>2553</v>
      </c>
      <c r="K76" s="6" t="s">
        <v>2680</v>
      </c>
    </row>
    <row r="77">
      <c r="A77" s="99">
        <v>77.0</v>
      </c>
      <c r="B77" s="59" t="s">
        <v>2681</v>
      </c>
      <c r="C77" s="59" t="s">
        <v>1432</v>
      </c>
      <c r="D77" s="100">
        <v>1.0</v>
      </c>
      <c r="E77" s="100">
        <v>9.0</v>
      </c>
      <c r="F77" s="100">
        <v>0.0</v>
      </c>
      <c r="G77" s="6" t="s">
        <v>2553</v>
      </c>
      <c r="K77" s="6" t="s">
        <v>1863</v>
      </c>
    </row>
    <row r="78">
      <c r="A78" s="99">
        <v>78.0</v>
      </c>
      <c r="B78" s="59" t="s">
        <v>2682</v>
      </c>
      <c r="C78" s="59" t="s">
        <v>1979</v>
      </c>
      <c r="D78" s="100">
        <v>1.0</v>
      </c>
      <c r="E78" s="100">
        <v>9.0</v>
      </c>
      <c r="F78" s="100">
        <v>1.0</v>
      </c>
      <c r="G78" s="6" t="s">
        <v>2553</v>
      </c>
      <c r="K78" s="6" t="s">
        <v>2683</v>
      </c>
    </row>
    <row r="79">
      <c r="A79" s="99">
        <v>79.0</v>
      </c>
      <c r="B79" s="59" t="s">
        <v>2684</v>
      </c>
      <c r="C79" s="59" t="s">
        <v>1442</v>
      </c>
      <c r="D79" s="100">
        <v>1.0</v>
      </c>
      <c r="E79" s="100">
        <v>9.0</v>
      </c>
      <c r="F79" s="100">
        <v>0.0</v>
      </c>
      <c r="G79" s="6" t="s">
        <v>2553</v>
      </c>
    </row>
    <row r="80">
      <c r="A80" s="99">
        <v>80.0</v>
      </c>
      <c r="B80" s="59" t="s">
        <v>2685</v>
      </c>
      <c r="C80" s="59" t="s">
        <v>1442</v>
      </c>
      <c r="D80" s="100">
        <v>0.0</v>
      </c>
      <c r="E80" s="100">
        <v>9.0</v>
      </c>
      <c r="F80" s="100">
        <v>0.0</v>
      </c>
      <c r="G80" s="6" t="s">
        <v>2553</v>
      </c>
    </row>
    <row r="81">
      <c r="A81" s="99">
        <v>81.0</v>
      </c>
      <c r="B81" s="59" t="s">
        <v>2686</v>
      </c>
      <c r="C81" s="59" t="s">
        <v>1722</v>
      </c>
      <c r="D81" s="100">
        <v>0.0</v>
      </c>
      <c r="E81" s="100">
        <v>10.0</v>
      </c>
      <c r="F81" s="100">
        <v>0.0</v>
      </c>
      <c r="K81" s="6" t="s">
        <v>1027</v>
      </c>
    </row>
    <row r="82">
      <c r="A82" s="99">
        <v>82.0</v>
      </c>
      <c r="B82" s="59" t="s">
        <v>2687</v>
      </c>
      <c r="C82" s="59" t="s">
        <v>1683</v>
      </c>
      <c r="D82" s="100">
        <v>0.0</v>
      </c>
      <c r="E82" s="100">
        <v>10.0</v>
      </c>
      <c r="F82" s="100">
        <v>0.0</v>
      </c>
      <c r="G82" s="6" t="s">
        <v>2688</v>
      </c>
      <c r="K82" s="6" t="s">
        <v>2689</v>
      </c>
    </row>
    <row r="83">
      <c r="A83" s="99">
        <v>83.0</v>
      </c>
      <c r="B83" s="59" t="s">
        <v>2690</v>
      </c>
      <c r="C83" s="59" t="s">
        <v>1692</v>
      </c>
      <c r="D83" s="100">
        <v>1.0</v>
      </c>
      <c r="E83" s="100">
        <v>10.0</v>
      </c>
      <c r="F83" s="100">
        <v>0.0</v>
      </c>
    </row>
    <row r="84">
      <c r="A84" s="99">
        <v>84.0</v>
      </c>
      <c r="B84" s="59" t="s">
        <v>2691</v>
      </c>
      <c r="C84" s="59" t="s">
        <v>1966</v>
      </c>
      <c r="D84" s="100">
        <v>2.0</v>
      </c>
      <c r="E84" s="100">
        <v>10.0</v>
      </c>
      <c r="F84" s="100">
        <v>0.0</v>
      </c>
    </row>
    <row r="85">
      <c r="A85" s="99">
        <v>85.0</v>
      </c>
      <c r="B85" s="59" t="s">
        <v>2692</v>
      </c>
      <c r="C85" s="59" t="s">
        <v>1966</v>
      </c>
      <c r="D85" s="100">
        <v>1.0</v>
      </c>
      <c r="E85" s="100">
        <v>10.0</v>
      </c>
      <c r="F85" s="100">
        <v>0.0</v>
      </c>
      <c r="K85" s="6" t="s">
        <v>1949</v>
      </c>
    </row>
    <row r="86">
      <c r="A86" s="99">
        <v>86.0</v>
      </c>
      <c r="B86" s="59" t="s">
        <v>2693</v>
      </c>
      <c r="C86" s="59" t="s">
        <v>1792</v>
      </c>
      <c r="D86" s="100">
        <v>1.0</v>
      </c>
      <c r="E86" s="100">
        <v>10.0</v>
      </c>
      <c r="F86" s="100">
        <v>0.0</v>
      </c>
      <c r="K86" s="6" t="s">
        <v>2694</v>
      </c>
    </row>
    <row r="87">
      <c r="A87" s="99">
        <v>87.0</v>
      </c>
      <c r="B87" s="59" t="s">
        <v>2695</v>
      </c>
      <c r="C87" s="59" t="s">
        <v>1442</v>
      </c>
      <c r="D87" s="100">
        <v>1.0</v>
      </c>
      <c r="E87" s="100">
        <v>10.0</v>
      </c>
      <c r="F87" s="100">
        <v>0.0</v>
      </c>
    </row>
    <row r="88">
      <c r="A88" s="99">
        <v>88.0</v>
      </c>
      <c r="B88" s="59" t="s">
        <v>2679</v>
      </c>
      <c r="C88" s="59" t="s">
        <v>1442</v>
      </c>
      <c r="D88" s="100">
        <v>1.0</v>
      </c>
      <c r="E88" s="100">
        <v>10.0</v>
      </c>
      <c r="F88" s="100">
        <v>0.0</v>
      </c>
      <c r="K88" s="6" t="s">
        <v>1722</v>
      </c>
    </row>
    <row r="89">
      <c r="A89" s="99">
        <v>89.0</v>
      </c>
      <c r="B89" s="59" t="s">
        <v>2696</v>
      </c>
      <c r="C89" s="59" t="s">
        <v>1333</v>
      </c>
      <c r="D89" s="100">
        <v>1.0</v>
      </c>
      <c r="E89" s="100">
        <v>10.0</v>
      </c>
      <c r="F89" s="100">
        <v>1.0</v>
      </c>
      <c r="K89" s="6" t="s">
        <v>2697</v>
      </c>
    </row>
    <row r="90">
      <c r="A90" s="99">
        <v>90.0</v>
      </c>
      <c r="B90" s="59" t="s">
        <v>2698</v>
      </c>
      <c r="C90" s="59" t="s">
        <v>1432</v>
      </c>
      <c r="D90" s="100">
        <v>1.0</v>
      </c>
      <c r="E90" s="100">
        <v>10.0</v>
      </c>
      <c r="F90" s="100">
        <v>0.0</v>
      </c>
      <c r="K90" s="6" t="s">
        <v>2699</v>
      </c>
    </row>
    <row r="91">
      <c r="A91" s="99">
        <v>91.0</v>
      </c>
      <c r="B91" s="59" t="s">
        <v>2700</v>
      </c>
      <c r="C91" s="59" t="s">
        <v>1432</v>
      </c>
      <c r="D91" s="100">
        <v>1.0</v>
      </c>
      <c r="E91" s="100">
        <v>10.0</v>
      </c>
      <c r="F91" s="100">
        <v>0.0</v>
      </c>
      <c r="K91" s="6" t="s">
        <v>2701</v>
      </c>
    </row>
    <row r="92">
      <c r="A92" s="99">
        <v>92.0</v>
      </c>
      <c r="B92" s="59" t="s">
        <v>2702</v>
      </c>
      <c r="C92" s="59" t="s">
        <v>1496</v>
      </c>
      <c r="D92" s="100">
        <v>1.0</v>
      </c>
      <c r="E92" s="100">
        <v>10.0</v>
      </c>
      <c r="F92" s="100">
        <v>0.0</v>
      </c>
    </row>
    <row r="93">
      <c r="A93" s="99">
        <v>93.0</v>
      </c>
      <c r="B93" s="59" t="s">
        <v>2703</v>
      </c>
      <c r="C93" s="15" t="s">
        <v>2225</v>
      </c>
      <c r="D93" s="100">
        <v>6.0</v>
      </c>
      <c r="E93" s="100">
        <v>11.0</v>
      </c>
      <c r="F93" s="100">
        <v>0.0</v>
      </c>
      <c r="G93" s="6" t="s">
        <v>2589</v>
      </c>
      <c r="K93" s="6" t="s">
        <v>158</v>
      </c>
    </row>
    <row r="94">
      <c r="A94" s="99">
        <v>94.0</v>
      </c>
      <c r="B94" s="59" t="s">
        <v>2704</v>
      </c>
      <c r="C94" s="59" t="s">
        <v>1908</v>
      </c>
      <c r="D94" s="100">
        <v>0.0</v>
      </c>
      <c r="E94" s="100">
        <v>11.0</v>
      </c>
      <c r="F94" s="100">
        <v>0.0</v>
      </c>
      <c r="G94" s="6" t="s">
        <v>2589</v>
      </c>
      <c r="K94" s="6" t="s">
        <v>2705</v>
      </c>
    </row>
    <row r="95">
      <c r="A95" s="99">
        <v>95.0</v>
      </c>
      <c r="B95" s="59" t="s">
        <v>2706</v>
      </c>
      <c r="C95" s="59" t="s">
        <v>1843</v>
      </c>
      <c r="D95" s="100">
        <v>0.0</v>
      </c>
      <c r="E95" s="100">
        <v>11.0</v>
      </c>
      <c r="F95" s="100">
        <v>0.0</v>
      </c>
      <c r="G95" s="6" t="s">
        <v>2589</v>
      </c>
    </row>
    <row r="96">
      <c r="A96" s="99">
        <v>96.0</v>
      </c>
      <c r="B96" s="59" t="s">
        <v>2707</v>
      </c>
      <c r="C96" s="59" t="s">
        <v>1843</v>
      </c>
      <c r="D96" s="100">
        <v>3.0</v>
      </c>
      <c r="E96" s="100">
        <v>11.0</v>
      </c>
      <c r="F96" s="100">
        <v>0.0</v>
      </c>
      <c r="G96" s="6" t="s">
        <v>2589</v>
      </c>
      <c r="K96" s="6" t="s">
        <v>2708</v>
      </c>
    </row>
    <row r="97">
      <c r="A97" s="99">
        <v>97.0</v>
      </c>
      <c r="B97" s="59" t="s">
        <v>2709</v>
      </c>
      <c r="C97" s="82"/>
      <c r="D97" s="100">
        <v>2.0</v>
      </c>
      <c r="E97" s="100">
        <v>12.0</v>
      </c>
      <c r="F97" s="100">
        <v>0.0</v>
      </c>
    </row>
    <row r="98">
      <c r="A98" s="99">
        <v>98.0</v>
      </c>
      <c r="B98" s="59" t="s">
        <v>2710</v>
      </c>
      <c r="C98" s="82"/>
      <c r="D98" s="100">
        <v>2.0</v>
      </c>
      <c r="E98" s="100">
        <v>12.0</v>
      </c>
      <c r="F98" s="100">
        <v>0.0</v>
      </c>
      <c r="K98" s="6" t="s">
        <v>2711</v>
      </c>
    </row>
    <row r="99">
      <c r="A99" s="99">
        <v>99.0</v>
      </c>
      <c r="B99" s="59" t="s">
        <v>2712</v>
      </c>
      <c r="C99" s="82"/>
      <c r="D99" s="100">
        <v>0.0</v>
      </c>
      <c r="E99" s="100">
        <v>12.0</v>
      </c>
      <c r="F99" s="100">
        <v>0.0</v>
      </c>
      <c r="K99" s="6" t="s">
        <v>2713</v>
      </c>
    </row>
    <row r="100">
      <c r="A100" s="99">
        <v>100.0</v>
      </c>
      <c r="B100" s="59" t="s">
        <v>2714</v>
      </c>
      <c r="C100" s="82"/>
      <c r="D100" s="100">
        <v>2.0</v>
      </c>
      <c r="E100" s="100">
        <v>12.0</v>
      </c>
      <c r="F100" s="100">
        <v>0.0</v>
      </c>
      <c r="K100" s="6" t="s">
        <v>2715</v>
      </c>
    </row>
    <row r="101">
      <c r="A101" s="99">
        <v>101.0</v>
      </c>
      <c r="B101" s="59" t="s">
        <v>2716</v>
      </c>
      <c r="C101" s="82"/>
      <c r="D101" s="100">
        <v>1.0</v>
      </c>
      <c r="E101" s="100">
        <v>12.0</v>
      </c>
      <c r="F101" s="100">
        <v>0.0</v>
      </c>
      <c r="K101" s="6" t="s">
        <v>2717</v>
      </c>
    </row>
    <row r="102">
      <c r="A102" s="99">
        <v>102.0</v>
      </c>
      <c r="B102" s="59" t="s">
        <v>2718</v>
      </c>
      <c r="C102" s="82"/>
      <c r="D102" s="100">
        <v>0.0</v>
      </c>
      <c r="E102" s="100">
        <v>12.0</v>
      </c>
      <c r="F102" s="100">
        <v>0.0</v>
      </c>
      <c r="K102" s="6" t="s">
        <v>2719</v>
      </c>
    </row>
    <row r="103">
      <c r="A103" s="99">
        <v>103.0</v>
      </c>
      <c r="B103" s="59" t="s">
        <v>2720</v>
      </c>
      <c r="C103" s="82"/>
      <c r="D103" s="100">
        <v>2.0</v>
      </c>
      <c r="E103" s="100">
        <v>12.0</v>
      </c>
      <c r="F103" s="100">
        <v>0.0</v>
      </c>
    </row>
    <row r="104">
      <c r="A104" s="105"/>
      <c r="B104" s="59" t="s">
        <v>2721</v>
      </c>
      <c r="C104" s="82"/>
      <c r="D104" s="100">
        <v>0.0</v>
      </c>
      <c r="E104" s="100">
        <v>12.0</v>
      </c>
      <c r="F104" s="100">
        <v>0.0</v>
      </c>
    </row>
    <row r="105">
      <c r="A105" s="105"/>
      <c r="B105" s="59" t="s">
        <v>2722</v>
      </c>
      <c r="C105" s="82"/>
      <c r="D105" s="100">
        <v>1.0</v>
      </c>
      <c r="E105" s="100">
        <v>12.0</v>
      </c>
      <c r="F105" s="100">
        <v>0.0</v>
      </c>
      <c r="K105" s="6" t="s">
        <v>1641</v>
      </c>
    </row>
    <row r="106">
      <c r="A106" s="105"/>
      <c r="B106" s="59" t="s">
        <v>2723</v>
      </c>
      <c r="C106" s="82"/>
      <c r="D106" s="100">
        <v>0.0</v>
      </c>
      <c r="E106" s="100">
        <v>12.0</v>
      </c>
      <c r="F106" s="100">
        <v>0.0</v>
      </c>
      <c r="K106" s="6" t="s">
        <v>2724</v>
      </c>
    </row>
    <row r="107">
      <c r="A107" s="105"/>
      <c r="B107" s="59" t="s">
        <v>2725</v>
      </c>
      <c r="C107" s="15" t="s">
        <v>2085</v>
      </c>
      <c r="D107" s="100">
        <v>2.0</v>
      </c>
      <c r="E107" s="100">
        <v>13.0</v>
      </c>
      <c r="F107" s="100">
        <v>0.0</v>
      </c>
      <c r="K107" s="6" t="s">
        <v>2726</v>
      </c>
    </row>
    <row r="108">
      <c r="A108" s="105"/>
      <c r="B108" s="59" t="s">
        <v>2696</v>
      </c>
      <c r="C108" s="82"/>
      <c r="D108" s="100">
        <v>1.0</v>
      </c>
      <c r="E108" s="100">
        <v>13.0</v>
      </c>
      <c r="F108" s="100">
        <v>0.0</v>
      </c>
    </row>
    <row r="109">
      <c r="A109" s="105"/>
      <c r="B109" s="59" t="s">
        <v>2727</v>
      </c>
      <c r="C109" s="82"/>
      <c r="D109" s="100">
        <v>1.0</v>
      </c>
      <c r="E109" s="100">
        <v>13.0</v>
      </c>
      <c r="F109" s="100">
        <v>0.0</v>
      </c>
      <c r="K109" s="6" t="s">
        <v>2728</v>
      </c>
    </row>
    <row r="110">
      <c r="A110" s="105"/>
      <c r="B110" s="59" t="s">
        <v>2729</v>
      </c>
      <c r="C110" s="82"/>
      <c r="D110" s="100">
        <v>0.0</v>
      </c>
      <c r="E110" s="100">
        <v>13.0</v>
      </c>
      <c r="F110" s="100">
        <v>0.0</v>
      </c>
    </row>
    <row r="111">
      <c r="A111" s="105"/>
      <c r="B111" s="59" t="s">
        <v>2730</v>
      </c>
      <c r="C111" s="82"/>
      <c r="D111" s="100">
        <v>1.0</v>
      </c>
      <c r="E111" s="100">
        <v>13.0</v>
      </c>
      <c r="F111" s="100">
        <v>0.0</v>
      </c>
      <c r="K111" s="6" t="s">
        <v>2731</v>
      </c>
    </row>
    <row r="112">
      <c r="A112" s="105"/>
      <c r="B112" s="59" t="s">
        <v>2732</v>
      </c>
      <c r="C112" s="82"/>
      <c r="D112" s="100">
        <v>0.0</v>
      </c>
      <c r="E112" s="100">
        <v>13.0</v>
      </c>
      <c r="F112" s="100">
        <v>0.0</v>
      </c>
      <c r="K112" s="6" t="s">
        <v>2733</v>
      </c>
    </row>
    <row r="113">
      <c r="A113" s="105"/>
      <c r="B113" s="59" t="s">
        <v>2734</v>
      </c>
      <c r="C113" s="82"/>
      <c r="D113" s="100">
        <v>1.0</v>
      </c>
      <c r="E113" s="100">
        <v>13.0</v>
      </c>
      <c r="F113" s="100">
        <v>0.0</v>
      </c>
      <c r="K113" s="6" t="s">
        <v>2735</v>
      </c>
    </row>
    <row r="114">
      <c r="A114" s="105"/>
      <c r="B114" s="59" t="s">
        <v>2736</v>
      </c>
      <c r="C114" s="82"/>
      <c r="D114" s="100">
        <v>1.0</v>
      </c>
      <c r="E114" s="100">
        <v>14.0</v>
      </c>
      <c r="F114" s="100">
        <v>0.0</v>
      </c>
      <c r="K114" s="6" t="s">
        <v>2737</v>
      </c>
    </row>
    <row r="115">
      <c r="A115" s="105"/>
      <c r="B115" s="59" t="s">
        <v>2738</v>
      </c>
      <c r="C115" s="82"/>
      <c r="D115" s="100">
        <v>1.0</v>
      </c>
      <c r="E115" s="100">
        <v>14.0</v>
      </c>
      <c r="F115" s="100">
        <v>0.0</v>
      </c>
      <c r="K115" s="6" t="s">
        <v>2739</v>
      </c>
    </row>
    <row r="116">
      <c r="A116" s="105"/>
      <c r="B116" s="59" t="s">
        <v>2740</v>
      </c>
      <c r="C116" s="82"/>
      <c r="D116" s="100">
        <v>1.0</v>
      </c>
      <c r="E116" s="100">
        <v>14.0</v>
      </c>
      <c r="F116" s="100">
        <v>0.0</v>
      </c>
      <c r="K116" s="6" t="s">
        <v>2741</v>
      </c>
    </row>
    <row r="117">
      <c r="A117" s="105"/>
      <c r="B117" s="59" t="s">
        <v>2742</v>
      </c>
      <c r="C117" s="82"/>
      <c r="D117" s="100">
        <v>2.0</v>
      </c>
      <c r="E117" s="100">
        <v>14.0</v>
      </c>
      <c r="F117" s="100">
        <v>0.0</v>
      </c>
    </row>
    <row r="118">
      <c r="A118" s="105"/>
      <c r="B118" s="59" t="s">
        <v>2743</v>
      </c>
      <c r="C118" s="82"/>
      <c r="D118" s="100">
        <v>1.0</v>
      </c>
      <c r="E118" s="100">
        <v>14.0</v>
      </c>
      <c r="F118" s="100">
        <v>0.0</v>
      </c>
      <c r="K118" s="6" t="s">
        <v>1365</v>
      </c>
    </row>
    <row r="119">
      <c r="A119" s="105"/>
      <c r="B119" s="59" t="s">
        <v>2744</v>
      </c>
      <c r="C119" s="82"/>
      <c r="D119" s="100">
        <v>3.0</v>
      </c>
      <c r="E119" s="100">
        <v>14.0</v>
      </c>
      <c r="F119" s="100">
        <v>0.0</v>
      </c>
      <c r="K119" s="6" t="s">
        <v>2745</v>
      </c>
    </row>
    <row r="120">
      <c r="A120" s="105"/>
      <c r="B120" s="59" t="s">
        <v>2746</v>
      </c>
      <c r="C120" s="82"/>
      <c r="D120" s="100">
        <v>1.0</v>
      </c>
      <c r="E120" s="100">
        <v>14.0</v>
      </c>
      <c r="F120" s="100">
        <v>0.0</v>
      </c>
      <c r="K120" s="6" t="s">
        <v>2747</v>
      </c>
    </row>
    <row r="121">
      <c r="A121" s="105"/>
      <c r="B121" s="59" t="s">
        <v>2748</v>
      </c>
      <c r="C121" s="82"/>
      <c r="D121" s="100">
        <v>1.0</v>
      </c>
      <c r="E121" s="100">
        <v>14.0</v>
      </c>
      <c r="F121" s="100">
        <v>0.0</v>
      </c>
      <c r="K121" s="6" t="s">
        <v>2749</v>
      </c>
    </row>
    <row r="122">
      <c r="A122" s="105"/>
      <c r="B122" s="59" t="s">
        <v>2750</v>
      </c>
      <c r="C122" s="82"/>
      <c r="D122" s="100">
        <v>1.0</v>
      </c>
      <c r="E122" s="100">
        <v>14.0</v>
      </c>
      <c r="F122" s="100">
        <v>0.0</v>
      </c>
    </row>
    <row r="123">
      <c r="A123" s="105"/>
      <c r="B123" s="59" t="s">
        <v>2751</v>
      </c>
      <c r="C123" s="82"/>
      <c r="D123" s="100">
        <v>3.0</v>
      </c>
      <c r="E123" s="100">
        <v>14.0</v>
      </c>
      <c r="F123" s="100">
        <v>0.0</v>
      </c>
      <c r="K123" s="6" t="s">
        <v>2752</v>
      </c>
    </row>
    <row r="124">
      <c r="A124" s="105"/>
      <c r="B124" s="59" t="s">
        <v>2753</v>
      </c>
      <c r="C124" s="82"/>
      <c r="D124" s="100">
        <v>1.0</v>
      </c>
      <c r="E124" s="100">
        <v>14.0</v>
      </c>
      <c r="F124" s="100">
        <v>0.0</v>
      </c>
    </row>
    <row r="125">
      <c r="A125" s="105"/>
      <c r="B125" s="59" t="s">
        <v>2543</v>
      </c>
      <c r="C125" s="59" t="s">
        <v>719</v>
      </c>
      <c r="D125" s="100">
        <v>4.0</v>
      </c>
      <c r="E125" s="100">
        <v>15.0</v>
      </c>
      <c r="F125" s="106"/>
      <c r="K125" s="6" t="s">
        <v>2754</v>
      </c>
    </row>
    <row r="126">
      <c r="A126" s="105"/>
      <c r="B126" s="59" t="s">
        <v>2545</v>
      </c>
      <c r="C126" s="59" t="s">
        <v>719</v>
      </c>
      <c r="D126" s="100">
        <v>2.0</v>
      </c>
      <c r="E126" s="100">
        <v>15.0</v>
      </c>
      <c r="F126" s="106"/>
      <c r="K126" s="6" t="s">
        <v>2755</v>
      </c>
    </row>
    <row r="127">
      <c r="A127" s="105"/>
      <c r="B127" s="59" t="s">
        <v>2548</v>
      </c>
      <c r="C127" s="59" t="s">
        <v>594</v>
      </c>
      <c r="D127" s="100">
        <v>1.0</v>
      </c>
      <c r="E127" s="100">
        <v>15.0</v>
      </c>
      <c r="F127" s="106"/>
      <c r="K127" s="6" t="s">
        <v>2756</v>
      </c>
    </row>
    <row r="128">
      <c r="A128" s="105"/>
      <c r="B128" s="59" t="s">
        <v>2551</v>
      </c>
      <c r="C128" s="59" t="s">
        <v>594</v>
      </c>
      <c r="D128" s="100">
        <v>1.0</v>
      </c>
      <c r="E128" s="100">
        <v>15.0</v>
      </c>
      <c r="F128" s="106"/>
      <c r="K128" s="6" t="s">
        <v>2757</v>
      </c>
    </row>
    <row r="129">
      <c r="A129" s="105"/>
      <c r="B129" s="59" t="s">
        <v>2554</v>
      </c>
      <c r="C129" s="82"/>
      <c r="D129" s="100">
        <v>2.0</v>
      </c>
      <c r="E129" s="100">
        <v>15.0</v>
      </c>
      <c r="F129" s="106"/>
      <c r="K129" s="6" t="s">
        <v>2758</v>
      </c>
    </row>
    <row r="130">
      <c r="A130" s="105"/>
      <c r="B130" s="59" t="s">
        <v>2556</v>
      </c>
      <c r="C130" s="82"/>
      <c r="D130" s="100">
        <v>2.0</v>
      </c>
      <c r="E130" s="100">
        <v>15.0</v>
      </c>
      <c r="F130" s="106"/>
      <c r="K130" s="6" t="s">
        <v>2759</v>
      </c>
    </row>
    <row r="131">
      <c r="A131" s="105"/>
      <c r="B131" s="59" t="s">
        <v>2558</v>
      </c>
      <c r="C131" s="82"/>
      <c r="D131" s="100">
        <v>1.0</v>
      </c>
      <c r="E131" s="100">
        <v>15.0</v>
      </c>
      <c r="F131" s="106"/>
      <c r="K131" s="6" t="s">
        <v>2760</v>
      </c>
    </row>
    <row r="132">
      <c r="A132" s="105"/>
      <c r="B132" s="59" t="s">
        <v>2560</v>
      </c>
      <c r="C132" s="82"/>
      <c r="D132" s="100">
        <v>2.0</v>
      </c>
      <c r="E132" s="100">
        <v>15.0</v>
      </c>
      <c r="F132" s="106"/>
    </row>
    <row r="133">
      <c r="A133" s="105"/>
      <c r="B133" s="59" t="s">
        <v>2563</v>
      </c>
      <c r="C133" s="82"/>
      <c r="D133" s="100">
        <v>2.0</v>
      </c>
      <c r="E133" s="100">
        <v>15.0</v>
      </c>
      <c r="F133" s="106"/>
      <c r="K133" s="6" t="s">
        <v>1425</v>
      </c>
    </row>
    <row r="134">
      <c r="A134" s="105"/>
      <c r="B134" s="59" t="s">
        <v>2566</v>
      </c>
      <c r="C134" s="82"/>
      <c r="D134" s="100">
        <v>1.0</v>
      </c>
      <c r="E134" s="100">
        <v>15.0</v>
      </c>
      <c r="F134" s="106"/>
      <c r="K134" s="6" t="s">
        <v>2761</v>
      </c>
    </row>
    <row r="135">
      <c r="A135" s="105"/>
      <c r="B135" s="59" t="s">
        <v>2568</v>
      </c>
      <c r="C135" s="82"/>
      <c r="D135" s="100">
        <v>1.0</v>
      </c>
      <c r="E135" s="100">
        <v>15.0</v>
      </c>
      <c r="F135" s="106"/>
      <c r="K135" s="6" t="s">
        <v>2762</v>
      </c>
    </row>
    <row r="136">
      <c r="A136" s="105"/>
      <c r="B136" s="59" t="s">
        <v>2571</v>
      </c>
      <c r="C136" s="82"/>
      <c r="D136" s="100">
        <v>2.0</v>
      </c>
      <c r="E136" s="100">
        <v>15.0</v>
      </c>
      <c r="F136" s="106"/>
      <c r="K136" s="6" t="s">
        <v>2763</v>
      </c>
    </row>
    <row r="137">
      <c r="A137" s="105"/>
      <c r="B137" s="59" t="s">
        <v>2574</v>
      </c>
      <c r="C137" s="82"/>
      <c r="D137" s="100">
        <v>2.0</v>
      </c>
      <c r="E137" s="100">
        <v>15.0</v>
      </c>
      <c r="F137" s="106"/>
    </row>
    <row r="138">
      <c r="A138" s="105"/>
      <c r="B138" s="59" t="s">
        <v>2569</v>
      </c>
      <c r="C138" s="82"/>
      <c r="D138" s="100">
        <v>3.0</v>
      </c>
      <c r="E138" s="100">
        <v>15.0</v>
      </c>
      <c r="F138" s="106"/>
      <c r="K138" s="6" t="s">
        <v>1908</v>
      </c>
    </row>
    <row r="139">
      <c r="A139" s="105"/>
      <c r="B139" s="59" t="s">
        <v>2577</v>
      </c>
      <c r="C139" s="82"/>
      <c r="D139" s="100">
        <v>2.0</v>
      </c>
      <c r="E139" s="100">
        <v>15.0</v>
      </c>
      <c r="F139" s="106"/>
      <c r="K139" s="6" t="s">
        <v>2764</v>
      </c>
    </row>
    <row r="140">
      <c r="A140" s="105"/>
      <c r="B140" s="59" t="s">
        <v>2582</v>
      </c>
      <c r="C140" s="82"/>
      <c r="D140" s="100">
        <v>1.0</v>
      </c>
      <c r="E140" s="100">
        <v>15.0</v>
      </c>
      <c r="F140" s="106"/>
      <c r="K140" s="6" t="s">
        <v>2765</v>
      </c>
    </row>
    <row r="141">
      <c r="A141" s="105"/>
      <c r="B141" s="59" t="s">
        <v>2581</v>
      </c>
      <c r="C141" s="82"/>
      <c r="D141" s="100">
        <v>1.0</v>
      </c>
      <c r="E141" s="100">
        <v>15.0</v>
      </c>
      <c r="F141" s="106"/>
      <c r="K141" s="6" t="s">
        <v>2766</v>
      </c>
    </row>
    <row r="142">
      <c r="A142" s="105"/>
      <c r="B142" s="59" t="s">
        <v>2584</v>
      </c>
      <c r="C142" s="82"/>
      <c r="D142" s="100">
        <v>1.0</v>
      </c>
      <c r="E142" s="100">
        <v>15.0</v>
      </c>
      <c r="F142" s="106"/>
      <c r="K142" s="6" t="s">
        <v>2767</v>
      </c>
    </row>
    <row r="143">
      <c r="A143" s="105"/>
      <c r="B143" s="59" t="s">
        <v>2561</v>
      </c>
      <c r="C143" s="82"/>
      <c r="D143" s="100">
        <v>2.0</v>
      </c>
      <c r="E143" s="100">
        <v>15.0</v>
      </c>
      <c r="F143" s="106"/>
      <c r="K143" s="6" t="s">
        <v>2768</v>
      </c>
    </row>
    <row r="144">
      <c r="A144" s="105"/>
      <c r="B144" s="59" t="s">
        <v>2564</v>
      </c>
      <c r="C144" s="82"/>
      <c r="D144" s="100">
        <v>2.0</v>
      </c>
      <c r="E144" s="100">
        <v>15.0</v>
      </c>
      <c r="F144" s="106"/>
    </row>
    <row r="145">
      <c r="A145" s="105"/>
      <c r="B145" s="59" t="s">
        <v>2587</v>
      </c>
      <c r="C145" s="82"/>
      <c r="D145" s="100">
        <v>1.0</v>
      </c>
      <c r="E145" s="100">
        <v>15.0</v>
      </c>
      <c r="F145" s="106"/>
      <c r="K145" s="6" t="s">
        <v>2406</v>
      </c>
    </row>
    <row r="146">
      <c r="A146" s="105"/>
      <c r="B146" s="59" t="s">
        <v>2590</v>
      </c>
      <c r="C146" s="82"/>
      <c r="D146" s="100">
        <v>1.0</v>
      </c>
      <c r="E146" s="100">
        <v>15.0</v>
      </c>
      <c r="F146" s="106"/>
      <c r="K146" s="6" t="s">
        <v>2769</v>
      </c>
    </row>
    <row r="147">
      <c r="A147" s="105"/>
      <c r="B147" s="59" t="s">
        <v>2592</v>
      </c>
      <c r="C147" s="82"/>
      <c r="D147" s="100">
        <v>1.0</v>
      </c>
      <c r="E147" s="100">
        <v>15.0</v>
      </c>
      <c r="F147" s="106"/>
      <c r="K147" s="6" t="s">
        <v>2770</v>
      </c>
    </row>
    <row r="148">
      <c r="A148" s="105"/>
      <c r="B148" s="59" t="s">
        <v>2594</v>
      </c>
      <c r="C148" s="82"/>
      <c r="D148" s="100">
        <v>1.0</v>
      </c>
      <c r="E148" s="100">
        <v>15.0</v>
      </c>
      <c r="F148" s="106"/>
    </row>
    <row r="149">
      <c r="A149" s="105"/>
      <c r="B149" s="59" t="s">
        <v>2596</v>
      </c>
      <c r="C149" s="82"/>
      <c r="D149" s="100">
        <v>1.0</v>
      </c>
      <c r="E149" s="100">
        <v>15.0</v>
      </c>
      <c r="F149" s="106"/>
      <c r="K149" s="6" t="s">
        <v>1843</v>
      </c>
    </row>
    <row r="150">
      <c r="A150" s="105"/>
      <c r="B150" s="59" t="s">
        <v>2598</v>
      </c>
      <c r="C150" s="82"/>
      <c r="D150" s="100">
        <v>1.0</v>
      </c>
      <c r="E150" s="100">
        <v>15.0</v>
      </c>
      <c r="F150" s="106"/>
      <c r="K150" s="6" t="s">
        <v>2771</v>
      </c>
    </row>
    <row r="151">
      <c r="A151" s="105"/>
      <c r="B151" s="59" t="s">
        <v>2600</v>
      </c>
      <c r="C151" s="82"/>
      <c r="D151" s="100">
        <v>1.0</v>
      </c>
      <c r="E151" s="100">
        <v>15.0</v>
      </c>
      <c r="F151" s="106"/>
      <c r="K151" s="6" t="s">
        <v>2772</v>
      </c>
    </row>
    <row r="152">
      <c r="A152" s="105"/>
      <c r="B152" s="59" t="s">
        <v>2602</v>
      </c>
      <c r="C152" s="82"/>
      <c r="D152" s="100">
        <v>2.0</v>
      </c>
      <c r="E152" s="100">
        <v>15.0</v>
      </c>
      <c r="F152" s="106"/>
    </row>
    <row r="153">
      <c r="A153" s="105"/>
      <c r="B153" s="59" t="s">
        <v>2604</v>
      </c>
      <c r="C153" s="82"/>
      <c r="D153" s="100">
        <v>2.0</v>
      </c>
      <c r="E153" s="100">
        <v>15.0</v>
      </c>
      <c r="F153" s="106"/>
      <c r="K153" s="6" t="s">
        <v>1843</v>
      </c>
    </row>
    <row r="154">
      <c r="A154" s="105"/>
      <c r="B154" s="59" t="s">
        <v>2606</v>
      </c>
      <c r="C154" s="82"/>
      <c r="D154" s="100">
        <v>1.0</v>
      </c>
      <c r="E154" s="100">
        <v>15.0</v>
      </c>
      <c r="F154" s="106"/>
      <c r="K154" s="6" t="s">
        <v>2773</v>
      </c>
    </row>
    <row r="155">
      <c r="A155" s="105"/>
      <c r="B155" s="59" t="s">
        <v>2610</v>
      </c>
      <c r="C155" s="82"/>
      <c r="D155" s="100">
        <v>5.0</v>
      </c>
      <c r="E155" s="100">
        <v>15.0</v>
      </c>
      <c r="F155" s="106"/>
      <c r="K155" s="6" t="s">
        <v>2774</v>
      </c>
    </row>
    <row r="156">
      <c r="A156" s="105"/>
      <c r="B156" s="59" t="s">
        <v>2608</v>
      </c>
      <c r="C156" s="82"/>
      <c r="D156" s="100">
        <v>2.0</v>
      </c>
      <c r="E156" s="100">
        <v>15.0</v>
      </c>
      <c r="F156" s="106"/>
    </row>
    <row r="157">
      <c r="A157" s="105"/>
      <c r="B157" s="107" t="s">
        <v>2775</v>
      </c>
      <c r="C157" s="82"/>
      <c r="D157" s="100">
        <v>1.0</v>
      </c>
      <c r="E157" s="106"/>
      <c r="F157" s="100">
        <v>0.0</v>
      </c>
      <c r="G157" s="6" t="s">
        <v>2776</v>
      </c>
    </row>
    <row r="158">
      <c r="A158" s="105"/>
      <c r="B158" s="59" t="s">
        <v>2777</v>
      </c>
      <c r="C158" s="82"/>
      <c r="D158" s="100">
        <v>2.0</v>
      </c>
      <c r="E158" s="106"/>
      <c r="F158" s="100">
        <v>0.0</v>
      </c>
      <c r="G158" s="6" t="s">
        <v>2776</v>
      </c>
    </row>
    <row r="159">
      <c r="A159" s="105"/>
      <c r="B159" s="59" t="s">
        <v>2778</v>
      </c>
      <c r="C159" s="82"/>
      <c r="D159" s="100">
        <v>2.0</v>
      </c>
      <c r="E159" s="106"/>
      <c r="F159" s="100">
        <v>0.0</v>
      </c>
      <c r="G159" s="6" t="s">
        <v>2776</v>
      </c>
    </row>
    <row r="160">
      <c r="A160" s="105"/>
      <c r="B160" s="59" t="s">
        <v>2779</v>
      </c>
      <c r="C160" s="82"/>
      <c r="D160" s="100">
        <v>2.0</v>
      </c>
      <c r="E160" s="106"/>
      <c r="F160" s="100">
        <v>0.0</v>
      </c>
      <c r="G160" s="6" t="s">
        <v>2776</v>
      </c>
    </row>
    <row r="161">
      <c r="A161" s="105"/>
      <c r="B161" s="59" t="s">
        <v>2780</v>
      </c>
      <c r="C161" s="82"/>
      <c r="D161" s="100">
        <v>2.0</v>
      </c>
      <c r="E161" s="106"/>
      <c r="F161" s="100">
        <v>0.0</v>
      </c>
      <c r="G161" s="6" t="s">
        <v>2776</v>
      </c>
    </row>
    <row r="162">
      <c r="A162" s="99"/>
      <c r="B162" s="59" t="s">
        <v>2781</v>
      </c>
      <c r="C162" s="59" t="s">
        <v>1722</v>
      </c>
      <c r="D162" s="100"/>
      <c r="E162" s="100"/>
      <c r="F162" s="100">
        <v>1.0</v>
      </c>
    </row>
    <row r="163">
      <c r="A163" s="105"/>
      <c r="B163" s="59" t="s">
        <v>2782</v>
      </c>
      <c r="C163" s="59" t="s">
        <v>158</v>
      </c>
      <c r="D163" s="106"/>
      <c r="E163" s="106"/>
      <c r="F163" s="100">
        <v>1.0</v>
      </c>
    </row>
    <row r="164">
      <c r="A164" s="105"/>
      <c r="B164" s="59" t="s">
        <v>2783</v>
      </c>
      <c r="C164" s="59" t="s">
        <v>1641</v>
      </c>
      <c r="D164" s="106"/>
      <c r="E164" s="106"/>
      <c r="F164" s="100">
        <v>2.0</v>
      </c>
    </row>
    <row r="165">
      <c r="A165" s="105"/>
      <c r="B165" s="59" t="s">
        <v>2670</v>
      </c>
      <c r="C165" s="59" t="s">
        <v>2084</v>
      </c>
      <c r="D165" s="106"/>
      <c r="E165" s="106"/>
      <c r="F165" s="100">
        <v>1.0</v>
      </c>
    </row>
    <row r="166">
      <c r="A166" s="105"/>
      <c r="B166" s="59" t="s">
        <v>2784</v>
      </c>
      <c r="C166" s="59" t="s">
        <v>1442</v>
      </c>
      <c r="D166" s="106"/>
      <c r="E166" s="106"/>
      <c r="F166" s="100">
        <v>1.0</v>
      </c>
    </row>
    <row r="167">
      <c r="A167" s="105"/>
      <c r="B167" s="59" t="s">
        <v>2785</v>
      </c>
      <c r="C167" s="59" t="s">
        <v>1362</v>
      </c>
      <c r="D167" s="106"/>
      <c r="E167" s="106"/>
      <c r="F167" s="100">
        <v>1.0</v>
      </c>
    </row>
    <row r="168">
      <c r="A168" s="105"/>
      <c r="B168" s="59" t="s">
        <v>2612</v>
      </c>
      <c r="C168" s="82"/>
      <c r="D168" s="100">
        <v>5.0</v>
      </c>
      <c r="E168" s="106"/>
      <c r="F168" s="106"/>
    </row>
    <row r="169">
      <c r="A169" s="105"/>
      <c r="B169" s="59" t="s">
        <v>2614</v>
      </c>
      <c r="C169" s="82"/>
      <c r="D169" s="100">
        <v>1.0</v>
      </c>
      <c r="E169" s="106"/>
      <c r="F169" s="106"/>
    </row>
    <row r="170">
      <c r="A170" s="105"/>
      <c r="B170" s="59" t="s">
        <v>2616</v>
      </c>
      <c r="C170" s="82"/>
      <c r="D170" s="100">
        <v>3.0</v>
      </c>
      <c r="E170" s="106"/>
      <c r="F170" s="106"/>
    </row>
    <row r="171">
      <c r="A171" s="105"/>
      <c r="B171" s="59" t="s">
        <v>2618</v>
      </c>
      <c r="C171" s="82"/>
      <c r="D171" s="100">
        <v>2.0</v>
      </c>
      <c r="E171" s="106"/>
      <c r="F171" s="106"/>
    </row>
    <row r="172">
      <c r="A172" s="105"/>
      <c r="B172" s="59" t="s">
        <v>2620</v>
      </c>
      <c r="C172" s="82"/>
      <c r="D172" s="100">
        <v>2.0</v>
      </c>
      <c r="E172" s="106"/>
      <c r="F172" s="106"/>
    </row>
    <row r="173">
      <c r="A173" s="105"/>
      <c r="B173" s="59" t="s">
        <v>2622</v>
      </c>
      <c r="C173" s="82"/>
      <c r="D173" s="100">
        <v>1.0</v>
      </c>
      <c r="E173" s="106"/>
      <c r="F173" s="106"/>
    </row>
    <row r="174">
      <c r="A174" s="105"/>
      <c r="B174" s="59" t="s">
        <v>2624</v>
      </c>
      <c r="C174" s="82"/>
      <c r="D174" s="100">
        <v>1.0</v>
      </c>
      <c r="E174" s="106"/>
      <c r="F174" s="106"/>
    </row>
    <row r="175">
      <c r="A175" s="105"/>
      <c r="B175" s="59" t="s">
        <v>2626</v>
      </c>
      <c r="C175" s="82"/>
      <c r="D175" s="100">
        <v>2.0</v>
      </c>
      <c r="E175" s="106"/>
      <c r="F175" s="106"/>
    </row>
    <row r="176">
      <c r="A176" s="105"/>
      <c r="B176" s="59" t="s">
        <v>2628</v>
      </c>
      <c r="C176" s="82"/>
      <c r="D176" s="100">
        <v>1.0</v>
      </c>
      <c r="E176" s="106"/>
      <c r="F176" s="106"/>
    </row>
    <row r="177">
      <c r="A177" s="105"/>
      <c r="B177" s="59" t="s">
        <v>2630</v>
      </c>
      <c r="C177" s="82"/>
      <c r="D177" s="100">
        <v>1.0</v>
      </c>
      <c r="E177" s="106"/>
      <c r="F177" s="106"/>
    </row>
    <row r="178">
      <c r="A178" s="105"/>
      <c r="B178" s="59" t="s">
        <v>2632</v>
      </c>
      <c r="C178" s="82"/>
      <c r="D178" s="100">
        <v>1.0</v>
      </c>
      <c r="E178" s="106"/>
      <c r="F178" s="106"/>
    </row>
    <row r="179">
      <c r="A179" s="105"/>
      <c r="B179" s="59" t="s">
        <v>2634</v>
      </c>
      <c r="C179" s="82"/>
      <c r="D179" s="100">
        <v>2.0</v>
      </c>
      <c r="E179" s="106"/>
      <c r="F179" s="106"/>
    </row>
    <row r="180">
      <c r="A180" s="105"/>
      <c r="B180" s="59" t="s">
        <v>2636</v>
      </c>
      <c r="C180" s="82"/>
      <c r="D180" s="100">
        <v>1.0</v>
      </c>
      <c r="E180" s="106"/>
      <c r="F180" s="106"/>
    </row>
    <row r="181">
      <c r="A181" s="105"/>
      <c r="B181" s="59" t="s">
        <v>2638</v>
      </c>
      <c r="C181" s="82"/>
      <c r="D181" s="100">
        <v>1.0</v>
      </c>
      <c r="E181" s="106"/>
      <c r="F181" s="106"/>
    </row>
    <row r="182">
      <c r="A182" s="105"/>
      <c r="B182" s="59" t="s">
        <v>2640</v>
      </c>
      <c r="C182" s="82"/>
      <c r="D182" s="100">
        <v>2.0</v>
      </c>
      <c r="E182" s="106"/>
      <c r="F182" s="106"/>
    </row>
    <row r="183">
      <c r="A183" s="105"/>
      <c r="B183" s="59" t="s">
        <v>2642</v>
      </c>
      <c r="C183" s="82"/>
      <c r="D183" s="100">
        <v>1.0</v>
      </c>
      <c r="E183" s="106"/>
      <c r="F183" s="106"/>
    </row>
    <row r="184">
      <c r="A184" s="105"/>
      <c r="B184" s="59" t="s">
        <v>2644</v>
      </c>
      <c r="C184" s="82"/>
      <c r="D184" s="100">
        <v>1.0</v>
      </c>
      <c r="E184" s="106"/>
      <c r="F184" s="106"/>
    </row>
    <row r="185">
      <c r="A185" s="105"/>
      <c r="B185" s="59" t="s">
        <v>2646</v>
      </c>
      <c r="C185" s="82"/>
      <c r="D185" s="100">
        <v>1.0</v>
      </c>
      <c r="E185" s="106"/>
      <c r="F185" s="106"/>
    </row>
    <row r="186">
      <c r="A186" s="105"/>
      <c r="B186" s="59" t="s">
        <v>2648</v>
      </c>
      <c r="C186" s="82"/>
      <c r="D186" s="100">
        <v>1.0</v>
      </c>
      <c r="E186" s="106"/>
      <c r="F186" s="106"/>
    </row>
    <row r="187">
      <c r="A187" s="105"/>
      <c r="B187" s="59" t="s">
        <v>2650</v>
      </c>
      <c r="C187" s="82"/>
      <c r="D187" s="100">
        <v>1.0</v>
      </c>
      <c r="E187" s="106"/>
      <c r="F187" s="106"/>
    </row>
    <row r="188">
      <c r="A188" s="105"/>
      <c r="B188" s="59" t="s">
        <v>2652</v>
      </c>
      <c r="C188" s="82"/>
      <c r="D188" s="100">
        <v>1.0</v>
      </c>
      <c r="E188" s="106"/>
      <c r="F188" s="106"/>
    </row>
    <row r="189">
      <c r="A189" s="105"/>
      <c r="B189" s="59" t="s">
        <v>2654</v>
      </c>
      <c r="C189" s="82"/>
      <c r="D189" s="100">
        <v>1.0</v>
      </c>
      <c r="E189" s="106"/>
      <c r="F189" s="106"/>
    </row>
    <row r="190">
      <c r="A190" s="105"/>
      <c r="B190" s="59" t="s">
        <v>2656</v>
      </c>
      <c r="C190" s="82"/>
      <c r="D190" s="100">
        <v>1.0</v>
      </c>
      <c r="E190" s="106"/>
      <c r="F190" s="106"/>
    </row>
    <row r="191">
      <c r="A191" s="105"/>
      <c r="B191" s="59" t="s">
        <v>2658</v>
      </c>
      <c r="C191" s="82"/>
      <c r="D191" s="100">
        <v>2.0</v>
      </c>
      <c r="E191" s="106"/>
      <c r="F191" s="106"/>
    </row>
    <row r="192">
      <c r="A192" s="105"/>
      <c r="B192" s="59" t="s">
        <v>2660</v>
      </c>
      <c r="C192" s="82"/>
      <c r="D192" s="100">
        <v>1.0</v>
      </c>
      <c r="E192" s="106"/>
      <c r="F192" s="106"/>
    </row>
    <row r="193">
      <c r="A193" s="105"/>
      <c r="B193" s="59" t="s">
        <v>2786</v>
      </c>
      <c r="C193" s="82"/>
      <c r="D193" s="106"/>
      <c r="E193" s="106"/>
      <c r="F193" s="106"/>
    </row>
    <row r="194">
      <c r="A194" s="105"/>
      <c r="B194" s="59" t="s">
        <v>2787</v>
      </c>
      <c r="C194" s="82"/>
      <c r="D194" s="106"/>
      <c r="E194" s="106"/>
      <c r="F194" s="106"/>
    </row>
    <row r="195">
      <c r="A195" s="105"/>
      <c r="B195" s="59" t="s">
        <v>2788</v>
      </c>
      <c r="C195" s="82"/>
      <c r="D195" s="106"/>
      <c r="E195" s="106"/>
      <c r="F195" s="106"/>
    </row>
    <row r="196">
      <c r="A196" s="105"/>
      <c r="B196" s="59" t="s">
        <v>2789</v>
      </c>
      <c r="C196" s="82"/>
      <c r="D196" s="106"/>
      <c r="E196" s="106"/>
      <c r="F196" s="106"/>
    </row>
    <row r="197">
      <c r="A197" s="105"/>
      <c r="B197" s="59" t="s">
        <v>2790</v>
      </c>
      <c r="C197" s="82"/>
      <c r="D197" s="106"/>
      <c r="E197" s="106"/>
      <c r="F197" s="106"/>
    </row>
    <row r="198">
      <c r="A198" s="105"/>
      <c r="B198" s="59" t="s">
        <v>2791</v>
      </c>
      <c r="C198" s="82"/>
      <c r="D198" s="106"/>
      <c r="E198" s="106"/>
      <c r="F198" s="106"/>
    </row>
    <row r="199">
      <c r="A199" s="105"/>
      <c r="B199" s="59" t="s">
        <v>2622</v>
      </c>
      <c r="C199" s="82"/>
      <c r="D199" s="106"/>
      <c r="E199" s="106"/>
      <c r="F199" s="106"/>
    </row>
    <row r="200">
      <c r="A200" s="105"/>
      <c r="B200" s="59" t="s">
        <v>2792</v>
      </c>
      <c r="C200" s="82"/>
      <c r="D200" s="106"/>
      <c r="E200" s="106"/>
      <c r="F200" s="106"/>
    </row>
    <row r="201">
      <c r="A201" s="105"/>
      <c r="B201" s="59" t="s">
        <v>2793</v>
      </c>
      <c r="C201" s="82"/>
      <c r="D201" s="106"/>
      <c r="E201" s="106"/>
      <c r="F201" s="106"/>
    </row>
    <row r="202">
      <c r="A202" s="105"/>
      <c r="B202" s="59" t="s">
        <v>2794</v>
      </c>
      <c r="C202" s="82"/>
      <c r="D202" s="106"/>
      <c r="E202" s="106"/>
      <c r="F202" s="106"/>
    </row>
    <row r="203">
      <c r="A203" s="105"/>
      <c r="B203" s="59" t="s">
        <v>2795</v>
      </c>
      <c r="C203" s="82"/>
      <c r="D203" s="106"/>
      <c r="E203" s="106"/>
      <c r="F203" s="106"/>
    </row>
    <row r="204">
      <c r="A204" s="105"/>
      <c r="B204" s="59" t="s">
        <v>2796</v>
      </c>
      <c r="C204" s="82"/>
      <c r="D204" s="106"/>
      <c r="E204" s="106"/>
      <c r="F204" s="106"/>
    </row>
    <row r="205">
      <c r="A205" s="105"/>
      <c r="B205" s="59" t="s">
        <v>2797</v>
      </c>
      <c r="C205" s="82"/>
      <c r="D205" s="106"/>
      <c r="E205" s="106"/>
      <c r="F205" s="106"/>
    </row>
    <row r="206">
      <c r="A206" s="105"/>
      <c r="B206" s="59" t="s">
        <v>2798</v>
      </c>
      <c r="C206" s="82"/>
      <c r="D206" s="106"/>
      <c r="E206" s="106"/>
      <c r="F206" s="106"/>
    </row>
    <row r="207">
      <c r="A207" s="105"/>
      <c r="B207" s="59" t="s">
        <v>2799</v>
      </c>
      <c r="C207" s="82"/>
      <c r="D207" s="106"/>
      <c r="E207" s="106"/>
      <c r="F207" s="106"/>
    </row>
    <row r="208">
      <c r="A208" s="105"/>
      <c r="B208" s="59" t="s">
        <v>2800</v>
      </c>
      <c r="C208" s="82"/>
      <c r="D208" s="106"/>
      <c r="E208" s="106"/>
      <c r="F208" s="106"/>
    </row>
    <row r="209">
      <c r="A209" s="105"/>
      <c r="B209" s="59" t="s">
        <v>2801</v>
      </c>
      <c r="C209" s="82"/>
      <c r="D209" s="106"/>
      <c r="E209" s="106"/>
      <c r="F209" s="106"/>
    </row>
    <row r="210">
      <c r="A210" s="105"/>
      <c r="B210" s="59" t="s">
        <v>2802</v>
      </c>
      <c r="C210" s="82"/>
      <c r="D210" s="106"/>
      <c r="E210" s="106"/>
      <c r="F210" s="106"/>
    </row>
    <row r="211">
      <c r="A211" s="105"/>
      <c r="B211" s="59" t="s">
        <v>2803</v>
      </c>
      <c r="C211" s="82"/>
      <c r="D211" s="106"/>
      <c r="E211" s="106"/>
      <c r="F211" s="106"/>
    </row>
    <row r="212">
      <c r="A212" s="105"/>
      <c r="B212" s="59" t="s">
        <v>2804</v>
      </c>
      <c r="C212" s="82"/>
      <c r="D212" s="106"/>
      <c r="E212" s="106"/>
      <c r="F212" s="106"/>
    </row>
    <row r="213">
      <c r="A213" s="105"/>
      <c r="B213" s="59" t="s">
        <v>2805</v>
      </c>
      <c r="C213" s="82"/>
      <c r="D213" s="106"/>
      <c r="E213" s="106"/>
      <c r="F213" s="106"/>
    </row>
    <row r="214">
      <c r="A214" s="105"/>
      <c r="B214" s="59" t="s">
        <v>2806</v>
      </c>
      <c r="C214" s="82"/>
      <c r="D214" s="106"/>
      <c r="E214" s="106"/>
      <c r="F214" s="106"/>
    </row>
    <row r="215">
      <c r="A215" s="105"/>
      <c r="B215" s="82"/>
      <c r="C215" s="82"/>
      <c r="D215" s="106"/>
      <c r="E215" s="106"/>
      <c r="F215" s="106"/>
    </row>
    <row r="216">
      <c r="A216" s="105"/>
      <c r="B216" s="82"/>
      <c r="C216" s="82"/>
      <c r="D216" s="106"/>
      <c r="E216" s="106"/>
      <c r="F216" s="106"/>
    </row>
    <row r="217">
      <c r="A217" s="105"/>
      <c r="B217" s="82"/>
      <c r="C217" s="82"/>
      <c r="D217" s="106"/>
      <c r="E217" s="106"/>
      <c r="F217" s="106"/>
    </row>
    <row r="218">
      <c r="A218" s="105"/>
      <c r="B218" s="82"/>
      <c r="C218" s="82"/>
      <c r="D218" s="106"/>
      <c r="E218" s="106"/>
      <c r="F218" s="106"/>
    </row>
    <row r="219">
      <c r="A219" s="105"/>
      <c r="B219" s="82"/>
      <c r="C219" s="82"/>
      <c r="D219" s="106"/>
      <c r="E219" s="106"/>
      <c r="F219" s="106"/>
    </row>
    <row r="220">
      <c r="A220" s="105"/>
      <c r="B220" s="82"/>
      <c r="C220" s="82"/>
      <c r="D220" s="106"/>
      <c r="E220" s="106"/>
      <c r="F220" s="106"/>
    </row>
    <row r="221">
      <c r="A221" s="105"/>
      <c r="B221" s="82"/>
      <c r="C221" s="82"/>
      <c r="D221" s="106"/>
      <c r="E221" s="106"/>
      <c r="F221" s="106"/>
    </row>
    <row r="222">
      <c r="A222" s="105"/>
      <c r="B222" s="82"/>
      <c r="C222" s="82"/>
      <c r="D222" s="106"/>
      <c r="E222" s="106"/>
      <c r="F222" s="106"/>
    </row>
    <row r="223">
      <c r="A223" s="105"/>
      <c r="B223" s="82"/>
      <c r="C223" s="82"/>
      <c r="D223" s="106"/>
      <c r="E223" s="106"/>
      <c r="F223" s="106"/>
    </row>
    <row r="224">
      <c r="A224" s="105"/>
      <c r="B224" s="82"/>
      <c r="C224" s="82"/>
      <c r="D224" s="106"/>
      <c r="E224" s="106"/>
      <c r="F224" s="106"/>
    </row>
    <row r="225">
      <c r="A225" s="105"/>
      <c r="B225" s="82"/>
      <c r="C225" s="82"/>
      <c r="D225" s="106"/>
      <c r="E225" s="106"/>
      <c r="F225" s="106"/>
    </row>
    <row r="226">
      <c r="A226" s="105"/>
      <c r="B226" s="82"/>
      <c r="C226" s="82"/>
      <c r="D226" s="106"/>
      <c r="E226" s="106"/>
      <c r="F226" s="106"/>
    </row>
    <row r="227">
      <c r="A227" s="105"/>
      <c r="B227" s="82"/>
      <c r="C227" s="82"/>
      <c r="D227" s="106"/>
      <c r="E227" s="106"/>
      <c r="F227" s="106"/>
    </row>
    <row r="228">
      <c r="A228" s="105"/>
      <c r="B228" s="82"/>
      <c r="C228" s="82"/>
      <c r="D228" s="106"/>
      <c r="E228" s="106"/>
      <c r="F228" s="106"/>
    </row>
    <row r="229">
      <c r="A229" s="105"/>
      <c r="B229" s="82"/>
      <c r="C229" s="82"/>
      <c r="D229" s="106"/>
      <c r="E229" s="106"/>
      <c r="F229" s="106"/>
    </row>
    <row r="230">
      <c r="A230" s="105"/>
      <c r="B230" s="82"/>
      <c r="C230" s="82"/>
      <c r="D230" s="106"/>
      <c r="E230" s="106"/>
      <c r="F230" s="106"/>
    </row>
    <row r="231">
      <c r="A231" s="105"/>
      <c r="B231" s="82"/>
      <c r="C231" s="82"/>
      <c r="D231" s="106"/>
      <c r="E231" s="106"/>
      <c r="F231" s="106"/>
    </row>
    <row r="232">
      <c r="A232" s="105"/>
      <c r="B232" s="82"/>
      <c r="C232" s="82"/>
      <c r="D232" s="106"/>
      <c r="E232" s="106"/>
      <c r="F232" s="106"/>
    </row>
    <row r="233">
      <c r="A233" s="105"/>
      <c r="B233" s="82"/>
      <c r="C233" s="82"/>
      <c r="D233" s="106"/>
      <c r="E233" s="106"/>
      <c r="F233" s="106"/>
    </row>
    <row r="234">
      <c r="A234" s="105"/>
      <c r="B234" s="82"/>
      <c r="C234" s="82"/>
      <c r="D234" s="106"/>
      <c r="E234" s="106"/>
      <c r="F234" s="106"/>
    </row>
    <row r="235">
      <c r="A235" s="108"/>
      <c r="D235" s="109"/>
      <c r="E235" s="109"/>
      <c r="F235" s="109"/>
    </row>
    <row r="236">
      <c r="A236" s="108"/>
      <c r="D236" s="109"/>
      <c r="E236" s="109"/>
      <c r="F236" s="109"/>
    </row>
    <row r="237">
      <c r="A237" s="108"/>
      <c r="D237" s="109"/>
      <c r="E237" s="109"/>
      <c r="F237" s="109"/>
    </row>
    <row r="238">
      <c r="A238" s="108"/>
      <c r="D238" s="109"/>
      <c r="E238" s="109"/>
      <c r="F238" s="109"/>
    </row>
    <row r="239">
      <c r="A239" s="108"/>
      <c r="D239" s="109"/>
      <c r="E239" s="109"/>
      <c r="F239" s="109"/>
    </row>
    <row r="240">
      <c r="A240" s="108"/>
      <c r="D240" s="109"/>
      <c r="E240" s="109"/>
      <c r="F240" s="109"/>
    </row>
    <row r="241">
      <c r="A241" s="108"/>
      <c r="D241" s="109"/>
      <c r="E241" s="109"/>
      <c r="F241" s="109"/>
    </row>
    <row r="242">
      <c r="A242" s="108"/>
      <c r="D242" s="109"/>
      <c r="E242" s="109"/>
      <c r="F242" s="109"/>
    </row>
    <row r="243">
      <c r="A243" s="108"/>
      <c r="D243" s="109"/>
      <c r="E243" s="109"/>
      <c r="F243" s="109"/>
    </row>
    <row r="244">
      <c r="A244" s="108"/>
      <c r="D244" s="109"/>
      <c r="E244" s="109"/>
      <c r="F244" s="109"/>
    </row>
    <row r="245">
      <c r="A245" s="108"/>
      <c r="D245" s="109"/>
      <c r="E245" s="109"/>
      <c r="F245" s="109"/>
    </row>
    <row r="246">
      <c r="A246" s="108"/>
      <c r="D246" s="109"/>
      <c r="E246" s="109"/>
      <c r="F246" s="109"/>
    </row>
    <row r="247">
      <c r="A247" s="108"/>
      <c r="D247" s="109"/>
      <c r="E247" s="109"/>
      <c r="F247" s="109"/>
    </row>
    <row r="248">
      <c r="A248" s="108"/>
      <c r="D248" s="109"/>
      <c r="E248" s="109"/>
      <c r="F248" s="109"/>
    </row>
    <row r="249">
      <c r="A249" s="108"/>
      <c r="D249" s="109"/>
      <c r="E249" s="109"/>
      <c r="F249" s="109"/>
    </row>
    <row r="250">
      <c r="A250" s="108"/>
      <c r="D250" s="109"/>
      <c r="E250" s="109"/>
      <c r="F250" s="109"/>
    </row>
    <row r="251">
      <c r="A251" s="108"/>
      <c r="D251" s="109"/>
      <c r="E251" s="109"/>
      <c r="F251" s="109"/>
    </row>
    <row r="252">
      <c r="A252" s="108"/>
      <c r="D252" s="109"/>
      <c r="E252" s="109"/>
      <c r="F252" s="109"/>
    </row>
    <row r="253">
      <c r="A253" s="108"/>
      <c r="D253" s="109"/>
      <c r="E253" s="109"/>
      <c r="F253" s="109"/>
    </row>
    <row r="254">
      <c r="A254" s="108"/>
      <c r="D254" s="109"/>
      <c r="E254" s="109"/>
      <c r="F254" s="109"/>
    </row>
    <row r="255">
      <c r="A255" s="108"/>
      <c r="D255" s="109"/>
      <c r="E255" s="109"/>
      <c r="F255" s="109"/>
    </row>
    <row r="256">
      <c r="A256" s="108"/>
      <c r="D256" s="109"/>
      <c r="E256" s="109"/>
      <c r="F256" s="109"/>
    </row>
    <row r="257">
      <c r="A257" s="108"/>
      <c r="D257" s="109"/>
      <c r="E257" s="109"/>
      <c r="F257" s="109"/>
    </row>
    <row r="258">
      <c r="A258" s="108"/>
      <c r="D258" s="109"/>
      <c r="E258" s="109"/>
      <c r="F258" s="109"/>
    </row>
    <row r="259">
      <c r="A259" s="108"/>
      <c r="D259" s="109"/>
      <c r="E259" s="109"/>
      <c r="F259" s="109"/>
    </row>
    <row r="260">
      <c r="A260" s="108"/>
      <c r="D260" s="109"/>
      <c r="E260" s="109"/>
      <c r="F260" s="109"/>
    </row>
    <row r="261">
      <c r="A261" s="108"/>
      <c r="D261" s="109"/>
      <c r="E261" s="109"/>
      <c r="F261" s="109"/>
    </row>
    <row r="262">
      <c r="A262" s="108"/>
      <c r="D262" s="109"/>
      <c r="E262" s="109"/>
      <c r="F262" s="109"/>
    </row>
    <row r="263">
      <c r="A263" s="108"/>
      <c r="D263" s="109"/>
      <c r="E263" s="109"/>
      <c r="F263" s="109"/>
    </row>
    <row r="264">
      <c r="A264" s="108"/>
      <c r="D264" s="109"/>
      <c r="E264" s="109"/>
      <c r="F264" s="109"/>
    </row>
    <row r="265">
      <c r="A265" s="108"/>
      <c r="D265" s="109"/>
      <c r="E265" s="109"/>
      <c r="F265" s="109"/>
    </row>
    <row r="266">
      <c r="A266" s="108"/>
      <c r="D266" s="109"/>
      <c r="E266" s="109"/>
      <c r="F266" s="109"/>
    </row>
    <row r="267">
      <c r="A267" s="108"/>
      <c r="D267" s="109"/>
      <c r="E267" s="109"/>
      <c r="F267" s="109"/>
    </row>
    <row r="268">
      <c r="A268" s="108"/>
      <c r="D268" s="109"/>
      <c r="E268" s="109"/>
      <c r="F268" s="109"/>
    </row>
    <row r="269">
      <c r="A269" s="108"/>
      <c r="D269" s="109"/>
      <c r="E269" s="109"/>
      <c r="F269" s="109"/>
    </row>
    <row r="270">
      <c r="A270" s="108"/>
      <c r="D270" s="109"/>
      <c r="E270" s="109"/>
      <c r="F270" s="109"/>
    </row>
    <row r="271">
      <c r="A271" s="108"/>
      <c r="D271" s="109"/>
      <c r="E271" s="109"/>
      <c r="F271" s="109"/>
    </row>
    <row r="272">
      <c r="A272" s="108"/>
      <c r="D272" s="109"/>
      <c r="E272" s="109"/>
      <c r="F272" s="109"/>
    </row>
    <row r="273">
      <c r="A273" s="108"/>
      <c r="D273" s="109"/>
      <c r="E273" s="109"/>
      <c r="F273" s="109"/>
    </row>
    <row r="274">
      <c r="A274" s="108"/>
      <c r="D274" s="109"/>
      <c r="E274" s="109"/>
      <c r="F274" s="109"/>
    </row>
    <row r="275">
      <c r="A275" s="108"/>
      <c r="D275" s="109"/>
      <c r="E275" s="109"/>
      <c r="F275" s="109"/>
    </row>
    <row r="276">
      <c r="A276" s="108"/>
      <c r="D276" s="109"/>
      <c r="E276" s="109"/>
      <c r="F276" s="109"/>
    </row>
    <row r="277">
      <c r="A277" s="108"/>
      <c r="D277" s="109"/>
      <c r="E277" s="109"/>
      <c r="F277" s="109"/>
    </row>
    <row r="278">
      <c r="A278" s="108"/>
      <c r="D278" s="109"/>
      <c r="E278" s="109"/>
      <c r="F278" s="109"/>
    </row>
    <row r="279">
      <c r="A279" s="108"/>
      <c r="D279" s="109"/>
      <c r="E279" s="109"/>
      <c r="F279" s="109"/>
    </row>
    <row r="280">
      <c r="A280" s="108"/>
      <c r="D280" s="109"/>
      <c r="E280" s="109"/>
      <c r="F280" s="109"/>
    </row>
    <row r="281">
      <c r="A281" s="108"/>
      <c r="D281" s="109"/>
      <c r="E281" s="109"/>
      <c r="F281" s="109"/>
    </row>
    <row r="282">
      <c r="A282" s="108"/>
      <c r="D282" s="109"/>
      <c r="E282" s="109"/>
      <c r="F282" s="109"/>
    </row>
    <row r="283">
      <c r="A283" s="108"/>
      <c r="D283" s="109"/>
      <c r="E283" s="109"/>
      <c r="F283" s="109"/>
    </row>
    <row r="284">
      <c r="A284" s="108"/>
      <c r="D284" s="109"/>
      <c r="E284" s="109"/>
      <c r="F284" s="109"/>
    </row>
    <row r="285">
      <c r="A285" s="108"/>
      <c r="D285" s="109"/>
      <c r="E285" s="109"/>
      <c r="F285" s="109"/>
    </row>
    <row r="286">
      <c r="A286" s="108"/>
      <c r="D286" s="109"/>
      <c r="E286" s="109"/>
      <c r="F286" s="109"/>
    </row>
    <row r="287">
      <c r="A287" s="108"/>
      <c r="D287" s="109"/>
      <c r="E287" s="109"/>
      <c r="F287" s="109"/>
    </row>
    <row r="288">
      <c r="A288" s="108"/>
      <c r="D288" s="109"/>
      <c r="E288" s="109"/>
      <c r="F288" s="109"/>
    </row>
    <row r="289">
      <c r="A289" s="108"/>
      <c r="D289" s="109"/>
      <c r="E289" s="109"/>
      <c r="F289" s="109"/>
    </row>
    <row r="290">
      <c r="A290" s="108"/>
      <c r="D290" s="109"/>
      <c r="E290" s="109"/>
      <c r="F290" s="109"/>
    </row>
    <row r="291">
      <c r="A291" s="108"/>
      <c r="D291" s="109"/>
      <c r="E291" s="109"/>
      <c r="F291" s="109"/>
    </row>
    <row r="292">
      <c r="A292" s="108"/>
      <c r="D292" s="109"/>
      <c r="E292" s="109"/>
      <c r="F292" s="109"/>
    </row>
    <row r="293">
      <c r="A293" s="108"/>
      <c r="D293" s="109"/>
      <c r="E293" s="109"/>
      <c r="F293" s="109"/>
    </row>
    <row r="294">
      <c r="A294" s="108"/>
      <c r="D294" s="109"/>
      <c r="E294" s="109"/>
      <c r="F294" s="109"/>
    </row>
    <row r="295">
      <c r="A295" s="108"/>
      <c r="D295" s="109"/>
      <c r="E295" s="109"/>
      <c r="F295" s="109"/>
    </row>
    <row r="296">
      <c r="A296" s="108"/>
      <c r="D296" s="109"/>
      <c r="E296" s="109"/>
      <c r="F296" s="109"/>
    </row>
    <row r="297">
      <c r="A297" s="108"/>
      <c r="D297" s="109"/>
      <c r="E297" s="109"/>
      <c r="F297" s="109"/>
    </row>
    <row r="298">
      <c r="A298" s="108"/>
      <c r="D298" s="109"/>
      <c r="E298" s="109"/>
      <c r="F298" s="109"/>
    </row>
    <row r="299">
      <c r="A299" s="108"/>
      <c r="D299" s="109"/>
      <c r="E299" s="109"/>
      <c r="F299" s="109"/>
    </row>
    <row r="300">
      <c r="A300" s="108"/>
      <c r="D300" s="109"/>
      <c r="E300" s="109"/>
      <c r="F300" s="109"/>
    </row>
    <row r="301">
      <c r="A301" s="108"/>
      <c r="D301" s="109"/>
      <c r="E301" s="109"/>
      <c r="F301" s="109"/>
    </row>
    <row r="302">
      <c r="A302" s="108"/>
      <c r="D302" s="109"/>
      <c r="E302" s="109"/>
      <c r="F302" s="109"/>
    </row>
    <row r="303">
      <c r="A303" s="108"/>
      <c r="D303" s="109"/>
      <c r="E303" s="109"/>
      <c r="F303" s="109"/>
    </row>
    <row r="304">
      <c r="A304" s="108"/>
      <c r="D304" s="109"/>
      <c r="E304" s="109"/>
      <c r="F304" s="109"/>
    </row>
    <row r="305">
      <c r="A305" s="108"/>
      <c r="D305" s="109"/>
      <c r="E305" s="109"/>
      <c r="F305" s="109"/>
    </row>
    <row r="306">
      <c r="A306" s="108"/>
      <c r="D306" s="109"/>
      <c r="E306" s="109"/>
      <c r="F306" s="109"/>
    </row>
    <row r="307">
      <c r="A307" s="108"/>
      <c r="D307" s="109"/>
      <c r="E307" s="109"/>
      <c r="F307" s="109"/>
    </row>
    <row r="308">
      <c r="A308" s="108"/>
      <c r="D308" s="109"/>
      <c r="E308" s="109"/>
      <c r="F308" s="109"/>
    </row>
    <row r="309">
      <c r="A309" s="108"/>
      <c r="D309" s="109"/>
      <c r="E309" s="109"/>
      <c r="F309" s="109"/>
    </row>
    <row r="310">
      <c r="A310" s="108"/>
      <c r="D310" s="109"/>
      <c r="E310" s="109"/>
      <c r="F310" s="109"/>
    </row>
    <row r="311">
      <c r="A311" s="108"/>
      <c r="D311" s="109"/>
      <c r="E311" s="109"/>
      <c r="F311" s="109"/>
    </row>
    <row r="312">
      <c r="A312" s="108"/>
      <c r="D312" s="109"/>
      <c r="E312" s="109"/>
      <c r="F312" s="109"/>
    </row>
    <row r="313">
      <c r="A313" s="108"/>
      <c r="D313" s="109"/>
      <c r="E313" s="109"/>
      <c r="F313" s="109"/>
    </row>
    <row r="314">
      <c r="A314" s="108"/>
      <c r="D314" s="109"/>
      <c r="E314" s="109"/>
      <c r="F314" s="109"/>
    </row>
    <row r="315">
      <c r="A315" s="108"/>
      <c r="D315" s="109"/>
      <c r="E315" s="109"/>
      <c r="F315" s="109"/>
    </row>
    <row r="316">
      <c r="A316" s="108"/>
      <c r="D316" s="109"/>
      <c r="E316" s="109"/>
      <c r="F316" s="109"/>
    </row>
    <row r="317">
      <c r="A317" s="108"/>
      <c r="D317" s="109"/>
      <c r="E317" s="109"/>
      <c r="F317" s="109"/>
    </row>
    <row r="318">
      <c r="A318" s="108"/>
      <c r="D318" s="109"/>
      <c r="E318" s="109"/>
      <c r="F318" s="109"/>
    </row>
    <row r="319">
      <c r="A319" s="108"/>
      <c r="D319" s="109"/>
      <c r="E319" s="109"/>
      <c r="F319" s="109"/>
    </row>
    <row r="320">
      <c r="A320" s="108"/>
      <c r="D320" s="109"/>
      <c r="E320" s="109"/>
      <c r="F320" s="109"/>
    </row>
    <row r="321">
      <c r="A321" s="108"/>
      <c r="D321" s="109"/>
      <c r="E321" s="109"/>
      <c r="F321" s="109"/>
    </row>
    <row r="322">
      <c r="A322" s="108"/>
      <c r="D322" s="109"/>
      <c r="E322" s="109"/>
      <c r="F322" s="109"/>
    </row>
    <row r="323">
      <c r="A323" s="108"/>
      <c r="D323" s="109"/>
      <c r="E323" s="109"/>
      <c r="F323" s="109"/>
    </row>
    <row r="324">
      <c r="A324" s="108"/>
      <c r="D324" s="109"/>
      <c r="E324" s="109"/>
      <c r="F324" s="109"/>
    </row>
    <row r="325">
      <c r="A325" s="108"/>
      <c r="D325" s="109"/>
      <c r="E325" s="109"/>
      <c r="F325" s="109"/>
    </row>
    <row r="326">
      <c r="A326" s="108"/>
      <c r="D326" s="109"/>
      <c r="E326" s="109"/>
      <c r="F326" s="109"/>
    </row>
    <row r="327">
      <c r="A327" s="108"/>
      <c r="D327" s="109"/>
      <c r="E327" s="109"/>
      <c r="F327" s="109"/>
    </row>
    <row r="328">
      <c r="A328" s="108"/>
      <c r="D328" s="109"/>
      <c r="E328" s="109"/>
      <c r="F328" s="109"/>
    </row>
    <row r="329">
      <c r="A329" s="108"/>
      <c r="D329" s="109"/>
      <c r="E329" s="109"/>
      <c r="F329" s="109"/>
    </row>
    <row r="330">
      <c r="A330" s="108"/>
      <c r="D330" s="109"/>
      <c r="E330" s="109"/>
      <c r="F330" s="109"/>
    </row>
    <row r="331">
      <c r="A331" s="108"/>
      <c r="D331" s="109"/>
      <c r="E331" s="109"/>
      <c r="F331" s="109"/>
    </row>
    <row r="332">
      <c r="A332" s="108"/>
      <c r="D332" s="109"/>
      <c r="E332" s="109"/>
      <c r="F332" s="109"/>
    </row>
    <row r="333">
      <c r="A333" s="108"/>
      <c r="D333" s="109"/>
      <c r="E333" s="109"/>
      <c r="F333" s="109"/>
    </row>
    <row r="334">
      <c r="A334" s="108"/>
      <c r="D334" s="109"/>
      <c r="E334" s="109"/>
      <c r="F334" s="109"/>
    </row>
    <row r="335">
      <c r="A335" s="108"/>
      <c r="D335" s="109"/>
      <c r="E335" s="109"/>
      <c r="F335" s="109"/>
    </row>
    <row r="336">
      <c r="A336" s="108"/>
      <c r="D336" s="109"/>
      <c r="E336" s="109"/>
      <c r="F336" s="109"/>
    </row>
    <row r="337">
      <c r="A337" s="108"/>
      <c r="D337" s="109"/>
      <c r="E337" s="109"/>
      <c r="F337" s="109"/>
    </row>
    <row r="338">
      <c r="A338" s="108"/>
      <c r="D338" s="109"/>
      <c r="E338" s="109"/>
      <c r="F338" s="109"/>
    </row>
    <row r="339">
      <c r="A339" s="108"/>
      <c r="D339" s="109"/>
      <c r="E339" s="109"/>
      <c r="F339" s="109"/>
    </row>
    <row r="340">
      <c r="A340" s="108"/>
      <c r="D340" s="109"/>
      <c r="E340" s="109"/>
      <c r="F340" s="109"/>
    </row>
    <row r="341">
      <c r="A341" s="108"/>
      <c r="D341" s="109"/>
      <c r="E341" s="109"/>
      <c r="F341" s="109"/>
    </row>
    <row r="342">
      <c r="A342" s="108"/>
      <c r="D342" s="109"/>
      <c r="E342" s="109"/>
      <c r="F342" s="109"/>
    </row>
    <row r="343">
      <c r="A343" s="108"/>
      <c r="D343" s="109"/>
      <c r="E343" s="109"/>
      <c r="F343" s="109"/>
    </row>
    <row r="344">
      <c r="A344" s="108"/>
      <c r="D344" s="109"/>
      <c r="E344" s="109"/>
      <c r="F344" s="109"/>
    </row>
    <row r="345">
      <c r="A345" s="108"/>
      <c r="D345" s="109"/>
      <c r="E345" s="109"/>
      <c r="F345" s="109"/>
    </row>
    <row r="346">
      <c r="A346" s="108"/>
      <c r="D346" s="109"/>
      <c r="E346" s="109"/>
      <c r="F346" s="109"/>
    </row>
    <row r="347">
      <c r="A347" s="108"/>
      <c r="D347" s="109"/>
      <c r="E347" s="109"/>
      <c r="F347" s="109"/>
    </row>
    <row r="348">
      <c r="A348" s="108"/>
      <c r="D348" s="109"/>
      <c r="E348" s="109"/>
      <c r="F348" s="109"/>
    </row>
    <row r="349">
      <c r="A349" s="108"/>
      <c r="D349" s="109"/>
      <c r="E349" s="109"/>
      <c r="F349" s="109"/>
    </row>
    <row r="350">
      <c r="A350" s="108"/>
      <c r="D350" s="109"/>
      <c r="E350" s="109"/>
      <c r="F350" s="109"/>
    </row>
    <row r="351">
      <c r="A351" s="108"/>
      <c r="D351" s="109"/>
      <c r="E351" s="109"/>
      <c r="F351" s="109"/>
    </row>
    <row r="352">
      <c r="A352" s="108"/>
      <c r="D352" s="109"/>
      <c r="E352" s="109"/>
      <c r="F352" s="109"/>
    </row>
    <row r="353">
      <c r="A353" s="108"/>
      <c r="D353" s="109"/>
      <c r="E353" s="109"/>
      <c r="F353" s="109"/>
    </row>
    <row r="354">
      <c r="A354" s="108"/>
      <c r="D354" s="109"/>
      <c r="E354" s="109"/>
      <c r="F354" s="109"/>
    </row>
    <row r="355">
      <c r="A355" s="108"/>
      <c r="D355" s="109"/>
      <c r="E355" s="109"/>
      <c r="F355" s="109"/>
    </row>
    <row r="356">
      <c r="A356" s="108"/>
      <c r="D356" s="109"/>
      <c r="E356" s="109"/>
      <c r="F356" s="109"/>
    </row>
    <row r="357">
      <c r="A357" s="108"/>
      <c r="D357" s="109"/>
      <c r="E357" s="109"/>
      <c r="F357" s="109"/>
    </row>
    <row r="358">
      <c r="A358" s="108"/>
      <c r="D358" s="109"/>
      <c r="E358" s="109"/>
      <c r="F358" s="109"/>
    </row>
    <row r="359">
      <c r="A359" s="108"/>
      <c r="D359" s="109"/>
      <c r="E359" s="109"/>
      <c r="F359" s="109"/>
    </row>
    <row r="360">
      <c r="A360" s="108"/>
      <c r="D360" s="109"/>
      <c r="E360" s="109"/>
      <c r="F360" s="109"/>
    </row>
    <row r="361">
      <c r="A361" s="108"/>
      <c r="D361" s="109"/>
      <c r="E361" s="109"/>
      <c r="F361" s="109"/>
    </row>
    <row r="362">
      <c r="A362" s="108"/>
      <c r="D362" s="109"/>
      <c r="E362" s="109"/>
      <c r="F362" s="109"/>
    </row>
    <row r="363">
      <c r="A363" s="108"/>
      <c r="D363" s="109"/>
      <c r="E363" s="109"/>
      <c r="F363" s="109"/>
    </row>
    <row r="364">
      <c r="A364" s="108"/>
      <c r="D364" s="109"/>
      <c r="E364" s="109"/>
      <c r="F364" s="109"/>
    </row>
    <row r="365">
      <c r="A365" s="108"/>
      <c r="D365" s="109"/>
      <c r="E365" s="109"/>
      <c r="F365" s="109"/>
    </row>
    <row r="366">
      <c r="A366" s="108"/>
      <c r="D366" s="109"/>
      <c r="E366" s="109"/>
      <c r="F366" s="109"/>
    </row>
    <row r="367">
      <c r="A367" s="108"/>
      <c r="D367" s="109"/>
      <c r="E367" s="109"/>
      <c r="F367" s="109"/>
    </row>
    <row r="368">
      <c r="A368" s="108"/>
      <c r="D368" s="109"/>
      <c r="E368" s="109"/>
      <c r="F368" s="109"/>
    </row>
    <row r="369">
      <c r="A369" s="108"/>
      <c r="D369" s="109"/>
      <c r="E369" s="109"/>
      <c r="F369" s="109"/>
    </row>
    <row r="370">
      <c r="A370" s="108"/>
      <c r="D370" s="109"/>
      <c r="E370" s="109"/>
      <c r="F370" s="109"/>
    </row>
    <row r="371">
      <c r="A371" s="108"/>
      <c r="D371" s="109"/>
      <c r="E371" s="109"/>
      <c r="F371" s="109"/>
    </row>
    <row r="372">
      <c r="A372" s="108"/>
      <c r="D372" s="109"/>
      <c r="E372" s="109"/>
      <c r="F372" s="109"/>
    </row>
    <row r="373">
      <c r="A373" s="108"/>
      <c r="D373" s="109"/>
      <c r="E373" s="109"/>
      <c r="F373" s="109"/>
    </row>
    <row r="374">
      <c r="A374" s="108"/>
      <c r="D374" s="109"/>
      <c r="E374" s="109"/>
      <c r="F374" s="109"/>
    </row>
    <row r="375">
      <c r="A375" s="108"/>
      <c r="D375" s="109"/>
      <c r="E375" s="109"/>
      <c r="F375" s="109"/>
    </row>
    <row r="376">
      <c r="A376" s="108"/>
      <c r="D376" s="109"/>
      <c r="E376" s="109"/>
      <c r="F376" s="109"/>
    </row>
    <row r="377">
      <c r="A377" s="108"/>
      <c r="D377" s="109"/>
      <c r="E377" s="109"/>
      <c r="F377" s="109"/>
    </row>
    <row r="378">
      <c r="A378" s="108"/>
      <c r="D378" s="109"/>
      <c r="E378" s="109"/>
      <c r="F378" s="109"/>
    </row>
    <row r="379">
      <c r="A379" s="108"/>
      <c r="D379" s="109"/>
      <c r="E379" s="109"/>
      <c r="F379" s="109"/>
    </row>
    <row r="380">
      <c r="A380" s="108"/>
      <c r="D380" s="109"/>
      <c r="E380" s="109"/>
      <c r="F380" s="109"/>
    </row>
    <row r="381">
      <c r="A381" s="108"/>
      <c r="D381" s="109"/>
      <c r="E381" s="109"/>
      <c r="F381" s="109"/>
    </row>
    <row r="382">
      <c r="A382" s="108"/>
      <c r="D382" s="109"/>
      <c r="E382" s="109"/>
      <c r="F382" s="109"/>
    </row>
    <row r="383">
      <c r="A383" s="108"/>
      <c r="D383" s="109"/>
      <c r="E383" s="109"/>
      <c r="F383" s="109"/>
    </row>
    <row r="384">
      <c r="A384" s="108"/>
      <c r="D384" s="109"/>
      <c r="E384" s="109"/>
      <c r="F384" s="109"/>
    </row>
    <row r="385">
      <c r="A385" s="108"/>
      <c r="D385" s="109"/>
      <c r="E385" s="109"/>
      <c r="F385" s="109"/>
    </row>
    <row r="386">
      <c r="A386" s="108"/>
      <c r="D386" s="109"/>
      <c r="E386" s="109"/>
      <c r="F386" s="109"/>
    </row>
    <row r="387">
      <c r="A387" s="108"/>
      <c r="D387" s="109"/>
      <c r="E387" s="109"/>
      <c r="F387" s="109"/>
    </row>
    <row r="388">
      <c r="A388" s="108"/>
      <c r="D388" s="109"/>
      <c r="E388" s="109"/>
      <c r="F388" s="109"/>
    </row>
    <row r="389">
      <c r="A389" s="108"/>
      <c r="D389" s="109"/>
      <c r="E389" s="109"/>
      <c r="F389" s="109"/>
    </row>
    <row r="390">
      <c r="A390" s="108"/>
      <c r="D390" s="109"/>
      <c r="E390" s="109"/>
      <c r="F390" s="109"/>
    </row>
    <row r="391">
      <c r="A391" s="108"/>
      <c r="D391" s="109"/>
      <c r="E391" s="109"/>
      <c r="F391" s="109"/>
    </row>
    <row r="392">
      <c r="A392" s="108"/>
      <c r="D392" s="109"/>
      <c r="E392" s="109"/>
      <c r="F392" s="109"/>
    </row>
    <row r="393">
      <c r="A393" s="108"/>
      <c r="D393" s="109"/>
      <c r="E393" s="109"/>
      <c r="F393" s="109"/>
    </row>
    <row r="394">
      <c r="A394" s="108"/>
      <c r="D394" s="109"/>
      <c r="E394" s="109"/>
      <c r="F394" s="109"/>
    </row>
    <row r="395">
      <c r="A395" s="108"/>
      <c r="D395" s="109"/>
      <c r="E395" s="109"/>
      <c r="F395" s="109"/>
    </row>
    <row r="396">
      <c r="A396" s="108"/>
      <c r="D396" s="109"/>
      <c r="E396" s="109"/>
      <c r="F396" s="109"/>
    </row>
    <row r="397">
      <c r="A397" s="108"/>
      <c r="D397" s="109"/>
      <c r="E397" s="109"/>
      <c r="F397" s="109"/>
    </row>
    <row r="398">
      <c r="A398" s="108"/>
      <c r="D398" s="109"/>
      <c r="E398" s="109"/>
      <c r="F398" s="109"/>
    </row>
    <row r="399">
      <c r="A399" s="108"/>
      <c r="D399" s="109"/>
      <c r="E399" s="109"/>
      <c r="F399" s="109"/>
    </row>
    <row r="400">
      <c r="A400" s="108"/>
      <c r="D400" s="109"/>
      <c r="E400" s="109"/>
      <c r="F400" s="109"/>
    </row>
    <row r="401">
      <c r="A401" s="108"/>
      <c r="D401" s="109"/>
      <c r="E401" s="109"/>
      <c r="F401" s="109"/>
    </row>
    <row r="402">
      <c r="A402" s="108"/>
      <c r="D402" s="109"/>
      <c r="E402" s="109"/>
      <c r="F402" s="109"/>
    </row>
    <row r="403">
      <c r="A403" s="108"/>
      <c r="D403" s="109"/>
      <c r="E403" s="109"/>
      <c r="F403" s="109"/>
    </row>
    <row r="404">
      <c r="A404" s="108"/>
      <c r="D404" s="109"/>
      <c r="E404" s="109"/>
      <c r="F404" s="109"/>
    </row>
    <row r="405">
      <c r="A405" s="108"/>
      <c r="D405" s="109"/>
      <c r="E405" s="109"/>
      <c r="F405" s="109"/>
    </row>
    <row r="406">
      <c r="A406" s="108"/>
      <c r="D406" s="109"/>
      <c r="E406" s="109"/>
      <c r="F406" s="109"/>
    </row>
    <row r="407">
      <c r="A407" s="108"/>
      <c r="D407" s="109"/>
      <c r="E407" s="109"/>
      <c r="F407" s="109"/>
    </row>
    <row r="408">
      <c r="A408" s="108"/>
      <c r="D408" s="109"/>
      <c r="E408" s="109"/>
      <c r="F408" s="109"/>
    </row>
    <row r="409">
      <c r="A409" s="108"/>
      <c r="D409" s="109"/>
      <c r="E409" s="109"/>
      <c r="F409" s="109"/>
    </row>
    <row r="410">
      <c r="A410" s="108"/>
      <c r="D410" s="109"/>
      <c r="E410" s="109"/>
      <c r="F410" s="109"/>
    </row>
    <row r="411">
      <c r="A411" s="108"/>
      <c r="D411" s="109"/>
      <c r="E411" s="109"/>
      <c r="F411" s="109"/>
    </row>
    <row r="412">
      <c r="A412" s="108"/>
      <c r="D412" s="109"/>
      <c r="E412" s="109"/>
      <c r="F412" s="109"/>
    </row>
    <row r="413">
      <c r="A413" s="108"/>
      <c r="D413" s="109"/>
      <c r="E413" s="109"/>
      <c r="F413" s="109"/>
    </row>
    <row r="414">
      <c r="A414" s="108"/>
      <c r="D414" s="109"/>
      <c r="E414" s="109"/>
      <c r="F414" s="109"/>
    </row>
    <row r="415">
      <c r="A415" s="108"/>
      <c r="D415" s="109"/>
      <c r="E415" s="109"/>
      <c r="F415" s="109"/>
    </row>
    <row r="416">
      <c r="A416" s="108"/>
      <c r="D416" s="109"/>
      <c r="E416" s="109"/>
      <c r="F416" s="109"/>
    </row>
    <row r="417">
      <c r="A417" s="108"/>
      <c r="D417" s="109"/>
      <c r="E417" s="109"/>
      <c r="F417" s="109"/>
    </row>
    <row r="418">
      <c r="A418" s="108"/>
      <c r="D418" s="109"/>
      <c r="E418" s="109"/>
      <c r="F418" s="109"/>
    </row>
    <row r="419">
      <c r="A419" s="108"/>
      <c r="D419" s="109"/>
      <c r="E419" s="109"/>
      <c r="F419" s="109"/>
    </row>
    <row r="420">
      <c r="A420" s="108"/>
      <c r="D420" s="109"/>
      <c r="E420" s="109"/>
      <c r="F420" s="109"/>
    </row>
    <row r="421">
      <c r="A421" s="108"/>
      <c r="D421" s="109"/>
      <c r="E421" s="109"/>
      <c r="F421" s="109"/>
    </row>
    <row r="422">
      <c r="A422" s="108"/>
      <c r="D422" s="109"/>
      <c r="E422" s="109"/>
      <c r="F422" s="109"/>
    </row>
    <row r="423">
      <c r="A423" s="108"/>
      <c r="D423" s="109"/>
      <c r="E423" s="109"/>
      <c r="F423" s="109"/>
    </row>
    <row r="424">
      <c r="A424" s="108"/>
      <c r="D424" s="109"/>
      <c r="E424" s="109"/>
      <c r="F424" s="109"/>
    </row>
    <row r="425">
      <c r="A425" s="108"/>
      <c r="D425" s="109"/>
      <c r="E425" s="109"/>
      <c r="F425" s="109"/>
    </row>
    <row r="426">
      <c r="A426" s="108"/>
      <c r="D426" s="109"/>
      <c r="E426" s="109"/>
      <c r="F426" s="109"/>
    </row>
    <row r="427">
      <c r="A427" s="108"/>
      <c r="D427" s="109"/>
      <c r="E427" s="109"/>
      <c r="F427" s="109"/>
    </row>
    <row r="428">
      <c r="A428" s="108"/>
      <c r="D428" s="109"/>
      <c r="E428" s="109"/>
      <c r="F428" s="109"/>
    </row>
    <row r="429">
      <c r="A429" s="108"/>
      <c r="D429" s="109"/>
      <c r="E429" s="109"/>
      <c r="F429" s="109"/>
    </row>
    <row r="430">
      <c r="A430" s="108"/>
      <c r="D430" s="109"/>
      <c r="E430" s="109"/>
      <c r="F430" s="109"/>
    </row>
    <row r="431">
      <c r="A431" s="108"/>
      <c r="D431" s="109"/>
      <c r="E431" s="109"/>
      <c r="F431" s="109"/>
    </row>
    <row r="432">
      <c r="A432" s="108"/>
      <c r="D432" s="109"/>
      <c r="E432" s="109"/>
      <c r="F432" s="109"/>
    </row>
    <row r="433">
      <c r="A433" s="108"/>
      <c r="D433" s="109"/>
      <c r="E433" s="109"/>
      <c r="F433" s="109"/>
    </row>
    <row r="434">
      <c r="A434" s="108"/>
      <c r="D434" s="109"/>
      <c r="E434" s="109"/>
      <c r="F434" s="109"/>
    </row>
    <row r="435">
      <c r="A435" s="108"/>
      <c r="D435" s="109"/>
      <c r="E435" s="109"/>
      <c r="F435" s="109"/>
    </row>
    <row r="436">
      <c r="A436" s="108"/>
      <c r="D436" s="109"/>
      <c r="E436" s="109"/>
      <c r="F436" s="109"/>
    </row>
    <row r="437">
      <c r="A437" s="108"/>
      <c r="D437" s="109"/>
      <c r="E437" s="109"/>
      <c r="F437" s="109"/>
    </row>
    <row r="438">
      <c r="A438" s="108"/>
      <c r="D438" s="109"/>
      <c r="E438" s="109"/>
      <c r="F438" s="109"/>
    </row>
    <row r="439">
      <c r="A439" s="108"/>
      <c r="D439" s="109"/>
      <c r="E439" s="109"/>
      <c r="F439" s="109"/>
    </row>
    <row r="440">
      <c r="A440" s="108"/>
      <c r="D440" s="109"/>
      <c r="E440" s="109"/>
      <c r="F440" s="109"/>
    </row>
    <row r="441">
      <c r="A441" s="108"/>
      <c r="D441" s="109"/>
      <c r="E441" s="109"/>
      <c r="F441" s="109"/>
    </row>
    <row r="442">
      <c r="A442" s="108"/>
      <c r="D442" s="109"/>
      <c r="E442" s="109"/>
      <c r="F442" s="109"/>
    </row>
    <row r="443">
      <c r="A443" s="108"/>
      <c r="D443" s="109"/>
      <c r="E443" s="109"/>
      <c r="F443" s="109"/>
    </row>
    <row r="444">
      <c r="A444" s="108"/>
      <c r="D444" s="109"/>
      <c r="E444" s="109"/>
      <c r="F444" s="109"/>
    </row>
    <row r="445">
      <c r="A445" s="108"/>
      <c r="D445" s="109"/>
      <c r="E445" s="109"/>
      <c r="F445" s="109"/>
    </row>
    <row r="446">
      <c r="A446" s="108"/>
      <c r="D446" s="109"/>
      <c r="E446" s="109"/>
      <c r="F446" s="109"/>
    </row>
    <row r="447">
      <c r="A447" s="108"/>
      <c r="D447" s="109"/>
      <c r="E447" s="109"/>
      <c r="F447" s="109"/>
    </row>
    <row r="448">
      <c r="A448" s="108"/>
      <c r="D448" s="109"/>
      <c r="E448" s="109"/>
      <c r="F448" s="109"/>
    </row>
    <row r="449">
      <c r="A449" s="108"/>
      <c r="D449" s="109"/>
      <c r="E449" s="109"/>
      <c r="F449" s="109"/>
    </row>
    <row r="450">
      <c r="A450" s="108"/>
      <c r="D450" s="109"/>
      <c r="E450" s="109"/>
      <c r="F450" s="109"/>
    </row>
    <row r="451">
      <c r="A451" s="108"/>
      <c r="D451" s="109"/>
      <c r="E451" s="109"/>
      <c r="F451" s="109"/>
    </row>
    <row r="452">
      <c r="A452" s="108"/>
      <c r="D452" s="109"/>
      <c r="E452" s="109"/>
      <c r="F452" s="109"/>
    </row>
    <row r="453">
      <c r="A453" s="108"/>
      <c r="D453" s="109"/>
      <c r="E453" s="109"/>
      <c r="F453" s="109"/>
    </row>
    <row r="454">
      <c r="A454" s="108"/>
      <c r="D454" s="109"/>
      <c r="E454" s="109"/>
      <c r="F454" s="109"/>
    </row>
    <row r="455">
      <c r="A455" s="108"/>
      <c r="D455" s="109"/>
      <c r="E455" s="109"/>
      <c r="F455" s="109"/>
    </row>
    <row r="456">
      <c r="A456" s="108"/>
      <c r="D456" s="109"/>
      <c r="E456" s="109"/>
      <c r="F456" s="109"/>
    </row>
    <row r="457">
      <c r="A457" s="108"/>
      <c r="D457" s="109"/>
      <c r="E457" s="109"/>
      <c r="F457" s="109"/>
    </row>
    <row r="458">
      <c r="A458" s="108"/>
      <c r="D458" s="109"/>
      <c r="E458" s="109"/>
      <c r="F458" s="109"/>
    </row>
    <row r="459">
      <c r="A459" s="108"/>
      <c r="D459" s="109"/>
      <c r="E459" s="109"/>
      <c r="F459" s="109"/>
    </row>
    <row r="460">
      <c r="A460" s="108"/>
      <c r="D460" s="109"/>
      <c r="E460" s="109"/>
      <c r="F460" s="109"/>
    </row>
    <row r="461">
      <c r="A461" s="108"/>
      <c r="D461" s="109"/>
      <c r="E461" s="109"/>
      <c r="F461" s="109"/>
    </row>
    <row r="462">
      <c r="A462" s="108"/>
      <c r="D462" s="109"/>
      <c r="E462" s="109"/>
      <c r="F462" s="109"/>
    </row>
    <row r="463">
      <c r="A463" s="108"/>
      <c r="D463" s="109"/>
      <c r="E463" s="109"/>
      <c r="F463" s="109"/>
    </row>
    <row r="464">
      <c r="A464" s="108"/>
      <c r="D464" s="109"/>
      <c r="E464" s="109"/>
      <c r="F464" s="109"/>
    </row>
    <row r="465">
      <c r="A465" s="108"/>
      <c r="D465" s="109"/>
      <c r="E465" s="109"/>
      <c r="F465" s="109"/>
    </row>
    <row r="466">
      <c r="A466" s="108"/>
      <c r="D466" s="109"/>
      <c r="E466" s="109"/>
      <c r="F466" s="109"/>
    </row>
    <row r="467">
      <c r="A467" s="108"/>
      <c r="D467" s="109"/>
      <c r="E467" s="109"/>
      <c r="F467" s="109"/>
    </row>
    <row r="468">
      <c r="A468" s="108"/>
      <c r="D468" s="109"/>
      <c r="E468" s="109"/>
      <c r="F468" s="109"/>
    </row>
    <row r="469">
      <c r="A469" s="108"/>
      <c r="D469" s="109"/>
      <c r="E469" s="109"/>
      <c r="F469" s="109"/>
    </row>
    <row r="470">
      <c r="A470" s="108"/>
      <c r="D470" s="109"/>
      <c r="E470" s="109"/>
      <c r="F470" s="109"/>
    </row>
    <row r="471">
      <c r="A471" s="108"/>
      <c r="D471" s="109"/>
      <c r="E471" s="109"/>
      <c r="F471" s="109"/>
    </row>
    <row r="472">
      <c r="A472" s="108"/>
      <c r="D472" s="109"/>
      <c r="E472" s="109"/>
      <c r="F472" s="109"/>
    </row>
    <row r="473">
      <c r="A473" s="108"/>
      <c r="D473" s="109"/>
      <c r="E473" s="109"/>
      <c r="F473" s="109"/>
    </row>
    <row r="474">
      <c r="A474" s="108"/>
      <c r="D474" s="109"/>
      <c r="E474" s="109"/>
      <c r="F474" s="109"/>
    </row>
    <row r="475">
      <c r="A475" s="108"/>
      <c r="D475" s="109"/>
      <c r="E475" s="109"/>
      <c r="F475" s="109"/>
    </row>
    <row r="476">
      <c r="A476" s="108"/>
      <c r="D476" s="109"/>
      <c r="E476" s="109"/>
      <c r="F476" s="109"/>
    </row>
    <row r="477">
      <c r="A477" s="108"/>
      <c r="D477" s="109"/>
      <c r="E477" s="109"/>
      <c r="F477" s="109"/>
    </row>
    <row r="478">
      <c r="A478" s="108"/>
      <c r="D478" s="109"/>
      <c r="E478" s="109"/>
      <c r="F478" s="109"/>
    </row>
    <row r="479">
      <c r="A479" s="108"/>
      <c r="D479" s="109"/>
      <c r="E479" s="109"/>
      <c r="F479" s="109"/>
    </row>
    <row r="480">
      <c r="A480" s="108"/>
      <c r="D480" s="109"/>
      <c r="E480" s="109"/>
      <c r="F480" s="109"/>
    </row>
    <row r="481">
      <c r="A481" s="108"/>
      <c r="D481" s="109"/>
      <c r="E481" s="109"/>
      <c r="F481" s="109"/>
    </row>
    <row r="482">
      <c r="A482" s="108"/>
      <c r="D482" s="109"/>
      <c r="E482" s="109"/>
      <c r="F482" s="109"/>
    </row>
    <row r="483">
      <c r="A483" s="108"/>
      <c r="D483" s="109"/>
      <c r="E483" s="109"/>
      <c r="F483" s="109"/>
    </row>
    <row r="484">
      <c r="A484" s="108"/>
      <c r="D484" s="109"/>
      <c r="E484" s="109"/>
      <c r="F484" s="109"/>
    </row>
    <row r="485">
      <c r="A485" s="108"/>
      <c r="D485" s="109"/>
      <c r="E485" s="109"/>
      <c r="F485" s="109"/>
    </row>
    <row r="486">
      <c r="A486" s="108"/>
      <c r="D486" s="109"/>
      <c r="E486" s="109"/>
      <c r="F486" s="109"/>
    </row>
    <row r="487">
      <c r="A487" s="108"/>
      <c r="D487" s="109"/>
      <c r="E487" s="109"/>
      <c r="F487" s="109"/>
    </row>
    <row r="488">
      <c r="A488" s="108"/>
      <c r="D488" s="109"/>
      <c r="E488" s="109"/>
      <c r="F488" s="109"/>
    </row>
    <row r="489">
      <c r="A489" s="108"/>
      <c r="D489" s="109"/>
      <c r="E489" s="109"/>
      <c r="F489" s="109"/>
    </row>
    <row r="490">
      <c r="A490" s="108"/>
      <c r="D490" s="109"/>
      <c r="E490" s="109"/>
      <c r="F490" s="109"/>
    </row>
    <row r="491">
      <c r="A491" s="108"/>
      <c r="D491" s="109"/>
      <c r="E491" s="109"/>
      <c r="F491" s="109"/>
    </row>
    <row r="492">
      <c r="A492" s="108"/>
      <c r="D492" s="109"/>
      <c r="E492" s="109"/>
      <c r="F492" s="109"/>
    </row>
    <row r="493">
      <c r="A493" s="108"/>
      <c r="D493" s="109"/>
      <c r="E493" s="109"/>
      <c r="F493" s="109"/>
    </row>
    <row r="494">
      <c r="A494" s="108"/>
      <c r="D494" s="109"/>
      <c r="E494" s="109"/>
      <c r="F494" s="109"/>
    </row>
    <row r="495">
      <c r="A495" s="108"/>
      <c r="D495" s="109"/>
      <c r="E495" s="109"/>
      <c r="F495" s="109"/>
    </row>
    <row r="496">
      <c r="A496" s="108"/>
      <c r="D496" s="109"/>
      <c r="E496" s="109"/>
      <c r="F496" s="109"/>
    </row>
    <row r="497">
      <c r="A497" s="108"/>
      <c r="D497" s="109"/>
      <c r="E497" s="109"/>
      <c r="F497" s="109"/>
    </row>
    <row r="498">
      <c r="A498" s="108"/>
      <c r="D498" s="109"/>
      <c r="E498" s="109"/>
      <c r="F498" s="109"/>
    </row>
    <row r="499">
      <c r="A499" s="108"/>
      <c r="D499" s="109"/>
      <c r="E499" s="109"/>
      <c r="F499" s="109"/>
    </row>
    <row r="500">
      <c r="A500" s="108"/>
      <c r="D500" s="109"/>
      <c r="E500" s="109"/>
      <c r="F500" s="109"/>
    </row>
    <row r="501">
      <c r="A501" s="108"/>
      <c r="D501" s="109"/>
      <c r="E501" s="109"/>
      <c r="F501" s="109"/>
    </row>
    <row r="502">
      <c r="A502" s="108"/>
      <c r="D502" s="109"/>
      <c r="E502" s="109"/>
      <c r="F502" s="109"/>
    </row>
    <row r="503">
      <c r="A503" s="108"/>
      <c r="D503" s="109"/>
      <c r="E503" s="109"/>
      <c r="F503" s="109"/>
    </row>
    <row r="504">
      <c r="A504" s="108"/>
      <c r="D504" s="109"/>
      <c r="E504" s="109"/>
      <c r="F504" s="109"/>
    </row>
    <row r="505">
      <c r="A505" s="108"/>
      <c r="D505" s="109"/>
      <c r="E505" s="109"/>
      <c r="F505" s="109"/>
    </row>
    <row r="506">
      <c r="A506" s="108"/>
      <c r="D506" s="109"/>
      <c r="E506" s="109"/>
      <c r="F506" s="109"/>
    </row>
    <row r="507">
      <c r="A507" s="108"/>
      <c r="D507" s="109"/>
      <c r="E507" s="109"/>
      <c r="F507" s="109"/>
    </row>
    <row r="508">
      <c r="A508" s="108"/>
      <c r="D508" s="109"/>
      <c r="E508" s="109"/>
      <c r="F508" s="109"/>
    </row>
    <row r="509">
      <c r="A509" s="108"/>
      <c r="D509" s="109"/>
      <c r="E509" s="109"/>
      <c r="F509" s="109"/>
    </row>
    <row r="510">
      <c r="A510" s="108"/>
      <c r="D510" s="109"/>
      <c r="E510" s="109"/>
      <c r="F510" s="109"/>
    </row>
    <row r="511">
      <c r="A511" s="108"/>
      <c r="D511" s="109"/>
      <c r="E511" s="109"/>
      <c r="F511" s="109"/>
    </row>
    <row r="512">
      <c r="A512" s="108"/>
      <c r="D512" s="109"/>
      <c r="E512" s="109"/>
      <c r="F512" s="109"/>
    </row>
    <row r="513">
      <c r="A513" s="108"/>
      <c r="D513" s="109"/>
      <c r="E513" s="109"/>
      <c r="F513" s="109"/>
    </row>
    <row r="514">
      <c r="A514" s="108"/>
      <c r="D514" s="109"/>
      <c r="E514" s="109"/>
      <c r="F514" s="109"/>
    </row>
    <row r="515">
      <c r="A515" s="108"/>
      <c r="D515" s="109"/>
      <c r="E515" s="109"/>
      <c r="F515" s="109"/>
    </row>
    <row r="516">
      <c r="A516" s="108"/>
      <c r="D516" s="109"/>
      <c r="E516" s="109"/>
      <c r="F516" s="109"/>
    </row>
    <row r="517">
      <c r="A517" s="108"/>
      <c r="D517" s="109"/>
      <c r="E517" s="109"/>
      <c r="F517" s="109"/>
    </row>
    <row r="518">
      <c r="A518" s="108"/>
      <c r="D518" s="109"/>
      <c r="E518" s="109"/>
      <c r="F518" s="109"/>
    </row>
    <row r="519">
      <c r="A519" s="108"/>
      <c r="D519" s="109"/>
      <c r="E519" s="109"/>
      <c r="F519" s="109"/>
    </row>
    <row r="520">
      <c r="A520" s="108"/>
      <c r="D520" s="109"/>
      <c r="E520" s="109"/>
      <c r="F520" s="109"/>
    </row>
    <row r="521">
      <c r="A521" s="108"/>
      <c r="D521" s="109"/>
      <c r="E521" s="109"/>
      <c r="F521" s="109"/>
    </row>
    <row r="522">
      <c r="A522" s="108"/>
      <c r="D522" s="109"/>
      <c r="E522" s="109"/>
      <c r="F522" s="109"/>
    </row>
    <row r="523">
      <c r="A523" s="108"/>
      <c r="D523" s="109"/>
      <c r="E523" s="109"/>
      <c r="F523" s="109"/>
    </row>
    <row r="524">
      <c r="A524" s="108"/>
      <c r="D524" s="109"/>
      <c r="E524" s="109"/>
      <c r="F524" s="109"/>
    </row>
    <row r="525">
      <c r="A525" s="108"/>
      <c r="D525" s="109"/>
      <c r="E525" s="109"/>
      <c r="F525" s="109"/>
    </row>
    <row r="526">
      <c r="A526" s="108"/>
      <c r="D526" s="109"/>
      <c r="E526" s="109"/>
      <c r="F526" s="109"/>
    </row>
    <row r="527">
      <c r="A527" s="108"/>
      <c r="D527" s="109"/>
      <c r="E527" s="109"/>
      <c r="F527" s="109"/>
    </row>
    <row r="528">
      <c r="A528" s="108"/>
      <c r="D528" s="109"/>
      <c r="E528" s="109"/>
      <c r="F528" s="109"/>
    </row>
    <row r="529">
      <c r="A529" s="108"/>
      <c r="D529" s="109"/>
      <c r="E529" s="109"/>
      <c r="F529" s="109"/>
    </row>
    <row r="530">
      <c r="A530" s="108"/>
      <c r="D530" s="109"/>
      <c r="E530" s="109"/>
      <c r="F530" s="109"/>
    </row>
    <row r="531">
      <c r="A531" s="108"/>
      <c r="D531" s="109"/>
      <c r="E531" s="109"/>
      <c r="F531" s="109"/>
    </row>
    <row r="532">
      <c r="A532" s="108"/>
      <c r="D532" s="109"/>
      <c r="E532" s="109"/>
      <c r="F532" s="109"/>
    </row>
    <row r="533">
      <c r="A533" s="108"/>
      <c r="D533" s="109"/>
      <c r="E533" s="109"/>
      <c r="F533" s="109"/>
    </row>
    <row r="534">
      <c r="A534" s="108"/>
      <c r="D534" s="109"/>
      <c r="E534" s="109"/>
      <c r="F534" s="109"/>
    </row>
    <row r="535">
      <c r="A535" s="108"/>
      <c r="D535" s="109"/>
      <c r="E535" s="109"/>
      <c r="F535" s="109"/>
    </row>
    <row r="536">
      <c r="A536" s="108"/>
      <c r="D536" s="109"/>
      <c r="E536" s="109"/>
      <c r="F536" s="109"/>
    </row>
    <row r="537">
      <c r="A537" s="108"/>
      <c r="D537" s="109"/>
      <c r="E537" s="109"/>
      <c r="F537" s="109"/>
    </row>
    <row r="538">
      <c r="A538" s="108"/>
      <c r="D538" s="109"/>
      <c r="E538" s="109"/>
      <c r="F538" s="109"/>
    </row>
    <row r="539">
      <c r="A539" s="108"/>
      <c r="D539" s="109"/>
      <c r="E539" s="109"/>
      <c r="F539" s="109"/>
    </row>
    <row r="540">
      <c r="A540" s="108"/>
      <c r="D540" s="109"/>
      <c r="E540" s="109"/>
      <c r="F540" s="109"/>
    </row>
    <row r="541">
      <c r="A541" s="108"/>
      <c r="D541" s="109"/>
      <c r="E541" s="109"/>
      <c r="F541" s="109"/>
    </row>
    <row r="542">
      <c r="A542" s="108"/>
      <c r="D542" s="109"/>
      <c r="E542" s="109"/>
      <c r="F542" s="109"/>
    </row>
    <row r="543">
      <c r="A543" s="108"/>
      <c r="D543" s="109"/>
      <c r="E543" s="109"/>
      <c r="F543" s="109"/>
    </row>
    <row r="544">
      <c r="A544" s="108"/>
      <c r="D544" s="109"/>
      <c r="E544" s="109"/>
      <c r="F544" s="109"/>
    </row>
    <row r="545">
      <c r="A545" s="108"/>
      <c r="D545" s="109"/>
      <c r="E545" s="109"/>
      <c r="F545" s="109"/>
    </row>
    <row r="546">
      <c r="A546" s="108"/>
      <c r="D546" s="109"/>
      <c r="E546" s="109"/>
      <c r="F546" s="109"/>
    </row>
    <row r="547">
      <c r="A547" s="108"/>
      <c r="D547" s="109"/>
      <c r="E547" s="109"/>
      <c r="F547" s="109"/>
    </row>
    <row r="548">
      <c r="A548" s="108"/>
      <c r="D548" s="109"/>
      <c r="E548" s="109"/>
      <c r="F548" s="109"/>
    </row>
    <row r="549">
      <c r="A549" s="108"/>
      <c r="D549" s="109"/>
      <c r="E549" s="109"/>
      <c r="F549" s="109"/>
    </row>
    <row r="550">
      <c r="A550" s="108"/>
      <c r="D550" s="109"/>
      <c r="E550" s="109"/>
      <c r="F550" s="109"/>
    </row>
    <row r="551">
      <c r="A551" s="108"/>
      <c r="D551" s="109"/>
      <c r="E551" s="109"/>
      <c r="F551" s="109"/>
    </row>
    <row r="552">
      <c r="A552" s="108"/>
      <c r="D552" s="109"/>
      <c r="E552" s="109"/>
      <c r="F552" s="109"/>
    </row>
    <row r="553">
      <c r="A553" s="108"/>
      <c r="D553" s="109"/>
      <c r="E553" s="109"/>
      <c r="F553" s="109"/>
    </row>
    <row r="554">
      <c r="A554" s="108"/>
      <c r="D554" s="109"/>
      <c r="E554" s="109"/>
      <c r="F554" s="109"/>
    </row>
    <row r="555">
      <c r="A555" s="108"/>
      <c r="D555" s="109"/>
      <c r="E555" s="109"/>
      <c r="F555" s="109"/>
    </row>
    <row r="556">
      <c r="A556" s="108"/>
      <c r="D556" s="109"/>
      <c r="E556" s="109"/>
      <c r="F556" s="109"/>
    </row>
    <row r="557">
      <c r="A557" s="108"/>
      <c r="D557" s="109"/>
      <c r="E557" s="109"/>
      <c r="F557" s="109"/>
    </row>
    <row r="558">
      <c r="A558" s="108"/>
      <c r="D558" s="109"/>
      <c r="E558" s="109"/>
      <c r="F558" s="109"/>
    </row>
    <row r="559">
      <c r="A559" s="108"/>
      <c r="D559" s="109"/>
      <c r="E559" s="109"/>
      <c r="F559" s="109"/>
    </row>
    <row r="560">
      <c r="A560" s="108"/>
      <c r="D560" s="109"/>
      <c r="E560" s="109"/>
      <c r="F560" s="109"/>
    </row>
    <row r="561">
      <c r="A561" s="108"/>
      <c r="D561" s="109"/>
      <c r="E561" s="109"/>
      <c r="F561" s="109"/>
    </row>
    <row r="562">
      <c r="A562" s="108"/>
      <c r="D562" s="109"/>
      <c r="E562" s="109"/>
      <c r="F562" s="109"/>
    </row>
    <row r="563">
      <c r="A563" s="108"/>
      <c r="D563" s="109"/>
      <c r="E563" s="109"/>
      <c r="F563" s="109"/>
    </row>
    <row r="564">
      <c r="A564" s="108"/>
      <c r="D564" s="109"/>
      <c r="E564" s="109"/>
      <c r="F564" s="109"/>
    </row>
    <row r="565">
      <c r="A565" s="108"/>
      <c r="D565" s="109"/>
      <c r="E565" s="109"/>
      <c r="F565" s="109"/>
    </row>
    <row r="566">
      <c r="A566" s="108"/>
      <c r="D566" s="109"/>
      <c r="E566" s="109"/>
      <c r="F566" s="109"/>
    </row>
    <row r="567">
      <c r="A567" s="108"/>
      <c r="D567" s="109"/>
      <c r="E567" s="109"/>
      <c r="F567" s="109"/>
    </row>
    <row r="568">
      <c r="A568" s="108"/>
      <c r="D568" s="109"/>
      <c r="E568" s="109"/>
      <c r="F568" s="109"/>
    </row>
    <row r="569">
      <c r="A569" s="108"/>
      <c r="D569" s="109"/>
      <c r="E569" s="109"/>
      <c r="F569" s="109"/>
    </row>
    <row r="570">
      <c r="A570" s="108"/>
      <c r="D570" s="109"/>
      <c r="E570" s="109"/>
      <c r="F570" s="109"/>
    </row>
    <row r="571">
      <c r="A571" s="108"/>
      <c r="D571" s="109"/>
      <c r="E571" s="109"/>
      <c r="F571" s="109"/>
    </row>
    <row r="572">
      <c r="A572" s="108"/>
      <c r="D572" s="109"/>
      <c r="E572" s="109"/>
      <c r="F572" s="109"/>
    </row>
    <row r="573">
      <c r="A573" s="108"/>
      <c r="D573" s="109"/>
      <c r="E573" s="109"/>
      <c r="F573" s="109"/>
    </row>
    <row r="574">
      <c r="A574" s="108"/>
      <c r="D574" s="109"/>
      <c r="E574" s="109"/>
      <c r="F574" s="109"/>
    </row>
    <row r="575">
      <c r="A575" s="108"/>
      <c r="D575" s="109"/>
      <c r="E575" s="109"/>
      <c r="F575" s="109"/>
    </row>
    <row r="576">
      <c r="A576" s="108"/>
      <c r="D576" s="109"/>
      <c r="E576" s="109"/>
      <c r="F576" s="109"/>
    </row>
    <row r="577">
      <c r="A577" s="108"/>
      <c r="D577" s="109"/>
      <c r="E577" s="109"/>
      <c r="F577" s="109"/>
    </row>
    <row r="578">
      <c r="A578" s="108"/>
      <c r="D578" s="109"/>
      <c r="E578" s="109"/>
      <c r="F578" s="109"/>
    </row>
    <row r="579">
      <c r="A579" s="108"/>
      <c r="D579" s="109"/>
      <c r="E579" s="109"/>
      <c r="F579" s="109"/>
    </row>
    <row r="580">
      <c r="A580" s="108"/>
      <c r="D580" s="109"/>
      <c r="E580" s="109"/>
      <c r="F580" s="109"/>
    </row>
    <row r="581">
      <c r="A581" s="108"/>
      <c r="D581" s="109"/>
      <c r="E581" s="109"/>
      <c r="F581" s="109"/>
    </row>
    <row r="582">
      <c r="A582" s="108"/>
      <c r="D582" s="109"/>
      <c r="E582" s="109"/>
      <c r="F582" s="109"/>
    </row>
    <row r="583">
      <c r="A583" s="108"/>
      <c r="D583" s="109"/>
      <c r="E583" s="109"/>
      <c r="F583" s="109"/>
    </row>
    <row r="584">
      <c r="A584" s="108"/>
      <c r="D584" s="109"/>
      <c r="E584" s="109"/>
      <c r="F584" s="109"/>
    </row>
    <row r="585">
      <c r="A585" s="108"/>
      <c r="D585" s="109"/>
      <c r="E585" s="109"/>
      <c r="F585" s="109"/>
    </row>
    <row r="586">
      <c r="A586" s="108"/>
      <c r="D586" s="109"/>
      <c r="E586" s="109"/>
      <c r="F586" s="109"/>
    </row>
    <row r="587">
      <c r="A587" s="108"/>
      <c r="D587" s="109"/>
      <c r="E587" s="109"/>
      <c r="F587" s="109"/>
    </row>
    <row r="588">
      <c r="A588" s="108"/>
      <c r="D588" s="109"/>
      <c r="E588" s="109"/>
      <c r="F588" s="109"/>
    </row>
    <row r="589">
      <c r="A589" s="108"/>
      <c r="D589" s="109"/>
      <c r="E589" s="109"/>
      <c r="F589" s="109"/>
    </row>
    <row r="590">
      <c r="A590" s="108"/>
      <c r="D590" s="109"/>
      <c r="E590" s="109"/>
      <c r="F590" s="109"/>
    </row>
    <row r="591">
      <c r="A591" s="108"/>
      <c r="D591" s="109"/>
      <c r="E591" s="109"/>
      <c r="F591" s="109"/>
    </row>
    <row r="592">
      <c r="A592" s="108"/>
      <c r="D592" s="109"/>
      <c r="E592" s="109"/>
      <c r="F592" s="109"/>
    </row>
    <row r="593">
      <c r="A593" s="108"/>
      <c r="D593" s="109"/>
      <c r="E593" s="109"/>
      <c r="F593" s="109"/>
    </row>
    <row r="594">
      <c r="A594" s="108"/>
      <c r="D594" s="109"/>
      <c r="E594" s="109"/>
      <c r="F594" s="109"/>
    </row>
    <row r="595">
      <c r="A595" s="108"/>
      <c r="D595" s="109"/>
      <c r="E595" s="109"/>
      <c r="F595" s="109"/>
    </row>
    <row r="596">
      <c r="A596" s="108"/>
      <c r="D596" s="109"/>
      <c r="E596" s="109"/>
      <c r="F596" s="109"/>
    </row>
    <row r="597">
      <c r="A597" s="108"/>
      <c r="D597" s="109"/>
      <c r="E597" s="109"/>
      <c r="F597" s="109"/>
    </row>
    <row r="598">
      <c r="A598" s="108"/>
      <c r="D598" s="109"/>
      <c r="E598" s="109"/>
      <c r="F598" s="109"/>
    </row>
    <row r="599">
      <c r="A599" s="108"/>
      <c r="D599" s="109"/>
      <c r="E599" s="109"/>
      <c r="F599" s="109"/>
    </row>
    <row r="600">
      <c r="A600" s="108"/>
      <c r="D600" s="109"/>
      <c r="E600" s="109"/>
      <c r="F600" s="109"/>
    </row>
    <row r="601">
      <c r="A601" s="108"/>
      <c r="D601" s="109"/>
      <c r="E601" s="109"/>
      <c r="F601" s="109"/>
    </row>
    <row r="602">
      <c r="A602" s="108"/>
      <c r="D602" s="109"/>
      <c r="E602" s="109"/>
      <c r="F602" s="109"/>
    </row>
    <row r="603">
      <c r="A603" s="108"/>
      <c r="D603" s="109"/>
      <c r="E603" s="109"/>
      <c r="F603" s="109"/>
    </row>
    <row r="604">
      <c r="A604" s="108"/>
      <c r="D604" s="109"/>
      <c r="E604" s="109"/>
      <c r="F604" s="109"/>
    </row>
    <row r="605">
      <c r="A605" s="108"/>
      <c r="D605" s="109"/>
      <c r="E605" s="109"/>
      <c r="F605" s="109"/>
    </row>
    <row r="606">
      <c r="A606" s="108"/>
      <c r="D606" s="109"/>
      <c r="E606" s="109"/>
      <c r="F606" s="109"/>
    </row>
    <row r="607">
      <c r="A607" s="108"/>
      <c r="D607" s="109"/>
      <c r="E607" s="109"/>
      <c r="F607" s="109"/>
    </row>
    <row r="608">
      <c r="A608" s="108"/>
      <c r="D608" s="109"/>
      <c r="E608" s="109"/>
      <c r="F608" s="109"/>
    </row>
    <row r="609">
      <c r="A609" s="108"/>
      <c r="D609" s="109"/>
      <c r="E609" s="109"/>
      <c r="F609" s="109"/>
    </row>
    <row r="610">
      <c r="A610" s="108"/>
      <c r="D610" s="109"/>
      <c r="E610" s="109"/>
      <c r="F610" s="109"/>
    </row>
    <row r="611">
      <c r="A611" s="108"/>
      <c r="D611" s="109"/>
      <c r="E611" s="109"/>
      <c r="F611" s="109"/>
    </row>
    <row r="612">
      <c r="A612" s="108"/>
      <c r="D612" s="109"/>
      <c r="E612" s="109"/>
      <c r="F612" s="109"/>
    </row>
    <row r="613">
      <c r="A613" s="108"/>
      <c r="D613" s="109"/>
      <c r="E613" s="109"/>
      <c r="F613" s="109"/>
    </row>
    <row r="614">
      <c r="A614" s="108"/>
      <c r="D614" s="109"/>
      <c r="E614" s="109"/>
      <c r="F614" s="109"/>
    </row>
    <row r="615">
      <c r="A615" s="108"/>
      <c r="D615" s="109"/>
      <c r="E615" s="109"/>
      <c r="F615" s="109"/>
    </row>
    <row r="616">
      <c r="A616" s="108"/>
      <c r="D616" s="109"/>
      <c r="E616" s="109"/>
      <c r="F616" s="109"/>
    </row>
    <row r="617">
      <c r="A617" s="108"/>
      <c r="D617" s="109"/>
      <c r="E617" s="109"/>
      <c r="F617" s="109"/>
    </row>
    <row r="618">
      <c r="A618" s="108"/>
      <c r="D618" s="109"/>
      <c r="E618" s="109"/>
      <c r="F618" s="109"/>
    </row>
    <row r="619">
      <c r="A619" s="108"/>
      <c r="D619" s="109"/>
      <c r="E619" s="109"/>
      <c r="F619" s="109"/>
    </row>
    <row r="620">
      <c r="A620" s="108"/>
      <c r="D620" s="109"/>
      <c r="E620" s="109"/>
      <c r="F620" s="109"/>
    </row>
    <row r="621">
      <c r="A621" s="108"/>
      <c r="D621" s="109"/>
      <c r="E621" s="109"/>
      <c r="F621" s="109"/>
    </row>
    <row r="622">
      <c r="A622" s="108"/>
      <c r="D622" s="109"/>
      <c r="E622" s="109"/>
      <c r="F622" s="109"/>
    </row>
    <row r="623">
      <c r="A623" s="108"/>
      <c r="D623" s="109"/>
      <c r="E623" s="109"/>
      <c r="F623" s="109"/>
    </row>
    <row r="624">
      <c r="A624" s="108"/>
      <c r="D624" s="109"/>
      <c r="E624" s="109"/>
      <c r="F624" s="109"/>
    </row>
    <row r="625">
      <c r="A625" s="108"/>
      <c r="D625" s="109"/>
      <c r="E625" s="109"/>
      <c r="F625" s="109"/>
    </row>
    <row r="626">
      <c r="A626" s="108"/>
      <c r="D626" s="109"/>
      <c r="E626" s="109"/>
      <c r="F626" s="109"/>
    </row>
    <row r="627">
      <c r="A627" s="108"/>
      <c r="D627" s="109"/>
      <c r="E627" s="109"/>
      <c r="F627" s="109"/>
    </row>
    <row r="628">
      <c r="A628" s="108"/>
      <c r="D628" s="109"/>
      <c r="E628" s="109"/>
      <c r="F628" s="109"/>
    </row>
    <row r="629">
      <c r="A629" s="108"/>
      <c r="D629" s="109"/>
      <c r="E629" s="109"/>
      <c r="F629" s="109"/>
    </row>
    <row r="630">
      <c r="A630" s="108"/>
      <c r="D630" s="109"/>
      <c r="E630" s="109"/>
      <c r="F630" s="109"/>
    </row>
    <row r="631">
      <c r="A631" s="108"/>
      <c r="D631" s="109"/>
      <c r="E631" s="109"/>
      <c r="F631" s="109"/>
    </row>
    <row r="632">
      <c r="A632" s="108"/>
      <c r="D632" s="109"/>
      <c r="E632" s="109"/>
      <c r="F632" s="109"/>
    </row>
    <row r="633">
      <c r="A633" s="108"/>
      <c r="D633" s="109"/>
      <c r="E633" s="109"/>
      <c r="F633" s="109"/>
    </row>
    <row r="634">
      <c r="A634" s="108"/>
      <c r="D634" s="109"/>
      <c r="E634" s="109"/>
      <c r="F634" s="109"/>
    </row>
    <row r="635">
      <c r="A635" s="108"/>
      <c r="D635" s="109"/>
      <c r="E635" s="109"/>
      <c r="F635" s="109"/>
    </row>
    <row r="636">
      <c r="A636" s="108"/>
      <c r="D636" s="109"/>
      <c r="E636" s="109"/>
      <c r="F636" s="109"/>
    </row>
    <row r="637">
      <c r="A637" s="108"/>
      <c r="D637" s="109"/>
      <c r="E637" s="109"/>
      <c r="F637" s="109"/>
    </row>
    <row r="638">
      <c r="A638" s="108"/>
      <c r="D638" s="109"/>
      <c r="E638" s="109"/>
      <c r="F638" s="109"/>
    </row>
    <row r="639">
      <c r="A639" s="108"/>
      <c r="D639" s="109"/>
      <c r="E639" s="109"/>
      <c r="F639" s="109"/>
    </row>
    <row r="640">
      <c r="A640" s="108"/>
      <c r="D640" s="109"/>
      <c r="E640" s="109"/>
      <c r="F640" s="109"/>
    </row>
    <row r="641">
      <c r="A641" s="108"/>
      <c r="D641" s="109"/>
      <c r="E641" s="109"/>
      <c r="F641" s="109"/>
    </row>
    <row r="642">
      <c r="A642" s="108"/>
      <c r="D642" s="109"/>
      <c r="E642" s="109"/>
      <c r="F642" s="109"/>
    </row>
    <row r="643">
      <c r="A643" s="108"/>
      <c r="D643" s="109"/>
      <c r="E643" s="109"/>
      <c r="F643" s="109"/>
    </row>
    <row r="644">
      <c r="A644" s="108"/>
      <c r="D644" s="109"/>
      <c r="E644" s="109"/>
      <c r="F644" s="109"/>
    </row>
    <row r="645">
      <c r="A645" s="108"/>
      <c r="D645" s="109"/>
      <c r="E645" s="109"/>
      <c r="F645" s="109"/>
    </row>
    <row r="646">
      <c r="A646" s="108"/>
      <c r="D646" s="109"/>
      <c r="E646" s="109"/>
      <c r="F646" s="109"/>
    </row>
    <row r="647">
      <c r="A647" s="108"/>
      <c r="D647" s="109"/>
      <c r="E647" s="109"/>
      <c r="F647" s="109"/>
    </row>
    <row r="648">
      <c r="A648" s="108"/>
      <c r="D648" s="109"/>
      <c r="E648" s="109"/>
      <c r="F648" s="109"/>
    </row>
    <row r="649">
      <c r="A649" s="108"/>
      <c r="D649" s="109"/>
      <c r="E649" s="109"/>
      <c r="F649" s="109"/>
    </row>
    <row r="650">
      <c r="A650" s="108"/>
      <c r="D650" s="109"/>
      <c r="E650" s="109"/>
      <c r="F650" s="109"/>
    </row>
    <row r="651">
      <c r="A651" s="108"/>
      <c r="D651" s="109"/>
      <c r="E651" s="109"/>
      <c r="F651" s="109"/>
    </row>
    <row r="652">
      <c r="A652" s="108"/>
      <c r="D652" s="109"/>
      <c r="E652" s="109"/>
      <c r="F652" s="109"/>
    </row>
    <row r="653">
      <c r="A653" s="108"/>
      <c r="D653" s="109"/>
      <c r="E653" s="109"/>
      <c r="F653" s="109"/>
    </row>
    <row r="654">
      <c r="A654" s="108"/>
      <c r="D654" s="109"/>
      <c r="E654" s="109"/>
      <c r="F654" s="109"/>
    </row>
    <row r="655">
      <c r="A655" s="108"/>
      <c r="D655" s="109"/>
      <c r="E655" s="109"/>
      <c r="F655" s="109"/>
    </row>
    <row r="656">
      <c r="A656" s="108"/>
      <c r="D656" s="109"/>
      <c r="E656" s="109"/>
      <c r="F656" s="109"/>
    </row>
    <row r="657">
      <c r="A657" s="108"/>
      <c r="D657" s="109"/>
      <c r="E657" s="109"/>
      <c r="F657" s="109"/>
    </row>
    <row r="658">
      <c r="A658" s="108"/>
      <c r="D658" s="109"/>
      <c r="E658" s="109"/>
      <c r="F658" s="109"/>
    </row>
    <row r="659">
      <c r="A659" s="108"/>
      <c r="D659" s="109"/>
      <c r="E659" s="109"/>
      <c r="F659" s="109"/>
    </row>
    <row r="660">
      <c r="A660" s="108"/>
      <c r="D660" s="109"/>
      <c r="E660" s="109"/>
      <c r="F660" s="109"/>
    </row>
    <row r="661">
      <c r="A661" s="108"/>
      <c r="D661" s="109"/>
      <c r="E661" s="109"/>
      <c r="F661" s="109"/>
    </row>
    <row r="662">
      <c r="A662" s="108"/>
      <c r="D662" s="109"/>
      <c r="E662" s="109"/>
      <c r="F662" s="109"/>
    </row>
    <row r="663">
      <c r="A663" s="108"/>
      <c r="D663" s="109"/>
      <c r="E663" s="109"/>
      <c r="F663" s="109"/>
    </row>
    <row r="664">
      <c r="A664" s="108"/>
      <c r="D664" s="109"/>
      <c r="E664" s="109"/>
      <c r="F664" s="109"/>
    </row>
    <row r="665">
      <c r="A665" s="108"/>
      <c r="D665" s="109"/>
      <c r="E665" s="109"/>
      <c r="F665" s="109"/>
    </row>
    <row r="666">
      <c r="A666" s="108"/>
      <c r="D666" s="109"/>
      <c r="E666" s="109"/>
      <c r="F666" s="109"/>
    </row>
    <row r="667">
      <c r="A667" s="108"/>
      <c r="D667" s="109"/>
      <c r="E667" s="109"/>
      <c r="F667" s="109"/>
    </row>
    <row r="668">
      <c r="A668" s="108"/>
      <c r="D668" s="109"/>
      <c r="E668" s="109"/>
      <c r="F668" s="109"/>
    </row>
    <row r="669">
      <c r="A669" s="108"/>
      <c r="D669" s="109"/>
      <c r="E669" s="109"/>
      <c r="F669" s="109"/>
    </row>
    <row r="670">
      <c r="A670" s="108"/>
      <c r="D670" s="109"/>
      <c r="E670" s="109"/>
      <c r="F670" s="109"/>
    </row>
    <row r="671">
      <c r="A671" s="108"/>
      <c r="D671" s="109"/>
      <c r="E671" s="109"/>
      <c r="F671" s="109"/>
    </row>
    <row r="672">
      <c r="A672" s="108"/>
      <c r="D672" s="109"/>
      <c r="E672" s="109"/>
      <c r="F672" s="109"/>
    </row>
    <row r="673">
      <c r="A673" s="108"/>
      <c r="D673" s="109"/>
      <c r="E673" s="109"/>
      <c r="F673" s="109"/>
    </row>
    <row r="674">
      <c r="A674" s="108"/>
      <c r="D674" s="109"/>
      <c r="E674" s="109"/>
      <c r="F674" s="109"/>
    </row>
    <row r="675">
      <c r="A675" s="108"/>
      <c r="D675" s="109"/>
      <c r="E675" s="109"/>
      <c r="F675" s="109"/>
    </row>
    <row r="676">
      <c r="A676" s="108"/>
      <c r="D676" s="109"/>
      <c r="E676" s="109"/>
      <c r="F676" s="109"/>
    </row>
    <row r="677">
      <c r="A677" s="108"/>
      <c r="D677" s="109"/>
      <c r="E677" s="109"/>
      <c r="F677" s="109"/>
    </row>
    <row r="678">
      <c r="A678" s="108"/>
      <c r="D678" s="109"/>
      <c r="E678" s="109"/>
      <c r="F678" s="109"/>
    </row>
    <row r="679">
      <c r="A679" s="108"/>
      <c r="D679" s="109"/>
      <c r="E679" s="109"/>
      <c r="F679" s="109"/>
    </row>
    <row r="680">
      <c r="A680" s="108"/>
      <c r="D680" s="109"/>
      <c r="E680" s="109"/>
      <c r="F680" s="109"/>
    </row>
    <row r="681">
      <c r="A681" s="108"/>
      <c r="D681" s="109"/>
      <c r="E681" s="109"/>
      <c r="F681" s="109"/>
    </row>
    <row r="682">
      <c r="A682" s="108"/>
      <c r="D682" s="109"/>
      <c r="E682" s="109"/>
      <c r="F682" s="109"/>
    </row>
    <row r="683">
      <c r="A683" s="108"/>
      <c r="D683" s="109"/>
      <c r="E683" s="109"/>
      <c r="F683" s="109"/>
    </row>
    <row r="684">
      <c r="A684" s="108"/>
      <c r="D684" s="109"/>
      <c r="E684" s="109"/>
      <c r="F684" s="109"/>
    </row>
    <row r="685">
      <c r="A685" s="108"/>
      <c r="D685" s="109"/>
      <c r="E685" s="109"/>
      <c r="F685" s="109"/>
    </row>
    <row r="686">
      <c r="A686" s="108"/>
      <c r="D686" s="109"/>
      <c r="E686" s="109"/>
      <c r="F686" s="109"/>
    </row>
    <row r="687">
      <c r="A687" s="108"/>
      <c r="D687" s="109"/>
      <c r="E687" s="109"/>
      <c r="F687" s="109"/>
    </row>
    <row r="688">
      <c r="A688" s="108"/>
      <c r="D688" s="109"/>
      <c r="E688" s="109"/>
      <c r="F688" s="109"/>
    </row>
    <row r="689">
      <c r="A689" s="108"/>
      <c r="D689" s="109"/>
      <c r="E689" s="109"/>
      <c r="F689" s="109"/>
    </row>
    <row r="690">
      <c r="A690" s="108"/>
      <c r="D690" s="109"/>
      <c r="E690" s="109"/>
      <c r="F690" s="109"/>
    </row>
    <row r="691">
      <c r="A691" s="108"/>
      <c r="D691" s="109"/>
      <c r="E691" s="109"/>
      <c r="F691" s="109"/>
    </row>
    <row r="692">
      <c r="A692" s="108"/>
      <c r="D692" s="109"/>
      <c r="E692" s="109"/>
      <c r="F692" s="109"/>
    </row>
    <row r="693">
      <c r="A693" s="108"/>
      <c r="D693" s="109"/>
      <c r="E693" s="109"/>
      <c r="F693" s="109"/>
    </row>
    <row r="694">
      <c r="A694" s="108"/>
      <c r="D694" s="109"/>
      <c r="E694" s="109"/>
      <c r="F694" s="109"/>
    </row>
    <row r="695">
      <c r="A695" s="108"/>
      <c r="D695" s="109"/>
      <c r="E695" s="109"/>
      <c r="F695" s="109"/>
    </row>
    <row r="696">
      <c r="A696" s="108"/>
      <c r="D696" s="109"/>
      <c r="E696" s="109"/>
      <c r="F696" s="109"/>
    </row>
    <row r="697">
      <c r="A697" s="108"/>
      <c r="D697" s="109"/>
      <c r="E697" s="109"/>
      <c r="F697" s="109"/>
    </row>
    <row r="698">
      <c r="A698" s="108"/>
      <c r="D698" s="109"/>
      <c r="E698" s="109"/>
      <c r="F698" s="109"/>
    </row>
    <row r="699">
      <c r="A699" s="108"/>
      <c r="D699" s="109"/>
      <c r="E699" s="109"/>
      <c r="F699" s="109"/>
    </row>
    <row r="700">
      <c r="A700" s="108"/>
      <c r="D700" s="109"/>
      <c r="E700" s="109"/>
      <c r="F700" s="109"/>
    </row>
    <row r="701">
      <c r="A701" s="108"/>
      <c r="D701" s="109"/>
      <c r="E701" s="109"/>
      <c r="F701" s="109"/>
    </row>
    <row r="702">
      <c r="A702" s="108"/>
      <c r="D702" s="109"/>
      <c r="E702" s="109"/>
      <c r="F702" s="109"/>
    </row>
    <row r="703">
      <c r="A703" s="108"/>
      <c r="D703" s="109"/>
      <c r="E703" s="109"/>
      <c r="F703" s="109"/>
    </row>
    <row r="704">
      <c r="A704" s="108"/>
      <c r="D704" s="109"/>
      <c r="E704" s="109"/>
      <c r="F704" s="109"/>
    </row>
    <row r="705">
      <c r="A705" s="108"/>
      <c r="D705" s="109"/>
      <c r="E705" s="109"/>
      <c r="F705" s="109"/>
    </row>
    <row r="706">
      <c r="A706" s="108"/>
      <c r="D706" s="109"/>
      <c r="E706" s="109"/>
      <c r="F706" s="109"/>
    </row>
    <row r="707">
      <c r="A707" s="108"/>
      <c r="D707" s="109"/>
      <c r="E707" s="109"/>
      <c r="F707" s="109"/>
    </row>
    <row r="708">
      <c r="A708" s="108"/>
      <c r="D708" s="109"/>
      <c r="E708" s="109"/>
      <c r="F708" s="109"/>
    </row>
    <row r="709">
      <c r="A709" s="108"/>
      <c r="D709" s="109"/>
      <c r="E709" s="109"/>
      <c r="F709" s="109"/>
    </row>
    <row r="710">
      <c r="A710" s="108"/>
      <c r="D710" s="109"/>
      <c r="E710" s="109"/>
      <c r="F710" s="109"/>
    </row>
    <row r="711">
      <c r="A711" s="108"/>
      <c r="D711" s="109"/>
      <c r="E711" s="109"/>
      <c r="F711" s="109"/>
    </row>
    <row r="712">
      <c r="A712" s="108"/>
      <c r="D712" s="109"/>
      <c r="E712" s="109"/>
      <c r="F712" s="109"/>
    </row>
    <row r="713">
      <c r="A713" s="108"/>
      <c r="D713" s="109"/>
      <c r="E713" s="109"/>
      <c r="F713" s="109"/>
    </row>
    <row r="714">
      <c r="A714" s="108"/>
      <c r="D714" s="109"/>
      <c r="E714" s="109"/>
      <c r="F714" s="109"/>
    </row>
    <row r="715">
      <c r="A715" s="108"/>
      <c r="D715" s="109"/>
      <c r="E715" s="109"/>
      <c r="F715" s="109"/>
    </row>
    <row r="716">
      <c r="A716" s="108"/>
      <c r="D716" s="109"/>
      <c r="E716" s="109"/>
      <c r="F716" s="109"/>
    </row>
    <row r="717">
      <c r="A717" s="108"/>
      <c r="D717" s="109"/>
      <c r="E717" s="109"/>
      <c r="F717" s="109"/>
    </row>
    <row r="718">
      <c r="A718" s="108"/>
      <c r="D718" s="109"/>
      <c r="E718" s="109"/>
      <c r="F718" s="109"/>
    </row>
    <row r="719">
      <c r="A719" s="108"/>
      <c r="D719" s="109"/>
      <c r="E719" s="109"/>
      <c r="F719" s="109"/>
    </row>
    <row r="720">
      <c r="A720" s="108"/>
      <c r="D720" s="109"/>
      <c r="E720" s="109"/>
      <c r="F720" s="109"/>
    </row>
    <row r="721">
      <c r="A721" s="108"/>
      <c r="D721" s="109"/>
      <c r="E721" s="109"/>
      <c r="F721" s="109"/>
    </row>
    <row r="722">
      <c r="A722" s="108"/>
      <c r="D722" s="109"/>
      <c r="E722" s="109"/>
      <c r="F722" s="109"/>
    </row>
    <row r="723">
      <c r="A723" s="108"/>
      <c r="D723" s="109"/>
      <c r="E723" s="109"/>
      <c r="F723" s="109"/>
    </row>
    <row r="724">
      <c r="A724" s="108"/>
      <c r="D724" s="109"/>
      <c r="E724" s="109"/>
      <c r="F724" s="109"/>
    </row>
    <row r="725">
      <c r="A725" s="108"/>
      <c r="D725" s="109"/>
      <c r="E725" s="109"/>
      <c r="F725" s="109"/>
    </row>
    <row r="726">
      <c r="A726" s="108"/>
      <c r="D726" s="109"/>
      <c r="E726" s="109"/>
      <c r="F726" s="109"/>
    </row>
    <row r="727">
      <c r="A727" s="108"/>
      <c r="D727" s="109"/>
      <c r="E727" s="109"/>
      <c r="F727" s="109"/>
    </row>
    <row r="728">
      <c r="A728" s="108"/>
      <c r="D728" s="109"/>
      <c r="E728" s="109"/>
      <c r="F728" s="109"/>
    </row>
    <row r="729">
      <c r="A729" s="108"/>
      <c r="D729" s="109"/>
      <c r="E729" s="109"/>
      <c r="F729" s="109"/>
    </row>
    <row r="730">
      <c r="A730" s="108"/>
      <c r="D730" s="109"/>
      <c r="E730" s="109"/>
      <c r="F730" s="109"/>
    </row>
    <row r="731">
      <c r="A731" s="108"/>
      <c r="D731" s="109"/>
      <c r="E731" s="109"/>
      <c r="F731" s="109"/>
    </row>
    <row r="732">
      <c r="A732" s="108"/>
      <c r="D732" s="109"/>
      <c r="E732" s="109"/>
      <c r="F732" s="109"/>
    </row>
    <row r="733">
      <c r="A733" s="108"/>
      <c r="D733" s="109"/>
      <c r="E733" s="109"/>
      <c r="F733" s="109"/>
    </row>
    <row r="734">
      <c r="A734" s="108"/>
      <c r="D734" s="109"/>
      <c r="E734" s="109"/>
      <c r="F734" s="109"/>
    </row>
    <row r="735">
      <c r="A735" s="108"/>
      <c r="D735" s="109"/>
      <c r="E735" s="109"/>
      <c r="F735" s="109"/>
    </row>
    <row r="736">
      <c r="A736" s="108"/>
      <c r="D736" s="109"/>
      <c r="E736" s="109"/>
      <c r="F736" s="109"/>
    </row>
    <row r="737">
      <c r="A737" s="108"/>
      <c r="D737" s="109"/>
      <c r="E737" s="109"/>
      <c r="F737" s="109"/>
    </row>
    <row r="738">
      <c r="A738" s="108"/>
      <c r="D738" s="109"/>
      <c r="E738" s="109"/>
      <c r="F738" s="109"/>
    </row>
    <row r="739">
      <c r="A739" s="108"/>
      <c r="D739" s="109"/>
      <c r="E739" s="109"/>
      <c r="F739" s="109"/>
    </row>
    <row r="740">
      <c r="A740" s="108"/>
      <c r="D740" s="109"/>
      <c r="E740" s="109"/>
      <c r="F740" s="109"/>
    </row>
    <row r="741">
      <c r="A741" s="108"/>
      <c r="D741" s="109"/>
      <c r="E741" s="109"/>
      <c r="F741" s="109"/>
    </row>
    <row r="742">
      <c r="A742" s="108"/>
      <c r="D742" s="109"/>
      <c r="E742" s="109"/>
      <c r="F742" s="109"/>
    </row>
    <row r="743">
      <c r="A743" s="108"/>
      <c r="D743" s="109"/>
      <c r="E743" s="109"/>
      <c r="F743" s="109"/>
    </row>
    <row r="744">
      <c r="A744" s="108"/>
      <c r="D744" s="109"/>
      <c r="E744" s="109"/>
      <c r="F744" s="109"/>
    </row>
    <row r="745">
      <c r="A745" s="108"/>
      <c r="D745" s="109"/>
      <c r="E745" s="109"/>
      <c r="F745" s="109"/>
    </row>
    <row r="746">
      <c r="A746" s="108"/>
      <c r="D746" s="109"/>
      <c r="E746" s="109"/>
      <c r="F746" s="109"/>
    </row>
    <row r="747">
      <c r="A747" s="108"/>
      <c r="D747" s="109"/>
      <c r="E747" s="109"/>
      <c r="F747" s="109"/>
    </row>
    <row r="748">
      <c r="A748" s="108"/>
      <c r="D748" s="109"/>
      <c r="E748" s="109"/>
      <c r="F748" s="109"/>
    </row>
    <row r="749">
      <c r="A749" s="108"/>
      <c r="D749" s="109"/>
      <c r="E749" s="109"/>
      <c r="F749" s="109"/>
    </row>
    <row r="750">
      <c r="A750" s="108"/>
      <c r="D750" s="109"/>
      <c r="E750" s="109"/>
      <c r="F750" s="109"/>
    </row>
    <row r="751">
      <c r="A751" s="108"/>
      <c r="D751" s="109"/>
      <c r="E751" s="109"/>
      <c r="F751" s="109"/>
    </row>
    <row r="752">
      <c r="A752" s="108"/>
      <c r="D752" s="109"/>
      <c r="E752" s="109"/>
      <c r="F752" s="109"/>
    </row>
    <row r="753">
      <c r="A753" s="108"/>
      <c r="D753" s="109"/>
      <c r="E753" s="109"/>
      <c r="F753" s="109"/>
    </row>
    <row r="754">
      <c r="A754" s="108"/>
      <c r="D754" s="109"/>
      <c r="E754" s="109"/>
      <c r="F754" s="109"/>
    </row>
    <row r="755">
      <c r="A755" s="108"/>
      <c r="D755" s="109"/>
      <c r="E755" s="109"/>
      <c r="F755" s="109"/>
    </row>
    <row r="756">
      <c r="A756" s="108"/>
      <c r="D756" s="109"/>
      <c r="E756" s="109"/>
      <c r="F756" s="109"/>
    </row>
    <row r="757">
      <c r="A757" s="108"/>
      <c r="D757" s="109"/>
      <c r="E757" s="109"/>
      <c r="F757" s="109"/>
    </row>
    <row r="758">
      <c r="A758" s="108"/>
      <c r="D758" s="109"/>
      <c r="E758" s="109"/>
      <c r="F758" s="109"/>
    </row>
    <row r="759">
      <c r="A759" s="108"/>
      <c r="D759" s="109"/>
      <c r="E759" s="109"/>
      <c r="F759" s="109"/>
    </row>
    <row r="760">
      <c r="A760" s="108"/>
      <c r="D760" s="109"/>
      <c r="E760" s="109"/>
      <c r="F760" s="109"/>
    </row>
    <row r="761">
      <c r="A761" s="108"/>
      <c r="D761" s="109"/>
      <c r="E761" s="109"/>
      <c r="F761" s="109"/>
    </row>
    <row r="762">
      <c r="A762" s="108"/>
      <c r="D762" s="109"/>
      <c r="E762" s="109"/>
      <c r="F762" s="109"/>
    </row>
    <row r="763">
      <c r="A763" s="108"/>
      <c r="D763" s="109"/>
      <c r="E763" s="109"/>
      <c r="F763" s="109"/>
    </row>
    <row r="764">
      <c r="A764" s="108"/>
      <c r="D764" s="109"/>
      <c r="E764" s="109"/>
      <c r="F764" s="109"/>
    </row>
    <row r="765">
      <c r="A765" s="108"/>
      <c r="D765" s="109"/>
      <c r="E765" s="109"/>
      <c r="F765" s="109"/>
    </row>
    <row r="766">
      <c r="A766" s="108"/>
      <c r="D766" s="109"/>
      <c r="E766" s="109"/>
      <c r="F766" s="109"/>
    </row>
    <row r="767">
      <c r="A767" s="108"/>
      <c r="D767" s="109"/>
      <c r="E767" s="109"/>
      <c r="F767" s="109"/>
    </row>
    <row r="768">
      <c r="A768" s="108"/>
      <c r="D768" s="109"/>
      <c r="E768" s="109"/>
      <c r="F768" s="109"/>
    </row>
    <row r="769">
      <c r="A769" s="108"/>
      <c r="D769" s="109"/>
      <c r="E769" s="109"/>
      <c r="F769" s="109"/>
    </row>
    <row r="770">
      <c r="A770" s="108"/>
      <c r="D770" s="109"/>
      <c r="E770" s="109"/>
      <c r="F770" s="109"/>
    </row>
    <row r="771">
      <c r="A771" s="108"/>
      <c r="D771" s="109"/>
      <c r="E771" s="109"/>
      <c r="F771" s="109"/>
    </row>
    <row r="772">
      <c r="A772" s="108"/>
      <c r="D772" s="109"/>
      <c r="E772" s="109"/>
      <c r="F772" s="109"/>
    </row>
    <row r="773">
      <c r="A773" s="108"/>
      <c r="D773" s="109"/>
      <c r="E773" s="109"/>
      <c r="F773" s="109"/>
    </row>
    <row r="774">
      <c r="A774" s="108"/>
      <c r="D774" s="109"/>
      <c r="E774" s="109"/>
      <c r="F774" s="109"/>
    </row>
    <row r="775">
      <c r="A775" s="108"/>
      <c r="D775" s="109"/>
      <c r="E775" s="109"/>
      <c r="F775" s="109"/>
    </row>
    <row r="776">
      <c r="A776" s="108"/>
      <c r="D776" s="109"/>
      <c r="E776" s="109"/>
      <c r="F776" s="109"/>
    </row>
    <row r="777">
      <c r="A777" s="108"/>
      <c r="D777" s="109"/>
      <c r="E777" s="109"/>
      <c r="F777" s="109"/>
    </row>
    <row r="778">
      <c r="A778" s="108"/>
      <c r="D778" s="109"/>
      <c r="E778" s="109"/>
      <c r="F778" s="109"/>
    </row>
    <row r="779">
      <c r="A779" s="108"/>
      <c r="D779" s="109"/>
      <c r="E779" s="109"/>
      <c r="F779" s="109"/>
    </row>
    <row r="780">
      <c r="A780" s="108"/>
      <c r="D780" s="109"/>
      <c r="E780" s="109"/>
      <c r="F780" s="109"/>
    </row>
    <row r="781">
      <c r="A781" s="108"/>
      <c r="D781" s="109"/>
      <c r="E781" s="109"/>
      <c r="F781" s="109"/>
    </row>
    <row r="782">
      <c r="A782" s="108"/>
      <c r="D782" s="109"/>
      <c r="E782" s="109"/>
      <c r="F782" s="109"/>
    </row>
    <row r="783">
      <c r="A783" s="108"/>
      <c r="D783" s="109"/>
      <c r="E783" s="109"/>
      <c r="F783" s="109"/>
    </row>
    <row r="784">
      <c r="A784" s="108"/>
      <c r="D784" s="109"/>
      <c r="E784" s="109"/>
      <c r="F784" s="109"/>
    </row>
    <row r="785">
      <c r="A785" s="108"/>
      <c r="D785" s="109"/>
      <c r="E785" s="109"/>
      <c r="F785" s="109"/>
    </row>
    <row r="786">
      <c r="A786" s="108"/>
      <c r="D786" s="109"/>
      <c r="E786" s="109"/>
      <c r="F786" s="109"/>
    </row>
    <row r="787">
      <c r="A787" s="108"/>
      <c r="D787" s="109"/>
      <c r="E787" s="109"/>
      <c r="F787" s="109"/>
    </row>
    <row r="788">
      <c r="A788" s="108"/>
      <c r="D788" s="109"/>
      <c r="E788" s="109"/>
      <c r="F788" s="109"/>
    </row>
    <row r="789">
      <c r="A789" s="108"/>
      <c r="D789" s="109"/>
      <c r="E789" s="109"/>
      <c r="F789" s="109"/>
    </row>
    <row r="790">
      <c r="A790" s="108"/>
      <c r="D790" s="109"/>
      <c r="E790" s="109"/>
      <c r="F790" s="109"/>
    </row>
    <row r="791">
      <c r="A791" s="108"/>
      <c r="D791" s="109"/>
      <c r="E791" s="109"/>
      <c r="F791" s="109"/>
    </row>
    <row r="792">
      <c r="A792" s="108"/>
      <c r="D792" s="109"/>
      <c r="E792" s="109"/>
      <c r="F792" s="109"/>
    </row>
    <row r="793">
      <c r="A793" s="108"/>
      <c r="D793" s="109"/>
      <c r="E793" s="109"/>
      <c r="F793" s="109"/>
    </row>
    <row r="794">
      <c r="A794" s="108"/>
      <c r="D794" s="109"/>
      <c r="E794" s="109"/>
      <c r="F794" s="109"/>
    </row>
    <row r="795">
      <c r="A795" s="108"/>
      <c r="D795" s="109"/>
      <c r="E795" s="109"/>
      <c r="F795" s="109"/>
    </row>
    <row r="796">
      <c r="A796" s="108"/>
      <c r="D796" s="109"/>
      <c r="E796" s="109"/>
      <c r="F796" s="109"/>
    </row>
    <row r="797">
      <c r="A797" s="108"/>
      <c r="D797" s="109"/>
      <c r="E797" s="109"/>
      <c r="F797" s="109"/>
    </row>
    <row r="798">
      <c r="A798" s="108"/>
      <c r="D798" s="109"/>
      <c r="E798" s="109"/>
      <c r="F798" s="109"/>
    </row>
    <row r="799">
      <c r="A799" s="108"/>
      <c r="D799" s="109"/>
      <c r="E799" s="109"/>
      <c r="F799" s="109"/>
    </row>
    <row r="800">
      <c r="A800" s="108"/>
      <c r="D800" s="109"/>
      <c r="E800" s="109"/>
      <c r="F800" s="109"/>
    </row>
    <row r="801">
      <c r="A801" s="108"/>
      <c r="D801" s="109"/>
      <c r="E801" s="109"/>
      <c r="F801" s="109"/>
    </row>
    <row r="802">
      <c r="A802" s="108"/>
      <c r="D802" s="109"/>
      <c r="E802" s="109"/>
      <c r="F802" s="109"/>
    </row>
    <row r="803">
      <c r="A803" s="108"/>
      <c r="D803" s="109"/>
      <c r="E803" s="109"/>
      <c r="F803" s="109"/>
    </row>
    <row r="804">
      <c r="A804" s="108"/>
      <c r="D804" s="109"/>
      <c r="E804" s="109"/>
      <c r="F804" s="109"/>
    </row>
    <row r="805">
      <c r="A805" s="108"/>
      <c r="D805" s="109"/>
      <c r="E805" s="109"/>
      <c r="F805" s="109"/>
    </row>
    <row r="806">
      <c r="A806" s="108"/>
      <c r="D806" s="109"/>
      <c r="E806" s="109"/>
      <c r="F806" s="109"/>
    </row>
    <row r="807">
      <c r="A807" s="108"/>
      <c r="D807" s="109"/>
      <c r="E807" s="109"/>
      <c r="F807" s="109"/>
    </row>
    <row r="808">
      <c r="A808" s="108"/>
      <c r="D808" s="109"/>
      <c r="E808" s="109"/>
      <c r="F808" s="109"/>
    </row>
    <row r="809">
      <c r="A809" s="108"/>
      <c r="D809" s="109"/>
      <c r="E809" s="109"/>
      <c r="F809" s="109"/>
    </row>
    <row r="810">
      <c r="A810" s="108"/>
      <c r="D810" s="109"/>
      <c r="E810" s="109"/>
      <c r="F810" s="109"/>
    </row>
    <row r="811">
      <c r="A811" s="108"/>
      <c r="D811" s="109"/>
      <c r="E811" s="109"/>
      <c r="F811" s="109"/>
    </row>
    <row r="812">
      <c r="A812" s="108"/>
      <c r="D812" s="109"/>
      <c r="E812" s="109"/>
      <c r="F812" s="109"/>
    </row>
    <row r="813">
      <c r="A813" s="108"/>
      <c r="D813" s="109"/>
      <c r="E813" s="109"/>
      <c r="F813" s="109"/>
    </row>
    <row r="814">
      <c r="A814" s="108"/>
      <c r="D814" s="109"/>
      <c r="E814" s="109"/>
      <c r="F814" s="109"/>
    </row>
    <row r="815">
      <c r="A815" s="108"/>
      <c r="D815" s="109"/>
      <c r="E815" s="109"/>
      <c r="F815" s="109"/>
    </row>
    <row r="816">
      <c r="A816" s="108"/>
      <c r="D816" s="109"/>
      <c r="E816" s="109"/>
      <c r="F816" s="109"/>
    </row>
    <row r="817">
      <c r="A817" s="108"/>
      <c r="D817" s="109"/>
      <c r="E817" s="109"/>
      <c r="F817" s="109"/>
    </row>
    <row r="818">
      <c r="A818" s="108"/>
      <c r="D818" s="109"/>
      <c r="E818" s="109"/>
      <c r="F818" s="109"/>
    </row>
    <row r="819">
      <c r="A819" s="108"/>
      <c r="D819" s="109"/>
      <c r="E819" s="109"/>
      <c r="F819" s="109"/>
    </row>
    <row r="820">
      <c r="A820" s="108"/>
      <c r="D820" s="109"/>
      <c r="E820" s="109"/>
      <c r="F820" s="109"/>
    </row>
    <row r="821">
      <c r="A821" s="108"/>
      <c r="D821" s="109"/>
      <c r="E821" s="109"/>
      <c r="F821" s="109"/>
    </row>
    <row r="822">
      <c r="A822" s="108"/>
      <c r="D822" s="109"/>
      <c r="E822" s="109"/>
      <c r="F822" s="109"/>
    </row>
    <row r="823">
      <c r="A823" s="108"/>
      <c r="D823" s="109"/>
      <c r="E823" s="109"/>
      <c r="F823" s="109"/>
    </row>
    <row r="824">
      <c r="A824" s="108"/>
      <c r="D824" s="109"/>
      <c r="E824" s="109"/>
      <c r="F824" s="109"/>
    </row>
    <row r="825">
      <c r="A825" s="108"/>
      <c r="D825" s="109"/>
      <c r="E825" s="109"/>
      <c r="F825" s="109"/>
    </row>
    <row r="826">
      <c r="A826" s="108"/>
      <c r="D826" s="109"/>
      <c r="E826" s="109"/>
      <c r="F826" s="109"/>
    </row>
    <row r="827">
      <c r="A827" s="108"/>
      <c r="D827" s="109"/>
      <c r="E827" s="109"/>
      <c r="F827" s="109"/>
    </row>
    <row r="828">
      <c r="A828" s="108"/>
      <c r="D828" s="109"/>
      <c r="E828" s="109"/>
      <c r="F828" s="109"/>
    </row>
    <row r="829">
      <c r="A829" s="108"/>
      <c r="D829" s="109"/>
      <c r="E829" s="109"/>
      <c r="F829" s="109"/>
    </row>
    <row r="830">
      <c r="A830" s="108"/>
      <c r="D830" s="109"/>
      <c r="E830" s="109"/>
      <c r="F830" s="109"/>
    </row>
    <row r="831">
      <c r="A831" s="108"/>
      <c r="D831" s="109"/>
      <c r="E831" s="109"/>
      <c r="F831" s="109"/>
    </row>
    <row r="832">
      <c r="A832" s="108"/>
      <c r="D832" s="109"/>
      <c r="E832" s="109"/>
      <c r="F832" s="109"/>
    </row>
    <row r="833">
      <c r="A833" s="108"/>
      <c r="D833" s="109"/>
      <c r="E833" s="109"/>
      <c r="F833" s="109"/>
    </row>
    <row r="834">
      <c r="A834" s="108"/>
      <c r="D834" s="109"/>
      <c r="E834" s="109"/>
      <c r="F834" s="109"/>
    </row>
    <row r="835">
      <c r="A835" s="108"/>
      <c r="D835" s="109"/>
      <c r="E835" s="109"/>
      <c r="F835" s="109"/>
    </row>
    <row r="836">
      <c r="A836" s="108"/>
      <c r="D836" s="109"/>
      <c r="E836" s="109"/>
      <c r="F836" s="109"/>
    </row>
    <row r="837">
      <c r="A837" s="108"/>
      <c r="D837" s="109"/>
      <c r="E837" s="109"/>
      <c r="F837" s="109"/>
    </row>
    <row r="838">
      <c r="A838" s="108"/>
      <c r="D838" s="109"/>
      <c r="E838" s="109"/>
      <c r="F838" s="109"/>
    </row>
    <row r="839">
      <c r="A839" s="108"/>
      <c r="D839" s="109"/>
      <c r="E839" s="109"/>
      <c r="F839" s="109"/>
    </row>
    <row r="840">
      <c r="A840" s="108"/>
      <c r="D840" s="109"/>
      <c r="E840" s="109"/>
      <c r="F840" s="109"/>
    </row>
    <row r="841">
      <c r="A841" s="108"/>
      <c r="D841" s="109"/>
      <c r="E841" s="109"/>
      <c r="F841" s="109"/>
    </row>
    <row r="842">
      <c r="A842" s="108"/>
      <c r="D842" s="109"/>
      <c r="E842" s="109"/>
      <c r="F842" s="109"/>
    </row>
    <row r="843">
      <c r="A843" s="108"/>
      <c r="D843" s="109"/>
      <c r="E843" s="109"/>
      <c r="F843" s="109"/>
    </row>
    <row r="844">
      <c r="A844" s="108"/>
      <c r="D844" s="109"/>
      <c r="E844" s="109"/>
      <c r="F844" s="109"/>
    </row>
    <row r="845">
      <c r="A845" s="108"/>
      <c r="D845" s="109"/>
      <c r="E845" s="109"/>
      <c r="F845" s="109"/>
    </row>
    <row r="846">
      <c r="A846" s="108"/>
      <c r="D846" s="109"/>
      <c r="E846" s="109"/>
      <c r="F846" s="109"/>
    </row>
    <row r="847">
      <c r="A847" s="108"/>
      <c r="D847" s="109"/>
      <c r="E847" s="109"/>
      <c r="F847" s="109"/>
    </row>
    <row r="848">
      <c r="A848" s="108"/>
      <c r="D848" s="109"/>
      <c r="E848" s="109"/>
      <c r="F848" s="109"/>
    </row>
    <row r="849">
      <c r="A849" s="108"/>
      <c r="D849" s="109"/>
      <c r="E849" s="109"/>
      <c r="F849" s="109"/>
    </row>
    <row r="850">
      <c r="A850" s="108"/>
      <c r="D850" s="109"/>
      <c r="E850" s="109"/>
      <c r="F850" s="109"/>
    </row>
    <row r="851">
      <c r="A851" s="108"/>
      <c r="D851" s="109"/>
      <c r="E851" s="109"/>
      <c r="F851" s="109"/>
    </row>
    <row r="852">
      <c r="A852" s="108"/>
      <c r="D852" s="109"/>
      <c r="E852" s="109"/>
      <c r="F852" s="109"/>
    </row>
    <row r="853">
      <c r="A853" s="108"/>
      <c r="D853" s="109"/>
      <c r="E853" s="109"/>
      <c r="F853" s="109"/>
    </row>
    <row r="854">
      <c r="A854" s="108"/>
      <c r="D854" s="109"/>
      <c r="E854" s="109"/>
      <c r="F854" s="109"/>
    </row>
    <row r="855">
      <c r="A855" s="108"/>
      <c r="D855" s="109"/>
      <c r="E855" s="109"/>
      <c r="F855" s="109"/>
    </row>
    <row r="856">
      <c r="A856" s="108"/>
      <c r="D856" s="109"/>
      <c r="E856" s="109"/>
      <c r="F856" s="109"/>
    </row>
    <row r="857">
      <c r="A857" s="108"/>
      <c r="D857" s="109"/>
      <c r="E857" s="109"/>
      <c r="F857" s="109"/>
    </row>
    <row r="858">
      <c r="A858" s="108"/>
      <c r="D858" s="109"/>
      <c r="E858" s="109"/>
      <c r="F858" s="109"/>
    </row>
    <row r="859">
      <c r="A859" s="108"/>
      <c r="D859" s="109"/>
      <c r="E859" s="109"/>
      <c r="F859" s="109"/>
    </row>
    <row r="860">
      <c r="A860" s="108"/>
      <c r="D860" s="109"/>
      <c r="E860" s="109"/>
      <c r="F860" s="109"/>
    </row>
    <row r="861">
      <c r="A861" s="108"/>
      <c r="D861" s="109"/>
      <c r="E861" s="109"/>
      <c r="F861" s="109"/>
    </row>
    <row r="862">
      <c r="A862" s="108"/>
      <c r="D862" s="109"/>
      <c r="E862" s="109"/>
      <c r="F862" s="109"/>
    </row>
    <row r="863">
      <c r="A863" s="108"/>
      <c r="D863" s="109"/>
      <c r="E863" s="109"/>
      <c r="F863" s="109"/>
    </row>
    <row r="864">
      <c r="A864" s="108"/>
      <c r="D864" s="109"/>
      <c r="E864" s="109"/>
      <c r="F864" s="109"/>
    </row>
    <row r="865">
      <c r="A865" s="108"/>
      <c r="D865" s="109"/>
      <c r="E865" s="109"/>
      <c r="F865" s="109"/>
    </row>
    <row r="866">
      <c r="A866" s="108"/>
      <c r="D866" s="109"/>
      <c r="E866" s="109"/>
      <c r="F866" s="109"/>
    </row>
    <row r="867">
      <c r="A867" s="108"/>
      <c r="D867" s="109"/>
      <c r="E867" s="109"/>
      <c r="F867" s="109"/>
    </row>
    <row r="868">
      <c r="A868" s="108"/>
      <c r="D868" s="109"/>
      <c r="E868" s="109"/>
      <c r="F868" s="109"/>
    </row>
    <row r="869">
      <c r="A869" s="108"/>
      <c r="D869" s="109"/>
      <c r="E869" s="109"/>
      <c r="F869" s="109"/>
    </row>
    <row r="870">
      <c r="A870" s="108"/>
      <c r="D870" s="109"/>
      <c r="E870" s="109"/>
      <c r="F870" s="109"/>
    </row>
    <row r="871">
      <c r="A871" s="108"/>
      <c r="D871" s="109"/>
      <c r="E871" s="109"/>
      <c r="F871" s="109"/>
    </row>
    <row r="872">
      <c r="A872" s="108"/>
      <c r="D872" s="109"/>
      <c r="E872" s="109"/>
      <c r="F872" s="109"/>
    </row>
    <row r="873">
      <c r="A873" s="108"/>
      <c r="D873" s="109"/>
      <c r="E873" s="109"/>
      <c r="F873" s="109"/>
    </row>
    <row r="874">
      <c r="A874" s="108"/>
      <c r="D874" s="109"/>
      <c r="E874" s="109"/>
      <c r="F874" s="109"/>
    </row>
    <row r="875">
      <c r="A875" s="108"/>
      <c r="D875" s="109"/>
      <c r="E875" s="109"/>
      <c r="F875" s="109"/>
    </row>
    <row r="876">
      <c r="A876" s="108"/>
      <c r="D876" s="109"/>
      <c r="E876" s="109"/>
      <c r="F876" s="109"/>
    </row>
    <row r="877">
      <c r="A877" s="108"/>
      <c r="D877" s="109"/>
      <c r="E877" s="109"/>
      <c r="F877" s="109"/>
    </row>
    <row r="878">
      <c r="A878" s="108"/>
      <c r="D878" s="109"/>
      <c r="E878" s="109"/>
      <c r="F878" s="109"/>
    </row>
    <row r="879">
      <c r="A879" s="108"/>
      <c r="D879" s="109"/>
      <c r="E879" s="109"/>
      <c r="F879" s="109"/>
    </row>
    <row r="880">
      <c r="A880" s="108"/>
      <c r="D880" s="109"/>
      <c r="E880" s="109"/>
      <c r="F880" s="109"/>
    </row>
    <row r="881">
      <c r="A881" s="108"/>
      <c r="D881" s="109"/>
      <c r="E881" s="109"/>
      <c r="F881" s="109"/>
    </row>
    <row r="882">
      <c r="A882" s="108"/>
      <c r="D882" s="109"/>
      <c r="E882" s="109"/>
      <c r="F882" s="109"/>
    </row>
    <row r="883">
      <c r="A883" s="108"/>
      <c r="D883" s="109"/>
      <c r="E883" s="109"/>
      <c r="F883" s="109"/>
    </row>
    <row r="884">
      <c r="A884" s="108"/>
      <c r="D884" s="109"/>
      <c r="E884" s="109"/>
      <c r="F884" s="109"/>
    </row>
    <row r="885">
      <c r="A885" s="108"/>
      <c r="D885" s="109"/>
      <c r="E885" s="109"/>
      <c r="F885" s="109"/>
    </row>
    <row r="886">
      <c r="A886" s="108"/>
      <c r="D886" s="109"/>
      <c r="E886" s="109"/>
      <c r="F886" s="109"/>
    </row>
    <row r="887">
      <c r="A887" s="108"/>
      <c r="D887" s="109"/>
      <c r="E887" s="109"/>
      <c r="F887" s="109"/>
    </row>
    <row r="888">
      <c r="A888" s="108"/>
      <c r="D888" s="109"/>
      <c r="E888" s="109"/>
      <c r="F888" s="109"/>
    </row>
    <row r="889">
      <c r="A889" s="108"/>
      <c r="D889" s="109"/>
      <c r="E889" s="109"/>
      <c r="F889" s="109"/>
    </row>
    <row r="890">
      <c r="A890" s="108"/>
      <c r="D890" s="109"/>
      <c r="E890" s="109"/>
      <c r="F890" s="109"/>
    </row>
    <row r="891">
      <c r="A891" s="108"/>
      <c r="D891" s="109"/>
      <c r="E891" s="109"/>
      <c r="F891" s="109"/>
    </row>
    <row r="892">
      <c r="A892" s="108"/>
      <c r="D892" s="109"/>
      <c r="E892" s="109"/>
      <c r="F892" s="109"/>
    </row>
    <row r="893">
      <c r="A893" s="108"/>
      <c r="D893" s="109"/>
      <c r="E893" s="109"/>
      <c r="F893" s="109"/>
    </row>
    <row r="894">
      <c r="A894" s="108"/>
      <c r="D894" s="109"/>
      <c r="E894" s="109"/>
      <c r="F894" s="109"/>
    </row>
    <row r="895">
      <c r="A895" s="108"/>
      <c r="D895" s="109"/>
      <c r="E895" s="109"/>
      <c r="F895" s="109"/>
    </row>
    <row r="896">
      <c r="A896" s="108"/>
      <c r="D896" s="109"/>
      <c r="E896" s="109"/>
      <c r="F896" s="109"/>
    </row>
    <row r="897">
      <c r="A897" s="108"/>
      <c r="D897" s="109"/>
      <c r="E897" s="109"/>
      <c r="F897" s="109"/>
    </row>
    <row r="898">
      <c r="A898" s="108"/>
      <c r="D898" s="109"/>
      <c r="E898" s="109"/>
      <c r="F898" s="109"/>
    </row>
    <row r="899">
      <c r="A899" s="108"/>
      <c r="D899" s="109"/>
      <c r="E899" s="109"/>
      <c r="F899" s="109"/>
    </row>
    <row r="900">
      <c r="A900" s="108"/>
      <c r="D900" s="109"/>
      <c r="E900" s="109"/>
      <c r="F900" s="109"/>
    </row>
    <row r="901">
      <c r="A901" s="108"/>
      <c r="D901" s="109"/>
      <c r="E901" s="109"/>
      <c r="F901" s="109"/>
    </row>
    <row r="902">
      <c r="A902" s="108"/>
      <c r="D902" s="109"/>
      <c r="E902" s="109"/>
      <c r="F902" s="109"/>
    </row>
    <row r="903">
      <c r="A903" s="108"/>
      <c r="D903" s="109"/>
      <c r="E903" s="109"/>
      <c r="F903" s="109"/>
    </row>
    <row r="904">
      <c r="A904" s="108"/>
      <c r="D904" s="109"/>
      <c r="E904" s="109"/>
      <c r="F904" s="109"/>
    </row>
    <row r="905">
      <c r="A905" s="108"/>
      <c r="D905" s="109"/>
      <c r="E905" s="109"/>
      <c r="F905" s="109"/>
    </row>
    <row r="906">
      <c r="A906" s="108"/>
      <c r="D906" s="109"/>
      <c r="E906" s="109"/>
      <c r="F906" s="109"/>
    </row>
    <row r="907">
      <c r="A907" s="108"/>
      <c r="D907" s="109"/>
      <c r="E907" s="109"/>
      <c r="F907" s="109"/>
    </row>
    <row r="908">
      <c r="A908" s="108"/>
      <c r="D908" s="109"/>
      <c r="E908" s="109"/>
      <c r="F908" s="109"/>
    </row>
    <row r="909">
      <c r="A909" s="108"/>
      <c r="D909" s="109"/>
      <c r="E909" s="109"/>
      <c r="F909" s="109"/>
    </row>
    <row r="910">
      <c r="A910" s="108"/>
      <c r="D910" s="109"/>
      <c r="E910" s="109"/>
      <c r="F910" s="109"/>
    </row>
    <row r="911">
      <c r="A911" s="108"/>
      <c r="D911" s="109"/>
      <c r="E911" s="109"/>
      <c r="F911" s="109"/>
    </row>
    <row r="912">
      <c r="A912" s="108"/>
      <c r="D912" s="109"/>
      <c r="E912" s="109"/>
      <c r="F912" s="109"/>
    </row>
    <row r="913">
      <c r="A913" s="108"/>
      <c r="D913" s="109"/>
      <c r="E913" s="109"/>
      <c r="F913" s="109"/>
    </row>
    <row r="914">
      <c r="A914" s="108"/>
      <c r="D914" s="109"/>
      <c r="E914" s="109"/>
      <c r="F914" s="109"/>
    </row>
    <row r="915">
      <c r="A915" s="108"/>
      <c r="D915" s="109"/>
      <c r="E915" s="109"/>
      <c r="F915" s="109"/>
    </row>
    <row r="916">
      <c r="A916" s="108"/>
      <c r="D916" s="109"/>
      <c r="E916" s="109"/>
      <c r="F916" s="109"/>
    </row>
    <row r="917">
      <c r="A917" s="108"/>
      <c r="D917" s="109"/>
      <c r="E917" s="109"/>
      <c r="F917" s="109"/>
    </row>
    <row r="918">
      <c r="A918" s="108"/>
      <c r="D918" s="109"/>
      <c r="E918" s="109"/>
      <c r="F918" s="109"/>
    </row>
    <row r="919">
      <c r="A919" s="108"/>
      <c r="D919" s="109"/>
      <c r="E919" s="109"/>
      <c r="F919" s="109"/>
    </row>
    <row r="920">
      <c r="A920" s="108"/>
      <c r="D920" s="109"/>
      <c r="E920" s="109"/>
      <c r="F920" s="109"/>
    </row>
    <row r="921">
      <c r="A921" s="108"/>
      <c r="D921" s="109"/>
      <c r="E921" s="109"/>
      <c r="F921" s="109"/>
    </row>
    <row r="922">
      <c r="A922" s="108"/>
      <c r="D922" s="109"/>
      <c r="E922" s="109"/>
      <c r="F922" s="109"/>
    </row>
    <row r="923">
      <c r="A923" s="108"/>
      <c r="D923" s="109"/>
      <c r="E923" s="109"/>
      <c r="F923" s="109"/>
    </row>
    <row r="924">
      <c r="A924" s="108"/>
      <c r="D924" s="109"/>
      <c r="E924" s="109"/>
      <c r="F924" s="109"/>
    </row>
    <row r="925">
      <c r="A925" s="108"/>
      <c r="D925" s="109"/>
      <c r="E925" s="109"/>
      <c r="F925" s="109"/>
    </row>
    <row r="926">
      <c r="A926" s="108"/>
      <c r="D926" s="109"/>
      <c r="E926" s="109"/>
      <c r="F926" s="109"/>
    </row>
    <row r="927">
      <c r="A927" s="108"/>
      <c r="D927" s="109"/>
      <c r="E927" s="109"/>
      <c r="F927" s="109"/>
    </row>
    <row r="928">
      <c r="A928" s="108"/>
      <c r="D928" s="109"/>
      <c r="E928" s="109"/>
      <c r="F928" s="109"/>
    </row>
    <row r="929">
      <c r="A929" s="108"/>
      <c r="D929" s="109"/>
      <c r="E929" s="109"/>
      <c r="F929" s="109"/>
    </row>
    <row r="930">
      <c r="A930" s="108"/>
      <c r="D930" s="109"/>
      <c r="E930" s="109"/>
      <c r="F930" s="109"/>
    </row>
    <row r="931">
      <c r="A931" s="108"/>
      <c r="D931" s="109"/>
      <c r="E931" s="109"/>
      <c r="F931" s="109"/>
    </row>
    <row r="932">
      <c r="A932" s="108"/>
      <c r="D932" s="109"/>
      <c r="E932" s="109"/>
      <c r="F932" s="109"/>
    </row>
    <row r="933">
      <c r="A933" s="108"/>
      <c r="D933" s="109"/>
      <c r="E933" s="109"/>
      <c r="F933" s="109"/>
    </row>
    <row r="934">
      <c r="A934" s="108"/>
      <c r="D934" s="109"/>
      <c r="E934" s="109"/>
      <c r="F934" s="109"/>
    </row>
    <row r="935">
      <c r="A935" s="108"/>
      <c r="D935" s="109"/>
      <c r="E935" s="109"/>
      <c r="F935" s="109"/>
    </row>
    <row r="936">
      <c r="A936" s="108"/>
      <c r="D936" s="109"/>
      <c r="E936" s="109"/>
      <c r="F936" s="109"/>
    </row>
    <row r="937">
      <c r="A937" s="108"/>
      <c r="D937" s="109"/>
      <c r="E937" s="109"/>
      <c r="F937" s="109"/>
    </row>
    <row r="938">
      <c r="A938" s="108"/>
      <c r="D938" s="109"/>
      <c r="E938" s="109"/>
      <c r="F938" s="109"/>
    </row>
    <row r="939">
      <c r="A939" s="108"/>
      <c r="D939" s="109"/>
      <c r="E939" s="109"/>
      <c r="F939" s="109"/>
    </row>
    <row r="940">
      <c r="A940" s="108"/>
      <c r="D940" s="109"/>
      <c r="E940" s="109"/>
      <c r="F940" s="109"/>
    </row>
    <row r="941">
      <c r="A941" s="108"/>
      <c r="D941" s="109"/>
      <c r="E941" s="109"/>
      <c r="F941" s="109"/>
    </row>
    <row r="942">
      <c r="A942" s="108"/>
      <c r="D942" s="109"/>
      <c r="E942" s="109"/>
      <c r="F942" s="109"/>
    </row>
    <row r="943">
      <c r="A943" s="108"/>
      <c r="D943" s="109"/>
      <c r="E943" s="109"/>
      <c r="F943" s="109"/>
    </row>
    <row r="944">
      <c r="A944" s="108"/>
      <c r="D944" s="109"/>
      <c r="E944" s="109"/>
      <c r="F944" s="109"/>
    </row>
    <row r="945">
      <c r="A945" s="108"/>
      <c r="D945" s="109"/>
      <c r="E945" s="109"/>
      <c r="F945" s="109"/>
    </row>
    <row r="946">
      <c r="A946" s="108"/>
      <c r="D946" s="109"/>
      <c r="E946" s="109"/>
      <c r="F946" s="109"/>
    </row>
    <row r="947">
      <c r="A947" s="108"/>
      <c r="D947" s="109"/>
      <c r="E947" s="109"/>
      <c r="F947" s="109"/>
    </row>
    <row r="948">
      <c r="A948" s="108"/>
      <c r="D948" s="109"/>
      <c r="E948" s="109"/>
      <c r="F948" s="109"/>
    </row>
    <row r="949">
      <c r="A949" s="108"/>
      <c r="D949" s="109"/>
      <c r="E949" s="109"/>
      <c r="F949" s="109"/>
    </row>
    <row r="950">
      <c r="A950" s="108"/>
      <c r="D950" s="109"/>
      <c r="E950" s="109"/>
      <c r="F950" s="109"/>
    </row>
    <row r="951">
      <c r="A951" s="108"/>
      <c r="D951" s="109"/>
      <c r="E951" s="109"/>
      <c r="F951" s="109"/>
    </row>
    <row r="952">
      <c r="A952" s="108"/>
      <c r="D952" s="109"/>
      <c r="E952" s="109"/>
      <c r="F952" s="109"/>
    </row>
    <row r="953">
      <c r="A953" s="108"/>
      <c r="D953" s="109"/>
      <c r="E953" s="109"/>
      <c r="F953" s="109"/>
    </row>
    <row r="954">
      <c r="A954" s="108"/>
      <c r="D954" s="109"/>
      <c r="E954" s="109"/>
      <c r="F954" s="109"/>
    </row>
    <row r="955">
      <c r="A955" s="108"/>
      <c r="D955" s="109"/>
      <c r="E955" s="109"/>
      <c r="F955" s="109"/>
    </row>
    <row r="956">
      <c r="A956" s="108"/>
      <c r="D956" s="109"/>
      <c r="E956" s="109"/>
      <c r="F956" s="109"/>
    </row>
    <row r="957">
      <c r="A957" s="108"/>
      <c r="D957" s="109"/>
      <c r="E957" s="109"/>
      <c r="F957" s="109"/>
    </row>
    <row r="958">
      <c r="A958" s="108"/>
      <c r="D958" s="109"/>
      <c r="E958" s="109"/>
      <c r="F958" s="109"/>
    </row>
    <row r="959">
      <c r="A959" s="108"/>
      <c r="D959" s="109"/>
      <c r="E959" s="109"/>
      <c r="F959" s="109"/>
    </row>
    <row r="960">
      <c r="A960" s="108"/>
      <c r="D960" s="109"/>
      <c r="E960" s="109"/>
      <c r="F960" s="109"/>
    </row>
    <row r="961">
      <c r="A961" s="108"/>
      <c r="D961" s="109"/>
      <c r="E961" s="109"/>
      <c r="F961" s="109"/>
    </row>
    <row r="962">
      <c r="A962" s="108"/>
      <c r="D962" s="109"/>
      <c r="E962" s="109"/>
      <c r="F962" s="109"/>
    </row>
    <row r="963">
      <c r="A963" s="108"/>
      <c r="D963" s="109"/>
      <c r="E963" s="109"/>
      <c r="F963" s="109"/>
    </row>
    <row r="964">
      <c r="A964" s="108"/>
      <c r="D964" s="109"/>
      <c r="E964" s="109"/>
      <c r="F964" s="109"/>
    </row>
    <row r="965">
      <c r="A965" s="108"/>
      <c r="D965" s="109"/>
      <c r="E965" s="109"/>
      <c r="F965" s="109"/>
    </row>
    <row r="966">
      <c r="A966" s="108"/>
      <c r="D966" s="109"/>
      <c r="E966" s="109"/>
      <c r="F966" s="109"/>
    </row>
    <row r="967">
      <c r="A967" s="108"/>
      <c r="D967" s="109"/>
      <c r="E967" s="109"/>
      <c r="F967" s="109"/>
    </row>
    <row r="968">
      <c r="A968" s="108"/>
      <c r="D968" s="109"/>
      <c r="E968" s="109"/>
      <c r="F968" s="109"/>
    </row>
    <row r="969">
      <c r="A969" s="108"/>
      <c r="D969" s="109"/>
      <c r="E969" s="109"/>
      <c r="F969" s="109"/>
    </row>
    <row r="970">
      <c r="A970" s="108"/>
      <c r="D970" s="109"/>
      <c r="E970" s="109"/>
      <c r="F970" s="109"/>
    </row>
    <row r="971">
      <c r="A971" s="108"/>
      <c r="D971" s="109"/>
      <c r="E971" s="109"/>
      <c r="F971" s="109"/>
    </row>
    <row r="972">
      <c r="A972" s="108"/>
      <c r="D972" s="109"/>
      <c r="E972" s="109"/>
      <c r="F972" s="109"/>
    </row>
    <row r="973">
      <c r="A973" s="108"/>
      <c r="D973" s="109"/>
      <c r="E973" s="109"/>
      <c r="F973" s="109"/>
    </row>
    <row r="974">
      <c r="A974" s="108"/>
      <c r="D974" s="109"/>
      <c r="E974" s="109"/>
      <c r="F974" s="109"/>
    </row>
    <row r="975">
      <c r="A975" s="108"/>
      <c r="D975" s="109"/>
      <c r="E975" s="109"/>
      <c r="F975" s="109"/>
    </row>
    <row r="976">
      <c r="A976" s="108"/>
      <c r="D976" s="109"/>
      <c r="E976" s="109"/>
      <c r="F976" s="109"/>
    </row>
    <row r="977">
      <c r="A977" s="108"/>
      <c r="D977" s="109"/>
      <c r="E977" s="109"/>
      <c r="F977" s="109"/>
    </row>
    <row r="978">
      <c r="A978" s="108"/>
      <c r="D978" s="109"/>
      <c r="E978" s="109"/>
      <c r="F978" s="109"/>
    </row>
    <row r="979">
      <c r="A979" s="108"/>
      <c r="D979" s="109"/>
      <c r="E979" s="109"/>
      <c r="F979" s="109"/>
    </row>
    <row r="980">
      <c r="A980" s="108"/>
      <c r="D980" s="109"/>
      <c r="E980" s="109"/>
      <c r="F980" s="109"/>
    </row>
    <row r="981">
      <c r="A981" s="108"/>
      <c r="D981" s="109"/>
      <c r="E981" s="109"/>
      <c r="F981" s="109"/>
    </row>
    <row r="982">
      <c r="A982" s="108"/>
      <c r="D982" s="109"/>
      <c r="E982" s="109"/>
      <c r="F982" s="109"/>
    </row>
    <row r="983">
      <c r="A983" s="108"/>
      <c r="D983" s="109"/>
      <c r="E983" s="109"/>
      <c r="F983" s="109"/>
    </row>
    <row r="984">
      <c r="A984" s="108"/>
      <c r="D984" s="109"/>
      <c r="E984" s="109"/>
      <c r="F984" s="109"/>
    </row>
    <row r="985">
      <c r="A985" s="108"/>
      <c r="D985" s="109"/>
      <c r="E985" s="109"/>
      <c r="F985" s="109"/>
    </row>
    <row r="986">
      <c r="A986" s="108"/>
      <c r="D986" s="109"/>
      <c r="E986" s="109"/>
      <c r="F986" s="109"/>
    </row>
    <row r="987">
      <c r="A987" s="108"/>
      <c r="D987" s="109"/>
      <c r="E987" s="109"/>
      <c r="F987" s="109"/>
    </row>
    <row r="988">
      <c r="A988" s="108"/>
      <c r="D988" s="109"/>
      <c r="E988" s="109"/>
      <c r="F988" s="109"/>
    </row>
    <row r="989">
      <c r="A989" s="108"/>
      <c r="D989" s="109"/>
      <c r="E989" s="109"/>
      <c r="F989" s="109"/>
    </row>
    <row r="990">
      <c r="A990" s="108"/>
      <c r="D990" s="109"/>
      <c r="E990" s="109"/>
      <c r="F990" s="109"/>
    </row>
    <row r="991">
      <c r="A991" s="108"/>
      <c r="D991" s="109"/>
      <c r="E991" s="109"/>
      <c r="F991" s="109"/>
    </row>
    <row r="992">
      <c r="A992" s="108"/>
      <c r="D992" s="109"/>
      <c r="E992" s="109"/>
      <c r="F992" s="109"/>
    </row>
    <row r="993">
      <c r="A993" s="108"/>
      <c r="D993" s="109"/>
      <c r="E993" s="109"/>
      <c r="F993" s="109"/>
    </row>
    <row r="994">
      <c r="A994" s="108"/>
      <c r="D994" s="109"/>
      <c r="E994" s="109"/>
      <c r="F994" s="109"/>
    </row>
    <row r="995">
      <c r="A995" s="108"/>
      <c r="D995" s="109"/>
      <c r="E995" s="109"/>
      <c r="F995" s="109"/>
    </row>
    <row r="996">
      <c r="A996" s="108"/>
      <c r="D996" s="109"/>
      <c r="E996" s="109"/>
      <c r="F996" s="109"/>
    </row>
    <row r="997">
      <c r="A997" s="108"/>
      <c r="D997" s="109"/>
      <c r="E997" s="109"/>
      <c r="F997" s="109"/>
    </row>
    <row r="998">
      <c r="A998" s="108"/>
      <c r="D998" s="109"/>
      <c r="E998" s="109"/>
      <c r="F998" s="109"/>
    </row>
    <row r="999">
      <c r="A999" s="108"/>
      <c r="D999" s="109"/>
      <c r="E999" s="109"/>
      <c r="F999" s="109"/>
    </row>
    <row r="1000">
      <c r="A1000" s="108"/>
      <c r="D1000" s="109"/>
      <c r="E1000" s="109"/>
      <c r="F1000" s="109"/>
    </row>
    <row r="1001">
      <c r="A1001" s="108"/>
      <c r="D1001" s="109"/>
      <c r="E1001" s="109"/>
      <c r="F1001" s="109"/>
    </row>
    <row r="1002">
      <c r="A1002" s="108"/>
      <c r="D1002" s="109"/>
      <c r="E1002" s="109"/>
      <c r="F1002" s="10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6.0"/>
    <col customWidth="1" min="5" max="5" width="29.57"/>
  </cols>
  <sheetData>
    <row r="1">
      <c r="A1" s="6" t="s">
        <v>2543</v>
      </c>
      <c r="D1" s="6" t="s">
        <v>2581</v>
      </c>
    </row>
    <row r="2">
      <c r="A2" s="6" t="s">
        <v>2545</v>
      </c>
      <c r="D2" s="6" t="s">
        <v>2584</v>
      </c>
    </row>
    <row r="3">
      <c r="A3" s="6" t="s">
        <v>2548</v>
      </c>
      <c r="D3" s="6" t="s">
        <v>2561</v>
      </c>
    </row>
    <row r="4">
      <c r="A4" s="6" t="s">
        <v>2551</v>
      </c>
      <c r="D4" s="6" t="s">
        <v>2564</v>
      </c>
    </row>
    <row r="5">
      <c r="A5" s="6" t="s">
        <v>2554</v>
      </c>
      <c r="D5" s="6" t="s">
        <v>2587</v>
      </c>
    </row>
    <row r="6">
      <c r="A6" s="6" t="s">
        <v>2556</v>
      </c>
      <c r="D6" s="6" t="s">
        <v>2590</v>
      </c>
    </row>
    <row r="7">
      <c r="A7" s="6" t="s">
        <v>2558</v>
      </c>
      <c r="D7" s="6" t="s">
        <v>2592</v>
      </c>
    </row>
    <row r="8">
      <c r="A8" s="6" t="s">
        <v>2560</v>
      </c>
      <c r="D8" s="6" t="s">
        <v>2594</v>
      </c>
    </row>
    <row r="9">
      <c r="A9" s="6" t="s">
        <v>2563</v>
      </c>
      <c r="D9" s="6" t="s">
        <v>2596</v>
      </c>
    </row>
    <row r="10">
      <c r="A10" s="6" t="s">
        <v>2566</v>
      </c>
      <c r="D10" s="6" t="s">
        <v>2598</v>
      </c>
    </row>
    <row r="11">
      <c r="A11" s="6" t="s">
        <v>2568</v>
      </c>
      <c r="D11" s="6" t="s">
        <v>2600</v>
      </c>
    </row>
    <row r="12">
      <c r="A12" s="6" t="s">
        <v>2571</v>
      </c>
      <c r="D12" s="6" t="s">
        <v>2602</v>
      </c>
    </row>
    <row r="13">
      <c r="A13" s="6" t="s">
        <v>2574</v>
      </c>
      <c r="D13" s="6" t="s">
        <v>2604</v>
      </c>
    </row>
    <row r="14">
      <c r="A14" s="6" t="s">
        <v>2569</v>
      </c>
      <c r="D14" s="6" t="s">
        <v>2606</v>
      </c>
    </row>
    <row r="15">
      <c r="A15" s="6" t="s">
        <v>2577</v>
      </c>
      <c r="D15" s="6" t="s">
        <v>2610</v>
      </c>
    </row>
    <row r="16">
      <c r="A16" s="6" t="s">
        <v>2582</v>
      </c>
      <c r="D16" s="6" t="s">
        <v>2608</v>
      </c>
    </row>
    <row r="21">
      <c r="A21" s="110" t="s">
        <v>2807</v>
      </c>
    </row>
    <row r="23">
      <c r="A23" s="6" t="s">
        <v>2808</v>
      </c>
      <c r="E23" s="6" t="s">
        <v>2809</v>
      </c>
    </row>
    <row r="25">
      <c r="A25" s="111" t="s">
        <v>2810</v>
      </c>
      <c r="B25" s="111" t="s">
        <v>2811</v>
      </c>
      <c r="C25" s="111" t="s">
        <v>2812</v>
      </c>
      <c r="E25" s="112" t="s">
        <v>2810</v>
      </c>
      <c r="F25" s="112" t="s">
        <v>2811</v>
      </c>
      <c r="G25" s="112" t="s">
        <v>2812</v>
      </c>
      <c r="H25" s="6" t="s">
        <v>2813</v>
      </c>
    </row>
    <row r="26">
      <c r="A26" s="59" t="s">
        <v>2814</v>
      </c>
      <c r="B26" s="100">
        <v>3.0</v>
      </c>
      <c r="C26" s="82"/>
      <c r="E26" s="59" t="s">
        <v>2815</v>
      </c>
      <c r="F26" s="100">
        <v>0.0</v>
      </c>
      <c r="G26" s="82"/>
      <c r="H26" s="6" t="s">
        <v>2816</v>
      </c>
    </row>
    <row r="27">
      <c r="A27" s="59" t="s">
        <v>2817</v>
      </c>
      <c r="B27" s="100">
        <v>5.0</v>
      </c>
      <c r="C27" s="82"/>
      <c r="E27" s="59" t="s">
        <v>2818</v>
      </c>
      <c r="F27" s="100">
        <v>0.0</v>
      </c>
      <c r="G27" s="82"/>
    </row>
    <row r="28">
      <c r="A28" s="59" t="s">
        <v>2819</v>
      </c>
      <c r="B28" s="100">
        <v>5.0</v>
      </c>
      <c r="C28" s="82"/>
      <c r="E28" s="59" t="s">
        <v>2820</v>
      </c>
      <c r="F28" s="100">
        <v>0.0</v>
      </c>
      <c r="G28" s="82"/>
      <c r="H28" s="6">
        <v>5.0</v>
      </c>
      <c r="I28" s="113">
        <v>46094.0</v>
      </c>
    </row>
    <row r="29">
      <c r="A29" s="59" t="s">
        <v>2821</v>
      </c>
      <c r="B29" s="100">
        <v>5.0</v>
      </c>
      <c r="C29" s="82"/>
      <c r="E29" s="59" t="s">
        <v>2822</v>
      </c>
      <c r="F29" s="100">
        <v>1.0</v>
      </c>
      <c r="G29" s="82"/>
      <c r="H29" s="6">
        <v>5.0</v>
      </c>
      <c r="I29" s="6" t="s">
        <v>2823</v>
      </c>
    </row>
    <row r="30">
      <c r="A30" s="59" t="s">
        <v>2824</v>
      </c>
      <c r="B30" s="100">
        <v>5.0</v>
      </c>
      <c r="C30" s="82"/>
      <c r="E30" s="59" t="s">
        <v>2825</v>
      </c>
      <c r="F30" s="100">
        <v>0.0</v>
      </c>
      <c r="G30" s="82"/>
      <c r="H30" s="6">
        <v>5.0</v>
      </c>
      <c r="I30" s="6" t="s">
        <v>2823</v>
      </c>
    </row>
    <row r="31">
      <c r="A31" s="59" t="s">
        <v>2826</v>
      </c>
      <c r="B31" s="100">
        <v>5.0</v>
      </c>
      <c r="C31" s="82"/>
      <c r="E31" s="59" t="s">
        <v>2827</v>
      </c>
      <c r="F31" s="100">
        <v>1.0</v>
      </c>
      <c r="G31" s="82"/>
      <c r="H31" s="6">
        <v>5.0</v>
      </c>
      <c r="I31" s="113">
        <v>46094.0</v>
      </c>
    </row>
    <row r="32">
      <c r="A32" s="59" t="s">
        <v>2828</v>
      </c>
      <c r="B32" s="100">
        <v>5.0</v>
      </c>
      <c r="C32" s="82"/>
      <c r="E32" s="59" t="s">
        <v>2829</v>
      </c>
      <c r="F32" s="100">
        <v>1.0</v>
      </c>
      <c r="G32" s="82"/>
      <c r="H32" s="6">
        <v>5.0</v>
      </c>
      <c r="I32" s="113">
        <v>46094.0</v>
      </c>
    </row>
    <row r="33">
      <c r="A33" s="59" t="s">
        <v>2830</v>
      </c>
      <c r="B33" s="100">
        <v>5.0</v>
      </c>
      <c r="C33" s="82"/>
      <c r="E33" s="59" t="s">
        <v>2831</v>
      </c>
      <c r="F33" s="100">
        <v>1.0</v>
      </c>
      <c r="G33" s="82"/>
      <c r="H33" s="6">
        <v>5.0</v>
      </c>
      <c r="I33" s="113">
        <v>46094.0</v>
      </c>
    </row>
    <row r="34">
      <c r="A34" s="59" t="s">
        <v>2832</v>
      </c>
      <c r="B34" s="100">
        <v>5.0</v>
      </c>
      <c r="C34" s="82"/>
      <c r="E34" s="59" t="s">
        <v>2833</v>
      </c>
      <c r="F34" s="100">
        <v>0.0</v>
      </c>
      <c r="G34" s="82"/>
    </row>
    <row r="35">
      <c r="A35" s="59" t="s">
        <v>2834</v>
      </c>
      <c r="B35" s="100">
        <v>4.0</v>
      </c>
      <c r="C35" s="82"/>
      <c r="E35" s="59" t="s">
        <v>2835</v>
      </c>
      <c r="F35" s="100">
        <v>0.0</v>
      </c>
      <c r="G35" s="82"/>
    </row>
    <row r="36">
      <c r="A36" s="59" t="s">
        <v>2836</v>
      </c>
      <c r="B36" s="100">
        <v>4.0</v>
      </c>
      <c r="C36" s="82"/>
      <c r="E36" s="59" t="s">
        <v>2837</v>
      </c>
      <c r="F36" s="100">
        <v>0.0</v>
      </c>
      <c r="G36" s="82"/>
    </row>
    <row r="37">
      <c r="A37" s="59" t="s">
        <v>2838</v>
      </c>
      <c r="B37" s="100">
        <v>5.0</v>
      </c>
      <c r="C37" s="82"/>
      <c r="E37" s="59" t="s">
        <v>2839</v>
      </c>
      <c r="F37" s="100">
        <v>0.0</v>
      </c>
      <c r="G37" s="82"/>
    </row>
    <row r="38">
      <c r="A38" s="59" t="s">
        <v>2840</v>
      </c>
      <c r="B38" s="100">
        <v>5.0</v>
      </c>
      <c r="C38" s="82"/>
      <c r="E38" s="59" t="s">
        <v>2841</v>
      </c>
      <c r="F38" s="100">
        <v>0.0</v>
      </c>
      <c r="G38" s="82"/>
      <c r="K38" s="6"/>
    </row>
    <row r="39">
      <c r="A39" s="59" t="s">
        <v>2842</v>
      </c>
      <c r="B39" s="100">
        <v>5.0</v>
      </c>
      <c r="C39" s="82"/>
      <c r="E39" s="59" t="s">
        <v>2843</v>
      </c>
      <c r="F39" s="100">
        <v>0.0</v>
      </c>
      <c r="G39" s="82"/>
      <c r="K39" s="6"/>
    </row>
    <row r="40">
      <c r="A40" s="59" t="s">
        <v>2844</v>
      </c>
      <c r="B40" s="100">
        <v>3.0</v>
      </c>
      <c r="C40" s="82"/>
      <c r="E40" s="59" t="s">
        <v>2845</v>
      </c>
      <c r="F40" s="100">
        <v>0.0</v>
      </c>
      <c r="G40" s="82"/>
      <c r="K40" s="6"/>
    </row>
    <row r="41">
      <c r="A41" s="59" t="s">
        <v>2846</v>
      </c>
      <c r="B41" s="100">
        <v>3.0</v>
      </c>
      <c r="C41" s="82"/>
      <c r="E41" s="59" t="s">
        <v>2847</v>
      </c>
      <c r="F41" s="100">
        <v>0.0</v>
      </c>
      <c r="G41" s="82"/>
      <c r="H41" s="6">
        <v>5.0</v>
      </c>
      <c r="I41" s="6" t="s">
        <v>2823</v>
      </c>
      <c r="K41" s="6"/>
    </row>
    <row r="42">
      <c r="A42" s="59" t="s">
        <v>2848</v>
      </c>
      <c r="B42" s="100">
        <v>5.0</v>
      </c>
      <c r="C42" s="82"/>
      <c r="E42" s="59" t="s">
        <v>2849</v>
      </c>
      <c r="F42" s="100">
        <v>0.0</v>
      </c>
      <c r="G42" s="82"/>
      <c r="H42" s="6">
        <v>5.0</v>
      </c>
      <c r="I42" s="6" t="s">
        <v>2823</v>
      </c>
      <c r="J42" s="6" t="s">
        <v>2850</v>
      </c>
      <c r="K42" s="6"/>
    </row>
    <row r="43">
      <c r="A43" s="59" t="s">
        <v>2851</v>
      </c>
      <c r="B43" s="100">
        <v>5.0</v>
      </c>
      <c r="C43" s="82"/>
      <c r="E43" s="59" t="s">
        <v>2852</v>
      </c>
      <c r="F43" s="100">
        <v>1.0</v>
      </c>
      <c r="G43" s="82"/>
    </row>
    <row r="44">
      <c r="A44" s="82"/>
      <c r="B44" s="82"/>
      <c r="C44" s="82"/>
      <c r="E44" s="59" t="s">
        <v>2853</v>
      </c>
      <c r="F44" s="100">
        <v>0.0</v>
      </c>
      <c r="G44" s="82"/>
    </row>
    <row r="45">
      <c r="A45" s="82"/>
      <c r="B45" s="82"/>
      <c r="C45" s="82"/>
      <c r="E45" s="59" t="s">
        <v>2854</v>
      </c>
      <c r="F45" s="100">
        <v>0.0</v>
      </c>
      <c r="G45" s="82"/>
      <c r="H45" s="6">
        <v>5.0</v>
      </c>
      <c r="I45" s="6" t="s">
        <v>2823</v>
      </c>
    </row>
    <row r="46">
      <c r="E46" s="59" t="s">
        <v>2336</v>
      </c>
      <c r="F46" s="100">
        <v>0.0</v>
      </c>
      <c r="G46" s="82"/>
      <c r="H46" s="6">
        <v>5.0</v>
      </c>
      <c r="I46" s="6" t="s">
        <v>2823</v>
      </c>
    </row>
    <row r="47">
      <c r="E47" s="59" t="s">
        <v>2855</v>
      </c>
      <c r="F47" s="100">
        <v>0.0</v>
      </c>
      <c r="G47" s="82"/>
      <c r="H47" s="6">
        <v>5.0</v>
      </c>
      <c r="I47" s="6" t="s">
        <v>2823</v>
      </c>
    </row>
    <row r="48">
      <c r="E48" s="59" t="s">
        <v>2856</v>
      </c>
      <c r="F48" s="100">
        <v>0.0</v>
      </c>
      <c r="G48" s="82"/>
      <c r="H48" s="6">
        <v>5.0</v>
      </c>
      <c r="I48" s="6" t="s">
        <v>2823</v>
      </c>
    </row>
    <row r="49">
      <c r="E49" s="59" t="s">
        <v>2857</v>
      </c>
      <c r="F49" s="100">
        <v>0.0</v>
      </c>
      <c r="G49" s="82"/>
      <c r="H49" s="6">
        <v>5.0</v>
      </c>
      <c r="I49" s="6" t="s">
        <v>2823</v>
      </c>
      <c r="J49" s="114" t="s">
        <v>2858</v>
      </c>
    </row>
    <row r="50">
      <c r="E50" s="59" t="s">
        <v>2859</v>
      </c>
      <c r="F50" s="100">
        <v>0.0</v>
      </c>
      <c r="G50" s="82"/>
      <c r="H50" s="6">
        <v>5.0</v>
      </c>
      <c r="I50" s="6" t="s">
        <v>2823</v>
      </c>
      <c r="J50" s="6" t="s">
        <v>2860</v>
      </c>
    </row>
    <row r="51">
      <c r="E51" s="59" t="s">
        <v>2861</v>
      </c>
      <c r="F51" s="100">
        <v>0.0</v>
      </c>
      <c r="G51" s="82"/>
    </row>
    <row r="52">
      <c r="E52" s="59" t="s">
        <v>2862</v>
      </c>
      <c r="F52" s="100">
        <v>0.0</v>
      </c>
      <c r="G52" s="82"/>
    </row>
    <row r="53">
      <c r="E53" s="59" t="s">
        <v>2863</v>
      </c>
      <c r="F53" s="100">
        <v>0.0</v>
      </c>
      <c r="G53" s="82"/>
      <c r="H53" s="6">
        <v>5.0</v>
      </c>
      <c r="I53" s="6" t="s">
        <v>2823</v>
      </c>
      <c r="J53" s="114" t="s">
        <v>2864</v>
      </c>
    </row>
    <row r="54">
      <c r="E54" s="59" t="s">
        <v>2686</v>
      </c>
      <c r="F54" s="100">
        <v>0.0</v>
      </c>
      <c r="G54" s="82"/>
    </row>
    <row r="55">
      <c r="E55" s="59" t="s">
        <v>2865</v>
      </c>
      <c r="F55" s="100">
        <v>0.0</v>
      </c>
      <c r="G55" s="82"/>
      <c r="H55" s="6">
        <v>5.0</v>
      </c>
      <c r="I55" s="113">
        <v>46094.0</v>
      </c>
    </row>
    <row r="56">
      <c r="E56" s="59" t="s">
        <v>2866</v>
      </c>
      <c r="F56" s="100">
        <v>0.0</v>
      </c>
      <c r="G56" s="82"/>
    </row>
    <row r="57">
      <c r="E57" s="59" t="s">
        <v>2854</v>
      </c>
      <c r="F57" s="100">
        <v>0.0</v>
      </c>
      <c r="G57" s="82"/>
      <c r="H57" s="6">
        <v>5.0</v>
      </c>
      <c r="I57" s="113">
        <v>46094.0</v>
      </c>
    </row>
    <row r="58">
      <c r="E58" s="115"/>
    </row>
    <row r="59">
      <c r="E59" s="115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7.57"/>
    <col customWidth="1" min="3" max="3" width="21.57"/>
    <col customWidth="1" min="4" max="4" width="29.57"/>
  </cols>
  <sheetData>
    <row r="1">
      <c r="A1" s="116" t="s">
        <v>2867</v>
      </c>
      <c r="B1" s="117" t="s">
        <v>2868</v>
      </c>
      <c r="C1" s="118" t="s">
        <v>2869</v>
      </c>
      <c r="D1" s="119" t="s">
        <v>2870</v>
      </c>
      <c r="E1" s="120" t="s">
        <v>2871</v>
      </c>
      <c r="F1" s="121" t="s">
        <v>2872</v>
      </c>
      <c r="G1" s="122" t="s">
        <v>2540</v>
      </c>
      <c r="H1" s="123" t="s">
        <v>2873</v>
      </c>
      <c r="I1" s="124"/>
      <c r="J1" s="125"/>
      <c r="K1" s="125"/>
      <c r="L1" s="125"/>
      <c r="M1" s="124"/>
      <c r="N1" s="124"/>
      <c r="O1" s="124"/>
      <c r="P1" s="126"/>
      <c r="Q1" s="124"/>
      <c r="R1" s="125"/>
      <c r="S1" s="125"/>
      <c r="T1" s="125"/>
      <c r="U1" s="124"/>
      <c r="V1" s="124"/>
      <c r="W1" s="124"/>
      <c r="X1" s="124"/>
      <c r="Y1" s="124"/>
      <c r="Z1" s="124"/>
    </row>
    <row r="2">
      <c r="A2" s="127">
        <v>46070.0</v>
      </c>
      <c r="B2" s="128" t="s">
        <v>2874</v>
      </c>
      <c r="C2" s="129">
        <v>1350000.0</v>
      </c>
      <c r="D2" s="129">
        <v>1350000.0</v>
      </c>
      <c r="E2" s="129" t="s">
        <v>2875</v>
      </c>
      <c r="F2" s="129"/>
      <c r="G2" s="130" t="s">
        <v>2876</v>
      </c>
      <c r="H2" s="131" t="s">
        <v>2877</v>
      </c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</row>
    <row r="3">
      <c r="A3" s="132">
        <v>46071.0</v>
      </c>
      <c r="B3" s="128" t="s">
        <v>2878</v>
      </c>
      <c r="C3" s="129">
        <v>1000000.0</v>
      </c>
      <c r="D3" s="129" t="s">
        <v>2879</v>
      </c>
      <c r="E3" s="129">
        <v>19000.0</v>
      </c>
      <c r="F3" s="129"/>
      <c r="G3" s="130" t="s">
        <v>2880</v>
      </c>
      <c r="H3" s="131" t="s">
        <v>2877</v>
      </c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</row>
    <row r="4">
      <c r="A4" s="132">
        <v>46071.0</v>
      </c>
      <c r="B4" s="128" t="s">
        <v>2881</v>
      </c>
      <c r="C4" s="129">
        <v>3299000.0</v>
      </c>
      <c r="E4" s="133"/>
      <c r="F4" s="129" t="s">
        <v>2882</v>
      </c>
      <c r="G4" s="134"/>
      <c r="H4" s="131" t="s">
        <v>2877</v>
      </c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</row>
    <row r="5">
      <c r="A5" s="132">
        <v>46071.0</v>
      </c>
      <c r="B5" s="128" t="s">
        <v>2883</v>
      </c>
      <c r="C5" s="135">
        <v>550000.0</v>
      </c>
      <c r="F5" s="133"/>
      <c r="G5" s="134"/>
      <c r="H5" s="131" t="s">
        <v>2877</v>
      </c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</row>
    <row r="6">
      <c r="A6" s="132">
        <v>46073.0</v>
      </c>
      <c r="B6" s="128" t="s">
        <v>2884</v>
      </c>
      <c r="C6" s="129" t="s">
        <v>2885</v>
      </c>
      <c r="D6" s="129" t="s">
        <v>2886</v>
      </c>
      <c r="E6" s="129">
        <v>5000.0</v>
      </c>
      <c r="F6" s="133"/>
      <c r="G6" s="130" t="s">
        <v>2887</v>
      </c>
      <c r="H6" s="131" t="s">
        <v>2888</v>
      </c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</row>
    <row r="7">
      <c r="A7" s="132">
        <v>46073.0</v>
      </c>
      <c r="B7" s="128" t="s">
        <v>2889</v>
      </c>
      <c r="C7" s="129">
        <v>480000.0</v>
      </c>
      <c r="D7" s="129">
        <v>480000.0</v>
      </c>
      <c r="E7" s="133"/>
      <c r="F7" s="133"/>
      <c r="G7" s="134"/>
      <c r="H7" s="131" t="s">
        <v>2888</v>
      </c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</row>
    <row r="8">
      <c r="A8" s="136"/>
      <c r="B8" s="137"/>
      <c r="C8" s="124"/>
      <c r="D8" s="138"/>
      <c r="E8" s="138"/>
      <c r="F8" s="138"/>
      <c r="G8" s="13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</row>
    <row r="9">
      <c r="A9" s="136"/>
      <c r="B9" s="137"/>
      <c r="C9" s="133"/>
      <c r="D9" s="133"/>
      <c r="E9" s="133"/>
      <c r="F9" s="133"/>
      <c r="G9" s="13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</row>
    <row r="10">
      <c r="A10" s="136"/>
      <c r="B10" s="137"/>
      <c r="C10" s="133"/>
      <c r="D10" s="133"/>
      <c r="E10" s="133"/>
      <c r="F10" s="133"/>
      <c r="G10" s="13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</row>
    <row r="11">
      <c r="A11" s="136"/>
      <c r="B11" s="137"/>
      <c r="C11" s="133"/>
      <c r="D11" s="133"/>
      <c r="F11" s="133"/>
      <c r="G11" s="13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</row>
    <row r="12">
      <c r="A12" s="139"/>
      <c r="B12" s="137"/>
      <c r="C12" s="133"/>
      <c r="D12" s="133"/>
      <c r="F12" s="133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</row>
    <row r="13">
      <c r="A13" s="139"/>
      <c r="B13" s="137"/>
      <c r="C13" s="133"/>
      <c r="D13" s="133"/>
      <c r="E13" s="133"/>
      <c r="F13" s="133"/>
      <c r="G13" s="13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</row>
    <row r="14">
      <c r="A14" s="139"/>
      <c r="B14" s="137"/>
      <c r="C14" s="133"/>
      <c r="D14" s="133"/>
      <c r="E14" s="133"/>
      <c r="F14" s="133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</row>
    <row r="15">
      <c r="A15" s="139"/>
      <c r="B15" s="137"/>
      <c r="C15" s="133"/>
      <c r="D15" s="133"/>
      <c r="E15" s="133"/>
      <c r="F15" s="133"/>
      <c r="G15" s="13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</row>
    <row r="16">
      <c r="A16" s="139"/>
      <c r="B16" s="137"/>
      <c r="C16" s="133"/>
      <c r="D16" s="133"/>
      <c r="E16" s="133"/>
      <c r="F16" s="133"/>
      <c r="G16" s="13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</row>
    <row r="17">
      <c r="A17" s="139"/>
      <c r="B17" s="137"/>
      <c r="C17" s="133"/>
      <c r="D17" s="133"/>
      <c r="E17" s="133"/>
      <c r="F17" s="133"/>
      <c r="G17" s="13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</row>
    <row r="18">
      <c r="A18" s="139"/>
      <c r="B18" s="137"/>
      <c r="C18" s="133"/>
      <c r="D18" s="133"/>
      <c r="E18" s="133"/>
      <c r="F18" s="133"/>
      <c r="G18" s="13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</row>
    <row r="19">
      <c r="A19" s="139"/>
      <c r="B19" s="137"/>
      <c r="C19" s="133"/>
      <c r="D19" s="133"/>
      <c r="E19" s="133"/>
      <c r="F19" s="133"/>
      <c r="G19" s="13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</row>
    <row r="20">
      <c r="A20" s="139"/>
      <c r="B20" s="137"/>
      <c r="C20" s="133"/>
      <c r="D20" s="133"/>
      <c r="E20" s="133"/>
      <c r="F20" s="133"/>
      <c r="G20" s="13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</row>
    <row r="21">
      <c r="A21" s="139"/>
      <c r="B21" s="137"/>
      <c r="C21" s="133"/>
      <c r="D21" s="133"/>
      <c r="E21" s="133"/>
      <c r="F21" s="133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</row>
    <row r="22">
      <c r="A22" s="139"/>
      <c r="B22" s="137"/>
      <c r="C22" s="133"/>
      <c r="D22" s="133"/>
      <c r="E22" s="133"/>
      <c r="F22" s="133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</row>
    <row r="23">
      <c r="A23" s="139"/>
      <c r="B23" s="137"/>
      <c r="C23" s="133"/>
      <c r="D23" s="133"/>
      <c r="E23" s="133"/>
      <c r="F23" s="133"/>
      <c r="G23" s="13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</row>
    <row r="24">
      <c r="A24" s="139"/>
      <c r="B24" s="137"/>
      <c r="C24" s="133"/>
      <c r="D24" s="133"/>
      <c r="E24" s="133"/>
      <c r="F24" s="133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</row>
    <row r="25">
      <c r="A25" s="139"/>
      <c r="B25" s="137"/>
      <c r="C25" s="133"/>
      <c r="D25" s="133"/>
      <c r="E25" s="133"/>
      <c r="F25" s="133"/>
      <c r="G25" s="13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</row>
    <row r="26">
      <c r="A26" s="139"/>
      <c r="B26" s="137"/>
      <c r="C26" s="133"/>
      <c r="D26" s="133"/>
      <c r="E26" s="133"/>
      <c r="F26" s="133"/>
      <c r="G26" s="13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</row>
    <row r="27">
      <c r="A27" s="139"/>
      <c r="B27" s="137"/>
      <c r="C27" s="133"/>
      <c r="D27" s="133"/>
      <c r="E27" s="133"/>
      <c r="F27" s="133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</row>
    <row r="28">
      <c r="A28" s="139"/>
      <c r="B28" s="137"/>
      <c r="C28" s="133"/>
      <c r="D28" s="133"/>
      <c r="E28" s="133"/>
      <c r="F28" s="133"/>
      <c r="G28" s="13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</row>
    <row r="29">
      <c r="A29" s="139"/>
      <c r="B29" s="137"/>
      <c r="C29" s="133"/>
      <c r="D29" s="133"/>
      <c r="E29" s="133"/>
      <c r="F29" s="133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</row>
    <row r="30">
      <c r="A30" s="139"/>
      <c r="B30" s="137"/>
      <c r="C30" s="133"/>
      <c r="D30" s="133"/>
      <c r="E30" s="133"/>
      <c r="F30" s="133"/>
      <c r="G30" s="13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</row>
    <row r="31">
      <c r="A31" s="139"/>
      <c r="B31" s="137"/>
      <c r="C31" s="133"/>
      <c r="D31" s="133"/>
      <c r="E31" s="133"/>
      <c r="F31" s="133"/>
      <c r="G31" s="13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</row>
    <row r="32">
      <c r="A32" s="139"/>
      <c r="B32" s="137"/>
      <c r="C32" s="133"/>
      <c r="D32" s="133"/>
      <c r="E32" s="133"/>
      <c r="F32" s="133"/>
      <c r="G32" s="13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</row>
    <row r="33">
      <c r="A33" s="139"/>
      <c r="B33" s="137"/>
      <c r="C33" s="133"/>
      <c r="D33" s="133"/>
      <c r="E33" s="133"/>
      <c r="F33" s="133"/>
      <c r="G33" s="13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</row>
    <row r="34">
      <c r="A34" s="139"/>
      <c r="B34" s="137"/>
      <c r="C34" s="133"/>
      <c r="D34" s="133"/>
      <c r="E34" s="133"/>
      <c r="F34" s="133"/>
      <c r="G34" s="13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</row>
    <row r="35">
      <c r="A35" s="139"/>
      <c r="B35" s="137"/>
      <c r="C35" s="133"/>
      <c r="D35" s="133"/>
      <c r="E35" s="133"/>
      <c r="F35" s="133"/>
      <c r="G35" s="13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</row>
    <row r="36">
      <c r="A36" s="139"/>
      <c r="B36" s="137"/>
      <c r="C36" s="133"/>
      <c r="D36" s="133"/>
      <c r="E36" s="138"/>
      <c r="F36" s="138"/>
      <c r="G36" s="13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</row>
    <row r="37">
      <c r="A37" s="124"/>
      <c r="B37" s="140"/>
      <c r="C37" s="138"/>
      <c r="D37" s="138"/>
      <c r="E37" s="138"/>
      <c r="F37" s="138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</row>
    <row r="38">
      <c r="A38" s="124"/>
      <c r="B38" s="140"/>
      <c r="C38" s="138"/>
      <c r="D38" s="138"/>
      <c r="E38" s="138"/>
      <c r="F38" s="138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</row>
    <row r="39">
      <c r="A39" s="124"/>
      <c r="B39" s="140"/>
      <c r="C39" s="138"/>
      <c r="D39" s="138"/>
      <c r="E39" s="138"/>
      <c r="F39" s="138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</row>
    <row r="40">
      <c r="A40" s="124"/>
      <c r="B40" s="140"/>
      <c r="C40" s="138"/>
      <c r="D40" s="138"/>
      <c r="E40" s="138"/>
      <c r="F40" s="138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</row>
    <row r="41">
      <c r="A41" s="124"/>
      <c r="B41" s="140"/>
      <c r="C41" s="138"/>
      <c r="D41" s="138"/>
      <c r="E41" s="138"/>
      <c r="F41" s="138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</row>
    <row r="42">
      <c r="A42" s="124"/>
      <c r="B42" s="140"/>
      <c r="C42" s="138"/>
      <c r="D42" s="138"/>
      <c r="E42" s="138"/>
      <c r="F42" s="138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</row>
    <row r="43">
      <c r="A43" s="124"/>
      <c r="B43" s="140"/>
      <c r="C43" s="138"/>
      <c r="D43" s="138"/>
      <c r="E43" s="138"/>
      <c r="F43" s="138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</row>
    <row r="44">
      <c r="A44" s="124"/>
      <c r="B44" s="140"/>
      <c r="C44" s="138"/>
      <c r="D44" s="138"/>
      <c r="E44" s="138"/>
      <c r="F44" s="138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</row>
    <row r="45">
      <c r="A45" s="124"/>
      <c r="B45" s="140"/>
      <c r="C45" s="138"/>
      <c r="D45" s="138"/>
      <c r="E45" s="138"/>
      <c r="F45" s="138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</row>
    <row r="46">
      <c r="A46" s="124"/>
      <c r="B46" s="140"/>
      <c r="C46" s="138"/>
      <c r="D46" s="138"/>
      <c r="E46" s="138"/>
      <c r="F46" s="138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</row>
    <row r="47">
      <c r="A47" s="124"/>
      <c r="B47" s="140"/>
      <c r="C47" s="138"/>
      <c r="D47" s="138"/>
      <c r="E47" s="138"/>
      <c r="F47" s="138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</row>
    <row r="48">
      <c r="A48" s="124"/>
      <c r="B48" s="140"/>
      <c r="C48" s="138"/>
      <c r="D48" s="138"/>
      <c r="E48" s="138"/>
      <c r="F48" s="138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</row>
    <row r="49">
      <c r="A49" s="124"/>
      <c r="B49" s="140"/>
      <c r="C49" s="138"/>
      <c r="D49" s="138"/>
      <c r="E49" s="138"/>
      <c r="F49" s="138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</row>
    <row r="50">
      <c r="A50" s="124"/>
      <c r="B50" s="140"/>
      <c r="C50" s="138"/>
      <c r="D50" s="138"/>
      <c r="E50" s="138"/>
      <c r="F50" s="138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</row>
    <row r="51">
      <c r="A51" s="124"/>
      <c r="B51" s="140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</row>
    <row r="52">
      <c r="A52" s="124"/>
      <c r="B52" s="140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>
      <c r="A53" s="124"/>
      <c r="B53" s="140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</row>
    <row r="54">
      <c r="A54" s="124"/>
      <c r="B54" s="140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</row>
    <row r="55">
      <c r="A55" s="124"/>
      <c r="B55" s="140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</row>
    <row r="56">
      <c r="A56" s="124"/>
      <c r="B56" s="140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</row>
    <row r="57">
      <c r="A57" s="124"/>
      <c r="B57" s="140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</row>
    <row r="58">
      <c r="A58" s="124"/>
      <c r="B58" s="140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</row>
    <row r="59">
      <c r="A59" s="124"/>
      <c r="B59" s="140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</row>
    <row r="60">
      <c r="A60" s="124"/>
      <c r="B60" s="140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</row>
    <row r="61">
      <c r="A61" s="124"/>
      <c r="B61" s="140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</row>
    <row r="62">
      <c r="A62" s="124"/>
      <c r="B62" s="140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</row>
    <row r="63">
      <c r="A63" s="124"/>
      <c r="B63" s="140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</row>
    <row r="64">
      <c r="A64" s="124"/>
      <c r="B64" s="140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</row>
    <row r="65">
      <c r="A65" s="124"/>
      <c r="B65" s="140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</row>
    <row r="66">
      <c r="A66" s="124"/>
      <c r="B66" s="140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</row>
    <row r="67">
      <c r="A67" s="124"/>
      <c r="B67" s="140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</row>
    <row r="68">
      <c r="A68" s="124"/>
      <c r="B68" s="140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</row>
    <row r="69">
      <c r="A69" s="124"/>
      <c r="B69" s="140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</row>
    <row r="70">
      <c r="A70" s="124"/>
      <c r="B70" s="140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</row>
    <row r="71">
      <c r="A71" s="124"/>
      <c r="B71" s="140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</row>
    <row r="72">
      <c r="A72" s="124"/>
      <c r="B72" s="140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</row>
    <row r="73">
      <c r="A73" s="124"/>
      <c r="B73" s="140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</row>
    <row r="74">
      <c r="A74" s="124"/>
      <c r="B74" s="140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</row>
    <row r="75">
      <c r="A75" s="124"/>
      <c r="B75" s="140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</row>
    <row r="76">
      <c r="A76" s="124"/>
      <c r="B76" s="140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</row>
    <row r="77">
      <c r="A77" s="124"/>
      <c r="B77" s="140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</row>
    <row r="78">
      <c r="A78" s="124"/>
      <c r="B78" s="140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</row>
    <row r="79">
      <c r="A79" s="124"/>
      <c r="B79" s="140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</row>
    <row r="80">
      <c r="A80" s="124"/>
      <c r="B80" s="140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</row>
    <row r="81">
      <c r="A81" s="124"/>
      <c r="B81" s="140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</row>
    <row r="82">
      <c r="A82" s="124"/>
      <c r="B82" s="140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</row>
    <row r="83">
      <c r="A83" s="124"/>
      <c r="B83" s="140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</row>
    <row r="84">
      <c r="A84" s="124"/>
      <c r="B84" s="140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</row>
    <row r="85">
      <c r="A85" s="124"/>
      <c r="B85" s="140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</row>
    <row r="86">
      <c r="A86" s="124"/>
      <c r="B86" s="140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</row>
    <row r="87">
      <c r="A87" s="124"/>
      <c r="B87" s="140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</row>
    <row r="88">
      <c r="A88" s="124"/>
      <c r="B88" s="140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</row>
    <row r="89">
      <c r="A89" s="124"/>
      <c r="B89" s="140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</row>
    <row r="90">
      <c r="A90" s="124"/>
      <c r="B90" s="140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</row>
    <row r="91">
      <c r="A91" s="124"/>
      <c r="B91" s="140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</row>
    <row r="92">
      <c r="A92" s="124"/>
      <c r="B92" s="140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</row>
    <row r="93">
      <c r="A93" s="124"/>
      <c r="B93" s="140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</row>
    <row r="94">
      <c r="A94" s="124"/>
      <c r="B94" s="140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</row>
    <row r="95">
      <c r="A95" s="124"/>
      <c r="B95" s="140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</row>
    <row r="96">
      <c r="A96" s="124"/>
      <c r="B96" s="140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</row>
    <row r="97">
      <c r="A97" s="124"/>
      <c r="B97" s="140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</row>
    <row r="98">
      <c r="A98" s="124"/>
      <c r="B98" s="140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</row>
    <row r="99">
      <c r="A99" s="124"/>
      <c r="B99" s="140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</row>
    <row r="100">
      <c r="A100" s="124"/>
      <c r="B100" s="140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</row>
    <row r="101">
      <c r="A101" s="124"/>
      <c r="B101" s="140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</row>
    <row r="102">
      <c r="A102" s="124"/>
      <c r="B102" s="140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</row>
    <row r="103">
      <c r="A103" s="124"/>
      <c r="B103" s="140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</row>
    <row r="104">
      <c r="A104" s="124"/>
      <c r="B104" s="140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</row>
    <row r="105">
      <c r="A105" s="124"/>
      <c r="B105" s="140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</row>
    <row r="106">
      <c r="A106" s="124"/>
      <c r="B106" s="140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</row>
    <row r="107">
      <c r="A107" s="124"/>
      <c r="B107" s="140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</row>
    <row r="108">
      <c r="A108" s="124"/>
      <c r="B108" s="140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</row>
    <row r="109">
      <c r="A109" s="124"/>
      <c r="B109" s="140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</row>
    <row r="110">
      <c r="A110" s="124"/>
      <c r="B110" s="140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</row>
    <row r="111">
      <c r="A111" s="124"/>
      <c r="B111" s="140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</row>
    <row r="112">
      <c r="A112" s="124"/>
      <c r="B112" s="140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</row>
    <row r="113">
      <c r="A113" s="124"/>
      <c r="B113" s="140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</row>
    <row r="114">
      <c r="A114" s="124"/>
      <c r="B114" s="140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</row>
    <row r="115">
      <c r="A115" s="124"/>
      <c r="B115" s="140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</row>
    <row r="116">
      <c r="A116" s="124"/>
      <c r="B116" s="140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</row>
    <row r="117">
      <c r="A117" s="124"/>
      <c r="B117" s="140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</row>
    <row r="118">
      <c r="A118" s="124"/>
      <c r="B118" s="140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</row>
    <row r="119">
      <c r="A119" s="124"/>
      <c r="B119" s="140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</row>
    <row r="120">
      <c r="A120" s="124"/>
      <c r="B120" s="140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</row>
    <row r="121">
      <c r="A121" s="124"/>
      <c r="B121" s="140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</row>
    <row r="122">
      <c r="A122" s="124"/>
      <c r="B122" s="140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</row>
    <row r="123">
      <c r="A123" s="124"/>
      <c r="B123" s="140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</row>
    <row r="124">
      <c r="A124" s="124"/>
      <c r="B124" s="140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</row>
    <row r="125">
      <c r="A125" s="124"/>
      <c r="B125" s="140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</row>
    <row r="126">
      <c r="A126" s="124"/>
      <c r="B126" s="140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</row>
    <row r="127">
      <c r="A127" s="124"/>
      <c r="B127" s="140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</row>
    <row r="128">
      <c r="A128" s="124"/>
      <c r="B128" s="140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</row>
    <row r="129">
      <c r="A129" s="124"/>
      <c r="B129" s="140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</row>
    <row r="130">
      <c r="A130" s="124"/>
      <c r="B130" s="140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</row>
    <row r="131">
      <c r="A131" s="124"/>
      <c r="B131" s="140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</row>
    <row r="132">
      <c r="A132" s="124"/>
      <c r="B132" s="140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</row>
    <row r="133">
      <c r="A133" s="124"/>
      <c r="B133" s="140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</row>
    <row r="134">
      <c r="A134" s="124"/>
      <c r="B134" s="140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</row>
    <row r="135">
      <c r="A135" s="124"/>
      <c r="B135" s="140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</row>
    <row r="136">
      <c r="A136" s="124"/>
      <c r="B136" s="140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</row>
    <row r="137">
      <c r="A137" s="124"/>
      <c r="B137" s="140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</row>
    <row r="138">
      <c r="A138" s="124"/>
      <c r="B138" s="140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</row>
    <row r="139">
      <c r="A139" s="124"/>
      <c r="B139" s="140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</row>
    <row r="140">
      <c r="A140" s="124"/>
      <c r="B140" s="140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</row>
    <row r="141">
      <c r="A141" s="124"/>
      <c r="B141" s="140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</row>
    <row r="142">
      <c r="A142" s="124"/>
      <c r="B142" s="140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</row>
    <row r="143">
      <c r="A143" s="124"/>
      <c r="B143" s="140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</row>
    <row r="144">
      <c r="A144" s="124"/>
      <c r="B144" s="140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</row>
    <row r="145">
      <c r="A145" s="124"/>
      <c r="B145" s="140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</row>
    <row r="146">
      <c r="A146" s="124"/>
      <c r="B146" s="140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</row>
    <row r="147">
      <c r="A147" s="124"/>
      <c r="B147" s="140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</row>
    <row r="148">
      <c r="A148" s="124"/>
      <c r="B148" s="140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</row>
    <row r="149">
      <c r="A149" s="124"/>
      <c r="B149" s="140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</row>
    <row r="150">
      <c r="A150" s="124"/>
      <c r="B150" s="140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</row>
    <row r="151">
      <c r="A151" s="124"/>
      <c r="B151" s="140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</row>
    <row r="152">
      <c r="A152" s="124"/>
      <c r="B152" s="140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</row>
    <row r="153">
      <c r="A153" s="124"/>
      <c r="B153" s="140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</row>
    <row r="154">
      <c r="A154" s="124"/>
      <c r="B154" s="140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</row>
    <row r="155">
      <c r="A155" s="124"/>
      <c r="B155" s="140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</row>
    <row r="156">
      <c r="A156" s="124"/>
      <c r="B156" s="140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</row>
    <row r="157">
      <c r="A157" s="124"/>
      <c r="B157" s="140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</row>
    <row r="158">
      <c r="A158" s="124"/>
      <c r="B158" s="140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</row>
    <row r="159">
      <c r="A159" s="124"/>
      <c r="B159" s="140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</row>
    <row r="160">
      <c r="A160" s="124"/>
      <c r="B160" s="140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</row>
    <row r="161">
      <c r="A161" s="124"/>
      <c r="B161" s="140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</row>
    <row r="162">
      <c r="A162" s="124"/>
      <c r="B162" s="140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</row>
    <row r="163">
      <c r="A163" s="124"/>
      <c r="B163" s="140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</row>
    <row r="164">
      <c r="A164" s="124"/>
      <c r="B164" s="140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</row>
    <row r="165">
      <c r="A165" s="124"/>
      <c r="B165" s="140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</row>
    <row r="166">
      <c r="A166" s="124"/>
      <c r="B166" s="140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</row>
    <row r="167">
      <c r="A167" s="124"/>
      <c r="B167" s="140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</row>
    <row r="168">
      <c r="A168" s="124"/>
      <c r="B168" s="140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</row>
    <row r="169">
      <c r="A169" s="124"/>
      <c r="B169" s="140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</row>
    <row r="170">
      <c r="A170" s="124"/>
      <c r="B170" s="140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</row>
    <row r="171">
      <c r="A171" s="124"/>
      <c r="B171" s="140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</row>
    <row r="172">
      <c r="A172" s="124"/>
      <c r="B172" s="140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</row>
    <row r="173">
      <c r="A173" s="124"/>
      <c r="B173" s="140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</row>
    <row r="174">
      <c r="A174" s="124"/>
      <c r="B174" s="140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</row>
    <row r="175">
      <c r="A175" s="124"/>
      <c r="B175" s="140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</row>
    <row r="176">
      <c r="A176" s="124"/>
      <c r="B176" s="140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</row>
    <row r="177">
      <c r="A177" s="124"/>
      <c r="B177" s="140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</row>
    <row r="178">
      <c r="A178" s="124"/>
      <c r="B178" s="140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</row>
    <row r="179">
      <c r="A179" s="124"/>
      <c r="B179" s="140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</row>
    <row r="180">
      <c r="A180" s="124"/>
      <c r="B180" s="140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</row>
    <row r="181">
      <c r="A181" s="124"/>
      <c r="B181" s="140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</row>
    <row r="182">
      <c r="A182" s="124"/>
      <c r="B182" s="140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</row>
    <row r="183">
      <c r="A183" s="124"/>
      <c r="B183" s="140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</row>
    <row r="184">
      <c r="A184" s="124"/>
      <c r="B184" s="140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</row>
    <row r="185">
      <c r="A185" s="124"/>
      <c r="B185" s="140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</row>
    <row r="186">
      <c r="A186" s="124"/>
      <c r="B186" s="140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</row>
    <row r="187">
      <c r="A187" s="124"/>
      <c r="B187" s="140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</row>
    <row r="188">
      <c r="A188" s="124"/>
      <c r="B188" s="140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</row>
    <row r="189">
      <c r="A189" s="124"/>
      <c r="B189" s="140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</row>
    <row r="190">
      <c r="A190" s="124"/>
      <c r="B190" s="140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</row>
    <row r="191">
      <c r="A191" s="124"/>
      <c r="B191" s="140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</row>
    <row r="192">
      <c r="A192" s="124"/>
      <c r="B192" s="140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</row>
    <row r="193">
      <c r="A193" s="124"/>
      <c r="B193" s="140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</row>
    <row r="194">
      <c r="A194" s="124"/>
      <c r="B194" s="140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</row>
    <row r="195">
      <c r="A195" s="124"/>
      <c r="B195" s="140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</row>
    <row r="196">
      <c r="A196" s="124"/>
      <c r="B196" s="140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</row>
    <row r="197">
      <c r="A197" s="124"/>
      <c r="B197" s="140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</row>
    <row r="198">
      <c r="A198" s="124"/>
      <c r="B198" s="140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</row>
    <row r="199">
      <c r="A199" s="124"/>
      <c r="B199" s="140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</row>
    <row r="200">
      <c r="A200" s="124"/>
      <c r="B200" s="140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</row>
    <row r="201">
      <c r="A201" s="124"/>
      <c r="B201" s="140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</row>
    <row r="202">
      <c r="A202" s="124"/>
      <c r="B202" s="140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</row>
    <row r="203">
      <c r="A203" s="124"/>
      <c r="B203" s="140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</row>
    <row r="204">
      <c r="A204" s="124"/>
      <c r="B204" s="140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</row>
    <row r="205">
      <c r="A205" s="124"/>
      <c r="B205" s="140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</row>
    <row r="206">
      <c r="A206" s="124"/>
      <c r="B206" s="140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</row>
    <row r="207">
      <c r="A207" s="124"/>
      <c r="B207" s="140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</row>
    <row r="208">
      <c r="A208" s="124"/>
      <c r="B208" s="140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</row>
    <row r="209">
      <c r="A209" s="124"/>
      <c r="B209" s="140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</row>
    <row r="210">
      <c r="A210" s="124"/>
      <c r="B210" s="140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</row>
    <row r="211">
      <c r="A211" s="124"/>
      <c r="B211" s="140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</row>
    <row r="212">
      <c r="A212" s="124"/>
      <c r="B212" s="140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</row>
    <row r="213">
      <c r="A213" s="124"/>
      <c r="B213" s="140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</row>
    <row r="214">
      <c r="A214" s="124"/>
      <c r="B214" s="140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</row>
    <row r="215">
      <c r="A215" s="124"/>
      <c r="B215" s="140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</row>
    <row r="216">
      <c r="A216" s="124"/>
      <c r="B216" s="140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</row>
    <row r="217">
      <c r="A217" s="124"/>
      <c r="B217" s="140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</row>
    <row r="218">
      <c r="A218" s="124"/>
      <c r="B218" s="140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</row>
    <row r="219">
      <c r="A219" s="124"/>
      <c r="B219" s="140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</row>
    <row r="220">
      <c r="A220" s="124"/>
      <c r="B220" s="140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</row>
    <row r="221">
      <c r="A221" s="124"/>
      <c r="B221" s="140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</row>
    <row r="222">
      <c r="A222" s="124"/>
      <c r="B222" s="140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</row>
    <row r="223">
      <c r="A223" s="124"/>
      <c r="B223" s="140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</row>
    <row r="224">
      <c r="A224" s="124"/>
      <c r="B224" s="140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</row>
    <row r="225">
      <c r="A225" s="124"/>
      <c r="B225" s="140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</row>
    <row r="226">
      <c r="A226" s="124"/>
      <c r="B226" s="140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</row>
    <row r="227">
      <c r="A227" s="124"/>
      <c r="B227" s="140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</row>
    <row r="228">
      <c r="A228" s="124"/>
      <c r="B228" s="140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</row>
    <row r="229">
      <c r="A229" s="124"/>
      <c r="B229" s="140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</row>
    <row r="230">
      <c r="A230" s="124"/>
      <c r="B230" s="140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</row>
    <row r="231">
      <c r="A231" s="124"/>
      <c r="B231" s="140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</row>
    <row r="232">
      <c r="A232" s="124"/>
      <c r="B232" s="140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</row>
    <row r="233">
      <c r="A233" s="124"/>
      <c r="B233" s="140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</row>
    <row r="234">
      <c r="A234" s="124"/>
      <c r="B234" s="140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</row>
    <row r="235">
      <c r="A235" s="124"/>
      <c r="B235" s="140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</row>
    <row r="236">
      <c r="A236" s="124"/>
      <c r="B236" s="140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</row>
    <row r="237">
      <c r="A237" s="124"/>
      <c r="B237" s="140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</row>
    <row r="238">
      <c r="A238" s="124"/>
      <c r="B238" s="140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</row>
    <row r="239">
      <c r="A239" s="124"/>
      <c r="B239" s="140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</row>
    <row r="240">
      <c r="A240" s="124"/>
      <c r="B240" s="140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</row>
    <row r="241">
      <c r="A241" s="124"/>
      <c r="B241" s="140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</row>
    <row r="242">
      <c r="A242" s="124"/>
      <c r="B242" s="140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</row>
    <row r="243">
      <c r="A243" s="124"/>
      <c r="B243" s="140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</row>
    <row r="244">
      <c r="A244" s="124"/>
      <c r="B244" s="140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</row>
    <row r="245">
      <c r="A245" s="124"/>
      <c r="B245" s="140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</row>
    <row r="246">
      <c r="A246" s="124"/>
      <c r="B246" s="140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</row>
    <row r="247">
      <c r="A247" s="124"/>
      <c r="B247" s="140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</row>
    <row r="248">
      <c r="A248" s="124"/>
      <c r="B248" s="140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</row>
    <row r="249">
      <c r="A249" s="124"/>
      <c r="B249" s="140"/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</row>
    <row r="250">
      <c r="A250" s="124"/>
      <c r="B250" s="140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</row>
    <row r="251">
      <c r="A251" s="124"/>
      <c r="B251" s="140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</row>
    <row r="252">
      <c r="A252" s="124"/>
      <c r="B252" s="140"/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</row>
    <row r="253">
      <c r="A253" s="124"/>
      <c r="B253" s="140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</row>
    <row r="254">
      <c r="A254" s="124"/>
      <c r="B254" s="140"/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</row>
    <row r="255">
      <c r="A255" s="124"/>
      <c r="B255" s="140"/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</row>
    <row r="256">
      <c r="A256" s="124"/>
      <c r="B256" s="140"/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</row>
    <row r="257">
      <c r="A257" s="124"/>
      <c r="B257" s="140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</row>
    <row r="258">
      <c r="A258" s="124"/>
      <c r="B258" s="140"/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</row>
    <row r="259">
      <c r="A259" s="124"/>
      <c r="B259" s="140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</row>
    <row r="260">
      <c r="A260" s="124"/>
      <c r="B260" s="140"/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</row>
    <row r="261">
      <c r="A261" s="124"/>
      <c r="B261" s="140"/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</row>
    <row r="262">
      <c r="A262" s="124"/>
      <c r="B262" s="140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</row>
    <row r="263">
      <c r="A263" s="124"/>
      <c r="B263" s="140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</row>
    <row r="264">
      <c r="A264" s="124"/>
      <c r="B264" s="140"/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</row>
    <row r="265">
      <c r="A265" s="124"/>
      <c r="B265" s="140"/>
      <c r="C265" s="124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</row>
    <row r="266">
      <c r="A266" s="124"/>
      <c r="B266" s="140"/>
      <c r="C266" s="124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</row>
    <row r="267">
      <c r="A267" s="124"/>
      <c r="B267" s="140"/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</row>
    <row r="268">
      <c r="A268" s="124"/>
      <c r="B268" s="140"/>
      <c r="C268" s="124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</row>
    <row r="269">
      <c r="A269" s="124"/>
      <c r="B269" s="140"/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</row>
    <row r="270">
      <c r="A270" s="124"/>
      <c r="B270" s="140"/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</row>
    <row r="271">
      <c r="A271" s="124"/>
      <c r="B271" s="140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</row>
    <row r="272">
      <c r="A272" s="124"/>
      <c r="B272" s="140"/>
      <c r="C272" s="124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</row>
    <row r="273">
      <c r="A273" s="124"/>
      <c r="B273" s="140"/>
      <c r="C273" s="124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</row>
    <row r="274">
      <c r="A274" s="124"/>
      <c r="B274" s="140"/>
      <c r="C274" s="124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</row>
    <row r="275">
      <c r="A275" s="124"/>
      <c r="B275" s="140"/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</row>
    <row r="276">
      <c r="A276" s="124"/>
      <c r="B276" s="140"/>
      <c r="C276" s="124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</row>
    <row r="277">
      <c r="A277" s="124"/>
      <c r="B277" s="140"/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</row>
    <row r="278">
      <c r="A278" s="124"/>
      <c r="B278" s="140"/>
      <c r="C278" s="124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</row>
    <row r="279">
      <c r="A279" s="124"/>
      <c r="B279" s="140"/>
      <c r="C279" s="124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</row>
    <row r="280">
      <c r="A280" s="124"/>
      <c r="B280" s="140"/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</row>
    <row r="281">
      <c r="A281" s="124"/>
      <c r="B281" s="140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</row>
    <row r="282">
      <c r="A282" s="124"/>
      <c r="B282" s="140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</row>
    <row r="283">
      <c r="A283" s="124"/>
      <c r="B283" s="140"/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</row>
    <row r="284">
      <c r="A284" s="124"/>
      <c r="B284" s="140"/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</row>
    <row r="285">
      <c r="A285" s="124"/>
      <c r="B285" s="140"/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</row>
    <row r="286">
      <c r="A286" s="124"/>
      <c r="B286" s="140"/>
      <c r="C286" s="124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</row>
    <row r="287">
      <c r="A287" s="124"/>
      <c r="B287" s="140"/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</row>
    <row r="288">
      <c r="A288" s="124"/>
      <c r="B288" s="140"/>
      <c r="C288" s="124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</row>
    <row r="289">
      <c r="A289" s="124"/>
      <c r="B289" s="140"/>
      <c r="C289" s="124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</row>
    <row r="290">
      <c r="A290" s="124"/>
      <c r="B290" s="140"/>
      <c r="C290" s="124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</row>
    <row r="291">
      <c r="A291" s="124"/>
      <c r="B291" s="140"/>
      <c r="C291" s="124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</row>
    <row r="292">
      <c r="A292" s="124"/>
      <c r="B292" s="140"/>
      <c r="C292" s="124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</row>
    <row r="293">
      <c r="A293" s="124"/>
      <c r="B293" s="140"/>
      <c r="C293" s="124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</row>
    <row r="294">
      <c r="A294" s="124"/>
      <c r="B294" s="140"/>
      <c r="C294" s="124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</row>
    <row r="295">
      <c r="A295" s="124"/>
      <c r="B295" s="140"/>
      <c r="C295" s="124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</row>
    <row r="296">
      <c r="A296" s="124"/>
      <c r="B296" s="140"/>
      <c r="C296" s="124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</row>
    <row r="297">
      <c r="A297" s="124"/>
      <c r="B297" s="140"/>
      <c r="C297" s="124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</row>
    <row r="298">
      <c r="A298" s="124"/>
      <c r="B298" s="140"/>
      <c r="C298" s="124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</row>
    <row r="299">
      <c r="A299" s="124"/>
      <c r="B299" s="140"/>
      <c r="C299" s="124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</row>
    <row r="300">
      <c r="A300" s="124"/>
      <c r="B300" s="140"/>
      <c r="C300" s="124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</row>
    <row r="301">
      <c r="A301" s="124"/>
      <c r="B301" s="140"/>
      <c r="C301" s="124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</row>
    <row r="302">
      <c r="A302" s="124"/>
      <c r="B302" s="140"/>
      <c r="C302" s="124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</row>
    <row r="303">
      <c r="A303" s="124"/>
      <c r="B303" s="140"/>
      <c r="C303" s="124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</row>
    <row r="304">
      <c r="A304" s="124"/>
      <c r="B304" s="140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</row>
    <row r="305">
      <c r="A305" s="124"/>
      <c r="B305" s="140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</row>
    <row r="306">
      <c r="A306" s="124"/>
      <c r="B306" s="140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</row>
    <row r="307">
      <c r="A307" s="124"/>
      <c r="B307" s="140"/>
      <c r="C307" s="124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</row>
    <row r="308">
      <c r="A308" s="124"/>
      <c r="B308" s="140"/>
      <c r="C308" s="124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</row>
    <row r="309">
      <c r="A309" s="124"/>
      <c r="B309" s="140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</row>
    <row r="310">
      <c r="A310" s="124"/>
      <c r="B310" s="140"/>
      <c r="C310" s="124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</row>
    <row r="311">
      <c r="A311" s="124"/>
      <c r="B311" s="140"/>
      <c r="C311" s="124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</row>
    <row r="312">
      <c r="A312" s="124"/>
      <c r="B312" s="140"/>
      <c r="C312" s="124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</row>
    <row r="313">
      <c r="A313" s="124"/>
      <c r="B313" s="140"/>
      <c r="C313" s="124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</row>
    <row r="314">
      <c r="A314" s="124"/>
      <c r="B314" s="140"/>
      <c r="C314" s="124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</row>
    <row r="315">
      <c r="A315" s="124"/>
      <c r="B315" s="140"/>
      <c r="C315" s="124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</row>
    <row r="316">
      <c r="A316" s="124"/>
      <c r="B316" s="140"/>
      <c r="C316" s="124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</row>
    <row r="317">
      <c r="A317" s="124"/>
      <c r="B317" s="140"/>
      <c r="C317" s="124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</row>
    <row r="318">
      <c r="A318" s="124"/>
      <c r="B318" s="140"/>
      <c r="C318" s="124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</row>
    <row r="319">
      <c r="A319" s="124"/>
      <c r="B319" s="140"/>
      <c r="C319" s="124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</row>
    <row r="320">
      <c r="A320" s="124"/>
      <c r="B320" s="140"/>
      <c r="C320" s="124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</row>
    <row r="321">
      <c r="A321" s="124"/>
      <c r="B321" s="140"/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</row>
    <row r="322">
      <c r="A322" s="124"/>
      <c r="B322" s="140"/>
      <c r="C322" s="124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</row>
    <row r="323">
      <c r="A323" s="124"/>
      <c r="B323" s="140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</row>
    <row r="324">
      <c r="A324" s="124"/>
      <c r="B324" s="140"/>
      <c r="C324" s="124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</row>
    <row r="325">
      <c r="A325" s="124"/>
      <c r="B325" s="140"/>
      <c r="C325" s="124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</row>
    <row r="326">
      <c r="A326" s="124"/>
      <c r="B326" s="140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</row>
    <row r="327">
      <c r="A327" s="124"/>
      <c r="B327" s="140"/>
      <c r="C327" s="124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</row>
    <row r="328">
      <c r="A328" s="124"/>
      <c r="B328" s="140"/>
      <c r="C328" s="124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</row>
    <row r="329">
      <c r="A329" s="124"/>
      <c r="B329" s="140"/>
      <c r="C329" s="124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</row>
    <row r="330">
      <c r="A330" s="124"/>
      <c r="B330" s="140"/>
      <c r="C330" s="124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</row>
    <row r="331">
      <c r="A331" s="124"/>
      <c r="B331" s="140"/>
      <c r="C331" s="124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</row>
    <row r="332">
      <c r="A332" s="124"/>
      <c r="B332" s="140"/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</row>
    <row r="333">
      <c r="A333" s="124"/>
      <c r="B333" s="140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</row>
    <row r="334">
      <c r="A334" s="124"/>
      <c r="B334" s="140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</row>
    <row r="335">
      <c r="A335" s="124"/>
      <c r="B335" s="140"/>
      <c r="C335" s="124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</row>
    <row r="336">
      <c r="A336" s="124"/>
      <c r="B336" s="140"/>
      <c r="C336" s="124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</row>
    <row r="337">
      <c r="A337" s="124"/>
      <c r="B337" s="140"/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</row>
    <row r="338">
      <c r="A338" s="124"/>
      <c r="B338" s="140"/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</row>
    <row r="339">
      <c r="A339" s="124"/>
      <c r="B339" s="140"/>
      <c r="C339" s="124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</row>
    <row r="340">
      <c r="A340" s="124"/>
      <c r="B340" s="140"/>
      <c r="C340" s="124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</row>
    <row r="341">
      <c r="A341" s="124"/>
      <c r="B341" s="140"/>
      <c r="C341" s="124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</row>
    <row r="342">
      <c r="A342" s="124"/>
      <c r="B342" s="140"/>
      <c r="C342" s="124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</row>
    <row r="343">
      <c r="A343" s="124"/>
      <c r="B343" s="140"/>
      <c r="C343" s="124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</row>
    <row r="344">
      <c r="A344" s="124"/>
      <c r="B344" s="140"/>
      <c r="C344" s="124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</row>
    <row r="345">
      <c r="A345" s="124"/>
      <c r="B345" s="140"/>
      <c r="C345" s="124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</row>
    <row r="346">
      <c r="A346" s="124"/>
      <c r="B346" s="140"/>
      <c r="C346" s="124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</row>
    <row r="347">
      <c r="A347" s="124"/>
      <c r="B347" s="140"/>
      <c r="C347" s="124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</row>
    <row r="348">
      <c r="A348" s="124"/>
      <c r="B348" s="140"/>
      <c r="C348" s="124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</row>
    <row r="349">
      <c r="A349" s="124"/>
      <c r="B349" s="140"/>
      <c r="C349" s="124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</row>
    <row r="350">
      <c r="A350" s="124"/>
      <c r="B350" s="140"/>
      <c r="C350" s="124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</row>
    <row r="351">
      <c r="A351" s="124"/>
      <c r="B351" s="140"/>
      <c r="C351" s="124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</row>
    <row r="352">
      <c r="A352" s="124"/>
      <c r="B352" s="140"/>
      <c r="C352" s="124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</row>
    <row r="353">
      <c r="A353" s="124"/>
      <c r="B353" s="140"/>
      <c r="C353" s="124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</row>
    <row r="354">
      <c r="A354" s="124"/>
      <c r="B354" s="140"/>
      <c r="C354" s="124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</row>
    <row r="355">
      <c r="A355" s="124"/>
      <c r="B355" s="140"/>
      <c r="C355" s="124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</row>
    <row r="356">
      <c r="A356" s="124"/>
      <c r="B356" s="140"/>
      <c r="C356" s="124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</row>
    <row r="357">
      <c r="A357" s="124"/>
      <c r="B357" s="140"/>
      <c r="C357" s="124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</row>
    <row r="358">
      <c r="A358" s="124"/>
      <c r="B358" s="140"/>
      <c r="C358" s="124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</row>
    <row r="359">
      <c r="A359" s="124"/>
      <c r="B359" s="140"/>
      <c r="C359" s="124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</row>
    <row r="360">
      <c r="A360" s="124"/>
      <c r="B360" s="140"/>
      <c r="C360" s="124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</row>
    <row r="361">
      <c r="A361" s="124"/>
      <c r="B361" s="140"/>
      <c r="C361" s="124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</row>
    <row r="362">
      <c r="A362" s="124"/>
      <c r="B362" s="140"/>
      <c r="C362" s="124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</row>
    <row r="363">
      <c r="A363" s="124"/>
      <c r="B363" s="140"/>
      <c r="C363" s="124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</row>
    <row r="364">
      <c r="A364" s="124"/>
      <c r="B364" s="140"/>
      <c r="C364" s="124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</row>
    <row r="365">
      <c r="A365" s="124"/>
      <c r="B365" s="140"/>
      <c r="C365" s="124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</row>
    <row r="366">
      <c r="A366" s="124"/>
      <c r="B366" s="140"/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</row>
    <row r="367">
      <c r="A367" s="124"/>
      <c r="B367" s="140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</row>
    <row r="368">
      <c r="A368" s="124"/>
      <c r="B368" s="140"/>
      <c r="C368" s="124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</row>
    <row r="369">
      <c r="A369" s="124"/>
      <c r="B369" s="140"/>
      <c r="C369" s="124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</row>
    <row r="370">
      <c r="A370" s="124"/>
      <c r="B370" s="140"/>
      <c r="C370" s="124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</row>
    <row r="371">
      <c r="A371" s="124"/>
      <c r="B371" s="140"/>
      <c r="C371" s="124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</row>
    <row r="372">
      <c r="A372" s="124"/>
      <c r="B372" s="140"/>
      <c r="C372" s="124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</row>
    <row r="373">
      <c r="A373" s="124"/>
      <c r="B373" s="140"/>
      <c r="C373" s="124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</row>
    <row r="374">
      <c r="A374" s="124"/>
      <c r="B374" s="140"/>
      <c r="C374" s="124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</row>
    <row r="375">
      <c r="A375" s="124"/>
      <c r="B375" s="140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</row>
    <row r="376">
      <c r="A376" s="124"/>
      <c r="B376" s="140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</row>
    <row r="377">
      <c r="A377" s="124"/>
      <c r="B377" s="140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</row>
    <row r="378">
      <c r="A378" s="124"/>
      <c r="B378" s="140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</row>
    <row r="379">
      <c r="A379" s="124"/>
      <c r="B379" s="140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</row>
    <row r="380">
      <c r="A380" s="124"/>
      <c r="B380" s="140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</row>
    <row r="381">
      <c r="A381" s="124"/>
      <c r="B381" s="140"/>
      <c r="C381" s="124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</row>
    <row r="382">
      <c r="A382" s="124"/>
      <c r="B382" s="140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</row>
    <row r="383">
      <c r="A383" s="124"/>
      <c r="B383" s="140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</row>
    <row r="384">
      <c r="A384" s="124"/>
      <c r="B384" s="140"/>
      <c r="C384" s="124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</row>
    <row r="385">
      <c r="A385" s="124"/>
      <c r="B385" s="140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</row>
    <row r="386">
      <c r="A386" s="124"/>
      <c r="B386" s="140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</row>
    <row r="387">
      <c r="A387" s="124"/>
      <c r="B387" s="140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</row>
    <row r="388">
      <c r="A388" s="124"/>
      <c r="B388" s="140"/>
      <c r="C388" s="124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</row>
    <row r="389">
      <c r="A389" s="124"/>
      <c r="B389" s="140"/>
      <c r="C389" s="124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</row>
    <row r="390">
      <c r="A390" s="124"/>
      <c r="B390" s="140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</row>
    <row r="391">
      <c r="A391" s="124"/>
      <c r="B391" s="140"/>
      <c r="C391" s="124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</row>
    <row r="392">
      <c r="A392" s="124"/>
      <c r="B392" s="140"/>
      <c r="C392" s="124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</row>
    <row r="393">
      <c r="A393" s="124"/>
      <c r="B393" s="140"/>
      <c r="C393" s="124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</row>
    <row r="394">
      <c r="A394" s="124"/>
      <c r="B394" s="140"/>
      <c r="C394" s="124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</row>
    <row r="395">
      <c r="A395" s="124"/>
      <c r="B395" s="140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</row>
    <row r="396">
      <c r="A396" s="124"/>
      <c r="B396" s="140"/>
      <c r="C396" s="124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</row>
    <row r="397">
      <c r="A397" s="124"/>
      <c r="B397" s="140"/>
      <c r="C397" s="124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</row>
    <row r="398">
      <c r="A398" s="124"/>
      <c r="B398" s="140"/>
      <c r="C398" s="124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</row>
    <row r="399">
      <c r="A399" s="124"/>
      <c r="B399" s="140"/>
      <c r="C399" s="124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</row>
    <row r="400">
      <c r="A400" s="124"/>
      <c r="B400" s="140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</row>
    <row r="401">
      <c r="A401" s="124"/>
      <c r="B401" s="140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</row>
    <row r="402">
      <c r="A402" s="124"/>
      <c r="B402" s="140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</row>
    <row r="403">
      <c r="A403" s="124"/>
      <c r="B403" s="140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</row>
    <row r="404">
      <c r="A404" s="124"/>
      <c r="B404" s="140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</row>
    <row r="405">
      <c r="A405" s="124"/>
      <c r="B405" s="140"/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</row>
    <row r="406">
      <c r="A406" s="124"/>
      <c r="B406" s="140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</row>
    <row r="407">
      <c r="A407" s="124"/>
      <c r="B407" s="140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</row>
    <row r="408">
      <c r="A408" s="124"/>
      <c r="B408" s="140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</row>
    <row r="409">
      <c r="A409" s="124"/>
      <c r="B409" s="140"/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</row>
    <row r="410">
      <c r="A410" s="124"/>
      <c r="B410" s="140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</row>
    <row r="411">
      <c r="A411" s="124"/>
      <c r="B411" s="140"/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</row>
    <row r="412">
      <c r="A412" s="124"/>
      <c r="B412" s="140"/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</row>
    <row r="413">
      <c r="A413" s="124"/>
      <c r="B413" s="140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</row>
    <row r="414">
      <c r="A414" s="124"/>
      <c r="B414" s="140"/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</row>
    <row r="415">
      <c r="A415" s="124"/>
      <c r="B415" s="140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</row>
    <row r="416">
      <c r="A416" s="124"/>
      <c r="B416" s="140"/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</row>
    <row r="417">
      <c r="A417" s="124"/>
      <c r="B417" s="140"/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</row>
    <row r="418">
      <c r="A418" s="124"/>
      <c r="B418" s="140"/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</row>
    <row r="419">
      <c r="A419" s="124"/>
      <c r="B419" s="140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</row>
    <row r="420">
      <c r="A420" s="124"/>
      <c r="B420" s="140"/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</row>
    <row r="421">
      <c r="A421" s="124"/>
      <c r="B421" s="140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</row>
    <row r="422">
      <c r="A422" s="124"/>
      <c r="B422" s="140"/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</row>
    <row r="423">
      <c r="A423" s="124"/>
      <c r="B423" s="140"/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</row>
    <row r="424">
      <c r="A424" s="124"/>
      <c r="B424" s="140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</row>
    <row r="425">
      <c r="A425" s="124"/>
      <c r="B425" s="140"/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</row>
    <row r="426">
      <c r="A426" s="124"/>
      <c r="B426" s="140"/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</row>
    <row r="427">
      <c r="A427" s="124"/>
      <c r="B427" s="140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</row>
    <row r="428">
      <c r="A428" s="124"/>
      <c r="B428" s="140"/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</row>
    <row r="429">
      <c r="A429" s="124"/>
      <c r="B429" s="140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</row>
    <row r="430">
      <c r="A430" s="124"/>
      <c r="B430" s="140"/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</row>
    <row r="431">
      <c r="A431" s="124"/>
      <c r="B431" s="140"/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</row>
    <row r="432">
      <c r="A432" s="124"/>
      <c r="B432" s="140"/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</row>
    <row r="433">
      <c r="A433" s="124"/>
      <c r="B433" s="140"/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</row>
    <row r="434">
      <c r="A434" s="124"/>
      <c r="B434" s="140"/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</row>
    <row r="435">
      <c r="A435" s="124"/>
      <c r="B435" s="140"/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</row>
    <row r="436">
      <c r="A436" s="124"/>
      <c r="B436" s="140"/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</row>
    <row r="437">
      <c r="A437" s="124"/>
      <c r="B437" s="140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</row>
    <row r="438">
      <c r="A438" s="124"/>
      <c r="B438" s="140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</row>
    <row r="439">
      <c r="A439" s="124"/>
      <c r="B439" s="140"/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</row>
    <row r="440">
      <c r="A440" s="124"/>
      <c r="B440" s="140"/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</row>
    <row r="441">
      <c r="A441" s="124"/>
      <c r="B441" s="140"/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</row>
    <row r="442">
      <c r="A442" s="124"/>
      <c r="B442" s="140"/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</row>
    <row r="443">
      <c r="A443" s="124"/>
      <c r="B443" s="140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</row>
    <row r="444">
      <c r="A444" s="124"/>
      <c r="B444" s="140"/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</row>
    <row r="445">
      <c r="A445" s="124"/>
      <c r="B445" s="140"/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</row>
    <row r="446">
      <c r="A446" s="124"/>
      <c r="B446" s="140"/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</row>
    <row r="447">
      <c r="A447" s="124"/>
      <c r="B447" s="140"/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</row>
    <row r="448">
      <c r="A448" s="124"/>
      <c r="B448" s="140"/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</row>
    <row r="449">
      <c r="A449" s="124"/>
      <c r="B449" s="140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</row>
    <row r="450">
      <c r="A450" s="124"/>
      <c r="B450" s="140"/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</row>
    <row r="451">
      <c r="A451" s="124"/>
      <c r="B451" s="140"/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</row>
    <row r="452">
      <c r="A452" s="124"/>
      <c r="B452" s="140"/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</row>
    <row r="453">
      <c r="A453" s="124"/>
      <c r="B453" s="140"/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</row>
    <row r="454">
      <c r="A454" s="124"/>
      <c r="B454" s="140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</row>
    <row r="455">
      <c r="A455" s="124"/>
      <c r="B455" s="140"/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</row>
    <row r="456">
      <c r="A456" s="124"/>
      <c r="B456" s="140"/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</row>
    <row r="457">
      <c r="A457" s="124"/>
      <c r="B457" s="140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</row>
    <row r="458">
      <c r="A458" s="124"/>
      <c r="B458" s="140"/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</row>
    <row r="459">
      <c r="A459" s="124"/>
      <c r="B459" s="140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</row>
    <row r="460">
      <c r="A460" s="124"/>
      <c r="B460" s="140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</row>
    <row r="461">
      <c r="A461" s="124"/>
      <c r="B461" s="140"/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</row>
    <row r="462">
      <c r="A462" s="124"/>
      <c r="B462" s="140"/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</row>
    <row r="463">
      <c r="A463" s="124"/>
      <c r="B463" s="140"/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</row>
    <row r="464">
      <c r="A464" s="124"/>
      <c r="B464" s="140"/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</row>
    <row r="465">
      <c r="A465" s="124"/>
      <c r="B465" s="140"/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</row>
    <row r="466">
      <c r="A466" s="124"/>
      <c r="B466" s="140"/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</row>
    <row r="467">
      <c r="A467" s="124"/>
      <c r="B467" s="140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</row>
    <row r="468">
      <c r="A468" s="124"/>
      <c r="B468" s="140"/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</row>
    <row r="469">
      <c r="A469" s="124"/>
      <c r="B469" s="140"/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</row>
    <row r="470">
      <c r="A470" s="124"/>
      <c r="B470" s="140"/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</row>
    <row r="471">
      <c r="A471" s="124"/>
      <c r="B471" s="140"/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</row>
    <row r="472">
      <c r="A472" s="124"/>
      <c r="B472" s="140"/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</row>
    <row r="473">
      <c r="A473" s="124"/>
      <c r="B473" s="140"/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</row>
    <row r="474">
      <c r="A474" s="124"/>
      <c r="B474" s="140"/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</row>
    <row r="475">
      <c r="A475" s="124"/>
      <c r="B475" s="140"/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</row>
    <row r="476">
      <c r="A476" s="124"/>
      <c r="B476" s="140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</row>
    <row r="477">
      <c r="A477" s="124"/>
      <c r="B477" s="140"/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</row>
    <row r="478">
      <c r="A478" s="124"/>
      <c r="B478" s="140"/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</row>
    <row r="479">
      <c r="A479" s="124"/>
      <c r="B479" s="140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</row>
    <row r="480">
      <c r="A480" s="124"/>
      <c r="B480" s="140"/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</row>
    <row r="481">
      <c r="A481" s="124"/>
      <c r="B481" s="140"/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</row>
    <row r="482">
      <c r="A482" s="124"/>
      <c r="B482" s="140"/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</row>
    <row r="483">
      <c r="A483" s="124"/>
      <c r="B483" s="140"/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</row>
    <row r="484">
      <c r="A484" s="124"/>
      <c r="B484" s="140"/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</row>
    <row r="485">
      <c r="A485" s="124"/>
      <c r="B485" s="140"/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</row>
    <row r="486">
      <c r="A486" s="124"/>
      <c r="B486" s="140"/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</row>
    <row r="487">
      <c r="A487" s="124"/>
      <c r="B487" s="140"/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</row>
    <row r="488">
      <c r="A488" s="124"/>
      <c r="B488" s="140"/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</row>
    <row r="489">
      <c r="A489" s="124"/>
      <c r="B489" s="140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</row>
    <row r="490">
      <c r="A490" s="124"/>
      <c r="B490" s="140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</row>
    <row r="491">
      <c r="A491" s="124"/>
      <c r="B491" s="140"/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</row>
    <row r="492">
      <c r="A492" s="124"/>
      <c r="B492" s="140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</row>
    <row r="493">
      <c r="A493" s="124"/>
      <c r="B493" s="140"/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</row>
    <row r="494">
      <c r="A494" s="124"/>
      <c r="B494" s="140"/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</row>
    <row r="495">
      <c r="A495" s="124"/>
      <c r="B495" s="140"/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</row>
    <row r="496">
      <c r="A496" s="124"/>
      <c r="B496" s="140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</row>
    <row r="497">
      <c r="A497" s="124"/>
      <c r="B497" s="140"/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</row>
    <row r="498">
      <c r="A498" s="124"/>
      <c r="B498" s="140"/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</row>
    <row r="499">
      <c r="A499" s="124"/>
      <c r="B499" s="140"/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</row>
    <row r="500">
      <c r="A500" s="124"/>
      <c r="B500" s="140"/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</row>
    <row r="501">
      <c r="A501" s="124"/>
      <c r="B501" s="140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</row>
    <row r="502">
      <c r="A502" s="124"/>
      <c r="B502" s="140"/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</row>
    <row r="503">
      <c r="A503" s="124"/>
      <c r="B503" s="140"/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</row>
    <row r="504">
      <c r="A504" s="124"/>
      <c r="B504" s="140"/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</row>
    <row r="505">
      <c r="A505" s="124"/>
      <c r="B505" s="140"/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</row>
    <row r="506">
      <c r="A506" s="124"/>
      <c r="B506" s="140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</row>
    <row r="507">
      <c r="A507" s="124"/>
      <c r="B507" s="140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</row>
    <row r="508">
      <c r="A508" s="124"/>
      <c r="B508" s="140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</row>
    <row r="509">
      <c r="A509" s="124"/>
      <c r="B509" s="140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</row>
    <row r="510">
      <c r="A510" s="124"/>
      <c r="B510" s="140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</row>
    <row r="511">
      <c r="A511" s="124"/>
      <c r="B511" s="140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</row>
    <row r="512">
      <c r="A512" s="124"/>
      <c r="B512" s="140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</row>
    <row r="513">
      <c r="A513" s="124"/>
      <c r="B513" s="140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</row>
    <row r="514">
      <c r="A514" s="124"/>
      <c r="B514" s="140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</row>
    <row r="515">
      <c r="A515" s="124"/>
      <c r="B515" s="140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</row>
    <row r="516">
      <c r="A516" s="124"/>
      <c r="B516" s="140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</row>
    <row r="517">
      <c r="A517" s="124"/>
      <c r="B517" s="140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</row>
    <row r="518">
      <c r="A518" s="124"/>
      <c r="B518" s="140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</row>
    <row r="519">
      <c r="A519" s="124"/>
      <c r="B519" s="140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</row>
    <row r="520">
      <c r="A520" s="124"/>
      <c r="B520" s="140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</row>
    <row r="521">
      <c r="A521" s="124"/>
      <c r="B521" s="140"/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</row>
    <row r="522">
      <c r="A522" s="124"/>
      <c r="B522" s="140"/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</row>
    <row r="523">
      <c r="A523" s="124"/>
      <c r="B523" s="140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</row>
    <row r="524">
      <c r="A524" s="124"/>
      <c r="B524" s="140"/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</row>
    <row r="525">
      <c r="A525" s="124"/>
      <c r="B525" s="140"/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</row>
    <row r="526">
      <c r="A526" s="124"/>
      <c r="B526" s="140"/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</row>
    <row r="527">
      <c r="A527" s="124"/>
      <c r="B527" s="140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</row>
    <row r="528">
      <c r="A528" s="124"/>
      <c r="B528" s="140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</row>
    <row r="529">
      <c r="A529" s="124"/>
      <c r="B529" s="140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</row>
    <row r="530">
      <c r="A530" s="124"/>
      <c r="B530" s="140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</row>
    <row r="531">
      <c r="A531" s="124"/>
      <c r="B531" s="140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</row>
    <row r="532">
      <c r="A532" s="124"/>
      <c r="B532" s="140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</row>
    <row r="533">
      <c r="A533" s="124"/>
      <c r="B533" s="140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</row>
    <row r="534">
      <c r="A534" s="124"/>
      <c r="B534" s="140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</row>
    <row r="535">
      <c r="A535" s="124"/>
      <c r="B535" s="140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</row>
    <row r="536">
      <c r="A536" s="124"/>
      <c r="B536" s="140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</row>
    <row r="537">
      <c r="A537" s="124"/>
      <c r="B537" s="140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</row>
    <row r="538">
      <c r="A538" s="124"/>
      <c r="B538" s="140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</row>
    <row r="539">
      <c r="A539" s="124"/>
      <c r="B539" s="140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</row>
    <row r="540">
      <c r="A540" s="124"/>
      <c r="B540" s="140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</row>
    <row r="541">
      <c r="A541" s="124"/>
      <c r="B541" s="140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</row>
    <row r="542">
      <c r="A542" s="124"/>
      <c r="B542" s="140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</row>
    <row r="543">
      <c r="A543" s="124"/>
      <c r="B543" s="140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</row>
    <row r="544">
      <c r="A544" s="124"/>
      <c r="B544" s="140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</row>
    <row r="545">
      <c r="A545" s="124"/>
      <c r="B545" s="140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</row>
    <row r="546">
      <c r="A546" s="124"/>
      <c r="B546" s="140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</row>
    <row r="547">
      <c r="A547" s="124"/>
      <c r="B547" s="140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</row>
    <row r="548">
      <c r="A548" s="124"/>
      <c r="B548" s="140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</row>
    <row r="549">
      <c r="A549" s="124"/>
      <c r="B549" s="140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</row>
    <row r="550">
      <c r="A550" s="124"/>
      <c r="B550" s="140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</row>
    <row r="551">
      <c r="A551" s="124"/>
      <c r="B551" s="140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</row>
    <row r="552">
      <c r="A552" s="124"/>
      <c r="B552" s="140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</row>
    <row r="553">
      <c r="A553" s="124"/>
      <c r="B553" s="140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</row>
    <row r="554">
      <c r="A554" s="124"/>
      <c r="B554" s="140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</row>
    <row r="555">
      <c r="A555" s="124"/>
      <c r="B555" s="140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</row>
    <row r="556">
      <c r="A556" s="124"/>
      <c r="B556" s="140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</row>
    <row r="557">
      <c r="A557" s="124"/>
      <c r="B557" s="140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</row>
    <row r="558">
      <c r="A558" s="124"/>
      <c r="B558" s="140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</row>
    <row r="559">
      <c r="A559" s="124"/>
      <c r="B559" s="140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</row>
    <row r="560">
      <c r="A560" s="124"/>
      <c r="B560" s="140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</row>
    <row r="561">
      <c r="A561" s="124"/>
      <c r="B561" s="140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</row>
    <row r="562">
      <c r="A562" s="124"/>
      <c r="B562" s="140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</row>
    <row r="563">
      <c r="A563" s="124"/>
      <c r="B563" s="140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</row>
    <row r="564">
      <c r="A564" s="124"/>
      <c r="B564" s="140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</row>
    <row r="565">
      <c r="A565" s="124"/>
      <c r="B565" s="140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</row>
    <row r="566">
      <c r="A566" s="124"/>
      <c r="B566" s="140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</row>
    <row r="567">
      <c r="A567" s="124"/>
      <c r="B567" s="140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</row>
    <row r="568">
      <c r="A568" s="124"/>
      <c r="B568" s="140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</row>
    <row r="569">
      <c r="A569" s="124"/>
      <c r="B569" s="140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</row>
    <row r="570">
      <c r="A570" s="124"/>
      <c r="B570" s="140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</row>
    <row r="571">
      <c r="A571" s="124"/>
      <c r="B571" s="140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</row>
    <row r="572">
      <c r="A572" s="124"/>
      <c r="B572" s="140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</row>
    <row r="573">
      <c r="A573" s="124"/>
      <c r="B573" s="140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</row>
    <row r="574">
      <c r="A574" s="124"/>
      <c r="B574" s="140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</row>
    <row r="575">
      <c r="A575" s="124"/>
      <c r="B575" s="140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</row>
    <row r="576">
      <c r="A576" s="124"/>
      <c r="B576" s="140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</row>
    <row r="577">
      <c r="A577" s="124"/>
      <c r="B577" s="140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</row>
    <row r="578">
      <c r="A578" s="124"/>
      <c r="B578" s="140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</row>
    <row r="579">
      <c r="A579" s="124"/>
      <c r="B579" s="140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</row>
    <row r="580">
      <c r="A580" s="124"/>
      <c r="B580" s="140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</row>
    <row r="581">
      <c r="A581" s="124"/>
      <c r="B581" s="140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</row>
    <row r="582">
      <c r="A582" s="124"/>
      <c r="B582" s="140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</row>
    <row r="583">
      <c r="A583" s="124"/>
      <c r="B583" s="140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</row>
    <row r="584">
      <c r="A584" s="124"/>
      <c r="B584" s="140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</row>
    <row r="585">
      <c r="A585" s="124"/>
      <c r="B585" s="140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</row>
    <row r="586">
      <c r="A586" s="124"/>
      <c r="B586" s="140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</row>
    <row r="587">
      <c r="A587" s="124"/>
      <c r="B587" s="140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</row>
    <row r="588">
      <c r="A588" s="124"/>
      <c r="B588" s="140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</row>
    <row r="589">
      <c r="A589" s="124"/>
      <c r="B589" s="140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</row>
    <row r="590">
      <c r="A590" s="124"/>
      <c r="B590" s="140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</row>
    <row r="591">
      <c r="A591" s="124"/>
      <c r="B591" s="140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</row>
    <row r="592">
      <c r="A592" s="124"/>
      <c r="B592" s="140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</row>
    <row r="593">
      <c r="A593" s="124"/>
      <c r="B593" s="140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</row>
    <row r="594">
      <c r="A594" s="124"/>
      <c r="B594" s="140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</row>
    <row r="595">
      <c r="A595" s="124"/>
      <c r="B595" s="140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</row>
    <row r="596">
      <c r="A596" s="124"/>
      <c r="B596" s="140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</row>
    <row r="597">
      <c r="A597" s="124"/>
      <c r="B597" s="140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</row>
    <row r="598">
      <c r="A598" s="124"/>
      <c r="B598" s="140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</row>
    <row r="599">
      <c r="A599" s="124"/>
      <c r="B599" s="140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</row>
    <row r="600">
      <c r="A600" s="124"/>
      <c r="B600" s="140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</row>
    <row r="601">
      <c r="A601" s="124"/>
      <c r="B601" s="140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</row>
    <row r="602">
      <c r="A602" s="124"/>
      <c r="B602" s="140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</row>
    <row r="603">
      <c r="A603" s="124"/>
      <c r="B603" s="140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</row>
    <row r="604">
      <c r="A604" s="124"/>
      <c r="B604" s="140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</row>
    <row r="605">
      <c r="A605" s="124"/>
      <c r="B605" s="140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</row>
    <row r="606">
      <c r="A606" s="124"/>
      <c r="B606" s="140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</row>
    <row r="607">
      <c r="A607" s="124"/>
      <c r="B607" s="140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</row>
    <row r="608">
      <c r="A608" s="124"/>
      <c r="B608" s="140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</row>
    <row r="609">
      <c r="A609" s="124"/>
      <c r="B609" s="140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</row>
    <row r="610">
      <c r="A610" s="124"/>
      <c r="B610" s="140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</row>
    <row r="611">
      <c r="A611" s="124"/>
      <c r="B611" s="140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</row>
    <row r="612">
      <c r="A612" s="124"/>
      <c r="B612" s="140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</row>
    <row r="613">
      <c r="A613" s="124"/>
      <c r="B613" s="140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</row>
    <row r="614">
      <c r="A614" s="124"/>
      <c r="B614" s="140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</row>
    <row r="615">
      <c r="A615" s="124"/>
      <c r="B615" s="140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</row>
    <row r="616">
      <c r="A616" s="124"/>
      <c r="B616" s="140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</row>
    <row r="617">
      <c r="A617" s="124"/>
      <c r="B617" s="140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</row>
    <row r="618">
      <c r="A618" s="124"/>
      <c r="B618" s="140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</row>
    <row r="619">
      <c r="A619" s="124"/>
      <c r="B619" s="140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</row>
    <row r="620">
      <c r="A620" s="124"/>
      <c r="B620" s="140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</row>
    <row r="621">
      <c r="A621" s="124"/>
      <c r="B621" s="140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</row>
    <row r="622">
      <c r="A622" s="124"/>
      <c r="B622" s="140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</row>
    <row r="623">
      <c r="A623" s="124"/>
      <c r="B623" s="140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</row>
    <row r="624">
      <c r="A624" s="124"/>
      <c r="B624" s="140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</row>
    <row r="625">
      <c r="A625" s="124"/>
      <c r="B625" s="140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</row>
    <row r="626">
      <c r="A626" s="124"/>
      <c r="B626" s="140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</row>
    <row r="627">
      <c r="A627" s="124"/>
      <c r="B627" s="140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</row>
    <row r="628">
      <c r="A628" s="124"/>
      <c r="B628" s="140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</row>
    <row r="629">
      <c r="A629" s="124"/>
      <c r="B629" s="140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</row>
    <row r="630">
      <c r="A630" s="124"/>
      <c r="B630" s="140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</row>
    <row r="631">
      <c r="A631" s="124"/>
      <c r="B631" s="140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</row>
    <row r="632">
      <c r="A632" s="124"/>
      <c r="B632" s="140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</row>
    <row r="633">
      <c r="A633" s="124"/>
      <c r="B633" s="140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</row>
    <row r="634">
      <c r="A634" s="124"/>
      <c r="B634" s="140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</row>
    <row r="635">
      <c r="A635" s="124"/>
      <c r="B635" s="140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</row>
    <row r="636">
      <c r="A636" s="124"/>
      <c r="B636" s="140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</row>
    <row r="637">
      <c r="A637" s="124"/>
      <c r="B637" s="140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</row>
    <row r="638">
      <c r="A638" s="124"/>
      <c r="B638" s="140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</row>
    <row r="639">
      <c r="A639" s="124"/>
      <c r="B639" s="140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</row>
    <row r="640">
      <c r="A640" s="124"/>
      <c r="B640" s="140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</row>
    <row r="641">
      <c r="A641" s="124"/>
      <c r="B641" s="140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</row>
    <row r="642">
      <c r="A642" s="124"/>
      <c r="B642" s="140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</row>
    <row r="643">
      <c r="A643" s="124"/>
      <c r="B643" s="140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</row>
    <row r="644">
      <c r="A644" s="124"/>
      <c r="B644" s="140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</row>
    <row r="645">
      <c r="A645" s="124"/>
      <c r="B645" s="140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</row>
    <row r="646">
      <c r="A646" s="124"/>
      <c r="B646" s="140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</row>
    <row r="647">
      <c r="A647" s="124"/>
      <c r="B647" s="140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</row>
    <row r="648">
      <c r="A648" s="124"/>
      <c r="B648" s="140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</row>
    <row r="649">
      <c r="A649" s="124"/>
      <c r="B649" s="140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</row>
    <row r="650">
      <c r="A650" s="124"/>
      <c r="B650" s="140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</row>
    <row r="651">
      <c r="A651" s="124"/>
      <c r="B651" s="140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</row>
    <row r="652">
      <c r="A652" s="124"/>
      <c r="B652" s="140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</row>
    <row r="653">
      <c r="A653" s="124"/>
      <c r="B653" s="140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</row>
    <row r="654">
      <c r="A654" s="124"/>
      <c r="B654" s="140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</row>
    <row r="655">
      <c r="A655" s="124"/>
      <c r="B655" s="140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</row>
    <row r="656">
      <c r="A656" s="124"/>
      <c r="B656" s="140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</row>
    <row r="657">
      <c r="A657" s="124"/>
      <c r="B657" s="140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</row>
    <row r="658">
      <c r="A658" s="124"/>
      <c r="B658" s="140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</row>
    <row r="659">
      <c r="A659" s="124"/>
      <c r="B659" s="140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</row>
    <row r="660">
      <c r="A660" s="124"/>
      <c r="B660" s="140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</row>
    <row r="661">
      <c r="A661" s="124"/>
      <c r="B661" s="140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</row>
    <row r="662">
      <c r="A662" s="124"/>
      <c r="B662" s="140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</row>
    <row r="663">
      <c r="A663" s="124"/>
      <c r="B663" s="140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</row>
    <row r="664">
      <c r="A664" s="124"/>
      <c r="B664" s="140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</row>
    <row r="665">
      <c r="A665" s="124"/>
      <c r="B665" s="140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</row>
    <row r="666">
      <c r="A666" s="124"/>
      <c r="B666" s="140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</row>
    <row r="667">
      <c r="A667" s="124"/>
      <c r="B667" s="140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</row>
    <row r="668">
      <c r="A668" s="124"/>
      <c r="B668" s="140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</row>
    <row r="669">
      <c r="A669" s="124"/>
      <c r="B669" s="140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</row>
    <row r="670">
      <c r="A670" s="124"/>
      <c r="B670" s="140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</row>
    <row r="671">
      <c r="A671" s="124"/>
      <c r="B671" s="140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</row>
    <row r="672">
      <c r="A672" s="124"/>
      <c r="B672" s="140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</row>
    <row r="673">
      <c r="A673" s="124"/>
      <c r="B673" s="140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</row>
    <row r="674">
      <c r="A674" s="124"/>
      <c r="B674" s="140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</row>
    <row r="675">
      <c r="A675" s="124"/>
      <c r="B675" s="140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</row>
    <row r="676">
      <c r="A676" s="124"/>
      <c r="B676" s="140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</row>
    <row r="677">
      <c r="A677" s="124"/>
      <c r="B677" s="140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</row>
    <row r="678">
      <c r="A678" s="124"/>
      <c r="B678" s="140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</row>
    <row r="679">
      <c r="A679" s="124"/>
      <c r="B679" s="140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</row>
    <row r="680">
      <c r="A680" s="124"/>
      <c r="B680" s="140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</row>
    <row r="681">
      <c r="A681" s="124"/>
      <c r="B681" s="140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</row>
    <row r="682">
      <c r="A682" s="124"/>
      <c r="B682" s="140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</row>
    <row r="683">
      <c r="A683" s="124"/>
      <c r="B683" s="140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</row>
    <row r="684">
      <c r="A684" s="124"/>
      <c r="B684" s="140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</row>
    <row r="685">
      <c r="A685" s="124"/>
      <c r="B685" s="140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</row>
    <row r="686">
      <c r="A686" s="124"/>
      <c r="B686" s="140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</row>
    <row r="687">
      <c r="A687" s="124"/>
      <c r="B687" s="140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</row>
    <row r="688">
      <c r="A688" s="124"/>
      <c r="B688" s="140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</row>
    <row r="689">
      <c r="A689" s="124"/>
      <c r="B689" s="140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</row>
    <row r="690">
      <c r="A690" s="124"/>
      <c r="B690" s="140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</row>
    <row r="691">
      <c r="A691" s="124"/>
      <c r="B691" s="140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</row>
    <row r="692">
      <c r="A692" s="124"/>
      <c r="B692" s="140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</row>
    <row r="693">
      <c r="A693" s="124"/>
      <c r="B693" s="140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</row>
    <row r="694">
      <c r="A694" s="124"/>
      <c r="B694" s="140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</row>
    <row r="695">
      <c r="A695" s="124"/>
      <c r="B695" s="140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</row>
    <row r="696">
      <c r="A696" s="124"/>
      <c r="B696" s="140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</row>
    <row r="697">
      <c r="A697" s="124"/>
      <c r="B697" s="140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</row>
    <row r="698">
      <c r="A698" s="124"/>
      <c r="B698" s="140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</row>
    <row r="699">
      <c r="A699" s="124"/>
      <c r="B699" s="140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</row>
    <row r="700">
      <c r="A700" s="124"/>
      <c r="B700" s="140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</row>
    <row r="701">
      <c r="A701" s="124"/>
      <c r="B701" s="140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</row>
    <row r="702">
      <c r="A702" s="124"/>
      <c r="B702" s="140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</row>
    <row r="703">
      <c r="A703" s="124"/>
      <c r="B703" s="140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</row>
    <row r="704">
      <c r="A704" s="124"/>
      <c r="B704" s="140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</row>
    <row r="705">
      <c r="A705" s="124"/>
      <c r="B705" s="140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</row>
    <row r="706">
      <c r="A706" s="124"/>
      <c r="B706" s="140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</row>
    <row r="707">
      <c r="A707" s="124"/>
      <c r="B707" s="140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</row>
    <row r="708">
      <c r="A708" s="124"/>
      <c r="B708" s="140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</row>
    <row r="709">
      <c r="A709" s="124"/>
      <c r="B709" s="140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</row>
    <row r="710">
      <c r="A710" s="124"/>
      <c r="B710" s="140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</row>
    <row r="711">
      <c r="A711" s="124"/>
      <c r="B711" s="140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</row>
    <row r="712">
      <c r="A712" s="124"/>
      <c r="B712" s="140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</row>
    <row r="713">
      <c r="A713" s="124"/>
      <c r="B713" s="140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</row>
    <row r="714">
      <c r="A714" s="124"/>
      <c r="B714" s="140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</row>
    <row r="715">
      <c r="A715" s="124"/>
      <c r="B715" s="140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</row>
    <row r="716">
      <c r="A716" s="124"/>
      <c r="B716" s="140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</row>
    <row r="717">
      <c r="A717" s="124"/>
      <c r="B717" s="140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</row>
    <row r="718">
      <c r="A718" s="124"/>
      <c r="B718" s="140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</row>
    <row r="719">
      <c r="A719" s="124"/>
      <c r="B719" s="140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</row>
    <row r="720">
      <c r="A720" s="124"/>
      <c r="B720" s="140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</row>
    <row r="721">
      <c r="A721" s="124"/>
      <c r="B721" s="140"/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</row>
    <row r="722">
      <c r="A722" s="124"/>
      <c r="B722" s="140"/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</row>
    <row r="723">
      <c r="A723" s="124"/>
      <c r="B723" s="140"/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</row>
    <row r="724">
      <c r="A724" s="124"/>
      <c r="B724" s="140"/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</row>
    <row r="725">
      <c r="A725" s="124"/>
      <c r="B725" s="140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</row>
    <row r="726">
      <c r="A726" s="124"/>
      <c r="B726" s="140"/>
      <c r="C726" s="124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</row>
    <row r="727">
      <c r="A727" s="124"/>
      <c r="B727" s="140"/>
      <c r="C727" s="124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</row>
    <row r="728">
      <c r="A728" s="124"/>
      <c r="B728" s="140"/>
      <c r="C728" s="124"/>
      <c r="D728" s="124"/>
      <c r="E728" s="124"/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</row>
    <row r="729">
      <c r="A729" s="124"/>
      <c r="B729" s="140"/>
      <c r="C729" s="124"/>
      <c r="D729" s="124"/>
      <c r="E729" s="124"/>
      <c r="F729" s="124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</row>
    <row r="730">
      <c r="A730" s="124"/>
      <c r="B730" s="140"/>
      <c r="C730" s="124"/>
      <c r="D730" s="124"/>
      <c r="E730" s="124"/>
      <c r="F730" s="124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</row>
    <row r="731">
      <c r="A731" s="124"/>
      <c r="B731" s="140"/>
      <c r="C731" s="124"/>
      <c r="D731" s="124"/>
      <c r="E731" s="124"/>
      <c r="F731" s="124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</row>
    <row r="732">
      <c r="A732" s="124"/>
      <c r="B732" s="140"/>
      <c r="C732" s="124"/>
      <c r="D732" s="124"/>
      <c r="E732" s="124"/>
      <c r="F732" s="124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</row>
    <row r="733">
      <c r="A733" s="124"/>
      <c r="B733" s="140"/>
      <c r="C733" s="124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</row>
    <row r="734">
      <c r="A734" s="124"/>
      <c r="B734" s="140"/>
      <c r="C734" s="124"/>
      <c r="D734" s="124"/>
      <c r="E734" s="124"/>
      <c r="F734" s="124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</row>
    <row r="735">
      <c r="A735" s="124"/>
      <c r="B735" s="140"/>
      <c r="C735" s="124"/>
      <c r="D735" s="124"/>
      <c r="E735" s="124"/>
      <c r="F735" s="124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</row>
    <row r="736">
      <c r="A736" s="124"/>
      <c r="B736" s="140"/>
      <c r="C736" s="124"/>
      <c r="D736" s="124"/>
      <c r="E736" s="124"/>
      <c r="F736" s="124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</row>
    <row r="737">
      <c r="A737" s="124"/>
      <c r="B737" s="140"/>
      <c r="C737" s="124"/>
      <c r="D737" s="124"/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</row>
    <row r="738">
      <c r="A738" s="124"/>
      <c r="B738" s="140"/>
      <c r="C738" s="124"/>
      <c r="D738" s="124"/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</row>
    <row r="739">
      <c r="A739" s="124"/>
      <c r="B739" s="140"/>
      <c r="C739" s="124"/>
      <c r="D739" s="124"/>
      <c r="E739" s="124"/>
      <c r="F739" s="124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</row>
    <row r="740">
      <c r="A740" s="124"/>
      <c r="B740" s="140"/>
      <c r="C740" s="124"/>
      <c r="D740" s="124"/>
      <c r="E740" s="124"/>
      <c r="F740" s="124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</row>
    <row r="741">
      <c r="A741" s="124"/>
      <c r="B741" s="140"/>
      <c r="C741" s="124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</row>
    <row r="742">
      <c r="A742" s="124"/>
      <c r="B742" s="140"/>
      <c r="C742" s="124"/>
      <c r="D742" s="124"/>
      <c r="E742" s="124"/>
      <c r="F742" s="124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</row>
    <row r="743">
      <c r="A743" s="124"/>
      <c r="B743" s="140"/>
      <c r="C743" s="124"/>
      <c r="D743" s="124"/>
      <c r="E743" s="124"/>
      <c r="F743" s="124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</row>
    <row r="744">
      <c r="A744" s="124"/>
      <c r="B744" s="140"/>
      <c r="C744" s="124"/>
      <c r="D744" s="124"/>
      <c r="E744" s="124"/>
      <c r="F744" s="124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</row>
    <row r="745">
      <c r="A745" s="124"/>
      <c r="B745" s="140"/>
      <c r="C745" s="124"/>
      <c r="D745" s="124"/>
      <c r="E745" s="124"/>
      <c r="F745" s="124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</row>
    <row r="746">
      <c r="A746" s="124"/>
      <c r="B746" s="140"/>
      <c r="C746" s="124"/>
      <c r="D746" s="124"/>
      <c r="E746" s="124"/>
      <c r="F746" s="124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</row>
    <row r="747">
      <c r="A747" s="124"/>
      <c r="B747" s="140"/>
      <c r="C747" s="124"/>
      <c r="D747" s="124"/>
      <c r="E747" s="124"/>
      <c r="F747" s="124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</row>
    <row r="748">
      <c r="A748" s="124"/>
      <c r="B748" s="140"/>
      <c r="C748" s="124"/>
      <c r="D748" s="124"/>
      <c r="E748" s="124"/>
      <c r="F748" s="124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</row>
    <row r="749">
      <c r="A749" s="124"/>
      <c r="B749" s="140"/>
      <c r="C749" s="124"/>
      <c r="D749" s="124"/>
      <c r="E749" s="124"/>
      <c r="F749" s="124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</row>
    <row r="750">
      <c r="A750" s="124"/>
      <c r="B750" s="140"/>
      <c r="C750" s="124"/>
      <c r="D750" s="124"/>
      <c r="E750" s="124"/>
      <c r="F750" s="124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</row>
    <row r="751">
      <c r="A751" s="124"/>
      <c r="B751" s="140"/>
      <c r="C751" s="124"/>
      <c r="D751" s="124"/>
      <c r="E751" s="124"/>
      <c r="F751" s="124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</row>
    <row r="752">
      <c r="A752" s="124"/>
      <c r="B752" s="140"/>
      <c r="C752" s="124"/>
      <c r="D752" s="124"/>
      <c r="E752" s="124"/>
      <c r="F752" s="124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</row>
    <row r="753">
      <c r="A753" s="124"/>
      <c r="B753" s="140"/>
      <c r="C753" s="124"/>
      <c r="D753" s="124"/>
      <c r="E753" s="124"/>
      <c r="F753" s="124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</row>
    <row r="754">
      <c r="A754" s="124"/>
      <c r="B754" s="140"/>
      <c r="C754" s="124"/>
      <c r="D754" s="124"/>
      <c r="E754" s="124"/>
      <c r="F754" s="124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</row>
    <row r="755">
      <c r="A755" s="124"/>
      <c r="B755" s="140"/>
      <c r="C755" s="124"/>
      <c r="D755" s="124"/>
      <c r="E755" s="124"/>
      <c r="F755" s="124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</row>
    <row r="756">
      <c r="A756" s="124"/>
      <c r="B756" s="140"/>
      <c r="C756" s="124"/>
      <c r="D756" s="124"/>
      <c r="E756" s="124"/>
      <c r="F756" s="124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</row>
    <row r="757">
      <c r="A757" s="124"/>
      <c r="B757" s="140"/>
      <c r="C757" s="124"/>
      <c r="D757" s="124"/>
      <c r="E757" s="124"/>
      <c r="F757" s="124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</row>
    <row r="758">
      <c r="A758" s="124"/>
      <c r="B758" s="140"/>
      <c r="C758" s="124"/>
      <c r="D758" s="124"/>
      <c r="E758" s="124"/>
      <c r="F758" s="124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</row>
    <row r="759">
      <c r="A759" s="124"/>
      <c r="B759" s="140"/>
      <c r="C759" s="124"/>
      <c r="D759" s="124"/>
      <c r="E759" s="124"/>
      <c r="F759" s="124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</row>
    <row r="760">
      <c r="A760" s="124"/>
      <c r="B760" s="140"/>
      <c r="C760" s="124"/>
      <c r="D760" s="124"/>
      <c r="E760" s="124"/>
      <c r="F760" s="124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</row>
    <row r="761">
      <c r="A761" s="124"/>
      <c r="B761" s="140"/>
      <c r="C761" s="124"/>
      <c r="D761" s="124"/>
      <c r="E761" s="124"/>
      <c r="F761" s="124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</row>
    <row r="762">
      <c r="A762" s="124"/>
      <c r="B762" s="140"/>
      <c r="C762" s="124"/>
      <c r="D762" s="124"/>
      <c r="E762" s="124"/>
      <c r="F762" s="124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</row>
    <row r="763">
      <c r="A763" s="124"/>
      <c r="B763" s="140"/>
      <c r="C763" s="124"/>
      <c r="D763" s="124"/>
      <c r="E763" s="124"/>
      <c r="F763" s="124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</row>
    <row r="764">
      <c r="A764" s="124"/>
      <c r="B764" s="140"/>
      <c r="C764" s="124"/>
      <c r="D764" s="124"/>
      <c r="E764" s="124"/>
      <c r="F764" s="124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</row>
    <row r="765">
      <c r="A765" s="124"/>
      <c r="B765" s="140"/>
      <c r="C765" s="124"/>
      <c r="D765" s="124"/>
      <c r="E765" s="124"/>
      <c r="F765" s="124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</row>
    <row r="766">
      <c r="A766" s="124"/>
      <c r="B766" s="140"/>
      <c r="C766" s="124"/>
      <c r="D766" s="124"/>
      <c r="E766" s="124"/>
      <c r="F766" s="124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</row>
    <row r="767">
      <c r="A767" s="124"/>
      <c r="B767" s="140"/>
      <c r="C767" s="124"/>
      <c r="D767" s="124"/>
      <c r="E767" s="124"/>
      <c r="F767" s="124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</row>
    <row r="768">
      <c r="A768" s="124"/>
      <c r="B768" s="140"/>
      <c r="C768" s="124"/>
      <c r="D768" s="124"/>
      <c r="E768" s="124"/>
      <c r="F768" s="124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</row>
    <row r="769">
      <c r="A769" s="124"/>
      <c r="B769" s="140"/>
      <c r="C769" s="124"/>
      <c r="D769" s="124"/>
      <c r="E769" s="124"/>
      <c r="F769" s="124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</row>
    <row r="770">
      <c r="A770" s="124"/>
      <c r="B770" s="140"/>
      <c r="C770" s="124"/>
      <c r="D770" s="124"/>
      <c r="E770" s="124"/>
      <c r="F770" s="124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</row>
    <row r="771">
      <c r="A771" s="124"/>
      <c r="B771" s="140"/>
      <c r="C771" s="124"/>
      <c r="D771" s="124"/>
      <c r="E771" s="124"/>
      <c r="F771" s="124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</row>
    <row r="772">
      <c r="A772" s="124"/>
      <c r="B772" s="140"/>
      <c r="C772" s="124"/>
      <c r="D772" s="124"/>
      <c r="E772" s="124"/>
      <c r="F772" s="124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</row>
    <row r="773">
      <c r="A773" s="124"/>
      <c r="B773" s="140"/>
      <c r="C773" s="124"/>
      <c r="D773" s="124"/>
      <c r="E773" s="124"/>
      <c r="F773" s="124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</row>
    <row r="774">
      <c r="A774" s="124"/>
      <c r="B774" s="140"/>
      <c r="C774" s="124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</row>
    <row r="775">
      <c r="A775" s="124"/>
      <c r="B775" s="140"/>
      <c r="C775" s="124"/>
      <c r="D775" s="124"/>
      <c r="E775" s="124"/>
      <c r="F775" s="124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</row>
    <row r="776">
      <c r="A776" s="124"/>
      <c r="B776" s="140"/>
      <c r="C776" s="124"/>
      <c r="D776" s="124"/>
      <c r="E776" s="124"/>
      <c r="F776" s="124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</row>
    <row r="777">
      <c r="A777" s="124"/>
      <c r="B777" s="140"/>
      <c r="C777" s="124"/>
      <c r="D777" s="124"/>
      <c r="E777" s="124"/>
      <c r="F777" s="124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</row>
    <row r="778">
      <c r="A778" s="124"/>
      <c r="B778" s="140"/>
      <c r="C778" s="124"/>
      <c r="D778" s="124"/>
      <c r="E778" s="124"/>
      <c r="F778" s="124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</row>
    <row r="779">
      <c r="A779" s="124"/>
      <c r="B779" s="140"/>
      <c r="C779" s="124"/>
      <c r="D779" s="124"/>
      <c r="E779" s="124"/>
      <c r="F779" s="124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</row>
    <row r="780">
      <c r="A780" s="124"/>
      <c r="B780" s="140"/>
      <c r="C780" s="124"/>
      <c r="D780" s="124"/>
      <c r="E780" s="124"/>
      <c r="F780" s="124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</row>
    <row r="781">
      <c r="A781" s="124"/>
      <c r="B781" s="140"/>
      <c r="C781" s="124"/>
      <c r="D781" s="124"/>
      <c r="E781" s="124"/>
      <c r="F781" s="124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</row>
    <row r="782">
      <c r="A782" s="124"/>
      <c r="B782" s="140"/>
      <c r="C782" s="124"/>
      <c r="D782" s="124"/>
      <c r="E782" s="124"/>
      <c r="F782" s="124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</row>
    <row r="783">
      <c r="A783" s="124"/>
      <c r="B783" s="140"/>
      <c r="C783" s="124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</row>
    <row r="784">
      <c r="A784" s="124"/>
      <c r="B784" s="140"/>
      <c r="C784" s="124"/>
      <c r="D784" s="124"/>
      <c r="E784" s="124"/>
      <c r="F784" s="124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</row>
    <row r="785">
      <c r="A785" s="124"/>
      <c r="B785" s="140"/>
      <c r="C785" s="124"/>
      <c r="D785" s="124"/>
      <c r="E785" s="124"/>
      <c r="F785" s="124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</row>
    <row r="786">
      <c r="A786" s="124"/>
      <c r="B786" s="140"/>
      <c r="C786" s="124"/>
      <c r="D786" s="124"/>
      <c r="E786" s="124"/>
      <c r="F786" s="124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</row>
    <row r="787">
      <c r="A787" s="124"/>
      <c r="B787" s="140"/>
      <c r="C787" s="124"/>
      <c r="D787" s="124"/>
      <c r="E787" s="124"/>
      <c r="F787" s="124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</row>
    <row r="788">
      <c r="A788" s="124"/>
      <c r="B788" s="140"/>
      <c r="C788" s="124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</row>
    <row r="789">
      <c r="A789" s="124"/>
      <c r="B789" s="140"/>
      <c r="C789" s="124"/>
      <c r="D789" s="124"/>
      <c r="E789" s="124"/>
      <c r="F789" s="124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</row>
    <row r="790">
      <c r="A790" s="124"/>
      <c r="B790" s="140"/>
      <c r="C790" s="124"/>
      <c r="D790" s="124"/>
      <c r="E790" s="124"/>
      <c r="F790" s="124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</row>
    <row r="791">
      <c r="A791" s="124"/>
      <c r="B791" s="140"/>
      <c r="C791" s="124"/>
      <c r="D791" s="124"/>
      <c r="E791" s="124"/>
      <c r="F791" s="124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</row>
    <row r="792">
      <c r="A792" s="124"/>
      <c r="B792" s="140"/>
      <c r="C792" s="124"/>
      <c r="D792" s="124"/>
      <c r="E792" s="124"/>
      <c r="F792" s="124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</row>
    <row r="793">
      <c r="A793" s="124"/>
      <c r="B793" s="140"/>
      <c r="C793" s="124"/>
      <c r="D793" s="124"/>
      <c r="E793" s="124"/>
      <c r="F793" s="124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</row>
    <row r="794">
      <c r="A794" s="124"/>
      <c r="B794" s="140"/>
      <c r="C794" s="124"/>
      <c r="D794" s="124"/>
      <c r="E794" s="124"/>
      <c r="F794" s="124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</row>
    <row r="795">
      <c r="A795" s="124"/>
      <c r="B795" s="140"/>
      <c r="C795" s="124"/>
      <c r="D795" s="124"/>
      <c r="E795" s="124"/>
      <c r="F795" s="124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</row>
    <row r="796">
      <c r="A796" s="124"/>
      <c r="B796" s="140"/>
      <c r="C796" s="124"/>
      <c r="D796" s="124"/>
      <c r="E796" s="124"/>
      <c r="F796" s="124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</row>
    <row r="797">
      <c r="A797" s="124"/>
      <c r="B797" s="140"/>
      <c r="C797" s="124"/>
      <c r="D797" s="124"/>
      <c r="E797" s="124"/>
      <c r="F797" s="124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</row>
    <row r="798">
      <c r="A798" s="124"/>
      <c r="B798" s="140"/>
      <c r="C798" s="124"/>
      <c r="D798" s="124"/>
      <c r="E798" s="124"/>
      <c r="F798" s="124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</row>
    <row r="799">
      <c r="A799" s="124"/>
      <c r="B799" s="140"/>
      <c r="C799" s="124"/>
      <c r="D799" s="124"/>
      <c r="E799" s="124"/>
      <c r="F799" s="124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</row>
    <row r="800">
      <c r="A800" s="124"/>
      <c r="B800" s="140"/>
      <c r="C800" s="124"/>
      <c r="D800" s="124"/>
      <c r="E800" s="124"/>
      <c r="F800" s="124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</row>
    <row r="801">
      <c r="A801" s="124"/>
      <c r="B801" s="140"/>
      <c r="C801" s="124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</row>
    <row r="802">
      <c r="A802" s="124"/>
      <c r="B802" s="140"/>
      <c r="C802" s="124"/>
      <c r="D802" s="124"/>
      <c r="E802" s="124"/>
      <c r="F802" s="124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</row>
    <row r="803">
      <c r="A803" s="124"/>
      <c r="B803" s="140"/>
      <c r="C803" s="124"/>
      <c r="D803" s="124"/>
      <c r="E803" s="124"/>
      <c r="F803" s="124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</row>
    <row r="804">
      <c r="A804" s="124"/>
      <c r="B804" s="140"/>
      <c r="C804" s="124"/>
      <c r="D804" s="124"/>
      <c r="E804" s="124"/>
      <c r="F804" s="124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</row>
    <row r="805">
      <c r="A805" s="124"/>
      <c r="B805" s="140"/>
      <c r="C805" s="124"/>
      <c r="D805" s="124"/>
      <c r="E805" s="124"/>
      <c r="F805" s="124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</row>
    <row r="806">
      <c r="A806" s="124"/>
      <c r="B806" s="140"/>
      <c r="C806" s="124"/>
      <c r="D806" s="124"/>
      <c r="E806" s="124"/>
      <c r="F806" s="124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</row>
    <row r="807">
      <c r="A807" s="124"/>
      <c r="B807" s="140"/>
      <c r="C807" s="124"/>
      <c r="D807" s="124"/>
      <c r="E807" s="124"/>
      <c r="F807" s="124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</row>
    <row r="808">
      <c r="A808" s="124"/>
      <c r="B808" s="140"/>
      <c r="C808" s="124"/>
      <c r="D808" s="124"/>
      <c r="E808" s="124"/>
      <c r="F808" s="124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</row>
    <row r="809">
      <c r="A809" s="124"/>
      <c r="B809" s="140"/>
      <c r="C809" s="124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</row>
    <row r="810">
      <c r="A810" s="124"/>
      <c r="B810" s="140"/>
      <c r="C810" s="124"/>
      <c r="D810" s="124"/>
      <c r="E810" s="124"/>
      <c r="F810" s="124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</row>
    <row r="811">
      <c r="A811" s="124"/>
      <c r="B811" s="140"/>
      <c r="C811" s="124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</row>
    <row r="812">
      <c r="A812" s="124"/>
      <c r="B812" s="140"/>
      <c r="C812" s="124"/>
      <c r="D812" s="124"/>
      <c r="E812" s="124"/>
      <c r="F812" s="124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</row>
    <row r="813">
      <c r="A813" s="124"/>
      <c r="B813" s="140"/>
      <c r="C813" s="124"/>
      <c r="D813" s="124"/>
      <c r="E813" s="124"/>
      <c r="F813" s="124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</row>
    <row r="814">
      <c r="A814" s="124"/>
      <c r="B814" s="140"/>
      <c r="C814" s="124"/>
      <c r="D814" s="124"/>
      <c r="E814" s="124"/>
      <c r="F814" s="124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</row>
    <row r="815">
      <c r="A815" s="124"/>
      <c r="B815" s="140"/>
      <c r="C815" s="124"/>
      <c r="D815" s="124"/>
      <c r="E815" s="124"/>
      <c r="F815" s="124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</row>
    <row r="816">
      <c r="A816" s="124"/>
      <c r="B816" s="140"/>
      <c r="C816" s="124"/>
      <c r="D816" s="124"/>
      <c r="E816" s="124"/>
      <c r="F816" s="124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</row>
    <row r="817">
      <c r="A817" s="124"/>
      <c r="B817" s="140"/>
      <c r="C817" s="124"/>
      <c r="D817" s="124"/>
      <c r="E817" s="124"/>
      <c r="F817" s="124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</row>
    <row r="818">
      <c r="A818" s="124"/>
      <c r="B818" s="140"/>
      <c r="C818" s="124"/>
      <c r="D818" s="124"/>
      <c r="E818" s="124"/>
      <c r="F818" s="124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</row>
    <row r="819">
      <c r="A819" s="124"/>
      <c r="B819" s="140"/>
      <c r="C819" s="124"/>
      <c r="D819" s="124"/>
      <c r="E819" s="124"/>
      <c r="F819" s="124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</row>
    <row r="820">
      <c r="A820" s="124"/>
      <c r="B820" s="140"/>
      <c r="C820" s="124"/>
      <c r="D820" s="124"/>
      <c r="E820" s="124"/>
      <c r="F820" s="124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</row>
    <row r="821">
      <c r="A821" s="124"/>
      <c r="B821" s="140"/>
      <c r="C821" s="124"/>
      <c r="D821" s="124"/>
      <c r="E821" s="124"/>
      <c r="F821" s="124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</row>
    <row r="822">
      <c r="A822" s="124"/>
      <c r="B822" s="140"/>
      <c r="C822" s="124"/>
      <c r="D822" s="124"/>
      <c r="E822" s="124"/>
      <c r="F822" s="124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</row>
    <row r="823">
      <c r="A823" s="124"/>
      <c r="B823" s="140"/>
      <c r="C823" s="124"/>
      <c r="D823" s="124"/>
      <c r="E823" s="124"/>
      <c r="F823" s="124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</row>
    <row r="824">
      <c r="A824" s="124"/>
      <c r="B824" s="140"/>
      <c r="C824" s="124"/>
      <c r="D824" s="124"/>
      <c r="E824" s="124"/>
      <c r="F824" s="124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</row>
    <row r="825">
      <c r="A825" s="124"/>
      <c r="B825" s="140"/>
      <c r="C825" s="124"/>
      <c r="D825" s="124"/>
      <c r="E825" s="124"/>
      <c r="F825" s="124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</row>
    <row r="826">
      <c r="A826" s="124"/>
      <c r="B826" s="140"/>
      <c r="C826" s="124"/>
      <c r="D826" s="124"/>
      <c r="E826" s="124"/>
      <c r="F826" s="124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</row>
    <row r="827">
      <c r="A827" s="124"/>
      <c r="B827" s="140"/>
      <c r="C827" s="124"/>
      <c r="D827" s="124"/>
      <c r="E827" s="124"/>
      <c r="F827" s="124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</row>
    <row r="828">
      <c r="A828" s="124"/>
      <c r="B828" s="140"/>
      <c r="C828" s="124"/>
      <c r="D828" s="124"/>
      <c r="E828" s="124"/>
      <c r="F828" s="124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</row>
    <row r="829">
      <c r="A829" s="124"/>
      <c r="B829" s="140"/>
      <c r="C829" s="124"/>
      <c r="D829" s="124"/>
      <c r="E829" s="124"/>
      <c r="F829" s="124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</row>
    <row r="830">
      <c r="A830" s="124"/>
      <c r="B830" s="140"/>
      <c r="C830" s="124"/>
      <c r="D830" s="124"/>
      <c r="E830" s="124"/>
      <c r="F830" s="124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</row>
    <row r="831">
      <c r="A831" s="124"/>
      <c r="B831" s="140"/>
      <c r="C831" s="124"/>
      <c r="D831" s="124"/>
      <c r="E831" s="124"/>
      <c r="F831" s="124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</row>
    <row r="832">
      <c r="A832" s="124"/>
      <c r="B832" s="140"/>
      <c r="C832" s="124"/>
      <c r="D832" s="124"/>
      <c r="E832" s="124"/>
      <c r="F832" s="124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</row>
    <row r="833">
      <c r="A833" s="124"/>
      <c r="B833" s="140"/>
      <c r="C833" s="124"/>
      <c r="D833" s="124"/>
      <c r="E833" s="124"/>
      <c r="F833" s="124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</row>
    <row r="834">
      <c r="A834" s="124"/>
      <c r="B834" s="140"/>
      <c r="C834" s="124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</row>
    <row r="835">
      <c r="A835" s="124"/>
      <c r="B835" s="140"/>
      <c r="C835" s="124"/>
      <c r="D835" s="124"/>
      <c r="E835" s="124"/>
      <c r="F835" s="124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</row>
    <row r="836">
      <c r="A836" s="124"/>
      <c r="B836" s="140"/>
      <c r="C836" s="124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</row>
    <row r="837">
      <c r="A837" s="124"/>
      <c r="B837" s="140"/>
      <c r="C837" s="124"/>
      <c r="D837" s="124"/>
      <c r="E837" s="124"/>
      <c r="F837" s="124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</row>
    <row r="838">
      <c r="A838" s="124"/>
      <c r="B838" s="140"/>
      <c r="C838" s="124"/>
      <c r="D838" s="124"/>
      <c r="E838" s="124"/>
      <c r="F838" s="124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</row>
    <row r="839">
      <c r="A839" s="124"/>
      <c r="B839" s="140"/>
      <c r="C839" s="124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</row>
    <row r="840">
      <c r="A840" s="124"/>
      <c r="B840" s="140"/>
      <c r="C840" s="124"/>
      <c r="D840" s="124"/>
      <c r="E840" s="124"/>
      <c r="F840" s="124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</row>
    <row r="841">
      <c r="A841" s="124"/>
      <c r="B841" s="140"/>
      <c r="C841" s="124"/>
      <c r="D841" s="124"/>
      <c r="E841" s="124"/>
      <c r="F841" s="124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</row>
    <row r="842">
      <c r="A842" s="124"/>
      <c r="B842" s="140"/>
      <c r="C842" s="124"/>
      <c r="D842" s="124"/>
      <c r="E842" s="124"/>
      <c r="F842" s="124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</row>
    <row r="843">
      <c r="A843" s="124"/>
      <c r="B843" s="140"/>
      <c r="C843" s="124"/>
      <c r="D843" s="124"/>
      <c r="E843" s="124"/>
      <c r="F843" s="124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</row>
    <row r="844">
      <c r="A844" s="124"/>
      <c r="B844" s="140"/>
      <c r="C844" s="124"/>
      <c r="D844" s="124"/>
      <c r="E844" s="124"/>
      <c r="F844" s="124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</row>
    <row r="845">
      <c r="A845" s="124"/>
      <c r="B845" s="140"/>
      <c r="C845" s="124"/>
      <c r="D845" s="124"/>
      <c r="E845" s="124"/>
      <c r="F845" s="124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</row>
    <row r="846">
      <c r="A846" s="124"/>
      <c r="B846" s="140"/>
      <c r="C846" s="124"/>
      <c r="D846" s="124"/>
      <c r="E846" s="124"/>
      <c r="F846" s="124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</row>
    <row r="847">
      <c r="A847" s="124"/>
      <c r="B847" s="140"/>
      <c r="C847" s="124"/>
      <c r="D847" s="124"/>
      <c r="E847" s="124"/>
      <c r="F847" s="124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</row>
    <row r="848">
      <c r="A848" s="124"/>
      <c r="B848" s="140"/>
      <c r="C848" s="124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</row>
    <row r="849">
      <c r="A849" s="124"/>
      <c r="B849" s="140"/>
      <c r="C849" s="124"/>
      <c r="D849" s="124"/>
      <c r="E849" s="124"/>
      <c r="F849" s="124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</row>
    <row r="850">
      <c r="A850" s="124"/>
      <c r="B850" s="140"/>
      <c r="C850" s="124"/>
      <c r="D850" s="124"/>
      <c r="E850" s="124"/>
      <c r="F850" s="124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</row>
    <row r="851">
      <c r="A851" s="124"/>
      <c r="B851" s="140"/>
      <c r="C851" s="124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</row>
    <row r="852">
      <c r="A852" s="124"/>
      <c r="B852" s="140"/>
      <c r="C852" s="124"/>
      <c r="D852" s="124"/>
      <c r="E852" s="124"/>
      <c r="F852" s="124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</row>
    <row r="853">
      <c r="A853" s="124"/>
      <c r="B853" s="140"/>
      <c r="C853" s="124"/>
      <c r="D853" s="124"/>
      <c r="E853" s="124"/>
      <c r="F853" s="124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</row>
    <row r="854">
      <c r="A854" s="124"/>
      <c r="B854" s="140"/>
      <c r="C854" s="124"/>
      <c r="D854" s="124"/>
      <c r="E854" s="124"/>
      <c r="F854" s="124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</row>
    <row r="855">
      <c r="A855" s="124"/>
      <c r="B855" s="140"/>
      <c r="C855" s="124"/>
      <c r="D855" s="124"/>
      <c r="E855" s="124"/>
      <c r="F855" s="124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</row>
    <row r="856">
      <c r="A856" s="124"/>
      <c r="B856" s="140"/>
      <c r="C856" s="124"/>
      <c r="D856" s="124"/>
      <c r="E856" s="124"/>
      <c r="F856" s="124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</row>
    <row r="857">
      <c r="A857" s="124"/>
      <c r="B857" s="140"/>
      <c r="C857" s="124"/>
      <c r="D857" s="124"/>
      <c r="E857" s="124"/>
      <c r="F857" s="124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</row>
    <row r="858">
      <c r="A858" s="124"/>
      <c r="B858" s="140"/>
      <c r="C858" s="124"/>
      <c r="D858" s="124"/>
      <c r="E858" s="124"/>
      <c r="F858" s="124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</row>
    <row r="859">
      <c r="A859" s="124"/>
      <c r="B859" s="140"/>
      <c r="C859" s="124"/>
      <c r="D859" s="124"/>
      <c r="E859" s="124"/>
      <c r="F859" s="124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</row>
    <row r="860">
      <c r="A860" s="124"/>
      <c r="B860" s="140"/>
      <c r="C860" s="124"/>
      <c r="D860" s="124"/>
      <c r="E860" s="124"/>
      <c r="F860" s="124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</row>
    <row r="861">
      <c r="A861" s="124"/>
      <c r="B861" s="140"/>
      <c r="C861" s="124"/>
      <c r="D861" s="124"/>
      <c r="E861" s="124"/>
      <c r="F861" s="124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</row>
    <row r="862">
      <c r="A862" s="124"/>
      <c r="B862" s="140"/>
      <c r="C862" s="124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</row>
    <row r="863">
      <c r="A863" s="124"/>
      <c r="B863" s="140"/>
      <c r="C863" s="124"/>
      <c r="D863" s="124"/>
      <c r="E863" s="124"/>
      <c r="F863" s="124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</row>
    <row r="864">
      <c r="A864" s="124"/>
      <c r="B864" s="140"/>
      <c r="C864" s="124"/>
      <c r="D864" s="124"/>
      <c r="E864" s="124"/>
      <c r="F864" s="124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</row>
    <row r="865">
      <c r="A865" s="124"/>
      <c r="B865" s="140"/>
      <c r="C865" s="124"/>
      <c r="D865" s="124"/>
      <c r="E865" s="124"/>
      <c r="F865" s="124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</row>
    <row r="866">
      <c r="A866" s="124"/>
      <c r="B866" s="140"/>
      <c r="C866" s="124"/>
      <c r="D866" s="124"/>
      <c r="E866" s="124"/>
      <c r="F866" s="124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</row>
    <row r="867">
      <c r="A867" s="124"/>
      <c r="B867" s="140"/>
      <c r="C867" s="124"/>
      <c r="D867" s="124"/>
      <c r="E867" s="124"/>
      <c r="F867" s="124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</row>
    <row r="868">
      <c r="A868" s="124"/>
      <c r="B868" s="140"/>
      <c r="C868" s="124"/>
      <c r="D868" s="124"/>
      <c r="E868" s="124"/>
      <c r="F868" s="124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</row>
    <row r="869">
      <c r="A869" s="124"/>
      <c r="B869" s="140"/>
      <c r="C869" s="124"/>
      <c r="D869" s="124"/>
      <c r="E869" s="124"/>
      <c r="F869" s="124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</row>
    <row r="870">
      <c r="A870" s="124"/>
      <c r="B870" s="140"/>
      <c r="C870" s="124"/>
      <c r="D870" s="124"/>
      <c r="E870" s="124"/>
      <c r="F870" s="124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</row>
    <row r="871">
      <c r="A871" s="124"/>
      <c r="B871" s="140"/>
      <c r="C871" s="124"/>
      <c r="D871" s="124"/>
      <c r="E871" s="124"/>
      <c r="F871" s="124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</row>
    <row r="872">
      <c r="A872" s="124"/>
      <c r="B872" s="140"/>
      <c r="C872" s="124"/>
      <c r="D872" s="124"/>
      <c r="E872" s="124"/>
      <c r="F872" s="124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</row>
    <row r="873">
      <c r="A873" s="124"/>
      <c r="B873" s="140"/>
      <c r="C873" s="124"/>
      <c r="D873" s="124"/>
      <c r="E873" s="124"/>
      <c r="F873" s="124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</row>
    <row r="874">
      <c r="A874" s="124"/>
      <c r="B874" s="140"/>
      <c r="C874" s="124"/>
      <c r="D874" s="124"/>
      <c r="E874" s="124"/>
      <c r="F874" s="124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</row>
    <row r="875">
      <c r="A875" s="124"/>
      <c r="B875" s="140"/>
      <c r="C875" s="124"/>
      <c r="D875" s="124"/>
      <c r="E875" s="124"/>
      <c r="F875" s="124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</row>
    <row r="876">
      <c r="A876" s="124"/>
      <c r="B876" s="140"/>
      <c r="C876" s="124"/>
      <c r="D876" s="124"/>
      <c r="E876" s="124"/>
      <c r="F876" s="124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</row>
    <row r="877">
      <c r="A877" s="124"/>
      <c r="B877" s="140"/>
      <c r="C877" s="124"/>
      <c r="D877" s="124"/>
      <c r="E877" s="124"/>
      <c r="F877" s="124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</row>
    <row r="878">
      <c r="A878" s="124"/>
      <c r="B878" s="140"/>
      <c r="C878" s="124"/>
      <c r="D878" s="124"/>
      <c r="E878" s="124"/>
      <c r="F878" s="124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</row>
    <row r="879">
      <c r="A879" s="124"/>
      <c r="B879" s="140"/>
      <c r="C879" s="124"/>
      <c r="D879" s="124"/>
      <c r="E879" s="124"/>
      <c r="F879" s="124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</row>
    <row r="880">
      <c r="A880" s="124"/>
      <c r="B880" s="140"/>
      <c r="C880" s="124"/>
      <c r="D880" s="124"/>
      <c r="E880" s="124"/>
      <c r="F880" s="124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</row>
    <row r="881">
      <c r="A881" s="124"/>
      <c r="B881" s="140"/>
      <c r="C881" s="124"/>
      <c r="D881" s="124"/>
      <c r="E881" s="124"/>
      <c r="F881" s="124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</row>
    <row r="882">
      <c r="A882" s="124"/>
      <c r="B882" s="140"/>
      <c r="C882" s="124"/>
      <c r="D882" s="124"/>
      <c r="E882" s="124"/>
      <c r="F882" s="124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</row>
    <row r="883">
      <c r="A883" s="124"/>
      <c r="B883" s="140"/>
      <c r="C883" s="124"/>
      <c r="D883" s="124"/>
      <c r="E883" s="124"/>
      <c r="F883" s="124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</row>
    <row r="884">
      <c r="A884" s="124"/>
      <c r="B884" s="140"/>
      <c r="C884" s="124"/>
      <c r="D884" s="124"/>
      <c r="E884" s="124"/>
      <c r="F884" s="124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</row>
    <row r="885">
      <c r="A885" s="124"/>
      <c r="B885" s="140"/>
      <c r="C885" s="124"/>
      <c r="D885" s="124"/>
      <c r="E885" s="124"/>
      <c r="F885" s="124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</row>
    <row r="886">
      <c r="A886" s="124"/>
      <c r="B886" s="140"/>
      <c r="C886" s="124"/>
      <c r="D886" s="124"/>
      <c r="E886" s="124"/>
      <c r="F886" s="124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</row>
    <row r="887">
      <c r="A887" s="124"/>
      <c r="B887" s="140"/>
      <c r="C887" s="124"/>
      <c r="D887" s="124"/>
      <c r="E887" s="124"/>
      <c r="F887" s="124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</row>
    <row r="888">
      <c r="A888" s="124"/>
      <c r="B888" s="140"/>
      <c r="C888" s="124"/>
      <c r="D888" s="124"/>
      <c r="E888" s="124"/>
      <c r="F888" s="124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</row>
    <row r="889">
      <c r="A889" s="124"/>
      <c r="B889" s="140"/>
      <c r="C889" s="124"/>
      <c r="D889" s="124"/>
      <c r="E889" s="124"/>
      <c r="F889" s="124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</row>
    <row r="890">
      <c r="A890" s="124"/>
      <c r="B890" s="140"/>
      <c r="C890" s="124"/>
      <c r="D890" s="124"/>
      <c r="E890" s="124"/>
      <c r="F890" s="124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</row>
    <row r="891">
      <c r="A891" s="124"/>
      <c r="B891" s="140"/>
      <c r="C891" s="124"/>
      <c r="D891" s="124"/>
      <c r="E891" s="124"/>
      <c r="F891" s="124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</row>
    <row r="892">
      <c r="A892" s="124"/>
      <c r="B892" s="140"/>
      <c r="C892" s="124"/>
      <c r="D892" s="124"/>
      <c r="E892" s="124"/>
      <c r="F892" s="124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</row>
    <row r="893">
      <c r="A893" s="124"/>
      <c r="B893" s="140"/>
      <c r="C893" s="124"/>
      <c r="D893" s="124"/>
      <c r="E893" s="124"/>
      <c r="F893" s="124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</row>
    <row r="894">
      <c r="A894" s="124"/>
      <c r="B894" s="140"/>
      <c r="C894" s="124"/>
      <c r="D894" s="124"/>
      <c r="E894" s="124"/>
      <c r="F894" s="124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</row>
    <row r="895">
      <c r="A895" s="124"/>
      <c r="B895" s="140"/>
      <c r="C895" s="124"/>
      <c r="D895" s="124"/>
      <c r="E895" s="124"/>
      <c r="F895" s="124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</row>
    <row r="896">
      <c r="A896" s="124"/>
      <c r="B896" s="140"/>
      <c r="C896" s="124"/>
      <c r="D896" s="124"/>
      <c r="E896" s="124"/>
      <c r="F896" s="124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</row>
    <row r="897">
      <c r="A897" s="124"/>
      <c r="B897" s="140"/>
      <c r="C897" s="124"/>
      <c r="D897" s="124"/>
      <c r="E897" s="124"/>
      <c r="F897" s="124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</row>
    <row r="898">
      <c r="A898" s="124"/>
      <c r="B898" s="140"/>
      <c r="C898" s="124"/>
      <c r="D898" s="124"/>
      <c r="E898" s="124"/>
      <c r="F898" s="124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</row>
    <row r="899">
      <c r="A899" s="124"/>
      <c r="B899" s="140"/>
      <c r="C899" s="124"/>
      <c r="D899" s="124"/>
      <c r="E899" s="124"/>
      <c r="F899" s="124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</row>
    <row r="900">
      <c r="A900" s="124"/>
      <c r="B900" s="140"/>
      <c r="C900" s="124"/>
      <c r="D900" s="124"/>
      <c r="E900" s="124"/>
      <c r="F900" s="124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</row>
    <row r="901">
      <c r="A901" s="124"/>
      <c r="B901" s="140"/>
      <c r="C901" s="124"/>
      <c r="D901" s="124"/>
      <c r="E901" s="124"/>
      <c r="F901" s="124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</row>
    <row r="902">
      <c r="A902" s="124"/>
      <c r="B902" s="140"/>
      <c r="C902" s="124"/>
      <c r="D902" s="124"/>
      <c r="E902" s="124"/>
      <c r="F902" s="124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</row>
    <row r="903">
      <c r="A903" s="124"/>
      <c r="B903" s="140"/>
      <c r="C903" s="124"/>
      <c r="D903" s="124"/>
      <c r="E903" s="124"/>
      <c r="F903" s="124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</row>
    <row r="904">
      <c r="A904" s="124"/>
      <c r="B904" s="140"/>
      <c r="C904" s="124"/>
      <c r="D904" s="124"/>
      <c r="E904" s="124"/>
      <c r="F904" s="124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</row>
    <row r="905">
      <c r="A905" s="124"/>
      <c r="B905" s="140"/>
      <c r="C905" s="124"/>
      <c r="D905" s="124"/>
      <c r="E905" s="124"/>
      <c r="F905" s="124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</row>
    <row r="906">
      <c r="A906" s="124"/>
      <c r="B906" s="140"/>
      <c r="C906" s="124"/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</row>
    <row r="907">
      <c r="A907" s="124"/>
      <c r="B907" s="140"/>
      <c r="C907" s="124"/>
      <c r="D907" s="124"/>
      <c r="E907" s="124"/>
      <c r="F907" s="124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</row>
    <row r="908">
      <c r="A908" s="124"/>
      <c r="B908" s="140"/>
      <c r="C908" s="124"/>
      <c r="D908" s="124"/>
      <c r="E908" s="124"/>
      <c r="F908" s="124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</row>
    <row r="909">
      <c r="A909" s="124"/>
      <c r="B909" s="140"/>
      <c r="C909" s="124"/>
      <c r="D909" s="124"/>
      <c r="E909" s="124"/>
      <c r="F909" s="124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</row>
    <row r="910">
      <c r="A910" s="124"/>
      <c r="B910" s="140"/>
      <c r="C910" s="124"/>
      <c r="D910" s="124"/>
      <c r="E910" s="124"/>
      <c r="F910" s="124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</row>
    <row r="911">
      <c r="A911" s="124"/>
      <c r="B911" s="140"/>
      <c r="C911" s="124"/>
      <c r="D911" s="124"/>
      <c r="E911" s="124"/>
      <c r="F911" s="124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</row>
    <row r="912">
      <c r="A912" s="124"/>
      <c r="B912" s="140"/>
      <c r="C912" s="124"/>
      <c r="D912" s="124"/>
      <c r="E912" s="124"/>
      <c r="F912" s="124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</row>
    <row r="913">
      <c r="A913" s="124"/>
      <c r="B913" s="140"/>
      <c r="C913" s="124"/>
      <c r="D913" s="124"/>
      <c r="E913" s="124"/>
      <c r="F913" s="124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</row>
    <row r="914">
      <c r="A914" s="124"/>
      <c r="B914" s="140"/>
      <c r="C914" s="124"/>
      <c r="D914" s="124"/>
      <c r="E914" s="124"/>
      <c r="F914" s="124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</row>
    <row r="915">
      <c r="A915" s="124"/>
      <c r="B915" s="140"/>
      <c r="C915" s="124"/>
      <c r="D915" s="124"/>
      <c r="E915" s="124"/>
      <c r="F915" s="124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</row>
    <row r="916">
      <c r="A916" s="124"/>
      <c r="B916" s="140"/>
      <c r="C916" s="124"/>
      <c r="D916" s="124"/>
      <c r="E916" s="124"/>
      <c r="F916" s="124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</row>
    <row r="917">
      <c r="A917" s="124"/>
      <c r="B917" s="140"/>
      <c r="C917" s="124"/>
      <c r="D917" s="124"/>
      <c r="E917" s="124"/>
      <c r="F917" s="124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</row>
    <row r="918">
      <c r="A918" s="124"/>
      <c r="B918" s="140"/>
      <c r="C918" s="124"/>
      <c r="D918" s="124"/>
      <c r="E918" s="124"/>
      <c r="F918" s="124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</row>
    <row r="919">
      <c r="A919" s="124"/>
      <c r="B919" s="140"/>
      <c r="C919" s="124"/>
      <c r="D919" s="124"/>
      <c r="E919" s="124"/>
      <c r="F919" s="124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</row>
    <row r="920">
      <c r="A920" s="124"/>
      <c r="B920" s="140"/>
      <c r="C920" s="124"/>
      <c r="D920" s="124"/>
      <c r="E920" s="124"/>
      <c r="F920" s="124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</row>
    <row r="921">
      <c r="A921" s="124"/>
      <c r="B921" s="140"/>
      <c r="C921" s="124"/>
      <c r="D921" s="124"/>
      <c r="E921" s="124"/>
      <c r="F921" s="124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</row>
    <row r="922">
      <c r="A922" s="124"/>
      <c r="B922" s="140"/>
      <c r="C922" s="124"/>
      <c r="D922" s="124"/>
      <c r="E922" s="124"/>
      <c r="F922" s="124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</row>
    <row r="923">
      <c r="A923" s="124"/>
      <c r="B923" s="140"/>
      <c r="C923" s="124"/>
      <c r="D923" s="124"/>
      <c r="E923" s="124"/>
      <c r="F923" s="124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</row>
    <row r="924">
      <c r="A924" s="124"/>
      <c r="B924" s="140"/>
      <c r="C924" s="124"/>
      <c r="D924" s="124"/>
      <c r="E924" s="124"/>
      <c r="F924" s="124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</row>
    <row r="925">
      <c r="A925" s="124"/>
      <c r="B925" s="140"/>
      <c r="C925" s="124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</row>
    <row r="926">
      <c r="A926" s="124"/>
      <c r="B926" s="140"/>
      <c r="C926" s="124"/>
      <c r="D926" s="124"/>
      <c r="E926" s="124"/>
      <c r="F926" s="124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</row>
    <row r="927">
      <c r="A927" s="124"/>
      <c r="B927" s="140"/>
      <c r="C927" s="124"/>
      <c r="D927" s="124"/>
      <c r="E927" s="124"/>
      <c r="F927" s="124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</row>
    <row r="928">
      <c r="A928" s="124"/>
      <c r="B928" s="140"/>
      <c r="C928" s="124"/>
      <c r="D928" s="124"/>
      <c r="E928" s="124"/>
      <c r="F928" s="124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</row>
    <row r="929">
      <c r="A929" s="124"/>
      <c r="B929" s="140"/>
      <c r="C929" s="124"/>
      <c r="D929" s="124"/>
      <c r="E929" s="124"/>
      <c r="F929" s="124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</row>
    <row r="930">
      <c r="A930" s="124"/>
      <c r="B930" s="140"/>
      <c r="C930" s="124"/>
      <c r="D930" s="124"/>
      <c r="E930" s="124"/>
      <c r="F930" s="124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</row>
    <row r="931">
      <c r="A931" s="124"/>
      <c r="B931" s="140"/>
      <c r="C931" s="124"/>
      <c r="D931" s="124"/>
      <c r="E931" s="124"/>
      <c r="F931" s="124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</row>
    <row r="932">
      <c r="A932" s="124"/>
      <c r="B932" s="140"/>
      <c r="C932" s="124"/>
      <c r="D932" s="124"/>
      <c r="E932" s="124"/>
      <c r="F932" s="124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</row>
    <row r="933">
      <c r="A933" s="124"/>
      <c r="B933" s="140"/>
      <c r="C933" s="124"/>
      <c r="D933" s="124"/>
      <c r="E933" s="124"/>
      <c r="F933" s="124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</row>
    <row r="934">
      <c r="A934" s="124"/>
      <c r="B934" s="140"/>
      <c r="C934" s="124"/>
      <c r="D934" s="124"/>
      <c r="E934" s="124"/>
      <c r="F934" s="124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</row>
    <row r="935">
      <c r="A935" s="124"/>
      <c r="B935" s="140"/>
      <c r="C935" s="124"/>
      <c r="D935" s="124"/>
      <c r="E935" s="124"/>
      <c r="F935" s="124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</row>
    <row r="936">
      <c r="A936" s="124"/>
      <c r="B936" s="140"/>
      <c r="C936" s="124"/>
      <c r="D936" s="124"/>
      <c r="E936" s="124"/>
      <c r="F936" s="124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</row>
    <row r="937">
      <c r="A937" s="124"/>
      <c r="B937" s="140"/>
      <c r="C937" s="124"/>
      <c r="D937" s="124"/>
      <c r="E937" s="124"/>
      <c r="F937" s="124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</row>
    <row r="938">
      <c r="A938" s="124"/>
      <c r="B938" s="140"/>
      <c r="C938" s="124"/>
      <c r="D938" s="124"/>
      <c r="E938" s="124"/>
      <c r="F938" s="124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</row>
    <row r="939">
      <c r="A939" s="124"/>
      <c r="B939" s="140"/>
      <c r="C939" s="124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</row>
    <row r="940">
      <c r="A940" s="124"/>
      <c r="B940" s="140"/>
      <c r="C940" s="124"/>
      <c r="D940" s="124"/>
      <c r="E940" s="124"/>
      <c r="F940" s="124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</row>
    <row r="941">
      <c r="A941" s="124"/>
      <c r="B941" s="140"/>
      <c r="C941" s="124"/>
      <c r="D941" s="124"/>
      <c r="E941" s="124"/>
      <c r="F941" s="124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</row>
    <row r="942">
      <c r="A942" s="124"/>
      <c r="B942" s="140"/>
      <c r="C942" s="124"/>
      <c r="D942" s="124"/>
      <c r="E942" s="124"/>
      <c r="F942" s="124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</row>
    <row r="943">
      <c r="A943" s="124"/>
      <c r="B943" s="140"/>
      <c r="C943" s="124"/>
      <c r="D943" s="124"/>
      <c r="E943" s="124"/>
      <c r="F943" s="124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</row>
    <row r="944">
      <c r="A944" s="124"/>
      <c r="B944" s="140"/>
      <c r="C944" s="124"/>
      <c r="D944" s="124"/>
      <c r="E944" s="124"/>
      <c r="F944" s="124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</row>
    <row r="945">
      <c r="A945" s="124"/>
      <c r="B945" s="140"/>
      <c r="C945" s="124"/>
      <c r="D945" s="124"/>
      <c r="E945" s="124"/>
      <c r="F945" s="124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</row>
    <row r="946">
      <c r="A946" s="124"/>
      <c r="B946" s="140"/>
      <c r="C946" s="124"/>
      <c r="D946" s="124"/>
      <c r="E946" s="124"/>
      <c r="F946" s="124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</row>
    <row r="947">
      <c r="A947" s="124"/>
      <c r="B947" s="140"/>
      <c r="C947" s="124"/>
      <c r="D947" s="124"/>
      <c r="E947" s="124"/>
      <c r="F947" s="124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</row>
    <row r="948">
      <c r="A948" s="124"/>
      <c r="B948" s="140"/>
      <c r="C948" s="124"/>
      <c r="D948" s="124"/>
      <c r="E948" s="124"/>
      <c r="F948" s="124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</row>
    <row r="949">
      <c r="A949" s="124"/>
      <c r="B949" s="140"/>
      <c r="C949" s="124"/>
      <c r="D949" s="124"/>
      <c r="E949" s="124"/>
      <c r="F949" s="124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</row>
    <row r="950">
      <c r="A950" s="124"/>
      <c r="B950" s="140"/>
      <c r="C950" s="124"/>
      <c r="D950" s="124"/>
      <c r="E950" s="124"/>
      <c r="F950" s="124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</row>
    <row r="951">
      <c r="A951" s="124"/>
      <c r="B951" s="140"/>
      <c r="C951" s="124"/>
      <c r="D951" s="124"/>
      <c r="E951" s="124"/>
      <c r="F951" s="124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</row>
    <row r="952">
      <c r="A952" s="124"/>
      <c r="B952" s="140"/>
      <c r="C952" s="124"/>
      <c r="D952" s="124"/>
      <c r="E952" s="124"/>
      <c r="F952" s="124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</row>
    <row r="953">
      <c r="A953" s="124"/>
      <c r="B953" s="140"/>
      <c r="C953" s="124"/>
      <c r="D953" s="124"/>
      <c r="E953" s="124"/>
      <c r="F953" s="124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</row>
    <row r="954">
      <c r="A954" s="124"/>
      <c r="B954" s="140"/>
      <c r="C954" s="124"/>
      <c r="D954" s="124"/>
      <c r="E954" s="124"/>
      <c r="F954" s="124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</row>
    <row r="955">
      <c r="A955" s="124"/>
      <c r="B955" s="140"/>
      <c r="C955" s="124"/>
      <c r="D955" s="124"/>
      <c r="E955" s="124"/>
      <c r="F955" s="124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</row>
    <row r="956">
      <c r="A956" s="124"/>
      <c r="B956" s="140"/>
      <c r="C956" s="124"/>
      <c r="D956" s="124"/>
      <c r="E956" s="124"/>
      <c r="F956" s="124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</row>
    <row r="957">
      <c r="A957" s="124"/>
      <c r="B957" s="140"/>
      <c r="C957" s="124"/>
      <c r="D957" s="124"/>
      <c r="E957" s="124"/>
      <c r="F957" s="124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</row>
    <row r="958">
      <c r="A958" s="124"/>
      <c r="B958" s="140"/>
      <c r="C958" s="124"/>
      <c r="D958" s="124"/>
      <c r="E958" s="124"/>
      <c r="F958" s="124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</row>
    <row r="959">
      <c r="A959" s="124"/>
      <c r="B959" s="140"/>
      <c r="C959" s="124"/>
      <c r="D959" s="124"/>
      <c r="E959" s="124"/>
      <c r="F959" s="124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</row>
    <row r="960">
      <c r="A960" s="124"/>
      <c r="B960" s="140"/>
      <c r="C960" s="124"/>
      <c r="D960" s="124"/>
      <c r="E960" s="124"/>
      <c r="F960" s="124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</row>
    <row r="961">
      <c r="A961" s="124"/>
      <c r="B961" s="140"/>
      <c r="C961" s="124"/>
      <c r="D961" s="124"/>
      <c r="E961" s="124"/>
      <c r="F961" s="124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</row>
    <row r="962">
      <c r="A962" s="124"/>
      <c r="B962" s="140"/>
      <c r="C962" s="124"/>
      <c r="D962" s="124"/>
      <c r="E962" s="124"/>
      <c r="F962" s="124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</row>
    <row r="963">
      <c r="A963" s="124"/>
      <c r="B963" s="140"/>
      <c r="C963" s="124"/>
      <c r="D963" s="124"/>
      <c r="E963" s="124"/>
      <c r="F963" s="124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</row>
    <row r="964">
      <c r="A964" s="124"/>
      <c r="B964" s="140"/>
      <c r="C964" s="124"/>
      <c r="D964" s="124"/>
      <c r="E964" s="124"/>
      <c r="F964" s="124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</row>
    <row r="965">
      <c r="A965" s="124"/>
      <c r="B965" s="140"/>
      <c r="C965" s="124"/>
      <c r="D965" s="124"/>
      <c r="E965" s="124"/>
      <c r="F965" s="124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</row>
    <row r="966">
      <c r="A966" s="124"/>
      <c r="B966" s="140"/>
      <c r="C966" s="124"/>
      <c r="D966" s="124"/>
      <c r="E966" s="124"/>
      <c r="F966" s="124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</row>
    <row r="967">
      <c r="A967" s="124"/>
      <c r="B967" s="140"/>
      <c r="C967" s="124"/>
      <c r="D967" s="124"/>
      <c r="E967" s="124"/>
      <c r="F967" s="124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</row>
    <row r="968">
      <c r="A968" s="124"/>
      <c r="B968" s="140"/>
      <c r="C968" s="124"/>
      <c r="D968" s="124"/>
      <c r="E968" s="124"/>
      <c r="F968" s="124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</row>
    <row r="969">
      <c r="A969" s="124"/>
      <c r="B969" s="140"/>
      <c r="C969" s="124"/>
      <c r="D969" s="124"/>
      <c r="E969" s="124"/>
      <c r="F969" s="124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</row>
    <row r="970">
      <c r="A970" s="124"/>
      <c r="B970" s="140"/>
      <c r="C970" s="124"/>
      <c r="D970" s="124"/>
      <c r="E970" s="124"/>
      <c r="F970" s="124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</row>
    <row r="971">
      <c r="A971" s="124"/>
      <c r="B971" s="140"/>
      <c r="C971" s="124"/>
      <c r="D971" s="124"/>
      <c r="E971" s="124"/>
      <c r="F971" s="124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</row>
    <row r="972">
      <c r="A972" s="124"/>
      <c r="B972" s="140"/>
      <c r="C972" s="124"/>
      <c r="D972" s="124"/>
      <c r="E972" s="124"/>
      <c r="F972" s="124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</row>
    <row r="973">
      <c r="A973" s="124"/>
      <c r="B973" s="140"/>
      <c r="C973" s="124"/>
      <c r="D973" s="124"/>
      <c r="E973" s="124"/>
      <c r="F973" s="124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</row>
    <row r="974">
      <c r="A974" s="124"/>
      <c r="B974" s="140"/>
      <c r="C974" s="124"/>
      <c r="D974" s="124"/>
      <c r="E974" s="124"/>
      <c r="F974" s="124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</row>
    <row r="975">
      <c r="A975" s="124"/>
      <c r="B975" s="140"/>
      <c r="C975" s="124"/>
      <c r="D975" s="124"/>
      <c r="E975" s="124"/>
      <c r="F975" s="124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</row>
    <row r="976">
      <c r="A976" s="124"/>
      <c r="B976" s="140"/>
      <c r="C976" s="124"/>
      <c r="D976" s="124"/>
      <c r="E976" s="124"/>
      <c r="F976" s="124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</row>
    <row r="977">
      <c r="A977" s="124"/>
      <c r="B977" s="140"/>
      <c r="C977" s="124"/>
      <c r="D977" s="124"/>
      <c r="E977" s="124"/>
      <c r="F977" s="124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</row>
    <row r="978">
      <c r="A978" s="124"/>
      <c r="B978" s="140"/>
      <c r="C978" s="124"/>
      <c r="D978" s="124"/>
      <c r="E978" s="124"/>
      <c r="F978" s="124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</row>
    <row r="979">
      <c r="A979" s="124"/>
      <c r="B979" s="140"/>
      <c r="C979" s="124"/>
      <c r="D979" s="124"/>
      <c r="E979" s="124"/>
      <c r="F979" s="124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</row>
    <row r="980">
      <c r="A980" s="124"/>
      <c r="B980" s="140"/>
      <c r="C980" s="124"/>
      <c r="D980" s="124"/>
      <c r="E980" s="124"/>
      <c r="F980" s="124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</row>
    <row r="981">
      <c r="A981" s="124"/>
      <c r="B981" s="140"/>
      <c r="C981" s="124"/>
      <c r="D981" s="124"/>
      <c r="E981" s="124"/>
      <c r="F981" s="124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</row>
    <row r="982">
      <c r="A982" s="124"/>
      <c r="B982" s="140"/>
      <c r="C982" s="124"/>
      <c r="D982" s="124"/>
      <c r="E982" s="124"/>
      <c r="F982" s="124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</row>
    <row r="983">
      <c r="A983" s="124"/>
      <c r="B983" s="140"/>
      <c r="C983" s="124"/>
      <c r="D983" s="124"/>
      <c r="E983" s="124"/>
      <c r="F983" s="124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</row>
    <row r="984">
      <c r="A984" s="124"/>
      <c r="B984" s="140"/>
      <c r="C984" s="124"/>
      <c r="D984" s="124"/>
      <c r="E984" s="124"/>
      <c r="F984" s="124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</row>
    <row r="985">
      <c r="A985" s="124"/>
      <c r="B985" s="140"/>
      <c r="C985" s="124"/>
      <c r="D985" s="124"/>
      <c r="E985" s="124"/>
      <c r="F985" s="124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</row>
    <row r="986">
      <c r="A986" s="124"/>
      <c r="B986" s="140"/>
      <c r="C986" s="124"/>
      <c r="D986" s="124"/>
      <c r="E986" s="124"/>
      <c r="F986" s="124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</row>
    <row r="987">
      <c r="A987" s="124"/>
      <c r="B987" s="140"/>
      <c r="C987" s="124"/>
      <c r="D987" s="124"/>
      <c r="E987" s="124"/>
      <c r="F987" s="124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</row>
    <row r="988">
      <c r="A988" s="124"/>
      <c r="B988" s="140"/>
      <c r="C988" s="124"/>
      <c r="D988" s="124"/>
      <c r="E988" s="124"/>
      <c r="F988" s="124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</row>
    <row r="989">
      <c r="A989" s="124"/>
      <c r="B989" s="140"/>
      <c r="C989" s="124"/>
      <c r="D989" s="124"/>
      <c r="E989" s="124"/>
      <c r="F989" s="124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</row>
    <row r="990">
      <c r="A990" s="124"/>
      <c r="B990" s="140"/>
      <c r="C990" s="124"/>
      <c r="D990" s="124"/>
      <c r="E990" s="124"/>
      <c r="F990" s="124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</row>
    <row r="991">
      <c r="A991" s="124"/>
      <c r="B991" s="140"/>
      <c r="C991" s="124"/>
      <c r="D991" s="124"/>
      <c r="E991" s="124"/>
      <c r="F991" s="124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</row>
    <row r="992">
      <c r="A992" s="124"/>
      <c r="B992" s="140"/>
      <c r="C992" s="124"/>
      <c r="D992" s="124"/>
      <c r="E992" s="124"/>
      <c r="F992" s="124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</row>
    <row r="993">
      <c r="A993" s="124"/>
      <c r="B993" s="140"/>
      <c r="C993" s="124"/>
      <c r="D993" s="124"/>
      <c r="E993" s="124"/>
      <c r="F993" s="124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</row>
    <row r="994">
      <c r="A994" s="124"/>
      <c r="B994" s="140"/>
      <c r="C994" s="124"/>
      <c r="D994" s="124"/>
      <c r="E994" s="124"/>
      <c r="F994" s="124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</row>
    <row r="995">
      <c r="A995" s="124"/>
      <c r="B995" s="140"/>
      <c r="C995" s="124"/>
      <c r="D995" s="124"/>
      <c r="E995" s="124"/>
      <c r="F995" s="124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</row>
    <row r="996">
      <c r="A996" s="124"/>
      <c r="B996" s="140"/>
      <c r="C996" s="124"/>
      <c r="D996" s="124"/>
      <c r="E996" s="124"/>
      <c r="F996" s="124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</row>
  </sheetData>
  <mergeCells count="7">
    <mergeCell ref="D3:D5"/>
    <mergeCell ref="E4:E5"/>
    <mergeCell ref="E10:E12"/>
    <mergeCell ref="G11:G12"/>
    <mergeCell ref="G13:G14"/>
    <mergeCell ref="G20:G22"/>
    <mergeCell ref="G23:G24"/>
  </mergeCells>
  <dataValidations>
    <dataValidation type="list" allowBlank="1" showErrorMessage="1" sqref="H2:H33">
      <formula1>"Sudah,Belum"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29"/>
    <col customWidth="1" min="2" max="2" width="10.43"/>
    <col customWidth="1" min="3" max="3" width="24.71"/>
    <col customWidth="1" min="4" max="4" width="41.71"/>
    <col customWidth="1" min="5" max="5" width="3.43"/>
    <col customWidth="1" min="6" max="7" width="11.43"/>
    <col customWidth="1" min="8" max="8" width="10.0"/>
    <col customWidth="1" min="9" max="10" width="11.43"/>
    <col customWidth="1" min="11" max="11" width="41.43"/>
    <col customWidth="1" min="12" max="12" width="26.0"/>
    <col customWidth="1" min="13" max="13" width="12.57"/>
    <col customWidth="1" min="14" max="14" width="8.71"/>
    <col customWidth="1" min="15" max="15" width="16.57"/>
    <col customWidth="1" min="16" max="16" width="12.43"/>
    <col customWidth="1" min="17" max="17" width="9.57"/>
    <col customWidth="1" min="18" max="18" width="12.86"/>
    <col customWidth="1" min="19" max="19" width="9.57"/>
    <col customWidth="1" min="20" max="20" width="12.0"/>
    <col customWidth="1" min="21" max="23" width="9.57"/>
    <col customWidth="1" min="24" max="24" width="8.71"/>
  </cols>
  <sheetData>
    <row r="1" ht="14.25" customHeight="1">
      <c r="A1" s="141" t="s">
        <v>2890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</row>
    <row r="2" ht="14.25" customHeight="1">
      <c r="A2" s="143" t="s">
        <v>2891</v>
      </c>
      <c r="B2" s="144" t="s">
        <v>2892</v>
      </c>
      <c r="C2" s="145" t="s">
        <v>2893</v>
      </c>
      <c r="D2" s="3"/>
      <c r="E2" s="144" t="s">
        <v>2894</v>
      </c>
      <c r="F2" s="146" t="s">
        <v>2895</v>
      </c>
      <c r="G2" s="2"/>
      <c r="H2" s="2"/>
      <c r="I2" s="2"/>
      <c r="J2" s="3"/>
      <c r="K2" s="147" t="s">
        <v>2896</v>
      </c>
      <c r="L2" s="2"/>
      <c r="M2" s="2"/>
      <c r="N2" s="2"/>
      <c r="O2" s="3"/>
      <c r="P2" s="148" t="s">
        <v>2897</v>
      </c>
      <c r="Q2" s="149" t="s">
        <v>2898</v>
      </c>
      <c r="U2" s="149"/>
      <c r="V2" s="150" t="s">
        <v>2899</v>
      </c>
      <c r="W2" s="151" t="s">
        <v>2900</v>
      </c>
      <c r="X2" s="152" t="s">
        <v>2901</v>
      </c>
    </row>
    <row r="3" ht="14.25" customHeight="1">
      <c r="A3" s="153"/>
      <c r="B3" s="153"/>
      <c r="C3" s="154" t="s">
        <v>2902</v>
      </c>
      <c r="D3" s="155" t="s">
        <v>2903</v>
      </c>
      <c r="E3" s="153"/>
      <c r="F3" s="156" t="s">
        <v>2904</v>
      </c>
      <c r="G3" s="156" t="s">
        <v>2905</v>
      </c>
      <c r="H3" s="156" t="s">
        <v>2906</v>
      </c>
      <c r="I3" s="156" t="s">
        <v>2907</v>
      </c>
      <c r="J3" s="156" t="s">
        <v>2905</v>
      </c>
      <c r="K3" s="157" t="s">
        <v>2908</v>
      </c>
      <c r="L3" s="157" t="s">
        <v>2909</v>
      </c>
      <c r="M3" s="157" t="s">
        <v>2910</v>
      </c>
      <c r="N3" s="157" t="s">
        <v>2911</v>
      </c>
      <c r="O3" s="157" t="s">
        <v>2912</v>
      </c>
      <c r="P3" s="153"/>
      <c r="Q3" s="158" t="s">
        <v>2913</v>
      </c>
      <c r="R3" s="159" t="s">
        <v>2914</v>
      </c>
      <c r="S3" s="159" t="s">
        <v>2915</v>
      </c>
      <c r="T3" s="159" t="s">
        <v>2916</v>
      </c>
      <c r="U3" s="159" t="s">
        <v>2917</v>
      </c>
      <c r="V3" s="160"/>
      <c r="W3" s="160"/>
      <c r="X3" s="160"/>
    </row>
    <row r="4" ht="14.25" customHeight="1">
      <c r="A4" s="127">
        <v>45353.0</v>
      </c>
      <c r="B4" s="56" t="s">
        <v>2918</v>
      </c>
      <c r="C4" s="56" t="s">
        <v>2919</v>
      </c>
      <c r="D4" s="73" t="str">
        <f>IFERROR(VLOOKUP(C4,Stock,3,FALSE),"")</f>
        <v>Toyota Innova 04-15 1st Gen</v>
      </c>
      <c r="E4" s="56">
        <v>1.0</v>
      </c>
      <c r="F4" s="161">
        <v>1625000.0</v>
      </c>
      <c r="G4" s="162">
        <f t="shared" ref="G4:G39" si="1">E4*F4</f>
        <v>1625000</v>
      </c>
      <c r="H4" s="162"/>
      <c r="I4" s="163">
        <f t="shared" ref="I4:I39" si="2">G4-H4</f>
        <v>1625000</v>
      </c>
      <c r="J4" s="164">
        <f t="shared" ref="J4:J39" si="3">I4</f>
        <v>1625000</v>
      </c>
      <c r="K4" s="56" t="s">
        <v>2920</v>
      </c>
      <c r="L4" s="165" t="s">
        <v>2921</v>
      </c>
      <c r="M4" s="56"/>
      <c r="N4" s="73"/>
      <c r="O4" s="73"/>
      <c r="P4" s="166" t="s">
        <v>2922</v>
      </c>
      <c r="Q4" s="167">
        <v>1650000.0</v>
      </c>
      <c r="R4" s="167"/>
      <c r="S4" s="167"/>
      <c r="T4" s="167"/>
      <c r="U4" s="167"/>
      <c r="V4" s="168" t="s">
        <v>2923</v>
      </c>
      <c r="W4" s="169"/>
      <c r="X4" s="169" t="s">
        <v>2924</v>
      </c>
    </row>
    <row r="5" ht="14.25" customHeight="1">
      <c r="A5" s="127">
        <v>45356.0</v>
      </c>
      <c r="B5" s="56" t="s">
        <v>2925</v>
      </c>
      <c r="C5" s="56" t="s">
        <v>2926</v>
      </c>
      <c r="D5" s="73" t="str">
        <f>IFERROR(VLOOKUP(C5,Stock,3,FALSE),"")</f>
        <v>Honda Jazz 01-07 1st Gen</v>
      </c>
      <c r="E5" s="56">
        <v>1.0</v>
      </c>
      <c r="F5" s="161">
        <v>1698000.0</v>
      </c>
      <c r="G5" s="162">
        <f t="shared" si="1"/>
        <v>1698000</v>
      </c>
      <c r="H5" s="162"/>
      <c r="I5" s="163">
        <f t="shared" si="2"/>
        <v>1698000</v>
      </c>
      <c r="J5" s="164">
        <f t="shared" si="3"/>
        <v>1698000</v>
      </c>
      <c r="K5" s="169" t="s">
        <v>2927</v>
      </c>
      <c r="L5" s="170" t="s">
        <v>2928</v>
      </c>
      <c r="M5" s="169"/>
      <c r="N5" s="171"/>
      <c r="O5" s="171"/>
      <c r="P5" s="168" t="s">
        <v>2922</v>
      </c>
      <c r="Q5" s="167"/>
      <c r="R5" s="167">
        <v>350000.0</v>
      </c>
      <c r="S5" s="167">
        <v>1348000.0</v>
      </c>
      <c r="T5" s="172">
        <v>51224.0</v>
      </c>
      <c r="U5" s="167"/>
      <c r="V5" s="168" t="s">
        <v>2923</v>
      </c>
      <c r="W5" s="169"/>
      <c r="X5" s="171"/>
    </row>
    <row r="6" ht="14.25" customHeight="1">
      <c r="A6" s="127">
        <v>45357.0</v>
      </c>
      <c r="B6" s="56" t="s">
        <v>2929</v>
      </c>
      <c r="C6" s="56" t="s">
        <v>2562</v>
      </c>
      <c r="D6" s="73" t="str">
        <f>IFERROR(VLOOKUP(C6,Stock,3,FALSE),"")</f>
        <v>Toyota Avanza / Xenia 15-21 3rd Gen</v>
      </c>
      <c r="E6" s="56">
        <v>3.0</v>
      </c>
      <c r="F6" s="161">
        <v>880000.0</v>
      </c>
      <c r="G6" s="162">
        <f t="shared" si="1"/>
        <v>2640000</v>
      </c>
      <c r="H6" s="161">
        <v>264000.0</v>
      </c>
      <c r="I6" s="163">
        <f t="shared" si="2"/>
        <v>2376000</v>
      </c>
      <c r="J6" s="164">
        <f t="shared" si="3"/>
        <v>2376000</v>
      </c>
      <c r="K6" s="56" t="s">
        <v>2930</v>
      </c>
      <c r="L6" s="165" t="s">
        <v>2931</v>
      </c>
      <c r="M6" s="56"/>
      <c r="N6" s="73"/>
      <c r="O6" s="73"/>
      <c r="P6" s="166" t="s">
        <v>2922</v>
      </c>
      <c r="Q6" s="173"/>
      <c r="R6" s="167">
        <v>2376000.0</v>
      </c>
      <c r="S6" s="173"/>
      <c r="T6" s="173"/>
      <c r="U6" s="167"/>
      <c r="V6" s="168" t="s">
        <v>2923</v>
      </c>
      <c r="W6" s="169"/>
      <c r="X6" s="171"/>
    </row>
    <row r="7" ht="14.25" customHeight="1">
      <c r="A7" s="127">
        <v>45357.0</v>
      </c>
      <c r="B7" s="56" t="s">
        <v>2929</v>
      </c>
      <c r="C7" s="56" t="s">
        <v>2932</v>
      </c>
      <c r="D7" s="73" t="str">
        <f>IFERROR(VLOOKUP(C7,Stock,3,FALSE),"")</f>
        <v>Toyota LandCruiser 74- FJ40 / Jeep Hardtop</v>
      </c>
      <c r="E7" s="56">
        <v>1.0</v>
      </c>
      <c r="F7" s="161">
        <v>889000.0</v>
      </c>
      <c r="G7" s="162">
        <f t="shared" si="1"/>
        <v>889000</v>
      </c>
      <c r="H7" s="161">
        <v>8900.0</v>
      </c>
      <c r="I7" s="163">
        <f t="shared" si="2"/>
        <v>880100</v>
      </c>
      <c r="J7" s="164">
        <f t="shared" si="3"/>
        <v>880100</v>
      </c>
      <c r="K7" s="56" t="s">
        <v>2933</v>
      </c>
      <c r="L7" s="170" t="s">
        <v>2931</v>
      </c>
      <c r="M7" s="169"/>
      <c r="N7" s="171"/>
      <c r="O7" s="171"/>
      <c r="P7" s="168" t="s">
        <v>2922</v>
      </c>
      <c r="Q7" s="173"/>
      <c r="R7" s="167">
        <v>880100.0</v>
      </c>
      <c r="S7" s="173"/>
      <c r="T7" s="173"/>
      <c r="U7" s="173"/>
      <c r="V7" s="168" t="s">
        <v>2923</v>
      </c>
      <c r="W7" s="169"/>
      <c r="X7" s="171"/>
    </row>
    <row r="8" ht="14.25" customHeight="1">
      <c r="A8" s="127">
        <v>45357.0</v>
      </c>
      <c r="B8" s="56" t="s">
        <v>2929</v>
      </c>
      <c r="C8" s="56" t="s">
        <v>2934</v>
      </c>
      <c r="D8" s="73" t="str">
        <f>IFERROR(VLOOKUP(C8,Stock,3,FALSE),"")</f>
        <v>Peti Kayu</v>
      </c>
      <c r="E8" s="56">
        <v>1.0</v>
      </c>
      <c r="F8" s="161">
        <v>160000.0</v>
      </c>
      <c r="G8" s="162">
        <f t="shared" si="1"/>
        <v>160000</v>
      </c>
      <c r="H8" s="162"/>
      <c r="I8" s="163">
        <f t="shared" si="2"/>
        <v>160000</v>
      </c>
      <c r="J8" s="164">
        <f t="shared" si="3"/>
        <v>160000</v>
      </c>
      <c r="K8" s="56" t="s">
        <v>2933</v>
      </c>
      <c r="L8" s="170" t="s">
        <v>2931</v>
      </c>
      <c r="M8" s="169"/>
      <c r="N8" s="171"/>
      <c r="O8" s="171"/>
      <c r="P8" s="168" t="s">
        <v>2922</v>
      </c>
      <c r="Q8" s="173"/>
      <c r="R8" s="167">
        <v>160000.0</v>
      </c>
      <c r="S8" s="167"/>
      <c r="T8" s="167"/>
      <c r="U8" s="173"/>
      <c r="V8" s="168" t="s">
        <v>2923</v>
      </c>
      <c r="W8" s="169"/>
      <c r="X8" s="171"/>
    </row>
    <row r="9" ht="14.25" customHeight="1">
      <c r="A9" s="127">
        <v>45358.0</v>
      </c>
      <c r="B9" s="56" t="s">
        <v>2935</v>
      </c>
      <c r="C9" s="56" t="s">
        <v>2936</v>
      </c>
      <c r="D9" s="73" t="str">
        <f>IFERROR(VLOOKUP(C9,Stock,3,FALSE),"")</f>
        <v>Toyota Calya / Sigra 16-</v>
      </c>
      <c r="E9" s="56">
        <v>1.0</v>
      </c>
      <c r="F9" s="161">
        <v>748000.0</v>
      </c>
      <c r="G9" s="162">
        <f t="shared" si="1"/>
        <v>748000</v>
      </c>
      <c r="H9" s="162"/>
      <c r="I9" s="163">
        <f t="shared" si="2"/>
        <v>748000</v>
      </c>
      <c r="J9" s="164">
        <f t="shared" si="3"/>
        <v>748000</v>
      </c>
      <c r="K9" s="56" t="s">
        <v>2937</v>
      </c>
      <c r="L9" s="165" t="s">
        <v>2938</v>
      </c>
      <c r="M9" s="56"/>
      <c r="N9" s="56" t="s">
        <v>2939</v>
      </c>
      <c r="O9" s="56" t="s">
        <v>2939</v>
      </c>
      <c r="P9" s="166" t="s">
        <v>2922</v>
      </c>
      <c r="Q9" s="173"/>
      <c r="R9" s="173"/>
      <c r="S9" s="167">
        <v>748000.0</v>
      </c>
      <c r="T9" s="172">
        <v>14960.0</v>
      </c>
      <c r="U9" s="173"/>
      <c r="V9" s="168" t="s">
        <v>2923</v>
      </c>
      <c r="W9" s="169"/>
      <c r="X9" s="171"/>
    </row>
    <row r="10" ht="14.25" customHeight="1">
      <c r="A10" s="127">
        <v>45358.0</v>
      </c>
      <c r="B10" s="56" t="s">
        <v>2940</v>
      </c>
      <c r="C10" s="56" t="s">
        <v>2611</v>
      </c>
      <c r="D10" s="73" t="str">
        <f>IFERROR(VLOOKUP(C10,Stock,3,FALSE),"")</f>
        <v>Mazda CX-5 .12-14 1st Gen KE Pre - (1 Sensor/ □ )</v>
      </c>
      <c r="E10" s="56">
        <v>1.0</v>
      </c>
      <c r="F10" s="161">
        <v>3666000.0</v>
      </c>
      <c r="G10" s="162">
        <f t="shared" si="1"/>
        <v>3666000</v>
      </c>
      <c r="H10" s="162"/>
      <c r="I10" s="163">
        <f t="shared" si="2"/>
        <v>3666000</v>
      </c>
      <c r="J10" s="164">
        <f t="shared" si="3"/>
        <v>3666000</v>
      </c>
      <c r="K10" s="169" t="s">
        <v>2941</v>
      </c>
      <c r="L10" s="170" t="s">
        <v>2942</v>
      </c>
      <c r="M10" s="169"/>
      <c r="N10" s="171"/>
      <c r="O10" s="171"/>
      <c r="P10" s="168" t="s">
        <v>2922</v>
      </c>
      <c r="Q10" s="173"/>
      <c r="R10" s="162">
        <f>J10</f>
        <v>3666000</v>
      </c>
      <c r="S10" s="173"/>
      <c r="T10" s="173"/>
      <c r="U10" s="173"/>
      <c r="V10" s="168" t="s">
        <v>2923</v>
      </c>
      <c r="W10" s="169"/>
      <c r="X10" s="171"/>
    </row>
    <row r="11" ht="14.25" customHeight="1">
      <c r="A11" s="127">
        <v>45360.0</v>
      </c>
      <c r="B11" s="56" t="s">
        <v>2943</v>
      </c>
      <c r="C11" s="56" t="s">
        <v>2944</v>
      </c>
      <c r="D11" s="73" t="str">
        <f>IFERROR(VLOOKUP(C11,Stock,3,FALSE),"")</f>
        <v>Nissan X-Trail 13- T32</v>
      </c>
      <c r="E11" s="56">
        <v>1.0</v>
      </c>
      <c r="F11" s="161">
        <v>2782000.0</v>
      </c>
      <c r="G11" s="162">
        <f t="shared" si="1"/>
        <v>2782000</v>
      </c>
      <c r="H11" s="162"/>
      <c r="I11" s="163">
        <f t="shared" si="2"/>
        <v>2782000</v>
      </c>
      <c r="J11" s="164">
        <f t="shared" si="3"/>
        <v>2782000</v>
      </c>
      <c r="K11" s="56" t="s">
        <v>2945</v>
      </c>
      <c r="L11" s="165" t="s">
        <v>2946</v>
      </c>
      <c r="M11" s="56"/>
      <c r="N11" s="171"/>
      <c r="O11" s="56" t="s">
        <v>2947</v>
      </c>
      <c r="P11" s="166" t="s">
        <v>2922</v>
      </c>
      <c r="Q11" s="173"/>
      <c r="R11" s="167">
        <v>350000.0</v>
      </c>
      <c r="S11" s="167">
        <v>2432000.0</v>
      </c>
      <c r="T11" s="172">
        <v>92416.0</v>
      </c>
      <c r="U11" s="173"/>
      <c r="V11" s="168" t="s">
        <v>2923</v>
      </c>
      <c r="W11" s="169"/>
      <c r="X11" s="171"/>
    </row>
    <row r="12" ht="14.25" customHeight="1">
      <c r="A12" s="127">
        <v>45360.0</v>
      </c>
      <c r="B12" s="56" t="s">
        <v>2948</v>
      </c>
      <c r="C12" s="56" t="s">
        <v>2949</v>
      </c>
      <c r="D12" s="73" t="str">
        <f>IFERROR(VLOOKUP(C12,Stock,3,FALSE),"")</f>
        <v>Nissan Juke 11-</v>
      </c>
      <c r="E12" s="56">
        <v>1.0</v>
      </c>
      <c r="F12" s="161">
        <v>1782000.0</v>
      </c>
      <c r="G12" s="162">
        <f t="shared" si="1"/>
        <v>1782000</v>
      </c>
      <c r="H12" s="162"/>
      <c r="I12" s="163">
        <f t="shared" si="2"/>
        <v>1782000</v>
      </c>
      <c r="J12" s="164">
        <f t="shared" si="3"/>
        <v>1782000</v>
      </c>
      <c r="K12" s="169" t="s">
        <v>2950</v>
      </c>
      <c r="L12" s="170" t="s">
        <v>2951</v>
      </c>
      <c r="M12" s="169"/>
      <c r="N12" s="171"/>
      <c r="O12" s="169" t="s">
        <v>2952</v>
      </c>
      <c r="P12" s="168" t="s">
        <v>2953</v>
      </c>
      <c r="Q12" s="173"/>
      <c r="R12" s="167">
        <v>300000.0</v>
      </c>
      <c r="S12" s="173"/>
      <c r="T12" s="173"/>
      <c r="U12" s="173"/>
      <c r="V12" s="168" t="s">
        <v>2923</v>
      </c>
      <c r="W12" s="169"/>
      <c r="X12" s="171"/>
    </row>
    <row r="13" ht="14.25" customHeight="1">
      <c r="A13" s="127">
        <v>45360.0</v>
      </c>
      <c r="B13" s="56" t="s">
        <v>2948</v>
      </c>
      <c r="C13" s="56" t="s">
        <v>2934</v>
      </c>
      <c r="D13" s="73" t="str">
        <f>IFERROR(VLOOKUP(C13,Stock,3,FALSE),"")</f>
        <v>Peti Kayu</v>
      </c>
      <c r="E13" s="56">
        <v>1.0</v>
      </c>
      <c r="F13" s="161">
        <v>160000.0</v>
      </c>
      <c r="G13" s="162">
        <f t="shared" si="1"/>
        <v>160000</v>
      </c>
      <c r="H13" s="162"/>
      <c r="I13" s="163">
        <f t="shared" si="2"/>
        <v>160000</v>
      </c>
      <c r="J13" s="164">
        <f t="shared" si="3"/>
        <v>160000</v>
      </c>
      <c r="K13" s="169" t="s">
        <v>2950</v>
      </c>
      <c r="L13" s="170" t="s">
        <v>2951</v>
      </c>
      <c r="M13" s="169"/>
      <c r="N13" s="171"/>
      <c r="O13" s="169" t="s">
        <v>2952</v>
      </c>
      <c r="P13" s="168" t="s">
        <v>2953</v>
      </c>
      <c r="Q13" s="173"/>
      <c r="R13" s="173"/>
      <c r="S13" s="173"/>
      <c r="T13" s="173"/>
      <c r="U13" s="173"/>
      <c r="V13" s="168" t="s">
        <v>2923</v>
      </c>
      <c r="W13" s="169"/>
      <c r="X13" s="171"/>
    </row>
    <row r="14" ht="14.25" customHeight="1">
      <c r="A14" s="127">
        <v>45360.0</v>
      </c>
      <c r="B14" s="56" t="s">
        <v>2948</v>
      </c>
      <c r="C14" s="56" t="s">
        <v>2954</v>
      </c>
      <c r="D14" s="73" t="str">
        <f>IFERROR(VLOOKUP(C14,Stock,3,FALSE),"")</f>
        <v>Transport</v>
      </c>
      <c r="E14" s="56">
        <v>1.0</v>
      </c>
      <c r="F14" s="161">
        <v>250000.0</v>
      </c>
      <c r="G14" s="162">
        <f t="shared" si="1"/>
        <v>250000</v>
      </c>
      <c r="H14" s="162"/>
      <c r="I14" s="163">
        <f t="shared" si="2"/>
        <v>250000</v>
      </c>
      <c r="J14" s="164">
        <f t="shared" si="3"/>
        <v>250000</v>
      </c>
      <c r="K14" s="169" t="s">
        <v>2950</v>
      </c>
      <c r="L14" s="170" t="s">
        <v>2951</v>
      </c>
      <c r="M14" s="169"/>
      <c r="N14" s="171"/>
      <c r="O14" s="169" t="s">
        <v>2952</v>
      </c>
      <c r="P14" s="168" t="s">
        <v>2953</v>
      </c>
      <c r="Q14" s="173"/>
      <c r="R14" s="173"/>
      <c r="S14" s="173"/>
      <c r="T14" s="173"/>
      <c r="U14" s="173"/>
      <c r="V14" s="168" t="s">
        <v>2923</v>
      </c>
      <c r="W14" s="169"/>
      <c r="X14" s="171"/>
    </row>
    <row r="15" ht="14.25" customHeight="1">
      <c r="A15" s="127">
        <v>45363.0</v>
      </c>
      <c r="B15" s="56" t="s">
        <v>2955</v>
      </c>
      <c r="C15" s="56" t="s">
        <v>2649</v>
      </c>
      <c r="D15" s="73" t="str">
        <f>IFERROR(VLOOKUP(C15,Stock,3,FALSE),"")</f>
        <v>Honda City 96-02 3rdGen (City Z)</v>
      </c>
      <c r="E15" s="56">
        <v>1.0</v>
      </c>
      <c r="F15" s="161">
        <v>1248000.0</v>
      </c>
      <c r="G15" s="162">
        <f t="shared" si="1"/>
        <v>1248000</v>
      </c>
      <c r="H15" s="162"/>
      <c r="I15" s="163">
        <f t="shared" si="2"/>
        <v>1248000</v>
      </c>
      <c r="J15" s="164">
        <f t="shared" si="3"/>
        <v>1248000</v>
      </c>
      <c r="K15" s="56" t="s">
        <v>2956</v>
      </c>
      <c r="L15" s="165" t="s">
        <v>2957</v>
      </c>
      <c r="M15" s="56"/>
      <c r="N15" s="171"/>
      <c r="O15" s="56" t="s">
        <v>2958</v>
      </c>
      <c r="P15" s="166" t="s">
        <v>2922</v>
      </c>
      <c r="Q15" s="173"/>
      <c r="R15" s="167">
        <v>1248000.0</v>
      </c>
      <c r="S15" s="173"/>
      <c r="T15" s="173"/>
      <c r="U15" s="173"/>
      <c r="V15" s="168" t="s">
        <v>2923</v>
      </c>
      <c r="W15" s="169"/>
      <c r="X15" s="171"/>
    </row>
    <row r="16" ht="14.25" customHeight="1">
      <c r="A16" s="127">
        <v>45363.0</v>
      </c>
      <c r="B16" s="56" t="s">
        <v>2955</v>
      </c>
      <c r="C16" s="56" t="s">
        <v>2954</v>
      </c>
      <c r="D16" s="73" t="str">
        <f>IFERROR(VLOOKUP(C16,Stock,3,FALSE),"")</f>
        <v>Transport</v>
      </c>
      <c r="E16" s="56">
        <v>1.0</v>
      </c>
      <c r="F16" s="161">
        <v>100000.0</v>
      </c>
      <c r="G16" s="162">
        <f t="shared" si="1"/>
        <v>100000</v>
      </c>
      <c r="H16" s="162"/>
      <c r="I16" s="163">
        <f t="shared" si="2"/>
        <v>100000</v>
      </c>
      <c r="J16" s="164">
        <f t="shared" si="3"/>
        <v>100000</v>
      </c>
      <c r="K16" s="56" t="s">
        <v>2956</v>
      </c>
      <c r="L16" s="170" t="s">
        <v>2957</v>
      </c>
      <c r="M16" s="169"/>
      <c r="N16" s="171"/>
      <c r="O16" s="56" t="s">
        <v>2958</v>
      </c>
      <c r="P16" s="166" t="s">
        <v>2922</v>
      </c>
      <c r="Q16" s="173"/>
      <c r="R16" s="167">
        <v>100000.0</v>
      </c>
      <c r="S16" s="173"/>
      <c r="T16" s="173"/>
      <c r="U16" s="173"/>
      <c r="V16" s="168" t="s">
        <v>2923</v>
      </c>
      <c r="W16" s="169"/>
      <c r="X16" s="171"/>
    </row>
    <row r="17" ht="14.25" customHeight="1">
      <c r="A17" s="127">
        <v>45364.0</v>
      </c>
      <c r="B17" s="56" t="s">
        <v>2959</v>
      </c>
      <c r="C17" s="56" t="s">
        <v>2960</v>
      </c>
      <c r="D17" s="73" t="str">
        <f>IFERROR(VLOOKUP(C17,Stock,3,FALSE),"")</f>
        <v>Toyota Alphard 08-15 ANH20 2nd Gen (Hitam)</v>
      </c>
      <c r="E17" s="56">
        <v>1.0</v>
      </c>
      <c r="F17" s="161">
        <v>2748000.0</v>
      </c>
      <c r="G17" s="162">
        <f t="shared" si="1"/>
        <v>2748000</v>
      </c>
      <c r="H17" s="162"/>
      <c r="I17" s="163">
        <f t="shared" si="2"/>
        <v>2748000</v>
      </c>
      <c r="J17" s="164">
        <f t="shared" si="3"/>
        <v>2748000</v>
      </c>
      <c r="K17" s="56" t="s">
        <v>2961</v>
      </c>
      <c r="L17" s="165" t="s">
        <v>2962</v>
      </c>
      <c r="M17" s="56"/>
      <c r="N17" s="73"/>
      <c r="O17" s="56" t="s">
        <v>2963</v>
      </c>
      <c r="P17" s="166" t="s">
        <v>2922</v>
      </c>
      <c r="Q17" s="173"/>
      <c r="R17" s="173"/>
      <c r="S17" s="174">
        <v>2748000.0</v>
      </c>
      <c r="T17" s="172">
        <v>111624.0</v>
      </c>
      <c r="U17" s="173"/>
      <c r="V17" s="168" t="s">
        <v>2923</v>
      </c>
      <c r="W17" s="169"/>
      <c r="X17" s="171"/>
    </row>
    <row r="18" ht="14.25" customHeight="1">
      <c r="A18" s="127">
        <v>45364.0</v>
      </c>
      <c r="B18" s="56" t="s">
        <v>2959</v>
      </c>
      <c r="C18" s="56" t="s">
        <v>2934</v>
      </c>
      <c r="D18" s="73" t="str">
        <f>IFERROR(VLOOKUP(C18,Stock,3,FALSE),"")</f>
        <v>Peti Kayu</v>
      </c>
      <c r="E18" s="56">
        <v>1.0</v>
      </c>
      <c r="F18" s="161">
        <v>160000.0</v>
      </c>
      <c r="G18" s="162">
        <f t="shared" si="1"/>
        <v>160000</v>
      </c>
      <c r="H18" s="162"/>
      <c r="I18" s="163">
        <f t="shared" si="2"/>
        <v>160000</v>
      </c>
      <c r="J18" s="164">
        <f t="shared" si="3"/>
        <v>160000</v>
      </c>
      <c r="K18" s="56" t="s">
        <v>2961</v>
      </c>
      <c r="L18" s="165" t="s">
        <v>2962</v>
      </c>
      <c r="M18" s="56"/>
      <c r="N18" s="73"/>
      <c r="O18" s="56" t="s">
        <v>2963</v>
      </c>
      <c r="P18" s="166" t="s">
        <v>2922</v>
      </c>
      <c r="Q18" s="173"/>
      <c r="R18" s="173"/>
      <c r="S18" s="174">
        <v>160000.0</v>
      </c>
      <c r="T18" s="173"/>
      <c r="U18" s="173"/>
      <c r="V18" s="168" t="s">
        <v>2923</v>
      </c>
      <c r="W18" s="169"/>
      <c r="X18" s="171"/>
    </row>
    <row r="19" ht="14.25" customHeight="1">
      <c r="A19" s="127">
        <v>45364.0</v>
      </c>
      <c r="B19" s="56" t="s">
        <v>2964</v>
      </c>
      <c r="C19" s="56" t="s">
        <v>2965</v>
      </c>
      <c r="D19" s="73" t="str">
        <f>IFERROR(VLOOKUP(C19,Stock,3,FALSE),"")</f>
        <v>Suzuki Ertiga 12-18 1st Gen MPV</v>
      </c>
      <c r="E19" s="56">
        <v>1.0</v>
      </c>
      <c r="F19" s="161">
        <v>1099000.0</v>
      </c>
      <c r="G19" s="162">
        <f t="shared" si="1"/>
        <v>1099000</v>
      </c>
      <c r="H19" s="162"/>
      <c r="I19" s="163">
        <f t="shared" si="2"/>
        <v>1099000</v>
      </c>
      <c r="J19" s="164">
        <f t="shared" si="3"/>
        <v>1099000</v>
      </c>
      <c r="K19" s="56" t="s">
        <v>2966</v>
      </c>
      <c r="L19" s="165" t="s">
        <v>2967</v>
      </c>
      <c r="M19" s="56"/>
      <c r="N19" s="73"/>
      <c r="O19" s="56" t="s">
        <v>2968</v>
      </c>
      <c r="P19" s="166" t="s">
        <v>2969</v>
      </c>
      <c r="Q19" s="167">
        <v>1099000.0</v>
      </c>
      <c r="R19" s="173"/>
      <c r="S19" s="173"/>
      <c r="T19" s="173"/>
      <c r="U19" s="173"/>
      <c r="V19" s="168" t="s">
        <v>2970</v>
      </c>
      <c r="W19" s="169"/>
      <c r="X19" s="169" t="s">
        <v>2971</v>
      </c>
    </row>
    <row r="20" ht="14.25" customHeight="1">
      <c r="A20" s="127">
        <v>45364.0</v>
      </c>
      <c r="B20" s="56" t="s">
        <v>2972</v>
      </c>
      <c r="C20" s="175" t="s">
        <v>2973</v>
      </c>
      <c r="D20" s="73" t="str">
        <f>IFERROR(VLOOKUP(C20,Stock,3,FALSE),"")</f>
        <v>Toyota Innova 04-15 1st Gen</v>
      </c>
      <c r="E20" s="56">
        <v>1.0</v>
      </c>
      <c r="F20" s="161">
        <v>1150000.0</v>
      </c>
      <c r="G20" s="162">
        <f t="shared" si="1"/>
        <v>1150000</v>
      </c>
      <c r="H20" s="162"/>
      <c r="I20" s="163">
        <f t="shared" si="2"/>
        <v>1150000</v>
      </c>
      <c r="J20" s="164">
        <f t="shared" si="3"/>
        <v>1150000</v>
      </c>
      <c r="K20" s="169" t="s">
        <v>2974</v>
      </c>
      <c r="L20" s="170" t="s">
        <v>2975</v>
      </c>
      <c r="M20" s="169"/>
      <c r="N20" s="171"/>
      <c r="O20" s="169" t="s">
        <v>2958</v>
      </c>
      <c r="P20" s="168" t="s">
        <v>2922</v>
      </c>
      <c r="Q20" s="173"/>
      <c r="R20" s="167">
        <v>1150000.0</v>
      </c>
      <c r="S20" s="173"/>
      <c r="T20" s="173"/>
      <c r="U20" s="173"/>
      <c r="V20" s="168" t="s">
        <v>2970</v>
      </c>
      <c r="W20" s="169"/>
      <c r="X20" s="171"/>
    </row>
    <row r="21" ht="14.25" customHeight="1">
      <c r="A21" s="127">
        <v>45364.0</v>
      </c>
      <c r="B21" s="56" t="s">
        <v>2972</v>
      </c>
      <c r="C21" s="56" t="s">
        <v>2954</v>
      </c>
      <c r="D21" s="73" t="str">
        <f>IFERROR(VLOOKUP(C21,Stock,3,FALSE),"")</f>
        <v>Transport</v>
      </c>
      <c r="E21" s="56">
        <v>1.0</v>
      </c>
      <c r="F21" s="161">
        <v>100000.0</v>
      </c>
      <c r="G21" s="162">
        <f t="shared" si="1"/>
        <v>100000</v>
      </c>
      <c r="H21" s="162"/>
      <c r="I21" s="163">
        <f t="shared" si="2"/>
        <v>100000</v>
      </c>
      <c r="J21" s="164">
        <f t="shared" si="3"/>
        <v>100000</v>
      </c>
      <c r="K21" s="169" t="s">
        <v>2974</v>
      </c>
      <c r="L21" s="176" t="s">
        <v>2975</v>
      </c>
      <c r="M21" s="177"/>
      <c r="N21" s="178"/>
      <c r="O21" s="179" t="s">
        <v>2958</v>
      </c>
      <c r="P21" s="180" t="s">
        <v>2922</v>
      </c>
      <c r="Q21" s="173"/>
      <c r="R21" s="167">
        <v>100000.0</v>
      </c>
      <c r="S21" s="173"/>
      <c r="T21" s="173"/>
      <c r="U21" s="173"/>
      <c r="V21" s="168" t="s">
        <v>2970</v>
      </c>
      <c r="W21" s="169"/>
      <c r="X21" s="171"/>
    </row>
    <row r="22" ht="14.25" customHeight="1">
      <c r="A22" s="127">
        <v>45364.0</v>
      </c>
      <c r="B22" s="56" t="s">
        <v>2972</v>
      </c>
      <c r="C22" s="175" t="s">
        <v>2934</v>
      </c>
      <c r="D22" s="73" t="str">
        <f>IFERROR(VLOOKUP(C22,Stock,3,FALSE),"")</f>
        <v>Peti Kayu</v>
      </c>
      <c r="E22" s="56">
        <v>1.0</v>
      </c>
      <c r="F22" s="161">
        <v>160000.0</v>
      </c>
      <c r="G22" s="162">
        <f t="shared" si="1"/>
        <v>160000</v>
      </c>
      <c r="H22" s="162"/>
      <c r="I22" s="162">
        <f t="shared" si="2"/>
        <v>160000</v>
      </c>
      <c r="J22" s="164">
        <f t="shared" si="3"/>
        <v>160000</v>
      </c>
      <c r="K22" s="169" t="s">
        <v>2974</v>
      </c>
      <c r="L22" s="176" t="s">
        <v>2975</v>
      </c>
      <c r="M22" s="177"/>
      <c r="N22" s="178"/>
      <c r="O22" s="179" t="s">
        <v>2958</v>
      </c>
      <c r="P22" s="180" t="s">
        <v>2922</v>
      </c>
      <c r="Q22" s="173"/>
      <c r="R22" s="167">
        <v>160000.0</v>
      </c>
      <c r="S22" s="173"/>
      <c r="T22" s="173"/>
      <c r="U22" s="173"/>
      <c r="V22" s="168" t="s">
        <v>2970</v>
      </c>
      <c r="W22" s="169"/>
      <c r="X22" s="171"/>
    </row>
    <row r="23" ht="14.25" customHeight="1">
      <c r="A23" s="127">
        <v>45364.0</v>
      </c>
      <c r="B23" s="56" t="s">
        <v>2976</v>
      </c>
      <c r="C23" s="175" t="s">
        <v>2977</v>
      </c>
      <c r="D23" s="73" t="str">
        <f>IFERROR(VLOOKUP(C23,Stock,3,FALSE),"")</f>
        <v>Toyota Alphard 08-15 ANH20 2nd Gen (Hitam)</v>
      </c>
      <c r="E23" s="56">
        <v>1.0</v>
      </c>
      <c r="F23" s="161">
        <v>3416000.0</v>
      </c>
      <c r="G23" s="162">
        <f t="shared" si="1"/>
        <v>3416000</v>
      </c>
      <c r="H23" s="162"/>
      <c r="I23" s="162">
        <f t="shared" si="2"/>
        <v>3416000</v>
      </c>
      <c r="J23" s="164">
        <f t="shared" si="3"/>
        <v>3416000</v>
      </c>
      <c r="K23" s="169" t="s">
        <v>2978</v>
      </c>
      <c r="L23" s="170" t="s">
        <v>2979</v>
      </c>
      <c r="M23" s="169"/>
      <c r="N23" s="169" t="s">
        <v>2980</v>
      </c>
      <c r="O23" s="169" t="s">
        <v>2958</v>
      </c>
      <c r="P23" s="168" t="s">
        <v>2922</v>
      </c>
      <c r="Q23" s="173"/>
      <c r="R23" s="167">
        <v>100000.0</v>
      </c>
      <c r="S23" s="173"/>
      <c r="T23" s="173"/>
      <c r="U23" s="173"/>
      <c r="V23" s="168" t="s">
        <v>2970</v>
      </c>
      <c r="W23" s="169"/>
      <c r="X23" s="169" t="s">
        <v>2981</v>
      </c>
    </row>
    <row r="24" ht="14.25" customHeight="1">
      <c r="A24" s="127">
        <v>45365.0</v>
      </c>
      <c r="B24" s="56" t="s">
        <v>2982</v>
      </c>
      <c r="C24" s="181" t="s">
        <v>2983</v>
      </c>
      <c r="D24" s="73" t="str">
        <f>IFERROR(VLOOKUP(C24,Stock,3,FALSE),"")</f>
        <v>Kia Picanto 11-16 2nd Gen</v>
      </c>
      <c r="E24" s="56">
        <v>1.0</v>
      </c>
      <c r="F24" s="161">
        <v>2200000.0</v>
      </c>
      <c r="G24" s="162">
        <f t="shared" si="1"/>
        <v>2200000</v>
      </c>
      <c r="H24" s="162"/>
      <c r="I24" s="162">
        <f t="shared" si="2"/>
        <v>2200000</v>
      </c>
      <c r="J24" s="164">
        <f t="shared" si="3"/>
        <v>2200000</v>
      </c>
      <c r="K24" s="171"/>
      <c r="L24" s="170" t="s">
        <v>2984</v>
      </c>
      <c r="M24" s="169"/>
      <c r="N24" s="171"/>
      <c r="O24" s="169" t="s">
        <v>2958</v>
      </c>
      <c r="P24" s="168" t="s">
        <v>2922</v>
      </c>
      <c r="Q24" s="173"/>
      <c r="R24" s="167">
        <v>2200000.0</v>
      </c>
      <c r="S24" s="173"/>
      <c r="T24" s="173"/>
      <c r="U24" s="173"/>
      <c r="V24" s="168" t="s">
        <v>2923</v>
      </c>
      <c r="W24" s="169"/>
      <c r="X24" s="171"/>
    </row>
    <row r="25" ht="14.25" customHeight="1">
      <c r="A25" s="127">
        <v>45366.0</v>
      </c>
      <c r="B25" s="56" t="s">
        <v>2985</v>
      </c>
      <c r="C25" s="175" t="s">
        <v>2986</v>
      </c>
      <c r="D25" s="73" t="str">
        <f>IFERROR(VLOOKUP(C25,Stock,3,FALSE),"")</f>
        <v>Nissan X-Trail 01-07 T30</v>
      </c>
      <c r="E25" s="56">
        <v>1.0</v>
      </c>
      <c r="F25" s="161">
        <v>1971000.0</v>
      </c>
      <c r="G25" s="162">
        <f t="shared" si="1"/>
        <v>1971000</v>
      </c>
      <c r="H25" s="162"/>
      <c r="I25" s="162">
        <f t="shared" si="2"/>
        <v>1971000</v>
      </c>
      <c r="J25" s="164">
        <f t="shared" si="3"/>
        <v>1971000</v>
      </c>
      <c r="K25" s="169" t="s">
        <v>2987</v>
      </c>
      <c r="L25" s="170" t="s">
        <v>2988</v>
      </c>
      <c r="M25" s="169"/>
      <c r="N25" s="169" t="s">
        <v>2989</v>
      </c>
      <c r="O25" s="169" t="s">
        <v>2958</v>
      </c>
      <c r="P25" s="168" t="s">
        <v>2922</v>
      </c>
      <c r="Q25" s="167">
        <v>2071000.0</v>
      </c>
      <c r="R25" s="167"/>
      <c r="S25" s="173"/>
      <c r="T25" s="173"/>
      <c r="U25" s="173"/>
      <c r="V25" s="168" t="s">
        <v>2923</v>
      </c>
      <c r="W25" s="169"/>
      <c r="X25" s="169" t="s">
        <v>2990</v>
      </c>
    </row>
    <row r="26" ht="14.25" customHeight="1">
      <c r="A26" s="127">
        <v>45366.0</v>
      </c>
      <c r="B26" s="56" t="s">
        <v>2985</v>
      </c>
      <c r="C26" s="56" t="s">
        <v>2954</v>
      </c>
      <c r="D26" s="73" t="str">
        <f>IFERROR(VLOOKUP(C26,Stock,3,FALSE),"")</f>
        <v>Transport</v>
      </c>
      <c r="E26" s="56">
        <v>1.0</v>
      </c>
      <c r="F26" s="161">
        <v>100000.0</v>
      </c>
      <c r="G26" s="162">
        <f t="shared" si="1"/>
        <v>100000</v>
      </c>
      <c r="H26" s="162"/>
      <c r="I26" s="162">
        <f t="shared" si="2"/>
        <v>100000</v>
      </c>
      <c r="J26" s="164">
        <f t="shared" si="3"/>
        <v>100000</v>
      </c>
      <c r="K26" s="169" t="s">
        <v>2987</v>
      </c>
      <c r="L26" s="170" t="s">
        <v>2988</v>
      </c>
      <c r="M26" s="169"/>
      <c r="N26" s="169" t="s">
        <v>2989</v>
      </c>
      <c r="O26" s="169" t="s">
        <v>2958</v>
      </c>
      <c r="P26" s="168" t="s">
        <v>2922</v>
      </c>
      <c r="Q26" s="167"/>
      <c r="R26" s="167">
        <v>100000.0</v>
      </c>
      <c r="S26" s="173"/>
      <c r="T26" s="173"/>
      <c r="U26" s="173"/>
      <c r="V26" s="168" t="s">
        <v>2923</v>
      </c>
      <c r="W26" s="169"/>
      <c r="X26" s="171"/>
    </row>
    <row r="27" ht="14.25" customHeight="1">
      <c r="A27" s="127">
        <v>45366.0</v>
      </c>
      <c r="B27" s="56" t="s">
        <v>2991</v>
      </c>
      <c r="C27" s="181" t="s">
        <v>2729</v>
      </c>
      <c r="D27" s="73" t="str">
        <f>IFERROR(VLOOKUP(C27,Stock,3,FALSE),"")</f>
        <v>Honda HR-V 14-21 5D SUV</v>
      </c>
      <c r="E27" s="56">
        <v>1.0</v>
      </c>
      <c r="F27" s="161">
        <v>2156000.0</v>
      </c>
      <c r="G27" s="162">
        <f t="shared" si="1"/>
        <v>2156000</v>
      </c>
      <c r="H27" s="162"/>
      <c r="I27" s="162">
        <f t="shared" si="2"/>
        <v>2156000</v>
      </c>
      <c r="J27" s="164">
        <f t="shared" si="3"/>
        <v>2156000</v>
      </c>
      <c r="K27" s="56" t="s">
        <v>2992</v>
      </c>
      <c r="L27" s="170" t="s">
        <v>2993</v>
      </c>
      <c r="M27" s="169"/>
      <c r="N27" s="169" t="s">
        <v>2994</v>
      </c>
      <c r="O27" s="56" t="s">
        <v>2995</v>
      </c>
      <c r="P27" s="166" t="s">
        <v>2922</v>
      </c>
      <c r="Q27" s="167"/>
      <c r="R27" s="167">
        <v>400000.0</v>
      </c>
      <c r="S27" s="167">
        <v>1756000.0</v>
      </c>
      <c r="T27" s="172">
        <v>66728.0</v>
      </c>
      <c r="U27" s="173"/>
      <c r="V27" s="168" t="s">
        <v>2923</v>
      </c>
      <c r="W27" s="169"/>
      <c r="X27" s="171"/>
    </row>
    <row r="28" ht="14.25" customHeight="1">
      <c r="A28" s="127">
        <v>45367.0</v>
      </c>
      <c r="B28" s="56" t="s">
        <v>2996</v>
      </c>
      <c r="C28" s="56" t="s">
        <v>2997</v>
      </c>
      <c r="D28" s="73" t="str">
        <f>IFERROR(VLOOKUP(C28,Stock,3,FALSE),"")</f>
        <v>Honda City 02-08 4th Gen Idsi GD8</v>
      </c>
      <c r="E28" s="56">
        <v>1.0</v>
      </c>
      <c r="F28" s="161">
        <v>2148000.0</v>
      </c>
      <c r="G28" s="162">
        <f t="shared" si="1"/>
        <v>2148000</v>
      </c>
      <c r="H28" s="162"/>
      <c r="I28" s="162">
        <f t="shared" si="2"/>
        <v>2148000</v>
      </c>
      <c r="J28" s="164">
        <f t="shared" si="3"/>
        <v>2148000</v>
      </c>
      <c r="K28" s="169" t="s">
        <v>2998</v>
      </c>
      <c r="L28" s="170" t="s">
        <v>2999</v>
      </c>
      <c r="M28" s="169"/>
      <c r="N28" s="169" t="s">
        <v>3000</v>
      </c>
      <c r="O28" s="169" t="s">
        <v>3001</v>
      </c>
      <c r="P28" s="168" t="s">
        <v>2922</v>
      </c>
      <c r="Q28" s="167">
        <v>748000.0</v>
      </c>
      <c r="R28" s="167">
        <v>1400000.0</v>
      </c>
      <c r="S28" s="173"/>
      <c r="T28" s="173"/>
      <c r="U28" s="173"/>
      <c r="V28" s="168" t="s">
        <v>2923</v>
      </c>
      <c r="W28" s="169"/>
      <c r="X28" s="169" t="s">
        <v>3002</v>
      </c>
    </row>
    <row r="29" ht="14.25" customHeight="1">
      <c r="A29" s="127">
        <v>45367.0</v>
      </c>
      <c r="B29" s="56" t="s">
        <v>3003</v>
      </c>
      <c r="C29" s="56" t="s">
        <v>2785</v>
      </c>
      <c r="D29" s="73" t="str">
        <f>IFERROR(VLOOKUP(C29,Stock,3,FALSE),"")</f>
        <v>Suzuki Swift 11-17 2nd Gen</v>
      </c>
      <c r="E29" s="56">
        <v>1.0</v>
      </c>
      <c r="F29" s="161">
        <v>1748000.0</v>
      </c>
      <c r="G29" s="162">
        <f t="shared" si="1"/>
        <v>1748000</v>
      </c>
      <c r="H29" s="162"/>
      <c r="I29" s="162">
        <f t="shared" si="2"/>
        <v>1748000</v>
      </c>
      <c r="J29" s="164">
        <f t="shared" si="3"/>
        <v>1748000</v>
      </c>
      <c r="K29" s="169" t="s">
        <v>3004</v>
      </c>
      <c r="L29" s="170" t="s">
        <v>3005</v>
      </c>
      <c r="M29" s="169"/>
      <c r="N29" s="169" t="s">
        <v>3006</v>
      </c>
      <c r="O29" s="171"/>
      <c r="P29" s="168" t="s">
        <v>2922</v>
      </c>
      <c r="Q29" s="167">
        <v>1748000.0</v>
      </c>
      <c r="R29" s="173"/>
      <c r="S29" s="173"/>
      <c r="T29" s="173"/>
      <c r="U29" s="173"/>
      <c r="V29" s="168" t="s">
        <v>2923</v>
      </c>
      <c r="W29" s="169"/>
      <c r="X29" s="169" t="s">
        <v>3002</v>
      </c>
    </row>
    <row r="30" ht="14.25" customHeight="1">
      <c r="A30" s="127">
        <v>45367.0</v>
      </c>
      <c r="B30" s="56" t="s">
        <v>3007</v>
      </c>
      <c r="C30" s="56" t="s">
        <v>2706</v>
      </c>
      <c r="D30" s="73" t="str">
        <f>IFERROR(VLOOKUP(C30,Stock,3,FALSE),"")</f>
        <v>Isuzu Elf 17- New NMR NLR</v>
      </c>
      <c r="E30" s="56">
        <v>1.0</v>
      </c>
      <c r="F30" s="161">
        <v>1664000.0</v>
      </c>
      <c r="G30" s="162">
        <f t="shared" si="1"/>
        <v>1664000</v>
      </c>
      <c r="H30" s="162"/>
      <c r="I30" s="162">
        <f t="shared" si="2"/>
        <v>1664000</v>
      </c>
      <c r="J30" s="164">
        <f t="shared" si="3"/>
        <v>1664000</v>
      </c>
      <c r="K30" s="169" t="s">
        <v>3008</v>
      </c>
      <c r="L30" s="170" t="s">
        <v>3009</v>
      </c>
      <c r="M30" s="169"/>
      <c r="N30" s="169" t="s">
        <v>3010</v>
      </c>
      <c r="O30" s="171"/>
      <c r="P30" s="168" t="s">
        <v>3011</v>
      </c>
      <c r="Q30" s="173"/>
      <c r="R30" s="167">
        <v>1664000.0</v>
      </c>
      <c r="S30" s="173"/>
      <c r="T30" s="173"/>
      <c r="U30" s="173"/>
      <c r="V30" s="168" t="s">
        <v>2923</v>
      </c>
      <c r="W30" s="169"/>
      <c r="X30" s="171"/>
    </row>
    <row r="31" ht="14.25" customHeight="1">
      <c r="A31" s="127">
        <v>45367.0</v>
      </c>
      <c r="B31" s="56" t="s">
        <v>3007</v>
      </c>
      <c r="C31" s="56" t="s">
        <v>2954</v>
      </c>
      <c r="D31" s="73" t="str">
        <f>IFERROR(VLOOKUP(C31,Stock,3,FALSE),"")</f>
        <v>Transport</v>
      </c>
      <c r="E31" s="56">
        <v>1.0</v>
      </c>
      <c r="F31" s="161">
        <v>100000.0</v>
      </c>
      <c r="G31" s="162">
        <f t="shared" si="1"/>
        <v>100000</v>
      </c>
      <c r="H31" s="162"/>
      <c r="I31" s="162">
        <f t="shared" si="2"/>
        <v>100000</v>
      </c>
      <c r="J31" s="164">
        <f t="shared" si="3"/>
        <v>100000</v>
      </c>
      <c r="K31" s="169" t="s">
        <v>3008</v>
      </c>
      <c r="L31" s="170" t="s">
        <v>3009</v>
      </c>
      <c r="M31" s="169"/>
      <c r="N31" s="169" t="s">
        <v>3010</v>
      </c>
      <c r="O31" s="171"/>
      <c r="P31" s="168" t="s">
        <v>3011</v>
      </c>
      <c r="Q31" s="173"/>
      <c r="R31" s="167">
        <v>100000.0</v>
      </c>
      <c r="S31" s="173"/>
      <c r="T31" s="173"/>
      <c r="U31" s="173"/>
      <c r="V31" s="168" t="s">
        <v>2923</v>
      </c>
      <c r="W31" s="169"/>
      <c r="X31" s="171"/>
    </row>
    <row r="32" ht="14.25" customHeight="1">
      <c r="A32" s="127">
        <v>45369.0</v>
      </c>
      <c r="B32" s="56" t="s">
        <v>3012</v>
      </c>
      <c r="C32" s="56" t="s">
        <v>3013</v>
      </c>
      <c r="D32" s="73" t="str">
        <f>IFERROR(VLOOKUP(C32,Stock,3,FALSE),"")</f>
        <v>Honda BR-V 16-</v>
      </c>
      <c r="E32" s="56">
        <v>1.0</v>
      </c>
      <c r="F32" s="161">
        <v>1259000.0</v>
      </c>
      <c r="G32" s="162">
        <f t="shared" si="1"/>
        <v>1259000</v>
      </c>
      <c r="H32" s="162"/>
      <c r="I32" s="162">
        <f t="shared" si="2"/>
        <v>1259000</v>
      </c>
      <c r="J32" s="164">
        <f t="shared" si="3"/>
        <v>1259000</v>
      </c>
      <c r="K32" s="169" t="s">
        <v>3014</v>
      </c>
      <c r="L32" s="170" t="s">
        <v>3015</v>
      </c>
      <c r="M32" s="169"/>
      <c r="N32" s="171"/>
      <c r="O32" s="169" t="s">
        <v>3016</v>
      </c>
      <c r="P32" s="168" t="s">
        <v>2922</v>
      </c>
      <c r="Q32" s="173"/>
      <c r="R32" s="173"/>
      <c r="S32" s="167">
        <v>1259000.0</v>
      </c>
      <c r="T32" s="172">
        <v>55042.0</v>
      </c>
      <c r="U32" s="173"/>
      <c r="V32" s="168" t="s">
        <v>2923</v>
      </c>
      <c r="W32" s="169"/>
      <c r="X32" s="171"/>
    </row>
    <row r="33" ht="14.25" customHeight="1">
      <c r="A33" s="127">
        <v>45369.0</v>
      </c>
      <c r="B33" s="56" t="s">
        <v>3012</v>
      </c>
      <c r="C33" s="56" t="s">
        <v>2934</v>
      </c>
      <c r="D33" s="73" t="str">
        <f>IFERROR(VLOOKUP(C33,Stock,3,FALSE),"")</f>
        <v>Peti Kayu</v>
      </c>
      <c r="E33" s="56">
        <v>1.0</v>
      </c>
      <c r="F33" s="161">
        <v>160000.0</v>
      </c>
      <c r="G33" s="162">
        <f t="shared" si="1"/>
        <v>160000</v>
      </c>
      <c r="H33" s="162"/>
      <c r="I33" s="162">
        <f t="shared" si="2"/>
        <v>160000</v>
      </c>
      <c r="J33" s="164">
        <f t="shared" si="3"/>
        <v>160000</v>
      </c>
      <c r="K33" s="169" t="s">
        <v>3014</v>
      </c>
      <c r="L33" s="170" t="s">
        <v>3015</v>
      </c>
      <c r="M33" s="169"/>
      <c r="N33" s="171"/>
      <c r="O33" s="169" t="s">
        <v>3016</v>
      </c>
      <c r="P33" s="168" t="s">
        <v>2922</v>
      </c>
      <c r="Q33" s="173"/>
      <c r="R33" s="173"/>
      <c r="S33" s="167">
        <v>160000.0</v>
      </c>
      <c r="T33" s="173"/>
      <c r="U33" s="173"/>
      <c r="V33" s="168" t="s">
        <v>2923</v>
      </c>
      <c r="W33" s="169"/>
      <c r="X33" s="171"/>
    </row>
    <row r="34" ht="14.25" customHeight="1">
      <c r="A34" s="127">
        <v>45370.0</v>
      </c>
      <c r="B34" s="56" t="s">
        <v>3017</v>
      </c>
      <c r="C34" s="56" t="s">
        <v>2643</v>
      </c>
      <c r="D34" s="73" t="str">
        <f>IFERROR(VLOOKUP(C34,Stock,3,FALSE),"")</f>
        <v>Toyota Vios 07-13 XP90 2nd Gen</v>
      </c>
      <c r="E34" s="56">
        <v>1.0</v>
      </c>
      <c r="F34" s="161">
        <v>1133000.0</v>
      </c>
      <c r="G34" s="162">
        <f t="shared" si="1"/>
        <v>1133000</v>
      </c>
      <c r="H34" s="162"/>
      <c r="I34" s="162">
        <f t="shared" si="2"/>
        <v>1133000</v>
      </c>
      <c r="J34" s="164">
        <f t="shared" si="3"/>
        <v>1133000</v>
      </c>
      <c r="K34" s="56" t="s">
        <v>3018</v>
      </c>
      <c r="L34" s="170" t="s">
        <v>3015</v>
      </c>
      <c r="M34" s="169"/>
      <c r="N34" s="171"/>
      <c r="O34" s="56" t="s">
        <v>2958</v>
      </c>
      <c r="P34" s="168" t="s">
        <v>3011</v>
      </c>
      <c r="Q34" s="167">
        <v>1133000.0</v>
      </c>
      <c r="R34" s="173"/>
      <c r="S34" s="173"/>
      <c r="T34" s="173"/>
      <c r="U34" s="173"/>
      <c r="V34" s="168" t="s">
        <v>2923</v>
      </c>
      <c r="W34" s="169"/>
      <c r="X34" s="169" t="s">
        <v>3019</v>
      </c>
    </row>
    <row r="35" ht="14.25" customHeight="1">
      <c r="A35" s="127">
        <v>45370.0</v>
      </c>
      <c r="B35" s="56" t="s">
        <v>3017</v>
      </c>
      <c r="C35" s="56" t="s">
        <v>3020</v>
      </c>
      <c r="D35" s="73" t="str">
        <f>IFERROR(VLOOKUP(C35,Stock,3,FALSE),"")</f>
        <v>Toyota Vios 07-13 XP90 2nd Gen</v>
      </c>
      <c r="E35" s="56">
        <v>1.0</v>
      </c>
      <c r="F35" s="161">
        <v>1354000.0</v>
      </c>
      <c r="G35" s="162">
        <f t="shared" si="1"/>
        <v>1354000</v>
      </c>
      <c r="H35" s="162"/>
      <c r="I35" s="162">
        <f t="shared" si="2"/>
        <v>1354000</v>
      </c>
      <c r="J35" s="164">
        <f t="shared" si="3"/>
        <v>1354000</v>
      </c>
      <c r="K35" s="56" t="s">
        <v>3018</v>
      </c>
      <c r="L35" s="170" t="s">
        <v>3015</v>
      </c>
      <c r="M35" s="169"/>
      <c r="N35" s="73"/>
      <c r="O35" s="56" t="s">
        <v>2958</v>
      </c>
      <c r="P35" s="168" t="s">
        <v>3011</v>
      </c>
      <c r="Q35" s="167">
        <v>1354000.0</v>
      </c>
      <c r="R35" s="173"/>
      <c r="S35" s="173"/>
      <c r="T35" s="173"/>
      <c r="U35" s="173"/>
      <c r="V35" s="168" t="s">
        <v>2923</v>
      </c>
      <c r="W35" s="169"/>
      <c r="X35" s="169" t="s">
        <v>3021</v>
      </c>
    </row>
    <row r="36" ht="14.25" customHeight="1">
      <c r="A36" s="127">
        <v>45371.0</v>
      </c>
      <c r="B36" s="56" t="s">
        <v>3022</v>
      </c>
      <c r="C36" s="56" t="s">
        <v>2954</v>
      </c>
      <c r="D36" s="73" t="str">
        <f>IFERROR(VLOOKUP(C36,Stock,3,FALSE),"")</f>
        <v>Transport</v>
      </c>
      <c r="E36" s="56">
        <v>1.0</v>
      </c>
      <c r="F36" s="161">
        <v>100000.0</v>
      </c>
      <c r="G36" s="162">
        <f t="shared" si="1"/>
        <v>100000</v>
      </c>
      <c r="H36" s="162"/>
      <c r="I36" s="162">
        <f t="shared" si="2"/>
        <v>100000</v>
      </c>
      <c r="J36" s="164">
        <f t="shared" si="3"/>
        <v>100000</v>
      </c>
      <c r="K36" s="169" t="s">
        <v>3008</v>
      </c>
      <c r="L36" s="170" t="s">
        <v>3009</v>
      </c>
      <c r="M36" s="169"/>
      <c r="N36" s="169" t="s">
        <v>3010</v>
      </c>
      <c r="O36" s="171"/>
      <c r="P36" s="168" t="s">
        <v>3011</v>
      </c>
      <c r="Q36" s="174">
        <v>100000.0</v>
      </c>
      <c r="R36" s="182"/>
      <c r="S36" s="182"/>
      <c r="T36" s="182"/>
      <c r="U36" s="182"/>
      <c r="V36" s="168" t="s">
        <v>2923</v>
      </c>
      <c r="W36" s="169"/>
      <c r="X36" s="56" t="s">
        <v>3023</v>
      </c>
    </row>
    <row r="37" ht="14.25" customHeight="1">
      <c r="A37" s="127">
        <v>45371.0</v>
      </c>
      <c r="B37" s="56" t="s">
        <v>3024</v>
      </c>
      <c r="C37" s="181" t="s">
        <v>3025</v>
      </c>
      <c r="D37" s="73" t="str">
        <f>IFERROR(VLOOKUP(C37,Stock,3,FALSE),"")</f>
        <v>Toyota Rush / Terios 06-17</v>
      </c>
      <c r="E37" s="56">
        <v>1.0</v>
      </c>
      <c r="F37" s="161">
        <v>1149000.0</v>
      </c>
      <c r="G37" s="162">
        <f t="shared" si="1"/>
        <v>1149000</v>
      </c>
      <c r="H37" s="162"/>
      <c r="I37" s="162">
        <f t="shared" si="2"/>
        <v>1149000</v>
      </c>
      <c r="J37" s="164">
        <f t="shared" si="3"/>
        <v>1149000</v>
      </c>
      <c r="K37" s="56" t="s">
        <v>3026</v>
      </c>
      <c r="L37" s="165" t="s">
        <v>3027</v>
      </c>
      <c r="M37" s="56"/>
      <c r="N37" s="56" t="s">
        <v>2939</v>
      </c>
      <c r="O37" s="56" t="s">
        <v>3028</v>
      </c>
      <c r="P37" s="168" t="s">
        <v>2922</v>
      </c>
      <c r="Q37" s="182"/>
      <c r="R37" s="182"/>
      <c r="S37" s="161">
        <v>1149000.0</v>
      </c>
      <c r="T37" s="172">
        <v>50862.0</v>
      </c>
      <c r="U37" s="182"/>
      <c r="V37" s="168" t="s">
        <v>2923</v>
      </c>
      <c r="W37" s="169"/>
      <c r="X37" s="73"/>
    </row>
    <row r="38" ht="14.25" customHeight="1">
      <c r="A38" s="127">
        <v>45371.0</v>
      </c>
      <c r="B38" s="56" t="s">
        <v>3024</v>
      </c>
      <c r="C38" s="56" t="s">
        <v>2934</v>
      </c>
      <c r="D38" s="73" t="str">
        <f>IFERROR(VLOOKUP(C38,Stock,3,FALSE),"")</f>
        <v>Peti Kayu</v>
      </c>
      <c r="E38" s="56">
        <v>1.0</v>
      </c>
      <c r="F38" s="161">
        <v>160000.0</v>
      </c>
      <c r="G38" s="162">
        <f t="shared" si="1"/>
        <v>160000</v>
      </c>
      <c r="H38" s="162"/>
      <c r="I38" s="162">
        <f t="shared" si="2"/>
        <v>160000</v>
      </c>
      <c r="J38" s="164">
        <f t="shared" si="3"/>
        <v>160000</v>
      </c>
      <c r="K38" s="56" t="s">
        <v>3026</v>
      </c>
      <c r="L38" s="165" t="s">
        <v>3029</v>
      </c>
      <c r="M38" s="56"/>
      <c r="N38" s="56" t="s">
        <v>2939</v>
      </c>
      <c r="O38" s="56" t="s">
        <v>3028</v>
      </c>
      <c r="P38" s="168" t="s">
        <v>2922</v>
      </c>
      <c r="Q38" s="182"/>
      <c r="R38" s="182"/>
      <c r="S38" s="161">
        <v>160000.0</v>
      </c>
      <c r="T38" s="182"/>
      <c r="U38" s="182"/>
      <c r="V38" s="168" t="s">
        <v>2923</v>
      </c>
      <c r="W38" s="169"/>
      <c r="X38" s="73"/>
    </row>
    <row r="39" ht="14.25" customHeight="1">
      <c r="A39" s="183">
        <v>45372.0</v>
      </c>
      <c r="B39" s="184" t="s">
        <v>3024</v>
      </c>
      <c r="C39" s="185" t="s">
        <v>2997</v>
      </c>
      <c r="D39" s="186" t="str">
        <f>IFERROR(VLOOKUP(C39,Stock,3,FALSE),"")</f>
        <v>Honda City 02-08 4th Gen Idsi GD8</v>
      </c>
      <c r="E39" s="184">
        <v>1.0</v>
      </c>
      <c r="F39" s="187">
        <v>605616.0</v>
      </c>
      <c r="G39" s="188">
        <f t="shared" si="1"/>
        <v>605616</v>
      </c>
      <c r="H39" s="188"/>
      <c r="I39" s="188">
        <f t="shared" si="2"/>
        <v>605616</v>
      </c>
      <c r="J39" s="189">
        <f t="shared" si="3"/>
        <v>605616</v>
      </c>
      <c r="K39" s="184" t="s">
        <v>3030</v>
      </c>
      <c r="L39" s="186"/>
      <c r="M39" s="186"/>
      <c r="N39" s="186"/>
      <c r="O39" s="186"/>
      <c r="P39" s="190"/>
      <c r="Q39" s="191"/>
      <c r="R39" s="191"/>
      <c r="S39" s="191"/>
      <c r="T39" s="191"/>
      <c r="U39" s="191"/>
      <c r="V39" s="192" t="s">
        <v>2923</v>
      </c>
      <c r="W39" s="193"/>
      <c r="X39" s="186"/>
    </row>
    <row r="40" ht="14.25" customHeight="1">
      <c r="A40" s="183">
        <v>45372.0</v>
      </c>
      <c r="B40" s="184" t="s">
        <v>3024</v>
      </c>
      <c r="C40" s="185" t="s">
        <v>3031</v>
      </c>
      <c r="D40" s="186" t="str">
        <f>IFERROR(VLOOKUP(C40,Stock,3,FALSE),"")</f>
        <v>Toyota Yaris 18- 3rd Gen (Lampu -) XP151</v>
      </c>
      <c r="E40" s="184">
        <v>1.0</v>
      </c>
      <c r="F40" s="187"/>
      <c r="G40" s="188"/>
      <c r="H40" s="188"/>
      <c r="I40" s="188"/>
      <c r="J40" s="189"/>
      <c r="K40" s="184" t="s">
        <v>3030</v>
      </c>
      <c r="L40" s="186"/>
      <c r="M40" s="186"/>
      <c r="N40" s="186"/>
      <c r="O40" s="186"/>
      <c r="P40" s="190"/>
      <c r="Q40" s="191"/>
      <c r="R40" s="191"/>
      <c r="S40" s="191"/>
      <c r="T40" s="191"/>
      <c r="U40" s="191"/>
      <c r="V40" s="192" t="s">
        <v>2923</v>
      </c>
      <c r="W40" s="193"/>
      <c r="X40" s="186"/>
    </row>
    <row r="41" ht="14.25" customHeight="1">
      <c r="A41" s="127">
        <v>45374.0</v>
      </c>
      <c r="B41" s="56" t="s">
        <v>3032</v>
      </c>
      <c r="C41" s="56" t="s">
        <v>3033</v>
      </c>
      <c r="D41" s="73" t="str">
        <f>IFERROR(VLOOKUP(C41,Stock,3,FALSE),"")</f>
        <v>Toyota Innova 04-15 1st Gen</v>
      </c>
      <c r="E41" s="56">
        <v>1.0</v>
      </c>
      <c r="F41" s="161">
        <v>1589000.0</v>
      </c>
      <c r="G41" s="162">
        <f t="shared" ref="G41:G160" si="4">E41*F41</f>
        <v>1589000</v>
      </c>
      <c r="H41" s="162"/>
      <c r="I41" s="162">
        <f t="shared" ref="I41:I517" si="5">G41-H41</f>
        <v>1589000</v>
      </c>
      <c r="J41" s="164">
        <f t="shared" ref="J41:J50" si="6">I41</f>
        <v>1589000</v>
      </c>
      <c r="K41" s="56" t="s">
        <v>3034</v>
      </c>
      <c r="L41" s="165" t="s">
        <v>3035</v>
      </c>
      <c r="M41" s="56"/>
      <c r="N41" s="56" t="s">
        <v>3036</v>
      </c>
      <c r="O41" s="56" t="s">
        <v>3037</v>
      </c>
      <c r="P41" s="166" t="s">
        <v>2953</v>
      </c>
      <c r="Q41" s="182"/>
      <c r="R41" s="174">
        <v>1589000.0</v>
      </c>
      <c r="S41" s="182"/>
      <c r="T41" s="182"/>
      <c r="U41" s="182"/>
      <c r="V41" s="168" t="s">
        <v>2923</v>
      </c>
      <c r="W41" s="169"/>
      <c r="X41" s="73"/>
    </row>
    <row r="42" ht="14.25" customHeight="1">
      <c r="A42" s="183">
        <v>45374.0</v>
      </c>
      <c r="B42" s="184" t="s">
        <v>3038</v>
      </c>
      <c r="C42" s="185" t="s">
        <v>2643</v>
      </c>
      <c r="D42" s="186" t="str">
        <f>IFERROR(VLOOKUP(C42,Stock,3,FALSE),"")</f>
        <v>Toyota Vios 07-13 XP90 2nd Gen</v>
      </c>
      <c r="E42" s="184">
        <v>1.0</v>
      </c>
      <c r="F42" s="187">
        <v>616842.0</v>
      </c>
      <c r="G42" s="188">
        <f t="shared" si="4"/>
        <v>616842</v>
      </c>
      <c r="H42" s="188"/>
      <c r="I42" s="188">
        <f t="shared" si="5"/>
        <v>616842</v>
      </c>
      <c r="J42" s="189">
        <f t="shared" si="6"/>
        <v>616842</v>
      </c>
      <c r="K42" s="184" t="s">
        <v>3039</v>
      </c>
      <c r="L42" s="186"/>
      <c r="M42" s="186"/>
      <c r="N42" s="184" t="s">
        <v>2939</v>
      </c>
      <c r="O42" s="186"/>
      <c r="P42" s="190"/>
      <c r="Q42" s="191"/>
      <c r="R42" s="191"/>
      <c r="S42" s="191"/>
      <c r="T42" s="191"/>
      <c r="U42" s="191"/>
      <c r="V42" s="192" t="s">
        <v>2923</v>
      </c>
      <c r="W42" s="193"/>
      <c r="X42" s="186"/>
    </row>
    <row r="43" ht="14.25" customHeight="1">
      <c r="A43" s="127">
        <v>45374.0</v>
      </c>
      <c r="B43" s="56" t="s">
        <v>3040</v>
      </c>
      <c r="C43" s="181" t="s">
        <v>3041</v>
      </c>
      <c r="D43" s="73" t="str">
        <f>IFERROR(VLOOKUP(C43,Stock,3,FALSE),"")</f>
        <v>Honda Jazz 13- 3rd Gen (Honda)</v>
      </c>
      <c r="E43" s="56">
        <v>1.0</v>
      </c>
      <c r="F43" s="161">
        <v>2540000.0</v>
      </c>
      <c r="G43" s="162">
        <f t="shared" si="4"/>
        <v>2540000</v>
      </c>
      <c r="H43" s="162"/>
      <c r="I43" s="162">
        <f t="shared" si="5"/>
        <v>2540000</v>
      </c>
      <c r="J43" s="164">
        <f t="shared" si="6"/>
        <v>2540000</v>
      </c>
      <c r="K43" s="56" t="s">
        <v>3042</v>
      </c>
      <c r="L43" s="165" t="s">
        <v>3043</v>
      </c>
      <c r="M43" s="56"/>
      <c r="N43" s="73"/>
      <c r="O43" s="56"/>
      <c r="P43" s="166" t="s">
        <v>2953</v>
      </c>
      <c r="Q43" s="182"/>
      <c r="R43" s="161">
        <v>2540000.0</v>
      </c>
      <c r="S43" s="182"/>
      <c r="T43" s="182"/>
      <c r="U43" s="182"/>
      <c r="V43" s="168" t="s">
        <v>2923</v>
      </c>
      <c r="W43" s="169"/>
      <c r="X43" s="73"/>
    </row>
    <row r="44" ht="14.25" customHeight="1">
      <c r="A44" s="127">
        <v>45377.0</v>
      </c>
      <c r="B44" s="56" t="s">
        <v>3044</v>
      </c>
      <c r="C44" s="181" t="s">
        <v>3045</v>
      </c>
      <c r="D44" s="73" t="str">
        <f>IFERROR(VLOOKUP(C44,Stock,3,FALSE),"")</f>
        <v>Pemasangan Kaca Mobil Depan</v>
      </c>
      <c r="E44" s="56">
        <v>1.0</v>
      </c>
      <c r="F44" s="161">
        <v>400000.0</v>
      </c>
      <c r="G44" s="162">
        <f t="shared" si="4"/>
        <v>400000</v>
      </c>
      <c r="H44" s="162"/>
      <c r="I44" s="162">
        <f t="shared" si="5"/>
        <v>400000</v>
      </c>
      <c r="J44" s="164">
        <f t="shared" si="6"/>
        <v>400000</v>
      </c>
      <c r="K44" s="56" t="s">
        <v>3046</v>
      </c>
      <c r="L44" s="73"/>
      <c r="M44" s="73"/>
      <c r="N44" s="56" t="s">
        <v>3047</v>
      </c>
      <c r="O44" s="56" t="s">
        <v>2958</v>
      </c>
      <c r="P44" s="166" t="s">
        <v>2922</v>
      </c>
      <c r="Q44" s="174">
        <v>400000.0</v>
      </c>
      <c r="R44" s="182"/>
      <c r="S44" s="182"/>
      <c r="T44" s="182"/>
      <c r="U44" s="182"/>
      <c r="V44" s="168" t="s">
        <v>2923</v>
      </c>
      <c r="W44" s="169"/>
      <c r="X44" s="56" t="s">
        <v>3048</v>
      </c>
    </row>
    <row r="45" ht="14.25" customHeight="1">
      <c r="A45" s="127">
        <v>45378.0</v>
      </c>
      <c r="B45" s="56" t="s">
        <v>3049</v>
      </c>
      <c r="C45" s="181" t="s">
        <v>3050</v>
      </c>
      <c r="D45" s="73" t="str">
        <f>IFERROR(VLOOKUP(C45,Stock,3,FALSE),"")</f>
        <v>Toyota Hilux Pickup 05-15</v>
      </c>
      <c r="E45" s="56">
        <v>1.0</v>
      </c>
      <c r="F45" s="161">
        <v>1069000.0</v>
      </c>
      <c r="G45" s="162">
        <f t="shared" si="4"/>
        <v>1069000</v>
      </c>
      <c r="H45" s="161">
        <v>5000.0</v>
      </c>
      <c r="I45" s="162">
        <f t="shared" si="5"/>
        <v>1064000</v>
      </c>
      <c r="J45" s="164">
        <f t="shared" si="6"/>
        <v>1064000</v>
      </c>
      <c r="K45" s="56" t="s">
        <v>3051</v>
      </c>
      <c r="L45" s="165" t="s">
        <v>3052</v>
      </c>
      <c r="M45" s="56"/>
      <c r="N45" s="165" t="s">
        <v>3053</v>
      </c>
      <c r="O45" s="56" t="s">
        <v>2958</v>
      </c>
      <c r="P45" s="166" t="s">
        <v>3054</v>
      </c>
      <c r="Q45" s="182"/>
      <c r="R45" s="174">
        <v>1069000.0</v>
      </c>
      <c r="S45" s="161"/>
      <c r="T45" s="182"/>
      <c r="U45" s="182"/>
      <c r="V45" s="168" t="s">
        <v>2923</v>
      </c>
      <c r="W45" s="169"/>
      <c r="X45" s="73"/>
    </row>
    <row r="46" ht="15.0" customHeight="1">
      <c r="A46" s="127">
        <v>45378.0</v>
      </c>
      <c r="B46" s="56" t="s">
        <v>3055</v>
      </c>
      <c r="C46" s="181" t="s">
        <v>3056</v>
      </c>
      <c r="D46" s="73" t="str">
        <f>IFERROR(VLOOKUP(C46,Stock,3,FALSE),"")</f>
        <v>Honda BR-V 16-</v>
      </c>
      <c r="E46" s="56">
        <v>1.0</v>
      </c>
      <c r="F46" s="161">
        <v>1382000.0</v>
      </c>
      <c r="G46" s="162">
        <f t="shared" si="4"/>
        <v>1382000</v>
      </c>
      <c r="H46" s="162"/>
      <c r="I46" s="162">
        <f t="shared" si="5"/>
        <v>1382000</v>
      </c>
      <c r="J46" s="164">
        <f t="shared" si="6"/>
        <v>1382000</v>
      </c>
      <c r="K46" s="169" t="s">
        <v>3057</v>
      </c>
      <c r="L46" s="170" t="s">
        <v>3058</v>
      </c>
      <c r="M46" s="169"/>
      <c r="N46" s="169" t="s">
        <v>2939</v>
      </c>
      <c r="O46" s="56" t="s">
        <v>2958</v>
      </c>
      <c r="P46" s="166" t="s">
        <v>2922</v>
      </c>
      <c r="Q46" s="173"/>
      <c r="R46" s="173"/>
      <c r="S46" s="161">
        <v>1382000.0</v>
      </c>
      <c r="T46" s="172">
        <v>39490.0</v>
      </c>
      <c r="U46" s="173"/>
      <c r="V46" s="168" t="s">
        <v>2923</v>
      </c>
      <c r="W46" s="169"/>
      <c r="X46" s="171"/>
    </row>
    <row r="47" ht="15.0" customHeight="1">
      <c r="A47" s="127">
        <v>45378.0</v>
      </c>
      <c r="B47" s="56" t="s">
        <v>3055</v>
      </c>
      <c r="C47" s="181" t="s">
        <v>3059</v>
      </c>
      <c r="D47" s="73" t="str">
        <f>IFERROR(VLOOKUP(C47,Stock,3,FALSE),"")</f>
        <v>Sealant Polyurethane XYG Tube</v>
      </c>
      <c r="E47" s="56">
        <v>2.0</v>
      </c>
      <c r="F47" s="161">
        <v>75000.0</v>
      </c>
      <c r="G47" s="162">
        <f t="shared" si="4"/>
        <v>150000</v>
      </c>
      <c r="H47" s="162"/>
      <c r="I47" s="162">
        <f t="shared" si="5"/>
        <v>150000</v>
      </c>
      <c r="J47" s="164">
        <f t="shared" si="6"/>
        <v>150000</v>
      </c>
      <c r="K47" s="169" t="s">
        <v>3057</v>
      </c>
      <c r="L47" s="170" t="s">
        <v>3058</v>
      </c>
      <c r="M47" s="169"/>
      <c r="N47" s="169" t="s">
        <v>2939</v>
      </c>
      <c r="O47" s="56" t="s">
        <v>2958</v>
      </c>
      <c r="P47" s="166" t="s">
        <v>2922</v>
      </c>
      <c r="Q47" s="173"/>
      <c r="R47" s="173"/>
      <c r="S47" s="161">
        <v>150000.0</v>
      </c>
      <c r="T47" s="173"/>
      <c r="U47" s="173"/>
      <c r="V47" s="168" t="s">
        <v>2923</v>
      </c>
      <c r="W47" s="169"/>
      <c r="X47" s="171"/>
    </row>
    <row r="48" ht="15.0" customHeight="1">
      <c r="A48" s="127">
        <v>45378.0</v>
      </c>
      <c r="B48" s="56" t="s">
        <v>3055</v>
      </c>
      <c r="C48" s="56" t="s">
        <v>2934</v>
      </c>
      <c r="D48" s="73" t="str">
        <f>IFERROR(VLOOKUP(C48,Stock,3,FALSE),"")</f>
        <v>Peti Kayu</v>
      </c>
      <c r="E48" s="56">
        <v>1.0</v>
      </c>
      <c r="F48" s="161">
        <v>160000.0</v>
      </c>
      <c r="G48" s="162">
        <f t="shared" si="4"/>
        <v>160000</v>
      </c>
      <c r="H48" s="162"/>
      <c r="I48" s="162">
        <f t="shared" si="5"/>
        <v>160000</v>
      </c>
      <c r="J48" s="164">
        <f t="shared" si="6"/>
        <v>160000</v>
      </c>
      <c r="K48" s="169" t="s">
        <v>3057</v>
      </c>
      <c r="L48" s="170" t="s">
        <v>3058</v>
      </c>
      <c r="M48" s="169"/>
      <c r="N48" s="169" t="s">
        <v>2939</v>
      </c>
      <c r="O48" s="56" t="s">
        <v>2958</v>
      </c>
      <c r="P48" s="166" t="s">
        <v>2922</v>
      </c>
      <c r="Q48" s="173"/>
      <c r="R48" s="173"/>
      <c r="S48" s="161">
        <v>160000.0</v>
      </c>
      <c r="T48" s="173"/>
      <c r="U48" s="173"/>
      <c r="V48" s="168" t="s">
        <v>2923</v>
      </c>
      <c r="W48" s="169"/>
      <c r="X48" s="171"/>
    </row>
    <row r="49" ht="15.0" customHeight="1">
      <c r="A49" s="127">
        <v>45379.0</v>
      </c>
      <c r="B49" s="56" t="s">
        <v>3060</v>
      </c>
      <c r="C49" s="181" t="s">
        <v>3061</v>
      </c>
      <c r="D49" s="73" t="str">
        <f>IFERROR(VLOOKUP(C49,Stock,3,FALSE),"")</f>
        <v>Audi Q5 08-17</v>
      </c>
      <c r="E49" s="169">
        <v>1.0</v>
      </c>
      <c r="F49" s="161">
        <v>6671000.0</v>
      </c>
      <c r="G49" s="162">
        <f t="shared" si="4"/>
        <v>6671000</v>
      </c>
      <c r="H49" s="194"/>
      <c r="I49" s="162">
        <f t="shared" si="5"/>
        <v>6671000</v>
      </c>
      <c r="J49" s="164">
        <f t="shared" si="6"/>
        <v>6671000</v>
      </c>
      <c r="K49" s="56" t="s">
        <v>3062</v>
      </c>
      <c r="L49" s="165" t="s">
        <v>3063</v>
      </c>
      <c r="M49" s="56"/>
      <c r="N49" s="169" t="s">
        <v>3064</v>
      </c>
      <c r="O49" s="56" t="s">
        <v>2958</v>
      </c>
      <c r="P49" s="166" t="s">
        <v>2953</v>
      </c>
      <c r="Q49" s="173"/>
      <c r="R49" s="167">
        <v>7321000.0</v>
      </c>
      <c r="S49" s="173"/>
      <c r="T49" s="173"/>
      <c r="U49" s="173"/>
      <c r="V49" s="168" t="s">
        <v>2923</v>
      </c>
      <c r="W49" s="169"/>
      <c r="X49" s="169" t="s">
        <v>3065</v>
      </c>
    </row>
    <row r="50" ht="15.0" customHeight="1">
      <c r="A50" s="127">
        <v>45379.0</v>
      </c>
      <c r="B50" s="56" t="s">
        <v>3060</v>
      </c>
      <c r="C50" s="56" t="s">
        <v>2934</v>
      </c>
      <c r="D50" s="73" t="str">
        <f>IFERROR(VLOOKUP(C50,Stock,3,FALSE),"")</f>
        <v>Peti Kayu</v>
      </c>
      <c r="E50" s="56">
        <v>1.0</v>
      </c>
      <c r="F50" s="161">
        <v>300000.0</v>
      </c>
      <c r="G50" s="162">
        <f t="shared" si="4"/>
        <v>300000</v>
      </c>
      <c r="H50" s="194"/>
      <c r="I50" s="162">
        <f t="shared" si="5"/>
        <v>300000</v>
      </c>
      <c r="J50" s="164">
        <f t="shared" si="6"/>
        <v>300000</v>
      </c>
      <c r="K50" s="56" t="s">
        <v>3062</v>
      </c>
      <c r="L50" s="165" t="s">
        <v>3063</v>
      </c>
      <c r="M50" s="56"/>
      <c r="N50" s="171"/>
      <c r="O50" s="56" t="s">
        <v>2958</v>
      </c>
      <c r="P50" s="166" t="s">
        <v>2953</v>
      </c>
      <c r="Q50" s="173"/>
      <c r="R50" s="173"/>
      <c r="S50" s="173"/>
      <c r="T50" s="173"/>
      <c r="U50" s="173"/>
      <c r="V50" s="168" t="s">
        <v>2923</v>
      </c>
      <c r="W50" s="169"/>
      <c r="X50" s="171"/>
    </row>
    <row r="51" ht="15.0" customHeight="1">
      <c r="A51" s="127">
        <v>45379.0</v>
      </c>
      <c r="B51" s="56" t="s">
        <v>3060</v>
      </c>
      <c r="C51" s="181" t="s">
        <v>2954</v>
      </c>
      <c r="D51" s="73" t="str">
        <f>IFERROR(VLOOKUP(C51,Stock,3,FALSE),"")</f>
        <v>Transport</v>
      </c>
      <c r="E51" s="56">
        <v>1.0</v>
      </c>
      <c r="F51" s="161">
        <v>350000.0</v>
      </c>
      <c r="G51" s="162">
        <f t="shared" si="4"/>
        <v>350000</v>
      </c>
      <c r="H51" s="194"/>
      <c r="I51" s="162">
        <f t="shared" si="5"/>
        <v>350000</v>
      </c>
      <c r="J51" s="195" t="s">
        <v>3066</v>
      </c>
      <c r="K51" s="56" t="s">
        <v>3062</v>
      </c>
      <c r="L51" s="165" t="s">
        <v>3063</v>
      </c>
      <c r="M51" s="56"/>
      <c r="N51" s="171"/>
      <c r="O51" s="56" t="s">
        <v>2958</v>
      </c>
      <c r="P51" s="166" t="s">
        <v>2953</v>
      </c>
      <c r="Q51" s="173"/>
      <c r="R51" s="173"/>
      <c r="S51" s="173"/>
      <c r="T51" s="173"/>
      <c r="U51" s="173"/>
      <c r="V51" s="168" t="s">
        <v>2923</v>
      </c>
      <c r="W51" s="169"/>
      <c r="X51" s="171"/>
    </row>
    <row r="52" ht="15.0" customHeight="1">
      <c r="A52" s="127">
        <v>45379.0</v>
      </c>
      <c r="B52" s="56" t="s">
        <v>3067</v>
      </c>
      <c r="C52" s="181" t="s">
        <v>3068</v>
      </c>
      <c r="D52" s="73" t="str">
        <f>IFERROR(VLOOKUP(C52,Stock,3,FALSE),"")</f>
        <v>Honda Brio 10- / Mobilio 11-</v>
      </c>
      <c r="E52" s="56">
        <v>1.0</v>
      </c>
      <c r="F52" s="161">
        <v>1199000.0</v>
      </c>
      <c r="G52" s="162">
        <f t="shared" si="4"/>
        <v>1199000</v>
      </c>
      <c r="H52" s="194"/>
      <c r="I52" s="162">
        <f t="shared" si="5"/>
        <v>1199000</v>
      </c>
      <c r="J52" s="164">
        <f t="shared" ref="J52:J517" si="7">I52</f>
        <v>1199000</v>
      </c>
      <c r="K52" s="56" t="s">
        <v>3069</v>
      </c>
      <c r="L52" s="165" t="s">
        <v>3070</v>
      </c>
      <c r="M52" s="56"/>
      <c r="N52" s="171"/>
      <c r="O52" s="169" t="s">
        <v>2958</v>
      </c>
      <c r="P52" s="166" t="s">
        <v>2922</v>
      </c>
      <c r="Q52" s="173"/>
      <c r="R52" s="173"/>
      <c r="S52" s="173"/>
      <c r="T52" s="173"/>
      <c r="U52" s="173"/>
      <c r="V52" s="168" t="s">
        <v>2923</v>
      </c>
      <c r="W52" s="169"/>
      <c r="X52" s="171"/>
    </row>
    <row r="53" ht="15.0" customHeight="1">
      <c r="A53" s="127">
        <v>45379.0</v>
      </c>
      <c r="B53" s="56" t="s">
        <v>3071</v>
      </c>
      <c r="C53" s="181" t="s">
        <v>3072</v>
      </c>
      <c r="D53" s="73" t="str">
        <f>IFERROR(VLOOKUP(C53,Stock,3,FALSE),"")</f>
        <v>Toyota NAV1/Noah 07-17</v>
      </c>
      <c r="E53" s="56">
        <v>1.0</v>
      </c>
      <c r="F53" s="169">
        <v>3281000.0</v>
      </c>
      <c r="G53" s="162">
        <f t="shared" si="4"/>
        <v>3281000</v>
      </c>
      <c r="H53" s="194"/>
      <c r="I53" s="162">
        <f t="shared" si="5"/>
        <v>3281000</v>
      </c>
      <c r="J53" s="164">
        <f t="shared" si="7"/>
        <v>3281000</v>
      </c>
      <c r="K53" s="56" t="s">
        <v>3073</v>
      </c>
      <c r="L53" s="196" t="s">
        <v>3074</v>
      </c>
      <c r="M53" s="197"/>
      <c r="N53" s="169" t="s">
        <v>3075</v>
      </c>
      <c r="O53" s="169" t="s">
        <v>2958</v>
      </c>
      <c r="P53" s="168" t="s">
        <v>3076</v>
      </c>
      <c r="Q53" s="167">
        <v>200000.0</v>
      </c>
      <c r="R53" s="167">
        <v>3081000.0</v>
      </c>
      <c r="S53" s="173"/>
      <c r="T53" s="173"/>
      <c r="U53" s="173"/>
      <c r="V53" s="168" t="s">
        <v>2923</v>
      </c>
      <c r="W53" s="169"/>
      <c r="X53" s="169" t="s">
        <v>3077</v>
      </c>
    </row>
    <row r="54" ht="15.0" customHeight="1">
      <c r="A54" s="127">
        <v>45380.0</v>
      </c>
      <c r="B54" s="56" t="s">
        <v>3078</v>
      </c>
      <c r="C54" s="181" t="s">
        <v>3025</v>
      </c>
      <c r="D54" s="73" t="str">
        <f>IFERROR(VLOOKUP(C54,Stock,3,FALSE),"")</f>
        <v>Toyota Rush / Terios 06-17</v>
      </c>
      <c r="E54" s="56">
        <v>1.0</v>
      </c>
      <c r="F54" s="161">
        <v>1599000.0</v>
      </c>
      <c r="G54" s="162">
        <f t="shared" si="4"/>
        <v>1599000</v>
      </c>
      <c r="H54" s="162"/>
      <c r="I54" s="162">
        <f t="shared" si="5"/>
        <v>1599000</v>
      </c>
      <c r="J54" s="164">
        <f t="shared" si="7"/>
        <v>1599000</v>
      </c>
      <c r="K54" s="169" t="s">
        <v>3079</v>
      </c>
      <c r="L54" s="170" t="s">
        <v>3080</v>
      </c>
      <c r="M54" s="169"/>
      <c r="N54" s="171"/>
      <c r="O54" s="169" t="s">
        <v>3081</v>
      </c>
      <c r="P54" s="168" t="s">
        <v>3076</v>
      </c>
      <c r="Q54" s="173"/>
      <c r="R54" s="167">
        <v>1599000.0</v>
      </c>
      <c r="S54" s="173"/>
      <c r="T54" s="173"/>
      <c r="U54" s="173"/>
      <c r="V54" s="168" t="s">
        <v>2923</v>
      </c>
      <c r="W54" s="169"/>
      <c r="X54" s="171"/>
    </row>
    <row r="55" ht="15.0" customHeight="1">
      <c r="A55" s="127">
        <v>45380.0</v>
      </c>
      <c r="B55" s="56" t="s">
        <v>3078</v>
      </c>
      <c r="C55" s="56" t="s">
        <v>2954</v>
      </c>
      <c r="D55" s="73" t="str">
        <f>IFERROR(VLOOKUP(C55,Stock,3,FALSE),"")</f>
        <v>Transport</v>
      </c>
      <c r="E55" s="56">
        <v>1.0</v>
      </c>
      <c r="F55" s="161">
        <v>1200000.0</v>
      </c>
      <c r="G55" s="162">
        <f t="shared" si="4"/>
        <v>1200000</v>
      </c>
      <c r="H55" s="194"/>
      <c r="I55" s="162">
        <f t="shared" si="5"/>
        <v>1200000</v>
      </c>
      <c r="J55" s="164">
        <f t="shared" si="7"/>
        <v>1200000</v>
      </c>
      <c r="K55" s="169" t="s">
        <v>3079</v>
      </c>
      <c r="L55" s="170" t="s">
        <v>3080</v>
      </c>
      <c r="M55" s="169"/>
      <c r="N55" s="171"/>
      <c r="O55" s="169" t="s">
        <v>3081</v>
      </c>
      <c r="P55" s="168" t="s">
        <v>3076</v>
      </c>
      <c r="Q55" s="167">
        <v>1200000.0</v>
      </c>
      <c r="R55" s="173"/>
      <c r="S55" s="173"/>
      <c r="T55" s="173"/>
      <c r="U55" s="173"/>
      <c r="V55" s="168" t="s">
        <v>2923</v>
      </c>
      <c r="W55" s="169"/>
      <c r="X55" s="169" t="s">
        <v>3082</v>
      </c>
    </row>
    <row r="56" ht="15.0" customHeight="1">
      <c r="A56" s="127">
        <v>45380.0</v>
      </c>
      <c r="B56" s="56" t="s">
        <v>3078</v>
      </c>
      <c r="C56" s="181" t="s">
        <v>3083</v>
      </c>
      <c r="D56" s="73" t="str">
        <f>IFERROR(VLOOKUP(C56,Stock,3,FALSE),"")</f>
        <v>List Kaca Depan Code 04</v>
      </c>
      <c r="E56" s="56">
        <v>1.0</v>
      </c>
      <c r="F56" s="161">
        <v>315000.0</v>
      </c>
      <c r="G56" s="162">
        <f t="shared" si="4"/>
        <v>315000</v>
      </c>
      <c r="H56" s="194"/>
      <c r="I56" s="162">
        <f t="shared" si="5"/>
        <v>315000</v>
      </c>
      <c r="J56" s="164">
        <f t="shared" si="7"/>
        <v>315000</v>
      </c>
      <c r="K56" s="169" t="s">
        <v>3079</v>
      </c>
      <c r="L56" s="170" t="s">
        <v>3080</v>
      </c>
      <c r="M56" s="169"/>
      <c r="N56" s="171"/>
      <c r="O56" s="169" t="s">
        <v>3081</v>
      </c>
      <c r="P56" s="168" t="s">
        <v>3076</v>
      </c>
      <c r="Q56" s="167">
        <v>315000.0</v>
      </c>
      <c r="R56" s="173"/>
      <c r="S56" s="173"/>
      <c r="T56" s="173"/>
      <c r="U56" s="173"/>
      <c r="V56" s="168" t="s">
        <v>2923</v>
      </c>
      <c r="W56" s="169"/>
      <c r="X56" s="169" t="s">
        <v>3082</v>
      </c>
    </row>
    <row r="57" ht="15.0" customHeight="1">
      <c r="A57" s="127">
        <v>45383.0</v>
      </c>
      <c r="B57" s="56" t="s">
        <v>3084</v>
      </c>
      <c r="C57" s="181" t="s">
        <v>3085</v>
      </c>
      <c r="D57" s="73" t="str">
        <f>IFERROR(VLOOKUP(C57,Stock,3,FALSE),"")</f>
        <v>Honda Jazz 07-13 2nd Gen</v>
      </c>
      <c r="E57" s="56">
        <v>1.0</v>
      </c>
      <c r="F57" s="161">
        <v>1188000.0</v>
      </c>
      <c r="G57" s="162">
        <f t="shared" si="4"/>
        <v>1188000</v>
      </c>
      <c r="H57" s="194"/>
      <c r="I57" s="198">
        <f t="shared" si="5"/>
        <v>1188000</v>
      </c>
      <c r="J57" s="164">
        <f t="shared" si="7"/>
        <v>1188000</v>
      </c>
      <c r="K57" s="56" t="s">
        <v>3086</v>
      </c>
      <c r="L57" s="165" t="s">
        <v>3087</v>
      </c>
      <c r="M57" s="56"/>
      <c r="N57" s="171"/>
      <c r="O57" s="169" t="s">
        <v>3088</v>
      </c>
      <c r="P57" s="166" t="s">
        <v>2922</v>
      </c>
      <c r="Q57" s="173"/>
      <c r="R57" s="173"/>
      <c r="S57" s="167">
        <v>1188000.0</v>
      </c>
      <c r="T57" s="173"/>
      <c r="U57" s="173"/>
      <c r="V57" s="168" t="s">
        <v>2923</v>
      </c>
      <c r="W57" s="169"/>
      <c r="X57" s="171"/>
    </row>
    <row r="58" ht="15.0" customHeight="1">
      <c r="A58" s="127">
        <v>45383.0</v>
      </c>
      <c r="B58" s="56" t="s">
        <v>3084</v>
      </c>
      <c r="C58" s="56" t="s">
        <v>2934</v>
      </c>
      <c r="D58" s="73" t="str">
        <f>IFERROR(VLOOKUP(C58,Stock,3,FALSE),"")</f>
        <v>Peti Kayu</v>
      </c>
      <c r="E58" s="56">
        <v>1.0</v>
      </c>
      <c r="F58" s="161">
        <v>160000.0</v>
      </c>
      <c r="G58" s="162">
        <f t="shared" si="4"/>
        <v>160000</v>
      </c>
      <c r="H58" s="194"/>
      <c r="I58" s="198">
        <f t="shared" si="5"/>
        <v>160000</v>
      </c>
      <c r="J58" s="164">
        <f t="shared" si="7"/>
        <v>160000</v>
      </c>
      <c r="K58" s="56" t="s">
        <v>3086</v>
      </c>
      <c r="L58" s="165" t="s">
        <v>3087</v>
      </c>
      <c r="M58" s="56"/>
      <c r="N58" s="171"/>
      <c r="O58" s="169" t="s">
        <v>3088</v>
      </c>
      <c r="P58" s="166" t="s">
        <v>2922</v>
      </c>
      <c r="Q58" s="173"/>
      <c r="R58" s="167">
        <v>160000.0</v>
      </c>
      <c r="S58" s="173"/>
      <c r="T58" s="173"/>
      <c r="U58" s="173"/>
      <c r="V58" s="168" t="s">
        <v>2923</v>
      </c>
      <c r="W58" s="169"/>
      <c r="X58" s="171"/>
    </row>
    <row r="59" ht="15.0" customHeight="1">
      <c r="A59" s="127">
        <v>45383.0</v>
      </c>
      <c r="B59" s="56" t="s">
        <v>3089</v>
      </c>
      <c r="C59" s="181" t="s">
        <v>3090</v>
      </c>
      <c r="D59" s="73" t="str">
        <f>IFERROR(VLOOKUP(C59,Stock,3,FALSE),"")</f>
        <v>Toyota Hi-Ace 19- Premio</v>
      </c>
      <c r="E59" s="56"/>
      <c r="F59" s="161">
        <v>0.0</v>
      </c>
      <c r="G59" s="162">
        <f t="shared" si="4"/>
        <v>0</v>
      </c>
      <c r="H59" s="194"/>
      <c r="I59" s="198">
        <f t="shared" si="5"/>
        <v>0</v>
      </c>
      <c r="J59" s="164">
        <f t="shared" si="7"/>
        <v>0</v>
      </c>
      <c r="K59" s="56" t="s">
        <v>3091</v>
      </c>
      <c r="L59" s="73"/>
      <c r="M59" s="73"/>
      <c r="N59" s="171"/>
      <c r="O59" s="171"/>
      <c r="P59" s="168" t="s">
        <v>3092</v>
      </c>
      <c r="Q59" s="173"/>
      <c r="R59" s="173"/>
      <c r="S59" s="173"/>
      <c r="T59" s="173"/>
      <c r="U59" s="173"/>
      <c r="V59" s="168" t="s">
        <v>2923</v>
      </c>
      <c r="W59" s="169"/>
      <c r="X59" s="171"/>
    </row>
    <row r="60" ht="15.0" customHeight="1">
      <c r="A60" s="127">
        <v>45383.0</v>
      </c>
      <c r="B60" s="56" t="s">
        <v>3089</v>
      </c>
      <c r="C60" s="181" t="s">
        <v>3093</v>
      </c>
      <c r="D60" s="73" t="str">
        <f>IFERROR(VLOOKUP(C60,Stock,3,FALSE),"")</f>
        <v>Toyota Hi-Ace 19- Premio</v>
      </c>
      <c r="E60" s="56"/>
      <c r="F60" s="161">
        <v>0.0</v>
      </c>
      <c r="G60" s="162">
        <f t="shared" si="4"/>
        <v>0</v>
      </c>
      <c r="H60" s="194"/>
      <c r="I60" s="198">
        <f t="shared" si="5"/>
        <v>0</v>
      </c>
      <c r="J60" s="164">
        <f t="shared" si="7"/>
        <v>0</v>
      </c>
      <c r="K60" s="56" t="s">
        <v>3091</v>
      </c>
      <c r="L60" s="73"/>
      <c r="M60" s="73"/>
      <c r="N60" s="171"/>
      <c r="O60" s="171"/>
      <c r="P60" s="168" t="s">
        <v>3092</v>
      </c>
      <c r="Q60" s="173"/>
      <c r="R60" s="173"/>
      <c r="S60" s="173"/>
      <c r="T60" s="173"/>
      <c r="U60" s="173"/>
      <c r="V60" s="168" t="s">
        <v>2923</v>
      </c>
      <c r="W60" s="169"/>
      <c r="X60" s="171"/>
    </row>
    <row r="61" ht="15.0" customHeight="1">
      <c r="A61" s="127">
        <v>45383.0</v>
      </c>
      <c r="B61" s="56" t="s">
        <v>3089</v>
      </c>
      <c r="C61" s="181" t="s">
        <v>3094</v>
      </c>
      <c r="D61" s="73" t="str">
        <f>IFERROR(VLOOKUP(C61,Stock,3,FALSE),"")</f>
        <v>Toyota Hi-Ace 19- Premio</v>
      </c>
      <c r="E61" s="56"/>
      <c r="F61" s="161">
        <v>0.0</v>
      </c>
      <c r="G61" s="162">
        <f t="shared" si="4"/>
        <v>0</v>
      </c>
      <c r="H61" s="194"/>
      <c r="I61" s="198">
        <f t="shared" si="5"/>
        <v>0</v>
      </c>
      <c r="J61" s="164">
        <f t="shared" si="7"/>
        <v>0</v>
      </c>
      <c r="K61" s="56" t="s">
        <v>3091</v>
      </c>
      <c r="L61" s="73"/>
      <c r="M61" s="73"/>
      <c r="N61" s="171"/>
      <c r="O61" s="171"/>
      <c r="P61" s="168" t="s">
        <v>3092</v>
      </c>
      <c r="Q61" s="173"/>
      <c r="R61" s="173"/>
      <c r="S61" s="173"/>
      <c r="T61" s="173"/>
      <c r="U61" s="173"/>
      <c r="V61" s="168" t="s">
        <v>2923</v>
      </c>
      <c r="W61" s="169"/>
      <c r="X61" s="171"/>
    </row>
    <row r="62" ht="15.0" customHeight="1">
      <c r="A62" s="127">
        <v>45383.0</v>
      </c>
      <c r="B62" s="56" t="s">
        <v>3089</v>
      </c>
      <c r="C62" s="175" t="s">
        <v>3095</v>
      </c>
      <c r="D62" s="73" t="str">
        <f>IFERROR(VLOOKUP(C62,Stock,3,FALSE),"")</f>
        <v>Toyota Hi-Ace 19- Premio</v>
      </c>
      <c r="E62" s="56"/>
      <c r="F62" s="161">
        <v>0.0</v>
      </c>
      <c r="G62" s="162">
        <f t="shared" si="4"/>
        <v>0</v>
      </c>
      <c r="H62" s="194"/>
      <c r="I62" s="198">
        <f t="shared" si="5"/>
        <v>0</v>
      </c>
      <c r="J62" s="164">
        <f t="shared" si="7"/>
        <v>0</v>
      </c>
      <c r="K62" s="56" t="s">
        <v>3091</v>
      </c>
      <c r="L62" s="171"/>
      <c r="M62" s="171"/>
      <c r="N62" s="171"/>
      <c r="O62" s="171"/>
      <c r="P62" s="168" t="s">
        <v>3092</v>
      </c>
      <c r="Q62" s="173"/>
      <c r="R62" s="173"/>
      <c r="S62" s="173"/>
      <c r="T62" s="173"/>
      <c r="U62" s="173"/>
      <c r="V62" s="168" t="s">
        <v>2923</v>
      </c>
      <c r="W62" s="169"/>
      <c r="X62" s="171"/>
    </row>
    <row r="63" ht="15.0" customHeight="1">
      <c r="A63" s="127">
        <v>45383.0</v>
      </c>
      <c r="B63" s="56" t="s">
        <v>3089</v>
      </c>
      <c r="C63" s="199" t="s">
        <v>3096</v>
      </c>
      <c r="D63" s="73" t="str">
        <f>IFERROR(VLOOKUP(C63,Stock,3,FALSE),"")</f>
        <v>Toyota Hi-Ace 04-20 Commuter With Frame</v>
      </c>
      <c r="E63" s="56"/>
      <c r="F63" s="161">
        <v>0.0</v>
      </c>
      <c r="G63" s="162">
        <f t="shared" si="4"/>
        <v>0</v>
      </c>
      <c r="H63" s="194"/>
      <c r="I63" s="198">
        <f t="shared" si="5"/>
        <v>0</v>
      </c>
      <c r="J63" s="164">
        <f t="shared" si="7"/>
        <v>0</v>
      </c>
      <c r="K63" s="56" t="s">
        <v>3091</v>
      </c>
      <c r="L63" s="73"/>
      <c r="M63" s="73"/>
      <c r="N63" s="171"/>
      <c r="O63" s="171"/>
      <c r="P63" s="168" t="s">
        <v>3092</v>
      </c>
      <c r="Q63" s="173"/>
      <c r="R63" s="173"/>
      <c r="S63" s="173"/>
      <c r="T63" s="173"/>
      <c r="U63" s="173"/>
      <c r="V63" s="168" t="s">
        <v>2923</v>
      </c>
      <c r="W63" s="169"/>
      <c r="X63" s="171"/>
    </row>
    <row r="64" ht="15.0" customHeight="1">
      <c r="A64" s="127">
        <v>45383.0</v>
      </c>
      <c r="B64" s="56" t="s">
        <v>3089</v>
      </c>
      <c r="C64" s="200" t="s">
        <v>3097</v>
      </c>
      <c r="D64" s="73" t="str">
        <f>IFERROR(VLOOKUP(C64,Stock,3,FALSE),"")</f>
        <v>Toyota Hi-Ace 04-20 Commuter With Frame (Hitam)</v>
      </c>
      <c r="E64" s="56"/>
      <c r="F64" s="161">
        <v>0.0</v>
      </c>
      <c r="G64" s="162">
        <f t="shared" si="4"/>
        <v>0</v>
      </c>
      <c r="H64" s="194"/>
      <c r="I64" s="198">
        <f t="shared" si="5"/>
        <v>0</v>
      </c>
      <c r="J64" s="164">
        <f t="shared" si="7"/>
        <v>0</v>
      </c>
      <c r="K64" s="56" t="s">
        <v>3091</v>
      </c>
      <c r="L64" s="73"/>
      <c r="M64" s="73"/>
      <c r="N64" s="171"/>
      <c r="O64" s="171"/>
      <c r="P64" s="168" t="s">
        <v>3092</v>
      </c>
      <c r="Q64" s="173"/>
      <c r="R64" s="173"/>
      <c r="S64" s="173"/>
      <c r="T64" s="173"/>
      <c r="U64" s="173"/>
      <c r="V64" s="168" t="s">
        <v>2923</v>
      </c>
      <c r="W64" s="169"/>
      <c r="X64" s="171"/>
    </row>
    <row r="65" ht="15.0" customHeight="1">
      <c r="A65" s="127">
        <v>45384.0</v>
      </c>
      <c r="B65" s="181" t="s">
        <v>3098</v>
      </c>
      <c r="C65" s="181" t="s">
        <v>3099</v>
      </c>
      <c r="D65" s="73" t="str">
        <f>IFERROR(VLOOKUP(C65,Stock,3,FALSE),"")</f>
        <v>Toyota Calya / Sigra 16-</v>
      </c>
      <c r="E65" s="56">
        <v>1.0</v>
      </c>
      <c r="F65" s="161">
        <v>929000.0</v>
      </c>
      <c r="G65" s="162">
        <f t="shared" si="4"/>
        <v>929000</v>
      </c>
      <c r="H65" s="194"/>
      <c r="I65" s="198">
        <f t="shared" si="5"/>
        <v>929000</v>
      </c>
      <c r="J65" s="164">
        <f t="shared" si="7"/>
        <v>929000</v>
      </c>
      <c r="K65" s="169" t="s">
        <v>3100</v>
      </c>
      <c r="L65" s="170" t="s">
        <v>3101</v>
      </c>
      <c r="M65" s="169"/>
      <c r="N65" s="171"/>
      <c r="O65" s="169" t="s">
        <v>3102</v>
      </c>
      <c r="P65" s="168" t="s">
        <v>2922</v>
      </c>
      <c r="Q65" s="167">
        <v>1000000.0</v>
      </c>
      <c r="R65" s="173"/>
      <c r="S65" s="173"/>
      <c r="T65" s="173"/>
      <c r="U65" s="173"/>
      <c r="V65" s="168" t="s">
        <v>2923</v>
      </c>
      <c r="W65" s="169"/>
      <c r="X65" s="171"/>
    </row>
    <row r="66" ht="15.0" customHeight="1">
      <c r="A66" s="127">
        <v>45384.0</v>
      </c>
      <c r="B66" s="181" t="s">
        <v>3098</v>
      </c>
      <c r="C66" s="181" t="s">
        <v>3045</v>
      </c>
      <c r="D66" s="73" t="str">
        <f>IFERROR(VLOOKUP(C66,Stock,3,FALSE),"")</f>
        <v>Pemasangan Kaca Mobil Depan</v>
      </c>
      <c r="E66" s="56">
        <v>1.0</v>
      </c>
      <c r="F66" s="161">
        <v>50000.0</v>
      </c>
      <c r="G66" s="162">
        <f t="shared" si="4"/>
        <v>50000</v>
      </c>
      <c r="H66" s="194"/>
      <c r="I66" s="198">
        <f t="shared" si="5"/>
        <v>50000</v>
      </c>
      <c r="J66" s="164">
        <f t="shared" si="7"/>
        <v>50000</v>
      </c>
      <c r="K66" s="169" t="s">
        <v>3100</v>
      </c>
      <c r="L66" s="170" t="s">
        <v>3101</v>
      </c>
      <c r="M66" s="169"/>
      <c r="N66" s="171"/>
      <c r="O66" s="169" t="s">
        <v>3102</v>
      </c>
      <c r="P66" s="168" t="s">
        <v>2922</v>
      </c>
      <c r="Q66" s="173"/>
      <c r="R66" s="173"/>
      <c r="S66" s="173"/>
      <c r="T66" s="173"/>
      <c r="U66" s="173"/>
      <c r="V66" s="168" t="s">
        <v>2923</v>
      </c>
      <c r="W66" s="169"/>
      <c r="X66" s="171"/>
    </row>
    <row r="67" ht="15.0" customHeight="1">
      <c r="A67" s="127">
        <v>45385.0</v>
      </c>
      <c r="B67" s="181" t="s">
        <v>3103</v>
      </c>
      <c r="C67" s="181" t="s">
        <v>3104</v>
      </c>
      <c r="D67" s="73" t="str">
        <f>IFERROR(VLOOKUP(C67,Stock,3,FALSE),"")</f>
        <v>Toyota Innova 15- 2nd Gen</v>
      </c>
      <c r="E67" s="56">
        <v>1.0</v>
      </c>
      <c r="F67" s="161">
        <v>969000.0</v>
      </c>
      <c r="G67" s="162">
        <f t="shared" si="4"/>
        <v>969000</v>
      </c>
      <c r="H67" s="194"/>
      <c r="I67" s="198">
        <f t="shared" si="5"/>
        <v>969000</v>
      </c>
      <c r="J67" s="164">
        <f t="shared" si="7"/>
        <v>969000</v>
      </c>
      <c r="K67" s="171"/>
      <c r="L67" s="171"/>
      <c r="M67" s="171"/>
      <c r="N67" s="171"/>
      <c r="O67" s="169" t="s">
        <v>3105</v>
      </c>
      <c r="P67" s="168" t="s">
        <v>3106</v>
      </c>
      <c r="Q67" s="173"/>
      <c r="R67" s="167">
        <v>969000.0</v>
      </c>
      <c r="S67" s="173"/>
      <c r="T67" s="173"/>
      <c r="U67" s="173"/>
      <c r="V67" s="168" t="s">
        <v>2923</v>
      </c>
      <c r="W67" s="169"/>
      <c r="X67" s="171"/>
    </row>
    <row r="68" ht="15.0" customHeight="1">
      <c r="A68" s="127">
        <v>45385.0</v>
      </c>
      <c r="B68" s="181" t="s">
        <v>3103</v>
      </c>
      <c r="C68" s="56" t="s">
        <v>2954</v>
      </c>
      <c r="D68" s="73" t="str">
        <f>IFERROR(VLOOKUP(C68,Stock,3,FALSE),"")</f>
        <v>Transport</v>
      </c>
      <c r="E68" s="56">
        <v>1.0</v>
      </c>
      <c r="F68" s="161">
        <v>50000.0</v>
      </c>
      <c r="G68" s="162">
        <f t="shared" si="4"/>
        <v>50000</v>
      </c>
      <c r="H68" s="194"/>
      <c r="I68" s="198">
        <f t="shared" si="5"/>
        <v>50000</v>
      </c>
      <c r="J68" s="164">
        <f t="shared" si="7"/>
        <v>50000</v>
      </c>
      <c r="K68" s="73"/>
      <c r="L68" s="73"/>
      <c r="M68" s="73"/>
      <c r="N68" s="171"/>
      <c r="O68" s="169" t="s">
        <v>3105</v>
      </c>
      <c r="P68" s="168" t="s">
        <v>3106</v>
      </c>
      <c r="Q68" s="173"/>
      <c r="R68" s="167">
        <v>50000.0</v>
      </c>
      <c r="S68" s="173"/>
      <c r="T68" s="173"/>
      <c r="U68" s="173"/>
      <c r="V68" s="168" t="s">
        <v>2923</v>
      </c>
      <c r="W68" s="169"/>
      <c r="X68" s="171"/>
    </row>
    <row r="69" ht="15.0" customHeight="1">
      <c r="A69" s="127">
        <v>45386.0</v>
      </c>
      <c r="B69" s="181" t="s">
        <v>3107</v>
      </c>
      <c r="C69" s="181" t="s">
        <v>2707</v>
      </c>
      <c r="D69" s="73" t="str">
        <f>IFERROR(VLOOKUP(C69,Stock,3,FALSE),"")</f>
        <v>Isuzu Elf 93- NKR NHR</v>
      </c>
      <c r="E69" s="56">
        <v>1.0</v>
      </c>
      <c r="F69" s="161">
        <v>1500000.0</v>
      </c>
      <c r="G69" s="162">
        <f t="shared" si="4"/>
        <v>1500000</v>
      </c>
      <c r="H69" s="201">
        <v>75000.0</v>
      </c>
      <c r="I69" s="198">
        <f t="shared" si="5"/>
        <v>1425000</v>
      </c>
      <c r="J69" s="164">
        <f t="shared" si="7"/>
        <v>1425000</v>
      </c>
      <c r="K69" s="56" t="s">
        <v>3108</v>
      </c>
      <c r="L69" s="165" t="s">
        <v>3109</v>
      </c>
      <c r="M69" s="56"/>
      <c r="N69" s="169" t="s">
        <v>3110</v>
      </c>
      <c r="O69" s="169" t="s">
        <v>3111</v>
      </c>
      <c r="P69" s="168" t="s">
        <v>3112</v>
      </c>
      <c r="Q69" s="173"/>
      <c r="R69" s="167">
        <v>1425000.0</v>
      </c>
      <c r="S69" s="173"/>
      <c r="T69" s="173"/>
      <c r="U69" s="173"/>
      <c r="V69" s="168" t="s">
        <v>2923</v>
      </c>
      <c r="W69" s="169"/>
      <c r="X69" s="171"/>
    </row>
    <row r="70" ht="15.0" customHeight="1">
      <c r="A70" s="127">
        <v>45387.0</v>
      </c>
      <c r="B70" s="181" t="s">
        <v>3113</v>
      </c>
      <c r="C70" s="181" t="s">
        <v>3099</v>
      </c>
      <c r="D70" s="73" t="str">
        <f>IFERROR(VLOOKUP(C70,Stock,3,FALSE),"")</f>
        <v>Toyota Calya / Sigra 16-</v>
      </c>
      <c r="E70" s="169">
        <v>1.0</v>
      </c>
      <c r="F70" s="161">
        <v>1179000.0</v>
      </c>
      <c r="G70" s="162">
        <f t="shared" si="4"/>
        <v>1179000</v>
      </c>
      <c r="H70" s="194"/>
      <c r="I70" s="198">
        <f t="shared" si="5"/>
        <v>1179000</v>
      </c>
      <c r="J70" s="164">
        <f t="shared" si="7"/>
        <v>1179000</v>
      </c>
      <c r="K70" s="169" t="s">
        <v>3114</v>
      </c>
      <c r="L70" s="170" t="s">
        <v>3115</v>
      </c>
      <c r="M70" s="169"/>
      <c r="N70" s="171"/>
      <c r="O70" s="169" t="s">
        <v>3116</v>
      </c>
      <c r="P70" s="168" t="s">
        <v>3112</v>
      </c>
      <c r="Q70" s="173"/>
      <c r="R70" s="167">
        <v>1179000.0</v>
      </c>
      <c r="S70" s="173"/>
      <c r="T70" s="173"/>
      <c r="U70" s="173"/>
      <c r="V70" s="168" t="s">
        <v>2923</v>
      </c>
      <c r="W70" s="169"/>
      <c r="X70" s="171"/>
    </row>
    <row r="71" ht="15.0" customHeight="1">
      <c r="A71" s="127">
        <v>45388.0</v>
      </c>
      <c r="B71" s="181" t="s">
        <v>3117</v>
      </c>
      <c r="C71" s="181" t="s">
        <v>3118</v>
      </c>
      <c r="D71" s="73" t="str">
        <f>IFERROR(VLOOKUP(C71,Stock,3,FALSE),"")</f>
        <v>Toyota Hilux Pickup 15- (Revo)</v>
      </c>
      <c r="E71" s="56">
        <v>1.0</v>
      </c>
      <c r="F71" s="161">
        <v>1599000.0</v>
      </c>
      <c r="G71" s="162">
        <f t="shared" si="4"/>
        <v>1599000</v>
      </c>
      <c r="H71" s="194"/>
      <c r="I71" s="198">
        <f t="shared" si="5"/>
        <v>1599000</v>
      </c>
      <c r="J71" s="164">
        <f t="shared" si="7"/>
        <v>1599000</v>
      </c>
      <c r="K71" s="56" t="s">
        <v>3119</v>
      </c>
      <c r="L71" s="165" t="s">
        <v>3120</v>
      </c>
      <c r="M71" s="56"/>
      <c r="N71" s="171"/>
      <c r="O71" s="171"/>
      <c r="P71" s="166" t="s">
        <v>2922</v>
      </c>
      <c r="Q71" s="173"/>
      <c r="R71" s="167">
        <v>1599000.0</v>
      </c>
      <c r="S71" s="173"/>
      <c r="T71" s="173"/>
      <c r="U71" s="173"/>
      <c r="V71" s="202"/>
      <c r="W71" s="171"/>
      <c r="X71" s="171"/>
    </row>
    <row r="72" ht="15.0" customHeight="1">
      <c r="A72" s="127">
        <v>45388.0</v>
      </c>
      <c r="B72" s="181" t="s">
        <v>3117</v>
      </c>
      <c r="C72" s="181" t="s">
        <v>2934</v>
      </c>
      <c r="D72" s="73" t="str">
        <f>IFERROR(VLOOKUP(C72,Stock,3,FALSE),"")</f>
        <v>Peti Kayu</v>
      </c>
      <c r="E72" s="56">
        <v>1.0</v>
      </c>
      <c r="F72" s="161">
        <v>160000.0</v>
      </c>
      <c r="G72" s="162">
        <f t="shared" si="4"/>
        <v>160000</v>
      </c>
      <c r="H72" s="194"/>
      <c r="I72" s="198">
        <f t="shared" si="5"/>
        <v>160000</v>
      </c>
      <c r="J72" s="164">
        <f t="shared" si="7"/>
        <v>160000</v>
      </c>
      <c r="K72" s="56" t="s">
        <v>3119</v>
      </c>
      <c r="L72" s="165" t="s">
        <v>3120</v>
      </c>
      <c r="M72" s="56"/>
      <c r="N72" s="171"/>
      <c r="O72" s="171"/>
      <c r="P72" s="166" t="s">
        <v>2922</v>
      </c>
      <c r="Q72" s="173"/>
      <c r="R72" s="167">
        <v>160000.0</v>
      </c>
      <c r="S72" s="173"/>
      <c r="T72" s="173"/>
      <c r="U72" s="173"/>
      <c r="V72" s="202"/>
      <c r="W72" s="171"/>
      <c r="X72" s="171"/>
    </row>
    <row r="73" ht="15.0" customHeight="1">
      <c r="A73" s="127">
        <v>45388.0</v>
      </c>
      <c r="B73" s="181" t="s">
        <v>3117</v>
      </c>
      <c r="C73" s="56" t="s">
        <v>3059</v>
      </c>
      <c r="D73" s="73" t="str">
        <f>IFERROR(VLOOKUP(C73,Stock,3,FALSE),"")</f>
        <v>Sealant Polyurethane XYG Tube</v>
      </c>
      <c r="E73" s="56">
        <v>2.0</v>
      </c>
      <c r="F73" s="161">
        <v>75000.0</v>
      </c>
      <c r="G73" s="162">
        <f t="shared" si="4"/>
        <v>150000</v>
      </c>
      <c r="H73" s="194"/>
      <c r="I73" s="198">
        <f t="shared" si="5"/>
        <v>150000</v>
      </c>
      <c r="J73" s="164">
        <f t="shared" si="7"/>
        <v>150000</v>
      </c>
      <c r="K73" s="56" t="s">
        <v>3119</v>
      </c>
      <c r="L73" s="165" t="s">
        <v>3120</v>
      </c>
      <c r="M73" s="56"/>
      <c r="N73" s="171"/>
      <c r="O73" s="171"/>
      <c r="P73" s="166" t="s">
        <v>2922</v>
      </c>
      <c r="Q73" s="173"/>
      <c r="R73" s="167">
        <v>150000.0</v>
      </c>
      <c r="S73" s="173"/>
      <c r="T73" s="173"/>
      <c r="U73" s="173"/>
      <c r="V73" s="202"/>
      <c r="W73" s="171"/>
      <c r="X73" s="171"/>
    </row>
    <row r="74" ht="15.0" customHeight="1">
      <c r="A74" s="127">
        <v>45388.0</v>
      </c>
      <c r="B74" s="181" t="s">
        <v>3121</v>
      </c>
      <c r="C74" s="181" t="s">
        <v>3122</v>
      </c>
      <c r="D74" s="73" t="str">
        <f>IFERROR(VLOOKUP(C74,Stock,3,FALSE),"")</f>
        <v>Toyota Innova 15- 2nd Gen</v>
      </c>
      <c r="E74" s="56">
        <v>1.0</v>
      </c>
      <c r="F74" s="161">
        <v>2900000.0</v>
      </c>
      <c r="G74" s="162">
        <f t="shared" si="4"/>
        <v>2900000</v>
      </c>
      <c r="H74" s="201">
        <v>150000.0</v>
      </c>
      <c r="I74" s="198">
        <f t="shared" si="5"/>
        <v>2750000</v>
      </c>
      <c r="J74" s="164">
        <f t="shared" si="7"/>
        <v>2750000</v>
      </c>
      <c r="K74" s="169" t="s">
        <v>3123</v>
      </c>
      <c r="L74" s="170" t="s">
        <v>3124</v>
      </c>
      <c r="M74" s="169"/>
      <c r="N74" s="169" t="s">
        <v>3125</v>
      </c>
      <c r="O74" s="171"/>
      <c r="P74" s="168" t="s">
        <v>3112</v>
      </c>
      <c r="Q74" s="173"/>
      <c r="R74" s="167">
        <v>2750000.0</v>
      </c>
      <c r="S74" s="173"/>
      <c r="T74" s="173"/>
      <c r="U74" s="173"/>
      <c r="V74" s="202"/>
      <c r="W74" s="171"/>
      <c r="X74" s="171"/>
    </row>
    <row r="75" ht="15.0" customHeight="1">
      <c r="A75" s="127">
        <v>45388.0</v>
      </c>
      <c r="B75" s="181" t="s">
        <v>3126</v>
      </c>
      <c r="C75" s="56" t="s">
        <v>3127</v>
      </c>
      <c r="D75" s="73" t="str">
        <f>IFERROR(VLOOKUP(C75,Stock,3,FALSE),"")</f>
        <v>Toyota Avanza / Xenia 03-11 1st Gen</v>
      </c>
      <c r="E75" s="56">
        <v>1.0</v>
      </c>
      <c r="F75" s="161">
        <v>680000.0</v>
      </c>
      <c r="G75" s="162">
        <f t="shared" si="4"/>
        <v>680000</v>
      </c>
      <c r="H75" s="194"/>
      <c r="I75" s="198">
        <f t="shared" si="5"/>
        <v>680000</v>
      </c>
      <c r="J75" s="164">
        <f t="shared" si="7"/>
        <v>680000</v>
      </c>
      <c r="K75" s="73"/>
      <c r="L75" s="73"/>
      <c r="M75" s="73"/>
      <c r="N75" s="171"/>
      <c r="O75" s="171"/>
      <c r="P75" s="168" t="s">
        <v>3112</v>
      </c>
      <c r="Q75" s="173"/>
      <c r="R75" s="167">
        <v>680000.0</v>
      </c>
      <c r="S75" s="173"/>
      <c r="T75" s="173"/>
      <c r="U75" s="173"/>
      <c r="V75" s="202"/>
      <c r="W75" s="171"/>
      <c r="X75" s="171"/>
    </row>
    <row r="76" ht="15.0" customHeight="1">
      <c r="A76" s="127">
        <v>45388.0</v>
      </c>
      <c r="B76" s="181" t="s">
        <v>3128</v>
      </c>
      <c r="C76" s="181" t="s">
        <v>2965</v>
      </c>
      <c r="D76" s="73" t="str">
        <f>IFERROR(VLOOKUP(C76,Stock,3,FALSE),"")</f>
        <v>Suzuki Ertiga 12-18 1st Gen MPV</v>
      </c>
      <c r="E76" s="56">
        <v>1.0</v>
      </c>
      <c r="F76" s="161">
        <v>1099000.0</v>
      </c>
      <c r="G76" s="162">
        <f t="shared" si="4"/>
        <v>1099000</v>
      </c>
      <c r="H76" s="194"/>
      <c r="I76" s="198">
        <f t="shared" si="5"/>
        <v>1099000</v>
      </c>
      <c r="J76" s="164">
        <f t="shared" si="7"/>
        <v>1099000</v>
      </c>
      <c r="K76" s="171"/>
      <c r="L76" s="171"/>
      <c r="M76" s="171"/>
      <c r="N76" s="169" t="s">
        <v>3129</v>
      </c>
      <c r="O76" s="171"/>
      <c r="P76" s="168" t="s">
        <v>3112</v>
      </c>
      <c r="Q76" s="173"/>
      <c r="R76" s="167">
        <v>1174000.0</v>
      </c>
      <c r="S76" s="173"/>
      <c r="T76" s="173"/>
      <c r="U76" s="173"/>
      <c r="V76" s="202"/>
      <c r="W76" s="171"/>
      <c r="X76" s="171"/>
    </row>
    <row r="77" ht="15.0" customHeight="1">
      <c r="A77" s="127">
        <v>45397.0</v>
      </c>
      <c r="B77" s="181" t="s">
        <v>3130</v>
      </c>
      <c r="C77" s="56" t="s">
        <v>3122</v>
      </c>
      <c r="D77" s="73" t="str">
        <f>IFERROR(VLOOKUP(C77,Stock,3,FALSE),"")</f>
        <v>Toyota Innova 15- 2nd Gen</v>
      </c>
      <c r="E77" s="56">
        <v>1.0</v>
      </c>
      <c r="F77" s="161">
        <v>2900000.0</v>
      </c>
      <c r="G77" s="162">
        <f t="shared" si="4"/>
        <v>2900000</v>
      </c>
      <c r="H77" s="201">
        <v>150000.0</v>
      </c>
      <c r="I77" s="198">
        <f t="shared" si="5"/>
        <v>2750000</v>
      </c>
      <c r="J77" s="164">
        <f t="shared" si="7"/>
        <v>2750000</v>
      </c>
      <c r="K77" s="56" t="s">
        <v>3131</v>
      </c>
      <c r="L77" s="165" t="s">
        <v>3132</v>
      </c>
      <c r="M77" s="56" t="s">
        <v>3133</v>
      </c>
      <c r="N77" s="169" t="s">
        <v>3134</v>
      </c>
      <c r="O77" s="171"/>
      <c r="P77" s="166" t="s">
        <v>3112</v>
      </c>
      <c r="Q77" s="173"/>
      <c r="R77" s="167">
        <v>2750000.0</v>
      </c>
      <c r="S77" s="173"/>
      <c r="T77" s="173"/>
      <c r="U77" s="173"/>
      <c r="V77" s="202"/>
      <c r="W77" s="171"/>
      <c r="X77" s="171"/>
    </row>
    <row r="78" ht="15.0" customHeight="1">
      <c r="A78" s="127">
        <v>45397.0</v>
      </c>
      <c r="B78" s="181" t="s">
        <v>3135</v>
      </c>
      <c r="C78" s="181" t="s">
        <v>3136</v>
      </c>
      <c r="D78" s="73" t="str">
        <f>IFERROR(VLOOKUP(C78,Stock,3,FALSE),"")</f>
        <v>Mitsubishi Pajero 16-</v>
      </c>
      <c r="E78" s="56">
        <v>1.0</v>
      </c>
      <c r="F78" s="161">
        <v>1686000.0</v>
      </c>
      <c r="G78" s="162">
        <f t="shared" si="4"/>
        <v>1686000</v>
      </c>
      <c r="H78" s="194"/>
      <c r="I78" s="198">
        <f t="shared" si="5"/>
        <v>1686000</v>
      </c>
      <c r="J78" s="164">
        <f t="shared" si="7"/>
        <v>1686000</v>
      </c>
      <c r="K78" s="169" t="s">
        <v>3137</v>
      </c>
      <c r="L78" s="171"/>
      <c r="M78" s="171"/>
      <c r="N78" s="171"/>
      <c r="O78" s="171"/>
      <c r="P78" s="168" t="s">
        <v>3112</v>
      </c>
      <c r="Q78" s="173"/>
      <c r="R78" s="167">
        <v>1761000.0</v>
      </c>
      <c r="S78" s="173"/>
      <c r="T78" s="173"/>
      <c r="U78" s="173"/>
      <c r="V78" s="202"/>
      <c r="W78" s="171"/>
      <c r="X78" s="171"/>
    </row>
    <row r="79" ht="15.0" customHeight="1">
      <c r="A79" s="127">
        <v>45397.0</v>
      </c>
      <c r="B79" s="181" t="s">
        <v>3138</v>
      </c>
      <c r="C79" s="56" t="s">
        <v>2785</v>
      </c>
      <c r="D79" s="73" t="str">
        <f>IFERROR(VLOOKUP(C79,Stock,3,FALSE),"")</f>
        <v>Suzuki Swift 11-17 2nd Gen</v>
      </c>
      <c r="E79" s="56">
        <v>1.0</v>
      </c>
      <c r="F79" s="161">
        <v>1748000.0</v>
      </c>
      <c r="G79" s="162">
        <f t="shared" si="4"/>
        <v>1748000</v>
      </c>
      <c r="H79" s="201">
        <v>48000.0</v>
      </c>
      <c r="I79" s="198">
        <f t="shared" si="5"/>
        <v>1700000</v>
      </c>
      <c r="J79" s="164">
        <f t="shared" si="7"/>
        <v>1700000</v>
      </c>
      <c r="K79" s="56" t="s">
        <v>3139</v>
      </c>
      <c r="L79" s="165" t="s">
        <v>3140</v>
      </c>
      <c r="M79" s="56" t="s">
        <v>3141</v>
      </c>
      <c r="N79" s="169" t="s">
        <v>3142</v>
      </c>
      <c r="O79" s="171"/>
      <c r="P79" s="168" t="s">
        <v>3112</v>
      </c>
      <c r="Q79" s="173"/>
      <c r="R79" s="167">
        <v>1700000.0</v>
      </c>
      <c r="S79" s="173"/>
      <c r="T79" s="173"/>
      <c r="U79" s="173"/>
      <c r="V79" s="202"/>
      <c r="W79" s="171"/>
      <c r="X79" s="171"/>
    </row>
    <row r="80" ht="15.0" customHeight="1">
      <c r="A80" s="127">
        <v>45397.0</v>
      </c>
      <c r="B80" s="181" t="s">
        <v>3143</v>
      </c>
      <c r="C80" s="181" t="s">
        <v>3068</v>
      </c>
      <c r="D80" s="73" t="str">
        <f>IFERROR(VLOOKUP(C80,Stock,3,FALSE),"")</f>
        <v>Honda Brio 10- / Mobilio 11-</v>
      </c>
      <c r="E80" s="56">
        <v>1.0</v>
      </c>
      <c r="F80" s="161">
        <v>1448000.0</v>
      </c>
      <c r="G80" s="162">
        <f t="shared" si="4"/>
        <v>1448000</v>
      </c>
      <c r="H80" s="194"/>
      <c r="I80" s="198">
        <f t="shared" si="5"/>
        <v>1448000</v>
      </c>
      <c r="J80" s="164">
        <f t="shared" si="7"/>
        <v>1448000</v>
      </c>
      <c r="K80" s="56" t="s">
        <v>3144</v>
      </c>
      <c r="L80" s="165" t="s">
        <v>3145</v>
      </c>
      <c r="M80" s="56" t="s">
        <v>3146</v>
      </c>
      <c r="N80" s="169" t="s">
        <v>3147</v>
      </c>
      <c r="O80" s="169" t="s">
        <v>3037</v>
      </c>
      <c r="P80" s="168" t="s">
        <v>3112</v>
      </c>
      <c r="Q80" s="173"/>
      <c r="R80" s="167">
        <v>1448000.0</v>
      </c>
      <c r="S80" s="173"/>
      <c r="T80" s="173"/>
      <c r="U80" s="173"/>
      <c r="V80" s="202"/>
      <c r="W80" s="171"/>
      <c r="X80" s="171"/>
    </row>
    <row r="81" ht="15.0" customHeight="1">
      <c r="A81" s="127">
        <v>45398.0</v>
      </c>
      <c r="B81" s="181" t="s">
        <v>3148</v>
      </c>
      <c r="C81" s="56" t="s">
        <v>3149</v>
      </c>
      <c r="D81" s="73" t="str">
        <f>IFERROR(VLOOKUP(C81,Stock,3,FALSE),"")</f>
        <v>Honda CR-V 12-16 4th Gen [Rata]</v>
      </c>
      <c r="E81" s="56">
        <v>1.0</v>
      </c>
      <c r="F81" s="161">
        <v>1646000.0</v>
      </c>
      <c r="G81" s="162">
        <f t="shared" si="4"/>
        <v>1646000</v>
      </c>
      <c r="H81" s="194"/>
      <c r="I81" s="198">
        <f t="shared" si="5"/>
        <v>1646000</v>
      </c>
      <c r="J81" s="164">
        <f t="shared" si="7"/>
        <v>1646000</v>
      </c>
      <c r="K81" s="56" t="s">
        <v>3150</v>
      </c>
      <c r="L81" s="165" t="s">
        <v>3151</v>
      </c>
      <c r="M81" s="56" t="s">
        <v>3152</v>
      </c>
      <c r="N81" s="169" t="s">
        <v>3153</v>
      </c>
      <c r="O81" s="171"/>
      <c r="P81" s="168" t="s">
        <v>2922</v>
      </c>
      <c r="Q81" s="173"/>
      <c r="R81" s="167">
        <v>1646000.0</v>
      </c>
      <c r="S81" s="173"/>
      <c r="T81" s="173"/>
      <c r="U81" s="173"/>
      <c r="V81" s="202"/>
      <c r="W81" s="171"/>
      <c r="X81" s="171"/>
    </row>
    <row r="82" ht="15.0" customHeight="1">
      <c r="A82" s="127">
        <v>45398.0</v>
      </c>
      <c r="B82" s="181" t="s">
        <v>3154</v>
      </c>
      <c r="C82" s="181" t="s">
        <v>2641</v>
      </c>
      <c r="D82" s="73" t="str">
        <f>IFERROR(VLOOKUP(C82,Stock,3,FALSE),"")</f>
        <v>Kia Timor 95-98 / Sephia 94-05</v>
      </c>
      <c r="E82" s="56">
        <v>1.0</v>
      </c>
      <c r="F82" s="161">
        <v>1749000.0</v>
      </c>
      <c r="G82" s="162">
        <f t="shared" si="4"/>
        <v>1749000</v>
      </c>
      <c r="H82" s="194"/>
      <c r="I82" s="198">
        <f t="shared" si="5"/>
        <v>1749000</v>
      </c>
      <c r="J82" s="164">
        <f t="shared" si="7"/>
        <v>1749000</v>
      </c>
      <c r="K82" s="56" t="s">
        <v>3155</v>
      </c>
      <c r="L82" s="165" t="s">
        <v>3156</v>
      </c>
      <c r="M82" s="73"/>
      <c r="N82" s="169" t="s">
        <v>3157</v>
      </c>
      <c r="O82" s="171"/>
      <c r="P82" s="168" t="s">
        <v>3076</v>
      </c>
      <c r="Q82" s="167">
        <v>1750000.0</v>
      </c>
      <c r="R82" s="173"/>
      <c r="S82" s="173"/>
      <c r="T82" s="173"/>
      <c r="U82" s="173"/>
      <c r="V82" s="202"/>
      <c r="W82" s="171"/>
      <c r="X82" s="171"/>
    </row>
    <row r="83" ht="15.0" customHeight="1">
      <c r="A83" s="127">
        <v>45398.0</v>
      </c>
      <c r="B83" s="181" t="s">
        <v>3158</v>
      </c>
      <c r="C83" s="56" t="s">
        <v>3159</v>
      </c>
      <c r="D83" s="73" t="str">
        <f>IFERROR(VLOOKUP(C83,Stock,3,FALSE),"")</f>
        <v>Honda Jazz 13- 3rd Gen</v>
      </c>
      <c r="E83" s="56">
        <v>1.0</v>
      </c>
      <c r="F83" s="161">
        <v>1318000.0</v>
      </c>
      <c r="G83" s="162">
        <f t="shared" si="4"/>
        <v>1318000</v>
      </c>
      <c r="H83" s="194"/>
      <c r="I83" s="198">
        <f t="shared" si="5"/>
        <v>1318000</v>
      </c>
      <c r="J83" s="164">
        <f t="shared" si="7"/>
        <v>1318000</v>
      </c>
      <c r="K83" s="56" t="s">
        <v>3160</v>
      </c>
      <c r="L83" s="165" t="s">
        <v>3161</v>
      </c>
      <c r="M83" s="73"/>
      <c r="N83" s="171"/>
      <c r="O83" s="171"/>
      <c r="P83" s="168" t="s">
        <v>2922</v>
      </c>
      <c r="Q83" s="173"/>
      <c r="R83" s="173"/>
      <c r="S83" s="167">
        <v>1318000.0</v>
      </c>
      <c r="T83" s="173"/>
      <c r="U83" s="173"/>
      <c r="V83" s="202"/>
      <c r="W83" s="171"/>
      <c r="X83" s="171"/>
    </row>
    <row r="84" ht="15.0" customHeight="1">
      <c r="A84" s="127">
        <v>45398.0</v>
      </c>
      <c r="B84" s="181" t="s">
        <v>3158</v>
      </c>
      <c r="C84" s="181" t="s">
        <v>2934</v>
      </c>
      <c r="D84" s="73" t="str">
        <f>IFERROR(VLOOKUP(C84,Stock,3,FALSE),"")</f>
        <v>Peti Kayu</v>
      </c>
      <c r="E84" s="56">
        <v>1.0</v>
      </c>
      <c r="F84" s="161">
        <v>160000.0</v>
      </c>
      <c r="G84" s="162">
        <f t="shared" si="4"/>
        <v>160000</v>
      </c>
      <c r="H84" s="194"/>
      <c r="I84" s="198">
        <f t="shared" si="5"/>
        <v>160000</v>
      </c>
      <c r="J84" s="164">
        <f t="shared" si="7"/>
        <v>160000</v>
      </c>
      <c r="K84" s="56" t="s">
        <v>3160</v>
      </c>
      <c r="L84" s="165" t="s">
        <v>3161</v>
      </c>
      <c r="M84" s="73"/>
      <c r="N84" s="171"/>
      <c r="O84" s="171"/>
      <c r="P84" s="168" t="s">
        <v>2922</v>
      </c>
      <c r="Q84" s="173"/>
      <c r="R84" s="173"/>
      <c r="S84" s="167">
        <v>160000.0</v>
      </c>
      <c r="T84" s="173"/>
      <c r="U84" s="173"/>
      <c r="V84" s="202"/>
      <c r="W84" s="171"/>
      <c r="X84" s="171"/>
    </row>
    <row r="85" ht="15.0" customHeight="1">
      <c r="A85" s="127">
        <v>45399.0</v>
      </c>
      <c r="B85" s="181" t="s">
        <v>3162</v>
      </c>
      <c r="C85" s="56" t="s">
        <v>3050</v>
      </c>
      <c r="D85" s="73" t="str">
        <f>IFERROR(VLOOKUP(C85,Stock,3,FALSE),"")</f>
        <v>Toyota Hilux Pickup 05-15</v>
      </c>
      <c r="E85" s="56">
        <v>1.0</v>
      </c>
      <c r="F85" s="161">
        <v>895000.0</v>
      </c>
      <c r="G85" s="162">
        <f t="shared" si="4"/>
        <v>895000</v>
      </c>
      <c r="H85" s="194"/>
      <c r="I85" s="198">
        <f t="shared" si="5"/>
        <v>895000</v>
      </c>
      <c r="J85" s="164">
        <f t="shared" si="7"/>
        <v>895000</v>
      </c>
      <c r="K85" s="169" t="s">
        <v>3163</v>
      </c>
      <c r="L85" s="170" t="s">
        <v>3164</v>
      </c>
      <c r="M85" s="169" t="s">
        <v>3165</v>
      </c>
      <c r="N85" s="169" t="s">
        <v>3166</v>
      </c>
      <c r="O85" s="171"/>
      <c r="P85" s="168" t="s">
        <v>3112</v>
      </c>
      <c r="Q85" s="173"/>
      <c r="R85" s="167">
        <v>895000.0</v>
      </c>
      <c r="S85" s="173"/>
      <c r="T85" s="173"/>
      <c r="U85" s="173"/>
      <c r="V85" s="202"/>
      <c r="W85" s="171"/>
      <c r="X85" s="171"/>
    </row>
    <row r="86" ht="15.0" customHeight="1">
      <c r="A86" s="127">
        <v>45399.0</v>
      </c>
      <c r="B86" s="181" t="s">
        <v>3162</v>
      </c>
      <c r="C86" s="56" t="s">
        <v>3045</v>
      </c>
      <c r="D86" s="73" t="str">
        <f>IFERROR(VLOOKUP(C86,Stock,3,FALSE),"")</f>
        <v>Pemasangan Kaca Mobil Depan</v>
      </c>
      <c r="E86" s="56">
        <v>1.0</v>
      </c>
      <c r="F86" s="161">
        <v>50000.0</v>
      </c>
      <c r="G86" s="162">
        <f t="shared" si="4"/>
        <v>50000</v>
      </c>
      <c r="H86" s="194"/>
      <c r="I86" s="198">
        <f t="shared" si="5"/>
        <v>50000</v>
      </c>
      <c r="J86" s="164">
        <f t="shared" si="7"/>
        <v>50000</v>
      </c>
      <c r="K86" s="169" t="s">
        <v>3163</v>
      </c>
      <c r="L86" s="170" t="s">
        <v>3164</v>
      </c>
      <c r="M86" s="169" t="s">
        <v>3165</v>
      </c>
      <c r="N86" s="169" t="s">
        <v>3166</v>
      </c>
      <c r="O86" s="171"/>
      <c r="P86" s="168" t="s">
        <v>3112</v>
      </c>
      <c r="Q86" s="173"/>
      <c r="R86" s="167">
        <v>50000.0</v>
      </c>
      <c r="S86" s="173"/>
      <c r="T86" s="173"/>
      <c r="U86" s="173"/>
      <c r="V86" s="202"/>
      <c r="W86" s="171"/>
      <c r="X86" s="171"/>
    </row>
    <row r="87" ht="15.0" customHeight="1">
      <c r="A87" s="127">
        <v>45399.0</v>
      </c>
      <c r="B87" s="181" t="s">
        <v>3167</v>
      </c>
      <c r="C87" s="181" t="s">
        <v>3168</v>
      </c>
      <c r="D87" s="73" t="str">
        <f>IFERROR(VLOOKUP(C87,Stock,3,FALSE),"")</f>
        <v>Toyota Agya/Ayla</v>
      </c>
      <c r="E87" s="56">
        <v>1.0</v>
      </c>
      <c r="F87" s="161">
        <v>819000.0</v>
      </c>
      <c r="G87" s="162">
        <f t="shared" si="4"/>
        <v>819000</v>
      </c>
      <c r="H87" s="194"/>
      <c r="I87" s="198">
        <f t="shared" si="5"/>
        <v>819000</v>
      </c>
      <c r="J87" s="164">
        <f t="shared" si="7"/>
        <v>819000</v>
      </c>
      <c r="K87" s="56" t="s">
        <v>3169</v>
      </c>
      <c r="L87" s="165" t="s">
        <v>3170</v>
      </c>
      <c r="M87" s="56" t="s">
        <v>3171</v>
      </c>
      <c r="N87" s="171"/>
      <c r="O87" s="171"/>
      <c r="P87" s="168" t="s">
        <v>3011</v>
      </c>
      <c r="Q87" s="167">
        <v>900000.0</v>
      </c>
      <c r="R87" s="173"/>
      <c r="S87" s="173"/>
      <c r="T87" s="173"/>
      <c r="U87" s="173"/>
      <c r="V87" s="202"/>
      <c r="W87" s="171"/>
      <c r="X87" s="171"/>
    </row>
    <row r="88" ht="15.0" customHeight="1">
      <c r="A88" s="127">
        <v>45399.0</v>
      </c>
      <c r="B88" s="181" t="s">
        <v>3167</v>
      </c>
      <c r="C88" s="181" t="s">
        <v>3059</v>
      </c>
      <c r="D88" s="73" t="str">
        <f>IFERROR(VLOOKUP(C88,Stock,3,FALSE),"")</f>
        <v>Sealant Polyurethane XYG Tube</v>
      </c>
      <c r="E88" s="56">
        <v>1.0</v>
      </c>
      <c r="F88" s="161">
        <v>75000.0</v>
      </c>
      <c r="G88" s="162">
        <f t="shared" si="4"/>
        <v>75000</v>
      </c>
      <c r="H88" s="194"/>
      <c r="I88" s="198">
        <f t="shared" si="5"/>
        <v>75000</v>
      </c>
      <c r="J88" s="164">
        <f t="shared" si="7"/>
        <v>75000</v>
      </c>
      <c r="K88" s="56" t="s">
        <v>3169</v>
      </c>
      <c r="L88" s="165" t="s">
        <v>3170</v>
      </c>
      <c r="M88" s="56" t="s">
        <v>3171</v>
      </c>
      <c r="N88" s="171"/>
      <c r="O88" s="171"/>
      <c r="P88" s="168" t="s">
        <v>3011</v>
      </c>
      <c r="Q88" s="167"/>
      <c r="R88" s="173"/>
      <c r="S88" s="173"/>
      <c r="T88" s="173"/>
      <c r="U88" s="173"/>
      <c r="V88" s="202"/>
      <c r="W88" s="171"/>
      <c r="X88" s="171"/>
    </row>
    <row r="89" ht="15.0" customHeight="1">
      <c r="A89" s="127">
        <v>45399.0</v>
      </c>
      <c r="B89" s="181" t="s">
        <v>3172</v>
      </c>
      <c r="C89" s="181" t="s">
        <v>2706</v>
      </c>
      <c r="D89" s="73" t="str">
        <f>IFERROR(VLOOKUP(C89,Stock,3,FALSE),"")</f>
        <v>Isuzu Elf 17- New NMR NLR</v>
      </c>
      <c r="E89" s="56">
        <v>1.0</v>
      </c>
      <c r="F89" s="161">
        <v>1464000.0</v>
      </c>
      <c r="G89" s="162">
        <f t="shared" si="4"/>
        <v>1464000</v>
      </c>
      <c r="H89" s="194"/>
      <c r="I89" s="198">
        <f t="shared" si="5"/>
        <v>1464000</v>
      </c>
      <c r="J89" s="164">
        <f t="shared" si="7"/>
        <v>1464000</v>
      </c>
      <c r="K89" s="171"/>
      <c r="L89" s="170" t="s">
        <v>3173</v>
      </c>
      <c r="M89" s="171"/>
      <c r="N89" s="169" t="s">
        <v>3174</v>
      </c>
      <c r="O89" s="171"/>
      <c r="P89" s="168" t="s">
        <v>3112</v>
      </c>
      <c r="Q89" s="167">
        <v>1500000.0</v>
      </c>
      <c r="R89" s="173"/>
      <c r="S89" s="173"/>
      <c r="T89" s="173"/>
      <c r="U89" s="173"/>
      <c r="V89" s="202"/>
      <c r="W89" s="171"/>
      <c r="X89" s="171"/>
    </row>
    <row r="90" ht="15.0" customHeight="1">
      <c r="A90" s="127">
        <v>45400.0</v>
      </c>
      <c r="B90" s="181" t="s">
        <v>3175</v>
      </c>
      <c r="C90" s="56" t="s">
        <v>3176</v>
      </c>
      <c r="D90" s="73" t="str">
        <f>IFERROR(VLOOKUP(C90,Stock,3,FALSE),"")</f>
        <v>Toyota Avanza / Xenia 11-15 2nd Gen / 15-21 3rd Gen</v>
      </c>
      <c r="E90" s="56">
        <v>1.0</v>
      </c>
      <c r="F90" s="161">
        <v>900000.0</v>
      </c>
      <c r="G90" s="162">
        <f t="shared" si="4"/>
        <v>900000</v>
      </c>
      <c r="H90" s="194"/>
      <c r="I90" s="198">
        <f t="shared" si="5"/>
        <v>900000</v>
      </c>
      <c r="J90" s="164">
        <f t="shared" si="7"/>
        <v>900000</v>
      </c>
      <c r="K90" s="56" t="s">
        <v>3177</v>
      </c>
      <c r="L90" s="165" t="s">
        <v>3178</v>
      </c>
      <c r="M90" s="73"/>
      <c r="N90" s="169" t="s">
        <v>3179</v>
      </c>
      <c r="O90" s="171"/>
      <c r="P90" s="168" t="s">
        <v>2953</v>
      </c>
      <c r="Q90" s="167">
        <v>900000.0</v>
      </c>
      <c r="R90" s="173"/>
      <c r="S90" s="173"/>
      <c r="T90" s="173"/>
      <c r="U90" s="173"/>
      <c r="V90" s="202"/>
      <c r="W90" s="171"/>
      <c r="X90" s="171"/>
    </row>
    <row r="91" ht="15.0" customHeight="1">
      <c r="A91" s="127">
        <v>45400.0</v>
      </c>
      <c r="B91" s="181" t="s">
        <v>3180</v>
      </c>
      <c r="C91" s="181" t="s">
        <v>3181</v>
      </c>
      <c r="D91" s="73" t="str">
        <f>IFERROR(VLOOKUP(C91,Stock,3,FALSE),"")</f>
        <v>Toyota Corolla Cross 21-</v>
      </c>
      <c r="E91" s="56">
        <v>1.0</v>
      </c>
      <c r="F91" s="161">
        <v>3199000.0</v>
      </c>
      <c r="G91" s="162">
        <f t="shared" si="4"/>
        <v>3199000</v>
      </c>
      <c r="H91" s="194"/>
      <c r="I91" s="198">
        <f t="shared" si="5"/>
        <v>3199000</v>
      </c>
      <c r="J91" s="164">
        <f t="shared" si="7"/>
        <v>3199000</v>
      </c>
      <c r="K91" s="56" t="s">
        <v>3182</v>
      </c>
      <c r="L91" s="165" t="s">
        <v>3183</v>
      </c>
      <c r="M91" s="73"/>
      <c r="N91" s="171"/>
      <c r="O91" s="169" t="s">
        <v>3184</v>
      </c>
      <c r="P91" s="168" t="s">
        <v>3112</v>
      </c>
      <c r="Q91" s="173"/>
      <c r="R91" s="167">
        <v>3199000.0</v>
      </c>
      <c r="S91" s="173"/>
      <c r="T91" s="173"/>
      <c r="U91" s="173"/>
      <c r="V91" s="202"/>
      <c r="W91" s="171"/>
      <c r="X91" s="171"/>
    </row>
    <row r="92" ht="15.0" customHeight="1">
      <c r="A92" s="127">
        <v>45400.0</v>
      </c>
      <c r="B92" s="181" t="s">
        <v>3180</v>
      </c>
      <c r="C92" s="56" t="s">
        <v>2934</v>
      </c>
      <c r="D92" s="73" t="str">
        <f>IFERROR(VLOOKUP(C92,Stock,3,FALSE),"")</f>
        <v>Peti Kayu</v>
      </c>
      <c r="E92" s="56">
        <v>1.0</v>
      </c>
      <c r="F92" s="161">
        <v>160000.0</v>
      </c>
      <c r="G92" s="162">
        <f t="shared" si="4"/>
        <v>160000</v>
      </c>
      <c r="H92" s="194"/>
      <c r="I92" s="198">
        <f t="shared" si="5"/>
        <v>160000</v>
      </c>
      <c r="J92" s="164">
        <f t="shared" si="7"/>
        <v>160000</v>
      </c>
      <c r="K92" s="56" t="s">
        <v>3182</v>
      </c>
      <c r="L92" s="165" t="s">
        <v>3183</v>
      </c>
      <c r="M92" s="73"/>
      <c r="N92" s="171"/>
      <c r="O92" s="169" t="s">
        <v>3184</v>
      </c>
      <c r="P92" s="168" t="s">
        <v>3112</v>
      </c>
      <c r="Q92" s="173"/>
      <c r="R92" s="167">
        <v>160000.0</v>
      </c>
      <c r="S92" s="173"/>
      <c r="T92" s="173"/>
      <c r="U92" s="173"/>
      <c r="V92" s="202"/>
      <c r="W92" s="171"/>
      <c r="X92" s="171"/>
    </row>
    <row r="93" ht="15.0" customHeight="1">
      <c r="A93" s="127">
        <v>45400.0</v>
      </c>
      <c r="B93" s="181" t="s">
        <v>3185</v>
      </c>
      <c r="C93" s="181" t="s">
        <v>3186</v>
      </c>
      <c r="D93" s="73" t="str">
        <f>IFERROR(VLOOKUP(C93,Stock,3,FALSE),"")</f>
        <v>Daihatsu Gran Max / Luxio 07-</v>
      </c>
      <c r="E93" s="56">
        <v>1.0</v>
      </c>
      <c r="F93" s="161">
        <v>988000.0</v>
      </c>
      <c r="G93" s="162">
        <f t="shared" si="4"/>
        <v>988000</v>
      </c>
      <c r="H93" s="194"/>
      <c r="I93" s="198">
        <f t="shared" si="5"/>
        <v>988000</v>
      </c>
      <c r="J93" s="164">
        <f t="shared" si="7"/>
        <v>988000</v>
      </c>
      <c r="K93" s="169" t="s">
        <v>3187</v>
      </c>
      <c r="L93" s="170" t="s">
        <v>3188</v>
      </c>
      <c r="M93" s="169" t="s">
        <v>3189</v>
      </c>
      <c r="N93" s="203" t="s">
        <v>3190</v>
      </c>
      <c r="O93" s="171"/>
      <c r="P93" s="168" t="s">
        <v>2922</v>
      </c>
      <c r="Q93" s="167">
        <v>1000000.0</v>
      </c>
      <c r="R93" s="173"/>
      <c r="S93" s="173"/>
      <c r="T93" s="173"/>
      <c r="U93" s="173"/>
      <c r="V93" s="202"/>
      <c r="W93" s="171"/>
      <c r="X93" s="171"/>
    </row>
    <row r="94" ht="15.0" customHeight="1">
      <c r="A94" s="127">
        <v>45402.0</v>
      </c>
      <c r="B94" s="181" t="s">
        <v>3191</v>
      </c>
      <c r="C94" s="56" t="s">
        <v>2936</v>
      </c>
      <c r="D94" s="73" t="str">
        <f>IFERROR(VLOOKUP(C94,Stock,3,FALSE),"")</f>
        <v>Toyota Calya / Sigra 16-</v>
      </c>
      <c r="E94" s="56">
        <v>1.0</v>
      </c>
      <c r="F94" s="161">
        <v>948000.0</v>
      </c>
      <c r="G94" s="162">
        <f t="shared" si="4"/>
        <v>948000</v>
      </c>
      <c r="H94" s="194"/>
      <c r="I94" s="198">
        <f t="shared" si="5"/>
        <v>948000</v>
      </c>
      <c r="J94" s="164">
        <f t="shared" si="7"/>
        <v>948000</v>
      </c>
      <c r="K94" s="56" t="s">
        <v>3192</v>
      </c>
      <c r="L94" s="165" t="s">
        <v>3193</v>
      </c>
      <c r="M94" s="73"/>
      <c r="N94" s="171"/>
      <c r="O94" s="169" t="s">
        <v>3194</v>
      </c>
      <c r="P94" s="168" t="s">
        <v>3112</v>
      </c>
      <c r="Q94" s="167">
        <v>1100000.0</v>
      </c>
      <c r="R94" s="173"/>
      <c r="S94" s="173"/>
      <c r="T94" s="173"/>
      <c r="U94" s="173"/>
      <c r="V94" s="202"/>
      <c r="W94" s="171"/>
      <c r="X94" s="171"/>
    </row>
    <row r="95" ht="15.0" customHeight="1">
      <c r="A95" s="127">
        <v>45402.0</v>
      </c>
      <c r="B95" s="181" t="s">
        <v>3191</v>
      </c>
      <c r="C95" s="56" t="s">
        <v>2954</v>
      </c>
      <c r="D95" s="73" t="str">
        <f>IFERROR(VLOOKUP(C95,Stock,3,FALSE),"")</f>
        <v>Transport</v>
      </c>
      <c r="E95" s="56">
        <v>1.0</v>
      </c>
      <c r="F95" s="161">
        <v>150000.0</v>
      </c>
      <c r="G95" s="162">
        <f t="shared" si="4"/>
        <v>150000</v>
      </c>
      <c r="H95" s="194"/>
      <c r="I95" s="198">
        <f t="shared" si="5"/>
        <v>150000</v>
      </c>
      <c r="J95" s="164">
        <f t="shared" si="7"/>
        <v>150000</v>
      </c>
      <c r="K95" s="56" t="s">
        <v>3192</v>
      </c>
      <c r="L95" s="165" t="s">
        <v>3193</v>
      </c>
      <c r="M95" s="171"/>
      <c r="N95" s="171"/>
      <c r="O95" s="169" t="s">
        <v>3194</v>
      </c>
      <c r="P95" s="168" t="s">
        <v>3112</v>
      </c>
      <c r="Q95" s="173"/>
      <c r="R95" s="173"/>
      <c r="S95" s="173"/>
      <c r="T95" s="173"/>
      <c r="U95" s="173"/>
      <c r="V95" s="202"/>
      <c r="W95" s="171"/>
      <c r="X95" s="171"/>
    </row>
    <row r="96" ht="15.0" customHeight="1">
      <c r="A96" s="127">
        <v>45402.0</v>
      </c>
      <c r="B96" s="181" t="s">
        <v>3195</v>
      </c>
      <c r="C96" s="56" t="s">
        <v>2562</v>
      </c>
      <c r="D96" s="73" t="str">
        <f>IFERROR(VLOOKUP(C96,Stock,3,FALSE),"")</f>
        <v>Toyota Avanza / Xenia 15-21 3rd Gen</v>
      </c>
      <c r="E96" s="56">
        <v>1.0</v>
      </c>
      <c r="F96" s="161">
        <v>1079000.0</v>
      </c>
      <c r="G96" s="162">
        <f t="shared" si="4"/>
        <v>1079000</v>
      </c>
      <c r="H96" s="194"/>
      <c r="I96" s="198">
        <f t="shared" si="5"/>
        <v>1079000</v>
      </c>
      <c r="J96" s="164">
        <f t="shared" si="7"/>
        <v>1079000</v>
      </c>
      <c r="K96" s="169" t="s">
        <v>3196</v>
      </c>
      <c r="L96" s="170" t="s">
        <v>3197</v>
      </c>
      <c r="M96" s="169" t="s">
        <v>3198</v>
      </c>
      <c r="N96" s="169" t="s">
        <v>3199</v>
      </c>
      <c r="O96" s="171"/>
      <c r="P96" s="168" t="s">
        <v>3112</v>
      </c>
      <c r="Q96" s="167">
        <v>1100000.0</v>
      </c>
      <c r="R96" s="173"/>
      <c r="S96" s="173"/>
      <c r="T96" s="173"/>
      <c r="U96" s="173"/>
      <c r="V96" s="202"/>
      <c r="W96" s="171"/>
      <c r="X96" s="171"/>
    </row>
    <row r="97" ht="15.0" customHeight="1">
      <c r="A97" s="127">
        <v>45402.0</v>
      </c>
      <c r="B97" s="181" t="s">
        <v>3200</v>
      </c>
      <c r="C97" s="181" t="s">
        <v>3201</v>
      </c>
      <c r="D97" s="73" t="str">
        <f>IFERROR(VLOOKUP(C97,Stock,3,FALSE),"")</f>
        <v>Honda Freed 08-16 1st gen</v>
      </c>
      <c r="E97" s="56">
        <v>1.0</v>
      </c>
      <c r="F97" s="161">
        <v>1918000.0</v>
      </c>
      <c r="G97" s="162">
        <f t="shared" si="4"/>
        <v>1918000</v>
      </c>
      <c r="H97" s="194"/>
      <c r="I97" s="198">
        <f t="shared" si="5"/>
        <v>1918000</v>
      </c>
      <c r="J97" s="164">
        <f t="shared" si="7"/>
        <v>1918000</v>
      </c>
      <c r="K97" s="56" t="s">
        <v>3202</v>
      </c>
      <c r="L97" s="165" t="s">
        <v>3203</v>
      </c>
      <c r="M97" s="73"/>
      <c r="N97" s="171"/>
      <c r="O97" s="169" t="s">
        <v>3204</v>
      </c>
      <c r="P97" s="168" t="s">
        <v>3112</v>
      </c>
      <c r="Q97" s="167">
        <v>1918000.0</v>
      </c>
      <c r="R97" s="173"/>
      <c r="S97" s="173"/>
      <c r="T97" s="173"/>
      <c r="U97" s="173"/>
      <c r="V97" s="202"/>
      <c r="W97" s="171"/>
      <c r="X97" s="171"/>
    </row>
    <row r="98" ht="15.0" customHeight="1">
      <c r="A98" s="127">
        <v>45402.0</v>
      </c>
      <c r="B98" s="181" t="s">
        <v>3200</v>
      </c>
      <c r="C98" s="56" t="s">
        <v>2954</v>
      </c>
      <c r="D98" s="73" t="str">
        <f>IFERROR(VLOOKUP(C98,Stock,3,FALSE),"")</f>
        <v>Transport</v>
      </c>
      <c r="E98" s="56">
        <v>1.0</v>
      </c>
      <c r="F98" s="161">
        <v>150000.0</v>
      </c>
      <c r="G98" s="162">
        <f t="shared" si="4"/>
        <v>150000</v>
      </c>
      <c r="H98" s="194"/>
      <c r="I98" s="198">
        <f t="shared" si="5"/>
        <v>150000</v>
      </c>
      <c r="J98" s="164">
        <f t="shared" si="7"/>
        <v>150000</v>
      </c>
      <c r="K98" s="56" t="s">
        <v>3202</v>
      </c>
      <c r="L98" s="165" t="s">
        <v>3203</v>
      </c>
      <c r="M98" s="73"/>
      <c r="N98" s="171"/>
      <c r="O98" s="169" t="s">
        <v>3204</v>
      </c>
      <c r="P98" s="168" t="s">
        <v>3112</v>
      </c>
      <c r="Q98" s="167">
        <v>150000.0</v>
      </c>
      <c r="R98" s="173"/>
      <c r="S98" s="173"/>
      <c r="T98" s="173"/>
      <c r="U98" s="173"/>
      <c r="V98" s="202"/>
      <c r="W98" s="171"/>
      <c r="X98" s="171"/>
    </row>
    <row r="99" ht="15.0" customHeight="1">
      <c r="A99" s="127">
        <v>45403.0</v>
      </c>
      <c r="B99" s="181" t="s">
        <v>3205</v>
      </c>
      <c r="C99" s="181" t="s">
        <v>3068</v>
      </c>
      <c r="D99" s="73" t="str">
        <f>IFERROR(VLOOKUP(C99,Stock,3,FALSE),"")</f>
        <v>Honda Brio 10- / Mobilio 11-</v>
      </c>
      <c r="E99" s="56">
        <v>1.0</v>
      </c>
      <c r="F99" s="161">
        <v>1448000.0</v>
      </c>
      <c r="G99" s="162">
        <f t="shared" si="4"/>
        <v>1448000</v>
      </c>
      <c r="H99" s="194"/>
      <c r="I99" s="198">
        <f t="shared" si="5"/>
        <v>1448000</v>
      </c>
      <c r="J99" s="164">
        <f t="shared" si="7"/>
        <v>1448000</v>
      </c>
      <c r="K99" s="56" t="s">
        <v>3206</v>
      </c>
      <c r="L99" s="165" t="s">
        <v>3207</v>
      </c>
      <c r="M99" s="56" t="s">
        <v>3208</v>
      </c>
      <c r="N99" s="169" t="s">
        <v>3209</v>
      </c>
      <c r="O99" s="171"/>
      <c r="P99" s="168" t="s">
        <v>3112</v>
      </c>
      <c r="Q99" s="173"/>
      <c r="R99" s="167">
        <v>1448000.0</v>
      </c>
      <c r="S99" s="173"/>
      <c r="T99" s="173"/>
      <c r="U99" s="173"/>
      <c r="V99" s="202"/>
      <c r="W99" s="171"/>
      <c r="X99" s="171"/>
    </row>
    <row r="100" ht="15.0" customHeight="1">
      <c r="A100" s="127">
        <v>45403.0</v>
      </c>
      <c r="B100" s="181" t="s">
        <v>3210</v>
      </c>
      <c r="C100" s="56" t="s">
        <v>3099</v>
      </c>
      <c r="D100" s="73" t="str">
        <f>IFERROR(VLOOKUP(C100,Stock,3,FALSE),"")</f>
        <v>Toyota Calya / Sigra 16-</v>
      </c>
      <c r="E100" s="56">
        <v>1.0</v>
      </c>
      <c r="F100" s="161">
        <v>1149000.0</v>
      </c>
      <c r="G100" s="162">
        <f t="shared" si="4"/>
        <v>1149000</v>
      </c>
      <c r="H100" s="201">
        <v>49000.0</v>
      </c>
      <c r="I100" s="162">
        <f t="shared" si="5"/>
        <v>1100000</v>
      </c>
      <c r="J100" s="164">
        <f t="shared" si="7"/>
        <v>1100000</v>
      </c>
      <c r="K100" s="56" t="s">
        <v>3211</v>
      </c>
      <c r="L100" s="165" t="s">
        <v>3212</v>
      </c>
      <c r="M100" s="73"/>
      <c r="N100" s="171"/>
      <c r="O100" s="169" t="s">
        <v>3213</v>
      </c>
      <c r="P100" s="168" t="s">
        <v>3112</v>
      </c>
      <c r="Q100" s="167">
        <v>200000.0</v>
      </c>
      <c r="R100" s="167">
        <v>1000000.0</v>
      </c>
      <c r="S100" s="173"/>
      <c r="T100" s="173"/>
      <c r="U100" s="173"/>
      <c r="V100" s="202"/>
      <c r="W100" s="171"/>
      <c r="X100" s="171"/>
    </row>
    <row r="101" ht="15.0" customHeight="1">
      <c r="A101" s="127">
        <v>45403.0</v>
      </c>
      <c r="B101" s="181" t="s">
        <v>3214</v>
      </c>
      <c r="C101" s="181" t="s">
        <v>3099</v>
      </c>
      <c r="D101" s="73" t="str">
        <f>IFERROR(VLOOKUP(C101,Stock,3,FALSE),"")</f>
        <v>Toyota Calya / Sigra 16-</v>
      </c>
      <c r="E101" s="56">
        <v>1.0</v>
      </c>
      <c r="F101" s="161">
        <v>1149000.0</v>
      </c>
      <c r="G101" s="162">
        <f t="shared" si="4"/>
        <v>1149000</v>
      </c>
      <c r="H101" s="194"/>
      <c r="I101" s="162">
        <f t="shared" si="5"/>
        <v>1149000</v>
      </c>
      <c r="J101" s="164">
        <f t="shared" si="7"/>
        <v>1149000</v>
      </c>
      <c r="K101" s="169" t="s">
        <v>3215</v>
      </c>
      <c r="L101" s="170" t="s">
        <v>3216</v>
      </c>
      <c r="M101" s="171"/>
      <c r="N101" s="171"/>
      <c r="O101" s="171"/>
      <c r="P101" s="168" t="s">
        <v>3112</v>
      </c>
      <c r="Q101" s="167">
        <v>1250000.0</v>
      </c>
      <c r="R101" s="173"/>
      <c r="S101" s="173"/>
      <c r="T101" s="173"/>
      <c r="U101" s="173"/>
      <c r="V101" s="202"/>
      <c r="W101" s="171"/>
      <c r="X101" s="171"/>
    </row>
    <row r="102" ht="15.0" customHeight="1">
      <c r="A102" s="127">
        <v>45404.0</v>
      </c>
      <c r="B102" s="181" t="s">
        <v>3217</v>
      </c>
      <c r="C102" s="56" t="s">
        <v>2936</v>
      </c>
      <c r="D102" s="73" t="str">
        <f>IFERROR(VLOOKUP(C102,Stock,3,FALSE),"")</f>
        <v>Toyota Calya / Sigra 16-</v>
      </c>
      <c r="E102" s="56">
        <v>1.0</v>
      </c>
      <c r="F102" s="161">
        <v>948000.0</v>
      </c>
      <c r="G102" s="162">
        <f t="shared" si="4"/>
        <v>948000</v>
      </c>
      <c r="H102" s="194"/>
      <c r="I102" s="162">
        <f t="shared" si="5"/>
        <v>948000</v>
      </c>
      <c r="J102" s="164">
        <f t="shared" si="7"/>
        <v>948000</v>
      </c>
      <c r="K102" s="73"/>
      <c r="L102" s="165" t="s">
        <v>3218</v>
      </c>
      <c r="M102" s="73"/>
      <c r="N102" s="171"/>
      <c r="O102" s="171"/>
      <c r="P102" s="168" t="s">
        <v>3112</v>
      </c>
      <c r="Q102" s="167">
        <v>1250000.0</v>
      </c>
      <c r="R102" s="173"/>
      <c r="S102" s="173"/>
      <c r="T102" s="173"/>
      <c r="U102" s="173"/>
      <c r="V102" s="202"/>
      <c r="W102" s="171"/>
      <c r="X102" s="171"/>
    </row>
    <row r="103" ht="15.0" customHeight="1">
      <c r="A103" s="127">
        <v>45404.0</v>
      </c>
      <c r="B103" s="181" t="s">
        <v>3217</v>
      </c>
      <c r="C103" s="56" t="s">
        <v>2954</v>
      </c>
      <c r="D103" s="73" t="str">
        <f>IFERROR(VLOOKUP(C103,Stock,3,FALSE),"")</f>
        <v>Transport</v>
      </c>
      <c r="E103" s="56">
        <v>1.0</v>
      </c>
      <c r="F103" s="161">
        <v>300000.0</v>
      </c>
      <c r="G103" s="162">
        <f t="shared" si="4"/>
        <v>300000</v>
      </c>
      <c r="H103" s="194"/>
      <c r="I103" s="162">
        <f t="shared" si="5"/>
        <v>300000</v>
      </c>
      <c r="J103" s="164">
        <f t="shared" si="7"/>
        <v>300000</v>
      </c>
      <c r="K103" s="73"/>
      <c r="L103" s="165" t="s">
        <v>3218</v>
      </c>
      <c r="M103" s="73"/>
      <c r="N103" s="171"/>
      <c r="O103" s="171"/>
      <c r="P103" s="168" t="s">
        <v>3112</v>
      </c>
      <c r="Q103" s="173"/>
      <c r="R103" s="173"/>
      <c r="S103" s="173"/>
      <c r="T103" s="173"/>
      <c r="U103" s="173"/>
      <c r="V103" s="202"/>
      <c r="W103" s="171"/>
      <c r="X103" s="171"/>
    </row>
    <row r="104" ht="15.0" customHeight="1">
      <c r="A104" s="127">
        <v>45404.0</v>
      </c>
      <c r="B104" s="181" t="s">
        <v>3219</v>
      </c>
      <c r="C104" s="56" t="s">
        <v>3099</v>
      </c>
      <c r="D104" s="73" t="str">
        <f>IFERROR(VLOOKUP(C104,Stock,3,FALSE),"")</f>
        <v>Toyota Calya / Sigra 16-</v>
      </c>
      <c r="E104" s="56">
        <v>1.0</v>
      </c>
      <c r="F104" s="161">
        <v>1149000.0</v>
      </c>
      <c r="G104" s="162">
        <f t="shared" si="4"/>
        <v>1149000</v>
      </c>
      <c r="H104" s="194"/>
      <c r="I104" s="162">
        <f t="shared" si="5"/>
        <v>1149000</v>
      </c>
      <c r="J104" s="164">
        <f t="shared" si="7"/>
        <v>1149000</v>
      </c>
      <c r="K104" s="169" t="s">
        <v>3220</v>
      </c>
      <c r="L104" s="165" t="s">
        <v>3221</v>
      </c>
      <c r="M104" s="73"/>
      <c r="N104" s="171"/>
      <c r="O104" s="171"/>
      <c r="P104" s="168" t="s">
        <v>3054</v>
      </c>
      <c r="Q104" s="167">
        <v>1220000.0</v>
      </c>
      <c r="R104" s="173"/>
      <c r="S104" s="173"/>
      <c r="T104" s="173"/>
      <c r="U104" s="173"/>
      <c r="V104" s="202"/>
      <c r="W104" s="171"/>
      <c r="X104" s="171"/>
    </row>
    <row r="105" ht="15.0" customHeight="1">
      <c r="A105" s="127">
        <v>45404.0</v>
      </c>
      <c r="B105" s="181" t="s">
        <v>3219</v>
      </c>
      <c r="C105" s="56" t="s">
        <v>2954</v>
      </c>
      <c r="D105" s="73" t="str">
        <f>IFERROR(VLOOKUP(C105,Stock,3,FALSE),"")</f>
        <v>Transport</v>
      </c>
      <c r="E105" s="56">
        <v>1.0</v>
      </c>
      <c r="F105" s="161">
        <v>70000.0</v>
      </c>
      <c r="G105" s="162">
        <f t="shared" si="4"/>
        <v>70000</v>
      </c>
      <c r="H105" s="194"/>
      <c r="I105" s="162">
        <f t="shared" si="5"/>
        <v>70000</v>
      </c>
      <c r="J105" s="164">
        <f t="shared" si="7"/>
        <v>70000</v>
      </c>
      <c r="K105" s="169" t="s">
        <v>3220</v>
      </c>
      <c r="L105" s="165" t="s">
        <v>3221</v>
      </c>
      <c r="M105" s="171"/>
      <c r="N105" s="171"/>
      <c r="O105" s="171"/>
      <c r="P105" s="168" t="s">
        <v>3054</v>
      </c>
      <c r="Q105" s="173"/>
      <c r="R105" s="173"/>
      <c r="S105" s="173"/>
      <c r="T105" s="173"/>
      <c r="U105" s="173"/>
      <c r="V105" s="202"/>
      <c r="W105" s="171"/>
      <c r="X105" s="171"/>
    </row>
    <row r="106" ht="15.0" customHeight="1">
      <c r="A106" s="127">
        <v>45405.0</v>
      </c>
      <c r="B106" s="181" t="s">
        <v>3222</v>
      </c>
      <c r="C106" s="56" t="s">
        <v>3223</v>
      </c>
      <c r="D106" s="73" t="str">
        <f>IFERROR(VLOOKUP(C106,Stock,3,FALSE),"")</f>
        <v>Mitsubishi Strada Triton 08-15</v>
      </c>
      <c r="E106" s="56">
        <v>1.0</v>
      </c>
      <c r="F106" s="161">
        <v>1151000.0</v>
      </c>
      <c r="G106" s="162">
        <f t="shared" si="4"/>
        <v>1151000</v>
      </c>
      <c r="H106" s="194"/>
      <c r="I106" s="162">
        <f t="shared" si="5"/>
        <v>1151000</v>
      </c>
      <c r="J106" s="164">
        <f t="shared" si="7"/>
        <v>1151000</v>
      </c>
      <c r="K106" s="56" t="s">
        <v>3224</v>
      </c>
      <c r="L106" s="165" t="s">
        <v>3225</v>
      </c>
      <c r="M106" s="73"/>
      <c r="N106" s="171"/>
      <c r="O106" s="169" t="s">
        <v>3226</v>
      </c>
      <c r="P106" s="166" t="s">
        <v>2922</v>
      </c>
      <c r="Q106" s="173"/>
      <c r="R106" s="173"/>
      <c r="S106" s="161">
        <v>1151000.0</v>
      </c>
      <c r="T106" s="173"/>
      <c r="U106" s="173"/>
      <c r="V106" s="202"/>
      <c r="W106" s="171"/>
      <c r="X106" s="171"/>
    </row>
    <row r="107" ht="15.0" customHeight="1">
      <c r="A107" s="127">
        <v>45405.0</v>
      </c>
      <c r="B107" s="181" t="s">
        <v>3222</v>
      </c>
      <c r="C107" s="56" t="s">
        <v>3227</v>
      </c>
      <c r="D107" s="73" t="str">
        <f>IFERROR(VLOOKUP(C107,Stock,3,FALSE),"")</f>
        <v>Mitsubishi Strada Triton 08-15</v>
      </c>
      <c r="E107" s="56">
        <v>1.0</v>
      </c>
      <c r="F107" s="161">
        <v>858000.0</v>
      </c>
      <c r="G107" s="162">
        <f t="shared" si="4"/>
        <v>858000</v>
      </c>
      <c r="H107" s="194"/>
      <c r="I107" s="162">
        <f t="shared" si="5"/>
        <v>858000</v>
      </c>
      <c r="J107" s="164">
        <f t="shared" si="7"/>
        <v>858000</v>
      </c>
      <c r="K107" s="56" t="s">
        <v>3224</v>
      </c>
      <c r="L107" s="165" t="s">
        <v>3225</v>
      </c>
      <c r="M107" s="73"/>
      <c r="N107" s="171"/>
      <c r="O107" s="169" t="s">
        <v>3226</v>
      </c>
      <c r="P107" s="166" t="s">
        <v>2922</v>
      </c>
      <c r="Q107" s="173"/>
      <c r="R107" s="173"/>
      <c r="S107" s="161">
        <v>858000.0</v>
      </c>
      <c r="T107" s="173"/>
      <c r="U107" s="173"/>
      <c r="V107" s="202"/>
      <c r="W107" s="171"/>
      <c r="X107" s="171"/>
    </row>
    <row r="108" ht="15.0" customHeight="1">
      <c r="A108" s="127">
        <v>45405.0</v>
      </c>
      <c r="B108" s="181" t="s">
        <v>3222</v>
      </c>
      <c r="C108" s="56" t="s">
        <v>3059</v>
      </c>
      <c r="D108" s="73" t="str">
        <f>IFERROR(VLOOKUP(C108,Stock,3,FALSE),"")</f>
        <v>Sealant Polyurethane XYG Tube</v>
      </c>
      <c r="E108" s="56">
        <v>2.0</v>
      </c>
      <c r="F108" s="161">
        <v>75000.0</v>
      </c>
      <c r="G108" s="162">
        <f t="shared" si="4"/>
        <v>150000</v>
      </c>
      <c r="H108" s="194"/>
      <c r="I108" s="162">
        <f t="shared" si="5"/>
        <v>150000</v>
      </c>
      <c r="J108" s="164">
        <f t="shared" si="7"/>
        <v>150000</v>
      </c>
      <c r="K108" s="56" t="s">
        <v>3224</v>
      </c>
      <c r="L108" s="165" t="s">
        <v>3225</v>
      </c>
      <c r="M108" s="56"/>
      <c r="N108" s="169"/>
      <c r="O108" s="169" t="s">
        <v>3226</v>
      </c>
      <c r="P108" s="166" t="s">
        <v>2922</v>
      </c>
      <c r="Q108" s="173"/>
      <c r="R108" s="167"/>
      <c r="S108" s="161">
        <v>150000.0</v>
      </c>
      <c r="T108" s="173"/>
      <c r="U108" s="173"/>
      <c r="V108" s="202"/>
      <c r="W108" s="171"/>
      <c r="X108" s="171"/>
    </row>
    <row r="109" ht="15.0" customHeight="1">
      <c r="A109" s="127">
        <v>45405.0</v>
      </c>
      <c r="B109" s="181" t="s">
        <v>3222</v>
      </c>
      <c r="C109" s="56" t="s">
        <v>2934</v>
      </c>
      <c r="D109" s="73" t="str">
        <f>IFERROR(VLOOKUP(C109,Stock,3,FALSE),"")</f>
        <v>Peti Kayu</v>
      </c>
      <c r="E109" s="56">
        <v>1.0</v>
      </c>
      <c r="F109" s="161">
        <v>160000.0</v>
      </c>
      <c r="G109" s="162">
        <f t="shared" si="4"/>
        <v>160000</v>
      </c>
      <c r="H109" s="194"/>
      <c r="I109" s="162">
        <f t="shared" si="5"/>
        <v>160000</v>
      </c>
      <c r="J109" s="164">
        <f t="shared" si="7"/>
        <v>160000</v>
      </c>
      <c r="K109" s="56" t="s">
        <v>3224</v>
      </c>
      <c r="L109" s="165" t="s">
        <v>3225</v>
      </c>
      <c r="M109" s="56"/>
      <c r="N109" s="169"/>
      <c r="O109" s="169" t="s">
        <v>3226</v>
      </c>
      <c r="P109" s="166" t="s">
        <v>2922</v>
      </c>
      <c r="Q109" s="173"/>
      <c r="R109" s="167"/>
      <c r="S109" s="161">
        <v>160000.0</v>
      </c>
      <c r="T109" s="173"/>
      <c r="U109" s="173"/>
      <c r="V109" s="202"/>
      <c r="W109" s="171"/>
      <c r="X109" s="171"/>
    </row>
    <row r="110" ht="15.0" customHeight="1">
      <c r="A110" s="127">
        <v>45405.0</v>
      </c>
      <c r="B110" s="181" t="s">
        <v>3228</v>
      </c>
      <c r="C110" s="56" t="s">
        <v>3229</v>
      </c>
      <c r="D110" s="73" t="str">
        <f>IFERROR(VLOOKUP(C110,Stock,3,FALSE),"")</f>
        <v>Nissan Evalia 10- X11M</v>
      </c>
      <c r="E110" s="56">
        <v>1.0</v>
      </c>
      <c r="F110" s="161">
        <v>1232000.0</v>
      </c>
      <c r="G110" s="162">
        <f t="shared" si="4"/>
        <v>1232000</v>
      </c>
      <c r="H110" s="194"/>
      <c r="I110" s="162">
        <f t="shared" si="5"/>
        <v>1232000</v>
      </c>
      <c r="J110" s="164">
        <f t="shared" si="7"/>
        <v>1232000</v>
      </c>
      <c r="K110" s="56" t="s">
        <v>3230</v>
      </c>
      <c r="L110" s="165" t="s">
        <v>3231</v>
      </c>
      <c r="M110" s="56" t="s">
        <v>3232</v>
      </c>
      <c r="N110" s="169" t="s">
        <v>3233</v>
      </c>
      <c r="O110" s="171"/>
      <c r="P110" s="168" t="s">
        <v>3112</v>
      </c>
      <c r="Q110" s="173"/>
      <c r="R110" s="167">
        <v>1232000.0</v>
      </c>
      <c r="S110" s="173"/>
      <c r="T110" s="173"/>
      <c r="U110" s="173"/>
      <c r="V110" s="202"/>
      <c r="W110" s="171"/>
      <c r="X110" s="171"/>
    </row>
    <row r="111" ht="15.0" customHeight="1">
      <c r="A111" s="127">
        <v>45405.0</v>
      </c>
      <c r="B111" s="181" t="s">
        <v>3234</v>
      </c>
      <c r="C111" s="56" t="s">
        <v>3235</v>
      </c>
      <c r="D111" s="73" t="str">
        <f>IFERROR(VLOOKUP(C111,Stock,3,FALSE),"")</f>
        <v>Toyota Vios 02-07 XP40 1st Gen</v>
      </c>
      <c r="E111" s="56">
        <v>1.0</v>
      </c>
      <c r="F111" s="161">
        <v>1548000.0</v>
      </c>
      <c r="G111" s="162">
        <f t="shared" si="4"/>
        <v>1548000</v>
      </c>
      <c r="H111" s="194"/>
      <c r="I111" s="162">
        <f t="shared" si="5"/>
        <v>1548000</v>
      </c>
      <c r="J111" s="164">
        <f t="shared" si="7"/>
        <v>1548000</v>
      </c>
      <c r="K111" s="165" t="s">
        <v>3236</v>
      </c>
      <c r="L111" s="165" t="s">
        <v>3237</v>
      </c>
      <c r="M111" s="56" t="s">
        <v>3238</v>
      </c>
      <c r="N111" s="169" t="s">
        <v>3239</v>
      </c>
      <c r="O111" s="171"/>
      <c r="P111" s="168" t="s">
        <v>3112</v>
      </c>
      <c r="Q111" s="173"/>
      <c r="R111" s="167">
        <v>1548000.0</v>
      </c>
      <c r="S111" s="173"/>
      <c r="T111" s="173"/>
      <c r="U111" s="173"/>
      <c r="V111" s="202"/>
      <c r="W111" s="171"/>
      <c r="X111" s="171"/>
    </row>
    <row r="112" ht="15.0" customHeight="1">
      <c r="A112" s="127">
        <v>45405.0</v>
      </c>
      <c r="B112" s="181" t="s">
        <v>3240</v>
      </c>
      <c r="C112" s="56" t="s">
        <v>3186</v>
      </c>
      <c r="D112" s="73" t="str">
        <f>IFERROR(VLOOKUP(C112,Stock,3,FALSE),"")</f>
        <v>Daihatsu Gran Max / Luxio 07-</v>
      </c>
      <c r="E112" s="56">
        <v>1.0</v>
      </c>
      <c r="F112" s="161">
        <v>1200000.0</v>
      </c>
      <c r="G112" s="162">
        <f t="shared" si="4"/>
        <v>1200000</v>
      </c>
      <c r="H112" s="194"/>
      <c r="I112" s="162">
        <f t="shared" si="5"/>
        <v>1200000</v>
      </c>
      <c r="J112" s="164">
        <f t="shared" si="7"/>
        <v>1200000</v>
      </c>
      <c r="K112" s="73"/>
      <c r="L112" s="165" t="s">
        <v>3241</v>
      </c>
      <c r="M112" s="73"/>
      <c r="N112" s="171"/>
      <c r="O112" s="171"/>
      <c r="P112" s="168" t="s">
        <v>3112</v>
      </c>
      <c r="Q112" s="167">
        <v>1200000.0</v>
      </c>
      <c r="R112" s="173"/>
      <c r="S112" s="173"/>
      <c r="T112" s="173"/>
      <c r="U112" s="173"/>
      <c r="V112" s="202"/>
      <c r="W112" s="171"/>
      <c r="X112" s="171"/>
    </row>
    <row r="113" ht="15.0" customHeight="1">
      <c r="A113" s="127">
        <v>45406.0</v>
      </c>
      <c r="B113" s="181" t="s">
        <v>3242</v>
      </c>
      <c r="C113" s="56" t="s">
        <v>3243</v>
      </c>
      <c r="D113" s="73" t="str">
        <f>IFERROR(VLOOKUP(C113,Stock,3,FALSE),"")</f>
        <v>Daihatsu Taruna</v>
      </c>
      <c r="E113" s="56">
        <v>1.0</v>
      </c>
      <c r="F113" s="161">
        <v>629000.0</v>
      </c>
      <c r="G113" s="162">
        <f t="shared" si="4"/>
        <v>629000</v>
      </c>
      <c r="H113" s="194"/>
      <c r="I113" s="162">
        <f t="shared" si="5"/>
        <v>629000</v>
      </c>
      <c r="J113" s="164">
        <f t="shared" si="7"/>
        <v>629000</v>
      </c>
      <c r="K113" s="73"/>
      <c r="L113" s="170" t="s">
        <v>3244</v>
      </c>
      <c r="M113" s="171"/>
      <c r="N113" s="171"/>
      <c r="O113" s="171"/>
      <c r="P113" s="168" t="s">
        <v>3112</v>
      </c>
      <c r="Q113" s="167">
        <v>629000.0</v>
      </c>
      <c r="R113" s="173"/>
      <c r="S113" s="173"/>
      <c r="T113" s="173"/>
      <c r="U113" s="173"/>
      <c r="V113" s="202"/>
      <c r="W113" s="171"/>
      <c r="X113" s="171"/>
    </row>
    <row r="114" ht="15.0" customHeight="1">
      <c r="A114" s="127">
        <v>45406.0</v>
      </c>
      <c r="B114" s="181" t="s">
        <v>3242</v>
      </c>
      <c r="C114" s="56" t="s">
        <v>2934</v>
      </c>
      <c r="D114" s="73" t="str">
        <f>IFERROR(VLOOKUP(C114,Stock,3,FALSE),"")</f>
        <v>Peti Kayu</v>
      </c>
      <c r="E114" s="56">
        <v>1.0</v>
      </c>
      <c r="F114" s="161">
        <v>25000.0</v>
      </c>
      <c r="G114" s="162">
        <f t="shared" si="4"/>
        <v>25000</v>
      </c>
      <c r="H114" s="194"/>
      <c r="I114" s="162">
        <f t="shared" si="5"/>
        <v>25000</v>
      </c>
      <c r="J114" s="164">
        <f t="shared" si="7"/>
        <v>25000</v>
      </c>
      <c r="K114" s="73"/>
      <c r="L114" s="165" t="s">
        <v>3245</v>
      </c>
      <c r="M114" s="73"/>
      <c r="N114" s="171"/>
      <c r="O114" s="171"/>
      <c r="P114" s="168" t="s">
        <v>3112</v>
      </c>
      <c r="Q114" s="167">
        <v>25000.0</v>
      </c>
      <c r="R114" s="173"/>
      <c r="S114" s="173"/>
      <c r="T114" s="173"/>
      <c r="U114" s="173"/>
      <c r="V114" s="202"/>
      <c r="W114" s="171"/>
      <c r="X114" s="171"/>
    </row>
    <row r="115" ht="15.0" customHeight="1">
      <c r="A115" s="127">
        <v>45406.0</v>
      </c>
      <c r="B115" s="181" t="s">
        <v>3242</v>
      </c>
      <c r="C115" s="56" t="s">
        <v>2954</v>
      </c>
      <c r="D115" s="73" t="str">
        <f>IFERROR(VLOOKUP(C115,Stock,3,FALSE),"")</f>
        <v>Transport</v>
      </c>
      <c r="E115" s="56">
        <v>1.0</v>
      </c>
      <c r="F115" s="161">
        <v>50000.0</v>
      </c>
      <c r="G115" s="162">
        <f t="shared" si="4"/>
        <v>50000</v>
      </c>
      <c r="H115" s="194"/>
      <c r="I115" s="162">
        <f t="shared" si="5"/>
        <v>50000</v>
      </c>
      <c r="J115" s="164">
        <f t="shared" si="7"/>
        <v>50000</v>
      </c>
      <c r="K115" s="73"/>
      <c r="L115" s="165" t="s">
        <v>3244</v>
      </c>
      <c r="M115" s="73"/>
      <c r="N115" s="171"/>
      <c r="O115" s="171"/>
      <c r="P115" s="168" t="s">
        <v>3112</v>
      </c>
      <c r="Q115" s="167">
        <v>50000.0</v>
      </c>
      <c r="R115" s="173"/>
      <c r="S115" s="173"/>
      <c r="T115" s="173"/>
      <c r="U115" s="173"/>
      <c r="V115" s="202"/>
      <c r="W115" s="171"/>
      <c r="X115" s="171"/>
    </row>
    <row r="116" ht="15.0" customHeight="1">
      <c r="A116" s="127">
        <v>45407.0</v>
      </c>
      <c r="B116" s="181" t="s">
        <v>3246</v>
      </c>
      <c r="C116" s="56" t="s">
        <v>3176</v>
      </c>
      <c r="D116" s="73" t="str">
        <f>IFERROR(VLOOKUP(C116,Stock,3,FALSE),"")</f>
        <v>Toyota Avanza / Xenia 11-15 2nd Gen / 15-21 3rd Gen</v>
      </c>
      <c r="E116" s="56">
        <v>1.0</v>
      </c>
      <c r="F116" s="161">
        <v>900000.0</v>
      </c>
      <c r="G116" s="162">
        <f t="shared" si="4"/>
        <v>900000</v>
      </c>
      <c r="H116" s="194"/>
      <c r="I116" s="162">
        <f t="shared" si="5"/>
        <v>900000</v>
      </c>
      <c r="J116" s="164">
        <f t="shared" si="7"/>
        <v>900000</v>
      </c>
      <c r="K116" s="169" t="s">
        <v>3247</v>
      </c>
      <c r="L116" s="170" t="s">
        <v>3248</v>
      </c>
      <c r="M116" s="169" t="s">
        <v>3249</v>
      </c>
      <c r="N116" s="169" t="s">
        <v>3250</v>
      </c>
      <c r="O116" s="171"/>
      <c r="P116" s="168" t="s">
        <v>3112</v>
      </c>
      <c r="Q116" s="173"/>
      <c r="R116" s="167">
        <v>900000.0</v>
      </c>
      <c r="S116" s="173"/>
      <c r="T116" s="173"/>
      <c r="U116" s="173"/>
      <c r="V116" s="202"/>
      <c r="W116" s="171"/>
      <c r="X116" s="171"/>
    </row>
    <row r="117" ht="15.0" customHeight="1">
      <c r="A117" s="127">
        <v>45407.0</v>
      </c>
      <c r="B117" s="181" t="s">
        <v>3251</v>
      </c>
      <c r="C117" s="56" t="s">
        <v>2565</v>
      </c>
      <c r="D117" s="73" t="str">
        <f>IFERROR(VLOOKUP(C117,Stock,3,FALSE),"")</f>
        <v>Toyota Avanza / Xenia 03-11 1st Gen</v>
      </c>
      <c r="E117" s="56">
        <v>1.0</v>
      </c>
      <c r="F117" s="161">
        <v>1020000.0</v>
      </c>
      <c r="G117" s="162">
        <f t="shared" si="4"/>
        <v>1020000</v>
      </c>
      <c r="H117" s="194"/>
      <c r="I117" s="162">
        <f t="shared" si="5"/>
        <v>1020000</v>
      </c>
      <c r="J117" s="164">
        <f t="shared" si="7"/>
        <v>1020000</v>
      </c>
      <c r="K117" s="56" t="s">
        <v>3252</v>
      </c>
      <c r="L117" s="165" t="s">
        <v>3253</v>
      </c>
      <c r="M117" s="73"/>
      <c r="N117" s="171"/>
      <c r="O117" s="169" t="s">
        <v>3204</v>
      </c>
      <c r="P117" s="168" t="s">
        <v>3112</v>
      </c>
      <c r="Q117" s="167">
        <v>1020000.0</v>
      </c>
      <c r="R117" s="173"/>
      <c r="S117" s="173"/>
      <c r="T117" s="173"/>
      <c r="U117" s="173"/>
      <c r="V117" s="202"/>
      <c r="W117" s="171"/>
      <c r="X117" s="171"/>
    </row>
    <row r="118" ht="15.0" customHeight="1">
      <c r="A118" s="127">
        <v>45407.0</v>
      </c>
      <c r="B118" s="181" t="s">
        <v>3251</v>
      </c>
      <c r="C118" s="56" t="s">
        <v>2954</v>
      </c>
      <c r="D118" s="73" t="str">
        <f>IFERROR(VLOOKUP(C118,Stock,3,FALSE),"")</f>
        <v>Transport</v>
      </c>
      <c r="E118" s="56">
        <v>1.0</v>
      </c>
      <c r="F118" s="161">
        <v>250000.0</v>
      </c>
      <c r="G118" s="162">
        <f t="shared" si="4"/>
        <v>250000</v>
      </c>
      <c r="H118" s="194"/>
      <c r="I118" s="162">
        <f t="shared" si="5"/>
        <v>250000</v>
      </c>
      <c r="J118" s="164">
        <f t="shared" si="7"/>
        <v>250000</v>
      </c>
      <c r="K118" s="56" t="s">
        <v>3252</v>
      </c>
      <c r="L118" s="165" t="s">
        <v>3253</v>
      </c>
      <c r="M118" s="73"/>
      <c r="N118" s="171"/>
      <c r="O118" s="169" t="s">
        <v>3204</v>
      </c>
      <c r="P118" s="168" t="s">
        <v>3112</v>
      </c>
      <c r="Q118" s="167">
        <v>250000.0</v>
      </c>
      <c r="R118" s="173"/>
      <c r="S118" s="173"/>
      <c r="T118" s="173"/>
      <c r="U118" s="173"/>
      <c r="V118" s="202"/>
      <c r="W118" s="171"/>
      <c r="X118" s="171"/>
    </row>
    <row r="119" ht="15.0" customHeight="1">
      <c r="A119" s="127">
        <v>45407.0</v>
      </c>
      <c r="B119" s="181" t="s">
        <v>3254</v>
      </c>
      <c r="C119" s="56" t="s">
        <v>2655</v>
      </c>
      <c r="D119" s="73" t="str">
        <f>IFERROR(VLOOKUP(C119,Stock,3,FALSE),"")</f>
        <v>Ford EcoSport 13- B515</v>
      </c>
      <c r="E119" s="56">
        <v>1.0</v>
      </c>
      <c r="F119" s="161">
        <v>2849000.0</v>
      </c>
      <c r="G119" s="162">
        <f t="shared" si="4"/>
        <v>2849000</v>
      </c>
      <c r="H119" s="194"/>
      <c r="I119" s="162">
        <f t="shared" si="5"/>
        <v>2849000</v>
      </c>
      <c r="J119" s="164">
        <f t="shared" si="7"/>
        <v>2849000</v>
      </c>
      <c r="K119" s="56" t="s">
        <v>3255</v>
      </c>
      <c r="L119" s="165" t="s">
        <v>3256</v>
      </c>
      <c r="M119" s="73"/>
      <c r="N119" s="73"/>
      <c r="O119" s="169" t="s">
        <v>3194</v>
      </c>
      <c r="P119" s="168" t="s">
        <v>3112</v>
      </c>
      <c r="Q119" s="173"/>
      <c r="R119" s="167">
        <v>2849000.0</v>
      </c>
      <c r="S119" s="173"/>
      <c r="T119" s="173"/>
      <c r="U119" s="173"/>
      <c r="V119" s="202"/>
      <c r="W119" s="171"/>
      <c r="X119" s="171"/>
    </row>
    <row r="120" ht="15.0" customHeight="1">
      <c r="A120" s="127">
        <v>45407.0</v>
      </c>
      <c r="B120" s="181" t="s">
        <v>3254</v>
      </c>
      <c r="C120" s="56" t="s">
        <v>2954</v>
      </c>
      <c r="D120" s="73" t="str">
        <f>IFERROR(VLOOKUP(C120,Stock,3,FALSE),"")</f>
        <v>Transport</v>
      </c>
      <c r="E120" s="56">
        <v>1.0</v>
      </c>
      <c r="F120" s="161">
        <v>200000.0</v>
      </c>
      <c r="G120" s="162">
        <f t="shared" si="4"/>
        <v>200000</v>
      </c>
      <c r="H120" s="194"/>
      <c r="I120" s="162">
        <f t="shared" si="5"/>
        <v>200000</v>
      </c>
      <c r="J120" s="164">
        <f t="shared" si="7"/>
        <v>200000</v>
      </c>
      <c r="K120" s="56" t="s">
        <v>3255</v>
      </c>
      <c r="L120" s="165" t="s">
        <v>3256</v>
      </c>
      <c r="M120" s="171"/>
      <c r="N120" s="171"/>
      <c r="O120" s="169" t="s">
        <v>3194</v>
      </c>
      <c r="P120" s="168" t="s">
        <v>3112</v>
      </c>
      <c r="Q120" s="173"/>
      <c r="R120" s="167">
        <v>200000.0</v>
      </c>
      <c r="S120" s="173"/>
      <c r="T120" s="173"/>
      <c r="U120" s="173"/>
      <c r="V120" s="202"/>
      <c r="W120" s="171"/>
      <c r="X120" s="171"/>
    </row>
    <row r="121" ht="15.0" customHeight="1">
      <c r="A121" s="127">
        <v>45408.0</v>
      </c>
      <c r="B121" s="181" t="s">
        <v>3257</v>
      </c>
      <c r="C121" s="56" t="s">
        <v>3045</v>
      </c>
      <c r="D121" s="73" t="str">
        <f>IFERROR(VLOOKUP(C121,Stock,3,FALSE),"")</f>
        <v>Pemasangan Kaca Mobil Depan</v>
      </c>
      <c r="E121" s="56">
        <v>1.0</v>
      </c>
      <c r="F121" s="161">
        <v>500000.0</v>
      </c>
      <c r="G121" s="162">
        <f t="shared" si="4"/>
        <v>500000</v>
      </c>
      <c r="H121" s="194"/>
      <c r="I121" s="162">
        <f t="shared" si="5"/>
        <v>500000</v>
      </c>
      <c r="J121" s="164">
        <f t="shared" si="7"/>
        <v>500000</v>
      </c>
      <c r="K121" s="56" t="s">
        <v>3258</v>
      </c>
      <c r="L121" s="165" t="s">
        <v>3259</v>
      </c>
      <c r="M121" s="73"/>
      <c r="N121" s="169" t="s">
        <v>3260</v>
      </c>
      <c r="O121" s="169" t="s">
        <v>3184</v>
      </c>
      <c r="P121" s="168" t="s">
        <v>2922</v>
      </c>
      <c r="Q121" s="173"/>
      <c r="R121" s="167">
        <v>500000.0</v>
      </c>
      <c r="S121" s="173"/>
      <c r="T121" s="173"/>
      <c r="U121" s="173"/>
      <c r="V121" s="202"/>
      <c r="W121" s="171"/>
      <c r="X121" s="171"/>
    </row>
    <row r="122" ht="15.0" customHeight="1">
      <c r="A122" s="127">
        <v>45408.0</v>
      </c>
      <c r="B122" s="181" t="s">
        <v>3261</v>
      </c>
      <c r="C122" s="56" t="s">
        <v>2926</v>
      </c>
      <c r="D122" s="73" t="str">
        <f>IFERROR(VLOOKUP(C122,Stock,3,FALSE),"")</f>
        <v>Honda Jazz 01-07 1st Gen</v>
      </c>
      <c r="E122" s="56">
        <v>1.0</v>
      </c>
      <c r="F122" s="161">
        <v>1648000.0</v>
      </c>
      <c r="G122" s="162">
        <f t="shared" si="4"/>
        <v>1648000</v>
      </c>
      <c r="H122" s="201">
        <v>48000.0</v>
      </c>
      <c r="I122" s="162">
        <f t="shared" si="5"/>
        <v>1600000</v>
      </c>
      <c r="J122" s="164">
        <f t="shared" si="7"/>
        <v>1600000</v>
      </c>
      <c r="K122" s="56" t="s">
        <v>3262</v>
      </c>
      <c r="L122" s="165" t="s">
        <v>3263</v>
      </c>
      <c r="M122" s="73"/>
      <c r="N122" s="171"/>
      <c r="O122" s="171"/>
      <c r="P122" s="168" t="s">
        <v>3112</v>
      </c>
      <c r="Q122" s="167">
        <v>1600000.0</v>
      </c>
      <c r="R122" s="173"/>
      <c r="S122" s="173"/>
      <c r="T122" s="173"/>
      <c r="U122" s="173"/>
      <c r="V122" s="202"/>
      <c r="W122" s="171"/>
      <c r="X122" s="171"/>
    </row>
    <row r="123" ht="15.0" customHeight="1">
      <c r="A123" s="127">
        <v>45408.0</v>
      </c>
      <c r="B123" s="181" t="s">
        <v>3264</v>
      </c>
      <c r="C123" s="56" t="s">
        <v>3186</v>
      </c>
      <c r="D123" s="73" t="str">
        <f>IFERROR(VLOOKUP(C123,Stock,3,FALSE),"")</f>
        <v>Daihatsu Gran Max / Luxio 07-</v>
      </c>
      <c r="E123" s="56">
        <v>1.0</v>
      </c>
      <c r="F123" s="161">
        <v>1098000.0</v>
      </c>
      <c r="G123" s="162">
        <f t="shared" si="4"/>
        <v>1098000</v>
      </c>
      <c r="H123" s="194"/>
      <c r="I123" s="162">
        <f t="shared" si="5"/>
        <v>1098000</v>
      </c>
      <c r="J123" s="164">
        <f t="shared" si="7"/>
        <v>1098000</v>
      </c>
      <c r="K123" s="169" t="s">
        <v>3265</v>
      </c>
      <c r="L123" s="170" t="s">
        <v>3266</v>
      </c>
      <c r="M123" s="169" t="s">
        <v>3267</v>
      </c>
      <c r="N123" s="169" t="s">
        <v>3268</v>
      </c>
      <c r="O123" s="171"/>
      <c r="P123" s="168" t="s">
        <v>3011</v>
      </c>
      <c r="Q123" s="173"/>
      <c r="R123" s="167">
        <v>1098000.0</v>
      </c>
      <c r="S123" s="173"/>
      <c r="T123" s="173"/>
      <c r="U123" s="173"/>
      <c r="V123" s="202"/>
      <c r="W123" s="171"/>
      <c r="X123" s="171"/>
    </row>
    <row r="124" ht="15.0" customHeight="1">
      <c r="A124" s="127">
        <v>45408.0</v>
      </c>
      <c r="B124" s="181" t="s">
        <v>3269</v>
      </c>
      <c r="C124" s="181" t="s">
        <v>2748</v>
      </c>
      <c r="D124" s="73" t="str">
        <f>IFERROR(VLOOKUP(C124,Stock,3,FALSE),"")</f>
        <v>Mazda CX-7 07-</v>
      </c>
      <c r="E124" s="56">
        <v>1.0</v>
      </c>
      <c r="F124" s="161">
        <v>4127000.0</v>
      </c>
      <c r="G124" s="162">
        <f t="shared" si="4"/>
        <v>4127000</v>
      </c>
      <c r="H124" s="194"/>
      <c r="I124" s="162">
        <f t="shared" si="5"/>
        <v>4127000</v>
      </c>
      <c r="J124" s="164">
        <f t="shared" si="7"/>
        <v>4127000</v>
      </c>
      <c r="K124" s="56" t="s">
        <v>3270</v>
      </c>
      <c r="L124" s="165" t="s">
        <v>3271</v>
      </c>
      <c r="M124" s="56" t="s">
        <v>3272</v>
      </c>
      <c r="N124" s="171"/>
      <c r="O124" s="171"/>
      <c r="P124" s="168" t="s">
        <v>3112</v>
      </c>
      <c r="Q124" s="173"/>
      <c r="R124" s="167">
        <v>4127000.0</v>
      </c>
      <c r="S124" s="173"/>
      <c r="T124" s="173"/>
      <c r="U124" s="173"/>
      <c r="V124" s="202"/>
      <c r="W124" s="171"/>
      <c r="X124" s="171"/>
    </row>
    <row r="125" ht="15.0" customHeight="1">
      <c r="A125" s="127">
        <v>45408.0</v>
      </c>
      <c r="B125" s="181" t="s">
        <v>3269</v>
      </c>
      <c r="C125" s="181" t="s">
        <v>3273</v>
      </c>
      <c r="D125" s="73" t="str">
        <f>IFERROR(VLOOKUP(C125,Stock,3,FALSE),"")</f>
        <v>Pemasangan Kaca Mobil Belakang</v>
      </c>
      <c r="E125" s="56">
        <v>1.0</v>
      </c>
      <c r="F125" s="161">
        <v>300000.0</v>
      </c>
      <c r="G125" s="162">
        <f t="shared" si="4"/>
        <v>300000</v>
      </c>
      <c r="H125" s="194"/>
      <c r="I125" s="162">
        <f t="shared" si="5"/>
        <v>300000</v>
      </c>
      <c r="J125" s="164">
        <f t="shared" si="7"/>
        <v>300000</v>
      </c>
      <c r="K125" s="56" t="s">
        <v>3270</v>
      </c>
      <c r="L125" s="165" t="s">
        <v>3271</v>
      </c>
      <c r="M125" s="56" t="s">
        <v>3272</v>
      </c>
      <c r="N125" s="171"/>
      <c r="O125" s="171"/>
      <c r="P125" s="168" t="s">
        <v>3112</v>
      </c>
      <c r="Q125" s="173"/>
      <c r="R125" s="167">
        <v>300000.0</v>
      </c>
      <c r="S125" s="173"/>
      <c r="T125" s="173"/>
      <c r="U125" s="173"/>
      <c r="V125" s="202"/>
      <c r="W125" s="171"/>
      <c r="X125" s="171"/>
    </row>
    <row r="126" ht="15.0" customHeight="1">
      <c r="A126" s="127">
        <v>45408.0</v>
      </c>
      <c r="B126" s="181" t="s">
        <v>3269</v>
      </c>
      <c r="C126" s="56" t="s">
        <v>2934</v>
      </c>
      <c r="D126" s="73" t="str">
        <f>IFERROR(VLOOKUP(C126,Stock,3,FALSE),"")</f>
        <v>Peti Kayu</v>
      </c>
      <c r="E126" s="56">
        <v>1.0</v>
      </c>
      <c r="F126" s="161">
        <v>160000.0</v>
      </c>
      <c r="G126" s="162">
        <f t="shared" si="4"/>
        <v>160000</v>
      </c>
      <c r="H126" s="194"/>
      <c r="I126" s="162">
        <f t="shared" si="5"/>
        <v>160000</v>
      </c>
      <c r="J126" s="164">
        <f t="shared" si="7"/>
        <v>160000</v>
      </c>
      <c r="K126" s="56" t="s">
        <v>3270</v>
      </c>
      <c r="L126" s="165" t="s">
        <v>3271</v>
      </c>
      <c r="M126" s="56" t="s">
        <v>3272</v>
      </c>
      <c r="N126" s="171"/>
      <c r="O126" s="171"/>
      <c r="P126" s="168" t="s">
        <v>3112</v>
      </c>
      <c r="Q126" s="173"/>
      <c r="R126" s="167">
        <v>160000.0</v>
      </c>
      <c r="S126" s="173"/>
      <c r="T126" s="173"/>
      <c r="U126" s="173"/>
      <c r="V126" s="202"/>
      <c r="W126" s="171"/>
      <c r="X126" s="171"/>
    </row>
    <row r="127" ht="15.0" customHeight="1">
      <c r="A127" s="127">
        <v>45408.0</v>
      </c>
      <c r="B127" s="181" t="s">
        <v>3269</v>
      </c>
      <c r="C127" s="181" t="s">
        <v>2954</v>
      </c>
      <c r="D127" s="73" t="str">
        <f>IFERROR(VLOOKUP(C127,Stock,3,FALSE),"")</f>
        <v>Transport</v>
      </c>
      <c r="E127" s="56">
        <v>1.0</v>
      </c>
      <c r="F127" s="161">
        <v>240000.0</v>
      </c>
      <c r="G127" s="162">
        <f t="shared" si="4"/>
        <v>240000</v>
      </c>
      <c r="H127" s="194"/>
      <c r="I127" s="162">
        <f t="shared" si="5"/>
        <v>240000</v>
      </c>
      <c r="J127" s="164">
        <f t="shared" si="7"/>
        <v>240000</v>
      </c>
      <c r="K127" s="56" t="s">
        <v>3270</v>
      </c>
      <c r="L127" s="165" t="s">
        <v>3271</v>
      </c>
      <c r="M127" s="56" t="s">
        <v>3272</v>
      </c>
      <c r="N127" s="171"/>
      <c r="O127" s="171"/>
      <c r="P127" s="168" t="s">
        <v>3112</v>
      </c>
      <c r="Q127" s="173"/>
      <c r="R127" s="167">
        <v>240000.0</v>
      </c>
      <c r="S127" s="173"/>
      <c r="T127" s="173"/>
      <c r="U127" s="173"/>
      <c r="V127" s="202"/>
      <c r="W127" s="171"/>
      <c r="X127" s="171"/>
    </row>
    <row r="128" ht="15.0" customHeight="1">
      <c r="A128" s="127">
        <v>45409.0</v>
      </c>
      <c r="B128" s="181" t="s">
        <v>3274</v>
      </c>
      <c r="C128" s="56" t="s">
        <v>3085</v>
      </c>
      <c r="D128" s="73" t="str">
        <f>IFERROR(VLOOKUP(C128,Stock,3,FALSE),"")</f>
        <v>Honda Jazz 07-13 2nd Gen</v>
      </c>
      <c r="E128" s="56">
        <v>1.0</v>
      </c>
      <c r="F128" s="161">
        <v>1437000.0</v>
      </c>
      <c r="G128" s="162">
        <f t="shared" si="4"/>
        <v>1437000</v>
      </c>
      <c r="H128" s="194"/>
      <c r="I128" s="162">
        <f t="shared" si="5"/>
        <v>1437000</v>
      </c>
      <c r="J128" s="164">
        <f t="shared" si="7"/>
        <v>1437000</v>
      </c>
      <c r="K128" s="169" t="s">
        <v>3275</v>
      </c>
      <c r="L128" s="170" t="s">
        <v>3276</v>
      </c>
      <c r="M128" s="171"/>
      <c r="N128" s="169" t="s">
        <v>3277</v>
      </c>
      <c r="O128" s="171"/>
      <c r="P128" s="168" t="s">
        <v>3112</v>
      </c>
      <c r="Q128" s="167">
        <v>1400000.0</v>
      </c>
      <c r="R128" s="167">
        <v>100000.0</v>
      </c>
      <c r="S128" s="173"/>
      <c r="T128" s="173"/>
      <c r="U128" s="173"/>
      <c r="V128" s="202"/>
      <c r="W128" s="171"/>
      <c r="X128" s="171"/>
    </row>
    <row r="129" ht="15.0" customHeight="1">
      <c r="A129" s="127">
        <v>45409.0</v>
      </c>
      <c r="B129" s="181" t="s">
        <v>3278</v>
      </c>
      <c r="C129" s="181" t="s">
        <v>3273</v>
      </c>
      <c r="D129" s="73" t="str">
        <f>IFERROR(VLOOKUP(C129,Stock,3,FALSE),"")</f>
        <v>Pemasangan Kaca Mobil Belakang</v>
      </c>
      <c r="E129" s="56">
        <v>1.0</v>
      </c>
      <c r="F129" s="161">
        <v>250000.0</v>
      </c>
      <c r="G129" s="162">
        <f t="shared" si="4"/>
        <v>250000</v>
      </c>
      <c r="H129" s="194"/>
      <c r="I129" s="162">
        <f t="shared" si="5"/>
        <v>250000</v>
      </c>
      <c r="J129" s="164">
        <f t="shared" si="7"/>
        <v>250000</v>
      </c>
      <c r="K129" s="56" t="s">
        <v>3279</v>
      </c>
      <c r="L129" s="165" t="s">
        <v>3280</v>
      </c>
      <c r="M129" s="73"/>
      <c r="N129" s="169" t="s">
        <v>3281</v>
      </c>
      <c r="O129" s="171"/>
      <c r="P129" s="168" t="s">
        <v>3112</v>
      </c>
      <c r="Q129" s="173"/>
      <c r="R129" s="173"/>
      <c r="S129" s="173"/>
      <c r="T129" s="173"/>
      <c r="U129" s="173"/>
      <c r="V129" s="202"/>
      <c r="W129" s="171"/>
      <c r="X129" s="171"/>
    </row>
    <row r="130" ht="15.0" customHeight="1">
      <c r="A130" s="127">
        <v>45409.0</v>
      </c>
      <c r="B130" s="181" t="s">
        <v>3282</v>
      </c>
      <c r="C130" s="56" t="s">
        <v>3085</v>
      </c>
      <c r="D130" s="73" t="str">
        <f>IFERROR(VLOOKUP(C130,Stock,3,FALSE),"")</f>
        <v>Honda Jazz 07-13 2nd Gen</v>
      </c>
      <c r="E130" s="56">
        <v>1.0</v>
      </c>
      <c r="F130" s="161">
        <v>1437000.0</v>
      </c>
      <c r="G130" s="162">
        <f t="shared" si="4"/>
        <v>1437000</v>
      </c>
      <c r="H130" s="194"/>
      <c r="I130" s="162">
        <f t="shared" si="5"/>
        <v>1437000</v>
      </c>
      <c r="J130" s="164">
        <f t="shared" si="7"/>
        <v>1437000</v>
      </c>
      <c r="K130" s="56" t="s">
        <v>3283</v>
      </c>
      <c r="L130" s="165" t="s">
        <v>3284</v>
      </c>
      <c r="M130" s="56" t="s">
        <v>3285</v>
      </c>
      <c r="N130" s="171"/>
      <c r="O130" s="171"/>
      <c r="P130" s="168" t="s">
        <v>2922</v>
      </c>
      <c r="Q130" s="173"/>
      <c r="R130" s="167">
        <v>1437000.0</v>
      </c>
      <c r="S130" s="173"/>
      <c r="T130" s="173"/>
      <c r="U130" s="173"/>
      <c r="V130" s="202"/>
      <c r="W130" s="171"/>
      <c r="X130" s="171"/>
    </row>
    <row r="131" ht="15.0" customHeight="1">
      <c r="A131" s="127">
        <v>45411.0</v>
      </c>
      <c r="B131" s="181" t="s">
        <v>3286</v>
      </c>
      <c r="C131" s="56" t="s">
        <v>3099</v>
      </c>
      <c r="D131" s="73" t="str">
        <f>IFERROR(VLOOKUP(C131,Stock,3,FALSE),"")</f>
        <v>Toyota Calya / Sigra 16-</v>
      </c>
      <c r="E131" s="56">
        <v>1.0</v>
      </c>
      <c r="F131" s="161">
        <v>1199000.0</v>
      </c>
      <c r="G131" s="162">
        <f t="shared" si="4"/>
        <v>1199000</v>
      </c>
      <c r="H131" s="194"/>
      <c r="I131" s="162">
        <f t="shared" si="5"/>
        <v>1199000</v>
      </c>
      <c r="J131" s="164">
        <f t="shared" si="7"/>
        <v>1199000</v>
      </c>
      <c r="K131" s="169" t="s">
        <v>3287</v>
      </c>
      <c r="L131" s="170" t="s">
        <v>3288</v>
      </c>
      <c r="M131" s="171"/>
      <c r="N131" s="171"/>
      <c r="O131" s="169" t="s">
        <v>3204</v>
      </c>
      <c r="P131" s="168" t="s">
        <v>3112</v>
      </c>
      <c r="Q131" s="173"/>
      <c r="R131" s="167">
        <v>1437000.0</v>
      </c>
      <c r="S131" s="173"/>
      <c r="T131" s="173"/>
      <c r="U131" s="173"/>
      <c r="V131" s="202"/>
      <c r="W131" s="171"/>
      <c r="X131" s="171"/>
    </row>
    <row r="132" ht="15.0" customHeight="1">
      <c r="A132" s="127">
        <v>45411.0</v>
      </c>
      <c r="B132" s="181" t="s">
        <v>3286</v>
      </c>
      <c r="C132" s="56" t="s">
        <v>2721</v>
      </c>
      <c r="D132" s="73" t="str">
        <f>IFERROR(VLOOKUP(C132,Stock,3,FALSE),"")</f>
        <v>Toyota Dyna/Hino Dutro 00-</v>
      </c>
      <c r="E132" s="56">
        <v>1.0</v>
      </c>
      <c r="F132" s="161">
        <v>1300000.0</v>
      </c>
      <c r="G132" s="162">
        <f t="shared" si="4"/>
        <v>1300000</v>
      </c>
      <c r="H132" s="194"/>
      <c r="I132" s="162">
        <f t="shared" si="5"/>
        <v>1300000</v>
      </c>
      <c r="J132" s="164">
        <f t="shared" si="7"/>
        <v>1300000</v>
      </c>
      <c r="K132" s="169" t="s">
        <v>3287</v>
      </c>
      <c r="L132" s="170" t="s">
        <v>3288</v>
      </c>
      <c r="M132" s="171"/>
      <c r="N132" s="171"/>
      <c r="O132" s="169" t="s">
        <v>3204</v>
      </c>
      <c r="P132" s="168" t="s">
        <v>3112</v>
      </c>
      <c r="Q132" s="173"/>
      <c r="R132" s="167">
        <v>1200000.0</v>
      </c>
      <c r="S132" s="173"/>
      <c r="T132" s="173"/>
      <c r="U132" s="173"/>
      <c r="V132" s="202"/>
      <c r="W132" s="171"/>
      <c r="X132" s="171"/>
    </row>
    <row r="133" ht="15.0" customHeight="1">
      <c r="A133" s="127">
        <v>45411.0</v>
      </c>
      <c r="B133" s="181" t="s">
        <v>3286</v>
      </c>
      <c r="C133" s="56" t="s">
        <v>2954</v>
      </c>
      <c r="D133" s="73" t="str">
        <f>IFERROR(VLOOKUP(C133,Stock,3,FALSE),"")</f>
        <v>Transport</v>
      </c>
      <c r="E133" s="56">
        <v>1.0</v>
      </c>
      <c r="F133" s="161">
        <v>200000.0</v>
      </c>
      <c r="G133" s="162">
        <f t="shared" si="4"/>
        <v>200000</v>
      </c>
      <c r="H133" s="194"/>
      <c r="I133" s="162">
        <f t="shared" si="5"/>
        <v>200000</v>
      </c>
      <c r="J133" s="164">
        <f t="shared" si="7"/>
        <v>200000</v>
      </c>
      <c r="K133" s="169" t="s">
        <v>3287</v>
      </c>
      <c r="L133" s="170" t="s">
        <v>3288</v>
      </c>
      <c r="M133" s="73"/>
      <c r="N133" s="171"/>
      <c r="O133" s="169" t="s">
        <v>3204</v>
      </c>
      <c r="P133" s="168" t="s">
        <v>3112</v>
      </c>
      <c r="Q133" s="173"/>
      <c r="R133" s="167">
        <v>2700000.0</v>
      </c>
      <c r="S133" s="173"/>
      <c r="T133" s="173"/>
      <c r="U133" s="173"/>
      <c r="V133" s="202"/>
      <c r="W133" s="171"/>
      <c r="X133" s="171"/>
    </row>
    <row r="134" ht="15.0" customHeight="1">
      <c r="A134" s="127">
        <v>45411.0</v>
      </c>
      <c r="B134" s="181" t="s">
        <v>3289</v>
      </c>
      <c r="C134" s="56" t="s">
        <v>3290</v>
      </c>
      <c r="D134" s="73" t="str">
        <f>IFERROR(VLOOKUP(C134,Stock,3,FALSE),"")</f>
        <v>Toyota Innova 04-15 1st Gen</v>
      </c>
      <c r="E134" s="56">
        <v>1.0</v>
      </c>
      <c r="F134" s="161">
        <v>1438000.0</v>
      </c>
      <c r="G134" s="162">
        <f t="shared" si="4"/>
        <v>1438000</v>
      </c>
      <c r="H134" s="194"/>
      <c r="I134" s="162">
        <f t="shared" si="5"/>
        <v>1438000</v>
      </c>
      <c r="J134" s="164">
        <f t="shared" si="7"/>
        <v>1438000</v>
      </c>
      <c r="K134" s="56" t="s">
        <v>3291</v>
      </c>
      <c r="L134" s="165" t="s">
        <v>3292</v>
      </c>
      <c r="M134" s="73"/>
      <c r="N134" s="171"/>
      <c r="O134" s="169" t="s">
        <v>3116</v>
      </c>
      <c r="P134" s="168" t="s">
        <v>3011</v>
      </c>
      <c r="Q134" s="173"/>
      <c r="R134" s="173"/>
      <c r="S134" s="173"/>
      <c r="T134" s="173"/>
      <c r="U134" s="173"/>
      <c r="V134" s="202"/>
      <c r="W134" s="171"/>
      <c r="X134" s="171"/>
    </row>
    <row r="135" ht="15.0" customHeight="1">
      <c r="A135" s="127">
        <v>45411.0</v>
      </c>
      <c r="B135" s="181" t="s">
        <v>3293</v>
      </c>
      <c r="C135" s="56" t="s">
        <v>2562</v>
      </c>
      <c r="D135" s="73" t="str">
        <f>IFERROR(VLOOKUP(C135,Stock,3,FALSE),"")</f>
        <v>Toyota Avanza / Xenia 15-21 3rd Gen</v>
      </c>
      <c r="E135" s="56">
        <v>1.0</v>
      </c>
      <c r="F135" s="169">
        <v>1020000.0</v>
      </c>
      <c r="G135" s="162">
        <f t="shared" si="4"/>
        <v>1020000</v>
      </c>
      <c r="H135" s="194"/>
      <c r="I135" s="162">
        <f t="shared" si="5"/>
        <v>1020000</v>
      </c>
      <c r="J135" s="164">
        <f t="shared" si="7"/>
        <v>1020000</v>
      </c>
      <c r="K135" s="56" t="s">
        <v>2939</v>
      </c>
      <c r="L135" s="165" t="s">
        <v>3294</v>
      </c>
      <c r="M135" s="73"/>
      <c r="N135" s="171"/>
      <c r="O135" s="169" t="s">
        <v>3213</v>
      </c>
      <c r="P135" s="168" t="s">
        <v>3112</v>
      </c>
      <c r="Q135" s="167">
        <v>1020000.0</v>
      </c>
      <c r="R135" s="173"/>
      <c r="S135" s="173"/>
      <c r="T135" s="173"/>
      <c r="U135" s="173"/>
      <c r="V135" s="202"/>
      <c r="W135" s="171"/>
      <c r="X135" s="171"/>
    </row>
    <row r="136" ht="15.0" customHeight="1">
      <c r="A136" s="127">
        <v>45411.0</v>
      </c>
      <c r="B136" s="181" t="s">
        <v>3295</v>
      </c>
      <c r="C136" s="56" t="s">
        <v>3045</v>
      </c>
      <c r="D136" s="73" t="str">
        <f>IFERROR(VLOOKUP(C136,Stock,3,FALSE),"")</f>
        <v>Pemasangan Kaca Mobil Depan</v>
      </c>
      <c r="E136" s="56">
        <v>1.0</v>
      </c>
      <c r="F136" s="169">
        <v>450000.0</v>
      </c>
      <c r="G136" s="162">
        <f t="shared" si="4"/>
        <v>450000</v>
      </c>
      <c r="H136" s="194"/>
      <c r="I136" s="162">
        <f t="shared" si="5"/>
        <v>450000</v>
      </c>
      <c r="J136" s="164">
        <f t="shared" si="7"/>
        <v>450000</v>
      </c>
      <c r="K136" s="169" t="s">
        <v>3296</v>
      </c>
      <c r="L136" s="170" t="s">
        <v>3297</v>
      </c>
      <c r="M136" s="171"/>
      <c r="N136" s="171"/>
      <c r="O136" s="169" t="s">
        <v>3298</v>
      </c>
      <c r="P136" s="168" t="s">
        <v>3112</v>
      </c>
      <c r="Q136" s="167">
        <v>500000.0</v>
      </c>
      <c r="R136" s="173"/>
      <c r="S136" s="173"/>
      <c r="T136" s="173"/>
      <c r="U136" s="173"/>
      <c r="V136" s="202"/>
      <c r="W136" s="171"/>
      <c r="X136" s="171"/>
    </row>
    <row r="137" ht="15.0" customHeight="1">
      <c r="A137" s="127">
        <v>45411.0</v>
      </c>
      <c r="B137" s="181" t="s">
        <v>3295</v>
      </c>
      <c r="C137" s="56" t="s">
        <v>2954</v>
      </c>
      <c r="D137" s="73" t="str">
        <f>IFERROR(VLOOKUP(C137,Stock,3,FALSE),"")</f>
        <v>Transport</v>
      </c>
      <c r="E137" s="56">
        <v>1.0</v>
      </c>
      <c r="F137" s="161">
        <v>50000.0</v>
      </c>
      <c r="G137" s="162">
        <f t="shared" si="4"/>
        <v>50000</v>
      </c>
      <c r="H137" s="194"/>
      <c r="I137" s="162">
        <f t="shared" si="5"/>
        <v>50000</v>
      </c>
      <c r="J137" s="164">
        <f t="shared" si="7"/>
        <v>50000</v>
      </c>
      <c r="K137" s="169" t="s">
        <v>3296</v>
      </c>
      <c r="L137" s="170" t="s">
        <v>3297</v>
      </c>
      <c r="M137" s="171"/>
      <c r="N137" s="171"/>
      <c r="O137" s="169" t="s">
        <v>3298</v>
      </c>
      <c r="P137" s="168" t="s">
        <v>3112</v>
      </c>
      <c r="Q137" s="173"/>
      <c r="R137" s="173"/>
      <c r="S137" s="173"/>
      <c r="T137" s="173"/>
      <c r="U137" s="173"/>
      <c r="V137" s="202"/>
      <c r="W137" s="171"/>
      <c r="X137" s="171"/>
    </row>
    <row r="138" ht="15.0" customHeight="1">
      <c r="A138" s="127">
        <v>45411.0</v>
      </c>
      <c r="B138" s="181" t="s">
        <v>3299</v>
      </c>
      <c r="C138" s="56" t="s">
        <v>3300</v>
      </c>
      <c r="D138" s="73" t="str">
        <f>IFERROR(VLOOKUP(C138,Stock,3,FALSE),"")</f>
        <v>Honda CR-V 07-11 3rd Gen</v>
      </c>
      <c r="E138" s="56">
        <v>1.0</v>
      </c>
      <c r="F138" s="161">
        <v>1938000.0</v>
      </c>
      <c r="G138" s="162">
        <f t="shared" si="4"/>
        <v>1938000</v>
      </c>
      <c r="H138" s="194"/>
      <c r="I138" s="162">
        <f t="shared" si="5"/>
        <v>1938000</v>
      </c>
      <c r="J138" s="164">
        <f t="shared" si="7"/>
        <v>1938000</v>
      </c>
      <c r="K138" s="169" t="s">
        <v>3301</v>
      </c>
      <c r="L138" s="170" t="s">
        <v>3302</v>
      </c>
      <c r="M138" s="171"/>
      <c r="N138" s="171"/>
      <c r="O138" s="169" t="s">
        <v>3303</v>
      </c>
      <c r="P138" s="168" t="s">
        <v>3112</v>
      </c>
      <c r="Q138" s="167">
        <v>1938000.0</v>
      </c>
      <c r="R138" s="173"/>
      <c r="S138" s="173"/>
      <c r="T138" s="173"/>
      <c r="U138" s="173"/>
      <c r="V138" s="202"/>
      <c r="W138" s="171"/>
      <c r="X138" s="171"/>
    </row>
    <row r="139" ht="15.0" customHeight="1">
      <c r="A139" s="127">
        <v>45412.0</v>
      </c>
      <c r="B139" s="181" t="s">
        <v>3304</v>
      </c>
      <c r="C139" s="56" t="s">
        <v>2744</v>
      </c>
      <c r="D139" s="73" t="str">
        <f>IFERROR(VLOOKUP(C139,Stock,3,FALSE),"")</f>
        <v>Toyota Fortuner 05-15 1st Gen (Hitam)</v>
      </c>
      <c r="E139" s="56">
        <v>1.0</v>
      </c>
      <c r="F139" s="161">
        <v>2098000.0</v>
      </c>
      <c r="G139" s="162">
        <f t="shared" si="4"/>
        <v>2098000</v>
      </c>
      <c r="H139" s="194"/>
      <c r="I139" s="162">
        <f t="shared" si="5"/>
        <v>2098000</v>
      </c>
      <c r="J139" s="164">
        <f t="shared" si="7"/>
        <v>2098000</v>
      </c>
      <c r="K139" s="56" t="s">
        <v>3305</v>
      </c>
      <c r="L139" s="165" t="s">
        <v>3306</v>
      </c>
      <c r="M139" s="73"/>
      <c r="N139" s="171"/>
      <c r="O139" s="169" t="s">
        <v>3307</v>
      </c>
      <c r="P139" s="168" t="s">
        <v>3112</v>
      </c>
      <c r="Q139" s="173"/>
      <c r="R139" s="167">
        <v>2098000.0</v>
      </c>
      <c r="S139" s="173"/>
      <c r="T139" s="173"/>
      <c r="U139" s="173"/>
      <c r="V139" s="202"/>
      <c r="W139" s="171"/>
      <c r="X139" s="171"/>
    </row>
    <row r="140" ht="15.0" customHeight="1">
      <c r="A140" s="127">
        <v>45412.0</v>
      </c>
      <c r="B140" s="181" t="s">
        <v>3308</v>
      </c>
      <c r="C140" s="56" t="s">
        <v>2677</v>
      </c>
      <c r="D140" s="73" t="str">
        <f>IFERROR(VLOOKUP(C140,Stock,3,FALSE),"")</f>
        <v>Suzuki Grand Escudo 00-05</v>
      </c>
      <c r="E140" s="56">
        <v>1.0</v>
      </c>
      <c r="F140" s="161">
        <v>1905000.0</v>
      </c>
      <c r="G140" s="162">
        <f t="shared" si="4"/>
        <v>1905000</v>
      </c>
      <c r="H140" s="194"/>
      <c r="I140" s="162">
        <f t="shared" si="5"/>
        <v>1905000</v>
      </c>
      <c r="J140" s="164">
        <f t="shared" si="7"/>
        <v>1905000</v>
      </c>
      <c r="K140" s="169" t="s">
        <v>3309</v>
      </c>
      <c r="L140" s="170" t="s">
        <v>3310</v>
      </c>
      <c r="M140" s="171"/>
      <c r="N140" s="171"/>
      <c r="O140" s="169" t="s">
        <v>3311</v>
      </c>
      <c r="P140" s="168" t="s">
        <v>3112</v>
      </c>
      <c r="Q140" s="173"/>
      <c r="R140" s="167">
        <v>1905000.0</v>
      </c>
      <c r="S140" s="173"/>
      <c r="T140" s="173"/>
      <c r="U140" s="173"/>
      <c r="V140" s="202"/>
      <c r="W140" s="171"/>
      <c r="X140" s="171"/>
    </row>
    <row r="141" ht="15.0" customHeight="1">
      <c r="A141" s="127">
        <v>45412.0</v>
      </c>
      <c r="B141" s="181" t="s">
        <v>3308</v>
      </c>
      <c r="C141" s="56" t="s">
        <v>2934</v>
      </c>
      <c r="D141" s="73" t="str">
        <f>IFERROR(VLOOKUP(C141,Stock,3,FALSE),"")</f>
        <v>Peti Kayu</v>
      </c>
      <c r="E141" s="56">
        <v>1.0</v>
      </c>
      <c r="F141" s="161">
        <v>200000.0</v>
      </c>
      <c r="G141" s="162">
        <f t="shared" si="4"/>
        <v>200000</v>
      </c>
      <c r="H141" s="194"/>
      <c r="I141" s="162">
        <f t="shared" si="5"/>
        <v>200000</v>
      </c>
      <c r="J141" s="164">
        <f t="shared" si="7"/>
        <v>200000</v>
      </c>
      <c r="K141" s="169" t="s">
        <v>3309</v>
      </c>
      <c r="L141" s="170" t="s">
        <v>3310</v>
      </c>
      <c r="M141" s="171"/>
      <c r="N141" s="171"/>
      <c r="O141" s="169" t="s">
        <v>3311</v>
      </c>
      <c r="P141" s="168" t="s">
        <v>3112</v>
      </c>
      <c r="Q141" s="173"/>
      <c r="R141" s="167">
        <v>200000.0</v>
      </c>
      <c r="S141" s="173"/>
      <c r="T141" s="173"/>
      <c r="U141" s="173"/>
      <c r="V141" s="202"/>
      <c r="W141" s="171"/>
      <c r="X141" s="171"/>
    </row>
    <row r="142" ht="15.0" customHeight="1">
      <c r="A142" s="127">
        <v>45414.0</v>
      </c>
      <c r="B142" s="181" t="s">
        <v>3312</v>
      </c>
      <c r="C142" s="56" t="s">
        <v>3313</v>
      </c>
      <c r="D142" s="73" t="str">
        <f>IFERROR(VLOOKUP(C142,Stock,3,FALSE),"")</f>
        <v>Toyota Avanza / Xenia 21- 4th Gen (Non sensor)</v>
      </c>
      <c r="E142" s="56">
        <v>1.0</v>
      </c>
      <c r="F142" s="161">
        <v>1688000.0</v>
      </c>
      <c r="G142" s="162">
        <f t="shared" si="4"/>
        <v>1688000</v>
      </c>
      <c r="H142" s="201">
        <v>100000.0</v>
      </c>
      <c r="I142" s="198">
        <f t="shared" si="5"/>
        <v>1588000</v>
      </c>
      <c r="J142" s="164">
        <f t="shared" si="7"/>
        <v>1588000</v>
      </c>
      <c r="K142" s="56" t="s">
        <v>3314</v>
      </c>
      <c r="L142" s="165" t="s">
        <v>3315</v>
      </c>
      <c r="M142" s="56" t="s">
        <v>3316</v>
      </c>
      <c r="N142" s="171"/>
      <c r="O142" s="169" t="s">
        <v>2958</v>
      </c>
      <c r="P142" s="166" t="s">
        <v>3054</v>
      </c>
      <c r="Q142" s="167">
        <v>1600000.0</v>
      </c>
      <c r="R142" s="173"/>
      <c r="S142" s="173"/>
      <c r="T142" s="173"/>
      <c r="U142" s="173"/>
      <c r="V142" s="202"/>
      <c r="W142" s="171"/>
      <c r="X142" s="171"/>
    </row>
    <row r="143" ht="15.0" customHeight="1">
      <c r="A143" s="127">
        <v>45414.0</v>
      </c>
      <c r="B143" s="181" t="s">
        <v>3317</v>
      </c>
      <c r="C143" s="56" t="s">
        <v>3186</v>
      </c>
      <c r="D143" s="73" t="str">
        <f>IFERROR(VLOOKUP(C143,Stock,3,FALSE),"")</f>
        <v>Daihatsu Gran Max / Luxio 07-</v>
      </c>
      <c r="E143" s="56">
        <v>1.0</v>
      </c>
      <c r="F143" s="161">
        <v>1098000.0</v>
      </c>
      <c r="G143" s="162">
        <f t="shared" si="4"/>
        <v>1098000</v>
      </c>
      <c r="H143" s="194"/>
      <c r="I143" s="198">
        <f t="shared" si="5"/>
        <v>1098000</v>
      </c>
      <c r="J143" s="164">
        <f t="shared" si="7"/>
        <v>1098000</v>
      </c>
      <c r="K143" s="56" t="s">
        <v>3318</v>
      </c>
      <c r="L143" s="165" t="s">
        <v>3319</v>
      </c>
      <c r="M143" s="73"/>
      <c r="N143" s="169" t="s">
        <v>3320</v>
      </c>
      <c r="O143" s="171"/>
      <c r="P143" s="166" t="s">
        <v>3011</v>
      </c>
      <c r="Q143" s="167">
        <v>1100000.0</v>
      </c>
      <c r="R143" s="173"/>
      <c r="S143" s="173"/>
      <c r="T143" s="173"/>
      <c r="U143" s="173"/>
      <c r="V143" s="202"/>
      <c r="W143" s="171"/>
      <c r="X143" s="171"/>
    </row>
    <row r="144" ht="15.0" customHeight="1">
      <c r="A144" s="127">
        <v>45414.0</v>
      </c>
      <c r="B144" s="181" t="s">
        <v>3321</v>
      </c>
      <c r="C144" s="56" t="s">
        <v>3186</v>
      </c>
      <c r="D144" s="73" t="str">
        <f>IFERROR(VLOOKUP(C144,Stock,3,FALSE),"")</f>
        <v>Daihatsu Gran Max / Luxio 07-</v>
      </c>
      <c r="E144" s="56">
        <v>1.0</v>
      </c>
      <c r="F144" s="161">
        <v>1098000.0</v>
      </c>
      <c r="G144" s="162">
        <f t="shared" si="4"/>
        <v>1098000</v>
      </c>
      <c r="H144" s="194"/>
      <c r="I144" s="198">
        <f t="shared" si="5"/>
        <v>1098000</v>
      </c>
      <c r="J144" s="164">
        <f t="shared" si="7"/>
        <v>1098000</v>
      </c>
      <c r="K144" s="56" t="s">
        <v>3322</v>
      </c>
      <c r="L144" s="165" t="s">
        <v>3323</v>
      </c>
      <c r="M144" s="73"/>
      <c r="N144" s="171"/>
      <c r="O144" s="171"/>
      <c r="P144" s="168" t="s">
        <v>3112</v>
      </c>
      <c r="Q144" s="173"/>
      <c r="R144" s="173"/>
      <c r="S144" s="173"/>
      <c r="T144" s="173"/>
      <c r="U144" s="173"/>
      <c r="V144" s="202"/>
      <c r="W144" s="171"/>
      <c r="X144" s="171"/>
    </row>
    <row r="145" ht="15.0" customHeight="1">
      <c r="A145" s="127">
        <v>45414.0</v>
      </c>
      <c r="B145" s="181" t="s">
        <v>3324</v>
      </c>
      <c r="C145" s="56" t="s">
        <v>3045</v>
      </c>
      <c r="D145" s="73" t="str">
        <f>IFERROR(VLOOKUP(C145,Stock,3,FALSE),"")</f>
        <v>Pemasangan Kaca Mobil Depan</v>
      </c>
      <c r="E145" s="56">
        <v>1.0</v>
      </c>
      <c r="F145" s="161">
        <v>500000.0</v>
      </c>
      <c r="G145" s="162">
        <f t="shared" si="4"/>
        <v>500000</v>
      </c>
      <c r="H145" s="194"/>
      <c r="I145" s="198">
        <f t="shared" si="5"/>
        <v>500000</v>
      </c>
      <c r="J145" s="164">
        <f t="shared" si="7"/>
        <v>500000</v>
      </c>
      <c r="K145" s="56" t="s">
        <v>3325</v>
      </c>
      <c r="L145" s="170" t="s">
        <v>3326</v>
      </c>
      <c r="M145" s="171"/>
      <c r="N145" s="171"/>
      <c r="O145" s="169" t="s">
        <v>3327</v>
      </c>
      <c r="P145" s="168" t="s">
        <v>3112</v>
      </c>
      <c r="Q145" s="173"/>
      <c r="R145" s="173"/>
      <c r="S145" s="173"/>
      <c r="T145" s="173"/>
      <c r="U145" s="173"/>
      <c r="V145" s="202"/>
      <c r="W145" s="171"/>
      <c r="X145" s="171"/>
    </row>
    <row r="146" ht="15.0" customHeight="1">
      <c r="A146" s="127">
        <v>45414.0</v>
      </c>
      <c r="B146" s="181" t="s">
        <v>3324</v>
      </c>
      <c r="C146" s="56" t="s">
        <v>2954</v>
      </c>
      <c r="D146" s="73" t="str">
        <f>IFERROR(VLOOKUP(C146,Stock,3,FALSE),"")</f>
        <v>Transport</v>
      </c>
      <c r="E146" s="56">
        <v>1.0</v>
      </c>
      <c r="F146" s="161">
        <v>150000.0</v>
      </c>
      <c r="G146" s="162">
        <f t="shared" si="4"/>
        <v>150000</v>
      </c>
      <c r="H146" s="194"/>
      <c r="I146" s="198">
        <f t="shared" si="5"/>
        <v>150000</v>
      </c>
      <c r="J146" s="164">
        <f t="shared" si="7"/>
        <v>150000</v>
      </c>
      <c r="K146" s="56" t="s">
        <v>3325</v>
      </c>
      <c r="L146" s="170" t="s">
        <v>3326</v>
      </c>
      <c r="M146" s="171"/>
      <c r="N146" s="171"/>
      <c r="O146" s="169" t="s">
        <v>3327</v>
      </c>
      <c r="P146" s="168" t="s">
        <v>3112</v>
      </c>
      <c r="Q146" s="173"/>
      <c r="R146" s="173"/>
      <c r="S146" s="173"/>
      <c r="T146" s="173"/>
      <c r="U146" s="173"/>
      <c r="V146" s="202"/>
      <c r="W146" s="171"/>
      <c r="X146" s="171"/>
    </row>
    <row r="147" ht="15.0" customHeight="1">
      <c r="A147" s="127">
        <v>45414.0</v>
      </c>
      <c r="B147" s="181" t="s">
        <v>3328</v>
      </c>
      <c r="C147" s="56" t="s">
        <v>2965</v>
      </c>
      <c r="D147" s="73" t="str">
        <f>IFERROR(VLOOKUP(C147,Stock,3,FALSE),"")</f>
        <v>Suzuki Ertiga 12-18 1st Gen MPV</v>
      </c>
      <c r="E147" s="56">
        <v>1.0</v>
      </c>
      <c r="F147" s="161">
        <v>700000.0</v>
      </c>
      <c r="G147" s="162">
        <f t="shared" si="4"/>
        <v>700000</v>
      </c>
      <c r="H147" s="194"/>
      <c r="I147" s="198">
        <f t="shared" si="5"/>
        <v>700000</v>
      </c>
      <c r="J147" s="164">
        <f t="shared" si="7"/>
        <v>700000</v>
      </c>
      <c r="K147" s="73"/>
      <c r="L147" s="73"/>
      <c r="M147" s="73"/>
      <c r="N147" s="171"/>
      <c r="O147" s="171"/>
      <c r="P147" s="202"/>
      <c r="Q147" s="173"/>
      <c r="R147" s="173"/>
      <c r="S147" s="173"/>
      <c r="T147" s="173"/>
      <c r="U147" s="173"/>
      <c r="V147" s="202"/>
      <c r="W147" s="171"/>
      <c r="X147" s="171"/>
    </row>
    <row r="148" ht="15.0" customHeight="1">
      <c r="A148" s="127">
        <v>45414.0</v>
      </c>
      <c r="B148" s="181" t="s">
        <v>3328</v>
      </c>
      <c r="C148" s="56" t="s">
        <v>3059</v>
      </c>
      <c r="D148" s="73" t="str">
        <f>IFERROR(VLOOKUP(C148,Stock,3,FALSE),"")</f>
        <v>Sealant Polyurethane XYG Tube</v>
      </c>
      <c r="E148" s="56">
        <v>2.0</v>
      </c>
      <c r="F148" s="161">
        <v>75000.0</v>
      </c>
      <c r="G148" s="162">
        <f t="shared" si="4"/>
        <v>150000</v>
      </c>
      <c r="H148" s="194"/>
      <c r="I148" s="198">
        <f t="shared" si="5"/>
        <v>150000</v>
      </c>
      <c r="J148" s="164">
        <f t="shared" si="7"/>
        <v>150000</v>
      </c>
      <c r="K148" s="73"/>
      <c r="L148" s="73"/>
      <c r="M148" s="73"/>
      <c r="N148" s="171"/>
      <c r="O148" s="171"/>
      <c r="P148" s="202"/>
      <c r="Q148" s="173"/>
      <c r="R148" s="173"/>
      <c r="S148" s="173"/>
      <c r="T148" s="173"/>
      <c r="U148" s="173"/>
      <c r="V148" s="202"/>
      <c r="W148" s="171"/>
      <c r="X148" s="171"/>
    </row>
    <row r="149" ht="15.0" customHeight="1">
      <c r="A149" s="127">
        <v>45414.0</v>
      </c>
      <c r="B149" s="181" t="s">
        <v>3329</v>
      </c>
      <c r="C149" s="56" t="s">
        <v>3330</v>
      </c>
      <c r="D149" s="73" t="str">
        <f>IFERROR(VLOOKUP(C149,Stock,3,FALSE),"")</f>
        <v>Mitsubishi L200 02-07 Double Cabin</v>
      </c>
      <c r="E149" s="56">
        <v>1.0</v>
      </c>
      <c r="F149" s="161">
        <v>1556000.0</v>
      </c>
      <c r="G149" s="162">
        <f t="shared" si="4"/>
        <v>1556000</v>
      </c>
      <c r="H149" s="194"/>
      <c r="I149" s="198">
        <f t="shared" si="5"/>
        <v>1556000</v>
      </c>
      <c r="J149" s="164">
        <f t="shared" si="7"/>
        <v>1556000</v>
      </c>
      <c r="K149" s="56" t="s">
        <v>3331</v>
      </c>
      <c r="L149" s="165" t="s">
        <v>3332</v>
      </c>
      <c r="M149" s="73"/>
      <c r="N149" s="171"/>
      <c r="O149" s="171"/>
      <c r="P149" s="168" t="s">
        <v>3112</v>
      </c>
      <c r="Q149" s="167">
        <v>1700000.0</v>
      </c>
      <c r="R149" s="173"/>
      <c r="S149" s="173"/>
      <c r="T149" s="173"/>
      <c r="U149" s="173"/>
      <c r="V149" s="202"/>
      <c r="W149" s="171"/>
      <c r="X149" s="171"/>
    </row>
    <row r="150" ht="15.0" customHeight="1">
      <c r="A150" s="127">
        <v>45414.0</v>
      </c>
      <c r="B150" s="181" t="s">
        <v>3329</v>
      </c>
      <c r="C150" s="56" t="s">
        <v>3059</v>
      </c>
      <c r="D150" s="73" t="str">
        <f>IFERROR(VLOOKUP(C150,Stock,3,FALSE),"")</f>
        <v>Sealant Polyurethane XYG Tube</v>
      </c>
      <c r="E150" s="56">
        <v>2.0</v>
      </c>
      <c r="F150" s="161">
        <v>75000.0</v>
      </c>
      <c r="G150" s="162">
        <f t="shared" si="4"/>
        <v>150000</v>
      </c>
      <c r="H150" s="194"/>
      <c r="I150" s="198">
        <f t="shared" si="5"/>
        <v>150000</v>
      </c>
      <c r="J150" s="164">
        <f t="shared" si="7"/>
        <v>150000</v>
      </c>
      <c r="K150" s="56" t="s">
        <v>3331</v>
      </c>
      <c r="L150" s="165" t="s">
        <v>3332</v>
      </c>
      <c r="M150" s="73"/>
      <c r="N150" s="171"/>
      <c r="O150" s="171"/>
      <c r="P150" s="168" t="s">
        <v>3112</v>
      </c>
      <c r="Q150" s="173"/>
      <c r="R150" s="167">
        <v>521000.0</v>
      </c>
      <c r="S150" s="173"/>
      <c r="T150" s="173"/>
      <c r="U150" s="173"/>
      <c r="V150" s="202"/>
      <c r="W150" s="171"/>
      <c r="X150" s="171"/>
    </row>
    <row r="151" ht="15.0" customHeight="1">
      <c r="A151" s="127">
        <v>45414.0</v>
      </c>
      <c r="B151" s="181" t="s">
        <v>3329</v>
      </c>
      <c r="C151" s="56" t="s">
        <v>3083</v>
      </c>
      <c r="D151" s="73" t="str">
        <f>IFERROR(VLOOKUP(C151,Stock,3,FALSE),"")</f>
        <v>List Kaca Depan Code 04</v>
      </c>
      <c r="E151" s="56">
        <v>1.0</v>
      </c>
      <c r="F151" s="161">
        <v>315000.0</v>
      </c>
      <c r="G151" s="162">
        <f t="shared" si="4"/>
        <v>315000</v>
      </c>
      <c r="H151" s="194"/>
      <c r="I151" s="198">
        <f t="shared" si="5"/>
        <v>315000</v>
      </c>
      <c r="J151" s="164">
        <f t="shared" si="7"/>
        <v>315000</v>
      </c>
      <c r="K151" s="56" t="s">
        <v>3331</v>
      </c>
      <c r="L151" s="165" t="s">
        <v>3332</v>
      </c>
      <c r="M151" s="171"/>
      <c r="N151" s="171"/>
      <c r="O151" s="171"/>
      <c r="P151" s="168" t="s">
        <v>3112</v>
      </c>
      <c r="Q151" s="173"/>
      <c r="R151" s="173"/>
      <c r="S151" s="173"/>
      <c r="T151" s="173"/>
      <c r="U151" s="173"/>
      <c r="V151" s="202"/>
      <c r="W151" s="171"/>
      <c r="X151" s="171"/>
    </row>
    <row r="152" ht="15.0" customHeight="1">
      <c r="A152" s="127">
        <v>45414.0</v>
      </c>
      <c r="B152" s="181" t="s">
        <v>3329</v>
      </c>
      <c r="C152" s="56" t="s">
        <v>2934</v>
      </c>
      <c r="D152" s="73" t="str">
        <f>IFERROR(VLOOKUP(C152,Stock,3,FALSE),"")</f>
        <v>Peti Kayu</v>
      </c>
      <c r="E152" s="56">
        <v>1.0</v>
      </c>
      <c r="F152" s="161">
        <v>200000.0</v>
      </c>
      <c r="G152" s="162">
        <f t="shared" si="4"/>
        <v>200000</v>
      </c>
      <c r="H152" s="194"/>
      <c r="I152" s="198">
        <f t="shared" si="5"/>
        <v>200000</v>
      </c>
      <c r="J152" s="164">
        <f t="shared" si="7"/>
        <v>200000</v>
      </c>
      <c r="K152" s="56" t="s">
        <v>3331</v>
      </c>
      <c r="L152" s="165" t="s">
        <v>3332</v>
      </c>
      <c r="M152" s="171"/>
      <c r="N152" s="171"/>
      <c r="O152" s="171"/>
      <c r="P152" s="168" t="s">
        <v>3112</v>
      </c>
      <c r="Q152" s="173"/>
      <c r="R152" s="173"/>
      <c r="S152" s="173"/>
      <c r="T152" s="173"/>
      <c r="U152" s="173"/>
      <c r="V152" s="202"/>
      <c r="W152" s="171"/>
      <c r="X152" s="171"/>
    </row>
    <row r="153" ht="15.0" customHeight="1">
      <c r="A153" s="127">
        <v>45415.0</v>
      </c>
      <c r="B153" s="181" t="s">
        <v>3333</v>
      </c>
      <c r="C153" s="56" t="s">
        <v>3127</v>
      </c>
      <c r="D153" s="73" t="str">
        <f>IFERROR(VLOOKUP(C153,Stock,3,FALSE),"")</f>
        <v>Toyota Avanza / Xenia 03-11 1st Gen</v>
      </c>
      <c r="E153" s="56">
        <v>1.0</v>
      </c>
      <c r="F153" s="161">
        <v>850000.0</v>
      </c>
      <c r="G153" s="162">
        <f t="shared" si="4"/>
        <v>850000</v>
      </c>
      <c r="H153" s="194"/>
      <c r="I153" s="198">
        <f t="shared" si="5"/>
        <v>850000</v>
      </c>
      <c r="J153" s="164">
        <f t="shared" si="7"/>
        <v>850000</v>
      </c>
      <c r="K153" s="169" t="s">
        <v>3334</v>
      </c>
      <c r="L153" s="170" t="s">
        <v>3335</v>
      </c>
      <c r="M153" s="169" t="s">
        <v>3336</v>
      </c>
      <c r="N153" s="169" t="s">
        <v>3337</v>
      </c>
      <c r="O153" s="171"/>
      <c r="P153" s="168" t="s">
        <v>3112</v>
      </c>
      <c r="Q153" s="173"/>
      <c r="R153" s="167">
        <v>850000.0</v>
      </c>
      <c r="S153" s="173"/>
      <c r="T153" s="173"/>
      <c r="U153" s="173"/>
      <c r="V153" s="202"/>
      <c r="W153" s="171"/>
      <c r="X153" s="171"/>
    </row>
    <row r="154" ht="15.0" customHeight="1">
      <c r="A154" s="127">
        <v>45415.0</v>
      </c>
      <c r="B154" s="181" t="s">
        <v>3338</v>
      </c>
      <c r="C154" s="56" t="s">
        <v>2565</v>
      </c>
      <c r="D154" s="73" t="str">
        <f>IFERROR(VLOOKUP(C154,Stock,3,FALSE),"")</f>
        <v>Toyota Avanza / Xenia 03-11 1st Gen</v>
      </c>
      <c r="E154" s="56">
        <v>1.0</v>
      </c>
      <c r="F154" s="161">
        <v>1020000.0</v>
      </c>
      <c r="G154" s="162">
        <f t="shared" si="4"/>
        <v>1020000</v>
      </c>
      <c r="H154" s="194"/>
      <c r="I154" s="198">
        <f t="shared" si="5"/>
        <v>1020000</v>
      </c>
      <c r="J154" s="164">
        <f t="shared" si="7"/>
        <v>1020000</v>
      </c>
      <c r="K154" s="169" t="s">
        <v>3339</v>
      </c>
      <c r="L154" s="170" t="s">
        <v>3340</v>
      </c>
      <c r="M154" s="171"/>
      <c r="N154" s="171"/>
      <c r="O154" s="171"/>
      <c r="P154" s="168" t="s">
        <v>3112</v>
      </c>
      <c r="Q154" s="173"/>
      <c r="R154" s="167">
        <v>1295000.0</v>
      </c>
      <c r="S154" s="173"/>
      <c r="T154" s="173"/>
      <c r="U154" s="173"/>
      <c r="V154" s="202"/>
      <c r="W154" s="171"/>
      <c r="X154" s="171"/>
    </row>
    <row r="155" ht="15.0" customHeight="1">
      <c r="A155" s="127">
        <v>45415.0</v>
      </c>
      <c r="B155" s="181" t="s">
        <v>3338</v>
      </c>
      <c r="C155" s="56" t="s">
        <v>3083</v>
      </c>
      <c r="D155" s="73" t="str">
        <f>IFERROR(VLOOKUP(C155,Stock,3,FALSE),"")</f>
        <v>List Kaca Depan Code 04</v>
      </c>
      <c r="E155" s="56">
        <v>1.0</v>
      </c>
      <c r="F155" s="161">
        <v>275000.0</v>
      </c>
      <c r="G155" s="162">
        <f t="shared" si="4"/>
        <v>275000</v>
      </c>
      <c r="H155" s="194"/>
      <c r="I155" s="198">
        <f t="shared" si="5"/>
        <v>275000</v>
      </c>
      <c r="J155" s="164">
        <f t="shared" si="7"/>
        <v>275000</v>
      </c>
      <c r="K155" s="169" t="s">
        <v>3339</v>
      </c>
      <c r="L155" s="170" t="s">
        <v>3340</v>
      </c>
      <c r="M155" s="171"/>
      <c r="N155" s="171"/>
      <c r="O155" s="171"/>
      <c r="P155" s="168" t="s">
        <v>3112</v>
      </c>
      <c r="Q155" s="173"/>
      <c r="R155" s="173"/>
      <c r="S155" s="173"/>
      <c r="T155" s="173"/>
      <c r="U155" s="173"/>
      <c r="V155" s="202"/>
      <c r="W155" s="171"/>
      <c r="X155" s="171"/>
    </row>
    <row r="156" ht="15.0" customHeight="1">
      <c r="A156" s="127">
        <v>45418.0</v>
      </c>
      <c r="B156" s="181" t="s">
        <v>3341</v>
      </c>
      <c r="C156" s="56" t="s">
        <v>3342</v>
      </c>
      <c r="D156" s="73" t="str">
        <f>IFERROR(VLOOKUP(C156,Stock,3,FALSE),"")</f>
        <v>Toyota Hi-Ace 04-20 Commuter (Hitam)</v>
      </c>
      <c r="E156" s="56">
        <v>1.0</v>
      </c>
      <c r="F156" s="161">
        <v>2902000.0</v>
      </c>
      <c r="G156" s="162">
        <f t="shared" si="4"/>
        <v>2902000</v>
      </c>
      <c r="H156" s="194"/>
      <c r="I156" s="198">
        <f t="shared" si="5"/>
        <v>2902000</v>
      </c>
      <c r="J156" s="164">
        <f t="shared" si="7"/>
        <v>2902000</v>
      </c>
      <c r="K156" s="56" t="s">
        <v>3305</v>
      </c>
      <c r="L156" s="165" t="s">
        <v>3306</v>
      </c>
      <c r="M156" s="73"/>
      <c r="N156" s="171"/>
      <c r="O156" s="169" t="s">
        <v>3307</v>
      </c>
      <c r="P156" s="168" t="s">
        <v>3112</v>
      </c>
      <c r="Q156" s="173"/>
      <c r="R156" s="173"/>
      <c r="S156" s="173"/>
      <c r="T156" s="173"/>
      <c r="U156" s="173"/>
      <c r="V156" s="202"/>
      <c r="W156" s="171"/>
      <c r="X156" s="171"/>
    </row>
    <row r="157" ht="15.0" customHeight="1">
      <c r="A157" s="127">
        <v>45418.0</v>
      </c>
      <c r="B157" s="181" t="s">
        <v>3343</v>
      </c>
      <c r="C157" s="56" t="s">
        <v>2734</v>
      </c>
      <c r="D157" s="73" t="str">
        <f>IFERROR(VLOOKUP(C157,Stock,3,FALSE),"")</f>
        <v>Honda Jazz 07-13 2nd Gen</v>
      </c>
      <c r="E157" s="56">
        <v>1.0</v>
      </c>
      <c r="F157" s="161">
        <v>1818000.0</v>
      </c>
      <c r="G157" s="162">
        <f t="shared" si="4"/>
        <v>1818000</v>
      </c>
      <c r="H157" s="194"/>
      <c r="I157" s="198">
        <f t="shared" si="5"/>
        <v>1818000</v>
      </c>
      <c r="J157" s="164">
        <f t="shared" si="7"/>
        <v>1818000</v>
      </c>
      <c r="K157" s="56" t="s">
        <v>3344</v>
      </c>
      <c r="L157" s="165" t="s">
        <v>3345</v>
      </c>
      <c r="M157" s="73"/>
      <c r="N157" s="171"/>
      <c r="O157" s="169" t="s">
        <v>2968</v>
      </c>
      <c r="P157" s="168" t="s">
        <v>3054</v>
      </c>
      <c r="Q157" s="173"/>
      <c r="R157" s="173"/>
      <c r="S157" s="173"/>
      <c r="T157" s="173"/>
      <c r="U157" s="173"/>
      <c r="V157" s="202"/>
      <c r="W157" s="171"/>
      <c r="X157" s="171"/>
    </row>
    <row r="158" ht="15.0" customHeight="1">
      <c r="A158" s="127">
        <v>45418.0</v>
      </c>
      <c r="B158" s="181" t="s">
        <v>3343</v>
      </c>
      <c r="C158" s="56" t="s">
        <v>2954</v>
      </c>
      <c r="D158" s="73" t="str">
        <f>IFERROR(VLOOKUP(C158,Stock,3,FALSE),"")</f>
        <v>Transport</v>
      </c>
      <c r="E158" s="56">
        <v>1.0</v>
      </c>
      <c r="F158" s="161">
        <v>450000.0</v>
      </c>
      <c r="G158" s="162">
        <f t="shared" si="4"/>
        <v>450000</v>
      </c>
      <c r="H158" s="194"/>
      <c r="I158" s="204">
        <f t="shared" si="5"/>
        <v>450000</v>
      </c>
      <c r="J158" s="164">
        <f t="shared" si="7"/>
        <v>450000</v>
      </c>
      <c r="K158" s="169" t="s">
        <v>3344</v>
      </c>
      <c r="L158" s="165" t="s">
        <v>3345</v>
      </c>
      <c r="M158" s="171"/>
      <c r="N158" s="171"/>
      <c r="O158" s="169" t="s">
        <v>2968</v>
      </c>
      <c r="P158" s="168" t="s">
        <v>3054</v>
      </c>
      <c r="Q158" s="173"/>
      <c r="R158" s="173"/>
      <c r="S158" s="173"/>
      <c r="T158" s="173"/>
      <c r="U158" s="173"/>
      <c r="V158" s="202"/>
      <c r="W158" s="171"/>
      <c r="X158" s="171"/>
    </row>
    <row r="159" ht="15.0" customHeight="1">
      <c r="A159" s="127">
        <v>45419.0</v>
      </c>
      <c r="B159" s="181" t="s">
        <v>3346</v>
      </c>
      <c r="C159" s="56" t="s">
        <v>3347</v>
      </c>
      <c r="D159" s="73" t="str">
        <f>IFERROR(VLOOKUP(C159,Stock,3,FALSE),"")</f>
        <v>Toyota Avanza / Xenia 03-11 1st Gen</v>
      </c>
      <c r="E159" s="56">
        <v>1.0</v>
      </c>
      <c r="F159" s="161">
        <v>499000.0</v>
      </c>
      <c r="G159" s="162">
        <f t="shared" si="4"/>
        <v>499000</v>
      </c>
      <c r="H159" s="194"/>
      <c r="I159" s="204">
        <f t="shared" si="5"/>
        <v>499000</v>
      </c>
      <c r="J159" s="164">
        <f t="shared" si="7"/>
        <v>499000</v>
      </c>
      <c r="K159" s="169" t="s">
        <v>3348</v>
      </c>
      <c r="L159" s="170" t="s">
        <v>3349</v>
      </c>
      <c r="M159" s="169" t="s">
        <v>3350</v>
      </c>
      <c r="N159" s="171"/>
      <c r="O159" s="169" t="s">
        <v>2958</v>
      </c>
      <c r="P159" s="168" t="s">
        <v>3112</v>
      </c>
      <c r="Q159" s="173"/>
      <c r="R159" s="167">
        <v>499000.0</v>
      </c>
      <c r="S159" s="173"/>
      <c r="T159" s="173"/>
      <c r="U159" s="173"/>
      <c r="V159" s="202"/>
      <c r="W159" s="171"/>
      <c r="X159" s="171"/>
    </row>
    <row r="160" ht="15.0" customHeight="1">
      <c r="A160" s="127">
        <v>45419.0</v>
      </c>
      <c r="B160" s="181" t="s">
        <v>3351</v>
      </c>
      <c r="C160" s="56" t="s">
        <v>3290</v>
      </c>
      <c r="D160" s="73" t="str">
        <f>IFERROR(VLOOKUP(C160,Stock,3,FALSE),"")</f>
        <v>Toyota Innova 04-15 1st Gen</v>
      </c>
      <c r="E160" s="56">
        <v>1.0</v>
      </c>
      <c r="F160" s="161">
        <v>1438000.0</v>
      </c>
      <c r="G160" s="162">
        <f t="shared" si="4"/>
        <v>1438000</v>
      </c>
      <c r="H160" s="194"/>
      <c r="I160" s="204">
        <f t="shared" si="5"/>
        <v>1438000</v>
      </c>
      <c r="J160" s="164">
        <f t="shared" si="7"/>
        <v>1438000</v>
      </c>
      <c r="K160" s="56" t="s">
        <v>3352</v>
      </c>
      <c r="L160" s="165" t="s">
        <v>3353</v>
      </c>
      <c r="M160" s="73"/>
      <c r="N160" s="169" t="s">
        <v>3354</v>
      </c>
      <c r="O160" s="169" t="s">
        <v>2958</v>
      </c>
      <c r="P160" s="166" t="s">
        <v>2922</v>
      </c>
      <c r="Q160" s="167">
        <v>1770000.0</v>
      </c>
      <c r="R160" s="173"/>
      <c r="S160" s="173"/>
      <c r="T160" s="173"/>
      <c r="U160" s="173"/>
      <c r="V160" s="202"/>
      <c r="W160" s="171"/>
      <c r="X160" s="171"/>
    </row>
    <row r="161" ht="15.0" customHeight="1">
      <c r="A161" s="127">
        <v>45419.0</v>
      </c>
      <c r="B161" s="181" t="s">
        <v>3351</v>
      </c>
      <c r="C161" s="56" t="s">
        <v>3355</v>
      </c>
      <c r="D161" s="73" t="str">
        <f>IFERROR(VLOOKUP(C161,Stock,3,FALSE),"")</f>
        <v>List Kaca Depan INV</v>
      </c>
      <c r="E161" s="56">
        <v>1.0</v>
      </c>
      <c r="F161" s="161">
        <v>375000.0</v>
      </c>
      <c r="G161" s="161">
        <v>375000.0</v>
      </c>
      <c r="H161" s="201">
        <v>50000.0</v>
      </c>
      <c r="I161" s="204">
        <f t="shared" si="5"/>
        <v>325000</v>
      </c>
      <c r="J161" s="164">
        <f t="shared" si="7"/>
        <v>325000</v>
      </c>
      <c r="K161" s="56" t="s">
        <v>3352</v>
      </c>
      <c r="L161" s="165" t="s">
        <v>3353</v>
      </c>
      <c r="M161" s="73"/>
      <c r="N161" s="169" t="s">
        <v>3354</v>
      </c>
      <c r="O161" s="169"/>
      <c r="P161" s="166"/>
      <c r="Q161" s="173"/>
      <c r="R161" s="173"/>
      <c r="S161" s="173"/>
      <c r="T161" s="173"/>
      <c r="U161" s="173"/>
      <c r="V161" s="202"/>
      <c r="W161" s="171"/>
      <c r="X161" s="171"/>
    </row>
    <row r="162" ht="15.0" customHeight="1">
      <c r="A162" s="127">
        <v>45419.0</v>
      </c>
      <c r="B162" s="181" t="s">
        <v>3356</v>
      </c>
      <c r="C162" s="56" t="s">
        <v>2965</v>
      </c>
      <c r="D162" s="73" t="str">
        <f>IFERROR(VLOOKUP(C162,Stock,3,FALSE),"")</f>
        <v>Suzuki Ertiga 12-18 1st Gen MPV</v>
      </c>
      <c r="E162" s="56">
        <v>1.0</v>
      </c>
      <c r="F162" s="161">
        <v>949000.0</v>
      </c>
      <c r="G162" s="162">
        <f t="shared" ref="G162:G402" si="8">E162*F162</f>
        <v>949000</v>
      </c>
      <c r="H162" s="194"/>
      <c r="I162" s="204">
        <f t="shared" si="5"/>
        <v>949000</v>
      </c>
      <c r="J162" s="164">
        <f t="shared" si="7"/>
        <v>949000</v>
      </c>
      <c r="K162" s="169" t="s">
        <v>3357</v>
      </c>
      <c r="L162" s="170" t="s">
        <v>3358</v>
      </c>
      <c r="M162" s="171"/>
      <c r="N162" s="171"/>
      <c r="O162" s="169" t="s">
        <v>2958</v>
      </c>
      <c r="P162" s="168" t="s">
        <v>2922</v>
      </c>
      <c r="Q162" s="173"/>
      <c r="R162" s="167">
        <v>996000.0</v>
      </c>
      <c r="S162" s="173"/>
      <c r="T162" s="173"/>
      <c r="U162" s="173"/>
      <c r="V162" s="202"/>
      <c r="W162" s="171"/>
      <c r="X162" s="171"/>
    </row>
    <row r="163" ht="15.0" customHeight="1">
      <c r="A163" s="127">
        <v>45419.0</v>
      </c>
      <c r="B163" s="181" t="s">
        <v>3359</v>
      </c>
      <c r="C163" s="56" t="s">
        <v>3360</v>
      </c>
      <c r="D163" s="73" t="str">
        <f>IFERROR(VLOOKUP(C163,Stock,3,FALSE),"")</f>
        <v>Mitsubishi Xpander 17-</v>
      </c>
      <c r="E163" s="56">
        <v>1.0</v>
      </c>
      <c r="F163" s="161">
        <v>1444000.0</v>
      </c>
      <c r="G163" s="162">
        <f t="shared" si="8"/>
        <v>1444000</v>
      </c>
      <c r="H163" s="194"/>
      <c r="I163" s="204">
        <f t="shared" si="5"/>
        <v>1444000</v>
      </c>
      <c r="J163" s="164">
        <f t="shared" si="7"/>
        <v>1444000</v>
      </c>
      <c r="K163" s="56" t="s">
        <v>3361</v>
      </c>
      <c r="L163" s="165" t="s">
        <v>3362</v>
      </c>
      <c r="M163" s="73"/>
      <c r="N163" s="171"/>
      <c r="O163" s="169" t="s">
        <v>2958</v>
      </c>
      <c r="P163" s="166" t="s">
        <v>2922</v>
      </c>
      <c r="Q163" s="173"/>
      <c r="R163" s="167"/>
      <c r="S163" s="167">
        <v>1444000.0</v>
      </c>
      <c r="T163" s="167">
        <v>93860.0</v>
      </c>
      <c r="U163" s="173"/>
      <c r="V163" s="202"/>
      <c r="W163" s="171"/>
      <c r="X163" s="171"/>
    </row>
    <row r="164" ht="15.0" customHeight="1">
      <c r="A164" s="127">
        <v>45419.0</v>
      </c>
      <c r="B164" s="181" t="s">
        <v>3363</v>
      </c>
      <c r="C164" s="56" t="s">
        <v>2703</v>
      </c>
      <c r="D164" s="73" t="str">
        <f>IFERROR(VLOOKUP(C164,Stock,3,FALSE),"")</f>
        <v>Toyota Hi-Ace 04-20 Commuter</v>
      </c>
      <c r="E164" s="56">
        <v>1.0</v>
      </c>
      <c r="F164" s="161">
        <v>1409000.0</v>
      </c>
      <c r="G164" s="162">
        <f t="shared" si="8"/>
        <v>1409000</v>
      </c>
      <c r="H164" s="194"/>
      <c r="I164" s="204">
        <f t="shared" si="5"/>
        <v>1409000</v>
      </c>
      <c r="J164" s="164">
        <f t="shared" si="7"/>
        <v>1409000</v>
      </c>
      <c r="K164" s="169" t="s">
        <v>3364</v>
      </c>
      <c r="L164" s="170" t="s">
        <v>3365</v>
      </c>
      <c r="M164" s="171"/>
      <c r="N164" s="171"/>
      <c r="O164" s="169" t="s">
        <v>2958</v>
      </c>
      <c r="P164" s="168" t="s">
        <v>3112</v>
      </c>
      <c r="Q164" s="173"/>
      <c r="R164" s="167">
        <v>1409000.0</v>
      </c>
      <c r="S164" s="173"/>
      <c r="T164" s="173"/>
      <c r="U164" s="173"/>
      <c r="V164" s="202"/>
      <c r="W164" s="171"/>
      <c r="X164" s="171"/>
    </row>
    <row r="165" ht="15.0" customHeight="1">
      <c r="A165" s="127">
        <v>45419.0</v>
      </c>
      <c r="B165" s="181" t="s">
        <v>3363</v>
      </c>
      <c r="C165" s="56" t="s">
        <v>3366</v>
      </c>
      <c r="D165" s="73" t="str">
        <f>IFERROR(VLOOKUP(C165,Stock,3,FALSE),"")</f>
        <v>Toyota Hi-Ace 04-20 Commuter (Clear)</v>
      </c>
      <c r="E165" s="56">
        <v>1.0</v>
      </c>
      <c r="F165" s="161">
        <v>2329000.0</v>
      </c>
      <c r="G165" s="162">
        <f t="shared" si="8"/>
        <v>2329000</v>
      </c>
      <c r="H165" s="194"/>
      <c r="I165" s="204">
        <f t="shared" si="5"/>
        <v>2329000</v>
      </c>
      <c r="J165" s="164">
        <f t="shared" si="7"/>
        <v>2329000</v>
      </c>
      <c r="K165" s="169" t="s">
        <v>3364</v>
      </c>
      <c r="L165" s="170" t="s">
        <v>3365</v>
      </c>
      <c r="M165" s="171"/>
      <c r="N165" s="171"/>
      <c r="O165" s="169" t="s">
        <v>2958</v>
      </c>
      <c r="P165" s="168" t="s">
        <v>3112</v>
      </c>
      <c r="Q165" s="173"/>
      <c r="R165" s="167">
        <v>2329000.0</v>
      </c>
      <c r="S165" s="173"/>
      <c r="T165" s="173"/>
      <c r="U165" s="173"/>
      <c r="V165" s="202"/>
      <c r="W165" s="171"/>
      <c r="X165" s="171"/>
    </row>
    <row r="166" ht="15.0" customHeight="1">
      <c r="A166" s="127">
        <v>45419.0</v>
      </c>
      <c r="B166" s="181" t="s">
        <v>3363</v>
      </c>
      <c r="C166" s="56" t="s">
        <v>3367</v>
      </c>
      <c r="D166" s="73" t="str">
        <f>IFERROR(VLOOKUP(C166,Stock,3,FALSE),"")</f>
        <v>Toyota Hi-Ace 04-20 Commuter</v>
      </c>
      <c r="E166" s="56">
        <v>1.0</v>
      </c>
      <c r="F166" s="161">
        <v>1060000.0</v>
      </c>
      <c r="G166" s="162">
        <f t="shared" si="8"/>
        <v>1060000</v>
      </c>
      <c r="H166" s="194"/>
      <c r="I166" s="204">
        <f t="shared" si="5"/>
        <v>1060000</v>
      </c>
      <c r="J166" s="164">
        <f t="shared" si="7"/>
        <v>1060000</v>
      </c>
      <c r="K166" s="169" t="s">
        <v>3364</v>
      </c>
      <c r="L166" s="170" t="s">
        <v>3365</v>
      </c>
      <c r="M166" s="73"/>
      <c r="N166" s="171"/>
      <c r="O166" s="169" t="s">
        <v>2958</v>
      </c>
      <c r="P166" s="166" t="s">
        <v>3112</v>
      </c>
      <c r="Q166" s="173"/>
      <c r="R166" s="167">
        <v>1060000.0</v>
      </c>
      <c r="S166" s="173"/>
      <c r="T166" s="173"/>
      <c r="U166" s="173"/>
      <c r="V166" s="202"/>
      <c r="W166" s="171"/>
      <c r="X166" s="171"/>
    </row>
    <row r="167" ht="15.0" customHeight="1">
      <c r="A167" s="127">
        <v>45419.0</v>
      </c>
      <c r="B167" s="181" t="s">
        <v>3363</v>
      </c>
      <c r="C167" s="56" t="s">
        <v>3368</v>
      </c>
      <c r="D167" s="73" t="str">
        <f>IFERROR(VLOOKUP(C167,Stock,3,FALSE),"")</f>
        <v>Toyota Hi-Ace 04-20 Commuter</v>
      </c>
      <c r="E167" s="56">
        <v>1.0</v>
      </c>
      <c r="F167" s="161">
        <v>437000.0</v>
      </c>
      <c r="G167" s="162">
        <f t="shared" si="8"/>
        <v>437000</v>
      </c>
      <c r="H167" s="194"/>
      <c r="I167" s="204">
        <f t="shared" si="5"/>
        <v>437000</v>
      </c>
      <c r="J167" s="164">
        <f t="shared" si="7"/>
        <v>437000</v>
      </c>
      <c r="K167" s="169" t="s">
        <v>3364</v>
      </c>
      <c r="L167" s="170" t="s">
        <v>3365</v>
      </c>
      <c r="M167" s="73"/>
      <c r="N167" s="171"/>
      <c r="O167" s="169" t="s">
        <v>2958</v>
      </c>
      <c r="P167" s="166" t="s">
        <v>3112</v>
      </c>
      <c r="Q167" s="173"/>
      <c r="R167" s="167">
        <v>437000.0</v>
      </c>
      <c r="S167" s="173"/>
      <c r="T167" s="173"/>
      <c r="U167" s="173"/>
      <c r="V167" s="202"/>
      <c r="W167" s="171"/>
      <c r="X167" s="171"/>
    </row>
    <row r="168" ht="15.0" customHeight="1">
      <c r="A168" s="127">
        <v>45419.0</v>
      </c>
      <c r="B168" s="181" t="s">
        <v>3369</v>
      </c>
      <c r="C168" s="56" t="s">
        <v>3025</v>
      </c>
      <c r="D168" s="73" t="str">
        <f>IFERROR(VLOOKUP(C168,Stock,3,FALSE),"")</f>
        <v>Toyota Rush / Terios 06-17</v>
      </c>
      <c r="E168" s="56">
        <v>1.0</v>
      </c>
      <c r="F168" s="161">
        <v>1130000.0</v>
      </c>
      <c r="G168" s="162">
        <f t="shared" si="8"/>
        <v>1130000</v>
      </c>
      <c r="H168" s="194"/>
      <c r="I168" s="204">
        <f t="shared" si="5"/>
        <v>1130000</v>
      </c>
      <c r="J168" s="164">
        <f t="shared" si="7"/>
        <v>1130000</v>
      </c>
      <c r="K168" s="56" t="s">
        <v>3370</v>
      </c>
      <c r="L168" s="165" t="s">
        <v>3371</v>
      </c>
      <c r="M168" s="73"/>
      <c r="N168" s="171"/>
      <c r="O168" s="169" t="s">
        <v>2958</v>
      </c>
      <c r="P168" s="166" t="s">
        <v>3112</v>
      </c>
      <c r="Q168" s="173"/>
      <c r="R168" s="167">
        <v>1130000.0</v>
      </c>
      <c r="S168" s="173"/>
      <c r="T168" s="173"/>
      <c r="U168" s="173"/>
      <c r="V168" s="202"/>
      <c r="W168" s="171"/>
      <c r="X168" s="171"/>
    </row>
    <row r="169" ht="15.0" customHeight="1">
      <c r="A169" s="127">
        <v>45419.0</v>
      </c>
      <c r="B169" s="181" t="s">
        <v>3369</v>
      </c>
      <c r="C169" s="56" t="s">
        <v>3083</v>
      </c>
      <c r="D169" s="73" t="str">
        <f>IFERROR(VLOOKUP(C169,Stock,3,FALSE),"")</f>
        <v>List Kaca Depan Code 04</v>
      </c>
      <c r="E169" s="56">
        <v>1.0</v>
      </c>
      <c r="F169" s="161">
        <v>275000.0</v>
      </c>
      <c r="G169" s="162">
        <f t="shared" si="8"/>
        <v>275000</v>
      </c>
      <c r="H169" s="194"/>
      <c r="I169" s="204">
        <f t="shared" si="5"/>
        <v>275000</v>
      </c>
      <c r="J169" s="164">
        <f t="shared" si="7"/>
        <v>275000</v>
      </c>
      <c r="K169" s="56" t="s">
        <v>3370</v>
      </c>
      <c r="L169" s="165" t="s">
        <v>3371</v>
      </c>
      <c r="M169" s="56" t="s">
        <v>3372</v>
      </c>
      <c r="N169" s="171"/>
      <c r="O169" s="169" t="s">
        <v>2958</v>
      </c>
      <c r="P169" s="166" t="s">
        <v>3112</v>
      </c>
      <c r="Q169" s="173"/>
      <c r="R169" s="167">
        <v>275000.0</v>
      </c>
      <c r="S169" s="173"/>
      <c r="T169" s="173"/>
      <c r="U169" s="173"/>
      <c r="V169" s="202"/>
      <c r="W169" s="171"/>
      <c r="X169" s="171"/>
    </row>
    <row r="170" ht="15.0" customHeight="1">
      <c r="A170" s="127">
        <v>45420.0</v>
      </c>
      <c r="B170" s="181" t="s">
        <v>3373</v>
      </c>
      <c r="C170" s="56" t="s">
        <v>2703</v>
      </c>
      <c r="D170" s="73" t="str">
        <f>IFERROR(VLOOKUP(C170,Stock,3,FALSE),"")</f>
        <v>Toyota Hi-Ace 04-20 Commuter</v>
      </c>
      <c r="E170" s="56">
        <v>1.0</v>
      </c>
      <c r="F170" s="161">
        <v>1469000.0</v>
      </c>
      <c r="G170" s="162">
        <f t="shared" si="8"/>
        <v>1469000</v>
      </c>
      <c r="H170" s="194"/>
      <c r="I170" s="204">
        <f t="shared" si="5"/>
        <v>1469000</v>
      </c>
      <c r="J170" s="164">
        <f t="shared" si="7"/>
        <v>1469000</v>
      </c>
      <c r="K170" s="56" t="s">
        <v>3374</v>
      </c>
      <c r="L170" s="165" t="s">
        <v>3375</v>
      </c>
      <c r="M170" s="73"/>
      <c r="N170" s="171"/>
      <c r="O170" s="169" t="s">
        <v>2958</v>
      </c>
      <c r="P170" s="168" t="s">
        <v>3112</v>
      </c>
      <c r="Q170" s="173"/>
      <c r="R170" s="173"/>
      <c r="S170" s="173"/>
      <c r="T170" s="173"/>
      <c r="U170" s="173"/>
      <c r="V170" s="202"/>
      <c r="W170" s="171"/>
      <c r="X170" s="171"/>
    </row>
    <row r="171" ht="15.0" customHeight="1">
      <c r="A171" s="127">
        <v>45420.0</v>
      </c>
      <c r="B171" s="181" t="s">
        <v>3373</v>
      </c>
      <c r="C171" s="56" t="s">
        <v>3376</v>
      </c>
      <c r="D171" s="73" t="str">
        <f>IFERROR(VLOOKUP(C171,Stock,3,FALSE),"")</f>
        <v>Toyota Hi-Ace 04-20 Commuter</v>
      </c>
      <c r="E171" s="56">
        <v>1.0</v>
      </c>
      <c r="F171" s="161">
        <v>918000.0</v>
      </c>
      <c r="G171" s="162">
        <f t="shared" si="8"/>
        <v>918000</v>
      </c>
      <c r="H171" s="194"/>
      <c r="I171" s="204">
        <f t="shared" si="5"/>
        <v>918000</v>
      </c>
      <c r="J171" s="164">
        <f t="shared" si="7"/>
        <v>918000</v>
      </c>
      <c r="K171" s="56" t="s">
        <v>3374</v>
      </c>
      <c r="L171" s="165" t="s">
        <v>3375</v>
      </c>
      <c r="M171" s="73"/>
      <c r="N171" s="171"/>
      <c r="O171" s="169" t="s">
        <v>2958</v>
      </c>
      <c r="P171" s="168" t="s">
        <v>3112</v>
      </c>
      <c r="Q171" s="173"/>
      <c r="R171" s="173"/>
      <c r="S171" s="173"/>
      <c r="T171" s="173"/>
      <c r="U171" s="173"/>
      <c r="V171" s="202"/>
      <c r="W171" s="171"/>
      <c r="X171" s="171"/>
    </row>
    <row r="172" ht="15.0" customHeight="1">
      <c r="A172" s="127">
        <v>45420.0</v>
      </c>
      <c r="B172" s="181" t="s">
        <v>3373</v>
      </c>
      <c r="C172" s="56" t="s">
        <v>2954</v>
      </c>
      <c r="D172" s="73" t="str">
        <f>IFERROR(VLOOKUP(C172,Stock,3,FALSE),"")</f>
        <v>Transport</v>
      </c>
      <c r="E172" s="56">
        <v>1.0</v>
      </c>
      <c r="F172" s="161">
        <v>50000.0</v>
      </c>
      <c r="G172" s="162">
        <f t="shared" si="8"/>
        <v>50000</v>
      </c>
      <c r="H172" s="194"/>
      <c r="I172" s="204">
        <f t="shared" si="5"/>
        <v>50000</v>
      </c>
      <c r="J172" s="164">
        <f t="shared" si="7"/>
        <v>50000</v>
      </c>
      <c r="K172" s="56" t="s">
        <v>3374</v>
      </c>
      <c r="L172" s="165" t="s">
        <v>3375</v>
      </c>
      <c r="M172" s="73"/>
      <c r="N172" s="171"/>
      <c r="O172" s="169" t="s">
        <v>2958</v>
      </c>
      <c r="P172" s="168" t="s">
        <v>3112</v>
      </c>
      <c r="Q172" s="173"/>
      <c r="R172" s="173"/>
      <c r="S172" s="173"/>
      <c r="T172" s="173"/>
      <c r="U172" s="173"/>
      <c r="V172" s="202"/>
      <c r="W172" s="171"/>
      <c r="X172" s="171"/>
    </row>
    <row r="173" ht="15.0" customHeight="1">
      <c r="A173" s="127">
        <v>45420.0</v>
      </c>
      <c r="B173" s="181" t="s">
        <v>3377</v>
      </c>
      <c r="C173" s="56" t="s">
        <v>3378</v>
      </c>
      <c r="D173" s="73" t="str">
        <f>IFERROR(VLOOKUP(C173,Stock,3,FALSE),"")</f>
        <v>Isuzu Panther 00- 2nd Gen</v>
      </c>
      <c r="E173" s="56">
        <v>1.0</v>
      </c>
      <c r="F173" s="161">
        <v>1338000.0</v>
      </c>
      <c r="G173" s="162">
        <f t="shared" si="8"/>
        <v>1338000</v>
      </c>
      <c r="H173" s="194"/>
      <c r="I173" s="204">
        <f t="shared" si="5"/>
        <v>1338000</v>
      </c>
      <c r="J173" s="164">
        <f t="shared" si="7"/>
        <v>1338000</v>
      </c>
      <c r="K173" s="169" t="s">
        <v>3379</v>
      </c>
      <c r="L173" s="170" t="s">
        <v>3380</v>
      </c>
      <c r="M173" s="171"/>
      <c r="N173" s="171"/>
      <c r="O173" s="169" t="s">
        <v>3184</v>
      </c>
      <c r="P173" s="168" t="s">
        <v>3112</v>
      </c>
      <c r="Q173" s="173"/>
      <c r="R173" s="173"/>
      <c r="S173" s="173"/>
      <c r="T173" s="173"/>
      <c r="U173" s="173"/>
      <c r="V173" s="202"/>
      <c r="W173" s="171"/>
      <c r="X173" s="171"/>
    </row>
    <row r="174" ht="15.0" customHeight="1">
      <c r="A174" s="127">
        <v>45420.0</v>
      </c>
      <c r="B174" s="181" t="s">
        <v>3377</v>
      </c>
      <c r="C174" s="56" t="s">
        <v>2954</v>
      </c>
      <c r="D174" s="73" t="str">
        <f>IFERROR(VLOOKUP(C174,Stock,3,FALSE),"")</f>
        <v>Transport</v>
      </c>
      <c r="E174" s="56">
        <v>1.0</v>
      </c>
      <c r="F174" s="161">
        <v>750000.0</v>
      </c>
      <c r="G174" s="162">
        <f t="shared" si="8"/>
        <v>750000</v>
      </c>
      <c r="H174" s="194"/>
      <c r="I174" s="204">
        <f t="shared" si="5"/>
        <v>750000</v>
      </c>
      <c r="J174" s="164">
        <f t="shared" si="7"/>
        <v>750000</v>
      </c>
      <c r="K174" s="56" t="s">
        <v>3379</v>
      </c>
      <c r="L174" s="165" t="s">
        <v>3380</v>
      </c>
      <c r="M174" s="73"/>
      <c r="N174" s="171"/>
      <c r="O174" s="169" t="s">
        <v>3184</v>
      </c>
      <c r="P174" s="168" t="s">
        <v>3112</v>
      </c>
      <c r="Q174" s="173"/>
      <c r="R174" s="173"/>
      <c r="S174" s="173"/>
      <c r="T174" s="173"/>
      <c r="U174" s="173"/>
      <c r="V174" s="202"/>
      <c r="W174" s="171"/>
      <c r="X174" s="171"/>
    </row>
    <row r="175" ht="15.0" customHeight="1">
      <c r="A175" s="127">
        <v>45420.0</v>
      </c>
      <c r="B175" s="181" t="s">
        <v>3381</v>
      </c>
      <c r="C175" s="56" t="s">
        <v>3382</v>
      </c>
      <c r="D175" s="73" t="str">
        <f>IFERROR(VLOOKUP(C175,Stock,3,FALSE),"")</f>
        <v>Toyota Avanza / Xenia 11-15 2nd Gen / 15-21 3rd Gen</v>
      </c>
      <c r="E175" s="56">
        <v>1.0</v>
      </c>
      <c r="F175" s="161">
        <v>450000.0</v>
      </c>
      <c r="G175" s="162">
        <f t="shared" si="8"/>
        <v>450000</v>
      </c>
      <c r="H175" s="194"/>
      <c r="I175" s="204">
        <f t="shared" si="5"/>
        <v>450000</v>
      </c>
      <c r="J175" s="164">
        <f t="shared" si="7"/>
        <v>450000</v>
      </c>
      <c r="K175" s="169" t="s">
        <v>3383</v>
      </c>
      <c r="L175" s="170" t="s">
        <v>3384</v>
      </c>
      <c r="M175" s="171"/>
      <c r="N175" s="169" t="s">
        <v>3385</v>
      </c>
      <c r="O175" s="169" t="s">
        <v>2958</v>
      </c>
      <c r="P175" s="168" t="s">
        <v>3112</v>
      </c>
      <c r="Q175" s="167">
        <v>450000.0</v>
      </c>
      <c r="R175" s="173"/>
      <c r="S175" s="173"/>
      <c r="T175" s="173"/>
      <c r="U175" s="173"/>
      <c r="V175" s="202"/>
      <c r="W175" s="171"/>
      <c r="X175" s="171"/>
    </row>
    <row r="176" ht="15.0" customHeight="1">
      <c r="A176" s="127">
        <v>45420.0</v>
      </c>
      <c r="B176" s="181" t="s">
        <v>3386</v>
      </c>
      <c r="C176" s="56" t="s">
        <v>3025</v>
      </c>
      <c r="D176" s="73" t="str">
        <f>IFERROR(VLOOKUP(C176,Stock,3,FALSE),"")</f>
        <v>Toyota Rush / Terios 06-17</v>
      </c>
      <c r="E176" s="56">
        <v>1.0</v>
      </c>
      <c r="F176" s="161">
        <v>1149000.0</v>
      </c>
      <c r="G176" s="162">
        <f t="shared" si="8"/>
        <v>1149000</v>
      </c>
      <c r="H176" s="194"/>
      <c r="I176" s="204">
        <f t="shared" si="5"/>
        <v>1149000</v>
      </c>
      <c r="J176" s="164">
        <f t="shared" si="7"/>
        <v>1149000</v>
      </c>
      <c r="K176" s="169" t="s">
        <v>3387</v>
      </c>
      <c r="L176" s="170" t="s">
        <v>3388</v>
      </c>
      <c r="M176" s="169" t="s">
        <v>3389</v>
      </c>
      <c r="N176" s="171"/>
      <c r="O176" s="169" t="s">
        <v>2958</v>
      </c>
      <c r="P176" s="168" t="s">
        <v>2922</v>
      </c>
      <c r="Q176" s="167"/>
      <c r="R176" s="167">
        <v>1149000.0</v>
      </c>
      <c r="S176" s="173"/>
      <c r="T176" s="173"/>
      <c r="U176" s="173"/>
      <c r="V176" s="202"/>
      <c r="W176" s="171"/>
      <c r="X176" s="171"/>
    </row>
    <row r="177" ht="15.0" customHeight="1">
      <c r="A177" s="127">
        <v>45420.0</v>
      </c>
      <c r="B177" s="181" t="s">
        <v>3386</v>
      </c>
      <c r="C177" s="56" t="s">
        <v>2819</v>
      </c>
      <c r="D177" s="73" t="str">
        <f>IFERROR(VLOOKUP(C177,Stock,3,FALSE),"")</f>
        <v>Toyota Rush / Terios 06-17</v>
      </c>
      <c r="E177" s="56">
        <v>1.0</v>
      </c>
      <c r="F177" s="161">
        <v>512000.0</v>
      </c>
      <c r="G177" s="162">
        <f t="shared" si="8"/>
        <v>512000</v>
      </c>
      <c r="H177" s="194"/>
      <c r="I177" s="204">
        <f t="shared" si="5"/>
        <v>512000</v>
      </c>
      <c r="J177" s="164">
        <f t="shared" si="7"/>
        <v>512000</v>
      </c>
      <c r="K177" s="169" t="s">
        <v>3387</v>
      </c>
      <c r="L177" s="170" t="s">
        <v>3388</v>
      </c>
      <c r="M177" s="169" t="s">
        <v>3389</v>
      </c>
      <c r="N177" s="171"/>
      <c r="O177" s="169" t="s">
        <v>2958</v>
      </c>
      <c r="P177" s="168" t="s">
        <v>2922</v>
      </c>
      <c r="Q177" s="167"/>
      <c r="R177" s="167">
        <v>512000.0</v>
      </c>
      <c r="S177" s="173"/>
      <c r="T177" s="173"/>
      <c r="U177" s="173"/>
      <c r="V177" s="202"/>
      <c r="W177" s="171"/>
      <c r="X177" s="171"/>
    </row>
    <row r="178" ht="15.0" customHeight="1">
      <c r="A178" s="127">
        <v>45420.0</v>
      </c>
      <c r="B178" s="181" t="s">
        <v>3386</v>
      </c>
      <c r="C178" s="56" t="s">
        <v>2934</v>
      </c>
      <c r="D178" s="73" t="str">
        <f>IFERROR(VLOOKUP(C178,Stock,3,FALSE),"")</f>
        <v>Peti Kayu</v>
      </c>
      <c r="E178" s="56">
        <v>1.0</v>
      </c>
      <c r="F178" s="161">
        <v>200000.0</v>
      </c>
      <c r="G178" s="162">
        <f t="shared" si="8"/>
        <v>200000</v>
      </c>
      <c r="H178" s="194"/>
      <c r="I178" s="204">
        <f t="shared" si="5"/>
        <v>200000</v>
      </c>
      <c r="J178" s="164">
        <f t="shared" si="7"/>
        <v>200000</v>
      </c>
      <c r="K178" s="56" t="s">
        <v>3387</v>
      </c>
      <c r="L178" s="170" t="s">
        <v>3388</v>
      </c>
      <c r="M178" s="169" t="s">
        <v>3389</v>
      </c>
      <c r="N178" s="171"/>
      <c r="O178" s="169" t="s">
        <v>2958</v>
      </c>
      <c r="P178" s="166" t="s">
        <v>2922</v>
      </c>
      <c r="Q178" s="167"/>
      <c r="R178" s="167">
        <v>20000.0</v>
      </c>
      <c r="S178" s="173"/>
      <c r="T178" s="173"/>
      <c r="U178" s="173"/>
      <c r="V178" s="202"/>
      <c r="W178" s="171"/>
      <c r="X178" s="171"/>
    </row>
    <row r="179" ht="15.0" customHeight="1">
      <c r="A179" s="127">
        <v>45420.0</v>
      </c>
      <c r="B179" s="181" t="s">
        <v>3386</v>
      </c>
      <c r="C179" s="56" t="s">
        <v>2954</v>
      </c>
      <c r="D179" s="73" t="str">
        <f>IFERROR(VLOOKUP(C179,Stock,3,FALSE),"")</f>
        <v>Transport</v>
      </c>
      <c r="E179" s="56">
        <v>1.0</v>
      </c>
      <c r="F179" s="161">
        <v>50000.0</v>
      </c>
      <c r="G179" s="162">
        <f t="shared" si="8"/>
        <v>50000</v>
      </c>
      <c r="H179" s="194"/>
      <c r="I179" s="204">
        <f t="shared" si="5"/>
        <v>50000</v>
      </c>
      <c r="J179" s="164">
        <f t="shared" si="7"/>
        <v>50000</v>
      </c>
      <c r="K179" s="169" t="s">
        <v>3387</v>
      </c>
      <c r="L179" s="170" t="s">
        <v>3388</v>
      </c>
      <c r="M179" s="169" t="s">
        <v>3389</v>
      </c>
      <c r="N179" s="171"/>
      <c r="O179" s="169" t="s">
        <v>2958</v>
      </c>
      <c r="P179" s="168" t="s">
        <v>2922</v>
      </c>
      <c r="Q179" s="167"/>
      <c r="R179" s="167">
        <v>50000.0</v>
      </c>
      <c r="S179" s="173"/>
      <c r="T179" s="173"/>
      <c r="U179" s="173"/>
      <c r="V179" s="202"/>
      <c r="W179" s="171"/>
      <c r="X179" s="171"/>
    </row>
    <row r="180" ht="15.0" customHeight="1">
      <c r="A180" s="127">
        <v>45420.0</v>
      </c>
      <c r="B180" s="181" t="s">
        <v>3386</v>
      </c>
      <c r="C180" s="56" t="s">
        <v>3083</v>
      </c>
      <c r="D180" s="73" t="str">
        <f>IFERROR(VLOOKUP(C180,Stock,3,FALSE),"")</f>
        <v>List Kaca Depan Code 04</v>
      </c>
      <c r="E180" s="56">
        <v>1.0</v>
      </c>
      <c r="F180" s="161">
        <v>315000.0</v>
      </c>
      <c r="G180" s="162">
        <f t="shared" si="8"/>
        <v>315000</v>
      </c>
      <c r="H180" s="194"/>
      <c r="I180" s="204">
        <f t="shared" si="5"/>
        <v>315000</v>
      </c>
      <c r="J180" s="164">
        <f t="shared" si="7"/>
        <v>315000</v>
      </c>
      <c r="K180" s="169" t="s">
        <v>3387</v>
      </c>
      <c r="L180" s="170" t="s">
        <v>3388</v>
      </c>
      <c r="M180" s="169" t="s">
        <v>3389</v>
      </c>
      <c r="N180" s="171"/>
      <c r="O180" s="169" t="s">
        <v>2958</v>
      </c>
      <c r="P180" s="168" t="s">
        <v>2922</v>
      </c>
      <c r="Q180" s="167"/>
      <c r="R180" s="167">
        <v>315000.0</v>
      </c>
      <c r="S180" s="173"/>
      <c r="T180" s="173"/>
      <c r="U180" s="173"/>
      <c r="V180" s="202"/>
      <c r="W180" s="171"/>
      <c r="X180" s="171"/>
    </row>
    <row r="181" ht="15.0" customHeight="1">
      <c r="A181" s="127">
        <v>45420.0</v>
      </c>
      <c r="B181" s="181" t="s">
        <v>3390</v>
      </c>
      <c r="C181" s="56" t="s">
        <v>3391</v>
      </c>
      <c r="D181" s="73" t="str">
        <f>IFERROR(VLOOKUP(C181,Stock,3,FALSE),"")</f>
        <v>Toyota Fortuner 05-15 1st Gen</v>
      </c>
      <c r="E181" s="56">
        <v>1.0</v>
      </c>
      <c r="F181" s="161">
        <v>1192000.0</v>
      </c>
      <c r="G181" s="162">
        <f t="shared" si="8"/>
        <v>1192000</v>
      </c>
      <c r="H181" s="194"/>
      <c r="I181" s="204">
        <f t="shared" si="5"/>
        <v>1192000</v>
      </c>
      <c r="J181" s="164">
        <f t="shared" si="7"/>
        <v>1192000</v>
      </c>
      <c r="K181" s="56" t="s">
        <v>3392</v>
      </c>
      <c r="L181" s="165" t="s">
        <v>3393</v>
      </c>
      <c r="M181" s="56" t="s">
        <v>3394</v>
      </c>
      <c r="N181" s="171"/>
      <c r="O181" s="169" t="s">
        <v>2958</v>
      </c>
      <c r="P181" s="168" t="s">
        <v>3112</v>
      </c>
      <c r="Q181" s="173"/>
      <c r="R181" s="167">
        <v>1192000.0</v>
      </c>
      <c r="S181" s="173"/>
      <c r="T181" s="173"/>
      <c r="U181" s="173"/>
      <c r="V181" s="202"/>
      <c r="W181" s="171"/>
      <c r="X181" s="171"/>
    </row>
    <row r="182" ht="15.0" customHeight="1">
      <c r="A182" s="127">
        <v>45421.0</v>
      </c>
      <c r="B182" s="181" t="s">
        <v>3395</v>
      </c>
      <c r="C182" s="181" t="s">
        <v>3273</v>
      </c>
      <c r="D182" s="73" t="str">
        <f>IFERROR(VLOOKUP(C182,Stock,3,FALSE),"")</f>
        <v>Pemasangan Kaca Mobil Belakang</v>
      </c>
      <c r="E182" s="56">
        <v>1.0</v>
      </c>
      <c r="F182" s="161">
        <v>450000.0</v>
      </c>
      <c r="G182" s="162">
        <f t="shared" si="8"/>
        <v>450000</v>
      </c>
      <c r="H182" s="194"/>
      <c r="I182" s="161">
        <f t="shared" si="5"/>
        <v>450000</v>
      </c>
      <c r="J182" s="164">
        <f t="shared" si="7"/>
        <v>450000</v>
      </c>
      <c r="K182" s="73"/>
      <c r="L182" s="170" t="s">
        <v>3396</v>
      </c>
      <c r="M182" s="171"/>
      <c r="N182" s="169" t="s">
        <v>3397</v>
      </c>
      <c r="O182" s="171"/>
      <c r="P182" s="168" t="s">
        <v>3112</v>
      </c>
      <c r="Q182" s="173"/>
      <c r="R182" s="167">
        <v>800000.0</v>
      </c>
      <c r="S182" s="173"/>
      <c r="T182" s="173"/>
      <c r="U182" s="173"/>
      <c r="V182" s="202"/>
      <c r="W182" s="171"/>
      <c r="X182" s="171"/>
    </row>
    <row r="183" ht="15.0" customHeight="1">
      <c r="A183" s="127">
        <v>45421.0</v>
      </c>
      <c r="B183" s="181" t="s">
        <v>3395</v>
      </c>
      <c r="C183" s="56" t="s">
        <v>3398</v>
      </c>
      <c r="D183" s="73" t="str">
        <f>IFERROR(VLOOKUP(C183,Stock,3,FALSE),"")</f>
        <v>Pemasangan Kaca Mobil Samping</v>
      </c>
      <c r="E183" s="56">
        <v>1.0</v>
      </c>
      <c r="F183" s="161">
        <v>200000.0</v>
      </c>
      <c r="G183" s="162">
        <f t="shared" si="8"/>
        <v>200000</v>
      </c>
      <c r="H183" s="194"/>
      <c r="I183" s="161">
        <f t="shared" si="5"/>
        <v>200000</v>
      </c>
      <c r="J183" s="164">
        <f t="shared" si="7"/>
        <v>200000</v>
      </c>
      <c r="K183" s="73"/>
      <c r="L183" s="165" t="s">
        <v>3396</v>
      </c>
      <c r="M183" s="73"/>
      <c r="N183" s="169" t="s">
        <v>3397</v>
      </c>
      <c r="O183" s="171"/>
      <c r="P183" s="168" t="s">
        <v>3112</v>
      </c>
      <c r="Q183" s="173"/>
      <c r="R183" s="173"/>
      <c r="S183" s="173"/>
      <c r="T183" s="173"/>
      <c r="U183" s="173"/>
      <c r="V183" s="202"/>
      <c r="W183" s="171"/>
      <c r="X183" s="171"/>
    </row>
    <row r="184" ht="15.0" customHeight="1">
      <c r="A184" s="127">
        <v>45421.0</v>
      </c>
      <c r="B184" s="181" t="s">
        <v>3399</v>
      </c>
      <c r="C184" s="56" t="s">
        <v>3127</v>
      </c>
      <c r="D184" s="73" t="str">
        <f>IFERROR(VLOOKUP(C184,Stock,3,FALSE),"")</f>
        <v>Toyota Avanza / Xenia 03-11 1st Gen</v>
      </c>
      <c r="E184" s="56">
        <v>1.0</v>
      </c>
      <c r="F184" s="161">
        <v>880000.0</v>
      </c>
      <c r="G184" s="162">
        <f t="shared" si="8"/>
        <v>880000</v>
      </c>
      <c r="H184" s="194"/>
      <c r="I184" s="161">
        <f t="shared" si="5"/>
        <v>880000</v>
      </c>
      <c r="J184" s="164">
        <f t="shared" si="7"/>
        <v>880000</v>
      </c>
      <c r="K184" s="73"/>
      <c r="L184" s="165" t="s">
        <v>3400</v>
      </c>
      <c r="M184" s="73"/>
      <c r="N184" s="171"/>
      <c r="O184" s="169" t="s">
        <v>2958</v>
      </c>
      <c r="P184" s="168" t="s">
        <v>3112</v>
      </c>
      <c r="Q184" s="167">
        <v>930000.0</v>
      </c>
      <c r="R184" s="173"/>
      <c r="S184" s="173"/>
      <c r="T184" s="173"/>
      <c r="U184" s="173"/>
      <c r="V184" s="202"/>
      <c r="W184" s="171"/>
      <c r="X184" s="171"/>
    </row>
    <row r="185" ht="15.0" customHeight="1">
      <c r="A185" s="127">
        <v>45421.0</v>
      </c>
      <c r="B185" s="181" t="s">
        <v>3401</v>
      </c>
      <c r="C185" s="56" t="s">
        <v>3045</v>
      </c>
      <c r="D185" s="73" t="str">
        <f>IFERROR(VLOOKUP(C185,Stock,3,FALSE),"")</f>
        <v>Pemasangan Kaca Mobil Depan</v>
      </c>
      <c r="E185" s="56">
        <v>1.0</v>
      </c>
      <c r="F185" s="169">
        <v>500000.0</v>
      </c>
      <c r="G185" s="162">
        <f t="shared" si="8"/>
        <v>500000</v>
      </c>
      <c r="H185" s="194"/>
      <c r="I185" s="161">
        <f t="shared" si="5"/>
        <v>500000</v>
      </c>
      <c r="J185" s="164">
        <f t="shared" si="7"/>
        <v>500000</v>
      </c>
      <c r="K185" s="56" t="s">
        <v>3402</v>
      </c>
      <c r="L185" s="170" t="s">
        <v>3403</v>
      </c>
      <c r="M185" s="169" t="s">
        <v>3404</v>
      </c>
      <c r="N185" s="169" t="s">
        <v>3405</v>
      </c>
      <c r="O185" s="169" t="s">
        <v>2958</v>
      </c>
      <c r="P185" s="168" t="s">
        <v>3112</v>
      </c>
      <c r="Q185" s="167">
        <v>600000.0</v>
      </c>
      <c r="R185" s="173"/>
      <c r="S185" s="173"/>
      <c r="T185" s="173"/>
      <c r="U185" s="173"/>
      <c r="V185" s="202"/>
      <c r="W185" s="171"/>
      <c r="X185" s="171"/>
    </row>
    <row r="186" ht="15.0" customHeight="1">
      <c r="A186" s="127">
        <v>45422.0</v>
      </c>
      <c r="B186" s="181" t="s">
        <v>3406</v>
      </c>
      <c r="C186" s="175" t="s">
        <v>2643</v>
      </c>
      <c r="D186" s="73" t="str">
        <f>IFERROR(VLOOKUP(C186,Stock,3,FALSE),"")</f>
        <v>Toyota Vios 07-13 XP90 2nd Gen</v>
      </c>
      <c r="E186" s="56">
        <v>1.0</v>
      </c>
      <c r="F186" s="161">
        <v>1400000.0</v>
      </c>
      <c r="G186" s="162">
        <f t="shared" si="8"/>
        <v>1400000</v>
      </c>
      <c r="H186" s="194"/>
      <c r="I186" s="161">
        <f t="shared" si="5"/>
        <v>1400000</v>
      </c>
      <c r="J186" s="164">
        <f t="shared" si="7"/>
        <v>1400000</v>
      </c>
      <c r="K186" s="56" t="s">
        <v>3407</v>
      </c>
      <c r="L186" s="165" t="s">
        <v>3408</v>
      </c>
      <c r="M186" s="56" t="s">
        <v>3409</v>
      </c>
      <c r="N186" s="171"/>
      <c r="O186" s="169" t="s">
        <v>2958</v>
      </c>
      <c r="P186" s="168" t="s">
        <v>3112</v>
      </c>
      <c r="Q186" s="167">
        <v>1400000.0</v>
      </c>
      <c r="R186" s="173"/>
      <c r="S186" s="173"/>
      <c r="T186" s="173"/>
      <c r="U186" s="173"/>
      <c r="V186" s="202"/>
      <c r="W186" s="171"/>
      <c r="X186" s="171"/>
    </row>
    <row r="187" ht="15.0" customHeight="1">
      <c r="A187" s="127">
        <v>45422.0</v>
      </c>
      <c r="B187" s="181" t="s">
        <v>3410</v>
      </c>
      <c r="C187" s="175" t="s">
        <v>3411</v>
      </c>
      <c r="D187" s="73" t="str">
        <f>IFERROR(VLOOKUP(C187,Stock,3,FALSE),"")</f>
        <v>Toyota Agya/Ayla 13-22 1st Gen</v>
      </c>
      <c r="E187" s="56">
        <v>1.0</v>
      </c>
      <c r="F187" s="161">
        <v>1015000.0</v>
      </c>
      <c r="G187" s="162">
        <f t="shared" si="8"/>
        <v>1015000</v>
      </c>
      <c r="H187" s="194"/>
      <c r="I187" s="161">
        <f t="shared" si="5"/>
        <v>1015000</v>
      </c>
      <c r="J187" s="164">
        <f t="shared" si="7"/>
        <v>1015000</v>
      </c>
      <c r="K187" s="56" t="s">
        <v>3412</v>
      </c>
      <c r="L187" s="165" t="s">
        <v>3413</v>
      </c>
      <c r="M187" s="73"/>
      <c r="N187" s="171"/>
      <c r="O187" s="169" t="s">
        <v>3204</v>
      </c>
      <c r="P187" s="168" t="s">
        <v>3112</v>
      </c>
      <c r="Q187" s="173"/>
      <c r="R187" s="167">
        <v>1215000.0</v>
      </c>
      <c r="S187" s="173"/>
      <c r="T187" s="173"/>
      <c r="U187" s="173"/>
      <c r="V187" s="202"/>
      <c r="W187" s="171"/>
      <c r="X187" s="171"/>
    </row>
    <row r="188" ht="15.0" customHeight="1">
      <c r="A188" s="127">
        <v>45422.0</v>
      </c>
      <c r="B188" s="181" t="s">
        <v>3410</v>
      </c>
      <c r="C188" s="56" t="s">
        <v>2954</v>
      </c>
      <c r="D188" s="73" t="str">
        <f>IFERROR(VLOOKUP(C188,Stock,3,FALSE),"")</f>
        <v>Transport</v>
      </c>
      <c r="E188" s="56">
        <v>1.0</v>
      </c>
      <c r="F188" s="161">
        <v>200000.0</v>
      </c>
      <c r="G188" s="162">
        <f t="shared" si="8"/>
        <v>200000</v>
      </c>
      <c r="H188" s="194"/>
      <c r="I188" s="161">
        <f t="shared" si="5"/>
        <v>200000</v>
      </c>
      <c r="J188" s="164">
        <f t="shared" si="7"/>
        <v>200000</v>
      </c>
      <c r="K188" s="56" t="s">
        <v>3412</v>
      </c>
      <c r="L188" s="165" t="s">
        <v>3413</v>
      </c>
      <c r="M188" s="73"/>
      <c r="N188" s="171"/>
      <c r="O188" s="169" t="s">
        <v>3204</v>
      </c>
      <c r="P188" s="168" t="s">
        <v>3112</v>
      </c>
      <c r="Q188" s="173"/>
      <c r="R188" s="173"/>
      <c r="S188" s="173"/>
      <c r="T188" s="173"/>
      <c r="U188" s="173"/>
      <c r="V188" s="202"/>
      <c r="W188" s="171"/>
      <c r="X188" s="171"/>
    </row>
    <row r="189" ht="15.0" customHeight="1">
      <c r="A189" s="127">
        <v>45422.0</v>
      </c>
      <c r="B189" s="181" t="s">
        <v>3414</v>
      </c>
      <c r="C189" s="56" t="s">
        <v>3273</v>
      </c>
      <c r="D189" s="73" t="str">
        <f>IFERROR(VLOOKUP(C189,Stock,3,FALSE),"")</f>
        <v>Pemasangan Kaca Mobil Belakang</v>
      </c>
      <c r="E189" s="56">
        <v>1.0</v>
      </c>
      <c r="F189" s="161">
        <v>800000.0</v>
      </c>
      <c r="G189" s="162">
        <f t="shared" si="8"/>
        <v>800000</v>
      </c>
      <c r="H189" s="194"/>
      <c r="I189" s="161">
        <f t="shared" si="5"/>
        <v>800000</v>
      </c>
      <c r="J189" s="164">
        <f t="shared" si="7"/>
        <v>800000</v>
      </c>
      <c r="K189" s="56" t="s">
        <v>3415</v>
      </c>
      <c r="L189" s="165" t="s">
        <v>3416</v>
      </c>
      <c r="M189" s="73"/>
      <c r="N189" s="171"/>
      <c r="O189" s="169" t="s">
        <v>3204</v>
      </c>
      <c r="P189" s="168" t="s">
        <v>3112</v>
      </c>
      <c r="Q189" s="167">
        <v>950000.0</v>
      </c>
      <c r="R189" s="173"/>
      <c r="S189" s="173"/>
      <c r="T189" s="173"/>
      <c r="U189" s="173"/>
      <c r="V189" s="202"/>
      <c r="W189" s="171"/>
      <c r="X189" s="171"/>
    </row>
    <row r="190" ht="15.0" customHeight="1">
      <c r="A190" s="127">
        <v>45422.0</v>
      </c>
      <c r="B190" s="181" t="s">
        <v>3414</v>
      </c>
      <c r="C190" s="56" t="s">
        <v>2954</v>
      </c>
      <c r="D190" s="73" t="str">
        <f>IFERROR(VLOOKUP(C190,Stock,3,FALSE),"")</f>
        <v>Transport</v>
      </c>
      <c r="E190" s="56">
        <v>1.0</v>
      </c>
      <c r="F190" s="161">
        <v>150000.0</v>
      </c>
      <c r="G190" s="162">
        <f t="shared" si="8"/>
        <v>150000</v>
      </c>
      <c r="H190" s="194"/>
      <c r="I190" s="161">
        <f t="shared" si="5"/>
        <v>150000</v>
      </c>
      <c r="J190" s="164">
        <f t="shared" si="7"/>
        <v>150000</v>
      </c>
      <c r="K190" s="56" t="s">
        <v>3415</v>
      </c>
      <c r="L190" s="165" t="s">
        <v>3416</v>
      </c>
      <c r="M190" s="73"/>
      <c r="N190" s="171"/>
      <c r="O190" s="169" t="s">
        <v>3204</v>
      </c>
      <c r="P190" s="168" t="s">
        <v>3112</v>
      </c>
      <c r="Q190" s="173"/>
      <c r="R190" s="173"/>
      <c r="S190" s="173"/>
      <c r="T190" s="173"/>
      <c r="U190" s="173"/>
      <c r="V190" s="202"/>
      <c r="W190" s="171"/>
      <c r="X190" s="171"/>
    </row>
    <row r="191" ht="15.0" customHeight="1">
      <c r="A191" s="127">
        <v>45422.0</v>
      </c>
      <c r="B191" s="181" t="s">
        <v>3417</v>
      </c>
      <c r="C191" s="197" t="s">
        <v>2576</v>
      </c>
      <c r="D191" s="73" t="str">
        <f>IFERROR(VLOOKUP(C191,Stock,3,FALSE),"")</f>
        <v>Toyota Camry 06-11 XV40 4th Gen</v>
      </c>
      <c r="E191" s="56">
        <v>1.0</v>
      </c>
      <c r="F191" s="161">
        <v>3400000.0</v>
      </c>
      <c r="G191" s="162">
        <f t="shared" si="8"/>
        <v>3400000</v>
      </c>
      <c r="H191" s="194"/>
      <c r="I191" s="161">
        <f t="shared" si="5"/>
        <v>3400000</v>
      </c>
      <c r="J191" s="164">
        <f t="shared" si="7"/>
        <v>3400000</v>
      </c>
      <c r="K191" s="56" t="s">
        <v>3418</v>
      </c>
      <c r="L191" s="165" t="s">
        <v>3419</v>
      </c>
      <c r="M191" s="73"/>
      <c r="N191" s="171"/>
      <c r="O191" s="169" t="s">
        <v>2958</v>
      </c>
      <c r="P191" s="168" t="s">
        <v>3112</v>
      </c>
      <c r="Q191" s="167">
        <v>75000.0</v>
      </c>
      <c r="R191" s="167">
        <v>3325000.0</v>
      </c>
      <c r="S191" s="173"/>
      <c r="T191" s="173"/>
      <c r="U191" s="173"/>
      <c r="V191" s="202"/>
      <c r="W191" s="171"/>
      <c r="X191" s="171"/>
    </row>
    <row r="192" ht="15.0" customHeight="1">
      <c r="A192" s="127">
        <v>45422.0</v>
      </c>
      <c r="B192" s="181" t="s">
        <v>3420</v>
      </c>
      <c r="C192" s="175" t="s">
        <v>3421</v>
      </c>
      <c r="D192" s="73" t="str">
        <f>IFERROR(VLOOKUP(C192,Stock,3,FALSE),"")</f>
        <v>Nissan Teana 08-12 J32</v>
      </c>
      <c r="E192" s="56">
        <v>1.0</v>
      </c>
      <c r="F192" s="161">
        <v>2556000.0</v>
      </c>
      <c r="G192" s="162">
        <f t="shared" si="8"/>
        <v>2556000</v>
      </c>
      <c r="H192" s="194"/>
      <c r="I192" s="161">
        <f t="shared" si="5"/>
        <v>2556000</v>
      </c>
      <c r="J192" s="164">
        <f t="shared" si="7"/>
        <v>2556000</v>
      </c>
      <c r="K192" s="169" t="s">
        <v>3422</v>
      </c>
      <c r="L192" s="170" t="s">
        <v>3423</v>
      </c>
      <c r="M192" s="169" t="s">
        <v>3424</v>
      </c>
      <c r="N192" s="171"/>
      <c r="O192" s="169" t="s">
        <v>2958</v>
      </c>
      <c r="P192" s="168" t="s">
        <v>3112</v>
      </c>
      <c r="Q192" s="173"/>
      <c r="R192" s="167">
        <v>3998000.0</v>
      </c>
      <c r="S192" s="173"/>
      <c r="T192" s="173"/>
      <c r="U192" s="173"/>
      <c r="V192" s="202"/>
      <c r="W192" s="171"/>
      <c r="X192" s="171"/>
    </row>
    <row r="193" ht="15.0" customHeight="1">
      <c r="A193" s="127">
        <v>45422.0</v>
      </c>
      <c r="B193" s="181" t="s">
        <v>3420</v>
      </c>
      <c r="C193" s="181" t="s">
        <v>2934</v>
      </c>
      <c r="D193" s="73" t="str">
        <f>IFERROR(VLOOKUP(C193,Stock,3,FALSE),"")</f>
        <v>Peti Kayu</v>
      </c>
      <c r="E193" s="56">
        <v>1.0</v>
      </c>
      <c r="F193" s="161">
        <v>150000.0</v>
      </c>
      <c r="G193" s="162">
        <f t="shared" si="8"/>
        <v>150000</v>
      </c>
      <c r="H193" s="194"/>
      <c r="I193" s="161">
        <f t="shared" si="5"/>
        <v>150000</v>
      </c>
      <c r="J193" s="164">
        <f t="shared" si="7"/>
        <v>150000</v>
      </c>
      <c r="K193" s="169" t="s">
        <v>3422</v>
      </c>
      <c r="L193" s="170" t="s">
        <v>3423</v>
      </c>
      <c r="M193" s="73"/>
      <c r="N193" s="171"/>
      <c r="O193" s="169" t="s">
        <v>2958</v>
      </c>
      <c r="P193" s="168" t="s">
        <v>3112</v>
      </c>
      <c r="Q193" s="173"/>
      <c r="R193" s="173"/>
      <c r="S193" s="173"/>
      <c r="T193" s="173"/>
      <c r="U193" s="173"/>
      <c r="V193" s="202"/>
      <c r="W193" s="171"/>
      <c r="X193" s="171"/>
    </row>
    <row r="194" ht="15.0" customHeight="1">
      <c r="A194" s="127">
        <v>45422.0</v>
      </c>
      <c r="B194" s="181" t="s">
        <v>3420</v>
      </c>
      <c r="C194" s="56" t="s">
        <v>2954</v>
      </c>
      <c r="D194" s="73" t="str">
        <f>IFERROR(VLOOKUP(C194,Stock,3,FALSE),"")</f>
        <v>Transport</v>
      </c>
      <c r="E194" s="56">
        <v>1.0</v>
      </c>
      <c r="F194" s="161">
        <v>550000.0</v>
      </c>
      <c r="G194" s="162">
        <f t="shared" si="8"/>
        <v>550000</v>
      </c>
      <c r="H194" s="194"/>
      <c r="I194" s="161">
        <f t="shared" si="5"/>
        <v>550000</v>
      </c>
      <c r="J194" s="164">
        <f t="shared" si="7"/>
        <v>550000</v>
      </c>
      <c r="K194" s="169" t="s">
        <v>3422</v>
      </c>
      <c r="L194" s="170" t="s">
        <v>3423</v>
      </c>
      <c r="M194" s="73"/>
      <c r="N194" s="171"/>
      <c r="O194" s="169" t="s">
        <v>2958</v>
      </c>
      <c r="P194" s="168" t="s">
        <v>3112</v>
      </c>
      <c r="Q194" s="173"/>
      <c r="R194" s="173"/>
      <c r="S194" s="173"/>
      <c r="T194" s="173"/>
      <c r="U194" s="173"/>
      <c r="V194" s="202"/>
      <c r="W194" s="171"/>
      <c r="X194" s="171"/>
    </row>
    <row r="195" ht="15.0" customHeight="1">
      <c r="A195" s="127">
        <v>45422.0</v>
      </c>
      <c r="B195" s="181" t="s">
        <v>3420</v>
      </c>
      <c r="C195" s="181" t="s">
        <v>3045</v>
      </c>
      <c r="D195" s="73" t="str">
        <f>IFERROR(VLOOKUP(C195,Stock,3,FALSE),"")</f>
        <v>Pemasangan Kaca Mobil Depan</v>
      </c>
      <c r="E195" s="56">
        <v>1.0</v>
      </c>
      <c r="F195" s="161">
        <v>400000.0</v>
      </c>
      <c r="G195" s="162">
        <f t="shared" si="8"/>
        <v>400000</v>
      </c>
      <c r="H195" s="194"/>
      <c r="I195" s="161">
        <f t="shared" si="5"/>
        <v>400000</v>
      </c>
      <c r="J195" s="164">
        <f t="shared" si="7"/>
        <v>400000</v>
      </c>
      <c r="K195" s="169" t="s">
        <v>3422</v>
      </c>
      <c r="L195" s="170" t="s">
        <v>3423</v>
      </c>
      <c r="M195" s="73"/>
      <c r="N195" s="171"/>
      <c r="O195" s="169" t="s">
        <v>2958</v>
      </c>
      <c r="P195" s="168" t="s">
        <v>3112</v>
      </c>
      <c r="Q195" s="173"/>
      <c r="R195" s="173"/>
      <c r="S195" s="173"/>
      <c r="T195" s="173"/>
      <c r="U195" s="173"/>
      <c r="V195" s="202"/>
      <c r="W195" s="171"/>
      <c r="X195" s="171"/>
    </row>
    <row r="196" ht="15.0" customHeight="1">
      <c r="A196" s="127">
        <v>45422.0</v>
      </c>
      <c r="B196" s="181" t="s">
        <v>3425</v>
      </c>
      <c r="C196" s="56" t="s">
        <v>3426</v>
      </c>
      <c r="D196" s="73" t="str">
        <f>IFERROR(VLOOKUP(C196,Stock,3,FALSE),"")</f>
        <v>Toyota Rush / Terios 06-17</v>
      </c>
      <c r="E196" s="56">
        <v>1.0</v>
      </c>
      <c r="F196" s="161">
        <v>1112000.0</v>
      </c>
      <c r="G196" s="162">
        <f t="shared" si="8"/>
        <v>1112000</v>
      </c>
      <c r="H196" s="194"/>
      <c r="I196" s="161">
        <f t="shared" si="5"/>
        <v>1112000</v>
      </c>
      <c r="J196" s="164">
        <f t="shared" si="7"/>
        <v>1112000</v>
      </c>
      <c r="K196" s="169" t="s">
        <v>3427</v>
      </c>
      <c r="L196" s="170" t="s">
        <v>3428</v>
      </c>
      <c r="M196" s="171"/>
      <c r="N196" s="171"/>
      <c r="O196" s="169" t="s">
        <v>2958</v>
      </c>
      <c r="P196" s="168" t="s">
        <v>3112</v>
      </c>
      <c r="Q196" s="173"/>
      <c r="R196" s="167">
        <v>1112000.0</v>
      </c>
      <c r="S196" s="173"/>
      <c r="T196" s="173"/>
      <c r="U196" s="173"/>
      <c r="V196" s="202"/>
      <c r="W196" s="171"/>
      <c r="X196" s="171"/>
    </row>
    <row r="197" ht="15.0" customHeight="1">
      <c r="A197" s="127">
        <v>45423.0</v>
      </c>
      <c r="B197" s="181" t="s">
        <v>3429</v>
      </c>
      <c r="C197" s="56" t="s">
        <v>3033</v>
      </c>
      <c r="D197" s="73" t="str">
        <f>IFERROR(VLOOKUP(C197,Stock,3,FALSE),"")</f>
        <v>Toyota Innova 04-15 1st Gen</v>
      </c>
      <c r="E197" s="56">
        <v>1.0</v>
      </c>
      <c r="F197" s="161">
        <v>1300000.0</v>
      </c>
      <c r="G197" s="162">
        <f t="shared" si="8"/>
        <v>1300000</v>
      </c>
      <c r="H197" s="194"/>
      <c r="I197" s="161">
        <f t="shared" si="5"/>
        <v>1300000</v>
      </c>
      <c r="J197" s="164">
        <f t="shared" si="7"/>
        <v>1300000</v>
      </c>
      <c r="K197" s="56" t="s">
        <v>3430</v>
      </c>
      <c r="L197" s="165" t="s">
        <v>3431</v>
      </c>
      <c r="M197" s="56" t="s">
        <v>3432</v>
      </c>
      <c r="N197" s="169" t="s">
        <v>3433</v>
      </c>
      <c r="O197" s="169" t="s">
        <v>2958</v>
      </c>
      <c r="P197" s="168" t="s">
        <v>3112</v>
      </c>
      <c r="Q197" s="167">
        <v>1300000.0</v>
      </c>
      <c r="R197" s="173"/>
      <c r="S197" s="173"/>
      <c r="T197" s="173"/>
      <c r="U197" s="173"/>
      <c r="V197" s="202"/>
      <c r="W197" s="171"/>
      <c r="X197" s="171"/>
    </row>
    <row r="198" ht="15.0" customHeight="1">
      <c r="A198" s="127">
        <v>45423.0</v>
      </c>
      <c r="B198" s="181" t="s">
        <v>3434</v>
      </c>
      <c r="C198" s="56" t="s">
        <v>2562</v>
      </c>
      <c r="D198" s="73" t="str">
        <f>IFERROR(VLOOKUP(C198,Stock,3,FALSE),"")</f>
        <v>Toyota Avanza / Xenia 15-21 3rd Gen</v>
      </c>
      <c r="E198" s="56">
        <v>1.0</v>
      </c>
      <c r="F198" s="161">
        <v>1020000.0</v>
      </c>
      <c r="G198" s="162">
        <f t="shared" si="8"/>
        <v>1020000</v>
      </c>
      <c r="H198" s="194"/>
      <c r="I198" s="161">
        <f t="shared" si="5"/>
        <v>1020000</v>
      </c>
      <c r="J198" s="164">
        <f t="shared" si="7"/>
        <v>1020000</v>
      </c>
      <c r="K198" s="169" t="s">
        <v>3435</v>
      </c>
      <c r="L198" s="170" t="s">
        <v>3436</v>
      </c>
      <c r="M198" s="169" t="s">
        <v>3437</v>
      </c>
      <c r="N198" s="169" t="s">
        <v>3438</v>
      </c>
      <c r="O198" s="169" t="s">
        <v>2958</v>
      </c>
      <c r="P198" s="168" t="s">
        <v>3112</v>
      </c>
      <c r="Q198" s="173"/>
      <c r="R198" s="167">
        <v>1020000.0</v>
      </c>
      <c r="S198" s="173"/>
      <c r="T198" s="173"/>
      <c r="U198" s="173"/>
      <c r="V198" s="202"/>
      <c r="W198" s="171"/>
      <c r="X198" s="171"/>
    </row>
    <row r="199" ht="15.0" customHeight="1">
      <c r="A199" s="127">
        <v>45425.0</v>
      </c>
      <c r="B199" s="181" t="s">
        <v>3439</v>
      </c>
      <c r="C199" s="56" t="s">
        <v>3127</v>
      </c>
      <c r="D199" s="73" t="str">
        <f>IFERROR(VLOOKUP(C199,Stock,3,FALSE),"")</f>
        <v>Toyota Avanza / Xenia 03-11 1st Gen</v>
      </c>
      <c r="E199" s="56">
        <v>1.0</v>
      </c>
      <c r="F199" s="161">
        <v>900000.0</v>
      </c>
      <c r="G199" s="162">
        <f t="shared" si="8"/>
        <v>900000</v>
      </c>
      <c r="H199" s="194"/>
      <c r="I199" s="161">
        <f t="shared" si="5"/>
        <v>900000</v>
      </c>
      <c r="J199" s="164">
        <f t="shared" si="7"/>
        <v>900000</v>
      </c>
      <c r="K199" s="56" t="s">
        <v>3440</v>
      </c>
      <c r="L199" s="165" t="s">
        <v>3441</v>
      </c>
      <c r="M199" s="73"/>
      <c r="N199" s="171"/>
      <c r="O199" s="169" t="s">
        <v>2958</v>
      </c>
      <c r="P199" s="166" t="s">
        <v>3112</v>
      </c>
      <c r="Q199" s="167">
        <v>900000.0</v>
      </c>
      <c r="R199" s="173"/>
      <c r="S199" s="173"/>
      <c r="T199" s="173"/>
      <c r="U199" s="173"/>
      <c r="V199" s="202"/>
      <c r="W199" s="171"/>
      <c r="X199" s="171"/>
    </row>
    <row r="200" ht="15.0" customHeight="1">
      <c r="A200" s="127">
        <v>45425.0</v>
      </c>
      <c r="B200" s="181" t="s">
        <v>3442</v>
      </c>
      <c r="C200" s="56" t="s">
        <v>3025</v>
      </c>
      <c r="D200" s="73" t="str">
        <f>IFERROR(VLOOKUP(C200,Stock,3,FALSE),"")</f>
        <v>Toyota Rush / Terios 06-17</v>
      </c>
      <c r="E200" s="56">
        <v>1.0</v>
      </c>
      <c r="F200" s="161">
        <v>1448000.0</v>
      </c>
      <c r="G200" s="162">
        <f t="shared" si="8"/>
        <v>1448000</v>
      </c>
      <c r="H200" s="194"/>
      <c r="I200" s="161">
        <f t="shared" si="5"/>
        <v>1448000</v>
      </c>
      <c r="J200" s="164">
        <f t="shared" si="7"/>
        <v>1448000</v>
      </c>
      <c r="K200" s="169" t="s">
        <v>3443</v>
      </c>
      <c r="L200" s="170" t="s">
        <v>3444</v>
      </c>
      <c r="M200" s="169" t="s">
        <v>3445</v>
      </c>
      <c r="N200" s="171"/>
      <c r="O200" s="169" t="s">
        <v>2958</v>
      </c>
      <c r="P200" s="168" t="s">
        <v>3112</v>
      </c>
      <c r="Q200" s="173"/>
      <c r="R200" s="167">
        <v>1448000.0</v>
      </c>
      <c r="S200" s="173"/>
      <c r="T200" s="173"/>
      <c r="U200" s="173"/>
      <c r="V200" s="202"/>
      <c r="W200" s="171"/>
      <c r="X200" s="171"/>
    </row>
    <row r="201" ht="15.0" customHeight="1">
      <c r="A201" s="127">
        <v>45425.0</v>
      </c>
      <c r="B201" s="181" t="s">
        <v>3446</v>
      </c>
      <c r="C201" s="56" t="s">
        <v>3186</v>
      </c>
      <c r="D201" s="73" t="str">
        <f>IFERROR(VLOOKUP(C201,Stock,3,FALSE),"")</f>
        <v>Daihatsu Gran Max / Luxio 07-</v>
      </c>
      <c r="E201" s="56">
        <v>1.0</v>
      </c>
      <c r="F201" s="161">
        <v>1098000.0</v>
      </c>
      <c r="G201" s="162">
        <f t="shared" si="8"/>
        <v>1098000</v>
      </c>
      <c r="H201" s="194"/>
      <c r="I201" s="161">
        <f t="shared" si="5"/>
        <v>1098000</v>
      </c>
      <c r="J201" s="164">
        <f t="shared" si="7"/>
        <v>1098000</v>
      </c>
      <c r="K201" s="56" t="s">
        <v>3447</v>
      </c>
      <c r="L201" s="165" t="s">
        <v>3448</v>
      </c>
      <c r="M201" s="56" t="s">
        <v>3449</v>
      </c>
      <c r="N201" s="171"/>
      <c r="O201" s="169" t="s">
        <v>2958</v>
      </c>
      <c r="P201" s="166" t="s">
        <v>3112</v>
      </c>
      <c r="Q201" s="167">
        <v>1098000.0</v>
      </c>
      <c r="R201" s="173"/>
      <c r="S201" s="173"/>
      <c r="T201" s="173"/>
      <c r="U201" s="173"/>
      <c r="V201" s="202"/>
      <c r="W201" s="171"/>
      <c r="X201" s="171"/>
    </row>
    <row r="202" ht="15.0" customHeight="1">
      <c r="A202" s="127">
        <v>45425.0</v>
      </c>
      <c r="B202" s="181" t="s">
        <v>3450</v>
      </c>
      <c r="C202" s="56" t="s">
        <v>3451</v>
      </c>
      <c r="D202" s="73" t="str">
        <f>IFERROR(VLOOKUP(C202,Stock,3,FALSE),"")</f>
        <v>Toyota Rush / Terios 18-</v>
      </c>
      <c r="E202" s="56">
        <v>1.0</v>
      </c>
      <c r="F202" s="161">
        <v>1398000.0</v>
      </c>
      <c r="G202" s="162">
        <f t="shared" si="8"/>
        <v>1398000</v>
      </c>
      <c r="H202" s="194"/>
      <c r="I202" s="161">
        <f t="shared" si="5"/>
        <v>1398000</v>
      </c>
      <c r="J202" s="164">
        <f t="shared" si="7"/>
        <v>1398000</v>
      </c>
      <c r="K202" s="56" t="s">
        <v>3452</v>
      </c>
      <c r="L202" s="165" t="s">
        <v>3453</v>
      </c>
      <c r="M202" s="56" t="s">
        <v>3454</v>
      </c>
      <c r="N202" s="171"/>
      <c r="O202" s="169" t="s">
        <v>3204</v>
      </c>
      <c r="P202" s="166" t="s">
        <v>3112</v>
      </c>
      <c r="Q202" s="167">
        <v>1398000.0</v>
      </c>
      <c r="R202" s="173"/>
      <c r="S202" s="173"/>
      <c r="T202" s="173"/>
      <c r="U202" s="173"/>
      <c r="V202" s="202"/>
      <c r="W202" s="171"/>
      <c r="X202" s="171"/>
    </row>
    <row r="203" ht="15.0" customHeight="1">
      <c r="A203" s="127">
        <v>45425.0</v>
      </c>
      <c r="B203" s="181" t="s">
        <v>3455</v>
      </c>
      <c r="C203" s="56" t="s">
        <v>3456</v>
      </c>
      <c r="D203" s="73" t="str">
        <f>IFERROR(VLOOKUP(C203,Stock,3,FALSE),"")</f>
        <v>Hyundai Atoz</v>
      </c>
      <c r="E203" s="56">
        <v>1.0</v>
      </c>
      <c r="F203" s="161">
        <v>1520000.0</v>
      </c>
      <c r="G203" s="162">
        <f t="shared" si="8"/>
        <v>1520000</v>
      </c>
      <c r="H203" s="194"/>
      <c r="I203" s="161">
        <f t="shared" si="5"/>
        <v>1520000</v>
      </c>
      <c r="J203" s="164">
        <f t="shared" si="7"/>
        <v>1520000</v>
      </c>
      <c r="K203" s="56" t="s">
        <v>3457</v>
      </c>
      <c r="L203" s="165" t="s">
        <v>3458</v>
      </c>
      <c r="M203" s="73"/>
      <c r="N203" s="171"/>
      <c r="O203" s="169" t="s">
        <v>3037</v>
      </c>
      <c r="P203" s="166" t="s">
        <v>3112</v>
      </c>
      <c r="Q203" s="167">
        <v>1520000.0</v>
      </c>
      <c r="R203" s="173"/>
      <c r="S203" s="173"/>
      <c r="T203" s="173"/>
      <c r="U203" s="173"/>
      <c r="V203" s="202"/>
      <c r="W203" s="171"/>
      <c r="X203" s="171"/>
    </row>
    <row r="204" ht="15.0" customHeight="1">
      <c r="A204" s="127">
        <v>45426.0</v>
      </c>
      <c r="B204" s="181" t="s">
        <v>3459</v>
      </c>
      <c r="C204" s="56" t="s">
        <v>3099</v>
      </c>
      <c r="D204" s="73" t="str">
        <f>IFERROR(VLOOKUP(C204,Stock,3,FALSE),"")</f>
        <v>Toyota Calya / Sigra 16-</v>
      </c>
      <c r="E204" s="56">
        <v>1.0</v>
      </c>
      <c r="F204" s="161">
        <v>1149000.0</v>
      </c>
      <c r="G204" s="162">
        <f t="shared" si="8"/>
        <v>1149000</v>
      </c>
      <c r="H204" s="194"/>
      <c r="I204" s="161">
        <f t="shared" si="5"/>
        <v>1149000</v>
      </c>
      <c r="J204" s="164">
        <f t="shared" si="7"/>
        <v>1149000</v>
      </c>
      <c r="K204" s="169" t="s">
        <v>3460</v>
      </c>
      <c r="L204" s="170" t="s">
        <v>3461</v>
      </c>
      <c r="M204" s="169" t="s">
        <v>3462</v>
      </c>
      <c r="N204" s="169" t="s">
        <v>3463</v>
      </c>
      <c r="O204" s="169" t="s">
        <v>2958</v>
      </c>
      <c r="P204" s="168" t="s">
        <v>3112</v>
      </c>
      <c r="Q204" s="167">
        <v>1149000.0</v>
      </c>
      <c r="R204" s="173"/>
      <c r="S204" s="173"/>
      <c r="T204" s="173"/>
      <c r="U204" s="173"/>
      <c r="V204" s="202"/>
      <c r="W204" s="171"/>
      <c r="X204" s="171"/>
    </row>
    <row r="205" ht="15.0" customHeight="1">
      <c r="A205" s="127">
        <v>45427.0</v>
      </c>
      <c r="B205" s="181" t="s">
        <v>3464</v>
      </c>
      <c r="C205" s="56" t="s">
        <v>3050</v>
      </c>
      <c r="D205" s="73" t="str">
        <f>IFERROR(VLOOKUP(C205,Stock,3,FALSE),"")</f>
        <v>Toyota Hilux Pickup 05-15</v>
      </c>
      <c r="E205" s="56">
        <v>1.0</v>
      </c>
      <c r="F205" s="161">
        <v>895000.0</v>
      </c>
      <c r="G205" s="162">
        <f t="shared" si="8"/>
        <v>895000</v>
      </c>
      <c r="H205" s="194"/>
      <c r="I205" s="161">
        <f t="shared" si="5"/>
        <v>895000</v>
      </c>
      <c r="J205" s="164">
        <f t="shared" si="7"/>
        <v>895000</v>
      </c>
      <c r="K205" s="56" t="s">
        <v>3465</v>
      </c>
      <c r="L205" s="165" t="s">
        <v>3466</v>
      </c>
      <c r="M205" s="171"/>
      <c r="N205" s="171"/>
      <c r="O205" s="169" t="s">
        <v>2958</v>
      </c>
      <c r="P205" s="168" t="s">
        <v>3467</v>
      </c>
      <c r="Q205" s="167">
        <v>895000.0</v>
      </c>
      <c r="R205" s="173"/>
      <c r="S205" s="173"/>
      <c r="T205" s="173"/>
      <c r="U205" s="173"/>
      <c r="V205" s="202"/>
      <c r="W205" s="171"/>
      <c r="X205" s="171"/>
    </row>
    <row r="206" ht="15.0" customHeight="1">
      <c r="A206" s="127">
        <v>45427.0</v>
      </c>
      <c r="B206" s="181" t="s">
        <v>3464</v>
      </c>
      <c r="C206" s="56" t="s">
        <v>3059</v>
      </c>
      <c r="D206" s="73" t="str">
        <f>IFERROR(VLOOKUP(C206,Stock,3,FALSE),"")</f>
        <v>Sealant Polyurethane XYG Tube</v>
      </c>
      <c r="E206" s="56">
        <v>1.0</v>
      </c>
      <c r="F206" s="161">
        <v>75000.0</v>
      </c>
      <c r="G206" s="162">
        <f t="shared" si="8"/>
        <v>75000</v>
      </c>
      <c r="H206" s="194"/>
      <c r="I206" s="161">
        <f t="shared" si="5"/>
        <v>75000</v>
      </c>
      <c r="J206" s="164">
        <f t="shared" si="7"/>
        <v>75000</v>
      </c>
      <c r="K206" s="56" t="s">
        <v>3465</v>
      </c>
      <c r="L206" s="165" t="s">
        <v>3466</v>
      </c>
      <c r="M206" s="73"/>
      <c r="N206" s="171"/>
      <c r="O206" s="169" t="s">
        <v>2958</v>
      </c>
      <c r="P206" s="166" t="s">
        <v>3467</v>
      </c>
      <c r="Q206" s="167">
        <v>75000.0</v>
      </c>
      <c r="R206" s="173"/>
      <c r="S206" s="173"/>
      <c r="T206" s="173"/>
      <c r="U206" s="173"/>
      <c r="V206" s="202"/>
      <c r="W206" s="171"/>
      <c r="X206" s="171"/>
    </row>
    <row r="207" ht="15.0" customHeight="1">
      <c r="A207" s="127">
        <v>45427.0</v>
      </c>
      <c r="B207" s="205" t="s">
        <v>3468</v>
      </c>
      <c r="C207" s="56" t="s">
        <v>3469</v>
      </c>
      <c r="D207" s="73" t="str">
        <f>IFERROR(VLOOKUP(C207,Stock,3,FALSE),"")</f>
        <v>Nissan UD Quester</v>
      </c>
      <c r="E207" s="56">
        <v>1.0</v>
      </c>
      <c r="F207" s="161">
        <v>915000.0</v>
      </c>
      <c r="G207" s="162">
        <f t="shared" si="8"/>
        <v>915000</v>
      </c>
      <c r="H207" s="194"/>
      <c r="I207" s="161">
        <f t="shared" si="5"/>
        <v>915000</v>
      </c>
      <c r="J207" s="164">
        <f t="shared" si="7"/>
        <v>915000</v>
      </c>
      <c r="K207" s="56" t="s">
        <v>3470</v>
      </c>
      <c r="L207" s="170" t="s">
        <v>3471</v>
      </c>
      <c r="M207" s="171"/>
      <c r="N207" s="171"/>
      <c r="O207" s="169" t="s">
        <v>2958</v>
      </c>
      <c r="P207" s="168" t="s">
        <v>3054</v>
      </c>
      <c r="Q207" s="167">
        <v>915000.0</v>
      </c>
      <c r="R207" s="173"/>
      <c r="S207" s="173"/>
      <c r="T207" s="173"/>
      <c r="U207" s="173"/>
      <c r="V207" s="202"/>
      <c r="W207" s="171"/>
      <c r="X207" s="171"/>
    </row>
    <row r="208" ht="15.0" customHeight="1">
      <c r="A208" s="127">
        <v>45428.0</v>
      </c>
      <c r="B208" s="181" t="s">
        <v>3472</v>
      </c>
      <c r="C208" s="56" t="s">
        <v>3186</v>
      </c>
      <c r="D208" s="73" t="str">
        <f>IFERROR(VLOOKUP(C208,Stock,3,FALSE),"")</f>
        <v>Daihatsu Gran Max / Luxio 07-</v>
      </c>
      <c r="E208" s="56">
        <v>1.0</v>
      </c>
      <c r="F208" s="161">
        <v>1100000.0</v>
      </c>
      <c r="G208" s="162">
        <f t="shared" si="8"/>
        <v>1100000</v>
      </c>
      <c r="H208" s="194"/>
      <c r="I208" s="161">
        <f t="shared" si="5"/>
        <v>1100000</v>
      </c>
      <c r="J208" s="164">
        <f t="shared" si="7"/>
        <v>1100000</v>
      </c>
      <c r="K208" s="56" t="s">
        <v>3473</v>
      </c>
      <c r="L208" s="165" t="s">
        <v>3474</v>
      </c>
      <c r="M208" s="73"/>
      <c r="N208" s="169" t="s">
        <v>3475</v>
      </c>
      <c r="O208" s="169" t="s">
        <v>2958</v>
      </c>
      <c r="P208" s="168" t="s">
        <v>3112</v>
      </c>
      <c r="Q208" s="173"/>
      <c r="R208" s="167">
        <v>1100000.0</v>
      </c>
      <c r="S208" s="173"/>
      <c r="T208" s="173"/>
      <c r="U208" s="173"/>
      <c r="V208" s="202"/>
      <c r="W208" s="171"/>
      <c r="X208" s="171"/>
    </row>
    <row r="209" ht="15.0" customHeight="1">
      <c r="A209" s="127">
        <v>45428.0</v>
      </c>
      <c r="B209" s="181" t="s">
        <v>3476</v>
      </c>
      <c r="C209" s="56" t="s">
        <v>2623</v>
      </c>
      <c r="D209" s="73" t="str">
        <f>IFERROR(VLOOKUP(C209,Stock,3,FALSE),"")</f>
        <v>Honda Civic 05-11 8th Gen (Civic Batman FD)</v>
      </c>
      <c r="E209" s="56">
        <v>1.0</v>
      </c>
      <c r="F209" s="161">
        <v>3198000.0</v>
      </c>
      <c r="G209" s="162">
        <f t="shared" si="8"/>
        <v>3198000</v>
      </c>
      <c r="H209" s="194"/>
      <c r="I209" s="161">
        <f t="shared" si="5"/>
        <v>3198000</v>
      </c>
      <c r="J209" s="164">
        <f t="shared" si="7"/>
        <v>3198000</v>
      </c>
      <c r="K209" s="56" t="s">
        <v>3477</v>
      </c>
      <c r="L209" s="165" t="s">
        <v>3478</v>
      </c>
      <c r="M209" s="56" t="s">
        <v>3479</v>
      </c>
      <c r="N209" s="169" t="s">
        <v>3480</v>
      </c>
      <c r="O209" s="169" t="s">
        <v>2958</v>
      </c>
      <c r="P209" s="168" t="s">
        <v>2922</v>
      </c>
      <c r="Q209" s="173"/>
      <c r="R209" s="167">
        <v>3198000.0</v>
      </c>
      <c r="S209" s="173"/>
      <c r="T209" s="173"/>
      <c r="U209" s="173"/>
      <c r="V209" s="202"/>
      <c r="W209" s="171"/>
      <c r="X209" s="171"/>
    </row>
    <row r="210" ht="15.0" customHeight="1">
      <c r="A210" s="127">
        <v>45429.0</v>
      </c>
      <c r="B210" s="181" t="s">
        <v>3481</v>
      </c>
      <c r="C210" s="56" t="s">
        <v>2730</v>
      </c>
      <c r="D210" s="73" t="str">
        <f>IFERROR(VLOOKUP(C210,Stock,3,FALSE),"")</f>
        <v>Honda HR-V 14-21 5D SUV (Honda)</v>
      </c>
      <c r="E210" s="56">
        <v>1.0</v>
      </c>
      <c r="F210" s="161">
        <v>3056000.0</v>
      </c>
      <c r="G210" s="162">
        <f t="shared" si="8"/>
        <v>3056000</v>
      </c>
      <c r="H210" s="194"/>
      <c r="I210" s="161">
        <f t="shared" si="5"/>
        <v>3056000</v>
      </c>
      <c r="J210" s="164">
        <f t="shared" si="7"/>
        <v>3056000</v>
      </c>
      <c r="K210" s="56" t="s">
        <v>3482</v>
      </c>
      <c r="L210" s="165" t="s">
        <v>3483</v>
      </c>
      <c r="M210" s="73"/>
      <c r="N210" s="169" t="s">
        <v>3484</v>
      </c>
      <c r="O210" s="169" t="s">
        <v>2958</v>
      </c>
      <c r="P210" s="168" t="s">
        <v>3112</v>
      </c>
      <c r="Q210" s="173"/>
      <c r="R210" s="167">
        <v>3056000.0</v>
      </c>
      <c r="S210" s="173"/>
      <c r="T210" s="173"/>
      <c r="U210" s="173"/>
      <c r="V210" s="202"/>
      <c r="W210" s="171"/>
      <c r="X210" s="171"/>
    </row>
    <row r="211" ht="15.0" customHeight="1">
      <c r="A211" s="127">
        <v>45429.0</v>
      </c>
      <c r="B211" s="181" t="s">
        <v>3485</v>
      </c>
      <c r="C211" s="56" t="s">
        <v>2562</v>
      </c>
      <c r="D211" s="73" t="str">
        <f>IFERROR(VLOOKUP(C211,Stock,3,FALSE),"")</f>
        <v>Toyota Avanza / Xenia 15-21 3rd Gen</v>
      </c>
      <c r="E211" s="56">
        <v>1.0</v>
      </c>
      <c r="F211" s="161">
        <v>879000.0</v>
      </c>
      <c r="G211" s="162">
        <f t="shared" si="8"/>
        <v>879000</v>
      </c>
      <c r="H211" s="194"/>
      <c r="I211" s="161">
        <f t="shared" si="5"/>
        <v>879000</v>
      </c>
      <c r="J211" s="164">
        <f t="shared" si="7"/>
        <v>879000</v>
      </c>
      <c r="K211" s="56" t="s">
        <v>3486</v>
      </c>
      <c r="L211" s="165" t="s">
        <v>3487</v>
      </c>
      <c r="M211" s="73"/>
      <c r="N211" s="171"/>
      <c r="O211" s="169" t="s">
        <v>2958</v>
      </c>
      <c r="P211" s="168" t="s">
        <v>2922</v>
      </c>
      <c r="Q211" s="173"/>
      <c r="R211" s="167"/>
      <c r="S211" s="167">
        <v>879000.0</v>
      </c>
      <c r="T211" s="206">
        <v>57135.0</v>
      </c>
      <c r="U211" s="173"/>
      <c r="V211" s="202"/>
      <c r="W211" s="171"/>
      <c r="X211" s="171"/>
    </row>
    <row r="212" ht="15.0" customHeight="1">
      <c r="A212" s="127">
        <v>45429.0</v>
      </c>
      <c r="B212" s="181" t="s">
        <v>3488</v>
      </c>
      <c r="C212" s="175" t="s">
        <v>2567</v>
      </c>
      <c r="D212" s="73" t="str">
        <f>IFERROR(VLOOKUP(C212,Stock,3,FALSE),"")</f>
        <v>Toyota Camry 02-06 ACV30 3rd Gen</v>
      </c>
      <c r="E212" s="56">
        <v>1.0</v>
      </c>
      <c r="F212" s="161">
        <v>2742000.0</v>
      </c>
      <c r="G212" s="162">
        <f t="shared" si="8"/>
        <v>2742000</v>
      </c>
      <c r="H212" s="194"/>
      <c r="I212" s="161">
        <f t="shared" si="5"/>
        <v>2742000</v>
      </c>
      <c r="J212" s="164">
        <f t="shared" si="7"/>
        <v>2742000</v>
      </c>
      <c r="K212" s="161" t="s">
        <v>3489</v>
      </c>
      <c r="L212" s="165" t="s">
        <v>3490</v>
      </c>
      <c r="M212" s="73"/>
      <c r="N212" s="169" t="s">
        <v>3491</v>
      </c>
      <c r="O212" s="169" t="s">
        <v>2958</v>
      </c>
      <c r="P212" s="168" t="s">
        <v>3112</v>
      </c>
      <c r="Q212" s="173"/>
      <c r="R212" s="167">
        <v>2742000.0</v>
      </c>
      <c r="S212" s="173"/>
      <c r="T212" s="173"/>
      <c r="U212" s="173"/>
      <c r="V212" s="202"/>
      <c r="W212" s="171"/>
      <c r="X212" s="171"/>
    </row>
    <row r="213" ht="15.0" customHeight="1">
      <c r="A213" s="127">
        <v>45430.0</v>
      </c>
      <c r="B213" s="181" t="s">
        <v>3492</v>
      </c>
      <c r="C213" s="56" t="s">
        <v>3493</v>
      </c>
      <c r="D213" s="73" t="str">
        <f>IFERROR(VLOOKUP(C213,Stock,3,FALSE),"")</f>
        <v>Nissan Livina 07-18 L10/L11</v>
      </c>
      <c r="E213" s="56">
        <v>1.0</v>
      </c>
      <c r="F213" s="161">
        <v>1198000.0</v>
      </c>
      <c r="G213" s="162">
        <f t="shared" si="8"/>
        <v>1198000</v>
      </c>
      <c r="H213" s="194"/>
      <c r="I213" s="161">
        <f t="shared" si="5"/>
        <v>1198000</v>
      </c>
      <c r="J213" s="164">
        <f t="shared" si="7"/>
        <v>1198000</v>
      </c>
      <c r="K213" s="56" t="s">
        <v>3494</v>
      </c>
      <c r="L213" s="165" t="s">
        <v>3495</v>
      </c>
      <c r="M213" s="73"/>
      <c r="N213" s="171"/>
      <c r="O213" s="169" t="s">
        <v>2958</v>
      </c>
      <c r="P213" s="168" t="s">
        <v>3112</v>
      </c>
      <c r="Q213" s="173"/>
      <c r="R213" s="167">
        <v>1198000.0</v>
      </c>
      <c r="S213" s="173"/>
      <c r="T213" s="173"/>
      <c r="U213" s="173"/>
      <c r="V213" s="202"/>
      <c r="W213" s="171"/>
      <c r="X213" s="171"/>
    </row>
    <row r="214" ht="15.0" customHeight="1">
      <c r="A214" s="127">
        <v>45430.0</v>
      </c>
      <c r="B214" s="181" t="s">
        <v>3492</v>
      </c>
      <c r="C214" s="56" t="s">
        <v>2934</v>
      </c>
      <c r="D214" s="73" t="str">
        <f>IFERROR(VLOOKUP(C214,Stock,3,FALSE),"")</f>
        <v>Peti Kayu</v>
      </c>
      <c r="E214" s="56">
        <v>1.0</v>
      </c>
      <c r="F214" s="161">
        <v>160000.0</v>
      </c>
      <c r="G214" s="162">
        <f t="shared" si="8"/>
        <v>160000</v>
      </c>
      <c r="H214" s="194"/>
      <c r="I214" s="161">
        <f t="shared" si="5"/>
        <v>160000</v>
      </c>
      <c r="J214" s="164">
        <f t="shared" si="7"/>
        <v>160000</v>
      </c>
      <c r="K214" s="56" t="s">
        <v>3494</v>
      </c>
      <c r="L214" s="165" t="s">
        <v>3495</v>
      </c>
      <c r="M214" s="73"/>
      <c r="N214" s="171"/>
      <c r="O214" s="169" t="s">
        <v>2958</v>
      </c>
      <c r="P214" s="168" t="s">
        <v>3112</v>
      </c>
      <c r="Q214" s="173"/>
      <c r="R214" s="167">
        <v>160000.0</v>
      </c>
      <c r="S214" s="173"/>
      <c r="T214" s="173"/>
      <c r="U214" s="173"/>
      <c r="V214" s="202"/>
      <c r="W214" s="171"/>
      <c r="X214" s="171"/>
    </row>
    <row r="215" ht="15.0" customHeight="1">
      <c r="A215" s="127">
        <v>45430.0</v>
      </c>
      <c r="B215" s="181" t="s">
        <v>3492</v>
      </c>
      <c r="C215" s="56" t="s">
        <v>2954</v>
      </c>
      <c r="D215" s="73" t="str">
        <f>IFERROR(VLOOKUP(C215,Stock,3,FALSE),"")</f>
        <v>Transport</v>
      </c>
      <c r="E215" s="56">
        <v>1.0</v>
      </c>
      <c r="F215" s="161">
        <v>75000.0</v>
      </c>
      <c r="G215" s="162">
        <f t="shared" si="8"/>
        <v>75000</v>
      </c>
      <c r="H215" s="194"/>
      <c r="I215" s="161">
        <f t="shared" si="5"/>
        <v>75000</v>
      </c>
      <c r="J215" s="164">
        <f t="shared" si="7"/>
        <v>75000</v>
      </c>
      <c r="K215" s="56" t="s">
        <v>3494</v>
      </c>
      <c r="L215" s="165" t="s">
        <v>3495</v>
      </c>
      <c r="M215" s="73"/>
      <c r="N215" s="171"/>
      <c r="O215" s="169" t="s">
        <v>2958</v>
      </c>
      <c r="P215" s="168" t="s">
        <v>3112</v>
      </c>
      <c r="Q215" s="173"/>
      <c r="R215" s="167">
        <v>75000.0</v>
      </c>
      <c r="S215" s="173"/>
      <c r="T215" s="173"/>
      <c r="U215" s="173"/>
      <c r="V215" s="202"/>
      <c r="W215" s="171"/>
      <c r="X215" s="171"/>
    </row>
    <row r="216" ht="15.0" customHeight="1">
      <c r="A216" s="127">
        <v>45430.0</v>
      </c>
      <c r="B216" s="181" t="s">
        <v>3492</v>
      </c>
      <c r="C216" s="56" t="s">
        <v>3059</v>
      </c>
      <c r="D216" s="73" t="str">
        <f>IFERROR(VLOOKUP(C216,Stock,3,FALSE),"")</f>
        <v>Sealant Polyurethane XYG Tube</v>
      </c>
      <c r="E216" s="56">
        <v>2.0</v>
      </c>
      <c r="F216" s="161">
        <v>75000.0</v>
      </c>
      <c r="G216" s="162">
        <f t="shared" si="8"/>
        <v>150000</v>
      </c>
      <c r="H216" s="194"/>
      <c r="I216" s="161">
        <f t="shared" si="5"/>
        <v>150000</v>
      </c>
      <c r="J216" s="164">
        <f t="shared" si="7"/>
        <v>150000</v>
      </c>
      <c r="K216" s="56" t="s">
        <v>3494</v>
      </c>
      <c r="L216" s="165" t="s">
        <v>3495</v>
      </c>
      <c r="M216" s="73"/>
      <c r="N216" s="171"/>
      <c r="O216" s="169" t="s">
        <v>2958</v>
      </c>
      <c r="P216" s="168" t="s">
        <v>3112</v>
      </c>
      <c r="Q216" s="173"/>
      <c r="R216" s="167">
        <v>150000.0</v>
      </c>
      <c r="S216" s="173"/>
      <c r="T216" s="173"/>
      <c r="U216" s="173"/>
      <c r="V216" s="202"/>
      <c r="W216" s="171"/>
      <c r="X216" s="171"/>
    </row>
    <row r="217" ht="15.0" customHeight="1">
      <c r="A217" s="127">
        <v>45430.0</v>
      </c>
      <c r="B217" s="181" t="s">
        <v>3496</v>
      </c>
      <c r="C217" s="56" t="s">
        <v>3497</v>
      </c>
      <c r="D217" s="73" t="str">
        <f>IFERROR(VLOOKUP(C217,Stock,3,FALSE),"")</f>
        <v>Honda CR-V 02-04 2nd Gen (Spion Jepit)</v>
      </c>
      <c r="E217" s="56">
        <v>1.0</v>
      </c>
      <c r="F217" s="161">
        <v>1562000.0</v>
      </c>
      <c r="G217" s="162">
        <f t="shared" si="8"/>
        <v>1562000</v>
      </c>
      <c r="H217" s="194"/>
      <c r="I217" s="161">
        <f t="shared" si="5"/>
        <v>1562000</v>
      </c>
      <c r="J217" s="164">
        <f t="shared" si="7"/>
        <v>1562000</v>
      </c>
      <c r="K217" s="56" t="s">
        <v>3498</v>
      </c>
      <c r="L217" s="165" t="s">
        <v>3499</v>
      </c>
      <c r="M217" s="73"/>
      <c r="N217" s="171"/>
      <c r="O217" s="169" t="s">
        <v>3500</v>
      </c>
      <c r="P217" s="168" t="s">
        <v>3112</v>
      </c>
      <c r="Q217" s="173"/>
      <c r="R217" s="167">
        <v>200000.0</v>
      </c>
      <c r="S217" s="173"/>
      <c r="T217" s="173"/>
      <c r="U217" s="173"/>
      <c r="V217" s="202"/>
      <c r="W217" s="171"/>
      <c r="X217" s="171"/>
    </row>
    <row r="218" ht="15.0" customHeight="1">
      <c r="A218" s="127">
        <v>45430.0</v>
      </c>
      <c r="B218" s="181" t="s">
        <v>3496</v>
      </c>
      <c r="C218" s="56" t="s">
        <v>3501</v>
      </c>
      <c r="D218" s="73" t="str">
        <f>IFERROR(VLOOKUP(C218,Stock,3,FALSE),"")</f>
        <v>Honda CR-V 02-06 2nd Gen</v>
      </c>
      <c r="E218" s="56">
        <v>1.0</v>
      </c>
      <c r="F218" s="161">
        <v>1898000.0</v>
      </c>
      <c r="G218" s="162">
        <f t="shared" si="8"/>
        <v>1898000</v>
      </c>
      <c r="H218" s="194"/>
      <c r="I218" s="161">
        <f t="shared" si="5"/>
        <v>1898000</v>
      </c>
      <c r="J218" s="164">
        <f t="shared" si="7"/>
        <v>1898000</v>
      </c>
      <c r="K218" s="56" t="s">
        <v>3498</v>
      </c>
      <c r="L218" s="165" t="s">
        <v>3499</v>
      </c>
      <c r="M218" s="73"/>
      <c r="N218" s="171"/>
      <c r="O218" s="169" t="s">
        <v>3500</v>
      </c>
      <c r="P218" s="168" t="s">
        <v>3112</v>
      </c>
      <c r="Q218" s="173"/>
      <c r="R218" s="167">
        <v>6084000.0</v>
      </c>
      <c r="S218" s="173"/>
      <c r="T218" s="173"/>
      <c r="U218" s="173"/>
      <c r="V218" s="202"/>
      <c r="W218" s="171"/>
      <c r="X218" s="171"/>
    </row>
    <row r="219" ht="15.0" customHeight="1">
      <c r="A219" s="127">
        <v>45430.0</v>
      </c>
      <c r="B219" s="181" t="s">
        <v>3496</v>
      </c>
      <c r="C219" s="56" t="s">
        <v>3502</v>
      </c>
      <c r="D219" s="73" t="str">
        <f>IFERROR(VLOOKUP(C219,Stock,3,FALSE),"")</f>
        <v>Honda CR-V 02-06 2nd Gen</v>
      </c>
      <c r="E219" s="56">
        <v>1.0</v>
      </c>
      <c r="F219" s="161">
        <v>1390000.0</v>
      </c>
      <c r="G219" s="162">
        <f t="shared" si="8"/>
        <v>1390000</v>
      </c>
      <c r="H219" s="194"/>
      <c r="I219" s="161">
        <f t="shared" si="5"/>
        <v>1390000</v>
      </c>
      <c r="J219" s="164">
        <f t="shared" si="7"/>
        <v>1390000</v>
      </c>
      <c r="K219" s="56" t="s">
        <v>3498</v>
      </c>
      <c r="L219" s="165" t="s">
        <v>3499</v>
      </c>
      <c r="M219" s="73"/>
      <c r="N219" s="171"/>
      <c r="O219" s="169" t="s">
        <v>3500</v>
      </c>
      <c r="P219" s="168" t="s">
        <v>3112</v>
      </c>
      <c r="Q219" s="173"/>
      <c r="R219" s="173"/>
      <c r="S219" s="173"/>
      <c r="T219" s="173"/>
      <c r="U219" s="173"/>
      <c r="V219" s="202"/>
      <c r="W219" s="171"/>
      <c r="X219" s="171"/>
    </row>
    <row r="220" ht="15.0" customHeight="1">
      <c r="A220" s="127">
        <v>45430.0</v>
      </c>
      <c r="B220" s="181" t="s">
        <v>3496</v>
      </c>
      <c r="C220" s="56" t="s">
        <v>3503</v>
      </c>
      <c r="D220" s="73" t="str">
        <f>IFERROR(VLOOKUP(C220,Stock,3,FALSE),"")</f>
        <v>Honda CR-V 02-06 2nd Gen</v>
      </c>
      <c r="E220" s="56">
        <v>1.0</v>
      </c>
      <c r="F220" s="161">
        <v>1390000.0</v>
      </c>
      <c r="G220" s="162">
        <f t="shared" si="8"/>
        <v>1390000</v>
      </c>
      <c r="H220" s="194"/>
      <c r="I220" s="161">
        <f t="shared" si="5"/>
        <v>1390000</v>
      </c>
      <c r="J220" s="164">
        <f t="shared" si="7"/>
        <v>1390000</v>
      </c>
      <c r="K220" s="56" t="s">
        <v>3498</v>
      </c>
      <c r="L220" s="165" t="s">
        <v>3499</v>
      </c>
      <c r="M220" s="73"/>
      <c r="N220" s="171"/>
      <c r="O220" s="169" t="s">
        <v>3500</v>
      </c>
      <c r="P220" s="168" t="s">
        <v>3112</v>
      </c>
      <c r="Q220" s="173"/>
      <c r="R220" s="173"/>
      <c r="S220" s="173"/>
      <c r="T220" s="173"/>
      <c r="U220" s="173"/>
      <c r="V220" s="202"/>
      <c r="W220" s="171"/>
      <c r="X220" s="171"/>
    </row>
    <row r="221" ht="15.0" customHeight="1">
      <c r="A221" s="127">
        <v>45430.0</v>
      </c>
      <c r="B221" s="181" t="s">
        <v>3496</v>
      </c>
      <c r="C221" s="56" t="s">
        <v>2954</v>
      </c>
      <c r="D221" s="73" t="str">
        <f>IFERROR(VLOOKUP(C221,Stock,3,FALSE),"")</f>
        <v>Transport</v>
      </c>
      <c r="E221" s="56">
        <v>1.0</v>
      </c>
      <c r="F221" s="161">
        <v>44000.0</v>
      </c>
      <c r="G221" s="162">
        <f t="shared" si="8"/>
        <v>44000</v>
      </c>
      <c r="H221" s="194"/>
      <c r="I221" s="161">
        <f t="shared" si="5"/>
        <v>44000</v>
      </c>
      <c r="J221" s="164">
        <f t="shared" si="7"/>
        <v>44000</v>
      </c>
      <c r="K221" s="56" t="s">
        <v>3498</v>
      </c>
      <c r="L221" s="165" t="s">
        <v>3499</v>
      </c>
      <c r="M221" s="73"/>
      <c r="N221" s="171"/>
      <c r="O221" s="169" t="s">
        <v>3500</v>
      </c>
      <c r="P221" s="168" t="s">
        <v>3112</v>
      </c>
      <c r="Q221" s="173"/>
      <c r="R221" s="173"/>
      <c r="S221" s="173"/>
      <c r="T221" s="173"/>
      <c r="U221" s="173"/>
      <c r="V221" s="202"/>
      <c r="W221" s="171"/>
      <c r="X221" s="171"/>
    </row>
    <row r="222" ht="15.0" customHeight="1">
      <c r="A222" s="127">
        <v>45430.0</v>
      </c>
      <c r="B222" s="181" t="s">
        <v>3504</v>
      </c>
      <c r="C222" s="175" t="s">
        <v>3243</v>
      </c>
      <c r="D222" s="73" t="str">
        <f>IFERROR(VLOOKUP(C222,Stock,3,FALSE),"")</f>
        <v>Daihatsu Taruna</v>
      </c>
      <c r="E222" s="56">
        <v>1.0</v>
      </c>
      <c r="F222" s="161">
        <v>569000.0</v>
      </c>
      <c r="G222" s="162">
        <f t="shared" si="8"/>
        <v>569000</v>
      </c>
      <c r="H222" s="194"/>
      <c r="I222" s="161">
        <f t="shared" si="5"/>
        <v>569000</v>
      </c>
      <c r="J222" s="164">
        <f t="shared" si="7"/>
        <v>569000</v>
      </c>
      <c r="K222" s="56" t="s">
        <v>3505</v>
      </c>
      <c r="L222" s="207" t="s">
        <v>3506</v>
      </c>
      <c r="M222" s="73"/>
      <c r="N222" s="171"/>
      <c r="O222" s="169" t="s">
        <v>2958</v>
      </c>
      <c r="P222" s="168" t="s">
        <v>3112</v>
      </c>
      <c r="Q222" s="167">
        <v>569000.0</v>
      </c>
      <c r="R222" s="173"/>
      <c r="S222" s="173"/>
      <c r="T222" s="173"/>
      <c r="U222" s="173"/>
      <c r="V222" s="202"/>
      <c r="W222" s="171"/>
      <c r="X222" s="171"/>
    </row>
    <row r="223" ht="15.0" customHeight="1">
      <c r="A223" s="127">
        <v>45430.0</v>
      </c>
      <c r="B223" s="181" t="s">
        <v>3504</v>
      </c>
      <c r="C223" s="208" t="s">
        <v>3059</v>
      </c>
      <c r="D223" s="73" t="str">
        <f>IFERROR(VLOOKUP(C223,Stock,3,FALSE),"")</f>
        <v>Sealant Polyurethane XYG Tube</v>
      </c>
      <c r="E223" s="56">
        <v>1.0</v>
      </c>
      <c r="F223" s="161">
        <v>75000.0</v>
      </c>
      <c r="G223" s="162">
        <f t="shared" si="8"/>
        <v>75000</v>
      </c>
      <c r="H223" s="194"/>
      <c r="I223" s="161">
        <f t="shared" si="5"/>
        <v>75000</v>
      </c>
      <c r="J223" s="164">
        <f t="shared" si="7"/>
        <v>75000</v>
      </c>
      <c r="K223" s="56" t="s">
        <v>3505</v>
      </c>
      <c r="L223" s="207" t="s">
        <v>3506</v>
      </c>
      <c r="M223" s="73"/>
      <c r="N223" s="171"/>
      <c r="O223" s="169" t="s">
        <v>2958</v>
      </c>
      <c r="P223" s="168" t="s">
        <v>3112</v>
      </c>
      <c r="Q223" s="167">
        <v>75000.0</v>
      </c>
      <c r="R223" s="173"/>
      <c r="S223" s="173"/>
      <c r="T223" s="173"/>
      <c r="U223" s="173"/>
      <c r="V223" s="202"/>
      <c r="W223" s="171"/>
      <c r="X223" s="171"/>
    </row>
    <row r="224" ht="15.0" customHeight="1">
      <c r="A224" s="127">
        <v>45430.0</v>
      </c>
      <c r="B224" s="181" t="s">
        <v>3507</v>
      </c>
      <c r="C224" s="175" t="s">
        <v>3159</v>
      </c>
      <c r="D224" s="73" t="str">
        <f>IFERROR(VLOOKUP(C224,Stock,3,FALSE),"")</f>
        <v>Honda Jazz 13- 3rd Gen</v>
      </c>
      <c r="E224" s="56">
        <v>1.0</v>
      </c>
      <c r="F224" s="161">
        <v>1657000.0</v>
      </c>
      <c r="G224" s="162">
        <f t="shared" si="8"/>
        <v>1657000</v>
      </c>
      <c r="H224" s="194"/>
      <c r="I224" s="161">
        <f t="shared" si="5"/>
        <v>1657000</v>
      </c>
      <c r="J224" s="164">
        <f t="shared" si="7"/>
        <v>1657000</v>
      </c>
      <c r="K224" s="56" t="s">
        <v>3508</v>
      </c>
      <c r="L224" s="165" t="s">
        <v>3509</v>
      </c>
      <c r="M224" s="73"/>
      <c r="N224" s="171"/>
      <c r="O224" s="169" t="s">
        <v>2958</v>
      </c>
      <c r="P224" s="168" t="s">
        <v>3112</v>
      </c>
      <c r="Q224" s="173"/>
      <c r="R224" s="167">
        <v>1657000.0</v>
      </c>
      <c r="S224" s="173"/>
      <c r="T224" s="173"/>
      <c r="U224" s="173"/>
      <c r="V224" s="202"/>
      <c r="W224" s="171"/>
      <c r="X224" s="171"/>
    </row>
    <row r="225" ht="15.0" customHeight="1">
      <c r="A225" s="127">
        <v>45431.0</v>
      </c>
      <c r="B225" s="181" t="s">
        <v>3510</v>
      </c>
      <c r="C225" s="56" t="s">
        <v>3159</v>
      </c>
      <c r="D225" s="73" t="str">
        <f>IFERROR(VLOOKUP(C225,Stock,3,FALSE),"")</f>
        <v>Honda Jazz 13- 3rd Gen</v>
      </c>
      <c r="E225" s="56">
        <v>1.0</v>
      </c>
      <c r="F225" s="161">
        <v>1657000.0</v>
      </c>
      <c r="G225" s="162">
        <f t="shared" si="8"/>
        <v>1657000</v>
      </c>
      <c r="H225" s="194"/>
      <c r="I225" s="161">
        <f t="shared" si="5"/>
        <v>1657000</v>
      </c>
      <c r="J225" s="164">
        <f t="shared" si="7"/>
        <v>1657000</v>
      </c>
      <c r="K225" s="56" t="s">
        <v>3511</v>
      </c>
      <c r="L225" s="165" t="s">
        <v>3512</v>
      </c>
      <c r="M225" s="73"/>
      <c r="N225" s="171"/>
      <c r="O225" s="169" t="s">
        <v>3204</v>
      </c>
      <c r="P225" s="168" t="s">
        <v>3112</v>
      </c>
      <c r="Q225" s="173"/>
      <c r="R225" s="167">
        <v>1657000.0</v>
      </c>
      <c r="S225" s="173"/>
      <c r="T225" s="173"/>
      <c r="U225" s="173"/>
      <c r="V225" s="202"/>
      <c r="W225" s="171"/>
      <c r="X225" s="171"/>
    </row>
    <row r="226" ht="15.0" customHeight="1">
      <c r="A226" s="127">
        <v>45431.0</v>
      </c>
      <c r="B226" s="181" t="s">
        <v>3510</v>
      </c>
      <c r="C226" s="56" t="s">
        <v>3513</v>
      </c>
      <c r="D226" s="73" t="str">
        <f>IFERROR(VLOOKUP(C226,Stock,3,FALSE),"")</f>
        <v>Lembur</v>
      </c>
      <c r="E226" s="56">
        <v>1.0</v>
      </c>
      <c r="F226" s="161">
        <v>100000.0</v>
      </c>
      <c r="G226" s="162">
        <f t="shared" si="8"/>
        <v>100000</v>
      </c>
      <c r="H226" s="194"/>
      <c r="I226" s="161">
        <f t="shared" si="5"/>
        <v>100000</v>
      </c>
      <c r="J226" s="164">
        <f t="shared" si="7"/>
        <v>100000</v>
      </c>
      <c r="K226" s="56" t="s">
        <v>3511</v>
      </c>
      <c r="L226" s="207" t="s">
        <v>3512</v>
      </c>
      <c r="M226" s="73"/>
      <c r="N226" s="171"/>
      <c r="O226" s="169" t="s">
        <v>3204</v>
      </c>
      <c r="P226" s="168" t="s">
        <v>3112</v>
      </c>
      <c r="Q226" s="173"/>
      <c r="R226" s="167">
        <v>100000.0</v>
      </c>
      <c r="S226" s="173"/>
      <c r="T226" s="173"/>
      <c r="U226" s="173"/>
      <c r="V226" s="202"/>
      <c r="W226" s="171"/>
      <c r="X226" s="171"/>
    </row>
    <row r="227" ht="15.0" customHeight="1">
      <c r="A227" s="127">
        <v>45431.0</v>
      </c>
      <c r="B227" s="181" t="s">
        <v>3510</v>
      </c>
      <c r="C227" s="56" t="s">
        <v>2954</v>
      </c>
      <c r="D227" s="73" t="str">
        <f>IFERROR(VLOOKUP(C227,Stock,3,FALSE),"")</f>
        <v>Transport</v>
      </c>
      <c r="E227" s="56">
        <v>1.0</v>
      </c>
      <c r="F227" s="161">
        <v>150000.0</v>
      </c>
      <c r="G227" s="162">
        <f t="shared" si="8"/>
        <v>150000</v>
      </c>
      <c r="H227" s="194"/>
      <c r="I227" s="161">
        <f t="shared" si="5"/>
        <v>150000</v>
      </c>
      <c r="J227" s="164">
        <f t="shared" si="7"/>
        <v>150000</v>
      </c>
      <c r="K227" s="56" t="s">
        <v>3511</v>
      </c>
      <c r="L227" s="165" t="s">
        <v>3512</v>
      </c>
      <c r="M227" s="73"/>
      <c r="N227" s="171"/>
      <c r="O227" s="169" t="s">
        <v>3204</v>
      </c>
      <c r="P227" s="168" t="s">
        <v>3112</v>
      </c>
      <c r="Q227" s="173"/>
      <c r="R227" s="167">
        <v>150000.0</v>
      </c>
      <c r="S227" s="173"/>
      <c r="T227" s="173"/>
      <c r="U227" s="173"/>
      <c r="V227" s="202"/>
      <c r="W227" s="171"/>
      <c r="X227" s="171"/>
    </row>
    <row r="228" ht="15.0" customHeight="1">
      <c r="A228" s="127">
        <v>45432.0</v>
      </c>
      <c r="B228" s="181" t="s">
        <v>3514</v>
      </c>
      <c r="C228" s="56" t="s">
        <v>3360</v>
      </c>
      <c r="D228" s="73" t="str">
        <f>IFERROR(VLOOKUP(C228,Stock,3,FALSE),"")</f>
        <v>Mitsubishi Xpander 17-</v>
      </c>
      <c r="E228" s="56">
        <v>1.0</v>
      </c>
      <c r="F228" s="161">
        <v>1800000.0</v>
      </c>
      <c r="G228" s="162">
        <f t="shared" si="8"/>
        <v>1800000</v>
      </c>
      <c r="H228" s="194"/>
      <c r="I228" s="161">
        <f t="shared" si="5"/>
        <v>1800000</v>
      </c>
      <c r="J228" s="164">
        <f t="shared" si="7"/>
        <v>1800000</v>
      </c>
      <c r="K228" s="56" t="s">
        <v>3515</v>
      </c>
      <c r="L228" s="165" t="s">
        <v>3516</v>
      </c>
      <c r="M228" s="73"/>
      <c r="N228" s="171"/>
      <c r="O228" s="169" t="s">
        <v>2958</v>
      </c>
      <c r="P228" s="168" t="s">
        <v>3112</v>
      </c>
      <c r="Q228" s="173"/>
      <c r="R228" s="167">
        <v>1800000.0</v>
      </c>
      <c r="S228" s="173"/>
      <c r="T228" s="173"/>
      <c r="U228" s="173"/>
      <c r="V228" s="202"/>
      <c r="W228" s="171"/>
      <c r="X228" s="171"/>
    </row>
    <row r="229" ht="15.0" customHeight="1">
      <c r="A229" s="209">
        <v>45432.0</v>
      </c>
      <c r="B229" s="181" t="s">
        <v>3517</v>
      </c>
      <c r="C229" s="175" t="s">
        <v>3050</v>
      </c>
      <c r="D229" s="73" t="str">
        <f>IFERROR(VLOOKUP(C229,Stock,3,FALSE),"")</f>
        <v>Toyota Hilux Pickup 05-15</v>
      </c>
      <c r="E229" s="56">
        <v>1.0</v>
      </c>
      <c r="F229" s="161">
        <v>995000.0</v>
      </c>
      <c r="G229" s="162">
        <f t="shared" si="8"/>
        <v>995000</v>
      </c>
      <c r="H229" s="194"/>
      <c r="I229" s="161">
        <f t="shared" si="5"/>
        <v>995000</v>
      </c>
      <c r="J229" s="164">
        <f t="shared" si="7"/>
        <v>995000</v>
      </c>
      <c r="K229" s="56" t="s">
        <v>3518</v>
      </c>
      <c r="L229" s="165" t="s">
        <v>3519</v>
      </c>
      <c r="M229" s="73"/>
      <c r="N229" s="171"/>
      <c r="O229" s="169" t="s">
        <v>2958</v>
      </c>
      <c r="P229" s="168" t="s">
        <v>3054</v>
      </c>
      <c r="Q229" s="167">
        <v>995000.0</v>
      </c>
      <c r="R229" s="173"/>
      <c r="S229" s="173"/>
      <c r="T229" s="173"/>
      <c r="U229" s="173"/>
      <c r="V229" s="202"/>
      <c r="W229" s="171"/>
      <c r="X229" s="171"/>
    </row>
    <row r="230" ht="15.0" customHeight="1">
      <c r="A230" s="209">
        <v>45432.0</v>
      </c>
      <c r="B230" s="181" t="s">
        <v>3517</v>
      </c>
      <c r="C230" s="181" t="s">
        <v>2934</v>
      </c>
      <c r="D230" s="73" t="str">
        <f>IFERROR(VLOOKUP(C230,Stock,3,FALSE),"")</f>
        <v>Peti Kayu</v>
      </c>
      <c r="E230" s="56">
        <v>1.0</v>
      </c>
      <c r="F230" s="161">
        <v>160000.0</v>
      </c>
      <c r="G230" s="162">
        <f t="shared" si="8"/>
        <v>160000</v>
      </c>
      <c r="H230" s="194"/>
      <c r="I230" s="161">
        <f t="shared" si="5"/>
        <v>160000</v>
      </c>
      <c r="J230" s="164">
        <f t="shared" si="7"/>
        <v>160000</v>
      </c>
      <c r="K230" s="205" t="s">
        <v>3518</v>
      </c>
      <c r="L230" s="165" t="s">
        <v>3519</v>
      </c>
      <c r="M230" s="73"/>
      <c r="N230" s="171"/>
      <c r="O230" s="169" t="s">
        <v>2958</v>
      </c>
      <c r="P230" s="168" t="s">
        <v>3054</v>
      </c>
      <c r="Q230" s="167">
        <v>160000.0</v>
      </c>
      <c r="R230" s="173"/>
      <c r="S230" s="173"/>
      <c r="T230" s="173"/>
      <c r="U230" s="173"/>
      <c r="V230" s="202"/>
      <c r="W230" s="171"/>
      <c r="X230" s="171"/>
    </row>
    <row r="231" ht="15.0" customHeight="1">
      <c r="A231" s="209">
        <v>45432.0</v>
      </c>
      <c r="B231" s="181" t="s">
        <v>3520</v>
      </c>
      <c r="C231" s="56" t="s">
        <v>3059</v>
      </c>
      <c r="D231" s="73" t="str">
        <f>IFERROR(VLOOKUP(C231,Stock,3,FALSE),"")</f>
        <v>Sealant Polyurethane XYG Tube</v>
      </c>
      <c r="E231" s="56">
        <v>1.0</v>
      </c>
      <c r="F231" s="161">
        <v>75000.0</v>
      </c>
      <c r="G231" s="162">
        <f t="shared" si="8"/>
        <v>75000</v>
      </c>
      <c r="H231" s="194"/>
      <c r="I231" s="161">
        <f t="shared" si="5"/>
        <v>75000</v>
      </c>
      <c r="J231" s="164">
        <f t="shared" si="7"/>
        <v>75000</v>
      </c>
      <c r="K231" s="205" t="s">
        <v>3518</v>
      </c>
      <c r="L231" s="165" t="s">
        <v>3519</v>
      </c>
      <c r="M231" s="73"/>
      <c r="N231" s="171"/>
      <c r="O231" s="169" t="s">
        <v>2958</v>
      </c>
      <c r="P231" s="168" t="s">
        <v>3054</v>
      </c>
      <c r="Q231" s="167">
        <v>75000.0</v>
      </c>
      <c r="R231" s="173"/>
      <c r="S231" s="173"/>
      <c r="T231" s="173"/>
      <c r="U231" s="173"/>
      <c r="V231" s="202"/>
      <c r="W231" s="171"/>
      <c r="X231" s="171"/>
    </row>
    <row r="232" ht="15.0" customHeight="1">
      <c r="A232" s="209">
        <v>45432.0</v>
      </c>
      <c r="B232" s="181" t="s">
        <v>3521</v>
      </c>
      <c r="C232" s="205" t="s">
        <v>3522</v>
      </c>
      <c r="D232" s="73" t="str">
        <f>IFERROR(VLOOKUP(C232,Stock,3,FALSE),"")</f>
        <v>Chevrolet Spark 10-15 M300 3rd Gen (1200cc)</v>
      </c>
      <c r="E232" s="56">
        <v>1.0</v>
      </c>
      <c r="F232" s="161">
        <v>1967000.0</v>
      </c>
      <c r="G232" s="162">
        <f t="shared" si="8"/>
        <v>1967000</v>
      </c>
      <c r="H232" s="194"/>
      <c r="I232" s="161">
        <f t="shared" si="5"/>
        <v>1967000</v>
      </c>
      <c r="J232" s="164">
        <f t="shared" si="7"/>
        <v>1967000</v>
      </c>
      <c r="K232" s="56" t="s">
        <v>3523</v>
      </c>
      <c r="L232" s="165" t="s">
        <v>3524</v>
      </c>
      <c r="M232" s="73"/>
      <c r="N232" s="171"/>
      <c r="O232" s="169" t="s">
        <v>2958</v>
      </c>
      <c r="P232" s="168" t="s">
        <v>3054</v>
      </c>
      <c r="Q232" s="167">
        <v>1967000.0</v>
      </c>
      <c r="R232" s="173"/>
      <c r="S232" s="173"/>
      <c r="T232" s="173"/>
      <c r="U232" s="173"/>
      <c r="V232" s="202"/>
      <c r="W232" s="171"/>
      <c r="X232" s="171"/>
    </row>
    <row r="233" ht="15.0" customHeight="1">
      <c r="A233" s="183">
        <v>45433.0</v>
      </c>
      <c r="B233" s="185" t="s">
        <v>3525</v>
      </c>
      <c r="C233" s="184" t="s">
        <v>3526</v>
      </c>
      <c r="D233" s="186" t="str">
        <f>IFERROR(VLOOKUP(C233,Stock,3,FALSE),"")</f>
        <v>Toyota Kijang 98- Kapsul Karet</v>
      </c>
      <c r="E233" s="184">
        <v>3.0</v>
      </c>
      <c r="F233" s="187">
        <v>300000.0</v>
      </c>
      <c r="G233" s="188">
        <f t="shared" si="8"/>
        <v>900000</v>
      </c>
      <c r="H233" s="210"/>
      <c r="I233" s="187">
        <f t="shared" si="5"/>
        <v>900000</v>
      </c>
      <c r="J233" s="189">
        <f t="shared" si="7"/>
        <v>900000</v>
      </c>
      <c r="K233" s="184" t="s">
        <v>3527</v>
      </c>
      <c r="L233" s="211" t="s">
        <v>3528</v>
      </c>
      <c r="M233" s="186"/>
      <c r="N233" s="212"/>
      <c r="O233" s="193" t="s">
        <v>2958</v>
      </c>
      <c r="P233" s="192" t="s">
        <v>3112</v>
      </c>
      <c r="Q233" s="213"/>
      <c r="R233" s="213"/>
      <c r="S233" s="213"/>
      <c r="T233" s="213"/>
      <c r="U233" s="213"/>
      <c r="V233" s="214"/>
      <c r="W233" s="212"/>
      <c r="X233" s="212"/>
    </row>
    <row r="234" ht="15.0" customHeight="1">
      <c r="A234" s="127">
        <v>45434.0</v>
      </c>
      <c r="B234" s="181" t="s">
        <v>3529</v>
      </c>
      <c r="C234" s="56" t="s">
        <v>3099</v>
      </c>
      <c r="D234" s="73" t="str">
        <f>IFERROR(VLOOKUP(C234,Stock,3,FALSE),"")</f>
        <v>Toyota Calya / Sigra 16-</v>
      </c>
      <c r="E234" s="56">
        <v>1.0</v>
      </c>
      <c r="F234" s="161">
        <v>1149000.0</v>
      </c>
      <c r="G234" s="162">
        <f t="shared" si="8"/>
        <v>1149000</v>
      </c>
      <c r="H234" s="194"/>
      <c r="I234" s="161">
        <f t="shared" si="5"/>
        <v>1149000</v>
      </c>
      <c r="J234" s="164">
        <f t="shared" si="7"/>
        <v>1149000</v>
      </c>
      <c r="K234" s="56" t="s">
        <v>3530</v>
      </c>
      <c r="L234" s="165" t="s">
        <v>3531</v>
      </c>
      <c r="M234" s="73"/>
      <c r="N234" s="171"/>
      <c r="O234" s="169" t="s">
        <v>2958</v>
      </c>
      <c r="P234" s="168" t="s">
        <v>3112</v>
      </c>
      <c r="Q234" s="173"/>
      <c r="R234" s="167">
        <v>1149000.0</v>
      </c>
      <c r="S234" s="173"/>
      <c r="T234" s="173"/>
      <c r="U234" s="173"/>
      <c r="V234" s="202"/>
      <c r="W234" s="171"/>
      <c r="X234" s="171"/>
    </row>
    <row r="235" ht="15.0" customHeight="1">
      <c r="A235" s="127">
        <v>45434.0</v>
      </c>
      <c r="B235" s="181" t="s">
        <v>3529</v>
      </c>
      <c r="C235" s="56" t="s">
        <v>3532</v>
      </c>
      <c r="D235" s="73" t="str">
        <f>IFERROR(VLOOKUP(C235,Stock,3,FALSE),"")</f>
        <v>9092 Sealant Application</v>
      </c>
      <c r="E235" s="56">
        <v>1.0</v>
      </c>
      <c r="F235" s="161">
        <v>100000.0</v>
      </c>
      <c r="G235" s="162">
        <f t="shared" si="8"/>
        <v>100000</v>
      </c>
      <c r="H235" s="194"/>
      <c r="I235" s="161">
        <f t="shared" si="5"/>
        <v>100000</v>
      </c>
      <c r="J235" s="164">
        <f t="shared" si="7"/>
        <v>100000</v>
      </c>
      <c r="K235" s="56" t="s">
        <v>3530</v>
      </c>
      <c r="L235" s="165" t="s">
        <v>3531</v>
      </c>
      <c r="M235" s="73"/>
      <c r="N235" s="171"/>
      <c r="O235" s="169" t="s">
        <v>2958</v>
      </c>
      <c r="P235" s="168" t="s">
        <v>3112</v>
      </c>
      <c r="Q235" s="173"/>
      <c r="R235" s="167">
        <v>100000.0</v>
      </c>
      <c r="S235" s="173"/>
      <c r="T235" s="173"/>
      <c r="U235" s="173"/>
      <c r="V235" s="202"/>
      <c r="W235" s="171"/>
      <c r="X235" s="171"/>
    </row>
    <row r="236" ht="15.0" customHeight="1">
      <c r="A236" s="215">
        <v>45434.0</v>
      </c>
      <c r="B236" s="179" t="s">
        <v>3533</v>
      </c>
      <c r="C236" s="56" t="s">
        <v>2562</v>
      </c>
      <c r="D236" s="73" t="str">
        <f>IFERROR(VLOOKUP(C236,Stock,3,FALSE),"")</f>
        <v>Toyota Avanza / Xenia 15-21 3rd Gen</v>
      </c>
      <c r="E236" s="56">
        <v>1.0</v>
      </c>
      <c r="F236" s="161">
        <v>800000.0</v>
      </c>
      <c r="G236" s="162">
        <f t="shared" si="8"/>
        <v>800000</v>
      </c>
      <c r="H236" s="194"/>
      <c r="I236" s="161">
        <f t="shared" si="5"/>
        <v>800000</v>
      </c>
      <c r="J236" s="164">
        <f t="shared" si="7"/>
        <v>800000</v>
      </c>
      <c r="K236" s="56" t="s">
        <v>3534</v>
      </c>
      <c r="L236" s="165" t="s">
        <v>3535</v>
      </c>
      <c r="M236" s="73"/>
      <c r="N236" s="171"/>
      <c r="O236" s="169" t="s">
        <v>2968</v>
      </c>
      <c r="P236" s="168" t="s">
        <v>3112</v>
      </c>
      <c r="Q236" s="167">
        <v>800000.0</v>
      </c>
      <c r="R236" s="173"/>
      <c r="S236" s="173"/>
      <c r="T236" s="173"/>
      <c r="U236" s="173"/>
      <c r="V236" s="202"/>
      <c r="W236" s="171"/>
      <c r="X236" s="171"/>
    </row>
    <row r="237" ht="15.0" customHeight="1">
      <c r="A237" s="215">
        <v>45434.0</v>
      </c>
      <c r="B237" s="179" t="s">
        <v>3533</v>
      </c>
      <c r="C237" s="56" t="s">
        <v>3059</v>
      </c>
      <c r="D237" s="73" t="str">
        <f>IFERROR(VLOOKUP(C237,Stock,3,FALSE),"")</f>
        <v>Sealant Polyurethane XYG Tube</v>
      </c>
      <c r="E237" s="56">
        <v>2.0</v>
      </c>
      <c r="F237" s="161">
        <v>75000.0</v>
      </c>
      <c r="G237" s="162">
        <f t="shared" si="8"/>
        <v>150000</v>
      </c>
      <c r="H237" s="194"/>
      <c r="I237" s="161">
        <f t="shared" si="5"/>
        <v>150000</v>
      </c>
      <c r="J237" s="164">
        <f t="shared" si="7"/>
        <v>150000</v>
      </c>
      <c r="K237" s="56" t="s">
        <v>3534</v>
      </c>
      <c r="L237" s="165" t="s">
        <v>3535</v>
      </c>
      <c r="M237" s="73"/>
      <c r="N237" s="171"/>
      <c r="O237" s="169" t="s">
        <v>2968</v>
      </c>
      <c r="P237" s="168" t="s">
        <v>3112</v>
      </c>
      <c r="Q237" s="167">
        <v>150000.0</v>
      </c>
      <c r="R237" s="173"/>
      <c r="S237" s="173"/>
      <c r="T237" s="173"/>
      <c r="U237" s="173"/>
      <c r="V237" s="202"/>
      <c r="W237" s="171"/>
      <c r="X237" s="171"/>
    </row>
    <row r="238" ht="15.0" customHeight="1">
      <c r="A238" s="127">
        <v>45434.0</v>
      </c>
      <c r="B238" s="181" t="s">
        <v>3536</v>
      </c>
      <c r="C238" s="175" t="s">
        <v>3290</v>
      </c>
      <c r="D238" s="73" t="str">
        <f>IFERROR(VLOOKUP(C238,Stock,3,FALSE),"")</f>
        <v>Toyota Innova 04-15 1st Gen</v>
      </c>
      <c r="E238" s="56">
        <v>1.0</v>
      </c>
      <c r="F238" s="161">
        <v>1438000.0</v>
      </c>
      <c r="G238" s="162">
        <f t="shared" si="8"/>
        <v>1438000</v>
      </c>
      <c r="H238" s="194"/>
      <c r="I238" s="161">
        <f t="shared" si="5"/>
        <v>1438000</v>
      </c>
      <c r="J238" s="164">
        <f t="shared" si="7"/>
        <v>1438000</v>
      </c>
      <c r="K238" s="56" t="s">
        <v>3537</v>
      </c>
      <c r="L238" s="165" t="s">
        <v>3538</v>
      </c>
      <c r="M238" s="56" t="s">
        <v>3539</v>
      </c>
      <c r="N238" s="169" t="s">
        <v>3540</v>
      </c>
      <c r="O238" s="169" t="s">
        <v>2958</v>
      </c>
      <c r="P238" s="168" t="s">
        <v>3112</v>
      </c>
      <c r="Q238" s="173"/>
      <c r="R238" s="167">
        <v>1438000.0</v>
      </c>
      <c r="S238" s="173"/>
      <c r="T238" s="173"/>
      <c r="U238" s="173"/>
      <c r="V238" s="202"/>
      <c r="W238" s="171"/>
      <c r="X238" s="171"/>
    </row>
    <row r="239" ht="15.0" customHeight="1">
      <c r="A239" s="127">
        <v>45434.0</v>
      </c>
      <c r="B239" s="181" t="s">
        <v>3536</v>
      </c>
      <c r="C239" s="208" t="s">
        <v>3532</v>
      </c>
      <c r="D239" s="73" t="str">
        <f>IFERROR(VLOOKUP(C239,Stock,3,FALSE),"")</f>
        <v>9092 Sealant Application</v>
      </c>
      <c r="E239" s="56">
        <v>1.0</v>
      </c>
      <c r="F239" s="161">
        <v>200000.0</v>
      </c>
      <c r="G239" s="162">
        <f t="shared" si="8"/>
        <v>200000</v>
      </c>
      <c r="H239" s="194"/>
      <c r="I239" s="161">
        <f t="shared" si="5"/>
        <v>200000</v>
      </c>
      <c r="J239" s="164">
        <f t="shared" si="7"/>
        <v>200000</v>
      </c>
      <c r="K239" s="56" t="s">
        <v>3537</v>
      </c>
      <c r="L239" s="165" t="s">
        <v>3538</v>
      </c>
      <c r="M239" s="56" t="s">
        <v>3539</v>
      </c>
      <c r="N239" s="169" t="s">
        <v>3540</v>
      </c>
      <c r="O239" s="169" t="s">
        <v>2958</v>
      </c>
      <c r="P239" s="168" t="s">
        <v>3112</v>
      </c>
      <c r="Q239" s="173"/>
      <c r="R239" s="167">
        <v>200000.0</v>
      </c>
      <c r="S239" s="173"/>
      <c r="T239" s="173"/>
      <c r="U239" s="173"/>
      <c r="V239" s="202"/>
      <c r="W239" s="171"/>
      <c r="X239" s="171"/>
    </row>
    <row r="240" ht="15.0" customHeight="1">
      <c r="A240" s="127">
        <v>45434.0</v>
      </c>
      <c r="B240" s="205" t="s">
        <v>3536</v>
      </c>
      <c r="C240" s="181" t="s">
        <v>3541</v>
      </c>
      <c r="D240" s="73" t="str">
        <f>IFERROR(VLOOKUP(C240,Stock,3,FALSE),"")</f>
        <v>Daihatsu Gran Max</v>
      </c>
      <c r="E240" s="56">
        <v>1.0</v>
      </c>
      <c r="F240" s="161">
        <v>320000.0</v>
      </c>
      <c r="G240" s="162">
        <f t="shared" si="8"/>
        <v>320000</v>
      </c>
      <c r="H240" s="194"/>
      <c r="I240" s="161">
        <f t="shared" si="5"/>
        <v>320000</v>
      </c>
      <c r="J240" s="164">
        <f t="shared" si="7"/>
        <v>320000</v>
      </c>
      <c r="K240" s="56" t="s">
        <v>3537</v>
      </c>
      <c r="L240" s="165" t="s">
        <v>3538</v>
      </c>
      <c r="M240" s="56" t="s">
        <v>3539</v>
      </c>
      <c r="N240" s="169" t="s">
        <v>3540</v>
      </c>
      <c r="O240" s="169" t="s">
        <v>2958</v>
      </c>
      <c r="P240" s="168" t="s">
        <v>3112</v>
      </c>
      <c r="Q240" s="173"/>
      <c r="R240" s="167">
        <v>320000.0</v>
      </c>
      <c r="S240" s="173"/>
      <c r="T240" s="173"/>
      <c r="U240" s="173"/>
      <c r="V240" s="202"/>
      <c r="W240" s="171"/>
      <c r="X240" s="171"/>
    </row>
    <row r="241" ht="15.0" customHeight="1">
      <c r="A241" s="127">
        <v>45434.0</v>
      </c>
      <c r="B241" s="181" t="s">
        <v>3536</v>
      </c>
      <c r="C241" s="56" t="s">
        <v>3542</v>
      </c>
      <c r="D241" s="73" t="str">
        <f>IFERROR(VLOOKUP(C241,Stock,3,FALSE),"")</f>
        <v>Daihatsu Gran Max</v>
      </c>
      <c r="E241" s="56">
        <v>1.0</v>
      </c>
      <c r="F241" s="161">
        <v>320000.0</v>
      </c>
      <c r="G241" s="162">
        <f t="shared" si="8"/>
        <v>320000</v>
      </c>
      <c r="H241" s="194"/>
      <c r="I241" s="161">
        <f t="shared" si="5"/>
        <v>320000</v>
      </c>
      <c r="J241" s="164">
        <f t="shared" si="7"/>
        <v>320000</v>
      </c>
      <c r="K241" s="56" t="s">
        <v>3537</v>
      </c>
      <c r="L241" s="165" t="s">
        <v>3538</v>
      </c>
      <c r="M241" s="56" t="s">
        <v>3539</v>
      </c>
      <c r="N241" s="169" t="s">
        <v>3540</v>
      </c>
      <c r="O241" s="169" t="s">
        <v>2958</v>
      </c>
      <c r="P241" s="168" t="s">
        <v>3112</v>
      </c>
      <c r="Q241" s="173"/>
      <c r="R241" s="167">
        <v>320000.0</v>
      </c>
      <c r="S241" s="173"/>
      <c r="T241" s="173"/>
      <c r="U241" s="173"/>
      <c r="V241" s="202"/>
      <c r="W241" s="171"/>
      <c r="X241" s="171"/>
    </row>
    <row r="242" ht="15.0" customHeight="1">
      <c r="A242" s="127">
        <v>45434.0</v>
      </c>
      <c r="B242" s="181" t="s">
        <v>3536</v>
      </c>
      <c r="C242" s="175" t="s">
        <v>3543</v>
      </c>
      <c r="D242" s="73" t="str">
        <f>IFERROR(VLOOKUP(C242,Stock,3,FALSE),"")</f>
        <v>Daihatsu Gran Max Minibus/Van</v>
      </c>
      <c r="E242" s="56">
        <v>1.0</v>
      </c>
      <c r="F242" s="161">
        <v>550000.0</v>
      </c>
      <c r="G242" s="162">
        <f t="shared" si="8"/>
        <v>550000</v>
      </c>
      <c r="H242" s="194"/>
      <c r="I242" s="161">
        <f t="shared" si="5"/>
        <v>550000</v>
      </c>
      <c r="J242" s="164">
        <f t="shared" si="7"/>
        <v>550000</v>
      </c>
      <c r="K242" s="56" t="s">
        <v>3537</v>
      </c>
      <c r="L242" s="165" t="s">
        <v>3538</v>
      </c>
      <c r="M242" s="56" t="s">
        <v>3539</v>
      </c>
      <c r="N242" s="169" t="s">
        <v>3540</v>
      </c>
      <c r="O242" s="169" t="s">
        <v>2958</v>
      </c>
      <c r="P242" s="168" t="s">
        <v>3112</v>
      </c>
      <c r="Q242" s="173"/>
      <c r="R242" s="167">
        <v>550000.0</v>
      </c>
      <c r="S242" s="173"/>
      <c r="T242" s="173"/>
      <c r="U242" s="173"/>
      <c r="V242" s="202"/>
      <c r="W242" s="171"/>
      <c r="X242" s="171"/>
    </row>
    <row r="243" ht="15.0" customHeight="1">
      <c r="A243" s="127">
        <v>45434.0</v>
      </c>
      <c r="B243" s="181" t="s">
        <v>3536</v>
      </c>
      <c r="C243" s="56" t="s">
        <v>3059</v>
      </c>
      <c r="D243" s="73" t="str">
        <f>IFERROR(VLOOKUP(C243,Stock,3,FALSE),"")</f>
        <v>Sealant Polyurethane XYG Tube</v>
      </c>
      <c r="E243" s="56">
        <v>2.0</v>
      </c>
      <c r="F243" s="161">
        <v>75000.0</v>
      </c>
      <c r="G243" s="162">
        <f t="shared" si="8"/>
        <v>150000</v>
      </c>
      <c r="H243" s="194"/>
      <c r="I243" s="161">
        <f t="shared" si="5"/>
        <v>150000</v>
      </c>
      <c r="J243" s="164">
        <f t="shared" si="7"/>
        <v>150000</v>
      </c>
      <c r="K243" s="56" t="s">
        <v>3537</v>
      </c>
      <c r="L243" s="165" t="s">
        <v>3538</v>
      </c>
      <c r="M243" s="56" t="s">
        <v>3539</v>
      </c>
      <c r="N243" s="169" t="s">
        <v>3540</v>
      </c>
      <c r="O243" s="169" t="s">
        <v>2958</v>
      </c>
      <c r="P243" s="168" t="s">
        <v>3112</v>
      </c>
      <c r="Q243" s="173"/>
      <c r="R243" s="167">
        <v>150000.0</v>
      </c>
      <c r="S243" s="173"/>
      <c r="T243" s="173"/>
      <c r="U243" s="173"/>
      <c r="V243" s="202"/>
      <c r="W243" s="171"/>
      <c r="X243" s="171"/>
    </row>
    <row r="244" ht="15.0" customHeight="1">
      <c r="A244" s="127">
        <v>45436.0</v>
      </c>
      <c r="B244" s="181" t="s">
        <v>3544</v>
      </c>
      <c r="C244" s="56" t="s">
        <v>2623</v>
      </c>
      <c r="D244" s="73" t="str">
        <f>IFERROR(VLOOKUP(C244,Stock,3,FALSE),"")</f>
        <v>Honda Civic 05-11 8th Gen (Civic Batman FD)</v>
      </c>
      <c r="E244" s="56">
        <v>1.0</v>
      </c>
      <c r="F244" s="161">
        <v>3218000.0</v>
      </c>
      <c r="G244" s="162">
        <f t="shared" si="8"/>
        <v>3218000</v>
      </c>
      <c r="H244" s="194"/>
      <c r="I244" s="161">
        <f t="shared" si="5"/>
        <v>3218000</v>
      </c>
      <c r="J244" s="164">
        <f t="shared" si="7"/>
        <v>3218000</v>
      </c>
      <c r="K244" s="56" t="s">
        <v>3545</v>
      </c>
      <c r="L244" s="165" t="s">
        <v>3546</v>
      </c>
      <c r="M244" s="73"/>
      <c r="N244" s="171"/>
      <c r="O244" s="169" t="s">
        <v>3547</v>
      </c>
      <c r="P244" s="168" t="s">
        <v>3112</v>
      </c>
      <c r="Q244" s="167">
        <v>1418000.0</v>
      </c>
      <c r="R244" s="167">
        <v>2200000.0</v>
      </c>
      <c r="S244" s="173"/>
      <c r="T244" s="173"/>
      <c r="U244" s="173"/>
      <c r="V244" s="202"/>
      <c r="W244" s="171"/>
      <c r="X244" s="171"/>
    </row>
    <row r="245" ht="15.0" customHeight="1">
      <c r="A245" s="127">
        <v>45436.0</v>
      </c>
      <c r="B245" s="181" t="s">
        <v>3544</v>
      </c>
      <c r="C245" s="56" t="s">
        <v>2954</v>
      </c>
      <c r="D245" s="73" t="str">
        <f>IFERROR(VLOOKUP(C245,Stock,3,FALSE),"")</f>
        <v>Transport</v>
      </c>
      <c r="E245" s="56">
        <v>1.0</v>
      </c>
      <c r="F245" s="161">
        <v>400000.0</v>
      </c>
      <c r="G245" s="162">
        <f t="shared" si="8"/>
        <v>400000</v>
      </c>
      <c r="H245" s="194"/>
      <c r="I245" s="161">
        <f t="shared" si="5"/>
        <v>400000</v>
      </c>
      <c r="J245" s="164">
        <f t="shared" si="7"/>
        <v>400000</v>
      </c>
      <c r="K245" s="56" t="s">
        <v>3545</v>
      </c>
      <c r="L245" s="165" t="s">
        <v>3546</v>
      </c>
      <c r="M245" s="73"/>
      <c r="N245" s="171"/>
      <c r="O245" s="169" t="s">
        <v>3547</v>
      </c>
      <c r="P245" s="168" t="s">
        <v>3112</v>
      </c>
      <c r="Q245" s="173"/>
      <c r="R245" s="173"/>
      <c r="S245" s="173"/>
      <c r="T245" s="173"/>
      <c r="U245" s="173"/>
      <c r="V245" s="202"/>
      <c r="W245" s="171"/>
      <c r="X245" s="171"/>
    </row>
    <row r="246" ht="15.0" customHeight="1">
      <c r="A246" s="127">
        <v>45436.0</v>
      </c>
      <c r="B246" s="181" t="s">
        <v>3548</v>
      </c>
      <c r="C246" s="169" t="s">
        <v>3549</v>
      </c>
      <c r="D246" s="73" t="str">
        <f>IFERROR(VLOOKUP(C246,Stock,3,FALSE),"")</f>
        <v>Toyota Fortuner 05-15 1st Gen</v>
      </c>
      <c r="E246" s="56">
        <v>1.0</v>
      </c>
      <c r="F246" s="161">
        <v>3683000.0</v>
      </c>
      <c r="G246" s="162">
        <f t="shared" si="8"/>
        <v>3683000</v>
      </c>
      <c r="H246" s="194"/>
      <c r="I246" s="161">
        <f t="shared" si="5"/>
        <v>3683000</v>
      </c>
      <c r="J246" s="164">
        <f t="shared" si="7"/>
        <v>3683000</v>
      </c>
      <c r="K246" s="56" t="s">
        <v>3550</v>
      </c>
      <c r="L246" s="165" t="s">
        <v>3551</v>
      </c>
      <c r="M246" s="73"/>
      <c r="N246" s="171"/>
      <c r="O246" s="169" t="s">
        <v>2958</v>
      </c>
      <c r="P246" s="168" t="s">
        <v>3112</v>
      </c>
      <c r="Q246" s="173"/>
      <c r="R246" s="167">
        <v>3683000.0</v>
      </c>
      <c r="S246" s="173"/>
      <c r="T246" s="173"/>
      <c r="U246" s="173"/>
      <c r="V246" s="202"/>
      <c r="W246" s="171"/>
      <c r="X246" s="171"/>
    </row>
    <row r="247" ht="15.0" customHeight="1">
      <c r="A247" s="127">
        <v>45436.0</v>
      </c>
      <c r="B247" s="181" t="s">
        <v>3548</v>
      </c>
      <c r="C247" s="169" t="s">
        <v>2954</v>
      </c>
      <c r="D247" s="73" t="str">
        <f>IFERROR(VLOOKUP(C247,Stock,3,FALSE),"")</f>
        <v>Transport</v>
      </c>
      <c r="E247" s="56">
        <v>1.0</v>
      </c>
      <c r="F247" s="161">
        <v>50000.0</v>
      </c>
      <c r="G247" s="162">
        <f t="shared" si="8"/>
        <v>50000</v>
      </c>
      <c r="H247" s="194"/>
      <c r="I247" s="161">
        <f t="shared" si="5"/>
        <v>50000</v>
      </c>
      <c r="J247" s="164">
        <f t="shared" si="7"/>
        <v>50000</v>
      </c>
      <c r="K247" s="56" t="s">
        <v>3550</v>
      </c>
      <c r="L247" s="165" t="s">
        <v>3551</v>
      </c>
      <c r="M247" s="73"/>
      <c r="N247" s="171"/>
      <c r="O247" s="169" t="s">
        <v>2958</v>
      </c>
      <c r="P247" s="168" t="s">
        <v>3112</v>
      </c>
      <c r="Q247" s="173"/>
      <c r="R247" s="167">
        <v>50000.0</v>
      </c>
      <c r="S247" s="173"/>
      <c r="T247" s="173"/>
      <c r="U247" s="173"/>
      <c r="V247" s="202"/>
      <c r="W247" s="171"/>
      <c r="X247" s="171"/>
    </row>
    <row r="248" ht="15.0" customHeight="1">
      <c r="A248" s="127">
        <v>45437.0</v>
      </c>
      <c r="B248" s="181" t="s">
        <v>3552</v>
      </c>
      <c r="C248" s="56" t="s">
        <v>2549</v>
      </c>
      <c r="D248" s="73" t="str">
        <f>IFERROR(VLOOKUP(C248,Stock,3,FALSE),"")</f>
        <v>Toyota Avanza / Xenia 11-15 2nd Gen</v>
      </c>
      <c r="E248" s="56">
        <v>1.0</v>
      </c>
      <c r="F248" s="161">
        <v>1020000.0</v>
      </c>
      <c r="G248" s="162">
        <f t="shared" si="8"/>
        <v>1020000</v>
      </c>
      <c r="H248" s="194"/>
      <c r="I248" s="161">
        <f t="shared" si="5"/>
        <v>1020000</v>
      </c>
      <c r="J248" s="164">
        <f t="shared" si="7"/>
        <v>1020000</v>
      </c>
      <c r="K248" s="56" t="s">
        <v>3553</v>
      </c>
      <c r="L248" s="165" t="s">
        <v>3554</v>
      </c>
      <c r="M248" s="73"/>
      <c r="N248" s="169" t="s">
        <v>3555</v>
      </c>
      <c r="O248" s="169" t="s">
        <v>2958</v>
      </c>
      <c r="P248" s="168" t="s">
        <v>3112</v>
      </c>
      <c r="Q248" s="167">
        <v>1020000.0</v>
      </c>
      <c r="R248" s="173"/>
      <c r="S248" s="173"/>
      <c r="T248" s="173"/>
      <c r="U248" s="173"/>
      <c r="V248" s="202"/>
      <c r="W248" s="171"/>
      <c r="X248" s="171"/>
    </row>
    <row r="249" ht="15.0" customHeight="1">
      <c r="A249" s="127">
        <v>45437.0</v>
      </c>
      <c r="B249" s="181" t="s">
        <v>3556</v>
      </c>
      <c r="C249" s="56" t="s">
        <v>3176</v>
      </c>
      <c r="D249" s="73" t="str">
        <f>IFERROR(VLOOKUP(C249,Stock,3,FALSE),"")</f>
        <v>Toyota Avanza / Xenia 11-15 2nd Gen / 15-21 3rd Gen</v>
      </c>
      <c r="E249" s="56">
        <v>1.0</v>
      </c>
      <c r="F249" s="161">
        <v>849000.0</v>
      </c>
      <c r="G249" s="162">
        <f t="shared" si="8"/>
        <v>849000</v>
      </c>
      <c r="H249" s="194"/>
      <c r="I249" s="161">
        <f t="shared" si="5"/>
        <v>849000</v>
      </c>
      <c r="J249" s="164">
        <f t="shared" si="7"/>
        <v>849000</v>
      </c>
      <c r="K249" s="56" t="s">
        <v>3557</v>
      </c>
      <c r="L249" s="165" t="s">
        <v>3558</v>
      </c>
      <c r="M249" s="73"/>
      <c r="N249" s="169" t="s">
        <v>3559</v>
      </c>
      <c r="O249" s="169" t="s">
        <v>2958</v>
      </c>
      <c r="P249" s="168" t="s">
        <v>3054</v>
      </c>
      <c r="Q249" s="167">
        <v>849000.0</v>
      </c>
      <c r="R249" s="173"/>
      <c r="S249" s="173"/>
      <c r="T249" s="173"/>
      <c r="U249" s="173"/>
      <c r="V249" s="202"/>
      <c r="W249" s="171"/>
      <c r="X249" s="171"/>
    </row>
    <row r="250" ht="15.0" customHeight="1">
      <c r="A250" s="127">
        <v>45437.0</v>
      </c>
      <c r="B250" s="181" t="s">
        <v>3560</v>
      </c>
      <c r="C250" s="56" t="s">
        <v>3342</v>
      </c>
      <c r="D250" s="73" t="str">
        <f>IFERROR(VLOOKUP(C250,Stock,3,FALSE),"")</f>
        <v>Toyota Hi-Ace 04-20 Commuter (Hitam)</v>
      </c>
      <c r="E250" s="56">
        <v>1.0</v>
      </c>
      <c r="F250" s="161">
        <v>2602000.0</v>
      </c>
      <c r="G250" s="162">
        <f t="shared" si="8"/>
        <v>2602000</v>
      </c>
      <c r="H250" s="194"/>
      <c r="I250" s="161">
        <f t="shared" si="5"/>
        <v>2602000</v>
      </c>
      <c r="J250" s="164">
        <f t="shared" si="7"/>
        <v>2602000</v>
      </c>
      <c r="K250" s="56" t="s">
        <v>3561</v>
      </c>
      <c r="L250" s="165" t="s">
        <v>3562</v>
      </c>
      <c r="M250" s="56"/>
      <c r="N250" s="171"/>
      <c r="O250" s="169" t="s">
        <v>2958</v>
      </c>
      <c r="P250" s="168" t="s">
        <v>3112</v>
      </c>
      <c r="Q250" s="167">
        <v>2602000.0</v>
      </c>
      <c r="R250" s="173"/>
      <c r="S250" s="173"/>
      <c r="T250" s="173"/>
      <c r="U250" s="173"/>
      <c r="V250" s="202"/>
      <c r="W250" s="171"/>
      <c r="X250" s="171"/>
    </row>
    <row r="251" ht="15.0" customHeight="1">
      <c r="A251" s="127">
        <v>45437.0</v>
      </c>
      <c r="B251" s="181" t="s">
        <v>3563</v>
      </c>
      <c r="C251" s="56" t="s">
        <v>3564</v>
      </c>
      <c r="D251" s="73" t="str">
        <f>IFERROR(VLOOKUP(C251,Stock,3,FALSE),"")</f>
        <v>Toyota Calya / Sigra 16-</v>
      </c>
      <c r="E251" s="56">
        <v>1.0</v>
      </c>
      <c r="F251" s="161">
        <v>488000.0</v>
      </c>
      <c r="G251" s="162">
        <f t="shared" si="8"/>
        <v>488000</v>
      </c>
      <c r="H251" s="194"/>
      <c r="I251" s="161">
        <f t="shared" si="5"/>
        <v>488000</v>
      </c>
      <c r="J251" s="164">
        <f t="shared" si="7"/>
        <v>488000</v>
      </c>
      <c r="K251" s="56" t="s">
        <v>3565</v>
      </c>
      <c r="L251" s="165" t="s">
        <v>3566</v>
      </c>
      <c r="M251" s="56" t="s">
        <v>3567</v>
      </c>
      <c r="N251" s="169" t="s">
        <v>3568</v>
      </c>
      <c r="O251" s="169" t="s">
        <v>2958</v>
      </c>
      <c r="P251" s="168" t="s">
        <v>3112</v>
      </c>
      <c r="Q251" s="173"/>
      <c r="R251" s="167">
        <v>488000.0</v>
      </c>
      <c r="S251" s="173"/>
      <c r="T251" s="173"/>
      <c r="U251" s="173"/>
      <c r="V251" s="202"/>
      <c r="W251" s="171"/>
      <c r="X251" s="171"/>
    </row>
    <row r="252" ht="15.0" customHeight="1">
      <c r="A252" s="127">
        <v>45437.0</v>
      </c>
      <c r="B252" s="181" t="s">
        <v>3569</v>
      </c>
      <c r="C252" s="56" t="s">
        <v>2549</v>
      </c>
      <c r="D252" s="73" t="str">
        <f>IFERROR(VLOOKUP(C252,Stock,3,FALSE),"")</f>
        <v>Toyota Avanza / Xenia 11-15 2nd Gen</v>
      </c>
      <c r="E252" s="56">
        <v>1.0</v>
      </c>
      <c r="F252" s="161">
        <v>1000000.0</v>
      </c>
      <c r="G252" s="162">
        <f t="shared" si="8"/>
        <v>1000000</v>
      </c>
      <c r="H252" s="194"/>
      <c r="I252" s="161">
        <f t="shared" si="5"/>
        <v>1000000</v>
      </c>
      <c r="J252" s="164">
        <f t="shared" si="7"/>
        <v>1000000</v>
      </c>
      <c r="K252" s="56" t="s">
        <v>3570</v>
      </c>
      <c r="L252" s="165" t="s">
        <v>3571</v>
      </c>
      <c r="M252" s="56"/>
      <c r="N252" s="169" t="s">
        <v>3572</v>
      </c>
      <c r="O252" s="169" t="s">
        <v>2958</v>
      </c>
      <c r="P252" s="168" t="s">
        <v>3112</v>
      </c>
      <c r="Q252" s="167">
        <v>1000000.0</v>
      </c>
      <c r="R252" s="167"/>
      <c r="S252" s="173"/>
      <c r="T252" s="173"/>
      <c r="U252" s="173"/>
      <c r="V252" s="202"/>
      <c r="W252" s="171"/>
      <c r="X252" s="171"/>
    </row>
    <row r="253" ht="15.0" customHeight="1">
      <c r="A253" s="216">
        <v>45437.0</v>
      </c>
      <c r="B253" s="181" t="s">
        <v>3569</v>
      </c>
      <c r="C253" s="56" t="s">
        <v>3513</v>
      </c>
      <c r="D253" s="73" t="str">
        <f>IFERROR(VLOOKUP(C253,Stock,3,FALSE),"")</f>
        <v>Lembur</v>
      </c>
      <c r="E253" s="56">
        <v>1.0</v>
      </c>
      <c r="F253" s="161">
        <v>100000.0</v>
      </c>
      <c r="G253" s="162">
        <f t="shared" si="8"/>
        <v>100000</v>
      </c>
      <c r="H253" s="194"/>
      <c r="I253" s="161">
        <f t="shared" si="5"/>
        <v>100000</v>
      </c>
      <c r="J253" s="164">
        <f t="shared" si="7"/>
        <v>100000</v>
      </c>
      <c r="K253" s="56" t="s">
        <v>3570</v>
      </c>
      <c r="L253" s="165" t="s">
        <v>3571</v>
      </c>
      <c r="M253" s="56"/>
      <c r="N253" s="169"/>
      <c r="O253" s="169"/>
      <c r="P253" s="168"/>
      <c r="Q253" s="167">
        <v>100000.0</v>
      </c>
      <c r="R253" s="167"/>
      <c r="S253" s="173"/>
      <c r="T253" s="173"/>
      <c r="U253" s="173"/>
      <c r="V253" s="202"/>
      <c r="W253" s="171"/>
      <c r="X253" s="171"/>
    </row>
    <row r="254" ht="15.0" customHeight="1">
      <c r="A254" s="127">
        <v>45438.0</v>
      </c>
      <c r="B254" s="181" t="s">
        <v>3573</v>
      </c>
      <c r="C254" s="56" t="s">
        <v>3574</v>
      </c>
      <c r="D254" s="73" t="str">
        <f>IFERROR(VLOOKUP(C254,Stock,3,FALSE),"")</f>
        <v>Toyota Rush / Terios 06-17</v>
      </c>
      <c r="E254" s="56">
        <v>1.0</v>
      </c>
      <c r="F254" s="161">
        <v>795000.0</v>
      </c>
      <c r="G254" s="162">
        <f t="shared" si="8"/>
        <v>795000</v>
      </c>
      <c r="H254" s="194"/>
      <c r="I254" s="161">
        <f t="shared" si="5"/>
        <v>795000</v>
      </c>
      <c r="J254" s="164">
        <f t="shared" si="7"/>
        <v>795000</v>
      </c>
      <c r="K254" s="56" t="s">
        <v>3575</v>
      </c>
      <c r="L254" s="165" t="s">
        <v>3576</v>
      </c>
      <c r="M254" s="73"/>
      <c r="N254" s="171"/>
      <c r="O254" s="169" t="s">
        <v>2958</v>
      </c>
      <c r="P254" s="168" t="s">
        <v>3112</v>
      </c>
      <c r="Q254" s="173"/>
      <c r="R254" s="167">
        <v>795000.0</v>
      </c>
      <c r="S254" s="173"/>
      <c r="T254" s="173"/>
      <c r="U254" s="173"/>
      <c r="V254" s="202"/>
      <c r="W254" s="171"/>
      <c r="X254" s="171"/>
    </row>
    <row r="255" ht="15.0" customHeight="1">
      <c r="A255" s="56" t="s">
        <v>3577</v>
      </c>
      <c r="B255" s="181" t="s">
        <v>3578</v>
      </c>
      <c r="C255" s="56" t="s">
        <v>2659</v>
      </c>
      <c r="D255" s="73" t="str">
        <f>IFERROR(VLOOKUP(C255,Stock,3,FALSE),"")</f>
        <v>Kia Picanto 04-11 1st Gen (Spion Hitam)</v>
      </c>
      <c r="E255" s="56">
        <v>1.0</v>
      </c>
      <c r="F255" s="161">
        <v>1670000.0</v>
      </c>
      <c r="G255" s="162">
        <f t="shared" si="8"/>
        <v>1670000</v>
      </c>
      <c r="H255" s="194"/>
      <c r="I255" s="161">
        <f t="shared" si="5"/>
        <v>1670000</v>
      </c>
      <c r="J255" s="164">
        <f t="shared" si="7"/>
        <v>1670000</v>
      </c>
      <c r="K255" s="56" t="s">
        <v>3579</v>
      </c>
      <c r="L255" s="165" t="s">
        <v>3580</v>
      </c>
      <c r="M255" s="73"/>
      <c r="N255" s="171"/>
      <c r="O255" s="169" t="s">
        <v>2958</v>
      </c>
      <c r="P255" s="168" t="s">
        <v>3112</v>
      </c>
      <c r="Q255" s="167">
        <v>1670000.0</v>
      </c>
      <c r="R255" s="173"/>
      <c r="S255" s="173"/>
      <c r="T255" s="173"/>
      <c r="U255" s="173"/>
      <c r="V255" s="202"/>
      <c r="W255" s="171"/>
      <c r="X255" s="171"/>
    </row>
    <row r="256" ht="15.0" customHeight="1">
      <c r="A256" s="56" t="s">
        <v>3577</v>
      </c>
      <c r="B256" s="181" t="s">
        <v>3581</v>
      </c>
      <c r="C256" s="56" t="s">
        <v>3582</v>
      </c>
      <c r="D256" s="73" t="str">
        <f>IFERROR(VLOOKUP(C256,Stock,3,FALSE),"")</f>
        <v>Honda CR-V 12-16 4th Gen</v>
      </c>
      <c r="E256" s="56">
        <v>1.0</v>
      </c>
      <c r="F256" s="161">
        <v>1550000.0</v>
      </c>
      <c r="G256" s="162">
        <f t="shared" si="8"/>
        <v>1550000</v>
      </c>
      <c r="H256" s="194"/>
      <c r="I256" s="161">
        <f t="shared" si="5"/>
        <v>1550000</v>
      </c>
      <c r="J256" s="164">
        <f t="shared" si="7"/>
        <v>1550000</v>
      </c>
      <c r="K256" s="56" t="s">
        <v>3583</v>
      </c>
      <c r="L256" s="165" t="s">
        <v>3535</v>
      </c>
      <c r="M256" s="73"/>
      <c r="N256" s="171"/>
      <c r="O256" s="169" t="s">
        <v>2958</v>
      </c>
      <c r="P256" s="202"/>
      <c r="Q256" s="173"/>
      <c r="R256" s="167">
        <v>1550000.0</v>
      </c>
      <c r="S256" s="173"/>
      <c r="T256" s="173"/>
      <c r="U256" s="173"/>
      <c r="V256" s="202"/>
      <c r="W256" s="171"/>
      <c r="X256" s="171"/>
    </row>
    <row r="257" ht="15.0" customHeight="1">
      <c r="A257" s="56" t="s">
        <v>3577</v>
      </c>
      <c r="B257" s="181" t="s">
        <v>3581</v>
      </c>
      <c r="C257" s="56" t="s">
        <v>3059</v>
      </c>
      <c r="D257" s="73" t="str">
        <f>IFERROR(VLOOKUP(C257,Stock,3,FALSE),"")</f>
        <v>Sealant Polyurethane XYG Tube</v>
      </c>
      <c r="E257" s="56">
        <v>1.0</v>
      </c>
      <c r="F257" s="161">
        <v>75000.0</v>
      </c>
      <c r="G257" s="162">
        <f t="shared" si="8"/>
        <v>75000</v>
      </c>
      <c r="H257" s="194"/>
      <c r="I257" s="161">
        <f t="shared" si="5"/>
        <v>75000</v>
      </c>
      <c r="J257" s="164">
        <f t="shared" si="7"/>
        <v>75000</v>
      </c>
      <c r="K257" s="56" t="s">
        <v>3583</v>
      </c>
      <c r="L257" s="165" t="s">
        <v>3535</v>
      </c>
      <c r="M257" s="73"/>
      <c r="N257" s="171"/>
      <c r="O257" s="169" t="s">
        <v>2958</v>
      </c>
      <c r="P257" s="202"/>
      <c r="Q257" s="173"/>
      <c r="R257" s="167">
        <v>75000.0</v>
      </c>
      <c r="S257" s="173"/>
      <c r="T257" s="173"/>
      <c r="U257" s="173"/>
      <c r="V257" s="202"/>
      <c r="W257" s="171"/>
      <c r="X257" s="171"/>
    </row>
    <row r="258" ht="15.0" customHeight="1">
      <c r="A258" s="56" t="s">
        <v>3577</v>
      </c>
      <c r="B258" s="181" t="s">
        <v>3584</v>
      </c>
      <c r="C258" s="169" t="s">
        <v>2663</v>
      </c>
      <c r="D258" s="73" t="str">
        <f>IFERROR(VLOOKUP(C258,Stock,3,FALSE),"")</f>
        <v>Chevrolet Captiva 06-18 1st gen C100</v>
      </c>
      <c r="E258" s="56">
        <v>1.0</v>
      </c>
      <c r="F258" s="161">
        <v>2200000.0</v>
      </c>
      <c r="G258" s="162">
        <f t="shared" si="8"/>
        <v>2200000</v>
      </c>
      <c r="H258" s="194"/>
      <c r="I258" s="161">
        <f t="shared" si="5"/>
        <v>2200000</v>
      </c>
      <c r="J258" s="164">
        <f t="shared" si="7"/>
        <v>2200000</v>
      </c>
      <c r="K258" s="56" t="s">
        <v>3585</v>
      </c>
      <c r="L258" s="217" t="s">
        <v>3586</v>
      </c>
      <c r="M258" s="56" t="s">
        <v>3587</v>
      </c>
      <c r="N258" s="169" t="s">
        <v>3588</v>
      </c>
      <c r="O258" s="169" t="s">
        <v>2958</v>
      </c>
      <c r="P258" s="168" t="s">
        <v>3112</v>
      </c>
      <c r="Q258" s="173"/>
      <c r="R258" s="167">
        <v>2200000.0</v>
      </c>
      <c r="S258" s="173"/>
      <c r="T258" s="173"/>
      <c r="U258" s="173"/>
      <c r="V258" s="202"/>
      <c r="W258" s="171"/>
      <c r="X258" s="171"/>
    </row>
    <row r="259" ht="15.0" customHeight="1">
      <c r="A259" s="56" t="s">
        <v>3577</v>
      </c>
      <c r="B259" s="181" t="s">
        <v>3589</v>
      </c>
      <c r="C259" s="56" t="s">
        <v>2562</v>
      </c>
      <c r="D259" s="73" t="str">
        <f>IFERROR(VLOOKUP(C259,Stock,3,FALSE),"")</f>
        <v>Toyota Avanza / Xenia 15-21 3rd Gen</v>
      </c>
      <c r="E259" s="56">
        <v>1.0</v>
      </c>
      <c r="F259" s="161">
        <v>1020000.0</v>
      </c>
      <c r="G259" s="162">
        <f t="shared" si="8"/>
        <v>1020000</v>
      </c>
      <c r="H259" s="194"/>
      <c r="I259" s="161">
        <f t="shared" si="5"/>
        <v>1020000</v>
      </c>
      <c r="J259" s="164">
        <f t="shared" si="7"/>
        <v>1020000</v>
      </c>
      <c r="K259" s="56" t="s">
        <v>3590</v>
      </c>
      <c r="L259" s="165" t="s">
        <v>3591</v>
      </c>
      <c r="M259" s="73"/>
      <c r="N259" s="169" t="s">
        <v>3592</v>
      </c>
      <c r="O259" s="169" t="s">
        <v>2958</v>
      </c>
      <c r="P259" s="168" t="s">
        <v>3112</v>
      </c>
      <c r="Q259" s="173"/>
      <c r="R259" s="167">
        <v>1020000.0</v>
      </c>
      <c r="S259" s="173"/>
      <c r="T259" s="173"/>
      <c r="U259" s="173"/>
      <c r="V259" s="202"/>
      <c r="W259" s="171"/>
      <c r="X259" s="171"/>
    </row>
    <row r="260" ht="15.0" customHeight="1">
      <c r="A260" s="218">
        <v>45440.0</v>
      </c>
      <c r="B260" s="181" t="s">
        <v>3593</v>
      </c>
      <c r="C260" s="56" t="s">
        <v>3594</v>
      </c>
      <c r="D260" s="73" t="str">
        <f>IFERROR(VLOOKUP(C260,Stock,3,FALSE),"")</f>
        <v>Chevrolet Aveo 08-11 T250 Hatch. (Kalos/Lova) (Pendek) Barina</v>
      </c>
      <c r="E260" s="56">
        <v>1.0</v>
      </c>
      <c r="F260" s="161">
        <v>1847000.0</v>
      </c>
      <c r="G260" s="162">
        <f t="shared" si="8"/>
        <v>1847000</v>
      </c>
      <c r="H260" s="194"/>
      <c r="I260" s="161">
        <f t="shared" si="5"/>
        <v>1847000</v>
      </c>
      <c r="J260" s="164">
        <f t="shared" si="7"/>
        <v>1847000</v>
      </c>
      <c r="K260" s="56" t="s">
        <v>3595</v>
      </c>
      <c r="L260" s="170" t="s">
        <v>3596</v>
      </c>
      <c r="M260" s="73"/>
      <c r="N260" s="171"/>
      <c r="O260" s="169" t="s">
        <v>2958</v>
      </c>
      <c r="P260" s="168" t="s">
        <v>3112</v>
      </c>
      <c r="Q260" s="167">
        <v>1847000.0</v>
      </c>
      <c r="R260" s="162"/>
      <c r="S260" s="173"/>
      <c r="T260" s="173"/>
      <c r="U260" s="173"/>
      <c r="V260" s="202"/>
      <c r="W260" s="171"/>
      <c r="X260" s="171"/>
    </row>
    <row r="261" ht="15.0" customHeight="1">
      <c r="A261" s="218">
        <v>45440.0</v>
      </c>
      <c r="B261" s="181" t="s">
        <v>3593</v>
      </c>
      <c r="C261" s="208" t="s">
        <v>2934</v>
      </c>
      <c r="D261" s="73" t="str">
        <f>IFERROR(VLOOKUP(C261,Stock,3,FALSE),"")</f>
        <v>Peti Kayu</v>
      </c>
      <c r="E261" s="56">
        <v>1.0</v>
      </c>
      <c r="F261" s="161">
        <v>160000.0</v>
      </c>
      <c r="G261" s="162">
        <f t="shared" si="8"/>
        <v>160000</v>
      </c>
      <c r="H261" s="194"/>
      <c r="I261" s="161">
        <f t="shared" si="5"/>
        <v>160000</v>
      </c>
      <c r="J261" s="164">
        <f t="shared" si="7"/>
        <v>160000</v>
      </c>
      <c r="K261" s="56" t="s">
        <v>3595</v>
      </c>
      <c r="L261" s="170" t="s">
        <v>3596</v>
      </c>
      <c r="M261" s="73"/>
      <c r="N261" s="171"/>
      <c r="O261" s="169" t="s">
        <v>2958</v>
      </c>
      <c r="P261" s="168" t="s">
        <v>3112</v>
      </c>
      <c r="Q261" s="161">
        <v>160000.0</v>
      </c>
      <c r="R261" s="173"/>
      <c r="T261" s="173"/>
      <c r="U261" s="173"/>
      <c r="V261" s="202"/>
      <c r="W261" s="171"/>
      <c r="X261" s="171"/>
    </row>
    <row r="262" ht="15.0" customHeight="1">
      <c r="A262" s="127">
        <v>45441.0</v>
      </c>
      <c r="B262" s="181" t="s">
        <v>3597</v>
      </c>
      <c r="C262" s="56" t="s">
        <v>3186</v>
      </c>
      <c r="D262" s="73" t="str">
        <f>IFERROR(VLOOKUP(C262,Stock,3,FALSE),"")</f>
        <v>Daihatsu Gran Max / Luxio 07-</v>
      </c>
      <c r="E262" s="56">
        <v>1.0</v>
      </c>
      <c r="F262" s="161">
        <v>1098000.0</v>
      </c>
      <c r="G262" s="162">
        <f t="shared" si="8"/>
        <v>1098000</v>
      </c>
      <c r="H262" s="194"/>
      <c r="I262" s="161">
        <f t="shared" si="5"/>
        <v>1098000</v>
      </c>
      <c r="J262" s="164">
        <f t="shared" si="7"/>
        <v>1098000</v>
      </c>
      <c r="K262" s="56" t="s">
        <v>3598</v>
      </c>
      <c r="L262" s="165" t="s">
        <v>3599</v>
      </c>
      <c r="M262" s="73"/>
      <c r="N262" s="169" t="s">
        <v>3600</v>
      </c>
      <c r="O262" s="169" t="s">
        <v>2958</v>
      </c>
      <c r="P262" s="168" t="s">
        <v>3054</v>
      </c>
      <c r="Q262" s="173"/>
      <c r="R262" s="167">
        <v>1098000.0</v>
      </c>
      <c r="T262" s="173"/>
      <c r="U262" s="173"/>
      <c r="V262" s="202"/>
      <c r="W262" s="171"/>
      <c r="X262" s="171"/>
    </row>
    <row r="263" ht="15.0" customHeight="1">
      <c r="A263" s="127">
        <v>45442.0</v>
      </c>
      <c r="B263" s="181" t="s">
        <v>3601</v>
      </c>
      <c r="C263" s="56" t="s">
        <v>2565</v>
      </c>
      <c r="D263" s="73" t="str">
        <f>IFERROR(VLOOKUP(C263,Stock,3,FALSE),"")</f>
        <v>Toyota Avanza / Xenia 03-11 1st Gen</v>
      </c>
      <c r="E263" s="56">
        <v>1.0</v>
      </c>
      <c r="F263" s="161">
        <v>1020000.0</v>
      </c>
      <c r="G263" s="162">
        <f t="shared" si="8"/>
        <v>1020000</v>
      </c>
      <c r="H263" s="194"/>
      <c r="I263" s="161">
        <f t="shared" si="5"/>
        <v>1020000</v>
      </c>
      <c r="J263" s="164">
        <f t="shared" si="7"/>
        <v>1020000</v>
      </c>
      <c r="K263" s="205" t="s">
        <v>3602</v>
      </c>
      <c r="L263" s="165" t="s">
        <v>3603</v>
      </c>
      <c r="M263" s="73"/>
      <c r="N263" s="169" t="s">
        <v>3604</v>
      </c>
      <c r="O263" s="169" t="s">
        <v>2958</v>
      </c>
      <c r="P263" s="168" t="s">
        <v>3112</v>
      </c>
      <c r="Q263" s="167">
        <v>1020000.0</v>
      </c>
      <c r="R263" s="173"/>
      <c r="T263" s="173"/>
      <c r="U263" s="173"/>
      <c r="V263" s="202"/>
      <c r="W263" s="171"/>
      <c r="X263" s="171"/>
    </row>
    <row r="264" ht="15.0" customHeight="1">
      <c r="A264" s="127">
        <v>45442.0</v>
      </c>
      <c r="B264" s="181" t="s">
        <v>3601</v>
      </c>
      <c r="C264" s="181" t="s">
        <v>3083</v>
      </c>
      <c r="D264" s="73" t="str">
        <f>IFERROR(VLOOKUP(C264,Stock,3,FALSE),"")</f>
        <v>List Kaca Depan Code 04</v>
      </c>
      <c r="E264" s="56">
        <v>1.0</v>
      </c>
      <c r="F264" s="161">
        <v>275000.0</v>
      </c>
      <c r="G264" s="162">
        <f t="shared" si="8"/>
        <v>275000</v>
      </c>
      <c r="H264" s="194"/>
      <c r="I264" s="161">
        <f t="shared" si="5"/>
        <v>275000</v>
      </c>
      <c r="J264" s="164">
        <f t="shared" si="7"/>
        <v>275000</v>
      </c>
      <c r="K264" s="205" t="s">
        <v>3602</v>
      </c>
      <c r="L264" s="165" t="s">
        <v>3603</v>
      </c>
      <c r="M264" s="73"/>
      <c r="N264" s="169" t="s">
        <v>3604</v>
      </c>
      <c r="O264" s="169" t="s">
        <v>2958</v>
      </c>
      <c r="P264" s="168" t="s">
        <v>3112</v>
      </c>
      <c r="Q264" s="167">
        <v>275000.0</v>
      </c>
      <c r="R264" s="173"/>
      <c r="T264" s="173"/>
      <c r="U264" s="173"/>
      <c r="V264" s="202"/>
      <c r="W264" s="171"/>
      <c r="X264" s="171"/>
    </row>
    <row r="265" ht="15.0" customHeight="1">
      <c r="A265" s="127">
        <v>45442.0</v>
      </c>
      <c r="B265" s="181" t="s">
        <v>3605</v>
      </c>
      <c r="C265" s="56" t="s">
        <v>3606</v>
      </c>
      <c r="D265" s="73" t="str">
        <f>IFERROR(VLOOKUP(C265,Stock,3,FALSE),"")</f>
        <v>Wuling Confero (Heater)</v>
      </c>
      <c r="E265" s="56">
        <v>1.0</v>
      </c>
      <c r="F265" s="161">
        <v>1300000.0</v>
      </c>
      <c r="G265" s="162">
        <f t="shared" si="8"/>
        <v>1300000</v>
      </c>
      <c r="H265" s="194"/>
      <c r="I265" s="161">
        <f t="shared" si="5"/>
        <v>1300000</v>
      </c>
      <c r="J265" s="164">
        <f t="shared" si="7"/>
        <v>1300000</v>
      </c>
      <c r="K265" s="56" t="s">
        <v>3607</v>
      </c>
      <c r="L265" s="165" t="s">
        <v>3608</v>
      </c>
      <c r="M265" s="56" t="s">
        <v>3609</v>
      </c>
      <c r="N265" s="169" t="s">
        <v>3610</v>
      </c>
      <c r="O265" s="169" t="s">
        <v>2958</v>
      </c>
      <c r="P265" s="168" t="s">
        <v>3112</v>
      </c>
      <c r="Q265" s="173"/>
      <c r="R265" s="167">
        <v>1300000.0</v>
      </c>
      <c r="S265" s="173"/>
      <c r="T265" s="173"/>
      <c r="U265" s="173"/>
      <c r="V265" s="202"/>
      <c r="W265" s="171"/>
      <c r="X265" s="171"/>
    </row>
    <row r="266" ht="15.0" customHeight="1">
      <c r="A266" s="127">
        <v>45442.0</v>
      </c>
      <c r="B266" s="181" t="s">
        <v>3611</v>
      </c>
      <c r="C266" s="56" t="s">
        <v>3398</v>
      </c>
      <c r="D266" s="73" t="str">
        <f>IFERROR(VLOOKUP(C266,Stock,3,FALSE),"")</f>
        <v>Pemasangan Kaca Mobil Samping</v>
      </c>
      <c r="E266" s="56">
        <v>1.0</v>
      </c>
      <c r="F266" s="161">
        <v>350000.0</v>
      </c>
      <c r="G266" s="162">
        <f t="shared" si="8"/>
        <v>350000</v>
      </c>
      <c r="H266" s="194"/>
      <c r="I266" s="161">
        <f t="shared" si="5"/>
        <v>350000</v>
      </c>
      <c r="J266" s="164">
        <f t="shared" si="7"/>
        <v>350000</v>
      </c>
      <c r="K266" s="56" t="s">
        <v>3612</v>
      </c>
      <c r="L266" s="165" t="s">
        <v>3613</v>
      </c>
      <c r="M266" s="56" t="s">
        <v>3614</v>
      </c>
      <c r="N266" s="169" t="s">
        <v>3615</v>
      </c>
      <c r="O266" s="169" t="s">
        <v>2958</v>
      </c>
      <c r="P266" s="168" t="s">
        <v>3011</v>
      </c>
      <c r="Q266" s="173"/>
      <c r="R266" s="167">
        <v>350000.0</v>
      </c>
      <c r="S266" s="173"/>
      <c r="T266" s="173"/>
      <c r="U266" s="173"/>
      <c r="V266" s="202"/>
      <c r="W266" s="171"/>
      <c r="X266" s="171"/>
    </row>
    <row r="267" ht="15.0" customHeight="1">
      <c r="A267" s="127">
        <v>45443.0</v>
      </c>
      <c r="B267" s="181" t="s">
        <v>3616</v>
      </c>
      <c r="C267" s="197" t="s">
        <v>2778</v>
      </c>
      <c r="D267" s="73" t="str">
        <f>IFERROR(VLOOKUP(C267,Stock,3,FALSE),"")</f>
        <v>Mitsubishi Fuso Fighter FK40 82-(PS190,220)</v>
      </c>
      <c r="E267" s="56">
        <v>1.0</v>
      </c>
      <c r="F267" s="161">
        <v>1867000.0</v>
      </c>
      <c r="G267" s="162">
        <f t="shared" si="8"/>
        <v>1867000</v>
      </c>
      <c r="H267" s="194"/>
      <c r="I267" s="161">
        <f t="shared" si="5"/>
        <v>1867000</v>
      </c>
      <c r="J267" s="164">
        <f t="shared" si="7"/>
        <v>1867000</v>
      </c>
      <c r="K267" s="56" t="s">
        <v>3617</v>
      </c>
      <c r="L267" s="165" t="s">
        <v>3618</v>
      </c>
      <c r="M267" s="56" t="s">
        <v>3619</v>
      </c>
      <c r="N267" s="169" t="s">
        <v>3620</v>
      </c>
      <c r="O267" s="169" t="s">
        <v>2958</v>
      </c>
      <c r="P267" s="168" t="s">
        <v>3112</v>
      </c>
      <c r="Q267" s="167">
        <v>1867000.0</v>
      </c>
      <c r="R267" s="173"/>
      <c r="S267" s="173"/>
      <c r="T267" s="173"/>
      <c r="U267" s="173"/>
      <c r="V267" s="202"/>
      <c r="W267" s="171"/>
      <c r="X267" s="171"/>
    </row>
    <row r="268" ht="15.0" customHeight="1">
      <c r="A268" s="127">
        <v>45443.0</v>
      </c>
      <c r="B268" s="181" t="s">
        <v>3616</v>
      </c>
      <c r="C268" s="208" t="s">
        <v>2954</v>
      </c>
      <c r="D268" s="73" t="str">
        <f>IFERROR(VLOOKUP(C268,Stock,3,FALSE),"")</f>
        <v>Transport</v>
      </c>
      <c r="E268" s="56">
        <v>1.0</v>
      </c>
      <c r="F268" s="161">
        <v>100000.0</v>
      </c>
      <c r="G268" s="162">
        <f t="shared" si="8"/>
        <v>100000</v>
      </c>
      <c r="H268" s="194"/>
      <c r="I268" s="161">
        <f t="shared" si="5"/>
        <v>100000</v>
      </c>
      <c r="J268" s="164">
        <f t="shared" si="7"/>
        <v>100000</v>
      </c>
      <c r="K268" s="56" t="s">
        <v>3617</v>
      </c>
      <c r="L268" s="165" t="s">
        <v>3618</v>
      </c>
      <c r="M268" s="56" t="s">
        <v>3619</v>
      </c>
      <c r="N268" s="169" t="s">
        <v>3620</v>
      </c>
      <c r="O268" s="169" t="s">
        <v>2958</v>
      </c>
      <c r="P268" s="168" t="s">
        <v>3112</v>
      </c>
      <c r="Q268" s="167">
        <v>100000.0</v>
      </c>
      <c r="R268" s="173"/>
      <c r="S268" s="173"/>
      <c r="T268" s="173"/>
      <c r="U268" s="173"/>
      <c r="V268" s="202"/>
      <c r="W268" s="171"/>
      <c r="X268" s="171"/>
    </row>
    <row r="269" ht="15.0" customHeight="1">
      <c r="A269" s="127">
        <v>45444.0</v>
      </c>
      <c r="B269" s="181" t="s">
        <v>3621</v>
      </c>
      <c r="C269" s="56" t="s">
        <v>3622</v>
      </c>
      <c r="D269" s="73" t="str">
        <f>IFERROR(VLOOKUP(C269,Stock,3,FALSE),"")</f>
        <v>Mitsubishi Pajero 08-16</v>
      </c>
      <c r="E269" s="56">
        <v>1.0</v>
      </c>
      <c r="F269" s="161">
        <v>1800000.0</v>
      </c>
      <c r="G269" s="162">
        <f t="shared" si="8"/>
        <v>1800000</v>
      </c>
      <c r="H269" s="194"/>
      <c r="I269" s="204">
        <f t="shared" si="5"/>
        <v>1800000</v>
      </c>
      <c r="J269" s="164">
        <f t="shared" si="7"/>
        <v>1800000</v>
      </c>
      <c r="K269" s="56" t="s">
        <v>3623</v>
      </c>
      <c r="L269" s="165" t="s">
        <v>3624</v>
      </c>
      <c r="M269" s="73"/>
      <c r="N269" s="169" t="s">
        <v>3625</v>
      </c>
      <c r="O269" s="169" t="s">
        <v>3626</v>
      </c>
      <c r="P269" s="168" t="s">
        <v>3627</v>
      </c>
      <c r="Q269" s="173"/>
      <c r="R269" s="167">
        <v>1800000.0</v>
      </c>
      <c r="S269" s="173"/>
      <c r="T269" s="173"/>
      <c r="U269" s="173"/>
      <c r="V269" s="202"/>
      <c r="W269" s="171"/>
      <c r="X269" s="171"/>
    </row>
    <row r="270" ht="15.0" customHeight="1">
      <c r="A270" s="127">
        <v>45444.0</v>
      </c>
      <c r="B270" s="181" t="s">
        <v>3621</v>
      </c>
      <c r="C270" s="56" t="s">
        <v>3513</v>
      </c>
      <c r="D270" s="73" t="str">
        <f>IFERROR(VLOOKUP(C270,Stock,3,FALSE),"")</f>
        <v>Lembur</v>
      </c>
      <c r="E270" s="56">
        <v>1.0</v>
      </c>
      <c r="F270" s="161">
        <v>100000.0</v>
      </c>
      <c r="G270" s="162">
        <f t="shared" si="8"/>
        <v>100000</v>
      </c>
      <c r="H270" s="194"/>
      <c r="I270" s="204">
        <f t="shared" si="5"/>
        <v>100000</v>
      </c>
      <c r="J270" s="164">
        <f t="shared" si="7"/>
        <v>100000</v>
      </c>
      <c r="K270" s="56" t="s">
        <v>3623</v>
      </c>
      <c r="L270" s="165" t="s">
        <v>3624</v>
      </c>
      <c r="M270" s="73"/>
      <c r="N270" s="169" t="s">
        <v>3625</v>
      </c>
      <c r="O270" s="169" t="s">
        <v>3626</v>
      </c>
      <c r="P270" s="168" t="s">
        <v>3627</v>
      </c>
      <c r="Q270" s="173"/>
      <c r="R270" s="167">
        <v>100000.0</v>
      </c>
      <c r="S270" s="173"/>
      <c r="T270" s="173"/>
      <c r="U270" s="173"/>
      <c r="V270" s="202"/>
      <c r="W270" s="171"/>
      <c r="X270" s="171"/>
    </row>
    <row r="271" ht="15.0" customHeight="1">
      <c r="A271" s="127">
        <v>45446.0</v>
      </c>
      <c r="B271" s="181" t="s">
        <v>3628</v>
      </c>
      <c r="C271" s="56" t="s">
        <v>2562</v>
      </c>
      <c r="D271" s="73" t="str">
        <f>IFERROR(VLOOKUP(C271,Stock,3,FALSE),"")</f>
        <v>Toyota Avanza / Xenia 15-21 3rd Gen</v>
      </c>
      <c r="E271" s="56">
        <v>1.0</v>
      </c>
      <c r="F271" s="161">
        <v>1020000.0</v>
      </c>
      <c r="G271" s="162">
        <f t="shared" si="8"/>
        <v>1020000</v>
      </c>
      <c r="H271" s="194"/>
      <c r="I271" s="204">
        <f t="shared" si="5"/>
        <v>1020000</v>
      </c>
      <c r="J271" s="164">
        <f t="shared" si="7"/>
        <v>1020000</v>
      </c>
      <c r="K271" s="56" t="s">
        <v>3629</v>
      </c>
      <c r="L271" s="165" t="s">
        <v>3630</v>
      </c>
      <c r="M271" s="56" t="s">
        <v>3631</v>
      </c>
      <c r="N271" s="169" t="s">
        <v>3632</v>
      </c>
      <c r="O271" s="169" t="s">
        <v>2958</v>
      </c>
      <c r="P271" s="168" t="s">
        <v>3112</v>
      </c>
      <c r="Q271" s="173"/>
      <c r="R271" s="167">
        <v>1020000.0</v>
      </c>
      <c r="S271" s="173"/>
      <c r="T271" s="173"/>
      <c r="U271" s="173"/>
      <c r="V271" s="202"/>
      <c r="W271" s="171"/>
      <c r="X271" s="171"/>
    </row>
    <row r="272" ht="15.0" customHeight="1">
      <c r="A272" s="127">
        <v>45446.0</v>
      </c>
      <c r="B272" s="181" t="s">
        <v>3633</v>
      </c>
      <c r="C272" s="169" t="s">
        <v>2651</v>
      </c>
      <c r="D272" s="73" t="str">
        <f>IFERROR(VLOOKUP(C272,Stock,3,FALSE),"")</f>
        <v>Suzuki Wagon R 12-</v>
      </c>
      <c r="E272" s="56">
        <v>1.0</v>
      </c>
      <c r="F272" s="161">
        <v>1418000.0</v>
      </c>
      <c r="G272" s="162">
        <f t="shared" si="8"/>
        <v>1418000</v>
      </c>
      <c r="H272" s="194"/>
      <c r="I272" s="204">
        <f t="shared" si="5"/>
        <v>1418000</v>
      </c>
      <c r="J272" s="164">
        <f t="shared" si="7"/>
        <v>1418000</v>
      </c>
      <c r="K272" s="56" t="s">
        <v>3634</v>
      </c>
      <c r="L272" s="165" t="s">
        <v>3635</v>
      </c>
      <c r="M272" s="73"/>
      <c r="N272" s="203" t="s">
        <v>3636</v>
      </c>
      <c r="O272" s="169" t="s">
        <v>2958</v>
      </c>
      <c r="P272" s="168" t="s">
        <v>3112</v>
      </c>
      <c r="Q272" s="167">
        <v>1418000.0</v>
      </c>
      <c r="R272" s="173"/>
      <c r="S272" s="173"/>
      <c r="T272" s="173"/>
      <c r="U272" s="173"/>
      <c r="V272" s="202"/>
      <c r="W272" s="171"/>
      <c r="X272" s="219">
        <v>45447.0</v>
      </c>
    </row>
    <row r="273" ht="15.0" customHeight="1">
      <c r="A273" s="127">
        <v>45446.0</v>
      </c>
      <c r="B273" s="181" t="s">
        <v>3637</v>
      </c>
      <c r="C273" s="56" t="s">
        <v>3638</v>
      </c>
      <c r="D273" s="73" t="str">
        <f>IFERROR(VLOOKUP(C273,Stock,3,FALSE),"")</f>
        <v>Mitsubishi Xpander 17-21</v>
      </c>
      <c r="E273" s="56">
        <v>1.0</v>
      </c>
      <c r="F273" s="161">
        <v>812000.0</v>
      </c>
      <c r="G273" s="162">
        <f t="shared" si="8"/>
        <v>812000</v>
      </c>
      <c r="H273" s="194"/>
      <c r="I273" s="204">
        <f t="shared" si="5"/>
        <v>812000</v>
      </c>
      <c r="J273" s="164">
        <f t="shared" si="7"/>
        <v>812000</v>
      </c>
      <c r="K273" s="56" t="s">
        <v>3639</v>
      </c>
      <c r="L273" s="165" t="s">
        <v>3640</v>
      </c>
      <c r="M273" s="56" t="s">
        <v>3641</v>
      </c>
      <c r="N273" s="169" t="s">
        <v>3642</v>
      </c>
      <c r="O273" s="169" t="s">
        <v>2958</v>
      </c>
      <c r="P273" s="168" t="s">
        <v>3112</v>
      </c>
      <c r="Q273" s="167">
        <v>812000.0</v>
      </c>
      <c r="R273" s="173"/>
      <c r="S273" s="173"/>
      <c r="T273" s="173"/>
      <c r="U273" s="173"/>
      <c r="V273" s="202"/>
      <c r="W273" s="171"/>
      <c r="X273" s="219">
        <v>45447.0</v>
      </c>
    </row>
    <row r="274" ht="15.0" customHeight="1">
      <c r="A274" s="127">
        <v>45446.0</v>
      </c>
      <c r="B274" s="181" t="s">
        <v>3643</v>
      </c>
      <c r="C274" s="56" t="s">
        <v>2562</v>
      </c>
      <c r="D274" s="73" t="str">
        <f>IFERROR(VLOOKUP(C274,Stock,3,FALSE),"")</f>
        <v>Toyota Avanza / Xenia 15-21 3rd Gen</v>
      </c>
      <c r="E274" s="56">
        <v>1.0</v>
      </c>
      <c r="F274" s="161">
        <v>788000.0</v>
      </c>
      <c r="G274" s="162">
        <f t="shared" si="8"/>
        <v>788000</v>
      </c>
      <c r="H274" s="194"/>
      <c r="I274" s="204">
        <f t="shared" si="5"/>
        <v>788000</v>
      </c>
      <c r="J274" s="164">
        <f t="shared" si="7"/>
        <v>788000</v>
      </c>
      <c r="K274" s="56" t="s">
        <v>3518</v>
      </c>
      <c r="L274" s="165" t="s">
        <v>3644</v>
      </c>
      <c r="M274" s="73"/>
      <c r="N274" s="171"/>
      <c r="O274" s="169" t="s">
        <v>2958</v>
      </c>
      <c r="P274" s="168" t="s">
        <v>3645</v>
      </c>
      <c r="Q274" s="173"/>
      <c r="R274" s="167">
        <v>788000.0</v>
      </c>
      <c r="S274" s="173"/>
      <c r="T274" s="173"/>
      <c r="U274" s="173"/>
      <c r="V274" s="202"/>
      <c r="W274" s="171"/>
      <c r="X274" s="171"/>
    </row>
    <row r="275" ht="15.0" customHeight="1">
      <c r="A275" s="127">
        <v>45446.0</v>
      </c>
      <c r="B275" s="181" t="s">
        <v>3646</v>
      </c>
      <c r="C275" s="56" t="s">
        <v>2546</v>
      </c>
      <c r="D275" s="73" t="str">
        <f>IFERROR(VLOOKUP(C275,Stock,3,FALSE),"")</f>
        <v>Wuling Confero (Tanpa Spionnya)</v>
      </c>
      <c r="E275" s="56">
        <v>1.0</v>
      </c>
      <c r="F275" s="161">
        <v>1538000.0</v>
      </c>
      <c r="G275" s="162">
        <f t="shared" si="8"/>
        <v>1538000</v>
      </c>
      <c r="H275" s="194"/>
      <c r="I275" s="204">
        <f t="shared" si="5"/>
        <v>1538000</v>
      </c>
      <c r="J275" s="164">
        <f t="shared" si="7"/>
        <v>1538000</v>
      </c>
      <c r="K275" s="56" t="s">
        <v>3647</v>
      </c>
      <c r="L275" s="165" t="s">
        <v>3648</v>
      </c>
      <c r="M275" s="56" t="s">
        <v>3649</v>
      </c>
      <c r="N275" s="169" t="s">
        <v>3650</v>
      </c>
      <c r="O275" s="169" t="s">
        <v>2958</v>
      </c>
      <c r="P275" s="168" t="s">
        <v>3112</v>
      </c>
      <c r="Q275" s="173"/>
      <c r="R275" s="167">
        <v>1538000.0</v>
      </c>
      <c r="S275" s="173"/>
      <c r="T275" s="173"/>
      <c r="U275" s="173"/>
      <c r="V275" s="202"/>
      <c r="W275" s="171"/>
      <c r="X275" s="171"/>
    </row>
    <row r="276" ht="15.0" customHeight="1">
      <c r="A276" s="127">
        <v>45446.0</v>
      </c>
      <c r="B276" s="197" t="s">
        <v>3646</v>
      </c>
      <c r="C276" s="56" t="s">
        <v>3532</v>
      </c>
      <c r="D276" s="73" t="str">
        <f>IFERROR(VLOOKUP(C276,Stock,3,FALSE),"")</f>
        <v>9092 Sealant Application</v>
      </c>
      <c r="E276" s="56">
        <v>1.0</v>
      </c>
      <c r="F276" s="161">
        <v>200000.0</v>
      </c>
      <c r="G276" s="162">
        <f t="shared" si="8"/>
        <v>200000</v>
      </c>
      <c r="H276" s="194"/>
      <c r="I276" s="204">
        <f t="shared" si="5"/>
        <v>200000</v>
      </c>
      <c r="J276" s="164">
        <f t="shared" si="7"/>
        <v>200000</v>
      </c>
      <c r="K276" s="56" t="s">
        <v>3647</v>
      </c>
      <c r="L276" s="165" t="s">
        <v>3648</v>
      </c>
      <c r="M276" s="56" t="s">
        <v>3649</v>
      </c>
      <c r="N276" s="171"/>
      <c r="O276" s="169" t="s">
        <v>2958</v>
      </c>
      <c r="P276" s="168" t="s">
        <v>3112</v>
      </c>
      <c r="Q276" s="173"/>
      <c r="R276" s="167">
        <v>200000.0</v>
      </c>
      <c r="S276" s="173"/>
      <c r="T276" s="173"/>
      <c r="U276" s="173"/>
      <c r="V276" s="202"/>
      <c r="W276" s="171"/>
      <c r="X276" s="171"/>
    </row>
    <row r="277" ht="15.0" customHeight="1">
      <c r="A277" s="127">
        <v>45446.0</v>
      </c>
      <c r="B277" s="181" t="s">
        <v>3651</v>
      </c>
      <c r="C277" s="56" t="s">
        <v>3398</v>
      </c>
      <c r="D277" s="73" t="str">
        <f>IFERROR(VLOOKUP(C277,Stock,3,FALSE),"")</f>
        <v>Pemasangan Kaca Mobil Samping</v>
      </c>
      <c r="E277" s="56">
        <v>1.0</v>
      </c>
      <c r="F277" s="161">
        <v>150000.0</v>
      </c>
      <c r="G277" s="162">
        <f t="shared" si="8"/>
        <v>150000</v>
      </c>
      <c r="H277" s="194"/>
      <c r="I277" s="204">
        <f t="shared" si="5"/>
        <v>150000</v>
      </c>
      <c r="J277" s="164">
        <f t="shared" si="7"/>
        <v>150000</v>
      </c>
      <c r="K277" s="56" t="s">
        <v>3652</v>
      </c>
      <c r="L277" s="165" t="s">
        <v>3653</v>
      </c>
      <c r="M277" s="73"/>
      <c r="N277" s="169" t="s">
        <v>3654</v>
      </c>
      <c r="O277" s="169" t="s">
        <v>2958</v>
      </c>
      <c r="P277" s="168" t="s">
        <v>3112</v>
      </c>
      <c r="Q277" s="173"/>
      <c r="R277" s="167">
        <v>150000.0</v>
      </c>
      <c r="S277" s="173"/>
      <c r="T277" s="173"/>
      <c r="U277" s="173"/>
      <c r="V277" s="202"/>
      <c r="W277" s="171"/>
      <c r="X277" s="171"/>
    </row>
    <row r="278" ht="15.0" customHeight="1">
      <c r="A278" s="127">
        <v>45446.0</v>
      </c>
      <c r="B278" s="181" t="s">
        <v>3655</v>
      </c>
      <c r="C278" s="56" t="s">
        <v>3360</v>
      </c>
      <c r="D278" s="73" t="str">
        <f>IFERROR(VLOOKUP(C278,Stock,3,FALSE),"")</f>
        <v>Mitsubishi Xpander 17-</v>
      </c>
      <c r="E278" s="56">
        <v>1.0</v>
      </c>
      <c r="F278" s="161">
        <v>1744000.0</v>
      </c>
      <c r="G278" s="162">
        <f t="shared" si="8"/>
        <v>1744000</v>
      </c>
      <c r="H278" s="194"/>
      <c r="I278" s="204">
        <f t="shared" si="5"/>
        <v>1744000</v>
      </c>
      <c r="J278" s="164">
        <f t="shared" si="7"/>
        <v>1744000</v>
      </c>
      <c r="K278" s="56" t="s">
        <v>3656</v>
      </c>
      <c r="L278" s="165" t="s">
        <v>3657</v>
      </c>
      <c r="M278" s="56" t="s">
        <v>3658</v>
      </c>
      <c r="N278" s="169" t="s">
        <v>3659</v>
      </c>
      <c r="O278" s="169" t="s">
        <v>3213</v>
      </c>
      <c r="P278" s="168" t="s">
        <v>3112</v>
      </c>
      <c r="Q278" s="167">
        <v>1774000.0</v>
      </c>
      <c r="R278" s="173"/>
      <c r="S278" s="173"/>
      <c r="T278" s="173"/>
      <c r="U278" s="173"/>
      <c r="V278" s="202"/>
      <c r="W278" s="171"/>
      <c r="X278" s="171"/>
    </row>
    <row r="279" ht="15.0" customHeight="1">
      <c r="A279" s="127">
        <v>45446.0</v>
      </c>
      <c r="B279" s="181" t="s">
        <v>3655</v>
      </c>
      <c r="C279" s="56" t="s">
        <v>2562</v>
      </c>
      <c r="D279" s="73" t="str">
        <f>IFERROR(VLOOKUP(C279,Stock,3,FALSE),"")</f>
        <v>Toyota Avanza / Xenia 15-21 3rd Gen</v>
      </c>
      <c r="E279" s="56">
        <v>1.0</v>
      </c>
      <c r="F279" s="161">
        <v>327000.0</v>
      </c>
      <c r="G279" s="162">
        <f t="shared" si="8"/>
        <v>327000</v>
      </c>
      <c r="H279" s="194"/>
      <c r="I279" s="204">
        <f t="shared" si="5"/>
        <v>327000</v>
      </c>
      <c r="J279" s="164">
        <f t="shared" si="7"/>
        <v>327000</v>
      </c>
      <c r="K279" s="56" t="s">
        <v>3656</v>
      </c>
      <c r="L279" s="165" t="s">
        <v>3657</v>
      </c>
      <c r="M279" s="56" t="s">
        <v>3658</v>
      </c>
      <c r="N279" s="169" t="s">
        <v>3659</v>
      </c>
      <c r="O279" s="169" t="s">
        <v>3213</v>
      </c>
      <c r="P279" s="168" t="s">
        <v>3112</v>
      </c>
      <c r="Q279" s="167">
        <v>327000.0</v>
      </c>
      <c r="R279" s="173"/>
      <c r="S279" s="173"/>
      <c r="T279" s="173"/>
      <c r="U279" s="173"/>
      <c r="V279" s="202"/>
      <c r="W279" s="171"/>
      <c r="X279" s="171"/>
    </row>
    <row r="280" ht="15.0" customHeight="1">
      <c r="A280" s="127">
        <v>45447.0</v>
      </c>
      <c r="B280" s="181" t="s">
        <v>3660</v>
      </c>
      <c r="C280" s="169" t="s">
        <v>2919</v>
      </c>
      <c r="D280" s="73" t="str">
        <f>IFERROR(VLOOKUP(C280,Stock,3,FALSE),"")</f>
        <v>Toyota Innova 04-15 1st Gen</v>
      </c>
      <c r="E280" s="56">
        <v>1.0</v>
      </c>
      <c r="F280" s="161">
        <v>2640000.0</v>
      </c>
      <c r="G280" s="162">
        <f t="shared" si="8"/>
        <v>2640000</v>
      </c>
      <c r="H280" s="194"/>
      <c r="I280" s="204">
        <f t="shared" si="5"/>
        <v>2640000</v>
      </c>
      <c r="J280" s="164">
        <f t="shared" si="7"/>
        <v>2640000</v>
      </c>
      <c r="K280" s="56" t="s">
        <v>3661</v>
      </c>
      <c r="L280" s="165" t="s">
        <v>3662</v>
      </c>
      <c r="M280" s="73"/>
      <c r="N280" s="169" t="s">
        <v>3663</v>
      </c>
      <c r="O280" s="169" t="s">
        <v>3626</v>
      </c>
      <c r="P280" s="168" t="s">
        <v>3112</v>
      </c>
      <c r="Q280" s="167">
        <v>2650000.0</v>
      </c>
      <c r="R280" s="173"/>
      <c r="S280" s="173"/>
      <c r="T280" s="173"/>
      <c r="U280" s="167">
        <v>10000.0</v>
      </c>
      <c r="V280" s="168" t="s">
        <v>3664</v>
      </c>
      <c r="W280" s="169"/>
      <c r="X280" s="219">
        <v>45448.0</v>
      </c>
    </row>
    <row r="281" ht="15.0" customHeight="1">
      <c r="A281" s="127">
        <v>45447.0</v>
      </c>
      <c r="B281" s="181" t="s">
        <v>3665</v>
      </c>
      <c r="C281" s="56" t="s">
        <v>3666</v>
      </c>
      <c r="D281" s="73" t="str">
        <f>IFERROR(VLOOKUP(C281,Stock,3,FALSE),"")</f>
        <v>Hyundai H1 08- / Mover (Lubang)</v>
      </c>
      <c r="E281" s="56">
        <v>1.0</v>
      </c>
      <c r="F281" s="161">
        <v>2383000.0</v>
      </c>
      <c r="G281" s="162">
        <f t="shared" si="8"/>
        <v>2383000</v>
      </c>
      <c r="H281" s="194"/>
      <c r="I281" s="204">
        <f t="shared" si="5"/>
        <v>2383000</v>
      </c>
      <c r="J281" s="164">
        <f t="shared" si="7"/>
        <v>2383000</v>
      </c>
      <c r="K281" s="56" t="s">
        <v>3667</v>
      </c>
      <c r="L281" s="165" t="s">
        <v>3668</v>
      </c>
      <c r="M281" s="73"/>
      <c r="N281" s="169" t="s">
        <v>3669</v>
      </c>
      <c r="O281" s="169" t="s">
        <v>2958</v>
      </c>
      <c r="P281" s="168" t="s">
        <v>3670</v>
      </c>
      <c r="Q281" s="167">
        <v>2383000.0</v>
      </c>
      <c r="R281" s="167"/>
      <c r="S281" s="173"/>
      <c r="T281" s="173"/>
      <c r="U281" s="167"/>
      <c r="V281" s="168" t="s">
        <v>3671</v>
      </c>
      <c r="W281" s="169"/>
      <c r="X281" s="171"/>
    </row>
    <row r="282" ht="15.0" customHeight="1">
      <c r="A282" s="127">
        <v>45447.0</v>
      </c>
      <c r="B282" s="181" t="s">
        <v>3672</v>
      </c>
      <c r="C282" s="56" t="s">
        <v>3159</v>
      </c>
      <c r="D282" s="73" t="str">
        <f>IFERROR(VLOOKUP(C282,Stock,3,FALSE),"")</f>
        <v>Honda Jazz 13- 3rd Gen</v>
      </c>
      <c r="E282" s="56">
        <v>1.0</v>
      </c>
      <c r="F282" s="161">
        <v>1657000.0</v>
      </c>
      <c r="G282" s="162">
        <f t="shared" si="8"/>
        <v>1657000</v>
      </c>
      <c r="H282" s="194"/>
      <c r="I282" s="204">
        <f t="shared" si="5"/>
        <v>1657000</v>
      </c>
      <c r="J282" s="164">
        <f t="shared" si="7"/>
        <v>1657000</v>
      </c>
      <c r="K282" s="56" t="s">
        <v>3673</v>
      </c>
      <c r="L282" s="165" t="s">
        <v>3674</v>
      </c>
      <c r="M282" s="56" t="s">
        <v>3675</v>
      </c>
      <c r="N282" s="169" t="s">
        <v>3676</v>
      </c>
      <c r="O282" s="169" t="s">
        <v>2958</v>
      </c>
      <c r="P282" s="168" t="s">
        <v>3112</v>
      </c>
      <c r="Q282" s="173"/>
      <c r="R282" s="167">
        <v>1657000.0</v>
      </c>
      <c r="S282" s="173"/>
      <c r="T282" s="173"/>
      <c r="U282" s="173"/>
      <c r="V282" s="168" t="s">
        <v>3671</v>
      </c>
      <c r="W282" s="169"/>
      <c r="X282" s="171"/>
    </row>
    <row r="283" ht="15.0" customHeight="1">
      <c r="A283" s="127">
        <v>45447.0</v>
      </c>
      <c r="B283" s="181" t="s">
        <v>3672</v>
      </c>
      <c r="C283" s="56" t="s">
        <v>2954</v>
      </c>
      <c r="D283" s="73" t="str">
        <f>IFERROR(VLOOKUP(C283,Stock,3,FALSE),"")</f>
        <v>Transport</v>
      </c>
      <c r="E283" s="56">
        <v>1.0</v>
      </c>
      <c r="F283" s="161">
        <v>50000.0</v>
      </c>
      <c r="G283" s="162">
        <f t="shared" si="8"/>
        <v>50000</v>
      </c>
      <c r="H283" s="194"/>
      <c r="I283" s="204">
        <f t="shared" si="5"/>
        <v>50000</v>
      </c>
      <c r="J283" s="164">
        <f t="shared" si="7"/>
        <v>50000</v>
      </c>
      <c r="K283" s="56" t="s">
        <v>3673</v>
      </c>
      <c r="L283" s="165" t="s">
        <v>3674</v>
      </c>
      <c r="M283" s="56" t="s">
        <v>3675</v>
      </c>
      <c r="N283" s="169" t="s">
        <v>3676</v>
      </c>
      <c r="O283" s="169" t="s">
        <v>2958</v>
      </c>
      <c r="P283" s="168" t="s">
        <v>3112</v>
      </c>
      <c r="Q283" s="173"/>
      <c r="R283" s="167">
        <v>50000.0</v>
      </c>
      <c r="S283" s="173"/>
      <c r="T283" s="173"/>
      <c r="U283" s="173"/>
      <c r="V283" s="168" t="s">
        <v>3671</v>
      </c>
      <c r="W283" s="169"/>
      <c r="X283" s="171"/>
    </row>
    <row r="284" ht="15.0" customHeight="1">
      <c r="A284" s="127">
        <v>45447.0</v>
      </c>
      <c r="B284" s="181" t="s">
        <v>3677</v>
      </c>
      <c r="C284" s="56" t="s">
        <v>2696</v>
      </c>
      <c r="D284" s="73" t="str">
        <f>IFERROR(VLOOKUP(C284,Stock,3,FALSE),"")</f>
        <v>Honda HR-V 22- 5D SUV (Honda)</v>
      </c>
      <c r="E284" s="56">
        <v>1.0</v>
      </c>
      <c r="F284" s="161">
        <v>3668000.0</v>
      </c>
      <c r="G284" s="162">
        <f t="shared" si="8"/>
        <v>3668000</v>
      </c>
      <c r="H284" s="194"/>
      <c r="I284" s="204">
        <f t="shared" si="5"/>
        <v>3668000</v>
      </c>
      <c r="J284" s="164">
        <f t="shared" si="7"/>
        <v>3668000</v>
      </c>
      <c r="K284" s="205" t="s">
        <v>3678</v>
      </c>
      <c r="L284" s="165" t="s">
        <v>3679</v>
      </c>
      <c r="M284" s="73"/>
      <c r="N284" s="169" t="s">
        <v>3680</v>
      </c>
      <c r="O284" s="169" t="s">
        <v>2958</v>
      </c>
      <c r="P284" s="168" t="s">
        <v>3112</v>
      </c>
      <c r="Q284" s="173"/>
      <c r="R284" s="167">
        <v>3668000.0</v>
      </c>
      <c r="S284" s="173"/>
      <c r="T284" s="173"/>
      <c r="U284" s="173"/>
      <c r="V284" s="202"/>
      <c r="W284" s="171"/>
      <c r="X284" s="171"/>
    </row>
    <row r="285" ht="15.0" customHeight="1">
      <c r="A285" s="127">
        <v>45448.0</v>
      </c>
      <c r="B285" s="181" t="s">
        <v>3681</v>
      </c>
      <c r="C285" s="56" t="s">
        <v>2549</v>
      </c>
      <c r="D285" s="73" t="str">
        <f>IFERROR(VLOOKUP(C285,Stock,3,FALSE),"")</f>
        <v>Toyota Avanza / Xenia 11-15 2nd Gen</v>
      </c>
      <c r="E285" s="56">
        <v>1.0</v>
      </c>
      <c r="F285" s="161">
        <v>700000.0</v>
      </c>
      <c r="G285" s="162">
        <f t="shared" si="8"/>
        <v>700000</v>
      </c>
      <c r="H285" s="194"/>
      <c r="I285" s="204">
        <f t="shared" si="5"/>
        <v>700000</v>
      </c>
      <c r="J285" s="164">
        <f t="shared" si="7"/>
        <v>700000</v>
      </c>
      <c r="K285" s="56" t="s">
        <v>3682</v>
      </c>
      <c r="L285" s="165" t="s">
        <v>3683</v>
      </c>
      <c r="M285" s="73"/>
      <c r="N285" s="171"/>
      <c r="O285" s="169" t="s">
        <v>3684</v>
      </c>
      <c r="P285" s="168" t="s">
        <v>3112</v>
      </c>
      <c r="Q285" s="173"/>
      <c r="R285" s="167">
        <v>700000.0</v>
      </c>
      <c r="S285" s="173"/>
      <c r="T285" s="173"/>
      <c r="U285" s="173"/>
      <c r="V285" s="202"/>
      <c r="W285" s="171"/>
      <c r="X285" s="171"/>
    </row>
    <row r="286" ht="15.0" customHeight="1">
      <c r="A286" s="127">
        <v>45448.0</v>
      </c>
      <c r="B286" s="181" t="s">
        <v>3681</v>
      </c>
      <c r="C286" s="56" t="s">
        <v>3186</v>
      </c>
      <c r="D286" s="73" t="str">
        <f>IFERROR(VLOOKUP(C286,Stock,3,FALSE),"")</f>
        <v>Daihatsu Gran Max / Luxio 07-</v>
      </c>
      <c r="E286" s="56">
        <v>1.0</v>
      </c>
      <c r="F286" s="161">
        <v>700000.0</v>
      </c>
      <c r="G286" s="162">
        <f t="shared" si="8"/>
        <v>700000</v>
      </c>
      <c r="H286" s="194"/>
      <c r="I286" s="204">
        <f t="shared" si="5"/>
        <v>700000</v>
      </c>
      <c r="J286" s="164">
        <f t="shared" si="7"/>
        <v>700000</v>
      </c>
      <c r="K286" s="56" t="s">
        <v>3682</v>
      </c>
      <c r="L286" s="165" t="s">
        <v>3683</v>
      </c>
      <c r="M286" s="73"/>
      <c r="N286" s="171"/>
      <c r="O286" s="169" t="s">
        <v>3684</v>
      </c>
      <c r="P286" s="168" t="s">
        <v>3112</v>
      </c>
      <c r="Q286" s="173"/>
      <c r="R286" s="167">
        <v>700000.0</v>
      </c>
      <c r="S286" s="173"/>
      <c r="T286" s="173"/>
      <c r="U286" s="173"/>
      <c r="V286" s="202"/>
      <c r="W286" s="171"/>
      <c r="X286" s="171"/>
    </row>
    <row r="287" ht="15.0" customHeight="1">
      <c r="A287" s="127">
        <v>45448.0</v>
      </c>
      <c r="B287" s="181" t="s">
        <v>3681</v>
      </c>
      <c r="C287" s="56" t="s">
        <v>2934</v>
      </c>
      <c r="D287" s="73" t="str">
        <f>IFERROR(VLOOKUP(C287,Stock,3,FALSE),"")</f>
        <v>Peti Kayu</v>
      </c>
      <c r="E287" s="56">
        <v>1.0</v>
      </c>
      <c r="F287" s="161">
        <v>160000.0</v>
      </c>
      <c r="G287" s="162">
        <f t="shared" si="8"/>
        <v>160000</v>
      </c>
      <c r="H287" s="194"/>
      <c r="I287" s="204">
        <f t="shared" si="5"/>
        <v>160000</v>
      </c>
      <c r="J287" s="164">
        <f t="shared" si="7"/>
        <v>160000</v>
      </c>
      <c r="K287" s="56" t="s">
        <v>3682</v>
      </c>
      <c r="L287" s="165" t="s">
        <v>3683</v>
      </c>
      <c r="M287" s="73"/>
      <c r="N287" s="171"/>
      <c r="O287" s="169" t="s">
        <v>3684</v>
      </c>
      <c r="P287" s="168" t="s">
        <v>3112</v>
      </c>
      <c r="Q287" s="173"/>
      <c r="R287" s="167">
        <v>160000.0</v>
      </c>
      <c r="S287" s="173"/>
      <c r="T287" s="173"/>
      <c r="U287" s="173"/>
      <c r="V287" s="202"/>
      <c r="W287" s="171"/>
      <c r="X287" s="171"/>
    </row>
    <row r="288" ht="15.0" customHeight="1">
      <c r="A288" s="127">
        <v>45448.0</v>
      </c>
      <c r="B288" s="181" t="s">
        <v>3685</v>
      </c>
      <c r="C288" s="56" t="s">
        <v>3159</v>
      </c>
      <c r="D288" s="73" t="str">
        <f>IFERROR(VLOOKUP(C288,Stock,3,FALSE),"")</f>
        <v>Honda Jazz 13- 3rd Gen</v>
      </c>
      <c r="E288" s="56">
        <v>1.0</v>
      </c>
      <c r="F288" s="161">
        <v>1500000.0</v>
      </c>
      <c r="G288" s="162">
        <f t="shared" si="8"/>
        <v>1500000</v>
      </c>
      <c r="H288" s="194"/>
      <c r="I288" s="204">
        <f t="shared" si="5"/>
        <v>1500000</v>
      </c>
      <c r="J288" s="164">
        <f t="shared" si="7"/>
        <v>1500000</v>
      </c>
      <c r="K288" s="56" t="s">
        <v>3686</v>
      </c>
      <c r="L288" s="165" t="s">
        <v>3687</v>
      </c>
      <c r="M288" s="56" t="s">
        <v>3688</v>
      </c>
      <c r="N288" s="169" t="s">
        <v>3689</v>
      </c>
      <c r="O288" s="169" t="s">
        <v>3037</v>
      </c>
      <c r="P288" s="168" t="s">
        <v>3112</v>
      </c>
      <c r="Q288" s="173"/>
      <c r="R288" s="167">
        <v>1500000.0</v>
      </c>
      <c r="S288" s="173"/>
      <c r="T288" s="173"/>
      <c r="U288" s="173"/>
      <c r="V288" s="168" t="s">
        <v>3671</v>
      </c>
      <c r="W288" s="169"/>
      <c r="X288" s="171"/>
    </row>
    <row r="289" ht="15.0" customHeight="1">
      <c r="A289" s="127">
        <v>45449.0</v>
      </c>
      <c r="B289" s="181" t="s">
        <v>3690</v>
      </c>
      <c r="C289" s="56" t="s">
        <v>2744</v>
      </c>
      <c r="D289" s="73" t="str">
        <f>IFERROR(VLOOKUP(C289,Stock,3,FALSE),"")</f>
        <v>Toyota Fortuner 05-15 1st Gen (Hitam)</v>
      </c>
      <c r="E289" s="56">
        <v>1.0</v>
      </c>
      <c r="F289" s="161">
        <v>2122000.0</v>
      </c>
      <c r="G289" s="162">
        <f t="shared" si="8"/>
        <v>2122000</v>
      </c>
      <c r="H289" s="194"/>
      <c r="I289" s="204">
        <f t="shared" si="5"/>
        <v>2122000</v>
      </c>
      <c r="J289" s="164">
        <f t="shared" si="7"/>
        <v>2122000</v>
      </c>
      <c r="K289" s="56" t="s">
        <v>3691</v>
      </c>
      <c r="L289" s="165" t="s">
        <v>3692</v>
      </c>
      <c r="M289" s="73"/>
      <c r="N289" s="171"/>
      <c r="O289" s="169" t="s">
        <v>2958</v>
      </c>
      <c r="P289" s="168" t="s">
        <v>3112</v>
      </c>
      <c r="Q289" s="167">
        <v>2122000.0</v>
      </c>
      <c r="R289" s="173"/>
      <c r="S289" s="173"/>
      <c r="T289" s="173"/>
      <c r="U289" s="167">
        <v>23000.0</v>
      </c>
      <c r="V289" s="168" t="s">
        <v>3671</v>
      </c>
      <c r="W289" s="169"/>
      <c r="X289" s="219">
        <v>45450.0</v>
      </c>
    </row>
    <row r="290" ht="15.0" customHeight="1">
      <c r="A290" s="127">
        <v>45449.0</v>
      </c>
      <c r="B290" s="181" t="s">
        <v>3690</v>
      </c>
      <c r="C290" s="56" t="s">
        <v>3532</v>
      </c>
      <c r="D290" s="73" t="str">
        <f>IFERROR(VLOOKUP(C290,Stock,3,FALSE),"")</f>
        <v>9092 Sealant Application</v>
      </c>
      <c r="E290" s="56">
        <v>1.0</v>
      </c>
      <c r="F290" s="161">
        <v>105000.0</v>
      </c>
      <c r="G290" s="162">
        <f t="shared" si="8"/>
        <v>105000</v>
      </c>
      <c r="H290" s="194"/>
      <c r="I290" s="204">
        <f t="shared" si="5"/>
        <v>105000</v>
      </c>
      <c r="J290" s="164">
        <f t="shared" si="7"/>
        <v>105000</v>
      </c>
      <c r="K290" s="56" t="s">
        <v>3691</v>
      </c>
      <c r="L290" s="165" t="s">
        <v>3692</v>
      </c>
      <c r="M290" s="73"/>
      <c r="N290" s="171"/>
      <c r="O290" s="169" t="s">
        <v>2958</v>
      </c>
      <c r="P290" s="168" t="s">
        <v>3112</v>
      </c>
      <c r="Q290" s="167">
        <v>105000.0</v>
      </c>
      <c r="R290" s="173"/>
      <c r="S290" s="173"/>
      <c r="T290" s="173"/>
      <c r="U290" s="173"/>
      <c r="V290" s="168" t="s">
        <v>3671</v>
      </c>
      <c r="W290" s="169"/>
      <c r="X290" s="219">
        <v>45450.0</v>
      </c>
    </row>
    <row r="291" ht="15.0" customHeight="1">
      <c r="A291" s="127">
        <v>45450.0</v>
      </c>
      <c r="B291" s="181" t="s">
        <v>3693</v>
      </c>
      <c r="C291" s="56" t="s">
        <v>3366</v>
      </c>
      <c r="D291" s="73" t="str">
        <f>IFERROR(VLOOKUP(C291,Stock,3,FALSE),"")</f>
        <v>Toyota Hi-Ace 04-20 Commuter (Clear)</v>
      </c>
      <c r="E291" s="56">
        <v>1.0</v>
      </c>
      <c r="F291" s="161">
        <v>2387000.0</v>
      </c>
      <c r="G291" s="162">
        <f t="shared" si="8"/>
        <v>2387000</v>
      </c>
      <c r="H291" s="194"/>
      <c r="I291" s="204">
        <f t="shared" si="5"/>
        <v>2387000</v>
      </c>
      <c r="J291" s="164">
        <f t="shared" si="7"/>
        <v>2387000</v>
      </c>
      <c r="K291" s="56" t="s">
        <v>3694</v>
      </c>
      <c r="L291" s="165" t="s">
        <v>3695</v>
      </c>
      <c r="M291" s="73"/>
      <c r="N291" s="171"/>
      <c r="O291" s="169" t="s">
        <v>3696</v>
      </c>
      <c r="P291" s="168" t="s">
        <v>2922</v>
      </c>
      <c r="Q291" s="173"/>
      <c r="R291" s="173"/>
      <c r="S291" s="167">
        <v>2387000.0</v>
      </c>
      <c r="T291" s="172">
        <v>58140.0</v>
      </c>
      <c r="U291" s="173"/>
      <c r="V291" s="168" t="s">
        <v>3671</v>
      </c>
      <c r="W291" s="169"/>
      <c r="X291" s="171"/>
    </row>
    <row r="292" ht="15.0" customHeight="1">
      <c r="A292" s="127">
        <v>45450.0</v>
      </c>
      <c r="B292" s="181" t="s">
        <v>3693</v>
      </c>
      <c r="C292" s="56" t="s">
        <v>2934</v>
      </c>
      <c r="D292" s="73" t="str">
        <f>IFERROR(VLOOKUP(C292,Stock,3,FALSE),"")</f>
        <v>Peti Kayu</v>
      </c>
      <c r="E292" s="56">
        <v>1.0</v>
      </c>
      <c r="F292" s="161">
        <v>160000.0</v>
      </c>
      <c r="G292" s="162">
        <f t="shared" si="8"/>
        <v>160000</v>
      </c>
      <c r="H292" s="194"/>
      <c r="I292" s="204">
        <f t="shared" si="5"/>
        <v>160000</v>
      </c>
      <c r="J292" s="164">
        <f t="shared" si="7"/>
        <v>160000</v>
      </c>
      <c r="K292" s="56" t="s">
        <v>3694</v>
      </c>
      <c r="L292" s="165" t="s">
        <v>3695</v>
      </c>
      <c r="M292" s="73"/>
      <c r="N292" s="171"/>
      <c r="O292" s="169" t="s">
        <v>3696</v>
      </c>
      <c r="P292" s="168" t="s">
        <v>2922</v>
      </c>
      <c r="Q292" s="173"/>
      <c r="R292" s="173"/>
      <c r="S292" s="167">
        <v>160000.0</v>
      </c>
      <c r="T292" s="173"/>
      <c r="U292" s="173"/>
      <c r="V292" s="168" t="s">
        <v>3671</v>
      </c>
      <c r="W292" s="169"/>
      <c r="X292" s="171"/>
    </row>
    <row r="293" ht="15.0" customHeight="1">
      <c r="A293" s="127">
        <v>45450.0</v>
      </c>
      <c r="B293" s="181" t="s">
        <v>3697</v>
      </c>
      <c r="C293" s="56" t="s">
        <v>3698</v>
      </c>
      <c r="D293" s="73" t="str">
        <f>IFERROR(VLOOKUP(C293,Stock,3,FALSE),"")</f>
        <v>Toyota Dyna/Hino Dutro 00-</v>
      </c>
      <c r="E293" s="56">
        <v>1.0</v>
      </c>
      <c r="F293" s="161">
        <v>400000.0</v>
      </c>
      <c r="G293" s="162">
        <f t="shared" si="8"/>
        <v>400000</v>
      </c>
      <c r="H293" s="194"/>
      <c r="I293" s="204">
        <f t="shared" si="5"/>
        <v>400000</v>
      </c>
      <c r="J293" s="164">
        <f t="shared" si="7"/>
        <v>400000</v>
      </c>
      <c r="K293" s="56" t="s">
        <v>3699</v>
      </c>
      <c r="L293" s="165" t="s">
        <v>3700</v>
      </c>
      <c r="M293" s="56" t="s">
        <v>3701</v>
      </c>
      <c r="N293" s="171"/>
      <c r="O293" s="169" t="s">
        <v>2958</v>
      </c>
      <c r="P293" s="168" t="s">
        <v>3112</v>
      </c>
      <c r="Q293" s="173"/>
      <c r="R293" s="167">
        <v>400000.0</v>
      </c>
      <c r="S293" s="173"/>
      <c r="T293" s="173"/>
      <c r="U293" s="173"/>
      <c r="V293" s="168" t="s">
        <v>3671</v>
      </c>
      <c r="W293" s="169"/>
      <c r="X293" s="171"/>
    </row>
    <row r="294" ht="15.0" customHeight="1">
      <c r="A294" s="127">
        <v>45450.0</v>
      </c>
      <c r="B294" s="181" t="s">
        <v>3702</v>
      </c>
      <c r="C294" s="56" t="s">
        <v>3149</v>
      </c>
      <c r="D294" s="73" t="str">
        <f>IFERROR(VLOOKUP(C294,Stock,3,FALSE),"")</f>
        <v>Honda CR-V 12-16 4th Gen [Rata]</v>
      </c>
      <c r="E294" s="56">
        <v>1.0</v>
      </c>
      <c r="F294" s="161">
        <v>1646000.0</v>
      </c>
      <c r="G294" s="162">
        <f t="shared" si="8"/>
        <v>1646000</v>
      </c>
      <c r="H294" s="194"/>
      <c r="I294" s="204">
        <f t="shared" si="5"/>
        <v>1646000</v>
      </c>
      <c r="J294" s="164">
        <f t="shared" si="7"/>
        <v>1646000</v>
      </c>
      <c r="K294" s="56" t="s">
        <v>3703</v>
      </c>
      <c r="L294" s="165" t="s">
        <v>3704</v>
      </c>
      <c r="M294" s="56" t="s">
        <v>3705</v>
      </c>
      <c r="N294" s="171"/>
      <c r="O294" s="169" t="s">
        <v>2958</v>
      </c>
      <c r="P294" s="168" t="s">
        <v>3112</v>
      </c>
      <c r="Q294" s="173"/>
      <c r="R294" s="167">
        <v>1646000.0</v>
      </c>
      <c r="S294" s="173"/>
      <c r="T294" s="173"/>
      <c r="U294" s="173"/>
      <c r="V294" s="168" t="s">
        <v>3664</v>
      </c>
      <c r="W294" s="169"/>
      <c r="X294" s="171"/>
    </row>
    <row r="295" ht="15.0" customHeight="1">
      <c r="A295" s="127">
        <v>45450.0</v>
      </c>
      <c r="B295" s="181" t="s">
        <v>3706</v>
      </c>
      <c r="C295" s="56" t="s">
        <v>3707</v>
      </c>
      <c r="D295" s="73" t="str">
        <f>IFERROR(VLOOKUP(C295,Stock,3,FALSE),"")</f>
        <v>Mitsubishi Pajero 16-</v>
      </c>
      <c r="E295" s="56">
        <v>1.0</v>
      </c>
      <c r="F295" s="161">
        <v>1580000.0</v>
      </c>
      <c r="G295" s="162">
        <f t="shared" si="8"/>
        <v>1580000</v>
      </c>
      <c r="H295" s="194"/>
      <c r="I295" s="204">
        <f t="shared" si="5"/>
        <v>1580000</v>
      </c>
      <c r="J295" s="164">
        <f t="shared" si="7"/>
        <v>1580000</v>
      </c>
      <c r="K295" s="56" t="s">
        <v>3708</v>
      </c>
      <c r="L295" s="165" t="s">
        <v>3709</v>
      </c>
      <c r="M295" s="73"/>
      <c r="N295" s="171"/>
      <c r="O295" s="169" t="s">
        <v>3710</v>
      </c>
      <c r="P295" s="168" t="s">
        <v>3627</v>
      </c>
      <c r="Q295" s="167">
        <v>1580000.0</v>
      </c>
      <c r="R295" s="173"/>
      <c r="S295" s="173"/>
      <c r="T295" s="173"/>
      <c r="U295" s="167">
        <v>20000.0</v>
      </c>
      <c r="V295" s="168" t="s">
        <v>3671</v>
      </c>
      <c r="W295" s="169"/>
      <c r="X295" s="219">
        <v>45450.0</v>
      </c>
    </row>
    <row r="296" ht="15.0" customHeight="1">
      <c r="A296" s="127">
        <v>45450.0</v>
      </c>
      <c r="B296" s="181" t="s">
        <v>3706</v>
      </c>
      <c r="C296" s="56" t="s">
        <v>3532</v>
      </c>
      <c r="D296" s="73" t="str">
        <f>IFERROR(VLOOKUP(C296,Stock,3,FALSE),"")</f>
        <v>9092 Sealant Application</v>
      </c>
      <c r="E296" s="56">
        <v>1.0</v>
      </c>
      <c r="F296" s="161">
        <v>200000.0</v>
      </c>
      <c r="G296" s="162">
        <f t="shared" si="8"/>
        <v>200000</v>
      </c>
      <c r="H296" s="194"/>
      <c r="I296" s="204">
        <f t="shared" si="5"/>
        <v>200000</v>
      </c>
      <c r="J296" s="164">
        <f t="shared" si="7"/>
        <v>200000</v>
      </c>
      <c r="K296" s="56" t="s">
        <v>3708</v>
      </c>
      <c r="L296" s="165" t="s">
        <v>3709</v>
      </c>
      <c r="M296" s="73"/>
      <c r="N296" s="171"/>
      <c r="O296" s="169" t="s">
        <v>3710</v>
      </c>
      <c r="P296" s="168" t="s">
        <v>3627</v>
      </c>
      <c r="Q296" s="167">
        <v>200000.0</v>
      </c>
      <c r="R296" s="173"/>
      <c r="S296" s="173"/>
      <c r="T296" s="173"/>
      <c r="U296" s="173"/>
      <c r="V296" s="168" t="s">
        <v>3671</v>
      </c>
      <c r="W296" s="169"/>
      <c r="X296" s="219">
        <v>45450.0</v>
      </c>
    </row>
    <row r="297" ht="15.0" customHeight="1">
      <c r="A297" s="127">
        <v>45451.0</v>
      </c>
      <c r="B297" s="181" t="s">
        <v>3711</v>
      </c>
      <c r="C297" s="56" t="s">
        <v>3712</v>
      </c>
      <c r="D297" s="73" t="str">
        <f>IFERROR(VLOOKUP(C297,Stock,3,FALSE),"")</f>
        <v>Toyota Soluna AL50 00-</v>
      </c>
      <c r="E297" s="56">
        <v>1.0</v>
      </c>
      <c r="F297" s="161">
        <v>1600000.0</v>
      </c>
      <c r="G297" s="162">
        <f t="shared" si="8"/>
        <v>1600000</v>
      </c>
      <c r="H297" s="194"/>
      <c r="I297" s="204">
        <f t="shared" si="5"/>
        <v>1600000</v>
      </c>
      <c r="J297" s="164">
        <f t="shared" si="7"/>
        <v>1600000</v>
      </c>
      <c r="K297" s="56" t="s">
        <v>3713</v>
      </c>
      <c r="L297" s="165" t="s">
        <v>3714</v>
      </c>
      <c r="M297" s="73"/>
      <c r="N297" s="171"/>
      <c r="O297" s="169" t="s">
        <v>3715</v>
      </c>
      <c r="P297" s="168" t="s">
        <v>3112</v>
      </c>
      <c r="Q297" s="167">
        <v>1600000.0</v>
      </c>
      <c r="R297" s="173"/>
      <c r="S297" s="173"/>
      <c r="T297" s="173"/>
      <c r="U297" s="173"/>
      <c r="V297" s="168" t="s">
        <v>3671</v>
      </c>
      <c r="W297" s="169"/>
      <c r="X297" s="219">
        <v>45450.0</v>
      </c>
    </row>
    <row r="298" ht="15.0" customHeight="1">
      <c r="A298" s="127">
        <v>45451.0</v>
      </c>
      <c r="B298" s="181" t="s">
        <v>3716</v>
      </c>
      <c r="C298" s="56" t="s">
        <v>2557</v>
      </c>
      <c r="D298" s="73" t="str">
        <f>IFERROR(VLOOKUP(C298,Stock,3,FALSE),"")</f>
        <v>Toyota Fortuner 05-15 1st Gen (Toyota)</v>
      </c>
      <c r="E298" s="56">
        <v>1.0</v>
      </c>
      <c r="F298" s="161">
        <v>2998000.0</v>
      </c>
      <c r="G298" s="162">
        <f t="shared" si="8"/>
        <v>2998000</v>
      </c>
      <c r="H298" s="194"/>
      <c r="I298" s="204">
        <f t="shared" si="5"/>
        <v>2998000</v>
      </c>
      <c r="J298" s="164">
        <f t="shared" si="7"/>
        <v>2998000</v>
      </c>
      <c r="K298" s="56" t="s">
        <v>3717</v>
      </c>
      <c r="L298" s="165" t="s">
        <v>3718</v>
      </c>
      <c r="M298" s="73"/>
      <c r="N298" s="171"/>
      <c r="O298" s="169" t="s">
        <v>3204</v>
      </c>
      <c r="P298" s="168" t="s">
        <v>3112</v>
      </c>
      <c r="Q298" s="173"/>
      <c r="R298" s="167">
        <v>2998000.0</v>
      </c>
      <c r="S298" s="173"/>
      <c r="T298" s="173"/>
      <c r="U298" s="173"/>
      <c r="V298" s="168" t="s">
        <v>3671</v>
      </c>
      <c r="W298" s="169"/>
      <c r="X298" s="171"/>
    </row>
    <row r="299" ht="15.0" customHeight="1">
      <c r="A299" s="127">
        <v>45451.0</v>
      </c>
      <c r="B299" s="181" t="s">
        <v>3719</v>
      </c>
      <c r="C299" s="56" t="s">
        <v>3186</v>
      </c>
      <c r="D299" s="73" t="str">
        <f>IFERROR(VLOOKUP(C299,Stock,3,FALSE),"")</f>
        <v>Daihatsu Gran Max / Luxio 07-</v>
      </c>
      <c r="E299" s="56">
        <v>1.0</v>
      </c>
      <c r="F299" s="161">
        <v>1098000.0</v>
      </c>
      <c r="G299" s="162">
        <f t="shared" si="8"/>
        <v>1098000</v>
      </c>
      <c r="H299" s="194"/>
      <c r="I299" s="204">
        <f t="shared" si="5"/>
        <v>1098000</v>
      </c>
      <c r="J299" s="164">
        <f t="shared" si="7"/>
        <v>1098000</v>
      </c>
      <c r="K299" s="56" t="s">
        <v>3720</v>
      </c>
      <c r="L299" s="165" t="s">
        <v>3721</v>
      </c>
      <c r="M299" s="73"/>
      <c r="N299" s="171"/>
      <c r="O299" s="169" t="s">
        <v>2958</v>
      </c>
      <c r="P299" s="168" t="s">
        <v>3112</v>
      </c>
      <c r="Q299" s="167">
        <v>1100000.0</v>
      </c>
      <c r="R299" s="173"/>
      <c r="S299" s="173"/>
      <c r="T299" s="173"/>
      <c r="U299" s="167">
        <v>2000.0</v>
      </c>
      <c r="V299" s="168" t="s">
        <v>3671</v>
      </c>
      <c r="W299" s="169"/>
      <c r="X299" s="219">
        <v>45450.0</v>
      </c>
    </row>
    <row r="300" ht="15.0" customHeight="1">
      <c r="A300" s="127">
        <v>45453.0</v>
      </c>
      <c r="B300" s="181" t="s">
        <v>3722</v>
      </c>
      <c r="C300" s="56" t="s">
        <v>3290</v>
      </c>
      <c r="D300" s="73" t="str">
        <f>IFERROR(VLOOKUP(C300,Stock,3,FALSE),"")</f>
        <v>Toyota Innova 04-15 1st Gen</v>
      </c>
      <c r="E300" s="56">
        <v>1.0</v>
      </c>
      <c r="F300" s="161">
        <v>1438000.0</v>
      </c>
      <c r="G300" s="162">
        <f t="shared" si="8"/>
        <v>1438000</v>
      </c>
      <c r="H300" s="194"/>
      <c r="I300" s="204">
        <f t="shared" si="5"/>
        <v>1438000</v>
      </c>
      <c r="J300" s="164">
        <f t="shared" si="7"/>
        <v>1438000</v>
      </c>
      <c r="K300" s="56" t="s">
        <v>3723</v>
      </c>
      <c r="L300" s="165" t="s">
        <v>3724</v>
      </c>
      <c r="M300" s="73"/>
      <c r="N300" s="171"/>
      <c r="O300" s="169" t="s">
        <v>2958</v>
      </c>
      <c r="P300" s="168" t="s">
        <v>3112</v>
      </c>
      <c r="Q300" s="173"/>
      <c r="R300" s="167">
        <v>1438000.0</v>
      </c>
      <c r="S300" s="173"/>
      <c r="T300" s="173"/>
      <c r="U300" s="173"/>
      <c r="V300" s="168" t="s">
        <v>3671</v>
      </c>
      <c r="W300" s="169"/>
      <c r="X300" s="171"/>
    </row>
    <row r="301" ht="15.0" customHeight="1">
      <c r="A301" s="127">
        <v>45453.0</v>
      </c>
      <c r="B301" s="181" t="s">
        <v>3722</v>
      </c>
      <c r="C301" s="56" t="s">
        <v>2954</v>
      </c>
      <c r="D301" s="73" t="str">
        <f>IFERROR(VLOOKUP(C301,Stock,3,FALSE),"")</f>
        <v>Transport</v>
      </c>
      <c r="E301" s="56">
        <v>1.0</v>
      </c>
      <c r="F301" s="161">
        <v>50000.0</v>
      </c>
      <c r="G301" s="162">
        <f t="shared" si="8"/>
        <v>50000</v>
      </c>
      <c r="H301" s="194"/>
      <c r="I301" s="204">
        <f t="shared" si="5"/>
        <v>50000</v>
      </c>
      <c r="J301" s="164">
        <f t="shared" si="7"/>
        <v>50000</v>
      </c>
      <c r="K301" s="56" t="s">
        <v>3723</v>
      </c>
      <c r="L301" s="165" t="s">
        <v>3724</v>
      </c>
      <c r="M301" s="73"/>
      <c r="N301" s="171"/>
      <c r="O301" s="169" t="s">
        <v>2958</v>
      </c>
      <c r="P301" s="168" t="s">
        <v>3112</v>
      </c>
      <c r="Q301" s="173"/>
      <c r="R301" s="167">
        <v>50000.0</v>
      </c>
      <c r="S301" s="173"/>
      <c r="T301" s="173"/>
      <c r="U301" s="173"/>
      <c r="V301" s="168" t="s">
        <v>3671</v>
      </c>
      <c r="W301" s="169"/>
      <c r="X301" s="171"/>
    </row>
    <row r="302" ht="15.0" customHeight="1">
      <c r="A302" s="127">
        <v>45453.0</v>
      </c>
      <c r="B302" s="181" t="s">
        <v>3722</v>
      </c>
      <c r="C302" s="56" t="s">
        <v>3532</v>
      </c>
      <c r="D302" s="73" t="str">
        <f>IFERROR(VLOOKUP(C302,Stock,3,FALSE),"")</f>
        <v>9092 Sealant Application</v>
      </c>
      <c r="E302" s="56">
        <v>1.0</v>
      </c>
      <c r="F302" s="161">
        <v>200000.0</v>
      </c>
      <c r="G302" s="162">
        <f t="shared" si="8"/>
        <v>200000</v>
      </c>
      <c r="H302" s="194"/>
      <c r="I302" s="204">
        <f t="shared" si="5"/>
        <v>200000</v>
      </c>
      <c r="J302" s="164">
        <f t="shared" si="7"/>
        <v>200000</v>
      </c>
      <c r="K302" s="56" t="s">
        <v>3723</v>
      </c>
      <c r="L302" s="165" t="s">
        <v>3724</v>
      </c>
      <c r="M302" s="73"/>
      <c r="N302" s="171"/>
      <c r="O302" s="169" t="s">
        <v>2958</v>
      </c>
      <c r="P302" s="168" t="s">
        <v>3112</v>
      </c>
      <c r="Q302" s="173"/>
      <c r="R302" s="167">
        <v>200000.0</v>
      </c>
      <c r="S302" s="173"/>
      <c r="T302" s="173"/>
      <c r="U302" s="173"/>
      <c r="V302" s="168" t="s">
        <v>3671</v>
      </c>
      <c r="W302" s="169"/>
      <c r="X302" s="171"/>
    </row>
    <row r="303" ht="15.0" customHeight="1">
      <c r="A303" s="127">
        <v>45453.0</v>
      </c>
      <c r="B303" s="181" t="s">
        <v>3725</v>
      </c>
      <c r="C303" s="56" t="s">
        <v>3726</v>
      </c>
      <c r="D303" s="73" t="str">
        <f>IFERROR(VLOOKUP(C303,Stock,3,FALSE),"")</f>
        <v>Mazda CX-5 .14-17 1st Gen KE Facelift - (3 Sensor/ /\8 )</v>
      </c>
      <c r="E303" s="56">
        <v>1.0</v>
      </c>
      <c r="F303" s="161">
        <v>4755000.0</v>
      </c>
      <c r="G303" s="162">
        <f t="shared" si="8"/>
        <v>4755000</v>
      </c>
      <c r="H303" s="194"/>
      <c r="I303" s="161">
        <f t="shared" si="5"/>
        <v>4755000</v>
      </c>
      <c r="J303" s="164">
        <f t="shared" si="7"/>
        <v>4755000</v>
      </c>
      <c r="K303" s="56" t="s">
        <v>3727</v>
      </c>
      <c r="L303" s="165" t="s">
        <v>3728</v>
      </c>
      <c r="M303" s="56" t="s">
        <v>3729</v>
      </c>
      <c r="N303" s="169" t="s">
        <v>3730</v>
      </c>
      <c r="O303" s="169" t="s">
        <v>2958</v>
      </c>
      <c r="P303" s="168" t="s">
        <v>3112</v>
      </c>
      <c r="Q303" s="173"/>
      <c r="R303" s="167">
        <v>4755000.0</v>
      </c>
      <c r="S303" s="173"/>
      <c r="T303" s="173"/>
      <c r="U303" s="173"/>
      <c r="V303" s="168" t="s">
        <v>3671</v>
      </c>
      <c r="W303" s="169"/>
      <c r="X303" s="171"/>
    </row>
    <row r="304" ht="15.0" customHeight="1">
      <c r="A304" s="127">
        <v>45453.0</v>
      </c>
      <c r="B304" s="181" t="s">
        <v>3725</v>
      </c>
      <c r="C304" s="56" t="s">
        <v>2954</v>
      </c>
      <c r="D304" s="73" t="str">
        <f>IFERROR(VLOOKUP(C304,Stock,3,FALSE),"")</f>
        <v>Transport</v>
      </c>
      <c r="E304" s="56">
        <v>1.0</v>
      </c>
      <c r="F304" s="161">
        <v>120000.0</v>
      </c>
      <c r="G304" s="162">
        <f t="shared" si="8"/>
        <v>120000</v>
      </c>
      <c r="H304" s="194"/>
      <c r="I304" s="161">
        <f t="shared" si="5"/>
        <v>120000</v>
      </c>
      <c r="J304" s="164">
        <f t="shared" si="7"/>
        <v>120000</v>
      </c>
      <c r="K304" s="56" t="s">
        <v>3727</v>
      </c>
      <c r="L304" s="165" t="s">
        <v>3728</v>
      </c>
      <c r="M304" s="56" t="s">
        <v>3729</v>
      </c>
      <c r="N304" s="169" t="s">
        <v>3730</v>
      </c>
      <c r="O304" s="169" t="s">
        <v>2958</v>
      </c>
      <c r="P304" s="168" t="s">
        <v>3112</v>
      </c>
      <c r="Q304" s="173"/>
      <c r="R304" s="167">
        <v>120000.0</v>
      </c>
      <c r="S304" s="173"/>
      <c r="T304" s="173"/>
      <c r="U304" s="173"/>
      <c r="V304" s="168" t="s">
        <v>3671</v>
      </c>
      <c r="W304" s="169"/>
      <c r="X304" s="171"/>
    </row>
    <row r="305" ht="15.0" customHeight="1">
      <c r="A305" s="127">
        <v>45453.0</v>
      </c>
      <c r="B305" s="181" t="s">
        <v>3731</v>
      </c>
      <c r="C305" s="56" t="s">
        <v>2691</v>
      </c>
      <c r="D305" s="73" t="str">
        <f>IFERROR(VLOOKUP(C305,Stock,3,FALSE),"")</f>
        <v>Suzuki Ertiga 12-18 1st Gen MPV</v>
      </c>
      <c r="E305" s="56">
        <v>1.0</v>
      </c>
      <c r="F305" s="161">
        <v>1310000.0</v>
      </c>
      <c r="G305" s="162">
        <f t="shared" si="8"/>
        <v>1310000</v>
      </c>
      <c r="H305" s="194"/>
      <c r="I305" s="161">
        <f t="shared" si="5"/>
        <v>1310000</v>
      </c>
      <c r="J305" s="164">
        <f t="shared" si="7"/>
        <v>1310000</v>
      </c>
      <c r="K305" s="56" t="s">
        <v>3732</v>
      </c>
      <c r="L305" s="165" t="s">
        <v>3733</v>
      </c>
      <c r="M305" s="73"/>
      <c r="N305" s="169" t="s">
        <v>3734</v>
      </c>
      <c r="O305" s="169" t="s">
        <v>2958</v>
      </c>
      <c r="P305" s="168" t="s">
        <v>3112</v>
      </c>
      <c r="Q305" s="173"/>
      <c r="R305" s="167">
        <v>1310000.0</v>
      </c>
      <c r="S305" s="173"/>
      <c r="T305" s="173"/>
      <c r="U305" s="173"/>
      <c r="V305" s="168" t="s">
        <v>3671</v>
      </c>
      <c r="W305" s="169"/>
      <c r="X305" s="171"/>
    </row>
    <row r="306" ht="15.0" customHeight="1">
      <c r="A306" s="127">
        <v>45453.0</v>
      </c>
      <c r="B306" s="181" t="s">
        <v>3731</v>
      </c>
      <c r="C306" s="56" t="s">
        <v>2954</v>
      </c>
      <c r="D306" s="73" t="str">
        <f>IFERROR(VLOOKUP(C306,Stock,3,FALSE),"")</f>
        <v>Transport</v>
      </c>
      <c r="E306" s="56">
        <v>1.0</v>
      </c>
      <c r="F306" s="161">
        <v>80000.0</v>
      </c>
      <c r="G306" s="162">
        <f t="shared" si="8"/>
        <v>80000</v>
      </c>
      <c r="H306" s="194"/>
      <c r="I306" s="161">
        <f t="shared" si="5"/>
        <v>80000</v>
      </c>
      <c r="J306" s="164">
        <f t="shared" si="7"/>
        <v>80000</v>
      </c>
      <c r="K306" s="56" t="s">
        <v>3732</v>
      </c>
      <c r="L306" s="165" t="s">
        <v>3733</v>
      </c>
      <c r="M306" s="73"/>
      <c r="N306" s="169" t="s">
        <v>3734</v>
      </c>
      <c r="O306" s="169" t="s">
        <v>2958</v>
      </c>
      <c r="P306" s="168" t="s">
        <v>3112</v>
      </c>
      <c r="Q306" s="173"/>
      <c r="R306" s="167">
        <v>80000.0</v>
      </c>
      <c r="S306" s="167" t="s">
        <v>1484</v>
      </c>
      <c r="T306" s="173"/>
      <c r="U306" s="173"/>
      <c r="V306" s="168" t="s">
        <v>3671</v>
      </c>
      <c r="W306" s="169"/>
      <c r="X306" s="171"/>
    </row>
    <row r="307" ht="15.0" customHeight="1">
      <c r="A307" s="127">
        <v>45453.0</v>
      </c>
      <c r="B307" s="181" t="s">
        <v>3735</v>
      </c>
      <c r="C307" s="56" t="s">
        <v>2682</v>
      </c>
      <c r="D307" s="73" t="str">
        <f>IFERROR(VLOOKUP(C307,Stock,3,FALSE),"")</f>
        <v>Toyota Yaris 05-13 XP90 1st Gen</v>
      </c>
      <c r="E307" s="56">
        <v>1.0</v>
      </c>
      <c r="F307" s="161">
        <v>1588000.0</v>
      </c>
      <c r="G307" s="162">
        <f t="shared" si="8"/>
        <v>1588000</v>
      </c>
      <c r="H307" s="194"/>
      <c r="I307" s="161">
        <f t="shared" si="5"/>
        <v>1588000</v>
      </c>
      <c r="J307" s="164">
        <f t="shared" si="7"/>
        <v>1588000</v>
      </c>
      <c r="K307" s="56" t="s">
        <v>3736</v>
      </c>
      <c r="L307" s="165" t="s">
        <v>3737</v>
      </c>
      <c r="M307" s="56" t="s">
        <v>3738</v>
      </c>
      <c r="N307" s="169" t="s">
        <v>3739</v>
      </c>
      <c r="O307" s="169" t="s">
        <v>2958</v>
      </c>
      <c r="P307" s="168" t="s">
        <v>3112</v>
      </c>
      <c r="Q307" s="173"/>
      <c r="R307" s="167">
        <v>1588000.0</v>
      </c>
      <c r="S307" s="173"/>
      <c r="T307" s="173"/>
      <c r="U307" s="173"/>
      <c r="V307" s="168" t="s">
        <v>3671</v>
      </c>
      <c r="W307" s="169"/>
      <c r="X307" s="171"/>
    </row>
    <row r="308" ht="15.0" customHeight="1">
      <c r="A308" s="127">
        <v>45454.0</v>
      </c>
      <c r="B308" s="181" t="s">
        <v>3740</v>
      </c>
      <c r="C308" s="56" t="s">
        <v>3186</v>
      </c>
      <c r="D308" s="73" t="str">
        <f>IFERROR(VLOOKUP(C308,Stock,3,FALSE),"")</f>
        <v>Daihatsu Gran Max / Luxio 07-</v>
      </c>
      <c r="E308" s="56">
        <v>1.0</v>
      </c>
      <c r="F308" s="161">
        <v>1098000.0</v>
      </c>
      <c r="G308" s="162">
        <f t="shared" si="8"/>
        <v>1098000</v>
      </c>
      <c r="H308" s="194"/>
      <c r="I308" s="161">
        <f t="shared" si="5"/>
        <v>1098000</v>
      </c>
      <c r="J308" s="164">
        <f t="shared" si="7"/>
        <v>1098000</v>
      </c>
      <c r="K308" s="56" t="s">
        <v>3741</v>
      </c>
      <c r="L308" s="165" t="s">
        <v>3742</v>
      </c>
      <c r="M308" s="73"/>
      <c r="N308" s="169" t="s">
        <v>3743</v>
      </c>
      <c r="O308" s="169" t="s">
        <v>2958</v>
      </c>
      <c r="P308" s="168" t="s">
        <v>3112</v>
      </c>
      <c r="Q308" s="173"/>
      <c r="R308" s="167">
        <v>1098000.0</v>
      </c>
      <c r="S308" s="173"/>
      <c r="T308" s="173"/>
      <c r="U308" s="173"/>
      <c r="V308" s="168" t="s">
        <v>3671</v>
      </c>
      <c r="W308" s="169"/>
      <c r="X308" s="171"/>
    </row>
    <row r="309" ht="15.0" customHeight="1">
      <c r="A309" s="218">
        <v>45454.0</v>
      </c>
      <c r="B309" s="181" t="s">
        <v>3744</v>
      </c>
      <c r="C309" s="56" t="s">
        <v>3745</v>
      </c>
      <c r="D309" s="73" t="str">
        <f>IFERROR(VLOOKUP(C309,Stock,3,FALSE),"")</f>
        <v>Honda Brio 10- / Mobilio 11-</v>
      </c>
      <c r="E309" s="56">
        <v>1.0</v>
      </c>
      <c r="F309" s="161">
        <v>1748000.0</v>
      </c>
      <c r="G309" s="162">
        <f t="shared" si="8"/>
        <v>1748000</v>
      </c>
      <c r="H309" s="194"/>
      <c r="I309" s="161">
        <f t="shared" si="5"/>
        <v>1748000</v>
      </c>
      <c r="J309" s="164">
        <f t="shared" si="7"/>
        <v>1748000</v>
      </c>
      <c r="K309" s="56" t="s">
        <v>3746</v>
      </c>
      <c r="L309" s="165" t="s">
        <v>3747</v>
      </c>
      <c r="M309" s="73"/>
      <c r="N309" s="169" t="s">
        <v>3748</v>
      </c>
      <c r="O309" s="169" t="s">
        <v>2958</v>
      </c>
      <c r="P309" s="168" t="s">
        <v>3112</v>
      </c>
      <c r="Q309" s="173"/>
      <c r="R309" s="167">
        <v>1748000.0</v>
      </c>
      <c r="S309" s="173"/>
      <c r="T309" s="173"/>
      <c r="U309" s="173"/>
      <c r="V309" s="168" t="s">
        <v>3671</v>
      </c>
      <c r="W309" s="169"/>
      <c r="X309" s="171"/>
    </row>
    <row r="310" ht="15.0" customHeight="1">
      <c r="A310" s="127">
        <v>45454.0</v>
      </c>
      <c r="B310" s="181" t="s">
        <v>3744</v>
      </c>
      <c r="C310" s="56" t="s">
        <v>3532</v>
      </c>
      <c r="D310" s="73" t="str">
        <f>IFERROR(VLOOKUP(C310,Stock,3,FALSE),"")</f>
        <v>9092 Sealant Application</v>
      </c>
      <c r="E310" s="56">
        <v>1.0</v>
      </c>
      <c r="F310" s="161">
        <v>200000.0</v>
      </c>
      <c r="G310" s="162">
        <f t="shared" si="8"/>
        <v>200000</v>
      </c>
      <c r="H310" s="194"/>
      <c r="I310" s="161">
        <f t="shared" si="5"/>
        <v>200000</v>
      </c>
      <c r="J310" s="164">
        <f t="shared" si="7"/>
        <v>200000</v>
      </c>
      <c r="K310" s="56" t="s">
        <v>3746</v>
      </c>
      <c r="L310" s="165" t="s">
        <v>3747</v>
      </c>
      <c r="M310" s="73"/>
      <c r="N310" s="169" t="s">
        <v>3748</v>
      </c>
      <c r="O310" s="169" t="s">
        <v>2958</v>
      </c>
      <c r="P310" s="168" t="s">
        <v>3112</v>
      </c>
      <c r="Q310" s="167"/>
      <c r="R310" s="167">
        <v>200000.0</v>
      </c>
      <c r="S310" s="173"/>
      <c r="T310" s="173"/>
      <c r="U310" s="173"/>
      <c r="V310" s="168" t="s">
        <v>3671</v>
      </c>
      <c r="W310" s="169"/>
      <c r="X310" s="171"/>
    </row>
    <row r="311" ht="15.0" customHeight="1">
      <c r="A311" s="127">
        <v>45454.0</v>
      </c>
      <c r="B311" s="181" t="s">
        <v>3749</v>
      </c>
      <c r="C311" s="205" t="s">
        <v>3045</v>
      </c>
      <c r="D311" s="73" t="str">
        <f>IFERROR(VLOOKUP(C311,Stock,3,FALSE),"")</f>
        <v>Pemasangan Kaca Mobil Depan</v>
      </c>
      <c r="E311" s="56">
        <v>1.0</v>
      </c>
      <c r="F311" s="161">
        <v>450000.0</v>
      </c>
      <c r="G311" s="162">
        <f t="shared" si="8"/>
        <v>450000</v>
      </c>
      <c r="H311" s="194"/>
      <c r="I311" s="161">
        <f t="shared" si="5"/>
        <v>450000</v>
      </c>
      <c r="J311" s="164">
        <f t="shared" si="7"/>
        <v>450000</v>
      </c>
      <c r="K311" s="56" t="s">
        <v>3750</v>
      </c>
      <c r="L311" s="165" t="s">
        <v>3751</v>
      </c>
      <c r="M311" s="73"/>
      <c r="N311" s="169" t="s">
        <v>3752</v>
      </c>
      <c r="O311" s="169" t="s">
        <v>3547</v>
      </c>
      <c r="P311" s="168" t="s">
        <v>3112</v>
      </c>
      <c r="Q311" s="167">
        <v>450000.0</v>
      </c>
      <c r="R311" s="173"/>
      <c r="S311" s="173"/>
      <c r="T311" s="173"/>
      <c r="U311" s="173"/>
      <c r="V311" s="168" t="s">
        <v>3664</v>
      </c>
      <c r="W311" s="169"/>
      <c r="X311" s="219">
        <v>45454.0</v>
      </c>
    </row>
    <row r="312" ht="15.0" customHeight="1">
      <c r="A312" s="127">
        <v>45454.0</v>
      </c>
      <c r="B312" s="197" t="s">
        <v>3749</v>
      </c>
      <c r="C312" s="56" t="s">
        <v>3532</v>
      </c>
      <c r="D312" s="73" t="str">
        <f>IFERROR(VLOOKUP(C312,Stock,3,FALSE),"")</f>
        <v>9092 Sealant Application</v>
      </c>
      <c r="E312" s="56">
        <v>1.0</v>
      </c>
      <c r="F312" s="161">
        <v>200000.0</v>
      </c>
      <c r="G312" s="162">
        <f t="shared" si="8"/>
        <v>200000</v>
      </c>
      <c r="H312" s="194"/>
      <c r="I312" s="161">
        <f t="shared" si="5"/>
        <v>200000</v>
      </c>
      <c r="J312" s="164">
        <f t="shared" si="7"/>
        <v>200000</v>
      </c>
      <c r="K312" s="56" t="s">
        <v>3753</v>
      </c>
      <c r="L312" s="165" t="s">
        <v>3754</v>
      </c>
      <c r="M312" s="73"/>
      <c r="N312" s="169" t="s">
        <v>3752</v>
      </c>
      <c r="O312" s="169" t="s">
        <v>3547</v>
      </c>
      <c r="P312" s="168" t="s">
        <v>3112</v>
      </c>
      <c r="Q312" s="167">
        <v>200000.0</v>
      </c>
      <c r="R312" s="173"/>
      <c r="S312" s="173"/>
      <c r="T312" s="173"/>
      <c r="U312" s="173"/>
      <c r="V312" s="168" t="s">
        <v>3664</v>
      </c>
      <c r="W312" s="169"/>
      <c r="X312" s="219">
        <v>45454.0</v>
      </c>
    </row>
    <row r="313" ht="15.0" customHeight="1">
      <c r="A313" s="127">
        <v>45454.0</v>
      </c>
      <c r="B313" s="181" t="s">
        <v>3755</v>
      </c>
      <c r="C313" s="56" t="s">
        <v>3543</v>
      </c>
      <c r="D313" s="73" t="str">
        <f>IFERROR(VLOOKUP(C313,Stock,3,FALSE),"")</f>
        <v>Daihatsu Gran Max Minibus/Van</v>
      </c>
      <c r="E313" s="56">
        <v>1.0</v>
      </c>
      <c r="F313" s="161">
        <v>799000.0</v>
      </c>
      <c r="G313" s="162">
        <f t="shared" si="8"/>
        <v>799000</v>
      </c>
      <c r="H313" s="194"/>
      <c r="I313" s="161">
        <f t="shared" si="5"/>
        <v>799000</v>
      </c>
      <c r="J313" s="164">
        <f t="shared" si="7"/>
        <v>799000</v>
      </c>
      <c r="K313" s="56" t="s">
        <v>3756</v>
      </c>
      <c r="L313" s="165" t="s">
        <v>3757</v>
      </c>
      <c r="M313" s="73"/>
      <c r="N313" s="169" t="s">
        <v>3758</v>
      </c>
      <c r="O313" s="169" t="s">
        <v>2958</v>
      </c>
      <c r="P313" s="168" t="s">
        <v>3112</v>
      </c>
      <c r="Q313" s="173"/>
      <c r="R313" s="167">
        <v>799000.0</v>
      </c>
      <c r="S313" s="173"/>
      <c r="T313" s="173"/>
      <c r="U313" s="173"/>
      <c r="V313" s="168" t="s">
        <v>3671</v>
      </c>
      <c r="W313" s="169"/>
      <c r="X313" s="171"/>
    </row>
    <row r="314" ht="15.0" customHeight="1">
      <c r="A314" s="127">
        <v>45454.0</v>
      </c>
      <c r="B314" s="181" t="s">
        <v>3759</v>
      </c>
      <c r="C314" s="56" t="s">
        <v>3760</v>
      </c>
      <c r="D314" s="73" t="str">
        <f>IFERROR(VLOOKUP(C314,Stock,3,FALSE),"")</f>
        <v>Nissan Frontier Navara 97-04 D22 1st Gen</v>
      </c>
      <c r="E314" s="56">
        <v>1.0</v>
      </c>
      <c r="F314" s="161">
        <v>1880000.0</v>
      </c>
      <c r="G314" s="162">
        <f t="shared" si="8"/>
        <v>1880000</v>
      </c>
      <c r="H314" s="194"/>
      <c r="I314" s="161">
        <f t="shared" si="5"/>
        <v>1880000</v>
      </c>
      <c r="J314" s="164">
        <f t="shared" si="7"/>
        <v>1880000</v>
      </c>
      <c r="K314" s="56" t="s">
        <v>3761</v>
      </c>
      <c r="L314" s="165" t="s">
        <v>3762</v>
      </c>
      <c r="M314" s="73"/>
      <c r="N314" s="169" t="s">
        <v>3763</v>
      </c>
      <c r="O314" s="169" t="s">
        <v>3547</v>
      </c>
      <c r="P314" s="168" t="s">
        <v>3112</v>
      </c>
      <c r="Q314" s="167">
        <v>1900000.0</v>
      </c>
      <c r="R314" s="173"/>
      <c r="S314" s="173"/>
      <c r="T314" s="173"/>
      <c r="U314" s="167">
        <v>20000.0</v>
      </c>
      <c r="V314" s="168" t="s">
        <v>3671</v>
      </c>
      <c r="W314" s="169"/>
      <c r="X314" s="219">
        <v>45454.0</v>
      </c>
    </row>
    <row r="315" ht="15.0" customHeight="1">
      <c r="A315" s="127">
        <v>45454.0</v>
      </c>
      <c r="B315" s="181" t="s">
        <v>3764</v>
      </c>
      <c r="C315" s="56" t="s">
        <v>3227</v>
      </c>
      <c r="D315" s="73" t="str">
        <f>IFERROR(VLOOKUP(C315,Stock,3,FALSE),"")</f>
        <v>Mitsubishi Strada Triton 08-15</v>
      </c>
      <c r="E315" s="56">
        <v>1.0</v>
      </c>
      <c r="F315" s="161">
        <v>858000.0</v>
      </c>
      <c r="G315" s="162">
        <f t="shared" si="8"/>
        <v>858000</v>
      </c>
      <c r="H315" s="194"/>
      <c r="I315" s="161">
        <f t="shared" si="5"/>
        <v>858000</v>
      </c>
      <c r="J315" s="164">
        <f t="shared" si="7"/>
        <v>858000</v>
      </c>
      <c r="K315" s="56" t="s">
        <v>3765</v>
      </c>
      <c r="L315" s="207" t="s">
        <v>3766</v>
      </c>
      <c r="M315" s="73"/>
      <c r="N315" s="171"/>
      <c r="O315" s="169" t="s">
        <v>3767</v>
      </c>
      <c r="P315" s="168" t="s">
        <v>2922</v>
      </c>
      <c r="Q315" s="173"/>
      <c r="R315" s="173"/>
      <c r="S315" s="167">
        <v>858000.0</v>
      </c>
      <c r="T315" s="173"/>
      <c r="U315" s="173"/>
      <c r="V315" s="168" t="s">
        <v>3671</v>
      </c>
      <c r="W315" s="169"/>
      <c r="X315" s="171"/>
    </row>
    <row r="316" ht="15.0" customHeight="1">
      <c r="A316" s="127">
        <v>45454.0</v>
      </c>
      <c r="B316" s="181" t="s">
        <v>3764</v>
      </c>
      <c r="C316" s="220" t="s">
        <v>3059</v>
      </c>
      <c r="D316" s="73" t="str">
        <f>IFERROR(VLOOKUP(C316,Stock,3,FALSE),"")</f>
        <v>Sealant Polyurethane XYG Tube</v>
      </c>
      <c r="E316" s="56">
        <v>1.0</v>
      </c>
      <c r="F316" s="161">
        <v>75000.0</v>
      </c>
      <c r="G316" s="162">
        <f t="shared" si="8"/>
        <v>75000</v>
      </c>
      <c r="H316" s="194"/>
      <c r="I316" s="161">
        <f t="shared" si="5"/>
        <v>75000</v>
      </c>
      <c r="J316" s="164">
        <f t="shared" si="7"/>
        <v>75000</v>
      </c>
      <c r="K316" s="56" t="s">
        <v>3765</v>
      </c>
      <c r="L316" s="165" t="s">
        <v>3766</v>
      </c>
      <c r="M316" s="73"/>
      <c r="N316" s="171"/>
      <c r="O316" s="169" t="s">
        <v>3767</v>
      </c>
      <c r="P316" s="168" t="s">
        <v>2922</v>
      </c>
      <c r="Q316" s="173"/>
      <c r="R316" s="173"/>
      <c r="S316" s="167">
        <v>75000.0</v>
      </c>
      <c r="T316" s="173"/>
      <c r="U316" s="173"/>
      <c r="V316" s="168" t="s">
        <v>3671</v>
      </c>
      <c r="W316" s="169"/>
      <c r="X316" s="171"/>
    </row>
    <row r="317" ht="15.0" customHeight="1">
      <c r="A317" s="127">
        <v>45454.0</v>
      </c>
      <c r="B317" s="181" t="s">
        <v>3764</v>
      </c>
      <c r="C317" s="181" t="s">
        <v>2934</v>
      </c>
      <c r="D317" s="73" t="str">
        <f>IFERROR(VLOOKUP(C317,Stock,3,FALSE),"")</f>
        <v>Peti Kayu</v>
      </c>
      <c r="E317" s="56">
        <v>1.0</v>
      </c>
      <c r="F317" s="161">
        <v>160000.0</v>
      </c>
      <c r="G317" s="162">
        <f t="shared" si="8"/>
        <v>160000</v>
      </c>
      <c r="H317" s="194"/>
      <c r="I317" s="161">
        <f t="shared" si="5"/>
        <v>160000</v>
      </c>
      <c r="J317" s="164">
        <f t="shared" si="7"/>
        <v>160000</v>
      </c>
      <c r="K317" s="56" t="s">
        <v>3765</v>
      </c>
      <c r="L317" s="165" t="s">
        <v>3766</v>
      </c>
      <c r="M317" s="73"/>
      <c r="N317" s="171"/>
      <c r="O317" s="169" t="s">
        <v>3767</v>
      </c>
      <c r="P317" s="168" t="s">
        <v>2922</v>
      </c>
      <c r="Q317" s="173"/>
      <c r="R317" s="167">
        <v>160000.0</v>
      </c>
      <c r="S317" s="173"/>
      <c r="T317" s="173"/>
      <c r="U317" s="173"/>
      <c r="V317" s="168" t="s">
        <v>3671</v>
      </c>
      <c r="W317" s="169"/>
      <c r="X317" s="171"/>
    </row>
    <row r="318" ht="15.0" customHeight="1">
      <c r="A318" s="127">
        <v>45455.0</v>
      </c>
      <c r="B318" s="181" t="s">
        <v>3768</v>
      </c>
      <c r="C318" s="56" t="s">
        <v>3085</v>
      </c>
      <c r="D318" s="73" t="str">
        <f>IFERROR(VLOOKUP(C318,Stock,3,FALSE),"")</f>
        <v>Honda Jazz 07-13 2nd Gen</v>
      </c>
      <c r="E318" s="56">
        <v>1.0</v>
      </c>
      <c r="F318" s="161">
        <v>1437000.0</v>
      </c>
      <c r="G318" s="162">
        <f t="shared" si="8"/>
        <v>1437000</v>
      </c>
      <c r="H318" s="201">
        <v>37000.0</v>
      </c>
      <c r="I318" s="161">
        <f t="shared" si="5"/>
        <v>1400000</v>
      </c>
      <c r="J318" s="164">
        <f t="shared" si="7"/>
        <v>1400000</v>
      </c>
      <c r="K318" s="56" t="s">
        <v>3769</v>
      </c>
      <c r="L318" s="207" t="s">
        <v>3770</v>
      </c>
      <c r="M318" s="73"/>
      <c r="N318" s="169" t="s">
        <v>3771</v>
      </c>
      <c r="O318" s="169" t="s">
        <v>2958</v>
      </c>
      <c r="P318" s="168" t="s">
        <v>3112</v>
      </c>
      <c r="Q318" s="167">
        <v>1400000.0</v>
      </c>
      <c r="R318" s="173"/>
      <c r="S318" s="173"/>
      <c r="T318" s="173"/>
      <c r="U318" s="173"/>
      <c r="V318" s="168" t="s">
        <v>3671</v>
      </c>
      <c r="W318" s="169"/>
      <c r="X318" s="219">
        <v>45455.0</v>
      </c>
    </row>
    <row r="319" ht="15.0" customHeight="1">
      <c r="A319" s="127">
        <v>45455.0</v>
      </c>
      <c r="B319" s="181" t="s">
        <v>3772</v>
      </c>
      <c r="C319" s="56" t="s">
        <v>2609</v>
      </c>
      <c r="D319" s="73" t="str">
        <f>IFERROR(VLOOKUP(C319,Stock,3,FALSE),"")</f>
        <v>Mazda 2 14- Skyactiv 4th Gen (3 Sensor/ /\8 )</v>
      </c>
      <c r="E319" s="56">
        <v>1.0</v>
      </c>
      <c r="F319" s="161">
        <v>3399000.0</v>
      </c>
      <c r="G319" s="162">
        <f t="shared" si="8"/>
        <v>3399000</v>
      </c>
      <c r="H319" s="194"/>
      <c r="I319" s="161">
        <f t="shared" si="5"/>
        <v>3399000</v>
      </c>
      <c r="J319" s="164">
        <f t="shared" si="7"/>
        <v>3399000</v>
      </c>
      <c r="K319" s="56" t="s">
        <v>3773</v>
      </c>
      <c r="L319" s="165" t="s">
        <v>3774</v>
      </c>
      <c r="M319" s="73"/>
      <c r="N319" s="171"/>
      <c r="O319" s="169" t="s">
        <v>3775</v>
      </c>
      <c r="P319" s="168" t="s">
        <v>2922</v>
      </c>
      <c r="Q319" s="173"/>
      <c r="R319" s="173"/>
      <c r="S319" s="167">
        <v>3399000.0</v>
      </c>
      <c r="T319" s="221">
        <v>88130.0</v>
      </c>
      <c r="U319" s="173"/>
      <c r="V319" s="168" t="s">
        <v>3671</v>
      </c>
      <c r="W319" s="169"/>
      <c r="X319" s="171"/>
    </row>
    <row r="320" ht="15.0" customHeight="1">
      <c r="A320" s="127">
        <v>45455.0</v>
      </c>
      <c r="B320" s="181" t="s">
        <v>3772</v>
      </c>
      <c r="C320" s="56" t="s">
        <v>3059</v>
      </c>
      <c r="D320" s="73" t="str">
        <f>IFERROR(VLOOKUP(C320,Stock,3,FALSE),"")</f>
        <v>Sealant Polyurethane XYG Tube</v>
      </c>
      <c r="E320" s="56">
        <v>2.0</v>
      </c>
      <c r="F320" s="161">
        <v>75000.0</v>
      </c>
      <c r="G320" s="162">
        <f t="shared" si="8"/>
        <v>150000</v>
      </c>
      <c r="H320" s="194"/>
      <c r="I320" s="161">
        <f t="shared" si="5"/>
        <v>150000</v>
      </c>
      <c r="J320" s="164">
        <f t="shared" si="7"/>
        <v>150000</v>
      </c>
      <c r="K320" s="56" t="s">
        <v>3773</v>
      </c>
      <c r="L320" s="165" t="s">
        <v>3774</v>
      </c>
      <c r="M320" s="73"/>
      <c r="N320" s="171"/>
      <c r="O320" s="169" t="s">
        <v>3775</v>
      </c>
      <c r="P320" s="168" t="s">
        <v>2922</v>
      </c>
      <c r="Q320" s="173"/>
      <c r="R320" s="173"/>
      <c r="S320" s="167">
        <v>150000.0</v>
      </c>
      <c r="T320" s="173"/>
      <c r="U320" s="173"/>
      <c r="V320" s="168" t="s">
        <v>3671</v>
      </c>
      <c r="W320" s="169"/>
      <c r="X320" s="171"/>
    </row>
    <row r="321" ht="15.0" customHeight="1">
      <c r="A321" s="127">
        <v>45455.0</v>
      </c>
      <c r="B321" s="181" t="s">
        <v>3772</v>
      </c>
      <c r="C321" s="181" t="s">
        <v>2934</v>
      </c>
      <c r="D321" s="73" t="str">
        <f>IFERROR(VLOOKUP(C321,Stock,3,FALSE),"")</f>
        <v>Peti Kayu</v>
      </c>
      <c r="E321" s="56">
        <v>1.0</v>
      </c>
      <c r="F321" s="161">
        <v>160000.0</v>
      </c>
      <c r="G321" s="162">
        <f t="shared" si="8"/>
        <v>160000</v>
      </c>
      <c r="H321" s="194"/>
      <c r="I321" s="161">
        <f t="shared" si="5"/>
        <v>160000</v>
      </c>
      <c r="J321" s="164">
        <f t="shared" si="7"/>
        <v>160000</v>
      </c>
      <c r="K321" s="205" t="s">
        <v>3773</v>
      </c>
      <c r="L321" s="165" t="s">
        <v>3774</v>
      </c>
      <c r="M321" s="73"/>
      <c r="N321" s="171"/>
      <c r="O321" s="169" t="s">
        <v>3775</v>
      </c>
      <c r="P321" s="168" t="s">
        <v>2922</v>
      </c>
      <c r="Q321" s="173"/>
      <c r="R321" s="173"/>
      <c r="S321" s="167">
        <v>160000.0</v>
      </c>
      <c r="T321" s="173"/>
      <c r="U321" s="173"/>
      <c r="V321" s="168" t="s">
        <v>3671</v>
      </c>
      <c r="W321" s="169"/>
      <c r="X321" s="171"/>
    </row>
    <row r="322" ht="15.0" customHeight="1">
      <c r="A322" s="127">
        <v>45455.0</v>
      </c>
      <c r="B322" s="181" t="s">
        <v>3776</v>
      </c>
      <c r="C322" s="197" t="s">
        <v>2637</v>
      </c>
      <c r="D322" s="73" t="str">
        <f>IFERROR(VLOOKUP(C322,Stock,3,FALSE),"")</f>
        <v>Ford Everest 04-15 / Ranger 04-11 / Mazda BT-50</v>
      </c>
      <c r="E322" s="56">
        <v>1.0</v>
      </c>
      <c r="F322" s="161">
        <v>1261000.0</v>
      </c>
      <c r="G322" s="162">
        <f t="shared" si="8"/>
        <v>1261000</v>
      </c>
      <c r="H322" s="194"/>
      <c r="I322" s="161">
        <f t="shared" si="5"/>
        <v>1261000</v>
      </c>
      <c r="J322" s="164">
        <f t="shared" si="7"/>
        <v>1261000</v>
      </c>
      <c r="K322" s="56" t="s">
        <v>3777</v>
      </c>
      <c r="L322" s="196" t="s">
        <v>3774</v>
      </c>
      <c r="O322" s="222" t="s">
        <v>3778</v>
      </c>
      <c r="P322" s="168" t="s">
        <v>2922</v>
      </c>
      <c r="Q322" s="173"/>
      <c r="R322" s="173"/>
      <c r="S322" s="167">
        <v>1261000.0</v>
      </c>
      <c r="T322" s="221">
        <v>102115.0</v>
      </c>
      <c r="U322" s="173"/>
      <c r="V322" s="168" t="s">
        <v>3671</v>
      </c>
      <c r="W322" s="169"/>
      <c r="X322" s="171"/>
    </row>
    <row r="323" ht="15.0" customHeight="1">
      <c r="A323" s="127">
        <v>45455.0</v>
      </c>
      <c r="B323" s="181" t="s">
        <v>3776</v>
      </c>
      <c r="C323" s="56" t="s">
        <v>3059</v>
      </c>
      <c r="D323" s="73" t="str">
        <f>IFERROR(VLOOKUP(C323,Stock,3,FALSE),"")</f>
        <v>Sealant Polyurethane XYG Tube</v>
      </c>
      <c r="E323" s="56">
        <v>2.0</v>
      </c>
      <c r="F323" s="161">
        <v>75000.0</v>
      </c>
      <c r="G323" s="162">
        <f t="shared" si="8"/>
        <v>150000</v>
      </c>
      <c r="H323" s="194"/>
      <c r="I323" s="161">
        <f t="shared" si="5"/>
        <v>150000</v>
      </c>
      <c r="J323" s="164">
        <f t="shared" si="7"/>
        <v>150000</v>
      </c>
      <c r="K323" s="56" t="s">
        <v>3777</v>
      </c>
      <c r="L323" s="196" t="s">
        <v>3774</v>
      </c>
      <c r="O323" s="222" t="s">
        <v>3778</v>
      </c>
      <c r="P323" s="168" t="s">
        <v>2922</v>
      </c>
      <c r="Q323" s="173"/>
      <c r="R323" s="173"/>
      <c r="S323" s="167">
        <v>150000.0</v>
      </c>
      <c r="T323" s="173"/>
      <c r="U323" s="173"/>
      <c r="V323" s="168" t="s">
        <v>3671</v>
      </c>
      <c r="W323" s="169"/>
      <c r="X323" s="171"/>
    </row>
    <row r="324" ht="15.0" customHeight="1">
      <c r="A324" s="127">
        <v>45455.0</v>
      </c>
      <c r="B324" s="181" t="s">
        <v>3776</v>
      </c>
      <c r="C324" s="181" t="s">
        <v>2934</v>
      </c>
      <c r="D324" s="73" t="str">
        <f>IFERROR(VLOOKUP(C324,Stock,3,FALSE),"")</f>
        <v>Peti Kayu</v>
      </c>
      <c r="E324" s="56">
        <v>1.0</v>
      </c>
      <c r="F324" s="161">
        <v>160000.0</v>
      </c>
      <c r="G324" s="162">
        <f t="shared" si="8"/>
        <v>160000</v>
      </c>
      <c r="H324" s="194"/>
      <c r="I324" s="161">
        <f t="shared" si="5"/>
        <v>160000</v>
      </c>
      <c r="J324" s="164">
        <f t="shared" si="7"/>
        <v>160000</v>
      </c>
      <c r="K324" s="56" t="s">
        <v>3777</v>
      </c>
      <c r="L324" s="196" t="s">
        <v>3774</v>
      </c>
      <c r="O324" s="222" t="s">
        <v>3778</v>
      </c>
      <c r="P324" s="168" t="s">
        <v>2922</v>
      </c>
      <c r="Q324" s="173"/>
      <c r="R324" s="173"/>
      <c r="S324" s="167">
        <v>160000.0</v>
      </c>
      <c r="T324" s="173"/>
      <c r="U324" s="173"/>
      <c r="V324" s="168" t="s">
        <v>3671</v>
      </c>
      <c r="W324" s="169"/>
      <c r="X324" s="171"/>
    </row>
    <row r="325" ht="15.0" customHeight="1">
      <c r="A325" s="127">
        <v>45455.0</v>
      </c>
      <c r="B325" s="197" t="s">
        <v>3779</v>
      </c>
      <c r="C325" s="56" t="s">
        <v>2643</v>
      </c>
      <c r="D325" s="73" t="str">
        <f>IFERROR(VLOOKUP(C325,Stock,3,FALSE),"")</f>
        <v>Toyota Vios 07-13 XP90 2nd Gen</v>
      </c>
      <c r="E325" s="56">
        <v>1.0</v>
      </c>
      <c r="F325" s="161">
        <v>1448000.0</v>
      </c>
      <c r="G325" s="162">
        <f t="shared" si="8"/>
        <v>1448000</v>
      </c>
      <c r="H325" s="194"/>
      <c r="I325" s="161">
        <f t="shared" si="5"/>
        <v>1448000</v>
      </c>
      <c r="J325" s="164">
        <f t="shared" si="7"/>
        <v>1448000</v>
      </c>
      <c r="K325" s="56" t="s">
        <v>3780</v>
      </c>
      <c r="L325" s="165" t="s">
        <v>3781</v>
      </c>
      <c r="M325" s="73"/>
      <c r="N325" s="169" t="s">
        <v>3782</v>
      </c>
      <c r="O325" s="169" t="s">
        <v>2958</v>
      </c>
      <c r="P325" s="168" t="s">
        <v>3112</v>
      </c>
      <c r="Q325" s="173"/>
      <c r="R325" s="167">
        <v>1448000.0</v>
      </c>
      <c r="S325" s="173"/>
      <c r="T325" s="173"/>
      <c r="U325" s="173"/>
      <c r="V325" s="168" t="s">
        <v>3671</v>
      </c>
      <c r="W325" s="169"/>
      <c r="X325" s="171"/>
    </row>
    <row r="326" ht="15.0" customHeight="1">
      <c r="A326" s="127">
        <v>45455.0</v>
      </c>
      <c r="B326" s="181" t="s">
        <v>3783</v>
      </c>
      <c r="C326" s="56" t="s">
        <v>3411</v>
      </c>
      <c r="D326" s="73" t="str">
        <f>IFERROR(VLOOKUP(C326,Stock,3,FALSE),"")</f>
        <v>Toyota Agya/Ayla 13-22 1st Gen</v>
      </c>
      <c r="E326" s="56">
        <v>1.0</v>
      </c>
      <c r="F326" s="161">
        <v>1015000.0</v>
      </c>
      <c r="G326" s="162">
        <f t="shared" si="8"/>
        <v>1015000</v>
      </c>
      <c r="H326" s="194"/>
      <c r="I326" s="161">
        <f t="shared" si="5"/>
        <v>1015000</v>
      </c>
      <c r="J326" s="164">
        <f t="shared" si="7"/>
        <v>1015000</v>
      </c>
      <c r="K326" s="56" t="s">
        <v>3784</v>
      </c>
      <c r="L326" s="165" t="s">
        <v>3785</v>
      </c>
      <c r="M326" s="73"/>
      <c r="N326" s="169" t="s">
        <v>3786</v>
      </c>
      <c r="O326" s="169" t="s">
        <v>2958</v>
      </c>
      <c r="P326" s="168" t="s">
        <v>3112</v>
      </c>
      <c r="Q326" s="173"/>
      <c r="R326" s="167">
        <v>1015000.0</v>
      </c>
      <c r="S326" s="173"/>
      <c r="T326" s="173"/>
      <c r="U326" s="173"/>
      <c r="V326" s="168" t="s">
        <v>3671</v>
      </c>
      <c r="W326" s="169"/>
      <c r="X326" s="171"/>
    </row>
    <row r="327" ht="15.0" hidden="1" customHeight="1">
      <c r="A327" s="127">
        <v>45455.0</v>
      </c>
      <c r="B327" s="181" t="s">
        <v>3787</v>
      </c>
      <c r="C327" s="56" t="s">
        <v>3122</v>
      </c>
      <c r="D327" s="73" t="str">
        <f>IFERROR(VLOOKUP(C327,Stock,3,FALSE),"")</f>
        <v>Toyota Innova 15- 2nd Gen</v>
      </c>
      <c r="E327" s="56">
        <v>1.0</v>
      </c>
      <c r="F327" s="162"/>
      <c r="G327" s="162">
        <f t="shared" si="8"/>
        <v>0</v>
      </c>
      <c r="H327" s="194"/>
      <c r="I327" s="161">
        <f t="shared" si="5"/>
        <v>0</v>
      </c>
      <c r="J327" s="164">
        <f t="shared" si="7"/>
        <v>0</v>
      </c>
      <c r="K327" s="73"/>
      <c r="L327" s="73"/>
      <c r="M327" s="73"/>
      <c r="N327" s="171"/>
      <c r="O327" s="171"/>
      <c r="P327" s="202"/>
      <c r="Q327" s="173"/>
      <c r="R327" s="173"/>
      <c r="S327" s="173"/>
      <c r="T327" s="173"/>
      <c r="U327" s="173"/>
      <c r="V327" s="202"/>
      <c r="W327" s="171"/>
      <c r="X327" s="171"/>
    </row>
    <row r="328" ht="15.0" customHeight="1">
      <c r="A328" s="127">
        <v>45455.0</v>
      </c>
      <c r="B328" s="181" t="s">
        <v>3788</v>
      </c>
      <c r="C328" s="56" t="s">
        <v>2926</v>
      </c>
      <c r="D328" s="73" t="str">
        <f>IFERROR(VLOOKUP(C328,Stock,3,FALSE),"")</f>
        <v>Honda Jazz 01-07 1st Gen</v>
      </c>
      <c r="E328" s="56">
        <v>1.0</v>
      </c>
      <c r="F328" s="161">
        <v>1624000.0</v>
      </c>
      <c r="G328" s="162">
        <f t="shared" si="8"/>
        <v>1624000</v>
      </c>
      <c r="H328" s="194"/>
      <c r="I328" s="161">
        <f t="shared" si="5"/>
        <v>1624000</v>
      </c>
      <c r="J328" s="164">
        <f t="shared" si="7"/>
        <v>1624000</v>
      </c>
      <c r="K328" s="56" t="s">
        <v>3789</v>
      </c>
      <c r="L328" s="165" t="s">
        <v>3790</v>
      </c>
      <c r="M328" s="73"/>
      <c r="N328" s="169" t="s">
        <v>3791</v>
      </c>
      <c r="O328" s="169" t="s">
        <v>3792</v>
      </c>
      <c r="P328" s="168" t="s">
        <v>3054</v>
      </c>
      <c r="Q328" s="167">
        <v>1650000.0</v>
      </c>
      <c r="R328" s="173"/>
      <c r="S328" s="173"/>
      <c r="T328" s="173"/>
      <c r="U328" s="167">
        <v>26000.0</v>
      </c>
      <c r="V328" s="168" t="s">
        <v>3793</v>
      </c>
      <c r="W328" s="169"/>
      <c r="X328" s="219">
        <v>45455.0</v>
      </c>
    </row>
    <row r="329" ht="15.0" customHeight="1">
      <c r="A329" s="127">
        <v>45456.0</v>
      </c>
      <c r="B329" s="181" t="s">
        <v>3794</v>
      </c>
      <c r="C329" s="205" t="s">
        <v>3795</v>
      </c>
      <c r="D329" s="73" t="str">
        <f>IFERROR(VLOOKUP(C329,Stock,3,FALSE),"")</f>
        <v>Toyota Innova 04-15 1st Gen</v>
      </c>
      <c r="E329" s="56">
        <v>1.0</v>
      </c>
      <c r="F329" s="161">
        <v>1322000.0</v>
      </c>
      <c r="G329" s="162">
        <f t="shared" si="8"/>
        <v>1322000</v>
      </c>
      <c r="H329" s="194"/>
      <c r="I329" s="161">
        <f t="shared" si="5"/>
        <v>1322000</v>
      </c>
      <c r="J329" s="164">
        <f t="shared" si="7"/>
        <v>1322000</v>
      </c>
      <c r="K329" s="56" t="s">
        <v>3796</v>
      </c>
      <c r="L329" s="165" t="s">
        <v>3797</v>
      </c>
      <c r="M329" s="73"/>
      <c r="N329" s="223" t="s">
        <v>3798</v>
      </c>
      <c r="O329" s="169" t="s">
        <v>3037</v>
      </c>
      <c r="P329" s="168" t="s">
        <v>3112</v>
      </c>
      <c r="Q329" s="167">
        <v>1350000.0</v>
      </c>
      <c r="R329" s="173"/>
      <c r="S329" s="173"/>
      <c r="T329" s="173"/>
      <c r="U329" s="167">
        <v>28000.0</v>
      </c>
      <c r="V329" s="168" t="s">
        <v>3799</v>
      </c>
      <c r="W329" s="169"/>
      <c r="X329" s="219">
        <v>45456.0</v>
      </c>
    </row>
    <row r="330" ht="15.0" customHeight="1">
      <c r="A330" s="127">
        <v>45456.0</v>
      </c>
      <c r="B330" s="181" t="s">
        <v>3800</v>
      </c>
      <c r="C330" s="56" t="s">
        <v>3099</v>
      </c>
      <c r="D330" s="73" t="str">
        <f>IFERROR(VLOOKUP(C330,Stock,3,FALSE),"")</f>
        <v>Toyota Calya / Sigra 16-</v>
      </c>
      <c r="E330" s="56">
        <v>1.0</v>
      </c>
      <c r="F330" s="161">
        <v>1149000.0</v>
      </c>
      <c r="G330" s="162">
        <f t="shared" si="8"/>
        <v>1149000</v>
      </c>
      <c r="H330" s="194"/>
      <c r="I330" s="161">
        <f t="shared" si="5"/>
        <v>1149000</v>
      </c>
      <c r="J330" s="164">
        <f t="shared" si="7"/>
        <v>1149000</v>
      </c>
      <c r="K330" s="56" t="s">
        <v>3801</v>
      </c>
      <c r="L330" s="165" t="s">
        <v>3802</v>
      </c>
      <c r="M330" s="56" t="s">
        <v>3803</v>
      </c>
      <c r="N330" s="169" t="s">
        <v>3804</v>
      </c>
      <c r="O330" s="169" t="s">
        <v>3204</v>
      </c>
      <c r="P330" s="168" t="s">
        <v>3112</v>
      </c>
      <c r="Q330" s="173"/>
      <c r="R330" s="167">
        <v>1149000.0</v>
      </c>
      <c r="S330" s="173"/>
      <c r="T330" s="173"/>
      <c r="U330" s="173"/>
      <c r="V330" s="168" t="s">
        <v>3671</v>
      </c>
      <c r="W330" s="169"/>
      <c r="X330" s="171"/>
    </row>
    <row r="331" ht="15.0" customHeight="1">
      <c r="A331" s="127">
        <v>45456.0</v>
      </c>
      <c r="B331" s="181" t="s">
        <v>3805</v>
      </c>
      <c r="C331" s="56" t="s">
        <v>2692</v>
      </c>
      <c r="D331" s="73" t="str">
        <f>IFERROR(VLOOKUP(C331,Stock,3,FALSE),"")</f>
        <v>Suzuki Ertiga 18- 2nd Gen / XL7</v>
      </c>
      <c r="E331" s="56">
        <v>1.0</v>
      </c>
      <c r="F331" s="161">
        <v>1554000.0</v>
      </c>
      <c r="G331" s="162">
        <f t="shared" si="8"/>
        <v>1554000</v>
      </c>
      <c r="H331" s="194"/>
      <c r="I331" s="161">
        <f t="shared" si="5"/>
        <v>1554000</v>
      </c>
      <c r="J331" s="164">
        <f t="shared" si="7"/>
        <v>1554000</v>
      </c>
      <c r="K331" s="56" t="s">
        <v>3806</v>
      </c>
      <c r="L331" s="165" t="s">
        <v>3807</v>
      </c>
      <c r="M331" s="56" t="s">
        <v>3808</v>
      </c>
      <c r="N331" s="169" t="s">
        <v>3809</v>
      </c>
      <c r="O331" s="169" t="s">
        <v>2958</v>
      </c>
      <c r="P331" s="168" t="s">
        <v>3112</v>
      </c>
      <c r="Q331" s="173"/>
      <c r="R331" s="167">
        <v>1554000.0</v>
      </c>
      <c r="S331" s="173"/>
      <c r="T331" s="173"/>
      <c r="U331" s="173"/>
      <c r="V331" s="168" t="s">
        <v>3799</v>
      </c>
      <c r="W331" s="169"/>
      <c r="X331" s="171"/>
    </row>
    <row r="332" ht="15.0" customHeight="1">
      <c r="A332" s="127">
        <v>45457.0</v>
      </c>
      <c r="B332" s="181" t="s">
        <v>3810</v>
      </c>
      <c r="C332" s="56" t="s">
        <v>3811</v>
      </c>
      <c r="D332" s="73" t="str">
        <f>IFERROR(VLOOKUP(C332,Stock,3,FALSE),"")</f>
        <v>Honda Civic 96-00 SO4/SO6 (Ferio)</v>
      </c>
      <c r="E332" s="56">
        <v>1.0</v>
      </c>
      <c r="F332" s="161">
        <v>2276000.0</v>
      </c>
      <c r="G332" s="162">
        <f t="shared" si="8"/>
        <v>2276000</v>
      </c>
      <c r="H332" s="194"/>
      <c r="I332" s="161">
        <f t="shared" si="5"/>
        <v>2276000</v>
      </c>
      <c r="J332" s="164">
        <f t="shared" si="7"/>
        <v>2276000</v>
      </c>
      <c r="K332" s="56" t="s">
        <v>3812</v>
      </c>
      <c r="L332" s="165" t="s">
        <v>3813</v>
      </c>
      <c r="M332" s="56" t="s">
        <v>3814</v>
      </c>
      <c r="N332" s="169" t="s">
        <v>3815</v>
      </c>
      <c r="O332" s="169" t="s">
        <v>2958</v>
      </c>
      <c r="P332" s="168" t="s">
        <v>3112</v>
      </c>
      <c r="Q332" s="167">
        <v>2276000.0</v>
      </c>
      <c r="R332" s="173"/>
      <c r="S332" s="173"/>
      <c r="T332" s="173"/>
      <c r="U332" s="173"/>
      <c r="V332" s="168" t="s">
        <v>3799</v>
      </c>
      <c r="W332" s="169"/>
      <c r="X332" s="219">
        <v>45457.0</v>
      </c>
    </row>
    <row r="333" ht="15.0" customHeight="1">
      <c r="A333" s="127">
        <v>45457.0</v>
      </c>
      <c r="B333" s="181" t="s">
        <v>3810</v>
      </c>
      <c r="C333" s="56" t="s">
        <v>3513</v>
      </c>
      <c r="D333" s="73" t="str">
        <f>IFERROR(VLOOKUP(C333,Stock,3,FALSE),"")</f>
        <v>Lembur</v>
      </c>
      <c r="E333" s="56">
        <v>1.0</v>
      </c>
      <c r="F333" s="161">
        <v>100000.0</v>
      </c>
      <c r="G333" s="162">
        <f t="shared" si="8"/>
        <v>100000</v>
      </c>
      <c r="H333" s="194"/>
      <c r="I333" s="161">
        <f t="shared" si="5"/>
        <v>100000</v>
      </c>
      <c r="J333" s="164">
        <f t="shared" si="7"/>
        <v>100000</v>
      </c>
      <c r="K333" s="56" t="s">
        <v>3812</v>
      </c>
      <c r="L333" s="165" t="s">
        <v>3813</v>
      </c>
      <c r="M333" s="56" t="s">
        <v>3814</v>
      </c>
      <c r="N333" s="169" t="s">
        <v>3815</v>
      </c>
      <c r="O333" s="169" t="s">
        <v>2958</v>
      </c>
      <c r="P333" s="168" t="s">
        <v>3112</v>
      </c>
      <c r="Q333" s="167">
        <v>100000.0</v>
      </c>
      <c r="R333" s="173"/>
      <c r="S333" s="173"/>
      <c r="T333" s="173"/>
      <c r="U333" s="173"/>
      <c r="V333" s="168" t="s">
        <v>3799</v>
      </c>
      <c r="W333" s="169"/>
      <c r="X333" s="219">
        <v>45457.0</v>
      </c>
    </row>
    <row r="334" ht="15.0" customHeight="1">
      <c r="A334" s="127">
        <v>45457.0</v>
      </c>
      <c r="B334" s="181" t="s">
        <v>3816</v>
      </c>
      <c r="C334" s="56" t="s">
        <v>3817</v>
      </c>
      <c r="D334" s="73" t="str">
        <f>IFERROR(VLOOKUP(C334,Stock,3,FALSE),"")</f>
        <v>Suzuki APV 03- Pickup/ Van (MULIA)</v>
      </c>
      <c r="E334" s="56">
        <v>1.0</v>
      </c>
      <c r="F334" s="161">
        <v>1244000.0</v>
      </c>
      <c r="G334" s="162">
        <f t="shared" si="8"/>
        <v>1244000</v>
      </c>
      <c r="H334" s="194"/>
      <c r="I334" s="224">
        <f t="shared" si="5"/>
        <v>1244000</v>
      </c>
      <c r="J334" s="164">
        <f t="shared" si="7"/>
        <v>1244000</v>
      </c>
      <c r="K334" s="56" t="s">
        <v>3818</v>
      </c>
      <c r="L334" s="165" t="s">
        <v>3819</v>
      </c>
      <c r="M334" s="73"/>
      <c r="N334" s="169" t="s">
        <v>3820</v>
      </c>
      <c r="O334" s="169" t="s">
        <v>3500</v>
      </c>
      <c r="P334" s="168" t="s">
        <v>3112</v>
      </c>
      <c r="Q334" s="167">
        <v>1300000.0</v>
      </c>
      <c r="R334" s="173"/>
      <c r="S334" s="173"/>
      <c r="T334" s="173"/>
      <c r="U334" s="167">
        <v>56000.0</v>
      </c>
      <c r="V334" s="168" t="s">
        <v>3799</v>
      </c>
      <c r="W334" s="169"/>
      <c r="X334" s="219">
        <v>45458.0</v>
      </c>
    </row>
    <row r="335" ht="15.0" customHeight="1">
      <c r="A335" s="127">
        <v>45458.0</v>
      </c>
      <c r="B335" s="181" t="s">
        <v>3821</v>
      </c>
      <c r="C335" s="56" t="s">
        <v>3235</v>
      </c>
      <c r="D335" s="73" t="str">
        <f>IFERROR(VLOOKUP(C335,Stock,3,FALSE),"")</f>
        <v>Toyota Vios 02-07 XP40 1st Gen</v>
      </c>
      <c r="E335" s="56">
        <v>1.0</v>
      </c>
      <c r="F335" s="161">
        <v>1445000.0</v>
      </c>
      <c r="G335" s="162">
        <f t="shared" si="8"/>
        <v>1445000</v>
      </c>
      <c r="H335" s="194"/>
      <c r="I335" s="224">
        <f t="shared" si="5"/>
        <v>1445000</v>
      </c>
      <c r="J335" s="164">
        <f t="shared" si="7"/>
        <v>1445000</v>
      </c>
      <c r="K335" s="56" t="s">
        <v>3822</v>
      </c>
      <c r="L335" s="165" t="s">
        <v>3823</v>
      </c>
      <c r="M335" s="56" t="s">
        <v>3824</v>
      </c>
      <c r="N335" s="169" t="s">
        <v>3825</v>
      </c>
      <c r="O335" s="169" t="s">
        <v>3204</v>
      </c>
      <c r="P335" s="168" t="s">
        <v>3112</v>
      </c>
      <c r="Q335" s="173"/>
      <c r="R335" s="167">
        <v>1445000.0</v>
      </c>
      <c r="S335" s="173"/>
      <c r="T335" s="173"/>
      <c r="U335" s="173"/>
      <c r="V335" s="168" t="s">
        <v>3799</v>
      </c>
      <c r="W335" s="169"/>
      <c r="X335" s="171"/>
    </row>
    <row r="336" ht="15.0" customHeight="1">
      <c r="A336" s="127">
        <v>45458.0</v>
      </c>
      <c r="B336" s="181" t="s">
        <v>3821</v>
      </c>
      <c r="C336" s="56" t="s">
        <v>3826</v>
      </c>
      <c r="D336" s="73" t="str">
        <f>IFERROR(VLOOKUP(C336,Stock,3,FALSE),"")</f>
        <v>List Kaca Depan Code 11</v>
      </c>
      <c r="E336" s="56">
        <v>1.0</v>
      </c>
      <c r="F336" s="161">
        <v>275000.0</v>
      </c>
      <c r="G336" s="162">
        <f t="shared" si="8"/>
        <v>275000</v>
      </c>
      <c r="H336" s="194"/>
      <c r="I336" s="224">
        <f t="shared" si="5"/>
        <v>275000</v>
      </c>
      <c r="J336" s="164">
        <f t="shared" si="7"/>
        <v>275000</v>
      </c>
      <c r="K336" s="56" t="s">
        <v>3822</v>
      </c>
      <c r="L336" s="165" t="s">
        <v>3823</v>
      </c>
      <c r="M336" s="56" t="s">
        <v>3824</v>
      </c>
      <c r="N336" s="169" t="s">
        <v>3825</v>
      </c>
      <c r="O336" s="169" t="s">
        <v>3204</v>
      </c>
      <c r="P336" s="168" t="s">
        <v>3112</v>
      </c>
      <c r="Q336" s="173"/>
      <c r="R336" s="167">
        <v>275000.0</v>
      </c>
      <c r="S336" s="173"/>
      <c r="T336" s="173"/>
      <c r="U336" s="173"/>
      <c r="V336" s="168" t="s">
        <v>3799</v>
      </c>
      <c r="W336" s="169"/>
      <c r="X336" s="171"/>
    </row>
    <row r="337" ht="15.0" customHeight="1">
      <c r="A337" s="127">
        <v>45461.0</v>
      </c>
      <c r="B337" s="181" t="s">
        <v>3827</v>
      </c>
      <c r="C337" s="56" t="s">
        <v>2936</v>
      </c>
      <c r="D337" s="73" t="str">
        <f>IFERROR(VLOOKUP(C337,Stock,3,FALSE),"")</f>
        <v>Toyota Calya / Sigra 16-</v>
      </c>
      <c r="E337" s="56">
        <v>1.0</v>
      </c>
      <c r="F337" s="161">
        <v>538000.0</v>
      </c>
      <c r="G337" s="162">
        <f t="shared" si="8"/>
        <v>538000</v>
      </c>
      <c r="H337" s="194"/>
      <c r="I337" s="224">
        <f t="shared" si="5"/>
        <v>538000</v>
      </c>
      <c r="J337" s="164">
        <f t="shared" si="7"/>
        <v>538000</v>
      </c>
      <c r="K337" s="205" t="s">
        <v>3828</v>
      </c>
      <c r="L337" s="165" t="s">
        <v>3683</v>
      </c>
      <c r="M337" s="73"/>
      <c r="N337" s="171"/>
      <c r="O337" s="169" t="s">
        <v>3684</v>
      </c>
      <c r="P337" s="168" t="s">
        <v>3112</v>
      </c>
      <c r="Q337" s="173"/>
      <c r="R337" s="167">
        <v>463000.0</v>
      </c>
      <c r="S337" s="173"/>
      <c r="T337" s="173"/>
      <c r="U337" s="173"/>
      <c r="V337" s="168" t="s">
        <v>3671</v>
      </c>
      <c r="W337" s="169"/>
      <c r="X337" s="171"/>
    </row>
    <row r="338" ht="15.0" customHeight="1">
      <c r="A338" s="127">
        <v>45461.0</v>
      </c>
      <c r="B338" s="181" t="s">
        <v>3827</v>
      </c>
      <c r="C338" s="56" t="s">
        <v>3564</v>
      </c>
      <c r="D338" s="73" t="str">
        <f>IFERROR(VLOOKUP(C338,Stock,3,FALSE),"")</f>
        <v>Toyota Calya / Sigra 16-</v>
      </c>
      <c r="E338" s="56">
        <v>1.0</v>
      </c>
      <c r="F338" s="161">
        <v>165000.0</v>
      </c>
      <c r="G338" s="162">
        <f t="shared" si="8"/>
        <v>165000</v>
      </c>
      <c r="H338" s="194"/>
      <c r="I338" s="224">
        <f t="shared" si="5"/>
        <v>165000</v>
      </c>
      <c r="J338" s="164">
        <f t="shared" si="7"/>
        <v>165000</v>
      </c>
      <c r="K338" s="205" t="s">
        <v>3828</v>
      </c>
      <c r="L338" s="165" t="s">
        <v>3683</v>
      </c>
      <c r="M338" s="73"/>
      <c r="N338" s="171"/>
      <c r="O338" s="169" t="s">
        <v>3684</v>
      </c>
      <c r="P338" s="168" t="s">
        <v>3112</v>
      </c>
      <c r="Q338" s="173"/>
      <c r="R338" s="173"/>
      <c r="S338" s="173"/>
      <c r="T338" s="173"/>
      <c r="U338" s="173"/>
      <c r="V338" s="168" t="s">
        <v>3671</v>
      </c>
      <c r="W338" s="169"/>
      <c r="X338" s="171"/>
    </row>
    <row r="339" ht="15.0" customHeight="1">
      <c r="A339" s="127">
        <v>45461.0</v>
      </c>
      <c r="B339" s="181" t="s">
        <v>3827</v>
      </c>
      <c r="C339" s="56" t="s">
        <v>2934</v>
      </c>
      <c r="D339" s="73" t="str">
        <f>IFERROR(VLOOKUP(C339,Stock,3,FALSE),"")</f>
        <v>Peti Kayu</v>
      </c>
      <c r="E339" s="56">
        <v>1.0</v>
      </c>
      <c r="F339" s="161">
        <v>160000.0</v>
      </c>
      <c r="G339" s="162">
        <f t="shared" si="8"/>
        <v>160000</v>
      </c>
      <c r="H339" s="194"/>
      <c r="I339" s="224">
        <f t="shared" si="5"/>
        <v>160000</v>
      </c>
      <c r="J339" s="164">
        <f t="shared" si="7"/>
        <v>160000</v>
      </c>
      <c r="K339" s="205" t="s">
        <v>3828</v>
      </c>
      <c r="L339" s="165" t="s">
        <v>3683</v>
      </c>
      <c r="M339" s="73"/>
      <c r="N339" s="171"/>
      <c r="O339" s="169" t="s">
        <v>3684</v>
      </c>
      <c r="P339" s="168" t="s">
        <v>3112</v>
      </c>
      <c r="Q339" s="173"/>
      <c r="R339" s="173"/>
      <c r="S339" s="173"/>
      <c r="T339" s="173"/>
      <c r="U339" s="173"/>
      <c r="V339" s="168" t="s">
        <v>3671</v>
      </c>
      <c r="W339" s="169"/>
      <c r="X339" s="171"/>
    </row>
    <row r="340" ht="15.0" customHeight="1">
      <c r="A340" s="127">
        <v>45461.0</v>
      </c>
      <c r="B340" s="181" t="s">
        <v>3829</v>
      </c>
      <c r="C340" s="56" t="s">
        <v>3501</v>
      </c>
      <c r="D340" s="73" t="str">
        <f>IFERROR(VLOOKUP(C340,Stock,3,FALSE),"")</f>
        <v>Honda CR-V 02-06 2nd Gen</v>
      </c>
      <c r="E340" s="56">
        <v>1.0</v>
      </c>
      <c r="F340" s="161">
        <v>1885000.0</v>
      </c>
      <c r="G340" s="162">
        <f t="shared" si="8"/>
        <v>1885000</v>
      </c>
      <c r="H340" s="194"/>
      <c r="I340" s="224">
        <f t="shared" si="5"/>
        <v>1885000</v>
      </c>
      <c r="J340" s="164">
        <f t="shared" si="7"/>
        <v>1885000</v>
      </c>
      <c r="K340" s="56" t="s">
        <v>3830</v>
      </c>
      <c r="L340" s="165" t="s">
        <v>3831</v>
      </c>
      <c r="M340" s="73"/>
      <c r="N340" s="171"/>
      <c r="O340" s="169" t="s">
        <v>2958</v>
      </c>
      <c r="P340" s="168" t="s">
        <v>3112</v>
      </c>
      <c r="Q340" s="173"/>
      <c r="R340" s="173"/>
      <c r="S340" s="167">
        <v>1885000.0</v>
      </c>
      <c r="T340" s="167">
        <v>228605.0</v>
      </c>
      <c r="U340" s="173"/>
      <c r="V340" s="168" t="s">
        <v>3671</v>
      </c>
      <c r="W340" s="169"/>
      <c r="X340" s="171"/>
    </row>
    <row r="341" ht="15.0" customHeight="1">
      <c r="A341" s="127">
        <v>45461.0</v>
      </c>
      <c r="B341" s="181" t="s">
        <v>3829</v>
      </c>
      <c r="C341" s="56" t="s">
        <v>3497</v>
      </c>
      <c r="D341" s="73" t="str">
        <f>IFERROR(VLOOKUP(C341,Stock,3,FALSE),"")</f>
        <v>Honda CR-V 02-04 2nd Gen (Spion Jepit)</v>
      </c>
      <c r="E341" s="56">
        <v>1.0</v>
      </c>
      <c r="F341" s="161">
        <v>1632000.0</v>
      </c>
      <c r="G341" s="162">
        <f t="shared" si="8"/>
        <v>1632000</v>
      </c>
      <c r="H341" s="194"/>
      <c r="I341" s="224">
        <f t="shared" si="5"/>
        <v>1632000</v>
      </c>
      <c r="J341" s="164">
        <f t="shared" si="7"/>
        <v>1632000</v>
      </c>
      <c r="K341" s="56" t="s">
        <v>3830</v>
      </c>
      <c r="L341" s="165" t="s">
        <v>3831</v>
      </c>
      <c r="M341" s="73"/>
      <c r="N341" s="171"/>
      <c r="O341" s="169" t="s">
        <v>2958</v>
      </c>
      <c r="P341" s="168" t="s">
        <v>3112</v>
      </c>
      <c r="Q341" s="173"/>
      <c r="R341" s="173"/>
      <c r="S341" s="167">
        <v>1632000.0</v>
      </c>
      <c r="T341" s="173"/>
      <c r="U341" s="173"/>
      <c r="V341" s="168" t="s">
        <v>3671</v>
      </c>
      <c r="W341" s="169"/>
      <c r="X341" s="171"/>
    </row>
    <row r="342" ht="15.0" customHeight="1">
      <c r="A342" s="127">
        <v>45461.0</v>
      </c>
      <c r="B342" s="181" t="s">
        <v>3829</v>
      </c>
      <c r="C342" s="205" t="s">
        <v>2934</v>
      </c>
      <c r="D342" s="73" t="str">
        <f>IFERROR(VLOOKUP(C342,Stock,3,FALSE),"")</f>
        <v>Peti Kayu</v>
      </c>
      <c r="E342" s="56">
        <v>1.0</v>
      </c>
      <c r="F342" s="161">
        <v>200000.0</v>
      </c>
      <c r="G342" s="162">
        <f t="shared" si="8"/>
        <v>200000</v>
      </c>
      <c r="H342" s="194"/>
      <c r="I342" s="224">
        <f t="shared" si="5"/>
        <v>200000</v>
      </c>
      <c r="J342" s="164">
        <f t="shared" si="7"/>
        <v>200000</v>
      </c>
      <c r="K342" s="56" t="s">
        <v>3830</v>
      </c>
      <c r="L342" s="165" t="s">
        <v>3831</v>
      </c>
      <c r="M342" s="73"/>
      <c r="N342" s="171"/>
      <c r="O342" s="169" t="s">
        <v>2958</v>
      </c>
      <c r="P342" s="168" t="s">
        <v>3112</v>
      </c>
      <c r="Q342" s="173"/>
      <c r="R342" s="167">
        <v>200000.0</v>
      </c>
      <c r="S342" s="173"/>
      <c r="T342" s="173"/>
      <c r="U342" s="173"/>
      <c r="V342" s="168" t="s">
        <v>3671</v>
      </c>
      <c r="W342" s="169"/>
      <c r="X342" s="171"/>
    </row>
    <row r="343" ht="15.0" customHeight="1">
      <c r="A343" s="127">
        <v>45461.0</v>
      </c>
      <c r="B343" s="181" t="s">
        <v>3832</v>
      </c>
      <c r="C343" s="56" t="s">
        <v>3290</v>
      </c>
      <c r="D343" s="73" t="str">
        <f>IFERROR(VLOOKUP(C343,Stock,3,FALSE),"")</f>
        <v>Toyota Innova 04-15 1st Gen</v>
      </c>
      <c r="E343" s="56">
        <v>1.0</v>
      </c>
      <c r="F343" s="161">
        <v>1438000.0</v>
      </c>
      <c r="G343" s="162">
        <f t="shared" si="8"/>
        <v>1438000</v>
      </c>
      <c r="H343" s="194"/>
      <c r="I343" s="224">
        <f t="shared" si="5"/>
        <v>1438000</v>
      </c>
      <c r="J343" s="164">
        <f t="shared" si="7"/>
        <v>1438000</v>
      </c>
      <c r="K343" s="56" t="s">
        <v>3833</v>
      </c>
      <c r="L343" s="165" t="s">
        <v>3834</v>
      </c>
      <c r="M343" s="56" t="s">
        <v>3835</v>
      </c>
      <c r="N343" s="171"/>
      <c r="O343" s="169" t="s">
        <v>2958</v>
      </c>
      <c r="P343" s="168" t="s">
        <v>3112</v>
      </c>
      <c r="Q343" s="173"/>
      <c r="R343" s="167">
        <v>1438000.0</v>
      </c>
      <c r="S343" s="173"/>
      <c r="T343" s="173"/>
      <c r="U343" s="173"/>
      <c r="V343" s="168" t="s">
        <v>3671</v>
      </c>
      <c r="W343" s="169"/>
      <c r="X343" s="171"/>
    </row>
    <row r="344" ht="15.0" customHeight="1">
      <c r="A344" s="127">
        <v>45461.0</v>
      </c>
      <c r="B344" s="181" t="s">
        <v>3836</v>
      </c>
      <c r="C344" s="56" t="s">
        <v>3837</v>
      </c>
      <c r="D344" s="73" t="str">
        <f>IFERROR(VLOOKUP(C344,Stock,3,FALSE),"")</f>
        <v>Toyota Yaris 13- 2nd Gen / Vios 14- 3rd Gen</v>
      </c>
      <c r="E344" s="56">
        <v>1.0</v>
      </c>
      <c r="F344" s="161">
        <v>1719000.0</v>
      </c>
      <c r="G344" s="162">
        <f t="shared" si="8"/>
        <v>1719000</v>
      </c>
      <c r="H344" s="194"/>
      <c r="I344" s="224">
        <f t="shared" si="5"/>
        <v>1719000</v>
      </c>
      <c r="J344" s="164">
        <f t="shared" si="7"/>
        <v>1719000</v>
      </c>
      <c r="K344" s="197" t="s">
        <v>3838</v>
      </c>
      <c r="L344" s="170" t="s">
        <v>3839</v>
      </c>
      <c r="M344" s="56" t="s">
        <v>3840</v>
      </c>
      <c r="N344" s="225" t="s">
        <v>3841</v>
      </c>
      <c r="O344" s="169" t="s">
        <v>3204</v>
      </c>
      <c r="P344" s="168" t="s">
        <v>3112</v>
      </c>
      <c r="Q344" s="173"/>
      <c r="R344" s="167">
        <v>1719000.0</v>
      </c>
      <c r="S344" s="173"/>
      <c r="T344" s="173"/>
      <c r="U344" s="173"/>
      <c r="V344" s="168" t="s">
        <v>3671</v>
      </c>
      <c r="W344" s="169"/>
      <c r="X344" s="171"/>
    </row>
    <row r="345" ht="15.0" customHeight="1">
      <c r="A345" s="127">
        <v>45461.0</v>
      </c>
      <c r="B345" s="181" t="s">
        <v>3836</v>
      </c>
      <c r="C345" s="56" t="s">
        <v>3532</v>
      </c>
      <c r="D345" s="73" t="str">
        <f>IFERROR(VLOOKUP(C345,Stock,3,FALSE),"")</f>
        <v>9092 Sealant Application</v>
      </c>
      <c r="E345" s="56">
        <v>1.0</v>
      </c>
      <c r="F345" s="161">
        <v>200000.0</v>
      </c>
      <c r="G345" s="162">
        <f t="shared" si="8"/>
        <v>200000</v>
      </c>
      <c r="H345" s="194"/>
      <c r="I345" s="224">
        <f t="shared" si="5"/>
        <v>200000</v>
      </c>
      <c r="J345" s="164">
        <f t="shared" si="7"/>
        <v>200000</v>
      </c>
      <c r="K345" s="197" t="s">
        <v>3838</v>
      </c>
      <c r="L345" s="170" t="s">
        <v>3839</v>
      </c>
      <c r="M345" s="56" t="s">
        <v>3840</v>
      </c>
      <c r="N345" s="225" t="s">
        <v>3841</v>
      </c>
      <c r="O345" s="169" t="s">
        <v>3204</v>
      </c>
      <c r="P345" s="168" t="s">
        <v>3112</v>
      </c>
      <c r="Q345" s="173"/>
      <c r="R345" s="167">
        <v>200000.0</v>
      </c>
      <c r="S345" s="173"/>
      <c r="T345" s="173"/>
      <c r="U345" s="173"/>
      <c r="V345" s="168" t="s">
        <v>3671</v>
      </c>
      <c r="W345" s="169"/>
      <c r="X345" s="171"/>
    </row>
    <row r="346" ht="15.0" customHeight="1">
      <c r="A346" s="127">
        <v>45461.0</v>
      </c>
      <c r="B346" s="181" t="s">
        <v>3842</v>
      </c>
      <c r="C346" s="56" t="s">
        <v>3099</v>
      </c>
      <c r="D346" s="73" t="str">
        <f>IFERROR(VLOOKUP(C346,Stock,3,FALSE),"")</f>
        <v>Toyota Calya / Sigra 16-</v>
      </c>
      <c r="E346" s="56">
        <v>1.0</v>
      </c>
      <c r="F346" s="161">
        <v>1149000.0</v>
      </c>
      <c r="G346" s="162">
        <f t="shared" si="8"/>
        <v>1149000</v>
      </c>
      <c r="H346" s="194"/>
      <c r="I346" s="224">
        <f t="shared" si="5"/>
        <v>1149000</v>
      </c>
      <c r="J346" s="164">
        <f t="shared" si="7"/>
        <v>1149000</v>
      </c>
      <c r="K346" s="56" t="s">
        <v>3843</v>
      </c>
      <c r="L346" s="165" t="s">
        <v>3844</v>
      </c>
      <c r="M346" s="56" t="s">
        <v>3845</v>
      </c>
      <c r="N346" s="169" t="s">
        <v>3846</v>
      </c>
      <c r="O346" s="169" t="s">
        <v>2958</v>
      </c>
      <c r="P346" s="168" t="s">
        <v>3847</v>
      </c>
      <c r="Q346" s="173"/>
      <c r="R346" s="167">
        <v>1149000.0</v>
      </c>
      <c r="S346" s="173"/>
      <c r="T346" s="173"/>
      <c r="U346" s="173"/>
      <c r="V346" s="168" t="s">
        <v>3671</v>
      </c>
      <c r="W346" s="169"/>
      <c r="X346" s="171"/>
    </row>
    <row r="347" ht="15.0" customHeight="1">
      <c r="A347" s="127">
        <v>45461.0</v>
      </c>
      <c r="B347" s="181" t="s">
        <v>3848</v>
      </c>
      <c r="C347" s="56" t="s">
        <v>3849</v>
      </c>
      <c r="D347" s="73" t="str">
        <f>IFERROR(VLOOKUP(C347,Stock,3,FALSE),"")</f>
        <v>Hyundai Palisade 20- 1st Gen (tahun 23-)</v>
      </c>
      <c r="E347" s="56">
        <v>1.0</v>
      </c>
      <c r="F347" s="161">
        <v>4838360.0</v>
      </c>
      <c r="G347" s="162">
        <f t="shared" si="8"/>
        <v>4838360</v>
      </c>
      <c r="H347" s="194"/>
      <c r="I347" s="224">
        <f t="shared" si="5"/>
        <v>4838360</v>
      </c>
      <c r="J347" s="164">
        <f t="shared" si="7"/>
        <v>4838360</v>
      </c>
      <c r="K347" s="56" t="s">
        <v>3850</v>
      </c>
      <c r="L347" s="165" t="s">
        <v>3851</v>
      </c>
      <c r="M347" s="73"/>
      <c r="N347" s="169" t="s">
        <v>3852</v>
      </c>
      <c r="O347" s="169" t="s">
        <v>2958</v>
      </c>
      <c r="P347" s="168" t="s">
        <v>3112</v>
      </c>
      <c r="Q347" s="173"/>
      <c r="R347" s="167">
        <v>4838360.0</v>
      </c>
      <c r="S347" s="173"/>
      <c r="T347" s="173"/>
      <c r="U347" s="173"/>
      <c r="V347" s="168" t="s">
        <v>3671</v>
      </c>
      <c r="W347" s="169"/>
      <c r="X347" s="219">
        <v>45474.0</v>
      </c>
    </row>
    <row r="348" ht="15.0" customHeight="1">
      <c r="A348" s="127">
        <v>45461.0</v>
      </c>
      <c r="B348" s="181" t="s">
        <v>3853</v>
      </c>
      <c r="C348" s="56" t="s">
        <v>2784</v>
      </c>
      <c r="D348" s="73" t="str">
        <f>IFERROR(VLOOKUP(C348,Stock,3,FALSE),"")</f>
        <v>Honda City 19- GN</v>
      </c>
      <c r="E348" s="56">
        <v>1.0</v>
      </c>
      <c r="F348" s="161">
        <v>2922000.0</v>
      </c>
      <c r="G348" s="162">
        <f t="shared" si="8"/>
        <v>2922000</v>
      </c>
      <c r="H348" s="194"/>
      <c r="I348" s="224">
        <f t="shared" si="5"/>
        <v>2922000</v>
      </c>
      <c r="J348" s="164">
        <f t="shared" si="7"/>
        <v>2922000</v>
      </c>
      <c r="K348" s="56" t="s">
        <v>3854</v>
      </c>
      <c r="L348" s="165" t="s">
        <v>3855</v>
      </c>
      <c r="M348" s="73"/>
      <c r="N348" s="169" t="s">
        <v>3856</v>
      </c>
      <c r="O348" s="169" t="s">
        <v>2958</v>
      </c>
      <c r="P348" s="168" t="s">
        <v>3112</v>
      </c>
      <c r="Q348" s="173"/>
      <c r="R348" s="167">
        <v>2430000.0</v>
      </c>
      <c r="S348" s="173"/>
      <c r="T348" s="173"/>
      <c r="U348" s="173"/>
      <c r="V348" s="168" t="s">
        <v>3671</v>
      </c>
      <c r="W348" s="169"/>
      <c r="X348" s="171"/>
    </row>
    <row r="349" ht="15.0" customHeight="1">
      <c r="A349" s="127">
        <v>45461.0</v>
      </c>
      <c r="B349" s="181" t="s">
        <v>3853</v>
      </c>
      <c r="C349" s="56" t="s">
        <v>2934</v>
      </c>
      <c r="D349" s="73" t="str">
        <f>IFERROR(VLOOKUP(C349,Stock,3,FALSE),"")</f>
        <v>Peti Kayu</v>
      </c>
      <c r="E349" s="56">
        <v>1.0</v>
      </c>
      <c r="F349" s="161">
        <v>200000.0</v>
      </c>
      <c r="G349" s="162">
        <f t="shared" si="8"/>
        <v>200000</v>
      </c>
      <c r="H349" s="194"/>
      <c r="I349" s="224">
        <f t="shared" si="5"/>
        <v>200000</v>
      </c>
      <c r="J349" s="164">
        <f t="shared" si="7"/>
        <v>200000</v>
      </c>
      <c r="K349" s="56" t="s">
        <v>3854</v>
      </c>
      <c r="L349" s="165" t="s">
        <v>3855</v>
      </c>
      <c r="M349" s="73"/>
      <c r="N349" s="169" t="s">
        <v>3856</v>
      </c>
      <c r="O349" s="169" t="s">
        <v>2958</v>
      </c>
      <c r="P349" s="168" t="s">
        <v>3112</v>
      </c>
      <c r="Q349" s="173"/>
      <c r="R349" s="167">
        <v>1042000.0</v>
      </c>
      <c r="S349" s="173"/>
      <c r="T349" s="173"/>
      <c r="U349" s="173"/>
      <c r="V349" s="168" t="s">
        <v>3671</v>
      </c>
      <c r="W349" s="169"/>
      <c r="X349" s="219">
        <v>45474.0</v>
      </c>
    </row>
    <row r="350" ht="15.0" customHeight="1">
      <c r="A350" s="127">
        <v>45461.0</v>
      </c>
      <c r="B350" s="181" t="s">
        <v>3853</v>
      </c>
      <c r="C350" s="56" t="s">
        <v>2954</v>
      </c>
      <c r="D350" s="73" t="str">
        <f>IFERROR(VLOOKUP(C350,Stock,3,FALSE),"")</f>
        <v>Transport</v>
      </c>
      <c r="E350" s="56">
        <v>1.0</v>
      </c>
      <c r="F350" s="161">
        <v>350000.0</v>
      </c>
      <c r="G350" s="162">
        <f t="shared" si="8"/>
        <v>350000</v>
      </c>
      <c r="H350" s="194"/>
      <c r="I350" s="224">
        <f t="shared" si="5"/>
        <v>350000</v>
      </c>
      <c r="J350" s="164">
        <f t="shared" si="7"/>
        <v>350000</v>
      </c>
      <c r="K350" s="56" t="s">
        <v>3854</v>
      </c>
      <c r="L350" s="165" t="s">
        <v>3855</v>
      </c>
      <c r="M350" s="73"/>
      <c r="N350" s="169" t="s">
        <v>3856</v>
      </c>
      <c r="O350" s="169" t="s">
        <v>2958</v>
      </c>
      <c r="P350" s="168" t="s">
        <v>3112</v>
      </c>
      <c r="Q350" s="173"/>
      <c r="R350" s="173"/>
      <c r="S350" s="173"/>
      <c r="T350" s="173"/>
      <c r="U350" s="173"/>
      <c r="V350" s="168" t="s">
        <v>3671</v>
      </c>
      <c r="W350" s="169"/>
      <c r="X350" s="171"/>
    </row>
    <row r="351" ht="15.0" customHeight="1">
      <c r="A351" s="127">
        <v>45461.0</v>
      </c>
      <c r="B351" s="181" t="s">
        <v>3857</v>
      </c>
      <c r="C351" s="56" t="s">
        <v>2746</v>
      </c>
      <c r="D351" s="73" t="str">
        <f>IFERROR(VLOOKUP(C351,Stock,3,FALSE),"")</f>
        <v>Toyota Fortuner 05-15 1st Gen </v>
      </c>
      <c r="E351" s="56">
        <v>1.0</v>
      </c>
      <c r="F351" s="161">
        <v>1767000.0</v>
      </c>
      <c r="G351" s="162">
        <f t="shared" si="8"/>
        <v>1767000</v>
      </c>
      <c r="H351" s="194"/>
      <c r="I351" s="224">
        <f t="shared" si="5"/>
        <v>1767000</v>
      </c>
      <c r="J351" s="164">
        <f t="shared" si="7"/>
        <v>1767000</v>
      </c>
      <c r="K351" s="56" t="s">
        <v>3392</v>
      </c>
      <c r="L351" s="165" t="s">
        <v>3393</v>
      </c>
      <c r="M351" s="73"/>
      <c r="N351" s="169" t="s">
        <v>3856</v>
      </c>
      <c r="O351" s="169" t="s">
        <v>3858</v>
      </c>
      <c r="P351" s="168" t="s">
        <v>3112</v>
      </c>
      <c r="Q351" s="173"/>
      <c r="R351" s="167">
        <v>1767000.0</v>
      </c>
      <c r="S351" s="173"/>
      <c r="T351" s="173"/>
      <c r="U351" s="173"/>
      <c r="V351" s="168" t="s">
        <v>3671</v>
      </c>
      <c r="W351" s="169"/>
      <c r="X351" s="171"/>
    </row>
    <row r="352" ht="15.0" customHeight="1">
      <c r="A352" s="127">
        <v>45461.0</v>
      </c>
      <c r="B352" s="181" t="s">
        <v>3859</v>
      </c>
      <c r="C352" s="56" t="s">
        <v>3127</v>
      </c>
      <c r="D352" s="73" t="str">
        <f>IFERROR(VLOOKUP(C352,Stock,3,FALSE),"")</f>
        <v>Toyota Avanza / Xenia 03-11 1st Gen</v>
      </c>
      <c r="E352" s="56">
        <v>1.0</v>
      </c>
      <c r="F352" s="161">
        <v>850000.0</v>
      </c>
      <c r="G352" s="162">
        <f t="shared" si="8"/>
        <v>850000</v>
      </c>
      <c r="H352" s="194"/>
      <c r="I352" s="224">
        <f t="shared" si="5"/>
        <v>850000</v>
      </c>
      <c r="J352" s="164">
        <f t="shared" si="7"/>
        <v>850000</v>
      </c>
      <c r="K352" s="56" t="s">
        <v>3860</v>
      </c>
      <c r="L352" s="165" t="s">
        <v>3861</v>
      </c>
      <c r="M352" s="56" t="s">
        <v>3862</v>
      </c>
      <c r="N352" s="169" t="s">
        <v>3863</v>
      </c>
      <c r="O352" s="169" t="s">
        <v>2958</v>
      </c>
      <c r="P352" s="168" t="s">
        <v>3112</v>
      </c>
      <c r="Q352" s="173"/>
      <c r="R352" s="167">
        <v>850000.0</v>
      </c>
      <c r="S352" s="173"/>
      <c r="T352" s="173"/>
      <c r="U352" s="173"/>
      <c r="V352" s="168" t="s">
        <v>3664</v>
      </c>
      <c r="W352" s="169"/>
      <c r="X352" s="171"/>
    </row>
    <row r="353" ht="15.0" customHeight="1">
      <c r="A353" s="127">
        <v>45461.0</v>
      </c>
      <c r="B353" s="181" t="s">
        <v>3864</v>
      </c>
      <c r="C353" s="56" t="s">
        <v>3865</v>
      </c>
      <c r="D353" s="73" t="str">
        <f>IFERROR(VLOOKUP(C353,Stock,3,FALSE),"")</f>
        <v>Mitsubishi Mirage 12-</v>
      </c>
      <c r="E353" s="56">
        <v>1.0</v>
      </c>
      <c r="F353" s="161">
        <v>1693000.0</v>
      </c>
      <c r="G353" s="162">
        <f t="shared" si="8"/>
        <v>1693000</v>
      </c>
      <c r="H353" s="194"/>
      <c r="I353" s="224">
        <f t="shared" si="5"/>
        <v>1693000</v>
      </c>
      <c r="J353" s="164">
        <f t="shared" si="7"/>
        <v>1693000</v>
      </c>
      <c r="K353" s="56" t="s">
        <v>3866</v>
      </c>
      <c r="L353" s="170" t="s">
        <v>3867</v>
      </c>
      <c r="M353" s="56" t="s">
        <v>3868</v>
      </c>
      <c r="N353" s="169" t="s">
        <v>3869</v>
      </c>
      <c r="O353" s="169" t="s">
        <v>2958</v>
      </c>
      <c r="P353" s="168" t="s">
        <v>3112</v>
      </c>
      <c r="Q353" s="173"/>
      <c r="R353" s="167">
        <v>1693000.0</v>
      </c>
      <c r="S353" s="173"/>
      <c r="T353" s="173"/>
      <c r="U353" s="173"/>
      <c r="V353" s="168" t="s">
        <v>3664</v>
      </c>
      <c r="W353" s="169"/>
      <c r="X353" s="171"/>
    </row>
    <row r="354" ht="15.0" customHeight="1">
      <c r="A354" s="127">
        <v>45461.0</v>
      </c>
      <c r="B354" s="181" t="s">
        <v>3864</v>
      </c>
      <c r="C354" s="169" t="s">
        <v>3532</v>
      </c>
      <c r="D354" s="73" t="str">
        <f>IFERROR(VLOOKUP(C354,Stock,3,FALSE),"")</f>
        <v>9092 Sealant Application</v>
      </c>
      <c r="E354" s="56">
        <v>1.0</v>
      </c>
      <c r="F354" s="161">
        <v>200000.0</v>
      </c>
      <c r="G354" s="162">
        <f t="shared" si="8"/>
        <v>200000</v>
      </c>
      <c r="H354" s="194"/>
      <c r="I354" s="224">
        <f t="shared" si="5"/>
        <v>200000</v>
      </c>
      <c r="J354" s="164">
        <f t="shared" si="7"/>
        <v>200000</v>
      </c>
      <c r="K354" s="56" t="s">
        <v>3866</v>
      </c>
      <c r="L354" s="170" t="s">
        <v>3867</v>
      </c>
      <c r="M354" s="56" t="s">
        <v>3868</v>
      </c>
      <c r="N354" s="169" t="s">
        <v>3869</v>
      </c>
      <c r="O354" s="169" t="s">
        <v>2958</v>
      </c>
      <c r="P354" s="168" t="s">
        <v>3112</v>
      </c>
      <c r="Q354" s="173"/>
      <c r="R354" s="167">
        <v>200000.0</v>
      </c>
      <c r="S354" s="173"/>
      <c r="T354" s="173"/>
      <c r="U354" s="173"/>
      <c r="V354" s="168" t="s">
        <v>3664</v>
      </c>
      <c r="W354" s="169"/>
      <c r="X354" s="171"/>
    </row>
    <row r="355" ht="15.0" customHeight="1">
      <c r="A355" s="127">
        <v>45462.0</v>
      </c>
      <c r="B355" s="181" t="s">
        <v>3870</v>
      </c>
      <c r="C355" s="56" t="s">
        <v>3871</v>
      </c>
      <c r="D355" s="73" t="str">
        <f>IFERROR(VLOOKUP(C355,Stock,3,FALSE),"")</f>
        <v>Suzuki Swift 04-11 1st Gen</v>
      </c>
      <c r="E355" s="56">
        <v>1.0</v>
      </c>
      <c r="F355" s="161">
        <v>1694000.0</v>
      </c>
      <c r="G355" s="162">
        <f t="shared" si="8"/>
        <v>1694000</v>
      </c>
      <c r="H355" s="194"/>
      <c r="I355" s="224">
        <f t="shared" si="5"/>
        <v>1694000</v>
      </c>
      <c r="J355" s="164">
        <f t="shared" si="7"/>
        <v>1694000</v>
      </c>
      <c r="K355" s="56" t="s">
        <v>3872</v>
      </c>
      <c r="L355" s="170" t="s">
        <v>3873</v>
      </c>
      <c r="M355" s="56" t="s">
        <v>3874</v>
      </c>
      <c r="N355" s="169" t="s">
        <v>3875</v>
      </c>
      <c r="O355" s="169" t="s">
        <v>2958</v>
      </c>
      <c r="P355" s="168" t="s">
        <v>3112</v>
      </c>
      <c r="Q355" s="173"/>
      <c r="R355" s="167">
        <v>1694000.0</v>
      </c>
      <c r="S355" s="173"/>
      <c r="T355" s="173"/>
      <c r="U355" s="173"/>
      <c r="V355" s="168" t="s">
        <v>3664</v>
      </c>
      <c r="W355" s="169"/>
      <c r="X355" s="171"/>
    </row>
    <row r="356" ht="15.0" customHeight="1">
      <c r="A356" s="127">
        <v>45462.0</v>
      </c>
      <c r="B356" s="181" t="s">
        <v>3870</v>
      </c>
      <c r="C356" s="56" t="s">
        <v>3532</v>
      </c>
      <c r="D356" s="73" t="str">
        <f>IFERROR(VLOOKUP(C356,Stock,3,FALSE),"")</f>
        <v>9092 Sealant Application</v>
      </c>
      <c r="E356" s="56">
        <v>1.0</v>
      </c>
      <c r="F356" s="161">
        <v>200000.0</v>
      </c>
      <c r="G356" s="162">
        <f t="shared" si="8"/>
        <v>200000</v>
      </c>
      <c r="H356" s="194"/>
      <c r="I356" s="224">
        <f t="shared" si="5"/>
        <v>200000</v>
      </c>
      <c r="J356" s="164">
        <f t="shared" si="7"/>
        <v>200000</v>
      </c>
      <c r="K356" s="56" t="s">
        <v>3872</v>
      </c>
      <c r="L356" s="170" t="s">
        <v>3873</v>
      </c>
      <c r="M356" s="56" t="s">
        <v>3874</v>
      </c>
      <c r="N356" s="169" t="s">
        <v>3875</v>
      </c>
      <c r="O356" s="169" t="s">
        <v>2958</v>
      </c>
      <c r="P356" s="168" t="s">
        <v>3112</v>
      </c>
      <c r="Q356" s="173"/>
      <c r="R356" s="167">
        <v>200000.0</v>
      </c>
      <c r="S356" s="173"/>
      <c r="T356" s="173"/>
      <c r="U356" s="173"/>
      <c r="V356" s="168" t="s">
        <v>3664</v>
      </c>
      <c r="W356" s="169"/>
      <c r="X356" s="171"/>
    </row>
    <row r="357" ht="15.0" customHeight="1">
      <c r="A357" s="127">
        <v>45462.0</v>
      </c>
      <c r="B357" s="181" t="s">
        <v>3876</v>
      </c>
      <c r="C357" s="56" t="s">
        <v>3877</v>
      </c>
      <c r="D357" s="73" t="str">
        <f>IFERROR(VLOOKUP(C357,Stock,3,FALSE),"")</f>
        <v>Nissan Livina 13-18 L11 (Lubang)</v>
      </c>
      <c r="E357" s="56">
        <v>1.0</v>
      </c>
      <c r="F357" s="161">
        <v>1255000.0</v>
      </c>
      <c r="G357" s="162">
        <f t="shared" si="8"/>
        <v>1255000</v>
      </c>
      <c r="H357" s="194"/>
      <c r="I357" s="224">
        <f t="shared" si="5"/>
        <v>1255000</v>
      </c>
      <c r="J357" s="164">
        <f t="shared" si="7"/>
        <v>1255000</v>
      </c>
      <c r="K357" s="56" t="s">
        <v>3279</v>
      </c>
      <c r="L357" s="165" t="s">
        <v>3878</v>
      </c>
      <c r="M357" s="56" t="s">
        <v>3879</v>
      </c>
      <c r="N357" s="171"/>
      <c r="O357" s="169" t="s">
        <v>2958</v>
      </c>
      <c r="P357" s="168" t="s">
        <v>3112</v>
      </c>
      <c r="Q357" s="173"/>
      <c r="R357" s="167">
        <v>1255000.0</v>
      </c>
      <c r="S357" s="173"/>
      <c r="T357" s="173"/>
      <c r="U357" s="173"/>
      <c r="V357" s="168" t="s">
        <v>3664</v>
      </c>
      <c r="W357" s="169"/>
      <c r="X357" s="171"/>
    </row>
    <row r="358" ht="15.0" customHeight="1">
      <c r="A358" s="127">
        <v>45463.0</v>
      </c>
      <c r="B358" s="181" t="s">
        <v>3880</v>
      </c>
      <c r="C358" s="56" t="s">
        <v>3376</v>
      </c>
      <c r="D358" s="73" t="str">
        <f>IFERROR(VLOOKUP(C358,Stock,3,FALSE),"")</f>
        <v>Toyota Hi-Ace 04-20 Commuter</v>
      </c>
      <c r="E358" s="56">
        <v>1.0</v>
      </c>
      <c r="F358" s="161">
        <v>918000.0</v>
      </c>
      <c r="G358" s="162">
        <f t="shared" si="8"/>
        <v>918000</v>
      </c>
      <c r="H358" s="194"/>
      <c r="I358" s="224">
        <f t="shared" si="5"/>
        <v>918000</v>
      </c>
      <c r="J358" s="164">
        <f t="shared" si="7"/>
        <v>918000</v>
      </c>
      <c r="K358" s="56" t="s">
        <v>3881</v>
      </c>
      <c r="L358" s="165" t="s">
        <v>3882</v>
      </c>
      <c r="M358" s="73"/>
      <c r="N358" s="171"/>
      <c r="O358" s="169" t="s">
        <v>2958</v>
      </c>
      <c r="P358" s="168" t="s">
        <v>3112</v>
      </c>
      <c r="Q358" s="167">
        <v>918000.0</v>
      </c>
      <c r="R358" s="173"/>
      <c r="S358" s="173"/>
      <c r="T358" s="173"/>
      <c r="U358" s="173"/>
      <c r="V358" s="168" t="s">
        <v>3883</v>
      </c>
      <c r="W358" s="169"/>
      <c r="X358" s="219">
        <v>45463.0</v>
      </c>
    </row>
    <row r="359" ht="15.0" customHeight="1">
      <c r="A359" s="218">
        <v>45463.0</v>
      </c>
      <c r="B359" s="181" t="s">
        <v>3884</v>
      </c>
      <c r="C359" s="56" t="s">
        <v>2692</v>
      </c>
      <c r="D359" s="73" t="str">
        <f>IFERROR(VLOOKUP(C359,Stock,3,FALSE),"")</f>
        <v>Suzuki Ertiga 18- 2nd Gen / XL7</v>
      </c>
      <c r="E359" s="56">
        <v>1.0</v>
      </c>
      <c r="F359" s="161">
        <v>1554000.0</v>
      </c>
      <c r="G359" s="162">
        <f t="shared" si="8"/>
        <v>1554000</v>
      </c>
      <c r="H359" s="194"/>
      <c r="I359" s="224">
        <f t="shared" si="5"/>
        <v>1554000</v>
      </c>
      <c r="J359" s="164">
        <f t="shared" si="7"/>
        <v>1554000</v>
      </c>
      <c r="K359" s="56" t="s">
        <v>3885</v>
      </c>
      <c r="L359" s="165" t="s">
        <v>3886</v>
      </c>
      <c r="M359" s="73"/>
      <c r="N359" s="169" t="s">
        <v>3887</v>
      </c>
      <c r="O359" s="169" t="s">
        <v>2958</v>
      </c>
      <c r="P359" s="168" t="s">
        <v>3112</v>
      </c>
      <c r="Q359" s="173"/>
      <c r="R359" s="167">
        <v>1554000.0</v>
      </c>
      <c r="S359" s="173"/>
      <c r="T359" s="173"/>
      <c r="U359" s="173"/>
      <c r="V359" s="168" t="s">
        <v>3883</v>
      </c>
      <c r="W359" s="169"/>
      <c r="X359" s="171"/>
    </row>
    <row r="360" ht="15.0" customHeight="1">
      <c r="A360" s="218">
        <v>45464.0</v>
      </c>
      <c r="B360" s="181" t="s">
        <v>3888</v>
      </c>
      <c r="C360" s="56" t="s">
        <v>3889</v>
      </c>
      <c r="D360" s="73" t="str">
        <f>IFERROR(VLOOKUP(C360,Stock,3,FALSE),"")</f>
        <v>Toyota LandCruiser Prado FJ150W 09-</v>
      </c>
      <c r="E360" s="56">
        <v>1.0</v>
      </c>
      <c r="F360" s="161">
        <v>3176000.0</v>
      </c>
      <c r="G360" s="162">
        <f t="shared" si="8"/>
        <v>3176000</v>
      </c>
      <c r="H360" s="194"/>
      <c r="I360" s="224">
        <f t="shared" si="5"/>
        <v>3176000</v>
      </c>
      <c r="J360" s="164">
        <f t="shared" si="7"/>
        <v>3176000</v>
      </c>
      <c r="K360" s="56" t="s">
        <v>2961</v>
      </c>
      <c r="L360" s="165" t="s">
        <v>3890</v>
      </c>
      <c r="M360" s="73"/>
      <c r="N360" s="171"/>
      <c r="O360" s="169" t="s">
        <v>3891</v>
      </c>
      <c r="P360" s="168" t="s">
        <v>2922</v>
      </c>
      <c r="Q360" s="173"/>
      <c r="R360" s="173"/>
      <c r="S360" s="167">
        <v>3176000.0</v>
      </c>
      <c r="T360" s="172">
        <v>206440.0</v>
      </c>
      <c r="U360" s="173"/>
      <c r="V360" s="168" t="s">
        <v>3664</v>
      </c>
      <c r="W360" s="169"/>
      <c r="X360" s="171"/>
    </row>
    <row r="361" ht="15.0" customHeight="1">
      <c r="A361" s="218">
        <v>45464.0</v>
      </c>
      <c r="B361" s="181" t="s">
        <v>3892</v>
      </c>
      <c r="C361" s="40" t="s">
        <v>2934</v>
      </c>
      <c r="D361" s="73" t="str">
        <f>IFERROR(VLOOKUP(C361,Stock,3,FALSE),"")</f>
        <v>Peti Kayu</v>
      </c>
      <c r="E361" s="56">
        <v>1.0</v>
      </c>
      <c r="F361" s="161">
        <v>160000.0</v>
      </c>
      <c r="G361" s="162">
        <f t="shared" si="8"/>
        <v>160000</v>
      </c>
      <c r="H361" s="194"/>
      <c r="I361" s="224">
        <f t="shared" si="5"/>
        <v>160000</v>
      </c>
      <c r="J361" s="164">
        <f t="shared" si="7"/>
        <v>160000</v>
      </c>
      <c r="K361" s="56" t="s">
        <v>2961</v>
      </c>
      <c r="L361" s="165" t="s">
        <v>3890</v>
      </c>
      <c r="M361" s="73"/>
      <c r="N361" s="171"/>
      <c r="O361" s="169" t="s">
        <v>3891</v>
      </c>
      <c r="P361" s="168" t="s">
        <v>2922</v>
      </c>
      <c r="Q361" s="173"/>
      <c r="R361" s="173"/>
      <c r="S361" s="167">
        <v>160000.0</v>
      </c>
      <c r="T361" s="172">
        <v>10400.0</v>
      </c>
      <c r="U361" s="173"/>
      <c r="V361" s="168" t="s">
        <v>3664</v>
      </c>
      <c r="W361" s="169"/>
      <c r="X361" s="171"/>
    </row>
    <row r="362" ht="15.0" customHeight="1">
      <c r="A362" s="218">
        <v>45464.0</v>
      </c>
      <c r="B362" s="181" t="s">
        <v>3893</v>
      </c>
      <c r="C362" s="56" t="s">
        <v>3638</v>
      </c>
      <c r="D362" s="73" t="str">
        <f>IFERROR(VLOOKUP(C362,Stock,3,FALSE),"")</f>
        <v>Mitsubishi Xpander 17-21</v>
      </c>
      <c r="E362" s="56">
        <v>1.0</v>
      </c>
      <c r="F362" s="161">
        <v>812000.0</v>
      </c>
      <c r="G362" s="162">
        <f t="shared" si="8"/>
        <v>812000</v>
      </c>
      <c r="H362" s="194"/>
      <c r="I362" s="224">
        <f t="shared" si="5"/>
        <v>812000</v>
      </c>
      <c r="J362" s="164">
        <f t="shared" si="7"/>
        <v>812000</v>
      </c>
      <c r="K362" s="56" t="s">
        <v>3894</v>
      </c>
      <c r="L362" s="165" t="s">
        <v>3895</v>
      </c>
      <c r="M362" s="73"/>
      <c r="N362" s="169" t="s">
        <v>3896</v>
      </c>
      <c r="O362" s="169" t="s">
        <v>3184</v>
      </c>
      <c r="P362" s="168" t="s">
        <v>3847</v>
      </c>
      <c r="Q362" s="173"/>
      <c r="R362" s="167">
        <v>812000.0</v>
      </c>
      <c r="S362" s="173"/>
      <c r="T362" s="173"/>
      <c r="U362" s="173"/>
      <c r="V362" s="168" t="s">
        <v>3883</v>
      </c>
      <c r="W362" s="169"/>
      <c r="X362" s="171"/>
    </row>
    <row r="363" ht="15.0" customHeight="1">
      <c r="A363" s="218">
        <v>45464.0</v>
      </c>
      <c r="B363" s="181" t="s">
        <v>3897</v>
      </c>
      <c r="C363" s="56" t="s">
        <v>3898</v>
      </c>
      <c r="D363" s="73" t="str">
        <f>IFERROR(VLOOKUP(C363,Stock,3,FALSE),"")</f>
        <v>Suzuki Ertiga 18- 2nd Gen / XL7</v>
      </c>
      <c r="E363" s="56">
        <v>1.0</v>
      </c>
      <c r="F363" s="161">
        <v>1022000.0</v>
      </c>
      <c r="G363" s="162">
        <f t="shared" si="8"/>
        <v>1022000</v>
      </c>
      <c r="H363" s="194"/>
      <c r="I363" s="224">
        <f t="shared" si="5"/>
        <v>1022000</v>
      </c>
      <c r="J363" s="164">
        <f t="shared" si="7"/>
        <v>1022000</v>
      </c>
      <c r="K363" s="56" t="s">
        <v>3899</v>
      </c>
      <c r="L363" s="170" t="s">
        <v>3900</v>
      </c>
      <c r="M363" s="73"/>
      <c r="N363" s="169" t="s">
        <v>3901</v>
      </c>
      <c r="O363" s="169" t="s">
        <v>3902</v>
      </c>
      <c r="P363" s="168" t="s">
        <v>3112</v>
      </c>
      <c r="Q363" s="173"/>
      <c r="R363" s="167">
        <v>1022000.0</v>
      </c>
      <c r="S363" s="173"/>
      <c r="T363" s="173"/>
      <c r="U363" s="173"/>
      <c r="V363" s="168" t="s">
        <v>3883</v>
      </c>
      <c r="W363" s="169"/>
      <c r="X363" s="171"/>
    </row>
    <row r="364" ht="15.0" customHeight="1">
      <c r="A364" s="218">
        <v>45464.0</v>
      </c>
      <c r="B364" s="181" t="s">
        <v>3903</v>
      </c>
      <c r="C364" s="56" t="s">
        <v>2734</v>
      </c>
      <c r="D364" s="73" t="str">
        <f>IFERROR(VLOOKUP(C364,Stock,3,FALSE),"")</f>
        <v>Honda Jazz 07-13 2nd Gen</v>
      </c>
      <c r="E364" s="56">
        <v>1.0</v>
      </c>
      <c r="F364" s="161">
        <v>1818000.0</v>
      </c>
      <c r="G364" s="162">
        <f t="shared" si="8"/>
        <v>1818000</v>
      </c>
      <c r="H364" s="194"/>
      <c r="I364" s="224">
        <f t="shared" si="5"/>
        <v>1818000</v>
      </c>
      <c r="J364" s="164">
        <f t="shared" si="7"/>
        <v>1818000</v>
      </c>
      <c r="K364" s="56" t="s">
        <v>3904</v>
      </c>
      <c r="L364" s="165" t="s">
        <v>3905</v>
      </c>
      <c r="M364" s="73"/>
      <c r="N364" s="169" t="s">
        <v>3906</v>
      </c>
      <c r="O364" s="169" t="s">
        <v>3213</v>
      </c>
      <c r="P364" s="168" t="s">
        <v>3112</v>
      </c>
      <c r="Q364" s="173"/>
      <c r="R364" s="167">
        <v>1818000.0</v>
      </c>
      <c r="S364" s="173"/>
      <c r="T364" s="173"/>
      <c r="U364" s="173"/>
      <c r="V364" s="168" t="s">
        <v>3883</v>
      </c>
      <c r="W364" s="169"/>
      <c r="X364" s="171"/>
    </row>
    <row r="365" ht="15.0" customHeight="1">
      <c r="A365" s="218">
        <v>45464.0</v>
      </c>
      <c r="B365" s="181" t="s">
        <v>3907</v>
      </c>
      <c r="C365" s="56" t="s">
        <v>3795</v>
      </c>
      <c r="D365" s="73" t="str">
        <f>IFERROR(VLOOKUP(C365,Stock,3,FALSE),"")</f>
        <v>Toyota Innova 04-15 1st Gen</v>
      </c>
      <c r="E365" s="56">
        <v>1.0</v>
      </c>
      <c r="F365" s="161">
        <v>1322000.0</v>
      </c>
      <c r="G365" s="162">
        <f t="shared" si="8"/>
        <v>1322000</v>
      </c>
      <c r="H365" s="194"/>
      <c r="I365" s="224">
        <f t="shared" si="5"/>
        <v>1322000</v>
      </c>
      <c r="J365" s="164">
        <f t="shared" si="7"/>
        <v>1322000</v>
      </c>
      <c r="K365" s="56" t="s">
        <v>3908</v>
      </c>
      <c r="L365" s="165" t="s">
        <v>3909</v>
      </c>
      <c r="M365" s="73"/>
      <c r="N365" s="169" t="s">
        <v>3910</v>
      </c>
      <c r="O365" s="169" t="s">
        <v>3547</v>
      </c>
      <c r="P365" s="168" t="s">
        <v>3112</v>
      </c>
      <c r="Q365" s="167">
        <v>1322000.0</v>
      </c>
      <c r="R365" s="173"/>
      <c r="S365" s="173"/>
      <c r="T365" s="173"/>
      <c r="U365" s="173"/>
      <c r="V365" s="168" t="s">
        <v>3883</v>
      </c>
      <c r="W365" s="169"/>
      <c r="X365" s="219">
        <v>45464.0</v>
      </c>
    </row>
    <row r="366" ht="15.0" customHeight="1">
      <c r="A366" s="218">
        <v>45465.0</v>
      </c>
      <c r="B366" s="181" t="s">
        <v>3911</v>
      </c>
      <c r="C366" s="56" t="s">
        <v>2631</v>
      </c>
      <c r="D366" s="73" t="str">
        <f>IFERROR(VLOOKUP(C366,Stock,3,FALSE),"")</f>
        <v>Suzuki Baleno 15-21</v>
      </c>
      <c r="E366" s="56">
        <v>1.0</v>
      </c>
      <c r="F366" s="161">
        <v>1618000.0</v>
      </c>
      <c r="G366" s="162">
        <f t="shared" si="8"/>
        <v>1618000</v>
      </c>
      <c r="H366" s="194"/>
      <c r="I366" s="224">
        <f t="shared" si="5"/>
        <v>1618000</v>
      </c>
      <c r="J366" s="164">
        <f t="shared" si="7"/>
        <v>1618000</v>
      </c>
      <c r="K366" s="56" t="s">
        <v>3912</v>
      </c>
      <c r="L366" s="165" t="s">
        <v>3913</v>
      </c>
      <c r="M366" s="73"/>
      <c r="N366" s="169" t="s">
        <v>3914</v>
      </c>
      <c r="O366" s="169" t="s">
        <v>2958</v>
      </c>
      <c r="P366" s="168" t="s">
        <v>3112</v>
      </c>
      <c r="Q366" s="173"/>
      <c r="R366" s="167">
        <v>1618000.0</v>
      </c>
      <c r="S366" s="173"/>
      <c r="T366" s="173"/>
      <c r="U366" s="173"/>
      <c r="V366" s="168" t="s">
        <v>3883</v>
      </c>
      <c r="W366" s="169"/>
      <c r="X366" s="171"/>
    </row>
    <row r="367" ht="15.0" customHeight="1">
      <c r="A367" s="218">
        <v>45465.0</v>
      </c>
      <c r="B367" s="181" t="s">
        <v>3911</v>
      </c>
      <c r="C367" s="56" t="s">
        <v>3532</v>
      </c>
      <c r="D367" s="73" t="str">
        <f>IFERROR(VLOOKUP(C367,Stock,3,FALSE),"")</f>
        <v>9092 Sealant Application</v>
      </c>
      <c r="E367" s="56">
        <v>1.0</v>
      </c>
      <c r="F367" s="161">
        <v>200000.0</v>
      </c>
      <c r="G367" s="162">
        <f t="shared" si="8"/>
        <v>200000</v>
      </c>
      <c r="H367" s="194"/>
      <c r="I367" s="224">
        <f t="shared" si="5"/>
        <v>200000</v>
      </c>
      <c r="J367" s="164">
        <f t="shared" si="7"/>
        <v>200000</v>
      </c>
      <c r="K367" s="56" t="s">
        <v>3912</v>
      </c>
      <c r="L367" s="165" t="s">
        <v>3913</v>
      </c>
      <c r="M367" s="73"/>
      <c r="N367" s="169" t="s">
        <v>3914</v>
      </c>
      <c r="O367" s="169" t="s">
        <v>2958</v>
      </c>
      <c r="P367" s="168" t="s">
        <v>3112</v>
      </c>
      <c r="Q367" s="173"/>
      <c r="R367" s="167">
        <v>200000.0</v>
      </c>
      <c r="S367" s="173"/>
      <c r="T367" s="173"/>
      <c r="U367" s="173"/>
      <c r="V367" s="168" t="s">
        <v>3883</v>
      </c>
      <c r="W367" s="169"/>
      <c r="X367" s="171"/>
    </row>
    <row r="368" ht="15.0" customHeight="1">
      <c r="A368" s="127">
        <v>45465.0</v>
      </c>
      <c r="B368" s="181" t="s">
        <v>3915</v>
      </c>
      <c r="C368" s="56" t="s">
        <v>3707</v>
      </c>
      <c r="D368" s="73" t="str">
        <f>IFERROR(VLOOKUP(C368,Stock,3,FALSE),"")</f>
        <v>Mitsubishi Pajero 16-</v>
      </c>
      <c r="E368" s="56">
        <v>1.0</v>
      </c>
      <c r="F368" s="161">
        <v>1580000.0</v>
      </c>
      <c r="G368" s="162">
        <f t="shared" si="8"/>
        <v>1580000</v>
      </c>
      <c r="H368" s="194"/>
      <c r="I368" s="224">
        <f t="shared" si="5"/>
        <v>1580000</v>
      </c>
      <c r="J368" s="164">
        <f t="shared" si="7"/>
        <v>1580000</v>
      </c>
      <c r="K368" s="56" t="s">
        <v>3916</v>
      </c>
      <c r="L368" s="170" t="s">
        <v>3917</v>
      </c>
      <c r="M368" s="73"/>
      <c r="N368" s="223" t="s">
        <v>3918</v>
      </c>
      <c r="O368" s="169" t="s">
        <v>3184</v>
      </c>
      <c r="P368" s="168" t="s">
        <v>3112</v>
      </c>
      <c r="Q368" s="173"/>
      <c r="R368" s="167">
        <v>1580000.0</v>
      </c>
      <c r="S368" s="173"/>
      <c r="T368" s="173"/>
      <c r="U368" s="173"/>
      <c r="V368" s="168" t="s">
        <v>3883</v>
      </c>
      <c r="W368" s="169"/>
      <c r="X368" s="171"/>
    </row>
    <row r="369" ht="15.0" customHeight="1">
      <c r="A369" s="127">
        <v>45465.0</v>
      </c>
      <c r="B369" s="181" t="s">
        <v>3919</v>
      </c>
      <c r="C369" s="56" t="s">
        <v>2693</v>
      </c>
      <c r="D369" s="73" t="str">
        <f>IFERROR(VLOOKUP(C369,Stock,3,FALSE),"")</f>
        <v>Nissan X-Trail 01-07 T30</v>
      </c>
      <c r="E369" s="56">
        <v>1.0</v>
      </c>
      <c r="F369" s="161">
        <v>1882000.0</v>
      </c>
      <c r="G369" s="162">
        <f t="shared" si="8"/>
        <v>1882000</v>
      </c>
      <c r="H369" s="194"/>
      <c r="I369" s="224">
        <f t="shared" si="5"/>
        <v>1882000</v>
      </c>
      <c r="J369" s="164">
        <f t="shared" si="7"/>
        <v>1882000</v>
      </c>
      <c r="K369" s="56" t="s">
        <v>3920</v>
      </c>
      <c r="L369" s="165" t="s">
        <v>3921</v>
      </c>
      <c r="M369" s="73"/>
      <c r="N369" s="169" t="s">
        <v>3922</v>
      </c>
      <c r="O369" s="169" t="s">
        <v>2958</v>
      </c>
      <c r="P369" s="168" t="s">
        <v>3112</v>
      </c>
      <c r="Q369" s="173"/>
      <c r="R369" s="167">
        <v>1882000.0</v>
      </c>
      <c r="S369" s="173"/>
      <c r="T369" s="173"/>
      <c r="U369" s="173"/>
      <c r="V369" s="168" t="s">
        <v>3664</v>
      </c>
      <c r="W369" s="169"/>
      <c r="X369" s="171"/>
    </row>
    <row r="370" ht="15.0" customHeight="1">
      <c r="A370" s="127">
        <v>45465.0</v>
      </c>
      <c r="B370" s="181" t="s">
        <v>3923</v>
      </c>
      <c r="C370" s="56" t="s">
        <v>3924</v>
      </c>
      <c r="D370" s="73" t="str">
        <f>IFERROR(VLOOKUP(C370,Stock,3,FALSE),"")</f>
        <v>Nissan X-Trail 07-13 T31</v>
      </c>
      <c r="E370" s="56">
        <v>1.0</v>
      </c>
      <c r="F370" s="161">
        <v>1578000.0</v>
      </c>
      <c r="G370" s="162">
        <f t="shared" si="8"/>
        <v>1578000</v>
      </c>
      <c r="H370" s="194"/>
      <c r="I370" s="224">
        <f t="shared" si="5"/>
        <v>1578000</v>
      </c>
      <c r="J370" s="164">
        <f t="shared" si="7"/>
        <v>1578000</v>
      </c>
      <c r="K370" s="56" t="s">
        <v>3925</v>
      </c>
      <c r="L370" s="165" t="s">
        <v>3926</v>
      </c>
      <c r="M370" s="73"/>
      <c r="N370" s="171"/>
      <c r="O370" s="169" t="s">
        <v>3927</v>
      </c>
      <c r="P370" s="168" t="s">
        <v>3112</v>
      </c>
      <c r="Q370" s="173"/>
      <c r="R370" s="167">
        <v>1578000.0</v>
      </c>
      <c r="S370" s="173"/>
      <c r="T370" s="173"/>
      <c r="U370" s="173"/>
      <c r="V370" s="168" t="s">
        <v>3883</v>
      </c>
      <c r="W370" s="169"/>
      <c r="X370" s="171"/>
    </row>
    <row r="371" ht="15.0" customHeight="1">
      <c r="A371" s="127">
        <v>45465.0</v>
      </c>
      <c r="B371" s="181" t="s">
        <v>3923</v>
      </c>
      <c r="C371" s="56" t="s">
        <v>2934</v>
      </c>
      <c r="D371" s="73" t="str">
        <f>IFERROR(VLOOKUP(C371,Stock,3,FALSE),"")</f>
        <v>Peti Kayu</v>
      </c>
      <c r="E371" s="56">
        <v>1.0</v>
      </c>
      <c r="F371" s="161">
        <v>160000.0</v>
      </c>
      <c r="G371" s="162">
        <f t="shared" si="8"/>
        <v>160000</v>
      </c>
      <c r="H371" s="194"/>
      <c r="I371" s="224">
        <f t="shared" si="5"/>
        <v>160000</v>
      </c>
      <c r="J371" s="164">
        <f t="shared" si="7"/>
        <v>160000</v>
      </c>
      <c r="K371" s="56" t="s">
        <v>3925</v>
      </c>
      <c r="L371" s="165" t="s">
        <v>3928</v>
      </c>
      <c r="M371" s="73"/>
      <c r="N371" s="171"/>
      <c r="O371" s="169" t="s">
        <v>3927</v>
      </c>
      <c r="P371" s="168" t="s">
        <v>3112</v>
      </c>
      <c r="Q371" s="173"/>
      <c r="R371" s="167">
        <v>160000.0</v>
      </c>
      <c r="S371" s="173"/>
      <c r="T371" s="173"/>
      <c r="U371" s="173"/>
      <c r="V371" s="168" t="s">
        <v>3883</v>
      </c>
      <c r="W371" s="169"/>
      <c r="X371" s="171"/>
    </row>
    <row r="372" ht="15.0" customHeight="1">
      <c r="A372" s="127">
        <v>45465.0</v>
      </c>
      <c r="B372" s="181" t="s">
        <v>3923</v>
      </c>
      <c r="C372" s="56" t="s">
        <v>2954</v>
      </c>
      <c r="D372" s="73" t="str">
        <f>IFERROR(VLOOKUP(C372,Stock,3,FALSE),"")</f>
        <v>Transport</v>
      </c>
      <c r="E372" s="56">
        <v>1.0</v>
      </c>
      <c r="F372" s="161">
        <v>50000.0</v>
      </c>
      <c r="G372" s="162">
        <f t="shared" si="8"/>
        <v>50000</v>
      </c>
      <c r="H372" s="194"/>
      <c r="I372" s="224">
        <f t="shared" si="5"/>
        <v>50000</v>
      </c>
      <c r="J372" s="164">
        <f t="shared" si="7"/>
        <v>50000</v>
      </c>
      <c r="K372" s="56" t="s">
        <v>3925</v>
      </c>
      <c r="L372" s="165" t="s">
        <v>3928</v>
      </c>
      <c r="M372" s="73"/>
      <c r="N372" s="171"/>
      <c r="O372" s="169" t="s">
        <v>3927</v>
      </c>
      <c r="P372" s="168" t="s">
        <v>3112</v>
      </c>
      <c r="Q372" s="173"/>
      <c r="R372" s="167">
        <v>50000.0</v>
      </c>
      <c r="S372" s="173"/>
      <c r="T372" s="173"/>
      <c r="U372" s="173"/>
      <c r="V372" s="168" t="s">
        <v>3883</v>
      </c>
      <c r="W372" s="169"/>
      <c r="X372" s="171"/>
    </row>
    <row r="373" ht="15.0" customHeight="1">
      <c r="A373" s="127">
        <v>45466.0</v>
      </c>
      <c r="B373" s="181" t="s">
        <v>3929</v>
      </c>
      <c r="C373" s="56" t="s">
        <v>2549</v>
      </c>
      <c r="D373" s="73" t="str">
        <f>IFERROR(VLOOKUP(C373,Stock,3,FALSE),"")</f>
        <v>Toyota Avanza / Xenia 11-15 2nd Gen</v>
      </c>
      <c r="E373" s="56">
        <v>1.0</v>
      </c>
      <c r="F373" s="161">
        <v>1020000.0</v>
      </c>
      <c r="G373" s="162">
        <f t="shared" si="8"/>
        <v>1020000</v>
      </c>
      <c r="H373" s="194"/>
      <c r="I373" s="224">
        <f t="shared" si="5"/>
        <v>1020000</v>
      </c>
      <c r="J373" s="164">
        <f t="shared" si="7"/>
        <v>1020000</v>
      </c>
      <c r="K373" s="56" t="s">
        <v>3930</v>
      </c>
      <c r="L373" s="207" t="s">
        <v>3931</v>
      </c>
      <c r="M373" s="73"/>
      <c r="N373" s="169" t="s">
        <v>3932</v>
      </c>
      <c r="O373" s="169" t="s">
        <v>3213</v>
      </c>
      <c r="P373" s="168" t="s">
        <v>3112</v>
      </c>
      <c r="Q373" s="167">
        <v>1020000.0</v>
      </c>
      <c r="R373" s="173"/>
      <c r="S373" s="173"/>
      <c r="T373" s="173"/>
      <c r="U373" s="173"/>
      <c r="V373" s="168" t="s">
        <v>3883</v>
      </c>
      <c r="W373" s="169"/>
      <c r="X373" s="219">
        <v>45466.0</v>
      </c>
    </row>
    <row r="374" ht="15.0" customHeight="1">
      <c r="A374" s="127">
        <v>45466.0</v>
      </c>
      <c r="B374" s="181" t="s">
        <v>3929</v>
      </c>
      <c r="C374" s="56" t="s">
        <v>3826</v>
      </c>
      <c r="D374" s="73" t="str">
        <f>IFERROR(VLOOKUP(C374,Stock,3,FALSE),"")</f>
        <v>List Kaca Depan Code 11</v>
      </c>
      <c r="E374" s="56">
        <v>1.0</v>
      </c>
      <c r="F374" s="161">
        <v>275000.0</v>
      </c>
      <c r="G374" s="162">
        <f t="shared" si="8"/>
        <v>275000</v>
      </c>
      <c r="H374" s="194"/>
      <c r="I374" s="224">
        <f t="shared" si="5"/>
        <v>275000</v>
      </c>
      <c r="J374" s="164">
        <f t="shared" si="7"/>
        <v>275000</v>
      </c>
      <c r="K374" s="56" t="s">
        <v>3930</v>
      </c>
      <c r="L374" s="207" t="s">
        <v>3931</v>
      </c>
      <c r="M374" s="73"/>
      <c r="N374" s="169" t="s">
        <v>3932</v>
      </c>
      <c r="O374" s="169" t="s">
        <v>3213</v>
      </c>
      <c r="P374" s="168" t="s">
        <v>3112</v>
      </c>
      <c r="Q374" s="167">
        <v>275000.0</v>
      </c>
      <c r="R374" s="173"/>
      <c r="S374" s="173"/>
      <c r="T374" s="173"/>
      <c r="U374" s="173"/>
      <c r="V374" s="168" t="s">
        <v>3883</v>
      </c>
      <c r="W374" s="169"/>
      <c r="X374" s="219">
        <v>45466.0</v>
      </c>
    </row>
    <row r="375" ht="15.0" customHeight="1">
      <c r="A375" s="127">
        <v>45466.0</v>
      </c>
      <c r="B375" s="181" t="s">
        <v>3929</v>
      </c>
      <c r="C375" s="181" t="s">
        <v>3513</v>
      </c>
      <c r="D375" s="73" t="str">
        <f>IFERROR(VLOOKUP(C375,Stock,3,FALSE),"")</f>
        <v>Lembur</v>
      </c>
      <c r="E375" s="56">
        <v>1.0</v>
      </c>
      <c r="F375" s="161">
        <v>100000.0</v>
      </c>
      <c r="G375" s="162">
        <f t="shared" si="8"/>
        <v>100000</v>
      </c>
      <c r="H375" s="194"/>
      <c r="I375" s="224">
        <f t="shared" si="5"/>
        <v>100000</v>
      </c>
      <c r="J375" s="164">
        <f t="shared" si="7"/>
        <v>100000</v>
      </c>
      <c r="K375" s="56" t="s">
        <v>3930</v>
      </c>
      <c r="L375" s="207" t="s">
        <v>3931</v>
      </c>
      <c r="M375" s="73"/>
      <c r="N375" s="169" t="s">
        <v>3932</v>
      </c>
      <c r="O375" s="169" t="s">
        <v>3213</v>
      </c>
      <c r="P375" s="168" t="s">
        <v>3112</v>
      </c>
      <c r="Q375" s="167"/>
      <c r="R375" s="167">
        <v>100000.0</v>
      </c>
      <c r="S375" s="173"/>
      <c r="T375" s="173"/>
      <c r="U375" s="173"/>
      <c r="V375" s="168" t="s">
        <v>3883</v>
      </c>
      <c r="W375" s="169"/>
      <c r="X375" s="219">
        <v>45466.0</v>
      </c>
    </row>
    <row r="376" ht="15.0" customHeight="1">
      <c r="A376" s="127">
        <v>45467.0</v>
      </c>
      <c r="B376" s="181" t="s">
        <v>3933</v>
      </c>
      <c r="C376" s="56" t="s">
        <v>3934</v>
      </c>
      <c r="D376" s="73" t="str">
        <f>IFERROR(VLOOKUP(C376,Stock,3,FALSE),"")</f>
        <v>Toyota Avanza / Xenia 11-15 2nd Gen / 15-21 3rd Gen</v>
      </c>
      <c r="E376" s="56">
        <v>1.0</v>
      </c>
      <c r="F376" s="161">
        <v>450000.0</v>
      </c>
      <c r="G376" s="162">
        <f t="shared" si="8"/>
        <v>450000</v>
      </c>
      <c r="H376" s="194"/>
      <c r="I376" s="224">
        <f t="shared" si="5"/>
        <v>450000</v>
      </c>
      <c r="J376" s="164">
        <f t="shared" si="7"/>
        <v>450000</v>
      </c>
      <c r="K376" s="56" t="s">
        <v>3935</v>
      </c>
      <c r="L376" s="73"/>
      <c r="M376" s="73"/>
      <c r="N376" s="171"/>
      <c r="O376" s="169" t="s">
        <v>2958</v>
      </c>
      <c r="P376" s="168" t="s">
        <v>3112</v>
      </c>
      <c r="Q376" s="173"/>
      <c r="R376" s="167">
        <v>450000.0</v>
      </c>
      <c r="S376" s="173"/>
      <c r="T376" s="173"/>
      <c r="U376" s="173"/>
      <c r="V376" s="168" t="s">
        <v>3883</v>
      </c>
      <c r="W376" s="169"/>
      <c r="X376" s="171"/>
    </row>
    <row r="377" ht="15.0" customHeight="1">
      <c r="A377" s="127">
        <v>45467.0</v>
      </c>
      <c r="B377" s="181" t="s">
        <v>3936</v>
      </c>
      <c r="C377" s="56" t="s">
        <v>3099</v>
      </c>
      <c r="D377" s="73" t="str">
        <f>IFERROR(VLOOKUP(C377,Stock,3,FALSE),"")</f>
        <v>Toyota Calya / Sigra 16-</v>
      </c>
      <c r="E377" s="56">
        <v>1.0</v>
      </c>
      <c r="F377" s="161">
        <v>1149000.0</v>
      </c>
      <c r="G377" s="162">
        <f t="shared" si="8"/>
        <v>1149000</v>
      </c>
      <c r="H377" s="194"/>
      <c r="I377" s="224">
        <f t="shared" si="5"/>
        <v>1149000</v>
      </c>
      <c r="J377" s="164">
        <f t="shared" si="7"/>
        <v>1149000</v>
      </c>
      <c r="K377" s="56" t="s">
        <v>3937</v>
      </c>
      <c r="L377" s="165" t="s">
        <v>3938</v>
      </c>
      <c r="M377" s="73"/>
      <c r="N377" s="171"/>
      <c r="O377" s="169" t="s">
        <v>2958</v>
      </c>
      <c r="P377" s="168" t="s">
        <v>3112</v>
      </c>
      <c r="Q377" s="173"/>
      <c r="R377" s="167">
        <v>1149000.0</v>
      </c>
      <c r="S377" s="173"/>
      <c r="T377" s="173"/>
      <c r="U377" s="173"/>
      <c r="V377" s="168" t="s">
        <v>3883</v>
      </c>
      <c r="W377" s="169"/>
      <c r="X377" s="171"/>
    </row>
    <row r="378" ht="15.0" customHeight="1">
      <c r="A378" s="127">
        <v>45467.0</v>
      </c>
      <c r="B378" s="181" t="s">
        <v>3936</v>
      </c>
      <c r="C378" s="56" t="s">
        <v>3532</v>
      </c>
      <c r="D378" s="73" t="str">
        <f>IFERROR(VLOOKUP(C378,Stock,3,FALSE),"")</f>
        <v>9092 Sealant Application</v>
      </c>
      <c r="E378" s="56">
        <v>1.0</v>
      </c>
      <c r="F378" s="161">
        <v>200000.0</v>
      </c>
      <c r="G378" s="162">
        <f t="shared" si="8"/>
        <v>200000</v>
      </c>
      <c r="H378" s="194"/>
      <c r="I378" s="224">
        <f t="shared" si="5"/>
        <v>200000</v>
      </c>
      <c r="J378" s="164">
        <f t="shared" si="7"/>
        <v>200000</v>
      </c>
      <c r="K378" s="56" t="s">
        <v>3937</v>
      </c>
      <c r="L378" s="165" t="s">
        <v>3938</v>
      </c>
      <c r="M378" s="73"/>
      <c r="N378" s="171"/>
      <c r="O378" s="169" t="s">
        <v>2958</v>
      </c>
      <c r="P378" s="168" t="s">
        <v>3112</v>
      </c>
      <c r="Q378" s="173"/>
      <c r="R378" s="167">
        <v>200000.0</v>
      </c>
      <c r="S378" s="173"/>
      <c r="T378" s="173"/>
      <c r="U378" s="173"/>
      <c r="V378" s="168" t="s">
        <v>3883</v>
      </c>
      <c r="W378" s="169"/>
      <c r="X378" s="219">
        <v>45474.0</v>
      </c>
    </row>
    <row r="379" ht="15.0" customHeight="1">
      <c r="A379" s="127">
        <v>45468.0</v>
      </c>
      <c r="B379" s="181" t="s">
        <v>3939</v>
      </c>
      <c r="C379" s="56" t="s">
        <v>2720</v>
      </c>
      <c r="D379" s="73" t="str">
        <f>IFERROR(VLOOKUP(C379,Stock,3,FALSE),"")</f>
        <v>Mitsubishi Canter FE300 85- (PS100,120,135 kabin kecil)</v>
      </c>
      <c r="E379" s="56">
        <v>1.0</v>
      </c>
      <c r="F379" s="161">
        <v>1195000.0</v>
      </c>
      <c r="G379" s="162">
        <f t="shared" si="8"/>
        <v>1195000</v>
      </c>
      <c r="H379" s="194"/>
      <c r="I379" s="224">
        <f t="shared" si="5"/>
        <v>1195000</v>
      </c>
      <c r="J379" s="164">
        <f t="shared" si="7"/>
        <v>1195000</v>
      </c>
      <c r="K379" s="56" t="s">
        <v>3940</v>
      </c>
      <c r="L379" s="165" t="s">
        <v>3941</v>
      </c>
      <c r="M379" s="73"/>
      <c r="N379" s="171"/>
      <c r="O379" s="169" t="s">
        <v>3204</v>
      </c>
      <c r="P379" s="168" t="s">
        <v>3054</v>
      </c>
      <c r="Q379" s="173"/>
      <c r="R379" s="167">
        <v>1195000.0</v>
      </c>
      <c r="S379" s="173"/>
      <c r="T379" s="173"/>
      <c r="U379" s="173"/>
      <c r="V379" s="168" t="s">
        <v>3883</v>
      </c>
      <c r="W379" s="169"/>
      <c r="X379" s="171"/>
    </row>
    <row r="380" ht="15.0" customHeight="1">
      <c r="A380" s="127">
        <v>45468.0</v>
      </c>
      <c r="B380" s="181" t="s">
        <v>3939</v>
      </c>
      <c r="C380" s="56" t="s">
        <v>2954</v>
      </c>
      <c r="D380" s="73" t="str">
        <f>IFERROR(VLOOKUP(C380,Stock,3,FALSE),"")</f>
        <v>Transport</v>
      </c>
      <c r="E380" s="56">
        <v>1.0</v>
      </c>
      <c r="F380" s="161">
        <v>350000.0</v>
      </c>
      <c r="G380" s="162">
        <f t="shared" si="8"/>
        <v>350000</v>
      </c>
      <c r="H380" s="194"/>
      <c r="I380" s="224">
        <f t="shared" si="5"/>
        <v>350000</v>
      </c>
      <c r="J380" s="164">
        <f t="shared" si="7"/>
        <v>350000</v>
      </c>
      <c r="K380" s="56" t="s">
        <v>3940</v>
      </c>
      <c r="L380" s="165" t="s">
        <v>3941</v>
      </c>
      <c r="M380" s="73"/>
      <c r="N380" s="171"/>
      <c r="O380" s="169" t="s">
        <v>3204</v>
      </c>
      <c r="P380" s="168" t="s">
        <v>3054</v>
      </c>
      <c r="Q380" s="173"/>
      <c r="R380" s="167">
        <v>350000.0</v>
      </c>
      <c r="S380" s="173"/>
      <c r="T380" s="173"/>
      <c r="U380" s="173"/>
      <c r="V380" s="168" t="s">
        <v>3883</v>
      </c>
      <c r="W380" s="169"/>
      <c r="X380" s="171"/>
    </row>
    <row r="381" ht="15.0" customHeight="1">
      <c r="A381" s="127">
        <v>45468.0</v>
      </c>
      <c r="B381" s="181" t="s">
        <v>3942</v>
      </c>
      <c r="C381" s="56" t="s">
        <v>3943</v>
      </c>
      <c r="D381" s="73" t="str">
        <f>IFERROR(VLOOKUP(C381,Stock,3,FALSE),"")</f>
        <v>Hyundai Avega 06-12 Sedan</v>
      </c>
      <c r="E381" s="56">
        <v>1.0</v>
      </c>
      <c r="F381" s="161">
        <v>2098000.0</v>
      </c>
      <c r="G381" s="162">
        <f t="shared" si="8"/>
        <v>2098000</v>
      </c>
      <c r="H381" s="194"/>
      <c r="I381" s="224">
        <f t="shared" si="5"/>
        <v>2098000</v>
      </c>
      <c r="J381" s="164">
        <f t="shared" si="7"/>
        <v>2098000</v>
      </c>
      <c r="K381" s="56" t="s">
        <v>3944</v>
      </c>
      <c r="L381" s="165" t="s">
        <v>3945</v>
      </c>
      <c r="M381" s="73"/>
      <c r="N381" s="171"/>
      <c r="O381" s="169" t="s">
        <v>2958</v>
      </c>
      <c r="P381" s="168" t="s">
        <v>3112</v>
      </c>
      <c r="Q381" s="167">
        <v>420000.0</v>
      </c>
      <c r="R381" s="173"/>
      <c r="S381" s="173"/>
      <c r="T381" s="173"/>
      <c r="U381" s="173"/>
      <c r="V381" s="168" t="s">
        <v>3799</v>
      </c>
      <c r="W381" s="169"/>
      <c r="X381" s="169" t="s">
        <v>3946</v>
      </c>
    </row>
    <row r="382" ht="15.0" customHeight="1">
      <c r="A382" s="127">
        <v>45469.0</v>
      </c>
      <c r="B382" s="181" t="s">
        <v>3947</v>
      </c>
      <c r="C382" s="56" t="s">
        <v>3948</v>
      </c>
      <c r="D382" s="73" t="str">
        <f>IFERROR(VLOOKUP(C382,Stock,3,FALSE),"")</f>
        <v>BMW 3 Series 90-99 E36</v>
      </c>
      <c r="E382" s="56">
        <v>1.0</v>
      </c>
      <c r="F382" s="161">
        <v>1658000.0</v>
      </c>
      <c r="G382" s="162">
        <f t="shared" si="8"/>
        <v>1658000</v>
      </c>
      <c r="H382" s="194"/>
      <c r="I382" s="224">
        <f t="shared" si="5"/>
        <v>1658000</v>
      </c>
      <c r="J382" s="164">
        <f t="shared" si="7"/>
        <v>1658000</v>
      </c>
      <c r="K382" s="56" t="s">
        <v>3949</v>
      </c>
      <c r="L382" s="165" t="s">
        <v>3950</v>
      </c>
      <c r="M382" s="73"/>
      <c r="N382" s="171"/>
      <c r="O382" s="169" t="s">
        <v>3951</v>
      </c>
      <c r="P382" s="168" t="s">
        <v>3054</v>
      </c>
      <c r="Q382" s="173"/>
      <c r="R382" s="167">
        <v>1658000.0</v>
      </c>
      <c r="S382" s="173"/>
      <c r="T382" s="173"/>
      <c r="U382" s="173"/>
      <c r="V382" s="168" t="s">
        <v>3883</v>
      </c>
      <c r="W382" s="169"/>
      <c r="X382" s="171"/>
    </row>
    <row r="383" ht="15.0" customHeight="1">
      <c r="A383" s="127">
        <v>45469.0</v>
      </c>
      <c r="B383" s="181" t="s">
        <v>3947</v>
      </c>
      <c r="C383" s="56" t="s">
        <v>3059</v>
      </c>
      <c r="D383" s="73" t="str">
        <f>IFERROR(VLOOKUP(C383,Stock,3,FALSE),"")</f>
        <v>Sealant Polyurethane XYG Tube</v>
      </c>
      <c r="E383" s="56">
        <v>2.0</v>
      </c>
      <c r="F383" s="161">
        <v>75000.0</v>
      </c>
      <c r="G383" s="162">
        <f t="shared" si="8"/>
        <v>150000</v>
      </c>
      <c r="H383" s="194"/>
      <c r="I383" s="224">
        <f t="shared" si="5"/>
        <v>150000</v>
      </c>
      <c r="J383" s="164">
        <f t="shared" si="7"/>
        <v>150000</v>
      </c>
      <c r="K383" s="56" t="s">
        <v>3949</v>
      </c>
      <c r="L383" s="165" t="s">
        <v>3950</v>
      </c>
      <c r="M383" s="73"/>
      <c r="N383" s="171"/>
      <c r="O383" s="169" t="s">
        <v>3951</v>
      </c>
      <c r="P383" s="168" t="s">
        <v>3054</v>
      </c>
      <c r="Q383" s="173"/>
      <c r="R383" s="167">
        <v>150000.0</v>
      </c>
      <c r="S383" s="173"/>
      <c r="T383" s="173"/>
      <c r="U383" s="173"/>
      <c r="V383" s="168" t="s">
        <v>3883</v>
      </c>
      <c r="W383" s="169"/>
      <c r="X383" s="171"/>
    </row>
    <row r="384" ht="15.0" customHeight="1">
      <c r="A384" s="127">
        <v>45469.0</v>
      </c>
      <c r="B384" s="181" t="s">
        <v>3952</v>
      </c>
      <c r="C384" s="56" t="s">
        <v>3273</v>
      </c>
      <c r="D384" s="73" t="str">
        <f>IFERROR(VLOOKUP(C384,Stock,3,FALSE),"")</f>
        <v>Pemasangan Kaca Mobil Belakang</v>
      </c>
      <c r="E384" s="56">
        <v>1.0</v>
      </c>
      <c r="F384" s="161">
        <v>750000.0</v>
      </c>
      <c r="G384" s="162">
        <f t="shared" si="8"/>
        <v>750000</v>
      </c>
      <c r="H384" s="194"/>
      <c r="I384" s="224">
        <f t="shared" si="5"/>
        <v>750000</v>
      </c>
      <c r="J384" s="164">
        <f t="shared" si="7"/>
        <v>750000</v>
      </c>
      <c r="K384" s="56" t="s">
        <v>3953</v>
      </c>
      <c r="L384" s="165" t="s">
        <v>3954</v>
      </c>
      <c r="M384" s="73"/>
      <c r="N384" s="169" t="s">
        <v>3955</v>
      </c>
      <c r="O384" s="169" t="s">
        <v>2958</v>
      </c>
      <c r="P384" s="168" t="s">
        <v>3112</v>
      </c>
      <c r="Q384" s="173"/>
      <c r="R384" s="167">
        <v>750000.0</v>
      </c>
      <c r="S384" s="173"/>
      <c r="T384" s="173"/>
      <c r="U384" s="173"/>
      <c r="V384" s="168" t="s">
        <v>3799</v>
      </c>
      <c r="W384" s="169"/>
      <c r="X384" s="171"/>
    </row>
    <row r="385" ht="15.0" customHeight="1">
      <c r="A385" s="127">
        <v>45469.0</v>
      </c>
      <c r="B385" s="181" t="s">
        <v>3952</v>
      </c>
      <c r="C385" s="56" t="s">
        <v>2954</v>
      </c>
      <c r="D385" s="73" t="str">
        <f>IFERROR(VLOOKUP(C385,Stock,3,FALSE),"")</f>
        <v>Transport</v>
      </c>
      <c r="E385" s="56">
        <v>1.0</v>
      </c>
      <c r="F385" s="161">
        <v>70000.0</v>
      </c>
      <c r="G385" s="162">
        <f t="shared" si="8"/>
        <v>70000</v>
      </c>
      <c r="H385" s="194"/>
      <c r="I385" s="224">
        <f t="shared" si="5"/>
        <v>70000</v>
      </c>
      <c r="J385" s="164">
        <f t="shared" si="7"/>
        <v>70000</v>
      </c>
      <c r="K385" s="56" t="s">
        <v>3953</v>
      </c>
      <c r="L385" s="165" t="s">
        <v>3954</v>
      </c>
      <c r="M385" s="73"/>
      <c r="N385" s="169" t="s">
        <v>3955</v>
      </c>
      <c r="O385" s="169" t="s">
        <v>2958</v>
      </c>
      <c r="P385" s="168" t="s">
        <v>3112</v>
      </c>
      <c r="Q385" s="173"/>
      <c r="R385" s="167">
        <v>70000.0</v>
      </c>
      <c r="S385" s="173"/>
      <c r="T385" s="173"/>
      <c r="U385" s="173"/>
      <c r="V385" s="168" t="s">
        <v>3799</v>
      </c>
      <c r="W385" s="169"/>
      <c r="X385" s="171"/>
    </row>
    <row r="386" ht="15.0" customHeight="1">
      <c r="A386" s="127">
        <v>45469.0</v>
      </c>
      <c r="B386" s="181" t="s">
        <v>3956</v>
      </c>
      <c r="C386" s="56" t="s">
        <v>2588</v>
      </c>
      <c r="D386" s="73" t="str">
        <f>IFERROR(VLOOKUP(C386,Stock,3,FALSE),"")</f>
        <v>Ford Fiesta 09-17</v>
      </c>
      <c r="E386" s="56">
        <v>1.0</v>
      </c>
      <c r="F386" s="161">
        <v>1702000.0</v>
      </c>
      <c r="G386" s="162">
        <f t="shared" si="8"/>
        <v>1702000</v>
      </c>
      <c r="H386" s="194"/>
      <c r="I386" s="161">
        <f t="shared" si="5"/>
        <v>1702000</v>
      </c>
      <c r="J386" s="164">
        <f t="shared" si="7"/>
        <v>1702000</v>
      </c>
      <c r="K386" s="56" t="s">
        <v>3957</v>
      </c>
      <c r="L386" s="165" t="s">
        <v>3958</v>
      </c>
      <c r="M386" s="73"/>
      <c r="N386" s="169" t="s">
        <v>3959</v>
      </c>
      <c r="O386" s="169" t="s">
        <v>3626</v>
      </c>
      <c r="P386" s="168" t="s">
        <v>3112</v>
      </c>
      <c r="Q386" s="167">
        <v>1720000.0</v>
      </c>
      <c r="R386" s="173"/>
      <c r="S386" s="173"/>
      <c r="T386" s="173"/>
      <c r="U386" s="167">
        <v>18000.0</v>
      </c>
      <c r="V386" s="168" t="s">
        <v>3799</v>
      </c>
      <c r="W386" s="169"/>
      <c r="X386" s="219">
        <v>45469.0</v>
      </c>
    </row>
    <row r="387" ht="15.0" customHeight="1">
      <c r="A387" s="127">
        <v>45470.0</v>
      </c>
      <c r="B387" s="181" t="s">
        <v>3960</v>
      </c>
      <c r="C387" s="56" t="s">
        <v>2746</v>
      </c>
      <c r="D387" s="73" t="str">
        <f>IFERROR(VLOOKUP(C387,Stock,3,FALSE),"")</f>
        <v>Toyota Fortuner 05-15 1st Gen </v>
      </c>
      <c r="E387" s="56">
        <v>1.0</v>
      </c>
      <c r="F387" s="161">
        <v>2048000.0</v>
      </c>
      <c r="G387" s="162">
        <f t="shared" si="8"/>
        <v>2048000</v>
      </c>
      <c r="H387" s="194"/>
      <c r="I387" s="224">
        <f t="shared" si="5"/>
        <v>2048000</v>
      </c>
      <c r="J387" s="164">
        <f t="shared" si="7"/>
        <v>2048000</v>
      </c>
      <c r="K387" s="56" t="s">
        <v>3961</v>
      </c>
      <c r="L387" s="165" t="s">
        <v>3962</v>
      </c>
      <c r="M387" s="73"/>
      <c r="N387" s="171"/>
      <c r="O387" s="169" t="s">
        <v>2958</v>
      </c>
      <c r="P387" s="168" t="s">
        <v>3112</v>
      </c>
      <c r="Q387" s="173"/>
      <c r="R387" s="167">
        <v>2048000.0</v>
      </c>
      <c r="S387" s="173"/>
      <c r="T387" s="173"/>
      <c r="U387" s="173"/>
      <c r="V387" s="168" t="s">
        <v>3883</v>
      </c>
      <c r="W387" s="169"/>
      <c r="X387" s="219">
        <v>45470.0</v>
      </c>
    </row>
    <row r="388" ht="15.0" customHeight="1">
      <c r="A388" s="127">
        <v>45470.0</v>
      </c>
      <c r="B388" s="181" t="s">
        <v>3960</v>
      </c>
      <c r="C388" s="56" t="s">
        <v>2934</v>
      </c>
      <c r="D388" s="73" t="str">
        <f>IFERROR(VLOOKUP(C388,Stock,3,FALSE),"")</f>
        <v>Peti Kayu</v>
      </c>
      <c r="E388" s="56">
        <v>1.0</v>
      </c>
      <c r="F388" s="161">
        <v>160000.0</v>
      </c>
      <c r="G388" s="162">
        <f t="shared" si="8"/>
        <v>160000</v>
      </c>
      <c r="H388" s="194"/>
      <c r="I388" s="224">
        <f t="shared" si="5"/>
        <v>160000</v>
      </c>
      <c r="J388" s="164">
        <f t="shared" si="7"/>
        <v>160000</v>
      </c>
      <c r="K388" s="56" t="s">
        <v>3961</v>
      </c>
      <c r="L388" s="165" t="s">
        <v>3962</v>
      </c>
      <c r="M388" s="73"/>
      <c r="N388" s="171"/>
      <c r="O388" s="169" t="s">
        <v>2958</v>
      </c>
      <c r="P388" s="168" t="s">
        <v>3112</v>
      </c>
      <c r="Q388" s="173"/>
      <c r="R388" s="167">
        <v>160000.0</v>
      </c>
      <c r="S388" s="173"/>
      <c r="T388" s="173"/>
      <c r="U388" s="173"/>
      <c r="V388" s="168" t="s">
        <v>3883</v>
      </c>
      <c r="W388" s="169"/>
      <c r="X388" s="219">
        <v>45470.0</v>
      </c>
    </row>
    <row r="389" ht="15.0" customHeight="1">
      <c r="A389" s="127">
        <v>45470.0</v>
      </c>
      <c r="B389" s="181" t="s">
        <v>3963</v>
      </c>
      <c r="C389" s="56" t="s">
        <v>3964</v>
      </c>
      <c r="D389" s="73" t="str">
        <f>IFERROR(VLOOKUP(C389,Stock,3,FALSE),"")</f>
        <v>Nissan Terrano 95-06</v>
      </c>
      <c r="E389" s="56">
        <v>1.0</v>
      </c>
      <c r="F389" s="161">
        <v>1299000.0</v>
      </c>
      <c r="G389" s="162">
        <f t="shared" si="8"/>
        <v>1299000</v>
      </c>
      <c r="H389" s="194"/>
      <c r="I389" s="224">
        <f t="shared" si="5"/>
        <v>1299000</v>
      </c>
      <c r="J389" s="164">
        <f t="shared" si="7"/>
        <v>1299000</v>
      </c>
      <c r="K389" s="56" t="s">
        <v>3965</v>
      </c>
      <c r="L389" s="165" t="s">
        <v>3966</v>
      </c>
      <c r="M389" s="73"/>
      <c r="N389" s="171"/>
      <c r="O389" s="169" t="s">
        <v>2958</v>
      </c>
      <c r="P389" s="168" t="s">
        <v>3112</v>
      </c>
      <c r="Q389" s="167">
        <v>1299000.0</v>
      </c>
      <c r="R389" s="173"/>
      <c r="S389" s="173"/>
      <c r="T389" s="173"/>
      <c r="U389" s="173"/>
      <c r="V389" s="168" t="s">
        <v>3883</v>
      </c>
      <c r="W389" s="169"/>
      <c r="X389" s="219">
        <v>45471.0</v>
      </c>
    </row>
    <row r="390" ht="15.0" customHeight="1">
      <c r="A390" s="127">
        <v>45470.0</v>
      </c>
      <c r="B390" s="181" t="s">
        <v>3963</v>
      </c>
      <c r="C390" s="56" t="s">
        <v>3532</v>
      </c>
      <c r="D390" s="73" t="str">
        <f>IFERROR(VLOOKUP(C390,Stock,3,FALSE),"")</f>
        <v>9092 Sealant Application</v>
      </c>
      <c r="E390" s="56">
        <v>2.0</v>
      </c>
      <c r="F390" s="161">
        <v>105000.0</v>
      </c>
      <c r="G390" s="162">
        <f t="shared" si="8"/>
        <v>210000</v>
      </c>
      <c r="H390" s="194"/>
      <c r="I390" s="224">
        <f t="shared" si="5"/>
        <v>210000</v>
      </c>
      <c r="J390" s="164">
        <f t="shared" si="7"/>
        <v>210000</v>
      </c>
      <c r="K390" s="56" t="s">
        <v>3965</v>
      </c>
      <c r="L390" s="165" t="s">
        <v>3966</v>
      </c>
      <c r="M390" s="73"/>
      <c r="N390" s="171"/>
      <c r="O390" s="169" t="s">
        <v>2958</v>
      </c>
      <c r="P390" s="168" t="s">
        <v>3112</v>
      </c>
      <c r="Q390" s="167">
        <v>210000.0</v>
      </c>
      <c r="R390" s="173"/>
      <c r="S390" s="173"/>
      <c r="T390" s="173"/>
      <c r="U390" s="173"/>
      <c r="V390" s="168" t="s">
        <v>3883</v>
      </c>
      <c r="W390" s="169"/>
      <c r="X390" s="219">
        <v>45471.0</v>
      </c>
    </row>
    <row r="391" ht="15.0" customHeight="1">
      <c r="A391" s="127">
        <v>45470.0</v>
      </c>
      <c r="B391" s="181" t="s">
        <v>3963</v>
      </c>
      <c r="C391" s="56" t="s">
        <v>2934</v>
      </c>
      <c r="D391" s="73" t="str">
        <f>IFERROR(VLOOKUP(C391,Stock,3,FALSE),"")</f>
        <v>Peti Kayu</v>
      </c>
      <c r="E391" s="56">
        <v>1.0</v>
      </c>
      <c r="F391" s="161">
        <v>160000.0</v>
      </c>
      <c r="G391" s="162">
        <f t="shared" si="8"/>
        <v>160000</v>
      </c>
      <c r="H391" s="194"/>
      <c r="I391" s="224">
        <f t="shared" si="5"/>
        <v>160000</v>
      </c>
      <c r="J391" s="164">
        <f t="shared" si="7"/>
        <v>160000</v>
      </c>
      <c r="K391" s="56" t="s">
        <v>3965</v>
      </c>
      <c r="L391" s="165" t="s">
        <v>3966</v>
      </c>
      <c r="M391" s="73"/>
      <c r="N391" s="171"/>
      <c r="O391" s="169" t="s">
        <v>2958</v>
      </c>
      <c r="P391" s="168" t="s">
        <v>3112</v>
      </c>
      <c r="Q391" s="167">
        <v>160000.0</v>
      </c>
      <c r="R391" s="173"/>
      <c r="S391" s="173"/>
      <c r="T391" s="173"/>
      <c r="U391" s="173"/>
      <c r="V391" s="168" t="s">
        <v>3883</v>
      </c>
      <c r="W391" s="169"/>
      <c r="X391" s="219">
        <v>45471.0</v>
      </c>
    </row>
    <row r="392" ht="15.0" customHeight="1">
      <c r="A392" s="127">
        <v>45461.0</v>
      </c>
      <c r="B392" s="181" t="s">
        <v>3853</v>
      </c>
      <c r="C392" s="56" t="s">
        <v>3532</v>
      </c>
      <c r="D392" s="73" t="str">
        <f>IFERROR(VLOOKUP(C392,Stock,3,FALSE),"")</f>
        <v>9092 Sealant Application</v>
      </c>
      <c r="E392" s="56">
        <v>1.0</v>
      </c>
      <c r="F392" s="161">
        <v>200000.0</v>
      </c>
      <c r="G392" s="162">
        <f t="shared" si="8"/>
        <v>200000</v>
      </c>
      <c r="H392" s="194"/>
      <c r="I392" s="224">
        <f t="shared" si="5"/>
        <v>200000</v>
      </c>
      <c r="J392" s="164">
        <f t="shared" si="7"/>
        <v>200000</v>
      </c>
      <c r="K392" s="56" t="s">
        <v>3854</v>
      </c>
      <c r="L392" s="165" t="s">
        <v>3855</v>
      </c>
      <c r="M392" s="73"/>
      <c r="N392" s="169" t="s">
        <v>3856</v>
      </c>
      <c r="O392" s="169" t="s">
        <v>2958</v>
      </c>
      <c r="P392" s="168" t="s">
        <v>3112</v>
      </c>
      <c r="Q392" s="173"/>
      <c r="R392" s="167">
        <v>200000.0</v>
      </c>
      <c r="S392" s="173"/>
      <c r="T392" s="173"/>
      <c r="U392" s="173"/>
      <c r="V392" s="168" t="s">
        <v>3883</v>
      </c>
      <c r="W392" s="169"/>
      <c r="X392" s="169" t="s">
        <v>3967</v>
      </c>
    </row>
    <row r="393" ht="15.0" customHeight="1">
      <c r="A393" s="127">
        <v>45470.0</v>
      </c>
      <c r="B393" s="181" t="s">
        <v>3968</v>
      </c>
      <c r="C393" s="56" t="s">
        <v>2706</v>
      </c>
      <c r="D393" s="73" t="str">
        <f>IFERROR(VLOOKUP(C393,Stock,3,FALSE),"")</f>
        <v>Isuzu Elf 17- New NMR NLR</v>
      </c>
      <c r="E393" s="56">
        <v>1.0</v>
      </c>
      <c r="F393" s="161">
        <v>1114000.0</v>
      </c>
      <c r="G393" s="162">
        <f t="shared" si="8"/>
        <v>1114000</v>
      </c>
      <c r="H393" s="194"/>
      <c r="I393" s="224">
        <f t="shared" si="5"/>
        <v>1114000</v>
      </c>
      <c r="J393" s="164">
        <f t="shared" si="7"/>
        <v>1114000</v>
      </c>
      <c r="K393" s="56" t="s">
        <v>3969</v>
      </c>
      <c r="L393" s="165" t="s">
        <v>3970</v>
      </c>
      <c r="M393" s="73"/>
      <c r="N393" s="171"/>
      <c r="O393" s="169" t="s">
        <v>2958</v>
      </c>
      <c r="P393" s="168" t="s">
        <v>3112</v>
      </c>
      <c r="Q393" s="173"/>
      <c r="R393" s="167">
        <v>1114000.0</v>
      </c>
      <c r="S393" s="173"/>
      <c r="T393" s="173"/>
      <c r="U393" s="173"/>
      <c r="V393" s="168" t="s">
        <v>3883</v>
      </c>
      <c r="W393" s="169"/>
      <c r="X393" s="219">
        <v>45474.0</v>
      </c>
    </row>
    <row r="394" ht="15.0" customHeight="1">
      <c r="A394" s="127">
        <v>45471.0</v>
      </c>
      <c r="B394" s="181" t="s">
        <v>3971</v>
      </c>
      <c r="C394" s="56" t="s">
        <v>3083</v>
      </c>
      <c r="D394" s="73" t="str">
        <f>IFERROR(VLOOKUP(C394,Stock,3,FALSE),"")</f>
        <v>List Kaca Depan Code 04</v>
      </c>
      <c r="E394" s="56">
        <v>1.0</v>
      </c>
      <c r="F394" s="161">
        <v>345000.0</v>
      </c>
      <c r="G394" s="162">
        <f t="shared" si="8"/>
        <v>345000</v>
      </c>
      <c r="H394" s="194"/>
      <c r="I394" s="224">
        <f t="shared" si="5"/>
        <v>345000</v>
      </c>
      <c r="J394" s="164">
        <f t="shared" si="7"/>
        <v>345000</v>
      </c>
      <c r="K394" s="56" t="s">
        <v>3972</v>
      </c>
      <c r="L394" s="165" t="s">
        <v>3973</v>
      </c>
      <c r="M394" s="73"/>
      <c r="N394" s="171"/>
      <c r="O394" s="169" t="s">
        <v>2958</v>
      </c>
      <c r="P394" s="168" t="s">
        <v>3112</v>
      </c>
      <c r="Q394" s="167">
        <v>345000.0</v>
      </c>
      <c r="R394" s="167"/>
      <c r="S394" s="173"/>
      <c r="T394" s="173"/>
      <c r="U394" s="173"/>
      <c r="V394" s="168" t="s">
        <v>3883</v>
      </c>
      <c r="W394" s="169"/>
      <c r="X394" s="171"/>
    </row>
    <row r="395" ht="15.0" customHeight="1">
      <c r="A395" s="127">
        <v>45472.0</v>
      </c>
      <c r="B395" s="181" t="s">
        <v>3974</v>
      </c>
      <c r="C395" s="169" t="s">
        <v>3975</v>
      </c>
      <c r="D395" s="73" t="str">
        <f>IFERROR(VLOOKUP(C395,Stock,3,FALSE),"")</f>
        <v>Mitsubishi Xpander 17-21 / Livina 19- 2nd Gen</v>
      </c>
      <c r="E395" s="56">
        <v>1.0</v>
      </c>
      <c r="F395" s="161">
        <v>1328000.0</v>
      </c>
      <c r="G395" s="162">
        <f t="shared" si="8"/>
        <v>1328000</v>
      </c>
      <c r="H395" s="194"/>
      <c r="I395" s="224">
        <f t="shared" si="5"/>
        <v>1328000</v>
      </c>
      <c r="J395" s="164">
        <f t="shared" si="7"/>
        <v>1328000</v>
      </c>
      <c r="K395" s="169" t="s">
        <v>3976</v>
      </c>
      <c r="L395" s="165" t="s">
        <v>3977</v>
      </c>
      <c r="M395" s="73"/>
      <c r="N395" s="171"/>
      <c r="O395" s="169" t="s">
        <v>2958</v>
      </c>
      <c r="P395" s="168" t="s">
        <v>3112</v>
      </c>
      <c r="Q395" s="167">
        <v>1330000.0</v>
      </c>
      <c r="R395" s="173"/>
      <c r="S395" s="173"/>
      <c r="T395" s="173"/>
      <c r="U395" s="167">
        <v>2000.0</v>
      </c>
      <c r="V395" s="168" t="s">
        <v>3799</v>
      </c>
      <c r="W395" s="169"/>
      <c r="X395" s="219">
        <v>45472.0</v>
      </c>
    </row>
    <row r="396">
      <c r="A396" s="127">
        <v>45472.0</v>
      </c>
      <c r="B396" s="181" t="s">
        <v>3978</v>
      </c>
      <c r="C396" s="56" t="s">
        <v>2593</v>
      </c>
      <c r="D396" s="73" t="str">
        <f>IFERROR(VLOOKUP(C396,Stock,3,FALSE),"")</f>
        <v>Toyota Alphard 08-15 ANH20 2nd Gen Sensor</v>
      </c>
      <c r="E396" s="56">
        <v>1.0</v>
      </c>
      <c r="F396" s="161">
        <v>1725000.0</v>
      </c>
      <c r="G396" s="162">
        <f t="shared" si="8"/>
        <v>1725000</v>
      </c>
      <c r="H396" s="194"/>
      <c r="I396" s="224">
        <f t="shared" si="5"/>
        <v>1725000</v>
      </c>
      <c r="J396" s="164">
        <f t="shared" si="7"/>
        <v>1725000</v>
      </c>
      <c r="K396" s="56" t="s">
        <v>3979</v>
      </c>
      <c r="L396" s="165" t="s">
        <v>3980</v>
      </c>
      <c r="M396" s="73"/>
      <c r="N396" s="171"/>
      <c r="O396" s="169" t="s">
        <v>2958</v>
      </c>
      <c r="P396" s="168" t="s">
        <v>3112</v>
      </c>
      <c r="Q396" s="167">
        <v>1725000.0</v>
      </c>
      <c r="R396" s="173"/>
      <c r="S396" s="173"/>
      <c r="T396" s="173"/>
      <c r="U396" s="173"/>
      <c r="V396" s="202"/>
      <c r="W396" s="171"/>
      <c r="X396" s="219">
        <v>45472.0</v>
      </c>
    </row>
    <row r="397" ht="15.0" customHeight="1">
      <c r="A397" s="127">
        <v>45472.0</v>
      </c>
      <c r="B397" s="181" t="s">
        <v>3978</v>
      </c>
      <c r="C397" s="56" t="s">
        <v>2934</v>
      </c>
      <c r="D397" s="73" t="str">
        <f>IFERROR(VLOOKUP(C397,Stock,3,FALSE),"")</f>
        <v>Peti Kayu</v>
      </c>
      <c r="E397" s="56">
        <v>1.0</v>
      </c>
      <c r="F397" s="161">
        <v>200000.0</v>
      </c>
      <c r="G397" s="162">
        <f t="shared" si="8"/>
        <v>200000</v>
      </c>
      <c r="H397" s="194"/>
      <c r="I397" s="224">
        <f t="shared" si="5"/>
        <v>200000</v>
      </c>
      <c r="J397" s="164">
        <f t="shared" si="7"/>
        <v>200000</v>
      </c>
      <c r="K397" s="56" t="s">
        <v>3979</v>
      </c>
      <c r="L397" s="165" t="s">
        <v>3980</v>
      </c>
      <c r="M397" s="73"/>
      <c r="N397" s="171"/>
      <c r="O397" s="169" t="s">
        <v>2958</v>
      </c>
      <c r="P397" s="168" t="s">
        <v>3112</v>
      </c>
      <c r="Q397" s="167">
        <v>200000.0</v>
      </c>
      <c r="R397" s="173"/>
      <c r="S397" s="173"/>
      <c r="T397" s="173"/>
      <c r="U397" s="173"/>
      <c r="V397" s="202"/>
      <c r="W397" s="171"/>
      <c r="X397" s="219">
        <v>45472.0</v>
      </c>
    </row>
    <row r="398" ht="15.0" customHeight="1">
      <c r="A398" s="183">
        <v>45463.0</v>
      </c>
      <c r="B398" s="226"/>
      <c r="C398" s="184" t="s">
        <v>2691</v>
      </c>
      <c r="D398" s="186" t="str">
        <f>IFERROR(VLOOKUP(C398,Stock,3,FALSE),"")</f>
        <v>Suzuki Ertiga 12-18 1st Gen MPV</v>
      </c>
      <c r="E398" s="184">
        <v>4.0</v>
      </c>
      <c r="F398" s="187">
        <v>551230.0</v>
      </c>
      <c r="G398" s="188">
        <f t="shared" si="8"/>
        <v>2204920</v>
      </c>
      <c r="H398" s="210"/>
      <c r="I398" s="187">
        <f t="shared" si="5"/>
        <v>2204920</v>
      </c>
      <c r="J398" s="189">
        <f t="shared" si="7"/>
        <v>2204920</v>
      </c>
      <c r="K398" s="184" t="s">
        <v>3981</v>
      </c>
      <c r="L398" s="211" t="s">
        <v>3982</v>
      </c>
      <c r="M398" s="186"/>
      <c r="N398" s="212"/>
      <c r="O398" s="193" t="s">
        <v>2958</v>
      </c>
      <c r="P398" s="192" t="s">
        <v>3030</v>
      </c>
      <c r="Q398" s="213"/>
      <c r="R398" s="227">
        <v>2204920.0</v>
      </c>
      <c r="S398" s="213"/>
      <c r="T398" s="213"/>
      <c r="U398" s="213"/>
      <c r="V398" s="214"/>
      <c r="W398" s="212"/>
      <c r="X398" s="212"/>
    </row>
    <row r="399" ht="15.0" customHeight="1">
      <c r="A399" s="127">
        <v>45472.0</v>
      </c>
      <c r="B399" s="181" t="s">
        <v>3983</v>
      </c>
      <c r="C399" s="56" t="s">
        <v>2669</v>
      </c>
      <c r="D399" s="73" t="str">
        <f>IFERROR(VLOOKUP(C399,Stock,3,FALSE),"")</f>
        <v>Nissan Livina 07-18 L10/L11</v>
      </c>
      <c r="E399" s="56">
        <v>1.0</v>
      </c>
      <c r="F399" s="161">
        <v>1422000.0</v>
      </c>
      <c r="G399" s="162">
        <f t="shared" si="8"/>
        <v>1422000</v>
      </c>
      <c r="H399" s="194"/>
      <c r="I399" s="224">
        <f t="shared" si="5"/>
        <v>1422000</v>
      </c>
      <c r="J399" s="164">
        <f t="shared" si="7"/>
        <v>1422000</v>
      </c>
      <c r="K399" s="56" t="s">
        <v>3984</v>
      </c>
      <c r="L399" s="165" t="s">
        <v>3985</v>
      </c>
      <c r="M399" s="73"/>
      <c r="N399" s="169" t="s">
        <v>3986</v>
      </c>
      <c r="O399" s="169" t="s">
        <v>2958</v>
      </c>
      <c r="P399" s="168" t="s">
        <v>3112</v>
      </c>
      <c r="Q399" s="167">
        <v>1700000.0</v>
      </c>
      <c r="R399" s="173"/>
      <c r="S399" s="173"/>
      <c r="T399" s="173"/>
      <c r="U399" s="167">
        <v>78000.0</v>
      </c>
      <c r="V399" s="168" t="s">
        <v>3883</v>
      </c>
      <c r="W399" s="169"/>
      <c r="X399" s="219">
        <v>45472.0</v>
      </c>
    </row>
    <row r="400" ht="15.0" customHeight="1">
      <c r="A400" s="127">
        <v>45472.0</v>
      </c>
      <c r="B400" s="228" t="s">
        <v>3983</v>
      </c>
      <c r="C400" s="56" t="s">
        <v>3532</v>
      </c>
      <c r="D400" s="73" t="str">
        <f>IFERROR(VLOOKUP(C400,Stock,3,FALSE),"")</f>
        <v>9092 Sealant Application</v>
      </c>
      <c r="E400" s="56">
        <v>1.0</v>
      </c>
      <c r="F400" s="161">
        <v>200000.0</v>
      </c>
      <c r="G400" s="162">
        <f t="shared" si="8"/>
        <v>200000</v>
      </c>
      <c r="H400" s="194"/>
      <c r="I400" s="224">
        <f t="shared" si="5"/>
        <v>200000</v>
      </c>
      <c r="J400" s="164">
        <f t="shared" si="7"/>
        <v>200000</v>
      </c>
      <c r="K400" s="56" t="s">
        <v>3984</v>
      </c>
      <c r="L400" s="165" t="s">
        <v>3985</v>
      </c>
      <c r="M400" s="73"/>
      <c r="N400" s="169" t="s">
        <v>3986</v>
      </c>
      <c r="O400" s="169" t="s">
        <v>2958</v>
      </c>
      <c r="P400" s="168" t="s">
        <v>3112</v>
      </c>
      <c r="Q400" s="167"/>
      <c r="R400" s="173"/>
      <c r="S400" s="173"/>
      <c r="T400" s="173"/>
      <c r="U400" s="173"/>
      <c r="V400" s="168" t="s">
        <v>3883</v>
      </c>
      <c r="W400" s="169"/>
      <c r="X400" s="171"/>
    </row>
    <row r="401" ht="15.0" customHeight="1">
      <c r="A401" s="127">
        <v>45472.0</v>
      </c>
      <c r="B401" s="181" t="s">
        <v>3987</v>
      </c>
      <c r="C401" s="169" t="s">
        <v>3988</v>
      </c>
      <c r="D401" s="73" t="str">
        <f>IFERROR(VLOOKUP(C401,Stock,3,FALSE),"")</f>
        <v>Honda Brio 18-</v>
      </c>
      <c r="E401" s="56">
        <v>1.0</v>
      </c>
      <c r="F401" s="161">
        <v>685000.0</v>
      </c>
      <c r="G401" s="162">
        <f t="shared" si="8"/>
        <v>685000</v>
      </c>
      <c r="H401" s="194"/>
      <c r="I401" s="224">
        <f t="shared" si="5"/>
        <v>685000</v>
      </c>
      <c r="J401" s="164">
        <f t="shared" si="7"/>
        <v>685000</v>
      </c>
      <c r="K401" s="56" t="s">
        <v>3989</v>
      </c>
      <c r="L401" s="165" t="s">
        <v>3990</v>
      </c>
      <c r="M401" s="56" t="s">
        <v>3991</v>
      </c>
      <c r="N401" s="169" t="s">
        <v>3992</v>
      </c>
      <c r="O401" s="169" t="s">
        <v>3037</v>
      </c>
      <c r="P401" s="168" t="s">
        <v>3112</v>
      </c>
      <c r="Q401" s="167">
        <v>700000.0</v>
      </c>
      <c r="R401" s="173"/>
      <c r="S401" s="173"/>
      <c r="T401" s="173"/>
      <c r="U401" s="167">
        <v>15000.0</v>
      </c>
      <c r="V401" s="168" t="s">
        <v>3799</v>
      </c>
      <c r="W401" s="169"/>
      <c r="X401" s="219">
        <v>45472.0</v>
      </c>
    </row>
    <row r="402" ht="15.0" customHeight="1">
      <c r="A402" s="127">
        <v>45472.0</v>
      </c>
      <c r="B402" s="181" t="s">
        <v>3993</v>
      </c>
      <c r="C402" s="56" t="s">
        <v>3994</v>
      </c>
      <c r="D402" s="73" t="str">
        <f>IFERROR(VLOOKUP(C402,Stock,3,FALSE),"")</f>
        <v>Daihatsu Sirion 11-18 2nd Gen</v>
      </c>
      <c r="E402" s="56">
        <v>1.0</v>
      </c>
      <c r="F402" s="161">
        <v>1098000.0</v>
      </c>
      <c r="G402" s="162">
        <f t="shared" si="8"/>
        <v>1098000</v>
      </c>
      <c r="H402" s="194"/>
      <c r="I402" s="224">
        <f t="shared" si="5"/>
        <v>1098000</v>
      </c>
      <c r="J402" s="164">
        <f t="shared" si="7"/>
        <v>1098000</v>
      </c>
      <c r="K402" s="56" t="s">
        <v>3995</v>
      </c>
      <c r="L402" s="165" t="s">
        <v>3996</v>
      </c>
      <c r="M402" s="73"/>
      <c r="N402" s="169" t="s">
        <v>3997</v>
      </c>
      <c r="O402" s="169" t="s">
        <v>3037</v>
      </c>
      <c r="P402" s="168" t="s">
        <v>3112</v>
      </c>
      <c r="Q402" s="167">
        <v>1100000.0</v>
      </c>
      <c r="R402" s="173"/>
      <c r="S402" s="173"/>
      <c r="T402" s="173"/>
      <c r="U402" s="167">
        <v>2000.0</v>
      </c>
      <c r="V402" s="168" t="s">
        <v>3799</v>
      </c>
      <c r="W402" s="169"/>
      <c r="X402" s="169" t="s">
        <v>3998</v>
      </c>
    </row>
    <row r="403" ht="15.0" customHeight="1">
      <c r="A403" s="127">
        <v>45472.0</v>
      </c>
      <c r="B403" s="181" t="s">
        <v>3999</v>
      </c>
      <c r="C403" s="56" t="s">
        <v>3025</v>
      </c>
      <c r="D403" s="73" t="str">
        <f>IFERROR(VLOOKUP(C403,Stock,3,FALSE),"")</f>
        <v>Toyota Rush / Terios 06-17</v>
      </c>
      <c r="E403" s="56">
        <v>1.0</v>
      </c>
      <c r="F403" s="161">
        <v>1148000.0</v>
      </c>
      <c r="G403" s="161">
        <v>1148000.0</v>
      </c>
      <c r="H403" s="201">
        <v>18000.0</v>
      </c>
      <c r="I403" s="224">
        <f t="shared" si="5"/>
        <v>1130000</v>
      </c>
      <c r="J403" s="164">
        <f t="shared" si="7"/>
        <v>1130000</v>
      </c>
      <c r="K403" s="56" t="s">
        <v>4000</v>
      </c>
      <c r="L403" s="165" t="s">
        <v>4001</v>
      </c>
      <c r="M403" s="73"/>
      <c r="N403" s="171"/>
      <c r="O403" s="169" t="s">
        <v>3037</v>
      </c>
      <c r="P403" s="168" t="s">
        <v>4002</v>
      </c>
      <c r="Q403" s="173"/>
      <c r="R403" s="167">
        <v>1130000.0</v>
      </c>
      <c r="S403" s="173"/>
      <c r="T403" s="173"/>
      <c r="U403" s="173"/>
      <c r="V403" s="168" t="s">
        <v>3799</v>
      </c>
      <c r="W403" s="169"/>
      <c r="X403" s="169" t="s">
        <v>4003</v>
      </c>
    </row>
    <row r="404" ht="15.0" customHeight="1">
      <c r="A404" s="127">
        <v>45472.0</v>
      </c>
      <c r="B404" s="181" t="s">
        <v>3999</v>
      </c>
      <c r="C404" s="56" t="s">
        <v>3083</v>
      </c>
      <c r="D404" s="73" t="str">
        <f>IFERROR(VLOOKUP(C404,Stock,3,FALSE),"")</f>
        <v>List Kaca Depan Code 04</v>
      </c>
      <c r="E404" s="56">
        <v>1.0</v>
      </c>
      <c r="F404" s="161">
        <v>275000.0</v>
      </c>
      <c r="G404" s="162">
        <f t="shared" ref="G404:G517" si="9">E404*F404</f>
        <v>275000</v>
      </c>
      <c r="H404" s="194"/>
      <c r="I404" s="224">
        <f t="shared" si="5"/>
        <v>275000</v>
      </c>
      <c r="J404" s="164">
        <f t="shared" si="7"/>
        <v>275000</v>
      </c>
      <c r="K404" s="56" t="s">
        <v>4000</v>
      </c>
      <c r="L404" s="165" t="s">
        <v>4001</v>
      </c>
      <c r="M404" s="73"/>
      <c r="N404" s="171"/>
      <c r="O404" s="169" t="s">
        <v>3037</v>
      </c>
      <c r="P404" s="168" t="s">
        <v>4002</v>
      </c>
      <c r="Q404" s="173"/>
      <c r="R404" s="167">
        <v>275000.0</v>
      </c>
      <c r="S404" s="173"/>
      <c r="T404" s="173"/>
      <c r="U404" s="173"/>
      <c r="V404" s="168" t="s">
        <v>3799</v>
      </c>
      <c r="W404" s="169"/>
      <c r="X404" s="169" t="s">
        <v>4003</v>
      </c>
    </row>
    <row r="405" ht="15.0" customHeight="1">
      <c r="A405" s="127">
        <v>45472.0</v>
      </c>
      <c r="B405" s="181" t="s">
        <v>3999</v>
      </c>
      <c r="C405" s="56" t="s">
        <v>2954</v>
      </c>
      <c r="D405" s="73" t="str">
        <f>IFERROR(VLOOKUP(C405,Stock,3,FALSE),"")</f>
        <v>Transport</v>
      </c>
      <c r="E405" s="56">
        <v>1.0</v>
      </c>
      <c r="F405" s="161">
        <v>100000.0</v>
      </c>
      <c r="G405" s="162">
        <f t="shared" si="9"/>
        <v>100000</v>
      </c>
      <c r="H405" s="194"/>
      <c r="I405" s="224">
        <f t="shared" si="5"/>
        <v>100000</v>
      </c>
      <c r="J405" s="164">
        <f t="shared" si="7"/>
        <v>100000</v>
      </c>
      <c r="K405" s="56" t="s">
        <v>4000</v>
      </c>
      <c r="L405" s="165" t="s">
        <v>4001</v>
      </c>
      <c r="M405" s="73"/>
      <c r="N405" s="171"/>
      <c r="O405" s="169" t="s">
        <v>3037</v>
      </c>
      <c r="P405" s="168" t="s">
        <v>4002</v>
      </c>
      <c r="Q405" s="173"/>
      <c r="R405" s="167">
        <v>100000.0</v>
      </c>
      <c r="S405" s="173"/>
      <c r="T405" s="173"/>
      <c r="U405" s="173"/>
      <c r="V405" s="168" t="s">
        <v>3799</v>
      </c>
      <c r="W405" s="169"/>
      <c r="X405" s="169" t="s">
        <v>4003</v>
      </c>
    </row>
    <row r="406" ht="15.0" customHeight="1">
      <c r="A406" s="127">
        <v>45472.0</v>
      </c>
      <c r="B406" s="181" t="s">
        <v>4004</v>
      </c>
      <c r="C406" s="56" t="s">
        <v>4005</v>
      </c>
      <c r="D406" s="73" t="str">
        <f>IFERROR(VLOOKUP(C406,Stock,3,FALSE),"")</f>
        <v>Toyota Fortuner 15- 2nd Gen</v>
      </c>
      <c r="E406" s="56">
        <v>1.0</v>
      </c>
      <c r="F406" s="161">
        <v>1800000.0</v>
      </c>
      <c r="G406" s="162">
        <f t="shared" si="9"/>
        <v>1800000</v>
      </c>
      <c r="H406" s="194"/>
      <c r="I406" s="224">
        <f t="shared" si="5"/>
        <v>1800000</v>
      </c>
      <c r="J406" s="164">
        <f t="shared" si="7"/>
        <v>1800000</v>
      </c>
      <c r="K406" s="56" t="s">
        <v>4006</v>
      </c>
      <c r="L406" s="165" t="s">
        <v>4007</v>
      </c>
      <c r="M406" s="73"/>
      <c r="N406" s="171"/>
      <c r="O406" s="169" t="s">
        <v>2958</v>
      </c>
      <c r="P406" s="168" t="s">
        <v>3112</v>
      </c>
      <c r="Q406" s="167"/>
      <c r="R406" s="167">
        <v>1800000.0</v>
      </c>
      <c r="S406" s="173"/>
      <c r="T406" s="173"/>
      <c r="U406" s="173"/>
      <c r="V406" s="202"/>
      <c r="W406" s="171"/>
      <c r="X406" s="169" t="s">
        <v>4008</v>
      </c>
    </row>
    <row r="407" ht="15.0" customHeight="1">
      <c r="A407" s="127">
        <v>45472.0</v>
      </c>
      <c r="B407" s="181" t="s">
        <v>4004</v>
      </c>
      <c r="C407" s="56" t="s">
        <v>2954</v>
      </c>
      <c r="D407" s="73" t="str">
        <f>IFERROR(VLOOKUP(C407,Stock,3,FALSE),"")</f>
        <v>Transport</v>
      </c>
      <c r="E407" s="56">
        <v>1.0</v>
      </c>
      <c r="F407" s="161">
        <v>30000.0</v>
      </c>
      <c r="G407" s="162">
        <f t="shared" si="9"/>
        <v>30000</v>
      </c>
      <c r="H407" s="194"/>
      <c r="I407" s="224">
        <f t="shared" si="5"/>
        <v>30000</v>
      </c>
      <c r="J407" s="164">
        <f t="shared" si="7"/>
        <v>30000</v>
      </c>
      <c r="K407" s="56" t="s">
        <v>4006</v>
      </c>
      <c r="L407" s="165" t="s">
        <v>4007</v>
      </c>
      <c r="M407" s="73"/>
      <c r="N407" s="171"/>
      <c r="O407" s="169" t="s">
        <v>2958</v>
      </c>
      <c r="P407" s="168" t="s">
        <v>3112</v>
      </c>
      <c r="Q407" s="173"/>
      <c r="R407" s="167">
        <v>30000.0</v>
      </c>
      <c r="S407" s="173"/>
      <c r="T407" s="173"/>
      <c r="U407" s="173"/>
      <c r="V407" s="202"/>
      <c r="W407" s="171"/>
      <c r="X407" s="169" t="s">
        <v>4008</v>
      </c>
    </row>
    <row r="408" ht="15.0" customHeight="1">
      <c r="A408" s="183">
        <v>45474.0</v>
      </c>
      <c r="B408" s="185" t="s">
        <v>4009</v>
      </c>
      <c r="C408" s="184" t="s">
        <v>2677</v>
      </c>
      <c r="D408" s="186" t="str">
        <f>IFERROR(VLOOKUP(C408,Stock,3,FALSE),"")</f>
        <v>Suzuki Grand Escudo 00-05</v>
      </c>
      <c r="E408" s="184">
        <v>1.0</v>
      </c>
      <c r="F408" s="187">
        <v>522000.0</v>
      </c>
      <c r="G408" s="188">
        <f t="shared" si="9"/>
        <v>522000</v>
      </c>
      <c r="H408" s="210"/>
      <c r="I408" s="187">
        <f t="shared" si="5"/>
        <v>522000</v>
      </c>
      <c r="J408" s="189">
        <f t="shared" si="7"/>
        <v>522000</v>
      </c>
      <c r="K408" s="184" t="s">
        <v>4010</v>
      </c>
      <c r="L408" s="186"/>
      <c r="M408" s="186"/>
      <c r="N408" s="212"/>
      <c r="O408" s="193" t="s">
        <v>2958</v>
      </c>
      <c r="P408" s="214"/>
      <c r="Q408" s="213"/>
      <c r="R408" s="213"/>
      <c r="S408" s="213"/>
      <c r="T408" s="213"/>
      <c r="U408" s="213"/>
      <c r="V408" s="214"/>
      <c r="W408" s="212"/>
      <c r="X408" s="212"/>
    </row>
    <row r="409" ht="15.0" customHeight="1">
      <c r="A409" s="127">
        <v>45474.0</v>
      </c>
      <c r="B409" s="181" t="s">
        <v>4011</v>
      </c>
      <c r="C409" s="56" t="s">
        <v>3186</v>
      </c>
      <c r="D409" s="73" t="str">
        <f>IFERROR(VLOOKUP(C409,Stock,3,FALSE),"")</f>
        <v>Daihatsu Gran Max / Luxio 07-</v>
      </c>
      <c r="E409" s="56">
        <v>1.0</v>
      </c>
      <c r="F409" s="161">
        <v>1095000.0</v>
      </c>
      <c r="G409" s="162">
        <f t="shared" si="9"/>
        <v>1095000</v>
      </c>
      <c r="H409" s="194"/>
      <c r="I409" s="204">
        <f t="shared" si="5"/>
        <v>1095000</v>
      </c>
      <c r="J409" s="164">
        <f t="shared" si="7"/>
        <v>1095000</v>
      </c>
      <c r="K409" s="56" t="s">
        <v>4012</v>
      </c>
      <c r="L409" s="165" t="s">
        <v>4013</v>
      </c>
      <c r="M409" s="73"/>
      <c r="N409" s="169" t="s">
        <v>4014</v>
      </c>
      <c r="O409" s="169" t="s">
        <v>2958</v>
      </c>
      <c r="P409" s="168" t="s">
        <v>3112</v>
      </c>
      <c r="Q409" s="173"/>
      <c r="R409" s="167">
        <v>1095000.0</v>
      </c>
      <c r="S409" s="173"/>
      <c r="T409" s="173"/>
      <c r="U409" s="173"/>
      <c r="V409" s="168" t="s">
        <v>3799</v>
      </c>
      <c r="W409" s="169"/>
      <c r="X409" s="219">
        <v>45474.0</v>
      </c>
    </row>
    <row r="410" ht="15.0" customHeight="1">
      <c r="A410" s="127">
        <v>45474.0</v>
      </c>
      <c r="B410" s="181" t="s">
        <v>4015</v>
      </c>
      <c r="C410" s="56" t="s">
        <v>3186</v>
      </c>
      <c r="D410" s="73" t="str">
        <f>IFERROR(VLOOKUP(C410,Stock,3,FALSE),"")</f>
        <v>Daihatsu Gran Max / Luxio 07-</v>
      </c>
      <c r="E410" s="56">
        <v>1.0</v>
      </c>
      <c r="F410" s="161">
        <v>855000.0</v>
      </c>
      <c r="G410" s="162">
        <f t="shared" si="9"/>
        <v>855000</v>
      </c>
      <c r="H410" s="194"/>
      <c r="I410" s="204">
        <f t="shared" si="5"/>
        <v>855000</v>
      </c>
      <c r="J410" s="164">
        <f t="shared" si="7"/>
        <v>855000</v>
      </c>
      <c r="K410" s="197" t="s">
        <v>4016</v>
      </c>
      <c r="L410" s="165" t="s">
        <v>4017</v>
      </c>
      <c r="M410" s="73"/>
      <c r="N410" s="171"/>
      <c r="O410" s="169" t="s">
        <v>2958</v>
      </c>
      <c r="P410" s="168" t="s">
        <v>3112</v>
      </c>
      <c r="Q410" s="167">
        <v>855000.0</v>
      </c>
      <c r="R410" s="173"/>
      <c r="S410" s="173"/>
      <c r="T410" s="173"/>
      <c r="U410" s="173"/>
      <c r="V410" s="168" t="s">
        <v>3799</v>
      </c>
      <c r="W410" s="169"/>
      <c r="X410" s="219">
        <v>45474.0</v>
      </c>
    </row>
    <row r="411" ht="15.0" customHeight="1">
      <c r="A411" s="127">
        <v>45474.0</v>
      </c>
      <c r="B411" s="181" t="s">
        <v>4018</v>
      </c>
      <c r="C411" s="56" t="s">
        <v>2997</v>
      </c>
      <c r="D411" s="73" t="str">
        <f>IFERROR(VLOOKUP(C411,Stock,3,FALSE),"")</f>
        <v>Honda City 02-08 4th Gen Idsi GD8</v>
      </c>
      <c r="E411" s="56">
        <v>1.0</v>
      </c>
      <c r="F411" s="161">
        <v>1500000.0</v>
      </c>
      <c r="G411" s="162">
        <f t="shared" si="9"/>
        <v>1500000</v>
      </c>
      <c r="H411" s="194"/>
      <c r="I411" s="204">
        <f t="shared" si="5"/>
        <v>1500000</v>
      </c>
      <c r="J411" s="164">
        <f t="shared" si="7"/>
        <v>1500000</v>
      </c>
      <c r="K411" s="56" t="s">
        <v>4019</v>
      </c>
      <c r="L411" s="165" t="s">
        <v>4020</v>
      </c>
      <c r="M411" s="73"/>
      <c r="N411" s="171"/>
      <c r="O411" s="169" t="s">
        <v>3204</v>
      </c>
      <c r="P411" s="168" t="s">
        <v>3112</v>
      </c>
      <c r="Q411" s="173"/>
      <c r="R411" s="167">
        <v>1500000.0</v>
      </c>
      <c r="S411" s="173"/>
      <c r="T411" s="173"/>
      <c r="U411" s="173"/>
      <c r="V411" s="168" t="s">
        <v>3883</v>
      </c>
      <c r="W411" s="169"/>
      <c r="X411" s="219">
        <v>45474.0</v>
      </c>
    </row>
    <row r="412" ht="15.0" customHeight="1">
      <c r="A412" s="127">
        <v>45474.0</v>
      </c>
      <c r="B412" s="181" t="s">
        <v>4021</v>
      </c>
      <c r="C412" s="56" t="s">
        <v>3368</v>
      </c>
      <c r="D412" s="73" t="str">
        <f>IFERROR(VLOOKUP(C412,Stock,3,FALSE),"")</f>
        <v>Toyota Hi-Ace 04-20 Commuter</v>
      </c>
      <c r="E412" s="56">
        <v>1.0</v>
      </c>
      <c r="F412" s="161">
        <v>637000.0</v>
      </c>
      <c r="G412" s="162">
        <f t="shared" si="9"/>
        <v>637000</v>
      </c>
      <c r="H412" s="194"/>
      <c r="I412" s="204">
        <f t="shared" si="5"/>
        <v>637000</v>
      </c>
      <c r="J412" s="164">
        <f t="shared" si="7"/>
        <v>637000</v>
      </c>
      <c r="K412" s="56" t="s">
        <v>3881</v>
      </c>
      <c r="L412" s="165" t="s">
        <v>3882</v>
      </c>
      <c r="M412" s="73"/>
      <c r="N412" s="171"/>
      <c r="O412" s="169" t="s">
        <v>2958</v>
      </c>
      <c r="P412" s="168" t="s">
        <v>3112</v>
      </c>
      <c r="Q412" s="173"/>
      <c r="R412" s="167">
        <v>251000.0</v>
      </c>
      <c r="S412" s="173"/>
      <c r="T412" s="173"/>
      <c r="U412" s="173"/>
      <c r="V412" s="168" t="s">
        <v>3883</v>
      </c>
      <c r="W412" s="169"/>
      <c r="X412" s="169" t="s">
        <v>4022</v>
      </c>
    </row>
    <row r="413" ht="15.0" customHeight="1">
      <c r="A413" s="127">
        <v>45474.0</v>
      </c>
      <c r="B413" s="181" t="s">
        <v>4021</v>
      </c>
      <c r="C413" s="56" t="s">
        <v>2954</v>
      </c>
      <c r="D413" s="73" t="str">
        <f>IFERROR(VLOOKUP(C413,Stock,3,FALSE),"")</f>
        <v>Transport</v>
      </c>
      <c r="E413" s="56">
        <v>1.0</v>
      </c>
      <c r="F413" s="161">
        <v>200000.0</v>
      </c>
      <c r="G413" s="162">
        <f t="shared" si="9"/>
        <v>200000</v>
      </c>
      <c r="H413" s="194"/>
      <c r="I413" s="204">
        <f t="shared" si="5"/>
        <v>200000</v>
      </c>
      <c r="J413" s="164">
        <f t="shared" si="7"/>
        <v>200000</v>
      </c>
      <c r="K413" s="56" t="s">
        <v>3881</v>
      </c>
      <c r="L413" s="165" t="s">
        <v>3882</v>
      </c>
      <c r="M413" s="73"/>
      <c r="N413" s="171"/>
      <c r="O413" s="169" t="s">
        <v>2958</v>
      </c>
      <c r="P413" s="168" t="s">
        <v>3112</v>
      </c>
      <c r="Q413" s="167">
        <v>586000.0</v>
      </c>
      <c r="R413" s="173"/>
      <c r="S413" s="173"/>
      <c r="T413" s="173"/>
      <c r="U413" s="173"/>
      <c r="V413" s="168" t="s">
        <v>3883</v>
      </c>
      <c r="W413" s="169"/>
      <c r="X413" s="169" t="s">
        <v>4023</v>
      </c>
    </row>
    <row r="414" ht="15.0" customHeight="1">
      <c r="A414" s="127">
        <v>45474.0</v>
      </c>
      <c r="B414" s="181" t="s">
        <v>4024</v>
      </c>
      <c r="C414" s="169" t="s">
        <v>3176</v>
      </c>
      <c r="D414" s="73" t="str">
        <f>IFERROR(VLOOKUP(C414,Stock,3,FALSE),"")</f>
        <v>Toyota Avanza / Xenia 11-15 2nd Gen / 15-21 3rd Gen</v>
      </c>
      <c r="E414" s="56">
        <v>1.0</v>
      </c>
      <c r="F414" s="161">
        <v>880000.0</v>
      </c>
      <c r="G414" s="162">
        <f t="shared" si="9"/>
        <v>880000</v>
      </c>
      <c r="H414" s="194"/>
      <c r="I414" s="204">
        <f t="shared" si="5"/>
        <v>880000</v>
      </c>
      <c r="J414" s="164">
        <f t="shared" si="7"/>
        <v>880000</v>
      </c>
      <c r="K414" s="56" t="s">
        <v>4025</v>
      </c>
      <c r="L414" s="165" t="s">
        <v>4026</v>
      </c>
      <c r="M414" s="73"/>
      <c r="N414" s="171"/>
      <c r="O414" s="169" t="s">
        <v>2958</v>
      </c>
      <c r="P414" s="168" t="s">
        <v>3112</v>
      </c>
      <c r="Q414" s="173"/>
      <c r="R414" s="167">
        <v>880000.0</v>
      </c>
      <c r="S414" s="173"/>
      <c r="T414" s="173"/>
      <c r="U414" s="173"/>
      <c r="V414" s="168" t="s">
        <v>3799</v>
      </c>
      <c r="W414" s="169"/>
      <c r="X414" s="219">
        <v>45474.0</v>
      </c>
    </row>
    <row r="415" ht="15.0" customHeight="1">
      <c r="A415" s="127">
        <v>45474.0</v>
      </c>
      <c r="B415" s="181" t="s">
        <v>4024</v>
      </c>
      <c r="C415" s="56" t="s">
        <v>4027</v>
      </c>
      <c r="D415" s="73" t="str">
        <f>IFERROR(VLOOKUP(C415,Stock,3,FALSE),"")</f>
        <v>501 Sealant Application</v>
      </c>
      <c r="E415" s="56">
        <v>1.0</v>
      </c>
      <c r="F415" s="161">
        <v>100000.0</v>
      </c>
      <c r="G415" s="162">
        <f t="shared" si="9"/>
        <v>100000</v>
      </c>
      <c r="H415" s="194"/>
      <c r="I415" s="204">
        <f t="shared" si="5"/>
        <v>100000</v>
      </c>
      <c r="J415" s="164">
        <f t="shared" si="7"/>
        <v>100000</v>
      </c>
      <c r="K415" s="56" t="s">
        <v>4025</v>
      </c>
      <c r="L415" s="56" t="s">
        <v>4028</v>
      </c>
      <c r="M415" s="73"/>
      <c r="N415" s="171"/>
      <c r="O415" s="169" t="s">
        <v>2958</v>
      </c>
      <c r="P415" s="168" t="s">
        <v>3112</v>
      </c>
      <c r="Q415" s="173"/>
      <c r="R415" s="167">
        <v>100000.0</v>
      </c>
      <c r="S415" s="173"/>
      <c r="T415" s="173"/>
      <c r="U415" s="173"/>
      <c r="V415" s="168" t="s">
        <v>3799</v>
      </c>
      <c r="W415" s="169"/>
      <c r="X415" s="219">
        <v>45474.0</v>
      </c>
    </row>
    <row r="416" ht="15.0" customHeight="1">
      <c r="A416" s="127">
        <v>45475.0</v>
      </c>
      <c r="B416" s="181" t="s">
        <v>4029</v>
      </c>
      <c r="C416" s="56" t="s">
        <v>2954</v>
      </c>
      <c r="D416" s="73" t="str">
        <f>IFERROR(VLOOKUP(C416,Stock,3,FALSE),"")</f>
        <v>Transport</v>
      </c>
      <c r="E416" s="56">
        <v>1.0</v>
      </c>
      <c r="F416" s="161">
        <v>50000.0</v>
      </c>
      <c r="G416" s="162">
        <f t="shared" si="9"/>
        <v>50000</v>
      </c>
      <c r="H416" s="194"/>
      <c r="I416" s="204">
        <f t="shared" si="5"/>
        <v>50000</v>
      </c>
      <c r="J416" s="164">
        <f t="shared" si="7"/>
        <v>50000</v>
      </c>
      <c r="K416" s="56" t="s">
        <v>4030</v>
      </c>
      <c r="L416" s="165" t="s">
        <v>4031</v>
      </c>
      <c r="M416" s="73"/>
      <c r="N416" s="171"/>
      <c r="O416" s="169" t="s">
        <v>2958</v>
      </c>
      <c r="P416" s="168" t="s">
        <v>3112</v>
      </c>
      <c r="Q416" s="167">
        <v>50000.0</v>
      </c>
      <c r="R416" s="173"/>
      <c r="S416" s="173"/>
      <c r="T416" s="173"/>
      <c r="U416" s="173"/>
      <c r="V416" s="168" t="s">
        <v>3883</v>
      </c>
      <c r="W416" s="169"/>
      <c r="X416" s="219">
        <v>45475.0</v>
      </c>
    </row>
    <row r="417" ht="15.0" customHeight="1">
      <c r="A417" s="127">
        <v>45475.0</v>
      </c>
      <c r="B417" s="181" t="s">
        <v>4032</v>
      </c>
      <c r="C417" s="169" t="s">
        <v>4033</v>
      </c>
      <c r="D417" s="73" t="str">
        <f>IFERROR(VLOOKUP(C417,Stock,3,FALSE),"")</f>
        <v>Mers-Benz A180/200/250 13-18 W176 / GLA 13-19 W156</v>
      </c>
      <c r="E417" s="56">
        <v>1.0</v>
      </c>
      <c r="F417" s="161">
        <v>9328000.0</v>
      </c>
      <c r="G417" s="162">
        <f t="shared" si="9"/>
        <v>9328000</v>
      </c>
      <c r="H417" s="194"/>
      <c r="I417" s="204">
        <f t="shared" si="5"/>
        <v>9328000</v>
      </c>
      <c r="J417" s="164">
        <f t="shared" si="7"/>
        <v>9328000</v>
      </c>
      <c r="K417" s="229" t="s">
        <v>4034</v>
      </c>
      <c r="L417" s="165" t="s">
        <v>4035</v>
      </c>
      <c r="M417" s="73"/>
      <c r="N417" s="171"/>
      <c r="O417" s="169" t="s">
        <v>2958</v>
      </c>
      <c r="P417" s="168" t="s">
        <v>3112</v>
      </c>
      <c r="Q417" s="173"/>
      <c r="R417" s="167">
        <v>9328000.0</v>
      </c>
      <c r="S417" s="173"/>
      <c r="T417" s="173"/>
      <c r="U417" s="173"/>
      <c r="V417" s="168" t="s">
        <v>3799</v>
      </c>
      <c r="W417" s="169"/>
      <c r="X417" s="169" t="s">
        <v>4036</v>
      </c>
    </row>
    <row r="418" ht="15.0" customHeight="1">
      <c r="A418" s="127">
        <v>45476.0</v>
      </c>
      <c r="B418" s="181" t="s">
        <v>4037</v>
      </c>
      <c r="C418" s="56" t="s">
        <v>4038</v>
      </c>
      <c r="D418" s="73" t="str">
        <f>IFERROR(VLOOKUP(C418,Stock,3,FALSE),"")</f>
        <v>Suzuki Carry New 19-</v>
      </c>
      <c r="E418" s="56">
        <v>1.0</v>
      </c>
      <c r="F418" s="161">
        <v>888000.0</v>
      </c>
      <c r="G418" s="162">
        <f t="shared" si="9"/>
        <v>888000</v>
      </c>
      <c r="H418" s="194"/>
      <c r="I418" s="204">
        <f t="shared" si="5"/>
        <v>888000</v>
      </c>
      <c r="J418" s="164">
        <f t="shared" si="7"/>
        <v>888000</v>
      </c>
      <c r="K418" s="56" t="s">
        <v>4039</v>
      </c>
      <c r="L418" s="165" t="s">
        <v>4040</v>
      </c>
      <c r="M418" s="73"/>
      <c r="N418" s="171"/>
      <c r="O418" s="169" t="s">
        <v>3696</v>
      </c>
      <c r="P418" s="168" t="s">
        <v>2922</v>
      </c>
      <c r="Q418" s="173"/>
      <c r="R418" s="167">
        <v>888000.0</v>
      </c>
      <c r="S418" s="173"/>
      <c r="T418" s="173"/>
      <c r="U418" s="173"/>
      <c r="V418" s="168" t="s">
        <v>3883</v>
      </c>
      <c r="W418" s="169"/>
      <c r="X418" s="219">
        <v>45475.0</v>
      </c>
    </row>
    <row r="419" ht="15.0" customHeight="1">
      <c r="A419" s="127">
        <v>45476.0</v>
      </c>
      <c r="B419" s="181" t="s">
        <v>4037</v>
      </c>
      <c r="C419" s="56" t="s">
        <v>4041</v>
      </c>
      <c r="D419" s="73" t="str">
        <f>IFERROR(VLOOKUP(C419,Stock,3,FALSE),"")</f>
        <v>Suzuki Carry New 19- (Pick Up)</v>
      </c>
      <c r="E419" s="56">
        <v>1.0</v>
      </c>
      <c r="F419" s="161">
        <v>350000.0</v>
      </c>
      <c r="G419" s="162">
        <f t="shared" si="9"/>
        <v>350000</v>
      </c>
      <c r="H419" s="194"/>
      <c r="I419" s="204">
        <f t="shared" si="5"/>
        <v>350000</v>
      </c>
      <c r="J419" s="164">
        <f t="shared" si="7"/>
        <v>350000</v>
      </c>
      <c r="K419" s="56" t="s">
        <v>4039</v>
      </c>
      <c r="L419" s="165" t="s">
        <v>4040</v>
      </c>
      <c r="M419" s="73"/>
      <c r="N419" s="171"/>
      <c r="O419" s="169" t="s">
        <v>3696</v>
      </c>
      <c r="P419" s="168" t="s">
        <v>2922</v>
      </c>
      <c r="Q419" s="173"/>
      <c r="R419" s="167">
        <v>350000.0</v>
      </c>
      <c r="S419" s="173"/>
      <c r="T419" s="173"/>
      <c r="U419" s="173"/>
      <c r="V419" s="168" t="s">
        <v>3883</v>
      </c>
      <c r="W419" s="169"/>
      <c r="X419" s="219">
        <v>45475.0</v>
      </c>
    </row>
    <row r="420" ht="15.0" customHeight="1">
      <c r="A420" s="127">
        <v>45476.0</v>
      </c>
      <c r="B420" s="181" t="s">
        <v>4037</v>
      </c>
      <c r="C420" s="181" t="s">
        <v>2934</v>
      </c>
      <c r="D420" s="73" t="str">
        <f>IFERROR(VLOOKUP(C420,Stock,3,FALSE),"")</f>
        <v>Peti Kayu</v>
      </c>
      <c r="E420" s="56">
        <v>1.0</v>
      </c>
      <c r="F420" s="161">
        <v>160000.0</v>
      </c>
      <c r="G420" s="162">
        <f t="shared" si="9"/>
        <v>160000</v>
      </c>
      <c r="H420" s="194"/>
      <c r="I420" s="204">
        <f t="shared" si="5"/>
        <v>160000</v>
      </c>
      <c r="J420" s="164">
        <f t="shared" si="7"/>
        <v>160000</v>
      </c>
      <c r="K420" s="56" t="s">
        <v>4039</v>
      </c>
      <c r="L420" s="165" t="s">
        <v>4040</v>
      </c>
      <c r="M420" s="73"/>
      <c r="N420" s="171"/>
      <c r="O420" s="169" t="s">
        <v>3696</v>
      </c>
      <c r="P420" s="168" t="s">
        <v>2922</v>
      </c>
      <c r="Q420" s="173"/>
      <c r="R420" s="167">
        <v>160000.0</v>
      </c>
      <c r="S420" s="173"/>
      <c r="T420" s="173"/>
      <c r="U420" s="173"/>
      <c r="V420" s="168" t="s">
        <v>3883</v>
      </c>
      <c r="W420" s="169"/>
      <c r="X420" s="219">
        <v>45475.0</v>
      </c>
    </row>
    <row r="421" ht="15.0" customHeight="1">
      <c r="A421" s="127">
        <v>45476.0</v>
      </c>
      <c r="B421" s="181" t="s">
        <v>4042</v>
      </c>
      <c r="C421" s="56" t="s">
        <v>2721</v>
      </c>
      <c r="D421" s="73" t="str">
        <f>IFERROR(VLOOKUP(C421,Stock,3,FALSE),"")</f>
        <v>Toyota Dyna/Hino Dutro 00-</v>
      </c>
      <c r="E421" s="56">
        <v>1.0</v>
      </c>
      <c r="F421" s="161">
        <v>949000.0</v>
      </c>
      <c r="G421" s="162">
        <f t="shared" si="9"/>
        <v>949000</v>
      </c>
      <c r="H421" s="201">
        <v>19000.0</v>
      </c>
      <c r="I421" s="204">
        <f t="shared" si="5"/>
        <v>930000</v>
      </c>
      <c r="J421" s="164">
        <f t="shared" si="7"/>
        <v>930000</v>
      </c>
      <c r="K421" s="56" t="s">
        <v>4043</v>
      </c>
      <c r="L421" s="165" t="s">
        <v>4044</v>
      </c>
      <c r="M421" s="73"/>
      <c r="N421" s="171"/>
      <c r="O421" s="169" t="s">
        <v>2958</v>
      </c>
      <c r="P421" s="168" t="s">
        <v>3112</v>
      </c>
      <c r="Q421" s="173"/>
      <c r="R421" s="167">
        <v>930000.0</v>
      </c>
      <c r="S421" s="173"/>
      <c r="T421" s="173"/>
      <c r="U421" s="173"/>
      <c r="V421" s="168" t="s">
        <v>3883</v>
      </c>
      <c r="W421" s="169"/>
      <c r="X421" s="219">
        <v>45475.0</v>
      </c>
    </row>
    <row r="422" ht="15.0" customHeight="1">
      <c r="A422" s="127">
        <v>45476.0</v>
      </c>
      <c r="B422" s="181" t="s">
        <v>4042</v>
      </c>
      <c r="C422" s="56" t="s">
        <v>2954</v>
      </c>
      <c r="D422" s="73" t="str">
        <f>IFERROR(VLOOKUP(C422,Stock,3,FALSE),"")</f>
        <v>Transport</v>
      </c>
      <c r="E422" s="56">
        <v>1.0</v>
      </c>
      <c r="F422" s="161">
        <v>70000.0</v>
      </c>
      <c r="G422" s="162">
        <f t="shared" si="9"/>
        <v>70000</v>
      </c>
      <c r="H422" s="194"/>
      <c r="I422" s="204">
        <f t="shared" si="5"/>
        <v>70000</v>
      </c>
      <c r="J422" s="164">
        <f t="shared" si="7"/>
        <v>70000</v>
      </c>
      <c r="K422" s="56" t="s">
        <v>4043</v>
      </c>
      <c r="L422" s="165" t="s">
        <v>4044</v>
      </c>
      <c r="M422" s="73"/>
      <c r="N422" s="171"/>
      <c r="O422" s="169" t="s">
        <v>2958</v>
      </c>
      <c r="P422" s="168" t="s">
        <v>3112</v>
      </c>
      <c r="Q422" s="173"/>
      <c r="R422" s="167">
        <v>70000.0</v>
      </c>
      <c r="S422" s="173"/>
      <c r="T422" s="173"/>
      <c r="U422" s="173"/>
      <c r="V422" s="168" t="s">
        <v>3883</v>
      </c>
      <c r="W422" s="169"/>
      <c r="X422" s="219">
        <v>45475.0</v>
      </c>
    </row>
    <row r="423" ht="15.0" customHeight="1">
      <c r="A423" s="127">
        <v>45477.0</v>
      </c>
      <c r="B423" s="181" t="s">
        <v>4045</v>
      </c>
      <c r="C423" s="230" t="s">
        <v>2562</v>
      </c>
      <c r="D423" s="73" t="str">
        <f>IFERROR(VLOOKUP(C423,Stock,3,FALSE),"")</f>
        <v>Toyota Avanza / Xenia 15-21 3rd Gen</v>
      </c>
      <c r="E423" s="56">
        <v>1.0</v>
      </c>
      <c r="F423" s="161">
        <v>770000.0</v>
      </c>
      <c r="G423" s="162">
        <f t="shared" si="9"/>
        <v>770000</v>
      </c>
      <c r="H423" s="194"/>
      <c r="I423" s="204">
        <f t="shared" si="5"/>
        <v>770000</v>
      </c>
      <c r="J423" s="164">
        <f t="shared" si="7"/>
        <v>770000</v>
      </c>
      <c r="K423" s="56" t="s">
        <v>4000</v>
      </c>
      <c r="L423" s="165" t="s">
        <v>4001</v>
      </c>
      <c r="M423" s="73"/>
      <c r="N423" s="171"/>
      <c r="O423" s="169" t="s">
        <v>3037</v>
      </c>
      <c r="P423" s="168" t="s">
        <v>4002</v>
      </c>
      <c r="Q423" s="173"/>
      <c r="R423" s="167">
        <v>770000.0</v>
      </c>
      <c r="S423" s="173"/>
      <c r="T423" s="173"/>
      <c r="U423" s="173"/>
      <c r="V423" s="168" t="s">
        <v>3799</v>
      </c>
      <c r="W423" s="169"/>
      <c r="X423" s="219">
        <v>45475.0</v>
      </c>
    </row>
    <row r="424" ht="15.0" customHeight="1">
      <c r="A424" s="127">
        <v>45477.0</v>
      </c>
      <c r="B424" s="181" t="s">
        <v>4046</v>
      </c>
      <c r="C424" s="56" t="s">
        <v>2695</v>
      </c>
      <c r="D424" s="73" t="str">
        <f>IFERROR(VLOOKUP(C424,Stock,3,FALSE),"")</f>
        <v>Honda Accord 93-98 SV4 5th Gen (Cielo)</v>
      </c>
      <c r="E424" s="56">
        <v>1.0</v>
      </c>
      <c r="F424" s="161">
        <v>1803000.0</v>
      </c>
      <c r="G424" s="162">
        <f t="shared" si="9"/>
        <v>1803000</v>
      </c>
      <c r="H424" s="194"/>
      <c r="I424" s="204">
        <f t="shared" si="5"/>
        <v>1803000</v>
      </c>
      <c r="J424" s="164">
        <f t="shared" si="7"/>
        <v>1803000</v>
      </c>
      <c r="K424" s="197" t="s">
        <v>4047</v>
      </c>
      <c r="L424" s="165" t="s">
        <v>4048</v>
      </c>
      <c r="M424" s="73"/>
      <c r="N424" s="171"/>
      <c r="O424" s="169" t="s">
        <v>3037</v>
      </c>
      <c r="P424" s="168" t="s">
        <v>3112</v>
      </c>
      <c r="Q424" s="173"/>
      <c r="R424" s="167">
        <v>1953000.0</v>
      </c>
      <c r="S424" s="173"/>
      <c r="T424" s="173"/>
      <c r="U424" s="173"/>
      <c r="V424" s="202"/>
      <c r="W424" s="171"/>
      <c r="X424" s="219">
        <v>45475.0</v>
      </c>
    </row>
    <row r="425" ht="15.0" customHeight="1">
      <c r="A425" s="127">
        <v>45477.0</v>
      </c>
      <c r="B425" s="181" t="s">
        <v>4046</v>
      </c>
      <c r="C425" s="169" t="s">
        <v>2954</v>
      </c>
      <c r="D425" s="73" t="str">
        <f>IFERROR(VLOOKUP(C425,Stock,3,FALSE),"")</f>
        <v>Transport</v>
      </c>
      <c r="E425" s="56">
        <v>1.0</v>
      </c>
      <c r="F425" s="161">
        <v>150000.0</v>
      </c>
      <c r="G425" s="162">
        <f t="shared" si="9"/>
        <v>150000</v>
      </c>
      <c r="H425" s="194"/>
      <c r="I425" s="204">
        <f t="shared" si="5"/>
        <v>150000</v>
      </c>
      <c r="J425" s="164">
        <f t="shared" si="7"/>
        <v>150000</v>
      </c>
      <c r="K425" s="197" t="s">
        <v>4047</v>
      </c>
      <c r="L425" s="165" t="s">
        <v>4048</v>
      </c>
      <c r="M425" s="73"/>
      <c r="N425" s="171"/>
      <c r="O425" s="169" t="s">
        <v>3037</v>
      </c>
      <c r="P425" s="168" t="s">
        <v>3112</v>
      </c>
      <c r="Q425" s="173"/>
      <c r="R425" s="173"/>
      <c r="S425" s="173"/>
      <c r="T425" s="173"/>
      <c r="U425" s="173"/>
      <c r="V425" s="202"/>
      <c r="W425" s="171"/>
      <c r="X425" s="171"/>
    </row>
    <row r="426" ht="15.0" customHeight="1">
      <c r="A426" s="127">
        <v>45477.0</v>
      </c>
      <c r="B426" s="181" t="s">
        <v>4049</v>
      </c>
      <c r="C426" s="56" t="s">
        <v>2629</v>
      </c>
      <c r="D426" s="73" t="str">
        <f>IFERROR(VLOOKUP(C426,Stock,3,FALSE),"")</f>
        <v>Suzuki Baleno 08-15 SX4 / Neo Baleno</v>
      </c>
      <c r="E426" s="56">
        <v>1.0</v>
      </c>
      <c r="F426" s="161">
        <v>1636000.0</v>
      </c>
      <c r="G426" s="162">
        <f t="shared" si="9"/>
        <v>1636000</v>
      </c>
      <c r="H426" s="194"/>
      <c r="I426" s="204">
        <f t="shared" si="5"/>
        <v>1636000</v>
      </c>
      <c r="J426" s="164">
        <f t="shared" si="7"/>
        <v>1636000</v>
      </c>
      <c r="K426" s="56" t="s">
        <v>4050</v>
      </c>
      <c r="L426" s="165" t="s">
        <v>4051</v>
      </c>
      <c r="M426" s="73"/>
      <c r="N426" s="169" t="s">
        <v>4052</v>
      </c>
      <c r="O426" s="169" t="s">
        <v>3204</v>
      </c>
      <c r="P426" s="168" t="s">
        <v>3054</v>
      </c>
      <c r="Q426" s="167">
        <v>1750000.0</v>
      </c>
      <c r="R426" s="173"/>
      <c r="S426" s="173"/>
      <c r="T426" s="173"/>
      <c r="U426" s="167">
        <v>14000.0</v>
      </c>
      <c r="V426" s="168" t="s">
        <v>3883</v>
      </c>
      <c r="W426" s="169"/>
      <c r="X426" s="219">
        <v>45475.0</v>
      </c>
    </row>
    <row r="427" ht="15.0" customHeight="1">
      <c r="A427" s="127">
        <v>45477.0</v>
      </c>
      <c r="B427" s="181" t="s">
        <v>4049</v>
      </c>
      <c r="C427" s="56" t="s">
        <v>4027</v>
      </c>
      <c r="D427" s="73" t="str">
        <f>IFERROR(VLOOKUP(C427,Stock,3,FALSE),"")</f>
        <v>501 Sealant Application</v>
      </c>
      <c r="E427" s="56">
        <v>1.0</v>
      </c>
      <c r="F427" s="161">
        <v>100000.0</v>
      </c>
      <c r="G427" s="162">
        <f t="shared" si="9"/>
        <v>100000</v>
      </c>
      <c r="H427" s="194"/>
      <c r="I427" s="204">
        <f t="shared" si="5"/>
        <v>100000</v>
      </c>
      <c r="J427" s="164">
        <f t="shared" si="7"/>
        <v>100000</v>
      </c>
      <c r="K427" s="56" t="s">
        <v>4050</v>
      </c>
      <c r="L427" s="165" t="s">
        <v>4051</v>
      </c>
      <c r="M427" s="73"/>
      <c r="N427" s="169" t="s">
        <v>4052</v>
      </c>
      <c r="O427" s="169" t="s">
        <v>3204</v>
      </c>
      <c r="P427" s="168" t="s">
        <v>3054</v>
      </c>
      <c r="Q427" s="173"/>
      <c r="R427" s="173"/>
      <c r="S427" s="173"/>
      <c r="T427" s="173"/>
      <c r="U427" s="173"/>
      <c r="V427" s="168" t="s">
        <v>3883</v>
      </c>
      <c r="W427" s="169"/>
      <c r="X427" s="169" t="s">
        <v>4053</v>
      </c>
    </row>
    <row r="428" ht="15.0" customHeight="1">
      <c r="A428" s="127">
        <v>45478.0</v>
      </c>
      <c r="B428" s="181" t="s">
        <v>4054</v>
      </c>
      <c r="C428" s="56" t="s">
        <v>4027</v>
      </c>
      <c r="D428" s="73" t="str">
        <f>IFERROR(VLOOKUP(C428,Stock,3,FALSE),"")</f>
        <v>501 Sealant Application</v>
      </c>
      <c r="E428" s="56">
        <v>1.0</v>
      </c>
      <c r="F428" s="161">
        <v>100000.0</v>
      </c>
      <c r="G428" s="162">
        <f t="shared" si="9"/>
        <v>100000</v>
      </c>
      <c r="H428" s="194"/>
      <c r="I428" s="204">
        <f t="shared" si="5"/>
        <v>100000</v>
      </c>
      <c r="J428" s="164">
        <f t="shared" si="7"/>
        <v>100000</v>
      </c>
      <c r="K428" s="56" t="s">
        <v>3944</v>
      </c>
      <c r="L428" s="165" t="s">
        <v>4055</v>
      </c>
      <c r="M428" s="73"/>
      <c r="N428" s="169" t="s">
        <v>4056</v>
      </c>
      <c r="O428" s="169" t="s">
        <v>2958</v>
      </c>
      <c r="P428" s="168" t="s">
        <v>3112</v>
      </c>
      <c r="Q428" s="173"/>
      <c r="R428" s="167">
        <v>100000.0</v>
      </c>
      <c r="S428" s="173"/>
      <c r="T428" s="173"/>
      <c r="U428" s="173"/>
      <c r="V428" s="168" t="s">
        <v>3799</v>
      </c>
      <c r="W428" s="169"/>
      <c r="X428" s="169" t="s">
        <v>4057</v>
      </c>
    </row>
    <row r="429" ht="15.0" customHeight="1">
      <c r="A429" s="127">
        <v>45478.0</v>
      </c>
      <c r="B429" s="181" t="s">
        <v>4058</v>
      </c>
      <c r="C429" s="56" t="s">
        <v>3378</v>
      </c>
      <c r="D429" s="73" t="str">
        <f>IFERROR(VLOOKUP(C429,Stock,3,FALSE),"")</f>
        <v>Isuzu Panther 00- 2nd Gen</v>
      </c>
      <c r="E429" s="56">
        <v>1.0</v>
      </c>
      <c r="F429" s="161">
        <v>1338000.0</v>
      </c>
      <c r="G429" s="162">
        <f t="shared" si="9"/>
        <v>1338000</v>
      </c>
      <c r="H429" s="194"/>
      <c r="I429" s="204">
        <f t="shared" si="5"/>
        <v>1338000</v>
      </c>
      <c r="J429" s="164">
        <f t="shared" si="7"/>
        <v>1338000</v>
      </c>
      <c r="K429" s="56" t="s">
        <v>4059</v>
      </c>
      <c r="L429" s="165" t="s">
        <v>4060</v>
      </c>
      <c r="M429" s="73"/>
      <c r="N429" s="169" t="s">
        <v>4061</v>
      </c>
      <c r="O429" s="169" t="s">
        <v>2958</v>
      </c>
      <c r="P429" s="168" t="s">
        <v>3112</v>
      </c>
      <c r="Q429" s="173"/>
      <c r="R429" s="167">
        <v>1338000.0</v>
      </c>
      <c r="S429" s="173"/>
      <c r="T429" s="173"/>
      <c r="U429" s="173"/>
      <c r="V429" s="168" t="s">
        <v>3883</v>
      </c>
      <c r="W429" s="169"/>
      <c r="X429" s="171"/>
    </row>
    <row r="430" ht="15.0" customHeight="1">
      <c r="A430" s="127">
        <v>45478.0</v>
      </c>
      <c r="B430" s="181" t="s">
        <v>4062</v>
      </c>
      <c r="C430" s="56" t="s">
        <v>4063</v>
      </c>
      <c r="D430" s="73" t="str">
        <f>IFERROR(VLOOKUP(C430,Stock,3,FALSE),"")</f>
        <v>Mitsubishi Xpander 17-21 / Livina 19- 2nd Gen (Mitsubishi)</v>
      </c>
      <c r="E430" s="56">
        <v>1.0</v>
      </c>
      <c r="F430" s="161">
        <v>1200000.0</v>
      </c>
      <c r="G430" s="162">
        <f t="shared" si="9"/>
        <v>1200000</v>
      </c>
      <c r="H430" s="194"/>
      <c r="I430" s="204">
        <f t="shared" si="5"/>
        <v>1200000</v>
      </c>
      <c r="J430" s="164">
        <f t="shared" si="7"/>
        <v>1200000</v>
      </c>
      <c r="K430" s="56" t="s">
        <v>4064</v>
      </c>
      <c r="L430" s="165" t="s">
        <v>4065</v>
      </c>
      <c r="M430" s="73"/>
      <c r="N430" s="169" t="s">
        <v>4066</v>
      </c>
      <c r="O430" s="169" t="s">
        <v>3184</v>
      </c>
      <c r="P430" s="168" t="s">
        <v>3112</v>
      </c>
      <c r="Q430" s="167">
        <v>1200000.0</v>
      </c>
      <c r="R430" s="173"/>
      <c r="S430" s="173"/>
      <c r="T430" s="173"/>
      <c r="U430" s="173"/>
      <c r="V430" s="168" t="s">
        <v>3883</v>
      </c>
      <c r="W430" s="169"/>
      <c r="X430" s="169" t="s">
        <v>4067</v>
      </c>
    </row>
    <row r="431" ht="15.0" customHeight="1">
      <c r="A431" s="127">
        <v>45478.0</v>
      </c>
      <c r="B431" s="181" t="s">
        <v>4068</v>
      </c>
      <c r="C431" s="56" t="s">
        <v>3099</v>
      </c>
      <c r="D431" s="73" t="str">
        <f>IFERROR(VLOOKUP(C431,Stock,3,FALSE),"")</f>
        <v>Toyota Calya / Sigra 16-</v>
      </c>
      <c r="E431" s="56">
        <v>1.0</v>
      </c>
      <c r="F431" s="161">
        <v>1149000.0</v>
      </c>
      <c r="G431" s="162">
        <f t="shared" si="9"/>
        <v>1149000</v>
      </c>
      <c r="H431" s="194"/>
      <c r="I431" s="204">
        <f t="shared" si="5"/>
        <v>1149000</v>
      </c>
      <c r="J431" s="164">
        <f t="shared" si="7"/>
        <v>1149000</v>
      </c>
      <c r="K431" s="56" t="s">
        <v>4069</v>
      </c>
      <c r="L431" s="165" t="s">
        <v>4070</v>
      </c>
      <c r="M431" s="73"/>
      <c r="N431" s="169" t="s">
        <v>4071</v>
      </c>
      <c r="O431" s="169" t="s">
        <v>4072</v>
      </c>
      <c r="P431" s="168" t="s">
        <v>3112</v>
      </c>
      <c r="Q431" s="173"/>
      <c r="R431" s="167">
        <v>1149000.0</v>
      </c>
      <c r="S431" s="173"/>
      <c r="T431" s="173"/>
      <c r="U431" s="173"/>
      <c r="V431" s="168" t="s">
        <v>3883</v>
      </c>
      <c r="W431" s="169"/>
      <c r="X431" s="171"/>
    </row>
    <row r="432" ht="15.0" customHeight="1">
      <c r="A432" s="127">
        <v>45478.0</v>
      </c>
      <c r="B432" s="181" t="s">
        <v>4073</v>
      </c>
      <c r="C432" s="56" t="s">
        <v>2562</v>
      </c>
      <c r="D432" s="73" t="str">
        <f>IFERROR(VLOOKUP(C432,Stock,3,FALSE),"")</f>
        <v>Toyota Avanza / Xenia 15-21 3rd Gen</v>
      </c>
      <c r="E432" s="56">
        <v>1.0</v>
      </c>
      <c r="F432" s="161">
        <v>1020000.0</v>
      </c>
      <c r="G432" s="162">
        <f t="shared" si="9"/>
        <v>1020000</v>
      </c>
      <c r="H432" s="194"/>
      <c r="I432" s="204">
        <f t="shared" si="5"/>
        <v>1020000</v>
      </c>
      <c r="J432" s="164">
        <f t="shared" si="7"/>
        <v>1020000</v>
      </c>
      <c r="K432" s="56" t="s">
        <v>3008</v>
      </c>
      <c r="L432" s="165" t="s">
        <v>4074</v>
      </c>
      <c r="M432" s="73"/>
      <c r="N432" s="169" t="s">
        <v>4075</v>
      </c>
      <c r="O432" s="169" t="s">
        <v>2958</v>
      </c>
      <c r="P432" s="168" t="s">
        <v>3112</v>
      </c>
      <c r="Q432" s="173"/>
      <c r="R432" s="167">
        <v>1020000.0</v>
      </c>
      <c r="S432" s="173"/>
      <c r="T432" s="173"/>
      <c r="U432" s="173"/>
      <c r="V432" s="168" t="s">
        <v>3883</v>
      </c>
      <c r="W432" s="169"/>
      <c r="X432" s="171"/>
    </row>
    <row r="433" ht="15.0" customHeight="1">
      <c r="A433" s="127">
        <v>45479.0</v>
      </c>
      <c r="B433" s="181" t="s">
        <v>4076</v>
      </c>
      <c r="C433" s="56" t="s">
        <v>3159</v>
      </c>
      <c r="D433" s="73" t="str">
        <f>IFERROR(VLOOKUP(C433,Stock,3,FALSE),"")</f>
        <v>Honda Jazz 13- 3rd Gen</v>
      </c>
      <c r="E433" s="56">
        <v>1.0</v>
      </c>
      <c r="F433" s="161">
        <v>1698000.0</v>
      </c>
      <c r="G433" s="162">
        <f t="shared" si="9"/>
        <v>1698000</v>
      </c>
      <c r="H433" s="194"/>
      <c r="I433" s="204">
        <f t="shared" si="5"/>
        <v>1698000</v>
      </c>
      <c r="J433" s="164">
        <f t="shared" si="7"/>
        <v>1698000</v>
      </c>
      <c r="K433" s="56" t="s">
        <v>4077</v>
      </c>
      <c r="L433" s="165" t="s">
        <v>4078</v>
      </c>
      <c r="M433" s="73"/>
      <c r="N433" s="169" t="s">
        <v>4079</v>
      </c>
      <c r="O433" s="169" t="s">
        <v>3213</v>
      </c>
      <c r="P433" s="168" t="s">
        <v>3112</v>
      </c>
      <c r="Q433" s="173"/>
      <c r="R433" s="167">
        <v>1698000.0</v>
      </c>
      <c r="S433" s="173"/>
      <c r="T433" s="173"/>
      <c r="U433" s="173"/>
      <c r="V433" s="168" t="s">
        <v>3883</v>
      </c>
      <c r="W433" s="169"/>
      <c r="X433" s="171"/>
    </row>
    <row r="434" ht="15.0" customHeight="1">
      <c r="A434" s="127">
        <v>45479.0</v>
      </c>
      <c r="B434" s="181" t="s">
        <v>4076</v>
      </c>
      <c r="C434" s="56" t="s">
        <v>4027</v>
      </c>
      <c r="D434" s="73" t="str">
        <f>IFERROR(VLOOKUP(C434,Stock,3,FALSE),"")</f>
        <v>501 Sealant Application</v>
      </c>
      <c r="E434" s="56">
        <v>1.0</v>
      </c>
      <c r="F434" s="161">
        <v>100000.0</v>
      </c>
      <c r="G434" s="162">
        <f t="shared" si="9"/>
        <v>100000</v>
      </c>
      <c r="H434" s="194"/>
      <c r="I434" s="204">
        <f t="shared" si="5"/>
        <v>100000</v>
      </c>
      <c r="J434" s="164">
        <f t="shared" si="7"/>
        <v>100000</v>
      </c>
      <c r="K434" s="56" t="s">
        <v>4077</v>
      </c>
      <c r="L434" s="165" t="s">
        <v>4078</v>
      </c>
      <c r="M434" s="73"/>
      <c r="N434" s="169" t="s">
        <v>4079</v>
      </c>
      <c r="O434" s="169" t="s">
        <v>3213</v>
      </c>
      <c r="P434" s="168" t="s">
        <v>3112</v>
      </c>
      <c r="Q434" s="173"/>
      <c r="R434" s="167">
        <v>100000.0</v>
      </c>
      <c r="S434" s="173"/>
      <c r="T434" s="173"/>
      <c r="U434" s="173"/>
      <c r="V434" s="168" t="s">
        <v>3883</v>
      </c>
      <c r="W434" s="169"/>
      <c r="X434" s="171"/>
    </row>
    <row r="435" ht="15.0" customHeight="1">
      <c r="A435" s="127">
        <v>45479.0</v>
      </c>
      <c r="B435" s="181" t="s">
        <v>4080</v>
      </c>
      <c r="C435" s="56" t="s">
        <v>3313</v>
      </c>
      <c r="D435" s="73" t="str">
        <f>IFERROR(VLOOKUP(C435,Stock,3,FALSE),"")</f>
        <v>Toyota Avanza / Xenia 21- 4th Gen (Non sensor)</v>
      </c>
      <c r="E435" s="56">
        <v>1.0</v>
      </c>
      <c r="F435" s="161">
        <v>1590000.0</v>
      </c>
      <c r="G435" s="162">
        <f t="shared" si="9"/>
        <v>1590000</v>
      </c>
      <c r="H435" s="194"/>
      <c r="I435" s="204">
        <f t="shared" si="5"/>
        <v>1590000</v>
      </c>
      <c r="J435" s="164">
        <f t="shared" si="7"/>
        <v>1590000</v>
      </c>
      <c r="K435" s="56" t="s">
        <v>4081</v>
      </c>
      <c r="L435" s="165" t="s">
        <v>4082</v>
      </c>
      <c r="M435" s="73"/>
      <c r="N435" s="169" t="s">
        <v>4083</v>
      </c>
      <c r="O435" s="169" t="s">
        <v>2958</v>
      </c>
      <c r="P435" s="168" t="s">
        <v>3112</v>
      </c>
      <c r="Q435" s="167">
        <v>1600000.0</v>
      </c>
      <c r="R435" s="173"/>
      <c r="S435" s="173"/>
      <c r="T435" s="173"/>
      <c r="U435" s="167">
        <v>10000.0</v>
      </c>
      <c r="V435" s="168" t="s">
        <v>3883</v>
      </c>
      <c r="W435" s="169"/>
      <c r="X435" s="169" t="s">
        <v>4084</v>
      </c>
    </row>
    <row r="436" ht="15.0" customHeight="1">
      <c r="A436" s="127">
        <v>45479.0</v>
      </c>
      <c r="B436" s="181" t="s">
        <v>4085</v>
      </c>
      <c r="C436" s="56" t="s">
        <v>2668</v>
      </c>
      <c r="D436" s="73" t="str">
        <f>IFERROR(VLOOKUP(C436,Stock,3,FALSE),"")</f>
        <v>Hyundai Stargazer 22-</v>
      </c>
      <c r="E436" s="56">
        <v>1.0</v>
      </c>
      <c r="F436" s="161">
        <v>2799000.0</v>
      </c>
      <c r="G436" s="162">
        <f t="shared" si="9"/>
        <v>2799000</v>
      </c>
      <c r="H436" s="194"/>
      <c r="I436" s="204">
        <f t="shared" si="5"/>
        <v>2799000</v>
      </c>
      <c r="J436" s="164">
        <f t="shared" si="7"/>
        <v>2799000</v>
      </c>
      <c r="K436" s="56" t="s">
        <v>4086</v>
      </c>
      <c r="L436" s="165" t="s">
        <v>4087</v>
      </c>
      <c r="M436" s="73"/>
      <c r="N436" s="171"/>
      <c r="O436" s="169" t="s">
        <v>2958</v>
      </c>
      <c r="P436" s="168" t="s">
        <v>3112</v>
      </c>
      <c r="Q436" s="173"/>
      <c r="R436" s="167">
        <v>600000.0</v>
      </c>
      <c r="S436" s="173"/>
      <c r="T436" s="173"/>
      <c r="U436" s="173"/>
      <c r="V436" s="168" t="s">
        <v>3883</v>
      </c>
      <c r="W436" s="169"/>
      <c r="X436" s="219">
        <v>45518.0</v>
      </c>
    </row>
    <row r="437" ht="15.0" customHeight="1">
      <c r="A437" s="127">
        <v>45479.0</v>
      </c>
      <c r="B437" s="181" t="s">
        <v>4088</v>
      </c>
      <c r="C437" s="56" t="s">
        <v>3934</v>
      </c>
      <c r="D437" s="73" t="str">
        <f>IFERROR(VLOOKUP(C437,Stock,3,FALSE),"")</f>
        <v>Toyota Avanza / Xenia 11-15 2nd Gen / 15-21 3rd Gen</v>
      </c>
      <c r="E437" s="56">
        <v>1.0</v>
      </c>
      <c r="F437" s="161">
        <v>450000.0</v>
      </c>
      <c r="G437" s="162">
        <f t="shared" si="9"/>
        <v>450000</v>
      </c>
      <c r="H437" s="194"/>
      <c r="I437" s="204">
        <f t="shared" si="5"/>
        <v>450000</v>
      </c>
      <c r="J437" s="164">
        <f t="shared" si="7"/>
        <v>450000</v>
      </c>
      <c r="K437" s="56" t="s">
        <v>4089</v>
      </c>
      <c r="L437" s="165" t="s">
        <v>4090</v>
      </c>
      <c r="M437" s="73"/>
      <c r="N437" s="169" t="s">
        <v>4091</v>
      </c>
      <c r="O437" s="169" t="s">
        <v>3858</v>
      </c>
      <c r="P437" s="168" t="s">
        <v>3112</v>
      </c>
      <c r="Q437" s="173"/>
      <c r="R437" s="167">
        <v>450000.0</v>
      </c>
      <c r="S437" s="173"/>
      <c r="T437" s="173"/>
      <c r="U437" s="173"/>
      <c r="V437" s="168" t="s">
        <v>3799</v>
      </c>
      <c r="W437" s="169"/>
      <c r="X437" s="171"/>
    </row>
    <row r="438" ht="15.0" customHeight="1">
      <c r="A438" s="127">
        <v>45479.0</v>
      </c>
      <c r="B438" s="181" t="s">
        <v>4092</v>
      </c>
      <c r="C438" s="56" t="s">
        <v>2682</v>
      </c>
      <c r="D438" s="73" t="str">
        <f>IFERROR(VLOOKUP(C438,Stock,3,FALSE),"")</f>
        <v>Toyota Yaris 05-13 XP90 1st Gen</v>
      </c>
      <c r="E438" s="56">
        <v>1.0</v>
      </c>
      <c r="F438" s="161">
        <v>1588000.0</v>
      </c>
      <c r="G438" s="162">
        <f t="shared" si="9"/>
        <v>1588000</v>
      </c>
      <c r="H438" s="194"/>
      <c r="I438" s="204">
        <f t="shared" si="5"/>
        <v>1588000</v>
      </c>
      <c r="J438" s="164">
        <f t="shared" si="7"/>
        <v>1588000</v>
      </c>
      <c r="K438" s="56" t="s">
        <v>4093</v>
      </c>
      <c r="L438" s="165" t="s">
        <v>4094</v>
      </c>
      <c r="M438" s="73"/>
      <c r="N438" s="169" t="s">
        <v>4095</v>
      </c>
      <c r="O438" s="169" t="s">
        <v>3184</v>
      </c>
      <c r="P438" s="168" t="s">
        <v>3112</v>
      </c>
      <c r="Q438" s="173"/>
      <c r="R438" s="167">
        <v>1588000.0</v>
      </c>
      <c r="S438" s="173"/>
      <c r="T438" s="173"/>
      <c r="U438" s="173"/>
      <c r="V438" s="168" t="s">
        <v>3883</v>
      </c>
      <c r="W438" s="169"/>
      <c r="X438" s="171"/>
    </row>
    <row r="439" ht="15.0" customHeight="1">
      <c r="A439" s="127">
        <v>45481.0</v>
      </c>
      <c r="B439" s="181" t="s">
        <v>4096</v>
      </c>
      <c r="C439" s="56" t="s">
        <v>3795</v>
      </c>
      <c r="D439" s="73" t="str">
        <f>IFERROR(VLOOKUP(C439,Stock,3,FALSE),"")</f>
        <v>Toyota Innova 04-15 1st Gen</v>
      </c>
      <c r="E439" s="56">
        <v>1.0</v>
      </c>
      <c r="F439" s="161">
        <v>1322000.0</v>
      </c>
      <c r="G439" s="162">
        <f t="shared" si="9"/>
        <v>1322000</v>
      </c>
      <c r="H439" s="201">
        <v>22000.0</v>
      </c>
      <c r="I439" s="204">
        <f t="shared" si="5"/>
        <v>1300000</v>
      </c>
      <c r="J439" s="164">
        <f t="shared" si="7"/>
        <v>1300000</v>
      </c>
      <c r="K439" s="56" t="s">
        <v>4097</v>
      </c>
      <c r="L439" s="165" t="s">
        <v>4098</v>
      </c>
      <c r="M439" s="73"/>
      <c r="N439" s="169" t="s">
        <v>4099</v>
      </c>
      <c r="O439" s="169" t="s">
        <v>3037</v>
      </c>
      <c r="P439" s="168" t="s">
        <v>3112</v>
      </c>
      <c r="Q439" s="167">
        <v>1300000.0</v>
      </c>
      <c r="R439" s="167"/>
      <c r="S439" s="173"/>
      <c r="T439" s="173"/>
      <c r="U439" s="173"/>
      <c r="V439" s="168" t="s">
        <v>3883</v>
      </c>
      <c r="W439" s="169"/>
      <c r="X439" s="219">
        <v>45481.0</v>
      </c>
    </row>
    <row r="440" ht="15.0" customHeight="1">
      <c r="A440" s="127">
        <v>45481.0</v>
      </c>
      <c r="B440" s="181" t="s">
        <v>4096</v>
      </c>
      <c r="C440" s="56" t="s">
        <v>2954</v>
      </c>
      <c r="D440" s="73" t="str">
        <f>IFERROR(VLOOKUP(C440,Stock,3,FALSE),"")</f>
        <v>Transport</v>
      </c>
      <c r="E440" s="56">
        <v>1.0</v>
      </c>
      <c r="F440" s="161">
        <v>200000.0</v>
      </c>
      <c r="G440" s="162">
        <f t="shared" si="9"/>
        <v>200000</v>
      </c>
      <c r="H440" s="194"/>
      <c r="I440" s="204">
        <f t="shared" si="5"/>
        <v>200000</v>
      </c>
      <c r="J440" s="164">
        <f t="shared" si="7"/>
        <v>200000</v>
      </c>
      <c r="K440" s="56" t="s">
        <v>4097</v>
      </c>
      <c r="L440" s="207" t="s">
        <v>4098</v>
      </c>
      <c r="M440" s="73"/>
      <c r="N440" s="169" t="s">
        <v>4099</v>
      </c>
      <c r="O440" s="169" t="s">
        <v>3037</v>
      </c>
      <c r="P440" s="168" t="s">
        <v>3112</v>
      </c>
      <c r="Q440" s="167">
        <v>200000.0</v>
      </c>
      <c r="R440" s="167"/>
      <c r="S440" s="173"/>
      <c r="T440" s="173"/>
      <c r="U440" s="173"/>
      <c r="V440" s="168" t="s">
        <v>3883</v>
      </c>
      <c r="W440" s="169"/>
      <c r="X440" s="219">
        <v>45481.0</v>
      </c>
    </row>
    <row r="441" ht="15.0" customHeight="1">
      <c r="A441" s="127">
        <v>45481.0</v>
      </c>
      <c r="B441" s="181" t="s">
        <v>4100</v>
      </c>
      <c r="C441" s="56" t="s">
        <v>2549</v>
      </c>
      <c r="D441" s="73" t="str">
        <f>IFERROR(VLOOKUP(C441,Stock,3,FALSE),"")</f>
        <v>Toyota Avanza / Xenia 11-15 2nd Gen</v>
      </c>
      <c r="E441" s="56">
        <v>1.0</v>
      </c>
      <c r="F441" s="161">
        <v>1020000.0</v>
      </c>
      <c r="G441" s="162">
        <f t="shared" si="9"/>
        <v>1020000</v>
      </c>
      <c r="H441" s="194"/>
      <c r="I441" s="204">
        <f t="shared" si="5"/>
        <v>1020000</v>
      </c>
      <c r="J441" s="164">
        <f t="shared" si="7"/>
        <v>1020000</v>
      </c>
      <c r="K441" s="229" t="s">
        <v>4101</v>
      </c>
      <c r="L441" s="170" t="s">
        <v>4102</v>
      </c>
      <c r="M441" s="73"/>
      <c r="N441" s="169" t="s">
        <v>4103</v>
      </c>
      <c r="O441" s="169" t="s">
        <v>2958</v>
      </c>
      <c r="P441" s="168" t="s">
        <v>3112</v>
      </c>
      <c r="Q441" s="167">
        <v>1020000.0</v>
      </c>
      <c r="R441" s="173"/>
      <c r="S441" s="173"/>
      <c r="T441" s="173"/>
      <c r="U441" s="173"/>
      <c r="V441" s="168" t="s">
        <v>3799</v>
      </c>
      <c r="W441" s="169"/>
      <c r="X441" s="219">
        <v>45481.0</v>
      </c>
    </row>
    <row r="442" ht="15.0" customHeight="1">
      <c r="A442" s="127">
        <v>45481.0</v>
      </c>
      <c r="B442" s="181" t="s">
        <v>4100</v>
      </c>
      <c r="C442" s="56" t="s">
        <v>4027</v>
      </c>
      <c r="D442" s="73" t="str">
        <f>IFERROR(VLOOKUP(C442,Stock,3,FALSE),"")</f>
        <v>501 Sealant Application</v>
      </c>
      <c r="E442" s="56">
        <v>1.0</v>
      </c>
      <c r="F442" s="161">
        <v>100000.0</v>
      </c>
      <c r="G442" s="162">
        <f t="shared" si="9"/>
        <v>100000</v>
      </c>
      <c r="H442" s="194"/>
      <c r="I442" s="204">
        <f t="shared" si="5"/>
        <v>100000</v>
      </c>
      <c r="J442" s="164">
        <f t="shared" si="7"/>
        <v>100000</v>
      </c>
      <c r="K442" s="229" t="s">
        <v>4101</v>
      </c>
      <c r="L442" s="170" t="s">
        <v>4102</v>
      </c>
      <c r="M442" s="73"/>
      <c r="N442" s="169" t="s">
        <v>4103</v>
      </c>
      <c r="O442" s="169" t="s">
        <v>2958</v>
      </c>
      <c r="P442" s="168" t="s">
        <v>3112</v>
      </c>
      <c r="Q442" s="167">
        <v>100000.0</v>
      </c>
      <c r="R442" s="173"/>
      <c r="S442" s="173"/>
      <c r="T442" s="173"/>
      <c r="U442" s="173"/>
      <c r="V442" s="168" t="s">
        <v>3799</v>
      </c>
      <c r="W442" s="169"/>
      <c r="X442" s="219">
        <v>45481.0</v>
      </c>
    </row>
    <row r="443" ht="15.0" customHeight="1">
      <c r="A443" s="127">
        <v>45481.0</v>
      </c>
      <c r="B443" s="181" t="s">
        <v>4104</v>
      </c>
      <c r="C443" s="56" t="s">
        <v>3574</v>
      </c>
      <c r="D443" s="73" t="str">
        <f>IFERROR(VLOOKUP(C443,Stock,3,FALSE),"")</f>
        <v>Toyota Rush / Terios 06-17</v>
      </c>
      <c r="E443" s="56">
        <v>1.0</v>
      </c>
      <c r="F443" s="161">
        <v>1005000.0</v>
      </c>
      <c r="G443" s="162">
        <f t="shared" si="9"/>
        <v>1005000</v>
      </c>
      <c r="H443" s="194"/>
      <c r="I443" s="204">
        <f t="shared" si="5"/>
        <v>1005000</v>
      </c>
      <c r="J443" s="164">
        <f t="shared" si="7"/>
        <v>1005000</v>
      </c>
      <c r="K443" s="56" t="s">
        <v>4105</v>
      </c>
      <c r="L443" s="165" t="s">
        <v>4106</v>
      </c>
      <c r="M443" s="73"/>
      <c r="N443" s="169" t="s">
        <v>4107</v>
      </c>
      <c r="O443" s="169" t="s">
        <v>2958</v>
      </c>
      <c r="P443" s="168" t="s">
        <v>3112</v>
      </c>
      <c r="Q443" s="173"/>
      <c r="R443" s="167">
        <v>1005000.0</v>
      </c>
      <c r="S443" s="173"/>
      <c r="T443" s="173"/>
      <c r="U443" s="173"/>
      <c r="V443" s="168" t="s">
        <v>3799</v>
      </c>
      <c r="W443" s="169"/>
      <c r="X443" s="219">
        <v>45624.0</v>
      </c>
    </row>
    <row r="444" ht="15.0" customHeight="1">
      <c r="A444" s="127">
        <v>45481.0</v>
      </c>
      <c r="B444" s="181" t="s">
        <v>4104</v>
      </c>
      <c r="C444" s="56" t="s">
        <v>2954</v>
      </c>
      <c r="D444" s="73" t="str">
        <f>IFERROR(VLOOKUP(C444,Stock,3,FALSE),"")</f>
        <v>Transport</v>
      </c>
      <c r="E444" s="56">
        <v>1.0</v>
      </c>
      <c r="F444" s="161">
        <v>20000.0</v>
      </c>
      <c r="G444" s="162">
        <f t="shared" si="9"/>
        <v>20000</v>
      </c>
      <c r="H444" s="194"/>
      <c r="I444" s="204">
        <f t="shared" si="5"/>
        <v>20000</v>
      </c>
      <c r="J444" s="164">
        <f t="shared" si="7"/>
        <v>20000</v>
      </c>
      <c r="K444" s="56" t="s">
        <v>4105</v>
      </c>
      <c r="L444" s="165" t="s">
        <v>4106</v>
      </c>
      <c r="M444" s="73"/>
      <c r="N444" s="169" t="s">
        <v>4107</v>
      </c>
      <c r="O444" s="169" t="s">
        <v>2958</v>
      </c>
      <c r="P444" s="168" t="s">
        <v>3112</v>
      </c>
      <c r="Q444" s="173"/>
      <c r="R444" s="167">
        <v>20000.0</v>
      </c>
      <c r="S444" s="173"/>
      <c r="T444" s="173"/>
      <c r="U444" s="173"/>
      <c r="V444" s="168" t="s">
        <v>3799</v>
      </c>
      <c r="W444" s="169"/>
      <c r="X444" s="219">
        <v>45624.0</v>
      </c>
    </row>
    <row r="445" ht="15.0" customHeight="1">
      <c r="A445" s="127">
        <v>45481.0</v>
      </c>
      <c r="B445" s="181" t="s">
        <v>4104</v>
      </c>
      <c r="C445" s="56" t="s">
        <v>4027</v>
      </c>
      <c r="D445" s="73" t="str">
        <f>IFERROR(VLOOKUP(C445,Stock,3,FALSE),"")</f>
        <v>501 Sealant Application</v>
      </c>
      <c r="E445" s="56">
        <v>1.0</v>
      </c>
      <c r="F445" s="161">
        <v>100000.0</v>
      </c>
      <c r="G445" s="162">
        <f t="shared" si="9"/>
        <v>100000</v>
      </c>
      <c r="H445" s="194"/>
      <c r="I445" s="204">
        <f t="shared" si="5"/>
        <v>100000</v>
      </c>
      <c r="J445" s="164">
        <f t="shared" si="7"/>
        <v>100000</v>
      </c>
      <c r="K445" s="56" t="s">
        <v>4105</v>
      </c>
      <c r="L445" s="165" t="s">
        <v>4106</v>
      </c>
      <c r="M445" s="73"/>
      <c r="N445" s="169" t="s">
        <v>4107</v>
      </c>
      <c r="O445" s="169" t="s">
        <v>2958</v>
      </c>
      <c r="P445" s="168" t="s">
        <v>3112</v>
      </c>
      <c r="Q445" s="173"/>
      <c r="R445" s="167">
        <v>200000.0</v>
      </c>
      <c r="S445" s="173"/>
      <c r="T445" s="173"/>
      <c r="U445" s="173"/>
      <c r="V445" s="168" t="s">
        <v>3799</v>
      </c>
      <c r="W445" s="169"/>
      <c r="X445" s="219">
        <v>45624.0</v>
      </c>
    </row>
    <row r="446" ht="15.0" customHeight="1">
      <c r="A446" s="127">
        <v>45482.0</v>
      </c>
      <c r="B446" s="181" t="s">
        <v>4108</v>
      </c>
      <c r="C446" s="56" t="s">
        <v>3127</v>
      </c>
      <c r="D446" s="73" t="str">
        <f>IFERROR(VLOOKUP(C446,Stock,3,FALSE),"")</f>
        <v>Toyota Avanza / Xenia 03-11 1st Gen</v>
      </c>
      <c r="E446" s="56">
        <v>1.0</v>
      </c>
      <c r="F446" s="161">
        <v>850000.0</v>
      </c>
      <c r="G446" s="162">
        <f t="shared" si="9"/>
        <v>850000</v>
      </c>
      <c r="H446" s="194"/>
      <c r="I446" s="204">
        <f t="shared" si="5"/>
        <v>850000</v>
      </c>
      <c r="J446" s="164">
        <f t="shared" si="7"/>
        <v>850000</v>
      </c>
      <c r="K446" s="56" t="s">
        <v>4109</v>
      </c>
      <c r="L446" s="165" t="s">
        <v>4110</v>
      </c>
      <c r="M446" s="73"/>
      <c r="N446" s="169" t="s">
        <v>4111</v>
      </c>
      <c r="O446" s="169" t="s">
        <v>2958</v>
      </c>
      <c r="P446" s="168" t="s">
        <v>3112</v>
      </c>
      <c r="Q446" s="173"/>
      <c r="R446" s="167">
        <v>850000.0</v>
      </c>
      <c r="S446" s="173"/>
      <c r="T446" s="173"/>
      <c r="U446" s="173"/>
      <c r="V446" s="168" t="s">
        <v>3883</v>
      </c>
      <c r="W446" s="169"/>
      <c r="X446" s="219">
        <v>45482.0</v>
      </c>
    </row>
    <row r="447" ht="15.0" customHeight="1">
      <c r="A447" s="209">
        <v>45482.0</v>
      </c>
      <c r="B447" s="181" t="s">
        <v>4112</v>
      </c>
      <c r="C447" s="56" t="s">
        <v>2703</v>
      </c>
      <c r="D447" s="73" t="str">
        <f>IFERROR(VLOOKUP(C447,Stock,3,FALSE),"")</f>
        <v>Toyota Hi-Ace 04-20 Commuter</v>
      </c>
      <c r="E447" s="56">
        <v>1.0</v>
      </c>
      <c r="F447" s="161">
        <v>1330000.0</v>
      </c>
      <c r="G447" s="162">
        <f t="shared" si="9"/>
        <v>1330000</v>
      </c>
      <c r="H447" s="194"/>
      <c r="I447" s="204">
        <f t="shared" si="5"/>
        <v>1330000</v>
      </c>
      <c r="J447" s="164">
        <f t="shared" si="7"/>
        <v>1330000</v>
      </c>
      <c r="K447" s="56" t="s">
        <v>4113</v>
      </c>
      <c r="L447" s="165" t="s">
        <v>4114</v>
      </c>
      <c r="M447" s="73"/>
      <c r="N447" s="171"/>
      <c r="O447" s="169" t="s">
        <v>2958</v>
      </c>
      <c r="P447" s="168" t="s">
        <v>3112</v>
      </c>
      <c r="Q447" s="173"/>
      <c r="R447" s="167">
        <v>1330000.0</v>
      </c>
      <c r="S447" s="173"/>
      <c r="T447" s="173"/>
      <c r="U447" s="173"/>
      <c r="V447" s="168" t="s">
        <v>3883</v>
      </c>
      <c r="W447" s="169"/>
      <c r="X447" s="169" t="s">
        <v>4115</v>
      </c>
    </row>
    <row r="448" ht="15.0" customHeight="1">
      <c r="A448" s="209">
        <v>45482.0</v>
      </c>
      <c r="B448" s="181" t="s">
        <v>4112</v>
      </c>
      <c r="C448" s="56" t="s">
        <v>3376</v>
      </c>
      <c r="D448" s="73" t="str">
        <f>IFERROR(VLOOKUP(C448,Stock,3,FALSE),"")</f>
        <v>Toyota Hi-Ace 04-20 Commuter</v>
      </c>
      <c r="E448" s="56">
        <v>1.0</v>
      </c>
      <c r="F448" s="161">
        <v>918000.0</v>
      </c>
      <c r="G448" s="162">
        <f t="shared" si="9"/>
        <v>918000</v>
      </c>
      <c r="H448" s="194"/>
      <c r="I448" s="204">
        <f t="shared" si="5"/>
        <v>918000</v>
      </c>
      <c r="J448" s="164">
        <f t="shared" si="7"/>
        <v>918000</v>
      </c>
      <c r="K448" s="56" t="s">
        <v>4113</v>
      </c>
      <c r="L448" s="165" t="s">
        <v>4114</v>
      </c>
      <c r="M448" s="73"/>
      <c r="N448" s="171"/>
      <c r="O448" s="169" t="s">
        <v>2958</v>
      </c>
      <c r="P448" s="168" t="s">
        <v>3112</v>
      </c>
      <c r="Q448" s="173"/>
      <c r="R448" s="167">
        <v>918000.0</v>
      </c>
      <c r="S448" s="173"/>
      <c r="T448" s="173"/>
      <c r="U448" s="173"/>
      <c r="V448" s="168" t="s">
        <v>3883</v>
      </c>
      <c r="W448" s="169"/>
      <c r="X448" s="219">
        <v>45482.0</v>
      </c>
    </row>
    <row r="449" ht="15.0" customHeight="1">
      <c r="A449" s="209">
        <v>45482.0</v>
      </c>
      <c r="B449" s="181" t="s">
        <v>4116</v>
      </c>
      <c r="C449" s="56" t="s">
        <v>3837</v>
      </c>
      <c r="D449" s="73" t="str">
        <f>IFERROR(VLOOKUP(C449,Stock,3,FALSE),"")</f>
        <v>Toyota Yaris 13- 2nd Gen / Vios 14- 3rd Gen</v>
      </c>
      <c r="E449" s="56">
        <v>1.0</v>
      </c>
      <c r="F449" s="161">
        <v>1719000.0</v>
      </c>
      <c r="G449" s="162">
        <f t="shared" si="9"/>
        <v>1719000</v>
      </c>
      <c r="H449" s="201">
        <v>19000.0</v>
      </c>
      <c r="I449" s="204">
        <f t="shared" si="5"/>
        <v>1700000</v>
      </c>
      <c r="J449" s="164">
        <f t="shared" si="7"/>
        <v>1700000</v>
      </c>
      <c r="K449" s="56" t="s">
        <v>4117</v>
      </c>
      <c r="L449" s="165" t="s">
        <v>4118</v>
      </c>
      <c r="M449" s="73"/>
      <c r="N449" s="169" t="s">
        <v>4119</v>
      </c>
      <c r="O449" s="169" t="s">
        <v>2958</v>
      </c>
      <c r="P449" s="168" t="s">
        <v>3112</v>
      </c>
      <c r="Q449" s="167">
        <v>1700000.0</v>
      </c>
      <c r="R449" s="173"/>
      <c r="S449" s="173"/>
      <c r="T449" s="173"/>
      <c r="U449" s="173"/>
      <c r="V449" s="168" t="s">
        <v>3883</v>
      </c>
      <c r="W449" s="169"/>
      <c r="X449" s="219">
        <v>45482.0</v>
      </c>
    </row>
    <row r="450" ht="15.0" customHeight="1">
      <c r="A450" s="209">
        <v>45482.0</v>
      </c>
      <c r="B450" s="181" t="s">
        <v>4120</v>
      </c>
      <c r="C450" s="56" t="s">
        <v>3045</v>
      </c>
      <c r="D450" s="73" t="str">
        <f>IFERROR(VLOOKUP(C450,Stock,3,FALSE),"")</f>
        <v>Pemasangan Kaca Mobil Depan</v>
      </c>
      <c r="E450" s="56">
        <v>1.0</v>
      </c>
      <c r="F450" s="161">
        <v>500000.0</v>
      </c>
      <c r="G450" s="162">
        <f t="shared" si="9"/>
        <v>500000</v>
      </c>
      <c r="H450" s="194"/>
      <c r="I450" s="204">
        <f t="shared" si="5"/>
        <v>500000</v>
      </c>
      <c r="J450" s="164">
        <f t="shared" si="7"/>
        <v>500000</v>
      </c>
      <c r="K450" s="56" t="s">
        <v>4121</v>
      </c>
      <c r="L450" s="165" t="s">
        <v>4122</v>
      </c>
      <c r="M450" s="73"/>
      <c r="N450" s="169" t="s">
        <v>4123</v>
      </c>
      <c r="O450" s="169" t="s">
        <v>2958</v>
      </c>
      <c r="P450" s="168" t="s">
        <v>3112</v>
      </c>
      <c r="Q450" s="173"/>
      <c r="R450" s="167">
        <v>500000.0</v>
      </c>
      <c r="S450" s="173"/>
      <c r="T450" s="173"/>
      <c r="U450" s="173"/>
      <c r="V450" s="168" t="s">
        <v>3883</v>
      </c>
      <c r="W450" s="169"/>
      <c r="X450" s="169" t="s">
        <v>4124</v>
      </c>
    </row>
    <row r="451" ht="15.0" customHeight="1">
      <c r="A451" s="127">
        <v>45482.0</v>
      </c>
      <c r="B451" s="181" t="s">
        <v>4125</v>
      </c>
      <c r="C451" s="56" t="s">
        <v>3707</v>
      </c>
      <c r="D451" s="73" t="str">
        <f>IFERROR(VLOOKUP(C451,Stock,3,FALSE),"")</f>
        <v>Mitsubishi Pajero 16-</v>
      </c>
      <c r="E451" s="56">
        <v>1.0</v>
      </c>
      <c r="F451" s="161">
        <v>1580000.0</v>
      </c>
      <c r="G451" s="162">
        <f t="shared" si="9"/>
        <v>1580000</v>
      </c>
      <c r="H451" s="194"/>
      <c r="I451" s="204">
        <f t="shared" si="5"/>
        <v>1580000</v>
      </c>
      <c r="J451" s="164">
        <f t="shared" si="7"/>
        <v>1580000</v>
      </c>
      <c r="K451" s="56" t="s">
        <v>4126</v>
      </c>
      <c r="L451" s="165" t="s">
        <v>4127</v>
      </c>
      <c r="M451" s="73"/>
      <c r="N451" s="169" t="s">
        <v>4128</v>
      </c>
      <c r="O451" s="169" t="s">
        <v>2958</v>
      </c>
      <c r="P451" s="168" t="s">
        <v>3112</v>
      </c>
      <c r="Q451" s="173"/>
      <c r="R451" s="167">
        <v>1580000.0</v>
      </c>
      <c r="S451" s="173"/>
      <c r="T451" s="173"/>
      <c r="U451" s="173"/>
      <c r="V451" s="168" t="s">
        <v>3883</v>
      </c>
      <c r="W451" s="169"/>
      <c r="X451" s="169" t="s">
        <v>4129</v>
      </c>
    </row>
    <row r="452" ht="15.0" customHeight="1">
      <c r="A452" s="127">
        <v>45483.0</v>
      </c>
      <c r="B452" s="181" t="s">
        <v>4130</v>
      </c>
      <c r="C452" s="56" t="s">
        <v>2691</v>
      </c>
      <c r="D452" s="73" t="str">
        <f>IFERROR(VLOOKUP(C452,Stock,3,FALSE),"")</f>
        <v>Suzuki Ertiga 12-18 1st Gen MPV</v>
      </c>
      <c r="E452" s="56">
        <v>1.0</v>
      </c>
      <c r="F452" s="161">
        <v>1310000.0</v>
      </c>
      <c r="G452" s="162">
        <f t="shared" si="9"/>
        <v>1310000</v>
      </c>
      <c r="H452" s="194"/>
      <c r="I452" s="161">
        <f t="shared" si="5"/>
        <v>1310000</v>
      </c>
      <c r="J452" s="164">
        <f t="shared" si="7"/>
        <v>1310000</v>
      </c>
      <c r="K452" s="56" t="s">
        <v>4131</v>
      </c>
      <c r="L452" s="165" t="s">
        <v>4132</v>
      </c>
      <c r="M452" s="73"/>
      <c r="N452" s="169" t="s">
        <v>4133</v>
      </c>
      <c r="O452" s="169" t="s">
        <v>2958</v>
      </c>
      <c r="P452" s="168" t="s">
        <v>3112</v>
      </c>
      <c r="Q452" s="167">
        <v>1320000.0</v>
      </c>
      <c r="R452" s="173"/>
      <c r="S452" s="173"/>
      <c r="T452" s="173"/>
      <c r="U452" s="167">
        <v>10000.0</v>
      </c>
      <c r="V452" s="168" t="s">
        <v>3883</v>
      </c>
      <c r="W452" s="169"/>
      <c r="X452" s="169" t="s">
        <v>4134</v>
      </c>
    </row>
    <row r="453" ht="15.0" customHeight="1">
      <c r="A453" s="127">
        <v>45483.0</v>
      </c>
      <c r="B453" s="181" t="s">
        <v>4135</v>
      </c>
      <c r="C453" s="56" t="s">
        <v>3045</v>
      </c>
      <c r="D453" s="73" t="str">
        <f>IFERROR(VLOOKUP(C453,Stock,3,FALSE),"")</f>
        <v>Pemasangan Kaca Mobil Depan</v>
      </c>
      <c r="E453" s="56">
        <v>1.0</v>
      </c>
      <c r="F453" s="161">
        <v>450000.0</v>
      </c>
      <c r="G453" s="162">
        <f t="shared" si="9"/>
        <v>450000</v>
      </c>
      <c r="H453" s="194"/>
      <c r="I453" s="161">
        <f t="shared" si="5"/>
        <v>450000</v>
      </c>
      <c r="J453" s="164">
        <f t="shared" si="7"/>
        <v>450000</v>
      </c>
      <c r="K453" s="56" t="s">
        <v>4136</v>
      </c>
      <c r="L453" s="165" t="s">
        <v>4137</v>
      </c>
      <c r="M453" s="73"/>
      <c r="N453" s="169" t="s">
        <v>4138</v>
      </c>
      <c r="O453" s="169" t="s">
        <v>2958</v>
      </c>
      <c r="P453" s="168" t="s">
        <v>3112</v>
      </c>
      <c r="Q453" s="173"/>
      <c r="R453" s="167">
        <v>450000.0</v>
      </c>
      <c r="S453" s="173"/>
      <c r="T453" s="173"/>
      <c r="U453" s="173"/>
      <c r="V453" s="168" t="s">
        <v>3799</v>
      </c>
      <c r="W453" s="169"/>
      <c r="X453" s="169" t="s">
        <v>4139</v>
      </c>
    </row>
    <row r="454" ht="15.0" customHeight="1">
      <c r="A454" s="127">
        <v>45483.0</v>
      </c>
      <c r="B454" s="181" t="s">
        <v>4135</v>
      </c>
      <c r="C454" s="56" t="s">
        <v>4027</v>
      </c>
      <c r="D454" s="73" t="str">
        <f>IFERROR(VLOOKUP(C454,Stock,3,FALSE),"")</f>
        <v>501 Sealant Application</v>
      </c>
      <c r="E454" s="56">
        <v>1.0</v>
      </c>
      <c r="F454" s="161">
        <v>100000.0</v>
      </c>
      <c r="G454" s="162">
        <f t="shared" si="9"/>
        <v>100000</v>
      </c>
      <c r="H454" s="194"/>
      <c r="I454" s="161">
        <f t="shared" si="5"/>
        <v>100000</v>
      </c>
      <c r="J454" s="164">
        <f t="shared" si="7"/>
        <v>100000</v>
      </c>
      <c r="K454" s="56" t="s">
        <v>4136</v>
      </c>
      <c r="L454" s="165" t="s">
        <v>4137</v>
      </c>
      <c r="M454" s="73"/>
      <c r="N454" s="169" t="s">
        <v>4138</v>
      </c>
      <c r="O454" s="169" t="s">
        <v>2958</v>
      </c>
      <c r="P454" s="168" t="s">
        <v>3112</v>
      </c>
      <c r="Q454" s="173"/>
      <c r="R454" s="167">
        <v>100000.0</v>
      </c>
      <c r="S454" s="173"/>
      <c r="T454" s="173"/>
      <c r="U454" s="173"/>
      <c r="V454" s="168" t="s">
        <v>3799</v>
      </c>
      <c r="W454" s="169"/>
      <c r="X454" s="219">
        <v>45483.0</v>
      </c>
    </row>
    <row r="455" ht="15.0" customHeight="1">
      <c r="A455" s="127">
        <v>45483.0</v>
      </c>
      <c r="B455" s="181" t="s">
        <v>4140</v>
      </c>
      <c r="C455" s="56" t="s">
        <v>2546</v>
      </c>
      <c r="D455" s="73" t="str">
        <f>IFERROR(VLOOKUP(C455,Stock,3,FALSE),"")</f>
        <v>Wuling Confero (Tanpa Spionnya)</v>
      </c>
      <c r="E455" s="56">
        <v>1.0</v>
      </c>
      <c r="F455" s="161">
        <v>1522000.0</v>
      </c>
      <c r="G455" s="162">
        <f t="shared" si="9"/>
        <v>1522000</v>
      </c>
      <c r="H455" s="194"/>
      <c r="I455" s="161">
        <f t="shared" si="5"/>
        <v>1522000</v>
      </c>
      <c r="J455" s="164">
        <f t="shared" si="7"/>
        <v>1522000</v>
      </c>
      <c r="K455" s="56" t="s">
        <v>4141</v>
      </c>
      <c r="L455" s="165" t="s">
        <v>4031</v>
      </c>
      <c r="M455" s="56" t="s">
        <v>4142</v>
      </c>
      <c r="N455" s="169" t="s">
        <v>4143</v>
      </c>
      <c r="O455" s="169" t="s">
        <v>2958</v>
      </c>
      <c r="P455" s="168" t="s">
        <v>3112</v>
      </c>
      <c r="Q455" s="173"/>
      <c r="R455" s="167">
        <v>1522000.0</v>
      </c>
      <c r="S455" s="173"/>
      <c r="T455" s="173"/>
      <c r="U455" s="173"/>
      <c r="V455" s="168" t="s">
        <v>3799</v>
      </c>
      <c r="W455" s="169"/>
      <c r="X455" s="169" t="s">
        <v>4144</v>
      </c>
    </row>
    <row r="456" ht="15.0" customHeight="1">
      <c r="A456" s="127">
        <v>45483.0</v>
      </c>
      <c r="B456" s="181" t="s">
        <v>4140</v>
      </c>
      <c r="C456" s="56" t="s">
        <v>2954</v>
      </c>
      <c r="D456" s="73" t="str">
        <f>IFERROR(VLOOKUP(C456,Stock,3,FALSE),"")</f>
        <v>Transport</v>
      </c>
      <c r="E456" s="56">
        <v>1.0</v>
      </c>
      <c r="F456" s="161">
        <v>50000.0</v>
      </c>
      <c r="G456" s="162">
        <f t="shared" si="9"/>
        <v>50000</v>
      </c>
      <c r="H456" s="194"/>
      <c r="I456" s="161">
        <f t="shared" si="5"/>
        <v>50000</v>
      </c>
      <c r="J456" s="164">
        <f t="shared" si="7"/>
        <v>50000</v>
      </c>
      <c r="K456" s="56" t="s">
        <v>4141</v>
      </c>
      <c r="L456" s="165" t="s">
        <v>4031</v>
      </c>
      <c r="M456" s="56" t="s">
        <v>4142</v>
      </c>
      <c r="N456" s="169" t="s">
        <v>4143</v>
      </c>
      <c r="O456" s="169" t="s">
        <v>2958</v>
      </c>
      <c r="P456" s="168" t="s">
        <v>3112</v>
      </c>
      <c r="Q456" s="173"/>
      <c r="R456" s="167">
        <v>50000.0</v>
      </c>
      <c r="S456" s="173"/>
      <c r="T456" s="173"/>
      <c r="U456" s="173"/>
      <c r="V456" s="168" t="s">
        <v>3799</v>
      </c>
      <c r="W456" s="169"/>
      <c r="X456" s="219">
        <v>45483.0</v>
      </c>
    </row>
    <row r="457" ht="15.0" customHeight="1">
      <c r="A457" s="127">
        <v>45484.0</v>
      </c>
      <c r="B457" s="181" t="s">
        <v>4145</v>
      </c>
      <c r="C457" s="56" t="s">
        <v>3360</v>
      </c>
      <c r="D457" s="73" t="str">
        <f>IFERROR(VLOOKUP(C457,Stock,3,FALSE),"")</f>
        <v>Mitsubishi Xpander 17-</v>
      </c>
      <c r="E457" s="56">
        <v>1.0</v>
      </c>
      <c r="F457" s="161">
        <v>1165000.0</v>
      </c>
      <c r="G457" s="162">
        <f t="shared" si="9"/>
        <v>1165000</v>
      </c>
      <c r="H457" s="194"/>
      <c r="I457" s="161">
        <f t="shared" si="5"/>
        <v>1165000</v>
      </c>
      <c r="J457" s="164">
        <f t="shared" si="7"/>
        <v>1165000</v>
      </c>
      <c r="K457" s="56" t="s">
        <v>4146</v>
      </c>
      <c r="L457" s="165" t="s">
        <v>3683</v>
      </c>
      <c r="M457" s="73"/>
      <c r="N457" s="171"/>
      <c r="O457" s="169" t="s">
        <v>3684</v>
      </c>
      <c r="P457" s="168" t="s">
        <v>3112</v>
      </c>
      <c r="Q457" s="173"/>
      <c r="R457" s="167">
        <v>1165000.0</v>
      </c>
      <c r="S457" s="173"/>
      <c r="T457" s="173"/>
      <c r="U457" s="173"/>
      <c r="V457" s="168" t="s">
        <v>3883</v>
      </c>
      <c r="W457" s="169"/>
      <c r="X457" s="169" t="s">
        <v>4147</v>
      </c>
    </row>
    <row r="458" ht="15.0" customHeight="1">
      <c r="A458" s="127">
        <v>45484.0</v>
      </c>
      <c r="B458" s="181" t="s">
        <v>4148</v>
      </c>
      <c r="C458" s="56" t="s">
        <v>4149</v>
      </c>
      <c r="D458" s="73" t="str">
        <f>IFERROR(VLOOKUP(C458,Stock,3,FALSE),"")</f>
        <v>Toyota Avanza / Xenia 11-15 2nd Gen</v>
      </c>
      <c r="E458" s="56">
        <v>1.0</v>
      </c>
      <c r="F458" s="161">
        <v>515000.0</v>
      </c>
      <c r="G458" s="162">
        <f t="shared" si="9"/>
        <v>515000</v>
      </c>
      <c r="H458" s="194"/>
      <c r="I458" s="161">
        <f t="shared" si="5"/>
        <v>515000</v>
      </c>
      <c r="J458" s="164">
        <f t="shared" si="7"/>
        <v>515000</v>
      </c>
      <c r="K458" s="229" t="s">
        <v>4150</v>
      </c>
      <c r="L458" s="165" t="s">
        <v>4151</v>
      </c>
      <c r="M458" s="73"/>
      <c r="N458" s="171"/>
      <c r="O458" s="169" t="s">
        <v>2958</v>
      </c>
      <c r="P458" s="168" t="s">
        <v>3112</v>
      </c>
      <c r="Q458" s="167">
        <v>600000.0</v>
      </c>
      <c r="R458" s="173"/>
      <c r="S458" s="173"/>
      <c r="T458" s="173"/>
      <c r="U458" s="167">
        <v>85000.0</v>
      </c>
      <c r="V458" s="168" t="s">
        <v>3883</v>
      </c>
      <c r="W458" s="169"/>
      <c r="X458" s="169" t="s">
        <v>4152</v>
      </c>
    </row>
    <row r="459" ht="15.0" customHeight="1">
      <c r="A459" s="127">
        <v>45484.0</v>
      </c>
      <c r="B459" s="181" t="s">
        <v>4153</v>
      </c>
      <c r="C459" s="56" t="s">
        <v>4154</v>
      </c>
      <c r="D459" s="73" t="str">
        <f>IFERROR(VLOOKUP(C459,Stock,3,FALSE),"")</f>
        <v>Honda CR-V 07-11 3rd Gen</v>
      </c>
      <c r="E459" s="56">
        <v>1.0</v>
      </c>
      <c r="F459" s="161">
        <v>1902000.0</v>
      </c>
      <c r="G459" s="162">
        <f t="shared" si="9"/>
        <v>1902000</v>
      </c>
      <c r="H459" s="194"/>
      <c r="I459" s="161">
        <f t="shared" si="5"/>
        <v>1902000</v>
      </c>
      <c r="J459" s="164">
        <f t="shared" si="7"/>
        <v>1902000</v>
      </c>
      <c r="K459" s="56" t="s">
        <v>4155</v>
      </c>
      <c r="L459" s="165" t="s">
        <v>4156</v>
      </c>
      <c r="M459" s="73"/>
      <c r="N459" s="171"/>
      <c r="O459" s="169" t="s">
        <v>2958</v>
      </c>
      <c r="P459" s="168" t="s">
        <v>3112</v>
      </c>
      <c r="Q459" s="167">
        <v>1902000.0</v>
      </c>
      <c r="R459" s="173"/>
      <c r="S459" s="173"/>
      <c r="T459" s="173"/>
      <c r="U459" s="173"/>
      <c r="V459" s="168" t="s">
        <v>3883</v>
      </c>
      <c r="W459" s="169"/>
      <c r="X459" s="169" t="s">
        <v>4157</v>
      </c>
    </row>
    <row r="460" ht="15.0" customHeight="1">
      <c r="A460" s="127">
        <v>45484.0</v>
      </c>
      <c r="B460" s="181" t="s">
        <v>4158</v>
      </c>
      <c r="C460" s="56" t="s">
        <v>3201</v>
      </c>
      <c r="D460" s="73" t="str">
        <f>IFERROR(VLOOKUP(C460,Stock,3,FALSE),"")</f>
        <v>Honda Freed 08-16 1st gen</v>
      </c>
      <c r="E460" s="56">
        <v>1.0</v>
      </c>
      <c r="F460" s="161">
        <v>1798000.0</v>
      </c>
      <c r="G460" s="162">
        <f t="shared" si="9"/>
        <v>1798000</v>
      </c>
      <c r="H460" s="194"/>
      <c r="I460" s="161">
        <f t="shared" si="5"/>
        <v>1798000</v>
      </c>
      <c r="J460" s="164">
        <f t="shared" si="7"/>
        <v>1798000</v>
      </c>
      <c r="K460" s="229" t="s">
        <v>4159</v>
      </c>
      <c r="L460" s="165" t="s">
        <v>4160</v>
      </c>
      <c r="M460" s="73"/>
      <c r="N460" s="169" t="s">
        <v>4161</v>
      </c>
      <c r="O460" s="169" t="s">
        <v>3184</v>
      </c>
      <c r="P460" s="168" t="s">
        <v>3112</v>
      </c>
      <c r="Q460" s="173"/>
      <c r="R460" s="167">
        <v>1798000.0</v>
      </c>
      <c r="S460" s="173"/>
      <c r="T460" s="173"/>
      <c r="U460" s="173"/>
      <c r="V460" s="168" t="s">
        <v>3883</v>
      </c>
      <c r="W460" s="169"/>
      <c r="X460" s="197" t="s">
        <v>4162</v>
      </c>
    </row>
    <row r="461" ht="15.0" customHeight="1">
      <c r="A461" s="127">
        <v>45485.0</v>
      </c>
      <c r="B461" s="181" t="s">
        <v>4163</v>
      </c>
      <c r="C461" s="56" t="s">
        <v>4164</v>
      </c>
      <c r="D461" s="73" t="str">
        <f>IFERROR(VLOOKUP(C461,Stock,3,FALSE),"")</f>
        <v>Nissan Frontier Navara 04-15 D40 2nd Gen</v>
      </c>
      <c r="E461" s="56">
        <v>1.0</v>
      </c>
      <c r="F461" s="161">
        <v>1636000.0</v>
      </c>
      <c r="G461" s="162">
        <f t="shared" si="9"/>
        <v>1636000</v>
      </c>
      <c r="H461" s="194"/>
      <c r="I461" s="161">
        <f t="shared" si="5"/>
        <v>1636000</v>
      </c>
      <c r="J461" s="164">
        <f t="shared" si="7"/>
        <v>1636000</v>
      </c>
      <c r="K461" s="56" t="s">
        <v>4165</v>
      </c>
      <c r="L461" s="165" t="s">
        <v>4166</v>
      </c>
      <c r="M461" s="73"/>
      <c r="N461" s="171"/>
      <c r="O461" s="169" t="s">
        <v>2958</v>
      </c>
      <c r="P461" s="168" t="s">
        <v>3112</v>
      </c>
      <c r="Q461" s="167"/>
      <c r="R461" s="167">
        <v>1636000.0</v>
      </c>
      <c r="S461" s="173"/>
      <c r="T461" s="173"/>
      <c r="U461" s="173"/>
      <c r="V461" s="168" t="s">
        <v>3883</v>
      </c>
      <c r="W461" s="169"/>
      <c r="X461" s="169" t="s">
        <v>4167</v>
      </c>
    </row>
    <row r="462" ht="15.0" customHeight="1">
      <c r="A462" s="127">
        <v>45485.0</v>
      </c>
      <c r="B462" s="181" t="s">
        <v>4168</v>
      </c>
      <c r="C462" s="56" t="s">
        <v>3099</v>
      </c>
      <c r="D462" s="73" t="str">
        <f>IFERROR(VLOOKUP(C462,Stock,3,FALSE),"")</f>
        <v>Toyota Calya / Sigra 16-</v>
      </c>
      <c r="E462" s="56">
        <v>1.0</v>
      </c>
      <c r="F462" s="161">
        <v>1149000.0</v>
      </c>
      <c r="G462" s="162">
        <f t="shared" si="9"/>
        <v>1149000</v>
      </c>
      <c r="H462" s="194"/>
      <c r="I462" s="161">
        <f t="shared" si="5"/>
        <v>1149000</v>
      </c>
      <c r="J462" s="164">
        <f t="shared" si="7"/>
        <v>1149000</v>
      </c>
      <c r="K462" s="56" t="s">
        <v>4169</v>
      </c>
      <c r="L462" s="165" t="s">
        <v>4170</v>
      </c>
      <c r="M462" s="73"/>
      <c r="N462" s="169" t="s">
        <v>4171</v>
      </c>
      <c r="O462" s="169" t="s">
        <v>2958</v>
      </c>
      <c r="P462" s="168" t="s">
        <v>3011</v>
      </c>
      <c r="Q462" s="167">
        <v>1200000.0</v>
      </c>
      <c r="R462" s="173"/>
      <c r="S462" s="173"/>
      <c r="T462" s="173"/>
      <c r="U462" s="167">
        <v>51000.0</v>
      </c>
      <c r="V462" s="168" t="s">
        <v>3883</v>
      </c>
      <c r="W462" s="169"/>
      <c r="X462" s="169" t="s">
        <v>4172</v>
      </c>
    </row>
    <row r="463" ht="15.0" customHeight="1">
      <c r="A463" s="127">
        <v>45486.0</v>
      </c>
      <c r="B463" s="181" t="s">
        <v>4173</v>
      </c>
      <c r="C463" s="56" t="s">
        <v>2815</v>
      </c>
      <c r="D463" s="73" t="str">
        <f>IFERROR(VLOOKUP(C463,Stock,3,FALSE),"")</f>
        <v>Hino Ranger Louhan 03- / Hino 500 (kecuali tipe FC)</v>
      </c>
      <c r="E463" s="56">
        <v>1.0</v>
      </c>
      <c r="F463" s="161">
        <v>550000.0</v>
      </c>
      <c r="G463" s="162">
        <f t="shared" si="9"/>
        <v>550000</v>
      </c>
      <c r="H463" s="194"/>
      <c r="I463" s="161">
        <f t="shared" si="5"/>
        <v>550000</v>
      </c>
      <c r="J463" s="164">
        <f t="shared" si="7"/>
        <v>550000</v>
      </c>
      <c r="K463" s="56" t="s">
        <v>4174</v>
      </c>
      <c r="L463" s="165" t="s">
        <v>4175</v>
      </c>
      <c r="M463" s="73"/>
      <c r="N463" s="171"/>
      <c r="O463" s="169" t="s">
        <v>2958</v>
      </c>
      <c r="P463" s="168" t="s">
        <v>3112</v>
      </c>
      <c r="Q463" s="173"/>
      <c r="R463" s="167">
        <v>550000.0</v>
      </c>
      <c r="S463" s="173"/>
      <c r="T463" s="173"/>
      <c r="U463" s="173"/>
      <c r="V463" s="168" t="s">
        <v>3883</v>
      </c>
      <c r="W463" s="169"/>
      <c r="X463" s="169" t="s">
        <v>4176</v>
      </c>
    </row>
    <row r="464" ht="15.0" customHeight="1">
      <c r="A464" s="127">
        <v>45486.0</v>
      </c>
      <c r="B464" s="181" t="s">
        <v>4177</v>
      </c>
      <c r="C464" s="56" t="s">
        <v>4178</v>
      </c>
      <c r="D464" s="73" t="str">
        <f>IFERROR(VLOOKUP(C464,Stock,3,FALSE),"")</f>
        <v>Honda BR-V 16-</v>
      </c>
      <c r="E464" s="56">
        <v>1.0</v>
      </c>
      <c r="F464" s="161">
        <v>1533000.0</v>
      </c>
      <c r="G464" s="162">
        <f t="shared" si="9"/>
        <v>1533000</v>
      </c>
      <c r="H464" s="194"/>
      <c r="I464" s="161">
        <f t="shared" si="5"/>
        <v>1533000</v>
      </c>
      <c r="J464" s="164">
        <f t="shared" si="7"/>
        <v>1533000</v>
      </c>
      <c r="K464" s="56" t="s">
        <v>4179</v>
      </c>
      <c r="L464" s="165" t="s">
        <v>4180</v>
      </c>
      <c r="M464" s="73"/>
      <c r="N464" s="171"/>
      <c r="O464" s="169" t="s">
        <v>2958</v>
      </c>
      <c r="P464" s="168" t="s">
        <v>3112</v>
      </c>
      <c r="Q464" s="173"/>
      <c r="R464" s="167">
        <v>1533000.0</v>
      </c>
      <c r="S464" s="173"/>
      <c r="T464" s="173"/>
      <c r="U464" s="173"/>
      <c r="V464" s="168" t="s">
        <v>3883</v>
      </c>
      <c r="W464" s="169"/>
      <c r="X464" s="169" t="s">
        <v>4181</v>
      </c>
    </row>
    <row r="465" ht="15.0" customHeight="1">
      <c r="A465" s="127">
        <v>45486.0</v>
      </c>
      <c r="B465" s="181" t="s">
        <v>4182</v>
      </c>
      <c r="C465" s="56" t="s">
        <v>4183</v>
      </c>
      <c r="D465" s="73" t="str">
        <f>IFERROR(VLOOKUP(C465,Stock,3,FALSE),"")</f>
        <v>Mitsubishi Xpander 17-21</v>
      </c>
      <c r="E465" s="56">
        <v>1.0</v>
      </c>
      <c r="F465" s="161">
        <v>950000.0</v>
      </c>
      <c r="G465" s="162">
        <f t="shared" si="9"/>
        <v>950000</v>
      </c>
      <c r="H465" s="194"/>
      <c r="I465" s="161">
        <f t="shared" si="5"/>
        <v>950000</v>
      </c>
      <c r="J465" s="164">
        <f t="shared" si="7"/>
        <v>950000</v>
      </c>
      <c r="K465" s="56" t="s">
        <v>4184</v>
      </c>
      <c r="L465" s="165" t="s">
        <v>4185</v>
      </c>
      <c r="M465" s="73"/>
      <c r="N465" s="169" t="s">
        <v>4186</v>
      </c>
      <c r="O465" s="169" t="s">
        <v>2958</v>
      </c>
      <c r="P465" s="168" t="s">
        <v>3112</v>
      </c>
      <c r="Q465" s="173"/>
      <c r="R465" s="167">
        <v>950000.0</v>
      </c>
      <c r="S465" s="173"/>
      <c r="T465" s="173"/>
      <c r="U465" s="173"/>
      <c r="V465" s="168" t="s">
        <v>3883</v>
      </c>
      <c r="W465" s="169"/>
      <c r="X465" s="169" t="s">
        <v>4187</v>
      </c>
    </row>
    <row r="466" ht="15.0" customHeight="1">
      <c r="A466" s="127">
        <v>45487.0</v>
      </c>
      <c r="B466" s="181" t="s">
        <v>4188</v>
      </c>
      <c r="C466" s="56" t="s">
        <v>4189</v>
      </c>
      <c r="D466" s="73" t="str">
        <f>IFERROR(VLOOKUP(C466,Stock,3,FALSE),"")</f>
        <v>Toyota Hi-Ace 20- Commuter (Bening)</v>
      </c>
      <c r="E466" s="56">
        <v>1.0</v>
      </c>
      <c r="F466" s="161">
        <v>2637000.0</v>
      </c>
      <c r="G466" s="162">
        <f t="shared" si="9"/>
        <v>2637000</v>
      </c>
      <c r="H466" s="194"/>
      <c r="I466" s="161">
        <f t="shared" si="5"/>
        <v>2637000</v>
      </c>
      <c r="J466" s="164">
        <f t="shared" si="7"/>
        <v>2637000</v>
      </c>
      <c r="K466" s="56" t="s">
        <v>4190</v>
      </c>
      <c r="L466" s="165" t="s">
        <v>4191</v>
      </c>
      <c r="M466" s="73"/>
      <c r="N466" s="169" t="s">
        <v>4192</v>
      </c>
      <c r="O466" s="169" t="s">
        <v>3213</v>
      </c>
      <c r="P466" s="168" t="s">
        <v>3112</v>
      </c>
      <c r="Q466" s="167">
        <v>2637000.0</v>
      </c>
      <c r="R466" s="173"/>
      <c r="S466" s="173"/>
      <c r="T466" s="173"/>
      <c r="U466" s="173"/>
      <c r="V466" s="168" t="s">
        <v>3883</v>
      </c>
      <c r="W466" s="169"/>
      <c r="X466" s="169" t="s">
        <v>4193</v>
      </c>
    </row>
    <row r="467" ht="15.0" customHeight="1">
      <c r="A467" s="127">
        <v>45487.0</v>
      </c>
      <c r="B467" s="181" t="s">
        <v>4188</v>
      </c>
      <c r="C467" s="56" t="s">
        <v>3513</v>
      </c>
      <c r="D467" s="73" t="str">
        <f>IFERROR(VLOOKUP(C467,Stock,3,FALSE),"")</f>
        <v>Lembur</v>
      </c>
      <c r="E467" s="56">
        <v>1.0</v>
      </c>
      <c r="F467" s="161">
        <v>100000.0</v>
      </c>
      <c r="G467" s="162">
        <f t="shared" si="9"/>
        <v>100000</v>
      </c>
      <c r="H467" s="194"/>
      <c r="I467" s="161">
        <f t="shared" si="5"/>
        <v>100000</v>
      </c>
      <c r="J467" s="164">
        <f t="shared" si="7"/>
        <v>100000</v>
      </c>
      <c r="K467" s="56" t="s">
        <v>4190</v>
      </c>
      <c r="L467" s="165" t="s">
        <v>4191</v>
      </c>
      <c r="M467" s="73"/>
      <c r="N467" s="169" t="s">
        <v>4192</v>
      </c>
      <c r="O467" s="169" t="s">
        <v>3213</v>
      </c>
      <c r="P467" s="168" t="s">
        <v>3112</v>
      </c>
      <c r="Q467" s="167">
        <v>100000.0</v>
      </c>
      <c r="R467" s="173"/>
      <c r="S467" s="173"/>
      <c r="T467" s="173"/>
      <c r="U467" s="173"/>
      <c r="V467" s="168" t="s">
        <v>3883</v>
      </c>
      <c r="W467" s="169"/>
      <c r="X467" s="169" t="s">
        <v>4194</v>
      </c>
    </row>
    <row r="468" ht="15.0" customHeight="1">
      <c r="A468" s="127">
        <v>45488.0</v>
      </c>
      <c r="B468" s="181" t="s">
        <v>4195</v>
      </c>
      <c r="C468" s="56" t="s">
        <v>2565</v>
      </c>
      <c r="D468" s="73" t="str">
        <f>IFERROR(VLOOKUP(C468,Stock,3,FALSE),"")</f>
        <v>Toyota Avanza / Xenia 03-11 1st Gen</v>
      </c>
      <c r="E468" s="56">
        <v>1.0</v>
      </c>
      <c r="F468" s="161">
        <v>1020000.0</v>
      </c>
      <c r="G468" s="162">
        <f t="shared" si="9"/>
        <v>1020000</v>
      </c>
      <c r="H468" s="194"/>
      <c r="I468" s="161">
        <f t="shared" si="5"/>
        <v>1020000</v>
      </c>
      <c r="J468" s="164">
        <f t="shared" si="7"/>
        <v>1020000</v>
      </c>
      <c r="K468" s="56" t="s">
        <v>4196</v>
      </c>
      <c r="L468" s="165" t="s">
        <v>4197</v>
      </c>
      <c r="M468" s="56" t="s">
        <v>4198</v>
      </c>
      <c r="N468" s="169" t="s">
        <v>4199</v>
      </c>
      <c r="O468" s="169" t="s">
        <v>2958</v>
      </c>
      <c r="P468" s="168" t="s">
        <v>3112</v>
      </c>
      <c r="Q468" s="173"/>
      <c r="R468" s="167">
        <v>1020000.0</v>
      </c>
      <c r="S468" s="173"/>
      <c r="T468" s="173"/>
      <c r="U468" s="173"/>
      <c r="V468" s="168" t="s">
        <v>3883</v>
      </c>
      <c r="W468" s="169"/>
      <c r="X468" s="169" t="s">
        <v>4200</v>
      </c>
    </row>
    <row r="469" ht="15.0" customHeight="1">
      <c r="A469" s="127">
        <v>45488.0</v>
      </c>
      <c r="B469" s="181" t="s">
        <v>4201</v>
      </c>
      <c r="C469" s="56" t="s">
        <v>3837</v>
      </c>
      <c r="D469" s="73" t="str">
        <f>IFERROR(VLOOKUP(C469,Stock,3,FALSE),"")</f>
        <v>Toyota Yaris 13- 2nd Gen / Vios 14- 3rd Gen</v>
      </c>
      <c r="E469" s="56">
        <v>1.0</v>
      </c>
      <c r="F469" s="161">
        <v>1719000.0</v>
      </c>
      <c r="G469" s="162">
        <f t="shared" si="9"/>
        <v>1719000</v>
      </c>
      <c r="H469" s="194"/>
      <c r="I469" s="161">
        <f t="shared" si="5"/>
        <v>1719000</v>
      </c>
      <c r="J469" s="164">
        <f t="shared" si="7"/>
        <v>1719000</v>
      </c>
      <c r="K469" s="56" t="s">
        <v>4202</v>
      </c>
      <c r="L469" s="165" t="s">
        <v>4203</v>
      </c>
      <c r="M469" s="73"/>
      <c r="N469" s="169" t="s">
        <v>4204</v>
      </c>
      <c r="O469" s="169" t="s">
        <v>2958</v>
      </c>
      <c r="P469" s="168" t="s">
        <v>3112</v>
      </c>
      <c r="Q469" s="173"/>
      <c r="R469" s="167">
        <v>1719000.0</v>
      </c>
      <c r="S469" s="173"/>
      <c r="T469" s="173"/>
      <c r="U469" s="173"/>
      <c r="V469" s="168" t="s">
        <v>3799</v>
      </c>
      <c r="W469" s="169"/>
      <c r="X469" s="169" t="s">
        <v>4205</v>
      </c>
    </row>
    <row r="470" ht="15.0" customHeight="1">
      <c r="A470" s="127">
        <v>45488.0</v>
      </c>
      <c r="B470" s="181" t="s">
        <v>4206</v>
      </c>
      <c r="C470" s="56" t="s">
        <v>4207</v>
      </c>
      <c r="D470" s="73" t="str">
        <f>IFERROR(VLOOKUP(C470,Stock,3,FALSE),"")</f>
        <v>Toyota Hi-Ace 19- Premio (Bening)</v>
      </c>
      <c r="E470" s="56">
        <v>1.0</v>
      </c>
      <c r="F470" s="161">
        <v>2590000.0</v>
      </c>
      <c r="G470" s="162">
        <f t="shared" si="9"/>
        <v>2590000</v>
      </c>
      <c r="H470" s="194"/>
      <c r="I470" s="161">
        <f t="shared" si="5"/>
        <v>2590000</v>
      </c>
      <c r="J470" s="164">
        <f t="shared" si="7"/>
        <v>2590000</v>
      </c>
      <c r="K470" s="56" t="s">
        <v>4208</v>
      </c>
      <c r="L470" s="165" t="s">
        <v>4209</v>
      </c>
      <c r="M470" s="73"/>
      <c r="N470" s="169" t="s">
        <v>4210</v>
      </c>
      <c r="O470" s="231" t="s">
        <v>4072</v>
      </c>
      <c r="P470" s="168" t="s">
        <v>3112</v>
      </c>
      <c r="Q470" s="173"/>
      <c r="R470" s="167">
        <v>2590000.0</v>
      </c>
      <c r="S470" s="173"/>
      <c r="T470" s="173"/>
      <c r="U470" s="173"/>
      <c r="V470" s="168" t="s">
        <v>3883</v>
      </c>
      <c r="W470" s="169"/>
      <c r="X470" s="169" t="s">
        <v>4211</v>
      </c>
    </row>
    <row r="471" ht="15.0" customHeight="1">
      <c r="A471" s="127">
        <v>45489.0</v>
      </c>
      <c r="B471" s="181" t="s">
        <v>4212</v>
      </c>
      <c r="C471" s="56" t="s">
        <v>4213</v>
      </c>
      <c r="D471" s="73" t="str">
        <f>IFERROR(VLOOKUP(C471,Stock,3,FALSE),"")</f>
        <v>Taft GT / Hiline / Feroza</v>
      </c>
      <c r="E471" s="56">
        <v>1.0</v>
      </c>
      <c r="F471" s="161">
        <v>700000.0</v>
      </c>
      <c r="G471" s="162">
        <f t="shared" si="9"/>
        <v>700000</v>
      </c>
      <c r="H471" s="194"/>
      <c r="I471" s="161">
        <f t="shared" si="5"/>
        <v>700000</v>
      </c>
      <c r="J471" s="164">
        <f t="shared" si="7"/>
        <v>700000</v>
      </c>
      <c r="K471" s="56" t="s">
        <v>4214</v>
      </c>
      <c r="L471" s="165" t="s">
        <v>4215</v>
      </c>
      <c r="M471" s="73"/>
      <c r="N471" s="223" t="s">
        <v>4216</v>
      </c>
      <c r="O471" s="169" t="s">
        <v>3213</v>
      </c>
      <c r="P471" s="168" t="s">
        <v>3112</v>
      </c>
      <c r="Q471" s="167">
        <v>700000.0</v>
      </c>
      <c r="R471" s="173"/>
      <c r="S471" s="173"/>
      <c r="T471" s="173"/>
      <c r="U471" s="173"/>
      <c r="V471" s="168" t="s">
        <v>3883</v>
      </c>
      <c r="W471" s="169"/>
      <c r="X471" s="169" t="s">
        <v>4217</v>
      </c>
    </row>
    <row r="472" ht="15.0" customHeight="1">
      <c r="A472" s="127">
        <v>45491.0</v>
      </c>
      <c r="B472" s="181" t="s">
        <v>4218</v>
      </c>
      <c r="C472" s="56" t="s">
        <v>4219</v>
      </c>
      <c r="D472" s="73" t="str">
        <f>IFERROR(VLOOKUP(C472,Stock,3,FALSE),"")</f>
        <v>Mitsubishi Pajero 08-16</v>
      </c>
      <c r="E472" s="56">
        <v>1.0</v>
      </c>
      <c r="F472" s="161">
        <v>505000.0</v>
      </c>
      <c r="G472" s="162">
        <f t="shared" si="9"/>
        <v>505000</v>
      </c>
      <c r="H472" s="194"/>
      <c r="I472" s="161">
        <f t="shared" si="5"/>
        <v>505000</v>
      </c>
      <c r="J472" s="164">
        <f t="shared" si="7"/>
        <v>505000</v>
      </c>
      <c r="K472" s="229" t="s">
        <v>4220</v>
      </c>
      <c r="L472" s="170" t="s">
        <v>4221</v>
      </c>
      <c r="M472" s="73"/>
      <c r="N472" s="223" t="s">
        <v>4222</v>
      </c>
      <c r="O472" s="169" t="s">
        <v>3037</v>
      </c>
      <c r="P472" s="168" t="s">
        <v>3112</v>
      </c>
      <c r="Q472" s="173"/>
      <c r="R472" s="167">
        <v>505000.0</v>
      </c>
      <c r="S472" s="173"/>
      <c r="T472" s="173"/>
      <c r="U472" s="173"/>
      <c r="V472" s="168" t="s">
        <v>3799</v>
      </c>
      <c r="W472" s="169"/>
      <c r="X472" s="169" t="s">
        <v>4223</v>
      </c>
    </row>
    <row r="473" ht="15.0" customHeight="1">
      <c r="A473" s="127">
        <v>45491.0</v>
      </c>
      <c r="B473" s="181" t="s">
        <v>4224</v>
      </c>
      <c r="C473" s="56" t="s">
        <v>2742</v>
      </c>
      <c r="D473" s="73" t="str">
        <f>IFERROR(VLOOKUP(C473,Stock,3,FALSE),"")</f>
        <v>Toyota Alphard 02-08 ANH10 1st Gen (Hitam)</v>
      </c>
      <c r="E473" s="56">
        <v>1.0</v>
      </c>
      <c r="F473" s="161">
        <v>3124000.0</v>
      </c>
      <c r="G473" s="162">
        <f t="shared" si="9"/>
        <v>3124000</v>
      </c>
      <c r="H473" s="194"/>
      <c r="I473" s="161">
        <f t="shared" si="5"/>
        <v>3124000</v>
      </c>
      <c r="J473" s="164">
        <f t="shared" si="7"/>
        <v>3124000</v>
      </c>
      <c r="K473" s="229" t="s">
        <v>4225</v>
      </c>
      <c r="L473" s="165" t="s">
        <v>4226</v>
      </c>
      <c r="M473" s="73"/>
      <c r="N473" s="171"/>
      <c r="O473" s="169" t="s">
        <v>3626</v>
      </c>
      <c r="P473" s="168" t="s">
        <v>3112</v>
      </c>
      <c r="Q473" s="173"/>
      <c r="R473" s="167">
        <v>3124000.0</v>
      </c>
      <c r="S473" s="173"/>
      <c r="T473" s="173"/>
      <c r="U473" s="173"/>
      <c r="V473" s="168" t="s">
        <v>3799</v>
      </c>
      <c r="W473" s="169"/>
      <c r="X473" s="197" t="s">
        <v>4227</v>
      </c>
    </row>
    <row r="474" ht="15.0" customHeight="1">
      <c r="A474" s="127">
        <v>45491.0</v>
      </c>
      <c r="B474" s="181" t="s">
        <v>4224</v>
      </c>
      <c r="C474" s="56" t="s">
        <v>4027</v>
      </c>
      <c r="D474" s="73" t="str">
        <f>IFERROR(VLOOKUP(C474,Stock,3,FALSE),"")</f>
        <v>501 Sealant Application</v>
      </c>
      <c r="E474" s="56">
        <v>2.0</v>
      </c>
      <c r="F474" s="161">
        <v>95000.0</v>
      </c>
      <c r="G474" s="162">
        <f t="shared" si="9"/>
        <v>190000</v>
      </c>
      <c r="H474" s="194"/>
      <c r="I474" s="161">
        <f t="shared" si="5"/>
        <v>190000</v>
      </c>
      <c r="J474" s="164">
        <f t="shared" si="7"/>
        <v>190000</v>
      </c>
      <c r="K474" s="229" t="s">
        <v>4225</v>
      </c>
      <c r="L474" s="165" t="s">
        <v>4226</v>
      </c>
      <c r="M474" s="73"/>
      <c r="N474" s="171"/>
      <c r="O474" s="169" t="s">
        <v>3626</v>
      </c>
      <c r="P474" s="168" t="s">
        <v>3112</v>
      </c>
      <c r="Q474" s="173"/>
      <c r="R474" s="167">
        <v>190000.0</v>
      </c>
      <c r="S474" s="173"/>
      <c r="T474" s="173"/>
      <c r="U474" s="173"/>
      <c r="V474" s="168" t="s">
        <v>3799</v>
      </c>
      <c r="W474" s="169"/>
      <c r="X474" s="197" t="s">
        <v>4228</v>
      </c>
    </row>
    <row r="475" ht="15.0" customHeight="1">
      <c r="A475" s="127">
        <v>45491.0</v>
      </c>
      <c r="B475" s="181" t="s">
        <v>4224</v>
      </c>
      <c r="C475" s="56" t="s">
        <v>2934</v>
      </c>
      <c r="D475" s="73" t="str">
        <f>IFERROR(VLOOKUP(C475,Stock,3,FALSE),"")</f>
        <v>Peti Kayu</v>
      </c>
      <c r="E475" s="56">
        <v>1.0</v>
      </c>
      <c r="F475" s="161">
        <v>160000.0</v>
      </c>
      <c r="G475" s="162">
        <f t="shared" si="9"/>
        <v>160000</v>
      </c>
      <c r="H475" s="194"/>
      <c r="I475" s="161">
        <f t="shared" si="5"/>
        <v>160000</v>
      </c>
      <c r="J475" s="164">
        <f t="shared" si="7"/>
        <v>160000</v>
      </c>
      <c r="K475" s="56" t="s">
        <v>4225</v>
      </c>
      <c r="L475" s="165" t="s">
        <v>4226</v>
      </c>
      <c r="M475" s="73"/>
      <c r="N475" s="171"/>
      <c r="O475" s="169" t="s">
        <v>3626</v>
      </c>
      <c r="P475" s="168" t="s">
        <v>3112</v>
      </c>
      <c r="Q475" s="173"/>
      <c r="R475" s="167">
        <v>160000.0</v>
      </c>
      <c r="S475" s="173"/>
      <c r="T475" s="173"/>
      <c r="U475" s="173"/>
      <c r="V475" s="168" t="s">
        <v>3799</v>
      </c>
      <c r="W475" s="169"/>
      <c r="X475" s="197" t="s">
        <v>4229</v>
      </c>
    </row>
    <row r="476" ht="15.0" customHeight="1">
      <c r="A476" s="127">
        <v>45491.0</v>
      </c>
      <c r="B476" s="181" t="s">
        <v>4230</v>
      </c>
      <c r="C476" s="56" t="s">
        <v>4231</v>
      </c>
      <c r="D476" s="73" t="str">
        <f>IFERROR(VLOOKUP(C476,Stock,3,FALSE),"")</f>
        <v>Mers-Benz E-Class 02-09 W211</v>
      </c>
      <c r="E476" s="56">
        <v>1.0</v>
      </c>
      <c r="F476" s="161">
        <v>3426000.0</v>
      </c>
      <c r="G476" s="162">
        <f t="shared" si="9"/>
        <v>3426000</v>
      </c>
      <c r="H476" s="194"/>
      <c r="I476" s="161">
        <f t="shared" si="5"/>
        <v>3426000</v>
      </c>
      <c r="J476" s="164">
        <f t="shared" si="7"/>
        <v>3426000</v>
      </c>
      <c r="K476" s="56" t="s">
        <v>4232</v>
      </c>
      <c r="L476" s="56" t="s">
        <v>4233</v>
      </c>
      <c r="M476" s="73"/>
      <c r="N476" s="171"/>
      <c r="O476" s="169" t="s">
        <v>2958</v>
      </c>
      <c r="P476" s="168" t="s">
        <v>3112</v>
      </c>
      <c r="Q476" s="173"/>
      <c r="R476" s="167">
        <v>3426000.0</v>
      </c>
      <c r="S476" s="173"/>
      <c r="T476" s="173"/>
      <c r="U476" s="173"/>
      <c r="V476" s="168" t="s">
        <v>3799</v>
      </c>
      <c r="W476" s="169"/>
      <c r="X476" s="169" t="s">
        <v>4234</v>
      </c>
    </row>
    <row r="477" ht="15.0" customHeight="1">
      <c r="A477" s="127">
        <v>45492.0</v>
      </c>
      <c r="B477" s="181" t="s">
        <v>4235</v>
      </c>
      <c r="C477" s="56" t="s">
        <v>3020</v>
      </c>
      <c r="D477" s="73" t="str">
        <f>IFERROR(VLOOKUP(C477,Stock,3,FALSE),"")</f>
        <v>Toyota Vios 07-13 XP90 2nd Gen</v>
      </c>
      <c r="E477" s="56">
        <v>1.0</v>
      </c>
      <c r="F477" s="161">
        <v>1704000.0</v>
      </c>
      <c r="G477" s="162">
        <f t="shared" si="9"/>
        <v>1704000</v>
      </c>
      <c r="H477" s="194"/>
      <c r="I477" s="161">
        <f t="shared" si="5"/>
        <v>1704000</v>
      </c>
      <c r="J477" s="164">
        <f t="shared" si="7"/>
        <v>1704000</v>
      </c>
      <c r="K477" s="229" t="s">
        <v>3796</v>
      </c>
      <c r="L477" s="165" t="s">
        <v>4236</v>
      </c>
      <c r="M477" s="73"/>
      <c r="N477" s="171"/>
      <c r="O477" s="169" t="s">
        <v>2958</v>
      </c>
      <c r="P477" s="168" t="s">
        <v>3112</v>
      </c>
      <c r="Q477" s="167">
        <v>1750000.0</v>
      </c>
      <c r="R477" s="173"/>
      <c r="S477" s="173"/>
      <c r="T477" s="173"/>
      <c r="U477" s="167">
        <v>46000.0</v>
      </c>
      <c r="V477" s="168" t="s">
        <v>3883</v>
      </c>
      <c r="W477" s="169"/>
      <c r="X477" s="219">
        <v>45514.0</v>
      </c>
    </row>
    <row r="478" ht="15.0" customHeight="1">
      <c r="A478" s="127">
        <v>45492.0</v>
      </c>
      <c r="B478" s="181" t="s">
        <v>4237</v>
      </c>
      <c r="C478" s="169" t="s">
        <v>2703</v>
      </c>
      <c r="D478" s="73" t="str">
        <f>IFERROR(VLOOKUP(C478,Stock,3,FALSE),"")</f>
        <v>Toyota Hi-Ace 04-20 Commuter</v>
      </c>
      <c r="E478" s="56">
        <v>1.0</v>
      </c>
      <c r="F478" s="161">
        <v>1680000.0</v>
      </c>
      <c r="G478" s="162">
        <f t="shared" si="9"/>
        <v>1680000</v>
      </c>
      <c r="H478" s="194"/>
      <c r="I478" s="161">
        <f t="shared" si="5"/>
        <v>1680000</v>
      </c>
      <c r="J478" s="164">
        <f t="shared" si="7"/>
        <v>1680000</v>
      </c>
      <c r="K478" s="56" t="s">
        <v>4238</v>
      </c>
      <c r="L478" s="165" t="s">
        <v>3882</v>
      </c>
      <c r="M478" s="73"/>
      <c r="N478" s="171"/>
      <c r="O478" s="169" t="s">
        <v>2958</v>
      </c>
      <c r="P478" s="168" t="s">
        <v>3112</v>
      </c>
      <c r="Q478" s="167">
        <v>1680000.0</v>
      </c>
      <c r="R478" s="173"/>
      <c r="S478" s="173"/>
      <c r="T478" s="173"/>
      <c r="U478" s="173"/>
      <c r="V478" s="168" t="s">
        <v>3799</v>
      </c>
      <c r="W478" s="169"/>
      <c r="X478" s="219">
        <v>45514.0</v>
      </c>
    </row>
    <row r="479" ht="15.0" customHeight="1">
      <c r="A479" s="127">
        <v>45492.0</v>
      </c>
      <c r="B479" s="181" t="s">
        <v>4237</v>
      </c>
      <c r="C479" s="56" t="s">
        <v>2780</v>
      </c>
      <c r="D479" s="73" t="str">
        <f>IFERROR(VLOOKUP(C479,Stock,3,FALSE),"")</f>
        <v>Toyota Hi-Ace 04-20 Commuter With Frame</v>
      </c>
      <c r="E479" s="56">
        <v>1.0</v>
      </c>
      <c r="F479" s="161">
        <v>2945000.0</v>
      </c>
      <c r="G479" s="162">
        <f t="shared" si="9"/>
        <v>2945000</v>
      </c>
      <c r="H479" s="194"/>
      <c r="I479" s="161">
        <f t="shared" si="5"/>
        <v>2945000</v>
      </c>
      <c r="J479" s="164">
        <f t="shared" si="7"/>
        <v>2945000</v>
      </c>
      <c r="K479" s="56" t="s">
        <v>4238</v>
      </c>
      <c r="L479" s="165" t="s">
        <v>3882</v>
      </c>
      <c r="M479" s="73"/>
      <c r="N479" s="171"/>
      <c r="O479" s="169" t="s">
        <v>2958</v>
      </c>
      <c r="P479" s="168" t="s">
        <v>3112</v>
      </c>
      <c r="Q479" s="167">
        <v>2945000.0</v>
      </c>
      <c r="R479" s="173"/>
      <c r="S479" s="173"/>
      <c r="T479" s="173"/>
      <c r="U479" s="173"/>
      <c r="V479" s="168" t="s">
        <v>3799</v>
      </c>
      <c r="W479" s="169"/>
      <c r="X479" s="219">
        <v>45514.0</v>
      </c>
    </row>
    <row r="480" ht="15.0" customHeight="1">
      <c r="A480" s="127">
        <v>45492.0</v>
      </c>
      <c r="B480" s="181" t="s">
        <v>4239</v>
      </c>
      <c r="C480" s="56" t="s">
        <v>2827</v>
      </c>
      <c r="D480" s="73" t="str">
        <f>IFERROR(VLOOKUP(C480,Stock,3,FALSE),"")</f>
        <v>Suzuki Ertiga 12-18 1st Gen MPV</v>
      </c>
      <c r="E480" s="56">
        <v>1.0</v>
      </c>
      <c r="F480" s="161">
        <v>500000.0</v>
      </c>
      <c r="G480" s="162">
        <f t="shared" si="9"/>
        <v>500000</v>
      </c>
      <c r="H480" s="194"/>
      <c r="I480" s="161">
        <f t="shared" si="5"/>
        <v>500000</v>
      </c>
      <c r="J480" s="164">
        <f t="shared" si="7"/>
        <v>500000</v>
      </c>
      <c r="K480" s="56" t="s">
        <v>4240</v>
      </c>
      <c r="L480" s="165" t="s">
        <v>4241</v>
      </c>
      <c r="M480" s="73"/>
      <c r="N480" s="171"/>
      <c r="O480" s="169" t="s">
        <v>3858</v>
      </c>
      <c r="P480" s="168" t="s">
        <v>3112</v>
      </c>
      <c r="Q480" s="167">
        <v>500000.0</v>
      </c>
      <c r="R480" s="173"/>
      <c r="S480" s="173"/>
      <c r="T480" s="173"/>
      <c r="U480" s="173"/>
      <c r="V480" s="168" t="s">
        <v>3883</v>
      </c>
      <c r="W480" s="169"/>
      <c r="X480" s="219">
        <v>45514.0</v>
      </c>
    </row>
    <row r="481" ht="15.0" customHeight="1">
      <c r="A481" s="127">
        <v>45492.0</v>
      </c>
      <c r="B481" s="181" t="s">
        <v>4242</v>
      </c>
      <c r="C481" s="56" t="s">
        <v>3817</v>
      </c>
      <c r="D481" s="73" t="str">
        <f>IFERROR(VLOOKUP(C481,Stock,3,FALSE),"")</f>
        <v>Suzuki APV 03- Pickup/ Van (MULIA)</v>
      </c>
      <c r="E481" s="56">
        <v>1.0</v>
      </c>
      <c r="F481" s="161">
        <v>1244000.0</v>
      </c>
      <c r="G481" s="162">
        <f t="shared" si="9"/>
        <v>1244000</v>
      </c>
      <c r="H481" s="194"/>
      <c r="I481" s="161">
        <f t="shared" si="5"/>
        <v>1244000</v>
      </c>
      <c r="J481" s="164">
        <f t="shared" si="7"/>
        <v>1244000</v>
      </c>
      <c r="K481" s="229" t="s">
        <v>4243</v>
      </c>
      <c r="L481" s="165" t="s">
        <v>4244</v>
      </c>
      <c r="M481" s="73"/>
      <c r="N481" s="225" t="s">
        <v>4245</v>
      </c>
      <c r="O481" s="169" t="s">
        <v>2958</v>
      </c>
      <c r="P481" s="168" t="s">
        <v>3112</v>
      </c>
      <c r="Q481" s="173"/>
      <c r="R481" s="167">
        <v>1244000.0</v>
      </c>
      <c r="S481" s="173"/>
      <c r="T481" s="173"/>
      <c r="U481" s="173"/>
      <c r="V481" s="168" t="s">
        <v>3799</v>
      </c>
      <c r="W481" s="169"/>
      <c r="X481" s="219">
        <v>45514.0</v>
      </c>
    </row>
    <row r="482" ht="15.0" customHeight="1">
      <c r="A482" s="127">
        <v>45493.0</v>
      </c>
      <c r="B482" s="181" t="s">
        <v>4246</v>
      </c>
      <c r="C482" s="56" t="s">
        <v>3186</v>
      </c>
      <c r="D482" s="73" t="str">
        <f>IFERROR(VLOOKUP(C482,Stock,3,FALSE),"")</f>
        <v>Daihatsu Gran Max / Luxio 07-</v>
      </c>
      <c r="E482" s="56">
        <v>1.0</v>
      </c>
      <c r="F482" s="161">
        <v>1000000.0</v>
      </c>
      <c r="G482" s="162">
        <f t="shared" si="9"/>
        <v>1000000</v>
      </c>
      <c r="H482" s="194"/>
      <c r="I482" s="161">
        <f t="shared" si="5"/>
        <v>1000000</v>
      </c>
      <c r="J482" s="164">
        <f t="shared" si="7"/>
        <v>1000000</v>
      </c>
      <c r="K482" s="56" t="s">
        <v>4247</v>
      </c>
      <c r="L482" s="165" t="s">
        <v>4248</v>
      </c>
      <c r="M482" s="73"/>
      <c r="N482" s="169" t="s">
        <v>4249</v>
      </c>
      <c r="O482" s="169" t="s">
        <v>4250</v>
      </c>
      <c r="P482" s="168" t="s">
        <v>3112</v>
      </c>
      <c r="Q482" s="167">
        <v>1300000.0</v>
      </c>
      <c r="R482" s="173"/>
      <c r="S482" s="173"/>
      <c r="T482" s="173"/>
      <c r="U482" s="167">
        <v>25000.0</v>
      </c>
      <c r="V482" s="168" t="s">
        <v>3883</v>
      </c>
      <c r="W482" s="169"/>
      <c r="X482" s="219">
        <v>45514.0</v>
      </c>
    </row>
    <row r="483" ht="15.0" customHeight="1">
      <c r="A483" s="127">
        <v>45493.0</v>
      </c>
      <c r="B483" s="181" t="s">
        <v>4246</v>
      </c>
      <c r="C483" s="56" t="s">
        <v>3083</v>
      </c>
      <c r="D483" s="73" t="str">
        <f>IFERROR(VLOOKUP(C483,Stock,3,FALSE),"")</f>
        <v>List Kaca Depan Code 04</v>
      </c>
      <c r="E483" s="56">
        <v>1.0</v>
      </c>
      <c r="F483" s="161">
        <v>275000.0</v>
      </c>
      <c r="G483" s="162">
        <f t="shared" si="9"/>
        <v>275000</v>
      </c>
      <c r="H483" s="194"/>
      <c r="I483" s="161">
        <f t="shared" si="5"/>
        <v>275000</v>
      </c>
      <c r="J483" s="164">
        <f t="shared" si="7"/>
        <v>275000</v>
      </c>
      <c r="K483" s="56" t="s">
        <v>4247</v>
      </c>
      <c r="L483" s="165" t="s">
        <v>4248</v>
      </c>
      <c r="M483" s="73"/>
      <c r="N483" s="169" t="s">
        <v>4249</v>
      </c>
      <c r="O483" s="169" t="s">
        <v>4250</v>
      </c>
      <c r="P483" s="168" t="s">
        <v>3112</v>
      </c>
      <c r="Q483" s="167"/>
      <c r="R483" s="173"/>
      <c r="S483" s="173"/>
      <c r="T483" s="173"/>
      <c r="U483" s="173"/>
      <c r="V483" s="168" t="s">
        <v>3883</v>
      </c>
      <c r="W483" s="169"/>
      <c r="X483" s="219">
        <v>45514.0</v>
      </c>
    </row>
    <row r="484" ht="15.0" customHeight="1">
      <c r="A484" s="127">
        <v>45493.0</v>
      </c>
      <c r="B484" s="181" t="s">
        <v>4251</v>
      </c>
      <c r="C484" s="56" t="s">
        <v>2965</v>
      </c>
      <c r="D484" s="73" t="str">
        <f>IFERROR(VLOOKUP(C484,Stock,3,FALSE),"")</f>
        <v>Suzuki Ertiga 12-18 1st Gen MPV</v>
      </c>
      <c r="E484" s="56">
        <v>1.0</v>
      </c>
      <c r="F484" s="161">
        <v>700000.0</v>
      </c>
      <c r="G484" s="162">
        <f t="shared" si="9"/>
        <v>700000</v>
      </c>
      <c r="H484" s="194"/>
      <c r="I484" s="161">
        <f t="shared" si="5"/>
        <v>700000</v>
      </c>
      <c r="J484" s="164">
        <f t="shared" si="7"/>
        <v>700000</v>
      </c>
      <c r="K484" s="229" t="s">
        <v>4252</v>
      </c>
      <c r="L484" s="170" t="s">
        <v>4253</v>
      </c>
      <c r="M484" s="73"/>
      <c r="N484" s="171"/>
      <c r="O484" s="169" t="s">
        <v>2958</v>
      </c>
      <c r="P484" s="168" t="s">
        <v>3112</v>
      </c>
      <c r="Q484" s="167">
        <v>810000.0</v>
      </c>
      <c r="R484" s="167"/>
      <c r="S484" s="173"/>
      <c r="T484" s="173"/>
      <c r="U484" s="167">
        <v>5000.0</v>
      </c>
      <c r="V484" s="168" t="s">
        <v>3883</v>
      </c>
      <c r="W484" s="169"/>
      <c r="X484" s="219">
        <v>45514.0</v>
      </c>
    </row>
    <row r="485" ht="15.0" customHeight="1">
      <c r="A485" s="127">
        <v>45493.0</v>
      </c>
      <c r="B485" s="169" t="s">
        <v>4251</v>
      </c>
      <c r="C485" s="169" t="s">
        <v>3532</v>
      </c>
      <c r="D485" s="73" t="str">
        <f>IFERROR(VLOOKUP(C485,Stock,3,FALSE),"")</f>
        <v>9092 Sealant Application</v>
      </c>
      <c r="E485" s="56">
        <v>1.0</v>
      </c>
      <c r="F485" s="169">
        <v>105000.0</v>
      </c>
      <c r="G485" s="162">
        <f t="shared" si="9"/>
        <v>105000</v>
      </c>
      <c r="H485" s="194"/>
      <c r="I485" s="161">
        <f t="shared" si="5"/>
        <v>105000</v>
      </c>
      <c r="J485" s="164">
        <f t="shared" si="7"/>
        <v>105000</v>
      </c>
      <c r="K485" s="229" t="s">
        <v>4252</v>
      </c>
      <c r="L485" s="170" t="s">
        <v>4253</v>
      </c>
      <c r="M485" s="73"/>
      <c r="N485" s="171"/>
      <c r="O485" s="169" t="s">
        <v>2958</v>
      </c>
      <c r="P485" s="168" t="s">
        <v>3112</v>
      </c>
      <c r="Q485" s="167"/>
      <c r="R485" s="171"/>
      <c r="S485" s="173"/>
      <c r="T485" s="173"/>
      <c r="U485" s="173"/>
      <c r="V485" s="168" t="s">
        <v>3883</v>
      </c>
      <c r="W485" s="169"/>
      <c r="X485" s="219">
        <v>45514.0</v>
      </c>
    </row>
    <row r="486" ht="15.0" customHeight="1">
      <c r="A486" s="127">
        <v>45493.0</v>
      </c>
      <c r="B486" s="181" t="s">
        <v>4254</v>
      </c>
      <c r="C486" s="56" t="s">
        <v>3837</v>
      </c>
      <c r="D486" s="73" t="str">
        <f>IFERROR(VLOOKUP(C486,Stock,3,FALSE),"")</f>
        <v>Toyota Yaris 13- 2nd Gen / Vios 14- 3rd Gen</v>
      </c>
      <c r="E486" s="56">
        <v>1.0</v>
      </c>
      <c r="F486" s="161">
        <v>1700000.0</v>
      </c>
      <c r="G486" s="162">
        <f t="shared" si="9"/>
        <v>1700000</v>
      </c>
      <c r="H486" s="194"/>
      <c r="I486" s="161">
        <f t="shared" si="5"/>
        <v>1700000</v>
      </c>
      <c r="J486" s="164">
        <f t="shared" si="7"/>
        <v>1700000</v>
      </c>
      <c r="K486" s="229" t="s">
        <v>4255</v>
      </c>
      <c r="L486" s="170" t="s">
        <v>4256</v>
      </c>
      <c r="M486" s="73"/>
      <c r="N486" s="169" t="s">
        <v>4257</v>
      </c>
      <c r="O486" s="169" t="s">
        <v>2958</v>
      </c>
      <c r="P486" s="168" t="s">
        <v>3112</v>
      </c>
      <c r="Q486" s="173"/>
      <c r="R486" s="167">
        <v>1700000.0</v>
      </c>
      <c r="S486" s="173"/>
      <c r="T486" s="173"/>
      <c r="U486" s="173"/>
      <c r="V486" s="168" t="s">
        <v>4258</v>
      </c>
      <c r="W486" s="169"/>
      <c r="X486" s="219">
        <v>45514.0</v>
      </c>
    </row>
    <row r="487" ht="15.0" customHeight="1">
      <c r="A487" s="127">
        <v>45494.0</v>
      </c>
      <c r="B487" s="181" t="s">
        <v>4259</v>
      </c>
      <c r="C487" s="56" t="s">
        <v>3118</v>
      </c>
      <c r="D487" s="73" t="str">
        <f>IFERROR(VLOOKUP(C487,Stock,3,FALSE),"")</f>
        <v>Toyota Hilux Pickup 15- (Revo)</v>
      </c>
      <c r="E487" s="56">
        <v>1.0</v>
      </c>
      <c r="F487" s="161">
        <v>1800000.0</v>
      </c>
      <c r="G487" s="162">
        <f t="shared" si="9"/>
        <v>1800000</v>
      </c>
      <c r="H487" s="194"/>
      <c r="I487" s="161">
        <f t="shared" si="5"/>
        <v>1800000</v>
      </c>
      <c r="J487" s="164">
        <f t="shared" si="7"/>
        <v>1800000</v>
      </c>
      <c r="K487" s="56" t="s">
        <v>4159</v>
      </c>
      <c r="L487" s="165" t="s">
        <v>4260</v>
      </c>
      <c r="M487" s="73"/>
      <c r="N487" s="169" t="s">
        <v>4261</v>
      </c>
      <c r="O487" s="169" t="s">
        <v>2958</v>
      </c>
      <c r="P487" s="168" t="s">
        <v>3112</v>
      </c>
      <c r="Q487" s="167">
        <v>1800000.0</v>
      </c>
      <c r="R487" s="173"/>
      <c r="S487" s="173"/>
      <c r="T487" s="173"/>
      <c r="U487" s="173"/>
      <c r="V487" s="168" t="s">
        <v>4262</v>
      </c>
      <c r="W487" s="169"/>
      <c r="X487" s="169" t="s">
        <v>4263</v>
      </c>
    </row>
    <row r="488" ht="15.0" customHeight="1">
      <c r="A488" s="127">
        <v>45494.0</v>
      </c>
      <c r="B488" s="181" t="s">
        <v>4259</v>
      </c>
      <c r="C488" s="56" t="s">
        <v>3513</v>
      </c>
      <c r="D488" s="73" t="str">
        <f>IFERROR(VLOOKUP(C488,Stock,3,FALSE),"")</f>
        <v>Lembur</v>
      </c>
      <c r="E488" s="56">
        <v>1.0</v>
      </c>
      <c r="F488" s="161">
        <v>100000.0</v>
      </c>
      <c r="G488" s="162">
        <f t="shared" si="9"/>
        <v>100000</v>
      </c>
      <c r="H488" s="194"/>
      <c r="I488" s="161">
        <f t="shared" si="5"/>
        <v>100000</v>
      </c>
      <c r="J488" s="164">
        <f t="shared" si="7"/>
        <v>100000</v>
      </c>
      <c r="K488" s="56" t="s">
        <v>4159</v>
      </c>
      <c r="L488" s="165" t="s">
        <v>4260</v>
      </c>
      <c r="M488" s="73"/>
      <c r="N488" s="169" t="s">
        <v>4261</v>
      </c>
      <c r="O488" s="169" t="s">
        <v>2958</v>
      </c>
      <c r="P488" s="168" t="s">
        <v>3112</v>
      </c>
      <c r="Q488" s="173"/>
      <c r="R488" s="167">
        <v>100000.0</v>
      </c>
      <c r="S488" s="173"/>
      <c r="T488" s="173"/>
      <c r="U488" s="173"/>
      <c r="V488" s="168" t="s">
        <v>4262</v>
      </c>
      <c r="W488" s="169"/>
      <c r="X488" s="169" t="s">
        <v>4264</v>
      </c>
    </row>
    <row r="489" ht="15.0" customHeight="1">
      <c r="A489" s="127">
        <v>45495.0</v>
      </c>
      <c r="B489" s="181" t="s">
        <v>4265</v>
      </c>
      <c r="C489" s="56" t="s">
        <v>4266</v>
      </c>
      <c r="D489" s="73" t="str">
        <f>IFERROR(VLOOKUP(C489,Stock,3,FALSE),"")</f>
        <v>Kia Rio 11-17 UB Hatchback</v>
      </c>
      <c r="E489" s="56">
        <v>1.0</v>
      </c>
      <c r="F489" s="161">
        <v>2334000.0</v>
      </c>
      <c r="G489" s="162">
        <f t="shared" si="9"/>
        <v>2334000</v>
      </c>
      <c r="H489" s="194"/>
      <c r="I489" s="161">
        <f t="shared" si="5"/>
        <v>2334000</v>
      </c>
      <c r="J489" s="164">
        <f t="shared" si="7"/>
        <v>2334000</v>
      </c>
      <c r="K489" s="56" t="s">
        <v>4267</v>
      </c>
      <c r="L489" s="165" t="s">
        <v>4268</v>
      </c>
      <c r="M489" s="73"/>
      <c r="N489" s="171"/>
      <c r="O489" s="169" t="s">
        <v>2958</v>
      </c>
      <c r="P489" s="168" t="s">
        <v>3112</v>
      </c>
      <c r="Q489" s="173"/>
      <c r="R489" s="167">
        <v>2334000.0</v>
      </c>
      <c r="S489" s="173"/>
      <c r="T489" s="173"/>
      <c r="U489" s="173"/>
      <c r="V489" s="168" t="s">
        <v>4262</v>
      </c>
      <c r="W489" s="169"/>
      <c r="X489" s="169" t="s">
        <v>4269</v>
      </c>
    </row>
    <row r="490" ht="15.0" customHeight="1">
      <c r="A490" s="127">
        <v>45495.0</v>
      </c>
      <c r="B490" s="181" t="s">
        <v>4270</v>
      </c>
      <c r="C490" s="56" t="s">
        <v>3826</v>
      </c>
      <c r="D490" s="73" t="str">
        <f>IFERROR(VLOOKUP(C490,Stock,3,FALSE),"")</f>
        <v>List Kaca Depan Code 11</v>
      </c>
      <c r="E490" s="56">
        <v>1.0</v>
      </c>
      <c r="F490" s="161">
        <v>275000.0</v>
      </c>
      <c r="G490" s="162">
        <f t="shared" si="9"/>
        <v>275000</v>
      </c>
      <c r="H490" s="194"/>
      <c r="I490" s="161">
        <f t="shared" si="5"/>
        <v>275000</v>
      </c>
      <c r="J490" s="164">
        <f t="shared" si="7"/>
        <v>275000</v>
      </c>
      <c r="K490" s="56" t="s">
        <v>4271</v>
      </c>
      <c r="L490" s="165" t="s">
        <v>4001</v>
      </c>
      <c r="M490" s="73"/>
      <c r="N490" s="171"/>
      <c r="O490" s="169" t="s">
        <v>2958</v>
      </c>
      <c r="P490" s="168" t="s">
        <v>4002</v>
      </c>
      <c r="Q490" s="167">
        <v>300000.0</v>
      </c>
      <c r="R490" s="173"/>
      <c r="S490" s="173"/>
      <c r="T490" s="173"/>
      <c r="U490" s="167">
        <v>25000.0</v>
      </c>
      <c r="V490" s="168" t="s">
        <v>3799</v>
      </c>
      <c r="W490" s="169"/>
      <c r="X490" s="219">
        <v>45514.0</v>
      </c>
    </row>
    <row r="491" ht="15.0" customHeight="1">
      <c r="A491" s="127">
        <v>45496.0</v>
      </c>
      <c r="B491" s="181" t="s">
        <v>4272</v>
      </c>
      <c r="C491" s="56" t="s">
        <v>3313</v>
      </c>
      <c r="D491" s="73" t="str">
        <f>IFERROR(VLOOKUP(C491,Stock,3,FALSE),"")</f>
        <v>Toyota Avanza / Xenia 21- 4th Gen (Non sensor)</v>
      </c>
      <c r="E491" s="56">
        <v>1.0</v>
      </c>
      <c r="F491" s="161">
        <v>1500000.0</v>
      </c>
      <c r="G491" s="162">
        <f t="shared" si="9"/>
        <v>1500000</v>
      </c>
      <c r="H491" s="194"/>
      <c r="I491" s="161">
        <f t="shared" si="5"/>
        <v>1500000</v>
      </c>
      <c r="J491" s="164">
        <f t="shared" si="7"/>
        <v>1500000</v>
      </c>
      <c r="K491" s="229" t="s">
        <v>4273</v>
      </c>
      <c r="L491" s="165" t="s">
        <v>4274</v>
      </c>
      <c r="M491" s="73"/>
      <c r="N491" s="169" t="s">
        <v>4275</v>
      </c>
      <c r="O491" s="169" t="s">
        <v>2958</v>
      </c>
      <c r="P491" s="168" t="s">
        <v>3112</v>
      </c>
      <c r="Q491" s="167">
        <v>1500000.0</v>
      </c>
      <c r="R491" s="173"/>
      <c r="S491" s="173"/>
      <c r="T491" s="173"/>
      <c r="U491" s="173"/>
      <c r="V491" s="168" t="s">
        <v>3799</v>
      </c>
      <c r="W491" s="169"/>
      <c r="X491" s="219">
        <v>45514.0</v>
      </c>
    </row>
    <row r="492" ht="15.0" customHeight="1">
      <c r="A492" s="127">
        <v>45496.0</v>
      </c>
      <c r="B492" s="181" t="s">
        <v>4276</v>
      </c>
      <c r="C492" s="56" t="s">
        <v>2694</v>
      </c>
      <c r="D492" s="73" t="str">
        <f>IFERROR(VLOOKUP(C492,Stock,3,FALSE),"")</f>
        <v>Honda CR-V 17-23 5th Gen</v>
      </c>
      <c r="E492" s="56">
        <v>1.0</v>
      </c>
      <c r="F492" s="161">
        <v>2182000.0</v>
      </c>
      <c r="G492" s="162">
        <f t="shared" si="9"/>
        <v>2182000</v>
      </c>
      <c r="H492" s="194"/>
      <c r="I492" s="161">
        <f t="shared" si="5"/>
        <v>2182000</v>
      </c>
      <c r="J492" s="164">
        <f t="shared" si="7"/>
        <v>2182000</v>
      </c>
      <c r="K492" s="56" t="s">
        <v>4277</v>
      </c>
      <c r="L492" s="165" t="s">
        <v>4278</v>
      </c>
      <c r="M492" s="73"/>
      <c r="N492" s="169" t="s">
        <v>4279</v>
      </c>
      <c r="O492" s="169" t="s">
        <v>4280</v>
      </c>
      <c r="P492" s="168" t="s">
        <v>4281</v>
      </c>
      <c r="Q492" s="173"/>
      <c r="R492" s="167">
        <v>2182000.0</v>
      </c>
      <c r="S492" s="173"/>
      <c r="T492" s="173"/>
      <c r="U492" s="173"/>
      <c r="V492" s="168" t="s">
        <v>3883</v>
      </c>
      <c r="W492" s="169"/>
      <c r="X492" s="219">
        <v>45514.0</v>
      </c>
    </row>
    <row r="493" ht="15.0" customHeight="1">
      <c r="A493" s="127">
        <v>45496.0</v>
      </c>
      <c r="B493" s="181" t="s">
        <v>4276</v>
      </c>
      <c r="C493" s="56" t="s">
        <v>4027</v>
      </c>
      <c r="D493" s="73" t="str">
        <f>IFERROR(VLOOKUP(C493,Stock,3,FALSE),"")</f>
        <v>501 Sealant Application</v>
      </c>
      <c r="E493" s="56">
        <v>1.0</v>
      </c>
      <c r="F493" s="161">
        <v>100000.0</v>
      </c>
      <c r="G493" s="162">
        <f t="shared" si="9"/>
        <v>100000</v>
      </c>
      <c r="H493" s="194"/>
      <c r="I493" s="161">
        <f t="shared" si="5"/>
        <v>100000</v>
      </c>
      <c r="J493" s="164">
        <f t="shared" si="7"/>
        <v>100000</v>
      </c>
      <c r="K493" s="56" t="s">
        <v>4277</v>
      </c>
      <c r="L493" s="165" t="s">
        <v>4278</v>
      </c>
      <c r="M493" s="73"/>
      <c r="N493" s="169" t="s">
        <v>4279</v>
      </c>
      <c r="O493" s="169" t="s">
        <v>4280</v>
      </c>
      <c r="P493" s="168" t="s">
        <v>4281</v>
      </c>
      <c r="Q493" s="173"/>
      <c r="R493" s="167">
        <v>100000.0</v>
      </c>
      <c r="S493" s="173"/>
      <c r="T493" s="173"/>
      <c r="U493" s="173"/>
      <c r="V493" s="168" t="s">
        <v>3883</v>
      </c>
      <c r="W493" s="169"/>
      <c r="X493" s="219">
        <v>45514.0</v>
      </c>
    </row>
    <row r="494" ht="15.0" customHeight="1">
      <c r="A494" s="127">
        <v>45496.0</v>
      </c>
      <c r="B494" s="181" t="s">
        <v>4282</v>
      </c>
      <c r="C494" s="56" t="s">
        <v>2580</v>
      </c>
      <c r="D494" s="73" t="str">
        <f>IFERROR(VLOOKUP(C494,Stock,3,FALSE),"")</f>
        <v>Toyota Altis 13-17 E170 11th Gen</v>
      </c>
      <c r="E494" s="56">
        <v>1.0</v>
      </c>
      <c r="F494" s="161">
        <v>2448000.0</v>
      </c>
      <c r="G494" s="162">
        <f t="shared" si="9"/>
        <v>2448000</v>
      </c>
      <c r="H494" s="194"/>
      <c r="I494" s="161">
        <f t="shared" si="5"/>
        <v>2448000</v>
      </c>
      <c r="J494" s="164">
        <f t="shared" si="7"/>
        <v>2448000</v>
      </c>
      <c r="K494" s="56" t="s">
        <v>4283</v>
      </c>
      <c r="L494" s="165" t="s">
        <v>4284</v>
      </c>
      <c r="M494" s="73"/>
      <c r="N494" s="171"/>
      <c r="O494" s="169" t="s">
        <v>2958</v>
      </c>
      <c r="P494" s="168" t="s">
        <v>3112</v>
      </c>
      <c r="Q494" s="167">
        <v>2450000.0</v>
      </c>
      <c r="R494" s="173"/>
      <c r="S494" s="173"/>
      <c r="T494" s="173"/>
      <c r="U494" s="167">
        <v>2000.0</v>
      </c>
      <c r="V494" s="168" t="s">
        <v>3883</v>
      </c>
      <c r="W494" s="169"/>
      <c r="X494" s="219">
        <v>45514.0</v>
      </c>
    </row>
    <row r="495" ht="15.0" customHeight="1">
      <c r="A495" s="127">
        <v>45496.0</v>
      </c>
      <c r="B495" s="181" t="s">
        <v>4282</v>
      </c>
      <c r="C495" s="56" t="s">
        <v>4027</v>
      </c>
      <c r="D495" s="73" t="str">
        <f>IFERROR(VLOOKUP(C495,Stock,3,FALSE),"")</f>
        <v>501 Sealant Application</v>
      </c>
      <c r="E495" s="56">
        <v>1.0</v>
      </c>
      <c r="F495" s="161">
        <v>100000.0</v>
      </c>
      <c r="G495" s="162">
        <f t="shared" si="9"/>
        <v>100000</v>
      </c>
      <c r="H495" s="194"/>
      <c r="I495" s="161">
        <f t="shared" si="5"/>
        <v>100000</v>
      </c>
      <c r="J495" s="164">
        <f t="shared" si="7"/>
        <v>100000</v>
      </c>
      <c r="K495" s="56" t="s">
        <v>4283</v>
      </c>
      <c r="L495" s="165" t="s">
        <v>4284</v>
      </c>
      <c r="M495" s="73"/>
      <c r="N495" s="171"/>
      <c r="O495" s="169" t="s">
        <v>2958</v>
      </c>
      <c r="P495" s="168" t="s">
        <v>3112</v>
      </c>
      <c r="Q495" s="167">
        <v>100000.0</v>
      </c>
      <c r="R495" s="173"/>
      <c r="S495" s="173"/>
      <c r="T495" s="173"/>
      <c r="U495" s="173"/>
      <c r="V495" s="168" t="s">
        <v>3883</v>
      </c>
      <c r="W495" s="169"/>
      <c r="X495" s="219">
        <v>45514.0</v>
      </c>
    </row>
    <row r="496" ht="15.0" customHeight="1">
      <c r="A496" s="127">
        <v>45496.0</v>
      </c>
      <c r="B496" s="181" t="s">
        <v>4285</v>
      </c>
      <c r="C496" s="56" t="s">
        <v>3760</v>
      </c>
      <c r="D496" s="73" t="str">
        <f>IFERROR(VLOOKUP(C496,Stock,3,FALSE),"")</f>
        <v>Nissan Frontier Navara 97-04 D22 1st Gen</v>
      </c>
      <c r="E496" s="56">
        <v>1.0</v>
      </c>
      <c r="F496" s="161">
        <v>1530000.0</v>
      </c>
      <c r="G496" s="162">
        <f t="shared" si="9"/>
        <v>1530000</v>
      </c>
      <c r="H496" s="194"/>
      <c r="I496" s="161">
        <f t="shared" si="5"/>
        <v>1530000</v>
      </c>
      <c r="J496" s="164">
        <f t="shared" si="7"/>
        <v>1530000</v>
      </c>
      <c r="K496" s="229" t="s">
        <v>4286</v>
      </c>
      <c r="L496" s="165" t="s">
        <v>4287</v>
      </c>
      <c r="M496" s="73"/>
      <c r="N496" s="171"/>
      <c r="O496" s="169" t="s">
        <v>2958</v>
      </c>
      <c r="P496" s="168" t="s">
        <v>3112</v>
      </c>
      <c r="Q496" s="173"/>
      <c r="R496" s="167">
        <v>1530000.0</v>
      </c>
      <c r="S496" s="173"/>
      <c r="T496" s="173"/>
      <c r="U496" s="173"/>
      <c r="V496" s="168" t="s">
        <v>3799</v>
      </c>
      <c r="W496" s="169"/>
      <c r="X496" s="219">
        <v>45514.0</v>
      </c>
    </row>
    <row r="497" ht="15.0" customHeight="1">
      <c r="A497" s="127">
        <v>45496.0</v>
      </c>
      <c r="B497" s="181" t="s">
        <v>4288</v>
      </c>
      <c r="C497" s="56" t="s">
        <v>2557</v>
      </c>
      <c r="D497" s="73" t="str">
        <f>IFERROR(VLOOKUP(C497,Stock,3,FALSE),"")</f>
        <v>Toyota Fortuner 05-15 1st Gen (Toyota)</v>
      </c>
      <c r="E497" s="56">
        <v>1.0</v>
      </c>
      <c r="F497" s="161">
        <v>2998000.0</v>
      </c>
      <c r="G497" s="162">
        <f t="shared" si="9"/>
        <v>2998000</v>
      </c>
      <c r="H497" s="201">
        <v>48000.0</v>
      </c>
      <c r="I497" s="161">
        <f t="shared" si="5"/>
        <v>2950000</v>
      </c>
      <c r="J497" s="164">
        <f t="shared" si="7"/>
        <v>2950000</v>
      </c>
      <c r="K497" s="56" t="s">
        <v>4289</v>
      </c>
      <c r="L497" s="165" t="s">
        <v>4290</v>
      </c>
      <c r="M497" s="73"/>
      <c r="N497" s="171"/>
      <c r="O497" s="169" t="s">
        <v>2958</v>
      </c>
      <c r="P497" s="168" t="s">
        <v>3112</v>
      </c>
      <c r="Q497" s="173"/>
      <c r="R497" s="167">
        <v>2950000.0</v>
      </c>
      <c r="S497" s="173"/>
      <c r="T497" s="173"/>
      <c r="U497" s="173"/>
      <c r="V497" s="168" t="s">
        <v>3883</v>
      </c>
      <c r="W497" s="169"/>
      <c r="X497" s="219">
        <v>45514.0</v>
      </c>
    </row>
    <row r="498" ht="15.0" customHeight="1">
      <c r="A498" s="127">
        <v>45497.0</v>
      </c>
      <c r="B498" s="181" t="s">
        <v>4291</v>
      </c>
      <c r="C498" s="56" t="s">
        <v>3574</v>
      </c>
      <c r="D498" s="73" t="str">
        <f>IFERROR(VLOOKUP(C498,Stock,3,FALSE),"")</f>
        <v>Toyota Rush / Terios 06-17</v>
      </c>
      <c r="E498" s="56">
        <v>1.0</v>
      </c>
      <c r="F498" s="161">
        <v>1005000.0</v>
      </c>
      <c r="G498" s="162">
        <f t="shared" si="9"/>
        <v>1005000</v>
      </c>
      <c r="H498" s="201">
        <v>50000.0</v>
      </c>
      <c r="I498" s="161">
        <f t="shared" si="5"/>
        <v>955000</v>
      </c>
      <c r="J498" s="164">
        <f t="shared" si="7"/>
        <v>955000</v>
      </c>
      <c r="K498" s="56" t="s">
        <v>4292</v>
      </c>
      <c r="L498" s="165" t="s">
        <v>4293</v>
      </c>
      <c r="M498" s="73"/>
      <c r="N498" s="171"/>
      <c r="O498" s="169" t="s">
        <v>2958</v>
      </c>
      <c r="P498" s="168" t="s">
        <v>3112</v>
      </c>
      <c r="Q498" s="173"/>
      <c r="R498" s="167">
        <v>955000.0</v>
      </c>
      <c r="S498" s="173"/>
      <c r="T498" s="173"/>
      <c r="U498" s="173"/>
      <c r="V498" s="168" t="s">
        <v>3883</v>
      </c>
      <c r="W498" s="169"/>
      <c r="X498" s="219">
        <v>45514.0</v>
      </c>
    </row>
    <row r="499" ht="15.0" customHeight="1">
      <c r="A499" s="127">
        <v>45497.0</v>
      </c>
      <c r="B499" s="181" t="s">
        <v>4294</v>
      </c>
      <c r="C499" s="56" t="s">
        <v>3013</v>
      </c>
      <c r="D499" s="73" t="str">
        <f>IFERROR(VLOOKUP(C499,Stock,3,FALSE),"")</f>
        <v>Honda BR-V 16-</v>
      </c>
      <c r="E499" s="56">
        <v>1.0</v>
      </c>
      <c r="F499" s="161">
        <v>1311000.0</v>
      </c>
      <c r="G499" s="162">
        <f t="shared" si="9"/>
        <v>1311000</v>
      </c>
      <c r="H499" s="194"/>
      <c r="I499" s="161">
        <f t="shared" si="5"/>
        <v>1311000</v>
      </c>
      <c r="J499" s="164">
        <f t="shared" si="7"/>
        <v>1311000</v>
      </c>
      <c r="K499" s="56" t="s">
        <v>4295</v>
      </c>
      <c r="L499" s="165" t="s">
        <v>4296</v>
      </c>
      <c r="M499" s="73"/>
      <c r="N499" s="169" t="s">
        <v>4297</v>
      </c>
      <c r="O499" s="169" t="s">
        <v>4298</v>
      </c>
      <c r="P499" s="168" t="s">
        <v>3112</v>
      </c>
      <c r="Q499" s="167">
        <v>1315000.0</v>
      </c>
      <c r="R499" s="173"/>
      <c r="S499" s="173"/>
      <c r="T499" s="173"/>
      <c r="U499" s="167">
        <v>4000.0</v>
      </c>
      <c r="V499" s="168" t="s">
        <v>3883</v>
      </c>
      <c r="W499" s="169"/>
      <c r="X499" s="219">
        <v>45514.0</v>
      </c>
    </row>
    <row r="500" ht="15.0" customHeight="1">
      <c r="A500" s="127">
        <v>45498.0</v>
      </c>
      <c r="B500" s="181" t="s">
        <v>4299</v>
      </c>
      <c r="C500" s="56" t="s">
        <v>2609</v>
      </c>
      <c r="D500" s="73" t="str">
        <f>IFERROR(VLOOKUP(C500,Stock,3,FALSE),"")</f>
        <v>Mazda 2 14- Skyactiv 4th Gen (3 Sensor/ /\8 )</v>
      </c>
      <c r="E500" s="56">
        <v>1.0</v>
      </c>
      <c r="F500" s="161">
        <v>1786950.0</v>
      </c>
      <c r="G500" s="162">
        <f t="shared" si="9"/>
        <v>1786950</v>
      </c>
      <c r="H500" s="194"/>
      <c r="I500" s="161">
        <f t="shared" si="5"/>
        <v>1786950</v>
      </c>
      <c r="J500" s="164">
        <f t="shared" si="7"/>
        <v>1786950</v>
      </c>
      <c r="K500" s="56" t="s">
        <v>4300</v>
      </c>
      <c r="L500" s="165" t="s">
        <v>4301</v>
      </c>
      <c r="M500" s="73"/>
      <c r="N500" s="171"/>
      <c r="O500" s="169" t="s">
        <v>3775</v>
      </c>
      <c r="P500" s="168" t="s">
        <v>3112</v>
      </c>
      <c r="Q500" s="167">
        <v>1786950.0</v>
      </c>
      <c r="R500" s="167"/>
      <c r="S500" s="173"/>
      <c r="T500" s="173"/>
      <c r="U500" s="173"/>
      <c r="V500" s="168" t="s">
        <v>3883</v>
      </c>
      <c r="W500" s="169"/>
      <c r="X500" s="219">
        <v>45538.0</v>
      </c>
    </row>
    <row r="501" ht="15.0" customHeight="1">
      <c r="A501" s="127">
        <v>45498.0</v>
      </c>
      <c r="B501" s="181" t="s">
        <v>4302</v>
      </c>
      <c r="C501" s="56" t="s">
        <v>2565</v>
      </c>
      <c r="D501" s="73" t="str">
        <f>IFERROR(VLOOKUP(C501,Stock,3,FALSE),"")</f>
        <v>Toyota Avanza / Xenia 03-11 1st Gen</v>
      </c>
      <c r="E501" s="56">
        <v>1.0</v>
      </c>
      <c r="F501" s="161">
        <v>1020000.0</v>
      </c>
      <c r="G501" s="162">
        <f t="shared" si="9"/>
        <v>1020000</v>
      </c>
      <c r="H501" s="194"/>
      <c r="I501" s="161">
        <f t="shared" si="5"/>
        <v>1020000</v>
      </c>
      <c r="J501" s="164">
        <f t="shared" si="7"/>
        <v>1020000</v>
      </c>
      <c r="K501" s="56" t="s">
        <v>4303</v>
      </c>
      <c r="L501" s="165" t="s">
        <v>4304</v>
      </c>
      <c r="M501" s="73"/>
      <c r="N501" s="171"/>
      <c r="O501" s="169" t="s">
        <v>2958</v>
      </c>
      <c r="P501" s="168" t="s">
        <v>3112</v>
      </c>
      <c r="Q501" s="173"/>
      <c r="R501" s="167">
        <v>1020000.0</v>
      </c>
      <c r="S501" s="173"/>
      <c r="T501" s="173"/>
      <c r="U501" s="173"/>
      <c r="V501" s="168" t="s">
        <v>3883</v>
      </c>
      <c r="W501" s="169"/>
      <c r="X501" s="219">
        <v>45514.0</v>
      </c>
    </row>
    <row r="502" ht="15.0" customHeight="1">
      <c r="A502" s="127">
        <v>45498.0</v>
      </c>
      <c r="B502" s="181" t="s">
        <v>4302</v>
      </c>
      <c r="C502" s="56" t="s">
        <v>3826</v>
      </c>
      <c r="D502" s="73" t="str">
        <f>IFERROR(VLOOKUP(C502,Stock,3,FALSE),"")</f>
        <v>List Kaca Depan Code 11</v>
      </c>
      <c r="E502" s="56">
        <v>1.0</v>
      </c>
      <c r="F502" s="161">
        <v>275000.0</v>
      </c>
      <c r="G502" s="162">
        <f t="shared" si="9"/>
        <v>275000</v>
      </c>
      <c r="H502" s="194"/>
      <c r="I502" s="161">
        <f t="shared" si="5"/>
        <v>275000</v>
      </c>
      <c r="J502" s="164">
        <f t="shared" si="7"/>
        <v>275000</v>
      </c>
      <c r="K502" s="56" t="s">
        <v>4303</v>
      </c>
      <c r="L502" s="165" t="s">
        <v>4304</v>
      </c>
      <c r="M502" s="73"/>
      <c r="N502" s="171"/>
      <c r="O502" s="169" t="s">
        <v>2958</v>
      </c>
      <c r="P502" s="168" t="s">
        <v>3112</v>
      </c>
      <c r="Q502" s="173"/>
      <c r="R502" s="167">
        <v>275000.0</v>
      </c>
      <c r="S502" s="173"/>
      <c r="T502" s="173"/>
      <c r="U502" s="173"/>
      <c r="V502" s="168" t="s">
        <v>3883</v>
      </c>
      <c r="W502" s="169"/>
      <c r="X502" s="219">
        <v>45514.0</v>
      </c>
    </row>
    <row r="503" ht="15.0" customHeight="1">
      <c r="A503" s="127">
        <v>45498.0</v>
      </c>
      <c r="B503" s="181" t="s">
        <v>4305</v>
      </c>
      <c r="C503" s="56" t="s">
        <v>3451</v>
      </c>
      <c r="D503" s="73" t="str">
        <f>IFERROR(VLOOKUP(C503,Stock,3,FALSE),"")</f>
        <v>Toyota Rush / Terios 18-</v>
      </c>
      <c r="E503" s="56">
        <v>1.0</v>
      </c>
      <c r="F503" s="161">
        <v>1312000.0</v>
      </c>
      <c r="G503" s="162">
        <f t="shared" si="9"/>
        <v>1312000</v>
      </c>
      <c r="H503" s="194"/>
      <c r="I503" s="161">
        <f t="shared" si="5"/>
        <v>1312000</v>
      </c>
      <c r="J503" s="164">
        <f t="shared" si="7"/>
        <v>1312000</v>
      </c>
      <c r="K503" s="56" t="s">
        <v>4306</v>
      </c>
      <c r="L503" s="165" t="s">
        <v>4307</v>
      </c>
      <c r="M503" s="73"/>
      <c r="N503" s="171"/>
      <c r="O503" s="169" t="s">
        <v>4308</v>
      </c>
      <c r="P503" s="168" t="s">
        <v>3112</v>
      </c>
      <c r="Q503" s="167">
        <v>1312000.0</v>
      </c>
      <c r="R503" s="173"/>
      <c r="S503" s="173"/>
      <c r="T503" s="173"/>
      <c r="U503" s="173"/>
      <c r="V503" s="168" t="s">
        <v>3883</v>
      </c>
      <c r="W503" s="169"/>
      <c r="X503" s="219">
        <v>45514.0</v>
      </c>
    </row>
    <row r="504" ht="15.0" customHeight="1">
      <c r="A504" s="127">
        <v>45498.0</v>
      </c>
      <c r="B504" s="181" t="s">
        <v>4309</v>
      </c>
      <c r="C504" s="56" t="s">
        <v>3543</v>
      </c>
      <c r="D504" s="73" t="str">
        <f>IFERROR(VLOOKUP(C504,Stock,3,FALSE),"")</f>
        <v>Daihatsu Gran Max Minibus/Van</v>
      </c>
      <c r="E504" s="56">
        <v>1.0</v>
      </c>
      <c r="F504" s="161">
        <v>799000.0</v>
      </c>
      <c r="G504" s="162">
        <f t="shared" si="9"/>
        <v>799000</v>
      </c>
      <c r="H504" s="194"/>
      <c r="I504" s="161">
        <f t="shared" si="5"/>
        <v>799000</v>
      </c>
      <c r="J504" s="164">
        <f t="shared" si="7"/>
        <v>799000</v>
      </c>
      <c r="K504" s="56" t="s">
        <v>4310</v>
      </c>
      <c r="L504" s="165" t="s">
        <v>4311</v>
      </c>
      <c r="M504" s="73"/>
      <c r="N504" s="171"/>
      <c r="O504" s="169" t="s">
        <v>2958</v>
      </c>
      <c r="P504" s="168" t="s">
        <v>3112</v>
      </c>
      <c r="Q504" s="173"/>
      <c r="R504" s="167">
        <v>799000.0</v>
      </c>
      <c r="S504" s="173"/>
      <c r="T504" s="173"/>
      <c r="U504" s="173"/>
      <c r="V504" s="168" t="s">
        <v>3883</v>
      </c>
      <c r="W504" s="169"/>
      <c r="X504" s="219">
        <v>45514.0</v>
      </c>
    </row>
    <row r="505" ht="15.0" customHeight="1">
      <c r="A505" s="127">
        <v>45498.0</v>
      </c>
      <c r="B505" s="181" t="s">
        <v>4312</v>
      </c>
      <c r="C505" s="56" t="s">
        <v>4313</v>
      </c>
      <c r="D505" s="73" t="str">
        <f>IFERROR(VLOOKUP(C505,Stock,3,FALSE),"")</f>
        <v>Toyota Alphard 02-08 ANH10 1st Gen</v>
      </c>
      <c r="E505" s="56">
        <v>1.0</v>
      </c>
      <c r="F505" s="161">
        <v>4552000.0</v>
      </c>
      <c r="G505" s="162">
        <f t="shared" si="9"/>
        <v>4552000</v>
      </c>
      <c r="H505" s="201">
        <v>50000.0</v>
      </c>
      <c r="I505" s="161">
        <f t="shared" si="5"/>
        <v>4502000</v>
      </c>
      <c r="J505" s="164">
        <f t="shared" si="7"/>
        <v>4502000</v>
      </c>
      <c r="K505" s="56" t="s">
        <v>4314</v>
      </c>
      <c r="L505" s="165" t="s">
        <v>4315</v>
      </c>
      <c r="M505" s="73"/>
      <c r="N505" s="171"/>
      <c r="O505" s="169" t="s">
        <v>3204</v>
      </c>
      <c r="P505" s="168" t="s">
        <v>3112</v>
      </c>
      <c r="Q505" s="173"/>
      <c r="R505" s="167">
        <v>4502000.0</v>
      </c>
      <c r="S505" s="173"/>
      <c r="T505" s="173"/>
      <c r="U505" s="173"/>
      <c r="V505" s="168" t="s">
        <v>3883</v>
      </c>
      <c r="W505" s="169"/>
      <c r="X505" s="219">
        <v>45514.0</v>
      </c>
    </row>
    <row r="506" ht="15.0" customHeight="1">
      <c r="A506" s="127">
        <v>45498.0</v>
      </c>
      <c r="B506" s="181" t="s">
        <v>4316</v>
      </c>
      <c r="C506" s="56" t="s">
        <v>3099</v>
      </c>
      <c r="D506" s="73" t="str">
        <f>IFERROR(VLOOKUP(C506,Stock,3,FALSE),"")</f>
        <v>Toyota Calya / Sigra 16-</v>
      </c>
      <c r="E506" s="56">
        <v>1.0</v>
      </c>
      <c r="F506" s="161">
        <v>1150000.0</v>
      </c>
      <c r="G506" s="162">
        <f t="shared" si="9"/>
        <v>1150000</v>
      </c>
      <c r="H506" s="194"/>
      <c r="I506" s="161">
        <f t="shared" si="5"/>
        <v>1150000</v>
      </c>
      <c r="J506" s="164">
        <f t="shared" si="7"/>
        <v>1150000</v>
      </c>
      <c r="K506" s="229" t="s">
        <v>4317</v>
      </c>
      <c r="L506" s="165" t="s">
        <v>4318</v>
      </c>
      <c r="M506" s="73"/>
      <c r="N506" s="171"/>
      <c r="O506" s="169" t="s">
        <v>2958</v>
      </c>
      <c r="P506" s="168" t="s">
        <v>3112</v>
      </c>
      <c r="Q506" s="167">
        <v>1150000.0</v>
      </c>
      <c r="R506" s="173"/>
      <c r="S506" s="173"/>
      <c r="T506" s="173"/>
      <c r="U506" s="173"/>
      <c r="V506" s="168" t="s">
        <v>3883</v>
      </c>
      <c r="W506" s="169"/>
      <c r="X506" s="219">
        <v>45514.0</v>
      </c>
    </row>
    <row r="507" ht="15.0" customHeight="1">
      <c r="A507" s="127">
        <v>45498.0</v>
      </c>
      <c r="B507" s="181" t="s">
        <v>4319</v>
      </c>
      <c r="C507" s="56" t="s">
        <v>3045</v>
      </c>
      <c r="D507" s="73" t="str">
        <f>IFERROR(VLOOKUP(C507,Stock,3,FALSE),"")</f>
        <v>Pemasangan Kaca Mobil Depan</v>
      </c>
      <c r="E507" s="56">
        <v>1.0</v>
      </c>
      <c r="F507" s="161">
        <v>400000.0</v>
      </c>
      <c r="G507" s="162">
        <f t="shared" si="9"/>
        <v>400000</v>
      </c>
      <c r="H507" s="194"/>
      <c r="I507" s="161">
        <f t="shared" si="5"/>
        <v>400000</v>
      </c>
      <c r="J507" s="164">
        <f t="shared" si="7"/>
        <v>400000</v>
      </c>
      <c r="K507" s="56" t="s">
        <v>4320</v>
      </c>
      <c r="L507" s="165" t="s">
        <v>4321</v>
      </c>
      <c r="M507" s="73"/>
      <c r="N507" s="171"/>
      <c r="O507" s="169" t="s">
        <v>2958</v>
      </c>
      <c r="P507" s="168" t="s">
        <v>3112</v>
      </c>
      <c r="Q507" s="173"/>
      <c r="R507" s="167">
        <v>400000.0</v>
      </c>
      <c r="S507" s="173"/>
      <c r="T507" s="173"/>
      <c r="U507" s="173"/>
      <c r="V507" s="168" t="s">
        <v>3883</v>
      </c>
      <c r="W507" s="169"/>
      <c r="X507" s="219">
        <v>45514.0</v>
      </c>
    </row>
    <row r="508" ht="15.0" customHeight="1">
      <c r="A508" s="127">
        <v>45499.0</v>
      </c>
      <c r="B508" s="181" t="s">
        <v>4322</v>
      </c>
      <c r="C508" s="56" t="s">
        <v>4323</v>
      </c>
      <c r="D508" s="73" t="str">
        <f>IFERROR(VLOOKUP(C508,Stock,3,FALSE),"")</f>
        <v>Daihatsu Sirion 11-18 2nd Gen</v>
      </c>
      <c r="E508" s="56">
        <v>1.0</v>
      </c>
      <c r="F508" s="161">
        <v>1539000.0</v>
      </c>
      <c r="G508" s="162">
        <f t="shared" si="9"/>
        <v>1539000</v>
      </c>
      <c r="H508" s="194"/>
      <c r="I508" s="161">
        <f t="shared" si="5"/>
        <v>1539000</v>
      </c>
      <c r="J508" s="164">
        <f t="shared" si="7"/>
        <v>1539000</v>
      </c>
      <c r="K508" s="56" t="s">
        <v>4286</v>
      </c>
      <c r="L508" s="165" t="s">
        <v>4287</v>
      </c>
      <c r="M508" s="73"/>
      <c r="N508" s="171"/>
      <c r="O508" s="169" t="s">
        <v>2958</v>
      </c>
      <c r="P508" s="168" t="s">
        <v>3112</v>
      </c>
      <c r="Q508" s="167">
        <v>1551000.0</v>
      </c>
      <c r="R508" s="173"/>
      <c r="S508" s="173"/>
      <c r="T508" s="173"/>
      <c r="U508" s="167">
        <v>12000.0</v>
      </c>
      <c r="V508" s="168" t="s">
        <v>3883</v>
      </c>
      <c r="W508" s="169"/>
      <c r="X508" s="219">
        <v>45514.0</v>
      </c>
    </row>
    <row r="509" ht="15.0" customHeight="1">
      <c r="A509" s="127">
        <v>45499.0</v>
      </c>
      <c r="B509" s="181" t="s">
        <v>4324</v>
      </c>
      <c r="C509" s="56" t="s">
        <v>2637</v>
      </c>
      <c r="D509" s="73" t="str">
        <f>IFERROR(VLOOKUP(C509,Stock,3,FALSE),"")</f>
        <v>Ford Everest 04-15 / Ranger 04-11 / Mazda BT-50</v>
      </c>
      <c r="E509" s="56">
        <v>1.0</v>
      </c>
      <c r="F509" s="161">
        <v>1261000.0</v>
      </c>
      <c r="G509" s="162">
        <f t="shared" si="9"/>
        <v>1261000</v>
      </c>
      <c r="H509" s="194"/>
      <c r="I509" s="161">
        <f t="shared" si="5"/>
        <v>1261000</v>
      </c>
      <c r="J509" s="164">
        <f t="shared" si="7"/>
        <v>1261000</v>
      </c>
      <c r="K509" s="229" t="s">
        <v>4325</v>
      </c>
      <c r="L509" s="165" t="s">
        <v>4326</v>
      </c>
      <c r="M509" s="73"/>
      <c r="N509" s="171"/>
      <c r="O509" s="169" t="s">
        <v>3037</v>
      </c>
      <c r="P509" s="168" t="s">
        <v>3112</v>
      </c>
      <c r="Q509" s="173"/>
      <c r="R509" s="167">
        <v>1261000.0</v>
      </c>
      <c r="S509" s="173"/>
      <c r="T509" s="173"/>
      <c r="U509" s="173"/>
      <c r="V509" s="168" t="s">
        <v>3799</v>
      </c>
      <c r="W509" s="169"/>
      <c r="X509" s="219">
        <v>45514.0</v>
      </c>
    </row>
    <row r="510" ht="15.0" customHeight="1">
      <c r="A510" s="127">
        <v>45499.0</v>
      </c>
      <c r="B510" s="181" t="s">
        <v>4324</v>
      </c>
      <c r="C510" s="56" t="s">
        <v>3059</v>
      </c>
      <c r="D510" s="73" t="str">
        <f>IFERROR(VLOOKUP(C510,Stock,3,FALSE),"")</f>
        <v>Sealant Polyurethane XYG Tube</v>
      </c>
      <c r="E510" s="56">
        <v>1.0</v>
      </c>
      <c r="F510" s="161">
        <v>75000.0</v>
      </c>
      <c r="G510" s="162">
        <f t="shared" si="9"/>
        <v>75000</v>
      </c>
      <c r="H510" s="194"/>
      <c r="I510" s="161">
        <f t="shared" si="5"/>
        <v>75000</v>
      </c>
      <c r="J510" s="164">
        <f t="shared" si="7"/>
        <v>75000</v>
      </c>
      <c r="K510" s="229" t="s">
        <v>4325</v>
      </c>
      <c r="L510" s="165" t="s">
        <v>4326</v>
      </c>
      <c r="M510" s="73"/>
      <c r="N510" s="171"/>
      <c r="O510" s="169" t="s">
        <v>3037</v>
      </c>
      <c r="P510" s="168" t="s">
        <v>3112</v>
      </c>
      <c r="Q510" s="173"/>
      <c r="R510" s="167">
        <v>75000.0</v>
      </c>
      <c r="S510" s="173"/>
      <c r="T510" s="173"/>
      <c r="U510" s="173"/>
      <c r="V510" s="168" t="s">
        <v>3799</v>
      </c>
      <c r="W510" s="169"/>
      <c r="X510" s="219">
        <v>45514.0</v>
      </c>
    </row>
    <row r="511" ht="15.0" customHeight="1">
      <c r="A511" s="127">
        <v>45500.0</v>
      </c>
      <c r="B511" s="181" t="s">
        <v>4327</v>
      </c>
      <c r="C511" s="56" t="s">
        <v>2820</v>
      </c>
      <c r="D511" s="73" t="str">
        <f>IFERROR(VLOOKUP(C511,Stock,3,FALSE),"")</f>
        <v>Toyota Dyna/Hino Dutro 00-</v>
      </c>
      <c r="E511" s="56">
        <v>1.0</v>
      </c>
      <c r="F511" s="161">
        <v>400000.0</v>
      </c>
      <c r="G511" s="162">
        <f t="shared" si="9"/>
        <v>400000</v>
      </c>
      <c r="H511" s="194"/>
      <c r="I511" s="161">
        <f t="shared" si="5"/>
        <v>400000</v>
      </c>
      <c r="J511" s="164">
        <f t="shared" si="7"/>
        <v>400000</v>
      </c>
      <c r="K511" s="56" t="s">
        <v>4328</v>
      </c>
      <c r="L511" s="165" t="s">
        <v>4329</v>
      </c>
      <c r="M511" s="73"/>
      <c r="N511" s="171"/>
      <c r="O511" s="169" t="s">
        <v>2958</v>
      </c>
      <c r="P511" s="168" t="s">
        <v>3112</v>
      </c>
      <c r="Q511" s="173"/>
      <c r="R511" s="167">
        <v>400000.0</v>
      </c>
      <c r="S511" s="173"/>
      <c r="T511" s="173"/>
      <c r="U511" s="173"/>
      <c r="V511" s="168" t="s">
        <v>3799</v>
      </c>
      <c r="W511" s="169"/>
      <c r="X511" s="219">
        <v>45518.0</v>
      </c>
    </row>
    <row r="512" ht="15.0" customHeight="1">
      <c r="A512" s="127">
        <v>45500.0</v>
      </c>
      <c r="B512" s="181" t="s">
        <v>4330</v>
      </c>
      <c r="C512" s="56" t="s">
        <v>3871</v>
      </c>
      <c r="D512" s="73" t="str">
        <f>IFERROR(VLOOKUP(C512,Stock,3,FALSE),"")</f>
        <v>Suzuki Swift 04-11 1st Gen</v>
      </c>
      <c r="E512" s="56">
        <v>1.0</v>
      </c>
      <c r="F512" s="161">
        <v>1694000.0</v>
      </c>
      <c r="G512" s="162">
        <f t="shared" si="9"/>
        <v>1694000</v>
      </c>
      <c r="H512" s="194"/>
      <c r="I512" s="161">
        <f t="shared" si="5"/>
        <v>1694000</v>
      </c>
      <c r="J512" s="164">
        <f t="shared" si="7"/>
        <v>1694000</v>
      </c>
      <c r="K512" s="229" t="s">
        <v>4331</v>
      </c>
      <c r="L512" s="165" t="s">
        <v>4332</v>
      </c>
      <c r="M512" s="73"/>
      <c r="N512" s="171"/>
      <c r="O512" s="169" t="s">
        <v>2968</v>
      </c>
      <c r="P512" s="168" t="s">
        <v>3112</v>
      </c>
      <c r="Q512" s="167">
        <v>1700000.0</v>
      </c>
      <c r="R512" s="173"/>
      <c r="S512" s="173"/>
      <c r="T512" s="173"/>
      <c r="U512" s="167">
        <v>6000.0</v>
      </c>
      <c r="V512" s="168" t="s">
        <v>3799</v>
      </c>
      <c r="W512" s="169"/>
      <c r="X512" s="219">
        <v>45518.0</v>
      </c>
    </row>
    <row r="513" ht="15.0" customHeight="1">
      <c r="A513" s="127">
        <v>45500.0</v>
      </c>
      <c r="B513" s="181" t="s">
        <v>4333</v>
      </c>
      <c r="C513" s="56" t="s">
        <v>2818</v>
      </c>
      <c r="D513" s="73" t="str">
        <f>IFERROR(VLOOKUP(C513,Stock,3,FALSE),"")</f>
        <v>Toyota Kijang Super/Grand K125 Pick Up</v>
      </c>
      <c r="E513" s="56">
        <v>1.0</v>
      </c>
      <c r="F513" s="161">
        <v>325000.0</v>
      </c>
      <c r="G513" s="162">
        <f t="shared" si="9"/>
        <v>325000</v>
      </c>
      <c r="H513" s="194"/>
      <c r="I513" s="161">
        <f t="shared" si="5"/>
        <v>325000</v>
      </c>
      <c r="J513" s="164">
        <f t="shared" si="7"/>
        <v>325000</v>
      </c>
      <c r="K513" s="56" t="s">
        <v>3961</v>
      </c>
      <c r="L513" s="165" t="s">
        <v>3962</v>
      </c>
      <c r="M513" s="73"/>
      <c r="N513" s="171"/>
      <c r="O513" s="169" t="s">
        <v>2958</v>
      </c>
      <c r="P513" s="168" t="s">
        <v>3112</v>
      </c>
      <c r="Q513" s="173"/>
      <c r="R513" s="167">
        <v>325000.0</v>
      </c>
      <c r="S513" s="173"/>
      <c r="T513" s="173"/>
      <c r="U513" s="173"/>
      <c r="V513" s="168" t="s">
        <v>3799</v>
      </c>
      <c r="W513" s="169"/>
      <c r="X513" s="219">
        <v>45518.0</v>
      </c>
    </row>
    <row r="514" ht="15.0" customHeight="1">
      <c r="A514" s="127">
        <v>45500.0</v>
      </c>
      <c r="B514" s="181" t="s">
        <v>4333</v>
      </c>
      <c r="C514" s="56" t="s">
        <v>2934</v>
      </c>
      <c r="D514" s="73" t="str">
        <f>IFERROR(VLOOKUP(C514,Stock,3,FALSE),"")</f>
        <v>Peti Kayu</v>
      </c>
      <c r="E514" s="56">
        <v>1.0</v>
      </c>
      <c r="F514" s="161">
        <v>100000.0</v>
      </c>
      <c r="G514" s="162">
        <f t="shared" si="9"/>
        <v>100000</v>
      </c>
      <c r="H514" s="194"/>
      <c r="I514" s="161">
        <f t="shared" si="5"/>
        <v>100000</v>
      </c>
      <c r="J514" s="164">
        <f t="shared" si="7"/>
        <v>100000</v>
      </c>
      <c r="K514" s="56" t="s">
        <v>3961</v>
      </c>
      <c r="L514" s="165" t="s">
        <v>3962</v>
      </c>
      <c r="M514" s="73"/>
      <c r="N514" s="171"/>
      <c r="O514" s="169" t="s">
        <v>2958</v>
      </c>
      <c r="P514" s="168" t="s">
        <v>3112</v>
      </c>
      <c r="Q514" s="173"/>
      <c r="R514" s="167">
        <v>100000.0</v>
      </c>
      <c r="S514" s="173"/>
      <c r="T514" s="173"/>
      <c r="U514" s="173"/>
      <c r="V514" s="168" t="s">
        <v>3799</v>
      </c>
      <c r="W514" s="169"/>
      <c r="X514" s="219">
        <v>45518.0</v>
      </c>
    </row>
    <row r="515" ht="15.0" customHeight="1">
      <c r="A515" s="127">
        <v>45500.0</v>
      </c>
      <c r="B515" s="181" t="s">
        <v>4334</v>
      </c>
      <c r="C515" s="56" t="s">
        <v>4027</v>
      </c>
      <c r="D515" s="73" t="str">
        <f>IFERROR(VLOOKUP(C515,Stock,3,FALSE),"")</f>
        <v>501 Sealant Application</v>
      </c>
      <c r="E515" s="56">
        <v>1.0</v>
      </c>
      <c r="F515" s="161">
        <v>100000.0</v>
      </c>
      <c r="G515" s="162">
        <f t="shared" si="9"/>
        <v>100000</v>
      </c>
      <c r="H515" s="194"/>
      <c r="I515" s="161">
        <f t="shared" si="5"/>
        <v>100000</v>
      </c>
      <c r="J515" s="164">
        <f t="shared" si="7"/>
        <v>100000</v>
      </c>
      <c r="K515" s="229" t="s">
        <v>4086</v>
      </c>
      <c r="L515" s="165" t="s">
        <v>4087</v>
      </c>
      <c r="M515" s="73"/>
      <c r="N515" s="171"/>
      <c r="O515" s="169" t="s">
        <v>2958</v>
      </c>
      <c r="P515" s="168" t="s">
        <v>3112</v>
      </c>
      <c r="Q515" s="173"/>
      <c r="R515" s="167">
        <v>100000.0</v>
      </c>
      <c r="S515" s="173"/>
      <c r="T515" s="173"/>
      <c r="U515" s="173"/>
      <c r="V515" s="168" t="s">
        <v>3799</v>
      </c>
      <c r="W515" s="169"/>
      <c r="X515" s="219">
        <v>45518.0</v>
      </c>
    </row>
    <row r="516" ht="15.0" customHeight="1">
      <c r="A516" s="127">
        <v>45500.0</v>
      </c>
      <c r="B516" s="181" t="s">
        <v>4335</v>
      </c>
      <c r="C516" s="56" t="s">
        <v>2669</v>
      </c>
      <c r="D516" s="73" t="str">
        <f>IFERROR(VLOOKUP(C516,Stock,3,FALSE),"")</f>
        <v>Nissan Livina 07-18 L10/L11</v>
      </c>
      <c r="E516" s="56">
        <v>1.0</v>
      </c>
      <c r="F516" s="161">
        <v>1422000.0</v>
      </c>
      <c r="G516" s="162">
        <f t="shared" si="9"/>
        <v>1422000</v>
      </c>
      <c r="H516" s="194"/>
      <c r="I516" s="161">
        <f t="shared" si="5"/>
        <v>1422000</v>
      </c>
      <c r="J516" s="164">
        <f t="shared" si="7"/>
        <v>1422000</v>
      </c>
      <c r="K516" s="56" t="s">
        <v>4336</v>
      </c>
      <c r="L516" s="165" t="s">
        <v>4337</v>
      </c>
      <c r="M516" s="73"/>
      <c r="N516" s="171"/>
      <c r="O516" s="169" t="s">
        <v>4338</v>
      </c>
      <c r="P516" s="168" t="s">
        <v>4281</v>
      </c>
      <c r="Q516" s="167">
        <v>1422000.0</v>
      </c>
      <c r="R516" s="173"/>
      <c r="S516" s="173"/>
      <c r="T516" s="173"/>
      <c r="U516" s="173"/>
      <c r="V516" s="168" t="s">
        <v>3883</v>
      </c>
      <c r="W516" s="169"/>
      <c r="X516" s="219">
        <v>45518.0</v>
      </c>
    </row>
    <row r="517" ht="15.0" customHeight="1">
      <c r="A517" s="127">
        <v>45500.0</v>
      </c>
      <c r="B517" s="181" t="s">
        <v>4335</v>
      </c>
      <c r="C517" s="56" t="s">
        <v>2954</v>
      </c>
      <c r="D517" s="73" t="str">
        <f>IFERROR(VLOOKUP(C517,Stock,3,FALSE),"")</f>
        <v>Transport</v>
      </c>
      <c r="E517" s="56">
        <v>1.0</v>
      </c>
      <c r="F517" s="161">
        <v>250000.0</v>
      </c>
      <c r="G517" s="162">
        <f t="shared" si="9"/>
        <v>250000</v>
      </c>
      <c r="H517" s="201">
        <v>172000.0</v>
      </c>
      <c r="I517" s="161">
        <f t="shared" si="5"/>
        <v>78000</v>
      </c>
      <c r="J517" s="164">
        <f t="shared" si="7"/>
        <v>78000</v>
      </c>
      <c r="K517" s="56" t="s">
        <v>4336</v>
      </c>
      <c r="L517" s="165" t="s">
        <v>4337</v>
      </c>
      <c r="M517" s="73"/>
      <c r="N517" s="171"/>
      <c r="O517" s="169" t="s">
        <v>4338</v>
      </c>
      <c r="P517" s="168" t="s">
        <v>4281</v>
      </c>
      <c r="Q517" s="167">
        <v>78000.0</v>
      </c>
      <c r="R517" s="173"/>
      <c r="S517" s="173"/>
      <c r="T517" s="173"/>
      <c r="U517" s="173"/>
      <c r="V517" s="168" t="s">
        <v>3883</v>
      </c>
      <c r="W517" s="169"/>
      <c r="X517" s="219">
        <v>45518.0</v>
      </c>
    </row>
    <row r="518" ht="15.0" customHeight="1">
      <c r="A518" s="127">
        <v>45500.0</v>
      </c>
      <c r="B518" s="181" t="s">
        <v>4339</v>
      </c>
      <c r="C518" s="56" t="s">
        <v>4340</v>
      </c>
      <c r="D518" s="73" t="str">
        <f>IFERROR(VLOOKUP(C518,Stock,3,FALSE),"")</f>
        <v/>
      </c>
      <c r="E518" s="56"/>
      <c r="F518" s="161"/>
      <c r="G518" s="162"/>
      <c r="H518" s="194"/>
      <c r="I518" s="161"/>
      <c r="J518" s="164"/>
      <c r="K518" s="56"/>
      <c r="L518" s="56"/>
      <c r="M518" s="73"/>
      <c r="N518" s="171"/>
      <c r="O518" s="171"/>
      <c r="P518" s="202"/>
      <c r="Q518" s="173"/>
      <c r="R518" s="167"/>
      <c r="S518" s="173"/>
      <c r="T518" s="173"/>
      <c r="U518" s="173"/>
      <c r="V518" s="202"/>
      <c r="W518" s="171"/>
      <c r="X518" s="171"/>
    </row>
    <row r="519" ht="15.0" customHeight="1">
      <c r="A519" s="127">
        <v>45502.0</v>
      </c>
      <c r="B519" s="181" t="s">
        <v>4341</v>
      </c>
      <c r="C519" s="56" t="s">
        <v>2617</v>
      </c>
      <c r="D519" s="73" t="str">
        <f>IFERROR(VLOOKUP(C519,Stock,3,FALSE),"")</f>
        <v>Mitsubishi Pajero 16- (Mitsubishi)</v>
      </c>
      <c r="E519" s="56">
        <v>1.0</v>
      </c>
      <c r="F519" s="161">
        <v>3299000.0</v>
      </c>
      <c r="G519" s="162">
        <f t="shared" ref="G519:G610" si="10">E519*F519</f>
        <v>3299000</v>
      </c>
      <c r="H519" s="194"/>
      <c r="I519" s="161">
        <f t="shared" ref="I519:I923" si="11">G519-H519</f>
        <v>3299000</v>
      </c>
      <c r="J519" s="164">
        <f t="shared" ref="J519:J923" si="12">I519</f>
        <v>3299000</v>
      </c>
      <c r="K519" s="56" t="s">
        <v>4342</v>
      </c>
      <c r="L519" s="165" t="s">
        <v>4343</v>
      </c>
      <c r="M519" s="73"/>
      <c r="N519" s="171"/>
      <c r="O519" s="169" t="s">
        <v>2958</v>
      </c>
      <c r="P519" s="168" t="s">
        <v>3645</v>
      </c>
      <c r="Q519" s="173"/>
      <c r="R519" s="167">
        <v>3299000.0</v>
      </c>
      <c r="S519" s="173"/>
      <c r="T519" s="173"/>
      <c r="U519" s="173"/>
      <c r="V519" s="168" t="s">
        <v>3883</v>
      </c>
      <c r="W519" s="169"/>
      <c r="X519" s="219">
        <v>45518.0</v>
      </c>
    </row>
    <row r="520" ht="15.0" customHeight="1">
      <c r="A520" s="127">
        <v>45502.0</v>
      </c>
      <c r="B520" s="181" t="s">
        <v>4344</v>
      </c>
      <c r="C520" s="56" t="s">
        <v>3837</v>
      </c>
      <c r="D520" s="73" t="str">
        <f>IFERROR(VLOOKUP(C520,Stock,3,FALSE),"")</f>
        <v>Toyota Yaris 13- 2nd Gen / Vios 14- 3rd Gen</v>
      </c>
      <c r="E520" s="56">
        <v>1.0</v>
      </c>
      <c r="F520" s="161">
        <v>1719000.0</v>
      </c>
      <c r="G520" s="162">
        <f t="shared" si="10"/>
        <v>1719000</v>
      </c>
      <c r="H520" s="194"/>
      <c r="I520" s="161">
        <f t="shared" si="11"/>
        <v>1719000</v>
      </c>
      <c r="J520" s="164">
        <f t="shared" si="12"/>
        <v>1719000</v>
      </c>
      <c r="K520" s="56" t="s">
        <v>4345</v>
      </c>
      <c r="L520" s="165" t="s">
        <v>4346</v>
      </c>
      <c r="M520" s="73"/>
      <c r="N520" s="171"/>
      <c r="O520" s="169" t="s">
        <v>2958</v>
      </c>
      <c r="P520" s="168" t="s">
        <v>3112</v>
      </c>
      <c r="Q520" s="173"/>
      <c r="R520" s="167">
        <v>1719000.0</v>
      </c>
      <c r="S520" s="173"/>
      <c r="T520" s="173"/>
      <c r="U520" s="173"/>
      <c r="V520" s="168" t="s">
        <v>3883</v>
      </c>
      <c r="W520" s="169"/>
      <c r="X520" s="219">
        <v>45518.0</v>
      </c>
    </row>
    <row r="521" ht="15.0" customHeight="1">
      <c r="A521" s="127">
        <v>45502.0</v>
      </c>
      <c r="B521" s="181" t="s">
        <v>4347</v>
      </c>
      <c r="C521" s="56" t="s">
        <v>2635</v>
      </c>
      <c r="D521" s="73" t="str">
        <f>IFERROR(VLOOKUP(C521,Stock,3,FALSE),"")</f>
        <v>Toyota Corolla All New AE111 95-02 8th Gen KE120</v>
      </c>
      <c r="E521" s="56">
        <v>1.0</v>
      </c>
      <c r="F521" s="161">
        <v>1839000.0</v>
      </c>
      <c r="G521" s="162">
        <f t="shared" si="10"/>
        <v>1839000</v>
      </c>
      <c r="H521" s="194"/>
      <c r="I521" s="161">
        <f t="shared" si="11"/>
        <v>1839000</v>
      </c>
      <c r="J521" s="164">
        <f t="shared" si="12"/>
        <v>1839000</v>
      </c>
      <c r="K521" s="56" t="s">
        <v>4348</v>
      </c>
      <c r="L521" s="165" t="s">
        <v>4349</v>
      </c>
      <c r="M521" s="73"/>
      <c r="N521" s="171"/>
      <c r="O521" s="169" t="s">
        <v>2958</v>
      </c>
      <c r="P521" s="168" t="s">
        <v>3112</v>
      </c>
      <c r="Q521" s="173"/>
      <c r="R521" s="167">
        <v>1839000.0</v>
      </c>
      <c r="S521" s="173"/>
      <c r="T521" s="173"/>
      <c r="U521" s="173"/>
      <c r="V521" s="168" t="s">
        <v>3883</v>
      </c>
      <c r="W521" s="169"/>
      <c r="X521" s="219">
        <v>45518.0</v>
      </c>
    </row>
    <row r="522" ht="15.0" customHeight="1">
      <c r="A522" s="127">
        <v>45503.0</v>
      </c>
      <c r="B522" s="181" t="s">
        <v>4350</v>
      </c>
      <c r="C522" s="56" t="s">
        <v>3290</v>
      </c>
      <c r="D522" s="73" t="str">
        <f>IFERROR(VLOOKUP(C522,Stock,3,FALSE),"")</f>
        <v>Toyota Innova 04-15 1st Gen</v>
      </c>
      <c r="E522" s="56">
        <v>1.0</v>
      </c>
      <c r="F522" s="161">
        <v>1138000.0</v>
      </c>
      <c r="G522" s="162">
        <f t="shared" si="10"/>
        <v>1138000</v>
      </c>
      <c r="H522" s="194"/>
      <c r="I522" s="161">
        <f t="shared" si="11"/>
        <v>1138000</v>
      </c>
      <c r="J522" s="164">
        <f t="shared" si="12"/>
        <v>1138000</v>
      </c>
      <c r="K522" s="56" t="s">
        <v>4351</v>
      </c>
      <c r="L522" s="165" t="s">
        <v>4352</v>
      </c>
      <c r="M522" s="73"/>
      <c r="N522" s="171"/>
      <c r="O522" s="169" t="s">
        <v>2958</v>
      </c>
      <c r="P522" s="168" t="s">
        <v>3054</v>
      </c>
      <c r="Q522" s="162"/>
      <c r="R522" s="161">
        <v>1138000.0</v>
      </c>
      <c r="S522" s="173"/>
      <c r="T522" s="173"/>
      <c r="U522" s="173"/>
      <c r="V522" s="168" t="s">
        <v>3883</v>
      </c>
      <c r="W522" s="169"/>
      <c r="X522" s="219">
        <v>45520.0</v>
      </c>
    </row>
    <row r="523" ht="15.0" customHeight="1">
      <c r="A523" s="127">
        <v>45503.0</v>
      </c>
      <c r="B523" s="181" t="s">
        <v>4350</v>
      </c>
      <c r="C523" s="56" t="s">
        <v>3795</v>
      </c>
      <c r="D523" s="73" t="str">
        <f>IFERROR(VLOOKUP(C523,Stock,3,FALSE),"")</f>
        <v>Toyota Innova 04-15 1st Gen</v>
      </c>
      <c r="E523" s="56">
        <v>1.0</v>
      </c>
      <c r="F523" s="161">
        <v>1072000.0</v>
      </c>
      <c r="G523" s="162">
        <f t="shared" si="10"/>
        <v>1072000</v>
      </c>
      <c r="H523" s="194"/>
      <c r="I523" s="161">
        <f t="shared" si="11"/>
        <v>1072000</v>
      </c>
      <c r="J523" s="164">
        <f t="shared" si="12"/>
        <v>1072000</v>
      </c>
      <c r="K523" s="56" t="s">
        <v>4351</v>
      </c>
      <c r="L523" s="165" t="s">
        <v>4352</v>
      </c>
      <c r="M523" s="73"/>
      <c r="N523" s="171"/>
      <c r="O523" s="169" t="s">
        <v>2958</v>
      </c>
      <c r="P523" s="168" t="s">
        <v>3054</v>
      </c>
      <c r="Q523" s="162"/>
      <c r="R523" s="161">
        <v>1072000.0</v>
      </c>
      <c r="S523" s="173"/>
      <c r="T523" s="173"/>
      <c r="U523" s="173"/>
      <c r="V523" s="168" t="s">
        <v>3883</v>
      </c>
      <c r="W523" s="169"/>
      <c r="X523" s="219">
        <v>45520.0</v>
      </c>
    </row>
    <row r="524" ht="15.0" customHeight="1">
      <c r="A524" s="127">
        <v>45503.0</v>
      </c>
      <c r="B524" s="181" t="s">
        <v>4350</v>
      </c>
      <c r="C524" s="56" t="s">
        <v>4353</v>
      </c>
      <c r="D524" s="73" t="str">
        <f>IFERROR(VLOOKUP(C524,Stock,3,FALSE),"")</f>
        <v>Toyota Innova 04-15 1st Gen</v>
      </c>
      <c r="E524" s="56">
        <v>1.0</v>
      </c>
      <c r="F524" s="161">
        <v>450000.0</v>
      </c>
      <c r="G524" s="162">
        <f t="shared" si="10"/>
        <v>450000</v>
      </c>
      <c r="H524" s="194"/>
      <c r="I524" s="161">
        <f t="shared" si="11"/>
        <v>450000</v>
      </c>
      <c r="J524" s="164">
        <f t="shared" si="12"/>
        <v>450000</v>
      </c>
      <c r="K524" s="56" t="s">
        <v>4351</v>
      </c>
      <c r="L524" s="165" t="s">
        <v>4352</v>
      </c>
      <c r="M524" s="73"/>
      <c r="N524" s="171"/>
      <c r="O524" s="169" t="s">
        <v>2958</v>
      </c>
      <c r="P524" s="168" t="s">
        <v>3054</v>
      </c>
      <c r="Q524" s="162"/>
      <c r="R524" s="161">
        <v>450000.0</v>
      </c>
      <c r="S524" s="173"/>
      <c r="T524" s="173"/>
      <c r="U524" s="173"/>
      <c r="V524" s="168" t="s">
        <v>3883</v>
      </c>
      <c r="W524" s="169"/>
      <c r="X524" s="219">
        <v>45520.0</v>
      </c>
    </row>
    <row r="525" ht="15.0" customHeight="1">
      <c r="A525" s="127">
        <v>45503.0</v>
      </c>
      <c r="B525" s="181" t="s">
        <v>4350</v>
      </c>
      <c r="C525" s="56" t="s">
        <v>4354</v>
      </c>
      <c r="D525" s="73" t="str">
        <f>IFERROR(VLOOKUP(C525,Stock,3,FALSE),"")</f>
        <v>Toyota Innova 04-15 1st Gen</v>
      </c>
      <c r="E525" s="56">
        <v>1.0</v>
      </c>
      <c r="F525" s="161">
        <v>485000.0</v>
      </c>
      <c r="G525" s="162">
        <f t="shared" si="10"/>
        <v>485000</v>
      </c>
      <c r="H525" s="194"/>
      <c r="I525" s="161">
        <f t="shared" si="11"/>
        <v>485000</v>
      </c>
      <c r="J525" s="164">
        <f t="shared" si="12"/>
        <v>485000</v>
      </c>
      <c r="K525" s="56" t="s">
        <v>4351</v>
      </c>
      <c r="L525" s="165" t="s">
        <v>4352</v>
      </c>
      <c r="M525" s="73"/>
      <c r="N525" s="171"/>
      <c r="O525" s="169" t="s">
        <v>2958</v>
      </c>
      <c r="P525" s="168" t="s">
        <v>3054</v>
      </c>
      <c r="Q525" s="162"/>
      <c r="R525" s="161">
        <v>485000.0</v>
      </c>
      <c r="S525" s="173"/>
      <c r="T525" s="173"/>
      <c r="U525" s="173"/>
      <c r="V525" s="168" t="s">
        <v>3883</v>
      </c>
      <c r="W525" s="169"/>
      <c r="X525" s="219">
        <v>45520.0</v>
      </c>
    </row>
    <row r="526" ht="15.0" customHeight="1">
      <c r="A526" s="127">
        <v>45503.0</v>
      </c>
      <c r="B526" s="181" t="s">
        <v>4350</v>
      </c>
      <c r="C526" s="175" t="s">
        <v>4355</v>
      </c>
      <c r="D526" s="73" t="str">
        <f>IFERROR(VLOOKUP(C526,Stock,3,FALSE),"")</f>
        <v>Toyota Innova 04-15 1st Gen</v>
      </c>
      <c r="E526" s="56">
        <v>1.0</v>
      </c>
      <c r="F526" s="161">
        <v>450000.0</v>
      </c>
      <c r="G526" s="162">
        <f t="shared" si="10"/>
        <v>450000</v>
      </c>
      <c r="H526" s="194"/>
      <c r="I526" s="161">
        <f t="shared" si="11"/>
        <v>450000</v>
      </c>
      <c r="J526" s="164">
        <f t="shared" si="12"/>
        <v>450000</v>
      </c>
      <c r="K526" s="56" t="s">
        <v>4351</v>
      </c>
      <c r="L526" s="165" t="s">
        <v>4352</v>
      </c>
      <c r="M526" s="73"/>
      <c r="N526" s="171"/>
      <c r="O526" s="169" t="s">
        <v>2958</v>
      </c>
      <c r="P526" s="168" t="s">
        <v>3054</v>
      </c>
      <c r="Q526" s="162"/>
      <c r="R526" s="161">
        <v>450000.0</v>
      </c>
      <c r="S526" s="173"/>
      <c r="T526" s="173"/>
      <c r="U526" s="173"/>
      <c r="V526" s="168" t="s">
        <v>3883</v>
      </c>
      <c r="W526" s="169"/>
      <c r="X526" s="219">
        <v>45520.0</v>
      </c>
    </row>
    <row r="527" ht="15.0" customHeight="1">
      <c r="A527" s="127">
        <v>45503.0</v>
      </c>
      <c r="B527" s="181" t="s">
        <v>4350</v>
      </c>
      <c r="C527" s="169" t="s">
        <v>4356</v>
      </c>
      <c r="D527" s="73" t="str">
        <f>IFERROR(VLOOKUP(C527,Stock,3,FALSE),"")</f>
        <v>Toyota Innova 04-15 1st Gen</v>
      </c>
      <c r="E527" s="56">
        <v>1.0</v>
      </c>
      <c r="F527" s="161">
        <v>320000.0</v>
      </c>
      <c r="G527" s="162">
        <f t="shared" si="10"/>
        <v>320000</v>
      </c>
      <c r="H527" s="194"/>
      <c r="I527" s="161">
        <f t="shared" si="11"/>
        <v>320000</v>
      </c>
      <c r="J527" s="164">
        <f t="shared" si="12"/>
        <v>320000</v>
      </c>
      <c r="K527" s="56" t="s">
        <v>4351</v>
      </c>
      <c r="L527" s="165" t="s">
        <v>4352</v>
      </c>
      <c r="M527" s="73"/>
      <c r="N527" s="171"/>
      <c r="O527" s="169" t="s">
        <v>2958</v>
      </c>
      <c r="P527" s="168" t="s">
        <v>3054</v>
      </c>
      <c r="Q527" s="162"/>
      <c r="R527" s="161">
        <v>320000.0</v>
      </c>
      <c r="S527" s="173"/>
      <c r="T527" s="173"/>
      <c r="U527" s="173"/>
      <c r="V527" s="168" t="s">
        <v>3883</v>
      </c>
      <c r="W527" s="169"/>
      <c r="X527" s="219">
        <v>45520.0</v>
      </c>
    </row>
    <row r="528" ht="15.0" customHeight="1">
      <c r="A528" s="127">
        <v>45503.0</v>
      </c>
      <c r="B528" s="181" t="s">
        <v>4357</v>
      </c>
      <c r="C528" s="56" t="s">
        <v>3118</v>
      </c>
      <c r="D528" s="73" t="str">
        <f>IFERROR(VLOOKUP(C528,Stock,3,FALSE),"")</f>
        <v>Toyota Hilux Pickup 15- (Revo)</v>
      </c>
      <c r="E528" s="56">
        <v>1.0</v>
      </c>
      <c r="F528" s="161">
        <v>1838000.0</v>
      </c>
      <c r="G528" s="162">
        <f t="shared" si="10"/>
        <v>1838000</v>
      </c>
      <c r="H528" s="194"/>
      <c r="I528" s="161">
        <f t="shared" si="11"/>
        <v>1838000</v>
      </c>
      <c r="J528" s="164">
        <f t="shared" si="12"/>
        <v>1838000</v>
      </c>
      <c r="K528" s="56" t="s">
        <v>4358</v>
      </c>
      <c r="L528" s="165" t="s">
        <v>4359</v>
      </c>
      <c r="M528" s="73"/>
      <c r="N528" s="171"/>
      <c r="O528" s="169" t="s">
        <v>3204</v>
      </c>
      <c r="P528" s="168" t="s">
        <v>3112</v>
      </c>
      <c r="Q528" s="167">
        <v>1850000.0</v>
      </c>
      <c r="R528" s="173"/>
      <c r="S528" s="173"/>
      <c r="T528" s="173"/>
      <c r="U528" s="167">
        <v>12000.0</v>
      </c>
      <c r="V528" s="168" t="s">
        <v>3883</v>
      </c>
      <c r="W528" s="169"/>
      <c r="X528" s="219">
        <v>45520.0</v>
      </c>
    </row>
    <row r="529" ht="15.0" customHeight="1">
      <c r="A529" s="127">
        <v>45503.0</v>
      </c>
      <c r="B529" s="181" t="s">
        <v>4360</v>
      </c>
      <c r="C529" s="56" t="s">
        <v>3099</v>
      </c>
      <c r="D529" s="73" t="str">
        <f>IFERROR(VLOOKUP(C529,Stock,3,FALSE),"")</f>
        <v>Toyota Calya / Sigra 16-</v>
      </c>
      <c r="E529" s="56">
        <v>1.0</v>
      </c>
      <c r="F529" s="161">
        <v>1149000.0</v>
      </c>
      <c r="G529" s="162">
        <f t="shared" si="10"/>
        <v>1149000</v>
      </c>
      <c r="H529" s="194"/>
      <c r="I529" s="161">
        <f t="shared" si="11"/>
        <v>1149000</v>
      </c>
      <c r="J529" s="164">
        <f t="shared" si="12"/>
        <v>1149000</v>
      </c>
      <c r="K529" s="56" t="s">
        <v>4361</v>
      </c>
      <c r="L529" s="165" t="s">
        <v>4362</v>
      </c>
      <c r="M529" s="73"/>
      <c r="N529" s="171"/>
      <c r="O529" s="169" t="s">
        <v>2958</v>
      </c>
      <c r="P529" s="168" t="s">
        <v>3112</v>
      </c>
      <c r="Q529" s="173"/>
      <c r="R529" s="167">
        <v>1149000.0</v>
      </c>
      <c r="S529" s="173"/>
      <c r="T529" s="173"/>
      <c r="U529" s="173"/>
      <c r="V529" s="168" t="s">
        <v>3883</v>
      </c>
      <c r="W529" s="169"/>
      <c r="X529" s="219">
        <v>45520.0</v>
      </c>
    </row>
    <row r="530" ht="15.0" customHeight="1">
      <c r="A530" s="127">
        <v>45503.0</v>
      </c>
      <c r="B530" s="181" t="s">
        <v>4363</v>
      </c>
      <c r="C530" s="56" t="s">
        <v>3290</v>
      </c>
      <c r="D530" s="73" t="str">
        <f>IFERROR(VLOOKUP(C530,Stock,3,FALSE),"")</f>
        <v>Toyota Innova 04-15 1st Gen</v>
      </c>
      <c r="E530" s="56">
        <v>1.0</v>
      </c>
      <c r="F530" s="161">
        <v>1438000.0</v>
      </c>
      <c r="G530" s="162">
        <f t="shared" si="10"/>
        <v>1438000</v>
      </c>
      <c r="H530" s="194"/>
      <c r="I530" s="161">
        <f t="shared" si="11"/>
        <v>1438000</v>
      </c>
      <c r="J530" s="164">
        <f t="shared" si="12"/>
        <v>1438000</v>
      </c>
      <c r="K530" s="56" t="s">
        <v>4361</v>
      </c>
      <c r="L530" s="165" t="s">
        <v>4362</v>
      </c>
      <c r="M530" s="73"/>
      <c r="N530" s="171"/>
      <c r="O530" s="169" t="s">
        <v>2958</v>
      </c>
      <c r="P530" s="168" t="s">
        <v>3112</v>
      </c>
      <c r="Q530" s="173"/>
      <c r="R530" s="167">
        <v>1438000.0</v>
      </c>
      <c r="S530" s="173"/>
      <c r="T530" s="173"/>
      <c r="U530" s="173"/>
      <c r="V530" s="168" t="s">
        <v>3883</v>
      </c>
      <c r="W530" s="169"/>
      <c r="X530" s="219">
        <v>45520.0</v>
      </c>
    </row>
    <row r="531" ht="15.0" customHeight="1">
      <c r="A531" s="127">
        <v>45503.0</v>
      </c>
      <c r="B531" s="181" t="s">
        <v>4364</v>
      </c>
      <c r="C531" s="56" t="s">
        <v>4365</v>
      </c>
      <c r="D531" s="73" t="str">
        <f>IFERROR(VLOOKUP(C531,Stock,3,FALSE),"")</f>
        <v>Wuling Almaz (Orisinil)</v>
      </c>
      <c r="E531" s="56">
        <v>1.0</v>
      </c>
      <c r="F531" s="161">
        <v>2248000.0</v>
      </c>
      <c r="G531" s="162">
        <f t="shared" si="10"/>
        <v>2248000</v>
      </c>
      <c r="H531" s="194"/>
      <c r="I531" s="161">
        <f t="shared" si="11"/>
        <v>2248000</v>
      </c>
      <c r="J531" s="164">
        <f t="shared" si="12"/>
        <v>2248000</v>
      </c>
      <c r="K531" s="56" t="s">
        <v>4366</v>
      </c>
      <c r="L531" s="165" t="s">
        <v>4367</v>
      </c>
      <c r="M531" s="73"/>
      <c r="N531" s="171"/>
      <c r="O531" s="169" t="s">
        <v>2958</v>
      </c>
      <c r="P531" s="168" t="s">
        <v>3112</v>
      </c>
      <c r="Q531" s="173"/>
      <c r="R531" s="167">
        <v>2248000.0</v>
      </c>
      <c r="S531" s="173"/>
      <c r="T531" s="173"/>
      <c r="U531" s="173"/>
      <c r="V531" s="168" t="s">
        <v>3799</v>
      </c>
      <c r="W531" s="169"/>
      <c r="X531" s="219">
        <v>45520.0</v>
      </c>
    </row>
    <row r="532" ht="15.0" customHeight="1">
      <c r="A532" s="232">
        <v>45503.0</v>
      </c>
      <c r="B532" s="233" t="s">
        <v>4368</v>
      </c>
      <c r="C532" s="234" t="s">
        <v>3118</v>
      </c>
      <c r="D532" s="235" t="str">
        <f>IFERROR(VLOOKUP(C532,Stock,3,FALSE),"")</f>
        <v>Toyota Hilux Pickup 15- (Revo)</v>
      </c>
      <c r="E532" s="234">
        <v>1.0</v>
      </c>
      <c r="F532" s="236">
        <v>1192000.0</v>
      </c>
      <c r="G532" s="237">
        <f t="shared" si="10"/>
        <v>1192000</v>
      </c>
      <c r="H532" s="238"/>
      <c r="I532" s="236">
        <f t="shared" si="11"/>
        <v>1192000</v>
      </c>
      <c r="J532" s="239">
        <f t="shared" si="12"/>
        <v>1192000</v>
      </c>
      <c r="K532" s="234" t="s">
        <v>4369</v>
      </c>
      <c r="L532" s="240" t="s">
        <v>4370</v>
      </c>
      <c r="M532" s="235"/>
      <c r="N532" s="241"/>
      <c r="O532" s="242" t="s">
        <v>4371</v>
      </c>
      <c r="P532" s="243" t="s">
        <v>3112</v>
      </c>
      <c r="Q532" s="244"/>
      <c r="R532" s="245">
        <v>1192000.0</v>
      </c>
      <c r="S532" s="244"/>
      <c r="T532" s="244"/>
      <c r="U532" s="244"/>
      <c r="V532" s="243" t="s">
        <v>3799</v>
      </c>
      <c r="W532" s="242"/>
      <c r="X532" s="246">
        <v>45520.0</v>
      </c>
    </row>
    <row r="533" ht="15.0" customHeight="1">
      <c r="A533" s="127">
        <v>45504.0</v>
      </c>
      <c r="B533" s="181" t="s">
        <v>4372</v>
      </c>
      <c r="C533" s="56" t="s">
        <v>3290</v>
      </c>
      <c r="D533" s="73" t="str">
        <f>IFERROR(VLOOKUP(C533,Stock,3,FALSE),"")</f>
        <v>Toyota Innova 04-15 1st Gen</v>
      </c>
      <c r="E533" s="56">
        <v>1.0</v>
      </c>
      <c r="F533" s="161">
        <v>1449000.0</v>
      </c>
      <c r="G533" s="162">
        <f t="shared" si="10"/>
        <v>1449000</v>
      </c>
      <c r="H533" s="201">
        <v>49000.0</v>
      </c>
      <c r="I533" s="161">
        <f t="shared" si="11"/>
        <v>1400000</v>
      </c>
      <c r="J533" s="164">
        <f t="shared" si="12"/>
        <v>1400000</v>
      </c>
      <c r="K533" s="56" t="s">
        <v>4373</v>
      </c>
      <c r="L533" s="165" t="s">
        <v>4374</v>
      </c>
      <c r="M533" s="73"/>
      <c r="N533" s="171"/>
      <c r="O533" s="169" t="s">
        <v>3204</v>
      </c>
      <c r="P533" s="168" t="s">
        <v>3112</v>
      </c>
      <c r="Q533" s="173"/>
      <c r="R533" s="167">
        <v>1400000.0</v>
      </c>
      <c r="S533" s="173"/>
      <c r="T533" s="173"/>
      <c r="U533" s="173"/>
      <c r="V533" s="168" t="s">
        <v>3671</v>
      </c>
      <c r="W533" s="169"/>
      <c r="X533" s="219">
        <v>45520.0</v>
      </c>
    </row>
    <row r="534" ht="15.0" customHeight="1">
      <c r="A534" s="127">
        <v>45504.0</v>
      </c>
      <c r="B534" s="181" t="s">
        <v>4372</v>
      </c>
      <c r="C534" s="56" t="s">
        <v>2954</v>
      </c>
      <c r="D534" s="73" t="str">
        <f>IFERROR(VLOOKUP(C534,Stock,3,FALSE),"")</f>
        <v>Transport</v>
      </c>
      <c r="E534" s="56">
        <v>1.0</v>
      </c>
      <c r="F534" s="161">
        <v>250000.0</v>
      </c>
      <c r="G534" s="162">
        <f t="shared" si="10"/>
        <v>250000</v>
      </c>
      <c r="H534" s="194"/>
      <c r="I534" s="161">
        <f t="shared" si="11"/>
        <v>250000</v>
      </c>
      <c r="J534" s="164">
        <f t="shared" si="12"/>
        <v>250000</v>
      </c>
      <c r="K534" s="56" t="s">
        <v>4373</v>
      </c>
      <c r="L534" s="165" t="s">
        <v>4374</v>
      </c>
      <c r="M534" s="73"/>
      <c r="N534" s="171"/>
      <c r="O534" s="169" t="s">
        <v>3204</v>
      </c>
      <c r="P534" s="168" t="s">
        <v>3112</v>
      </c>
      <c r="Q534" s="173"/>
      <c r="R534" s="167">
        <v>250000.0</v>
      </c>
      <c r="S534" s="173"/>
      <c r="T534" s="173"/>
      <c r="U534" s="173"/>
      <c r="V534" s="168" t="s">
        <v>3671</v>
      </c>
      <c r="W534" s="169"/>
      <c r="X534" s="219">
        <v>45520.0</v>
      </c>
    </row>
    <row r="535" ht="15.0" customHeight="1">
      <c r="A535" s="127">
        <v>45504.0</v>
      </c>
      <c r="B535" s="181" t="s">
        <v>4372</v>
      </c>
      <c r="C535" s="56" t="s">
        <v>3355</v>
      </c>
      <c r="D535" s="73" t="str">
        <f>IFERROR(VLOOKUP(C535,Stock,3,FALSE),"")</f>
        <v>List Kaca Depan INV</v>
      </c>
      <c r="E535" s="56">
        <v>1.0</v>
      </c>
      <c r="F535" s="161">
        <v>315000.0</v>
      </c>
      <c r="G535" s="162">
        <f t="shared" si="10"/>
        <v>315000</v>
      </c>
      <c r="H535" s="194"/>
      <c r="I535" s="161">
        <f t="shared" si="11"/>
        <v>315000</v>
      </c>
      <c r="J535" s="164">
        <f t="shared" si="12"/>
        <v>315000</v>
      </c>
      <c r="K535" s="56" t="s">
        <v>4373</v>
      </c>
      <c r="L535" s="196" t="s">
        <v>4374</v>
      </c>
      <c r="M535" s="73"/>
      <c r="N535" s="171"/>
      <c r="O535" s="169" t="s">
        <v>3204</v>
      </c>
      <c r="P535" s="168" t="s">
        <v>3112</v>
      </c>
      <c r="Q535" s="173"/>
      <c r="R535" s="167">
        <v>315000.0</v>
      </c>
      <c r="S535" s="173"/>
      <c r="T535" s="173"/>
      <c r="U535" s="173"/>
      <c r="V535" s="168" t="s">
        <v>3671</v>
      </c>
      <c r="W535" s="169"/>
      <c r="X535" s="219">
        <v>45520.0</v>
      </c>
    </row>
    <row r="536" ht="15.0" customHeight="1">
      <c r="A536" s="127">
        <v>45505.0</v>
      </c>
      <c r="B536" s="181" t="s">
        <v>4375</v>
      </c>
      <c r="C536" s="56" t="s">
        <v>4376</v>
      </c>
      <c r="D536" s="73" t="str">
        <f>IFERROR(VLOOKUP(C536,Stock,3,FALSE),"")</f>
        <v>Chevrolet Optra 03-</v>
      </c>
      <c r="E536" s="56">
        <v>1.0</v>
      </c>
      <c r="F536" s="161">
        <v>2297000.0</v>
      </c>
      <c r="G536" s="162">
        <f t="shared" si="10"/>
        <v>2297000</v>
      </c>
      <c r="H536" s="194"/>
      <c r="I536" s="204">
        <f t="shared" si="11"/>
        <v>2297000</v>
      </c>
      <c r="J536" s="164">
        <f t="shared" si="12"/>
        <v>2297000</v>
      </c>
      <c r="K536" s="56" t="s">
        <v>4377</v>
      </c>
      <c r="L536" s="165" t="s">
        <v>4378</v>
      </c>
      <c r="M536" s="56" t="s">
        <v>4379</v>
      </c>
      <c r="N536" s="169" t="s">
        <v>4380</v>
      </c>
      <c r="O536" s="169" t="s">
        <v>2958</v>
      </c>
      <c r="P536" s="168" t="s">
        <v>3112</v>
      </c>
      <c r="Q536" s="173"/>
      <c r="R536" s="167">
        <v>2297000.0</v>
      </c>
      <c r="S536" s="173"/>
      <c r="T536" s="173"/>
      <c r="U536" s="173"/>
      <c r="V536" s="168" t="s">
        <v>3671</v>
      </c>
      <c r="W536" s="169"/>
      <c r="X536" s="219">
        <v>45539.0</v>
      </c>
    </row>
    <row r="537" ht="15.0" customHeight="1">
      <c r="A537" s="127">
        <v>45505.0</v>
      </c>
      <c r="B537" s="181" t="s">
        <v>4381</v>
      </c>
      <c r="C537" s="56" t="s">
        <v>2960</v>
      </c>
      <c r="D537" s="73" t="str">
        <f>IFERROR(VLOOKUP(C537,Stock,3,FALSE),"")</f>
        <v>Toyota Alphard 08-15 ANH20 2nd Gen (Hitam)</v>
      </c>
      <c r="E537" s="56">
        <v>1.0</v>
      </c>
      <c r="F537" s="161">
        <v>2884000.0</v>
      </c>
      <c r="G537" s="162">
        <f t="shared" si="10"/>
        <v>2884000</v>
      </c>
      <c r="H537" s="194"/>
      <c r="I537" s="204">
        <f t="shared" si="11"/>
        <v>2884000</v>
      </c>
      <c r="J537" s="164">
        <f t="shared" si="12"/>
        <v>2884000</v>
      </c>
      <c r="K537" s="229" t="s">
        <v>4382</v>
      </c>
      <c r="L537" s="165" t="s">
        <v>4383</v>
      </c>
      <c r="M537" s="73"/>
      <c r="N537" s="169" t="s">
        <v>4384</v>
      </c>
      <c r="O537" s="169" t="s">
        <v>2958</v>
      </c>
      <c r="P537" s="168" t="s">
        <v>3054</v>
      </c>
      <c r="Q537" s="173"/>
      <c r="R537" s="167">
        <v>2884000.0</v>
      </c>
      <c r="S537" s="173"/>
      <c r="T537" s="173"/>
      <c r="U537" s="173"/>
      <c r="V537" s="168" t="s">
        <v>3671</v>
      </c>
      <c r="W537" s="169"/>
      <c r="X537" s="219">
        <v>45520.0</v>
      </c>
    </row>
    <row r="538" ht="15.0" customHeight="1">
      <c r="A538" s="127">
        <v>45505.0</v>
      </c>
      <c r="B538" s="181" t="s">
        <v>4381</v>
      </c>
      <c r="C538" s="56" t="s">
        <v>4027</v>
      </c>
      <c r="D538" s="73" t="str">
        <f>IFERROR(VLOOKUP(C538,Stock,3,FALSE),"")</f>
        <v>501 Sealant Application</v>
      </c>
      <c r="E538" s="56">
        <v>1.0</v>
      </c>
      <c r="F538" s="161">
        <v>100000.0</v>
      </c>
      <c r="G538" s="162">
        <f t="shared" si="10"/>
        <v>100000</v>
      </c>
      <c r="H538" s="194"/>
      <c r="I538" s="204">
        <f t="shared" si="11"/>
        <v>100000</v>
      </c>
      <c r="J538" s="164">
        <f t="shared" si="12"/>
        <v>100000</v>
      </c>
      <c r="K538" s="229" t="s">
        <v>4382</v>
      </c>
      <c r="L538" s="165" t="s">
        <v>4383</v>
      </c>
      <c r="M538" s="73"/>
      <c r="N538" s="169" t="s">
        <v>4384</v>
      </c>
      <c r="O538" s="169" t="s">
        <v>2958</v>
      </c>
      <c r="P538" s="168" t="s">
        <v>3112</v>
      </c>
      <c r="Q538" s="173"/>
      <c r="R538" s="167">
        <v>100000.0</v>
      </c>
      <c r="S538" s="173"/>
      <c r="T538" s="173"/>
      <c r="U538" s="173"/>
      <c r="V538" s="168" t="s">
        <v>3671</v>
      </c>
      <c r="W538" s="169"/>
      <c r="X538" s="219">
        <v>45520.0</v>
      </c>
    </row>
    <row r="539" ht="15.0" customHeight="1">
      <c r="A539" s="127">
        <v>45505.0</v>
      </c>
      <c r="B539" s="181" t="s">
        <v>4385</v>
      </c>
      <c r="C539" s="56" t="s">
        <v>4386</v>
      </c>
      <c r="D539" s="73" t="str">
        <f>IFERROR(VLOOKUP(C539,Stock,3,FALSE),"")</f>
        <v>Toyota Calya / Sigra 16-</v>
      </c>
      <c r="E539" s="56">
        <v>1.0</v>
      </c>
      <c r="F539" s="161">
        <v>488000.0</v>
      </c>
      <c r="G539" s="162">
        <f t="shared" si="10"/>
        <v>488000</v>
      </c>
      <c r="H539" s="201">
        <v>59000.0</v>
      </c>
      <c r="I539" s="204">
        <f t="shared" si="11"/>
        <v>429000</v>
      </c>
      <c r="J539" s="164">
        <f t="shared" si="12"/>
        <v>429000</v>
      </c>
      <c r="K539" s="56" t="s">
        <v>4387</v>
      </c>
      <c r="L539" s="165" t="s">
        <v>4388</v>
      </c>
      <c r="M539" s="73"/>
      <c r="N539" s="169" t="s">
        <v>4389</v>
      </c>
      <c r="O539" s="169" t="s">
        <v>2958</v>
      </c>
      <c r="P539" s="168" t="s">
        <v>3112</v>
      </c>
      <c r="Q539" s="173"/>
      <c r="R539" s="167">
        <v>429000.0</v>
      </c>
      <c r="S539" s="173"/>
      <c r="T539" s="173"/>
      <c r="U539" s="173"/>
      <c r="V539" s="168" t="s">
        <v>3671</v>
      </c>
      <c r="W539" s="169"/>
      <c r="X539" s="219">
        <v>45520.0</v>
      </c>
    </row>
    <row r="540" ht="15.0" customHeight="1">
      <c r="A540" s="127">
        <v>45505.0</v>
      </c>
      <c r="B540" s="181" t="s">
        <v>4390</v>
      </c>
      <c r="C540" s="56" t="s">
        <v>4391</v>
      </c>
      <c r="D540" s="73" t="str">
        <f>IFERROR(VLOOKUP(C540,Stock,3,FALSE),"")</f>
        <v>Toyota NAV1/Noah 07-17</v>
      </c>
      <c r="E540" s="56">
        <v>1.0</v>
      </c>
      <c r="F540" s="161">
        <v>3039000.0</v>
      </c>
      <c r="G540" s="162">
        <f t="shared" si="10"/>
        <v>3039000</v>
      </c>
      <c r="H540" s="194"/>
      <c r="I540" s="204">
        <f t="shared" si="11"/>
        <v>3039000</v>
      </c>
      <c r="J540" s="164">
        <f t="shared" si="12"/>
        <v>3039000</v>
      </c>
      <c r="K540" s="229" t="s">
        <v>4392</v>
      </c>
      <c r="L540" s="165" t="s">
        <v>4393</v>
      </c>
      <c r="M540" s="73"/>
      <c r="N540" s="171"/>
      <c r="O540" s="169" t="s">
        <v>2958</v>
      </c>
      <c r="P540" s="168" t="s">
        <v>3112</v>
      </c>
      <c r="Q540" s="173"/>
      <c r="R540" s="167">
        <v>3039000.0</v>
      </c>
      <c r="S540" s="173"/>
      <c r="T540" s="173"/>
      <c r="U540" s="173"/>
      <c r="V540" s="168" t="s">
        <v>3883</v>
      </c>
      <c r="W540" s="169"/>
      <c r="X540" s="167" t="s">
        <v>4394</v>
      </c>
    </row>
    <row r="541" ht="15.0" customHeight="1">
      <c r="A541" s="127">
        <v>45506.0</v>
      </c>
      <c r="B541" s="181" t="s">
        <v>4395</v>
      </c>
      <c r="C541" s="56" t="s">
        <v>3118</v>
      </c>
      <c r="D541" s="73" t="str">
        <f>IFERROR(VLOOKUP(C541,Stock,3,FALSE),"")</f>
        <v>Toyota Hilux Pickup 15- (Revo)</v>
      </c>
      <c r="E541" s="56">
        <v>1.0</v>
      </c>
      <c r="F541" s="161">
        <v>1800000.0</v>
      </c>
      <c r="G541" s="162">
        <f t="shared" si="10"/>
        <v>1800000</v>
      </c>
      <c r="H541" s="194"/>
      <c r="I541" s="204">
        <f t="shared" si="11"/>
        <v>1800000</v>
      </c>
      <c r="J541" s="164">
        <f t="shared" si="12"/>
        <v>1800000</v>
      </c>
      <c r="K541" s="56" t="s">
        <v>4396</v>
      </c>
      <c r="L541" s="165" t="s">
        <v>4397</v>
      </c>
      <c r="M541" s="56" t="s">
        <v>4398</v>
      </c>
      <c r="N541" s="169" t="s">
        <v>4399</v>
      </c>
      <c r="O541" s="169" t="s">
        <v>2958</v>
      </c>
      <c r="P541" s="168" t="s">
        <v>3112</v>
      </c>
      <c r="Q541" s="173"/>
      <c r="R541" s="167">
        <v>1800000.0</v>
      </c>
      <c r="S541" s="173"/>
      <c r="T541" s="173"/>
      <c r="U541" s="173"/>
      <c r="V541" s="168" t="s">
        <v>3883</v>
      </c>
      <c r="W541" s="169"/>
      <c r="X541" s="219">
        <v>45520.0</v>
      </c>
    </row>
    <row r="542" ht="15.0" customHeight="1">
      <c r="A542" s="127">
        <v>45506.0</v>
      </c>
      <c r="B542" s="181" t="s">
        <v>4400</v>
      </c>
      <c r="C542" s="56" t="s">
        <v>3059</v>
      </c>
      <c r="D542" s="73" t="str">
        <f>IFERROR(VLOOKUP(C542,Stock,3,FALSE),"")</f>
        <v>Sealant Polyurethane XYG Tube</v>
      </c>
      <c r="E542" s="56">
        <v>2.0</v>
      </c>
      <c r="F542" s="161">
        <v>75000.0</v>
      </c>
      <c r="G542" s="162">
        <f t="shared" si="10"/>
        <v>150000</v>
      </c>
      <c r="H542" s="194"/>
      <c r="I542" s="204">
        <f t="shared" si="11"/>
        <v>150000</v>
      </c>
      <c r="J542" s="164">
        <f t="shared" si="12"/>
        <v>150000</v>
      </c>
      <c r="K542" s="56" t="s">
        <v>3465</v>
      </c>
      <c r="L542" s="56" t="s">
        <v>3466</v>
      </c>
      <c r="M542" s="73"/>
      <c r="N542" s="171"/>
      <c r="O542" s="169" t="s">
        <v>2958</v>
      </c>
      <c r="P542" s="168" t="s">
        <v>3112</v>
      </c>
      <c r="Q542" s="167">
        <v>200000.0</v>
      </c>
      <c r="R542" s="173"/>
      <c r="S542" s="173"/>
      <c r="T542" s="173"/>
      <c r="U542" s="167">
        <v>50000.0</v>
      </c>
      <c r="V542" s="168" t="s">
        <v>3883</v>
      </c>
      <c r="W542" s="169"/>
      <c r="X542" s="219">
        <v>45520.0</v>
      </c>
    </row>
    <row r="543" ht="15.0" customHeight="1">
      <c r="A543" s="127">
        <v>45506.0</v>
      </c>
      <c r="B543" s="181" t="s">
        <v>4401</v>
      </c>
      <c r="C543" s="56" t="s">
        <v>4402</v>
      </c>
      <c r="D543" s="73" t="str">
        <f>IFERROR(VLOOKUP(C543,Stock,3,FALSE),"")</f>
        <v>Toyota Innova 15- 2nd Gen</v>
      </c>
      <c r="E543" s="56">
        <v>1.0</v>
      </c>
      <c r="F543" s="161">
        <v>690000.0</v>
      </c>
      <c r="G543" s="162">
        <f t="shared" si="10"/>
        <v>690000</v>
      </c>
      <c r="H543" s="194"/>
      <c r="I543" s="204">
        <f t="shared" si="11"/>
        <v>690000</v>
      </c>
      <c r="J543" s="164">
        <f t="shared" si="12"/>
        <v>690000</v>
      </c>
      <c r="K543" s="56" t="s">
        <v>4403</v>
      </c>
      <c r="L543" s="165" t="s">
        <v>4404</v>
      </c>
      <c r="M543" s="56" t="s">
        <v>4405</v>
      </c>
      <c r="N543" s="169" t="s">
        <v>4406</v>
      </c>
      <c r="O543" s="169" t="s">
        <v>2958</v>
      </c>
      <c r="P543" s="168" t="s">
        <v>3112</v>
      </c>
      <c r="Q543" s="173"/>
      <c r="R543" s="167">
        <v>690000.0</v>
      </c>
      <c r="S543" s="173"/>
      <c r="T543" s="173"/>
      <c r="U543" s="173"/>
      <c r="V543" s="168" t="s">
        <v>3883</v>
      </c>
      <c r="W543" s="169"/>
      <c r="X543" s="219">
        <v>45520.0</v>
      </c>
    </row>
    <row r="544" ht="15.0" customHeight="1">
      <c r="A544" s="127">
        <v>45507.0</v>
      </c>
      <c r="B544" s="181" t="s">
        <v>4407</v>
      </c>
      <c r="C544" s="56" t="s">
        <v>3186</v>
      </c>
      <c r="D544" s="73" t="str">
        <f>IFERROR(VLOOKUP(C544,Stock,3,FALSE),"")</f>
        <v>Daihatsu Gran Max / Luxio 07-</v>
      </c>
      <c r="E544" s="56">
        <v>1.0</v>
      </c>
      <c r="F544" s="161">
        <v>1098000.0</v>
      </c>
      <c r="G544" s="162">
        <f t="shared" si="10"/>
        <v>1098000</v>
      </c>
      <c r="H544" s="194"/>
      <c r="I544" s="204">
        <f t="shared" si="11"/>
        <v>1098000</v>
      </c>
      <c r="J544" s="164">
        <f t="shared" si="12"/>
        <v>1098000</v>
      </c>
      <c r="K544" s="56" t="s">
        <v>4408</v>
      </c>
      <c r="L544" s="165" t="s">
        <v>4409</v>
      </c>
      <c r="M544" s="73"/>
      <c r="N544" s="169" t="s">
        <v>4410</v>
      </c>
      <c r="O544" s="169" t="s">
        <v>2958</v>
      </c>
      <c r="P544" s="168" t="s">
        <v>3112</v>
      </c>
      <c r="Q544" s="173"/>
      <c r="R544" s="167">
        <v>1098000.0</v>
      </c>
      <c r="S544" s="173"/>
      <c r="T544" s="173"/>
      <c r="U544" s="173"/>
      <c r="V544" s="168" t="s">
        <v>3883</v>
      </c>
      <c r="W544" s="169"/>
      <c r="X544" s="219">
        <v>45526.0</v>
      </c>
    </row>
    <row r="545" ht="15.0" customHeight="1">
      <c r="A545" s="127">
        <v>45507.0</v>
      </c>
      <c r="B545" s="181" t="s">
        <v>4411</v>
      </c>
      <c r="C545" s="56" t="s">
        <v>3159</v>
      </c>
      <c r="D545" s="73" t="str">
        <f>IFERROR(VLOOKUP(C545,Stock,3,FALSE),"")</f>
        <v>Honda Jazz 13- 3rd Gen</v>
      </c>
      <c r="E545" s="56">
        <v>1.0</v>
      </c>
      <c r="F545" s="161">
        <v>1657000.0</v>
      </c>
      <c r="G545" s="162">
        <f t="shared" si="10"/>
        <v>1657000</v>
      </c>
      <c r="H545" s="194"/>
      <c r="I545" s="204">
        <f t="shared" si="11"/>
        <v>1657000</v>
      </c>
      <c r="J545" s="164">
        <f t="shared" si="12"/>
        <v>1657000</v>
      </c>
      <c r="K545" s="56" t="s">
        <v>4412</v>
      </c>
      <c r="L545" s="165" t="s">
        <v>4413</v>
      </c>
      <c r="M545" s="73"/>
      <c r="N545" s="169" t="s">
        <v>4414</v>
      </c>
      <c r="O545" s="169" t="s">
        <v>2958</v>
      </c>
      <c r="P545" s="168" t="s">
        <v>3112</v>
      </c>
      <c r="Q545" s="173"/>
      <c r="R545" s="167">
        <v>1657000.0</v>
      </c>
      <c r="S545" s="173"/>
      <c r="T545" s="173"/>
      <c r="U545" s="173"/>
      <c r="V545" s="168" t="s">
        <v>3883</v>
      </c>
      <c r="W545" s="169"/>
      <c r="X545" s="219">
        <v>45526.0</v>
      </c>
    </row>
    <row r="546" ht="15.0" customHeight="1">
      <c r="A546" s="127">
        <v>45507.0</v>
      </c>
      <c r="B546" s="181" t="s">
        <v>4411</v>
      </c>
      <c r="C546" s="56" t="s">
        <v>2954</v>
      </c>
      <c r="D546" s="73" t="str">
        <f>IFERROR(VLOOKUP(C546,Stock,3,FALSE),"")</f>
        <v>Transport</v>
      </c>
      <c r="E546" s="56">
        <v>1.0</v>
      </c>
      <c r="F546" s="161">
        <v>30000.0</v>
      </c>
      <c r="G546" s="162">
        <f t="shared" si="10"/>
        <v>30000</v>
      </c>
      <c r="H546" s="194"/>
      <c r="I546" s="204">
        <f t="shared" si="11"/>
        <v>30000</v>
      </c>
      <c r="J546" s="164">
        <f t="shared" si="12"/>
        <v>30000</v>
      </c>
      <c r="K546" s="56" t="s">
        <v>4412</v>
      </c>
      <c r="L546" s="165" t="s">
        <v>4413</v>
      </c>
      <c r="M546" s="73"/>
      <c r="N546" s="169" t="s">
        <v>4414</v>
      </c>
      <c r="O546" s="169" t="s">
        <v>2958</v>
      </c>
      <c r="P546" s="168" t="s">
        <v>3112</v>
      </c>
      <c r="Q546" s="173"/>
      <c r="R546" s="167">
        <v>30000.0</v>
      </c>
      <c r="S546" s="173"/>
      <c r="T546" s="173"/>
      <c r="U546" s="173"/>
      <c r="V546" s="168" t="s">
        <v>3883</v>
      </c>
      <c r="W546" s="169"/>
      <c r="X546" s="219">
        <v>45526.0</v>
      </c>
    </row>
    <row r="547" ht="15.0" customHeight="1">
      <c r="A547" s="127">
        <v>45507.0</v>
      </c>
      <c r="B547" s="181" t="s">
        <v>4411</v>
      </c>
      <c r="C547" s="56" t="s">
        <v>4027</v>
      </c>
      <c r="D547" s="73" t="str">
        <f>IFERROR(VLOOKUP(C547,Stock,3,FALSE),"")</f>
        <v>501 Sealant Application</v>
      </c>
      <c r="E547" s="56">
        <v>1.0</v>
      </c>
      <c r="F547" s="161">
        <v>100000.0</v>
      </c>
      <c r="G547" s="162">
        <f t="shared" si="10"/>
        <v>100000</v>
      </c>
      <c r="H547" s="194"/>
      <c r="I547" s="204">
        <f t="shared" si="11"/>
        <v>100000</v>
      </c>
      <c r="J547" s="164">
        <f t="shared" si="12"/>
        <v>100000</v>
      </c>
      <c r="K547" s="56" t="s">
        <v>4412</v>
      </c>
      <c r="L547" s="165" t="s">
        <v>4413</v>
      </c>
      <c r="M547" s="73"/>
      <c r="N547" s="169" t="s">
        <v>4414</v>
      </c>
      <c r="O547" s="169" t="s">
        <v>2958</v>
      </c>
      <c r="P547" s="168" t="s">
        <v>3112</v>
      </c>
      <c r="Q547" s="173"/>
      <c r="R547" s="167">
        <v>100000.0</v>
      </c>
      <c r="S547" s="173"/>
      <c r="T547" s="173"/>
      <c r="U547" s="173"/>
      <c r="V547" s="168" t="s">
        <v>3883</v>
      </c>
      <c r="W547" s="169"/>
      <c r="X547" s="219">
        <v>45526.0</v>
      </c>
    </row>
    <row r="548" ht="15.0" customHeight="1">
      <c r="A548" s="127">
        <v>45507.0</v>
      </c>
      <c r="B548" s="181" t="s">
        <v>4415</v>
      </c>
      <c r="C548" s="56" t="s">
        <v>3451</v>
      </c>
      <c r="D548" s="73" t="str">
        <f>IFERROR(VLOOKUP(C548,Stock,3,FALSE),"")</f>
        <v>Toyota Rush / Terios 18-</v>
      </c>
      <c r="E548" s="56">
        <v>1.0</v>
      </c>
      <c r="F548" s="161">
        <v>1060000.0</v>
      </c>
      <c r="G548" s="162">
        <f t="shared" si="10"/>
        <v>1060000</v>
      </c>
      <c r="H548" s="194"/>
      <c r="I548" s="204">
        <f t="shared" si="11"/>
        <v>1060000</v>
      </c>
      <c r="J548" s="164">
        <f t="shared" si="12"/>
        <v>1060000</v>
      </c>
      <c r="K548" s="56" t="s">
        <v>4416</v>
      </c>
      <c r="L548" s="165" t="s">
        <v>4417</v>
      </c>
      <c r="M548" s="73"/>
      <c r="N548" s="171"/>
      <c r="O548" s="169" t="s">
        <v>2958</v>
      </c>
      <c r="P548" s="168" t="s">
        <v>3112</v>
      </c>
      <c r="Q548" s="173"/>
      <c r="R548" s="167">
        <v>1060000.0</v>
      </c>
      <c r="S548" s="173"/>
      <c r="T548" s="173"/>
      <c r="U548" s="173"/>
      <c r="V548" s="168" t="s">
        <v>3883</v>
      </c>
      <c r="W548" s="169"/>
      <c r="X548" s="219">
        <v>45526.0</v>
      </c>
    </row>
    <row r="549" ht="15.0" customHeight="1">
      <c r="A549" s="127">
        <v>45507.0</v>
      </c>
      <c r="B549" s="181" t="s">
        <v>4415</v>
      </c>
      <c r="C549" s="56" t="s">
        <v>2934</v>
      </c>
      <c r="D549" s="73" t="str">
        <f>IFERROR(VLOOKUP(C549,Stock,3,FALSE),"")</f>
        <v>Peti Kayu</v>
      </c>
      <c r="E549" s="56">
        <v>1.0</v>
      </c>
      <c r="F549" s="161">
        <v>160000.0</v>
      </c>
      <c r="G549" s="162">
        <f t="shared" si="10"/>
        <v>160000</v>
      </c>
      <c r="H549" s="194"/>
      <c r="I549" s="204">
        <f t="shared" si="11"/>
        <v>160000</v>
      </c>
      <c r="J549" s="164">
        <f t="shared" si="12"/>
        <v>160000</v>
      </c>
      <c r="K549" s="56" t="s">
        <v>4416</v>
      </c>
      <c r="L549" s="165" t="s">
        <v>4417</v>
      </c>
      <c r="M549" s="73"/>
      <c r="N549" s="171"/>
      <c r="O549" s="169" t="s">
        <v>2958</v>
      </c>
      <c r="P549" s="168" t="s">
        <v>3112</v>
      </c>
      <c r="Q549" s="173"/>
      <c r="R549" s="167">
        <v>160000.0</v>
      </c>
      <c r="S549" s="173"/>
      <c r="T549" s="173"/>
      <c r="U549" s="173"/>
      <c r="V549" s="168" t="s">
        <v>3883</v>
      </c>
      <c r="W549" s="169"/>
      <c r="X549" s="219">
        <v>45526.0</v>
      </c>
    </row>
    <row r="550" ht="15.0" customHeight="1">
      <c r="A550" s="127">
        <v>45507.0</v>
      </c>
      <c r="B550" s="181" t="s">
        <v>4415</v>
      </c>
      <c r="C550" s="56" t="s">
        <v>3059</v>
      </c>
      <c r="D550" s="73" t="str">
        <f>IFERROR(VLOOKUP(C550,Stock,3,FALSE),"")</f>
        <v>Sealant Polyurethane XYG Tube</v>
      </c>
      <c r="E550" s="56">
        <v>2.0</v>
      </c>
      <c r="F550" s="161">
        <v>75000.0</v>
      </c>
      <c r="G550" s="162">
        <f t="shared" si="10"/>
        <v>150000</v>
      </c>
      <c r="H550" s="194"/>
      <c r="I550" s="204">
        <f t="shared" si="11"/>
        <v>150000</v>
      </c>
      <c r="J550" s="164">
        <f t="shared" si="12"/>
        <v>150000</v>
      </c>
      <c r="K550" s="56" t="s">
        <v>4416</v>
      </c>
      <c r="L550" s="165" t="s">
        <v>4417</v>
      </c>
      <c r="M550" s="73"/>
      <c r="N550" s="171"/>
      <c r="O550" s="169" t="s">
        <v>2958</v>
      </c>
      <c r="P550" s="168" t="s">
        <v>3112</v>
      </c>
      <c r="Q550" s="173"/>
      <c r="R550" s="167">
        <v>150000.0</v>
      </c>
      <c r="S550" s="173"/>
      <c r="T550" s="173"/>
      <c r="U550" s="173"/>
      <c r="V550" s="168" t="s">
        <v>3883</v>
      </c>
      <c r="W550" s="169"/>
      <c r="X550" s="219">
        <v>45526.0</v>
      </c>
    </row>
    <row r="551" ht="15.0" customHeight="1">
      <c r="A551" s="127">
        <v>45507.0</v>
      </c>
      <c r="B551" s="181" t="s">
        <v>4415</v>
      </c>
      <c r="C551" s="56" t="s">
        <v>2954</v>
      </c>
      <c r="D551" s="73" t="str">
        <f>IFERROR(VLOOKUP(C551,Stock,3,FALSE),"")</f>
        <v>Transport</v>
      </c>
      <c r="E551" s="56">
        <v>1.0</v>
      </c>
      <c r="F551" s="161">
        <v>50000.0</v>
      </c>
      <c r="G551" s="162">
        <f t="shared" si="10"/>
        <v>50000</v>
      </c>
      <c r="H551" s="194"/>
      <c r="I551" s="204">
        <f t="shared" si="11"/>
        <v>50000</v>
      </c>
      <c r="J551" s="164">
        <f t="shared" si="12"/>
        <v>50000</v>
      </c>
      <c r="K551" s="56" t="s">
        <v>4416</v>
      </c>
      <c r="L551" s="165" t="s">
        <v>4417</v>
      </c>
      <c r="M551" s="73"/>
      <c r="N551" s="171"/>
      <c r="O551" s="169" t="s">
        <v>2958</v>
      </c>
      <c r="P551" s="168" t="s">
        <v>3112</v>
      </c>
      <c r="Q551" s="173"/>
      <c r="R551" s="167">
        <v>50000.0</v>
      </c>
      <c r="S551" s="173"/>
      <c r="T551" s="173"/>
      <c r="U551" s="173"/>
      <c r="V551" s="168" t="s">
        <v>3883</v>
      </c>
      <c r="W551" s="169"/>
      <c r="X551" s="219">
        <v>45526.0</v>
      </c>
    </row>
    <row r="552" ht="15.0" customHeight="1">
      <c r="A552" s="127">
        <v>45507.0</v>
      </c>
      <c r="B552" s="181" t="s">
        <v>4418</v>
      </c>
      <c r="C552" s="56" t="s">
        <v>3795</v>
      </c>
      <c r="D552" s="73" t="str">
        <f>IFERROR(VLOOKUP(C552,Stock,3,FALSE),"")</f>
        <v>Toyota Innova 04-15 1st Gen</v>
      </c>
      <c r="E552" s="56">
        <v>1.0</v>
      </c>
      <c r="F552" s="161">
        <v>1322000.0</v>
      </c>
      <c r="G552" s="162">
        <f t="shared" si="10"/>
        <v>1322000</v>
      </c>
      <c r="H552" s="194"/>
      <c r="I552" s="204">
        <f t="shared" si="11"/>
        <v>1322000</v>
      </c>
      <c r="J552" s="164">
        <f t="shared" si="12"/>
        <v>1322000</v>
      </c>
      <c r="K552" s="56" t="s">
        <v>4419</v>
      </c>
      <c r="L552" s="165" t="s">
        <v>4420</v>
      </c>
      <c r="M552" s="73"/>
      <c r="N552" s="169" t="s">
        <v>4421</v>
      </c>
      <c r="O552" s="169" t="s">
        <v>2958</v>
      </c>
      <c r="P552" s="168" t="s">
        <v>3112</v>
      </c>
      <c r="Q552" s="173"/>
      <c r="R552" s="167">
        <v>1322000.0</v>
      </c>
      <c r="S552" s="173"/>
      <c r="T552" s="173"/>
      <c r="U552" s="173"/>
      <c r="V552" s="168" t="s">
        <v>3883</v>
      </c>
      <c r="W552" s="169"/>
      <c r="X552" s="219">
        <v>45526.0</v>
      </c>
    </row>
    <row r="553" ht="15.0" customHeight="1">
      <c r="A553" s="127">
        <v>45507.0</v>
      </c>
      <c r="B553" s="181" t="s">
        <v>4422</v>
      </c>
      <c r="C553" s="56" t="s">
        <v>3068</v>
      </c>
      <c r="D553" s="73" t="str">
        <f>IFERROR(VLOOKUP(C553,Stock,3,FALSE),"")</f>
        <v>Honda Brio 10- / Mobilio 11-</v>
      </c>
      <c r="E553" s="56">
        <v>1.0</v>
      </c>
      <c r="F553" s="161">
        <v>1442000.0</v>
      </c>
      <c r="G553" s="162">
        <f t="shared" si="10"/>
        <v>1442000</v>
      </c>
      <c r="H553" s="194"/>
      <c r="I553" s="204">
        <f t="shared" si="11"/>
        <v>1442000</v>
      </c>
      <c r="J553" s="164">
        <f t="shared" si="12"/>
        <v>1442000</v>
      </c>
      <c r="K553" s="56" t="s">
        <v>4423</v>
      </c>
      <c r="L553" s="165" t="s">
        <v>4424</v>
      </c>
      <c r="M553" s="73"/>
      <c r="N553" s="223" t="s">
        <v>4425</v>
      </c>
      <c r="O553" s="169" t="s">
        <v>2958</v>
      </c>
      <c r="P553" s="168" t="s">
        <v>3112</v>
      </c>
      <c r="Q553" s="173"/>
      <c r="R553" s="167">
        <v>1442000.0</v>
      </c>
      <c r="S553" s="173"/>
      <c r="T553" s="173"/>
      <c r="U553" s="173"/>
      <c r="V553" s="168" t="s">
        <v>3883</v>
      </c>
      <c r="W553" s="169"/>
      <c r="X553" s="219">
        <v>45526.0</v>
      </c>
    </row>
    <row r="554" ht="15.0" customHeight="1">
      <c r="A554" s="127">
        <v>45508.0</v>
      </c>
      <c r="B554" s="181" t="s">
        <v>4426</v>
      </c>
      <c r="C554" s="56" t="s">
        <v>2954</v>
      </c>
      <c r="D554" s="73" t="str">
        <f>IFERROR(VLOOKUP(C554,Stock,3,FALSE),"")</f>
        <v>Transport</v>
      </c>
      <c r="E554" s="56">
        <v>1.0</v>
      </c>
      <c r="F554" s="161">
        <v>50000.0</v>
      </c>
      <c r="G554" s="162">
        <f t="shared" si="10"/>
        <v>50000</v>
      </c>
      <c r="H554" s="194"/>
      <c r="I554" s="204">
        <f t="shared" si="11"/>
        <v>50000</v>
      </c>
      <c r="J554" s="164">
        <f t="shared" si="12"/>
        <v>50000</v>
      </c>
      <c r="K554" s="56" t="s">
        <v>4427</v>
      </c>
      <c r="L554" s="165" t="s">
        <v>4290</v>
      </c>
      <c r="M554" s="73"/>
      <c r="N554" s="171"/>
      <c r="O554" s="169" t="s">
        <v>2958</v>
      </c>
      <c r="P554" s="168" t="s">
        <v>3112</v>
      </c>
      <c r="Q554" s="173"/>
      <c r="R554" s="167">
        <v>50000.0</v>
      </c>
      <c r="S554" s="173"/>
      <c r="T554" s="173"/>
      <c r="U554" s="173"/>
      <c r="V554" s="168" t="s">
        <v>3799</v>
      </c>
      <c r="W554" s="169"/>
      <c r="X554" s="219">
        <v>45526.0</v>
      </c>
    </row>
    <row r="555" ht="15.0" customHeight="1">
      <c r="A555" s="127">
        <v>45509.0</v>
      </c>
      <c r="B555" s="181" t="s">
        <v>4428</v>
      </c>
      <c r="C555" s="56" t="s">
        <v>3025</v>
      </c>
      <c r="D555" s="73" t="str">
        <f>IFERROR(VLOOKUP(C555,Stock,3,FALSE),"")</f>
        <v>Toyota Rush / Terios 06-17</v>
      </c>
      <c r="E555" s="56">
        <v>1.0</v>
      </c>
      <c r="F555" s="161">
        <v>1448000.0</v>
      </c>
      <c r="G555" s="162">
        <f t="shared" si="10"/>
        <v>1448000</v>
      </c>
      <c r="H555" s="194"/>
      <c r="I555" s="204">
        <f t="shared" si="11"/>
        <v>1448000</v>
      </c>
      <c r="J555" s="164">
        <f t="shared" si="12"/>
        <v>1448000</v>
      </c>
      <c r="K555" s="229" t="s">
        <v>4429</v>
      </c>
      <c r="L555" s="165" t="s">
        <v>4430</v>
      </c>
      <c r="M555" s="73"/>
      <c r="N555" s="223" t="s">
        <v>4431</v>
      </c>
      <c r="O555" s="169" t="s">
        <v>2968</v>
      </c>
      <c r="P555" s="168" t="s">
        <v>2922</v>
      </c>
      <c r="Q555" s="167">
        <v>1450000.0</v>
      </c>
      <c r="R555" s="173"/>
      <c r="S555" s="173"/>
      <c r="T555" s="173"/>
      <c r="U555" s="167">
        <v>2000.0</v>
      </c>
      <c r="V555" s="168" t="s">
        <v>3799</v>
      </c>
      <c r="W555" s="169"/>
      <c r="X555" s="219">
        <v>45526.0</v>
      </c>
    </row>
    <row r="556" ht="15.0" customHeight="1">
      <c r="A556" s="127">
        <v>45509.0</v>
      </c>
      <c r="B556" s="181" t="s">
        <v>4432</v>
      </c>
      <c r="C556" s="56" t="s">
        <v>2936</v>
      </c>
      <c r="D556" s="73" t="str">
        <f>IFERROR(VLOOKUP(C556,Stock,3,FALSE),"")</f>
        <v>Toyota Calya / Sigra 16-</v>
      </c>
      <c r="E556" s="56">
        <v>1.0</v>
      </c>
      <c r="F556" s="161">
        <v>899000.0</v>
      </c>
      <c r="G556" s="162">
        <f t="shared" si="10"/>
        <v>899000</v>
      </c>
      <c r="H556" s="194"/>
      <c r="I556" s="204">
        <f t="shared" si="11"/>
        <v>899000</v>
      </c>
      <c r="J556" s="164">
        <f t="shared" si="12"/>
        <v>899000</v>
      </c>
      <c r="K556" s="229" t="s">
        <v>4155</v>
      </c>
      <c r="L556" s="165" t="s">
        <v>4433</v>
      </c>
      <c r="M556" s="56" t="s">
        <v>4434</v>
      </c>
      <c r="N556" s="169" t="s">
        <v>4435</v>
      </c>
      <c r="O556" s="169" t="s">
        <v>2958</v>
      </c>
      <c r="P556" s="168" t="s">
        <v>3112</v>
      </c>
      <c r="Q556" s="173"/>
      <c r="R556" s="167">
        <v>899000.0</v>
      </c>
      <c r="S556" s="173"/>
      <c r="T556" s="173"/>
      <c r="U556" s="173"/>
      <c r="V556" s="168" t="s">
        <v>3799</v>
      </c>
      <c r="W556" s="169"/>
      <c r="X556" s="219">
        <v>45526.0</v>
      </c>
    </row>
    <row r="557" ht="15.0" customHeight="1">
      <c r="A557" s="218">
        <v>45509.0</v>
      </c>
      <c r="B557" s="181" t="s">
        <v>4436</v>
      </c>
      <c r="C557" s="56" t="s">
        <v>4437</v>
      </c>
      <c r="D557" s="73" t="str">
        <f>IFERROR(VLOOKUP(C557,Stock,3,FALSE),"")</f>
        <v>Chery QQ 03-15 S11 5D / Spark 98-05</v>
      </c>
      <c r="E557" s="56">
        <v>1.0</v>
      </c>
      <c r="F557" s="161">
        <v>1640000.0</v>
      </c>
      <c r="G557" s="162">
        <f t="shared" si="10"/>
        <v>1640000</v>
      </c>
      <c r="H557" s="201">
        <v>40000.0</v>
      </c>
      <c r="I557" s="204">
        <f t="shared" si="11"/>
        <v>1600000</v>
      </c>
      <c r="J557" s="164">
        <f t="shared" si="12"/>
        <v>1600000</v>
      </c>
      <c r="K557" s="56" t="s">
        <v>4438</v>
      </c>
      <c r="L557" s="165" t="s">
        <v>4439</v>
      </c>
      <c r="M557" s="56" t="s">
        <v>4440</v>
      </c>
      <c r="N557" s="169" t="s">
        <v>4441</v>
      </c>
      <c r="O557" s="169" t="s">
        <v>2958</v>
      </c>
      <c r="P557" s="168" t="s">
        <v>3645</v>
      </c>
      <c r="Q557" s="167">
        <v>1600000.0</v>
      </c>
      <c r="R557" s="173"/>
      <c r="S557" s="173"/>
      <c r="T557" s="173"/>
      <c r="U557" s="173"/>
      <c r="V557" s="168" t="s">
        <v>3883</v>
      </c>
      <c r="W557" s="169"/>
      <c r="X557" s="219">
        <v>45526.0</v>
      </c>
    </row>
    <row r="558" ht="15.0" customHeight="1">
      <c r="A558" s="127">
        <v>45509.0</v>
      </c>
      <c r="B558" s="181" t="s">
        <v>4442</v>
      </c>
      <c r="C558" s="56" t="s">
        <v>3045</v>
      </c>
      <c r="D558" s="73" t="str">
        <f>IFERROR(VLOOKUP(C558,Stock,3,FALSE),"")</f>
        <v>Pemasangan Kaca Mobil Depan</v>
      </c>
      <c r="E558" s="56">
        <v>1.0</v>
      </c>
      <c r="F558" s="161">
        <v>500000.0</v>
      </c>
      <c r="G558" s="162">
        <f t="shared" si="10"/>
        <v>500000</v>
      </c>
      <c r="H558" s="194"/>
      <c r="I558" s="204">
        <f t="shared" si="11"/>
        <v>500000</v>
      </c>
      <c r="J558" s="164">
        <f t="shared" si="12"/>
        <v>500000</v>
      </c>
      <c r="K558" s="56" t="s">
        <v>4443</v>
      </c>
      <c r="L558" s="165" t="s">
        <v>4444</v>
      </c>
      <c r="M558" s="56" t="s">
        <v>4445</v>
      </c>
      <c r="N558" s="169" t="s">
        <v>4446</v>
      </c>
      <c r="O558" s="169" t="s">
        <v>2958</v>
      </c>
      <c r="P558" s="168" t="s">
        <v>3112</v>
      </c>
      <c r="Q558" s="173"/>
      <c r="R558" s="167">
        <v>500000.0</v>
      </c>
      <c r="S558" s="173"/>
      <c r="T558" s="173"/>
      <c r="U558" s="173"/>
      <c r="V558" s="168" t="s">
        <v>3883</v>
      </c>
      <c r="W558" s="169"/>
      <c r="X558" s="219">
        <v>45526.0</v>
      </c>
    </row>
    <row r="559" ht="15.0" customHeight="1">
      <c r="A559" s="127">
        <v>45510.0</v>
      </c>
      <c r="B559" s="181" t="s">
        <v>4447</v>
      </c>
      <c r="C559" s="56" t="s">
        <v>3099</v>
      </c>
      <c r="D559" s="73" t="str">
        <f>IFERROR(VLOOKUP(C559,Stock,3,FALSE),"")</f>
        <v>Toyota Calya / Sigra 16-</v>
      </c>
      <c r="E559" s="56">
        <v>1.0</v>
      </c>
      <c r="F559" s="161">
        <v>1149000.0</v>
      </c>
      <c r="G559" s="162">
        <f t="shared" si="10"/>
        <v>1149000</v>
      </c>
      <c r="H559" s="194"/>
      <c r="I559" s="204">
        <f t="shared" si="11"/>
        <v>1149000</v>
      </c>
      <c r="J559" s="164">
        <f t="shared" si="12"/>
        <v>1149000</v>
      </c>
      <c r="K559" s="56" t="s">
        <v>4448</v>
      </c>
      <c r="L559" s="165" t="s">
        <v>4449</v>
      </c>
      <c r="M559" s="56" t="s">
        <v>4450</v>
      </c>
      <c r="N559" s="169" t="s">
        <v>4451</v>
      </c>
      <c r="O559" s="169" t="s">
        <v>2958</v>
      </c>
      <c r="P559" s="168" t="s">
        <v>4452</v>
      </c>
      <c r="Q559" s="167">
        <v>1150000.0</v>
      </c>
      <c r="R559" s="173"/>
      <c r="S559" s="173"/>
      <c r="T559" s="173"/>
      <c r="U559" s="167">
        <v>1000.0</v>
      </c>
      <c r="V559" s="168" t="s">
        <v>3883</v>
      </c>
      <c r="W559" s="169"/>
      <c r="X559" s="219">
        <v>45526.0</v>
      </c>
    </row>
    <row r="560" ht="15.0" customHeight="1">
      <c r="A560" s="127">
        <v>45510.0</v>
      </c>
      <c r="B560" s="181" t="s">
        <v>4453</v>
      </c>
      <c r="C560" s="56" t="s">
        <v>2565</v>
      </c>
      <c r="D560" s="73" t="str">
        <f>IFERROR(VLOOKUP(C560,Stock,3,FALSE),"")</f>
        <v>Toyota Avanza / Xenia 03-11 1st Gen</v>
      </c>
      <c r="E560" s="56">
        <v>1.0</v>
      </c>
      <c r="F560" s="161">
        <v>1019000.0</v>
      </c>
      <c r="G560" s="162">
        <f t="shared" si="10"/>
        <v>1019000</v>
      </c>
      <c r="H560" s="194"/>
      <c r="I560" s="204">
        <f t="shared" si="11"/>
        <v>1019000</v>
      </c>
      <c r="J560" s="164">
        <f t="shared" si="12"/>
        <v>1019000</v>
      </c>
      <c r="K560" s="229" t="s">
        <v>4454</v>
      </c>
      <c r="L560" s="165" t="s">
        <v>4455</v>
      </c>
      <c r="M560" s="73"/>
      <c r="N560" s="223" t="s">
        <v>4456</v>
      </c>
      <c r="O560" s="169" t="s">
        <v>3204</v>
      </c>
      <c r="P560" s="168" t="s">
        <v>3112</v>
      </c>
      <c r="Q560" s="173"/>
      <c r="R560" s="167">
        <v>1019000.0</v>
      </c>
      <c r="S560" s="173"/>
      <c r="T560" s="173"/>
      <c r="U560" s="173"/>
      <c r="V560" s="168" t="s">
        <v>3799</v>
      </c>
      <c r="W560" s="169"/>
      <c r="X560" s="219">
        <v>45526.0</v>
      </c>
    </row>
    <row r="561" ht="15.0" customHeight="1">
      <c r="A561" s="127">
        <v>45510.0</v>
      </c>
      <c r="B561" s="181" t="s">
        <v>4457</v>
      </c>
      <c r="C561" s="56" t="s">
        <v>3201</v>
      </c>
      <c r="D561" s="73" t="str">
        <f>IFERROR(VLOOKUP(C561,Stock,3,FALSE),"")</f>
        <v>Honda Freed 08-16 1st gen</v>
      </c>
      <c r="E561" s="56">
        <v>1.0</v>
      </c>
      <c r="F561" s="161">
        <v>1818000.0</v>
      </c>
      <c r="G561" s="162">
        <f t="shared" si="10"/>
        <v>1818000</v>
      </c>
      <c r="H561" s="194"/>
      <c r="I561" s="204">
        <f t="shared" si="11"/>
        <v>1818000</v>
      </c>
      <c r="J561" s="164">
        <f t="shared" si="12"/>
        <v>1818000</v>
      </c>
      <c r="K561" s="56" t="s">
        <v>4458</v>
      </c>
      <c r="L561" s="165" t="s">
        <v>4459</v>
      </c>
      <c r="M561" s="73"/>
      <c r="N561" s="171"/>
      <c r="O561" s="169" t="s">
        <v>3184</v>
      </c>
      <c r="P561" s="168" t="s">
        <v>3112</v>
      </c>
      <c r="Q561" s="173"/>
      <c r="R561" s="167">
        <v>1818000.0</v>
      </c>
      <c r="S561" s="173"/>
      <c r="T561" s="173"/>
      <c r="U561" s="173"/>
      <c r="V561" s="168" t="s">
        <v>3883</v>
      </c>
      <c r="W561" s="169"/>
      <c r="X561" s="219">
        <v>45526.0</v>
      </c>
    </row>
    <row r="562" ht="15.0" customHeight="1">
      <c r="A562" s="127">
        <v>45511.0</v>
      </c>
      <c r="B562" s="181" t="s">
        <v>4460</v>
      </c>
      <c r="C562" s="56" t="s">
        <v>3176</v>
      </c>
      <c r="D562" s="73" t="str">
        <f>IFERROR(VLOOKUP(C562,Stock,3,FALSE),"")</f>
        <v>Toyota Avanza / Xenia 11-15 2nd Gen / 15-21 3rd Gen</v>
      </c>
      <c r="E562" s="56">
        <v>1.0</v>
      </c>
      <c r="F562" s="161">
        <v>880000.0</v>
      </c>
      <c r="G562" s="162">
        <f t="shared" si="10"/>
        <v>880000</v>
      </c>
      <c r="H562" s="201">
        <v>30000.0</v>
      </c>
      <c r="I562" s="204">
        <f t="shared" si="11"/>
        <v>850000</v>
      </c>
      <c r="J562" s="164">
        <f t="shared" si="12"/>
        <v>850000</v>
      </c>
      <c r="K562" s="56" t="s">
        <v>4277</v>
      </c>
      <c r="L562" s="165" t="s">
        <v>4461</v>
      </c>
      <c r="M562" s="73"/>
      <c r="N562" s="169" t="s">
        <v>4462</v>
      </c>
      <c r="O562" s="169" t="s">
        <v>2958</v>
      </c>
      <c r="P562" s="168" t="s">
        <v>3112</v>
      </c>
      <c r="Q562" s="167">
        <v>850000.0</v>
      </c>
      <c r="R562" s="173"/>
      <c r="S562" s="173"/>
      <c r="T562" s="173"/>
      <c r="U562" s="173"/>
      <c r="V562" s="168" t="s">
        <v>3799</v>
      </c>
      <c r="W562" s="169"/>
      <c r="X562" s="219">
        <v>45526.0</v>
      </c>
    </row>
    <row r="563" ht="15.0" customHeight="1">
      <c r="A563" s="127">
        <v>45511.0</v>
      </c>
      <c r="B563" s="181" t="s">
        <v>4463</v>
      </c>
      <c r="C563" s="56" t="s">
        <v>4464</v>
      </c>
      <c r="D563" s="73" t="str">
        <f>IFERROR(VLOOKUP(C563,Stock,3,FALSE),"")</f>
        <v>Suzuki Swift 04-11 1st Gen</v>
      </c>
      <c r="E563" s="56">
        <v>1.0</v>
      </c>
      <c r="F563" s="161">
        <v>420000.0</v>
      </c>
      <c r="G563" s="162">
        <f t="shared" si="10"/>
        <v>420000</v>
      </c>
      <c r="H563" s="194"/>
      <c r="I563" s="204">
        <f t="shared" si="11"/>
        <v>420000</v>
      </c>
      <c r="J563" s="164">
        <f t="shared" si="12"/>
        <v>420000</v>
      </c>
      <c r="K563" s="56" t="s">
        <v>4465</v>
      </c>
      <c r="L563" s="165" t="s">
        <v>4466</v>
      </c>
      <c r="M563" s="73"/>
      <c r="N563" s="171"/>
      <c r="O563" s="169" t="s">
        <v>3037</v>
      </c>
      <c r="P563" s="168" t="s">
        <v>3112</v>
      </c>
      <c r="Q563" s="167">
        <v>420000.0</v>
      </c>
      <c r="R563" s="173"/>
      <c r="S563" s="173"/>
      <c r="T563" s="173"/>
      <c r="U563" s="173"/>
      <c r="V563" s="168" t="s">
        <v>3799</v>
      </c>
      <c r="W563" s="169"/>
      <c r="X563" s="219">
        <v>45526.0</v>
      </c>
    </row>
    <row r="564" ht="15.0" customHeight="1">
      <c r="A564" s="127">
        <v>45512.0</v>
      </c>
      <c r="B564" s="181" t="s">
        <v>4467</v>
      </c>
      <c r="C564" s="56" t="s">
        <v>2828</v>
      </c>
      <c r="D564" s="73" t="str">
        <f>IFERROR(VLOOKUP(C564,Stock,3,FALSE),"")</f>
        <v>Mitsubishi L300</v>
      </c>
      <c r="E564" s="56">
        <v>1.0</v>
      </c>
      <c r="F564" s="161">
        <v>450000.0</v>
      </c>
      <c r="G564" s="162">
        <f t="shared" si="10"/>
        <v>450000</v>
      </c>
      <c r="H564" s="194"/>
      <c r="I564" s="204">
        <f t="shared" si="11"/>
        <v>450000</v>
      </c>
      <c r="J564" s="164">
        <f t="shared" si="12"/>
        <v>450000</v>
      </c>
      <c r="K564" s="56" t="s">
        <v>4468</v>
      </c>
      <c r="L564" s="165" t="s">
        <v>4469</v>
      </c>
      <c r="M564" s="73"/>
      <c r="N564" s="169" t="s">
        <v>4470</v>
      </c>
      <c r="O564" s="169" t="s">
        <v>2958</v>
      </c>
      <c r="P564" s="168" t="s">
        <v>3112</v>
      </c>
      <c r="Q564" s="167">
        <v>450000.0</v>
      </c>
      <c r="R564" s="173"/>
      <c r="S564" s="173"/>
      <c r="T564" s="173"/>
      <c r="U564" s="173"/>
      <c r="V564" s="168" t="s">
        <v>3883</v>
      </c>
      <c r="W564" s="169"/>
      <c r="X564" s="219">
        <v>45526.0</v>
      </c>
    </row>
    <row r="565" ht="15.0" customHeight="1">
      <c r="A565" s="127">
        <v>45512.0</v>
      </c>
      <c r="B565" s="181" t="s">
        <v>4471</v>
      </c>
      <c r="C565" s="56" t="s">
        <v>2702</v>
      </c>
      <c r="D565" s="73" t="str">
        <f>IFERROR(VLOOKUP(C565,Stock,3,FALSE),"")</f>
        <v>Toyota Sienta 15-</v>
      </c>
      <c r="E565" s="56">
        <v>1.0</v>
      </c>
      <c r="F565" s="161">
        <v>1638000.0</v>
      </c>
      <c r="G565" s="162">
        <f t="shared" si="10"/>
        <v>1638000</v>
      </c>
      <c r="H565" s="194"/>
      <c r="I565" s="204">
        <f t="shared" si="11"/>
        <v>1638000</v>
      </c>
      <c r="J565" s="164">
        <f t="shared" si="12"/>
        <v>1638000</v>
      </c>
      <c r="K565" s="56" t="s">
        <v>4472</v>
      </c>
      <c r="L565" s="165" t="s">
        <v>4473</v>
      </c>
      <c r="M565" s="56" t="s">
        <v>4474</v>
      </c>
      <c r="N565" s="169" t="s">
        <v>4475</v>
      </c>
      <c r="O565" s="169" t="s">
        <v>2958</v>
      </c>
      <c r="P565" s="168" t="s">
        <v>4002</v>
      </c>
      <c r="Q565" s="173"/>
      <c r="R565" s="167">
        <v>1638000.0</v>
      </c>
      <c r="S565" s="173"/>
      <c r="T565" s="173"/>
      <c r="U565" s="173"/>
      <c r="V565" s="168" t="s">
        <v>3883</v>
      </c>
      <c r="W565" s="169"/>
      <c r="X565" s="219">
        <v>45528.0</v>
      </c>
    </row>
    <row r="566" ht="15.0" customHeight="1">
      <c r="A566" s="127">
        <v>45513.0</v>
      </c>
      <c r="B566" s="181" t="s">
        <v>4476</v>
      </c>
      <c r="C566" s="56" t="s">
        <v>3186</v>
      </c>
      <c r="D566" s="73" t="str">
        <f>IFERROR(VLOOKUP(C566,Stock,3,FALSE),"")</f>
        <v>Daihatsu Gran Max / Luxio 07-</v>
      </c>
      <c r="E566" s="56">
        <v>1.0</v>
      </c>
      <c r="F566" s="161">
        <v>1048000.0</v>
      </c>
      <c r="G566" s="162">
        <f t="shared" si="10"/>
        <v>1048000</v>
      </c>
      <c r="H566" s="194"/>
      <c r="I566" s="204">
        <f t="shared" si="11"/>
        <v>1048000</v>
      </c>
      <c r="J566" s="164">
        <f t="shared" si="12"/>
        <v>1048000</v>
      </c>
      <c r="K566" s="56" t="s">
        <v>4477</v>
      </c>
      <c r="L566" s="165" t="s">
        <v>4478</v>
      </c>
      <c r="M566" s="73"/>
      <c r="N566" s="169" t="s">
        <v>4479</v>
      </c>
      <c r="O566" s="169" t="s">
        <v>4308</v>
      </c>
      <c r="P566" s="168" t="s">
        <v>3112</v>
      </c>
      <c r="Q566" s="173"/>
      <c r="R566" s="167">
        <v>1048000.0</v>
      </c>
      <c r="S566" s="173"/>
      <c r="T566" s="173"/>
      <c r="U566" s="173"/>
      <c r="V566" s="168" t="s">
        <v>3883</v>
      </c>
      <c r="W566" s="169"/>
      <c r="X566" s="219">
        <v>45528.0</v>
      </c>
    </row>
    <row r="567" ht="15.0" customHeight="1">
      <c r="A567" s="127">
        <v>45513.0</v>
      </c>
      <c r="B567" s="181" t="s">
        <v>4480</v>
      </c>
      <c r="C567" s="56" t="s">
        <v>2702</v>
      </c>
      <c r="D567" s="73" t="str">
        <f>IFERROR(VLOOKUP(C567,Stock,3,FALSE),"")</f>
        <v>Toyota Sienta 15-</v>
      </c>
      <c r="E567" s="56">
        <v>1.0</v>
      </c>
      <c r="F567" s="161">
        <v>1638000.0</v>
      </c>
      <c r="G567" s="162">
        <f t="shared" si="10"/>
        <v>1638000</v>
      </c>
      <c r="H567" s="194"/>
      <c r="I567" s="204">
        <f t="shared" si="11"/>
        <v>1638000</v>
      </c>
      <c r="J567" s="164">
        <f t="shared" si="12"/>
        <v>1638000</v>
      </c>
      <c r="K567" s="56" t="s">
        <v>4481</v>
      </c>
      <c r="L567" s="165" t="s">
        <v>4482</v>
      </c>
      <c r="M567" s="73"/>
      <c r="N567" s="169" t="s">
        <v>4483</v>
      </c>
      <c r="O567" s="169" t="s">
        <v>3204</v>
      </c>
      <c r="P567" s="168" t="s">
        <v>3112</v>
      </c>
      <c r="Q567" s="173"/>
      <c r="R567" s="167">
        <v>1638000.0</v>
      </c>
      <c r="S567" s="173"/>
      <c r="T567" s="173"/>
      <c r="U567" s="173"/>
      <c r="V567" s="168" t="s">
        <v>3883</v>
      </c>
      <c r="W567" s="169"/>
      <c r="X567" s="219">
        <v>45528.0</v>
      </c>
    </row>
    <row r="568" ht="15.0" customHeight="1">
      <c r="A568" s="127">
        <v>45513.0</v>
      </c>
      <c r="B568" s="181" t="s">
        <v>4480</v>
      </c>
      <c r="C568" s="56" t="s">
        <v>2954</v>
      </c>
      <c r="D568" s="73" t="str">
        <f>IFERROR(VLOOKUP(C568,Stock,3,FALSE),"")</f>
        <v>Transport</v>
      </c>
      <c r="E568" s="56">
        <v>1.0</v>
      </c>
      <c r="F568" s="161">
        <v>100000.0</v>
      </c>
      <c r="G568" s="162">
        <f t="shared" si="10"/>
        <v>100000</v>
      </c>
      <c r="H568" s="194"/>
      <c r="I568" s="204">
        <f t="shared" si="11"/>
        <v>100000</v>
      </c>
      <c r="J568" s="164">
        <f t="shared" si="12"/>
        <v>100000</v>
      </c>
      <c r="K568" s="56" t="s">
        <v>4481</v>
      </c>
      <c r="L568" s="165" t="s">
        <v>4482</v>
      </c>
      <c r="M568" s="73"/>
      <c r="N568" s="169" t="s">
        <v>4483</v>
      </c>
      <c r="O568" s="169" t="s">
        <v>3204</v>
      </c>
      <c r="P568" s="168" t="s">
        <v>3112</v>
      </c>
      <c r="Q568" s="173"/>
      <c r="R568" s="167">
        <v>100000.0</v>
      </c>
      <c r="S568" s="173"/>
      <c r="T568" s="173"/>
      <c r="U568" s="173"/>
      <c r="V568" s="168" t="s">
        <v>3883</v>
      </c>
      <c r="W568" s="169"/>
      <c r="X568" s="219">
        <v>45528.0</v>
      </c>
    </row>
    <row r="569" ht="15.0" customHeight="1">
      <c r="A569" s="127">
        <v>45513.0</v>
      </c>
      <c r="B569" s="181" t="s">
        <v>4484</v>
      </c>
      <c r="C569" s="56" t="s">
        <v>3186</v>
      </c>
      <c r="D569" s="73" t="str">
        <f>IFERROR(VLOOKUP(C569,Stock,3,FALSE),"")</f>
        <v>Daihatsu Gran Max / Luxio 07-</v>
      </c>
      <c r="E569" s="56">
        <v>1.0</v>
      </c>
      <c r="F569" s="161">
        <v>1100000.0</v>
      </c>
      <c r="G569" s="162">
        <f t="shared" si="10"/>
        <v>1100000</v>
      </c>
      <c r="H569" s="194"/>
      <c r="I569" s="204">
        <f t="shared" si="11"/>
        <v>1100000</v>
      </c>
      <c r="J569" s="164">
        <f t="shared" si="12"/>
        <v>1100000</v>
      </c>
      <c r="K569" s="56" t="s">
        <v>4485</v>
      </c>
      <c r="L569" s="165" t="s">
        <v>4486</v>
      </c>
      <c r="M569" s="73"/>
      <c r="N569" s="169" t="s">
        <v>4487</v>
      </c>
      <c r="O569" s="169" t="s">
        <v>2958</v>
      </c>
      <c r="P569" s="168" t="s">
        <v>3112</v>
      </c>
      <c r="Q569" s="167">
        <v>1100000.0</v>
      </c>
      <c r="R569" s="173"/>
      <c r="S569" s="173"/>
      <c r="T569" s="173"/>
      <c r="U569" s="173"/>
      <c r="V569" s="168" t="s">
        <v>3883</v>
      </c>
      <c r="W569" s="169"/>
      <c r="X569" s="219">
        <v>45528.0</v>
      </c>
    </row>
    <row r="570" ht="15.0" customHeight="1">
      <c r="A570" s="127">
        <v>45513.0</v>
      </c>
      <c r="B570" s="181" t="s">
        <v>4488</v>
      </c>
      <c r="C570" s="56" t="s">
        <v>3745</v>
      </c>
      <c r="D570" s="73" t="str">
        <f>IFERROR(VLOOKUP(C570,Stock,3,FALSE),"")</f>
        <v>Honda Brio 10- / Mobilio 11-</v>
      </c>
      <c r="E570" s="56">
        <v>1.0</v>
      </c>
      <c r="F570" s="161">
        <v>1698000.0</v>
      </c>
      <c r="G570" s="162">
        <f t="shared" si="10"/>
        <v>1698000</v>
      </c>
      <c r="H570" s="194"/>
      <c r="I570" s="204">
        <f t="shared" si="11"/>
        <v>1698000</v>
      </c>
      <c r="J570" s="164">
        <f t="shared" si="12"/>
        <v>1698000</v>
      </c>
      <c r="K570" s="56" t="s">
        <v>4489</v>
      </c>
      <c r="L570" s="165" t="s">
        <v>4490</v>
      </c>
      <c r="M570" s="56" t="s">
        <v>4491</v>
      </c>
      <c r="N570" s="169" t="s">
        <v>4492</v>
      </c>
      <c r="O570" s="169" t="s">
        <v>3213</v>
      </c>
      <c r="P570" s="168" t="s">
        <v>3112</v>
      </c>
      <c r="Q570" s="167">
        <v>700000.0</v>
      </c>
      <c r="R570" s="167">
        <v>1000000.0</v>
      </c>
      <c r="S570" s="173"/>
      <c r="T570" s="173"/>
      <c r="U570" s="167">
        <v>2000.0</v>
      </c>
      <c r="V570" s="168" t="s">
        <v>3883</v>
      </c>
      <c r="W570" s="169"/>
      <c r="X570" s="219">
        <v>45534.0</v>
      </c>
    </row>
    <row r="571" ht="15.0" customHeight="1">
      <c r="A571" s="127">
        <v>45513.0</v>
      </c>
      <c r="B571" s="181" t="s">
        <v>4493</v>
      </c>
      <c r="C571" s="56" t="s">
        <v>2936</v>
      </c>
      <c r="D571" s="73" t="str">
        <f>IFERROR(VLOOKUP(C571,Stock,3,FALSE),"")</f>
        <v>Toyota Calya / Sigra 16-</v>
      </c>
      <c r="E571" s="56">
        <v>1.0</v>
      </c>
      <c r="F571" s="161">
        <v>899000.0</v>
      </c>
      <c r="G571" s="162">
        <f t="shared" si="10"/>
        <v>899000</v>
      </c>
      <c r="H571" s="194"/>
      <c r="I571" s="204">
        <f t="shared" si="11"/>
        <v>899000</v>
      </c>
      <c r="J571" s="164">
        <f t="shared" si="12"/>
        <v>899000</v>
      </c>
      <c r="K571" s="56" t="s">
        <v>4494</v>
      </c>
      <c r="L571" s="165" t="s">
        <v>4495</v>
      </c>
      <c r="M571" s="56" t="s">
        <v>4496</v>
      </c>
      <c r="N571" s="169" t="s">
        <v>4497</v>
      </c>
      <c r="O571" s="169" t="s">
        <v>2958</v>
      </c>
      <c r="P571" s="168" t="s">
        <v>3112</v>
      </c>
      <c r="Q571" s="173"/>
      <c r="R571" s="167">
        <v>899000.0</v>
      </c>
      <c r="S571" s="173"/>
      <c r="T571" s="173"/>
      <c r="U571" s="173"/>
      <c r="V571" s="168" t="s">
        <v>3883</v>
      </c>
      <c r="W571" s="169"/>
      <c r="X571" s="219">
        <v>45534.0</v>
      </c>
    </row>
    <row r="572" ht="15.0" customHeight="1">
      <c r="A572" s="127">
        <v>45513.0</v>
      </c>
      <c r="B572" s="181" t="s">
        <v>4498</v>
      </c>
      <c r="C572" s="56" t="s">
        <v>2703</v>
      </c>
      <c r="D572" s="73" t="str">
        <f>IFERROR(VLOOKUP(C572,Stock,3,FALSE),"")</f>
        <v>Toyota Hi-Ace 04-20 Commuter</v>
      </c>
      <c r="E572" s="56">
        <v>1.0</v>
      </c>
      <c r="F572" s="161">
        <v>1600000.0</v>
      </c>
      <c r="G572" s="162">
        <f t="shared" si="10"/>
        <v>1600000</v>
      </c>
      <c r="H572" s="194"/>
      <c r="I572" s="204">
        <f t="shared" si="11"/>
        <v>1600000</v>
      </c>
      <c r="J572" s="164">
        <f t="shared" si="12"/>
        <v>1600000</v>
      </c>
      <c r="K572" s="56" t="s">
        <v>4499</v>
      </c>
      <c r="L572" s="165" t="s">
        <v>4500</v>
      </c>
      <c r="M572" s="73"/>
      <c r="N572" s="169" t="s">
        <v>4501</v>
      </c>
      <c r="O572" s="169" t="s">
        <v>2958</v>
      </c>
      <c r="P572" s="168" t="s">
        <v>3112</v>
      </c>
      <c r="Q572" s="167">
        <v>1600000.0</v>
      </c>
      <c r="R572" s="173"/>
      <c r="S572" s="173"/>
      <c r="T572" s="173"/>
      <c r="U572" s="173"/>
      <c r="V572" s="168" t="s">
        <v>3799</v>
      </c>
      <c r="W572" s="169"/>
      <c r="X572" s="219">
        <v>45534.0</v>
      </c>
    </row>
    <row r="573" ht="15.0" customHeight="1">
      <c r="A573" s="127">
        <v>45514.0</v>
      </c>
      <c r="B573" s="181" t="s">
        <v>4502</v>
      </c>
      <c r="C573" s="56" t="s">
        <v>2712</v>
      </c>
      <c r="D573" s="73" t="str">
        <f>IFERROR(VLOOKUP(C573,Stock,3,FALSE),"")</f>
        <v>Mitsubishi L300</v>
      </c>
      <c r="E573" s="56">
        <v>1.0</v>
      </c>
      <c r="F573" s="161">
        <v>1080000.0</v>
      </c>
      <c r="G573" s="162">
        <f t="shared" si="10"/>
        <v>1080000</v>
      </c>
      <c r="H573" s="194"/>
      <c r="I573" s="204">
        <f t="shared" si="11"/>
        <v>1080000</v>
      </c>
      <c r="J573" s="164">
        <f t="shared" si="12"/>
        <v>1080000</v>
      </c>
      <c r="K573" s="229" t="s">
        <v>4503</v>
      </c>
      <c r="L573" s="165" t="s">
        <v>4504</v>
      </c>
      <c r="M573" s="73"/>
      <c r="N573" s="225" t="s">
        <v>4505</v>
      </c>
      <c r="O573" s="169" t="s">
        <v>2958</v>
      </c>
      <c r="P573" s="168" t="s">
        <v>3112</v>
      </c>
      <c r="Q573" s="167">
        <v>1100000.0</v>
      </c>
      <c r="R573" s="173"/>
      <c r="S573" s="173"/>
      <c r="T573" s="173"/>
      <c r="U573" s="167">
        <v>20000.0</v>
      </c>
      <c r="V573" s="168" t="s">
        <v>3799</v>
      </c>
      <c r="W573" s="169"/>
      <c r="X573" s="219">
        <v>45534.0</v>
      </c>
    </row>
    <row r="574" ht="15.0" customHeight="1">
      <c r="A574" s="127">
        <v>45516.0</v>
      </c>
      <c r="B574" s="181" t="s">
        <v>4506</v>
      </c>
      <c r="C574" s="56" t="s">
        <v>3186</v>
      </c>
      <c r="D574" s="73" t="str">
        <f>IFERROR(VLOOKUP(C574,Stock,3,FALSE),"")</f>
        <v>Daihatsu Gran Max / Luxio 07-</v>
      </c>
      <c r="E574" s="56">
        <v>1.0</v>
      </c>
      <c r="F574" s="161">
        <v>1048000.0</v>
      </c>
      <c r="G574" s="162">
        <f t="shared" si="10"/>
        <v>1048000</v>
      </c>
      <c r="H574" s="194"/>
      <c r="I574" s="204">
        <f t="shared" si="11"/>
        <v>1048000</v>
      </c>
      <c r="J574" s="164">
        <f t="shared" si="12"/>
        <v>1048000</v>
      </c>
      <c r="K574" s="229" t="s">
        <v>4507</v>
      </c>
      <c r="L574" s="165" t="s">
        <v>4508</v>
      </c>
      <c r="M574" s="73"/>
      <c r="N574" s="225" t="s">
        <v>4509</v>
      </c>
      <c r="O574" s="169" t="s">
        <v>2958</v>
      </c>
      <c r="P574" s="168" t="s">
        <v>3112</v>
      </c>
      <c r="Q574" s="167">
        <v>1048000.0</v>
      </c>
      <c r="R574" s="173"/>
      <c r="S574" s="173"/>
      <c r="T574" s="173"/>
      <c r="U574" s="173"/>
      <c r="V574" s="168" t="s">
        <v>3799</v>
      </c>
      <c r="W574" s="169"/>
      <c r="X574" s="169" t="s">
        <v>4510</v>
      </c>
    </row>
    <row r="575" ht="15.0" customHeight="1">
      <c r="A575" s="127">
        <v>45516.0</v>
      </c>
      <c r="B575" s="181" t="s">
        <v>4506</v>
      </c>
      <c r="C575" s="56" t="s">
        <v>3083</v>
      </c>
      <c r="D575" s="73" t="str">
        <f>IFERROR(VLOOKUP(C575,Stock,3,FALSE),"")</f>
        <v>List Kaca Depan Code 04</v>
      </c>
      <c r="E575" s="56">
        <v>1.0</v>
      </c>
      <c r="F575" s="161">
        <v>275000.0</v>
      </c>
      <c r="G575" s="162">
        <f t="shared" si="10"/>
        <v>275000</v>
      </c>
      <c r="H575" s="194"/>
      <c r="I575" s="204">
        <f t="shared" si="11"/>
        <v>275000</v>
      </c>
      <c r="J575" s="164">
        <f t="shared" si="12"/>
        <v>275000</v>
      </c>
      <c r="K575" s="229" t="s">
        <v>4507</v>
      </c>
      <c r="L575" s="165" t="s">
        <v>4508</v>
      </c>
      <c r="M575" s="73"/>
      <c r="N575" s="225" t="s">
        <v>4509</v>
      </c>
      <c r="O575" s="169" t="s">
        <v>2958</v>
      </c>
      <c r="P575" s="168" t="s">
        <v>3112</v>
      </c>
      <c r="Q575" s="167">
        <v>275000.0</v>
      </c>
      <c r="R575" s="173"/>
      <c r="S575" s="173"/>
      <c r="T575" s="173"/>
      <c r="U575" s="173"/>
      <c r="V575" s="168" t="s">
        <v>3799</v>
      </c>
      <c r="W575" s="169"/>
      <c r="X575" s="169" t="s">
        <v>4510</v>
      </c>
    </row>
    <row r="576" ht="15.0" customHeight="1">
      <c r="A576" s="127">
        <v>45516.0</v>
      </c>
      <c r="B576" s="181" t="s">
        <v>4511</v>
      </c>
      <c r="C576" s="56" t="s">
        <v>4512</v>
      </c>
      <c r="D576" s="73" t="str">
        <f>IFERROR(VLOOKUP(C576,Stock,3,FALSE),"")</f>
        <v>Suzuki Splash 09-16</v>
      </c>
      <c r="E576" s="56">
        <v>1.0</v>
      </c>
      <c r="F576" s="161">
        <v>1995000.0</v>
      </c>
      <c r="G576" s="162">
        <f t="shared" si="10"/>
        <v>1995000</v>
      </c>
      <c r="H576" s="194"/>
      <c r="I576" s="204">
        <f t="shared" si="11"/>
        <v>1995000</v>
      </c>
      <c r="J576" s="164">
        <f t="shared" si="12"/>
        <v>1995000</v>
      </c>
      <c r="K576" s="56" t="s">
        <v>4513</v>
      </c>
      <c r="L576" s="165" t="s">
        <v>4514</v>
      </c>
      <c r="M576" s="73"/>
      <c r="N576" s="169" t="s">
        <v>4515</v>
      </c>
      <c r="O576" s="169" t="s">
        <v>3213</v>
      </c>
      <c r="P576" s="168" t="s">
        <v>3112</v>
      </c>
      <c r="Q576" s="167">
        <v>2000000.0</v>
      </c>
      <c r="R576" s="173"/>
      <c r="S576" s="173"/>
      <c r="T576" s="173"/>
      <c r="U576" s="167">
        <v>5000.0</v>
      </c>
      <c r="V576" s="168" t="s">
        <v>3883</v>
      </c>
      <c r="W576" s="169"/>
      <c r="X576" s="219">
        <v>45537.0</v>
      </c>
    </row>
    <row r="577" ht="15.0" customHeight="1">
      <c r="A577" s="127">
        <v>45516.0</v>
      </c>
      <c r="B577" s="181" t="s">
        <v>4516</v>
      </c>
      <c r="C577" s="56" t="s">
        <v>2997</v>
      </c>
      <c r="D577" s="73" t="str">
        <f>IFERROR(VLOOKUP(C577,Stock,3,FALSE),"")</f>
        <v>Honda City 02-08 4th Gen Idsi GD8</v>
      </c>
      <c r="E577" s="56">
        <v>1.0</v>
      </c>
      <c r="F577" s="161">
        <v>1771000.0</v>
      </c>
      <c r="G577" s="162">
        <f t="shared" si="10"/>
        <v>1771000</v>
      </c>
      <c r="H577" s="194"/>
      <c r="I577" s="204">
        <f t="shared" si="11"/>
        <v>1771000</v>
      </c>
      <c r="J577" s="164">
        <f t="shared" si="12"/>
        <v>1771000</v>
      </c>
      <c r="K577" s="56" t="s">
        <v>4517</v>
      </c>
      <c r="L577" s="165" t="s">
        <v>3365</v>
      </c>
      <c r="M577" s="73"/>
      <c r="N577" s="171"/>
      <c r="O577" s="169" t="s">
        <v>2958</v>
      </c>
      <c r="P577" s="168" t="s">
        <v>3112</v>
      </c>
      <c r="Q577" s="167">
        <v>1771000.0</v>
      </c>
      <c r="R577" s="173"/>
      <c r="S577" s="173"/>
      <c r="T577" s="173"/>
      <c r="U577" s="173"/>
      <c r="V577" s="168" t="s">
        <v>4262</v>
      </c>
      <c r="W577" s="169"/>
      <c r="X577" s="219">
        <v>45537.0</v>
      </c>
    </row>
    <row r="578" ht="15.0" customHeight="1">
      <c r="A578" s="127">
        <v>45516.0</v>
      </c>
      <c r="B578" s="181" t="s">
        <v>4518</v>
      </c>
      <c r="C578" s="56" t="s">
        <v>2549</v>
      </c>
      <c r="D578" s="73" t="str">
        <f>IFERROR(VLOOKUP(C578,Stock,3,FALSE),"")</f>
        <v>Toyota Avanza / Xenia 11-15 2nd Gen</v>
      </c>
      <c r="E578" s="56">
        <v>1.0</v>
      </c>
      <c r="F578" s="161">
        <v>800000.0</v>
      </c>
      <c r="G578" s="162">
        <f t="shared" si="10"/>
        <v>800000</v>
      </c>
      <c r="H578" s="194"/>
      <c r="I578" s="204">
        <f t="shared" si="11"/>
        <v>800000</v>
      </c>
      <c r="J578" s="164">
        <f t="shared" si="12"/>
        <v>800000</v>
      </c>
      <c r="K578" s="56" t="s">
        <v>4519</v>
      </c>
      <c r="L578" s="165" t="s">
        <v>4520</v>
      </c>
      <c r="M578" s="73"/>
      <c r="N578" s="171"/>
      <c r="O578" s="169" t="s">
        <v>2958</v>
      </c>
      <c r="P578" s="168" t="s">
        <v>3112</v>
      </c>
      <c r="Q578" s="167">
        <v>800000.0</v>
      </c>
      <c r="R578" s="173"/>
      <c r="S578" s="173"/>
      <c r="T578" s="173"/>
      <c r="U578" s="173"/>
      <c r="V578" s="168" t="s">
        <v>3799</v>
      </c>
      <c r="W578" s="169"/>
      <c r="X578" s="219">
        <v>45537.0</v>
      </c>
    </row>
    <row r="579" ht="15.0" customHeight="1">
      <c r="A579" s="127">
        <v>45517.0</v>
      </c>
      <c r="B579" s="181" t="s">
        <v>4521</v>
      </c>
      <c r="C579" s="56" t="s">
        <v>2718</v>
      </c>
      <c r="D579" s="73" t="str">
        <f>IFERROR(VLOOKUP(C579,Stock,3,FALSE),"")</f>
        <v>Isuzu Traga</v>
      </c>
      <c r="E579" s="56">
        <v>1.0</v>
      </c>
      <c r="F579" s="161">
        <v>1300000.0</v>
      </c>
      <c r="G579" s="162">
        <f t="shared" si="10"/>
        <v>1300000</v>
      </c>
      <c r="H579" s="194"/>
      <c r="I579" s="204">
        <f t="shared" si="11"/>
        <v>1300000</v>
      </c>
      <c r="J579" s="164">
        <f t="shared" si="12"/>
        <v>1300000</v>
      </c>
      <c r="K579" s="229" t="s">
        <v>4522</v>
      </c>
      <c r="L579" s="165" t="s">
        <v>4523</v>
      </c>
      <c r="M579" s="73"/>
      <c r="N579" s="225" t="s">
        <v>4524</v>
      </c>
      <c r="O579" s="169" t="s">
        <v>2958</v>
      </c>
      <c r="P579" s="168" t="s">
        <v>3112</v>
      </c>
      <c r="Q579" s="167">
        <v>1300000.0</v>
      </c>
      <c r="R579" s="173"/>
      <c r="S579" s="173"/>
      <c r="T579" s="173"/>
      <c r="U579" s="173"/>
      <c r="V579" s="168" t="s">
        <v>3799</v>
      </c>
      <c r="W579" s="169"/>
      <c r="X579" s="219">
        <v>45537.0</v>
      </c>
    </row>
    <row r="580" ht="15.0" customHeight="1">
      <c r="A580" s="127">
        <v>45517.0</v>
      </c>
      <c r="B580" s="181" t="s">
        <v>4525</v>
      </c>
      <c r="C580" s="56" t="s">
        <v>4526</v>
      </c>
      <c r="D580" s="73" t="str">
        <f>IFERROR(VLOOKUP(C580,Stock,3,FALSE),"")</f>
        <v>Toyota Hi-Ace 04-20 Commuter</v>
      </c>
      <c r="E580" s="56">
        <v>1.0</v>
      </c>
      <c r="F580" s="161">
        <v>1410000.0</v>
      </c>
      <c r="G580" s="162">
        <f t="shared" si="10"/>
        <v>1410000</v>
      </c>
      <c r="H580" s="194"/>
      <c r="I580" s="204">
        <f t="shared" si="11"/>
        <v>1410000</v>
      </c>
      <c r="J580" s="164">
        <f t="shared" si="12"/>
        <v>1410000</v>
      </c>
      <c r="K580" s="56" t="s">
        <v>4527</v>
      </c>
      <c r="L580" s="165" t="s">
        <v>4528</v>
      </c>
      <c r="M580" s="73"/>
      <c r="N580" s="169" t="s">
        <v>4529</v>
      </c>
      <c r="O580" s="169" t="s">
        <v>3213</v>
      </c>
      <c r="P580" s="168" t="s">
        <v>3076</v>
      </c>
      <c r="Q580" s="167">
        <v>1410000.0</v>
      </c>
      <c r="R580" s="173"/>
      <c r="S580" s="173"/>
      <c r="T580" s="173"/>
      <c r="U580" s="173"/>
      <c r="V580" s="168" t="s">
        <v>4262</v>
      </c>
      <c r="W580" s="169"/>
      <c r="X580" s="219">
        <v>45537.0</v>
      </c>
    </row>
    <row r="581" ht="15.0" customHeight="1">
      <c r="A581" s="127">
        <v>45517.0</v>
      </c>
      <c r="B581" s="181" t="s">
        <v>4530</v>
      </c>
      <c r="C581" s="56" t="s">
        <v>2669</v>
      </c>
      <c r="D581" s="73" t="str">
        <f>IFERROR(VLOOKUP(C581,Stock,3,FALSE),"")</f>
        <v>Nissan Livina 07-18 L10/L11</v>
      </c>
      <c r="E581" s="56">
        <v>1.0</v>
      </c>
      <c r="F581" s="161">
        <v>1422000.0</v>
      </c>
      <c r="G581" s="162">
        <f t="shared" si="10"/>
        <v>1422000</v>
      </c>
      <c r="H581" s="194"/>
      <c r="I581" s="204">
        <f t="shared" si="11"/>
        <v>1422000</v>
      </c>
      <c r="J581" s="164">
        <f t="shared" si="12"/>
        <v>1422000</v>
      </c>
      <c r="K581" s="56" t="s">
        <v>4531</v>
      </c>
      <c r="L581" s="165" t="s">
        <v>4532</v>
      </c>
      <c r="M581" s="73"/>
      <c r="N581" s="169" t="s">
        <v>4533</v>
      </c>
      <c r="O581" s="169" t="s">
        <v>3204</v>
      </c>
      <c r="P581" s="168" t="s">
        <v>3112</v>
      </c>
      <c r="Q581" s="173"/>
      <c r="R581" s="167">
        <v>1422000.0</v>
      </c>
      <c r="S581" s="173"/>
      <c r="T581" s="173"/>
      <c r="U581" s="173"/>
      <c r="V581" s="168" t="s">
        <v>3799</v>
      </c>
      <c r="W581" s="169"/>
      <c r="X581" s="219">
        <v>45537.0</v>
      </c>
    </row>
    <row r="582" ht="15.0" customHeight="1">
      <c r="A582" s="127">
        <v>45517.0</v>
      </c>
      <c r="B582" s="181" t="s">
        <v>4534</v>
      </c>
      <c r="C582" s="56" t="s">
        <v>3083</v>
      </c>
      <c r="D582" s="73" t="str">
        <f>IFERROR(VLOOKUP(C582,Stock,3,FALSE),"")</f>
        <v>List Kaca Depan Code 04</v>
      </c>
      <c r="E582" s="56">
        <v>1.0</v>
      </c>
      <c r="F582" s="161">
        <v>275000.0</v>
      </c>
      <c r="G582" s="162">
        <f t="shared" si="10"/>
        <v>275000</v>
      </c>
      <c r="H582" s="194"/>
      <c r="I582" s="204">
        <f t="shared" si="11"/>
        <v>275000</v>
      </c>
      <c r="J582" s="164">
        <f t="shared" si="12"/>
        <v>275000</v>
      </c>
      <c r="K582" s="56" t="s">
        <v>4531</v>
      </c>
      <c r="L582" s="165" t="s">
        <v>4532</v>
      </c>
      <c r="M582" s="73"/>
      <c r="N582" s="169" t="s">
        <v>4533</v>
      </c>
      <c r="O582" s="169" t="s">
        <v>3204</v>
      </c>
      <c r="P582" s="168" t="s">
        <v>3112</v>
      </c>
      <c r="Q582" s="173"/>
      <c r="R582" s="167">
        <v>275000.0</v>
      </c>
      <c r="S582" s="173"/>
      <c r="T582" s="173"/>
      <c r="U582" s="173"/>
      <c r="V582" s="168" t="s">
        <v>3799</v>
      </c>
      <c r="W582" s="169"/>
      <c r="X582" s="219">
        <v>45537.0</v>
      </c>
    </row>
    <row r="583" ht="15.0" customHeight="1">
      <c r="A583" s="127">
        <v>45517.0</v>
      </c>
      <c r="B583" s="181" t="s">
        <v>4535</v>
      </c>
      <c r="C583" s="56" t="s">
        <v>2637</v>
      </c>
      <c r="D583" s="73" t="str">
        <f>IFERROR(VLOOKUP(C583,Stock,3,FALSE),"")</f>
        <v>Ford Everest 04-15 / Ranger 04-11 / Mazda BT-50</v>
      </c>
      <c r="E583" s="56">
        <v>1.0</v>
      </c>
      <c r="F583" s="161">
        <v>1311000.0</v>
      </c>
      <c r="G583" s="162">
        <f t="shared" si="10"/>
        <v>1311000</v>
      </c>
      <c r="H583" s="194"/>
      <c r="I583" s="204">
        <f t="shared" si="11"/>
        <v>1311000</v>
      </c>
      <c r="J583" s="164">
        <f t="shared" si="12"/>
        <v>1311000</v>
      </c>
      <c r="K583" s="56" t="s">
        <v>4536</v>
      </c>
      <c r="L583" s="165" t="s">
        <v>4537</v>
      </c>
      <c r="M583" s="73"/>
      <c r="N583" s="171"/>
      <c r="O583" s="169" t="s">
        <v>3184</v>
      </c>
      <c r="P583" s="168" t="s">
        <v>3112</v>
      </c>
      <c r="Q583" s="173"/>
      <c r="R583" s="167">
        <v>1311000.0</v>
      </c>
      <c r="S583" s="173"/>
      <c r="T583" s="173"/>
      <c r="U583" s="173"/>
      <c r="V583" s="202"/>
      <c r="W583" s="171"/>
      <c r="X583" s="219">
        <v>45537.0</v>
      </c>
    </row>
    <row r="584" ht="15.0" customHeight="1">
      <c r="A584" s="127">
        <v>45517.0</v>
      </c>
      <c r="B584" s="181" t="s">
        <v>4535</v>
      </c>
      <c r="C584" s="56" t="s">
        <v>4538</v>
      </c>
      <c r="D584" s="73" t="str">
        <f>IFERROR(VLOOKUP(C584,Stock,3,FALSE),"")</f>
        <v>Ford Ranger 02-11 (Pick Up)</v>
      </c>
      <c r="E584" s="56">
        <v>1.0</v>
      </c>
      <c r="F584" s="161">
        <v>785000.0</v>
      </c>
      <c r="G584" s="162">
        <f t="shared" si="10"/>
        <v>785000</v>
      </c>
      <c r="H584" s="194"/>
      <c r="I584" s="204">
        <f t="shared" si="11"/>
        <v>785000</v>
      </c>
      <c r="J584" s="164">
        <f t="shared" si="12"/>
        <v>785000</v>
      </c>
      <c r="K584" s="56" t="s">
        <v>4536</v>
      </c>
      <c r="L584" s="165" t="s">
        <v>4537</v>
      </c>
      <c r="M584" s="73"/>
      <c r="N584" s="171"/>
      <c r="O584" s="169" t="s">
        <v>3184</v>
      </c>
      <c r="P584" s="168" t="s">
        <v>3112</v>
      </c>
      <c r="Q584" s="173"/>
      <c r="R584" s="167">
        <v>785000.0</v>
      </c>
      <c r="S584" s="173"/>
      <c r="T584" s="173"/>
      <c r="U584" s="173"/>
      <c r="V584" s="202"/>
      <c r="W584" s="171"/>
      <c r="X584" s="219">
        <v>45537.0</v>
      </c>
    </row>
    <row r="585" ht="15.0" customHeight="1">
      <c r="A585" s="127">
        <v>45517.0</v>
      </c>
      <c r="B585" s="181" t="s">
        <v>4535</v>
      </c>
      <c r="C585" s="56" t="s">
        <v>2934</v>
      </c>
      <c r="D585" s="73" t="str">
        <f>IFERROR(VLOOKUP(C585,Stock,3,FALSE),"")</f>
        <v>Peti Kayu</v>
      </c>
      <c r="E585" s="56">
        <v>1.0</v>
      </c>
      <c r="F585" s="161">
        <v>160000.0</v>
      </c>
      <c r="G585" s="162">
        <f t="shared" si="10"/>
        <v>160000</v>
      </c>
      <c r="H585" s="194"/>
      <c r="I585" s="204">
        <f t="shared" si="11"/>
        <v>160000</v>
      </c>
      <c r="J585" s="164">
        <f t="shared" si="12"/>
        <v>160000</v>
      </c>
      <c r="K585" s="56" t="s">
        <v>4536</v>
      </c>
      <c r="L585" s="165" t="s">
        <v>4537</v>
      </c>
      <c r="M585" s="73"/>
      <c r="N585" s="171"/>
      <c r="O585" s="169" t="s">
        <v>3184</v>
      </c>
      <c r="P585" s="168" t="s">
        <v>3112</v>
      </c>
      <c r="Q585" s="173"/>
      <c r="R585" s="167">
        <v>160000.0</v>
      </c>
      <c r="S585" s="173"/>
      <c r="T585" s="173"/>
      <c r="U585" s="173"/>
      <c r="V585" s="202"/>
      <c r="W585" s="171"/>
      <c r="X585" s="219">
        <v>45537.0</v>
      </c>
    </row>
    <row r="586" ht="15.0" customHeight="1">
      <c r="A586" s="127">
        <v>45517.0</v>
      </c>
      <c r="B586" s="181" t="s">
        <v>4539</v>
      </c>
      <c r="C586" s="56" t="s">
        <v>4540</v>
      </c>
      <c r="D586" s="73" t="str">
        <f>IFERROR(VLOOKUP(C586,Stock,3,FALSE),"")</f>
        <v>Nissan Datsun Go/Go+ 14- (3-Baris)</v>
      </c>
      <c r="E586" s="56">
        <v>2.0</v>
      </c>
      <c r="F586" s="161">
        <v>776000.0</v>
      </c>
      <c r="G586" s="162">
        <f t="shared" si="10"/>
        <v>1552000</v>
      </c>
      <c r="H586" s="194"/>
      <c r="I586" s="161">
        <f t="shared" si="11"/>
        <v>1552000</v>
      </c>
      <c r="J586" s="164">
        <f t="shared" si="12"/>
        <v>1552000</v>
      </c>
      <c r="K586" s="56" t="s">
        <v>4541</v>
      </c>
      <c r="L586" s="165" t="s">
        <v>4542</v>
      </c>
      <c r="M586" s="73"/>
      <c r="N586" s="171"/>
      <c r="O586" s="169" t="s">
        <v>4543</v>
      </c>
      <c r="P586" s="168" t="s">
        <v>4544</v>
      </c>
      <c r="Q586" s="173"/>
      <c r="R586" s="167">
        <v>1552000.0</v>
      </c>
      <c r="S586" s="173"/>
      <c r="T586" s="173"/>
      <c r="U586" s="173"/>
      <c r="V586" s="168" t="s">
        <v>3799</v>
      </c>
      <c r="W586" s="169"/>
      <c r="X586" s="219">
        <v>45537.0</v>
      </c>
    </row>
    <row r="587" ht="15.0" customHeight="1">
      <c r="A587" s="127">
        <v>45517.0</v>
      </c>
      <c r="B587" s="181" t="s">
        <v>4539</v>
      </c>
      <c r="C587" s="56" t="s">
        <v>4545</v>
      </c>
      <c r="D587" s="73" t="str">
        <f>IFERROR(VLOOKUP(C587,Stock,3,FALSE),"")</f>
        <v>Toyota Hilux Pickup 15- (Revo)</v>
      </c>
      <c r="E587" s="56">
        <v>1.0</v>
      </c>
      <c r="F587" s="161">
        <v>668000.0</v>
      </c>
      <c r="G587" s="162">
        <f t="shared" si="10"/>
        <v>668000</v>
      </c>
      <c r="H587" s="194"/>
      <c r="I587" s="161">
        <f t="shared" si="11"/>
        <v>668000</v>
      </c>
      <c r="J587" s="164">
        <f t="shared" si="12"/>
        <v>668000</v>
      </c>
      <c r="K587" s="56" t="s">
        <v>4541</v>
      </c>
      <c r="L587" s="165" t="s">
        <v>4542</v>
      </c>
      <c r="M587" s="73"/>
      <c r="N587" s="171"/>
      <c r="O587" s="169" t="s">
        <v>4543</v>
      </c>
      <c r="P587" s="168" t="s">
        <v>4544</v>
      </c>
      <c r="Q587" s="173"/>
      <c r="R587" s="167">
        <v>668000.0</v>
      </c>
      <c r="S587" s="173"/>
      <c r="T587" s="173"/>
      <c r="U587" s="173"/>
      <c r="V587" s="168" t="s">
        <v>3799</v>
      </c>
      <c r="W587" s="169"/>
      <c r="X587" s="219">
        <v>45537.0</v>
      </c>
    </row>
    <row r="588" ht="15.0" customHeight="1">
      <c r="A588" s="127">
        <v>45517.0</v>
      </c>
      <c r="B588" s="181" t="s">
        <v>4539</v>
      </c>
      <c r="C588" s="56" t="s">
        <v>4546</v>
      </c>
      <c r="D588" s="73" t="str">
        <f>IFERROR(VLOOKUP(C588,Stock,3,FALSE),"")</f>
        <v>Toyota Hilux Pickup 15- (Revo)</v>
      </c>
      <c r="E588" s="56">
        <v>1.0</v>
      </c>
      <c r="F588" s="161">
        <v>668000.0</v>
      </c>
      <c r="G588" s="162">
        <f t="shared" si="10"/>
        <v>668000</v>
      </c>
      <c r="H588" s="194"/>
      <c r="I588" s="161">
        <f t="shared" si="11"/>
        <v>668000</v>
      </c>
      <c r="J588" s="164">
        <f t="shared" si="12"/>
        <v>668000</v>
      </c>
      <c r="K588" s="56" t="s">
        <v>4541</v>
      </c>
      <c r="L588" s="165" t="s">
        <v>4542</v>
      </c>
      <c r="M588" s="73"/>
      <c r="N588" s="171"/>
      <c r="O588" s="169" t="s">
        <v>4543</v>
      </c>
      <c r="P588" s="168" t="s">
        <v>4544</v>
      </c>
      <c r="Q588" s="173"/>
      <c r="R588" s="167">
        <v>668000.0</v>
      </c>
      <c r="S588" s="173"/>
      <c r="T588" s="173"/>
      <c r="U588" s="173"/>
      <c r="V588" s="168" t="s">
        <v>3799</v>
      </c>
      <c r="W588" s="169"/>
      <c r="X588" s="219">
        <v>45537.0</v>
      </c>
    </row>
    <row r="589" ht="15.0" customHeight="1">
      <c r="A589" s="127">
        <v>45517.0</v>
      </c>
      <c r="B589" s="181" t="s">
        <v>4539</v>
      </c>
      <c r="C589" s="56" t="s">
        <v>2934</v>
      </c>
      <c r="D589" s="73" t="str">
        <f>IFERROR(VLOOKUP(C589,Stock,3,FALSE),"")</f>
        <v>Peti Kayu</v>
      </c>
      <c r="E589" s="56">
        <v>1.0</v>
      </c>
      <c r="F589" s="161">
        <v>160000.0</v>
      </c>
      <c r="G589" s="162">
        <f t="shared" si="10"/>
        <v>160000</v>
      </c>
      <c r="H589" s="194"/>
      <c r="I589" s="161">
        <f t="shared" si="11"/>
        <v>160000</v>
      </c>
      <c r="J589" s="164">
        <f t="shared" si="12"/>
        <v>160000</v>
      </c>
      <c r="K589" s="56" t="s">
        <v>4541</v>
      </c>
      <c r="L589" s="165" t="s">
        <v>4542</v>
      </c>
      <c r="M589" s="73"/>
      <c r="N589" s="171"/>
      <c r="O589" s="169" t="s">
        <v>4543</v>
      </c>
      <c r="P589" s="168" t="s">
        <v>4544</v>
      </c>
      <c r="Q589" s="173"/>
      <c r="R589" s="167">
        <v>160000.0</v>
      </c>
      <c r="S589" s="173"/>
      <c r="T589" s="173"/>
      <c r="U589" s="173"/>
      <c r="V589" s="168" t="s">
        <v>3799</v>
      </c>
      <c r="W589" s="169"/>
      <c r="X589" s="219">
        <v>45537.0</v>
      </c>
    </row>
    <row r="590" ht="15.0" customHeight="1">
      <c r="A590" s="127">
        <v>45517.0</v>
      </c>
      <c r="B590" s="181" t="s">
        <v>4539</v>
      </c>
      <c r="C590" s="175" t="s">
        <v>4547</v>
      </c>
      <c r="D590" s="73" t="str">
        <f>IFERROR(VLOOKUP(C590,Stock,3,FALSE),"")</f>
        <v>Toyota Hilux Pickup 15- (Revo)</v>
      </c>
      <c r="E590" s="56">
        <v>1.0</v>
      </c>
      <c r="F590" s="161">
        <v>388000.0</v>
      </c>
      <c r="G590" s="162">
        <f t="shared" si="10"/>
        <v>388000</v>
      </c>
      <c r="H590" s="194"/>
      <c r="I590" s="161">
        <f t="shared" si="11"/>
        <v>388000</v>
      </c>
      <c r="J590" s="164">
        <f t="shared" si="12"/>
        <v>388000</v>
      </c>
      <c r="K590" s="56" t="s">
        <v>4541</v>
      </c>
      <c r="L590" s="165" t="s">
        <v>4542</v>
      </c>
      <c r="M590" s="73"/>
      <c r="N590" s="171"/>
      <c r="O590" s="169" t="s">
        <v>4543</v>
      </c>
      <c r="P590" s="168" t="s">
        <v>4544</v>
      </c>
      <c r="Q590" s="173"/>
      <c r="R590" s="167">
        <v>388000.0</v>
      </c>
      <c r="S590" s="173"/>
      <c r="T590" s="173"/>
      <c r="U590" s="173"/>
      <c r="V590" s="168" t="s">
        <v>3799</v>
      </c>
      <c r="W590" s="169"/>
      <c r="X590" s="219">
        <v>45537.0</v>
      </c>
    </row>
    <row r="591" ht="15.0" customHeight="1">
      <c r="A591" s="127">
        <v>45517.0</v>
      </c>
      <c r="B591" s="181" t="s">
        <v>4539</v>
      </c>
      <c r="C591" s="175" t="s">
        <v>4548</v>
      </c>
      <c r="D591" s="73" t="str">
        <f>IFERROR(VLOOKUP(C591,Stock,3,FALSE),"")</f>
        <v>Toyota Hilux Pickup 15- (Revo)</v>
      </c>
      <c r="E591" s="56">
        <v>1.0</v>
      </c>
      <c r="F591" s="161">
        <v>388000.0</v>
      </c>
      <c r="G591" s="162">
        <f t="shared" si="10"/>
        <v>388000</v>
      </c>
      <c r="H591" s="194"/>
      <c r="I591" s="161">
        <f t="shared" si="11"/>
        <v>388000</v>
      </c>
      <c r="J591" s="164">
        <f t="shared" si="12"/>
        <v>388000</v>
      </c>
      <c r="K591" s="56" t="s">
        <v>4541</v>
      </c>
      <c r="L591" s="165" t="s">
        <v>4542</v>
      </c>
      <c r="M591" s="73"/>
      <c r="N591" s="171"/>
      <c r="O591" s="169" t="s">
        <v>4543</v>
      </c>
      <c r="P591" s="168" t="s">
        <v>4544</v>
      </c>
      <c r="Q591" s="173"/>
      <c r="R591" s="167">
        <v>388000.0</v>
      </c>
      <c r="S591" s="173"/>
      <c r="T591" s="173"/>
      <c r="U591" s="173"/>
      <c r="V591" s="168" t="s">
        <v>3799</v>
      </c>
      <c r="W591" s="169"/>
      <c r="X591" s="219">
        <v>45537.0</v>
      </c>
    </row>
    <row r="592" ht="15.0" customHeight="1">
      <c r="A592" s="127">
        <v>45517.0</v>
      </c>
      <c r="B592" s="181" t="s">
        <v>4539</v>
      </c>
      <c r="C592" s="56" t="s">
        <v>2934</v>
      </c>
      <c r="D592" s="73" t="str">
        <f>IFERROR(VLOOKUP(C592,Stock,3,FALSE),"")</f>
        <v>Peti Kayu</v>
      </c>
      <c r="E592" s="56">
        <v>1.0</v>
      </c>
      <c r="F592" s="161">
        <v>100000.0</v>
      </c>
      <c r="G592" s="162">
        <f t="shared" si="10"/>
        <v>100000</v>
      </c>
      <c r="H592" s="194"/>
      <c r="I592" s="161">
        <f t="shared" si="11"/>
        <v>100000</v>
      </c>
      <c r="J592" s="164">
        <f t="shared" si="12"/>
        <v>100000</v>
      </c>
      <c r="K592" s="56" t="s">
        <v>4541</v>
      </c>
      <c r="L592" s="165" t="s">
        <v>4542</v>
      </c>
      <c r="M592" s="73"/>
      <c r="N592" s="171"/>
      <c r="O592" s="169" t="s">
        <v>4543</v>
      </c>
      <c r="P592" s="168" t="s">
        <v>4544</v>
      </c>
      <c r="Q592" s="173"/>
      <c r="R592" s="167">
        <v>100000.0</v>
      </c>
      <c r="S592" s="173"/>
      <c r="T592" s="173"/>
      <c r="U592" s="173"/>
      <c r="V592" s="168" t="s">
        <v>3799</v>
      </c>
      <c r="W592" s="169"/>
      <c r="X592" s="219">
        <v>45537.0</v>
      </c>
    </row>
    <row r="593" ht="15.0" customHeight="1">
      <c r="A593" s="127">
        <v>45518.0</v>
      </c>
      <c r="B593" s="181" t="s">
        <v>4549</v>
      </c>
      <c r="C593" s="56" t="s">
        <v>2702</v>
      </c>
      <c r="D593" s="73" t="str">
        <f>IFERROR(VLOOKUP(C593,Stock,3,FALSE),"")</f>
        <v>Toyota Sienta 15-</v>
      </c>
      <c r="E593" s="56">
        <v>1.0</v>
      </c>
      <c r="F593" s="161">
        <v>1638000.0</v>
      </c>
      <c r="G593" s="162">
        <f t="shared" si="10"/>
        <v>1638000</v>
      </c>
      <c r="H593" s="194"/>
      <c r="I593" s="161">
        <f t="shared" si="11"/>
        <v>1638000</v>
      </c>
      <c r="J593" s="164">
        <f t="shared" si="12"/>
        <v>1638000</v>
      </c>
      <c r="K593" s="229" t="s">
        <v>4550</v>
      </c>
      <c r="L593" s="165" t="s">
        <v>4551</v>
      </c>
      <c r="M593" s="73"/>
      <c r="N593" s="171"/>
      <c r="O593" s="169" t="s">
        <v>2958</v>
      </c>
      <c r="P593" s="168" t="s">
        <v>3112</v>
      </c>
      <c r="Q593" s="173"/>
      <c r="R593" s="167">
        <v>1638000.0</v>
      </c>
      <c r="S593" s="173"/>
      <c r="T593" s="173"/>
      <c r="U593" s="173"/>
      <c r="V593" s="168" t="s">
        <v>4262</v>
      </c>
      <c r="W593" s="169"/>
      <c r="X593" s="169" t="s">
        <v>4552</v>
      </c>
    </row>
    <row r="594" ht="15.0" customHeight="1">
      <c r="A594" s="127">
        <v>45518.0</v>
      </c>
      <c r="B594" s="181" t="s">
        <v>4553</v>
      </c>
      <c r="C594" s="56" t="s">
        <v>2721</v>
      </c>
      <c r="D594" s="73" t="str">
        <f>IFERROR(VLOOKUP(C594,Stock,3,FALSE),"")</f>
        <v>Toyota Dyna/Hino Dutro 00-</v>
      </c>
      <c r="E594" s="56">
        <v>1.0</v>
      </c>
      <c r="F594" s="161">
        <v>1300000.0</v>
      </c>
      <c r="G594" s="162">
        <f t="shared" si="10"/>
        <v>1300000</v>
      </c>
      <c r="H594" s="194"/>
      <c r="I594" s="161">
        <f t="shared" si="11"/>
        <v>1300000</v>
      </c>
      <c r="J594" s="164">
        <f t="shared" si="12"/>
        <v>1300000</v>
      </c>
      <c r="K594" s="56" t="s">
        <v>4554</v>
      </c>
      <c r="L594" s="165" t="s">
        <v>4555</v>
      </c>
      <c r="M594" s="73"/>
      <c r="N594" s="169" t="s">
        <v>4556</v>
      </c>
      <c r="O594" s="169" t="s">
        <v>2958</v>
      </c>
      <c r="P594" s="168" t="s">
        <v>3011</v>
      </c>
      <c r="Q594" s="173"/>
      <c r="R594" s="167">
        <v>1300000.0</v>
      </c>
      <c r="S594" s="173"/>
      <c r="T594" s="173"/>
      <c r="U594" s="173"/>
      <c r="V594" s="168" t="s">
        <v>3799</v>
      </c>
      <c r="W594" s="169"/>
      <c r="X594" s="219">
        <v>45538.0</v>
      </c>
    </row>
    <row r="595" ht="15.0" customHeight="1">
      <c r="A595" s="127">
        <v>45518.0</v>
      </c>
      <c r="B595" s="181" t="s">
        <v>4557</v>
      </c>
      <c r="C595" s="56" t="s">
        <v>3300</v>
      </c>
      <c r="D595" s="73" t="str">
        <f>IFERROR(VLOOKUP(C595,Stock,3,FALSE),"")</f>
        <v>Honda CR-V 07-11 3rd Gen</v>
      </c>
      <c r="E595" s="56">
        <v>1.0</v>
      </c>
      <c r="F595" s="161">
        <v>1902000.0</v>
      </c>
      <c r="G595" s="162">
        <f t="shared" si="10"/>
        <v>1902000</v>
      </c>
      <c r="H595" s="194"/>
      <c r="I595" s="161">
        <f t="shared" si="11"/>
        <v>1902000</v>
      </c>
      <c r="J595" s="164">
        <f t="shared" si="12"/>
        <v>1902000</v>
      </c>
      <c r="K595" s="56" t="s">
        <v>4558</v>
      </c>
      <c r="L595" s="165" t="s">
        <v>4559</v>
      </c>
      <c r="M595" s="73"/>
      <c r="N595" s="169" t="s">
        <v>4560</v>
      </c>
      <c r="O595" s="169" t="s">
        <v>2958</v>
      </c>
      <c r="P595" s="168" t="s">
        <v>3112</v>
      </c>
      <c r="Q595" s="173"/>
      <c r="R595" s="167">
        <v>1902000.0</v>
      </c>
      <c r="S595" s="173"/>
      <c r="T595" s="173"/>
      <c r="U595" s="173"/>
      <c r="V595" s="168" t="s">
        <v>3883</v>
      </c>
      <c r="W595" s="169"/>
      <c r="X595" s="219">
        <v>45538.0</v>
      </c>
    </row>
    <row r="596" ht="15.0" customHeight="1">
      <c r="A596" s="127">
        <v>45518.0</v>
      </c>
      <c r="B596" s="181" t="s">
        <v>4561</v>
      </c>
      <c r="C596" s="56" t="s">
        <v>3104</v>
      </c>
      <c r="D596" s="73" t="str">
        <f>IFERROR(VLOOKUP(C596,Stock,3,FALSE),"")</f>
        <v>Toyota Innova 15- 2nd Gen</v>
      </c>
      <c r="E596" s="56">
        <v>1.0</v>
      </c>
      <c r="F596" s="161">
        <v>1319000.0</v>
      </c>
      <c r="G596" s="162">
        <f t="shared" si="10"/>
        <v>1319000</v>
      </c>
      <c r="H596" s="194"/>
      <c r="I596" s="161">
        <f t="shared" si="11"/>
        <v>1319000</v>
      </c>
      <c r="J596" s="164">
        <f t="shared" si="12"/>
        <v>1319000</v>
      </c>
      <c r="K596" s="56" t="s">
        <v>4562</v>
      </c>
      <c r="L596" s="165" t="s">
        <v>4563</v>
      </c>
      <c r="M596" s="56" t="s">
        <v>4564</v>
      </c>
      <c r="N596" s="169" t="s">
        <v>4565</v>
      </c>
      <c r="O596" s="169" t="s">
        <v>2958</v>
      </c>
      <c r="P596" s="168" t="s">
        <v>3112</v>
      </c>
      <c r="Q596" s="173"/>
      <c r="R596" s="167">
        <v>1319000.0</v>
      </c>
      <c r="S596" s="173"/>
      <c r="T596" s="173"/>
      <c r="U596" s="173"/>
      <c r="V596" s="168" t="s">
        <v>3883</v>
      </c>
      <c r="W596" s="169"/>
      <c r="X596" s="219">
        <v>45538.0</v>
      </c>
    </row>
    <row r="597" ht="15.0" customHeight="1">
      <c r="A597" s="127">
        <v>45519.0</v>
      </c>
      <c r="B597" s="181" t="s">
        <v>4566</v>
      </c>
      <c r="C597" s="56" t="s">
        <v>2707</v>
      </c>
      <c r="D597" s="73" t="str">
        <f>IFERROR(VLOOKUP(C597,Stock,3,FALSE),"")</f>
        <v>Isuzu Elf 93- NKR NHR</v>
      </c>
      <c r="E597" s="56">
        <v>1.0</v>
      </c>
      <c r="F597" s="161">
        <v>914000.0</v>
      </c>
      <c r="G597" s="162">
        <f t="shared" si="10"/>
        <v>914000</v>
      </c>
      <c r="H597" s="194"/>
      <c r="I597" s="161">
        <f t="shared" si="11"/>
        <v>914000</v>
      </c>
      <c r="J597" s="164">
        <f t="shared" si="12"/>
        <v>914000</v>
      </c>
      <c r="K597" s="56" t="s">
        <v>4567</v>
      </c>
      <c r="L597" s="170" t="s">
        <v>4568</v>
      </c>
      <c r="M597" s="73"/>
      <c r="N597" s="171"/>
      <c r="O597" s="169" t="s">
        <v>2958</v>
      </c>
      <c r="P597" s="168" t="s">
        <v>3112</v>
      </c>
      <c r="Q597" s="173"/>
      <c r="R597" s="167">
        <v>914000.0</v>
      </c>
      <c r="S597" s="173"/>
      <c r="T597" s="173"/>
      <c r="U597" s="173"/>
      <c r="V597" s="168" t="s">
        <v>3883</v>
      </c>
      <c r="W597" s="169"/>
      <c r="X597" s="219">
        <v>45538.0</v>
      </c>
    </row>
    <row r="598" ht="15.0" customHeight="1">
      <c r="A598" s="127">
        <v>45519.0</v>
      </c>
      <c r="B598" s="181" t="s">
        <v>4566</v>
      </c>
      <c r="C598" s="56" t="s">
        <v>2709</v>
      </c>
      <c r="D598" s="73" t="str">
        <f>IFERROR(VLOOKUP(C598,Stock,3,FALSE),"")</f>
        <v>Isuzu Panther 91-99 1st Gen Kotak</v>
      </c>
      <c r="E598" s="56">
        <v>1.0</v>
      </c>
      <c r="F598" s="161">
        <v>885000.0</v>
      </c>
      <c r="G598" s="162">
        <f t="shared" si="10"/>
        <v>885000</v>
      </c>
      <c r="H598" s="194"/>
      <c r="I598" s="161">
        <f t="shared" si="11"/>
        <v>885000</v>
      </c>
      <c r="J598" s="164">
        <f t="shared" si="12"/>
        <v>885000</v>
      </c>
      <c r="K598" s="56" t="s">
        <v>4567</v>
      </c>
      <c r="L598" s="170" t="s">
        <v>4568</v>
      </c>
      <c r="M598" s="73"/>
      <c r="N598" s="171"/>
      <c r="O598" s="169" t="s">
        <v>2958</v>
      </c>
      <c r="P598" s="168" t="s">
        <v>3112</v>
      </c>
      <c r="Q598" s="173"/>
      <c r="R598" s="167">
        <v>885000.0</v>
      </c>
      <c r="S598" s="173"/>
      <c r="T598" s="173"/>
      <c r="U598" s="173"/>
      <c r="V598" s="168" t="s">
        <v>3883</v>
      </c>
      <c r="W598" s="169"/>
      <c r="X598" s="219">
        <v>45538.0</v>
      </c>
    </row>
    <row r="599" ht="15.0" customHeight="1">
      <c r="A599" s="127">
        <v>45519.0</v>
      </c>
      <c r="B599" s="181" t="s">
        <v>4566</v>
      </c>
      <c r="C599" s="169" t="s">
        <v>2934</v>
      </c>
      <c r="D599" s="73" t="str">
        <f>IFERROR(VLOOKUP(C599,Stock,3,FALSE),"")</f>
        <v>Peti Kayu</v>
      </c>
      <c r="E599" s="56">
        <v>1.0</v>
      </c>
      <c r="F599" s="161">
        <v>160000.0</v>
      </c>
      <c r="G599" s="162">
        <f t="shared" si="10"/>
        <v>160000</v>
      </c>
      <c r="H599" s="194"/>
      <c r="I599" s="161">
        <f t="shared" si="11"/>
        <v>160000</v>
      </c>
      <c r="J599" s="164">
        <f t="shared" si="12"/>
        <v>160000</v>
      </c>
      <c r="K599" s="56" t="s">
        <v>4567</v>
      </c>
      <c r="L599" s="170" t="s">
        <v>4568</v>
      </c>
      <c r="M599" s="73"/>
      <c r="N599" s="171"/>
      <c r="O599" s="169" t="s">
        <v>2958</v>
      </c>
      <c r="P599" s="168" t="s">
        <v>3112</v>
      </c>
      <c r="Q599" s="173"/>
      <c r="R599" s="167">
        <v>160000.0</v>
      </c>
      <c r="S599" s="173"/>
      <c r="T599" s="173"/>
      <c r="U599" s="173"/>
      <c r="V599" s="168" t="s">
        <v>3883</v>
      </c>
      <c r="W599" s="169"/>
      <c r="X599" s="219">
        <v>45538.0</v>
      </c>
    </row>
    <row r="600" ht="15.0" customHeight="1">
      <c r="A600" s="127">
        <v>45519.0</v>
      </c>
      <c r="B600" s="181" t="s">
        <v>4569</v>
      </c>
      <c r="C600" s="56" t="s">
        <v>4570</v>
      </c>
      <c r="D600" s="73" t="str">
        <f>IFERROR(VLOOKUP(C600,Stock,3,FALSE),"")</f>
        <v>Daihatsu Sirion 04-10 1st Gen</v>
      </c>
      <c r="E600" s="56">
        <v>1.0</v>
      </c>
      <c r="F600" s="161">
        <v>1668000.0</v>
      </c>
      <c r="G600" s="162">
        <f t="shared" si="10"/>
        <v>1668000</v>
      </c>
      <c r="H600" s="194"/>
      <c r="I600" s="161">
        <f t="shared" si="11"/>
        <v>1668000</v>
      </c>
      <c r="J600" s="164">
        <f t="shared" si="12"/>
        <v>1668000</v>
      </c>
      <c r="K600" s="56" t="s">
        <v>4571</v>
      </c>
      <c r="L600" s="165" t="s">
        <v>4572</v>
      </c>
      <c r="M600" s="56" t="s">
        <v>4573</v>
      </c>
      <c r="N600" s="169" t="s">
        <v>4574</v>
      </c>
      <c r="O600" s="169" t="s">
        <v>2958</v>
      </c>
      <c r="P600" s="168" t="s">
        <v>3112</v>
      </c>
      <c r="Q600" s="173"/>
      <c r="R600" s="167">
        <v>1668000.0</v>
      </c>
      <c r="S600" s="173"/>
      <c r="T600" s="173"/>
      <c r="U600" s="173"/>
      <c r="V600" s="168" t="s">
        <v>3883</v>
      </c>
      <c r="W600" s="169"/>
      <c r="X600" s="219">
        <v>45538.0</v>
      </c>
    </row>
    <row r="601" ht="15.0" customHeight="1">
      <c r="A601" s="127">
        <v>45519.0</v>
      </c>
      <c r="B601" s="181" t="s">
        <v>4575</v>
      </c>
      <c r="C601" s="56" t="s">
        <v>2700</v>
      </c>
      <c r="D601" s="73" t="str">
        <f>IFERROR(VLOOKUP(C601,Stock,3,FALSE),"")</f>
        <v>Honda Accord 98-02 S84/S86 6th Gen</v>
      </c>
      <c r="E601" s="56">
        <v>1.0</v>
      </c>
      <c r="F601" s="161">
        <v>2045000.0</v>
      </c>
      <c r="G601" s="162">
        <f t="shared" si="10"/>
        <v>2045000</v>
      </c>
      <c r="H601" s="194"/>
      <c r="I601" s="161">
        <f t="shared" si="11"/>
        <v>2045000</v>
      </c>
      <c r="J601" s="164">
        <f t="shared" si="12"/>
        <v>2045000</v>
      </c>
      <c r="K601" s="229" t="s">
        <v>4576</v>
      </c>
      <c r="L601" s="165" t="s">
        <v>4577</v>
      </c>
      <c r="M601" s="56" t="s">
        <v>4578</v>
      </c>
      <c r="N601" s="169" t="s">
        <v>4579</v>
      </c>
      <c r="O601" s="169" t="s">
        <v>2958</v>
      </c>
      <c r="P601" s="168" t="s">
        <v>3112</v>
      </c>
      <c r="Q601" s="173"/>
      <c r="R601" s="167">
        <v>2045000.0</v>
      </c>
      <c r="S601" s="173"/>
      <c r="T601" s="173"/>
      <c r="U601" s="173"/>
      <c r="V601" s="168" t="s">
        <v>3799</v>
      </c>
      <c r="W601" s="169"/>
      <c r="X601" s="219">
        <v>45538.0</v>
      </c>
    </row>
    <row r="602" ht="15.0" customHeight="1">
      <c r="A602" s="127">
        <v>45519.0</v>
      </c>
      <c r="B602" s="181" t="s">
        <v>4575</v>
      </c>
      <c r="C602" s="56" t="s">
        <v>4027</v>
      </c>
      <c r="D602" s="73" t="str">
        <f>IFERROR(VLOOKUP(C602,Stock,3,FALSE),"")</f>
        <v>501 Sealant Application</v>
      </c>
      <c r="E602" s="56">
        <v>1.0</v>
      </c>
      <c r="F602" s="161">
        <v>100000.0</v>
      </c>
      <c r="G602" s="162">
        <f t="shared" si="10"/>
        <v>100000</v>
      </c>
      <c r="H602" s="194"/>
      <c r="I602" s="161">
        <f t="shared" si="11"/>
        <v>100000</v>
      </c>
      <c r="J602" s="164">
        <f t="shared" si="12"/>
        <v>100000</v>
      </c>
      <c r="K602" s="229" t="s">
        <v>4576</v>
      </c>
      <c r="L602" s="165" t="s">
        <v>4577</v>
      </c>
      <c r="M602" s="56" t="s">
        <v>4578</v>
      </c>
      <c r="N602" s="169" t="s">
        <v>4579</v>
      </c>
      <c r="O602" s="169" t="s">
        <v>2958</v>
      </c>
      <c r="P602" s="168" t="s">
        <v>3112</v>
      </c>
      <c r="Q602" s="173"/>
      <c r="R602" s="167">
        <v>100000.0</v>
      </c>
      <c r="S602" s="173"/>
      <c r="T602" s="173"/>
      <c r="U602" s="173"/>
      <c r="V602" s="168" t="s">
        <v>3799</v>
      </c>
      <c r="W602" s="169"/>
      <c r="X602" s="219">
        <v>45538.0</v>
      </c>
    </row>
    <row r="603" ht="15.0" customHeight="1">
      <c r="A603" s="127">
        <v>45520.0</v>
      </c>
      <c r="B603" s="181" t="s">
        <v>4580</v>
      </c>
      <c r="C603" s="56" t="s">
        <v>3176</v>
      </c>
      <c r="D603" s="73" t="str">
        <f>IFERROR(VLOOKUP(C603,Stock,3,FALSE),"")</f>
        <v>Toyota Avanza / Xenia 11-15 2nd Gen / 15-21 3rd Gen</v>
      </c>
      <c r="E603" s="56">
        <v>1.0</v>
      </c>
      <c r="F603" s="161">
        <v>880000.0</v>
      </c>
      <c r="G603" s="162">
        <f t="shared" si="10"/>
        <v>880000</v>
      </c>
      <c r="H603" s="194"/>
      <c r="I603" s="161">
        <f t="shared" si="11"/>
        <v>880000</v>
      </c>
      <c r="J603" s="164">
        <f t="shared" si="12"/>
        <v>880000</v>
      </c>
      <c r="K603" s="56" t="s">
        <v>4581</v>
      </c>
      <c r="L603" s="165" t="s">
        <v>4582</v>
      </c>
      <c r="M603" s="73"/>
      <c r="N603" s="169" t="s">
        <v>4583</v>
      </c>
      <c r="O603" s="169" t="s">
        <v>2958</v>
      </c>
      <c r="P603" s="168" t="s">
        <v>3112</v>
      </c>
      <c r="Q603" s="173"/>
      <c r="R603" s="167">
        <v>880000.0</v>
      </c>
      <c r="S603" s="173"/>
      <c r="T603" s="173"/>
      <c r="U603" s="173"/>
      <c r="V603" s="168" t="s">
        <v>3799</v>
      </c>
      <c r="W603" s="169"/>
      <c r="X603" s="219">
        <v>45538.0</v>
      </c>
    </row>
    <row r="604" ht="15.0" customHeight="1">
      <c r="A604" s="127">
        <v>45520.0</v>
      </c>
      <c r="B604" s="181" t="s">
        <v>4580</v>
      </c>
      <c r="C604" s="56" t="s">
        <v>2954</v>
      </c>
      <c r="D604" s="73" t="str">
        <f>IFERROR(VLOOKUP(C604,Stock,3,FALSE),"")</f>
        <v>Transport</v>
      </c>
      <c r="E604" s="56">
        <v>1.0</v>
      </c>
      <c r="F604" s="161">
        <v>20000.0</v>
      </c>
      <c r="G604" s="162">
        <f t="shared" si="10"/>
        <v>20000</v>
      </c>
      <c r="H604" s="194"/>
      <c r="I604" s="161">
        <f t="shared" si="11"/>
        <v>20000</v>
      </c>
      <c r="J604" s="164">
        <f t="shared" si="12"/>
        <v>20000</v>
      </c>
      <c r="K604" s="56" t="s">
        <v>4581</v>
      </c>
      <c r="L604" s="165" t="s">
        <v>4582</v>
      </c>
      <c r="M604" s="73"/>
      <c r="N604" s="169" t="s">
        <v>4583</v>
      </c>
      <c r="O604" s="169" t="s">
        <v>2958</v>
      </c>
      <c r="P604" s="168" t="s">
        <v>3112</v>
      </c>
      <c r="Q604" s="173"/>
      <c r="R604" s="167">
        <v>20000.0</v>
      </c>
      <c r="S604" s="173"/>
      <c r="T604" s="173"/>
      <c r="U604" s="173"/>
      <c r="V604" s="168" t="s">
        <v>3799</v>
      </c>
      <c r="W604" s="169"/>
      <c r="X604" s="219">
        <v>45538.0</v>
      </c>
    </row>
    <row r="605" ht="15.0" customHeight="1">
      <c r="A605" s="127">
        <v>45523.0</v>
      </c>
      <c r="B605" s="181" t="s">
        <v>4584</v>
      </c>
      <c r="C605" s="56" t="s">
        <v>2954</v>
      </c>
      <c r="D605" s="73" t="str">
        <f>IFERROR(VLOOKUP(C605,Stock,3,FALSE),"")</f>
        <v>Transport</v>
      </c>
      <c r="E605" s="56">
        <v>1.0</v>
      </c>
      <c r="F605" s="161">
        <v>75000.0</v>
      </c>
      <c r="G605" s="162">
        <f t="shared" si="10"/>
        <v>75000</v>
      </c>
      <c r="H605" s="194"/>
      <c r="I605" s="161">
        <f t="shared" si="11"/>
        <v>75000</v>
      </c>
      <c r="J605" s="164">
        <f t="shared" si="12"/>
        <v>75000</v>
      </c>
      <c r="K605" s="197" t="s">
        <v>4585</v>
      </c>
      <c r="L605" s="165" t="s">
        <v>4586</v>
      </c>
      <c r="M605" s="73"/>
      <c r="N605" s="169" t="s">
        <v>4587</v>
      </c>
      <c r="O605" s="169" t="s">
        <v>2958</v>
      </c>
      <c r="P605" s="168" t="s">
        <v>3112</v>
      </c>
      <c r="Q605" s="247">
        <v>75000.0</v>
      </c>
      <c r="R605" s="173"/>
      <c r="S605" s="173"/>
      <c r="T605" s="173"/>
      <c r="U605" s="173"/>
      <c r="V605" s="168" t="s">
        <v>3799</v>
      </c>
      <c r="W605" s="169"/>
      <c r="X605" s="248">
        <v>45360.0</v>
      </c>
    </row>
    <row r="606" ht="15.0" customHeight="1">
      <c r="A606" s="127">
        <v>45523.0</v>
      </c>
      <c r="B606" s="181" t="s">
        <v>4588</v>
      </c>
      <c r="C606" s="56" t="s">
        <v>3186</v>
      </c>
      <c r="D606" s="73" t="str">
        <f>IFERROR(VLOOKUP(C606,Stock,3,FALSE),"")</f>
        <v>Daihatsu Gran Max / Luxio 07-</v>
      </c>
      <c r="E606" s="56">
        <v>1.0</v>
      </c>
      <c r="F606" s="161">
        <v>1048000.0</v>
      </c>
      <c r="G606" s="162">
        <f t="shared" si="10"/>
        <v>1048000</v>
      </c>
      <c r="H606" s="194"/>
      <c r="I606" s="161">
        <f t="shared" si="11"/>
        <v>1048000</v>
      </c>
      <c r="J606" s="164">
        <f t="shared" si="12"/>
        <v>1048000</v>
      </c>
      <c r="K606" s="56" t="s">
        <v>4589</v>
      </c>
      <c r="L606" s="170" t="s">
        <v>4590</v>
      </c>
      <c r="M606" s="73"/>
      <c r="N606" s="203" t="s">
        <v>4591</v>
      </c>
      <c r="O606" s="169" t="s">
        <v>2958</v>
      </c>
      <c r="P606" s="168" t="s">
        <v>3112</v>
      </c>
      <c r="Q606" s="173"/>
      <c r="R606" s="167">
        <v>1767000.0</v>
      </c>
      <c r="S606" s="173"/>
      <c r="T606" s="173"/>
      <c r="U606" s="167">
        <v>716500.0</v>
      </c>
      <c r="V606" s="168" t="s">
        <v>3799</v>
      </c>
      <c r="W606" s="169"/>
      <c r="X606" s="248">
        <v>45360.0</v>
      </c>
    </row>
    <row r="607" ht="15.0" customHeight="1">
      <c r="A607" s="127">
        <v>45523.0</v>
      </c>
      <c r="B607" s="181" t="s">
        <v>4592</v>
      </c>
      <c r="C607" s="56" t="s">
        <v>3045</v>
      </c>
      <c r="D607" s="73" t="str">
        <f>IFERROR(VLOOKUP(C607,Stock,3,FALSE),"")</f>
        <v>Pemasangan Kaca Mobil Depan</v>
      </c>
      <c r="E607" s="56">
        <v>1.0</v>
      </c>
      <c r="F607" s="161">
        <v>500000.0</v>
      </c>
      <c r="G607" s="162">
        <f t="shared" si="10"/>
        <v>500000</v>
      </c>
      <c r="H607" s="194"/>
      <c r="I607" s="161">
        <f t="shared" si="11"/>
        <v>500000</v>
      </c>
      <c r="J607" s="164">
        <f t="shared" si="12"/>
        <v>500000</v>
      </c>
      <c r="K607" s="56" t="s">
        <v>4593</v>
      </c>
      <c r="L607" s="165" t="s">
        <v>4594</v>
      </c>
      <c r="M607" s="73"/>
      <c r="N607" s="169" t="s">
        <v>4595</v>
      </c>
      <c r="O607" s="169" t="s">
        <v>2958</v>
      </c>
      <c r="P607" s="168" t="s">
        <v>4002</v>
      </c>
      <c r="Q607" s="247">
        <v>500000.0</v>
      </c>
      <c r="R607" s="173"/>
      <c r="S607" s="173"/>
      <c r="T607" s="173"/>
      <c r="U607" s="173"/>
      <c r="V607" s="168" t="s">
        <v>3799</v>
      </c>
      <c r="W607" s="169"/>
      <c r="X607" s="248">
        <v>45360.0</v>
      </c>
    </row>
    <row r="608" ht="15.0" customHeight="1">
      <c r="A608" s="127">
        <v>45523.0</v>
      </c>
      <c r="B608" s="181" t="s">
        <v>4596</v>
      </c>
      <c r="C608" s="56" t="s">
        <v>4178</v>
      </c>
      <c r="D608" s="73" t="str">
        <f>IFERROR(VLOOKUP(C608,Stock,3,FALSE),"")</f>
        <v>Honda BR-V 16-</v>
      </c>
      <c r="E608" s="56">
        <v>1.0</v>
      </c>
      <c r="F608" s="161">
        <v>1533000.0</v>
      </c>
      <c r="G608" s="162">
        <f t="shared" si="10"/>
        <v>1533000</v>
      </c>
      <c r="H608" s="194"/>
      <c r="I608" s="161">
        <f t="shared" si="11"/>
        <v>1533000</v>
      </c>
      <c r="J608" s="164">
        <f t="shared" si="12"/>
        <v>1533000</v>
      </c>
      <c r="K608" s="56" t="s">
        <v>4597</v>
      </c>
      <c r="L608" s="165" t="s">
        <v>4598</v>
      </c>
      <c r="M608" s="56" t="s">
        <v>4599</v>
      </c>
      <c r="N608" s="169" t="s">
        <v>4600</v>
      </c>
      <c r="O608" s="169" t="s">
        <v>2958</v>
      </c>
      <c r="P608" s="168" t="s">
        <v>3112</v>
      </c>
      <c r="Q608" s="173"/>
      <c r="R608" s="167">
        <v>1533000.0</v>
      </c>
      <c r="S608" s="173"/>
      <c r="T608" s="173"/>
      <c r="U608" s="173"/>
      <c r="V608" s="168" t="s">
        <v>3883</v>
      </c>
      <c r="W608" s="169"/>
      <c r="X608" s="248">
        <v>45360.0</v>
      </c>
    </row>
    <row r="609" ht="15.0" customHeight="1">
      <c r="A609" s="127">
        <v>45523.0</v>
      </c>
      <c r="B609" s="181" t="s">
        <v>4596</v>
      </c>
      <c r="C609" s="56" t="s">
        <v>4027</v>
      </c>
      <c r="D609" s="73" t="str">
        <f>IFERROR(VLOOKUP(C609,Stock,3,FALSE),"")</f>
        <v>501 Sealant Application</v>
      </c>
      <c r="E609" s="56">
        <v>1.0</v>
      </c>
      <c r="F609" s="161">
        <v>100000.0</v>
      </c>
      <c r="G609" s="162">
        <f t="shared" si="10"/>
        <v>100000</v>
      </c>
      <c r="H609" s="194"/>
      <c r="I609" s="161">
        <f t="shared" si="11"/>
        <v>100000</v>
      </c>
      <c r="J609" s="164">
        <f t="shared" si="12"/>
        <v>100000</v>
      </c>
      <c r="K609" s="56" t="s">
        <v>4597</v>
      </c>
      <c r="L609" s="165" t="s">
        <v>4598</v>
      </c>
      <c r="M609" s="73"/>
      <c r="N609" s="169" t="s">
        <v>4600</v>
      </c>
      <c r="O609" s="169" t="s">
        <v>2958</v>
      </c>
      <c r="P609" s="168" t="s">
        <v>3112</v>
      </c>
      <c r="Q609" s="173"/>
      <c r="R609" s="167">
        <v>100000.0</v>
      </c>
      <c r="S609" s="173"/>
      <c r="T609" s="173"/>
      <c r="U609" s="173"/>
      <c r="V609" s="168" t="s">
        <v>3883</v>
      </c>
      <c r="W609" s="169"/>
      <c r="X609" s="248">
        <v>45360.0</v>
      </c>
    </row>
    <row r="610" ht="15.0" customHeight="1">
      <c r="A610" s="127">
        <v>45523.0</v>
      </c>
      <c r="B610" s="181" t="s">
        <v>4601</v>
      </c>
      <c r="C610" s="56" t="s">
        <v>2734</v>
      </c>
      <c r="D610" s="73" t="str">
        <f>IFERROR(VLOOKUP(C610,Stock,3,FALSE),"")</f>
        <v>Honda Jazz 07-13 2nd Gen</v>
      </c>
      <c r="E610" s="56">
        <v>1.0</v>
      </c>
      <c r="F610" s="161">
        <v>1418000.0</v>
      </c>
      <c r="G610" s="162">
        <f t="shared" si="10"/>
        <v>1418000</v>
      </c>
      <c r="H610" s="201">
        <v>18000.0</v>
      </c>
      <c r="I610" s="161">
        <f t="shared" si="11"/>
        <v>1400000</v>
      </c>
      <c r="J610" s="164">
        <f t="shared" si="12"/>
        <v>1400000</v>
      </c>
      <c r="K610" s="56" t="s">
        <v>4602</v>
      </c>
      <c r="L610" s="165" t="s">
        <v>4603</v>
      </c>
      <c r="M610" s="73"/>
      <c r="N610" s="171"/>
      <c r="O610" s="169" t="s">
        <v>2958</v>
      </c>
      <c r="P610" s="168" t="s">
        <v>3112</v>
      </c>
      <c r="Q610" s="173"/>
      <c r="R610" s="167">
        <v>1400000.0</v>
      </c>
      <c r="S610" s="173"/>
      <c r="T610" s="173"/>
      <c r="U610" s="173"/>
      <c r="V610" s="168" t="s">
        <v>3883</v>
      </c>
      <c r="W610" s="169"/>
      <c r="X610" s="248">
        <v>45360.0</v>
      </c>
    </row>
    <row r="611" ht="15.0" customHeight="1">
      <c r="A611" s="127">
        <v>45523.0</v>
      </c>
      <c r="B611" s="181" t="s">
        <v>4601</v>
      </c>
      <c r="C611" s="56" t="s">
        <v>2934</v>
      </c>
      <c r="D611" s="73" t="str">
        <f>IFERROR(VLOOKUP(C611,Stock,3,FALSE),"")</f>
        <v>Peti Kayu</v>
      </c>
      <c r="E611" s="56">
        <v>1.0</v>
      </c>
      <c r="F611" s="161">
        <v>160000.0</v>
      </c>
      <c r="G611" s="162">
        <f t="shared" ref="G611:G660" si="13">$E$611*F611</f>
        <v>160000</v>
      </c>
      <c r="H611" s="194"/>
      <c r="I611" s="161">
        <f t="shared" si="11"/>
        <v>160000</v>
      </c>
      <c r="J611" s="164">
        <f t="shared" si="12"/>
        <v>160000</v>
      </c>
      <c r="K611" s="56" t="s">
        <v>4602</v>
      </c>
      <c r="L611" s="165" t="s">
        <v>4603</v>
      </c>
      <c r="M611" s="73"/>
      <c r="N611" s="171"/>
      <c r="O611" s="169" t="s">
        <v>2958</v>
      </c>
      <c r="P611" s="168" t="s">
        <v>3112</v>
      </c>
      <c r="Q611" s="173"/>
      <c r="R611" s="167">
        <v>160000.0</v>
      </c>
      <c r="S611" s="173"/>
      <c r="T611" s="173"/>
      <c r="U611" s="173"/>
      <c r="V611" s="168" t="s">
        <v>3883</v>
      </c>
      <c r="W611" s="169"/>
      <c r="X611" s="248">
        <v>45360.0</v>
      </c>
    </row>
    <row r="612" ht="15.0" customHeight="1">
      <c r="A612" s="127">
        <v>45523.0</v>
      </c>
      <c r="B612" s="181" t="s">
        <v>4604</v>
      </c>
      <c r="C612" s="56" t="s">
        <v>4038</v>
      </c>
      <c r="D612" s="73" t="str">
        <f>IFERROR(VLOOKUP(C612,Stock,3,FALSE),"")</f>
        <v>Suzuki Carry New 19-</v>
      </c>
      <c r="E612" s="56">
        <v>1.0</v>
      </c>
      <c r="F612" s="161">
        <v>840000.0</v>
      </c>
      <c r="G612" s="162">
        <f t="shared" si="13"/>
        <v>840000</v>
      </c>
      <c r="H612" s="194"/>
      <c r="I612" s="161">
        <f t="shared" si="11"/>
        <v>840000</v>
      </c>
      <c r="J612" s="164">
        <f t="shared" si="12"/>
        <v>840000</v>
      </c>
      <c r="K612" s="56" t="s">
        <v>4605</v>
      </c>
      <c r="L612" s="165" t="s">
        <v>4606</v>
      </c>
      <c r="M612" s="73"/>
      <c r="N612" s="171"/>
      <c r="O612" s="169" t="s">
        <v>2958</v>
      </c>
      <c r="P612" s="168" t="s">
        <v>3112</v>
      </c>
      <c r="Q612" s="173"/>
      <c r="R612" s="167">
        <v>840000.0</v>
      </c>
      <c r="S612" s="173"/>
      <c r="T612" s="173"/>
      <c r="U612" s="173"/>
      <c r="V612" s="168" t="s">
        <v>3799</v>
      </c>
      <c r="W612" s="169"/>
      <c r="X612" s="248">
        <v>45360.0</v>
      </c>
    </row>
    <row r="613" ht="15.0" customHeight="1">
      <c r="A613" s="127">
        <v>45523.0</v>
      </c>
      <c r="B613" s="181" t="s">
        <v>4604</v>
      </c>
      <c r="C613" s="56" t="s">
        <v>2934</v>
      </c>
      <c r="D613" s="73" t="str">
        <f>IFERROR(VLOOKUP(C613,Stock,3,FALSE),"")</f>
        <v>Peti Kayu</v>
      </c>
      <c r="E613" s="56">
        <v>1.0</v>
      </c>
      <c r="F613" s="161">
        <v>160000.0</v>
      </c>
      <c r="G613" s="162">
        <f t="shared" si="13"/>
        <v>160000</v>
      </c>
      <c r="H613" s="194"/>
      <c r="I613" s="161">
        <f t="shared" si="11"/>
        <v>160000</v>
      </c>
      <c r="J613" s="164">
        <f t="shared" si="12"/>
        <v>160000</v>
      </c>
      <c r="K613" s="56" t="s">
        <v>4605</v>
      </c>
      <c r="L613" s="165" t="s">
        <v>4606</v>
      </c>
      <c r="M613" s="73"/>
      <c r="N613" s="171"/>
      <c r="O613" s="169" t="s">
        <v>2958</v>
      </c>
      <c r="P613" s="168" t="s">
        <v>3112</v>
      </c>
      <c r="Q613" s="173"/>
      <c r="R613" s="167">
        <v>160000.0</v>
      </c>
      <c r="S613" s="173"/>
      <c r="T613" s="173"/>
      <c r="U613" s="173"/>
      <c r="V613" s="168" t="s">
        <v>3799</v>
      </c>
      <c r="W613" s="169"/>
      <c r="X613" s="248">
        <v>45360.0</v>
      </c>
    </row>
    <row r="614" ht="15.0" customHeight="1">
      <c r="A614" s="127">
        <v>45523.0</v>
      </c>
      <c r="B614" s="181" t="s">
        <v>4604</v>
      </c>
      <c r="C614" s="169" t="s">
        <v>2954</v>
      </c>
      <c r="D614" s="73" t="str">
        <f>IFERROR(VLOOKUP(C614,Stock,3,FALSE),"")</f>
        <v>Transport</v>
      </c>
      <c r="E614" s="56">
        <v>1.0</v>
      </c>
      <c r="F614" s="161">
        <v>75000.0</v>
      </c>
      <c r="G614" s="162">
        <f t="shared" si="13"/>
        <v>75000</v>
      </c>
      <c r="H614" s="194"/>
      <c r="I614" s="161">
        <f t="shared" si="11"/>
        <v>75000</v>
      </c>
      <c r="J614" s="164">
        <f t="shared" si="12"/>
        <v>75000</v>
      </c>
      <c r="K614" s="56" t="s">
        <v>4605</v>
      </c>
      <c r="L614" s="165" t="s">
        <v>4606</v>
      </c>
      <c r="M614" s="73"/>
      <c r="N614" s="171"/>
      <c r="O614" s="169" t="s">
        <v>2958</v>
      </c>
      <c r="P614" s="168" t="s">
        <v>3112</v>
      </c>
      <c r="Q614" s="173"/>
      <c r="R614" s="167">
        <v>75000.0</v>
      </c>
      <c r="S614" s="173"/>
      <c r="T614" s="173"/>
      <c r="U614" s="173"/>
      <c r="V614" s="168" t="s">
        <v>3799</v>
      </c>
      <c r="W614" s="169"/>
      <c r="X614" s="248">
        <v>45360.0</v>
      </c>
    </row>
    <row r="615" ht="15.0" customHeight="1">
      <c r="A615" s="127">
        <v>45523.0</v>
      </c>
      <c r="B615" s="181" t="s">
        <v>4607</v>
      </c>
      <c r="C615" s="56" t="s">
        <v>4608</v>
      </c>
      <c r="D615" s="73" t="str">
        <f>IFERROR(VLOOKUP(C615,Stock,3,FALSE),"")</f>
        <v>Suzuki APV 03- Van</v>
      </c>
      <c r="E615" s="56">
        <v>1.0</v>
      </c>
      <c r="F615" s="161">
        <v>615000.0</v>
      </c>
      <c r="G615" s="162">
        <f t="shared" si="13"/>
        <v>615000</v>
      </c>
      <c r="H615" s="194"/>
      <c r="I615" s="161">
        <f t="shared" si="11"/>
        <v>615000</v>
      </c>
      <c r="J615" s="164">
        <f t="shared" si="12"/>
        <v>615000</v>
      </c>
      <c r="K615" s="56" t="s">
        <v>4609</v>
      </c>
      <c r="L615" s="165" t="s">
        <v>4610</v>
      </c>
      <c r="M615" s="73"/>
      <c r="N615" s="171"/>
      <c r="O615" s="169" t="s">
        <v>2958</v>
      </c>
      <c r="P615" s="168" t="s">
        <v>4452</v>
      </c>
      <c r="Q615" s="173"/>
      <c r="R615" s="167">
        <v>615000.0</v>
      </c>
      <c r="S615" s="173"/>
      <c r="T615" s="173"/>
      <c r="U615" s="173"/>
      <c r="V615" s="168" t="s">
        <v>3883</v>
      </c>
      <c r="W615" s="169"/>
      <c r="X615" s="248">
        <v>45360.0</v>
      </c>
    </row>
    <row r="616" ht="15.0" customHeight="1">
      <c r="A616" s="127">
        <v>45523.0</v>
      </c>
      <c r="B616" s="181" t="s">
        <v>4607</v>
      </c>
      <c r="C616" s="56" t="s">
        <v>2954</v>
      </c>
      <c r="D616" s="73" t="str">
        <f>IFERROR(VLOOKUP(C616,Stock,3,FALSE),"")</f>
        <v>Transport</v>
      </c>
      <c r="E616" s="56">
        <v>1.0</v>
      </c>
      <c r="F616" s="161">
        <v>30000.0</v>
      </c>
      <c r="G616" s="162">
        <f t="shared" si="13"/>
        <v>30000</v>
      </c>
      <c r="H616" s="194"/>
      <c r="I616" s="161">
        <f t="shared" si="11"/>
        <v>30000</v>
      </c>
      <c r="J616" s="164">
        <f t="shared" si="12"/>
        <v>30000</v>
      </c>
      <c r="K616" s="56" t="s">
        <v>4609</v>
      </c>
      <c r="L616" s="165" t="s">
        <v>4611</v>
      </c>
      <c r="M616" s="73"/>
      <c r="N616" s="171"/>
      <c r="O616" s="169" t="s">
        <v>2958</v>
      </c>
      <c r="P616" s="168" t="s">
        <v>4452</v>
      </c>
      <c r="Q616" s="173"/>
      <c r="R616" s="167">
        <v>30000.0</v>
      </c>
      <c r="S616" s="173"/>
      <c r="T616" s="173"/>
      <c r="U616" s="173"/>
      <c r="V616" s="168" t="s">
        <v>3883</v>
      </c>
      <c r="W616" s="169"/>
      <c r="X616" s="248">
        <v>45360.0</v>
      </c>
    </row>
    <row r="617" ht="15.0" customHeight="1">
      <c r="A617" s="127">
        <v>45523.0</v>
      </c>
      <c r="B617" s="181" t="s">
        <v>4612</v>
      </c>
      <c r="C617" s="56" t="s">
        <v>4613</v>
      </c>
      <c r="D617" s="73" t="str">
        <f>IFERROR(VLOOKUP(C617,Stock,3,FALSE),"")</f>
        <v>Honda Freed 08-16 1st gen</v>
      </c>
      <c r="E617" s="56">
        <v>1.0</v>
      </c>
      <c r="F617" s="161">
        <v>1496000.0</v>
      </c>
      <c r="G617" s="162">
        <f t="shared" si="13"/>
        <v>1496000</v>
      </c>
      <c r="H617" s="194"/>
      <c r="I617" s="161">
        <f t="shared" si="11"/>
        <v>1496000</v>
      </c>
      <c r="J617" s="164">
        <f t="shared" si="12"/>
        <v>1496000</v>
      </c>
      <c r="K617" s="205" t="s">
        <v>4614</v>
      </c>
      <c r="L617" s="165" t="s">
        <v>4615</v>
      </c>
      <c r="M617" s="73"/>
      <c r="N617" s="169" t="s">
        <v>4616</v>
      </c>
      <c r="O617" s="169" t="s">
        <v>2958</v>
      </c>
      <c r="P617" s="168" t="s">
        <v>3112</v>
      </c>
      <c r="Q617" s="247">
        <v>1500000.0</v>
      </c>
      <c r="R617" s="173"/>
      <c r="S617" s="173"/>
      <c r="T617" s="173"/>
      <c r="U617" s="167">
        <v>4000.0</v>
      </c>
      <c r="V617" s="168" t="s">
        <v>3799</v>
      </c>
      <c r="W617" s="169"/>
      <c r="X617" s="248">
        <v>45360.0</v>
      </c>
    </row>
    <row r="618" ht="15.0" customHeight="1">
      <c r="A618" s="127">
        <v>45524.0</v>
      </c>
      <c r="B618" s="181" t="s">
        <v>4617</v>
      </c>
      <c r="C618" s="56" t="s">
        <v>2730</v>
      </c>
      <c r="D618" s="73" t="str">
        <f>IFERROR(VLOOKUP(C618,Stock,3,FALSE),"")</f>
        <v>Honda HR-V 14-21 5D SUV (Honda)</v>
      </c>
      <c r="E618" s="56">
        <v>1.0</v>
      </c>
      <c r="F618" s="161">
        <v>3056000.0</v>
      </c>
      <c r="G618" s="162">
        <f t="shared" si="13"/>
        <v>3056000</v>
      </c>
      <c r="H618" s="194"/>
      <c r="I618" s="161">
        <f t="shared" si="11"/>
        <v>3056000</v>
      </c>
      <c r="J618" s="164">
        <f t="shared" si="12"/>
        <v>3056000</v>
      </c>
      <c r="K618" s="56" t="s">
        <v>4618</v>
      </c>
      <c r="L618" s="165" t="s">
        <v>4619</v>
      </c>
      <c r="M618" s="56" t="s">
        <v>4620</v>
      </c>
      <c r="N618" s="169" t="s">
        <v>4621</v>
      </c>
      <c r="O618" s="169" t="s">
        <v>2968</v>
      </c>
      <c r="P618" s="168" t="s">
        <v>3112</v>
      </c>
      <c r="Q618" s="167">
        <v>3056000.0</v>
      </c>
      <c r="R618" s="173"/>
      <c r="S618" s="173"/>
      <c r="T618" s="173"/>
      <c r="U618" s="173"/>
      <c r="V618" s="168" t="s">
        <v>3883</v>
      </c>
      <c r="W618" s="169"/>
      <c r="X618" s="248">
        <v>45360.0</v>
      </c>
    </row>
    <row r="619" ht="15.0" customHeight="1">
      <c r="A619" s="127">
        <v>45524.0</v>
      </c>
      <c r="B619" s="181" t="s">
        <v>4622</v>
      </c>
      <c r="C619" s="56" t="s">
        <v>4623</v>
      </c>
      <c r="D619" s="73" t="str">
        <f>IFERROR(VLOOKUP(C619,Stock,3,FALSE),"")</f>
        <v>Toyota Innova 15- 2nd Gen</v>
      </c>
      <c r="E619" s="56">
        <v>1.0</v>
      </c>
      <c r="F619" s="161">
        <v>1319000.0</v>
      </c>
      <c r="G619" s="162">
        <f t="shared" si="13"/>
        <v>1319000</v>
      </c>
      <c r="H619" s="194"/>
      <c r="I619" s="161">
        <f t="shared" si="11"/>
        <v>1319000</v>
      </c>
      <c r="J619" s="164">
        <f t="shared" si="12"/>
        <v>1319000</v>
      </c>
      <c r="K619" s="56" t="s">
        <v>4624</v>
      </c>
      <c r="L619" s="165" t="s">
        <v>4625</v>
      </c>
      <c r="M619" s="73"/>
      <c r="N619" s="249" t="s">
        <v>4626</v>
      </c>
      <c r="O619" s="169" t="s">
        <v>3037</v>
      </c>
      <c r="P619" s="168" t="s">
        <v>3112</v>
      </c>
      <c r="Q619" s="167">
        <v>1320000.0</v>
      </c>
      <c r="R619" s="173"/>
      <c r="S619" s="173"/>
      <c r="T619" s="173"/>
      <c r="U619" s="167">
        <v>1000.0</v>
      </c>
      <c r="V619" s="168" t="s">
        <v>3799</v>
      </c>
      <c r="W619" s="169"/>
      <c r="X619" s="248">
        <v>45360.0</v>
      </c>
    </row>
    <row r="620" ht="15.0" customHeight="1">
      <c r="A620" s="127">
        <v>45524.0</v>
      </c>
      <c r="B620" s="181" t="s">
        <v>4627</v>
      </c>
      <c r="C620" s="56" t="s">
        <v>4628</v>
      </c>
      <c r="D620" s="73" t="str">
        <f>IFERROR(VLOOKUP(C620,Stock,3,FALSE),"")</f>
        <v>Mazda 2 09-14 3rd Gen Hatchback</v>
      </c>
      <c r="E620" s="56">
        <v>1.0</v>
      </c>
      <c r="F620" s="161">
        <v>1161000.0</v>
      </c>
      <c r="G620" s="162">
        <f t="shared" si="13"/>
        <v>1161000</v>
      </c>
      <c r="H620" s="194"/>
      <c r="I620" s="161">
        <f t="shared" si="11"/>
        <v>1161000</v>
      </c>
      <c r="J620" s="164">
        <f t="shared" si="12"/>
        <v>1161000</v>
      </c>
      <c r="K620" s="56" t="s">
        <v>4629</v>
      </c>
      <c r="L620" s="165" t="s">
        <v>4630</v>
      </c>
      <c r="M620" s="73"/>
      <c r="N620" s="171"/>
      <c r="O620" s="169" t="s">
        <v>3710</v>
      </c>
      <c r="P620" s="168" t="s">
        <v>3112</v>
      </c>
      <c r="Q620" s="173"/>
      <c r="R620" s="167">
        <v>1161000.0</v>
      </c>
      <c r="S620" s="173"/>
      <c r="T620" s="173"/>
      <c r="U620" s="173"/>
      <c r="V620" s="168" t="s">
        <v>3883</v>
      </c>
      <c r="W620" s="169"/>
      <c r="X620" s="248">
        <v>45360.0</v>
      </c>
    </row>
    <row r="621" ht="15.0" customHeight="1">
      <c r="A621" s="127">
        <v>45524.0</v>
      </c>
      <c r="B621" s="181" t="s">
        <v>4627</v>
      </c>
      <c r="C621" s="56" t="s">
        <v>2934</v>
      </c>
      <c r="D621" s="73" t="str">
        <f>IFERROR(VLOOKUP(C621,Stock,3,FALSE),"")</f>
        <v>Peti Kayu</v>
      </c>
      <c r="E621" s="56">
        <v>1.0</v>
      </c>
      <c r="F621" s="161">
        <v>160000.0</v>
      </c>
      <c r="G621" s="162">
        <f t="shared" si="13"/>
        <v>160000</v>
      </c>
      <c r="H621" s="194"/>
      <c r="I621" s="161">
        <f t="shared" si="11"/>
        <v>160000</v>
      </c>
      <c r="J621" s="164">
        <f t="shared" si="12"/>
        <v>160000</v>
      </c>
      <c r="K621" s="56" t="s">
        <v>4629</v>
      </c>
      <c r="L621" s="165" t="s">
        <v>4631</v>
      </c>
      <c r="M621" s="73"/>
      <c r="N621" s="171"/>
      <c r="O621" s="169" t="s">
        <v>3710</v>
      </c>
      <c r="P621" s="168" t="s">
        <v>3112</v>
      </c>
      <c r="Q621" s="173"/>
      <c r="R621" s="167">
        <v>160000.0</v>
      </c>
      <c r="S621" s="173"/>
      <c r="T621" s="173"/>
      <c r="U621" s="173"/>
      <c r="V621" s="168" t="s">
        <v>3883</v>
      </c>
      <c r="W621" s="169"/>
      <c r="X621" s="248">
        <v>45360.0</v>
      </c>
    </row>
    <row r="622" ht="15.0" customHeight="1">
      <c r="A622" s="127">
        <v>45524.0</v>
      </c>
      <c r="B622" s="181" t="s">
        <v>4632</v>
      </c>
      <c r="C622" s="56" t="s">
        <v>2785</v>
      </c>
      <c r="D622" s="73" t="str">
        <f>IFERROR(VLOOKUP(C622,Stock,3,FALSE),"")</f>
        <v>Suzuki Swift 11-17 2nd Gen</v>
      </c>
      <c r="E622" s="56">
        <v>1.0</v>
      </c>
      <c r="F622" s="161">
        <v>1296000.0</v>
      </c>
      <c r="G622" s="162">
        <f t="shared" si="13"/>
        <v>1296000</v>
      </c>
      <c r="H622" s="194"/>
      <c r="I622" s="161">
        <f t="shared" si="11"/>
        <v>1296000</v>
      </c>
      <c r="J622" s="164">
        <f t="shared" si="12"/>
        <v>1296000</v>
      </c>
      <c r="K622" s="56" t="s">
        <v>4633</v>
      </c>
      <c r="L622" s="165" t="s">
        <v>4634</v>
      </c>
      <c r="M622" s="73"/>
      <c r="N622" s="171"/>
      <c r="O622" s="169" t="s">
        <v>2958</v>
      </c>
      <c r="P622" s="168" t="s">
        <v>3112</v>
      </c>
      <c r="Q622" s="173"/>
      <c r="R622" s="167">
        <v>1296000.0</v>
      </c>
      <c r="S622" s="173"/>
      <c r="T622" s="173"/>
      <c r="U622" s="173"/>
      <c r="V622" s="168" t="s">
        <v>3883</v>
      </c>
      <c r="W622" s="169"/>
      <c r="X622" s="248">
        <v>45360.0</v>
      </c>
    </row>
    <row r="623" ht="15.0" customHeight="1">
      <c r="A623" s="127">
        <v>45525.0</v>
      </c>
      <c r="B623" s="181" t="s">
        <v>4635</v>
      </c>
      <c r="C623" s="56" t="s">
        <v>2669</v>
      </c>
      <c r="D623" s="73" t="str">
        <f>IFERROR(VLOOKUP(C623,Stock,3,FALSE),"")</f>
        <v>Nissan Livina 07-18 L10/L11</v>
      </c>
      <c r="E623" s="56">
        <v>1.0</v>
      </c>
      <c r="F623" s="161">
        <v>1422000.0</v>
      </c>
      <c r="G623" s="162">
        <f t="shared" si="13"/>
        <v>1422000</v>
      </c>
      <c r="H623" s="194"/>
      <c r="I623" s="161">
        <f t="shared" si="11"/>
        <v>1422000</v>
      </c>
      <c r="J623" s="164">
        <f t="shared" si="12"/>
        <v>1422000</v>
      </c>
      <c r="K623" s="56" t="s">
        <v>4636</v>
      </c>
      <c r="L623" s="165" t="s">
        <v>4637</v>
      </c>
      <c r="M623" s="73"/>
      <c r="N623" s="169" t="s">
        <v>4638</v>
      </c>
      <c r="O623" s="169" t="s">
        <v>2958</v>
      </c>
      <c r="P623" s="168" t="s">
        <v>3112</v>
      </c>
      <c r="Q623" s="173"/>
      <c r="R623" s="167">
        <v>1422000.0</v>
      </c>
      <c r="S623" s="173"/>
      <c r="T623" s="173"/>
      <c r="U623" s="173"/>
      <c r="V623" s="168" t="s">
        <v>3883</v>
      </c>
      <c r="W623" s="169"/>
      <c r="X623" s="248">
        <v>45360.0</v>
      </c>
    </row>
    <row r="624" ht="15.0" customHeight="1">
      <c r="A624" s="127">
        <v>45525.0</v>
      </c>
      <c r="B624" s="181" t="s">
        <v>4639</v>
      </c>
      <c r="C624" s="56" t="s">
        <v>3795</v>
      </c>
      <c r="D624" s="73" t="str">
        <f>IFERROR(VLOOKUP(C624,Stock,3,FALSE),"")</f>
        <v>Toyota Innova 04-15 1st Gen</v>
      </c>
      <c r="E624" s="56">
        <v>1.0</v>
      </c>
      <c r="F624" s="161">
        <v>1322000.0</v>
      </c>
      <c r="G624" s="162">
        <f t="shared" si="13"/>
        <v>1322000</v>
      </c>
      <c r="H624" s="194"/>
      <c r="I624" s="161">
        <f t="shared" si="11"/>
        <v>1322000</v>
      </c>
      <c r="J624" s="164">
        <f t="shared" si="12"/>
        <v>1322000</v>
      </c>
      <c r="K624" s="56" t="s">
        <v>4640</v>
      </c>
      <c r="L624" s="165" t="s">
        <v>4362</v>
      </c>
      <c r="M624" s="56" t="s">
        <v>4641</v>
      </c>
      <c r="N624" s="203" t="s">
        <v>4642</v>
      </c>
      <c r="O624" s="169" t="s">
        <v>3213</v>
      </c>
      <c r="P624" s="168" t="s">
        <v>3112</v>
      </c>
      <c r="Q624" s="167">
        <v>1352000.0</v>
      </c>
      <c r="R624" s="173"/>
      <c r="S624" s="173"/>
      <c r="T624" s="173"/>
      <c r="U624" s="167">
        <v>30000.0</v>
      </c>
      <c r="V624" s="168" t="s">
        <v>3883</v>
      </c>
      <c r="W624" s="169"/>
      <c r="X624" s="248">
        <v>45360.0</v>
      </c>
    </row>
    <row r="625" ht="15.0" customHeight="1">
      <c r="A625" s="127">
        <v>45526.0</v>
      </c>
      <c r="B625" s="181" t="s">
        <v>4643</v>
      </c>
      <c r="C625" s="56" t="s">
        <v>4644</v>
      </c>
      <c r="D625" s="73" t="str">
        <f>IFERROR(VLOOKUP(C625,Stock,3,FALSE),"")</f>
        <v>Toyota LandCruiser 02-07 FJ78 / FJ79</v>
      </c>
      <c r="E625" s="56">
        <v>1.0</v>
      </c>
      <c r="F625" s="161">
        <v>1859000.0</v>
      </c>
      <c r="G625" s="162">
        <f t="shared" si="13"/>
        <v>1859000</v>
      </c>
      <c r="H625" s="194"/>
      <c r="I625" s="161">
        <f t="shared" si="11"/>
        <v>1859000</v>
      </c>
      <c r="J625" s="164">
        <f t="shared" si="12"/>
        <v>1859000</v>
      </c>
      <c r="K625" s="56" t="s">
        <v>4645</v>
      </c>
      <c r="L625" s="165" t="s">
        <v>4646</v>
      </c>
      <c r="M625" s="73"/>
      <c r="N625" s="171"/>
      <c r="O625" s="169" t="s">
        <v>4647</v>
      </c>
      <c r="P625" s="168" t="s">
        <v>3112</v>
      </c>
      <c r="Q625" s="173"/>
      <c r="R625" s="167">
        <v>1859000.0</v>
      </c>
      <c r="S625" s="173"/>
      <c r="T625" s="173"/>
      <c r="U625" s="173"/>
      <c r="V625" s="168" t="s">
        <v>3883</v>
      </c>
      <c r="W625" s="169"/>
      <c r="X625" s="248">
        <v>45360.0</v>
      </c>
    </row>
    <row r="626" ht="15.0" customHeight="1">
      <c r="A626" s="127">
        <v>45526.0</v>
      </c>
      <c r="B626" s="181" t="s">
        <v>4643</v>
      </c>
      <c r="C626" s="56" t="s">
        <v>2934</v>
      </c>
      <c r="D626" s="73" t="str">
        <f>IFERROR(VLOOKUP(C626,Stock,3,FALSE),"")</f>
        <v>Peti Kayu</v>
      </c>
      <c r="E626" s="56">
        <v>1.0</v>
      </c>
      <c r="F626" s="161">
        <v>160000.0</v>
      </c>
      <c r="G626" s="162">
        <f t="shared" si="13"/>
        <v>160000</v>
      </c>
      <c r="H626" s="194"/>
      <c r="I626" s="161">
        <f t="shared" si="11"/>
        <v>160000</v>
      </c>
      <c r="J626" s="164">
        <f t="shared" si="12"/>
        <v>160000</v>
      </c>
      <c r="K626" s="56" t="s">
        <v>4645</v>
      </c>
      <c r="L626" s="165" t="s">
        <v>4648</v>
      </c>
      <c r="M626" s="73"/>
      <c r="N626" s="171"/>
      <c r="O626" s="169" t="s">
        <v>4647</v>
      </c>
      <c r="P626" s="168" t="s">
        <v>3112</v>
      </c>
      <c r="Q626" s="173"/>
      <c r="R626" s="167">
        <v>160000.0</v>
      </c>
      <c r="S626" s="173"/>
      <c r="T626" s="173"/>
      <c r="U626" s="173"/>
      <c r="V626" s="168" t="s">
        <v>3883</v>
      </c>
      <c r="W626" s="169"/>
      <c r="X626" s="248">
        <v>45360.0</v>
      </c>
    </row>
    <row r="627" ht="15.0" customHeight="1">
      <c r="A627" s="127">
        <v>45526.0</v>
      </c>
      <c r="B627" s="181" t="s">
        <v>4649</v>
      </c>
      <c r="C627" s="56" t="s">
        <v>2960</v>
      </c>
      <c r="D627" s="73" t="str">
        <f>IFERROR(VLOOKUP(C627,Stock,3,FALSE),"")</f>
        <v>Toyota Alphard 08-15 ANH20 2nd Gen (Hitam)</v>
      </c>
      <c r="E627" s="56">
        <v>1.0</v>
      </c>
      <c r="F627" s="161">
        <v>2884000.0</v>
      </c>
      <c r="G627" s="162">
        <f t="shared" si="13"/>
        <v>2884000</v>
      </c>
      <c r="H627" s="194"/>
      <c r="I627" s="161">
        <f t="shared" si="11"/>
        <v>2884000</v>
      </c>
      <c r="J627" s="164">
        <f t="shared" si="12"/>
        <v>2884000</v>
      </c>
      <c r="K627" s="56" t="s">
        <v>4650</v>
      </c>
      <c r="L627" s="165" t="s">
        <v>4651</v>
      </c>
      <c r="M627" s="56" t="s">
        <v>4652</v>
      </c>
      <c r="N627" s="169" t="s">
        <v>4653</v>
      </c>
      <c r="O627" s="169" t="s">
        <v>3213</v>
      </c>
      <c r="P627" s="168" t="s">
        <v>3112</v>
      </c>
      <c r="Q627" s="173"/>
      <c r="R627" s="167">
        <v>2884000.0</v>
      </c>
      <c r="S627" s="173"/>
      <c r="T627" s="173"/>
      <c r="U627" s="173"/>
      <c r="V627" s="168" t="s">
        <v>3883</v>
      </c>
      <c r="W627" s="169"/>
      <c r="X627" s="248">
        <v>45360.0</v>
      </c>
    </row>
    <row r="628" ht="15.0" customHeight="1">
      <c r="A628" s="127">
        <v>45527.0</v>
      </c>
      <c r="B628" s="181" t="s">
        <v>4654</v>
      </c>
      <c r="C628" s="228" t="s">
        <v>3099</v>
      </c>
      <c r="D628" s="73" t="str">
        <f>IFERROR(VLOOKUP(C628,Stock,3,FALSE),"")</f>
        <v>Toyota Calya / Sigra 16-</v>
      </c>
      <c r="E628" s="56">
        <v>1.0</v>
      </c>
      <c r="F628" s="161">
        <v>1069000.0</v>
      </c>
      <c r="G628" s="162">
        <f t="shared" si="13"/>
        <v>1069000</v>
      </c>
      <c r="H628" s="194"/>
      <c r="I628" s="161">
        <f t="shared" si="11"/>
        <v>1069000</v>
      </c>
      <c r="J628" s="164">
        <f t="shared" si="12"/>
        <v>1069000</v>
      </c>
      <c r="K628" s="56" t="s">
        <v>4655</v>
      </c>
      <c r="L628" s="165" t="s">
        <v>4656</v>
      </c>
      <c r="M628" s="73"/>
      <c r="N628" s="171"/>
      <c r="O628" s="169" t="s">
        <v>3204</v>
      </c>
      <c r="P628" s="168" t="s">
        <v>2922</v>
      </c>
      <c r="Q628" s="173"/>
      <c r="R628" s="173"/>
      <c r="S628" s="167">
        <v>1069000.0</v>
      </c>
      <c r="T628" s="167">
        <v>69485.0</v>
      </c>
      <c r="U628" s="173"/>
      <c r="V628" s="168" t="s">
        <v>3883</v>
      </c>
      <c r="W628" s="169"/>
      <c r="X628" s="169" t="s">
        <v>2915</v>
      </c>
    </row>
    <row r="629" ht="15.0" customHeight="1">
      <c r="A629" s="127">
        <v>45527.0</v>
      </c>
      <c r="B629" s="181" t="s">
        <v>4654</v>
      </c>
      <c r="C629" s="250" t="s">
        <v>3045</v>
      </c>
      <c r="D629" s="73" t="str">
        <f>IFERROR(VLOOKUP(C629,Stock,3,FALSE),"")</f>
        <v>Pemasangan Kaca Mobil Depan</v>
      </c>
      <c r="E629" s="56">
        <v>1.0</v>
      </c>
      <c r="F629" s="161">
        <v>200000.0</v>
      </c>
      <c r="G629" s="162">
        <f t="shared" si="13"/>
        <v>200000</v>
      </c>
      <c r="H629" s="194"/>
      <c r="I629" s="161">
        <f t="shared" si="11"/>
        <v>200000</v>
      </c>
      <c r="J629" s="164">
        <f t="shared" si="12"/>
        <v>200000</v>
      </c>
      <c r="K629" s="56" t="s">
        <v>4655</v>
      </c>
      <c r="L629" s="165" t="s">
        <v>4656</v>
      </c>
      <c r="M629" s="73"/>
      <c r="N629" s="171"/>
      <c r="O629" s="169" t="s">
        <v>3204</v>
      </c>
      <c r="P629" s="168" t="s">
        <v>2922</v>
      </c>
      <c r="Q629" s="167">
        <v>200000.0</v>
      </c>
      <c r="R629" s="173"/>
      <c r="S629" s="173"/>
      <c r="T629" s="173"/>
      <c r="U629" s="173"/>
      <c r="V629" s="168" t="s">
        <v>3883</v>
      </c>
      <c r="W629" s="169"/>
      <c r="X629" s="219">
        <v>45538.0</v>
      </c>
    </row>
    <row r="630" ht="15.0" customHeight="1">
      <c r="A630" s="127">
        <v>45527.0</v>
      </c>
      <c r="B630" s="181" t="s">
        <v>4654</v>
      </c>
      <c r="C630" s="181" t="s">
        <v>2954</v>
      </c>
      <c r="D630" s="73" t="str">
        <f>IFERROR(VLOOKUP(C630,Stock,3,FALSE),"")</f>
        <v>Transport</v>
      </c>
      <c r="E630" s="56">
        <v>1.0</v>
      </c>
      <c r="F630" s="161">
        <v>75000.0</v>
      </c>
      <c r="G630" s="162">
        <f t="shared" si="13"/>
        <v>75000</v>
      </c>
      <c r="H630" s="194"/>
      <c r="I630" s="161">
        <f t="shared" si="11"/>
        <v>75000</v>
      </c>
      <c r="J630" s="164">
        <f t="shared" si="12"/>
        <v>75000</v>
      </c>
      <c r="K630" s="56" t="s">
        <v>4655</v>
      </c>
      <c r="L630" s="165" t="s">
        <v>4656</v>
      </c>
      <c r="M630" s="73"/>
      <c r="N630" s="171"/>
      <c r="O630" s="169" t="s">
        <v>3204</v>
      </c>
      <c r="P630" s="168" t="s">
        <v>2922</v>
      </c>
      <c r="Q630" s="167">
        <v>75000.0</v>
      </c>
      <c r="R630" s="173"/>
      <c r="S630" s="173"/>
      <c r="T630" s="173"/>
      <c r="U630" s="173"/>
      <c r="V630" s="168" t="s">
        <v>3883</v>
      </c>
      <c r="W630" s="169"/>
      <c r="X630" s="219">
        <v>45538.0</v>
      </c>
    </row>
    <row r="631" ht="15.0" customHeight="1">
      <c r="A631" s="127">
        <v>45528.0</v>
      </c>
      <c r="B631" s="181" t="s">
        <v>4657</v>
      </c>
      <c r="C631" s="251" t="s">
        <v>2541</v>
      </c>
      <c r="D631" s="73" t="str">
        <f>IFERROR(VLOOKUP(C631,Stock,3,FALSE),"")</f>
        <v>Nissan Datsun Go/Go+ 14- (5-Seater)</v>
      </c>
      <c r="E631" s="56">
        <v>1.0</v>
      </c>
      <c r="F631" s="161">
        <v>1370000.0</v>
      </c>
      <c r="G631" s="162">
        <f t="shared" si="13"/>
        <v>1370000</v>
      </c>
      <c r="H631" s="201">
        <v>50000.0</v>
      </c>
      <c r="I631" s="161">
        <f t="shared" si="11"/>
        <v>1320000</v>
      </c>
      <c r="J631" s="164">
        <f t="shared" si="12"/>
        <v>1320000</v>
      </c>
      <c r="K631" s="251" t="s">
        <v>4658</v>
      </c>
      <c r="L631" s="165" t="s">
        <v>4659</v>
      </c>
      <c r="M631" s="56" t="s">
        <v>4660</v>
      </c>
      <c r="N631" s="203" t="s">
        <v>4661</v>
      </c>
      <c r="O631" s="169" t="s">
        <v>2958</v>
      </c>
      <c r="P631" s="168" t="s">
        <v>3112</v>
      </c>
      <c r="Q631" s="173"/>
      <c r="R631" s="167">
        <v>1320000.0</v>
      </c>
      <c r="S631" s="173"/>
      <c r="T631" s="173"/>
      <c r="U631" s="173"/>
      <c r="V631" s="168" t="s">
        <v>3883</v>
      </c>
      <c r="W631" s="169"/>
      <c r="X631" s="219">
        <v>45538.0</v>
      </c>
    </row>
    <row r="632" ht="15.0" customHeight="1">
      <c r="A632" s="127">
        <v>45528.0</v>
      </c>
      <c r="B632" s="181" t="s">
        <v>4657</v>
      </c>
      <c r="C632" s="169" t="s">
        <v>4027</v>
      </c>
      <c r="D632" s="73" t="str">
        <f>IFERROR(VLOOKUP(C632,Stock,3,FALSE),"")</f>
        <v>501 Sealant Application</v>
      </c>
      <c r="E632" s="56">
        <v>1.0</v>
      </c>
      <c r="F632" s="161">
        <v>100000.0</v>
      </c>
      <c r="G632" s="162">
        <f t="shared" si="13"/>
        <v>100000</v>
      </c>
      <c r="H632" s="194"/>
      <c r="I632" s="161">
        <f t="shared" si="11"/>
        <v>100000</v>
      </c>
      <c r="J632" s="164">
        <f t="shared" si="12"/>
        <v>100000</v>
      </c>
      <c r="K632" s="251" t="s">
        <v>4662</v>
      </c>
      <c r="L632" s="165" t="s">
        <v>4659</v>
      </c>
      <c r="M632" s="56" t="s">
        <v>4660</v>
      </c>
      <c r="N632" s="203" t="s">
        <v>4661</v>
      </c>
      <c r="O632" s="169" t="s">
        <v>2958</v>
      </c>
      <c r="P632" s="168" t="s">
        <v>3112</v>
      </c>
      <c r="Q632" s="173"/>
      <c r="R632" s="167">
        <v>100000.0</v>
      </c>
      <c r="S632" s="173"/>
      <c r="T632" s="173"/>
      <c r="U632" s="173"/>
      <c r="V632" s="168" t="s">
        <v>3883</v>
      </c>
      <c r="W632" s="169"/>
      <c r="X632" s="219">
        <v>45538.0</v>
      </c>
    </row>
    <row r="633" ht="15.0" customHeight="1">
      <c r="A633" s="127">
        <v>45528.0</v>
      </c>
      <c r="B633" s="181" t="s">
        <v>4663</v>
      </c>
      <c r="C633" s="250" t="s">
        <v>3045</v>
      </c>
      <c r="D633" s="73" t="str">
        <f>IFERROR(VLOOKUP(C633,Stock,3,FALSE),"")</f>
        <v>Pemasangan Kaca Mobil Depan</v>
      </c>
      <c r="E633" s="56">
        <v>1.0</v>
      </c>
      <c r="F633" s="161">
        <v>450000.0</v>
      </c>
      <c r="G633" s="162">
        <f t="shared" si="13"/>
        <v>450000</v>
      </c>
      <c r="H633" s="194"/>
      <c r="I633" s="161">
        <f t="shared" si="11"/>
        <v>450000</v>
      </c>
      <c r="J633" s="164">
        <f t="shared" si="12"/>
        <v>450000</v>
      </c>
      <c r="K633" s="56" t="s">
        <v>4664</v>
      </c>
      <c r="L633" s="165" t="s">
        <v>4586</v>
      </c>
      <c r="M633" s="73"/>
      <c r="N633" s="169" t="s">
        <v>4587</v>
      </c>
      <c r="O633" s="169" t="s">
        <v>2958</v>
      </c>
      <c r="P633" s="168" t="s">
        <v>3112</v>
      </c>
      <c r="Q633" s="167">
        <v>450000.0</v>
      </c>
      <c r="R633" s="173"/>
      <c r="S633" s="173"/>
      <c r="T633" s="173"/>
      <c r="U633" s="173"/>
      <c r="V633" s="168" t="s">
        <v>4258</v>
      </c>
      <c r="W633" s="169"/>
      <c r="X633" s="219">
        <v>45538.0</v>
      </c>
    </row>
    <row r="634" ht="15.0" customHeight="1">
      <c r="A634" s="127">
        <v>45528.0</v>
      </c>
      <c r="B634" s="181" t="s">
        <v>4665</v>
      </c>
      <c r="C634" s="56" t="s">
        <v>2983</v>
      </c>
      <c r="D634" s="73" t="str">
        <f>IFERROR(VLOOKUP(C634,Stock,3,FALSE),"")</f>
        <v>Kia Picanto 11-16 2nd Gen</v>
      </c>
      <c r="E634" s="56">
        <v>1.0</v>
      </c>
      <c r="F634" s="161">
        <v>2268000.0</v>
      </c>
      <c r="G634" s="162">
        <f t="shared" si="13"/>
        <v>2268000</v>
      </c>
      <c r="H634" s="194"/>
      <c r="I634" s="161">
        <f t="shared" si="11"/>
        <v>2268000</v>
      </c>
      <c r="J634" s="164">
        <f t="shared" si="12"/>
        <v>2268000</v>
      </c>
      <c r="K634" s="56" t="s">
        <v>4531</v>
      </c>
      <c r="L634" s="165" t="s">
        <v>4666</v>
      </c>
      <c r="M634" s="73"/>
      <c r="N634" s="169" t="s">
        <v>4667</v>
      </c>
      <c r="O634" s="169" t="s">
        <v>2958</v>
      </c>
      <c r="P634" s="168" t="s">
        <v>3112</v>
      </c>
      <c r="Q634" s="173"/>
      <c r="R634" s="167">
        <v>2268000.0</v>
      </c>
      <c r="S634" s="173"/>
      <c r="T634" s="173"/>
      <c r="U634" s="173"/>
      <c r="V634" s="168" t="s">
        <v>3883</v>
      </c>
      <c r="W634" s="169"/>
      <c r="X634" s="169" t="s">
        <v>4668</v>
      </c>
    </row>
    <row r="635" ht="15.0" customHeight="1">
      <c r="A635" s="127">
        <v>45528.0</v>
      </c>
      <c r="B635" s="181" t="s">
        <v>4669</v>
      </c>
      <c r="C635" s="251" t="s">
        <v>3290</v>
      </c>
      <c r="D635" s="73" t="str">
        <f>IFERROR(VLOOKUP(C635,Stock,3,FALSE),"")</f>
        <v>Toyota Innova 04-15 1st Gen</v>
      </c>
      <c r="E635" s="56">
        <v>1.0</v>
      </c>
      <c r="F635" s="161">
        <v>1449000.0</v>
      </c>
      <c r="G635" s="162">
        <f t="shared" si="13"/>
        <v>1449000</v>
      </c>
      <c r="H635" s="194"/>
      <c r="I635" s="161">
        <f t="shared" si="11"/>
        <v>1449000</v>
      </c>
      <c r="J635" s="164">
        <f t="shared" si="12"/>
        <v>1449000</v>
      </c>
      <c r="K635" s="56" t="s">
        <v>4670</v>
      </c>
      <c r="L635" s="165" t="s">
        <v>4671</v>
      </c>
      <c r="M635" s="73"/>
      <c r="N635" s="171"/>
      <c r="O635" s="169" t="s">
        <v>2958</v>
      </c>
      <c r="P635" s="168" t="s">
        <v>3112</v>
      </c>
      <c r="Q635" s="167">
        <v>1449000.0</v>
      </c>
      <c r="R635" s="173"/>
      <c r="S635" s="173"/>
      <c r="T635" s="173"/>
      <c r="U635" s="173"/>
      <c r="V635" s="168" t="s">
        <v>3883</v>
      </c>
      <c r="W635" s="169"/>
      <c r="X635" s="219">
        <v>45538.0</v>
      </c>
    </row>
    <row r="636" ht="15.0" customHeight="1">
      <c r="A636" s="127">
        <v>45528.0</v>
      </c>
      <c r="B636" s="181" t="s">
        <v>4669</v>
      </c>
      <c r="C636" s="56" t="s">
        <v>2954</v>
      </c>
      <c r="D636" s="73" t="str">
        <f>IFERROR(VLOOKUP(C636,Stock,3,FALSE),"")</f>
        <v>Transport</v>
      </c>
      <c r="E636" s="56">
        <v>1.0</v>
      </c>
      <c r="F636" s="161">
        <v>100000.0</v>
      </c>
      <c r="G636" s="162">
        <f t="shared" si="13"/>
        <v>100000</v>
      </c>
      <c r="H636" s="194"/>
      <c r="I636" s="161">
        <f t="shared" si="11"/>
        <v>100000</v>
      </c>
      <c r="J636" s="164">
        <f t="shared" si="12"/>
        <v>100000</v>
      </c>
      <c r="K636" s="56" t="s">
        <v>4670</v>
      </c>
      <c r="L636" s="165" t="s">
        <v>4671</v>
      </c>
      <c r="M636" s="73"/>
      <c r="N636" s="169" t="s">
        <v>4672</v>
      </c>
      <c r="O636" s="169" t="s">
        <v>2958</v>
      </c>
      <c r="P636" s="168" t="s">
        <v>3112</v>
      </c>
      <c r="Q636" s="167">
        <v>100000.0</v>
      </c>
      <c r="R636" s="173"/>
      <c r="S636" s="173"/>
      <c r="T636" s="173"/>
      <c r="U636" s="173"/>
      <c r="V636" s="168" t="s">
        <v>3883</v>
      </c>
      <c r="W636" s="169"/>
      <c r="X636" s="219">
        <v>45538.0</v>
      </c>
    </row>
    <row r="637" ht="15.0" customHeight="1">
      <c r="A637" s="252">
        <v>45530.0</v>
      </c>
      <c r="B637" s="253" t="s">
        <v>4673</v>
      </c>
      <c r="C637" s="254" t="s">
        <v>3745</v>
      </c>
      <c r="D637" s="255" t="str">
        <f>IFERROR(VLOOKUP(C637,Stock,3,FALSE),"")</f>
        <v>Honda Brio 10- / Mobilio 11-</v>
      </c>
      <c r="E637" s="256">
        <v>1.0</v>
      </c>
      <c r="F637" s="257">
        <v>1698000.0</v>
      </c>
      <c r="G637" s="258">
        <f t="shared" si="13"/>
        <v>1698000</v>
      </c>
      <c r="H637" s="259"/>
      <c r="I637" s="257">
        <f t="shared" si="11"/>
        <v>1698000</v>
      </c>
      <c r="J637" s="260">
        <f t="shared" si="12"/>
        <v>1698000</v>
      </c>
      <c r="K637" s="254" t="s">
        <v>4674</v>
      </c>
      <c r="L637" s="261" t="s">
        <v>4675</v>
      </c>
      <c r="M637" s="256" t="s">
        <v>4676</v>
      </c>
      <c r="N637" s="262" t="s">
        <v>4677</v>
      </c>
      <c r="O637" s="262" t="s">
        <v>2958</v>
      </c>
      <c r="P637" s="263" t="s">
        <v>3112</v>
      </c>
      <c r="Q637" s="264"/>
      <c r="R637" s="265">
        <v>1698000.0</v>
      </c>
      <c r="S637" s="264"/>
      <c r="T637" s="264"/>
      <c r="U637" s="264"/>
      <c r="V637" s="263" t="s">
        <v>4258</v>
      </c>
      <c r="W637" s="262"/>
      <c r="X637" s="266">
        <v>45538.0</v>
      </c>
    </row>
    <row r="638" ht="15.0" customHeight="1">
      <c r="A638" s="127">
        <v>45530.0</v>
      </c>
      <c r="B638" s="181" t="s">
        <v>4678</v>
      </c>
      <c r="C638" s="56" t="s">
        <v>2666</v>
      </c>
      <c r="D638" s="73" t="str">
        <f>IFERROR(VLOOKUP(C638,Stock,3,FALSE),"")</f>
        <v>Hyundai Creta 22- </v>
      </c>
      <c r="E638" s="56">
        <v>1.0</v>
      </c>
      <c r="F638" s="161">
        <v>2450000.0</v>
      </c>
      <c r="G638" s="162">
        <f t="shared" si="13"/>
        <v>2450000</v>
      </c>
      <c r="H638" s="201">
        <v>50000.0</v>
      </c>
      <c r="I638" s="161">
        <f t="shared" si="11"/>
        <v>2400000</v>
      </c>
      <c r="J638" s="164">
        <f t="shared" si="12"/>
        <v>2400000</v>
      </c>
      <c r="K638" s="251" t="s">
        <v>4679</v>
      </c>
      <c r="L638" s="165" t="s">
        <v>4680</v>
      </c>
      <c r="M638" s="73"/>
      <c r="N638" s="171"/>
      <c r="O638" s="169" t="s">
        <v>2958</v>
      </c>
      <c r="P638" s="168" t="s">
        <v>3112</v>
      </c>
      <c r="Q638" s="167">
        <v>2300000.0</v>
      </c>
      <c r="R638" s="167">
        <v>100000.0</v>
      </c>
      <c r="S638" s="173"/>
      <c r="T638" s="173"/>
      <c r="U638" s="173"/>
      <c r="V638" s="168" t="s">
        <v>4258</v>
      </c>
      <c r="W638" s="169"/>
      <c r="X638" s="169" t="s">
        <v>4681</v>
      </c>
    </row>
    <row r="639" ht="15.0" customHeight="1">
      <c r="A639" s="127">
        <v>45530.0</v>
      </c>
      <c r="B639" s="181" t="s">
        <v>4682</v>
      </c>
      <c r="C639" s="56" t="s">
        <v>2576</v>
      </c>
      <c r="D639" s="73" t="str">
        <f>IFERROR(VLOOKUP(C639,Stock,3,FALSE),"")</f>
        <v>Toyota Camry 06-11 XV40 4th Gen</v>
      </c>
      <c r="E639" s="56">
        <v>1.0</v>
      </c>
      <c r="F639" s="161">
        <v>3173000.0</v>
      </c>
      <c r="G639" s="162">
        <f t="shared" si="13"/>
        <v>3173000</v>
      </c>
      <c r="H639" s="194"/>
      <c r="I639" s="161">
        <f t="shared" si="11"/>
        <v>3173000</v>
      </c>
      <c r="J639" s="164">
        <f t="shared" si="12"/>
        <v>3173000</v>
      </c>
      <c r="K639" s="56" t="s">
        <v>4683</v>
      </c>
      <c r="L639" s="165" t="s">
        <v>4684</v>
      </c>
      <c r="M639" s="73"/>
      <c r="N639" s="169" t="s">
        <v>4685</v>
      </c>
      <c r="O639" s="169" t="s">
        <v>3184</v>
      </c>
      <c r="P639" s="168" t="s">
        <v>3112</v>
      </c>
      <c r="Q639" s="173"/>
      <c r="R639" s="167">
        <v>3173000.0</v>
      </c>
      <c r="S639" s="173"/>
      <c r="T639" s="173"/>
      <c r="U639" s="173"/>
      <c r="V639" s="168" t="s">
        <v>3883</v>
      </c>
      <c r="W639" s="169"/>
      <c r="X639" s="169" t="s">
        <v>4668</v>
      </c>
    </row>
    <row r="640" ht="15.0" customHeight="1">
      <c r="A640" s="127">
        <v>45530.0</v>
      </c>
      <c r="B640" s="181" t="s">
        <v>4686</v>
      </c>
      <c r="C640" s="56" t="s">
        <v>2703</v>
      </c>
      <c r="D640" s="73" t="str">
        <f>IFERROR(VLOOKUP(C640,Stock,3,FALSE),"")</f>
        <v>Toyota Hi-Ace 04-20 Commuter</v>
      </c>
      <c r="E640" s="56">
        <v>1.0</v>
      </c>
      <c r="F640" s="161">
        <v>1600000.0</v>
      </c>
      <c r="G640" s="162">
        <f t="shared" si="13"/>
        <v>1600000</v>
      </c>
      <c r="H640" s="194"/>
      <c r="I640" s="161">
        <f t="shared" si="11"/>
        <v>1600000</v>
      </c>
      <c r="J640" s="164">
        <f t="shared" si="12"/>
        <v>1600000</v>
      </c>
      <c r="K640" s="56" t="s">
        <v>4687</v>
      </c>
      <c r="L640" s="165" t="s">
        <v>4688</v>
      </c>
      <c r="M640" s="73"/>
      <c r="N640" s="169" t="s">
        <v>4689</v>
      </c>
      <c r="O640" s="169" t="s">
        <v>2958</v>
      </c>
      <c r="P640" s="168" t="s">
        <v>3112</v>
      </c>
      <c r="Q640" s="167">
        <v>1600000.0</v>
      </c>
      <c r="R640" s="173"/>
      <c r="S640" s="173"/>
      <c r="T640" s="173"/>
      <c r="U640" s="173"/>
      <c r="V640" s="168" t="s">
        <v>3883</v>
      </c>
      <c r="W640" s="169"/>
      <c r="X640" s="219">
        <v>45538.0</v>
      </c>
    </row>
    <row r="641" ht="15.0" customHeight="1">
      <c r="A641" s="127">
        <v>45530.0</v>
      </c>
      <c r="B641" s="181" t="s">
        <v>4690</v>
      </c>
      <c r="C641" s="251" t="s">
        <v>2562</v>
      </c>
      <c r="D641" s="73" t="str">
        <f>IFERROR(VLOOKUP(C641,Stock,3,FALSE),"")</f>
        <v>Toyota Avanza / Xenia 15-21 3rd Gen</v>
      </c>
      <c r="E641" s="56">
        <v>1.0</v>
      </c>
      <c r="F641" s="161">
        <v>1070000.0</v>
      </c>
      <c r="G641" s="162">
        <f t="shared" si="13"/>
        <v>1070000</v>
      </c>
      <c r="H641" s="201">
        <v>50000.0</v>
      </c>
      <c r="I641" s="161">
        <f t="shared" si="11"/>
        <v>1020000</v>
      </c>
      <c r="J641" s="164">
        <f t="shared" si="12"/>
        <v>1020000</v>
      </c>
      <c r="K641" s="56" t="s">
        <v>4691</v>
      </c>
      <c r="L641" s="165" t="s">
        <v>4692</v>
      </c>
      <c r="M641" s="73"/>
      <c r="N641" s="171"/>
      <c r="O641" s="169" t="s">
        <v>2958</v>
      </c>
      <c r="P641" s="168" t="s">
        <v>3112</v>
      </c>
      <c r="Q641" s="173"/>
      <c r="R641" s="167">
        <v>1020000.0</v>
      </c>
      <c r="S641" s="173"/>
      <c r="T641" s="173"/>
      <c r="U641" s="173"/>
      <c r="V641" s="168" t="s">
        <v>3883</v>
      </c>
      <c r="W641" s="169"/>
      <c r="X641" s="169" t="s">
        <v>4668</v>
      </c>
    </row>
    <row r="642" ht="15.0" customHeight="1">
      <c r="A642" s="127">
        <v>45530.0</v>
      </c>
      <c r="B642" s="181" t="s">
        <v>4690</v>
      </c>
      <c r="C642" s="56" t="s">
        <v>2954</v>
      </c>
      <c r="D642" s="73" t="str">
        <f>IFERROR(VLOOKUP(C642,Stock,3,FALSE),"")</f>
        <v>Transport</v>
      </c>
      <c r="E642" s="56">
        <v>1.0</v>
      </c>
      <c r="F642" s="161">
        <v>50000.0</v>
      </c>
      <c r="G642" s="162">
        <f t="shared" si="13"/>
        <v>50000</v>
      </c>
      <c r="H642" s="194"/>
      <c r="I642" s="161">
        <f t="shared" si="11"/>
        <v>50000</v>
      </c>
      <c r="J642" s="164">
        <f t="shared" si="12"/>
        <v>50000</v>
      </c>
      <c r="K642" s="56" t="s">
        <v>4691</v>
      </c>
      <c r="L642" s="165" t="s">
        <v>4692</v>
      </c>
      <c r="M642" s="73"/>
      <c r="N642" s="171"/>
      <c r="O642" s="169" t="s">
        <v>2958</v>
      </c>
      <c r="P642" s="168" t="s">
        <v>3112</v>
      </c>
      <c r="Q642" s="173"/>
      <c r="R642" s="167">
        <v>50000.0</v>
      </c>
      <c r="S642" s="173"/>
      <c r="T642" s="173"/>
      <c r="U642" s="173"/>
      <c r="V642" s="168" t="s">
        <v>3883</v>
      </c>
      <c r="W642" s="169"/>
      <c r="X642" s="169" t="s">
        <v>4668</v>
      </c>
    </row>
    <row r="643" ht="15.0" customHeight="1">
      <c r="A643" s="127">
        <v>45531.0</v>
      </c>
      <c r="B643" s="181" t="s">
        <v>4693</v>
      </c>
      <c r="C643" s="56" t="s">
        <v>4027</v>
      </c>
      <c r="D643" s="73" t="str">
        <f>IFERROR(VLOOKUP(C643,Stock,3,FALSE),"")</f>
        <v>501 Sealant Application</v>
      </c>
      <c r="E643" s="56">
        <v>1.0</v>
      </c>
      <c r="F643" s="161">
        <v>100000.0</v>
      </c>
      <c r="G643" s="162">
        <f t="shared" si="13"/>
        <v>100000</v>
      </c>
      <c r="H643" s="194"/>
      <c r="I643" s="161">
        <f t="shared" si="11"/>
        <v>100000</v>
      </c>
      <c r="J643" s="164">
        <f t="shared" si="12"/>
        <v>100000</v>
      </c>
      <c r="K643" s="56" t="s">
        <v>4550</v>
      </c>
      <c r="L643" s="165" t="s">
        <v>4551</v>
      </c>
      <c r="M643" s="73"/>
      <c r="N643" s="171"/>
      <c r="O643" s="169" t="s">
        <v>2958</v>
      </c>
      <c r="P643" s="168" t="s">
        <v>3112</v>
      </c>
      <c r="Q643" s="173"/>
      <c r="R643" s="167">
        <v>100000.0</v>
      </c>
      <c r="S643" s="173"/>
      <c r="T643" s="173"/>
      <c r="U643" s="173"/>
      <c r="V643" s="168" t="s">
        <v>3883</v>
      </c>
      <c r="W643" s="169"/>
      <c r="X643" s="169" t="s">
        <v>4668</v>
      </c>
    </row>
    <row r="644" ht="15.0" customHeight="1">
      <c r="A644" s="127">
        <v>45531.0</v>
      </c>
      <c r="B644" s="181" t="s">
        <v>4694</v>
      </c>
      <c r="C644" s="56" t="s">
        <v>3391</v>
      </c>
      <c r="D644" s="73" t="str">
        <f>IFERROR(VLOOKUP(C644,Stock,3,FALSE),"")</f>
        <v>Toyota Fortuner 05-15 1st Gen</v>
      </c>
      <c r="E644" s="56">
        <v>1.0</v>
      </c>
      <c r="F644" s="161">
        <v>1912000.0</v>
      </c>
      <c r="G644" s="162">
        <f t="shared" si="13"/>
        <v>1912000</v>
      </c>
      <c r="H644" s="194"/>
      <c r="I644" s="161">
        <f t="shared" si="11"/>
        <v>1912000</v>
      </c>
      <c r="J644" s="164">
        <f t="shared" si="12"/>
        <v>1912000</v>
      </c>
      <c r="K644" s="251" t="s">
        <v>4695</v>
      </c>
      <c r="L644" s="165" t="s">
        <v>4696</v>
      </c>
      <c r="M644" s="73"/>
      <c r="N644" s="171"/>
      <c r="O644" s="169" t="s">
        <v>4072</v>
      </c>
      <c r="P644" s="168" t="s">
        <v>3112</v>
      </c>
      <c r="Q644" s="173"/>
      <c r="R644" s="167">
        <v>1912000.0</v>
      </c>
      <c r="S644" s="173"/>
      <c r="T644" s="173"/>
      <c r="U644" s="173"/>
      <c r="V644" s="168" t="s">
        <v>4258</v>
      </c>
      <c r="W644" s="169"/>
      <c r="X644" s="169" t="s">
        <v>4668</v>
      </c>
    </row>
    <row r="645" ht="15.0" customHeight="1">
      <c r="A645" s="127">
        <v>45531.0</v>
      </c>
      <c r="B645" s="181" t="s">
        <v>4694</v>
      </c>
      <c r="C645" s="56" t="s">
        <v>3083</v>
      </c>
      <c r="D645" s="73" t="str">
        <f>IFERROR(VLOOKUP(C645,Stock,3,FALSE),"")</f>
        <v>List Kaca Depan Code 04</v>
      </c>
      <c r="E645" s="56">
        <v>1.0</v>
      </c>
      <c r="F645" s="161">
        <v>275000.0</v>
      </c>
      <c r="G645" s="162">
        <f t="shared" si="13"/>
        <v>275000</v>
      </c>
      <c r="H645" s="194"/>
      <c r="I645" s="161">
        <f t="shared" si="11"/>
        <v>275000</v>
      </c>
      <c r="J645" s="164">
        <f t="shared" si="12"/>
        <v>275000</v>
      </c>
      <c r="K645" s="251" t="s">
        <v>4695</v>
      </c>
      <c r="L645" s="165" t="s">
        <v>4696</v>
      </c>
      <c r="M645" s="73"/>
      <c r="N645" s="171"/>
      <c r="O645" s="169" t="s">
        <v>4072</v>
      </c>
      <c r="P645" s="168" t="s">
        <v>3112</v>
      </c>
      <c r="Q645" s="173"/>
      <c r="R645" s="167">
        <v>275000.0</v>
      </c>
      <c r="S645" s="173"/>
      <c r="T645" s="173"/>
      <c r="U645" s="173"/>
      <c r="V645" s="168" t="s">
        <v>4258</v>
      </c>
      <c r="W645" s="169"/>
      <c r="X645" s="169" t="s">
        <v>4668</v>
      </c>
    </row>
    <row r="646" ht="15.0" customHeight="1">
      <c r="A646" s="127">
        <v>45532.0</v>
      </c>
      <c r="B646" s="181" t="s">
        <v>4697</v>
      </c>
      <c r="C646" s="251" t="s">
        <v>4027</v>
      </c>
      <c r="D646" s="73" t="str">
        <f>IFERROR(VLOOKUP(C646,Stock,3,FALSE),"")</f>
        <v>501 Sealant Application</v>
      </c>
      <c r="E646" s="56">
        <v>1.0</v>
      </c>
      <c r="F646" s="161">
        <v>100000.0</v>
      </c>
      <c r="G646" s="162">
        <f t="shared" si="13"/>
        <v>100000</v>
      </c>
      <c r="H646" s="194"/>
      <c r="I646" s="161">
        <f t="shared" si="11"/>
        <v>100000</v>
      </c>
      <c r="J646" s="164">
        <f t="shared" si="12"/>
        <v>100000</v>
      </c>
      <c r="K646" s="56" t="s">
        <v>4392</v>
      </c>
      <c r="L646" s="165" t="s">
        <v>4393</v>
      </c>
      <c r="M646" s="73"/>
      <c r="N646" s="169" t="s">
        <v>4698</v>
      </c>
      <c r="O646" s="169" t="s">
        <v>2958</v>
      </c>
      <c r="P646" s="168" t="s">
        <v>3112</v>
      </c>
      <c r="Q646" s="173"/>
      <c r="R646" s="167">
        <v>100000.0</v>
      </c>
      <c r="S646" s="173"/>
      <c r="T646" s="173"/>
      <c r="U646" s="173"/>
      <c r="V646" s="168" t="s">
        <v>4258</v>
      </c>
      <c r="W646" s="169"/>
      <c r="X646" s="219">
        <v>45538.0</v>
      </c>
    </row>
    <row r="647" ht="15.0" customHeight="1">
      <c r="A647" s="127">
        <v>45532.0</v>
      </c>
      <c r="B647" s="181" t="s">
        <v>4699</v>
      </c>
      <c r="C647" s="56" t="s">
        <v>2562</v>
      </c>
      <c r="D647" s="73" t="str">
        <f>IFERROR(VLOOKUP(C647,Stock,3,FALSE),"")</f>
        <v>Toyota Avanza / Xenia 15-21 3rd Gen</v>
      </c>
      <c r="E647" s="56">
        <v>1.0</v>
      </c>
      <c r="F647" s="161">
        <v>1000000.0</v>
      </c>
      <c r="G647" s="162">
        <f t="shared" si="13"/>
        <v>1000000</v>
      </c>
      <c r="H647" s="194"/>
      <c r="I647" s="161">
        <f t="shared" si="11"/>
        <v>1000000</v>
      </c>
      <c r="J647" s="164">
        <f t="shared" si="12"/>
        <v>1000000</v>
      </c>
      <c r="K647" s="251" t="s">
        <v>4700</v>
      </c>
      <c r="L647" s="165" t="s">
        <v>4701</v>
      </c>
      <c r="M647" s="73"/>
      <c r="N647" s="251" t="s">
        <v>4702</v>
      </c>
      <c r="O647" s="169" t="s">
        <v>2958</v>
      </c>
      <c r="P647" s="168" t="s">
        <v>3112</v>
      </c>
      <c r="Q647" s="173"/>
      <c r="R647" s="167">
        <v>1100000.0</v>
      </c>
      <c r="S647" s="173"/>
      <c r="T647" s="173"/>
      <c r="U647" s="173"/>
      <c r="V647" s="168" t="s">
        <v>4258</v>
      </c>
      <c r="W647" s="169"/>
      <c r="X647" s="169" t="s">
        <v>4668</v>
      </c>
    </row>
    <row r="648" ht="15.0" customHeight="1">
      <c r="A648" s="127">
        <v>45532.0</v>
      </c>
      <c r="B648" s="181" t="s">
        <v>4699</v>
      </c>
      <c r="C648" s="251" t="s">
        <v>4027</v>
      </c>
      <c r="D648" s="73" t="str">
        <f>IFERROR(VLOOKUP(C648,Stock,3,FALSE),"")</f>
        <v>501 Sealant Application</v>
      </c>
      <c r="E648" s="56">
        <v>1.0</v>
      </c>
      <c r="F648" s="161">
        <v>100000.0</v>
      </c>
      <c r="G648" s="162">
        <f t="shared" si="13"/>
        <v>100000</v>
      </c>
      <c r="H648" s="194"/>
      <c r="I648" s="161">
        <f t="shared" si="11"/>
        <v>100000</v>
      </c>
      <c r="J648" s="164">
        <f t="shared" si="12"/>
        <v>100000</v>
      </c>
      <c r="K648" s="251" t="s">
        <v>4700</v>
      </c>
      <c r="L648" s="165" t="s">
        <v>4701</v>
      </c>
      <c r="M648" s="73"/>
      <c r="N648" s="251" t="s">
        <v>4703</v>
      </c>
      <c r="O648" s="169" t="s">
        <v>2958</v>
      </c>
      <c r="P648" s="168" t="s">
        <v>3112</v>
      </c>
      <c r="Q648" s="173"/>
      <c r="R648" s="167">
        <v>1100000.0</v>
      </c>
      <c r="S648" s="173"/>
      <c r="T648" s="173"/>
      <c r="U648" s="173"/>
      <c r="V648" s="168" t="s">
        <v>4258</v>
      </c>
      <c r="W648" s="169"/>
      <c r="X648" s="169" t="s">
        <v>4668</v>
      </c>
    </row>
    <row r="649" ht="15.0" customHeight="1">
      <c r="A649" s="127">
        <v>45532.0</v>
      </c>
      <c r="B649" s="181" t="s">
        <v>4704</v>
      </c>
      <c r="C649" s="56" t="s">
        <v>3745</v>
      </c>
      <c r="D649" s="73" t="str">
        <f>IFERROR(VLOOKUP(C649,Stock,3,FALSE),"")</f>
        <v>Honda Brio 10- / Mobilio 11-</v>
      </c>
      <c r="E649" s="56">
        <v>1.0</v>
      </c>
      <c r="F649" s="161">
        <v>1698000.0</v>
      </c>
      <c r="G649" s="162">
        <f t="shared" si="13"/>
        <v>1698000</v>
      </c>
      <c r="H649" s="194"/>
      <c r="I649" s="161">
        <f t="shared" si="11"/>
        <v>1698000</v>
      </c>
      <c r="J649" s="164">
        <f t="shared" si="12"/>
        <v>1698000</v>
      </c>
      <c r="K649" s="56" t="s">
        <v>4705</v>
      </c>
      <c r="L649" s="165" t="s">
        <v>4706</v>
      </c>
      <c r="M649" s="73"/>
      <c r="N649" s="169" t="s">
        <v>4707</v>
      </c>
      <c r="O649" s="169" t="s">
        <v>3184</v>
      </c>
      <c r="P649" s="168" t="s">
        <v>3112</v>
      </c>
      <c r="Q649" s="173"/>
      <c r="R649" s="167">
        <v>1698000.0</v>
      </c>
      <c r="S649" s="173"/>
      <c r="T649" s="173"/>
      <c r="U649" s="173"/>
      <c r="V649" s="168" t="s">
        <v>3883</v>
      </c>
      <c r="W649" s="169"/>
      <c r="X649" s="169" t="s">
        <v>4668</v>
      </c>
    </row>
    <row r="650" ht="15.0" customHeight="1">
      <c r="A650" s="127">
        <v>45532.0</v>
      </c>
      <c r="B650" s="251" t="s">
        <v>4708</v>
      </c>
      <c r="C650" s="251" t="s">
        <v>4027</v>
      </c>
      <c r="D650" s="73" t="str">
        <f>IFERROR(VLOOKUP(C650,Stock,3,FALSE),"")</f>
        <v>501 Sealant Application</v>
      </c>
      <c r="E650" s="56">
        <v>1.0</v>
      </c>
      <c r="F650" s="161">
        <v>100000.0</v>
      </c>
      <c r="G650" s="162">
        <f t="shared" si="13"/>
        <v>100000</v>
      </c>
      <c r="H650" s="194"/>
      <c r="I650" s="161">
        <f t="shared" si="11"/>
        <v>100000</v>
      </c>
      <c r="J650" s="164">
        <f t="shared" si="12"/>
        <v>100000</v>
      </c>
      <c r="K650" s="56" t="s">
        <v>4705</v>
      </c>
      <c r="L650" s="165" t="s">
        <v>4706</v>
      </c>
      <c r="M650" s="73"/>
      <c r="N650" s="169" t="s">
        <v>4707</v>
      </c>
      <c r="O650" s="169" t="s">
        <v>3184</v>
      </c>
      <c r="P650" s="168" t="s">
        <v>3112</v>
      </c>
      <c r="Q650" s="173"/>
      <c r="R650" s="167">
        <v>100000.0</v>
      </c>
      <c r="S650" s="173"/>
      <c r="T650" s="173"/>
      <c r="U650" s="173"/>
      <c r="V650" s="168" t="s">
        <v>3883</v>
      </c>
      <c r="W650" s="169"/>
      <c r="X650" s="169" t="s">
        <v>4668</v>
      </c>
    </row>
    <row r="651" ht="15.0" customHeight="1">
      <c r="A651" s="127">
        <v>45532.0</v>
      </c>
      <c r="B651" s="251" t="s">
        <v>4709</v>
      </c>
      <c r="C651" s="56" t="s">
        <v>2718</v>
      </c>
      <c r="D651" s="73" t="str">
        <f>IFERROR(VLOOKUP(C651,Stock,3,FALSE),"")</f>
        <v>Isuzu Traga</v>
      </c>
      <c r="E651" s="56">
        <v>1.0</v>
      </c>
      <c r="F651" s="161">
        <v>1300000.0</v>
      </c>
      <c r="G651" s="162">
        <f t="shared" si="13"/>
        <v>1300000</v>
      </c>
      <c r="H651" s="194"/>
      <c r="I651" s="161">
        <f t="shared" si="11"/>
        <v>1300000</v>
      </c>
      <c r="J651" s="164">
        <f t="shared" si="12"/>
        <v>1300000</v>
      </c>
      <c r="K651" s="56" t="s">
        <v>4710</v>
      </c>
      <c r="L651" s="165" t="s">
        <v>4711</v>
      </c>
      <c r="M651" s="73"/>
      <c r="N651" s="171"/>
      <c r="O651" s="169" t="s">
        <v>2958</v>
      </c>
      <c r="P651" s="168" t="s">
        <v>3112</v>
      </c>
      <c r="Q651" s="173"/>
      <c r="R651" s="167">
        <v>1300000.0</v>
      </c>
      <c r="S651" s="173"/>
      <c r="T651" s="173"/>
      <c r="U651" s="173"/>
      <c r="V651" s="168" t="s">
        <v>3883</v>
      </c>
      <c r="W651" s="169"/>
      <c r="X651" s="169" t="s">
        <v>4668</v>
      </c>
    </row>
    <row r="652" ht="15.0" customHeight="1">
      <c r="A652" s="127">
        <v>45532.0</v>
      </c>
      <c r="B652" s="251" t="s">
        <v>4712</v>
      </c>
      <c r="C652" s="56" t="s">
        <v>2744</v>
      </c>
      <c r="D652" s="73" t="str">
        <f>IFERROR(VLOOKUP(C652,Stock,3,FALSE),"")</f>
        <v>Toyota Fortuner 05-15 1st Gen (Hitam)</v>
      </c>
      <c r="E652" s="56">
        <v>1.0</v>
      </c>
      <c r="F652" s="161">
        <v>2250000.0</v>
      </c>
      <c r="G652" s="162">
        <f t="shared" si="13"/>
        <v>2250000</v>
      </c>
      <c r="H652" s="194"/>
      <c r="I652" s="161">
        <f t="shared" si="11"/>
        <v>2250000</v>
      </c>
      <c r="J652" s="164">
        <f t="shared" si="12"/>
        <v>2250000</v>
      </c>
      <c r="K652" s="251" t="s">
        <v>4713</v>
      </c>
      <c r="L652" s="165" t="s">
        <v>4714</v>
      </c>
      <c r="M652" s="73"/>
      <c r="N652" s="251" t="s">
        <v>4715</v>
      </c>
      <c r="O652" s="169" t="s">
        <v>3037</v>
      </c>
      <c r="P652" s="168" t="s">
        <v>3112</v>
      </c>
      <c r="Q652" s="173"/>
      <c r="R652" s="167">
        <v>2250000.0</v>
      </c>
      <c r="S652" s="173"/>
      <c r="T652" s="173"/>
      <c r="U652" s="173"/>
      <c r="V652" s="168" t="s">
        <v>3799</v>
      </c>
      <c r="W652" s="169"/>
      <c r="X652" s="169" t="s">
        <v>4668</v>
      </c>
    </row>
    <row r="653" ht="15.0" customHeight="1">
      <c r="A653" s="127">
        <v>45533.0</v>
      </c>
      <c r="B653" s="251" t="s">
        <v>4716</v>
      </c>
      <c r="C653" s="251" t="s">
        <v>3411</v>
      </c>
      <c r="D653" s="73" t="str">
        <f>IFERROR(VLOOKUP(C653,Stock,3,FALSE),"")</f>
        <v>Toyota Agya/Ayla 13-22 1st Gen</v>
      </c>
      <c r="E653" s="56">
        <v>1.0</v>
      </c>
      <c r="F653" s="161">
        <v>1015000.0</v>
      </c>
      <c r="G653" s="162">
        <f t="shared" si="13"/>
        <v>1015000</v>
      </c>
      <c r="H653" s="194"/>
      <c r="I653" s="161">
        <f t="shared" si="11"/>
        <v>1015000</v>
      </c>
      <c r="J653" s="164">
        <f t="shared" si="12"/>
        <v>1015000</v>
      </c>
      <c r="K653" s="56" t="s">
        <v>4717</v>
      </c>
      <c r="L653" s="165" t="s">
        <v>4718</v>
      </c>
      <c r="M653" s="73"/>
      <c r="N653" s="171"/>
      <c r="O653" s="169" t="s">
        <v>2958</v>
      </c>
      <c r="P653" s="168" t="s">
        <v>3112</v>
      </c>
      <c r="Q653" s="167">
        <v>1015000.0</v>
      </c>
      <c r="R653" s="167"/>
      <c r="S653" s="173"/>
      <c r="T653" s="173"/>
      <c r="U653" s="173"/>
      <c r="V653" s="168" t="s">
        <v>3671</v>
      </c>
      <c r="W653" s="169"/>
      <c r="X653" s="219">
        <v>45538.0</v>
      </c>
    </row>
    <row r="654" ht="15.0" customHeight="1">
      <c r="A654" s="127">
        <v>45533.0</v>
      </c>
      <c r="B654" s="251" t="s">
        <v>4716</v>
      </c>
      <c r="C654" s="169" t="s">
        <v>2954</v>
      </c>
      <c r="D654" s="73" t="str">
        <f>IFERROR(VLOOKUP(C654,Stock,3,FALSE),"")</f>
        <v>Transport</v>
      </c>
      <c r="E654" s="56">
        <v>1.0</v>
      </c>
      <c r="F654" s="161">
        <v>50000.0</v>
      </c>
      <c r="G654" s="162">
        <f t="shared" si="13"/>
        <v>50000</v>
      </c>
      <c r="H654" s="194"/>
      <c r="I654" s="161">
        <f t="shared" si="11"/>
        <v>50000</v>
      </c>
      <c r="J654" s="164">
        <f t="shared" si="12"/>
        <v>50000</v>
      </c>
      <c r="K654" s="56" t="s">
        <v>4717</v>
      </c>
      <c r="L654" s="165" t="s">
        <v>4718</v>
      </c>
      <c r="M654" s="73"/>
      <c r="N654" s="171"/>
      <c r="O654" s="169" t="s">
        <v>2958</v>
      </c>
      <c r="P654" s="168" t="s">
        <v>3112</v>
      </c>
      <c r="Q654" s="173"/>
      <c r="R654" s="167">
        <v>50000.0</v>
      </c>
      <c r="S654" s="173"/>
      <c r="T654" s="173"/>
      <c r="U654" s="173"/>
      <c r="V654" s="168" t="s">
        <v>3671</v>
      </c>
      <c r="W654" s="169"/>
      <c r="X654" s="219">
        <v>45538.0</v>
      </c>
    </row>
    <row r="655" ht="15.0" customHeight="1">
      <c r="A655" s="127">
        <v>45533.0</v>
      </c>
      <c r="B655" s="251" t="s">
        <v>4719</v>
      </c>
      <c r="C655" s="56" t="s">
        <v>4613</v>
      </c>
      <c r="D655" s="73" t="str">
        <f>IFERROR(VLOOKUP(C655,Stock,3,FALSE),"")</f>
        <v>Honda Freed 08-16 1st gen</v>
      </c>
      <c r="E655" s="56">
        <v>1.0</v>
      </c>
      <c r="F655" s="161">
        <v>1346000.0</v>
      </c>
      <c r="G655" s="162">
        <f t="shared" si="13"/>
        <v>1346000</v>
      </c>
      <c r="H655" s="194"/>
      <c r="I655" s="161">
        <f t="shared" si="11"/>
        <v>1346000</v>
      </c>
      <c r="J655" s="164">
        <f t="shared" si="12"/>
        <v>1346000</v>
      </c>
      <c r="K655" s="56" t="s">
        <v>4720</v>
      </c>
      <c r="L655" s="165" t="s">
        <v>4721</v>
      </c>
      <c r="M655" s="73"/>
      <c r="N655" s="171"/>
      <c r="O655" s="169" t="s">
        <v>2958</v>
      </c>
      <c r="P655" s="168" t="s">
        <v>2922</v>
      </c>
      <c r="Q655" s="173"/>
      <c r="R655" s="173"/>
      <c r="S655" s="167">
        <v>1346000.0</v>
      </c>
      <c r="T655" s="167">
        <v>87490.0</v>
      </c>
      <c r="U655" s="173"/>
      <c r="V655" s="168" t="s">
        <v>3671</v>
      </c>
      <c r="W655" s="169"/>
      <c r="X655" s="169" t="s">
        <v>4722</v>
      </c>
    </row>
    <row r="656" ht="15.0" customHeight="1">
      <c r="A656" s="127">
        <v>45533.0</v>
      </c>
      <c r="B656" s="181" t="s">
        <v>4719</v>
      </c>
      <c r="C656" s="251" t="s">
        <v>3273</v>
      </c>
      <c r="D656" s="73" t="str">
        <f>IFERROR(VLOOKUP(C656,Stock,3,FALSE),"")</f>
        <v>Pemasangan Kaca Mobil Belakang</v>
      </c>
      <c r="E656" s="56">
        <v>1.0</v>
      </c>
      <c r="F656" s="161">
        <v>200000.0</v>
      </c>
      <c r="G656" s="162">
        <f t="shared" si="13"/>
        <v>200000</v>
      </c>
      <c r="H656" s="194"/>
      <c r="I656" s="161">
        <f t="shared" si="11"/>
        <v>200000</v>
      </c>
      <c r="J656" s="164">
        <f t="shared" si="12"/>
        <v>200000</v>
      </c>
      <c r="K656" s="56" t="s">
        <v>4720</v>
      </c>
      <c r="L656" s="165" t="s">
        <v>4721</v>
      </c>
      <c r="M656" s="73"/>
      <c r="N656" s="171"/>
      <c r="O656" s="169" t="s">
        <v>2958</v>
      </c>
      <c r="P656" s="168" t="s">
        <v>2922</v>
      </c>
      <c r="Q656" s="173"/>
      <c r="R656" s="167">
        <v>200000.0</v>
      </c>
      <c r="S656" s="173"/>
      <c r="T656" s="173"/>
      <c r="U656" s="173"/>
      <c r="V656" s="168" t="s">
        <v>3671</v>
      </c>
      <c r="W656" s="169"/>
      <c r="X656" s="169" t="s">
        <v>4723</v>
      </c>
    </row>
    <row r="657" ht="15.0" customHeight="1">
      <c r="A657" s="127">
        <v>45533.0</v>
      </c>
      <c r="B657" s="181" t="s">
        <v>4724</v>
      </c>
      <c r="C657" s="56" t="s">
        <v>3045</v>
      </c>
      <c r="D657" s="73" t="str">
        <f>IFERROR(VLOOKUP(C657,Stock,3,FALSE),"")</f>
        <v>Pemasangan Kaca Mobil Depan</v>
      </c>
      <c r="E657" s="56">
        <v>1.0</v>
      </c>
      <c r="F657" s="161">
        <v>450000.0</v>
      </c>
      <c r="G657" s="162">
        <f t="shared" si="13"/>
        <v>450000</v>
      </c>
      <c r="H657" s="201">
        <v>50000.0</v>
      </c>
      <c r="I657" s="161">
        <f t="shared" si="11"/>
        <v>400000</v>
      </c>
      <c r="J657" s="164">
        <f t="shared" si="12"/>
        <v>400000</v>
      </c>
      <c r="K657" s="251" t="s">
        <v>4725</v>
      </c>
      <c r="L657" s="165" t="s">
        <v>4726</v>
      </c>
      <c r="M657" s="73"/>
      <c r="N657" s="169" t="s">
        <v>4727</v>
      </c>
      <c r="O657" s="169" t="s">
        <v>2958</v>
      </c>
      <c r="P657" s="168" t="s">
        <v>3112</v>
      </c>
      <c r="Q657" s="167">
        <v>400000.0</v>
      </c>
      <c r="R657" s="173"/>
      <c r="S657" s="173"/>
      <c r="T657" s="173"/>
      <c r="U657" s="173"/>
      <c r="V657" s="168" t="s">
        <v>3799</v>
      </c>
      <c r="W657" s="169"/>
      <c r="X657" s="219">
        <v>45538.0</v>
      </c>
    </row>
    <row r="658" ht="15.0" customHeight="1">
      <c r="A658" s="127">
        <v>45533.0</v>
      </c>
      <c r="B658" s="181" t="s">
        <v>4724</v>
      </c>
      <c r="C658" s="56" t="s">
        <v>4027</v>
      </c>
      <c r="D658" s="73" t="str">
        <f>IFERROR(VLOOKUP(C658,Stock,3,FALSE),"")</f>
        <v>501 Sealant Application</v>
      </c>
      <c r="E658" s="56">
        <v>1.0</v>
      </c>
      <c r="F658" s="161">
        <v>100000.0</v>
      </c>
      <c r="G658" s="162">
        <f t="shared" si="13"/>
        <v>100000</v>
      </c>
      <c r="H658" s="194"/>
      <c r="I658" s="161">
        <f t="shared" si="11"/>
        <v>100000</v>
      </c>
      <c r="J658" s="164">
        <f t="shared" si="12"/>
        <v>100000</v>
      </c>
      <c r="K658" s="251" t="s">
        <v>4725</v>
      </c>
      <c r="L658" s="165" t="s">
        <v>4726</v>
      </c>
      <c r="M658" s="73"/>
      <c r="N658" s="169" t="s">
        <v>4727</v>
      </c>
      <c r="O658" s="169" t="s">
        <v>2958</v>
      </c>
      <c r="P658" s="168" t="s">
        <v>3112</v>
      </c>
      <c r="Q658" s="167">
        <v>100000.0</v>
      </c>
      <c r="R658" s="173"/>
      <c r="S658" s="173"/>
      <c r="T658" s="173"/>
      <c r="U658" s="173"/>
      <c r="V658" s="168" t="s">
        <v>3799</v>
      </c>
      <c r="W658" s="169"/>
      <c r="X658" s="219">
        <v>45538.0</v>
      </c>
    </row>
    <row r="659" ht="15.0" customHeight="1">
      <c r="A659" s="127">
        <v>45534.0</v>
      </c>
      <c r="B659" s="181" t="s">
        <v>4728</v>
      </c>
      <c r="C659" s="56" t="s">
        <v>2565</v>
      </c>
      <c r="D659" s="73" t="str">
        <f>IFERROR(VLOOKUP(C659,Stock,3,FALSE),"")</f>
        <v>Toyota Avanza / Xenia 03-11 1st Gen</v>
      </c>
      <c r="E659" s="56">
        <v>1.0</v>
      </c>
      <c r="F659" s="161">
        <v>1070000.0</v>
      </c>
      <c r="G659" s="162">
        <f t="shared" si="13"/>
        <v>1070000</v>
      </c>
      <c r="H659" s="194"/>
      <c r="I659" s="161">
        <f t="shared" si="11"/>
        <v>1070000</v>
      </c>
      <c r="J659" s="164">
        <f t="shared" si="12"/>
        <v>1070000</v>
      </c>
      <c r="K659" s="56" t="s">
        <v>4729</v>
      </c>
      <c r="L659" s="267" t="s">
        <v>4730</v>
      </c>
      <c r="M659" s="73"/>
      <c r="N659" s="169" t="s">
        <v>4731</v>
      </c>
      <c r="O659" s="169" t="s">
        <v>2958</v>
      </c>
      <c r="P659" s="168" t="s">
        <v>3112</v>
      </c>
      <c r="Q659" s="173"/>
      <c r="R659" s="167">
        <v>1070000.0</v>
      </c>
      <c r="S659" s="173"/>
      <c r="T659" s="173"/>
      <c r="U659" s="173"/>
      <c r="V659" s="168" t="s">
        <v>3883</v>
      </c>
      <c r="W659" s="169"/>
      <c r="X659" s="169" t="s">
        <v>4732</v>
      </c>
    </row>
    <row r="660" ht="15.0" customHeight="1">
      <c r="A660" s="127">
        <v>45534.0</v>
      </c>
      <c r="B660" s="181" t="s">
        <v>4728</v>
      </c>
      <c r="C660" s="251" t="s">
        <v>3083</v>
      </c>
      <c r="D660" s="73" t="str">
        <f>IFERROR(VLOOKUP(C660,Stock,3,FALSE),"")</f>
        <v>List Kaca Depan Code 04</v>
      </c>
      <c r="E660" s="56">
        <v>1.0</v>
      </c>
      <c r="F660" s="161">
        <v>275000.0</v>
      </c>
      <c r="G660" s="162">
        <f t="shared" si="13"/>
        <v>275000</v>
      </c>
      <c r="H660" s="194"/>
      <c r="I660" s="161">
        <f t="shared" si="11"/>
        <v>275000</v>
      </c>
      <c r="J660" s="164">
        <f t="shared" si="12"/>
        <v>275000</v>
      </c>
      <c r="K660" s="56" t="s">
        <v>4729</v>
      </c>
      <c r="L660" s="267" t="s">
        <v>4733</v>
      </c>
      <c r="M660" s="73"/>
      <c r="N660" s="169" t="s">
        <v>4731</v>
      </c>
      <c r="O660" s="169" t="s">
        <v>2958</v>
      </c>
      <c r="P660" s="168" t="s">
        <v>3112</v>
      </c>
      <c r="Q660" s="173"/>
      <c r="R660" s="167">
        <v>275000.0</v>
      </c>
      <c r="S660" s="173"/>
      <c r="T660" s="173"/>
      <c r="U660" s="173"/>
      <c r="V660" s="168" t="s">
        <v>3883</v>
      </c>
      <c r="W660" s="169"/>
      <c r="X660" s="169" t="s">
        <v>4732</v>
      </c>
    </row>
    <row r="661" ht="15.0" customHeight="1">
      <c r="A661" s="127">
        <v>45534.0</v>
      </c>
      <c r="B661" s="181" t="s">
        <v>4734</v>
      </c>
      <c r="C661" s="56" t="s">
        <v>4340</v>
      </c>
      <c r="D661" s="73" t="str">
        <f>IFERROR(VLOOKUP(C661,Stock,3,FALSE),"")</f>
        <v/>
      </c>
      <c r="E661" s="56"/>
      <c r="F661" s="161"/>
      <c r="G661" s="162"/>
      <c r="H661" s="194"/>
      <c r="I661" s="161">
        <f t="shared" si="11"/>
        <v>0</v>
      </c>
      <c r="J661" s="164">
        <f t="shared" si="12"/>
        <v>0</v>
      </c>
      <c r="K661" s="56"/>
      <c r="L661" s="251"/>
      <c r="M661" s="73"/>
      <c r="N661" s="169"/>
      <c r="O661" s="169"/>
      <c r="P661" s="168"/>
      <c r="Q661" s="173"/>
      <c r="R661" s="167"/>
      <c r="S661" s="173"/>
      <c r="T661" s="173"/>
      <c r="U661" s="173"/>
      <c r="V661" s="168"/>
      <c r="W661" s="169"/>
      <c r="X661" s="171"/>
    </row>
    <row r="662" ht="15.0" customHeight="1">
      <c r="A662" s="127">
        <v>45534.0</v>
      </c>
      <c r="B662" s="181" t="s">
        <v>4735</v>
      </c>
      <c r="C662" s="56" t="s">
        <v>4736</v>
      </c>
      <c r="D662" s="73" t="str">
        <f>IFERROR(VLOOKUP(C662,Stock,3,FALSE),"")</f>
        <v>Suzuki Baleno 96-01</v>
      </c>
      <c r="E662" s="56">
        <v>1.0</v>
      </c>
      <c r="F662" s="161">
        <v>1293000.0</v>
      </c>
      <c r="G662" s="162">
        <f t="shared" ref="G662:G843" si="14">$E$611*F662</f>
        <v>1293000</v>
      </c>
      <c r="H662" s="194"/>
      <c r="I662" s="161">
        <f t="shared" si="11"/>
        <v>1293000</v>
      </c>
      <c r="J662" s="164">
        <f t="shared" si="12"/>
        <v>1293000</v>
      </c>
      <c r="K662" s="56" t="s">
        <v>4737</v>
      </c>
      <c r="L662" s="165" t="s">
        <v>4738</v>
      </c>
      <c r="M662" s="73"/>
      <c r="N662" s="171"/>
      <c r="O662" s="169" t="s">
        <v>2958</v>
      </c>
      <c r="P662" s="168" t="s">
        <v>4452</v>
      </c>
      <c r="Q662" s="173"/>
      <c r="R662" s="167">
        <v>100000.0</v>
      </c>
      <c r="S662" s="173"/>
      <c r="T662" s="173"/>
      <c r="U662" s="173"/>
      <c r="V662" s="168" t="s">
        <v>3883</v>
      </c>
      <c r="W662" s="169"/>
      <c r="X662" s="169" t="s">
        <v>4739</v>
      </c>
    </row>
    <row r="663" ht="15.0" customHeight="1">
      <c r="A663" s="127">
        <v>45534.0</v>
      </c>
      <c r="B663" s="181" t="s">
        <v>4740</v>
      </c>
      <c r="C663" s="56" t="s">
        <v>2845</v>
      </c>
      <c r="D663" s="73" t="str">
        <f>IFERROR(VLOOKUP(C663,Stock,3,FALSE),"")</f>
        <v>Honda CR-V 02-06 2nd Gen</v>
      </c>
      <c r="E663" s="56">
        <v>1.0</v>
      </c>
      <c r="F663" s="161">
        <v>550000.0</v>
      </c>
      <c r="G663" s="162">
        <f t="shared" si="14"/>
        <v>550000</v>
      </c>
      <c r="H663" s="194"/>
      <c r="I663" s="161">
        <f t="shared" si="11"/>
        <v>550000</v>
      </c>
      <c r="J663" s="164">
        <f t="shared" si="12"/>
        <v>550000</v>
      </c>
      <c r="K663" s="251" t="s">
        <v>4741</v>
      </c>
      <c r="L663" s="165" t="s">
        <v>4742</v>
      </c>
      <c r="M663" s="56" t="s">
        <v>4743</v>
      </c>
      <c r="N663" s="169" t="s">
        <v>4744</v>
      </c>
      <c r="O663" s="169" t="s">
        <v>2958</v>
      </c>
      <c r="P663" s="168" t="s">
        <v>3112</v>
      </c>
      <c r="Q663" s="167">
        <v>550000.0</v>
      </c>
      <c r="R663" s="173"/>
      <c r="S663" s="173"/>
      <c r="T663" s="173"/>
      <c r="U663" s="173"/>
      <c r="V663" s="168" t="s">
        <v>3799</v>
      </c>
      <c r="W663" s="169"/>
      <c r="X663" s="219">
        <v>45538.0</v>
      </c>
    </row>
    <row r="664" ht="15.0" customHeight="1">
      <c r="A664" s="127">
        <v>45534.0</v>
      </c>
      <c r="B664" s="181" t="s">
        <v>4745</v>
      </c>
      <c r="C664" s="56" t="s">
        <v>2565</v>
      </c>
      <c r="D664" s="73" t="str">
        <f>IFERROR(VLOOKUP(C664,Stock,3,FALSE),"")</f>
        <v>Toyota Avanza / Xenia 03-11 1st Gen</v>
      </c>
      <c r="E664" s="56">
        <v>1.0</v>
      </c>
      <c r="F664" s="161">
        <v>1020000.0</v>
      </c>
      <c r="G664" s="162">
        <f t="shared" si="14"/>
        <v>1020000</v>
      </c>
      <c r="H664" s="194"/>
      <c r="I664" s="161">
        <f t="shared" si="11"/>
        <v>1020000</v>
      </c>
      <c r="J664" s="164">
        <f t="shared" si="12"/>
        <v>1020000</v>
      </c>
      <c r="K664" s="56" t="s">
        <v>4746</v>
      </c>
      <c r="L664" s="165" t="s">
        <v>4747</v>
      </c>
      <c r="M664" s="73"/>
      <c r="N664" s="171"/>
      <c r="O664" s="169" t="s">
        <v>2958</v>
      </c>
      <c r="P664" s="168" t="s">
        <v>3112</v>
      </c>
      <c r="Q664" s="173"/>
      <c r="R664" s="167">
        <v>1020000.0</v>
      </c>
      <c r="S664" s="173"/>
      <c r="T664" s="173"/>
      <c r="U664" s="173"/>
      <c r="V664" s="168" t="s">
        <v>3883</v>
      </c>
      <c r="W664" s="169"/>
      <c r="X664" s="219">
        <v>45538.0</v>
      </c>
    </row>
    <row r="665" ht="15.0" customHeight="1">
      <c r="A665" s="127">
        <v>45534.0</v>
      </c>
      <c r="B665" s="181" t="s">
        <v>4745</v>
      </c>
      <c r="C665" s="251" t="s">
        <v>2954</v>
      </c>
      <c r="D665" s="73" t="str">
        <f>IFERROR(VLOOKUP(C665,Stock,3,FALSE),"")</f>
        <v>Transport</v>
      </c>
      <c r="E665" s="56">
        <v>1.0</v>
      </c>
      <c r="F665" s="161">
        <v>50000.0</v>
      </c>
      <c r="G665" s="162">
        <f t="shared" si="14"/>
        <v>50000</v>
      </c>
      <c r="H665" s="194"/>
      <c r="I665" s="161">
        <f t="shared" si="11"/>
        <v>50000</v>
      </c>
      <c r="J665" s="164">
        <f t="shared" si="12"/>
        <v>50000</v>
      </c>
      <c r="K665" s="56" t="s">
        <v>4746</v>
      </c>
      <c r="L665" s="165" t="s">
        <v>4747</v>
      </c>
      <c r="M665" s="73"/>
      <c r="N665" s="171"/>
      <c r="O665" s="169" t="s">
        <v>2958</v>
      </c>
      <c r="P665" s="168" t="s">
        <v>3112</v>
      </c>
      <c r="Q665" s="173"/>
      <c r="R665" s="167">
        <v>50000.0</v>
      </c>
      <c r="S665" s="173"/>
      <c r="T665" s="173"/>
      <c r="U665" s="173"/>
      <c r="V665" s="168" t="s">
        <v>3883</v>
      </c>
      <c r="W665" s="169"/>
      <c r="X665" s="219">
        <v>45538.0</v>
      </c>
    </row>
    <row r="666" ht="15.0" customHeight="1">
      <c r="A666" s="127">
        <v>45534.0</v>
      </c>
      <c r="B666" s="181" t="s">
        <v>4748</v>
      </c>
      <c r="C666" s="56" t="s">
        <v>3745</v>
      </c>
      <c r="D666" s="73" t="str">
        <f>IFERROR(VLOOKUP(C666,Stock,3,FALSE),"")</f>
        <v>Honda Brio 10- / Mobilio 11-</v>
      </c>
      <c r="E666" s="56">
        <v>1.0</v>
      </c>
      <c r="F666" s="161">
        <v>1698000.0</v>
      </c>
      <c r="G666" s="162">
        <f t="shared" si="14"/>
        <v>1698000</v>
      </c>
      <c r="H666" s="194"/>
      <c r="I666" s="161">
        <f t="shared" si="11"/>
        <v>1698000</v>
      </c>
      <c r="J666" s="164">
        <f t="shared" si="12"/>
        <v>1698000</v>
      </c>
      <c r="K666" s="251" t="s">
        <v>4448</v>
      </c>
      <c r="L666" s="165" t="s">
        <v>4749</v>
      </c>
      <c r="M666" s="56" t="s">
        <v>4750</v>
      </c>
      <c r="N666" s="169" t="s">
        <v>4751</v>
      </c>
      <c r="O666" s="169" t="s">
        <v>2958</v>
      </c>
      <c r="P666" s="168" t="s">
        <v>3112</v>
      </c>
      <c r="Q666" s="173"/>
      <c r="R666" s="167">
        <v>1698000.0</v>
      </c>
      <c r="S666" s="173"/>
      <c r="T666" s="173"/>
      <c r="U666" s="173"/>
      <c r="V666" s="168" t="s">
        <v>3799</v>
      </c>
      <c r="W666" s="169"/>
      <c r="X666" s="169" t="s">
        <v>4668</v>
      </c>
    </row>
    <row r="667" ht="15.0" customHeight="1">
      <c r="A667" s="127">
        <v>45535.0</v>
      </c>
      <c r="B667" s="181" t="s">
        <v>4752</v>
      </c>
      <c r="C667" s="56" t="s">
        <v>3176</v>
      </c>
      <c r="D667" s="73" t="str">
        <f>IFERROR(VLOOKUP(C667,Stock,3,FALSE),"")</f>
        <v>Toyota Avanza / Xenia 11-15 2nd Gen / 15-21 3rd Gen</v>
      </c>
      <c r="E667" s="56">
        <v>1.0</v>
      </c>
      <c r="F667" s="161">
        <v>880000.0</v>
      </c>
      <c r="G667" s="162">
        <f t="shared" si="14"/>
        <v>880000</v>
      </c>
      <c r="H667" s="194"/>
      <c r="I667" s="161">
        <f t="shared" si="11"/>
        <v>880000</v>
      </c>
      <c r="J667" s="164">
        <f t="shared" si="12"/>
        <v>880000</v>
      </c>
      <c r="K667" s="251" t="s">
        <v>4753</v>
      </c>
      <c r="L667" s="165" t="s">
        <v>4754</v>
      </c>
      <c r="M667" s="73"/>
      <c r="N667" s="169" t="s">
        <v>4755</v>
      </c>
      <c r="O667" s="169" t="s">
        <v>2958</v>
      </c>
      <c r="P667" s="168" t="s">
        <v>3054</v>
      </c>
      <c r="Q667" s="167">
        <v>880000.0</v>
      </c>
      <c r="R667" s="173"/>
      <c r="S667" s="173"/>
      <c r="T667" s="173"/>
      <c r="U667" s="173"/>
      <c r="V667" s="168" t="s">
        <v>3799</v>
      </c>
      <c r="W667" s="169"/>
      <c r="X667" s="219">
        <v>45538.0</v>
      </c>
    </row>
    <row r="668" ht="15.0" customHeight="1">
      <c r="A668" s="183">
        <v>45535.0</v>
      </c>
      <c r="B668" s="185" t="s">
        <v>4756</v>
      </c>
      <c r="C668" s="184" t="s">
        <v>2541</v>
      </c>
      <c r="D668" s="186" t="str">
        <f>IFERROR(VLOOKUP(C668,Stock,3,FALSE),"")</f>
        <v>Nissan Datsun Go/Go+ 14- (5-Seater)</v>
      </c>
      <c r="E668" s="184">
        <v>1.0</v>
      </c>
      <c r="F668" s="187">
        <v>600000.0</v>
      </c>
      <c r="G668" s="188">
        <f t="shared" si="14"/>
        <v>600000</v>
      </c>
      <c r="H668" s="210"/>
      <c r="I668" s="187">
        <f t="shared" si="11"/>
        <v>600000</v>
      </c>
      <c r="J668" s="189">
        <f t="shared" si="12"/>
        <v>600000</v>
      </c>
      <c r="K668" s="184" t="s">
        <v>4757</v>
      </c>
      <c r="L668" s="184" t="s">
        <v>2939</v>
      </c>
      <c r="M668" s="186"/>
      <c r="N668" s="212"/>
      <c r="O668" s="193" t="s">
        <v>3030</v>
      </c>
      <c r="P668" s="214"/>
      <c r="Q668" s="213"/>
      <c r="R668" s="213"/>
      <c r="S668" s="213"/>
      <c r="T668" s="213"/>
      <c r="U668" s="213"/>
      <c r="V668" s="192" t="s">
        <v>3793</v>
      </c>
      <c r="W668" s="193"/>
      <c r="X668" s="193" t="s">
        <v>4758</v>
      </c>
    </row>
    <row r="669" ht="15.0" customHeight="1">
      <c r="A669" s="127">
        <v>45536.0</v>
      </c>
      <c r="B669" s="181" t="s">
        <v>4759</v>
      </c>
      <c r="C669" s="56" t="s">
        <v>2662</v>
      </c>
      <c r="D669" s="73" t="str">
        <f>IFERROR(VLOOKUP(C669,Stock,3,FALSE),"")</f>
        <v>Wuling Almaz (Sensor)</v>
      </c>
      <c r="E669" s="56">
        <v>1.0</v>
      </c>
      <c r="F669" s="161">
        <v>3100000.0</v>
      </c>
      <c r="G669" s="162">
        <f t="shared" si="14"/>
        <v>3100000</v>
      </c>
      <c r="H669" s="194"/>
      <c r="I669" s="204">
        <f t="shared" si="11"/>
        <v>3100000</v>
      </c>
      <c r="J669" s="164">
        <f t="shared" si="12"/>
        <v>3100000</v>
      </c>
      <c r="K669" s="56" t="s">
        <v>4760</v>
      </c>
      <c r="L669" s="165" t="s">
        <v>4761</v>
      </c>
      <c r="M669" s="73"/>
      <c r="N669" s="169" t="s">
        <v>4762</v>
      </c>
      <c r="O669" s="169" t="s">
        <v>3213</v>
      </c>
      <c r="P669" s="168" t="s">
        <v>3112</v>
      </c>
      <c r="Q669" s="167">
        <v>2480000.0</v>
      </c>
      <c r="R669" s="167">
        <v>620000.0</v>
      </c>
      <c r="S669" s="173"/>
      <c r="T669" s="173"/>
      <c r="U669" s="173"/>
      <c r="V669" s="168" t="s">
        <v>3883</v>
      </c>
      <c r="W669" s="169"/>
      <c r="X669" s="169" t="s">
        <v>4763</v>
      </c>
    </row>
    <row r="670" ht="15.0" customHeight="1">
      <c r="A670" s="127">
        <v>45536.0</v>
      </c>
      <c r="B670" s="181" t="s">
        <v>4764</v>
      </c>
      <c r="C670" s="56" t="s">
        <v>4765</v>
      </c>
      <c r="D670" s="73" t="str">
        <f>IFERROR(VLOOKUP(C670,Stock,3,FALSE),"")</f>
        <v>Nissan X-Trail 01-07 T30</v>
      </c>
      <c r="E670" s="56">
        <v>1.0</v>
      </c>
      <c r="F670" s="161">
        <v>2136000.0</v>
      </c>
      <c r="G670" s="162">
        <f t="shared" si="14"/>
        <v>2136000</v>
      </c>
      <c r="H670" s="201">
        <v>86000.0</v>
      </c>
      <c r="I670" s="204">
        <f t="shared" si="11"/>
        <v>2050000</v>
      </c>
      <c r="J670" s="164">
        <f t="shared" si="12"/>
        <v>2050000</v>
      </c>
      <c r="K670" s="56" t="s">
        <v>4766</v>
      </c>
      <c r="L670" s="165" t="s">
        <v>4767</v>
      </c>
      <c r="M670" s="73"/>
      <c r="N670" s="169" t="s">
        <v>4768</v>
      </c>
      <c r="O670" s="169" t="s">
        <v>2958</v>
      </c>
      <c r="P670" s="168" t="s">
        <v>3112</v>
      </c>
      <c r="Q670" s="167">
        <v>2100000.0</v>
      </c>
      <c r="R670" s="173"/>
      <c r="S670" s="173"/>
      <c r="T670" s="173"/>
      <c r="U670" s="167">
        <v>50000.0</v>
      </c>
      <c r="V670" s="168" t="s">
        <v>3883</v>
      </c>
      <c r="W670" s="169"/>
      <c r="X670" s="219">
        <v>45538.0</v>
      </c>
    </row>
    <row r="671" ht="15.0" customHeight="1">
      <c r="A671" s="127">
        <v>45536.0</v>
      </c>
      <c r="B671" s="181" t="s">
        <v>4769</v>
      </c>
      <c r="C671" s="56" t="s">
        <v>2629</v>
      </c>
      <c r="D671" s="73" t="str">
        <f>IFERROR(VLOOKUP(C671,Stock,3,FALSE),"")</f>
        <v>Suzuki Baleno 08-15 SX4 / Neo Baleno</v>
      </c>
      <c r="E671" s="56">
        <v>1.0</v>
      </c>
      <c r="F671" s="161">
        <v>1736000.0</v>
      </c>
      <c r="G671" s="162">
        <f t="shared" si="14"/>
        <v>1736000</v>
      </c>
      <c r="H671" s="194"/>
      <c r="I671" s="204">
        <f t="shared" si="11"/>
        <v>1736000</v>
      </c>
      <c r="J671" s="164">
        <f t="shared" si="12"/>
        <v>1736000</v>
      </c>
      <c r="K671" s="56" t="s">
        <v>4770</v>
      </c>
      <c r="L671" s="165" t="s">
        <v>4771</v>
      </c>
      <c r="M671" s="56" t="s">
        <v>4772</v>
      </c>
      <c r="N671" s="169" t="s">
        <v>4773</v>
      </c>
      <c r="O671" s="169" t="s">
        <v>2958</v>
      </c>
      <c r="P671" s="168" t="s">
        <v>3112</v>
      </c>
      <c r="Q671" s="173"/>
      <c r="R671" s="167">
        <v>1736000.0</v>
      </c>
      <c r="S671" s="173"/>
      <c r="T671" s="173"/>
      <c r="U671" s="173"/>
      <c r="V671" s="168" t="s">
        <v>3883</v>
      </c>
      <c r="W671" s="169"/>
      <c r="X671" s="169" t="s">
        <v>4668</v>
      </c>
    </row>
    <row r="672" ht="15.0" customHeight="1">
      <c r="A672" s="127">
        <v>45537.0</v>
      </c>
      <c r="B672" s="181" t="s">
        <v>4774</v>
      </c>
      <c r="C672" s="56" t="s">
        <v>4775</v>
      </c>
      <c r="D672" s="73" t="str">
        <f>IFERROR(VLOOKUP(C672,Stock,3,FALSE),"")</f>
        <v>Toyota Avanza / Xenia 11-15 2nd Gen / 15-21 3rd Gen</v>
      </c>
      <c r="E672" s="56">
        <v>1.0</v>
      </c>
      <c r="F672" s="161">
        <v>650000.0</v>
      </c>
      <c r="G672" s="162">
        <f t="shared" si="14"/>
        <v>650000</v>
      </c>
      <c r="H672" s="194"/>
      <c r="I672" s="204">
        <f t="shared" si="11"/>
        <v>650000</v>
      </c>
      <c r="J672" s="164">
        <f t="shared" si="12"/>
        <v>650000</v>
      </c>
      <c r="K672" s="56" t="s">
        <v>4776</v>
      </c>
      <c r="L672" s="165" t="s">
        <v>4777</v>
      </c>
      <c r="M672" s="73"/>
      <c r="N672" s="171"/>
      <c r="O672" s="169" t="s">
        <v>2958</v>
      </c>
      <c r="P672" s="168" t="s">
        <v>4778</v>
      </c>
      <c r="Q672" s="173"/>
      <c r="R672" s="173"/>
      <c r="S672" s="173"/>
      <c r="T672" s="173"/>
      <c r="U672" s="173"/>
      <c r="V672" s="168" t="s">
        <v>3883</v>
      </c>
      <c r="W672" s="169"/>
      <c r="X672" s="169" t="s">
        <v>4668</v>
      </c>
    </row>
    <row r="673" ht="15.0" customHeight="1">
      <c r="A673" s="127">
        <v>45537.0</v>
      </c>
      <c r="B673" s="181" t="s">
        <v>4779</v>
      </c>
      <c r="C673" s="56" t="s">
        <v>4027</v>
      </c>
      <c r="D673" s="73" t="str">
        <f>IFERROR(VLOOKUP(C673,Stock,3,FALSE),"")</f>
        <v>501 Sealant Application</v>
      </c>
      <c r="E673" s="56">
        <v>1.0</v>
      </c>
      <c r="F673" s="161">
        <v>100000.0</v>
      </c>
      <c r="G673" s="162">
        <f t="shared" si="14"/>
        <v>100000</v>
      </c>
      <c r="H673" s="194"/>
      <c r="I673" s="204">
        <f t="shared" si="11"/>
        <v>100000</v>
      </c>
      <c r="J673" s="164">
        <f t="shared" si="12"/>
        <v>100000</v>
      </c>
      <c r="K673" s="56" t="s">
        <v>4760</v>
      </c>
      <c r="L673" s="267" t="s">
        <v>4780</v>
      </c>
      <c r="M673" s="73"/>
      <c r="N673" s="169" t="s">
        <v>4762</v>
      </c>
      <c r="O673" s="169" t="s">
        <v>3213</v>
      </c>
      <c r="P673" s="168" t="s">
        <v>3112</v>
      </c>
      <c r="Q673" s="167">
        <v>100000.0</v>
      </c>
      <c r="R673" s="173"/>
      <c r="S673" s="173"/>
      <c r="T673" s="173"/>
      <c r="U673" s="173"/>
      <c r="V673" s="168" t="s">
        <v>3799</v>
      </c>
      <c r="W673" s="169"/>
      <c r="X673" s="219">
        <v>45538.0</v>
      </c>
    </row>
    <row r="674" ht="15.0" customHeight="1">
      <c r="A674" s="127">
        <v>45537.0</v>
      </c>
      <c r="B674" s="181" t="s">
        <v>4781</v>
      </c>
      <c r="C674" s="56" t="s">
        <v>4782</v>
      </c>
      <c r="D674" s="73" t="str">
        <f>IFERROR(VLOOKUP(C674,Stock,3,FALSE),"")</f>
        <v>Mitsubishi Pajero 08-16</v>
      </c>
      <c r="E674" s="56">
        <v>1.0</v>
      </c>
      <c r="F674" s="161">
        <v>1700000.0</v>
      </c>
      <c r="G674" s="162">
        <f t="shared" si="14"/>
        <v>1700000</v>
      </c>
      <c r="H674" s="194"/>
      <c r="I674" s="204">
        <f t="shared" si="11"/>
        <v>1700000</v>
      </c>
      <c r="J674" s="164">
        <f t="shared" si="12"/>
        <v>1700000</v>
      </c>
      <c r="K674" s="56" t="s">
        <v>4783</v>
      </c>
      <c r="L674" s="165" t="s">
        <v>4784</v>
      </c>
      <c r="M674" s="56" t="s">
        <v>4785</v>
      </c>
      <c r="N674" s="169" t="s">
        <v>4786</v>
      </c>
      <c r="O674" s="169" t="s">
        <v>2958</v>
      </c>
      <c r="P674" s="168" t="s">
        <v>4778</v>
      </c>
      <c r="Q674" s="173"/>
      <c r="R674" s="167">
        <v>1700000.0</v>
      </c>
      <c r="S674" s="173"/>
      <c r="T674" s="173"/>
      <c r="U674" s="173"/>
      <c r="V674" s="168" t="s">
        <v>3799</v>
      </c>
      <c r="W674" s="169"/>
      <c r="X674" s="169" t="s">
        <v>4787</v>
      </c>
    </row>
    <row r="675" ht="15.0" customHeight="1">
      <c r="A675" s="127">
        <v>45537.0</v>
      </c>
      <c r="B675" s="181" t="s">
        <v>4788</v>
      </c>
      <c r="C675" s="251" t="s">
        <v>2575</v>
      </c>
      <c r="D675" s="73" t="str">
        <f>IFERROR(VLOOKUP(C675,Stock,3,FALSE),"")</f>
        <v>Toyota Camry 06-11 XV40 4th Gen</v>
      </c>
      <c r="E675" s="56">
        <v>1.0</v>
      </c>
      <c r="F675" s="161">
        <v>2987000.0</v>
      </c>
      <c r="G675" s="162">
        <f t="shared" si="14"/>
        <v>2987000</v>
      </c>
      <c r="H675" s="194"/>
      <c r="I675" s="204">
        <f t="shared" si="11"/>
        <v>2987000</v>
      </c>
      <c r="J675" s="164">
        <f t="shared" si="12"/>
        <v>2987000</v>
      </c>
      <c r="K675" s="228" t="s">
        <v>4789</v>
      </c>
      <c r="L675" s="165" t="s">
        <v>4790</v>
      </c>
      <c r="M675" s="73"/>
      <c r="N675" s="169" t="s">
        <v>4791</v>
      </c>
      <c r="O675" s="169" t="s">
        <v>2958</v>
      </c>
      <c r="P675" s="168" t="s">
        <v>3054</v>
      </c>
      <c r="Q675" s="173"/>
      <c r="R675" s="167">
        <v>2987000.0</v>
      </c>
      <c r="S675" s="173"/>
      <c r="T675" s="173"/>
      <c r="U675" s="173"/>
      <c r="V675" s="168" t="s">
        <v>3799</v>
      </c>
      <c r="W675" s="169"/>
      <c r="X675" s="169" t="s">
        <v>4792</v>
      </c>
    </row>
    <row r="676" ht="15.0" customHeight="1">
      <c r="A676" s="127">
        <v>45539.0</v>
      </c>
      <c r="B676" s="181" t="s">
        <v>4793</v>
      </c>
      <c r="C676" s="56" t="s">
        <v>3176</v>
      </c>
      <c r="D676" s="73" t="str">
        <f>IFERROR(VLOOKUP(C676,Stock,3,FALSE),"")</f>
        <v>Toyota Avanza / Xenia 11-15 2nd Gen / 15-21 3rd Gen</v>
      </c>
      <c r="E676" s="56">
        <v>1.0</v>
      </c>
      <c r="F676" s="161">
        <v>880000.0</v>
      </c>
      <c r="G676" s="162">
        <f t="shared" si="14"/>
        <v>880000</v>
      </c>
      <c r="H676" s="194"/>
      <c r="I676" s="204">
        <f t="shared" si="11"/>
        <v>880000</v>
      </c>
      <c r="J676" s="164">
        <f t="shared" si="12"/>
        <v>880000</v>
      </c>
      <c r="K676" s="56" t="s">
        <v>4794</v>
      </c>
      <c r="L676" s="165" t="s">
        <v>4795</v>
      </c>
      <c r="M676" s="73"/>
      <c r="N676" s="169" t="s">
        <v>4796</v>
      </c>
      <c r="O676" s="169" t="s">
        <v>2958</v>
      </c>
      <c r="P676" s="168" t="s">
        <v>3645</v>
      </c>
      <c r="Q676" s="167">
        <v>900000.0</v>
      </c>
      <c r="R676" s="173"/>
      <c r="S676" s="173"/>
      <c r="T676" s="173"/>
      <c r="U676" s="167">
        <v>20000.0</v>
      </c>
      <c r="V676" s="168" t="s">
        <v>3883</v>
      </c>
      <c r="W676" s="169"/>
      <c r="X676" s="219">
        <v>45538.0</v>
      </c>
    </row>
    <row r="677" ht="15.0" customHeight="1">
      <c r="A677" s="127">
        <v>45539.0</v>
      </c>
      <c r="B677" s="181" t="s">
        <v>4797</v>
      </c>
      <c r="C677" s="251" t="s">
        <v>2833</v>
      </c>
      <c r="D677" s="73" t="str">
        <f>IFERROR(VLOOKUP(C677,Stock,3,FALSE),"")</f>
        <v>Toyota Vios 13-17 3rd Gen / Yaris 13- 2nd Gen XP150 / Yaris 18- 3rd Gen XP151</v>
      </c>
      <c r="E677" s="56">
        <v>1.0</v>
      </c>
      <c r="F677" s="161">
        <v>685000.0</v>
      </c>
      <c r="G677" s="162">
        <f t="shared" si="14"/>
        <v>685000</v>
      </c>
      <c r="H677" s="194"/>
      <c r="I677" s="204">
        <f t="shared" si="11"/>
        <v>685000</v>
      </c>
      <c r="J677" s="164">
        <f t="shared" si="12"/>
        <v>685000</v>
      </c>
      <c r="K677" s="56" t="s">
        <v>4798</v>
      </c>
      <c r="L677" s="165" t="s">
        <v>4799</v>
      </c>
      <c r="M677" s="73"/>
      <c r="N677" s="171"/>
      <c r="O677" s="169" t="s">
        <v>4800</v>
      </c>
      <c r="P677" s="168" t="s">
        <v>3112</v>
      </c>
      <c r="Q677" s="173"/>
      <c r="R677" s="167">
        <v>685000.0</v>
      </c>
      <c r="S677" s="173"/>
      <c r="T677" s="173"/>
      <c r="U677" s="173"/>
      <c r="V677" s="168" t="s">
        <v>3883</v>
      </c>
      <c r="W677" s="169"/>
      <c r="X677" s="169" t="s">
        <v>4668</v>
      </c>
    </row>
    <row r="678" ht="15.0" customHeight="1">
      <c r="A678" s="127">
        <v>45539.0</v>
      </c>
      <c r="B678" s="181" t="s">
        <v>4797</v>
      </c>
      <c r="C678" s="56" t="s">
        <v>2934</v>
      </c>
      <c r="D678" s="73" t="str">
        <f>IFERROR(VLOOKUP(C678,Stock,3,FALSE),"")</f>
        <v>Peti Kayu</v>
      </c>
      <c r="E678" s="56">
        <v>1.0</v>
      </c>
      <c r="F678" s="161">
        <v>120000.0</v>
      </c>
      <c r="G678" s="162">
        <f t="shared" si="14"/>
        <v>120000</v>
      </c>
      <c r="H678" s="194"/>
      <c r="I678" s="204">
        <f t="shared" si="11"/>
        <v>120000</v>
      </c>
      <c r="J678" s="164">
        <f t="shared" si="12"/>
        <v>120000</v>
      </c>
      <c r="K678" s="56" t="s">
        <v>4798</v>
      </c>
      <c r="L678" s="165" t="s">
        <v>4799</v>
      </c>
      <c r="M678" s="73"/>
      <c r="N678" s="171"/>
      <c r="O678" s="169" t="s">
        <v>4800</v>
      </c>
      <c r="P678" s="168" t="s">
        <v>3112</v>
      </c>
      <c r="Q678" s="173"/>
      <c r="R678" s="167">
        <v>120000.0</v>
      </c>
      <c r="S678" s="173"/>
      <c r="T678" s="173"/>
      <c r="U678" s="173"/>
      <c r="V678" s="168" t="s">
        <v>3883</v>
      </c>
      <c r="W678" s="169"/>
      <c r="X678" s="169" t="s">
        <v>4668</v>
      </c>
    </row>
    <row r="679" ht="15.0" customHeight="1">
      <c r="A679" s="127">
        <v>45539.0</v>
      </c>
      <c r="B679" s="181" t="s">
        <v>4801</v>
      </c>
      <c r="C679" s="251" t="s">
        <v>3543</v>
      </c>
      <c r="D679" s="73" t="str">
        <f>IFERROR(VLOOKUP(C679,Stock,3,FALSE),"")</f>
        <v>Daihatsu Gran Max Minibus/Van</v>
      </c>
      <c r="E679" s="56">
        <v>1.0</v>
      </c>
      <c r="F679" s="161">
        <v>799000.0</v>
      </c>
      <c r="G679" s="162">
        <f t="shared" si="14"/>
        <v>799000</v>
      </c>
      <c r="H679" s="194"/>
      <c r="I679" s="204">
        <f t="shared" si="11"/>
        <v>799000</v>
      </c>
      <c r="J679" s="164">
        <f t="shared" si="12"/>
        <v>799000</v>
      </c>
      <c r="K679" s="228" t="s">
        <v>4802</v>
      </c>
      <c r="L679" s="165" t="s">
        <v>4803</v>
      </c>
      <c r="M679" s="73"/>
      <c r="N679" s="169"/>
      <c r="O679" s="169" t="s">
        <v>2958</v>
      </c>
      <c r="P679" s="168" t="s">
        <v>3112</v>
      </c>
      <c r="Q679" s="167"/>
      <c r="R679" s="167">
        <v>799000.0</v>
      </c>
      <c r="S679" s="173"/>
      <c r="T679" s="173"/>
      <c r="U679" s="173"/>
      <c r="V679" s="168" t="s">
        <v>3883</v>
      </c>
      <c r="W679" s="169"/>
      <c r="X679" s="169" t="s">
        <v>4668</v>
      </c>
    </row>
    <row r="680" ht="15.0" customHeight="1">
      <c r="A680" s="127">
        <v>45539.0</v>
      </c>
      <c r="B680" s="181" t="s">
        <v>4804</v>
      </c>
      <c r="C680" s="251" t="s">
        <v>2549</v>
      </c>
      <c r="D680" s="73" t="str">
        <f>IFERROR(VLOOKUP(C680,Stock,3,FALSE),"")</f>
        <v>Toyota Avanza / Xenia 11-15 2nd Gen</v>
      </c>
      <c r="E680" s="56">
        <v>1.0</v>
      </c>
      <c r="F680" s="161">
        <v>1020000.0</v>
      </c>
      <c r="G680" s="162">
        <f t="shared" si="14"/>
        <v>1020000</v>
      </c>
      <c r="H680" s="194"/>
      <c r="I680" s="204">
        <f t="shared" si="11"/>
        <v>1020000</v>
      </c>
      <c r="J680" s="164">
        <f t="shared" si="12"/>
        <v>1020000</v>
      </c>
      <c r="K680" s="228" t="s">
        <v>4805</v>
      </c>
      <c r="L680" s="165" t="s">
        <v>4806</v>
      </c>
      <c r="M680" s="73"/>
      <c r="N680" s="251" t="s">
        <v>4807</v>
      </c>
      <c r="O680" s="169" t="s">
        <v>2958</v>
      </c>
      <c r="P680" s="168" t="s">
        <v>4002</v>
      </c>
      <c r="Q680" s="167">
        <v>1020000.0</v>
      </c>
      <c r="R680" s="173"/>
      <c r="S680" s="173"/>
      <c r="T680" s="173"/>
      <c r="U680" s="173"/>
      <c r="V680" s="168" t="s">
        <v>3799</v>
      </c>
      <c r="W680" s="169"/>
      <c r="X680" s="169" t="s">
        <v>4668</v>
      </c>
    </row>
    <row r="681" ht="15.0" customHeight="1">
      <c r="A681" s="127">
        <v>45539.0</v>
      </c>
      <c r="B681" s="181" t="s">
        <v>4808</v>
      </c>
      <c r="C681" s="251" t="s">
        <v>2926</v>
      </c>
      <c r="D681" s="73" t="str">
        <f>IFERROR(VLOOKUP(C681,Stock,3,FALSE),"")</f>
        <v>Honda Jazz 01-07 1st Gen</v>
      </c>
      <c r="E681" s="56">
        <v>1.0</v>
      </c>
      <c r="F681" s="161">
        <v>1648000.0</v>
      </c>
      <c r="G681" s="162">
        <f t="shared" si="14"/>
        <v>1648000</v>
      </c>
      <c r="H681" s="194"/>
      <c r="I681" s="204">
        <f t="shared" si="11"/>
        <v>1648000</v>
      </c>
      <c r="J681" s="164">
        <f t="shared" si="12"/>
        <v>1648000</v>
      </c>
      <c r="K681" s="228" t="s">
        <v>4809</v>
      </c>
      <c r="L681" s="165" t="s">
        <v>4810</v>
      </c>
      <c r="M681" s="73"/>
      <c r="N681" s="171"/>
      <c r="O681" s="169" t="s">
        <v>2958</v>
      </c>
      <c r="P681" s="168" t="s">
        <v>3112</v>
      </c>
      <c r="Q681" s="167">
        <v>1648000.0</v>
      </c>
      <c r="R681" s="167"/>
      <c r="S681" s="173"/>
      <c r="T681" s="173"/>
      <c r="U681" s="173"/>
      <c r="V681" s="168" t="s">
        <v>3799</v>
      </c>
      <c r="W681" s="169"/>
      <c r="X681" s="219">
        <v>45547.0</v>
      </c>
    </row>
    <row r="682" ht="15.0" customHeight="1">
      <c r="A682" s="127">
        <v>45539.0</v>
      </c>
      <c r="B682" s="181" t="s">
        <v>4811</v>
      </c>
      <c r="C682" s="56" t="s">
        <v>4526</v>
      </c>
      <c r="D682" s="73" t="str">
        <f>IFERROR(VLOOKUP(C682,Stock,3,FALSE),"")</f>
        <v>Toyota Hi-Ace 04-20 Commuter</v>
      </c>
      <c r="E682" s="56">
        <v>1.0</v>
      </c>
      <c r="F682" s="161">
        <v>1410000.0</v>
      </c>
      <c r="G682" s="162">
        <f t="shared" si="14"/>
        <v>1410000</v>
      </c>
      <c r="H682" s="194"/>
      <c r="I682" s="204">
        <f t="shared" si="11"/>
        <v>1410000</v>
      </c>
      <c r="J682" s="164">
        <f t="shared" si="12"/>
        <v>1410000</v>
      </c>
      <c r="K682" s="56" t="s">
        <v>4812</v>
      </c>
      <c r="L682" s="165" t="s">
        <v>4813</v>
      </c>
      <c r="M682" s="73"/>
      <c r="N682" s="171"/>
      <c r="O682" s="169" t="s">
        <v>3184</v>
      </c>
      <c r="P682" s="168" t="s">
        <v>3112</v>
      </c>
      <c r="Q682" s="167">
        <v>1250000.0</v>
      </c>
      <c r="R682" s="167">
        <v>260000.0</v>
      </c>
      <c r="S682" s="173"/>
      <c r="T682" s="173"/>
      <c r="U682" s="173"/>
      <c r="V682" s="168" t="s">
        <v>3883</v>
      </c>
      <c r="W682" s="169"/>
      <c r="X682" s="219">
        <v>45547.0</v>
      </c>
    </row>
    <row r="683" ht="15.0" customHeight="1">
      <c r="A683" s="127">
        <v>45540.0</v>
      </c>
      <c r="B683" s="181" t="s">
        <v>4814</v>
      </c>
      <c r="C683" s="228" t="s">
        <v>4613</v>
      </c>
      <c r="D683" s="73" t="str">
        <f>IFERROR(VLOOKUP(C683,Stock,3,FALSE),"")</f>
        <v>Honda Freed 08-16 1st gen</v>
      </c>
      <c r="E683" s="56">
        <v>1.0</v>
      </c>
      <c r="F683" s="161">
        <v>1346000.0</v>
      </c>
      <c r="G683" s="162">
        <f t="shared" si="14"/>
        <v>1346000</v>
      </c>
      <c r="H683" s="194"/>
      <c r="I683" s="204">
        <f t="shared" si="11"/>
        <v>1346000</v>
      </c>
      <c r="J683" s="164">
        <f t="shared" si="12"/>
        <v>1346000</v>
      </c>
      <c r="K683" s="56" t="s">
        <v>4815</v>
      </c>
      <c r="L683" s="165" t="s">
        <v>4816</v>
      </c>
      <c r="M683" s="73"/>
      <c r="N683" s="169" t="s">
        <v>4817</v>
      </c>
      <c r="O683" s="169" t="s">
        <v>3204</v>
      </c>
      <c r="P683" s="168" t="s">
        <v>3112</v>
      </c>
      <c r="Q683" s="173"/>
      <c r="R683" s="173"/>
      <c r="S683" s="167">
        <v>1346000.0</v>
      </c>
      <c r="T683" s="167">
        <v>87490.0</v>
      </c>
      <c r="U683" s="173"/>
      <c r="V683" s="168" t="s">
        <v>3883</v>
      </c>
      <c r="W683" s="169"/>
      <c r="X683" s="169" t="s">
        <v>2915</v>
      </c>
    </row>
    <row r="684" ht="15.0" customHeight="1">
      <c r="A684" s="127">
        <v>45540.0</v>
      </c>
      <c r="B684" s="181" t="s">
        <v>4814</v>
      </c>
      <c r="C684" s="220" t="s">
        <v>3273</v>
      </c>
      <c r="D684" s="73" t="str">
        <f>IFERROR(VLOOKUP(C684,Stock,3,FALSE),"")</f>
        <v>Pemasangan Kaca Mobil Belakang</v>
      </c>
      <c r="E684" s="56">
        <v>1.0</v>
      </c>
      <c r="F684" s="161">
        <v>200000.0</v>
      </c>
      <c r="G684" s="162">
        <f t="shared" si="14"/>
        <v>200000</v>
      </c>
      <c r="H684" s="194"/>
      <c r="I684" s="204">
        <f t="shared" si="11"/>
        <v>200000</v>
      </c>
      <c r="J684" s="164">
        <f t="shared" si="12"/>
        <v>200000</v>
      </c>
      <c r="K684" s="56" t="s">
        <v>4815</v>
      </c>
      <c r="L684" s="165" t="s">
        <v>4816</v>
      </c>
      <c r="M684" s="73"/>
      <c r="N684" s="169" t="s">
        <v>4817</v>
      </c>
      <c r="O684" s="169" t="s">
        <v>3204</v>
      </c>
      <c r="P684" s="168" t="s">
        <v>3112</v>
      </c>
      <c r="Q684" s="173"/>
      <c r="R684" s="167">
        <v>200000.0</v>
      </c>
      <c r="S684" s="173"/>
      <c r="T684" s="173"/>
      <c r="U684" s="173"/>
      <c r="V684" s="168" t="s">
        <v>3883</v>
      </c>
      <c r="W684" s="169"/>
      <c r="X684" s="169" t="s">
        <v>4668</v>
      </c>
    </row>
    <row r="685" ht="15.0" customHeight="1">
      <c r="A685" s="127">
        <v>45540.0</v>
      </c>
      <c r="B685" s="181" t="s">
        <v>4814</v>
      </c>
      <c r="C685" s="181" t="s">
        <v>2954</v>
      </c>
      <c r="D685" s="73" t="str">
        <f>IFERROR(VLOOKUP(C685,Stock,3,FALSE),"")</f>
        <v>Transport</v>
      </c>
      <c r="E685" s="56">
        <v>1.0</v>
      </c>
      <c r="F685" s="161">
        <v>200000.0</v>
      </c>
      <c r="G685" s="162">
        <f t="shared" si="14"/>
        <v>200000</v>
      </c>
      <c r="H685" s="194"/>
      <c r="I685" s="204">
        <f t="shared" si="11"/>
        <v>200000</v>
      </c>
      <c r="J685" s="164">
        <f t="shared" si="12"/>
        <v>200000</v>
      </c>
      <c r="K685" s="56" t="s">
        <v>4815</v>
      </c>
      <c r="L685" s="165" t="s">
        <v>4816</v>
      </c>
      <c r="M685" s="73"/>
      <c r="N685" s="171"/>
      <c r="O685" s="169" t="s">
        <v>3204</v>
      </c>
      <c r="P685" s="168" t="s">
        <v>3112</v>
      </c>
      <c r="Q685" s="173"/>
      <c r="R685" s="167">
        <v>200000.0</v>
      </c>
      <c r="S685" s="173"/>
      <c r="T685" s="173"/>
      <c r="U685" s="173"/>
      <c r="V685" s="168" t="s">
        <v>3883</v>
      </c>
      <c r="W685" s="169"/>
      <c r="X685" s="169" t="s">
        <v>4668</v>
      </c>
    </row>
    <row r="686" ht="15.0" customHeight="1">
      <c r="A686" s="127">
        <v>45540.0</v>
      </c>
      <c r="B686" s="181" t="s">
        <v>4818</v>
      </c>
      <c r="C686" s="56" t="s">
        <v>3360</v>
      </c>
      <c r="D686" s="73" t="str">
        <f>IFERROR(VLOOKUP(C686,Stock,3,FALSE),"")</f>
        <v>Mitsubishi Xpander 17-</v>
      </c>
      <c r="E686" s="56">
        <v>1.0</v>
      </c>
      <c r="F686" s="161">
        <v>1698000.0</v>
      </c>
      <c r="G686" s="162">
        <f t="shared" si="14"/>
        <v>1698000</v>
      </c>
      <c r="H686" s="194"/>
      <c r="I686" s="204">
        <f t="shared" si="11"/>
        <v>1698000</v>
      </c>
      <c r="J686" s="164">
        <f t="shared" si="12"/>
        <v>1698000</v>
      </c>
      <c r="K686" s="56" t="s">
        <v>4819</v>
      </c>
      <c r="L686" s="165" t="s">
        <v>4820</v>
      </c>
      <c r="M686" s="73"/>
      <c r="N686" s="171"/>
      <c r="O686" s="169" t="s">
        <v>3204</v>
      </c>
      <c r="P686" s="168" t="s">
        <v>3112</v>
      </c>
      <c r="Q686" s="167">
        <v>1698000.0</v>
      </c>
      <c r="R686" s="167"/>
      <c r="S686" s="173"/>
      <c r="T686" s="173"/>
      <c r="U686" s="173"/>
      <c r="V686" s="168" t="s">
        <v>3883</v>
      </c>
      <c r="W686" s="169"/>
      <c r="X686" s="219">
        <v>45547.0</v>
      </c>
    </row>
    <row r="687" ht="15.0" customHeight="1">
      <c r="A687" s="127">
        <v>45540.0</v>
      </c>
      <c r="B687" s="181" t="s">
        <v>4821</v>
      </c>
      <c r="C687" s="56" t="s">
        <v>3391</v>
      </c>
      <c r="D687" s="73" t="str">
        <f>IFERROR(VLOOKUP(C687,Stock,3,FALSE),"")</f>
        <v>Toyota Fortuner 05-15 1st Gen</v>
      </c>
      <c r="E687" s="56">
        <v>1.0</v>
      </c>
      <c r="F687" s="161">
        <v>1192000.0</v>
      </c>
      <c r="G687" s="162">
        <f t="shared" si="14"/>
        <v>1192000</v>
      </c>
      <c r="H687" s="201">
        <v>92000.0</v>
      </c>
      <c r="I687" s="204">
        <f t="shared" si="11"/>
        <v>1100000</v>
      </c>
      <c r="J687" s="164">
        <f t="shared" si="12"/>
        <v>1100000</v>
      </c>
      <c r="K687" s="56" t="s">
        <v>4822</v>
      </c>
      <c r="L687" s="165" t="s">
        <v>3365</v>
      </c>
      <c r="M687" s="73"/>
      <c r="N687" s="171"/>
      <c r="O687" s="169" t="s">
        <v>2958</v>
      </c>
      <c r="P687" s="168" t="s">
        <v>3112</v>
      </c>
      <c r="Q687" s="173"/>
      <c r="R687" s="167">
        <v>1100000.0</v>
      </c>
      <c r="S687" s="173"/>
      <c r="T687" s="173"/>
      <c r="U687" s="173"/>
      <c r="V687" s="168" t="s">
        <v>3883</v>
      </c>
      <c r="W687" s="169"/>
      <c r="X687" s="169" t="s">
        <v>4668</v>
      </c>
    </row>
    <row r="688" ht="15.0" customHeight="1">
      <c r="A688" s="127">
        <v>45540.0</v>
      </c>
      <c r="B688" s="181" t="s">
        <v>4823</v>
      </c>
      <c r="C688" s="56" t="s">
        <v>3707</v>
      </c>
      <c r="D688" s="73" t="str">
        <f>IFERROR(VLOOKUP(C688,Stock,3,FALSE),"")</f>
        <v>Mitsubishi Pajero 16-</v>
      </c>
      <c r="E688" s="56">
        <v>1.0</v>
      </c>
      <c r="F688" s="161">
        <v>1580000.0</v>
      </c>
      <c r="G688" s="162">
        <f t="shared" si="14"/>
        <v>1580000</v>
      </c>
      <c r="H688" s="194"/>
      <c r="I688" s="204">
        <f t="shared" si="11"/>
        <v>1580000</v>
      </c>
      <c r="J688" s="164">
        <f t="shared" si="12"/>
        <v>1580000</v>
      </c>
      <c r="K688" s="56" t="s">
        <v>4824</v>
      </c>
      <c r="L688" s="165" t="s">
        <v>4825</v>
      </c>
      <c r="M688" s="73"/>
      <c r="N688" s="171"/>
      <c r="O688" s="169" t="s">
        <v>2958</v>
      </c>
      <c r="P688" s="168" t="s">
        <v>3112</v>
      </c>
      <c r="Q688" s="173"/>
      <c r="R688" s="167">
        <v>1580000.0</v>
      </c>
      <c r="S688" s="173"/>
      <c r="T688" s="173"/>
      <c r="U688" s="173"/>
      <c r="V688" s="168" t="s">
        <v>3883</v>
      </c>
      <c r="W688" s="169"/>
      <c r="X688" s="169" t="s">
        <v>4668</v>
      </c>
    </row>
    <row r="689" ht="15.0" customHeight="1">
      <c r="A689" s="127">
        <v>45541.0</v>
      </c>
      <c r="B689" s="181" t="s">
        <v>4826</v>
      </c>
      <c r="C689" s="56" t="s">
        <v>2549</v>
      </c>
      <c r="D689" s="73" t="str">
        <f>IFERROR(VLOOKUP(C689,Stock,3,FALSE),"")</f>
        <v>Toyota Avanza / Xenia 11-15 2nd Gen</v>
      </c>
      <c r="E689" s="56">
        <v>1.0</v>
      </c>
      <c r="F689" s="161">
        <v>1020000.0</v>
      </c>
      <c r="G689" s="162">
        <f t="shared" si="14"/>
        <v>1020000</v>
      </c>
      <c r="H689" s="194"/>
      <c r="I689" s="204">
        <f t="shared" si="11"/>
        <v>1020000</v>
      </c>
      <c r="J689" s="164">
        <f t="shared" si="12"/>
        <v>1020000</v>
      </c>
      <c r="K689" s="56" t="s">
        <v>4827</v>
      </c>
      <c r="L689" s="165" t="s">
        <v>4828</v>
      </c>
      <c r="M689" s="73"/>
      <c r="N689" s="171"/>
      <c r="O689" s="169" t="s">
        <v>3204</v>
      </c>
      <c r="P689" s="168" t="s">
        <v>3112</v>
      </c>
      <c r="Q689" s="167">
        <v>1020000.0</v>
      </c>
      <c r="R689" s="167"/>
      <c r="S689" s="173"/>
      <c r="T689" s="173"/>
      <c r="U689" s="173"/>
      <c r="V689" s="168" t="s">
        <v>3883</v>
      </c>
      <c r="W689" s="169"/>
      <c r="X689" s="169" t="s">
        <v>4829</v>
      </c>
    </row>
    <row r="690" ht="15.0" customHeight="1">
      <c r="A690" s="127">
        <v>45541.0</v>
      </c>
      <c r="B690" s="181" t="s">
        <v>4830</v>
      </c>
      <c r="C690" s="251" t="s">
        <v>3638</v>
      </c>
      <c r="D690" s="73" t="str">
        <f>IFERROR(VLOOKUP(C690,Stock,3,FALSE),"")</f>
        <v>Mitsubishi Xpander 17-21</v>
      </c>
      <c r="E690" s="56">
        <v>1.0</v>
      </c>
      <c r="F690" s="161">
        <v>950000.0</v>
      </c>
      <c r="G690" s="162">
        <f t="shared" si="14"/>
        <v>950000</v>
      </c>
      <c r="H690" s="194"/>
      <c r="I690" s="204">
        <f t="shared" si="11"/>
        <v>950000</v>
      </c>
      <c r="J690" s="164">
        <f t="shared" si="12"/>
        <v>950000</v>
      </c>
      <c r="K690" s="228" t="s">
        <v>4831</v>
      </c>
      <c r="L690" s="165" t="s">
        <v>4832</v>
      </c>
      <c r="M690" s="73"/>
      <c r="N690" s="171"/>
      <c r="O690" s="169" t="s">
        <v>2958</v>
      </c>
      <c r="P690" s="168" t="s">
        <v>3112</v>
      </c>
      <c r="Q690" s="173"/>
      <c r="R690" s="167">
        <v>950000.0</v>
      </c>
      <c r="S690" s="173"/>
      <c r="T690" s="173"/>
      <c r="U690" s="173"/>
      <c r="V690" s="168" t="s">
        <v>3799</v>
      </c>
      <c r="W690" s="169"/>
      <c r="X690" s="169" t="s">
        <v>4668</v>
      </c>
    </row>
    <row r="691" ht="15.0" customHeight="1">
      <c r="A691" s="127">
        <v>45541.0</v>
      </c>
      <c r="B691" s="181" t="s">
        <v>4833</v>
      </c>
      <c r="C691" s="56" t="s">
        <v>3099</v>
      </c>
      <c r="D691" s="73" t="str">
        <f>IFERROR(VLOOKUP(C691,Stock,3,FALSE),"")</f>
        <v>Toyota Calya / Sigra 16-</v>
      </c>
      <c r="E691" s="56">
        <v>1.0</v>
      </c>
      <c r="F691" s="161">
        <v>1250000.0</v>
      </c>
      <c r="G691" s="162">
        <f t="shared" si="14"/>
        <v>1250000</v>
      </c>
      <c r="H691" s="194"/>
      <c r="I691" s="204">
        <f t="shared" si="11"/>
        <v>1250000</v>
      </c>
      <c r="J691" s="164">
        <f t="shared" si="12"/>
        <v>1250000</v>
      </c>
      <c r="K691" s="56" t="s">
        <v>4834</v>
      </c>
      <c r="L691" s="165" t="s">
        <v>4835</v>
      </c>
      <c r="M691" s="73"/>
      <c r="N691" s="171"/>
      <c r="O691" s="169" t="s">
        <v>2958</v>
      </c>
      <c r="P691" s="168" t="s">
        <v>3112</v>
      </c>
      <c r="Q691" s="167">
        <v>250000.0</v>
      </c>
      <c r="R691" s="167">
        <v>1000000.0</v>
      </c>
      <c r="S691" s="173"/>
      <c r="T691" s="173"/>
      <c r="U691" s="173"/>
      <c r="V691" s="168" t="s">
        <v>3799</v>
      </c>
      <c r="W691" s="169"/>
      <c r="X691" s="169" t="s">
        <v>4836</v>
      </c>
    </row>
    <row r="692" ht="15.0" customHeight="1">
      <c r="A692" s="127">
        <v>45541.0</v>
      </c>
      <c r="B692" s="181" t="s">
        <v>4837</v>
      </c>
      <c r="C692" s="251" t="s">
        <v>3122</v>
      </c>
      <c r="D692" s="73" t="str">
        <f>IFERROR(VLOOKUP(C692,Stock,3,FALSE),"")</f>
        <v>Toyota Innova 15- 2nd Gen</v>
      </c>
      <c r="E692" s="56">
        <v>1.0</v>
      </c>
      <c r="F692" s="161">
        <v>2900000.0</v>
      </c>
      <c r="G692" s="162">
        <f t="shared" si="14"/>
        <v>2900000</v>
      </c>
      <c r="H692" s="201">
        <v>150000.0</v>
      </c>
      <c r="I692" s="204">
        <f t="shared" si="11"/>
        <v>2750000</v>
      </c>
      <c r="J692" s="164">
        <f t="shared" si="12"/>
        <v>2750000</v>
      </c>
      <c r="K692" s="56" t="s">
        <v>4838</v>
      </c>
      <c r="L692" s="165" t="s">
        <v>4839</v>
      </c>
      <c r="M692" s="73"/>
      <c r="N692" s="169" t="s">
        <v>4840</v>
      </c>
      <c r="O692" s="169" t="s">
        <v>3858</v>
      </c>
      <c r="P692" s="168" t="s">
        <v>3112</v>
      </c>
      <c r="Q692" s="167">
        <v>2750000.0</v>
      </c>
      <c r="R692" s="173"/>
      <c r="S692" s="173"/>
      <c r="T692" s="173"/>
      <c r="U692" s="173"/>
      <c r="V692" s="168" t="s">
        <v>3883</v>
      </c>
      <c r="W692" s="169"/>
      <c r="X692" s="219">
        <v>45547.0</v>
      </c>
    </row>
    <row r="693" ht="15.0" customHeight="1">
      <c r="A693" s="127">
        <v>45541.0</v>
      </c>
      <c r="B693" s="181" t="s">
        <v>4837</v>
      </c>
      <c r="C693" s="251" t="s">
        <v>4027</v>
      </c>
      <c r="D693" s="73" t="str">
        <f>IFERROR(VLOOKUP(C693,Stock,3,FALSE),"")</f>
        <v>501 Sealant Application</v>
      </c>
      <c r="E693" s="56">
        <v>1.0</v>
      </c>
      <c r="F693" s="161">
        <v>100000.0</v>
      </c>
      <c r="G693" s="162">
        <f t="shared" si="14"/>
        <v>100000</v>
      </c>
      <c r="H693" s="194"/>
      <c r="I693" s="204">
        <f t="shared" si="11"/>
        <v>100000</v>
      </c>
      <c r="J693" s="164">
        <f t="shared" si="12"/>
        <v>100000</v>
      </c>
      <c r="K693" s="56" t="s">
        <v>4838</v>
      </c>
      <c r="L693" s="165" t="s">
        <v>4839</v>
      </c>
      <c r="M693" s="73"/>
      <c r="N693" s="169" t="s">
        <v>4840</v>
      </c>
      <c r="O693" s="169" t="s">
        <v>3858</v>
      </c>
      <c r="P693" s="168" t="s">
        <v>3112</v>
      </c>
      <c r="Q693" s="167">
        <v>100000.0</v>
      </c>
      <c r="R693" s="173"/>
      <c r="S693" s="173"/>
      <c r="T693" s="173"/>
      <c r="U693" s="173"/>
      <c r="V693" s="168" t="s">
        <v>3883</v>
      </c>
      <c r="W693" s="169"/>
      <c r="X693" s="219">
        <v>45547.0</v>
      </c>
    </row>
    <row r="694" ht="15.0" customHeight="1">
      <c r="A694" s="127">
        <v>45541.0</v>
      </c>
      <c r="B694" s="181" t="s">
        <v>4841</v>
      </c>
      <c r="C694" s="56" t="s">
        <v>2954</v>
      </c>
      <c r="D694" s="73" t="str">
        <f>IFERROR(VLOOKUP(C694,Stock,3,FALSE),"")</f>
        <v>Transport</v>
      </c>
      <c r="E694" s="56">
        <v>1.0</v>
      </c>
      <c r="F694" s="161">
        <v>80000.0</v>
      </c>
      <c r="G694" s="162">
        <f t="shared" si="14"/>
        <v>80000</v>
      </c>
      <c r="H694" s="194"/>
      <c r="I694" s="204">
        <f t="shared" si="11"/>
        <v>80000</v>
      </c>
      <c r="J694" s="164">
        <f t="shared" si="12"/>
        <v>80000</v>
      </c>
      <c r="K694" s="56" t="s">
        <v>4798</v>
      </c>
      <c r="L694" s="165" t="s">
        <v>4799</v>
      </c>
      <c r="M694" s="73"/>
      <c r="N694" s="171"/>
      <c r="O694" s="169" t="s">
        <v>4800</v>
      </c>
      <c r="P694" s="168" t="s">
        <v>3112</v>
      </c>
      <c r="Q694" s="173"/>
      <c r="R694" s="167">
        <v>80000.0</v>
      </c>
      <c r="S694" s="173"/>
      <c r="T694" s="173"/>
      <c r="U694" s="173"/>
      <c r="V694" s="168" t="s">
        <v>3671</v>
      </c>
      <c r="W694" s="169"/>
      <c r="X694" s="169" t="s">
        <v>4668</v>
      </c>
    </row>
    <row r="695" ht="15.0" customHeight="1">
      <c r="A695" s="127">
        <v>45542.0</v>
      </c>
      <c r="B695" s="181" t="s">
        <v>4842</v>
      </c>
      <c r="C695" s="56" t="s">
        <v>4038</v>
      </c>
      <c r="D695" s="73" t="str">
        <f>IFERROR(VLOOKUP(C695,Stock,3,FALSE),"")</f>
        <v>Suzuki Carry New 19-</v>
      </c>
      <c r="E695" s="56">
        <v>1.0</v>
      </c>
      <c r="F695" s="161">
        <v>1190000.0</v>
      </c>
      <c r="G695" s="162">
        <f t="shared" si="14"/>
        <v>1190000</v>
      </c>
      <c r="H695" s="201">
        <v>40000.0</v>
      </c>
      <c r="I695" s="204">
        <f t="shared" si="11"/>
        <v>1150000</v>
      </c>
      <c r="J695" s="164">
        <f t="shared" si="12"/>
        <v>1150000</v>
      </c>
      <c r="K695" s="56" t="s">
        <v>4843</v>
      </c>
      <c r="L695" s="165" t="s">
        <v>4844</v>
      </c>
      <c r="M695" s="73"/>
      <c r="N695" s="169" t="s">
        <v>4845</v>
      </c>
      <c r="O695" s="169" t="s">
        <v>2958</v>
      </c>
      <c r="P695" s="168" t="s">
        <v>3112</v>
      </c>
      <c r="Q695" s="167">
        <v>700000.0</v>
      </c>
      <c r="R695" s="167">
        <v>450000.0</v>
      </c>
      <c r="S695" s="173"/>
      <c r="T695" s="173"/>
      <c r="U695" s="173"/>
      <c r="V695" s="168" t="s">
        <v>3671</v>
      </c>
      <c r="W695" s="169"/>
      <c r="X695" s="169" t="s">
        <v>4846</v>
      </c>
    </row>
    <row r="696" ht="15.0" customHeight="1">
      <c r="A696" s="127">
        <v>45542.0</v>
      </c>
      <c r="B696" s="181" t="s">
        <v>4847</v>
      </c>
      <c r="C696" s="56" t="s">
        <v>2607</v>
      </c>
      <c r="D696" s="73" t="str">
        <f>IFERROR(VLOOKUP(C696,Stock,3,FALSE),"")</f>
        <v>Mazda 2 14- Skyactiv 4th Gen (1 Sensor/ □ )</v>
      </c>
      <c r="E696" s="56">
        <v>1.0</v>
      </c>
      <c r="F696" s="161">
        <v>3208000.0</v>
      </c>
      <c r="G696" s="162">
        <f t="shared" si="14"/>
        <v>3208000</v>
      </c>
      <c r="H696" s="201">
        <v>96240.0</v>
      </c>
      <c r="I696" s="204">
        <f t="shared" si="11"/>
        <v>3111760</v>
      </c>
      <c r="J696" s="164">
        <f t="shared" si="12"/>
        <v>3111760</v>
      </c>
      <c r="K696" s="56" t="s">
        <v>4848</v>
      </c>
      <c r="L696" s="165" t="s">
        <v>4849</v>
      </c>
      <c r="M696" s="73"/>
      <c r="N696" s="171"/>
      <c r="O696" s="169" t="s">
        <v>2958</v>
      </c>
      <c r="P696" s="168" t="s">
        <v>3112</v>
      </c>
      <c r="Q696" s="173"/>
      <c r="R696" s="167">
        <v>3111760.0</v>
      </c>
      <c r="S696" s="173"/>
      <c r="T696" s="173"/>
      <c r="U696" s="173"/>
      <c r="V696" s="168" t="s">
        <v>3671</v>
      </c>
      <c r="W696" s="169"/>
      <c r="X696" s="169" t="s">
        <v>4850</v>
      </c>
    </row>
    <row r="697" ht="15.0" customHeight="1">
      <c r="A697" s="127">
        <v>45542.0</v>
      </c>
      <c r="B697" s="181" t="s">
        <v>4851</v>
      </c>
      <c r="C697" s="56" t="s">
        <v>3020</v>
      </c>
      <c r="D697" s="73" t="str">
        <f>IFERROR(VLOOKUP(C697,Stock,3,FALSE),"")</f>
        <v>Toyota Vios 07-13 XP90 2nd Gen</v>
      </c>
      <c r="E697" s="56">
        <v>1.0</v>
      </c>
      <c r="F697" s="161">
        <v>1704000.0</v>
      </c>
      <c r="G697" s="162">
        <f t="shared" si="14"/>
        <v>1704000</v>
      </c>
      <c r="H697" s="194"/>
      <c r="I697" s="204">
        <f t="shared" si="11"/>
        <v>1704000</v>
      </c>
      <c r="J697" s="164">
        <f t="shared" si="12"/>
        <v>1704000</v>
      </c>
      <c r="K697" s="56" t="s">
        <v>4852</v>
      </c>
      <c r="L697" s="165" t="s">
        <v>4853</v>
      </c>
      <c r="M697" s="73"/>
      <c r="N697" s="171"/>
      <c r="O697" s="169" t="s">
        <v>2958</v>
      </c>
      <c r="P697" s="168" t="s">
        <v>3112</v>
      </c>
      <c r="Q697" s="167">
        <v>1800000.0</v>
      </c>
      <c r="R697" s="173"/>
      <c r="S697" s="173"/>
      <c r="T697" s="173"/>
      <c r="U697" s="167">
        <v>96000.0</v>
      </c>
      <c r="V697" s="168" t="s">
        <v>3883</v>
      </c>
      <c r="W697" s="169"/>
      <c r="X697" s="219">
        <v>45547.0</v>
      </c>
    </row>
    <row r="698" ht="15.0" customHeight="1">
      <c r="A698" s="127">
        <v>45543.0</v>
      </c>
      <c r="B698" s="181" t="s">
        <v>4854</v>
      </c>
      <c r="C698" s="251" t="s">
        <v>3391</v>
      </c>
      <c r="D698" s="73" t="str">
        <f>IFERROR(VLOOKUP(C698,Stock,3,FALSE),"")</f>
        <v>Toyota Fortuner 05-15 1st Gen</v>
      </c>
      <c r="E698" s="56">
        <v>1.0</v>
      </c>
      <c r="F698" s="161">
        <v>1492000.0</v>
      </c>
      <c r="G698" s="162">
        <f t="shared" si="14"/>
        <v>1492000</v>
      </c>
      <c r="H698" s="194"/>
      <c r="I698" s="204">
        <f t="shared" si="11"/>
        <v>1492000</v>
      </c>
      <c r="J698" s="164">
        <f t="shared" si="12"/>
        <v>1492000</v>
      </c>
      <c r="K698" s="268" t="s">
        <v>4855</v>
      </c>
      <c r="L698" s="165" t="s">
        <v>4856</v>
      </c>
      <c r="M698" s="73"/>
      <c r="N698" s="169" t="s">
        <v>4857</v>
      </c>
      <c r="O698" s="169" t="s">
        <v>2958</v>
      </c>
      <c r="P698" s="168" t="s">
        <v>3112</v>
      </c>
      <c r="Q698" s="167">
        <v>1500000.0</v>
      </c>
      <c r="R698" s="173"/>
      <c r="S698" s="173"/>
      <c r="T698" s="173"/>
      <c r="U698" s="167">
        <v>8000.0</v>
      </c>
      <c r="V698" s="168" t="s">
        <v>3799</v>
      </c>
      <c r="W698" s="169"/>
      <c r="X698" s="219">
        <v>45547.0</v>
      </c>
    </row>
    <row r="699" ht="15.0" customHeight="1">
      <c r="A699" s="127">
        <v>45543.0</v>
      </c>
      <c r="B699" s="181" t="s">
        <v>4858</v>
      </c>
      <c r="C699" s="56" t="s">
        <v>3235</v>
      </c>
      <c r="D699" s="73" t="str">
        <f>IFERROR(VLOOKUP(C699,Stock,3,FALSE),"")</f>
        <v>Toyota Vios 02-07 XP40 1st Gen</v>
      </c>
      <c r="E699" s="56">
        <v>1.0</v>
      </c>
      <c r="F699" s="161">
        <v>1455000.0</v>
      </c>
      <c r="G699" s="162">
        <f t="shared" si="14"/>
        <v>1455000</v>
      </c>
      <c r="H699" s="194"/>
      <c r="I699" s="204">
        <f t="shared" si="11"/>
        <v>1455000</v>
      </c>
      <c r="J699" s="164">
        <f t="shared" si="12"/>
        <v>1455000</v>
      </c>
      <c r="K699" s="251" t="s">
        <v>4859</v>
      </c>
      <c r="L699" s="170" t="s">
        <v>4860</v>
      </c>
      <c r="M699" s="73"/>
      <c r="N699" s="169" t="s">
        <v>4861</v>
      </c>
      <c r="O699" s="169" t="s">
        <v>2958</v>
      </c>
      <c r="P699" s="168" t="s">
        <v>3054</v>
      </c>
      <c r="Q699" s="173"/>
      <c r="R699" s="167">
        <v>1450000.0</v>
      </c>
      <c r="S699" s="173"/>
      <c r="T699" s="173"/>
      <c r="U699" s="173"/>
      <c r="V699" s="168" t="s">
        <v>3799</v>
      </c>
      <c r="W699" s="169"/>
      <c r="X699" s="169" t="s">
        <v>4668</v>
      </c>
    </row>
    <row r="700" ht="15.0" customHeight="1">
      <c r="A700" s="127">
        <v>45543.0</v>
      </c>
      <c r="B700" s="181" t="s">
        <v>4862</v>
      </c>
      <c r="C700" s="251" t="s">
        <v>2744</v>
      </c>
      <c r="D700" s="73" t="str">
        <f>IFERROR(VLOOKUP(C700,Stock,3,FALSE),"")</f>
        <v>Toyota Fortuner 05-15 1st Gen (Hitam)</v>
      </c>
      <c r="E700" s="56">
        <v>1.0</v>
      </c>
      <c r="F700" s="161">
        <v>2200000.0</v>
      </c>
      <c r="G700" s="162">
        <f t="shared" si="14"/>
        <v>2200000</v>
      </c>
      <c r="H700" s="194"/>
      <c r="I700" s="204">
        <f t="shared" si="11"/>
        <v>2200000</v>
      </c>
      <c r="J700" s="164">
        <f t="shared" si="12"/>
        <v>2200000</v>
      </c>
      <c r="K700" s="251" t="s">
        <v>4863</v>
      </c>
      <c r="L700" s="267" t="s">
        <v>4864</v>
      </c>
      <c r="M700" s="73"/>
      <c r="N700" s="169" t="s">
        <v>4865</v>
      </c>
      <c r="O700" s="169" t="s">
        <v>3037</v>
      </c>
      <c r="P700" s="168" t="s">
        <v>3112</v>
      </c>
      <c r="Q700" s="173"/>
      <c r="R700" s="167">
        <v>2200000.0</v>
      </c>
      <c r="S700" s="173"/>
      <c r="T700" s="173"/>
      <c r="U700" s="173"/>
      <c r="V700" s="168" t="s">
        <v>3799</v>
      </c>
      <c r="W700" s="169"/>
      <c r="X700" s="169" t="s">
        <v>4668</v>
      </c>
    </row>
    <row r="701" ht="15.0" customHeight="1">
      <c r="A701" s="127">
        <v>45544.0</v>
      </c>
      <c r="B701" s="181" t="s">
        <v>4866</v>
      </c>
      <c r="C701" s="251" t="s">
        <v>2562</v>
      </c>
      <c r="D701" s="73" t="str">
        <f>IFERROR(VLOOKUP(C701,Stock,3,FALSE),"")</f>
        <v>Toyota Avanza / Xenia 15-21 3rd Gen</v>
      </c>
      <c r="E701" s="56">
        <v>1.0</v>
      </c>
      <c r="F701" s="161">
        <v>800000.0</v>
      </c>
      <c r="G701" s="162">
        <f t="shared" si="14"/>
        <v>800000</v>
      </c>
      <c r="H701" s="194"/>
      <c r="I701" s="204">
        <f t="shared" si="11"/>
        <v>800000</v>
      </c>
      <c r="J701" s="164">
        <f t="shared" si="12"/>
        <v>800000</v>
      </c>
      <c r="K701" s="56" t="s">
        <v>4867</v>
      </c>
      <c r="L701" s="165" t="s">
        <v>4868</v>
      </c>
      <c r="M701" s="73"/>
      <c r="N701" s="171"/>
      <c r="O701" s="169" t="s">
        <v>4869</v>
      </c>
      <c r="P701" s="168" t="s">
        <v>3112</v>
      </c>
      <c r="Q701" s="167">
        <v>800000.0</v>
      </c>
      <c r="R701" s="173"/>
      <c r="S701" s="173"/>
      <c r="T701" s="173"/>
      <c r="U701" s="173"/>
      <c r="V701" s="168" t="s">
        <v>3799</v>
      </c>
      <c r="W701" s="169"/>
      <c r="X701" s="219">
        <v>45547.0</v>
      </c>
    </row>
    <row r="702" ht="15.0" customHeight="1">
      <c r="A702" s="127">
        <v>45544.0</v>
      </c>
      <c r="B702" s="181" t="s">
        <v>4870</v>
      </c>
      <c r="C702" s="251" t="s">
        <v>2549</v>
      </c>
      <c r="D702" s="73" t="str">
        <f>IFERROR(VLOOKUP(C702,Stock,3,FALSE),"")</f>
        <v>Toyota Avanza / Xenia 11-15 2nd Gen</v>
      </c>
      <c r="E702" s="56">
        <v>1.0</v>
      </c>
      <c r="F702" s="161">
        <v>1120000.0</v>
      </c>
      <c r="G702" s="162">
        <f t="shared" si="14"/>
        <v>1120000</v>
      </c>
      <c r="H702" s="194"/>
      <c r="I702" s="204">
        <f t="shared" si="11"/>
        <v>1120000</v>
      </c>
      <c r="J702" s="164">
        <f t="shared" si="12"/>
        <v>1120000</v>
      </c>
      <c r="K702" s="251" t="s">
        <v>4871</v>
      </c>
      <c r="L702" s="165" t="s">
        <v>4872</v>
      </c>
      <c r="M702" s="73"/>
      <c r="N702" s="169" t="s">
        <v>4873</v>
      </c>
      <c r="O702" s="169" t="s">
        <v>2958</v>
      </c>
      <c r="P702" s="168" t="s">
        <v>3112</v>
      </c>
      <c r="Q702" s="167">
        <v>1200000.0</v>
      </c>
      <c r="R702" s="173"/>
      <c r="S702" s="173"/>
      <c r="T702" s="173"/>
      <c r="U702" s="167">
        <v>80000.0</v>
      </c>
      <c r="V702" s="168" t="s">
        <v>3799</v>
      </c>
      <c r="W702" s="169"/>
      <c r="X702" s="219">
        <v>45547.0</v>
      </c>
    </row>
    <row r="703" ht="15.0" customHeight="1">
      <c r="A703" s="127">
        <v>45544.0</v>
      </c>
      <c r="B703" s="181" t="s">
        <v>4874</v>
      </c>
      <c r="C703" s="251" t="s">
        <v>2546</v>
      </c>
      <c r="D703" s="73" t="str">
        <f>IFERROR(VLOOKUP(C703,Stock,3,FALSE),"")</f>
        <v>Wuling Confero (Tanpa Spionnya)</v>
      </c>
      <c r="E703" s="56">
        <v>1.0</v>
      </c>
      <c r="F703" s="161">
        <v>1522000.0</v>
      </c>
      <c r="G703" s="162">
        <f t="shared" si="14"/>
        <v>1522000</v>
      </c>
      <c r="H703" s="201">
        <v>22000.0</v>
      </c>
      <c r="I703" s="204">
        <f t="shared" si="11"/>
        <v>1500000</v>
      </c>
      <c r="J703" s="164">
        <f t="shared" si="12"/>
        <v>1500000</v>
      </c>
      <c r="K703" s="251" t="s">
        <v>4875</v>
      </c>
      <c r="L703" s="165" t="s">
        <v>4315</v>
      </c>
      <c r="M703" s="73"/>
      <c r="N703" s="169" t="s">
        <v>4876</v>
      </c>
      <c r="O703" s="169" t="s">
        <v>3204</v>
      </c>
      <c r="P703" s="168" t="s">
        <v>3112</v>
      </c>
      <c r="Q703" s="173"/>
      <c r="R703" s="167">
        <v>1500000.0</v>
      </c>
      <c r="S703" s="173"/>
      <c r="T703" s="173"/>
      <c r="U703" s="173"/>
      <c r="V703" s="168" t="s">
        <v>3799</v>
      </c>
      <c r="W703" s="169"/>
      <c r="X703" s="169" t="s">
        <v>4877</v>
      </c>
    </row>
    <row r="704" ht="15.0" customHeight="1">
      <c r="A704" s="127">
        <v>45544.0</v>
      </c>
      <c r="B704" s="181" t="s">
        <v>4874</v>
      </c>
      <c r="C704" s="251" t="s">
        <v>2954</v>
      </c>
      <c r="D704" s="73" t="str">
        <f>IFERROR(VLOOKUP(C704,Stock,3,FALSE),"")</f>
        <v>Transport</v>
      </c>
      <c r="E704" s="56">
        <v>1.0</v>
      </c>
      <c r="F704" s="161">
        <v>150000.0</v>
      </c>
      <c r="G704" s="162">
        <f t="shared" si="14"/>
        <v>150000</v>
      </c>
      <c r="H704" s="201">
        <v>50000.0</v>
      </c>
      <c r="I704" s="204">
        <f t="shared" si="11"/>
        <v>100000</v>
      </c>
      <c r="J704" s="164">
        <f t="shared" si="12"/>
        <v>100000</v>
      </c>
      <c r="K704" s="251" t="s">
        <v>4878</v>
      </c>
      <c r="L704" s="165" t="s">
        <v>4315</v>
      </c>
      <c r="M704" s="73"/>
      <c r="N704" s="169" t="s">
        <v>4876</v>
      </c>
      <c r="O704" s="169" t="s">
        <v>3204</v>
      </c>
      <c r="P704" s="168" t="s">
        <v>3112</v>
      </c>
      <c r="Q704" s="173"/>
      <c r="R704" s="167">
        <v>100000.0</v>
      </c>
      <c r="S704" s="173"/>
      <c r="T704" s="173"/>
      <c r="U704" s="173"/>
      <c r="V704" s="168" t="s">
        <v>3799</v>
      </c>
      <c r="W704" s="169"/>
      <c r="X704" s="169" t="s">
        <v>4877</v>
      </c>
    </row>
    <row r="705" ht="15.0" customHeight="1">
      <c r="A705" s="127">
        <v>45544.0</v>
      </c>
      <c r="B705" s="181" t="s">
        <v>4879</v>
      </c>
      <c r="C705" s="56" t="s">
        <v>2565</v>
      </c>
      <c r="D705" s="73" t="str">
        <f>IFERROR(VLOOKUP(C705,Stock,3,FALSE),"")</f>
        <v>Toyota Avanza / Xenia 03-11 1st Gen</v>
      </c>
      <c r="E705" s="56">
        <v>1.0</v>
      </c>
      <c r="F705" s="161">
        <v>1120000.0</v>
      </c>
      <c r="G705" s="162">
        <f t="shared" si="14"/>
        <v>1120000</v>
      </c>
      <c r="H705" s="194"/>
      <c r="I705" s="204">
        <f t="shared" si="11"/>
        <v>1120000</v>
      </c>
      <c r="J705" s="164">
        <f t="shared" si="12"/>
        <v>1120000</v>
      </c>
      <c r="K705" s="56" t="s">
        <v>4880</v>
      </c>
      <c r="L705" s="165" t="s">
        <v>4881</v>
      </c>
      <c r="M705" s="73"/>
      <c r="N705" s="169" t="s">
        <v>4882</v>
      </c>
      <c r="O705" s="169" t="s">
        <v>2958</v>
      </c>
      <c r="P705" s="168" t="s">
        <v>3112</v>
      </c>
      <c r="Q705" s="167">
        <v>1200000.0</v>
      </c>
      <c r="R705" s="173"/>
      <c r="S705" s="173"/>
      <c r="T705" s="173"/>
      <c r="U705" s="167">
        <v>80000.0</v>
      </c>
      <c r="V705" s="168" t="s">
        <v>3799</v>
      </c>
      <c r="W705" s="169"/>
      <c r="X705" s="219">
        <v>45547.0</v>
      </c>
    </row>
    <row r="706" ht="15.0" customHeight="1">
      <c r="A706" s="127">
        <v>45544.0</v>
      </c>
      <c r="B706" s="181" t="s">
        <v>4883</v>
      </c>
      <c r="C706" s="251" t="s">
        <v>3300</v>
      </c>
      <c r="D706" s="73" t="str">
        <f>IFERROR(VLOOKUP(C706,Stock,3,FALSE),"")</f>
        <v>Honda CR-V 07-11 3rd Gen</v>
      </c>
      <c r="E706" s="56">
        <v>1.0</v>
      </c>
      <c r="F706" s="161">
        <v>1652000.0</v>
      </c>
      <c r="G706" s="162">
        <f t="shared" si="14"/>
        <v>1652000</v>
      </c>
      <c r="H706" s="194"/>
      <c r="I706" s="204">
        <f t="shared" si="11"/>
        <v>1652000</v>
      </c>
      <c r="J706" s="164">
        <f t="shared" si="12"/>
        <v>1652000</v>
      </c>
      <c r="K706" s="56" t="s">
        <v>4884</v>
      </c>
      <c r="L706" s="165" t="s">
        <v>4885</v>
      </c>
      <c r="M706" s="73"/>
      <c r="N706" s="171"/>
      <c r="O706" s="169" t="s">
        <v>3037</v>
      </c>
      <c r="P706" s="168" t="s">
        <v>3112</v>
      </c>
      <c r="Q706" s="167">
        <v>1652000.0</v>
      </c>
      <c r="R706" s="173"/>
      <c r="S706" s="173"/>
      <c r="T706" s="173"/>
      <c r="U706" s="173"/>
      <c r="V706" s="168" t="s">
        <v>4262</v>
      </c>
      <c r="W706" s="169"/>
      <c r="X706" s="219">
        <v>45547.0</v>
      </c>
    </row>
    <row r="707" ht="15.0" customHeight="1">
      <c r="A707" s="127">
        <v>45544.0</v>
      </c>
      <c r="B707" s="181" t="s">
        <v>4883</v>
      </c>
      <c r="C707" s="56" t="s">
        <v>2934</v>
      </c>
      <c r="D707" s="73" t="str">
        <f>IFERROR(VLOOKUP(C707,Stock,3,FALSE),"")</f>
        <v>Peti Kayu</v>
      </c>
      <c r="E707" s="56">
        <v>1.0</v>
      </c>
      <c r="F707" s="161">
        <v>160000.0</v>
      </c>
      <c r="G707" s="162">
        <f t="shared" si="14"/>
        <v>160000</v>
      </c>
      <c r="H707" s="194"/>
      <c r="I707" s="204">
        <f t="shared" si="11"/>
        <v>160000</v>
      </c>
      <c r="J707" s="164">
        <f t="shared" si="12"/>
        <v>160000</v>
      </c>
      <c r="K707" s="56" t="s">
        <v>4884</v>
      </c>
      <c r="L707" s="165" t="s">
        <v>4885</v>
      </c>
      <c r="M707" s="73"/>
      <c r="N707" s="171"/>
      <c r="O707" s="169" t="s">
        <v>3037</v>
      </c>
      <c r="P707" s="168" t="s">
        <v>3112</v>
      </c>
      <c r="Q707" s="167">
        <v>160000.0</v>
      </c>
      <c r="R707" s="173"/>
      <c r="S707" s="173"/>
      <c r="T707" s="173"/>
      <c r="U707" s="173"/>
      <c r="V707" s="168" t="s">
        <v>4262</v>
      </c>
      <c r="W707" s="169"/>
      <c r="X707" s="219">
        <v>45547.0</v>
      </c>
    </row>
    <row r="708" ht="15.0" customHeight="1">
      <c r="A708" s="127">
        <v>45544.0</v>
      </c>
      <c r="B708" s="181" t="s">
        <v>4886</v>
      </c>
      <c r="C708" s="251" t="s">
        <v>3186</v>
      </c>
      <c r="D708" s="73" t="str">
        <f>IFERROR(VLOOKUP(C708,Stock,3,FALSE),"")</f>
        <v>Daihatsu Gran Max / Luxio 07-</v>
      </c>
      <c r="E708" s="56">
        <v>1.0</v>
      </c>
      <c r="F708" s="161">
        <v>1100000.0</v>
      </c>
      <c r="G708" s="162">
        <f t="shared" si="14"/>
        <v>1100000</v>
      </c>
      <c r="H708" s="194"/>
      <c r="I708" s="204">
        <f t="shared" si="11"/>
        <v>1100000</v>
      </c>
      <c r="J708" s="164">
        <f t="shared" si="12"/>
        <v>1100000</v>
      </c>
      <c r="K708" s="251" t="s">
        <v>4887</v>
      </c>
      <c r="L708" s="165" t="s">
        <v>4888</v>
      </c>
      <c r="M708" s="73"/>
      <c r="N708" s="169" t="s">
        <v>4889</v>
      </c>
      <c r="O708" s="169" t="s">
        <v>3037</v>
      </c>
      <c r="P708" s="168" t="s">
        <v>3112</v>
      </c>
      <c r="Q708" s="167">
        <v>1100000.0</v>
      </c>
      <c r="R708" s="173"/>
      <c r="S708" s="173"/>
      <c r="T708" s="173"/>
      <c r="U708" s="173"/>
      <c r="V708" s="168" t="s">
        <v>3799</v>
      </c>
      <c r="W708" s="169"/>
      <c r="X708" s="219">
        <v>45547.0</v>
      </c>
    </row>
    <row r="709" ht="15.0" customHeight="1">
      <c r="A709" s="127">
        <v>45544.0</v>
      </c>
      <c r="B709" s="181" t="s">
        <v>4890</v>
      </c>
      <c r="C709" s="251" t="s">
        <v>2696</v>
      </c>
      <c r="D709" s="73" t="str">
        <f>IFERROR(VLOOKUP(C709,Stock,3,FALSE),"")</f>
        <v>Honda HR-V 22- 5D SUV (Honda)</v>
      </c>
      <c r="E709" s="56">
        <v>1.0</v>
      </c>
      <c r="F709" s="161">
        <v>3768000.0</v>
      </c>
      <c r="G709" s="162">
        <f t="shared" si="14"/>
        <v>3768000</v>
      </c>
      <c r="H709" s="201">
        <v>68000.0</v>
      </c>
      <c r="I709" s="204">
        <f t="shared" si="11"/>
        <v>3700000</v>
      </c>
      <c r="J709" s="164">
        <f t="shared" si="12"/>
        <v>3700000</v>
      </c>
      <c r="K709" s="251" t="s">
        <v>4891</v>
      </c>
      <c r="L709" s="165" t="s">
        <v>4892</v>
      </c>
      <c r="M709" s="73"/>
      <c r="N709" s="169" t="s">
        <v>4893</v>
      </c>
      <c r="O709" s="169" t="s">
        <v>2958</v>
      </c>
      <c r="P709" s="168" t="s">
        <v>3112</v>
      </c>
      <c r="Q709" s="173"/>
      <c r="R709" s="167">
        <v>3700000.0</v>
      </c>
      <c r="S709" s="173"/>
      <c r="T709" s="173"/>
      <c r="U709" s="173"/>
      <c r="V709" s="168" t="s">
        <v>3799</v>
      </c>
      <c r="W709" s="169"/>
      <c r="X709" s="169" t="s">
        <v>4668</v>
      </c>
    </row>
    <row r="710" ht="15.0" customHeight="1">
      <c r="A710" s="127">
        <v>45544.0</v>
      </c>
      <c r="B710" s="181" t="s">
        <v>4890</v>
      </c>
      <c r="C710" s="251" t="s">
        <v>2954</v>
      </c>
      <c r="D710" s="73" t="str">
        <f>IFERROR(VLOOKUP(C710,Stock,3,FALSE),"")</f>
        <v>Transport</v>
      </c>
      <c r="E710" s="56">
        <v>1.0</v>
      </c>
      <c r="F710" s="161">
        <v>100000.0</v>
      </c>
      <c r="G710" s="162">
        <f t="shared" si="14"/>
        <v>100000</v>
      </c>
      <c r="H710" s="194"/>
      <c r="I710" s="204">
        <f t="shared" si="11"/>
        <v>100000</v>
      </c>
      <c r="J710" s="164">
        <f t="shared" si="12"/>
        <v>100000</v>
      </c>
      <c r="K710" s="251" t="s">
        <v>4891</v>
      </c>
      <c r="L710" s="165" t="s">
        <v>4892</v>
      </c>
      <c r="M710" s="73"/>
      <c r="N710" s="169" t="s">
        <v>4893</v>
      </c>
      <c r="O710" s="169" t="s">
        <v>2958</v>
      </c>
      <c r="P710" s="168" t="s">
        <v>3112</v>
      </c>
      <c r="Q710" s="173"/>
      <c r="R710" s="167">
        <v>100000.0</v>
      </c>
      <c r="S710" s="173"/>
      <c r="T710" s="173"/>
      <c r="U710" s="173"/>
      <c r="V710" s="168" t="s">
        <v>3799</v>
      </c>
      <c r="W710" s="169"/>
      <c r="X710" s="169" t="s">
        <v>4668</v>
      </c>
    </row>
    <row r="711" ht="15.0" customHeight="1">
      <c r="A711" s="127">
        <v>45545.0</v>
      </c>
      <c r="B711" s="181" t="s">
        <v>4894</v>
      </c>
      <c r="C711" s="56" t="s">
        <v>4895</v>
      </c>
      <c r="D711" s="73" t="str">
        <f>IFERROR(VLOOKUP(C711,Stock,3,FALSE),"")</f>
        <v>Toyota Voxy 17-</v>
      </c>
      <c r="E711" s="56">
        <v>1.0</v>
      </c>
      <c r="F711" s="161">
        <v>3676000.0</v>
      </c>
      <c r="G711" s="162">
        <f t="shared" si="14"/>
        <v>3676000</v>
      </c>
      <c r="H711" s="194"/>
      <c r="I711" s="204">
        <f t="shared" si="11"/>
        <v>3676000</v>
      </c>
      <c r="J711" s="164">
        <f t="shared" si="12"/>
        <v>3676000</v>
      </c>
      <c r="K711" s="56" t="s">
        <v>4896</v>
      </c>
      <c r="L711" s="165" t="s">
        <v>4897</v>
      </c>
      <c r="M711" s="56" t="s">
        <v>4898</v>
      </c>
      <c r="N711" s="169" t="s">
        <v>4899</v>
      </c>
      <c r="O711" s="169" t="s">
        <v>2958</v>
      </c>
      <c r="P711" s="168" t="s">
        <v>3112</v>
      </c>
      <c r="Q711" s="173"/>
      <c r="R711" s="167">
        <v>3676000.0</v>
      </c>
      <c r="S711" s="173"/>
      <c r="T711" s="173"/>
      <c r="U711" s="173"/>
      <c r="V711" s="168" t="s">
        <v>3883</v>
      </c>
      <c r="W711" s="169"/>
      <c r="X711" s="169" t="s">
        <v>4668</v>
      </c>
    </row>
    <row r="712" ht="15.0" customHeight="1">
      <c r="A712" s="127">
        <v>45545.0</v>
      </c>
      <c r="B712" s="181" t="s">
        <v>4900</v>
      </c>
      <c r="C712" s="56" t="s">
        <v>4901</v>
      </c>
      <c r="D712" s="73" t="str">
        <f>IFERROR(VLOOKUP(C712,Stock,3,FALSE),"")</f>
        <v>Toyota Rush / Terios 18-</v>
      </c>
      <c r="E712" s="56">
        <v>1.0</v>
      </c>
      <c r="F712" s="161">
        <v>1052000.0</v>
      </c>
      <c r="G712" s="162">
        <f t="shared" si="14"/>
        <v>1052000</v>
      </c>
      <c r="H712" s="194"/>
      <c r="I712" s="204">
        <f t="shared" si="11"/>
        <v>1052000</v>
      </c>
      <c r="J712" s="164">
        <f t="shared" si="12"/>
        <v>1052000</v>
      </c>
      <c r="K712" s="56" t="s">
        <v>4902</v>
      </c>
      <c r="L712" s="165" t="s">
        <v>4903</v>
      </c>
      <c r="M712" s="56" t="s">
        <v>3316</v>
      </c>
      <c r="N712" s="169" t="s">
        <v>4904</v>
      </c>
      <c r="O712" s="169" t="s">
        <v>2958</v>
      </c>
      <c r="P712" s="168" t="s">
        <v>3112</v>
      </c>
      <c r="Q712" s="167">
        <v>1052000.0</v>
      </c>
      <c r="R712" s="173"/>
      <c r="S712" s="173"/>
      <c r="T712" s="173"/>
      <c r="U712" s="173"/>
      <c r="V712" s="168" t="s">
        <v>3799</v>
      </c>
      <c r="W712" s="169"/>
      <c r="X712" s="219">
        <v>45547.0</v>
      </c>
    </row>
    <row r="713" ht="15.0" customHeight="1">
      <c r="A713" s="127">
        <v>45545.0</v>
      </c>
      <c r="B713" s="181" t="s">
        <v>4905</v>
      </c>
      <c r="C713" s="251" t="s">
        <v>4027</v>
      </c>
      <c r="D713" s="73" t="str">
        <f>IFERROR(VLOOKUP(C713,Stock,3,FALSE),"")</f>
        <v>501 Sealant Application</v>
      </c>
      <c r="E713" s="56">
        <v>1.0</v>
      </c>
      <c r="F713" s="161">
        <v>100000.0</v>
      </c>
      <c r="G713" s="162">
        <f t="shared" si="14"/>
        <v>100000</v>
      </c>
      <c r="H713" s="194"/>
      <c r="I713" s="204">
        <f t="shared" si="11"/>
        <v>100000</v>
      </c>
      <c r="J713" s="164">
        <f t="shared" si="12"/>
        <v>100000</v>
      </c>
      <c r="K713" s="251" t="s">
        <v>4891</v>
      </c>
      <c r="L713" s="165" t="s">
        <v>4892</v>
      </c>
      <c r="M713" s="73"/>
      <c r="N713" s="169" t="s">
        <v>4893</v>
      </c>
      <c r="O713" s="169" t="s">
        <v>2958</v>
      </c>
      <c r="P713" s="168" t="s">
        <v>3112</v>
      </c>
      <c r="Q713" s="173"/>
      <c r="R713" s="167">
        <v>100000.0</v>
      </c>
      <c r="S713" s="173"/>
      <c r="T713" s="173"/>
      <c r="U713" s="173"/>
      <c r="V713" s="168" t="s">
        <v>3799</v>
      </c>
      <c r="W713" s="169"/>
      <c r="X713" s="169" t="s">
        <v>4668</v>
      </c>
    </row>
    <row r="714" ht="15.0" customHeight="1">
      <c r="A714" s="127">
        <v>45545.0</v>
      </c>
      <c r="B714" s="181" t="s">
        <v>4906</v>
      </c>
      <c r="C714" s="56" t="s">
        <v>4907</v>
      </c>
      <c r="D714" s="73" t="str">
        <f>IFERROR(VLOOKUP(C714,Stock,3,FALSE),"")</f>
        <v>Nissan Livina 07-12 L10 (Tanpa Lubang)</v>
      </c>
      <c r="E714" s="56">
        <v>1.0</v>
      </c>
      <c r="F714" s="161">
        <v>1249000.0</v>
      </c>
      <c r="G714" s="162">
        <f t="shared" si="14"/>
        <v>1249000</v>
      </c>
      <c r="H714" s="201">
        <v>49000.0</v>
      </c>
      <c r="I714" s="204">
        <f t="shared" si="11"/>
        <v>1200000</v>
      </c>
      <c r="J714" s="164">
        <f t="shared" si="12"/>
        <v>1200000</v>
      </c>
      <c r="K714" s="56" t="s">
        <v>4908</v>
      </c>
      <c r="L714" s="165" t="s">
        <v>4909</v>
      </c>
      <c r="M714" s="73"/>
      <c r="N714" s="169" t="s">
        <v>4910</v>
      </c>
      <c r="O714" s="169" t="s">
        <v>3858</v>
      </c>
      <c r="P714" s="168" t="s">
        <v>3112</v>
      </c>
      <c r="Q714" s="173"/>
      <c r="R714" s="167">
        <v>1200000.0</v>
      </c>
      <c r="S714" s="173"/>
      <c r="T714" s="173"/>
      <c r="U714" s="173"/>
      <c r="V714" s="168" t="s">
        <v>3883</v>
      </c>
      <c r="W714" s="169"/>
      <c r="X714" s="169" t="s">
        <v>4668</v>
      </c>
    </row>
    <row r="715" ht="15.0" customHeight="1">
      <c r="A715" s="127">
        <v>45545.0</v>
      </c>
      <c r="B715" s="181" t="s">
        <v>4911</v>
      </c>
      <c r="C715" s="251" t="s">
        <v>3149</v>
      </c>
      <c r="D715" s="73" t="str">
        <f>IFERROR(VLOOKUP(C715,Stock,3,FALSE),"")</f>
        <v>Honda CR-V 12-16 4th Gen [Rata]</v>
      </c>
      <c r="E715" s="56">
        <v>1.0</v>
      </c>
      <c r="F715" s="161">
        <v>1699000.0</v>
      </c>
      <c r="G715" s="162">
        <f t="shared" si="14"/>
        <v>1699000</v>
      </c>
      <c r="H715" s="194"/>
      <c r="I715" s="204">
        <f t="shared" si="11"/>
        <v>1699000</v>
      </c>
      <c r="J715" s="164">
        <f t="shared" si="12"/>
        <v>1699000</v>
      </c>
      <c r="K715" s="251" t="s">
        <v>4912</v>
      </c>
      <c r="L715" s="165" t="s">
        <v>4913</v>
      </c>
      <c r="M715" s="73"/>
      <c r="N715" s="169" t="s">
        <v>4914</v>
      </c>
      <c r="O715" s="169" t="s">
        <v>3184</v>
      </c>
      <c r="P715" s="168" t="s">
        <v>3112</v>
      </c>
      <c r="Q715" s="173"/>
      <c r="R715" s="167">
        <v>1699000.0</v>
      </c>
      <c r="S715" s="173"/>
      <c r="T715" s="173"/>
      <c r="U715" s="173"/>
      <c r="V715" s="168" t="s">
        <v>3799</v>
      </c>
      <c r="W715" s="169"/>
      <c r="X715" s="169" t="s">
        <v>4668</v>
      </c>
    </row>
    <row r="716" ht="15.0" customHeight="1">
      <c r="A716" s="127">
        <v>45546.0</v>
      </c>
      <c r="B716" s="181" t="s">
        <v>4915</v>
      </c>
      <c r="C716" s="251" t="s">
        <v>3045</v>
      </c>
      <c r="D716" s="73" t="str">
        <f>IFERROR(VLOOKUP(C716,Stock,3,FALSE),"")</f>
        <v>Pemasangan Kaca Mobil Depan</v>
      </c>
      <c r="E716" s="56">
        <v>1.0</v>
      </c>
      <c r="F716" s="161">
        <v>450000.0</v>
      </c>
      <c r="G716" s="162">
        <f t="shared" si="14"/>
        <v>450000</v>
      </c>
      <c r="H716" s="194"/>
      <c r="I716" s="204">
        <f t="shared" si="11"/>
        <v>450000</v>
      </c>
      <c r="J716" s="164">
        <f t="shared" si="12"/>
        <v>450000</v>
      </c>
      <c r="K716" s="56" t="s">
        <v>4916</v>
      </c>
      <c r="L716" s="165" t="s">
        <v>4917</v>
      </c>
      <c r="M716" s="73"/>
      <c r="N716" s="169" t="s">
        <v>4918</v>
      </c>
      <c r="O716" s="169" t="s">
        <v>2958</v>
      </c>
      <c r="P716" s="168" t="s">
        <v>3112</v>
      </c>
      <c r="Q716" s="173"/>
      <c r="R716" s="167">
        <v>450000.0</v>
      </c>
      <c r="S716" s="173"/>
      <c r="T716" s="173"/>
      <c r="U716" s="173"/>
      <c r="V716" s="168" t="s">
        <v>3883</v>
      </c>
      <c r="W716" s="169"/>
      <c r="X716" s="169" t="s">
        <v>4668</v>
      </c>
    </row>
    <row r="717" ht="15.0" customHeight="1">
      <c r="A717" s="127">
        <v>45546.0</v>
      </c>
      <c r="B717" s="181" t="s">
        <v>4915</v>
      </c>
      <c r="C717" s="251" t="s">
        <v>2954</v>
      </c>
      <c r="D717" s="73" t="str">
        <f>IFERROR(VLOOKUP(C717,Stock,3,FALSE),"")</f>
        <v>Transport</v>
      </c>
      <c r="E717" s="56">
        <v>1.0</v>
      </c>
      <c r="F717" s="161">
        <v>50000.0</v>
      </c>
      <c r="G717" s="162">
        <f t="shared" si="14"/>
        <v>50000</v>
      </c>
      <c r="H717" s="194"/>
      <c r="I717" s="204">
        <f t="shared" si="11"/>
        <v>50000</v>
      </c>
      <c r="J717" s="164">
        <f t="shared" si="12"/>
        <v>50000</v>
      </c>
      <c r="K717" s="56" t="s">
        <v>4916</v>
      </c>
      <c r="L717" s="165" t="s">
        <v>4917</v>
      </c>
      <c r="M717" s="73"/>
      <c r="N717" s="169" t="s">
        <v>4918</v>
      </c>
      <c r="O717" s="169" t="s">
        <v>2958</v>
      </c>
      <c r="P717" s="168" t="s">
        <v>3112</v>
      </c>
      <c r="Q717" s="173"/>
      <c r="R717" s="167">
        <v>50000.0</v>
      </c>
      <c r="S717" s="173"/>
      <c r="T717" s="173"/>
      <c r="U717" s="173"/>
      <c r="V717" s="168" t="s">
        <v>3883</v>
      </c>
      <c r="W717" s="169"/>
      <c r="X717" s="169" t="s">
        <v>4668</v>
      </c>
    </row>
    <row r="718" ht="15.0" customHeight="1">
      <c r="A718" s="127">
        <v>45547.0</v>
      </c>
      <c r="B718" s="181" t="s">
        <v>4919</v>
      </c>
      <c r="C718" s="251" t="s">
        <v>2919</v>
      </c>
      <c r="D718" s="73" t="str">
        <f>IFERROR(VLOOKUP(C718,Stock,3,FALSE),"")</f>
        <v>Toyota Innova 04-15 1st Gen</v>
      </c>
      <c r="E718" s="56">
        <v>1.0</v>
      </c>
      <c r="F718" s="161">
        <v>2640000.0</v>
      </c>
      <c r="G718" s="162">
        <f t="shared" si="14"/>
        <v>2640000</v>
      </c>
      <c r="H718" s="194"/>
      <c r="I718" s="204">
        <f t="shared" si="11"/>
        <v>2640000</v>
      </c>
      <c r="J718" s="164">
        <f t="shared" si="12"/>
        <v>2640000</v>
      </c>
      <c r="K718" s="56" t="s">
        <v>4920</v>
      </c>
      <c r="L718" s="165" t="s">
        <v>4921</v>
      </c>
      <c r="M718" s="73"/>
      <c r="N718" s="169" t="s">
        <v>4922</v>
      </c>
      <c r="O718" s="169" t="s">
        <v>3037</v>
      </c>
      <c r="P718" s="168" t="s">
        <v>3112</v>
      </c>
      <c r="Q718" s="173"/>
      <c r="R718" s="167">
        <v>2640000.0</v>
      </c>
      <c r="S718" s="173"/>
      <c r="T718" s="173"/>
      <c r="U718" s="173"/>
      <c r="V718" s="168" t="s">
        <v>3883</v>
      </c>
      <c r="W718" s="169"/>
      <c r="X718" s="169" t="s">
        <v>4668</v>
      </c>
    </row>
    <row r="719" ht="15.0" customHeight="1">
      <c r="A719" s="127">
        <v>45547.0</v>
      </c>
      <c r="B719" s="181" t="s">
        <v>4919</v>
      </c>
      <c r="C719" s="251" t="s">
        <v>2954</v>
      </c>
      <c r="D719" s="73" t="str">
        <f>IFERROR(VLOOKUP(C719,Stock,3,FALSE),"")</f>
        <v>Transport</v>
      </c>
      <c r="E719" s="56">
        <v>1.0</v>
      </c>
      <c r="F719" s="161">
        <v>200000.0</v>
      </c>
      <c r="G719" s="162">
        <f t="shared" si="14"/>
        <v>200000</v>
      </c>
      <c r="H719" s="194"/>
      <c r="I719" s="204">
        <f t="shared" si="11"/>
        <v>200000</v>
      </c>
      <c r="J719" s="164">
        <f t="shared" si="12"/>
        <v>200000</v>
      </c>
      <c r="K719" s="56" t="s">
        <v>4920</v>
      </c>
      <c r="L719" s="165" t="s">
        <v>4921</v>
      </c>
      <c r="M719" s="73"/>
      <c r="N719" s="169" t="s">
        <v>4922</v>
      </c>
      <c r="O719" s="169" t="s">
        <v>3037</v>
      </c>
      <c r="P719" s="168" t="s">
        <v>3112</v>
      </c>
      <c r="Q719" s="173"/>
      <c r="R719" s="167">
        <v>200000.0</v>
      </c>
      <c r="S719" s="173"/>
      <c r="T719" s="173"/>
      <c r="U719" s="173"/>
      <c r="V719" s="168" t="s">
        <v>3883</v>
      </c>
      <c r="W719" s="169"/>
      <c r="X719" s="169" t="s">
        <v>4668</v>
      </c>
    </row>
    <row r="720" ht="15.0" customHeight="1">
      <c r="A720" s="127">
        <v>45547.0</v>
      </c>
      <c r="B720" s="181" t="s">
        <v>4923</v>
      </c>
      <c r="C720" s="251" t="s">
        <v>3360</v>
      </c>
      <c r="D720" s="73" t="str">
        <f>IFERROR(VLOOKUP(C720,Stock,3,FALSE),"")</f>
        <v>Mitsubishi Xpander 17-</v>
      </c>
      <c r="E720" s="56">
        <v>1.0</v>
      </c>
      <c r="F720" s="161">
        <v>1698000.0</v>
      </c>
      <c r="G720" s="162">
        <f t="shared" si="14"/>
        <v>1698000</v>
      </c>
      <c r="H720" s="194"/>
      <c r="I720" s="204">
        <f t="shared" si="11"/>
        <v>1698000</v>
      </c>
      <c r="J720" s="164">
        <f t="shared" si="12"/>
        <v>1698000</v>
      </c>
      <c r="K720" s="56" t="s">
        <v>4924</v>
      </c>
      <c r="L720" s="165" t="s">
        <v>4925</v>
      </c>
      <c r="M720" s="73"/>
      <c r="N720" s="169" t="s">
        <v>4926</v>
      </c>
      <c r="O720" s="169" t="s">
        <v>2958</v>
      </c>
      <c r="P720" s="168" t="s">
        <v>3112</v>
      </c>
      <c r="Q720" s="173"/>
      <c r="R720" s="167">
        <v>1698000.0</v>
      </c>
      <c r="S720" s="173"/>
      <c r="T720" s="173"/>
      <c r="U720" s="173"/>
      <c r="V720" s="168" t="s">
        <v>3883</v>
      </c>
      <c r="W720" s="169"/>
      <c r="X720" s="169" t="s">
        <v>4668</v>
      </c>
    </row>
    <row r="721" ht="15.0" customHeight="1">
      <c r="A721" s="127">
        <v>45547.0</v>
      </c>
      <c r="B721" s="181" t="s">
        <v>4923</v>
      </c>
      <c r="C721" s="251" t="s">
        <v>4027</v>
      </c>
      <c r="D721" s="73" t="str">
        <f>IFERROR(VLOOKUP(C721,Stock,3,FALSE),"")</f>
        <v>501 Sealant Application</v>
      </c>
      <c r="E721" s="56">
        <v>1.0</v>
      </c>
      <c r="F721" s="161">
        <v>100000.0</v>
      </c>
      <c r="G721" s="162">
        <f t="shared" si="14"/>
        <v>100000</v>
      </c>
      <c r="H721" s="194"/>
      <c r="I721" s="204">
        <f t="shared" si="11"/>
        <v>100000</v>
      </c>
      <c r="J721" s="164">
        <f t="shared" si="12"/>
        <v>100000</v>
      </c>
      <c r="K721" s="56" t="s">
        <v>4924</v>
      </c>
      <c r="L721" s="165" t="s">
        <v>4925</v>
      </c>
      <c r="M721" s="73"/>
      <c r="N721" s="169" t="s">
        <v>4926</v>
      </c>
      <c r="O721" s="169" t="s">
        <v>2958</v>
      </c>
      <c r="P721" s="168" t="s">
        <v>3112</v>
      </c>
      <c r="Q721" s="173"/>
      <c r="R721" s="167">
        <v>100000.0</v>
      </c>
      <c r="S721" s="173"/>
      <c r="T721" s="173"/>
      <c r="U721" s="173"/>
      <c r="V721" s="168" t="s">
        <v>3883</v>
      </c>
      <c r="W721" s="169"/>
      <c r="X721" s="169" t="s">
        <v>4668</v>
      </c>
    </row>
    <row r="722" ht="15.0" customHeight="1">
      <c r="A722" s="127">
        <v>45547.0</v>
      </c>
      <c r="B722" s="181" t="s">
        <v>4927</v>
      </c>
      <c r="C722" s="56" t="s">
        <v>2672</v>
      </c>
      <c r="D722" s="73" t="str">
        <f>IFERROR(VLOOKUP(C722,Stock,3,FALSE),"")</f>
        <v>Nissan March 10- K13</v>
      </c>
      <c r="E722" s="56">
        <v>1.0</v>
      </c>
      <c r="F722" s="161">
        <v>1250000.0</v>
      </c>
      <c r="G722" s="162">
        <f t="shared" si="14"/>
        <v>1250000</v>
      </c>
      <c r="H722" s="194"/>
      <c r="I722" s="204">
        <f t="shared" si="11"/>
        <v>1250000</v>
      </c>
      <c r="J722" s="164">
        <f t="shared" si="12"/>
        <v>1250000</v>
      </c>
      <c r="K722" s="56" t="s">
        <v>4928</v>
      </c>
      <c r="L722" s="165" t="s">
        <v>4929</v>
      </c>
      <c r="M722" s="73"/>
      <c r="N722" s="171"/>
      <c r="O722" s="169" t="s">
        <v>3037</v>
      </c>
      <c r="P722" s="168" t="s">
        <v>3112</v>
      </c>
      <c r="Q722" s="173"/>
      <c r="R722" s="167">
        <v>1250000.0</v>
      </c>
      <c r="S722" s="173"/>
      <c r="T722" s="173"/>
      <c r="U722" s="173"/>
      <c r="V722" s="168" t="s">
        <v>3883</v>
      </c>
      <c r="W722" s="169"/>
      <c r="X722" s="169" t="s">
        <v>4668</v>
      </c>
    </row>
    <row r="723" ht="15.0" customHeight="1">
      <c r="A723" s="127">
        <v>45547.0</v>
      </c>
      <c r="B723" s="181" t="s">
        <v>4930</v>
      </c>
      <c r="C723" s="251" t="s">
        <v>3411</v>
      </c>
      <c r="D723" s="73" t="str">
        <f>IFERROR(VLOOKUP(C723,Stock,3,FALSE),"")</f>
        <v>Toyota Agya/Ayla 13-22 1st Gen</v>
      </c>
      <c r="E723" s="56">
        <v>1.0</v>
      </c>
      <c r="F723" s="161">
        <v>1150000.0</v>
      </c>
      <c r="G723" s="162">
        <f t="shared" si="14"/>
        <v>1150000</v>
      </c>
      <c r="H723" s="194"/>
      <c r="I723" s="204">
        <f t="shared" si="11"/>
        <v>1150000</v>
      </c>
      <c r="J723" s="164">
        <f t="shared" si="12"/>
        <v>1150000</v>
      </c>
      <c r="K723" s="56" t="s">
        <v>4931</v>
      </c>
      <c r="L723" s="165" t="s">
        <v>4932</v>
      </c>
      <c r="M723" s="73"/>
      <c r="N723" s="169" t="s">
        <v>4933</v>
      </c>
      <c r="O723" s="169" t="s">
        <v>2958</v>
      </c>
      <c r="P723" s="168" t="s">
        <v>3112</v>
      </c>
      <c r="Q723" s="167">
        <v>1050000.0</v>
      </c>
      <c r="R723" s="167">
        <v>100000.0</v>
      </c>
      <c r="S723" s="173"/>
      <c r="T723" s="173"/>
      <c r="U723" s="173"/>
      <c r="V723" s="168" t="s">
        <v>3883</v>
      </c>
      <c r="W723" s="169"/>
      <c r="X723" s="169" t="s">
        <v>4934</v>
      </c>
    </row>
    <row r="724" ht="15.0" customHeight="1">
      <c r="A724" s="127">
        <v>45547.0</v>
      </c>
      <c r="B724" s="181" t="s">
        <v>4930</v>
      </c>
      <c r="C724" s="251" t="s">
        <v>2954</v>
      </c>
      <c r="D724" s="73" t="str">
        <f>IFERROR(VLOOKUP(C724,Stock,3,FALSE),"")</f>
        <v>Transport</v>
      </c>
      <c r="E724" s="56">
        <v>1.0</v>
      </c>
      <c r="F724" s="161">
        <v>50000.0</v>
      </c>
      <c r="G724" s="162">
        <f t="shared" si="14"/>
        <v>50000</v>
      </c>
      <c r="H724" s="194"/>
      <c r="I724" s="204">
        <f t="shared" si="11"/>
        <v>50000</v>
      </c>
      <c r="J724" s="164">
        <f t="shared" si="12"/>
        <v>50000</v>
      </c>
      <c r="K724" s="56" t="s">
        <v>4931</v>
      </c>
      <c r="L724" s="165" t="s">
        <v>4932</v>
      </c>
      <c r="M724" s="73"/>
      <c r="N724" s="171"/>
      <c r="O724" s="169" t="s">
        <v>2958</v>
      </c>
      <c r="P724" s="168" t="s">
        <v>3112</v>
      </c>
      <c r="Q724" s="167">
        <v>50000.0</v>
      </c>
      <c r="R724" s="167"/>
      <c r="S724" s="173"/>
      <c r="T724" s="173"/>
      <c r="U724" s="173"/>
      <c r="V724" s="168" t="s">
        <v>3883</v>
      </c>
      <c r="W724" s="169"/>
      <c r="X724" s="219">
        <v>45568.0</v>
      </c>
    </row>
    <row r="725" ht="15.0" customHeight="1">
      <c r="A725" s="183">
        <v>45547.0</v>
      </c>
      <c r="B725" s="185" t="s">
        <v>3030</v>
      </c>
      <c r="C725" s="184" t="s">
        <v>2588</v>
      </c>
      <c r="D725" s="186" t="str">
        <f>IFERROR(VLOOKUP(C725,Stock,3,FALSE),"")</f>
        <v>Ford Fiesta 09-17</v>
      </c>
      <c r="E725" s="184">
        <v>2.0</v>
      </c>
      <c r="F725" s="188"/>
      <c r="G725" s="188">
        <f t="shared" si="14"/>
        <v>0</v>
      </c>
      <c r="H725" s="210"/>
      <c r="I725" s="187">
        <f t="shared" si="11"/>
        <v>0</v>
      </c>
      <c r="J725" s="189">
        <f t="shared" si="12"/>
        <v>0</v>
      </c>
      <c r="K725" s="184" t="s">
        <v>4935</v>
      </c>
      <c r="L725" s="186"/>
      <c r="M725" s="186"/>
      <c r="N725" s="212"/>
      <c r="O725" s="212"/>
      <c r="P725" s="214"/>
      <c r="Q725" s="213"/>
      <c r="R725" s="213"/>
      <c r="S725" s="213"/>
      <c r="T725" s="213"/>
      <c r="U725" s="213"/>
      <c r="V725" s="214"/>
      <c r="W725" s="212"/>
      <c r="X725" s="212"/>
    </row>
    <row r="726" ht="15.0" customHeight="1">
      <c r="A726" s="183">
        <v>45547.0</v>
      </c>
      <c r="B726" s="185" t="s">
        <v>3030</v>
      </c>
      <c r="C726" s="184" t="s">
        <v>4936</v>
      </c>
      <c r="D726" s="186" t="str">
        <f>IFERROR(VLOOKUP(C726,Stock,3,FALSE),"")</f>
        <v>Honda HR-V 14-21 5D SUV</v>
      </c>
      <c r="E726" s="184">
        <v>1.0</v>
      </c>
      <c r="F726" s="188"/>
      <c r="G726" s="188">
        <f t="shared" si="14"/>
        <v>0</v>
      </c>
      <c r="H726" s="210"/>
      <c r="I726" s="187">
        <f t="shared" si="11"/>
        <v>0</v>
      </c>
      <c r="J726" s="189">
        <f t="shared" si="12"/>
        <v>0</v>
      </c>
      <c r="K726" s="184" t="s">
        <v>4935</v>
      </c>
      <c r="L726" s="186"/>
      <c r="M726" s="186"/>
      <c r="N726" s="212"/>
      <c r="O726" s="212"/>
      <c r="P726" s="214"/>
      <c r="Q726" s="213"/>
      <c r="R726" s="213"/>
      <c r="S726" s="213"/>
      <c r="T726" s="213"/>
      <c r="U726" s="213"/>
      <c r="V726" s="214"/>
      <c r="W726" s="212"/>
      <c r="X726" s="212"/>
    </row>
    <row r="727" ht="15.0" customHeight="1">
      <c r="A727" s="269">
        <v>45547.0</v>
      </c>
      <c r="B727" s="270" t="s">
        <v>4937</v>
      </c>
      <c r="C727" s="271" t="s">
        <v>2784</v>
      </c>
      <c r="D727" s="272" t="str">
        <f>IFERROR(VLOOKUP(C727,Stock,3,FALSE),"")</f>
        <v>Honda City 19- GN</v>
      </c>
      <c r="E727" s="273">
        <v>1.0</v>
      </c>
      <c r="F727" s="274">
        <v>2922000.0</v>
      </c>
      <c r="G727" s="275">
        <f t="shared" si="14"/>
        <v>2922000</v>
      </c>
      <c r="H727" s="276"/>
      <c r="I727" s="274">
        <f t="shared" si="11"/>
        <v>2922000</v>
      </c>
      <c r="J727" s="277">
        <f t="shared" si="12"/>
        <v>2922000</v>
      </c>
      <c r="K727" s="273" t="s">
        <v>4938</v>
      </c>
      <c r="L727" s="278" t="s">
        <v>4939</v>
      </c>
      <c r="M727" s="272"/>
      <c r="N727" s="279"/>
      <c r="O727" s="280" t="s">
        <v>2958</v>
      </c>
      <c r="P727" s="281" t="s">
        <v>3112</v>
      </c>
      <c r="Q727" s="282"/>
      <c r="R727" s="283">
        <v>2922000.0</v>
      </c>
      <c r="S727" s="282"/>
      <c r="T727" s="282"/>
      <c r="U727" s="282"/>
      <c r="V727" s="281" t="s">
        <v>3883</v>
      </c>
      <c r="W727" s="280"/>
      <c r="X727" s="280" t="s">
        <v>4940</v>
      </c>
    </row>
    <row r="728" ht="15.0" customHeight="1">
      <c r="A728" s="269">
        <v>45547.0</v>
      </c>
      <c r="B728" s="270" t="s">
        <v>4937</v>
      </c>
      <c r="C728" s="273" t="s">
        <v>2954</v>
      </c>
      <c r="D728" s="272" t="str">
        <f>IFERROR(VLOOKUP(C728,Stock,3,FALSE),"")</f>
        <v>Transport</v>
      </c>
      <c r="E728" s="273">
        <v>1.0</v>
      </c>
      <c r="F728" s="274">
        <v>250000.0</v>
      </c>
      <c r="G728" s="275">
        <f t="shared" si="14"/>
        <v>250000</v>
      </c>
      <c r="H728" s="276"/>
      <c r="I728" s="274">
        <f t="shared" si="11"/>
        <v>250000</v>
      </c>
      <c r="J728" s="277">
        <f t="shared" si="12"/>
        <v>250000</v>
      </c>
      <c r="K728" s="273" t="s">
        <v>4938</v>
      </c>
      <c r="L728" s="278" t="s">
        <v>4939</v>
      </c>
      <c r="M728" s="272"/>
      <c r="N728" s="279"/>
      <c r="O728" s="280" t="s">
        <v>2958</v>
      </c>
      <c r="P728" s="281" t="s">
        <v>3112</v>
      </c>
      <c r="Q728" s="282"/>
      <c r="R728" s="283">
        <v>250000.0</v>
      </c>
      <c r="S728" s="282"/>
      <c r="T728" s="282"/>
      <c r="U728" s="282"/>
      <c r="V728" s="281" t="s">
        <v>3883</v>
      </c>
      <c r="W728" s="280"/>
      <c r="X728" s="279"/>
    </row>
    <row r="729" ht="15.0" customHeight="1">
      <c r="A729" s="127">
        <v>45547.0</v>
      </c>
      <c r="B729" s="181" t="s">
        <v>4941</v>
      </c>
      <c r="C729" s="56" t="s">
        <v>4942</v>
      </c>
      <c r="D729" s="73" t="str">
        <f>IFERROR(VLOOKUP(C729,Stock,3,FALSE),"")</f>
        <v>Mazda Biante 08- (Hitam)</v>
      </c>
      <c r="E729" s="56">
        <v>1.0</v>
      </c>
      <c r="F729" s="161">
        <v>3443000.0</v>
      </c>
      <c r="G729" s="162">
        <f t="shared" si="14"/>
        <v>3443000</v>
      </c>
      <c r="H729" s="194"/>
      <c r="I729" s="161">
        <f t="shared" si="11"/>
        <v>3443000</v>
      </c>
      <c r="J729" s="164">
        <f t="shared" si="12"/>
        <v>3443000</v>
      </c>
      <c r="K729" s="56" t="s">
        <v>4243</v>
      </c>
      <c r="L729" s="165" t="s">
        <v>4943</v>
      </c>
      <c r="M729" s="73"/>
      <c r="N729" s="171"/>
      <c r="O729" s="169" t="s">
        <v>3213</v>
      </c>
      <c r="P729" s="168" t="s">
        <v>3112</v>
      </c>
      <c r="Q729" s="173"/>
      <c r="R729" s="167">
        <v>3443000.0</v>
      </c>
      <c r="S729" s="173"/>
      <c r="T729" s="173"/>
      <c r="U729" s="173"/>
      <c r="V729" s="168" t="s">
        <v>3883</v>
      </c>
      <c r="W729" s="169"/>
      <c r="X729" s="169" t="s">
        <v>4944</v>
      </c>
    </row>
    <row r="730" ht="15.0" customHeight="1">
      <c r="A730" s="127">
        <v>45547.0</v>
      </c>
      <c r="B730" s="181" t="s">
        <v>4945</v>
      </c>
      <c r="C730" s="251" t="s">
        <v>4946</v>
      </c>
      <c r="D730" s="73" t="str">
        <f>IFERROR(VLOOKUP(C730,Stock,3,FALSE),"")</f>
        <v>Nissan Terra 18-</v>
      </c>
      <c r="E730" s="56">
        <v>1.0</v>
      </c>
      <c r="F730" s="161">
        <v>3200000.0</v>
      </c>
      <c r="G730" s="162">
        <f t="shared" si="14"/>
        <v>3200000</v>
      </c>
      <c r="H730" s="194"/>
      <c r="I730" s="161">
        <f t="shared" si="11"/>
        <v>3200000</v>
      </c>
      <c r="J730" s="164">
        <f t="shared" si="12"/>
        <v>3200000</v>
      </c>
      <c r="K730" s="56" t="s">
        <v>4947</v>
      </c>
      <c r="L730" s="165" t="s">
        <v>4948</v>
      </c>
      <c r="M730" s="73"/>
      <c r="N730" s="171"/>
      <c r="O730" s="169" t="s">
        <v>3858</v>
      </c>
      <c r="P730" s="168" t="s">
        <v>3054</v>
      </c>
      <c r="Q730" s="173"/>
      <c r="R730" s="173"/>
      <c r="S730" s="173"/>
      <c r="T730" s="173"/>
      <c r="U730" s="173"/>
      <c r="V730" s="168" t="s">
        <v>3883</v>
      </c>
      <c r="W730" s="169"/>
      <c r="X730" s="169" t="s">
        <v>4949</v>
      </c>
    </row>
    <row r="731" ht="15.0" customHeight="1">
      <c r="A731" s="127">
        <v>45547.0</v>
      </c>
      <c r="B731" s="181" t="s">
        <v>4945</v>
      </c>
      <c r="C731" s="251" t="s">
        <v>2934</v>
      </c>
      <c r="D731" s="73" t="str">
        <f>IFERROR(VLOOKUP(C731,Stock,3,FALSE),"")</f>
        <v>Peti Kayu</v>
      </c>
      <c r="E731" s="56">
        <v>1.0</v>
      </c>
      <c r="F731" s="161">
        <v>160000.0</v>
      </c>
      <c r="G731" s="162">
        <f t="shared" si="14"/>
        <v>160000</v>
      </c>
      <c r="H731" s="194"/>
      <c r="I731" s="161">
        <f t="shared" si="11"/>
        <v>160000</v>
      </c>
      <c r="J731" s="164">
        <f t="shared" si="12"/>
        <v>160000</v>
      </c>
      <c r="K731" s="56" t="s">
        <v>4947</v>
      </c>
      <c r="L731" s="165" t="s">
        <v>4948</v>
      </c>
      <c r="M731" s="73"/>
      <c r="N731" s="171"/>
      <c r="O731" s="169" t="s">
        <v>3858</v>
      </c>
      <c r="P731" s="168" t="s">
        <v>3054</v>
      </c>
      <c r="Q731" s="173"/>
      <c r="R731" s="167">
        <v>640000.0</v>
      </c>
      <c r="S731" s="173"/>
      <c r="T731" s="173"/>
      <c r="U731" s="173"/>
      <c r="V731" s="168" t="s">
        <v>3883</v>
      </c>
      <c r="W731" s="169"/>
      <c r="X731" s="169" t="s">
        <v>4950</v>
      </c>
    </row>
    <row r="732" ht="15.0" customHeight="1">
      <c r="A732" s="127">
        <v>45548.0</v>
      </c>
      <c r="B732" s="181" t="s">
        <v>4951</v>
      </c>
      <c r="C732" s="251" t="s">
        <v>4952</v>
      </c>
      <c r="D732" s="73" t="str">
        <f>IFERROR(VLOOKUP(C732,Stock,3,FALSE),"")</f>
        <v>Mers-Benz A-Class 05-12 W169/ B-Class 05-11 W245</v>
      </c>
      <c r="E732" s="56">
        <v>1.0</v>
      </c>
      <c r="F732" s="161">
        <v>4950000.0</v>
      </c>
      <c r="G732" s="162">
        <f t="shared" si="14"/>
        <v>4950000</v>
      </c>
      <c r="H732" s="194"/>
      <c r="I732" s="161">
        <f t="shared" si="11"/>
        <v>4950000</v>
      </c>
      <c r="J732" s="164">
        <f t="shared" si="12"/>
        <v>4950000</v>
      </c>
      <c r="K732" s="56" t="s">
        <v>4953</v>
      </c>
      <c r="L732" s="165" t="s">
        <v>4954</v>
      </c>
      <c r="M732" s="73"/>
      <c r="N732" s="169" t="s">
        <v>4955</v>
      </c>
      <c r="O732" s="169" t="s">
        <v>3204</v>
      </c>
      <c r="P732" s="168" t="s">
        <v>3054</v>
      </c>
      <c r="Q732" s="173"/>
      <c r="R732" s="167">
        <v>4950000.0</v>
      </c>
      <c r="S732" s="173"/>
      <c r="T732" s="173"/>
      <c r="U732" s="173"/>
      <c r="V732" s="168" t="s">
        <v>3883</v>
      </c>
      <c r="W732" s="169"/>
      <c r="X732" s="169" t="s">
        <v>4956</v>
      </c>
    </row>
    <row r="733" ht="15.0" customHeight="1">
      <c r="A733" s="127">
        <v>45548.0</v>
      </c>
      <c r="B733" s="181" t="s">
        <v>4951</v>
      </c>
      <c r="C733" s="251" t="s">
        <v>4027</v>
      </c>
      <c r="D733" s="73" t="str">
        <f>IFERROR(VLOOKUP(C733,Stock,3,FALSE),"")</f>
        <v>501 Sealant Application</v>
      </c>
      <c r="E733" s="56">
        <v>1.0</v>
      </c>
      <c r="F733" s="161">
        <v>100000.0</v>
      </c>
      <c r="G733" s="162">
        <f t="shared" si="14"/>
        <v>100000</v>
      </c>
      <c r="H733" s="194"/>
      <c r="I733" s="161">
        <f t="shared" si="11"/>
        <v>100000</v>
      </c>
      <c r="J733" s="164">
        <f t="shared" si="12"/>
        <v>100000</v>
      </c>
      <c r="K733" s="56" t="s">
        <v>4953</v>
      </c>
      <c r="L733" s="165" t="s">
        <v>4954</v>
      </c>
      <c r="M733" s="73"/>
      <c r="N733" s="169" t="s">
        <v>4955</v>
      </c>
      <c r="O733" s="169" t="s">
        <v>3204</v>
      </c>
      <c r="P733" s="168" t="s">
        <v>3054</v>
      </c>
      <c r="Q733" s="173"/>
      <c r="R733" s="167">
        <v>100000.0</v>
      </c>
      <c r="S733" s="173"/>
      <c r="T733" s="173"/>
      <c r="U733" s="173"/>
      <c r="V733" s="168" t="s">
        <v>3883</v>
      </c>
      <c r="W733" s="169"/>
      <c r="X733" s="169" t="s">
        <v>4668</v>
      </c>
    </row>
    <row r="734" ht="15.0" customHeight="1">
      <c r="A734" s="127">
        <v>45548.0</v>
      </c>
      <c r="B734" s="181" t="s">
        <v>4957</v>
      </c>
      <c r="C734" s="251" t="s">
        <v>4958</v>
      </c>
      <c r="D734" s="73" t="str">
        <f>IFERROR(VLOOKUP(C734,Stock,3,FALSE),"")</f>
        <v>Jeep Wrangler Rubicon 18- JL</v>
      </c>
      <c r="E734" s="56">
        <v>1.0</v>
      </c>
      <c r="F734" s="161">
        <v>5461000.0</v>
      </c>
      <c r="G734" s="162">
        <f t="shared" si="14"/>
        <v>5461000</v>
      </c>
      <c r="H734" s="194"/>
      <c r="I734" s="161">
        <f t="shared" si="11"/>
        <v>5461000</v>
      </c>
      <c r="J734" s="164">
        <f t="shared" si="12"/>
        <v>5461000</v>
      </c>
      <c r="K734" s="56" t="s">
        <v>4959</v>
      </c>
      <c r="L734" s="165" t="s">
        <v>4960</v>
      </c>
      <c r="M734" s="73"/>
      <c r="N734" s="171"/>
      <c r="O734" s="169" t="s">
        <v>4961</v>
      </c>
      <c r="P734" s="168" t="s">
        <v>3112</v>
      </c>
      <c r="Q734" s="173"/>
      <c r="R734" s="167">
        <v>5461000.0</v>
      </c>
      <c r="S734" s="173"/>
      <c r="T734" s="173"/>
      <c r="U734" s="173"/>
      <c r="V734" s="168" t="s">
        <v>3883</v>
      </c>
      <c r="W734" s="169"/>
      <c r="X734" s="169" t="s">
        <v>4962</v>
      </c>
    </row>
    <row r="735" ht="15.0" customHeight="1">
      <c r="A735" s="127">
        <v>45548.0</v>
      </c>
      <c r="B735" s="181" t="s">
        <v>4957</v>
      </c>
      <c r="C735" s="251" t="s">
        <v>2934</v>
      </c>
      <c r="D735" s="73" t="str">
        <f>IFERROR(VLOOKUP(C735,Stock,3,FALSE),"")</f>
        <v>Peti Kayu</v>
      </c>
      <c r="E735" s="56">
        <v>1.0</v>
      </c>
      <c r="F735" s="161">
        <v>160000.0</v>
      </c>
      <c r="G735" s="162">
        <f t="shared" si="14"/>
        <v>160000</v>
      </c>
      <c r="H735" s="194"/>
      <c r="I735" s="161">
        <f t="shared" si="11"/>
        <v>160000</v>
      </c>
      <c r="J735" s="164">
        <f t="shared" si="12"/>
        <v>160000</v>
      </c>
      <c r="K735" s="56" t="s">
        <v>4959</v>
      </c>
      <c r="L735" s="165" t="s">
        <v>4960</v>
      </c>
      <c r="M735" s="73"/>
      <c r="N735" s="171"/>
      <c r="O735" s="169" t="s">
        <v>4961</v>
      </c>
      <c r="P735" s="168" t="s">
        <v>3112</v>
      </c>
      <c r="Q735" s="173"/>
      <c r="R735" s="167">
        <v>160000.0</v>
      </c>
      <c r="S735" s="173"/>
      <c r="T735" s="173"/>
      <c r="U735" s="173"/>
      <c r="V735" s="168" t="s">
        <v>3883</v>
      </c>
      <c r="W735" s="169"/>
      <c r="X735" s="169" t="s">
        <v>4962</v>
      </c>
    </row>
    <row r="736" ht="15.0" customHeight="1">
      <c r="A736" s="127">
        <v>45548.0</v>
      </c>
      <c r="B736" s="181" t="s">
        <v>4963</v>
      </c>
      <c r="C736" s="251" t="s">
        <v>4964</v>
      </c>
      <c r="D736" s="73" t="str">
        <f>IFERROR(VLOOKUP(C736,Stock,3,FALSE),"")</f>
        <v>Honda Civic 96-00 SO4/SO6 (Ferio)</v>
      </c>
      <c r="E736" s="56">
        <v>1.0</v>
      </c>
      <c r="F736" s="161">
        <v>1620000.0</v>
      </c>
      <c r="G736" s="162">
        <f t="shared" si="14"/>
        <v>1620000</v>
      </c>
      <c r="H736" s="194"/>
      <c r="I736" s="161">
        <f t="shared" si="11"/>
        <v>1620000</v>
      </c>
      <c r="J736" s="164">
        <f t="shared" si="12"/>
        <v>1620000</v>
      </c>
      <c r="K736" s="284" t="s">
        <v>4965</v>
      </c>
      <c r="L736" s="165" t="s">
        <v>4966</v>
      </c>
      <c r="M736" s="73"/>
      <c r="N736" s="6" t="s">
        <v>4967</v>
      </c>
      <c r="O736" s="169" t="s">
        <v>3204</v>
      </c>
      <c r="P736" s="168" t="s">
        <v>3054</v>
      </c>
      <c r="Q736" s="167">
        <v>1620000.0</v>
      </c>
      <c r="R736" s="173"/>
      <c r="S736" s="173"/>
      <c r="T736" s="173"/>
      <c r="U736" s="173"/>
      <c r="V736" s="168" t="s">
        <v>3799</v>
      </c>
      <c r="W736" s="169"/>
      <c r="X736" s="219">
        <v>45568.0</v>
      </c>
    </row>
    <row r="737" ht="15.0" customHeight="1">
      <c r="A737" s="127">
        <v>45549.0</v>
      </c>
      <c r="B737" s="181" t="s">
        <v>4968</v>
      </c>
      <c r="C737" s="251" t="s">
        <v>2954</v>
      </c>
      <c r="D737" s="73" t="str">
        <f>IFERROR(VLOOKUP(C737,Stock,3,FALSE),"")</f>
        <v>Transport</v>
      </c>
      <c r="E737" s="56">
        <v>1.0</v>
      </c>
      <c r="F737" s="161">
        <v>100000.0</v>
      </c>
      <c r="G737" s="162">
        <f t="shared" si="14"/>
        <v>100000</v>
      </c>
      <c r="H737" s="194"/>
      <c r="I737" s="161">
        <f t="shared" si="11"/>
        <v>100000</v>
      </c>
      <c r="J737" s="164">
        <f t="shared" si="12"/>
        <v>100000</v>
      </c>
      <c r="K737" s="284" t="s">
        <v>4815</v>
      </c>
      <c r="L737" s="165" t="s">
        <v>4816</v>
      </c>
      <c r="M737" s="73"/>
      <c r="N737" s="169" t="s">
        <v>4817</v>
      </c>
      <c r="O737" s="169" t="s">
        <v>3204</v>
      </c>
      <c r="P737" s="168" t="s">
        <v>3112</v>
      </c>
      <c r="Q737" s="167">
        <v>100000.0</v>
      </c>
      <c r="R737" s="173"/>
      <c r="S737" s="173"/>
      <c r="T737" s="173"/>
      <c r="U737" s="173"/>
      <c r="V737" s="168" t="s">
        <v>3883</v>
      </c>
      <c r="W737" s="169"/>
      <c r="X737" s="219">
        <v>45568.0</v>
      </c>
    </row>
    <row r="738" ht="15.0" customHeight="1">
      <c r="A738" s="183">
        <v>45549.0</v>
      </c>
      <c r="B738" s="185" t="s">
        <v>4969</v>
      </c>
      <c r="C738" s="285" t="s">
        <v>4391</v>
      </c>
      <c r="D738" s="186" t="str">
        <f>IFERROR(VLOOKUP(C738,Stock,3,FALSE),"")</f>
        <v>Toyota NAV1/Noah 07-17</v>
      </c>
      <c r="E738" s="184">
        <v>1.0</v>
      </c>
      <c r="F738" s="187">
        <v>1500000.0</v>
      </c>
      <c r="G738" s="188">
        <f t="shared" si="14"/>
        <v>1500000</v>
      </c>
      <c r="H738" s="210"/>
      <c r="I738" s="187">
        <f t="shared" si="11"/>
        <v>1500000</v>
      </c>
      <c r="J738" s="189">
        <f t="shared" si="12"/>
        <v>1500000</v>
      </c>
      <c r="K738" s="286" t="s">
        <v>4970</v>
      </c>
      <c r="L738" s="211" t="s">
        <v>4971</v>
      </c>
      <c r="M738" s="186"/>
      <c r="N738" s="287"/>
      <c r="O738" s="193" t="s">
        <v>2958</v>
      </c>
      <c r="P738" s="192" t="s">
        <v>3112</v>
      </c>
      <c r="Q738" s="213"/>
      <c r="R738" s="213"/>
      <c r="S738" s="213"/>
      <c r="T738" s="213"/>
      <c r="U738" s="213"/>
      <c r="V738" s="192" t="s">
        <v>3799</v>
      </c>
      <c r="W738" s="193"/>
      <c r="X738" s="212"/>
    </row>
    <row r="739" ht="15.0" customHeight="1">
      <c r="A739" s="127">
        <v>45549.0</v>
      </c>
      <c r="B739" s="181" t="s">
        <v>4972</v>
      </c>
      <c r="C739" s="251" t="s">
        <v>3068</v>
      </c>
      <c r="D739" s="73" t="str">
        <f>IFERROR(VLOOKUP(C739,Stock,3,FALSE),"")</f>
        <v>Honda Brio 10- / Mobilio 11-</v>
      </c>
      <c r="E739" s="56">
        <v>1.0</v>
      </c>
      <c r="F739" s="161">
        <v>1542000.0</v>
      </c>
      <c r="G739" s="162">
        <f t="shared" si="14"/>
        <v>1542000</v>
      </c>
      <c r="H739" s="194"/>
      <c r="I739" s="161">
        <f t="shared" si="11"/>
        <v>1542000</v>
      </c>
      <c r="J739" s="164">
        <f t="shared" si="12"/>
        <v>1542000</v>
      </c>
      <c r="K739" s="284" t="s">
        <v>4973</v>
      </c>
      <c r="L739" s="165" t="s">
        <v>4974</v>
      </c>
      <c r="M739" s="73"/>
      <c r="N739" s="169" t="s">
        <v>4975</v>
      </c>
      <c r="O739" s="169" t="s">
        <v>2958</v>
      </c>
      <c r="P739" s="168" t="s">
        <v>3112</v>
      </c>
      <c r="Q739" s="173"/>
      <c r="R739" s="167">
        <v>1542000.0</v>
      </c>
      <c r="S739" s="173"/>
      <c r="T739" s="173"/>
      <c r="U739" s="173"/>
      <c r="V739" s="168" t="s">
        <v>3799</v>
      </c>
      <c r="W739" s="169"/>
      <c r="X739" s="169" t="s">
        <v>4976</v>
      </c>
    </row>
    <row r="740" ht="15.0" customHeight="1">
      <c r="A740" s="127">
        <v>45549.0</v>
      </c>
      <c r="B740" s="181" t="s">
        <v>4972</v>
      </c>
      <c r="C740" s="251" t="s">
        <v>4027</v>
      </c>
      <c r="D740" s="73" t="str">
        <f>IFERROR(VLOOKUP(C740,Stock,3,FALSE),"")</f>
        <v>501 Sealant Application</v>
      </c>
      <c r="E740" s="56">
        <v>1.0</v>
      </c>
      <c r="F740" s="161">
        <v>100000.0</v>
      </c>
      <c r="G740" s="162">
        <f t="shared" si="14"/>
        <v>100000</v>
      </c>
      <c r="H740" s="194"/>
      <c r="I740" s="161">
        <f t="shared" si="11"/>
        <v>100000</v>
      </c>
      <c r="J740" s="164">
        <f t="shared" si="12"/>
        <v>100000</v>
      </c>
      <c r="K740" s="284" t="s">
        <v>4973</v>
      </c>
      <c r="L740" s="165" t="s">
        <v>4974</v>
      </c>
      <c r="M740" s="73"/>
      <c r="N740" s="169" t="s">
        <v>4975</v>
      </c>
      <c r="O740" s="169" t="s">
        <v>2958</v>
      </c>
      <c r="P740" s="168" t="s">
        <v>3112</v>
      </c>
      <c r="Q740" s="173"/>
      <c r="R740" s="167">
        <v>100000.0</v>
      </c>
      <c r="S740" s="173"/>
      <c r="T740" s="173"/>
      <c r="U740" s="173"/>
      <c r="V740" s="168" t="s">
        <v>3799</v>
      </c>
      <c r="W740" s="169"/>
      <c r="X740" s="169" t="s">
        <v>4976</v>
      </c>
    </row>
    <row r="741" ht="15.0" customHeight="1">
      <c r="A741" s="127">
        <v>45549.0</v>
      </c>
      <c r="B741" s="181" t="s">
        <v>4977</v>
      </c>
      <c r="C741" s="56" t="s">
        <v>2643</v>
      </c>
      <c r="D741" s="73" t="str">
        <f>IFERROR(VLOOKUP(C741,Stock,3,FALSE),"")</f>
        <v>Toyota Vios 07-13 XP90 2nd Gen</v>
      </c>
      <c r="E741" s="56">
        <v>1.0</v>
      </c>
      <c r="F741" s="161">
        <v>1483000.0</v>
      </c>
      <c r="G741" s="162">
        <f t="shared" si="14"/>
        <v>1483000</v>
      </c>
      <c r="H741" s="201">
        <v>33000.0</v>
      </c>
      <c r="I741" s="161">
        <f t="shared" si="11"/>
        <v>1450000</v>
      </c>
      <c r="J741" s="164">
        <f t="shared" si="12"/>
        <v>1450000</v>
      </c>
      <c r="K741" s="56" t="s">
        <v>4978</v>
      </c>
      <c r="L741" s="165" t="s">
        <v>4979</v>
      </c>
      <c r="M741" s="56" t="s">
        <v>4980</v>
      </c>
      <c r="N741" s="169" t="s">
        <v>4981</v>
      </c>
      <c r="O741" s="169" t="s">
        <v>2958</v>
      </c>
      <c r="P741" s="168" t="s">
        <v>3112</v>
      </c>
      <c r="Q741" s="167">
        <v>1450000.0</v>
      </c>
      <c r="R741" s="173"/>
      <c r="S741" s="173"/>
      <c r="T741" s="173"/>
      <c r="U741" s="173"/>
      <c r="V741" s="168" t="s">
        <v>3883</v>
      </c>
      <c r="W741" s="169"/>
      <c r="X741" s="219">
        <v>45568.0</v>
      </c>
    </row>
    <row r="742" ht="15.0" customHeight="1">
      <c r="A742" s="127">
        <v>45549.0</v>
      </c>
      <c r="B742" s="181" t="s">
        <v>4982</v>
      </c>
      <c r="C742" s="251" t="s">
        <v>3795</v>
      </c>
      <c r="D742" s="73" t="str">
        <f>IFERROR(VLOOKUP(C742,Stock,3,FALSE),"")</f>
        <v>Toyota Innova 04-15 1st Gen</v>
      </c>
      <c r="E742" s="56">
        <v>1.0</v>
      </c>
      <c r="F742" s="161">
        <v>1319000.0</v>
      </c>
      <c r="G742" s="162">
        <f t="shared" si="14"/>
        <v>1319000</v>
      </c>
      <c r="H742" s="194"/>
      <c r="I742" s="161">
        <f t="shared" si="11"/>
        <v>1319000</v>
      </c>
      <c r="J742" s="164">
        <f t="shared" si="12"/>
        <v>1319000</v>
      </c>
      <c r="K742" s="284" t="s">
        <v>4983</v>
      </c>
      <c r="L742" s="165" t="s">
        <v>4984</v>
      </c>
      <c r="M742" s="73"/>
      <c r="N742" s="6" t="s">
        <v>4985</v>
      </c>
      <c r="O742" s="169" t="s">
        <v>3213</v>
      </c>
      <c r="P742" s="168" t="s">
        <v>3112</v>
      </c>
      <c r="Q742" s="167">
        <v>1400000.0</v>
      </c>
      <c r="R742" s="173"/>
      <c r="S742" s="173"/>
      <c r="T742" s="173"/>
      <c r="U742" s="167">
        <v>81000.0</v>
      </c>
      <c r="V742" s="168" t="s">
        <v>3883</v>
      </c>
      <c r="W742" s="169"/>
      <c r="X742" s="219">
        <v>45568.0</v>
      </c>
    </row>
    <row r="743" ht="15.0" customHeight="1">
      <c r="A743" s="127">
        <v>45549.0</v>
      </c>
      <c r="B743" s="181" t="s">
        <v>4986</v>
      </c>
      <c r="C743" s="56" t="s">
        <v>2954</v>
      </c>
      <c r="D743" s="73" t="str">
        <f>IFERROR(VLOOKUP(C743,Stock,3,FALSE),"")</f>
        <v>Transport</v>
      </c>
      <c r="E743" s="56">
        <v>1.0</v>
      </c>
      <c r="F743" s="161">
        <v>50000.0</v>
      </c>
      <c r="G743" s="162">
        <f t="shared" si="14"/>
        <v>50000</v>
      </c>
      <c r="H743" s="194"/>
      <c r="I743" s="161">
        <f t="shared" si="11"/>
        <v>50000</v>
      </c>
      <c r="J743" s="164">
        <f t="shared" si="12"/>
        <v>50000</v>
      </c>
      <c r="K743" s="56" t="s">
        <v>4815</v>
      </c>
      <c r="L743" s="165" t="s">
        <v>4816</v>
      </c>
      <c r="M743" s="73"/>
      <c r="N743" s="169" t="s">
        <v>4817</v>
      </c>
      <c r="O743" s="169" t="s">
        <v>2958</v>
      </c>
      <c r="P743" s="168" t="s">
        <v>3112</v>
      </c>
      <c r="Q743" s="173"/>
      <c r="R743" s="167">
        <v>50000.0</v>
      </c>
      <c r="S743" s="173"/>
      <c r="T743" s="173"/>
      <c r="U743" s="173"/>
      <c r="V743" s="168" t="s">
        <v>3799</v>
      </c>
      <c r="W743" s="169"/>
      <c r="X743" s="169" t="s">
        <v>4668</v>
      </c>
    </row>
    <row r="744" ht="15.0" customHeight="1">
      <c r="A744" s="127">
        <v>45549.0</v>
      </c>
      <c r="B744" s="181" t="s">
        <v>4987</v>
      </c>
      <c r="C744" s="56" t="s">
        <v>4988</v>
      </c>
      <c r="D744" s="73" t="str">
        <f>IFERROR(VLOOKUP(C744,Stock,3,FALSE),"")</f>
        <v>Toyota Innova 15- 2nd Gen</v>
      </c>
      <c r="E744" s="56">
        <v>1.0</v>
      </c>
      <c r="F744" s="161">
        <v>1764000.0</v>
      </c>
      <c r="G744" s="162">
        <f t="shared" si="14"/>
        <v>1764000</v>
      </c>
      <c r="H744" s="194"/>
      <c r="I744" s="161">
        <f t="shared" si="11"/>
        <v>1764000</v>
      </c>
      <c r="J744" s="164">
        <f t="shared" si="12"/>
        <v>1764000</v>
      </c>
      <c r="K744" s="284" t="s">
        <v>4989</v>
      </c>
      <c r="L744" s="165" t="s">
        <v>4990</v>
      </c>
      <c r="M744" s="73"/>
      <c r="N744" s="169" t="s">
        <v>4991</v>
      </c>
      <c r="O744" s="169" t="s">
        <v>2958</v>
      </c>
      <c r="P744" s="168" t="s">
        <v>3112</v>
      </c>
      <c r="Q744" s="173"/>
      <c r="R744" s="167">
        <v>1764000.0</v>
      </c>
      <c r="S744" s="173"/>
      <c r="T744" s="173"/>
      <c r="U744" s="173"/>
      <c r="V744" s="168" t="s">
        <v>3799</v>
      </c>
      <c r="W744" s="169"/>
      <c r="X744" s="169" t="s">
        <v>4668</v>
      </c>
    </row>
    <row r="745" ht="15.0" customHeight="1">
      <c r="A745" s="127">
        <v>45550.0</v>
      </c>
      <c r="B745" s="181" t="s">
        <v>4992</v>
      </c>
      <c r="C745" s="56" t="s">
        <v>2681</v>
      </c>
      <c r="D745" s="73" t="str">
        <f>IFERROR(VLOOKUP(C745,Stock,3,FALSE),"")</f>
        <v>Honda CR-V 04-06 2nd Gen (Spion Biasa)</v>
      </c>
      <c r="E745" s="56">
        <v>1.0</v>
      </c>
      <c r="F745" s="161">
        <v>1899000.0</v>
      </c>
      <c r="G745" s="162">
        <f t="shared" si="14"/>
        <v>1899000</v>
      </c>
      <c r="H745" s="194"/>
      <c r="I745" s="161">
        <f t="shared" si="11"/>
        <v>1899000</v>
      </c>
      <c r="J745" s="164">
        <f t="shared" si="12"/>
        <v>1899000</v>
      </c>
      <c r="K745" s="56" t="s">
        <v>4993</v>
      </c>
      <c r="L745" s="165" t="s">
        <v>4994</v>
      </c>
      <c r="M745" s="73"/>
      <c r="N745" s="169" t="s">
        <v>4995</v>
      </c>
      <c r="O745" s="169" t="s">
        <v>2958</v>
      </c>
      <c r="P745" s="168" t="s">
        <v>3112</v>
      </c>
      <c r="Q745" s="173"/>
      <c r="R745" s="167">
        <v>1899000.0</v>
      </c>
      <c r="S745" s="173"/>
      <c r="T745" s="173"/>
      <c r="U745" s="173"/>
      <c r="V745" s="168" t="s">
        <v>3883</v>
      </c>
      <c r="W745" s="169"/>
      <c r="X745" s="169" t="s">
        <v>4668</v>
      </c>
    </row>
    <row r="746" ht="15.0" customHeight="1">
      <c r="A746" s="127">
        <v>45552.0</v>
      </c>
      <c r="B746" s="181" t="s">
        <v>4996</v>
      </c>
      <c r="C746" s="251" t="s">
        <v>4997</v>
      </c>
      <c r="D746" s="73" t="str">
        <f>IFERROR(VLOOKUP(C746,Stock,3,FALSE),"")</f>
        <v>Hyundai Stargazer 22-</v>
      </c>
      <c r="E746" s="56">
        <v>1.0</v>
      </c>
      <c r="F746" s="161">
        <v>1700000.0</v>
      </c>
      <c r="G746" s="162">
        <f t="shared" si="14"/>
        <v>1700000</v>
      </c>
      <c r="H746" s="201">
        <v>50000.0</v>
      </c>
      <c r="I746" s="161">
        <f t="shared" si="11"/>
        <v>1650000</v>
      </c>
      <c r="J746" s="164">
        <f t="shared" si="12"/>
        <v>1650000</v>
      </c>
      <c r="K746" s="284" t="s">
        <v>4998</v>
      </c>
      <c r="L746" s="288" t="s">
        <v>4999</v>
      </c>
      <c r="M746" s="73"/>
      <c r="N746" s="171"/>
      <c r="O746" s="169" t="s">
        <v>3204</v>
      </c>
      <c r="P746" s="168" t="s">
        <v>3112</v>
      </c>
      <c r="Q746" s="173"/>
      <c r="R746" s="167">
        <v>1650000.0</v>
      </c>
      <c r="S746" s="173"/>
      <c r="T746" s="173"/>
      <c r="U746" s="173"/>
      <c r="V746" s="168" t="s">
        <v>3883</v>
      </c>
      <c r="W746" s="169"/>
      <c r="X746" s="169" t="s">
        <v>4668</v>
      </c>
    </row>
    <row r="747" ht="15.0" customHeight="1">
      <c r="A747" s="127">
        <v>45552.0</v>
      </c>
      <c r="B747" s="181" t="s">
        <v>4996</v>
      </c>
      <c r="C747" s="251" t="s">
        <v>2954</v>
      </c>
      <c r="D747" s="73" t="str">
        <f>IFERROR(VLOOKUP(C747,Stock,3,FALSE),"")</f>
        <v>Transport</v>
      </c>
      <c r="E747" s="56">
        <v>1.0</v>
      </c>
      <c r="F747" s="161">
        <v>100000.0</v>
      </c>
      <c r="G747" s="162">
        <f t="shared" si="14"/>
        <v>100000</v>
      </c>
      <c r="H747" s="194"/>
      <c r="I747" s="161">
        <f t="shared" si="11"/>
        <v>100000</v>
      </c>
      <c r="J747" s="164">
        <f t="shared" si="12"/>
        <v>100000</v>
      </c>
      <c r="K747" s="284" t="s">
        <v>4998</v>
      </c>
      <c r="L747" s="165" t="s">
        <v>4999</v>
      </c>
      <c r="M747" s="73"/>
      <c r="N747" s="171"/>
      <c r="O747" s="169" t="s">
        <v>3204</v>
      </c>
      <c r="P747" s="168" t="s">
        <v>3112</v>
      </c>
      <c r="Q747" s="173"/>
      <c r="R747" s="167">
        <v>100000.0</v>
      </c>
      <c r="S747" s="173"/>
      <c r="T747" s="173"/>
      <c r="U747" s="173"/>
      <c r="V747" s="168" t="s">
        <v>3883</v>
      </c>
      <c r="W747" s="169"/>
      <c r="X747" s="169" t="s">
        <v>4668</v>
      </c>
    </row>
    <row r="748" ht="15.0" customHeight="1">
      <c r="A748" s="127">
        <v>45552.0</v>
      </c>
      <c r="B748" s="181" t="s">
        <v>5000</v>
      </c>
      <c r="C748" s="251" t="s">
        <v>3068</v>
      </c>
      <c r="D748" s="73" t="str">
        <f>IFERROR(VLOOKUP(C748,Stock,3,FALSE),"")</f>
        <v>Honda Brio 10- / Mobilio 11-</v>
      </c>
      <c r="E748" s="56">
        <v>1.0</v>
      </c>
      <c r="F748" s="161">
        <v>1142000.0</v>
      </c>
      <c r="G748" s="162">
        <f t="shared" si="14"/>
        <v>1142000</v>
      </c>
      <c r="H748" s="194"/>
      <c r="I748" s="161">
        <f t="shared" si="11"/>
        <v>1142000</v>
      </c>
      <c r="J748" s="164">
        <f t="shared" si="12"/>
        <v>1142000</v>
      </c>
      <c r="K748" s="284" t="s">
        <v>4271</v>
      </c>
      <c r="L748" s="165" t="s">
        <v>4001</v>
      </c>
      <c r="M748" s="73"/>
      <c r="N748" s="171"/>
      <c r="O748" s="169" t="s">
        <v>3037</v>
      </c>
      <c r="P748" s="168" t="s">
        <v>4002</v>
      </c>
      <c r="Q748" s="173"/>
      <c r="R748" s="167">
        <v>1142000.0</v>
      </c>
      <c r="S748" s="173"/>
      <c r="T748" s="173"/>
      <c r="U748" s="173"/>
      <c r="V748" s="168" t="s">
        <v>3799</v>
      </c>
      <c r="W748" s="169"/>
      <c r="X748" s="169" t="s">
        <v>4668</v>
      </c>
    </row>
    <row r="749" ht="15.0" customHeight="1">
      <c r="A749" s="127">
        <v>45552.0</v>
      </c>
      <c r="B749" s="181" t="s">
        <v>5000</v>
      </c>
      <c r="C749" s="251" t="s">
        <v>2954</v>
      </c>
      <c r="D749" s="73" t="str">
        <f>IFERROR(VLOOKUP(C749,Stock,3,FALSE),"")</f>
        <v>Transport</v>
      </c>
      <c r="E749" s="56">
        <v>1.0</v>
      </c>
      <c r="F749" s="161">
        <v>100000.0</v>
      </c>
      <c r="G749" s="162">
        <f t="shared" si="14"/>
        <v>100000</v>
      </c>
      <c r="H749" s="194"/>
      <c r="I749" s="161">
        <f t="shared" si="11"/>
        <v>100000</v>
      </c>
      <c r="J749" s="164">
        <f t="shared" si="12"/>
        <v>100000</v>
      </c>
      <c r="K749" s="284" t="s">
        <v>4271</v>
      </c>
      <c r="L749" s="165" t="s">
        <v>4001</v>
      </c>
      <c r="M749" s="73"/>
      <c r="N749" s="171"/>
      <c r="O749" s="169" t="s">
        <v>3037</v>
      </c>
      <c r="P749" s="168" t="s">
        <v>4002</v>
      </c>
      <c r="Q749" s="173"/>
      <c r="R749" s="167">
        <v>100000.0</v>
      </c>
      <c r="S749" s="173"/>
      <c r="T749" s="173"/>
      <c r="U749" s="173"/>
      <c r="V749" s="168" t="s">
        <v>3799</v>
      </c>
      <c r="W749" s="169"/>
      <c r="X749" s="169" t="s">
        <v>4668</v>
      </c>
    </row>
    <row r="750" ht="15.0" customHeight="1">
      <c r="A750" s="127">
        <v>45552.0</v>
      </c>
      <c r="B750" s="181" t="s">
        <v>5001</v>
      </c>
      <c r="C750" s="251" t="s">
        <v>5002</v>
      </c>
      <c r="D750" s="73" t="str">
        <f>IFERROR(VLOOKUP(C750,Stock,3,FALSE),"")</f>
        <v>Honda Brio 10-17 [Lubang Wiper]</v>
      </c>
      <c r="E750" s="56">
        <v>1.0</v>
      </c>
      <c r="F750" s="161">
        <v>1318000.0</v>
      </c>
      <c r="G750" s="162">
        <f t="shared" si="14"/>
        <v>1318000</v>
      </c>
      <c r="H750" s="194"/>
      <c r="I750" s="161">
        <f t="shared" si="11"/>
        <v>1318000</v>
      </c>
      <c r="J750" s="164">
        <f t="shared" si="12"/>
        <v>1318000</v>
      </c>
      <c r="K750" s="284" t="s">
        <v>5003</v>
      </c>
      <c r="L750" s="165" t="s">
        <v>5004</v>
      </c>
      <c r="M750" s="73"/>
      <c r="N750" s="169" t="s">
        <v>5005</v>
      </c>
      <c r="O750" s="169" t="s">
        <v>2958</v>
      </c>
      <c r="P750" s="168" t="s">
        <v>3112</v>
      </c>
      <c r="Q750" s="173"/>
      <c r="R750" s="167">
        <v>1318000.0</v>
      </c>
      <c r="S750" s="173"/>
      <c r="T750" s="173"/>
      <c r="U750" s="173"/>
      <c r="V750" s="168" t="s">
        <v>3799</v>
      </c>
      <c r="W750" s="169"/>
      <c r="X750" s="169" t="s">
        <v>4668</v>
      </c>
    </row>
    <row r="751" ht="15.0" customHeight="1">
      <c r="A751" s="127">
        <v>45552.0</v>
      </c>
      <c r="B751" s="181" t="s">
        <v>5006</v>
      </c>
      <c r="C751" s="251" t="s">
        <v>2861</v>
      </c>
      <c r="D751" s="73" t="str">
        <f>IFERROR(VLOOKUP(C751,Stock,3,FALSE),"")</f>
        <v>Honda CR-V 12-16 4th Gen</v>
      </c>
      <c r="E751" s="56">
        <v>1.0</v>
      </c>
      <c r="F751" s="161">
        <v>685000.0</v>
      </c>
      <c r="G751" s="162">
        <f t="shared" si="14"/>
        <v>685000</v>
      </c>
      <c r="H751" s="194"/>
      <c r="I751" s="161">
        <f t="shared" si="11"/>
        <v>685000</v>
      </c>
      <c r="J751" s="164">
        <f t="shared" si="12"/>
        <v>685000</v>
      </c>
      <c r="K751" s="284" t="s">
        <v>5007</v>
      </c>
      <c r="L751" s="165" t="s">
        <v>5008</v>
      </c>
      <c r="M751" s="73"/>
      <c r="N751" s="171"/>
      <c r="O751" s="169" t="s">
        <v>2958</v>
      </c>
      <c r="P751" s="168" t="s">
        <v>3112</v>
      </c>
      <c r="Q751" s="167">
        <v>700000.0</v>
      </c>
      <c r="R751" s="173"/>
      <c r="S751" s="173"/>
      <c r="T751" s="173"/>
      <c r="U751" s="167">
        <v>15000.0</v>
      </c>
      <c r="V751" s="168" t="s">
        <v>3799</v>
      </c>
      <c r="W751" s="169"/>
      <c r="X751" s="219">
        <v>45568.0</v>
      </c>
    </row>
    <row r="752" ht="15.0" customHeight="1">
      <c r="A752" s="127">
        <v>45552.0</v>
      </c>
      <c r="B752" s="181" t="s">
        <v>5009</v>
      </c>
      <c r="C752" s="56" t="s">
        <v>3059</v>
      </c>
      <c r="D752" s="73" t="str">
        <f>IFERROR(VLOOKUP(C752,Stock,3,FALSE),"")</f>
        <v>Sealant Polyurethane XYG Tube</v>
      </c>
      <c r="E752" s="56">
        <v>1.0</v>
      </c>
      <c r="F752" s="161">
        <v>75000.0</v>
      </c>
      <c r="G752" s="162">
        <f t="shared" si="14"/>
        <v>75000</v>
      </c>
      <c r="H752" s="194"/>
      <c r="I752" s="161">
        <f t="shared" si="11"/>
        <v>75000</v>
      </c>
      <c r="J752" s="164">
        <f t="shared" si="12"/>
        <v>75000</v>
      </c>
      <c r="K752" s="56" t="s">
        <v>4243</v>
      </c>
      <c r="L752" s="165" t="s">
        <v>4943</v>
      </c>
      <c r="M752" s="73"/>
      <c r="N752" s="171"/>
      <c r="O752" s="169" t="s">
        <v>3213</v>
      </c>
      <c r="P752" s="168" t="s">
        <v>3112</v>
      </c>
      <c r="Q752" s="173"/>
      <c r="R752" s="167">
        <v>75000.0</v>
      </c>
      <c r="S752" s="173"/>
      <c r="T752" s="173"/>
      <c r="U752" s="173"/>
      <c r="V752" s="168" t="s">
        <v>3883</v>
      </c>
      <c r="W752" s="169"/>
      <c r="X752" s="169" t="s">
        <v>4668</v>
      </c>
    </row>
    <row r="753" ht="15.0" customHeight="1">
      <c r="A753" s="127">
        <v>45553.0</v>
      </c>
      <c r="B753" s="181" t="s">
        <v>5010</v>
      </c>
      <c r="C753" s="181" t="s">
        <v>3582</v>
      </c>
      <c r="D753" s="73" t="str">
        <f>IFERROR(VLOOKUP(C753,Stock,3,FALSE),"")</f>
        <v>Honda CR-V 12-16 4th Gen</v>
      </c>
      <c r="E753" s="56">
        <v>1.0</v>
      </c>
      <c r="F753" s="161">
        <v>1999000.0</v>
      </c>
      <c r="G753" s="162">
        <f t="shared" si="14"/>
        <v>1999000</v>
      </c>
      <c r="H753" s="194"/>
      <c r="I753" s="161">
        <f t="shared" si="11"/>
        <v>1999000</v>
      </c>
      <c r="J753" s="164">
        <f t="shared" si="12"/>
        <v>1999000</v>
      </c>
      <c r="K753" s="284" t="s">
        <v>5011</v>
      </c>
      <c r="L753" s="288" t="s">
        <v>5012</v>
      </c>
      <c r="M753" s="73"/>
      <c r="N753" s="171"/>
      <c r="O753" s="169" t="s">
        <v>2958</v>
      </c>
      <c r="P753" s="168" t="s">
        <v>3112</v>
      </c>
      <c r="Q753" s="173"/>
      <c r="R753" s="167">
        <v>1999000.0</v>
      </c>
      <c r="S753" s="173"/>
      <c r="T753" s="173"/>
      <c r="U753" s="173"/>
      <c r="V753" s="168" t="s">
        <v>3799</v>
      </c>
      <c r="W753" s="169"/>
      <c r="X753" s="169" t="s">
        <v>4668</v>
      </c>
    </row>
    <row r="754" ht="15.0" customHeight="1">
      <c r="A754" s="127">
        <v>45553.0</v>
      </c>
      <c r="B754" s="181" t="s">
        <v>5010</v>
      </c>
      <c r="C754" s="251" t="s">
        <v>2954</v>
      </c>
      <c r="D754" s="73" t="str">
        <f>IFERROR(VLOOKUP(C754,Stock,3,FALSE),"")</f>
        <v>Transport</v>
      </c>
      <c r="E754" s="56">
        <v>1.0</v>
      </c>
      <c r="F754" s="161">
        <v>150000.0</v>
      </c>
      <c r="G754" s="162">
        <f t="shared" si="14"/>
        <v>150000</v>
      </c>
      <c r="H754" s="194"/>
      <c r="I754" s="161">
        <f t="shared" si="11"/>
        <v>150000</v>
      </c>
      <c r="J754" s="164">
        <f t="shared" si="12"/>
        <v>150000</v>
      </c>
      <c r="K754" s="284" t="s">
        <v>5011</v>
      </c>
      <c r="L754" s="288" t="s">
        <v>5012</v>
      </c>
      <c r="M754" s="73"/>
      <c r="N754" s="171"/>
      <c r="O754" s="169" t="s">
        <v>2958</v>
      </c>
      <c r="P754" s="168" t="s">
        <v>3112</v>
      </c>
      <c r="Q754" s="173"/>
      <c r="R754" s="167">
        <v>150000.0</v>
      </c>
      <c r="S754" s="173"/>
      <c r="T754" s="173"/>
      <c r="U754" s="173"/>
      <c r="V754" s="168" t="s">
        <v>3799</v>
      </c>
      <c r="W754" s="169"/>
      <c r="X754" s="169" t="s">
        <v>4668</v>
      </c>
    </row>
    <row r="755" ht="15.0" customHeight="1">
      <c r="A755" s="127">
        <v>45553.0</v>
      </c>
      <c r="B755" s="181" t="s">
        <v>5013</v>
      </c>
      <c r="C755" s="181" t="s">
        <v>5014</v>
      </c>
      <c r="D755" s="73" t="str">
        <f>IFERROR(VLOOKUP(C755,Stock,3,FALSE),"")</f>
        <v>Kia Sorento 09-14 2nd Gen</v>
      </c>
      <c r="E755" s="56">
        <v>1.0</v>
      </c>
      <c r="F755" s="161">
        <v>2901000.0</v>
      </c>
      <c r="G755" s="162">
        <f t="shared" si="14"/>
        <v>2901000</v>
      </c>
      <c r="H755" s="194"/>
      <c r="I755" s="161">
        <f t="shared" si="11"/>
        <v>2901000</v>
      </c>
      <c r="J755" s="164">
        <f t="shared" si="12"/>
        <v>2901000</v>
      </c>
      <c r="K755" s="56" t="s">
        <v>5015</v>
      </c>
      <c r="L755" s="165" t="s">
        <v>5016</v>
      </c>
      <c r="M755" s="56" t="s">
        <v>5017</v>
      </c>
      <c r="N755" s="169" t="s">
        <v>5018</v>
      </c>
      <c r="O755" s="169" t="s">
        <v>2958</v>
      </c>
      <c r="P755" s="168" t="s">
        <v>3112</v>
      </c>
      <c r="Q755" s="173"/>
      <c r="R755" s="167">
        <v>2901000.0</v>
      </c>
      <c r="S755" s="173"/>
      <c r="T755" s="173"/>
      <c r="U755" s="173"/>
      <c r="V755" s="168" t="s">
        <v>3883</v>
      </c>
      <c r="W755" s="169"/>
      <c r="X755" s="169" t="s">
        <v>5019</v>
      </c>
    </row>
    <row r="756" ht="15.0" customHeight="1">
      <c r="A756" s="127">
        <v>45553.0</v>
      </c>
      <c r="B756" s="181" t="s">
        <v>5013</v>
      </c>
      <c r="C756" s="251" t="s">
        <v>2934</v>
      </c>
      <c r="D756" s="73" t="str">
        <f>IFERROR(VLOOKUP(C756,Stock,3,FALSE),"")</f>
        <v>Peti Kayu</v>
      </c>
      <c r="E756" s="56">
        <v>1.0</v>
      </c>
      <c r="F756" s="161">
        <v>160000.0</v>
      </c>
      <c r="G756" s="162">
        <f t="shared" si="14"/>
        <v>160000</v>
      </c>
      <c r="H756" s="194"/>
      <c r="I756" s="161">
        <f t="shared" si="11"/>
        <v>160000</v>
      </c>
      <c r="J756" s="164">
        <f t="shared" si="12"/>
        <v>160000</v>
      </c>
      <c r="K756" s="56" t="s">
        <v>5015</v>
      </c>
      <c r="L756" s="165" t="s">
        <v>5016</v>
      </c>
      <c r="M756" s="56" t="s">
        <v>5017</v>
      </c>
      <c r="N756" s="169" t="s">
        <v>5018</v>
      </c>
      <c r="O756" s="169" t="s">
        <v>2958</v>
      </c>
      <c r="P756" s="168" t="s">
        <v>3112</v>
      </c>
      <c r="Q756" s="173"/>
      <c r="R756" s="167">
        <v>160000.0</v>
      </c>
      <c r="S756" s="173"/>
      <c r="T756" s="173"/>
      <c r="U756" s="173"/>
      <c r="V756" s="168" t="s">
        <v>3883</v>
      </c>
      <c r="W756" s="169"/>
      <c r="X756" s="169" t="s">
        <v>5019</v>
      </c>
    </row>
    <row r="757" ht="15.0" customHeight="1">
      <c r="A757" s="127">
        <v>45553.0</v>
      </c>
      <c r="B757" s="181" t="s">
        <v>5020</v>
      </c>
      <c r="C757" s="56" t="s">
        <v>3342</v>
      </c>
      <c r="D757" s="73" t="str">
        <f>IFERROR(VLOOKUP(C757,Stock,3,FALSE),"")</f>
        <v>Toyota Hi-Ace 04-20 Commuter (Hitam)</v>
      </c>
      <c r="E757" s="56">
        <v>1.0</v>
      </c>
      <c r="F757" s="161">
        <v>2902000.0</v>
      </c>
      <c r="G757" s="162">
        <f t="shared" si="14"/>
        <v>2902000</v>
      </c>
      <c r="H757" s="194"/>
      <c r="I757" s="161">
        <f t="shared" si="11"/>
        <v>2902000</v>
      </c>
      <c r="J757" s="164">
        <f t="shared" si="12"/>
        <v>2902000</v>
      </c>
      <c r="K757" s="56" t="s">
        <v>5021</v>
      </c>
      <c r="L757" s="165" t="s">
        <v>4688</v>
      </c>
      <c r="M757" s="73"/>
      <c r="N757" s="171"/>
      <c r="O757" s="169" t="s">
        <v>2958</v>
      </c>
      <c r="P757" s="168" t="s">
        <v>3112</v>
      </c>
      <c r="Q757" s="173"/>
      <c r="R757" s="167">
        <v>2902000.0</v>
      </c>
      <c r="S757" s="173"/>
      <c r="T757" s="173"/>
      <c r="U757" s="173"/>
      <c r="V757" s="168" t="s">
        <v>3883</v>
      </c>
      <c r="W757" s="169"/>
      <c r="X757" s="169" t="s">
        <v>4668</v>
      </c>
    </row>
    <row r="758" ht="15.0" customHeight="1">
      <c r="A758" s="183">
        <v>45554.0</v>
      </c>
      <c r="B758" s="185" t="s">
        <v>5022</v>
      </c>
      <c r="C758" s="184" t="s">
        <v>4340</v>
      </c>
      <c r="D758" s="186" t="str">
        <f>IFERROR(VLOOKUP(C758,Stock,3,FALSE),"")</f>
        <v/>
      </c>
      <c r="E758" s="184"/>
      <c r="F758" s="188"/>
      <c r="G758" s="188">
        <f t="shared" si="14"/>
        <v>0</v>
      </c>
      <c r="H758" s="210"/>
      <c r="I758" s="187">
        <f t="shared" si="11"/>
        <v>0</v>
      </c>
      <c r="J758" s="189">
        <f t="shared" si="12"/>
        <v>0</v>
      </c>
      <c r="K758" s="186"/>
      <c r="L758" s="186"/>
      <c r="M758" s="186"/>
      <c r="N758" s="212"/>
      <c r="O758" s="212"/>
      <c r="P758" s="214"/>
      <c r="Q758" s="213"/>
      <c r="R758" s="213"/>
      <c r="S758" s="213"/>
      <c r="T758" s="213"/>
      <c r="U758" s="213"/>
      <c r="V758" s="214"/>
      <c r="W758" s="212"/>
      <c r="X758" s="212"/>
    </row>
    <row r="759" ht="15.0" customHeight="1">
      <c r="A759" s="127">
        <v>45555.0</v>
      </c>
      <c r="B759" s="181" t="s">
        <v>5023</v>
      </c>
      <c r="C759" s="181" t="s">
        <v>4027</v>
      </c>
      <c r="D759" s="73" t="str">
        <f>IFERROR(VLOOKUP(C759,Stock,3,FALSE),"")</f>
        <v>501 Sealant Application</v>
      </c>
      <c r="E759" s="56">
        <v>1.0</v>
      </c>
      <c r="F759" s="161">
        <v>100000.0</v>
      </c>
      <c r="G759" s="162">
        <f t="shared" si="14"/>
        <v>100000</v>
      </c>
      <c r="H759" s="194"/>
      <c r="I759" s="161">
        <f t="shared" si="11"/>
        <v>100000</v>
      </c>
      <c r="J759" s="164">
        <f t="shared" si="12"/>
        <v>100000</v>
      </c>
      <c r="K759" s="56" t="s">
        <v>4959</v>
      </c>
      <c r="L759" s="165" t="s">
        <v>4960</v>
      </c>
      <c r="M759" s="73"/>
      <c r="N759" s="171"/>
      <c r="O759" s="169" t="s">
        <v>4961</v>
      </c>
      <c r="P759" s="168" t="s">
        <v>3112</v>
      </c>
      <c r="Q759" s="173"/>
      <c r="R759" s="167">
        <v>100000.0</v>
      </c>
      <c r="S759" s="173"/>
      <c r="T759" s="173"/>
      <c r="U759" s="173"/>
      <c r="V759" s="168" t="s">
        <v>3883</v>
      </c>
      <c r="W759" s="169"/>
      <c r="X759" s="169" t="s">
        <v>4962</v>
      </c>
    </row>
    <row r="760" ht="15.0" customHeight="1">
      <c r="A760" s="127">
        <v>45555.0</v>
      </c>
      <c r="B760" s="181" t="s">
        <v>5023</v>
      </c>
      <c r="C760" s="251" t="s">
        <v>2954</v>
      </c>
      <c r="D760" s="73" t="str">
        <f>IFERROR(VLOOKUP(C760,Stock,3,FALSE),"")</f>
        <v>Transport</v>
      </c>
      <c r="E760" s="56">
        <v>1.0</v>
      </c>
      <c r="F760" s="161">
        <v>300000.0</v>
      </c>
      <c r="G760" s="162">
        <f t="shared" si="14"/>
        <v>300000</v>
      </c>
      <c r="H760" s="194"/>
      <c r="I760" s="161">
        <f t="shared" si="11"/>
        <v>300000</v>
      </c>
      <c r="J760" s="164">
        <f t="shared" si="12"/>
        <v>300000</v>
      </c>
      <c r="K760" s="56" t="s">
        <v>4959</v>
      </c>
      <c r="L760" s="165" t="s">
        <v>4960</v>
      </c>
      <c r="M760" s="73"/>
      <c r="N760" s="171"/>
      <c r="O760" s="169" t="s">
        <v>4961</v>
      </c>
      <c r="P760" s="168" t="s">
        <v>3112</v>
      </c>
      <c r="Q760" s="173"/>
      <c r="R760" s="167">
        <v>300000.0</v>
      </c>
      <c r="S760" s="173"/>
      <c r="T760" s="173"/>
      <c r="U760" s="173"/>
      <c r="V760" s="168" t="s">
        <v>3883</v>
      </c>
      <c r="W760" s="169"/>
      <c r="X760" s="169" t="s">
        <v>4962</v>
      </c>
    </row>
    <row r="761" ht="15.0" customHeight="1">
      <c r="A761" s="127">
        <v>45555.0</v>
      </c>
      <c r="B761" s="181" t="s">
        <v>5024</v>
      </c>
      <c r="C761" s="56" t="s">
        <v>2557</v>
      </c>
      <c r="D761" s="73" t="str">
        <f>IFERROR(VLOOKUP(C761,Stock,3,FALSE),"")</f>
        <v>Toyota Fortuner 05-15 1st Gen (Toyota)</v>
      </c>
      <c r="E761" s="56">
        <v>1.0</v>
      </c>
      <c r="F761" s="161">
        <v>3098000.0</v>
      </c>
      <c r="G761" s="162">
        <f t="shared" si="14"/>
        <v>3098000</v>
      </c>
      <c r="H761" s="201">
        <v>100000.0</v>
      </c>
      <c r="I761" s="161">
        <f t="shared" si="11"/>
        <v>2998000</v>
      </c>
      <c r="J761" s="164">
        <f t="shared" si="12"/>
        <v>2998000</v>
      </c>
      <c r="K761" s="56" t="s">
        <v>5025</v>
      </c>
      <c r="L761" s="165" t="s">
        <v>5026</v>
      </c>
      <c r="M761" s="73"/>
      <c r="N761" s="171"/>
      <c r="O761" s="169" t="s">
        <v>2958</v>
      </c>
      <c r="P761" s="168" t="s">
        <v>3112</v>
      </c>
      <c r="Q761" s="173"/>
      <c r="R761" s="167">
        <v>2998000.0</v>
      </c>
      <c r="S761" s="173"/>
      <c r="T761" s="173"/>
      <c r="U761" s="173"/>
      <c r="V761" s="168" t="s">
        <v>3883</v>
      </c>
      <c r="W761" s="169"/>
      <c r="X761" s="169" t="s">
        <v>4668</v>
      </c>
    </row>
    <row r="762" ht="15.0" customHeight="1">
      <c r="A762" s="127">
        <v>45555.0</v>
      </c>
      <c r="B762" s="181" t="s">
        <v>5027</v>
      </c>
      <c r="C762" s="56" t="s">
        <v>2643</v>
      </c>
      <c r="D762" s="73" t="str">
        <f>IFERROR(VLOOKUP(C762,Stock,3,FALSE),"")</f>
        <v>Toyota Vios 07-13 XP90 2nd Gen</v>
      </c>
      <c r="E762" s="56">
        <v>1.0</v>
      </c>
      <c r="F762" s="161">
        <v>1483000.0</v>
      </c>
      <c r="G762" s="162">
        <f t="shared" si="14"/>
        <v>1483000</v>
      </c>
      <c r="H762" s="194"/>
      <c r="I762" s="161">
        <f t="shared" si="11"/>
        <v>1483000</v>
      </c>
      <c r="J762" s="164">
        <f t="shared" si="12"/>
        <v>1483000</v>
      </c>
      <c r="K762" s="56" t="s">
        <v>5028</v>
      </c>
      <c r="L762" s="165" t="s">
        <v>5029</v>
      </c>
      <c r="M762" s="73"/>
      <c r="N762" s="171"/>
      <c r="O762" s="169" t="s">
        <v>2958</v>
      </c>
      <c r="P762" s="168" t="s">
        <v>3645</v>
      </c>
      <c r="Q762" s="173"/>
      <c r="R762" s="167">
        <v>1483000.0</v>
      </c>
      <c r="S762" s="173"/>
      <c r="T762" s="173"/>
      <c r="U762" s="173"/>
      <c r="V762" s="168" t="s">
        <v>3883</v>
      </c>
      <c r="W762" s="169"/>
      <c r="X762" s="169" t="s">
        <v>4668</v>
      </c>
    </row>
    <row r="763" ht="15.0" customHeight="1">
      <c r="A763" s="127">
        <v>45555.0</v>
      </c>
      <c r="B763" s="181" t="s">
        <v>5030</v>
      </c>
      <c r="C763" s="181" t="s">
        <v>2617</v>
      </c>
      <c r="D763" s="73" t="str">
        <f>IFERROR(VLOOKUP(C763,Stock,3,FALSE),"")</f>
        <v>Mitsubishi Pajero 16- (Mitsubishi)</v>
      </c>
      <c r="E763" s="56">
        <v>1.0</v>
      </c>
      <c r="F763" s="161">
        <v>3299000.0</v>
      </c>
      <c r="G763" s="162">
        <f t="shared" si="14"/>
        <v>3299000</v>
      </c>
      <c r="H763" s="194"/>
      <c r="I763" s="161">
        <f t="shared" si="11"/>
        <v>3299000</v>
      </c>
      <c r="J763" s="164">
        <f t="shared" si="12"/>
        <v>3299000</v>
      </c>
      <c r="K763" s="284" t="s">
        <v>5031</v>
      </c>
      <c r="L763" s="165" t="s">
        <v>5032</v>
      </c>
      <c r="M763" s="73"/>
      <c r="N763" s="289" t="s">
        <v>5033</v>
      </c>
      <c r="O763" s="169" t="s">
        <v>3204</v>
      </c>
      <c r="P763" s="168" t="s">
        <v>3112</v>
      </c>
      <c r="Q763" s="173"/>
      <c r="R763" s="167">
        <v>3299000.0</v>
      </c>
      <c r="S763" s="173"/>
      <c r="T763" s="173"/>
      <c r="U763" s="173"/>
      <c r="V763" s="168" t="s">
        <v>3799</v>
      </c>
      <c r="W763" s="169"/>
      <c r="X763" s="169" t="s">
        <v>4668</v>
      </c>
    </row>
    <row r="764" ht="15.0" customHeight="1">
      <c r="A764" s="127">
        <v>45555.0</v>
      </c>
      <c r="B764" s="181" t="s">
        <v>5030</v>
      </c>
      <c r="C764" s="251" t="s">
        <v>2954</v>
      </c>
      <c r="D764" s="73" t="str">
        <f>IFERROR(VLOOKUP(C764,Stock,3,FALSE),"")</f>
        <v>Transport</v>
      </c>
      <c r="E764" s="56">
        <v>1.0</v>
      </c>
      <c r="F764" s="161">
        <v>150000.0</v>
      </c>
      <c r="G764" s="162">
        <f t="shared" si="14"/>
        <v>150000</v>
      </c>
      <c r="H764" s="194"/>
      <c r="I764" s="161">
        <f t="shared" si="11"/>
        <v>150000</v>
      </c>
      <c r="J764" s="164">
        <f t="shared" si="12"/>
        <v>150000</v>
      </c>
      <c r="K764" s="284" t="s">
        <v>5031</v>
      </c>
      <c r="L764" s="165" t="s">
        <v>5032</v>
      </c>
      <c r="M764" s="73"/>
      <c r="N764" s="289" t="s">
        <v>5033</v>
      </c>
      <c r="O764" s="169" t="s">
        <v>3204</v>
      </c>
      <c r="P764" s="168" t="s">
        <v>3112</v>
      </c>
      <c r="Q764" s="173"/>
      <c r="R764" s="167">
        <v>150000.0</v>
      </c>
      <c r="S764" s="173"/>
      <c r="T764" s="173"/>
      <c r="U764" s="173"/>
      <c r="V764" s="168" t="s">
        <v>3799</v>
      </c>
      <c r="W764" s="169"/>
      <c r="X764" s="169" t="s">
        <v>4668</v>
      </c>
    </row>
    <row r="765" ht="15.0" customHeight="1">
      <c r="A765" s="127">
        <v>45555.0</v>
      </c>
      <c r="B765" s="181" t="s">
        <v>5034</v>
      </c>
      <c r="C765" s="56" t="s">
        <v>3186</v>
      </c>
      <c r="D765" s="73" t="str">
        <f>IFERROR(VLOOKUP(C765,Stock,3,FALSE),"")</f>
        <v>Daihatsu Gran Max / Luxio 07-</v>
      </c>
      <c r="E765" s="56">
        <v>1.0</v>
      </c>
      <c r="F765" s="161">
        <v>1100000.0</v>
      </c>
      <c r="G765" s="162">
        <f t="shared" si="14"/>
        <v>1100000</v>
      </c>
      <c r="H765" s="194"/>
      <c r="I765" s="161">
        <f t="shared" si="11"/>
        <v>1100000</v>
      </c>
      <c r="J765" s="164">
        <f t="shared" si="12"/>
        <v>1100000</v>
      </c>
      <c r="K765" s="56" t="s">
        <v>5035</v>
      </c>
      <c r="L765" s="165" t="s">
        <v>5036</v>
      </c>
      <c r="M765" s="73"/>
      <c r="N765" s="171"/>
      <c r="O765" s="169" t="s">
        <v>2958</v>
      </c>
      <c r="P765" s="168" t="s">
        <v>3112</v>
      </c>
      <c r="Q765" s="173"/>
      <c r="R765" s="167">
        <v>1100000.0</v>
      </c>
      <c r="S765" s="173"/>
      <c r="T765" s="173"/>
      <c r="U765" s="173"/>
      <c r="V765" s="168" t="s">
        <v>3883</v>
      </c>
      <c r="W765" s="169"/>
      <c r="X765" s="169" t="s">
        <v>4668</v>
      </c>
    </row>
    <row r="766" ht="15.0" customHeight="1">
      <c r="A766" s="127">
        <v>45556.0</v>
      </c>
      <c r="B766" s="181" t="s">
        <v>5037</v>
      </c>
      <c r="C766" s="181" t="s">
        <v>4038</v>
      </c>
      <c r="D766" s="73" t="str">
        <f>IFERROR(VLOOKUP(C766,Stock,3,FALSE),"")</f>
        <v>Suzuki Carry New 19-</v>
      </c>
      <c r="E766" s="56">
        <v>1.0</v>
      </c>
      <c r="F766" s="161">
        <v>1190000.0</v>
      </c>
      <c r="G766" s="162">
        <f t="shared" si="14"/>
        <v>1190000</v>
      </c>
      <c r="H766" s="194"/>
      <c r="I766" s="161">
        <f t="shared" si="11"/>
        <v>1190000</v>
      </c>
      <c r="J766" s="164">
        <f t="shared" si="12"/>
        <v>1190000</v>
      </c>
      <c r="K766" s="284" t="s">
        <v>4589</v>
      </c>
      <c r="L766" s="165" t="s">
        <v>5038</v>
      </c>
      <c r="M766" s="73"/>
      <c r="N766" s="171"/>
      <c r="O766" s="169" t="s">
        <v>2958</v>
      </c>
      <c r="P766" s="168" t="s">
        <v>3112</v>
      </c>
      <c r="Q766" s="173"/>
      <c r="R766" s="167">
        <v>1190000.0</v>
      </c>
      <c r="S766" s="173"/>
      <c r="T766" s="173"/>
      <c r="U766" s="173"/>
      <c r="V766" s="168" t="s">
        <v>3799</v>
      </c>
      <c r="W766" s="169"/>
      <c r="X766" s="169" t="s">
        <v>4668</v>
      </c>
    </row>
    <row r="767" ht="15.0" customHeight="1">
      <c r="A767" s="127">
        <v>45556.0</v>
      </c>
      <c r="B767" s="181" t="s">
        <v>5037</v>
      </c>
      <c r="C767" s="251" t="s">
        <v>2954</v>
      </c>
      <c r="D767" s="73" t="str">
        <f>IFERROR(VLOOKUP(C767,Stock,3,FALSE),"")</f>
        <v>Transport</v>
      </c>
      <c r="E767" s="56">
        <v>1.0</v>
      </c>
      <c r="F767" s="161">
        <v>100000.0</v>
      </c>
      <c r="G767" s="162">
        <f t="shared" si="14"/>
        <v>100000</v>
      </c>
      <c r="H767" s="194"/>
      <c r="I767" s="161">
        <f t="shared" si="11"/>
        <v>100000</v>
      </c>
      <c r="J767" s="164">
        <f t="shared" si="12"/>
        <v>100000</v>
      </c>
      <c r="K767" s="284" t="s">
        <v>4589</v>
      </c>
      <c r="L767" s="165" t="s">
        <v>5038</v>
      </c>
      <c r="M767" s="73"/>
      <c r="N767" s="171"/>
      <c r="O767" s="169" t="s">
        <v>2958</v>
      </c>
      <c r="P767" s="168" t="s">
        <v>3112</v>
      </c>
      <c r="Q767" s="173"/>
      <c r="R767" s="167">
        <v>100000.0</v>
      </c>
      <c r="S767" s="173"/>
      <c r="T767" s="173"/>
      <c r="U767" s="173"/>
      <c r="V767" s="168" t="s">
        <v>3799</v>
      </c>
      <c r="W767" s="169"/>
      <c r="X767" s="169" t="s">
        <v>4668</v>
      </c>
    </row>
    <row r="768" ht="15.0" customHeight="1">
      <c r="A768" s="127">
        <v>45556.0</v>
      </c>
      <c r="B768" s="181" t="s">
        <v>5039</v>
      </c>
      <c r="C768" s="251" t="s">
        <v>5040</v>
      </c>
      <c r="D768" s="73" t="str">
        <f>IFERROR(VLOOKUP(C768,Stock,3,FALSE),"")</f>
        <v>Isuzu Panther  91-99 1st Gen Kotak</v>
      </c>
      <c r="E768" s="56">
        <v>1.0</v>
      </c>
      <c r="F768" s="161">
        <v>535000.0</v>
      </c>
      <c r="G768" s="162">
        <f t="shared" si="14"/>
        <v>535000</v>
      </c>
      <c r="H768" s="194"/>
      <c r="I768" s="161">
        <f t="shared" si="11"/>
        <v>535000</v>
      </c>
      <c r="J768" s="164">
        <f t="shared" si="12"/>
        <v>535000</v>
      </c>
      <c r="K768" s="284" t="s">
        <v>5041</v>
      </c>
      <c r="L768" s="165" t="s">
        <v>5042</v>
      </c>
      <c r="M768" s="73"/>
      <c r="N768" s="171"/>
      <c r="O768" s="169" t="s">
        <v>2958</v>
      </c>
      <c r="P768" s="168" t="s">
        <v>3112</v>
      </c>
      <c r="Q768" s="167">
        <v>540000.0</v>
      </c>
      <c r="R768" s="173"/>
      <c r="S768" s="173"/>
      <c r="T768" s="173"/>
      <c r="U768" s="167">
        <v>5000.0</v>
      </c>
      <c r="V768" s="168" t="s">
        <v>3799</v>
      </c>
      <c r="W768" s="169"/>
      <c r="X768" s="219">
        <v>45568.0</v>
      </c>
    </row>
    <row r="769" ht="15.0" customHeight="1">
      <c r="A769" s="127">
        <v>45556.0</v>
      </c>
      <c r="B769" s="181" t="s">
        <v>5043</v>
      </c>
      <c r="C769" s="181" t="s">
        <v>4027</v>
      </c>
      <c r="D769" s="73" t="str">
        <f>IFERROR(VLOOKUP(C769,Stock,3,FALSE),"")</f>
        <v>501 Sealant Application</v>
      </c>
      <c r="E769" s="56">
        <v>1.0</v>
      </c>
      <c r="F769" s="161">
        <v>100000.0</v>
      </c>
      <c r="G769" s="162">
        <f t="shared" si="14"/>
        <v>100000</v>
      </c>
      <c r="H769" s="194"/>
      <c r="I769" s="161">
        <f t="shared" si="11"/>
        <v>100000</v>
      </c>
      <c r="J769" s="164">
        <f t="shared" si="12"/>
        <v>100000</v>
      </c>
      <c r="K769" s="284" t="s">
        <v>4848</v>
      </c>
      <c r="L769" s="165" t="s">
        <v>4849</v>
      </c>
      <c r="M769" s="73"/>
      <c r="N769" s="171"/>
      <c r="O769" s="169" t="s">
        <v>2958</v>
      </c>
      <c r="P769" s="168" t="s">
        <v>3112</v>
      </c>
      <c r="Q769" s="173"/>
      <c r="R769" s="167">
        <v>100000.0</v>
      </c>
      <c r="S769" s="173"/>
      <c r="T769" s="173"/>
      <c r="U769" s="173"/>
      <c r="V769" s="168" t="s">
        <v>3799</v>
      </c>
      <c r="W769" s="169"/>
      <c r="X769" s="169" t="s">
        <v>4668</v>
      </c>
    </row>
    <row r="770" ht="15.0" customHeight="1">
      <c r="A770" s="127">
        <v>45556.0</v>
      </c>
      <c r="B770" s="181" t="s">
        <v>5044</v>
      </c>
      <c r="C770" s="56" t="s">
        <v>2965</v>
      </c>
      <c r="D770" s="73" t="str">
        <f>IFERROR(VLOOKUP(C770,Stock,3,FALSE),"")</f>
        <v>Suzuki Ertiga 12-18 1st Gen MPV</v>
      </c>
      <c r="E770" s="56">
        <v>1.0</v>
      </c>
      <c r="F770" s="161">
        <v>900000.0</v>
      </c>
      <c r="G770" s="162">
        <f t="shared" si="14"/>
        <v>900000</v>
      </c>
      <c r="H770" s="194"/>
      <c r="I770" s="161">
        <f t="shared" si="11"/>
        <v>900000</v>
      </c>
      <c r="J770" s="164">
        <f t="shared" si="12"/>
        <v>900000</v>
      </c>
      <c r="K770" s="284" t="s">
        <v>5045</v>
      </c>
      <c r="L770" s="165" t="s">
        <v>5046</v>
      </c>
      <c r="M770" s="73"/>
      <c r="N770" s="289" t="s">
        <v>5047</v>
      </c>
      <c r="O770" s="169" t="s">
        <v>2958</v>
      </c>
      <c r="P770" s="168" t="s">
        <v>3112</v>
      </c>
      <c r="Q770" s="173"/>
      <c r="R770" s="167">
        <v>900000.0</v>
      </c>
      <c r="S770" s="173"/>
      <c r="T770" s="173"/>
      <c r="U770" s="173"/>
      <c r="V770" s="168" t="s">
        <v>3799</v>
      </c>
      <c r="W770" s="169"/>
      <c r="X770" s="169" t="s">
        <v>4668</v>
      </c>
    </row>
    <row r="771" ht="15.0" customHeight="1">
      <c r="A771" s="127">
        <v>45556.0</v>
      </c>
      <c r="B771" s="181" t="s">
        <v>5048</v>
      </c>
      <c r="C771" s="56" t="s">
        <v>2562</v>
      </c>
      <c r="D771" s="73" t="str">
        <f>IFERROR(VLOOKUP(C771,Stock,3,FALSE),"")</f>
        <v>Toyota Avanza / Xenia 15-21 3rd Gen</v>
      </c>
      <c r="E771" s="56">
        <v>1.0</v>
      </c>
      <c r="F771" s="161">
        <v>1120000.0</v>
      </c>
      <c r="G771" s="162">
        <f t="shared" si="14"/>
        <v>1120000</v>
      </c>
      <c r="H771" s="194"/>
      <c r="I771" s="161">
        <f t="shared" si="11"/>
        <v>1120000</v>
      </c>
      <c r="J771" s="164">
        <f t="shared" si="12"/>
        <v>1120000</v>
      </c>
      <c r="K771" s="56" t="s">
        <v>5049</v>
      </c>
      <c r="L771" s="165" t="s">
        <v>5050</v>
      </c>
      <c r="M771" s="73"/>
      <c r="N771" s="171"/>
      <c r="O771" s="169" t="s">
        <v>3213</v>
      </c>
      <c r="P771" s="168" t="s">
        <v>4544</v>
      </c>
      <c r="Q771" s="167">
        <v>1150000.0</v>
      </c>
      <c r="R771" s="173"/>
      <c r="S771" s="173"/>
      <c r="T771" s="173"/>
      <c r="U771" s="167">
        <v>30000.0</v>
      </c>
      <c r="V771" s="168" t="s">
        <v>3883</v>
      </c>
      <c r="W771" s="169"/>
      <c r="X771" s="219">
        <v>45568.0</v>
      </c>
    </row>
    <row r="772" ht="15.0" customHeight="1">
      <c r="A772" s="127">
        <v>45556.0</v>
      </c>
      <c r="B772" s="181" t="s">
        <v>5051</v>
      </c>
      <c r="C772" s="251" t="s">
        <v>5052</v>
      </c>
      <c r="D772" s="73" t="str">
        <f>IFERROR(VLOOKUP(C772,Stock,3,FALSE),"")</f>
        <v>BMW X1 Series 09-14 E84 (1 Sensor / [] )</v>
      </c>
      <c r="E772" s="56">
        <v>1.0</v>
      </c>
      <c r="F772" s="161">
        <v>4548000.0</v>
      </c>
      <c r="G772" s="162">
        <f t="shared" si="14"/>
        <v>4548000</v>
      </c>
      <c r="H772" s="194"/>
      <c r="I772" s="161">
        <f t="shared" si="11"/>
        <v>4548000</v>
      </c>
      <c r="J772" s="164">
        <f t="shared" si="12"/>
        <v>4548000</v>
      </c>
      <c r="K772" s="56" t="s">
        <v>5053</v>
      </c>
      <c r="L772" s="165" t="s">
        <v>5054</v>
      </c>
      <c r="M772" s="73"/>
      <c r="N772" s="171"/>
      <c r="O772" s="169" t="s">
        <v>3715</v>
      </c>
      <c r="P772" s="168" t="s">
        <v>3112</v>
      </c>
      <c r="Q772" s="173"/>
      <c r="R772" s="167">
        <v>4548000.0</v>
      </c>
      <c r="S772" s="173"/>
      <c r="T772" s="173"/>
      <c r="U772" s="173"/>
      <c r="V772" s="168" t="s">
        <v>3883</v>
      </c>
      <c r="W772" s="169"/>
      <c r="X772" s="169" t="s">
        <v>5055</v>
      </c>
    </row>
    <row r="773" ht="15.0" customHeight="1">
      <c r="A773" s="127">
        <v>45556.0</v>
      </c>
      <c r="B773" s="181" t="s">
        <v>5051</v>
      </c>
      <c r="C773" s="56" t="s">
        <v>2934</v>
      </c>
      <c r="D773" s="73" t="str">
        <f>IFERROR(VLOOKUP(C773,Stock,3,FALSE),"")</f>
        <v>Peti Kayu</v>
      </c>
      <c r="E773" s="56">
        <v>1.0</v>
      </c>
      <c r="F773" s="161">
        <v>160000.0</v>
      </c>
      <c r="G773" s="162">
        <f t="shared" si="14"/>
        <v>160000</v>
      </c>
      <c r="H773" s="194"/>
      <c r="I773" s="161">
        <f t="shared" si="11"/>
        <v>160000</v>
      </c>
      <c r="J773" s="164">
        <f t="shared" si="12"/>
        <v>160000</v>
      </c>
      <c r="K773" s="56" t="s">
        <v>5053</v>
      </c>
      <c r="L773" s="165" t="s">
        <v>5054</v>
      </c>
      <c r="M773" s="73"/>
      <c r="N773" s="171"/>
      <c r="O773" s="169" t="s">
        <v>3715</v>
      </c>
      <c r="P773" s="168" t="s">
        <v>3112</v>
      </c>
      <c r="Q773" s="173"/>
      <c r="R773" s="167">
        <v>160000.0</v>
      </c>
      <c r="S773" s="173"/>
      <c r="T773" s="173"/>
      <c r="U773" s="173"/>
      <c r="V773" s="168" t="s">
        <v>3883</v>
      </c>
      <c r="W773" s="169"/>
      <c r="X773" s="169" t="s">
        <v>4668</v>
      </c>
    </row>
    <row r="774" ht="15.0" customHeight="1">
      <c r="A774" s="127">
        <v>45557.0</v>
      </c>
      <c r="B774" s="181" t="s">
        <v>5056</v>
      </c>
      <c r="C774" s="181" t="s">
        <v>4154</v>
      </c>
      <c r="D774" s="73" t="str">
        <f>IFERROR(VLOOKUP(C774,Stock,3,FALSE),"")</f>
        <v>Honda CR-V 07-11 3rd Gen</v>
      </c>
      <c r="E774" s="56">
        <v>1.0</v>
      </c>
      <c r="F774" s="161">
        <v>1950000.0</v>
      </c>
      <c r="G774" s="162">
        <f t="shared" si="14"/>
        <v>1950000</v>
      </c>
      <c r="H774" s="194"/>
      <c r="I774" s="161">
        <f t="shared" si="11"/>
        <v>1950000</v>
      </c>
      <c r="J774" s="164">
        <f t="shared" si="12"/>
        <v>1950000</v>
      </c>
      <c r="K774" s="251" t="s">
        <v>5057</v>
      </c>
      <c r="L774" s="165" t="s">
        <v>5058</v>
      </c>
      <c r="M774" s="73"/>
      <c r="N774" s="289" t="s">
        <v>5059</v>
      </c>
      <c r="O774" s="169" t="s">
        <v>3775</v>
      </c>
      <c r="P774" s="168" t="s">
        <v>3112</v>
      </c>
      <c r="Q774" s="167">
        <v>1950000.0</v>
      </c>
      <c r="R774" s="173"/>
      <c r="S774" s="173"/>
      <c r="T774" s="173"/>
      <c r="U774" s="173"/>
      <c r="V774" s="168" t="s">
        <v>3799</v>
      </c>
      <c r="W774" s="169"/>
      <c r="X774" s="219">
        <v>45568.0</v>
      </c>
    </row>
    <row r="775" ht="15.0" customHeight="1">
      <c r="A775" s="127">
        <v>45557.0</v>
      </c>
      <c r="B775" s="181" t="s">
        <v>5056</v>
      </c>
      <c r="C775" s="251" t="s">
        <v>4027</v>
      </c>
      <c r="D775" s="73" t="str">
        <f>IFERROR(VLOOKUP(C775,Stock,3,FALSE),"")</f>
        <v>501 Sealant Application</v>
      </c>
      <c r="E775" s="56">
        <v>1.0</v>
      </c>
      <c r="F775" s="161">
        <v>100000.0</v>
      </c>
      <c r="G775" s="162">
        <f t="shared" si="14"/>
        <v>100000</v>
      </c>
      <c r="H775" s="194"/>
      <c r="I775" s="161">
        <f t="shared" si="11"/>
        <v>100000</v>
      </c>
      <c r="J775" s="164">
        <f t="shared" si="12"/>
        <v>100000</v>
      </c>
      <c r="K775" s="284" t="s">
        <v>5060</v>
      </c>
      <c r="L775" s="165" t="s">
        <v>5058</v>
      </c>
      <c r="M775" s="73"/>
      <c r="N775" s="289" t="s">
        <v>5059</v>
      </c>
      <c r="O775" s="169" t="s">
        <v>3775</v>
      </c>
      <c r="P775" s="168" t="s">
        <v>3112</v>
      </c>
      <c r="Q775" s="167">
        <v>100000.0</v>
      </c>
      <c r="R775" s="173"/>
      <c r="S775" s="173"/>
      <c r="T775" s="173"/>
      <c r="U775" s="173"/>
      <c r="V775" s="168" t="s">
        <v>3799</v>
      </c>
      <c r="W775" s="169"/>
      <c r="X775" s="219">
        <v>45568.0</v>
      </c>
    </row>
    <row r="776" ht="15.0" customHeight="1">
      <c r="A776" s="127">
        <v>45557.0</v>
      </c>
      <c r="B776" s="181" t="s">
        <v>5061</v>
      </c>
      <c r="C776" s="181" t="s">
        <v>2919</v>
      </c>
      <c r="D776" s="73" t="str">
        <f>IFERROR(VLOOKUP(C776,Stock,3,FALSE),"")</f>
        <v>Toyota Innova 04-15 1st Gen</v>
      </c>
      <c r="E776" s="56">
        <v>1.0</v>
      </c>
      <c r="F776" s="161">
        <v>2640000.0</v>
      </c>
      <c r="G776" s="162">
        <f t="shared" si="14"/>
        <v>2640000</v>
      </c>
      <c r="H776" s="194"/>
      <c r="I776" s="161">
        <f t="shared" si="11"/>
        <v>2640000</v>
      </c>
      <c r="J776" s="164">
        <f t="shared" si="12"/>
        <v>2640000</v>
      </c>
      <c r="K776" s="284" t="s">
        <v>5062</v>
      </c>
      <c r="L776" s="165" t="s">
        <v>5063</v>
      </c>
      <c r="M776" s="73"/>
      <c r="N776" s="289" t="s">
        <v>5064</v>
      </c>
      <c r="O776" s="169" t="s">
        <v>3213</v>
      </c>
      <c r="P776" s="168" t="s">
        <v>3112</v>
      </c>
      <c r="Q776" s="167">
        <v>2650000.0</v>
      </c>
      <c r="R776" s="173"/>
      <c r="S776" s="173"/>
      <c r="T776" s="173"/>
      <c r="U776" s="167">
        <v>10000.0</v>
      </c>
      <c r="V776" s="168" t="s">
        <v>3799</v>
      </c>
      <c r="W776" s="169"/>
      <c r="X776" s="219">
        <v>45568.0</v>
      </c>
    </row>
    <row r="777" ht="15.0" customHeight="1">
      <c r="A777" s="127">
        <v>45557.0</v>
      </c>
      <c r="B777" s="181" t="s">
        <v>5065</v>
      </c>
      <c r="C777" s="181" t="s">
        <v>3411</v>
      </c>
      <c r="D777" s="73" t="str">
        <f>IFERROR(VLOOKUP(C777,Stock,3,FALSE),"")</f>
        <v>Toyota Agya/Ayla 13-22 1st Gen</v>
      </c>
      <c r="E777" s="56">
        <v>1.0</v>
      </c>
      <c r="F777" s="161">
        <v>1249000.0</v>
      </c>
      <c r="G777" s="162">
        <f t="shared" si="14"/>
        <v>1249000</v>
      </c>
      <c r="H777" s="194"/>
      <c r="I777" s="161">
        <f t="shared" si="11"/>
        <v>1249000</v>
      </c>
      <c r="J777" s="164">
        <f t="shared" si="12"/>
        <v>1249000</v>
      </c>
      <c r="K777" s="284" t="s">
        <v>5066</v>
      </c>
      <c r="L777" s="165" t="s">
        <v>5067</v>
      </c>
      <c r="M777" s="73"/>
      <c r="N777" s="289" t="s">
        <v>5068</v>
      </c>
      <c r="O777" s="169" t="s">
        <v>2958</v>
      </c>
      <c r="P777" s="168" t="s">
        <v>3112</v>
      </c>
      <c r="Q777" s="173"/>
      <c r="R777" s="167">
        <v>1249000.0</v>
      </c>
      <c r="S777" s="173"/>
      <c r="T777" s="173"/>
      <c r="U777" s="173"/>
      <c r="V777" s="168" t="s">
        <v>3799</v>
      </c>
      <c r="W777" s="169"/>
      <c r="X777" s="169" t="s">
        <v>4668</v>
      </c>
    </row>
    <row r="778" ht="15.0" customHeight="1">
      <c r="A778" s="127">
        <v>45557.0</v>
      </c>
      <c r="B778" s="181" t="s">
        <v>5069</v>
      </c>
      <c r="C778" s="181" t="s">
        <v>3622</v>
      </c>
      <c r="D778" s="73" t="str">
        <f>IFERROR(VLOOKUP(C778,Stock,3,FALSE),"")</f>
        <v>Mitsubishi Pajero 08-16</v>
      </c>
      <c r="E778" s="56">
        <v>1.0</v>
      </c>
      <c r="F778" s="161">
        <v>1800000.0</v>
      </c>
      <c r="G778" s="162">
        <f t="shared" si="14"/>
        <v>1800000</v>
      </c>
      <c r="H778" s="194"/>
      <c r="I778" s="161">
        <f t="shared" si="11"/>
        <v>1800000</v>
      </c>
      <c r="J778" s="164">
        <f t="shared" si="12"/>
        <v>1800000</v>
      </c>
      <c r="K778" s="284" t="s">
        <v>5070</v>
      </c>
      <c r="L778" s="165" t="s">
        <v>5071</v>
      </c>
      <c r="M778" s="73"/>
      <c r="N778" s="289" t="s">
        <v>5072</v>
      </c>
      <c r="O778" s="169" t="s">
        <v>5073</v>
      </c>
      <c r="P778" s="168" t="s">
        <v>3011</v>
      </c>
      <c r="Q778" s="173"/>
      <c r="R778" s="167">
        <v>1800000.0</v>
      </c>
      <c r="S778" s="173"/>
      <c r="T778" s="173"/>
      <c r="U778" s="173"/>
      <c r="V778" s="168" t="s">
        <v>3799</v>
      </c>
      <c r="W778" s="169"/>
      <c r="X778" s="169" t="s">
        <v>4668</v>
      </c>
    </row>
    <row r="779" ht="15.0" customHeight="1">
      <c r="A779" s="127">
        <v>45558.0</v>
      </c>
      <c r="B779" s="181" t="s">
        <v>5074</v>
      </c>
      <c r="C779" s="56" t="s">
        <v>3059</v>
      </c>
      <c r="D779" s="73" t="str">
        <f>IFERROR(VLOOKUP(C779,Stock,3,FALSE),"")</f>
        <v>Sealant Polyurethane XYG Tube</v>
      </c>
      <c r="E779" s="56">
        <v>1.0</v>
      </c>
      <c r="F779" s="161">
        <v>75000.0</v>
      </c>
      <c r="G779" s="162">
        <f t="shared" si="14"/>
        <v>75000</v>
      </c>
      <c r="H779" s="194"/>
      <c r="I779" s="161">
        <f t="shared" si="11"/>
        <v>75000</v>
      </c>
      <c r="J779" s="164">
        <f t="shared" si="12"/>
        <v>75000</v>
      </c>
      <c r="K779" s="56" t="s">
        <v>5075</v>
      </c>
      <c r="L779" s="165" t="s">
        <v>5076</v>
      </c>
      <c r="M779" s="73"/>
      <c r="N779" s="171"/>
      <c r="O779" s="169" t="s">
        <v>3213</v>
      </c>
      <c r="P779" s="168" t="s">
        <v>5077</v>
      </c>
      <c r="Q779" s="173"/>
      <c r="R779" s="173"/>
      <c r="S779" s="167">
        <v>75000.0</v>
      </c>
      <c r="T779" s="167">
        <v>-6000.0</v>
      </c>
      <c r="U779" s="173"/>
      <c r="V779" s="202"/>
      <c r="W779" s="171"/>
      <c r="X779" s="169" t="s">
        <v>2915</v>
      </c>
    </row>
    <row r="780" ht="15.0" customHeight="1">
      <c r="A780" s="127">
        <v>45558.0</v>
      </c>
      <c r="B780" s="181" t="s">
        <v>5078</v>
      </c>
      <c r="C780" s="181" t="s">
        <v>3127</v>
      </c>
      <c r="D780" s="73" t="str">
        <f>IFERROR(VLOOKUP(C780,Stock,3,FALSE),"")</f>
        <v>Toyota Avanza / Xenia 03-11 1st Gen</v>
      </c>
      <c r="E780" s="56">
        <v>1.0</v>
      </c>
      <c r="F780" s="161">
        <v>900000.0</v>
      </c>
      <c r="G780" s="162">
        <f t="shared" si="14"/>
        <v>900000</v>
      </c>
      <c r="H780" s="194"/>
      <c r="I780" s="161">
        <f t="shared" si="11"/>
        <v>900000</v>
      </c>
      <c r="J780" s="164">
        <f t="shared" si="12"/>
        <v>900000</v>
      </c>
      <c r="K780" s="284" t="s">
        <v>5079</v>
      </c>
      <c r="L780" s="165" t="s">
        <v>5080</v>
      </c>
      <c r="M780" s="73"/>
      <c r="N780" s="289" t="s">
        <v>5081</v>
      </c>
      <c r="O780" s="169" t="s">
        <v>2958</v>
      </c>
      <c r="P780" s="168" t="s">
        <v>3112</v>
      </c>
      <c r="Q780" s="167">
        <v>900000.0</v>
      </c>
      <c r="R780" s="173"/>
      <c r="S780" s="173"/>
      <c r="T780" s="173"/>
      <c r="U780" s="173"/>
      <c r="V780" s="168" t="s">
        <v>3799</v>
      </c>
      <c r="W780" s="169"/>
      <c r="X780" s="181" t="s">
        <v>5074</v>
      </c>
    </row>
    <row r="781" ht="15.0" customHeight="1">
      <c r="A781" s="290">
        <v>45558.0</v>
      </c>
      <c r="B781" s="291" t="s">
        <v>5082</v>
      </c>
      <c r="C781" s="292" t="s">
        <v>2954</v>
      </c>
      <c r="D781" s="293" t="str">
        <f>IFERROR(VLOOKUP(C781,Stock,3,FALSE),"")</f>
        <v>Transport</v>
      </c>
      <c r="E781" s="292">
        <v>1.0</v>
      </c>
      <c r="F781" s="294">
        <v>600000.0</v>
      </c>
      <c r="G781" s="295">
        <f t="shared" si="14"/>
        <v>600000</v>
      </c>
      <c r="H781" s="296"/>
      <c r="I781" s="294">
        <f t="shared" si="11"/>
        <v>600000</v>
      </c>
      <c r="J781" s="297">
        <f t="shared" si="12"/>
        <v>600000</v>
      </c>
      <c r="K781" s="292" t="s">
        <v>5053</v>
      </c>
      <c r="L781" s="298" t="s">
        <v>5054</v>
      </c>
      <c r="M781" s="293"/>
      <c r="N781" s="299"/>
      <c r="O781" s="300" t="s">
        <v>3715</v>
      </c>
      <c r="P781" s="301" t="s">
        <v>3112</v>
      </c>
      <c r="Q781" s="302"/>
      <c r="R781" s="303">
        <v>600000.0</v>
      </c>
      <c r="S781" s="302"/>
      <c r="T781" s="302"/>
      <c r="U781" s="302"/>
      <c r="V781" s="301" t="s">
        <v>3883</v>
      </c>
      <c r="W781" s="300"/>
      <c r="X781" s="300">
        <v>711.0</v>
      </c>
    </row>
    <row r="782" ht="15.0" customHeight="1">
      <c r="A782" s="127">
        <v>45558.0</v>
      </c>
      <c r="B782" s="181" t="s">
        <v>5083</v>
      </c>
      <c r="C782" s="181" t="s">
        <v>5084</v>
      </c>
      <c r="D782" s="73" t="str">
        <f>IFERROR(VLOOKUP(C782,Stock,3,FALSE),"")</f>
        <v>Ford Lynx/Liata Mazda Lantis/Familia</v>
      </c>
      <c r="E782" s="56">
        <v>1.0</v>
      </c>
      <c r="F782" s="161">
        <v>1722000.0</v>
      </c>
      <c r="G782" s="162">
        <f t="shared" si="14"/>
        <v>1722000</v>
      </c>
      <c r="H782" s="194"/>
      <c r="I782" s="161">
        <f t="shared" si="11"/>
        <v>1722000</v>
      </c>
      <c r="J782" s="164">
        <f t="shared" si="12"/>
        <v>1722000</v>
      </c>
      <c r="K782" s="56" t="s">
        <v>5085</v>
      </c>
      <c r="L782" s="165" t="s">
        <v>5086</v>
      </c>
      <c r="M782" s="73"/>
      <c r="N782" s="171"/>
      <c r="O782" s="169" t="s">
        <v>3037</v>
      </c>
      <c r="P782" s="168" t="s">
        <v>3112</v>
      </c>
      <c r="Q782" s="173"/>
      <c r="R782" s="167">
        <v>1722000.0</v>
      </c>
      <c r="S782" s="173"/>
      <c r="T782" s="173"/>
      <c r="U782" s="173"/>
      <c r="V782" s="168" t="s">
        <v>3883</v>
      </c>
      <c r="W782" s="169"/>
      <c r="X782" s="169" t="s">
        <v>5087</v>
      </c>
    </row>
    <row r="783" ht="15.0" customHeight="1">
      <c r="A783" s="127">
        <v>45558.0</v>
      </c>
      <c r="B783" s="181" t="s">
        <v>5083</v>
      </c>
      <c r="C783" s="251" t="s">
        <v>2954</v>
      </c>
      <c r="D783" s="73" t="str">
        <f>IFERROR(VLOOKUP(C783,Stock,3,FALSE),"")</f>
        <v>Transport</v>
      </c>
      <c r="E783" s="56">
        <v>1.0</v>
      </c>
      <c r="F783" s="161">
        <v>150000.0</v>
      </c>
      <c r="G783" s="162">
        <f t="shared" si="14"/>
        <v>150000</v>
      </c>
      <c r="H783" s="194"/>
      <c r="I783" s="161">
        <f t="shared" si="11"/>
        <v>150000</v>
      </c>
      <c r="J783" s="164">
        <f t="shared" si="12"/>
        <v>150000</v>
      </c>
      <c r="K783" s="56" t="s">
        <v>5085</v>
      </c>
      <c r="L783" s="165" t="s">
        <v>5086</v>
      </c>
      <c r="M783" s="73"/>
      <c r="N783" s="171"/>
      <c r="O783" s="169" t="s">
        <v>3037</v>
      </c>
      <c r="P783" s="168" t="s">
        <v>3112</v>
      </c>
      <c r="Q783" s="173"/>
      <c r="R783" s="167">
        <v>150000.0</v>
      </c>
      <c r="S783" s="173"/>
      <c r="T783" s="173"/>
      <c r="U783" s="173"/>
      <c r="V783" s="168" t="s">
        <v>3883</v>
      </c>
      <c r="W783" s="169"/>
      <c r="X783" s="169" t="s">
        <v>4668</v>
      </c>
    </row>
    <row r="784" ht="15.0" customHeight="1">
      <c r="A784" s="127">
        <v>45559.0</v>
      </c>
      <c r="B784" s="181" t="s">
        <v>5088</v>
      </c>
      <c r="C784" s="181" t="s">
        <v>3290</v>
      </c>
      <c r="D784" s="73" t="str">
        <f>IFERROR(VLOOKUP(C784,Stock,3,FALSE),"")</f>
        <v>Toyota Innova 04-15 1st Gen</v>
      </c>
      <c r="E784" s="56">
        <v>1.0</v>
      </c>
      <c r="F784" s="161">
        <v>1449000.0</v>
      </c>
      <c r="G784" s="162">
        <f t="shared" si="14"/>
        <v>1449000</v>
      </c>
      <c r="H784" s="194"/>
      <c r="I784" s="161">
        <f t="shared" si="11"/>
        <v>1449000</v>
      </c>
      <c r="J784" s="164">
        <f t="shared" si="12"/>
        <v>1449000</v>
      </c>
      <c r="K784" s="284" t="s">
        <v>5089</v>
      </c>
      <c r="L784" s="165" t="s">
        <v>4315</v>
      </c>
      <c r="M784" s="73"/>
      <c r="N784" s="171"/>
      <c r="O784" s="169" t="s">
        <v>3204</v>
      </c>
      <c r="P784" s="168" t="s">
        <v>3112</v>
      </c>
      <c r="Q784" s="173"/>
      <c r="R784" s="167">
        <v>1449000.0</v>
      </c>
      <c r="S784" s="173"/>
      <c r="T784" s="173"/>
      <c r="U784" s="173"/>
      <c r="V784" s="168" t="s">
        <v>3799</v>
      </c>
      <c r="W784" s="169"/>
      <c r="X784" s="169" t="s">
        <v>4668</v>
      </c>
    </row>
    <row r="785" ht="15.0" customHeight="1">
      <c r="A785" s="127">
        <v>45559.0</v>
      </c>
      <c r="B785" s="181" t="s">
        <v>5088</v>
      </c>
      <c r="C785" s="251" t="s">
        <v>2954</v>
      </c>
      <c r="D785" s="73" t="str">
        <f>IFERROR(VLOOKUP(C785,Stock,3,FALSE),"")</f>
        <v>Transport</v>
      </c>
      <c r="E785" s="56">
        <v>1.0</v>
      </c>
      <c r="F785" s="161">
        <v>100000.0</v>
      </c>
      <c r="G785" s="162">
        <f t="shared" si="14"/>
        <v>100000</v>
      </c>
      <c r="H785" s="194"/>
      <c r="I785" s="161">
        <f t="shared" si="11"/>
        <v>100000</v>
      </c>
      <c r="J785" s="164">
        <f t="shared" si="12"/>
        <v>100000</v>
      </c>
      <c r="K785" s="284" t="s">
        <v>5089</v>
      </c>
      <c r="L785" s="165" t="s">
        <v>4315</v>
      </c>
      <c r="M785" s="73"/>
      <c r="N785" s="171"/>
      <c r="O785" s="169" t="s">
        <v>3204</v>
      </c>
      <c r="P785" s="168" t="s">
        <v>3112</v>
      </c>
      <c r="Q785" s="173"/>
      <c r="R785" s="167">
        <v>100000.0</v>
      </c>
      <c r="S785" s="173"/>
      <c r="T785" s="173"/>
      <c r="U785" s="173"/>
      <c r="V785" s="168" t="s">
        <v>3799</v>
      </c>
      <c r="W785" s="169"/>
      <c r="X785" s="169" t="s">
        <v>5090</v>
      </c>
    </row>
    <row r="786" ht="15.0" customHeight="1">
      <c r="A786" s="127">
        <v>45559.0</v>
      </c>
      <c r="B786" s="181" t="s">
        <v>5091</v>
      </c>
      <c r="C786" s="181" t="s">
        <v>3398</v>
      </c>
      <c r="D786" s="73" t="str">
        <f>IFERROR(VLOOKUP(C786,Stock,3,FALSE),"")</f>
        <v>Pemasangan Kaca Mobil Samping</v>
      </c>
      <c r="E786" s="56">
        <v>1.0</v>
      </c>
      <c r="F786" s="161">
        <v>300000.0</v>
      </c>
      <c r="G786" s="162">
        <f t="shared" si="14"/>
        <v>300000</v>
      </c>
      <c r="H786" s="194"/>
      <c r="I786" s="161">
        <f t="shared" si="11"/>
        <v>300000</v>
      </c>
      <c r="J786" s="164">
        <f t="shared" si="12"/>
        <v>300000</v>
      </c>
      <c r="K786" s="284" t="s">
        <v>5092</v>
      </c>
      <c r="L786" s="165" t="s">
        <v>5093</v>
      </c>
      <c r="M786" s="73"/>
      <c r="N786" s="171"/>
      <c r="O786" s="169" t="s">
        <v>3204</v>
      </c>
      <c r="P786" s="168" t="s">
        <v>3112</v>
      </c>
      <c r="Q786" s="167">
        <v>300000.0</v>
      </c>
      <c r="R786" s="173"/>
      <c r="S786" s="173"/>
      <c r="T786" s="173"/>
      <c r="U786" s="173"/>
      <c r="V786" s="168" t="s">
        <v>3799</v>
      </c>
      <c r="W786" s="169"/>
      <c r="X786" s="219">
        <v>45568.0</v>
      </c>
    </row>
    <row r="787" ht="15.0" customHeight="1">
      <c r="A787" s="127">
        <v>45559.0</v>
      </c>
      <c r="B787" s="181" t="s">
        <v>5094</v>
      </c>
      <c r="C787" s="56" t="s">
        <v>3817</v>
      </c>
      <c r="D787" s="73" t="str">
        <f>IFERROR(VLOOKUP(C787,Stock,3,FALSE),"")</f>
        <v>Suzuki APV 03- Pickup/ Van (MULIA)</v>
      </c>
      <c r="E787" s="56">
        <v>1.0</v>
      </c>
      <c r="F787" s="161">
        <v>1244000.0</v>
      </c>
      <c r="G787" s="162">
        <f t="shared" si="14"/>
        <v>1244000</v>
      </c>
      <c r="H787" s="194"/>
      <c r="I787" s="161">
        <f t="shared" si="11"/>
        <v>1244000</v>
      </c>
      <c r="J787" s="164">
        <f t="shared" si="12"/>
        <v>1244000</v>
      </c>
      <c r="K787" s="284" t="s">
        <v>5095</v>
      </c>
      <c r="L787" s="165" t="s">
        <v>5096</v>
      </c>
      <c r="M787" s="73"/>
      <c r="N787" s="169" t="s">
        <v>5097</v>
      </c>
      <c r="O787" s="169" t="s">
        <v>5098</v>
      </c>
      <c r="P787" s="168" t="s">
        <v>3112</v>
      </c>
      <c r="Q787" s="167">
        <v>1300000.0</v>
      </c>
      <c r="R787" s="173"/>
      <c r="S787" s="173"/>
      <c r="T787" s="173"/>
      <c r="U787" s="167">
        <v>56000.0</v>
      </c>
      <c r="V787" s="168" t="s">
        <v>3883</v>
      </c>
      <c r="W787" s="169"/>
      <c r="X787" s="219">
        <v>45568.0</v>
      </c>
    </row>
    <row r="788" ht="15.0" customHeight="1">
      <c r="A788" s="127">
        <v>45559.0</v>
      </c>
      <c r="B788" s="181" t="s">
        <v>5099</v>
      </c>
      <c r="C788" s="181" t="s">
        <v>5100</v>
      </c>
      <c r="D788" s="73" t="str">
        <f>IFERROR(VLOOKUP(C788,Stock,3,FALSE),"")</f>
        <v>Mitsubishi Pajero 20- (1 Sensor / □ ) (Mitsubishi)</v>
      </c>
      <c r="E788" s="56">
        <v>1.0</v>
      </c>
      <c r="F788" s="161">
        <v>3922000.0</v>
      </c>
      <c r="G788" s="162">
        <f t="shared" si="14"/>
        <v>3922000</v>
      </c>
      <c r="H788" s="194"/>
      <c r="I788" s="161">
        <f t="shared" si="11"/>
        <v>3922000</v>
      </c>
      <c r="J788" s="164">
        <f t="shared" si="12"/>
        <v>3922000</v>
      </c>
      <c r="K788" s="284" t="s">
        <v>5101</v>
      </c>
      <c r="L788" s="165" t="s">
        <v>5102</v>
      </c>
      <c r="M788" s="73"/>
      <c r="N788" s="169" t="s">
        <v>5103</v>
      </c>
      <c r="O788" s="169" t="s">
        <v>2958</v>
      </c>
      <c r="P788" s="168" t="s">
        <v>3112</v>
      </c>
      <c r="Q788" s="173"/>
      <c r="R788" s="167">
        <v>3922000.0</v>
      </c>
      <c r="S788" s="173"/>
      <c r="T788" s="173"/>
      <c r="U788" s="173"/>
      <c r="V788" s="168" t="s">
        <v>3883</v>
      </c>
      <c r="W788" s="169"/>
      <c r="X788" s="169" t="s">
        <v>5104</v>
      </c>
    </row>
    <row r="789" ht="15.0" customHeight="1">
      <c r="A789" s="127">
        <v>45559.0</v>
      </c>
      <c r="B789" s="181" t="s">
        <v>5099</v>
      </c>
      <c r="C789" s="251" t="s">
        <v>4027</v>
      </c>
      <c r="D789" s="73" t="str">
        <f>IFERROR(VLOOKUP(C789,Stock,3,FALSE),"")</f>
        <v>501 Sealant Application</v>
      </c>
      <c r="E789" s="56">
        <v>1.0</v>
      </c>
      <c r="F789" s="161">
        <v>100000.0</v>
      </c>
      <c r="G789" s="162">
        <f t="shared" si="14"/>
        <v>100000</v>
      </c>
      <c r="H789" s="194"/>
      <c r="I789" s="161">
        <f t="shared" si="11"/>
        <v>100000</v>
      </c>
      <c r="J789" s="164">
        <f t="shared" si="12"/>
        <v>100000</v>
      </c>
      <c r="K789" s="284" t="s">
        <v>5101</v>
      </c>
      <c r="L789" s="165" t="s">
        <v>5102</v>
      </c>
      <c r="M789" s="73"/>
      <c r="N789" s="169" t="s">
        <v>5103</v>
      </c>
      <c r="O789" s="169" t="s">
        <v>2958</v>
      </c>
      <c r="P789" s="168" t="s">
        <v>3112</v>
      </c>
      <c r="Q789" s="173"/>
      <c r="R789" s="167">
        <v>100000.0</v>
      </c>
      <c r="S789" s="173"/>
      <c r="T789" s="173"/>
      <c r="U789" s="173"/>
      <c r="V789" s="168" t="s">
        <v>3883</v>
      </c>
      <c r="W789" s="169"/>
      <c r="X789" s="169" t="s">
        <v>4668</v>
      </c>
    </row>
    <row r="790" ht="15.0" customHeight="1">
      <c r="A790" s="127">
        <v>45560.0</v>
      </c>
      <c r="B790" s="181" t="s">
        <v>5105</v>
      </c>
      <c r="C790" s="56" t="s">
        <v>3033</v>
      </c>
      <c r="D790" s="73" t="str">
        <f>IFERROR(VLOOKUP(C790,Stock,3,FALSE),"")</f>
        <v>Toyota Innova 04-15 1st Gen</v>
      </c>
      <c r="E790" s="56">
        <v>1.0</v>
      </c>
      <c r="F790" s="161">
        <v>1392000.0</v>
      </c>
      <c r="G790" s="162">
        <f t="shared" si="14"/>
        <v>1392000</v>
      </c>
      <c r="H790" s="194"/>
      <c r="I790" s="161">
        <f t="shared" si="11"/>
        <v>1392000</v>
      </c>
      <c r="J790" s="164">
        <f t="shared" si="12"/>
        <v>1392000</v>
      </c>
      <c r="K790" s="56" t="s">
        <v>4741</v>
      </c>
      <c r="L790" s="165" t="s">
        <v>5106</v>
      </c>
      <c r="M790" s="73"/>
      <c r="N790" s="171"/>
      <c r="O790" s="169" t="s">
        <v>2958</v>
      </c>
      <c r="P790" s="168" t="s">
        <v>3112</v>
      </c>
      <c r="Q790" s="167">
        <v>1402000.0</v>
      </c>
      <c r="R790" s="173"/>
      <c r="S790" s="173"/>
      <c r="T790" s="173"/>
      <c r="U790" s="167">
        <v>10000.0</v>
      </c>
      <c r="V790" s="168" t="s">
        <v>3883</v>
      </c>
      <c r="W790" s="169"/>
      <c r="X790" s="219">
        <v>45568.0</v>
      </c>
    </row>
    <row r="791" ht="15.0" customHeight="1">
      <c r="A791" s="127">
        <v>45560.0</v>
      </c>
      <c r="B791" s="181" t="s">
        <v>5107</v>
      </c>
      <c r="C791" s="181" t="s">
        <v>5108</v>
      </c>
      <c r="D791" s="73" t="str">
        <f>IFERROR(VLOOKUP(C791,Stock,3,FALSE),"")</f>
        <v>Honda Stream 00-06 S7A/RN1</v>
      </c>
      <c r="E791" s="56">
        <v>1.0</v>
      </c>
      <c r="F791" s="161">
        <v>2040000.0</v>
      </c>
      <c r="G791" s="162">
        <f t="shared" si="14"/>
        <v>2040000</v>
      </c>
      <c r="H791" s="194"/>
      <c r="I791" s="161">
        <f t="shared" si="11"/>
        <v>2040000</v>
      </c>
      <c r="J791" s="164">
        <f t="shared" si="12"/>
        <v>2040000</v>
      </c>
      <c r="K791" s="284" t="s">
        <v>5109</v>
      </c>
      <c r="L791" s="165" t="s">
        <v>5110</v>
      </c>
      <c r="M791" s="73"/>
      <c r="N791" s="171"/>
      <c r="O791" s="169" t="s">
        <v>2958</v>
      </c>
      <c r="P791" s="168" t="s">
        <v>3112</v>
      </c>
      <c r="Q791" s="173"/>
      <c r="R791" s="167">
        <v>2040000.0</v>
      </c>
      <c r="S791" s="173"/>
      <c r="T791" s="173"/>
      <c r="U791" s="173"/>
      <c r="V791" s="168" t="s">
        <v>3799</v>
      </c>
      <c r="W791" s="169"/>
      <c r="X791" s="169" t="s">
        <v>4668</v>
      </c>
    </row>
    <row r="792" ht="15.0" customHeight="1">
      <c r="A792" s="127">
        <v>45560.0</v>
      </c>
      <c r="B792" s="181" t="s">
        <v>5107</v>
      </c>
      <c r="C792" s="251" t="s">
        <v>2954</v>
      </c>
      <c r="D792" s="73" t="str">
        <f>IFERROR(VLOOKUP(C792,Stock,3,FALSE),"")</f>
        <v>Transport</v>
      </c>
      <c r="E792" s="56">
        <v>1.0</v>
      </c>
      <c r="F792" s="161">
        <v>50000.0</v>
      </c>
      <c r="G792" s="162">
        <f t="shared" si="14"/>
        <v>50000</v>
      </c>
      <c r="H792" s="194"/>
      <c r="I792" s="161">
        <f t="shared" si="11"/>
        <v>50000</v>
      </c>
      <c r="J792" s="164">
        <f t="shared" si="12"/>
        <v>50000</v>
      </c>
      <c r="K792" s="284" t="s">
        <v>5109</v>
      </c>
      <c r="L792" s="165" t="s">
        <v>5110</v>
      </c>
      <c r="M792" s="73"/>
      <c r="N792" s="171"/>
      <c r="O792" s="169" t="s">
        <v>2958</v>
      </c>
      <c r="P792" s="168" t="s">
        <v>3112</v>
      </c>
      <c r="Q792" s="173"/>
      <c r="R792" s="167">
        <v>50000.0</v>
      </c>
      <c r="S792" s="173"/>
      <c r="T792" s="173"/>
      <c r="U792" s="173"/>
      <c r="V792" s="168" t="s">
        <v>3799</v>
      </c>
      <c r="W792" s="169"/>
      <c r="X792" s="169" t="s">
        <v>4668</v>
      </c>
    </row>
    <row r="793" ht="15.0" customHeight="1">
      <c r="A793" s="127">
        <v>45561.0</v>
      </c>
      <c r="B793" s="181" t="s">
        <v>5111</v>
      </c>
      <c r="C793" s="251" t="s">
        <v>3045</v>
      </c>
      <c r="D793" s="73" t="str">
        <f>IFERROR(VLOOKUP(C793,Stock,3,FALSE),"")</f>
        <v>Pemasangan Kaca Mobil Depan</v>
      </c>
      <c r="E793" s="56">
        <v>1.0</v>
      </c>
      <c r="F793" s="161">
        <v>450000.0</v>
      </c>
      <c r="G793" s="162">
        <f t="shared" si="14"/>
        <v>450000</v>
      </c>
      <c r="H793" s="194"/>
      <c r="I793" s="161">
        <f t="shared" si="11"/>
        <v>450000</v>
      </c>
      <c r="J793" s="164">
        <f t="shared" si="12"/>
        <v>450000</v>
      </c>
      <c r="K793" s="56" t="s">
        <v>5112</v>
      </c>
      <c r="L793" s="165" t="s">
        <v>5113</v>
      </c>
      <c r="M793" s="73"/>
      <c r="N793" s="171"/>
      <c r="O793" s="169" t="s">
        <v>3213</v>
      </c>
      <c r="P793" s="168" t="s">
        <v>4002</v>
      </c>
      <c r="Q793" s="167">
        <v>450000.0</v>
      </c>
      <c r="R793" s="173"/>
      <c r="S793" s="173"/>
      <c r="T793" s="173"/>
      <c r="U793" s="173"/>
      <c r="V793" s="168" t="s">
        <v>3883</v>
      </c>
      <c r="W793" s="169"/>
      <c r="X793" s="219">
        <v>45568.0</v>
      </c>
    </row>
    <row r="794" ht="15.0" customHeight="1">
      <c r="A794" s="127">
        <v>45561.0</v>
      </c>
      <c r="B794" s="181" t="s">
        <v>5111</v>
      </c>
      <c r="C794" s="251" t="s">
        <v>2954</v>
      </c>
      <c r="D794" s="73" t="str">
        <f>IFERROR(VLOOKUP(C794,Stock,3,FALSE),"")</f>
        <v>Transport</v>
      </c>
      <c r="E794" s="56">
        <v>1.0</v>
      </c>
      <c r="F794" s="161">
        <v>50000.0</v>
      </c>
      <c r="G794" s="162">
        <f t="shared" si="14"/>
        <v>50000</v>
      </c>
      <c r="H794" s="194"/>
      <c r="I794" s="161">
        <f t="shared" si="11"/>
        <v>50000</v>
      </c>
      <c r="J794" s="164">
        <f t="shared" si="12"/>
        <v>50000</v>
      </c>
      <c r="K794" s="56" t="s">
        <v>5112</v>
      </c>
      <c r="L794" s="165" t="s">
        <v>5113</v>
      </c>
      <c r="M794" s="73"/>
      <c r="N794" s="171"/>
      <c r="O794" s="169" t="s">
        <v>3213</v>
      </c>
      <c r="P794" s="168" t="s">
        <v>4002</v>
      </c>
      <c r="Q794" s="167">
        <v>50000.0</v>
      </c>
      <c r="R794" s="173"/>
      <c r="S794" s="173"/>
      <c r="T794" s="173"/>
      <c r="U794" s="173"/>
      <c r="V794" s="168" t="s">
        <v>3883</v>
      </c>
      <c r="W794" s="169"/>
      <c r="X794" s="219">
        <v>45568.0</v>
      </c>
    </row>
    <row r="795" ht="15.0" customHeight="1">
      <c r="A795" s="218">
        <v>45561.0</v>
      </c>
      <c r="B795" s="181" t="s">
        <v>5114</v>
      </c>
      <c r="C795" s="56" t="s">
        <v>2730</v>
      </c>
      <c r="D795" s="73" t="str">
        <f>IFERROR(VLOOKUP(C795,Stock,3,FALSE),"")</f>
        <v>Honda HR-V 14-21 5D SUV (Honda)</v>
      </c>
      <c r="E795" s="56">
        <v>1.0</v>
      </c>
      <c r="F795" s="161">
        <v>3056000.0</v>
      </c>
      <c r="G795" s="162">
        <f t="shared" si="14"/>
        <v>3056000</v>
      </c>
      <c r="H795" s="194"/>
      <c r="I795" s="161">
        <f t="shared" si="11"/>
        <v>3056000</v>
      </c>
      <c r="J795" s="164">
        <f t="shared" si="12"/>
        <v>3056000</v>
      </c>
      <c r="K795" s="56" t="s">
        <v>5115</v>
      </c>
      <c r="L795" s="165" t="s">
        <v>5116</v>
      </c>
      <c r="M795" s="73"/>
      <c r="N795" s="169" t="s">
        <v>5117</v>
      </c>
      <c r="O795" s="169" t="s">
        <v>3213</v>
      </c>
      <c r="P795" s="168" t="s">
        <v>4002</v>
      </c>
      <c r="Q795" s="167">
        <v>3056000.0</v>
      </c>
      <c r="R795" s="173"/>
      <c r="S795" s="173"/>
      <c r="T795" s="173"/>
      <c r="U795" s="173"/>
      <c r="V795" s="168" t="s">
        <v>3883</v>
      </c>
      <c r="W795" s="169"/>
      <c r="X795" s="219">
        <v>45568.0</v>
      </c>
    </row>
    <row r="796" ht="15.0" customHeight="1">
      <c r="A796" s="127">
        <v>45562.0</v>
      </c>
      <c r="B796" s="181" t="s">
        <v>5118</v>
      </c>
      <c r="C796" s="251" t="s">
        <v>3360</v>
      </c>
      <c r="D796" s="73" t="str">
        <f>IFERROR(VLOOKUP(C796,Stock,3,FALSE),"")</f>
        <v>Mitsubishi Xpander 17-</v>
      </c>
      <c r="E796" s="56">
        <v>1.0</v>
      </c>
      <c r="F796" s="161">
        <v>1800000.0</v>
      </c>
      <c r="G796" s="162">
        <f t="shared" si="14"/>
        <v>1800000</v>
      </c>
      <c r="H796" s="201">
        <v>80000.0</v>
      </c>
      <c r="I796" s="161">
        <f t="shared" si="11"/>
        <v>1720000</v>
      </c>
      <c r="J796" s="164">
        <f t="shared" si="12"/>
        <v>1720000</v>
      </c>
      <c r="K796" s="284" t="s">
        <v>5119</v>
      </c>
      <c r="L796" s="165" t="s">
        <v>3431</v>
      </c>
      <c r="M796" s="73"/>
      <c r="N796" s="289" t="s">
        <v>5120</v>
      </c>
      <c r="O796" s="169" t="s">
        <v>3204</v>
      </c>
      <c r="P796" s="168" t="s">
        <v>3112</v>
      </c>
      <c r="Q796" s="167">
        <v>1720000.0</v>
      </c>
      <c r="R796" s="173"/>
      <c r="S796" s="173"/>
      <c r="T796" s="173"/>
      <c r="U796" s="173"/>
      <c r="V796" s="168" t="s">
        <v>3799</v>
      </c>
      <c r="W796" s="169"/>
      <c r="X796" s="219">
        <v>45568.0</v>
      </c>
    </row>
    <row r="797" ht="15.0" customHeight="1">
      <c r="A797" s="127">
        <v>45562.0</v>
      </c>
      <c r="B797" s="181" t="s">
        <v>5121</v>
      </c>
      <c r="C797" s="56" t="s">
        <v>2829</v>
      </c>
      <c r="D797" s="73" t="str">
        <f>IFERROR(VLOOKUP(C797,Stock,3,FALSE),"")</f>
        <v>Daihatsu Gran Max / Luxio 07-</v>
      </c>
      <c r="E797" s="56">
        <v>1.0</v>
      </c>
      <c r="F797" s="161">
        <v>450000.0</v>
      </c>
      <c r="G797" s="162">
        <f t="shared" si="14"/>
        <v>450000</v>
      </c>
      <c r="H797" s="194"/>
      <c r="I797" s="161">
        <f t="shared" si="11"/>
        <v>450000</v>
      </c>
      <c r="J797" s="164">
        <f t="shared" si="12"/>
        <v>450000</v>
      </c>
      <c r="K797" s="284" t="s">
        <v>5122</v>
      </c>
      <c r="L797" s="165" t="s">
        <v>5123</v>
      </c>
      <c r="M797" s="56" t="s">
        <v>5124</v>
      </c>
      <c r="N797" s="169" t="s">
        <v>5125</v>
      </c>
      <c r="O797" s="169" t="s">
        <v>2958</v>
      </c>
      <c r="P797" s="168" t="s">
        <v>3011</v>
      </c>
      <c r="Q797" s="173"/>
      <c r="R797" s="167">
        <v>450000.0</v>
      </c>
      <c r="S797" s="173"/>
      <c r="T797" s="173"/>
      <c r="U797" s="173"/>
      <c r="V797" s="168" t="s">
        <v>3799</v>
      </c>
      <c r="W797" s="169"/>
      <c r="X797" s="169" t="s">
        <v>4668</v>
      </c>
    </row>
    <row r="798" ht="15.0" customHeight="1">
      <c r="A798" s="127">
        <v>45562.0</v>
      </c>
      <c r="B798" s="181" t="s">
        <v>5126</v>
      </c>
      <c r="C798" s="251" t="s">
        <v>2617</v>
      </c>
      <c r="D798" s="73" t="str">
        <f>IFERROR(VLOOKUP(C798,Stock,3,FALSE),"")</f>
        <v>Mitsubishi Pajero 16- (Mitsubishi)</v>
      </c>
      <c r="E798" s="56">
        <v>1.0</v>
      </c>
      <c r="F798" s="161">
        <v>3299000.0</v>
      </c>
      <c r="G798" s="162">
        <f t="shared" si="14"/>
        <v>3299000</v>
      </c>
      <c r="H798" s="194"/>
      <c r="I798" s="161">
        <f t="shared" si="11"/>
        <v>3299000</v>
      </c>
      <c r="J798" s="164">
        <f t="shared" si="12"/>
        <v>3299000</v>
      </c>
      <c r="K798" s="56" t="s">
        <v>5127</v>
      </c>
      <c r="L798" s="165" t="s">
        <v>5128</v>
      </c>
      <c r="M798" s="73"/>
      <c r="N798" s="171"/>
      <c r="O798" s="169" t="s">
        <v>2958</v>
      </c>
      <c r="P798" s="168" t="s">
        <v>3112</v>
      </c>
      <c r="Q798" s="173"/>
      <c r="R798" s="167">
        <v>3299000.0</v>
      </c>
      <c r="S798" s="173"/>
      <c r="T798" s="173"/>
      <c r="U798" s="173"/>
      <c r="V798" s="168" t="s">
        <v>3883</v>
      </c>
      <c r="W798" s="169"/>
      <c r="X798" s="169" t="s">
        <v>5129</v>
      </c>
    </row>
    <row r="799" ht="15.0" customHeight="1">
      <c r="A799" s="127">
        <v>45562.0</v>
      </c>
      <c r="B799" s="181" t="s">
        <v>5126</v>
      </c>
      <c r="C799" s="251" t="s">
        <v>2954</v>
      </c>
      <c r="D799" s="73" t="str">
        <f>IFERROR(VLOOKUP(C799,Stock,3,FALSE),"")</f>
        <v>Transport</v>
      </c>
      <c r="E799" s="56">
        <v>1.0</v>
      </c>
      <c r="F799" s="161">
        <v>75000.0</v>
      </c>
      <c r="G799" s="162">
        <f t="shared" si="14"/>
        <v>75000</v>
      </c>
      <c r="H799" s="194"/>
      <c r="I799" s="161">
        <f t="shared" si="11"/>
        <v>75000</v>
      </c>
      <c r="J799" s="164">
        <f t="shared" si="12"/>
        <v>75000</v>
      </c>
      <c r="K799" s="56" t="s">
        <v>5127</v>
      </c>
      <c r="L799" s="165" t="s">
        <v>5128</v>
      </c>
      <c r="M799" s="73"/>
      <c r="N799" s="171"/>
      <c r="O799" s="169" t="s">
        <v>2958</v>
      </c>
      <c r="P799" s="168" t="s">
        <v>3112</v>
      </c>
      <c r="Q799" s="173"/>
      <c r="R799" s="167">
        <v>75000.0</v>
      </c>
      <c r="S799" s="173"/>
      <c r="T799" s="173"/>
      <c r="U799" s="173"/>
      <c r="V799" s="168" t="s">
        <v>3883</v>
      </c>
      <c r="W799" s="169"/>
      <c r="X799" s="169" t="s">
        <v>4668</v>
      </c>
    </row>
    <row r="800" ht="15.0" customHeight="1">
      <c r="A800" s="127">
        <v>45563.0</v>
      </c>
      <c r="B800" s="181" t="s">
        <v>5130</v>
      </c>
      <c r="C800" s="251" t="s">
        <v>2671</v>
      </c>
      <c r="D800" s="73" t="str">
        <f>IFERROR(VLOOKUP(C800,Stock,3,FALSE),"")</f>
        <v>Isuzu D-Max 02-12 1st Gen</v>
      </c>
      <c r="E800" s="56">
        <v>1.0</v>
      </c>
      <c r="F800" s="161">
        <v>1539000.0</v>
      </c>
      <c r="G800" s="162">
        <f t="shared" si="14"/>
        <v>1539000</v>
      </c>
      <c r="H800" s="201">
        <v>39000.0</v>
      </c>
      <c r="I800" s="161">
        <f t="shared" si="11"/>
        <v>1500000</v>
      </c>
      <c r="J800" s="164">
        <f t="shared" si="12"/>
        <v>1500000</v>
      </c>
      <c r="K800" s="56" t="s">
        <v>5131</v>
      </c>
      <c r="L800" s="165" t="s">
        <v>5132</v>
      </c>
      <c r="M800" s="73"/>
      <c r="N800" s="171"/>
      <c r="O800" s="169" t="s">
        <v>2958</v>
      </c>
      <c r="P800" s="168" t="s">
        <v>3112</v>
      </c>
      <c r="Q800" s="173"/>
      <c r="R800" s="167">
        <v>1500000.0</v>
      </c>
      <c r="S800" s="173"/>
      <c r="T800" s="173"/>
      <c r="U800" s="173"/>
      <c r="V800" s="168" t="s">
        <v>3883</v>
      </c>
      <c r="W800" s="169"/>
      <c r="X800" s="169" t="s">
        <v>5133</v>
      </c>
    </row>
    <row r="801" ht="15.0" customHeight="1">
      <c r="A801" s="127">
        <v>45563.0</v>
      </c>
      <c r="B801" s="181" t="s">
        <v>5130</v>
      </c>
      <c r="C801" s="251" t="s">
        <v>5134</v>
      </c>
      <c r="D801" s="73" t="str">
        <f>IFERROR(VLOOKUP(C801,Stock,3,FALSE),"")</f>
        <v>Isuzu D-Max 02-12 1st Gen</v>
      </c>
      <c r="E801" s="56">
        <v>1.0</v>
      </c>
      <c r="F801" s="161">
        <v>1378000.0</v>
      </c>
      <c r="G801" s="162">
        <f t="shared" si="14"/>
        <v>1378000</v>
      </c>
      <c r="H801" s="194"/>
      <c r="I801" s="161">
        <f t="shared" si="11"/>
        <v>1378000</v>
      </c>
      <c r="J801" s="164">
        <f t="shared" si="12"/>
        <v>1378000</v>
      </c>
      <c r="K801" s="56" t="s">
        <v>5131</v>
      </c>
      <c r="L801" s="165" t="s">
        <v>5132</v>
      </c>
      <c r="M801" s="73"/>
      <c r="N801" s="171"/>
      <c r="O801" s="169" t="s">
        <v>2958</v>
      </c>
      <c r="P801" s="168" t="s">
        <v>3112</v>
      </c>
      <c r="Q801" s="173"/>
      <c r="R801" s="173"/>
      <c r="S801" s="173"/>
      <c r="T801" s="173"/>
      <c r="U801" s="173"/>
      <c r="V801" s="168" t="s">
        <v>3883</v>
      </c>
      <c r="W801" s="169"/>
      <c r="X801" s="169" t="s">
        <v>5133</v>
      </c>
    </row>
    <row r="802" ht="15.0" customHeight="1">
      <c r="A802" s="127">
        <v>45563.0</v>
      </c>
      <c r="B802" s="181" t="s">
        <v>5130</v>
      </c>
      <c r="C802" s="169" t="s">
        <v>5135</v>
      </c>
      <c r="D802" s="73" t="str">
        <f>IFERROR(VLOOKUP(C802,Stock,3,FALSE),"")</f>
        <v>Isuzu D-Max 02-12 1st Gen</v>
      </c>
      <c r="E802" s="56">
        <v>1.0</v>
      </c>
      <c r="F802" s="161">
        <v>765000.0</v>
      </c>
      <c r="G802" s="162">
        <f t="shared" si="14"/>
        <v>765000</v>
      </c>
      <c r="H802" s="194"/>
      <c r="I802" s="161">
        <f t="shared" si="11"/>
        <v>765000</v>
      </c>
      <c r="J802" s="164">
        <f t="shared" si="12"/>
        <v>765000</v>
      </c>
      <c r="K802" s="56" t="s">
        <v>5131</v>
      </c>
      <c r="L802" s="165" t="s">
        <v>5132</v>
      </c>
      <c r="M802" s="73"/>
      <c r="N802" s="171"/>
      <c r="O802" s="169" t="s">
        <v>2958</v>
      </c>
      <c r="P802" s="168" t="s">
        <v>3112</v>
      </c>
      <c r="Q802" s="173"/>
      <c r="R802" s="173"/>
      <c r="S802" s="173"/>
      <c r="T802" s="173"/>
      <c r="U802" s="173"/>
      <c r="V802" s="168" t="s">
        <v>3883</v>
      </c>
      <c r="W802" s="169"/>
      <c r="X802" s="169" t="s">
        <v>5133</v>
      </c>
    </row>
    <row r="803" ht="15.0" customHeight="1">
      <c r="A803" s="127">
        <v>45563.0</v>
      </c>
      <c r="B803" s="181" t="s">
        <v>5130</v>
      </c>
      <c r="C803" s="169" t="s">
        <v>5136</v>
      </c>
      <c r="D803" s="73" t="str">
        <f>IFERROR(VLOOKUP(C803,Stock,3,FALSE),"")</f>
        <v>Isuzu D-Max 02-12 1st Gen</v>
      </c>
      <c r="E803" s="56">
        <v>1.0</v>
      </c>
      <c r="F803" s="161">
        <v>998000.0</v>
      </c>
      <c r="G803" s="162">
        <f t="shared" si="14"/>
        <v>998000</v>
      </c>
      <c r="H803" s="194"/>
      <c r="I803" s="161">
        <f t="shared" si="11"/>
        <v>998000</v>
      </c>
      <c r="J803" s="164">
        <f t="shared" si="12"/>
        <v>998000</v>
      </c>
      <c r="K803" s="56" t="s">
        <v>5131</v>
      </c>
      <c r="L803" s="165" t="s">
        <v>5132</v>
      </c>
      <c r="M803" s="73"/>
      <c r="N803" s="171"/>
      <c r="O803" s="169" t="s">
        <v>2958</v>
      </c>
      <c r="P803" s="168" t="s">
        <v>3112</v>
      </c>
      <c r="Q803" s="173"/>
      <c r="R803" s="173"/>
      <c r="S803" s="173"/>
      <c r="T803" s="173"/>
      <c r="U803" s="173"/>
      <c r="V803" s="168" t="s">
        <v>3883</v>
      </c>
      <c r="W803" s="169"/>
      <c r="X803" s="169" t="s">
        <v>5133</v>
      </c>
    </row>
    <row r="804" ht="15.0" customHeight="1">
      <c r="A804" s="127">
        <v>45563.0</v>
      </c>
      <c r="B804" s="181" t="s">
        <v>5130</v>
      </c>
      <c r="C804" s="304" t="s">
        <v>5137</v>
      </c>
      <c r="D804" s="73" t="str">
        <f>IFERROR(VLOOKUP(C804,Stock,3,FALSE),"")</f>
        <v>Isuzu D-Max 02-12 1st Gen</v>
      </c>
      <c r="E804" s="56">
        <v>1.0</v>
      </c>
      <c r="F804" s="161">
        <v>998000.0</v>
      </c>
      <c r="G804" s="162">
        <f t="shared" si="14"/>
        <v>998000</v>
      </c>
      <c r="H804" s="194"/>
      <c r="I804" s="161">
        <f t="shared" si="11"/>
        <v>998000</v>
      </c>
      <c r="J804" s="164">
        <f t="shared" si="12"/>
        <v>998000</v>
      </c>
      <c r="K804" s="56" t="s">
        <v>5131</v>
      </c>
      <c r="L804" s="165" t="s">
        <v>5132</v>
      </c>
      <c r="M804" s="73"/>
      <c r="N804" s="171"/>
      <c r="O804" s="169" t="s">
        <v>2958</v>
      </c>
      <c r="P804" s="168" t="s">
        <v>3112</v>
      </c>
      <c r="Q804" s="173"/>
      <c r="R804" s="173"/>
      <c r="S804" s="173"/>
      <c r="T804" s="173"/>
      <c r="U804" s="173"/>
      <c r="V804" s="168" t="s">
        <v>3883</v>
      </c>
      <c r="W804" s="169"/>
      <c r="X804" s="169" t="s">
        <v>5133</v>
      </c>
    </row>
    <row r="805" ht="15.0" customHeight="1">
      <c r="A805" s="127">
        <v>45563.0</v>
      </c>
      <c r="B805" s="181" t="s">
        <v>5130</v>
      </c>
      <c r="C805" s="175" t="s">
        <v>2934</v>
      </c>
      <c r="D805" s="73" t="str">
        <f>IFERROR(VLOOKUP(C805,Stock,3,FALSE),"")</f>
        <v>Peti Kayu</v>
      </c>
      <c r="E805" s="56">
        <v>1.0</v>
      </c>
      <c r="F805" s="161">
        <v>160000.0</v>
      </c>
      <c r="G805" s="162">
        <f t="shared" si="14"/>
        <v>160000</v>
      </c>
      <c r="H805" s="194"/>
      <c r="I805" s="161">
        <f t="shared" si="11"/>
        <v>160000</v>
      </c>
      <c r="J805" s="164">
        <f t="shared" si="12"/>
        <v>160000</v>
      </c>
      <c r="K805" s="56" t="s">
        <v>5131</v>
      </c>
      <c r="L805" s="165" t="s">
        <v>5132</v>
      </c>
      <c r="M805" s="73"/>
      <c r="N805" s="171"/>
      <c r="O805" s="169" t="s">
        <v>2958</v>
      </c>
      <c r="P805" s="168" t="s">
        <v>3112</v>
      </c>
      <c r="Q805" s="173"/>
      <c r="R805" s="173"/>
      <c r="S805" s="173"/>
      <c r="T805" s="173"/>
      <c r="U805" s="173"/>
      <c r="V805" s="168" t="s">
        <v>3883</v>
      </c>
      <c r="W805" s="169"/>
      <c r="X805" s="169" t="s">
        <v>5133</v>
      </c>
    </row>
    <row r="806" ht="15.0" customHeight="1">
      <c r="A806" s="127">
        <v>45563.0</v>
      </c>
      <c r="B806" s="181" t="s">
        <v>5138</v>
      </c>
      <c r="C806" s="56" t="s">
        <v>3068</v>
      </c>
      <c r="D806" s="73" t="str">
        <f>IFERROR(VLOOKUP(C806,Stock,3,FALSE),"")</f>
        <v>Honda Brio 10- / Mobilio 11-</v>
      </c>
      <c r="E806" s="56">
        <v>1.0</v>
      </c>
      <c r="F806" s="161">
        <v>1442000.0</v>
      </c>
      <c r="G806" s="162">
        <f t="shared" si="14"/>
        <v>1442000</v>
      </c>
      <c r="H806" s="194"/>
      <c r="I806" s="161">
        <f t="shared" si="11"/>
        <v>1442000</v>
      </c>
      <c r="J806" s="164">
        <f t="shared" si="12"/>
        <v>1442000</v>
      </c>
      <c r="K806" s="56" t="s">
        <v>5139</v>
      </c>
      <c r="L806" s="165" t="s">
        <v>5140</v>
      </c>
      <c r="M806" s="73"/>
      <c r="N806" s="171"/>
      <c r="O806" s="169" t="s">
        <v>2958</v>
      </c>
      <c r="P806" s="168" t="s">
        <v>3112</v>
      </c>
      <c r="Q806" s="173"/>
      <c r="R806" s="167">
        <v>1442000.0</v>
      </c>
      <c r="S806" s="173"/>
      <c r="T806" s="173"/>
      <c r="U806" s="173"/>
      <c r="V806" s="168" t="s">
        <v>3883</v>
      </c>
      <c r="W806" s="169"/>
      <c r="X806" s="169" t="s">
        <v>4668</v>
      </c>
    </row>
    <row r="807" ht="15.0" customHeight="1">
      <c r="A807" s="127">
        <v>45564.0</v>
      </c>
      <c r="B807" s="181" t="s">
        <v>5141</v>
      </c>
      <c r="C807" s="56" t="s">
        <v>3176</v>
      </c>
      <c r="D807" s="73" t="str">
        <f>IFERROR(VLOOKUP(C807,Stock,3,FALSE),"")</f>
        <v>Toyota Avanza / Xenia 11-15 2nd Gen / 15-21 3rd Gen</v>
      </c>
      <c r="E807" s="56">
        <v>1.0</v>
      </c>
      <c r="F807" s="161">
        <v>880000.0</v>
      </c>
      <c r="G807" s="162">
        <f t="shared" si="14"/>
        <v>880000</v>
      </c>
      <c r="H807" s="201">
        <v>30000.0</v>
      </c>
      <c r="I807" s="161">
        <f t="shared" si="11"/>
        <v>850000</v>
      </c>
      <c r="J807" s="164">
        <f t="shared" si="12"/>
        <v>850000</v>
      </c>
      <c r="K807" s="56" t="s">
        <v>5142</v>
      </c>
      <c r="L807" s="165" t="s">
        <v>5143</v>
      </c>
      <c r="M807" s="73"/>
      <c r="N807" s="171"/>
      <c r="O807" s="169" t="s">
        <v>2958</v>
      </c>
      <c r="P807" s="168" t="s">
        <v>3112</v>
      </c>
      <c r="Q807" s="173"/>
      <c r="R807" s="167">
        <v>850000.0</v>
      </c>
      <c r="S807" s="173"/>
      <c r="T807" s="173"/>
      <c r="U807" s="173"/>
      <c r="V807" s="168" t="s">
        <v>3883</v>
      </c>
      <c r="W807" s="169"/>
      <c r="X807" s="169" t="s">
        <v>4668</v>
      </c>
    </row>
    <row r="808" ht="15.0" customHeight="1">
      <c r="A808" s="127">
        <v>45564.0</v>
      </c>
      <c r="B808" s="181" t="s">
        <v>5144</v>
      </c>
      <c r="C808" s="56" t="s">
        <v>5145</v>
      </c>
      <c r="D808" s="73" t="str">
        <f>IFERROR(VLOOKUP(C808,Stock,3,FALSE),"")</f>
        <v>Toyota Avanza / Xenia 11-15 2nd Gen / 15-21 3rd Gen</v>
      </c>
      <c r="E808" s="56">
        <v>1.0</v>
      </c>
      <c r="F808" s="161">
        <v>450000.0</v>
      </c>
      <c r="G808" s="162">
        <f t="shared" si="14"/>
        <v>450000</v>
      </c>
      <c r="H808" s="194"/>
      <c r="I808" s="161">
        <f t="shared" si="11"/>
        <v>450000</v>
      </c>
      <c r="J808" s="164">
        <f t="shared" si="12"/>
        <v>450000</v>
      </c>
      <c r="K808" s="56" t="s">
        <v>5146</v>
      </c>
      <c r="L808" s="165" t="s">
        <v>5147</v>
      </c>
      <c r="M808" s="73"/>
      <c r="N808" s="171"/>
      <c r="O808" s="169" t="s">
        <v>2958</v>
      </c>
      <c r="P808" s="168" t="s">
        <v>3112</v>
      </c>
      <c r="Q808" s="173"/>
      <c r="R808" s="167">
        <v>450000.0</v>
      </c>
      <c r="S808" s="173"/>
      <c r="T808" s="173"/>
      <c r="U808" s="173"/>
      <c r="V808" s="168" t="s">
        <v>3883</v>
      </c>
      <c r="W808" s="169"/>
      <c r="X808" s="169" t="s">
        <v>4668</v>
      </c>
    </row>
    <row r="809" ht="15.0" customHeight="1">
      <c r="A809" s="127">
        <v>45564.0</v>
      </c>
      <c r="B809" s="181" t="s">
        <v>5148</v>
      </c>
      <c r="C809" s="56" t="s">
        <v>2919</v>
      </c>
      <c r="D809" s="73" t="str">
        <f>IFERROR(VLOOKUP(C809,Stock,3,FALSE),"")</f>
        <v>Toyota Innova 04-15 1st Gen</v>
      </c>
      <c r="E809" s="56">
        <v>1.0</v>
      </c>
      <c r="F809" s="161">
        <v>2640000.0</v>
      </c>
      <c r="G809" s="162">
        <f t="shared" si="14"/>
        <v>2640000</v>
      </c>
      <c r="H809" s="194"/>
      <c r="I809" s="161">
        <f t="shared" si="11"/>
        <v>2640000</v>
      </c>
      <c r="J809" s="164">
        <f t="shared" si="12"/>
        <v>2640000</v>
      </c>
      <c r="K809" s="284" t="s">
        <v>5149</v>
      </c>
      <c r="L809" s="165" t="s">
        <v>5150</v>
      </c>
      <c r="M809" s="73"/>
      <c r="N809" s="171"/>
      <c r="O809" s="169" t="s">
        <v>5151</v>
      </c>
      <c r="P809" s="168" t="s">
        <v>3112</v>
      </c>
      <c r="Q809" s="173"/>
      <c r="R809" s="167">
        <v>2640000.0</v>
      </c>
      <c r="S809" s="173"/>
      <c r="T809" s="173"/>
      <c r="U809" s="173"/>
      <c r="V809" s="168" t="s">
        <v>3883</v>
      </c>
      <c r="W809" s="169"/>
      <c r="X809" s="169" t="s">
        <v>4668</v>
      </c>
    </row>
    <row r="810" ht="15.0" customHeight="1">
      <c r="A810" s="127">
        <v>45565.0</v>
      </c>
      <c r="B810" s="181" t="s">
        <v>5152</v>
      </c>
      <c r="C810" s="56" t="s">
        <v>2691</v>
      </c>
      <c r="D810" s="73" t="str">
        <f>IFERROR(VLOOKUP(C810,Stock,3,FALSE),"")</f>
        <v>Suzuki Ertiga 12-18 1st Gen MPV</v>
      </c>
      <c r="E810" s="56">
        <v>1.0</v>
      </c>
      <c r="F810" s="161">
        <v>1360000.0</v>
      </c>
      <c r="G810" s="162">
        <f t="shared" si="14"/>
        <v>1360000</v>
      </c>
      <c r="H810" s="194"/>
      <c r="I810" s="161">
        <f t="shared" si="11"/>
        <v>1360000</v>
      </c>
      <c r="J810" s="164">
        <f t="shared" si="12"/>
        <v>1360000</v>
      </c>
      <c r="K810" s="56" t="s">
        <v>5153</v>
      </c>
      <c r="L810" s="165" t="s">
        <v>5154</v>
      </c>
      <c r="M810" s="73"/>
      <c r="N810" s="171"/>
      <c r="O810" s="169" t="s">
        <v>2958</v>
      </c>
      <c r="P810" s="168" t="s">
        <v>3112</v>
      </c>
      <c r="Q810" s="173"/>
      <c r="R810" s="167">
        <v>1360000.0</v>
      </c>
      <c r="S810" s="173"/>
      <c r="T810" s="173"/>
      <c r="U810" s="173"/>
      <c r="V810" s="168" t="s">
        <v>3883</v>
      </c>
      <c r="W810" s="169"/>
      <c r="X810" s="169" t="s">
        <v>4668</v>
      </c>
    </row>
    <row r="811" ht="15.0" customHeight="1">
      <c r="A811" s="127">
        <v>45565.0</v>
      </c>
      <c r="B811" s="181" t="s">
        <v>5155</v>
      </c>
      <c r="C811" s="251" t="s">
        <v>2557</v>
      </c>
      <c r="D811" s="73" t="str">
        <f>IFERROR(VLOOKUP(C811,Stock,3,FALSE),"")</f>
        <v>Toyota Fortuner 05-15 1st Gen (Toyota)</v>
      </c>
      <c r="E811" s="56">
        <v>1.0</v>
      </c>
      <c r="F811" s="161">
        <v>2698000.0</v>
      </c>
      <c r="G811" s="162">
        <f t="shared" si="14"/>
        <v>2698000</v>
      </c>
      <c r="H811" s="194"/>
      <c r="I811" s="161">
        <f t="shared" si="11"/>
        <v>2698000</v>
      </c>
      <c r="J811" s="164">
        <f t="shared" si="12"/>
        <v>2698000</v>
      </c>
      <c r="K811" s="284" t="s">
        <v>5156</v>
      </c>
      <c r="L811" s="165" t="s">
        <v>5157</v>
      </c>
      <c r="M811" s="73"/>
      <c r="N811" s="171"/>
      <c r="O811" s="169" t="s">
        <v>3184</v>
      </c>
      <c r="P811" s="168" t="s">
        <v>3112</v>
      </c>
      <c r="Q811" s="167">
        <v>3000000.0</v>
      </c>
      <c r="R811" s="173"/>
      <c r="S811" s="173"/>
      <c r="T811" s="173"/>
      <c r="U811" s="167">
        <v>42000.0</v>
      </c>
      <c r="V811" s="168" t="s">
        <v>3799</v>
      </c>
      <c r="W811" s="169"/>
      <c r="X811" s="219">
        <v>45568.0</v>
      </c>
    </row>
    <row r="812" ht="15.0" customHeight="1">
      <c r="A812" s="127">
        <v>45565.0</v>
      </c>
      <c r="B812" s="181" t="s">
        <v>5155</v>
      </c>
      <c r="C812" s="251" t="s">
        <v>2934</v>
      </c>
      <c r="D812" s="73" t="str">
        <f>IFERROR(VLOOKUP(C812,Stock,3,FALSE),"")</f>
        <v>Peti Kayu</v>
      </c>
      <c r="E812" s="56">
        <v>1.0</v>
      </c>
      <c r="F812" s="161">
        <v>160000.0</v>
      </c>
      <c r="G812" s="162">
        <f t="shared" si="14"/>
        <v>160000</v>
      </c>
      <c r="H812" s="194"/>
      <c r="I812" s="161">
        <f t="shared" si="11"/>
        <v>160000</v>
      </c>
      <c r="J812" s="164">
        <f t="shared" si="12"/>
        <v>160000</v>
      </c>
      <c r="K812" s="284" t="s">
        <v>5156</v>
      </c>
      <c r="L812" s="165" t="s">
        <v>5157</v>
      </c>
      <c r="M812" s="73"/>
      <c r="N812" s="171"/>
      <c r="O812" s="169" t="s">
        <v>3184</v>
      </c>
      <c r="P812" s="168" t="s">
        <v>3112</v>
      </c>
      <c r="Q812" s="167"/>
      <c r="R812" s="173"/>
      <c r="S812" s="173"/>
      <c r="T812" s="173"/>
      <c r="U812" s="173"/>
      <c r="V812" s="168" t="s">
        <v>3799</v>
      </c>
      <c r="W812" s="169"/>
      <c r="X812" s="219">
        <v>45568.0</v>
      </c>
    </row>
    <row r="813" ht="15.0" customHeight="1">
      <c r="A813" s="127">
        <v>45565.0</v>
      </c>
      <c r="B813" s="181" t="s">
        <v>5155</v>
      </c>
      <c r="C813" s="56" t="s">
        <v>2954</v>
      </c>
      <c r="D813" s="73" t="str">
        <f>IFERROR(VLOOKUP(C813,Stock,3,FALSE),"")</f>
        <v>Transport</v>
      </c>
      <c r="E813" s="56">
        <v>1.0</v>
      </c>
      <c r="F813" s="161">
        <v>100000.0</v>
      </c>
      <c r="G813" s="162">
        <f t="shared" si="14"/>
        <v>100000</v>
      </c>
      <c r="H813" s="194"/>
      <c r="I813" s="161">
        <f t="shared" si="11"/>
        <v>100000</v>
      </c>
      <c r="J813" s="164">
        <f t="shared" si="12"/>
        <v>100000</v>
      </c>
      <c r="K813" s="284" t="s">
        <v>5156</v>
      </c>
      <c r="L813" s="165" t="s">
        <v>5157</v>
      </c>
      <c r="M813" s="73"/>
      <c r="N813" s="171"/>
      <c r="O813" s="169" t="s">
        <v>3184</v>
      </c>
      <c r="P813" s="168" t="s">
        <v>3112</v>
      </c>
      <c r="Q813" s="167"/>
      <c r="R813" s="173"/>
      <c r="S813" s="173"/>
      <c r="T813" s="173"/>
      <c r="U813" s="173"/>
      <c r="V813" s="168" t="s">
        <v>3799</v>
      </c>
      <c r="W813" s="169"/>
      <c r="X813" s="219">
        <v>45568.0</v>
      </c>
    </row>
    <row r="814" ht="15.0" customHeight="1">
      <c r="A814" s="127">
        <v>45565.0</v>
      </c>
      <c r="B814" s="181" t="s">
        <v>5158</v>
      </c>
      <c r="C814" s="56" t="s">
        <v>3745</v>
      </c>
      <c r="D814" s="73" t="str">
        <f>IFERROR(VLOOKUP(C814,Stock,3,FALSE),"")</f>
        <v>Honda Brio 10- / Mobilio 11-</v>
      </c>
      <c r="E814" s="56">
        <v>1.0</v>
      </c>
      <c r="F814" s="161">
        <v>1748000.0</v>
      </c>
      <c r="G814" s="162">
        <f t="shared" si="14"/>
        <v>1748000</v>
      </c>
      <c r="H814" s="194"/>
      <c r="I814" s="161">
        <f t="shared" si="11"/>
        <v>1748000</v>
      </c>
      <c r="J814" s="164">
        <f t="shared" si="12"/>
        <v>1748000</v>
      </c>
      <c r="K814" s="56" t="s">
        <v>5159</v>
      </c>
      <c r="L814" s="165" t="s">
        <v>5160</v>
      </c>
      <c r="M814" s="73"/>
      <c r="N814" s="171"/>
      <c r="O814" s="169" t="s">
        <v>5161</v>
      </c>
      <c r="P814" s="168" t="s">
        <v>3112</v>
      </c>
      <c r="Q814" s="173"/>
      <c r="R814" s="167">
        <v>1748000.0</v>
      </c>
      <c r="S814" s="173"/>
      <c r="T814" s="173"/>
      <c r="U814" s="173"/>
      <c r="V814" s="168" t="s">
        <v>3883</v>
      </c>
      <c r="W814" s="169"/>
      <c r="X814" s="169" t="s">
        <v>4668</v>
      </c>
    </row>
    <row r="815" ht="15.0" customHeight="1">
      <c r="A815" s="127">
        <v>45565.0</v>
      </c>
      <c r="B815" s="181" t="s">
        <v>5162</v>
      </c>
      <c r="C815" s="56" t="s">
        <v>2936</v>
      </c>
      <c r="D815" s="73" t="str">
        <f>IFERROR(VLOOKUP(C815,Stock,3,FALSE),"")</f>
        <v>Toyota Calya / Sigra 16-</v>
      </c>
      <c r="E815" s="56">
        <v>1.0</v>
      </c>
      <c r="F815" s="161">
        <v>948000.0</v>
      </c>
      <c r="G815" s="162">
        <f t="shared" si="14"/>
        <v>948000</v>
      </c>
      <c r="H815" s="194"/>
      <c r="I815" s="161">
        <f t="shared" si="11"/>
        <v>948000</v>
      </c>
      <c r="J815" s="164">
        <f t="shared" si="12"/>
        <v>948000</v>
      </c>
      <c r="K815" s="56" t="s">
        <v>5163</v>
      </c>
      <c r="L815" s="165" t="s">
        <v>5164</v>
      </c>
      <c r="M815" s="73"/>
      <c r="N815" s="171"/>
      <c r="O815" s="169" t="s">
        <v>3037</v>
      </c>
      <c r="P815" s="168" t="s">
        <v>3112</v>
      </c>
      <c r="Q815" s="167">
        <v>950000.0</v>
      </c>
      <c r="R815" s="173"/>
      <c r="S815" s="173"/>
      <c r="T815" s="173"/>
      <c r="U815" s="167">
        <v>2000.0</v>
      </c>
      <c r="V815" s="168" t="s">
        <v>3883</v>
      </c>
      <c r="W815" s="169"/>
      <c r="X815" s="219">
        <v>45568.0</v>
      </c>
    </row>
    <row r="816" ht="15.0" customHeight="1">
      <c r="A816" s="127">
        <v>45565.0</v>
      </c>
      <c r="B816" s="181" t="s">
        <v>5165</v>
      </c>
      <c r="C816" s="251" t="s">
        <v>2627</v>
      </c>
      <c r="D816" s="73" t="str">
        <f>IFERROR(VLOOKUP(C816,Stock,3,FALSE),"")</f>
        <v>Honda Civic 92-95 SR1/SR4 (Genio)</v>
      </c>
      <c r="E816" s="56">
        <v>1.0</v>
      </c>
      <c r="F816" s="161">
        <v>1455000.0</v>
      </c>
      <c r="G816" s="162">
        <f t="shared" si="14"/>
        <v>1455000</v>
      </c>
      <c r="H816" s="194"/>
      <c r="I816" s="161">
        <f t="shared" si="11"/>
        <v>1455000</v>
      </c>
      <c r="J816" s="164">
        <f t="shared" si="12"/>
        <v>1455000</v>
      </c>
      <c r="K816" s="56" t="s">
        <v>5166</v>
      </c>
      <c r="L816" s="165" t="s">
        <v>5167</v>
      </c>
      <c r="M816" s="56" t="s">
        <v>5168</v>
      </c>
      <c r="N816" s="169" t="s">
        <v>5169</v>
      </c>
      <c r="O816" s="169" t="s">
        <v>3775</v>
      </c>
      <c r="P816" s="168" t="s">
        <v>3112</v>
      </c>
      <c r="Q816" s="173"/>
      <c r="R816" s="173"/>
      <c r="S816" s="167">
        <v>1455000.0</v>
      </c>
      <c r="T816" s="167">
        <v>109125.0</v>
      </c>
      <c r="U816" s="167" t="s">
        <v>5170</v>
      </c>
      <c r="V816" s="168" t="s">
        <v>3883</v>
      </c>
      <c r="W816" s="169"/>
      <c r="X816" s="171"/>
    </row>
    <row r="817" ht="15.0" customHeight="1">
      <c r="A817" s="127">
        <v>45565.0</v>
      </c>
      <c r="B817" s="181" t="s">
        <v>5165</v>
      </c>
      <c r="C817" s="56" t="s">
        <v>3045</v>
      </c>
      <c r="D817" s="73" t="str">
        <f>IFERROR(VLOOKUP(C817,Stock,3,FALSE),"")</f>
        <v>Pemasangan Kaca Mobil Depan</v>
      </c>
      <c r="E817" s="56">
        <v>1.0</v>
      </c>
      <c r="F817" s="161">
        <v>350000.0</v>
      </c>
      <c r="G817" s="162">
        <f t="shared" si="14"/>
        <v>350000</v>
      </c>
      <c r="H817" s="194"/>
      <c r="I817" s="161">
        <f t="shared" si="11"/>
        <v>350000</v>
      </c>
      <c r="J817" s="164">
        <f t="shared" si="12"/>
        <v>350000</v>
      </c>
      <c r="K817" s="56" t="s">
        <v>5166</v>
      </c>
      <c r="L817" s="165" t="s">
        <v>5167</v>
      </c>
      <c r="M817" s="56" t="s">
        <v>5168</v>
      </c>
      <c r="N817" s="169" t="s">
        <v>5169</v>
      </c>
      <c r="O817" s="169" t="s">
        <v>3775</v>
      </c>
      <c r="P817" s="168" t="s">
        <v>3112</v>
      </c>
      <c r="Q817" s="173"/>
      <c r="R817" s="167">
        <v>350000.0</v>
      </c>
      <c r="S817" s="173"/>
      <c r="T817" s="173"/>
      <c r="U817" s="173"/>
      <c r="V817" s="168" t="s">
        <v>3883</v>
      </c>
      <c r="W817" s="169"/>
      <c r="X817" s="169" t="s">
        <v>4668</v>
      </c>
    </row>
    <row r="818" ht="15.0" customHeight="1">
      <c r="A818" s="127">
        <v>45566.0</v>
      </c>
      <c r="B818" s="181" t="s">
        <v>5171</v>
      </c>
      <c r="C818" s="251" t="s">
        <v>2549</v>
      </c>
      <c r="D818" s="73" t="str">
        <f>IFERROR(VLOOKUP(C818,Stock,3,FALSE),"")</f>
        <v>Toyota Avanza / Xenia 11-15 2nd Gen</v>
      </c>
      <c r="E818" s="56">
        <v>1.0</v>
      </c>
      <c r="F818" s="161">
        <v>1020000.0</v>
      </c>
      <c r="G818" s="162">
        <f t="shared" si="14"/>
        <v>1020000</v>
      </c>
      <c r="H818" s="194"/>
      <c r="I818" s="204">
        <f t="shared" si="11"/>
        <v>1020000</v>
      </c>
      <c r="J818" s="164">
        <f t="shared" si="12"/>
        <v>1020000</v>
      </c>
      <c r="K818" s="284" t="s">
        <v>5172</v>
      </c>
      <c r="L818" s="165" t="s">
        <v>5173</v>
      </c>
      <c r="M818" s="73"/>
      <c r="N818" s="289" t="s">
        <v>5174</v>
      </c>
      <c r="O818" s="169" t="s">
        <v>2958</v>
      </c>
      <c r="P818" s="168" t="s">
        <v>3112</v>
      </c>
      <c r="Q818" s="167">
        <v>1020000.0</v>
      </c>
      <c r="R818" s="173"/>
      <c r="S818" s="173"/>
      <c r="T818" s="173"/>
      <c r="U818" s="173"/>
      <c r="V818" s="168" t="s">
        <v>3883</v>
      </c>
      <c r="W818" s="169"/>
      <c r="X818" s="219">
        <v>45573.0</v>
      </c>
    </row>
    <row r="819" ht="15.0" customHeight="1">
      <c r="A819" s="127">
        <v>45566.0</v>
      </c>
      <c r="B819" s="181" t="s">
        <v>5171</v>
      </c>
      <c r="C819" s="251" t="s">
        <v>3826</v>
      </c>
      <c r="D819" s="73" t="str">
        <f>IFERROR(VLOOKUP(C819,Stock,3,FALSE),"")</f>
        <v>List Kaca Depan Code 11</v>
      </c>
      <c r="E819" s="56">
        <v>1.0</v>
      </c>
      <c r="F819" s="161">
        <v>275000.0</v>
      </c>
      <c r="G819" s="162">
        <f t="shared" si="14"/>
        <v>275000</v>
      </c>
      <c r="H819" s="194"/>
      <c r="I819" s="204">
        <f t="shared" si="11"/>
        <v>275000</v>
      </c>
      <c r="J819" s="164">
        <f t="shared" si="12"/>
        <v>275000</v>
      </c>
      <c r="K819" s="284" t="s">
        <v>5172</v>
      </c>
      <c r="L819" s="165" t="s">
        <v>5173</v>
      </c>
      <c r="M819" s="73"/>
      <c r="N819" s="289" t="s">
        <v>5174</v>
      </c>
      <c r="O819" s="169" t="s">
        <v>2958</v>
      </c>
      <c r="P819" s="168" t="s">
        <v>3112</v>
      </c>
      <c r="Q819" s="167">
        <v>275000.0</v>
      </c>
      <c r="R819" s="173"/>
      <c r="S819" s="173"/>
      <c r="T819" s="173"/>
      <c r="U819" s="173"/>
      <c r="V819" s="168" t="s">
        <v>3883</v>
      </c>
      <c r="W819" s="169"/>
      <c r="X819" s="219">
        <v>45573.0</v>
      </c>
    </row>
    <row r="820" ht="15.0" customHeight="1">
      <c r="A820" s="127">
        <v>45566.0</v>
      </c>
      <c r="B820" s="181" t="s">
        <v>5175</v>
      </c>
      <c r="C820" s="6" t="s">
        <v>2562</v>
      </c>
      <c r="D820" s="73" t="str">
        <f>IFERROR(VLOOKUP(C820,Stock,3,FALSE),"")</f>
        <v>Toyota Avanza / Xenia 15-21 3rd Gen</v>
      </c>
      <c r="E820" s="56">
        <v>1.0</v>
      </c>
      <c r="F820" s="161">
        <v>1120000.0</v>
      </c>
      <c r="G820" s="162">
        <f t="shared" si="14"/>
        <v>1120000</v>
      </c>
      <c r="H820" s="194"/>
      <c r="I820" s="204">
        <f t="shared" si="11"/>
        <v>1120000</v>
      </c>
      <c r="J820" s="164">
        <f t="shared" si="12"/>
        <v>1120000</v>
      </c>
      <c r="K820" s="284" t="s">
        <v>5176</v>
      </c>
      <c r="L820" s="165" t="s">
        <v>5177</v>
      </c>
      <c r="M820" s="73"/>
      <c r="N820" s="169" t="s">
        <v>5178</v>
      </c>
      <c r="O820" s="169" t="s">
        <v>2958</v>
      </c>
      <c r="P820" s="168" t="s">
        <v>3112</v>
      </c>
      <c r="Q820" s="167">
        <v>1120000.0</v>
      </c>
      <c r="R820" s="173"/>
      <c r="S820" s="173"/>
      <c r="T820" s="173"/>
      <c r="U820" s="173"/>
      <c r="V820" s="168" t="s">
        <v>3883</v>
      </c>
      <c r="W820" s="169"/>
      <c r="X820" s="219">
        <v>45573.0</v>
      </c>
    </row>
    <row r="821" ht="15.0" customHeight="1">
      <c r="A821" s="127">
        <v>45566.0</v>
      </c>
      <c r="B821" s="181" t="s">
        <v>5175</v>
      </c>
      <c r="C821" s="56" t="s">
        <v>2954</v>
      </c>
      <c r="D821" s="73" t="str">
        <f>IFERROR(VLOOKUP(C821,Stock,3,FALSE),"")</f>
        <v>Transport</v>
      </c>
      <c r="E821" s="56">
        <v>1.0</v>
      </c>
      <c r="F821" s="161">
        <v>50000.0</v>
      </c>
      <c r="G821" s="162">
        <f t="shared" si="14"/>
        <v>50000</v>
      </c>
      <c r="H821" s="194"/>
      <c r="I821" s="204">
        <f t="shared" si="11"/>
        <v>50000</v>
      </c>
      <c r="J821" s="164">
        <f t="shared" si="12"/>
        <v>50000</v>
      </c>
      <c r="K821" s="56" t="s">
        <v>5176</v>
      </c>
      <c r="L821" s="165" t="s">
        <v>5177</v>
      </c>
      <c r="M821" s="73"/>
      <c r="N821" s="169" t="s">
        <v>5178</v>
      </c>
      <c r="O821" s="169" t="s">
        <v>2958</v>
      </c>
      <c r="P821" s="168" t="s">
        <v>3112</v>
      </c>
      <c r="Q821" s="167">
        <v>50000.0</v>
      </c>
      <c r="R821" s="173"/>
      <c r="S821" s="173"/>
      <c r="T821" s="173"/>
      <c r="U821" s="173"/>
      <c r="V821" s="168" t="s">
        <v>3883</v>
      </c>
      <c r="W821" s="169"/>
      <c r="X821" s="219">
        <v>45573.0</v>
      </c>
    </row>
    <row r="822" ht="15.0" customHeight="1">
      <c r="A822" s="127">
        <v>45567.0</v>
      </c>
      <c r="B822" s="181" t="s">
        <v>5179</v>
      </c>
      <c r="C822" s="56" t="s">
        <v>4613</v>
      </c>
      <c r="D822" s="73" t="str">
        <f>IFERROR(VLOOKUP(C822,Stock,3,FALSE),"")</f>
        <v>Honda Freed 08-16 1st gen</v>
      </c>
      <c r="E822" s="56">
        <v>1.0</v>
      </c>
      <c r="F822" s="161">
        <v>1496000.0</v>
      </c>
      <c r="G822" s="162">
        <f t="shared" si="14"/>
        <v>1496000</v>
      </c>
      <c r="H822" s="194"/>
      <c r="I822" s="204">
        <f t="shared" si="11"/>
        <v>1496000</v>
      </c>
      <c r="J822" s="164">
        <f t="shared" si="12"/>
        <v>1496000</v>
      </c>
      <c r="K822" s="56" t="s">
        <v>5180</v>
      </c>
      <c r="L822" s="165" t="s">
        <v>5181</v>
      </c>
      <c r="M822" s="73"/>
      <c r="N822" s="169" t="s">
        <v>5182</v>
      </c>
      <c r="O822" s="169" t="s">
        <v>3037</v>
      </c>
      <c r="P822" s="168" t="s">
        <v>3112</v>
      </c>
      <c r="Q822" s="167">
        <v>1500000.0</v>
      </c>
      <c r="R822" s="173"/>
      <c r="S822" s="173"/>
      <c r="T822" s="173"/>
      <c r="U822" s="167">
        <v>4000.0</v>
      </c>
      <c r="V822" s="168" t="s">
        <v>3883</v>
      </c>
      <c r="W822" s="169"/>
      <c r="X822" s="219">
        <v>45573.0</v>
      </c>
    </row>
    <row r="823" ht="15.0" customHeight="1">
      <c r="A823" s="127">
        <v>45567.0</v>
      </c>
      <c r="B823" s="181" t="s">
        <v>5183</v>
      </c>
      <c r="C823" s="56" t="s">
        <v>4775</v>
      </c>
      <c r="D823" s="73" t="str">
        <f>IFERROR(VLOOKUP(C823,Stock,3,FALSE),"")</f>
        <v>Toyota Avanza / Xenia 11-15 2nd Gen / 15-21 3rd Gen</v>
      </c>
      <c r="E823" s="56">
        <v>1.0</v>
      </c>
      <c r="F823" s="161">
        <v>680000.0</v>
      </c>
      <c r="G823" s="162">
        <f t="shared" si="14"/>
        <v>680000</v>
      </c>
      <c r="H823" s="194"/>
      <c r="I823" s="204">
        <f t="shared" si="11"/>
        <v>680000</v>
      </c>
      <c r="J823" s="164">
        <f t="shared" si="12"/>
        <v>680000</v>
      </c>
      <c r="K823" s="56" t="s">
        <v>5184</v>
      </c>
      <c r="L823" s="165" t="s">
        <v>5185</v>
      </c>
      <c r="M823" s="73"/>
      <c r="N823" s="171"/>
      <c r="O823" s="169" t="s">
        <v>2958</v>
      </c>
      <c r="P823" s="168" t="s">
        <v>3112</v>
      </c>
      <c r="Q823" s="173"/>
      <c r="R823" s="167">
        <v>680000.0</v>
      </c>
      <c r="S823" s="173"/>
      <c r="T823" s="173"/>
      <c r="U823" s="173"/>
      <c r="V823" s="168" t="s">
        <v>3883</v>
      </c>
      <c r="W823" s="169"/>
      <c r="X823" s="169" t="s">
        <v>4668</v>
      </c>
    </row>
    <row r="824" ht="15.0" customHeight="1">
      <c r="A824" s="127">
        <v>45567.0</v>
      </c>
      <c r="B824" s="181" t="s">
        <v>5183</v>
      </c>
      <c r="C824" s="56" t="s">
        <v>2934</v>
      </c>
      <c r="D824" s="73" t="str">
        <f>IFERROR(VLOOKUP(C824,Stock,3,FALSE),"")</f>
        <v>Peti Kayu</v>
      </c>
      <c r="E824" s="56">
        <v>1.0</v>
      </c>
      <c r="F824" s="161">
        <v>160000.0</v>
      </c>
      <c r="G824" s="162">
        <f t="shared" si="14"/>
        <v>160000</v>
      </c>
      <c r="H824" s="194"/>
      <c r="I824" s="204">
        <f t="shared" si="11"/>
        <v>160000</v>
      </c>
      <c r="J824" s="164">
        <f t="shared" si="12"/>
        <v>160000</v>
      </c>
      <c r="K824" s="56" t="s">
        <v>5184</v>
      </c>
      <c r="L824" s="165" t="s">
        <v>5185</v>
      </c>
      <c r="M824" s="73"/>
      <c r="N824" s="171"/>
      <c r="O824" s="169" t="s">
        <v>2958</v>
      </c>
      <c r="P824" s="168" t="s">
        <v>3112</v>
      </c>
      <c r="Q824" s="173"/>
      <c r="R824" s="167">
        <v>160000.0</v>
      </c>
      <c r="S824" s="173"/>
      <c r="T824" s="173"/>
      <c r="U824" s="173"/>
      <c r="V824" s="168" t="s">
        <v>3883</v>
      </c>
      <c r="W824" s="169"/>
      <c r="X824" s="169" t="s">
        <v>4668</v>
      </c>
    </row>
    <row r="825" ht="15.0" customHeight="1">
      <c r="A825" s="127">
        <v>45567.0</v>
      </c>
      <c r="B825" s="181" t="s">
        <v>5183</v>
      </c>
      <c r="C825" s="56" t="s">
        <v>2954</v>
      </c>
      <c r="D825" s="73" t="str">
        <f>IFERROR(VLOOKUP(C825,Stock,3,FALSE),"")</f>
        <v>Transport</v>
      </c>
      <c r="E825" s="56">
        <v>1.0</v>
      </c>
      <c r="F825" s="161">
        <v>75000.0</v>
      </c>
      <c r="G825" s="162">
        <f t="shared" si="14"/>
        <v>75000</v>
      </c>
      <c r="H825" s="194"/>
      <c r="I825" s="204">
        <f t="shared" si="11"/>
        <v>75000</v>
      </c>
      <c r="J825" s="164">
        <f t="shared" si="12"/>
        <v>75000</v>
      </c>
      <c r="K825" s="56" t="s">
        <v>5184</v>
      </c>
      <c r="L825" s="165" t="s">
        <v>5185</v>
      </c>
      <c r="M825" s="73"/>
      <c r="N825" s="171"/>
      <c r="O825" s="169" t="s">
        <v>2958</v>
      </c>
      <c r="P825" s="168" t="s">
        <v>3112</v>
      </c>
      <c r="Q825" s="173"/>
      <c r="R825" s="167">
        <v>75000.0</v>
      </c>
      <c r="S825" s="173"/>
      <c r="T825" s="173"/>
      <c r="U825" s="173"/>
      <c r="V825" s="168" t="s">
        <v>3883</v>
      </c>
      <c r="W825" s="169"/>
      <c r="X825" s="169" t="s">
        <v>4668</v>
      </c>
    </row>
    <row r="826" ht="15.0" customHeight="1">
      <c r="A826" s="127">
        <v>45568.0</v>
      </c>
      <c r="B826" s="181" t="s">
        <v>5186</v>
      </c>
      <c r="C826" s="251" t="s">
        <v>5187</v>
      </c>
      <c r="D826" s="73" t="str">
        <f>IFERROR(VLOOKUP(C826,Stock,3,FALSE),"")</f>
        <v>Honda HR-V 14-21 5D SUV</v>
      </c>
      <c r="E826" s="56">
        <v>1.0</v>
      </c>
      <c r="F826" s="161">
        <v>785000.0</v>
      </c>
      <c r="G826" s="162">
        <f t="shared" si="14"/>
        <v>785000</v>
      </c>
      <c r="H826" s="194"/>
      <c r="I826" s="204">
        <f t="shared" si="11"/>
        <v>785000</v>
      </c>
      <c r="J826" s="164">
        <f t="shared" si="12"/>
        <v>785000</v>
      </c>
      <c r="K826" s="284" t="s">
        <v>5188</v>
      </c>
      <c r="L826" s="165" t="s">
        <v>5189</v>
      </c>
      <c r="M826" s="73"/>
      <c r="N826" s="169" t="s">
        <v>5190</v>
      </c>
      <c r="O826" s="169" t="s">
        <v>2958</v>
      </c>
      <c r="P826" s="168" t="s">
        <v>3112</v>
      </c>
      <c r="Q826" s="173"/>
      <c r="R826" s="167">
        <v>785000.0</v>
      </c>
      <c r="S826" s="173"/>
      <c r="T826" s="173"/>
      <c r="U826" s="173"/>
      <c r="V826" s="168" t="s">
        <v>3799</v>
      </c>
      <c r="W826" s="169"/>
      <c r="X826" s="169" t="s">
        <v>4668</v>
      </c>
    </row>
    <row r="827" ht="15.0" customHeight="1">
      <c r="A827" s="127">
        <v>45569.0</v>
      </c>
      <c r="B827" s="181" t="s">
        <v>5191</v>
      </c>
      <c r="C827" s="251" t="s">
        <v>3176</v>
      </c>
      <c r="D827" s="73" t="str">
        <f>IFERROR(VLOOKUP(C827,Stock,3,FALSE),"")</f>
        <v>Toyota Avanza / Xenia 11-15 2nd Gen / 15-21 3rd Gen</v>
      </c>
      <c r="E827" s="56">
        <v>1.0</v>
      </c>
      <c r="F827" s="161">
        <v>880000.0</v>
      </c>
      <c r="G827" s="162">
        <f t="shared" si="14"/>
        <v>880000</v>
      </c>
      <c r="H827" s="194"/>
      <c r="I827" s="204">
        <f t="shared" si="11"/>
        <v>880000</v>
      </c>
      <c r="J827" s="164">
        <f t="shared" si="12"/>
        <v>880000</v>
      </c>
      <c r="K827" s="56" t="s">
        <v>5192</v>
      </c>
      <c r="L827" s="165" t="s">
        <v>5193</v>
      </c>
      <c r="M827" s="73"/>
      <c r="N827" s="169" t="s">
        <v>5178</v>
      </c>
      <c r="O827" s="169" t="s">
        <v>2958</v>
      </c>
      <c r="P827" s="168" t="s">
        <v>3112</v>
      </c>
      <c r="Q827" s="173"/>
      <c r="R827" s="167">
        <v>880000.0</v>
      </c>
      <c r="S827" s="173"/>
      <c r="T827" s="173"/>
      <c r="U827" s="173"/>
      <c r="V827" s="168" t="s">
        <v>3883</v>
      </c>
      <c r="W827" s="169"/>
      <c r="X827" s="169" t="s">
        <v>5194</v>
      </c>
    </row>
    <row r="828" ht="15.0" customHeight="1">
      <c r="A828" s="127">
        <v>45569.0</v>
      </c>
      <c r="B828" s="181" t="s">
        <v>5191</v>
      </c>
      <c r="C828" s="251" t="s">
        <v>2954</v>
      </c>
      <c r="D828" s="73" t="str">
        <f>IFERROR(VLOOKUP(C828,Stock,3,FALSE),"")</f>
        <v>Transport</v>
      </c>
      <c r="E828" s="56">
        <v>1.0</v>
      </c>
      <c r="F828" s="161">
        <v>75000.0</v>
      </c>
      <c r="G828" s="162">
        <f t="shared" si="14"/>
        <v>75000</v>
      </c>
      <c r="H828" s="194"/>
      <c r="I828" s="204">
        <f t="shared" si="11"/>
        <v>75000</v>
      </c>
      <c r="J828" s="164">
        <f t="shared" si="12"/>
        <v>75000</v>
      </c>
      <c r="K828" s="56" t="s">
        <v>5192</v>
      </c>
      <c r="L828" s="165" t="s">
        <v>5193</v>
      </c>
      <c r="M828" s="73"/>
      <c r="N828" s="169" t="s">
        <v>5178</v>
      </c>
      <c r="O828" s="169" t="s">
        <v>2958</v>
      </c>
      <c r="P828" s="168" t="s">
        <v>3112</v>
      </c>
      <c r="Q828" s="173"/>
      <c r="R828" s="167">
        <v>75000.0</v>
      </c>
      <c r="S828" s="173"/>
      <c r="T828" s="173"/>
      <c r="U828" s="173"/>
      <c r="V828" s="168" t="s">
        <v>3883</v>
      </c>
      <c r="W828" s="169"/>
      <c r="X828" s="169" t="s">
        <v>5194</v>
      </c>
    </row>
    <row r="829" ht="15.0" customHeight="1">
      <c r="A829" s="127">
        <v>45570.0</v>
      </c>
      <c r="B829" s="181" t="s">
        <v>5195</v>
      </c>
      <c r="C829" s="251" t="s">
        <v>2841</v>
      </c>
      <c r="D829" s="73" t="str">
        <f>IFERROR(VLOOKUP(C829,Stock,3,FALSE),"")</f>
        <v>Nissan Datsun Go/Go+ 14- (5-Seater)</v>
      </c>
      <c r="E829" s="56">
        <v>1.0</v>
      </c>
      <c r="F829" s="161">
        <v>490000.0</v>
      </c>
      <c r="G829" s="162">
        <f t="shared" si="14"/>
        <v>490000</v>
      </c>
      <c r="H829" s="194"/>
      <c r="I829" s="204">
        <f t="shared" si="11"/>
        <v>490000</v>
      </c>
      <c r="J829" s="164">
        <f t="shared" si="12"/>
        <v>490000</v>
      </c>
      <c r="K829" s="284" t="s">
        <v>5196</v>
      </c>
      <c r="L829" s="165" t="s">
        <v>5197</v>
      </c>
      <c r="M829" s="73"/>
      <c r="N829" s="169" t="s">
        <v>5198</v>
      </c>
      <c r="O829" s="169" t="s">
        <v>3037</v>
      </c>
      <c r="P829" s="168" t="s">
        <v>3112</v>
      </c>
      <c r="Q829" s="173"/>
      <c r="R829" s="167">
        <v>100000.0</v>
      </c>
      <c r="S829" s="173"/>
      <c r="T829" s="173"/>
      <c r="U829" s="173"/>
      <c r="V829" s="168" t="s">
        <v>3883</v>
      </c>
      <c r="W829" s="169"/>
      <c r="X829" s="169" t="s">
        <v>5199</v>
      </c>
    </row>
    <row r="830" ht="15.0" customHeight="1">
      <c r="A830" s="127">
        <v>45570.0</v>
      </c>
      <c r="B830" s="181" t="s">
        <v>5195</v>
      </c>
      <c r="C830" s="251" t="s">
        <v>2954</v>
      </c>
      <c r="D830" s="73" t="str">
        <f>IFERROR(VLOOKUP(C830,Stock,3,FALSE),"")</f>
        <v>Transport</v>
      </c>
      <c r="E830" s="56">
        <v>1.0</v>
      </c>
      <c r="F830" s="161">
        <v>450000.0</v>
      </c>
      <c r="G830" s="162">
        <f t="shared" si="14"/>
        <v>450000</v>
      </c>
      <c r="H830" s="194"/>
      <c r="I830" s="204">
        <f t="shared" si="11"/>
        <v>450000</v>
      </c>
      <c r="J830" s="164">
        <f t="shared" si="12"/>
        <v>450000</v>
      </c>
      <c r="K830" s="284" t="s">
        <v>5196</v>
      </c>
      <c r="L830" s="165" t="s">
        <v>5197</v>
      </c>
      <c r="M830" s="73"/>
      <c r="N830" s="169" t="s">
        <v>5198</v>
      </c>
      <c r="O830" s="169" t="s">
        <v>3037</v>
      </c>
      <c r="P830" s="168" t="s">
        <v>3112</v>
      </c>
      <c r="Q830" s="173"/>
      <c r="R830" s="167">
        <v>840000.0</v>
      </c>
      <c r="S830" s="173"/>
      <c r="T830" s="173"/>
      <c r="U830" s="173"/>
      <c r="V830" s="168" t="s">
        <v>3883</v>
      </c>
      <c r="W830" s="169"/>
      <c r="X830" s="169" t="s">
        <v>5199</v>
      </c>
    </row>
    <row r="831" ht="15.0" customHeight="1">
      <c r="A831" s="127">
        <v>45570.0</v>
      </c>
      <c r="B831" s="181" t="s">
        <v>5200</v>
      </c>
      <c r="C831" s="251" t="s">
        <v>2712</v>
      </c>
      <c r="D831" s="73" t="str">
        <f>IFERROR(VLOOKUP(C831,Stock,3,FALSE),"")</f>
        <v>Mitsubishi L300</v>
      </c>
      <c r="E831" s="56">
        <v>1.0</v>
      </c>
      <c r="F831" s="161">
        <v>1080000.0</v>
      </c>
      <c r="G831" s="162">
        <f t="shared" si="14"/>
        <v>1080000</v>
      </c>
      <c r="H831" s="201">
        <v>30000.0</v>
      </c>
      <c r="I831" s="204">
        <f t="shared" si="11"/>
        <v>1050000</v>
      </c>
      <c r="J831" s="164">
        <f t="shared" si="12"/>
        <v>1050000</v>
      </c>
      <c r="K831" s="284" t="s">
        <v>5201</v>
      </c>
      <c r="L831" s="165" t="s">
        <v>5202</v>
      </c>
      <c r="M831" s="73"/>
      <c r="N831" s="289" t="s">
        <v>5203</v>
      </c>
      <c r="O831" s="169" t="s">
        <v>3204</v>
      </c>
      <c r="P831" s="168" t="s">
        <v>3112</v>
      </c>
      <c r="Q831" s="167">
        <v>1000000.0</v>
      </c>
      <c r="R831" s="167">
        <v>300000.0</v>
      </c>
      <c r="S831" s="173"/>
      <c r="T831" s="173"/>
      <c r="U831" s="173"/>
      <c r="V831" s="168" t="s">
        <v>3799</v>
      </c>
      <c r="W831" s="169"/>
      <c r="X831" s="169" t="s">
        <v>5204</v>
      </c>
    </row>
    <row r="832" ht="15.0" customHeight="1">
      <c r="A832" s="127">
        <v>45570.0</v>
      </c>
      <c r="B832" s="181" t="s">
        <v>5200</v>
      </c>
      <c r="C832" s="251" t="s">
        <v>2954</v>
      </c>
      <c r="D832" s="73" t="str">
        <f>IFERROR(VLOOKUP(C832,Stock,3,FALSE),"")</f>
        <v>Transport</v>
      </c>
      <c r="E832" s="56">
        <v>1.0</v>
      </c>
      <c r="F832" s="161">
        <v>250000.0</v>
      </c>
      <c r="G832" s="162">
        <f t="shared" si="14"/>
        <v>250000</v>
      </c>
      <c r="H832" s="194"/>
      <c r="I832" s="204">
        <f t="shared" si="11"/>
        <v>250000</v>
      </c>
      <c r="J832" s="164">
        <f t="shared" si="12"/>
        <v>250000</v>
      </c>
      <c r="K832" s="284" t="s">
        <v>5201</v>
      </c>
      <c r="L832" s="165" t="s">
        <v>5202</v>
      </c>
      <c r="M832" s="73"/>
      <c r="N832" s="289" t="s">
        <v>5203</v>
      </c>
      <c r="O832" s="169" t="s">
        <v>3204</v>
      </c>
      <c r="P832" s="168" t="s">
        <v>3112</v>
      </c>
      <c r="Q832" s="173"/>
      <c r="R832" s="173"/>
      <c r="S832" s="173"/>
      <c r="T832" s="173"/>
      <c r="U832" s="173"/>
      <c r="V832" s="168" t="s">
        <v>3799</v>
      </c>
      <c r="W832" s="169"/>
      <c r="X832" s="169" t="s">
        <v>5204</v>
      </c>
    </row>
    <row r="833" ht="15.0" customHeight="1">
      <c r="A833" s="127">
        <v>45570.0</v>
      </c>
      <c r="B833" s="181" t="s">
        <v>5205</v>
      </c>
      <c r="C833" s="251" t="s">
        <v>3186</v>
      </c>
      <c r="D833" s="73" t="str">
        <f>IFERROR(VLOOKUP(C833,Stock,3,FALSE),"")</f>
        <v>Daihatsu Gran Max / Luxio 07-</v>
      </c>
      <c r="E833" s="56">
        <v>1.0</v>
      </c>
      <c r="F833" s="161">
        <v>1100000.0</v>
      </c>
      <c r="G833" s="162">
        <f t="shared" si="14"/>
        <v>1100000</v>
      </c>
      <c r="H833" s="194"/>
      <c r="I833" s="204">
        <f t="shared" si="11"/>
        <v>1100000</v>
      </c>
      <c r="J833" s="164">
        <f t="shared" si="12"/>
        <v>1100000</v>
      </c>
      <c r="K833" s="284" t="s">
        <v>5206</v>
      </c>
      <c r="L833" s="165" t="s">
        <v>5207</v>
      </c>
      <c r="M833" s="73"/>
      <c r="N833" s="289" t="s">
        <v>5208</v>
      </c>
      <c r="O833" s="169" t="s">
        <v>2958</v>
      </c>
      <c r="P833" s="168" t="s">
        <v>3112</v>
      </c>
      <c r="Q833" s="173"/>
      <c r="R833" s="167">
        <v>1100000.0</v>
      </c>
      <c r="S833" s="173"/>
      <c r="T833" s="173"/>
      <c r="U833" s="173"/>
      <c r="V833" s="168" t="s">
        <v>3799</v>
      </c>
      <c r="W833" s="169"/>
      <c r="X833" s="169" t="s">
        <v>5209</v>
      </c>
    </row>
    <row r="834">
      <c r="A834" s="127">
        <v>45570.0</v>
      </c>
      <c r="B834" s="181" t="s">
        <v>5210</v>
      </c>
      <c r="C834" s="56" t="s">
        <v>3176</v>
      </c>
      <c r="D834" s="73" t="str">
        <f>IFERROR(VLOOKUP(C834,Stock,3,FALSE),"")</f>
        <v>Toyota Avanza / Xenia 11-15 2nd Gen / 15-21 3rd Gen</v>
      </c>
      <c r="E834" s="56">
        <v>1.0</v>
      </c>
      <c r="F834" s="161">
        <v>880000.0</v>
      </c>
      <c r="G834" s="162">
        <f t="shared" si="14"/>
        <v>880000</v>
      </c>
      <c r="H834" s="194"/>
      <c r="I834" s="204">
        <f t="shared" si="11"/>
        <v>880000</v>
      </c>
      <c r="J834" s="164">
        <f t="shared" si="12"/>
        <v>880000</v>
      </c>
      <c r="K834" s="56" t="s">
        <v>5211</v>
      </c>
      <c r="L834" s="165" t="s">
        <v>5202</v>
      </c>
      <c r="M834" s="73"/>
      <c r="N834" s="171"/>
      <c r="O834" s="169" t="s">
        <v>3204</v>
      </c>
      <c r="P834" s="168" t="s">
        <v>3112</v>
      </c>
      <c r="Q834" s="173"/>
      <c r="R834" s="167">
        <v>880000.0</v>
      </c>
      <c r="S834" s="173"/>
      <c r="T834" s="173"/>
      <c r="U834" s="173"/>
      <c r="V834" s="168" t="s">
        <v>3883</v>
      </c>
      <c r="W834" s="169"/>
      <c r="X834" s="169" t="s">
        <v>5212</v>
      </c>
    </row>
    <row r="835">
      <c r="A835" s="127">
        <v>45570.0</v>
      </c>
      <c r="B835" s="181" t="s">
        <v>5213</v>
      </c>
      <c r="C835" s="56" t="s">
        <v>3176</v>
      </c>
      <c r="D835" s="73" t="str">
        <f>IFERROR(VLOOKUP(C835,Stock,3,FALSE),"")</f>
        <v>Toyota Avanza / Xenia 11-15 2nd Gen / 15-21 3rd Gen</v>
      </c>
      <c r="E835" s="56">
        <v>1.0</v>
      </c>
      <c r="F835" s="161">
        <v>880000.0</v>
      </c>
      <c r="G835" s="162">
        <f t="shared" si="14"/>
        <v>880000</v>
      </c>
      <c r="H835" s="194"/>
      <c r="I835" s="204">
        <f t="shared" si="11"/>
        <v>880000</v>
      </c>
      <c r="J835" s="164">
        <f t="shared" si="12"/>
        <v>880000</v>
      </c>
      <c r="K835" s="56" t="s">
        <v>2927</v>
      </c>
      <c r="L835" s="165" t="s">
        <v>5214</v>
      </c>
      <c r="M835" s="73"/>
      <c r="N835" s="169" t="s">
        <v>5215</v>
      </c>
      <c r="O835" s="169" t="s">
        <v>2958</v>
      </c>
      <c r="P835" s="168" t="s">
        <v>3112</v>
      </c>
      <c r="Q835" s="173"/>
      <c r="R835" s="167">
        <v>880000.0</v>
      </c>
      <c r="S835" s="173"/>
      <c r="T835" s="173"/>
      <c r="U835" s="173"/>
      <c r="V835" s="168" t="s">
        <v>3883</v>
      </c>
      <c r="W835" s="169"/>
      <c r="X835" s="169" t="s">
        <v>5216</v>
      </c>
    </row>
    <row r="836">
      <c r="A836" s="127">
        <v>45571.0</v>
      </c>
      <c r="B836" s="181" t="s">
        <v>5217</v>
      </c>
      <c r="C836" s="56" t="s">
        <v>3176</v>
      </c>
      <c r="D836" s="73" t="str">
        <f>IFERROR(VLOOKUP(C836,Stock,3,FALSE),"")</f>
        <v>Toyota Avanza / Xenia 11-15 2nd Gen / 15-21 3rd Gen</v>
      </c>
      <c r="E836" s="56">
        <v>1.0</v>
      </c>
      <c r="F836" s="161">
        <v>650000.0</v>
      </c>
      <c r="G836" s="162">
        <f t="shared" si="14"/>
        <v>650000</v>
      </c>
      <c r="H836" s="194"/>
      <c r="I836" s="204">
        <f t="shared" si="11"/>
        <v>650000</v>
      </c>
      <c r="J836" s="164">
        <f t="shared" si="12"/>
        <v>650000</v>
      </c>
      <c r="K836" s="56" t="s">
        <v>5218</v>
      </c>
      <c r="L836" s="165" t="s">
        <v>5219</v>
      </c>
      <c r="M836" s="73"/>
      <c r="N836" s="171"/>
      <c r="O836" s="169" t="s">
        <v>5220</v>
      </c>
      <c r="P836" s="168" t="s">
        <v>3112</v>
      </c>
      <c r="Q836" s="173"/>
      <c r="R836" s="167">
        <v>650000.0</v>
      </c>
      <c r="S836" s="173"/>
      <c r="T836" s="173"/>
      <c r="U836" s="173"/>
      <c r="V836" s="168" t="s">
        <v>3799</v>
      </c>
      <c r="W836" s="169"/>
      <c r="X836" s="169" t="s">
        <v>5221</v>
      </c>
    </row>
    <row r="837">
      <c r="A837" s="127">
        <v>45571.0</v>
      </c>
      <c r="B837" s="181" t="s">
        <v>5217</v>
      </c>
      <c r="C837" s="56" t="s">
        <v>2934</v>
      </c>
      <c r="D837" s="73" t="str">
        <f>IFERROR(VLOOKUP(C837,Stock,3,FALSE),"")</f>
        <v>Peti Kayu</v>
      </c>
      <c r="E837" s="56">
        <v>1.0</v>
      </c>
      <c r="F837" s="161">
        <v>160000.0</v>
      </c>
      <c r="G837" s="162">
        <f t="shared" si="14"/>
        <v>160000</v>
      </c>
      <c r="H837" s="194"/>
      <c r="I837" s="204">
        <f t="shared" si="11"/>
        <v>160000</v>
      </c>
      <c r="J837" s="164">
        <f t="shared" si="12"/>
        <v>160000</v>
      </c>
      <c r="K837" s="56" t="s">
        <v>5218</v>
      </c>
      <c r="L837" s="165" t="s">
        <v>5219</v>
      </c>
      <c r="M837" s="73"/>
      <c r="N837" s="171"/>
      <c r="O837" s="169" t="s">
        <v>5220</v>
      </c>
      <c r="P837" s="168" t="s">
        <v>3112</v>
      </c>
      <c r="Q837" s="173"/>
      <c r="R837" s="167">
        <v>160000.0</v>
      </c>
      <c r="S837" s="173"/>
      <c r="T837" s="173"/>
      <c r="U837" s="173"/>
      <c r="V837" s="168" t="s">
        <v>3799</v>
      </c>
      <c r="W837" s="169"/>
      <c r="X837" s="169" t="s">
        <v>5221</v>
      </c>
    </row>
    <row r="838">
      <c r="A838" s="127">
        <v>45571.0</v>
      </c>
      <c r="B838" s="181" t="s">
        <v>5217</v>
      </c>
      <c r="C838" s="56" t="s">
        <v>2954</v>
      </c>
      <c r="D838" s="73" t="str">
        <f>IFERROR(VLOOKUP(C838,Stock,3,FALSE),"")</f>
        <v>Transport</v>
      </c>
      <c r="E838" s="56">
        <v>1.0</v>
      </c>
      <c r="F838" s="161">
        <v>75000.0</v>
      </c>
      <c r="G838" s="162">
        <f t="shared" si="14"/>
        <v>75000</v>
      </c>
      <c r="H838" s="194"/>
      <c r="I838" s="204">
        <f t="shared" si="11"/>
        <v>75000</v>
      </c>
      <c r="J838" s="164">
        <f t="shared" si="12"/>
        <v>75000</v>
      </c>
      <c r="K838" s="56" t="s">
        <v>5218</v>
      </c>
      <c r="L838" s="165" t="s">
        <v>5219</v>
      </c>
      <c r="M838" s="73"/>
      <c r="N838" s="171"/>
      <c r="O838" s="169" t="s">
        <v>5220</v>
      </c>
      <c r="P838" s="168" t="s">
        <v>3112</v>
      </c>
      <c r="Q838" s="173"/>
      <c r="R838" s="167">
        <v>75000.0</v>
      </c>
      <c r="S838" s="173"/>
      <c r="T838" s="173"/>
      <c r="U838" s="173"/>
      <c r="V838" s="168" t="s">
        <v>3799</v>
      </c>
      <c r="W838" s="169"/>
      <c r="X838" s="169" t="s">
        <v>5221</v>
      </c>
    </row>
    <row r="839">
      <c r="A839" s="127">
        <v>45571.0</v>
      </c>
      <c r="B839" s="181" t="s">
        <v>5222</v>
      </c>
      <c r="C839" s="251" t="s">
        <v>2730</v>
      </c>
      <c r="D839" s="73" t="str">
        <f>IFERROR(VLOOKUP(C839,Stock,3,FALSE),"")</f>
        <v>Honda HR-V 14-21 5D SUV (Honda)</v>
      </c>
      <c r="E839" s="56">
        <v>1.0</v>
      </c>
      <c r="F839" s="161">
        <v>3056000.0</v>
      </c>
      <c r="G839" s="162">
        <f t="shared" si="14"/>
        <v>3056000</v>
      </c>
      <c r="H839" s="194"/>
      <c r="I839" s="204">
        <f t="shared" si="11"/>
        <v>3056000</v>
      </c>
      <c r="J839" s="164">
        <f t="shared" si="12"/>
        <v>3056000</v>
      </c>
      <c r="K839" s="284" t="s">
        <v>5223</v>
      </c>
      <c r="L839" s="165" t="s">
        <v>5224</v>
      </c>
      <c r="M839" s="73"/>
      <c r="N839" s="289" t="s">
        <v>5225</v>
      </c>
      <c r="O839" s="169" t="s">
        <v>2958</v>
      </c>
      <c r="P839" s="168" t="s">
        <v>3112</v>
      </c>
      <c r="Q839" s="173"/>
      <c r="R839" s="167">
        <v>3056000.0</v>
      </c>
      <c r="S839" s="173"/>
      <c r="T839" s="173"/>
      <c r="U839" s="173"/>
      <c r="V839" s="168" t="s">
        <v>3799</v>
      </c>
      <c r="W839" s="169"/>
      <c r="X839" s="169" t="s">
        <v>5226</v>
      </c>
    </row>
    <row r="840" ht="15.0" customHeight="1">
      <c r="A840" s="127">
        <v>45571.0</v>
      </c>
      <c r="B840" s="181" t="s">
        <v>5222</v>
      </c>
      <c r="C840" s="56" t="s">
        <v>4027</v>
      </c>
      <c r="D840" s="73" t="str">
        <f>IFERROR(VLOOKUP(C840,Stock,3,FALSE),"")</f>
        <v>501 Sealant Application</v>
      </c>
      <c r="E840" s="56">
        <v>1.0</v>
      </c>
      <c r="F840" s="161">
        <v>100000.0</v>
      </c>
      <c r="G840" s="162">
        <f t="shared" si="14"/>
        <v>100000</v>
      </c>
      <c r="H840" s="194"/>
      <c r="I840" s="204">
        <f t="shared" si="11"/>
        <v>100000</v>
      </c>
      <c r="J840" s="164">
        <f t="shared" si="12"/>
        <v>100000</v>
      </c>
      <c r="K840" s="284" t="s">
        <v>5223</v>
      </c>
      <c r="L840" s="165" t="s">
        <v>5224</v>
      </c>
      <c r="M840" s="73"/>
      <c r="N840" s="289" t="s">
        <v>5225</v>
      </c>
      <c r="O840" s="169" t="s">
        <v>2958</v>
      </c>
      <c r="P840" s="168" t="s">
        <v>3112</v>
      </c>
      <c r="Q840" s="173"/>
      <c r="R840" s="167">
        <v>100000.0</v>
      </c>
      <c r="S840" s="173"/>
      <c r="T840" s="173"/>
      <c r="U840" s="173"/>
      <c r="V840" s="168" t="s">
        <v>3799</v>
      </c>
      <c r="W840" s="169"/>
      <c r="X840" s="169" t="s">
        <v>5226</v>
      </c>
    </row>
    <row r="841" ht="15.0" customHeight="1">
      <c r="A841" s="127">
        <v>45571.0</v>
      </c>
      <c r="B841" s="181" t="s">
        <v>5227</v>
      </c>
      <c r="C841" s="56" t="s">
        <v>3360</v>
      </c>
      <c r="D841" s="73" t="str">
        <f>IFERROR(VLOOKUP(C841,Stock,3,FALSE),"")</f>
        <v>Mitsubishi Xpander 17-</v>
      </c>
      <c r="E841" s="56">
        <v>1.0</v>
      </c>
      <c r="F841" s="161">
        <v>1800000.0</v>
      </c>
      <c r="G841" s="162">
        <f t="shared" si="14"/>
        <v>1800000</v>
      </c>
      <c r="H841" s="194"/>
      <c r="I841" s="204">
        <f t="shared" si="11"/>
        <v>1800000</v>
      </c>
      <c r="J841" s="164">
        <f t="shared" si="12"/>
        <v>1800000</v>
      </c>
      <c r="K841" s="284" t="s">
        <v>5228</v>
      </c>
      <c r="L841" s="165" t="s">
        <v>5229</v>
      </c>
      <c r="M841" s="73"/>
      <c r="N841" s="289" t="s">
        <v>5230</v>
      </c>
      <c r="O841" s="169" t="s">
        <v>3858</v>
      </c>
      <c r="P841" s="168" t="s">
        <v>3112</v>
      </c>
      <c r="Q841" s="173"/>
      <c r="R841" s="167">
        <v>1800000.0</v>
      </c>
      <c r="S841" s="173"/>
      <c r="T841" s="173"/>
      <c r="U841" s="173"/>
      <c r="V841" s="168" t="s">
        <v>3799</v>
      </c>
      <c r="W841" s="169"/>
      <c r="X841" s="219">
        <v>45573.0</v>
      </c>
    </row>
    <row r="842" ht="15.0" customHeight="1">
      <c r="A842" s="127">
        <v>45571.0</v>
      </c>
      <c r="B842" s="181" t="s">
        <v>5231</v>
      </c>
      <c r="C842" s="56" t="s">
        <v>2744</v>
      </c>
      <c r="D842" s="73" t="str">
        <f>IFERROR(VLOOKUP(C842,Stock,3,FALSE),"")</f>
        <v>Toyota Fortuner 05-15 1st Gen (Hitam)</v>
      </c>
      <c r="E842" s="56">
        <v>1.0</v>
      </c>
      <c r="F842" s="161">
        <v>1950000.0</v>
      </c>
      <c r="G842" s="162">
        <f t="shared" si="14"/>
        <v>1950000</v>
      </c>
      <c r="H842" s="194"/>
      <c r="I842" s="204">
        <f t="shared" si="11"/>
        <v>1950000</v>
      </c>
      <c r="J842" s="164">
        <f t="shared" si="12"/>
        <v>1950000</v>
      </c>
      <c r="K842" s="284" t="s">
        <v>5232</v>
      </c>
      <c r="L842" s="165" t="s">
        <v>5233</v>
      </c>
      <c r="M842" s="73"/>
      <c r="N842" s="171"/>
      <c r="O842" s="169" t="s">
        <v>5220</v>
      </c>
      <c r="P842" s="168" t="s">
        <v>3112</v>
      </c>
      <c r="Q842" s="173"/>
      <c r="R842" s="167">
        <v>1950000.0</v>
      </c>
      <c r="S842" s="173"/>
      <c r="T842" s="173"/>
      <c r="U842" s="173"/>
      <c r="V842" s="168" t="s">
        <v>3799</v>
      </c>
      <c r="W842" s="169"/>
      <c r="X842" s="169" t="s">
        <v>5234</v>
      </c>
    </row>
    <row r="843" ht="15.0" customHeight="1">
      <c r="A843" s="127">
        <v>45571.0</v>
      </c>
      <c r="B843" s="181" t="s">
        <v>5231</v>
      </c>
      <c r="C843" s="251" t="s">
        <v>2934</v>
      </c>
      <c r="D843" s="73" t="str">
        <f>IFERROR(VLOOKUP(C843,Stock,3,FALSE),"")</f>
        <v>Peti Kayu</v>
      </c>
      <c r="E843" s="56">
        <v>1.0</v>
      </c>
      <c r="F843" s="161">
        <v>200000.0</v>
      </c>
      <c r="G843" s="162">
        <f t="shared" si="14"/>
        <v>200000</v>
      </c>
      <c r="H843" s="194"/>
      <c r="I843" s="204">
        <f t="shared" si="11"/>
        <v>200000</v>
      </c>
      <c r="J843" s="164">
        <f t="shared" si="12"/>
        <v>200000</v>
      </c>
      <c r="K843" s="284" t="s">
        <v>5235</v>
      </c>
      <c r="L843" s="165" t="s">
        <v>5233</v>
      </c>
      <c r="M843" s="73"/>
      <c r="N843" s="171"/>
      <c r="O843" s="169" t="s">
        <v>5220</v>
      </c>
      <c r="P843" s="168" t="s">
        <v>3112</v>
      </c>
      <c r="Q843" s="173"/>
      <c r="R843" s="167">
        <v>200000.0</v>
      </c>
      <c r="S843" s="173"/>
      <c r="T843" s="173"/>
      <c r="U843" s="173"/>
      <c r="V843" s="168" t="s">
        <v>3799</v>
      </c>
      <c r="W843" s="169"/>
      <c r="X843" s="169" t="s">
        <v>5234</v>
      </c>
    </row>
    <row r="844" ht="15.0" customHeight="1">
      <c r="A844" s="127">
        <v>45571.0</v>
      </c>
      <c r="B844" s="181" t="s">
        <v>5231</v>
      </c>
      <c r="C844" s="169" t="s">
        <v>4027</v>
      </c>
      <c r="D844" s="73" t="str">
        <f>IFERROR(VLOOKUP(C844,Stock,3,FALSE),"")</f>
        <v>501 Sealant Application</v>
      </c>
      <c r="E844" s="56">
        <v>5.0</v>
      </c>
      <c r="F844" s="161">
        <v>95000.0</v>
      </c>
      <c r="G844" s="161">
        <v>475000.0</v>
      </c>
      <c r="H844" s="194"/>
      <c r="I844" s="204">
        <f t="shared" si="11"/>
        <v>475000</v>
      </c>
      <c r="J844" s="164">
        <f t="shared" si="12"/>
        <v>475000</v>
      </c>
      <c r="K844" s="284" t="s">
        <v>5235</v>
      </c>
      <c r="L844" s="165" t="s">
        <v>5233</v>
      </c>
      <c r="M844" s="73"/>
      <c r="N844" s="171"/>
      <c r="O844" s="169" t="s">
        <v>5220</v>
      </c>
      <c r="P844" s="168" t="s">
        <v>3112</v>
      </c>
      <c r="Q844" s="173"/>
      <c r="R844" s="167">
        <v>475000.0</v>
      </c>
      <c r="S844" s="173"/>
      <c r="T844" s="173"/>
      <c r="U844" s="173"/>
      <c r="V844" s="168" t="s">
        <v>3799</v>
      </c>
      <c r="W844" s="169"/>
      <c r="X844" s="169" t="s">
        <v>5234</v>
      </c>
    </row>
    <row r="845" ht="15.0" customHeight="1">
      <c r="A845" s="252">
        <v>45572.0</v>
      </c>
      <c r="B845" s="253" t="s">
        <v>5236</v>
      </c>
      <c r="C845" s="256" t="s">
        <v>3045</v>
      </c>
      <c r="D845" s="255" t="str">
        <f>IFERROR(VLOOKUP(C845,Stock,3,FALSE),"")</f>
        <v>Pemasangan Kaca Mobil Depan</v>
      </c>
      <c r="E845" s="256">
        <v>1.0</v>
      </c>
      <c r="F845" s="257">
        <v>450000.0</v>
      </c>
      <c r="G845" s="258">
        <f t="shared" ref="G845:G850" si="15">$E$611*F845</f>
        <v>450000</v>
      </c>
      <c r="H845" s="259"/>
      <c r="I845" s="204">
        <f t="shared" si="11"/>
        <v>450000</v>
      </c>
      <c r="J845" s="260">
        <f t="shared" si="12"/>
        <v>450000</v>
      </c>
      <c r="K845" s="256" t="s">
        <v>5237</v>
      </c>
      <c r="L845" s="261" t="s">
        <v>5238</v>
      </c>
      <c r="M845" s="255"/>
      <c r="N845" s="262" t="s">
        <v>5239</v>
      </c>
      <c r="O845" s="262" t="s">
        <v>2958</v>
      </c>
      <c r="P845" s="263" t="s">
        <v>3112</v>
      </c>
      <c r="Q845" s="265">
        <v>450000.0</v>
      </c>
      <c r="R845" s="264"/>
      <c r="S845" s="264"/>
      <c r="T845" s="264"/>
      <c r="U845" s="264"/>
      <c r="V845" s="263" t="s">
        <v>3883</v>
      </c>
      <c r="W845" s="262"/>
      <c r="X845" s="266">
        <v>45573.0</v>
      </c>
    </row>
    <row r="846" ht="15.0" customHeight="1">
      <c r="A846" s="127">
        <v>45572.0</v>
      </c>
      <c r="B846" s="181" t="s">
        <v>5240</v>
      </c>
      <c r="C846" s="251" t="s">
        <v>5241</v>
      </c>
      <c r="D846" s="73" t="str">
        <f>IFERROR(VLOOKUP(C846,Stock,3,FALSE),"")</f>
        <v>Honda Brio 18-</v>
      </c>
      <c r="E846" s="56">
        <v>1.0</v>
      </c>
      <c r="F846" s="161">
        <v>940000.0</v>
      </c>
      <c r="G846" s="162">
        <f t="shared" si="15"/>
        <v>940000</v>
      </c>
      <c r="H846" s="194"/>
      <c r="I846" s="204">
        <f t="shared" si="11"/>
        <v>940000</v>
      </c>
      <c r="J846" s="164">
        <f t="shared" si="12"/>
        <v>940000</v>
      </c>
      <c r="K846" s="284" t="s">
        <v>4831</v>
      </c>
      <c r="L846" s="165" t="s">
        <v>5242</v>
      </c>
      <c r="M846" s="73"/>
      <c r="N846" s="171"/>
      <c r="O846" s="169" t="s">
        <v>2958</v>
      </c>
      <c r="P846" s="168" t="s">
        <v>3011</v>
      </c>
      <c r="Q846" s="167">
        <v>1000000.0</v>
      </c>
      <c r="R846" s="173"/>
      <c r="S846" s="173"/>
      <c r="T846" s="173"/>
      <c r="U846" s="167">
        <v>60000.0</v>
      </c>
      <c r="V846" s="168" t="s">
        <v>3799</v>
      </c>
      <c r="W846" s="169"/>
      <c r="X846" s="219">
        <v>45580.0</v>
      </c>
    </row>
    <row r="847" ht="15.0" customHeight="1">
      <c r="A847" s="127">
        <v>45572.0</v>
      </c>
      <c r="B847" s="181" t="s">
        <v>5243</v>
      </c>
      <c r="C847" s="251" t="s">
        <v>3360</v>
      </c>
      <c r="D847" s="73" t="str">
        <f>IFERROR(VLOOKUP(C847,Stock,3,FALSE),"")</f>
        <v>Mitsubishi Xpander 17-</v>
      </c>
      <c r="E847" s="56">
        <v>1.0</v>
      </c>
      <c r="F847" s="161">
        <v>1444000.0</v>
      </c>
      <c r="G847" s="162">
        <f t="shared" si="15"/>
        <v>1444000</v>
      </c>
      <c r="H847" s="194"/>
      <c r="I847" s="204">
        <f t="shared" si="11"/>
        <v>1444000</v>
      </c>
      <c r="J847" s="164">
        <f t="shared" si="12"/>
        <v>1444000</v>
      </c>
      <c r="K847" s="284" t="s">
        <v>5244</v>
      </c>
      <c r="L847" s="165" t="s">
        <v>5245</v>
      </c>
      <c r="M847" s="73"/>
      <c r="N847" s="171"/>
      <c r="O847" s="169" t="s">
        <v>2958</v>
      </c>
      <c r="P847" s="168" t="s">
        <v>3011</v>
      </c>
      <c r="Q847" s="167">
        <v>1500000.0</v>
      </c>
      <c r="R847" s="173"/>
      <c r="S847" s="173"/>
      <c r="T847" s="173"/>
      <c r="U847" s="167">
        <v>56000.0</v>
      </c>
      <c r="V847" s="168" t="s">
        <v>3799</v>
      </c>
      <c r="W847" s="169"/>
      <c r="X847" s="219">
        <v>45580.0</v>
      </c>
    </row>
    <row r="848" ht="15.0" customHeight="1">
      <c r="A848" s="127">
        <v>45572.0</v>
      </c>
      <c r="B848" s="181" t="s">
        <v>5246</v>
      </c>
      <c r="C848" s="251" t="s">
        <v>2591</v>
      </c>
      <c r="D848" s="73" t="str">
        <f>IFERROR(VLOOKUP(C848,Stock,3,FALSE),"")</f>
        <v>Nissan Serena 10-19 MKIV C26</v>
      </c>
      <c r="E848" s="56">
        <v>1.0</v>
      </c>
      <c r="F848" s="161">
        <v>2754000.0</v>
      </c>
      <c r="G848" s="162">
        <f t="shared" si="15"/>
        <v>2754000</v>
      </c>
      <c r="H848" s="201">
        <v>200.0</v>
      </c>
      <c r="I848" s="204">
        <f t="shared" si="11"/>
        <v>2753800</v>
      </c>
      <c r="J848" s="164">
        <f t="shared" si="12"/>
        <v>2753800</v>
      </c>
      <c r="K848" s="56" t="s">
        <v>5247</v>
      </c>
      <c r="L848" s="165" t="s">
        <v>5248</v>
      </c>
      <c r="M848" s="56" t="s">
        <v>5249</v>
      </c>
      <c r="N848" s="169" t="s">
        <v>5250</v>
      </c>
      <c r="O848" s="169" t="s">
        <v>2958</v>
      </c>
      <c r="P848" s="168" t="s">
        <v>3112</v>
      </c>
      <c r="Q848" s="167">
        <v>2210000.0</v>
      </c>
      <c r="R848" s="167">
        <v>550800.0</v>
      </c>
      <c r="S848" s="173"/>
      <c r="T848" s="173"/>
      <c r="U848" s="167">
        <v>7000.0</v>
      </c>
      <c r="V848" s="168" t="s">
        <v>3799</v>
      </c>
      <c r="W848" s="169"/>
      <c r="X848" s="219">
        <v>45586.0</v>
      </c>
    </row>
    <row r="849" ht="15.0" customHeight="1">
      <c r="A849" s="127">
        <v>45572.0</v>
      </c>
      <c r="B849" s="181" t="s">
        <v>5251</v>
      </c>
      <c r="C849" s="56" t="s">
        <v>3378</v>
      </c>
      <c r="D849" s="73" t="str">
        <f>IFERROR(VLOOKUP(C849,Stock,3,FALSE),"")</f>
        <v>Isuzu Panther 00- 2nd Gen</v>
      </c>
      <c r="E849" s="56">
        <v>1.0</v>
      </c>
      <c r="F849" s="161">
        <v>1338000.0</v>
      </c>
      <c r="G849" s="162">
        <f t="shared" si="15"/>
        <v>1338000</v>
      </c>
      <c r="H849" s="194"/>
      <c r="I849" s="204">
        <f t="shared" si="11"/>
        <v>1338000</v>
      </c>
      <c r="J849" s="164">
        <f t="shared" si="12"/>
        <v>1338000</v>
      </c>
      <c r="K849" s="56" t="s">
        <v>5252</v>
      </c>
      <c r="L849" s="165" t="s">
        <v>5253</v>
      </c>
      <c r="M849" s="56" t="s">
        <v>5254</v>
      </c>
      <c r="N849" s="169" t="s">
        <v>5255</v>
      </c>
      <c r="O849" s="169" t="s">
        <v>2958</v>
      </c>
      <c r="P849" s="168" t="s">
        <v>3011</v>
      </c>
      <c r="Q849" s="167">
        <v>1338000.0</v>
      </c>
      <c r="R849" s="167"/>
      <c r="S849" s="173"/>
      <c r="T849" s="173"/>
      <c r="U849" s="173"/>
      <c r="V849" s="168" t="s">
        <v>3883</v>
      </c>
      <c r="W849" s="169"/>
      <c r="X849" s="219">
        <v>45580.0</v>
      </c>
    </row>
    <row r="850" ht="15.0" customHeight="1">
      <c r="A850" s="127">
        <v>45572.0</v>
      </c>
      <c r="B850" s="181" t="s">
        <v>5256</v>
      </c>
      <c r="C850" s="251" t="s">
        <v>2934</v>
      </c>
      <c r="D850" s="73" t="str">
        <f>IFERROR(VLOOKUP(C850,Stock,3,FALSE),"")</f>
        <v>Peti Kayu</v>
      </c>
      <c r="E850" s="56">
        <v>1.0</v>
      </c>
      <c r="F850" s="161">
        <v>200000.0</v>
      </c>
      <c r="G850" s="162">
        <f t="shared" si="15"/>
        <v>200000</v>
      </c>
      <c r="H850" s="194"/>
      <c r="I850" s="204">
        <f t="shared" si="11"/>
        <v>200000</v>
      </c>
      <c r="J850" s="164">
        <f t="shared" si="12"/>
        <v>200000</v>
      </c>
      <c r="K850" s="284" t="s">
        <v>5244</v>
      </c>
      <c r="L850" s="165" t="s">
        <v>5245</v>
      </c>
      <c r="M850" s="73"/>
      <c r="N850" s="171"/>
      <c r="O850" s="169" t="s">
        <v>2958</v>
      </c>
      <c r="P850" s="168" t="s">
        <v>3011</v>
      </c>
      <c r="Q850" s="167">
        <v>200000.0</v>
      </c>
      <c r="R850" s="173"/>
      <c r="S850" s="173"/>
      <c r="T850" s="173"/>
      <c r="U850" s="173"/>
      <c r="V850" s="168" t="s">
        <v>3883</v>
      </c>
      <c r="W850" s="169"/>
      <c r="X850" s="219">
        <v>45580.0</v>
      </c>
    </row>
    <row r="851" ht="15.0" customHeight="1">
      <c r="A851" s="127">
        <v>45573.0</v>
      </c>
      <c r="B851" s="181" t="s">
        <v>5257</v>
      </c>
      <c r="C851" s="251" t="s">
        <v>3059</v>
      </c>
      <c r="D851" s="73" t="str">
        <f>IFERROR(VLOOKUP(C851,Stock,3,FALSE),"")</f>
        <v>Sealant Polyurethane XYG Tube</v>
      </c>
      <c r="E851" s="56">
        <v>2.0</v>
      </c>
      <c r="F851" s="161">
        <v>75000.0</v>
      </c>
      <c r="G851" s="161">
        <v>150000.0</v>
      </c>
      <c r="H851" s="194"/>
      <c r="I851" s="204">
        <f t="shared" si="11"/>
        <v>150000</v>
      </c>
      <c r="J851" s="164">
        <f t="shared" si="12"/>
        <v>150000</v>
      </c>
      <c r="K851" s="284" t="s">
        <v>5244</v>
      </c>
      <c r="L851" s="56" t="s">
        <v>5258</v>
      </c>
      <c r="M851" s="73"/>
      <c r="N851" s="171"/>
      <c r="O851" s="169" t="s">
        <v>2958</v>
      </c>
      <c r="P851" s="168" t="s">
        <v>3011</v>
      </c>
      <c r="Q851" s="167">
        <v>150000.0</v>
      </c>
      <c r="R851" s="173"/>
      <c r="S851" s="173"/>
      <c r="T851" s="173"/>
      <c r="U851" s="173"/>
      <c r="V851" s="168" t="s">
        <v>4262</v>
      </c>
      <c r="W851" s="169"/>
      <c r="X851" s="219">
        <v>45580.0</v>
      </c>
    </row>
    <row r="852" ht="15.0" customHeight="1">
      <c r="A852" s="127">
        <v>45573.0</v>
      </c>
      <c r="B852" s="181" t="s">
        <v>5257</v>
      </c>
      <c r="C852" s="56" t="s">
        <v>2954</v>
      </c>
      <c r="D852" s="73" t="str">
        <f>IFERROR(VLOOKUP(C852,Stock,3,FALSE),"")</f>
        <v>Transport</v>
      </c>
      <c r="E852" s="56">
        <v>1.0</v>
      </c>
      <c r="F852" s="161">
        <v>50000.0</v>
      </c>
      <c r="G852" s="162">
        <f t="shared" ref="G852:G873" si="16">$E$611*F852</f>
        <v>50000</v>
      </c>
      <c r="H852" s="194"/>
      <c r="I852" s="204">
        <f t="shared" si="11"/>
        <v>50000</v>
      </c>
      <c r="J852" s="164">
        <f t="shared" si="12"/>
        <v>50000</v>
      </c>
      <c r="K852" s="284" t="s">
        <v>5244</v>
      </c>
      <c r="L852" s="56" t="s">
        <v>5259</v>
      </c>
      <c r="M852" s="73"/>
      <c r="N852" s="171"/>
      <c r="O852" s="169" t="s">
        <v>2958</v>
      </c>
      <c r="P852" s="168" t="s">
        <v>3011</v>
      </c>
      <c r="Q852" s="167">
        <v>50000.0</v>
      </c>
      <c r="R852" s="173"/>
      <c r="S852" s="173"/>
      <c r="T852" s="173"/>
      <c r="U852" s="173"/>
      <c r="V852" s="168" t="s">
        <v>4262</v>
      </c>
      <c r="W852" s="169"/>
      <c r="X852" s="219">
        <v>45580.0</v>
      </c>
    </row>
    <row r="853" ht="15.0" customHeight="1">
      <c r="A853" s="127">
        <v>45573.0</v>
      </c>
      <c r="B853" s="181" t="s">
        <v>5260</v>
      </c>
      <c r="C853" s="56" t="s">
        <v>2541</v>
      </c>
      <c r="D853" s="73" t="str">
        <f>IFERROR(VLOOKUP(C853,Stock,3,FALSE),"")</f>
        <v>Nissan Datsun Go/Go+ 14- (5-Seater)</v>
      </c>
      <c r="E853" s="56">
        <v>1.0</v>
      </c>
      <c r="F853" s="161">
        <v>1020000.0</v>
      </c>
      <c r="G853" s="162">
        <f t="shared" si="16"/>
        <v>1020000</v>
      </c>
      <c r="H853" s="194"/>
      <c r="I853" s="204">
        <f t="shared" si="11"/>
        <v>1020000</v>
      </c>
      <c r="J853" s="164">
        <f t="shared" si="12"/>
        <v>1020000</v>
      </c>
      <c r="K853" s="56" t="s">
        <v>5261</v>
      </c>
      <c r="L853" s="73"/>
      <c r="M853" s="73"/>
      <c r="N853" s="171"/>
      <c r="O853" s="169" t="s">
        <v>2958</v>
      </c>
      <c r="P853" s="168" t="s">
        <v>3112</v>
      </c>
      <c r="Q853" s="173"/>
      <c r="R853" s="173"/>
      <c r="S853" s="173"/>
      <c r="T853" s="173"/>
      <c r="U853" s="173"/>
      <c r="V853" s="168" t="s">
        <v>3799</v>
      </c>
      <c r="W853" s="169"/>
      <c r="X853" s="219">
        <v>45596.0</v>
      </c>
    </row>
    <row r="854" ht="15.0" customHeight="1">
      <c r="A854" s="127">
        <v>45573.0</v>
      </c>
      <c r="B854" s="181" t="s">
        <v>5260</v>
      </c>
      <c r="C854" s="56" t="s">
        <v>5262</v>
      </c>
      <c r="D854" s="73" t="str">
        <f>IFERROR(VLOOKUP(C854,Stock,3,FALSE),"")</f>
        <v>Nissan March 10- K13</v>
      </c>
      <c r="E854" s="56">
        <v>1.0</v>
      </c>
      <c r="F854" s="161">
        <v>1143000.0</v>
      </c>
      <c r="G854" s="162">
        <f t="shared" si="16"/>
        <v>1143000</v>
      </c>
      <c r="H854" s="194"/>
      <c r="I854" s="204">
        <f t="shared" si="11"/>
        <v>1143000</v>
      </c>
      <c r="J854" s="164">
        <f t="shared" si="12"/>
        <v>1143000</v>
      </c>
      <c r="K854" s="56" t="s">
        <v>5261</v>
      </c>
      <c r="L854" s="73"/>
      <c r="M854" s="73"/>
      <c r="N854" s="171"/>
      <c r="O854" s="169" t="s">
        <v>2958</v>
      </c>
      <c r="P854" s="168" t="s">
        <v>3112</v>
      </c>
      <c r="Q854" s="173"/>
      <c r="R854" s="173"/>
      <c r="S854" s="173"/>
      <c r="T854" s="173"/>
      <c r="U854" s="173"/>
      <c r="V854" s="168" t="s">
        <v>3799</v>
      </c>
      <c r="W854" s="169"/>
      <c r="X854" s="219">
        <v>45596.0</v>
      </c>
    </row>
    <row r="855" ht="15.0" customHeight="1">
      <c r="A855" s="127">
        <v>45573.0</v>
      </c>
      <c r="B855" s="181" t="s">
        <v>5260</v>
      </c>
      <c r="C855" s="56" t="s">
        <v>4907</v>
      </c>
      <c r="D855" s="73" t="str">
        <f>IFERROR(VLOOKUP(C855,Stock,3,FALSE),"")</f>
        <v>Nissan Livina 07-12 L10 (Tanpa Lubang)</v>
      </c>
      <c r="E855" s="56">
        <v>1.0</v>
      </c>
      <c r="F855" s="161">
        <v>849000.0</v>
      </c>
      <c r="G855" s="162">
        <f t="shared" si="16"/>
        <v>849000</v>
      </c>
      <c r="H855" s="194"/>
      <c r="I855" s="204">
        <f t="shared" si="11"/>
        <v>849000</v>
      </c>
      <c r="J855" s="164">
        <f t="shared" si="12"/>
        <v>849000</v>
      </c>
      <c r="K855" s="56" t="s">
        <v>5261</v>
      </c>
      <c r="L855" s="73"/>
      <c r="M855" s="73"/>
      <c r="N855" s="171"/>
      <c r="O855" s="169" t="s">
        <v>2958</v>
      </c>
      <c r="P855" s="168" t="s">
        <v>3112</v>
      </c>
      <c r="Q855" s="173"/>
      <c r="R855" s="173"/>
      <c r="S855" s="173"/>
      <c r="T855" s="173"/>
      <c r="U855" s="173"/>
      <c r="V855" s="168" t="s">
        <v>3799</v>
      </c>
      <c r="W855" s="169"/>
      <c r="X855" s="219">
        <v>45596.0</v>
      </c>
    </row>
    <row r="856" ht="15.0" customHeight="1">
      <c r="A856" s="127">
        <v>45573.0</v>
      </c>
      <c r="B856" s="181" t="s">
        <v>5260</v>
      </c>
      <c r="C856" s="56" t="s">
        <v>5263</v>
      </c>
      <c r="D856" s="73" t="str">
        <f>IFERROR(VLOOKUP(C856,Stock,3,FALSE),"")</f>
        <v>Suzuki Carry (1000cc)</v>
      </c>
      <c r="E856" s="56">
        <v>1.0</v>
      </c>
      <c r="F856" s="161">
        <v>330000.0</v>
      </c>
      <c r="G856" s="162">
        <f t="shared" si="16"/>
        <v>330000</v>
      </c>
      <c r="H856" s="194"/>
      <c r="I856" s="204">
        <f t="shared" si="11"/>
        <v>330000</v>
      </c>
      <c r="J856" s="164">
        <f t="shared" si="12"/>
        <v>330000</v>
      </c>
      <c r="K856" s="56" t="s">
        <v>5261</v>
      </c>
      <c r="L856" s="73"/>
      <c r="M856" s="73"/>
      <c r="N856" s="171"/>
      <c r="O856" s="169" t="s">
        <v>2958</v>
      </c>
      <c r="P856" s="168" t="s">
        <v>3112</v>
      </c>
      <c r="Q856" s="173"/>
      <c r="R856" s="173"/>
      <c r="S856" s="173"/>
      <c r="T856" s="173"/>
      <c r="U856" s="173"/>
      <c r="V856" s="168" t="s">
        <v>3799</v>
      </c>
      <c r="W856" s="169"/>
      <c r="X856" s="219">
        <v>45596.0</v>
      </c>
    </row>
    <row r="857" ht="15.0" customHeight="1">
      <c r="A857" s="127">
        <v>45573.0</v>
      </c>
      <c r="B857" s="181" t="s">
        <v>5264</v>
      </c>
      <c r="C857" s="251" t="s">
        <v>2703</v>
      </c>
      <c r="D857" s="73" t="str">
        <f>IFERROR(VLOOKUP(C857,Stock,3,FALSE),"")</f>
        <v>Toyota Hi-Ace 04-20 Commuter</v>
      </c>
      <c r="E857" s="56">
        <v>1.0</v>
      </c>
      <c r="F857" s="161">
        <v>1559000.0</v>
      </c>
      <c r="G857" s="162">
        <f t="shared" si="16"/>
        <v>1559000</v>
      </c>
      <c r="H857" s="194"/>
      <c r="I857" s="204">
        <f t="shared" si="11"/>
        <v>1559000</v>
      </c>
      <c r="J857" s="164">
        <f t="shared" si="12"/>
        <v>1559000</v>
      </c>
      <c r="K857" s="56" t="s">
        <v>5265</v>
      </c>
      <c r="L857" s="165" t="s">
        <v>5266</v>
      </c>
      <c r="M857" s="73"/>
      <c r="N857" s="171"/>
      <c r="O857" s="169" t="s">
        <v>4961</v>
      </c>
      <c r="P857" s="168" t="s">
        <v>5077</v>
      </c>
      <c r="Q857" s="173"/>
      <c r="R857" s="173"/>
      <c r="S857" s="167">
        <v>1559000.0</v>
      </c>
      <c r="T857" s="167">
        <v>124720.0</v>
      </c>
      <c r="U857" s="173"/>
      <c r="V857" s="168" t="s">
        <v>4262</v>
      </c>
      <c r="W857" s="169"/>
      <c r="X857" s="169" t="s">
        <v>5267</v>
      </c>
    </row>
    <row r="858" ht="15.0" customHeight="1">
      <c r="A858" s="127">
        <v>45573.0</v>
      </c>
      <c r="B858" s="181" t="s">
        <v>5264</v>
      </c>
      <c r="C858" s="56" t="s">
        <v>2934</v>
      </c>
      <c r="D858" s="73" t="str">
        <f>IFERROR(VLOOKUP(C858,Stock,3,FALSE),"")</f>
        <v>Peti Kayu</v>
      </c>
      <c r="E858" s="56">
        <v>1.0</v>
      </c>
      <c r="F858" s="161">
        <v>200000.0</v>
      </c>
      <c r="G858" s="162">
        <f t="shared" si="16"/>
        <v>200000</v>
      </c>
      <c r="H858" s="194"/>
      <c r="I858" s="204">
        <f t="shared" si="11"/>
        <v>200000</v>
      </c>
      <c r="J858" s="164">
        <f t="shared" si="12"/>
        <v>200000</v>
      </c>
      <c r="K858" s="56" t="s">
        <v>5265</v>
      </c>
      <c r="L858" s="165" t="s">
        <v>5266</v>
      </c>
      <c r="M858" s="73"/>
      <c r="N858" s="171"/>
      <c r="O858" s="169" t="s">
        <v>4961</v>
      </c>
      <c r="P858" s="168" t="s">
        <v>5077</v>
      </c>
      <c r="Q858" s="173"/>
      <c r="R858" s="167">
        <v>200000.0</v>
      </c>
      <c r="S858" s="173"/>
      <c r="T858" s="173"/>
      <c r="U858" s="173"/>
      <c r="V858" s="168" t="s">
        <v>4262</v>
      </c>
      <c r="W858" s="169"/>
      <c r="X858" s="219">
        <v>45580.0</v>
      </c>
    </row>
    <row r="859" ht="15.0" customHeight="1">
      <c r="A859" s="127">
        <v>45574.0</v>
      </c>
      <c r="B859" s="181" t="s">
        <v>5268</v>
      </c>
      <c r="C859" s="251" t="s">
        <v>3186</v>
      </c>
      <c r="D859" s="73" t="str">
        <f>IFERROR(VLOOKUP(C859,Stock,3,FALSE),"")</f>
        <v>Daihatsu Gran Max / Luxio 07-</v>
      </c>
      <c r="E859" s="56">
        <v>1.0</v>
      </c>
      <c r="F859" s="161">
        <v>1100000.0</v>
      </c>
      <c r="G859" s="162">
        <f t="shared" si="16"/>
        <v>1100000</v>
      </c>
      <c r="H859" s="194"/>
      <c r="I859" s="204">
        <f t="shared" si="11"/>
        <v>1100000</v>
      </c>
      <c r="J859" s="164">
        <f t="shared" si="12"/>
        <v>1100000</v>
      </c>
      <c r="K859" s="284" t="s">
        <v>5269</v>
      </c>
      <c r="L859" s="165" t="s">
        <v>5270</v>
      </c>
      <c r="M859" s="73"/>
      <c r="N859" s="169" t="s">
        <v>5271</v>
      </c>
      <c r="O859" s="169" t="s">
        <v>2958</v>
      </c>
      <c r="P859" s="168" t="s">
        <v>3112</v>
      </c>
      <c r="Q859" s="167">
        <v>1100000.0</v>
      </c>
      <c r="R859" s="173"/>
      <c r="S859" s="173"/>
      <c r="T859" s="173"/>
      <c r="U859" s="173"/>
      <c r="V859" s="168" t="s">
        <v>3799</v>
      </c>
      <c r="W859" s="169"/>
      <c r="X859" s="219">
        <v>45580.0</v>
      </c>
    </row>
    <row r="860" ht="15.0" customHeight="1">
      <c r="A860" s="127">
        <v>45574.0</v>
      </c>
      <c r="B860" s="181" t="s">
        <v>5268</v>
      </c>
      <c r="C860" s="251" t="s">
        <v>2954</v>
      </c>
      <c r="D860" s="73" t="str">
        <f>IFERROR(VLOOKUP(C860,Stock,3,FALSE),"")</f>
        <v>Transport</v>
      </c>
      <c r="E860" s="56">
        <v>1.0</v>
      </c>
      <c r="F860" s="161">
        <v>50000.0</v>
      </c>
      <c r="G860" s="162">
        <f t="shared" si="16"/>
        <v>50000</v>
      </c>
      <c r="H860" s="194"/>
      <c r="I860" s="204">
        <f t="shared" si="11"/>
        <v>50000</v>
      </c>
      <c r="J860" s="164">
        <f t="shared" si="12"/>
        <v>50000</v>
      </c>
      <c r="K860" s="284" t="s">
        <v>5269</v>
      </c>
      <c r="L860" s="165" t="s">
        <v>5270</v>
      </c>
      <c r="M860" s="73"/>
      <c r="N860" s="169" t="s">
        <v>5271</v>
      </c>
      <c r="O860" s="169" t="s">
        <v>2958</v>
      </c>
      <c r="P860" s="168" t="s">
        <v>3112</v>
      </c>
      <c r="Q860" s="167">
        <v>50000.0</v>
      </c>
      <c r="R860" s="173"/>
      <c r="S860" s="173"/>
      <c r="T860" s="173"/>
      <c r="U860" s="173"/>
      <c r="V860" s="168" t="s">
        <v>3799</v>
      </c>
      <c r="W860" s="169"/>
      <c r="X860" s="219">
        <v>45580.0</v>
      </c>
    </row>
    <row r="861" ht="15.0" customHeight="1">
      <c r="A861" s="127">
        <v>45574.0</v>
      </c>
      <c r="B861" s="181" t="s">
        <v>5272</v>
      </c>
      <c r="C861" s="56" t="s">
        <v>3451</v>
      </c>
      <c r="D861" s="73" t="str">
        <f>IFERROR(VLOOKUP(C861,Stock,3,FALSE),"")</f>
        <v>Toyota Rush / Terios 18-</v>
      </c>
      <c r="E861" s="56">
        <v>1.0</v>
      </c>
      <c r="F861" s="161">
        <v>1110000.0</v>
      </c>
      <c r="G861" s="162">
        <f t="shared" si="16"/>
        <v>1110000</v>
      </c>
      <c r="H861" s="194"/>
      <c r="I861" s="204">
        <f t="shared" si="11"/>
        <v>1110000</v>
      </c>
      <c r="J861" s="164">
        <f t="shared" si="12"/>
        <v>1110000</v>
      </c>
      <c r="K861" s="56" t="s">
        <v>4159</v>
      </c>
      <c r="L861" s="165" t="s">
        <v>5273</v>
      </c>
      <c r="M861" s="73"/>
      <c r="N861" s="171"/>
      <c r="O861" s="169" t="s">
        <v>5274</v>
      </c>
      <c r="P861" s="168" t="s">
        <v>5077</v>
      </c>
      <c r="Q861" s="173"/>
      <c r="R861" s="173"/>
      <c r="S861" s="167">
        <v>1110000.0</v>
      </c>
      <c r="T861" s="167">
        <v>88800.0</v>
      </c>
      <c r="U861" s="173"/>
      <c r="V861" s="168" t="s">
        <v>4262</v>
      </c>
      <c r="W861" s="169"/>
      <c r="X861" s="169" t="s">
        <v>5275</v>
      </c>
    </row>
    <row r="862" ht="15.0" customHeight="1">
      <c r="A862" s="127">
        <v>45574.0</v>
      </c>
      <c r="B862" s="181" t="s">
        <v>5272</v>
      </c>
      <c r="C862" s="56" t="s">
        <v>2934</v>
      </c>
      <c r="D862" s="73" t="str">
        <f>IFERROR(VLOOKUP(C862,Stock,3,FALSE),"")</f>
        <v>Peti Kayu</v>
      </c>
      <c r="E862" s="56">
        <v>1.0</v>
      </c>
      <c r="F862" s="161">
        <v>200000.0</v>
      </c>
      <c r="G862" s="162">
        <f t="shared" si="16"/>
        <v>200000</v>
      </c>
      <c r="H862" s="194"/>
      <c r="I862" s="204">
        <f t="shared" si="11"/>
        <v>200000</v>
      </c>
      <c r="J862" s="164">
        <f t="shared" si="12"/>
        <v>200000</v>
      </c>
      <c r="K862" s="56" t="s">
        <v>4159</v>
      </c>
      <c r="L862" s="165" t="s">
        <v>5273</v>
      </c>
      <c r="M862" s="73"/>
      <c r="N862" s="171"/>
      <c r="O862" s="169" t="s">
        <v>5274</v>
      </c>
      <c r="P862" s="168" t="s">
        <v>5077</v>
      </c>
      <c r="Q862" s="173"/>
      <c r="R862" s="167">
        <v>200000.0</v>
      </c>
      <c r="S862" s="173"/>
      <c r="T862" s="173"/>
      <c r="U862" s="173"/>
      <c r="V862" s="168" t="s">
        <v>4262</v>
      </c>
      <c r="W862" s="169"/>
      <c r="X862" s="219">
        <v>45580.0</v>
      </c>
    </row>
    <row r="863" ht="15.0" customHeight="1">
      <c r="A863" s="127">
        <v>45574.0</v>
      </c>
      <c r="B863" s="181" t="s">
        <v>5276</v>
      </c>
      <c r="C863" s="56" t="s">
        <v>2954</v>
      </c>
      <c r="D863" s="73" t="str">
        <f>IFERROR(VLOOKUP(C863,Stock,3,FALSE),"")</f>
        <v>Transport</v>
      </c>
      <c r="E863" s="56">
        <v>1.0</v>
      </c>
      <c r="F863" s="161">
        <v>50000.0</v>
      </c>
      <c r="G863" s="162">
        <f t="shared" si="16"/>
        <v>50000</v>
      </c>
      <c r="H863" s="194"/>
      <c r="I863" s="204">
        <f t="shared" si="11"/>
        <v>50000</v>
      </c>
      <c r="J863" s="164">
        <f t="shared" si="12"/>
        <v>50000</v>
      </c>
      <c r="K863" s="56" t="s">
        <v>5244</v>
      </c>
      <c r="L863" s="165" t="s">
        <v>5277</v>
      </c>
      <c r="M863" s="73"/>
      <c r="N863" s="171"/>
      <c r="O863" s="169" t="s">
        <v>2958</v>
      </c>
      <c r="P863" s="168" t="s">
        <v>3011</v>
      </c>
      <c r="Q863" s="167">
        <v>50000.0</v>
      </c>
      <c r="R863" s="173"/>
      <c r="S863" s="173"/>
      <c r="T863" s="173"/>
      <c r="U863" s="173"/>
      <c r="V863" s="168" t="s">
        <v>4262</v>
      </c>
      <c r="W863" s="169"/>
      <c r="X863" s="219">
        <v>45580.0</v>
      </c>
    </row>
    <row r="864" ht="15.0" customHeight="1">
      <c r="A864" s="127">
        <v>45574.0</v>
      </c>
      <c r="B864" s="181" t="s">
        <v>5278</v>
      </c>
      <c r="C864" s="251" t="s">
        <v>2954</v>
      </c>
      <c r="D864" s="73" t="str">
        <f>IFERROR(VLOOKUP(C864,Stock,3,FALSE),"")</f>
        <v>Transport</v>
      </c>
      <c r="E864" s="56">
        <v>1.0</v>
      </c>
      <c r="F864" s="161">
        <v>50000.0</v>
      </c>
      <c r="G864" s="162">
        <f t="shared" si="16"/>
        <v>50000</v>
      </c>
      <c r="H864" s="194"/>
      <c r="I864" s="204">
        <f t="shared" si="11"/>
        <v>50000</v>
      </c>
      <c r="J864" s="164">
        <f t="shared" si="12"/>
        <v>50000</v>
      </c>
      <c r="K864" s="305" t="s">
        <v>5279</v>
      </c>
      <c r="L864" s="165" t="s">
        <v>5233</v>
      </c>
      <c r="M864" s="73"/>
      <c r="N864" s="171"/>
      <c r="O864" s="169" t="s">
        <v>5220</v>
      </c>
      <c r="P864" s="168" t="s">
        <v>3112</v>
      </c>
      <c r="Q864" s="173"/>
      <c r="R864" s="167">
        <v>50000.0</v>
      </c>
      <c r="S864" s="173"/>
      <c r="T864" s="173"/>
      <c r="U864" s="173"/>
      <c r="V864" s="168" t="s">
        <v>3799</v>
      </c>
      <c r="W864" s="169"/>
      <c r="X864" s="219">
        <v>45580.0</v>
      </c>
    </row>
    <row r="865" ht="15.0" customHeight="1">
      <c r="A865" s="127">
        <v>45574.0</v>
      </c>
      <c r="B865" s="181" t="s">
        <v>5280</v>
      </c>
      <c r="C865" s="56" t="s">
        <v>2562</v>
      </c>
      <c r="D865" s="73" t="str">
        <f>IFERROR(VLOOKUP(C865,Stock,3,FALSE),"")</f>
        <v>Toyota Avanza / Xenia 15-21 3rd Gen</v>
      </c>
      <c r="E865" s="56">
        <v>1.0</v>
      </c>
      <c r="F865" s="161">
        <v>750000.0</v>
      </c>
      <c r="G865" s="162">
        <f t="shared" si="16"/>
        <v>750000</v>
      </c>
      <c r="H865" s="194"/>
      <c r="I865" s="204">
        <f t="shared" si="11"/>
        <v>750000</v>
      </c>
      <c r="J865" s="164">
        <f t="shared" si="12"/>
        <v>750000</v>
      </c>
      <c r="K865" s="56" t="s">
        <v>4567</v>
      </c>
      <c r="L865" s="165" t="s">
        <v>4568</v>
      </c>
      <c r="M865" s="73"/>
      <c r="N865" s="171"/>
      <c r="O865" s="169" t="s">
        <v>2958</v>
      </c>
      <c r="P865" s="168" t="s">
        <v>3112</v>
      </c>
      <c r="Q865" s="173"/>
      <c r="R865" s="167">
        <v>750000.0</v>
      </c>
      <c r="S865" s="173"/>
      <c r="T865" s="173"/>
      <c r="U865" s="173"/>
      <c r="V865" s="168" t="s">
        <v>4262</v>
      </c>
      <c r="W865" s="169"/>
      <c r="X865" s="219">
        <v>45580.0</v>
      </c>
    </row>
    <row r="866" ht="15.0" customHeight="1">
      <c r="A866" s="127">
        <v>45574.0</v>
      </c>
      <c r="B866" s="181" t="s">
        <v>5280</v>
      </c>
      <c r="C866" s="56" t="s">
        <v>2954</v>
      </c>
      <c r="D866" s="73" t="str">
        <f>IFERROR(VLOOKUP(C866,Stock,3,FALSE),"")</f>
        <v>Transport</v>
      </c>
      <c r="E866" s="56">
        <v>1.0</v>
      </c>
      <c r="F866" s="161">
        <v>50000.0</v>
      </c>
      <c r="G866" s="162">
        <f t="shared" si="16"/>
        <v>50000</v>
      </c>
      <c r="H866" s="194"/>
      <c r="I866" s="204">
        <f t="shared" si="11"/>
        <v>50000</v>
      </c>
      <c r="J866" s="164">
        <f t="shared" si="12"/>
        <v>50000</v>
      </c>
      <c r="K866" s="56" t="s">
        <v>4567</v>
      </c>
      <c r="L866" s="165" t="s">
        <v>4568</v>
      </c>
      <c r="M866" s="73"/>
      <c r="N866" s="171"/>
      <c r="O866" s="169" t="s">
        <v>2958</v>
      </c>
      <c r="P866" s="168" t="s">
        <v>3112</v>
      </c>
      <c r="Q866" s="173"/>
      <c r="R866" s="167">
        <v>50000.0</v>
      </c>
      <c r="S866" s="173"/>
      <c r="T866" s="173"/>
      <c r="U866" s="173"/>
      <c r="V866" s="168" t="s">
        <v>4262</v>
      </c>
      <c r="W866" s="169"/>
      <c r="X866" s="219">
        <v>45580.0</v>
      </c>
    </row>
    <row r="867" ht="15.0" customHeight="1">
      <c r="A867" s="127">
        <v>45574.0</v>
      </c>
      <c r="B867" s="181" t="s">
        <v>5280</v>
      </c>
      <c r="C867" s="169" t="s">
        <v>2934</v>
      </c>
      <c r="D867" s="73" t="str">
        <f>IFERROR(VLOOKUP(C867,Stock,3,FALSE),"")</f>
        <v>Peti Kayu</v>
      </c>
      <c r="E867" s="56">
        <v>1.0</v>
      </c>
      <c r="F867" s="161">
        <v>160000.0</v>
      </c>
      <c r="G867" s="162">
        <f t="shared" si="16"/>
        <v>160000</v>
      </c>
      <c r="H867" s="194"/>
      <c r="I867" s="204">
        <f t="shared" si="11"/>
        <v>160000</v>
      </c>
      <c r="J867" s="164">
        <f t="shared" si="12"/>
        <v>160000</v>
      </c>
      <c r="K867" s="56" t="s">
        <v>4567</v>
      </c>
      <c r="L867" s="165" t="s">
        <v>4568</v>
      </c>
      <c r="M867" s="73"/>
      <c r="N867" s="171"/>
      <c r="O867" s="169" t="s">
        <v>2958</v>
      </c>
      <c r="P867" s="168" t="s">
        <v>3112</v>
      </c>
      <c r="Q867" s="173"/>
      <c r="R867" s="167">
        <v>160000.0</v>
      </c>
      <c r="S867" s="173"/>
      <c r="T867" s="173"/>
      <c r="U867" s="173"/>
      <c r="V867" s="168" t="s">
        <v>4262</v>
      </c>
      <c r="W867" s="169"/>
      <c r="X867" s="219">
        <v>45580.0</v>
      </c>
    </row>
    <row r="868" ht="15.0" customHeight="1">
      <c r="A868" s="127">
        <v>45575.0</v>
      </c>
      <c r="B868" s="181" t="s">
        <v>5281</v>
      </c>
      <c r="C868" s="56" t="s">
        <v>5282</v>
      </c>
      <c r="D868" s="73" t="str">
        <f>IFERROR(VLOOKUP(C868,Stock,3,FALSE),"")</f>
        <v>Mitsubishi Canter FE800 01- (PS136)</v>
      </c>
      <c r="E868" s="56">
        <v>1.0</v>
      </c>
      <c r="F868" s="161">
        <v>1422000.0</v>
      </c>
      <c r="G868" s="162">
        <f t="shared" si="16"/>
        <v>1422000</v>
      </c>
      <c r="H868" s="194"/>
      <c r="I868" s="204">
        <f t="shared" si="11"/>
        <v>1422000</v>
      </c>
      <c r="J868" s="164">
        <f t="shared" si="12"/>
        <v>1422000</v>
      </c>
      <c r="K868" s="56" t="s">
        <v>5283</v>
      </c>
      <c r="L868" s="165" t="s">
        <v>5284</v>
      </c>
      <c r="M868" s="73"/>
      <c r="N868" s="169" t="s">
        <v>5285</v>
      </c>
      <c r="O868" s="169" t="s">
        <v>2958</v>
      </c>
      <c r="P868" s="168" t="s">
        <v>3112</v>
      </c>
      <c r="Q868" s="173"/>
      <c r="R868" s="167">
        <v>1422000.0</v>
      </c>
      <c r="S868" s="173"/>
      <c r="T868" s="173"/>
      <c r="U868" s="173"/>
      <c r="V868" s="168" t="s">
        <v>4262</v>
      </c>
      <c r="W868" s="169"/>
      <c r="X868" s="219">
        <v>45580.0</v>
      </c>
    </row>
    <row r="869" ht="15.0" customHeight="1">
      <c r="A869" s="127">
        <v>45575.0</v>
      </c>
      <c r="B869" s="181" t="s">
        <v>5281</v>
      </c>
      <c r="C869" s="56" t="s">
        <v>2954</v>
      </c>
      <c r="D869" s="73" t="str">
        <f>IFERROR(VLOOKUP(C869,Stock,3,FALSE),"")</f>
        <v>Transport</v>
      </c>
      <c r="E869" s="56">
        <v>1.0</v>
      </c>
      <c r="F869" s="161">
        <v>50000.0</v>
      </c>
      <c r="G869" s="162">
        <f t="shared" si="16"/>
        <v>50000</v>
      </c>
      <c r="H869" s="194"/>
      <c r="I869" s="204">
        <f t="shared" si="11"/>
        <v>50000</v>
      </c>
      <c r="J869" s="164">
        <f t="shared" si="12"/>
        <v>50000</v>
      </c>
      <c r="K869" s="56" t="s">
        <v>5283</v>
      </c>
      <c r="L869" s="165" t="s">
        <v>5284</v>
      </c>
      <c r="M869" s="73"/>
      <c r="N869" s="169" t="s">
        <v>5285</v>
      </c>
      <c r="O869" s="169" t="s">
        <v>2958</v>
      </c>
      <c r="P869" s="168" t="s">
        <v>3112</v>
      </c>
      <c r="Q869" s="173"/>
      <c r="R869" s="167">
        <v>50000.0</v>
      </c>
      <c r="S869" s="173"/>
      <c r="T869" s="173"/>
      <c r="U869" s="173"/>
      <c r="V869" s="168" t="s">
        <v>4262</v>
      </c>
      <c r="W869" s="169"/>
      <c r="X869" s="219">
        <v>45580.0</v>
      </c>
    </row>
    <row r="870" ht="15.0" customHeight="1">
      <c r="A870" s="127">
        <v>45575.0</v>
      </c>
      <c r="B870" s="181" t="s">
        <v>5286</v>
      </c>
      <c r="C870" s="56" t="s">
        <v>2954</v>
      </c>
      <c r="D870" s="73" t="str">
        <f>IFERROR(VLOOKUP(C870,Stock,3,FALSE),"")</f>
        <v>Transport</v>
      </c>
      <c r="E870" s="56">
        <v>1.0</v>
      </c>
      <c r="F870" s="161">
        <v>50000.0</v>
      </c>
      <c r="G870" s="162">
        <f t="shared" si="16"/>
        <v>50000</v>
      </c>
      <c r="H870" s="194"/>
      <c r="I870" s="204">
        <f t="shared" si="11"/>
        <v>50000</v>
      </c>
      <c r="J870" s="164">
        <f t="shared" si="12"/>
        <v>50000</v>
      </c>
      <c r="K870" s="56" t="s">
        <v>5244</v>
      </c>
      <c r="L870" s="165" t="s">
        <v>5277</v>
      </c>
      <c r="M870" s="73"/>
      <c r="N870" s="171"/>
      <c r="O870" s="169" t="s">
        <v>2958</v>
      </c>
      <c r="P870" s="168" t="s">
        <v>3011</v>
      </c>
      <c r="Q870" s="167">
        <v>50000.0</v>
      </c>
      <c r="R870" s="173"/>
      <c r="S870" s="173"/>
      <c r="T870" s="173"/>
      <c r="U870" s="173"/>
      <c r="V870" s="168" t="s">
        <v>4262</v>
      </c>
      <c r="W870" s="169"/>
      <c r="X870" s="219">
        <v>45580.0</v>
      </c>
    </row>
    <row r="871" ht="15.0" customHeight="1">
      <c r="A871" s="127">
        <v>45575.0</v>
      </c>
      <c r="B871" s="181" t="s">
        <v>5287</v>
      </c>
      <c r="C871" s="56" t="s">
        <v>2562</v>
      </c>
      <c r="D871" s="73" t="str">
        <f>IFERROR(VLOOKUP(C871,Stock,3,FALSE),"")</f>
        <v>Toyota Avanza / Xenia 15-21 3rd Gen</v>
      </c>
      <c r="E871" s="56">
        <v>1.0</v>
      </c>
      <c r="F871" s="161">
        <v>1100000.0</v>
      </c>
      <c r="G871" s="162">
        <f t="shared" si="16"/>
        <v>1100000</v>
      </c>
      <c r="H871" s="194"/>
      <c r="I871" s="204">
        <f t="shared" si="11"/>
        <v>1100000</v>
      </c>
      <c r="J871" s="164">
        <f t="shared" si="12"/>
        <v>1100000</v>
      </c>
      <c r="K871" s="56" t="s">
        <v>5288</v>
      </c>
      <c r="L871" s="165" t="s">
        <v>5289</v>
      </c>
      <c r="M871" s="306" t="s">
        <v>5290</v>
      </c>
      <c r="N871" s="169" t="s">
        <v>5291</v>
      </c>
      <c r="O871" s="169" t="s">
        <v>2958</v>
      </c>
      <c r="P871" s="168" t="s">
        <v>3112</v>
      </c>
      <c r="Q871" s="173"/>
      <c r="R871" s="167">
        <v>1100000.0</v>
      </c>
      <c r="S871" s="173"/>
      <c r="T871" s="173"/>
      <c r="U871" s="173"/>
      <c r="V871" s="168" t="s">
        <v>4262</v>
      </c>
      <c r="W871" s="169"/>
      <c r="X871" s="219">
        <v>45580.0</v>
      </c>
    </row>
    <row r="872" ht="15.0" customHeight="1">
      <c r="A872" s="127">
        <v>45575.0</v>
      </c>
      <c r="B872" s="181" t="s">
        <v>5292</v>
      </c>
      <c r="C872" s="56" t="s">
        <v>2954</v>
      </c>
      <c r="D872" s="73" t="str">
        <f>IFERROR(VLOOKUP(C872,Stock,3,FALSE),"")</f>
        <v>Transport</v>
      </c>
      <c r="E872" s="56">
        <v>1.0</v>
      </c>
      <c r="F872" s="161">
        <v>50000.0</v>
      </c>
      <c r="G872" s="162">
        <f t="shared" si="16"/>
        <v>50000</v>
      </c>
      <c r="H872" s="194"/>
      <c r="I872" s="204">
        <f t="shared" si="11"/>
        <v>50000</v>
      </c>
      <c r="J872" s="164">
        <f t="shared" si="12"/>
        <v>50000</v>
      </c>
      <c r="K872" s="56" t="s">
        <v>5237</v>
      </c>
      <c r="L872" s="165" t="s">
        <v>5238</v>
      </c>
      <c r="M872" s="73"/>
      <c r="N872" s="171"/>
      <c r="O872" s="169" t="s">
        <v>2958</v>
      </c>
      <c r="P872" s="168" t="s">
        <v>3112</v>
      </c>
      <c r="Q872" s="173"/>
      <c r="R872" s="173"/>
      <c r="S872" s="173"/>
      <c r="T872" s="173"/>
      <c r="U872" s="173"/>
      <c r="V872" s="168" t="s">
        <v>4262</v>
      </c>
      <c r="W872" s="169"/>
      <c r="X872" s="219">
        <v>45580.0</v>
      </c>
    </row>
    <row r="873" ht="15.0" customHeight="1">
      <c r="A873" s="127">
        <v>45575.0</v>
      </c>
      <c r="B873" s="181" t="s">
        <v>5293</v>
      </c>
      <c r="C873" s="56" t="s">
        <v>5294</v>
      </c>
      <c r="D873" s="73" t="str">
        <f>IFERROR(VLOOKUP(C873,Stock,3,FALSE),"")</f>
        <v>Lexus RX (Harrier) 03-08 XU30</v>
      </c>
      <c r="E873" s="56">
        <v>1.0</v>
      </c>
      <c r="F873" s="161">
        <v>4365000.0</v>
      </c>
      <c r="G873" s="162">
        <f t="shared" si="16"/>
        <v>4365000</v>
      </c>
      <c r="H873" s="194"/>
      <c r="I873" s="204">
        <f t="shared" si="11"/>
        <v>4365000</v>
      </c>
      <c r="J873" s="164">
        <f t="shared" si="12"/>
        <v>4365000</v>
      </c>
      <c r="K873" s="56" t="s">
        <v>5295</v>
      </c>
      <c r="L873" s="165" t="s">
        <v>5296</v>
      </c>
      <c r="M873" s="73"/>
      <c r="N873" s="171"/>
      <c r="O873" s="169" t="s">
        <v>2958</v>
      </c>
      <c r="P873" s="168" t="s">
        <v>3112</v>
      </c>
      <c r="Q873" s="173"/>
      <c r="R873" s="167">
        <v>4365000.0</v>
      </c>
      <c r="S873" s="173"/>
      <c r="T873" s="173"/>
      <c r="U873" s="173"/>
      <c r="V873" s="168" t="s">
        <v>3883</v>
      </c>
      <c r="W873" s="169"/>
      <c r="X873" s="169" t="s">
        <v>5297</v>
      </c>
    </row>
    <row r="874" ht="15.0" customHeight="1">
      <c r="A874" s="127">
        <v>45576.0</v>
      </c>
      <c r="B874" s="181" t="s">
        <v>5298</v>
      </c>
      <c r="C874" s="251" t="s">
        <v>2716</v>
      </c>
      <c r="D874" s="73" t="str">
        <f>IFERROR(VLOOKUP(C874,Stock,3,FALSE),"")</f>
        <v>Mitsubishi Canter FE700 01- (PS110,125)</v>
      </c>
      <c r="E874" s="56">
        <v>2.0</v>
      </c>
      <c r="F874" s="161">
        <v>944000.0</v>
      </c>
      <c r="G874" s="161">
        <v>1888000.0</v>
      </c>
      <c r="H874" s="201">
        <v>86266.9</v>
      </c>
      <c r="I874" s="204">
        <f t="shared" si="11"/>
        <v>1801733.1</v>
      </c>
      <c r="J874" s="164">
        <f t="shared" si="12"/>
        <v>1801733.1</v>
      </c>
      <c r="K874" s="307" t="s">
        <v>5299</v>
      </c>
      <c r="L874" s="165" t="s">
        <v>5300</v>
      </c>
      <c r="M874" s="73"/>
      <c r="N874" s="171"/>
      <c r="O874" s="169" t="s">
        <v>5301</v>
      </c>
      <c r="P874" s="168" t="s">
        <v>3112</v>
      </c>
      <c r="Q874" s="173"/>
      <c r="R874" s="161">
        <v>1801733.0</v>
      </c>
      <c r="S874" s="173"/>
      <c r="T874" s="173"/>
      <c r="U874" s="173"/>
      <c r="V874" s="168" t="s">
        <v>3799</v>
      </c>
      <c r="W874" s="169"/>
      <c r="X874" s="219">
        <v>45580.0</v>
      </c>
    </row>
    <row r="875" ht="15.0" customHeight="1">
      <c r="A875" s="127">
        <v>45576.0</v>
      </c>
      <c r="B875" s="181" t="s">
        <v>5298</v>
      </c>
      <c r="C875" s="251" t="s">
        <v>2714</v>
      </c>
      <c r="D875" s="73" t="str">
        <f>IFERROR(VLOOKUP(C875,Stock,3,FALSE),"")</f>
        <v>Mitsubishi Canter FE700 01- (PS110,125)</v>
      </c>
      <c r="E875" s="56">
        <v>1.0</v>
      </c>
      <c r="F875" s="161">
        <v>944000.0</v>
      </c>
      <c r="G875" s="161">
        <v>944000.0</v>
      </c>
      <c r="H875" s="201">
        <v>86266.67</v>
      </c>
      <c r="I875" s="204">
        <f t="shared" si="11"/>
        <v>857733.33</v>
      </c>
      <c r="J875" s="164">
        <f t="shared" si="12"/>
        <v>857733.33</v>
      </c>
      <c r="K875" s="307" t="s">
        <v>5299</v>
      </c>
      <c r="L875" s="165" t="s">
        <v>5300</v>
      </c>
      <c r="M875" s="73"/>
      <c r="N875" s="171"/>
      <c r="O875" s="169" t="s">
        <v>5301</v>
      </c>
      <c r="P875" s="168" t="s">
        <v>3112</v>
      </c>
      <c r="Q875" s="173"/>
      <c r="R875" s="167">
        <v>857733.0</v>
      </c>
      <c r="S875" s="173"/>
      <c r="T875" s="173"/>
      <c r="U875" s="173"/>
      <c r="V875" s="168" t="s">
        <v>3799</v>
      </c>
      <c r="W875" s="169"/>
      <c r="X875" s="219">
        <v>45580.0</v>
      </c>
    </row>
    <row r="876" ht="15.0" customHeight="1">
      <c r="A876" s="127">
        <v>45576.0</v>
      </c>
      <c r="B876" s="181" t="s">
        <v>5298</v>
      </c>
      <c r="C876" s="251" t="s">
        <v>5282</v>
      </c>
      <c r="D876" s="73" t="str">
        <f>IFERROR(VLOOKUP(C876,Stock,3,FALSE),"")</f>
        <v>Mitsubishi Canter FE800 01- (PS136)</v>
      </c>
      <c r="E876" s="56">
        <v>2.0</v>
      </c>
      <c r="F876" s="161">
        <v>1172000.0</v>
      </c>
      <c r="G876" s="161">
        <v>2344000.0</v>
      </c>
      <c r="H876" s="201">
        <v>86266.67</v>
      </c>
      <c r="I876" s="204">
        <f t="shared" si="11"/>
        <v>2257733.33</v>
      </c>
      <c r="J876" s="164">
        <f t="shared" si="12"/>
        <v>2257733.33</v>
      </c>
      <c r="K876" s="307" t="s">
        <v>5299</v>
      </c>
      <c r="L876" s="165" t="s">
        <v>5300</v>
      </c>
      <c r="M876" s="73"/>
      <c r="N876" s="171"/>
      <c r="O876" s="169" t="s">
        <v>5301</v>
      </c>
      <c r="P876" s="168" t="s">
        <v>3112</v>
      </c>
      <c r="Q876" s="173"/>
      <c r="R876" s="167">
        <v>2257733.0</v>
      </c>
      <c r="S876" s="173"/>
      <c r="T876" s="173"/>
      <c r="U876" s="173"/>
      <c r="V876" s="168" t="s">
        <v>3799</v>
      </c>
      <c r="W876" s="169"/>
      <c r="X876" s="219">
        <v>45580.0</v>
      </c>
    </row>
    <row r="877" ht="15.0" customHeight="1">
      <c r="A877" s="127">
        <v>45576.0</v>
      </c>
      <c r="B877" s="181" t="s">
        <v>5298</v>
      </c>
      <c r="C877" s="169" t="s">
        <v>2934</v>
      </c>
      <c r="D877" s="73" t="str">
        <f>IFERROR(VLOOKUP(C877,Stock,3,FALSE),"")</f>
        <v>Peti Kayu</v>
      </c>
      <c r="E877" s="56">
        <v>1.0</v>
      </c>
      <c r="F877" s="161">
        <v>300000.0</v>
      </c>
      <c r="G877" s="162">
        <f t="shared" ref="G877:G923" si="17">$E$611*F877</f>
        <v>300000</v>
      </c>
      <c r="H877" s="194"/>
      <c r="I877" s="204">
        <f t="shared" si="11"/>
        <v>300000</v>
      </c>
      <c r="J877" s="164">
        <f t="shared" si="12"/>
        <v>300000</v>
      </c>
      <c r="K877" s="307" t="s">
        <v>5299</v>
      </c>
      <c r="L877" s="165" t="s">
        <v>5300</v>
      </c>
      <c r="M877" s="73"/>
      <c r="N877" s="171"/>
      <c r="O877" s="169" t="s">
        <v>5301</v>
      </c>
      <c r="P877" s="168" t="s">
        <v>3112</v>
      </c>
      <c r="Q877" s="173"/>
      <c r="R877" s="167">
        <v>300000.0</v>
      </c>
      <c r="S877" s="173"/>
      <c r="T877" s="173"/>
      <c r="U877" s="173"/>
      <c r="V877" s="168" t="s">
        <v>3799</v>
      </c>
      <c r="W877" s="169"/>
      <c r="X877" s="219">
        <v>45580.0</v>
      </c>
    </row>
    <row r="878" ht="15.0" customHeight="1">
      <c r="A878" s="127">
        <v>45576.0</v>
      </c>
      <c r="B878" s="181" t="s">
        <v>5298</v>
      </c>
      <c r="C878" s="169" t="s">
        <v>2954</v>
      </c>
      <c r="D878" s="73" t="str">
        <f>IFERROR(VLOOKUP(C878,Stock,3,FALSE),"")</f>
        <v>Transport</v>
      </c>
      <c r="E878" s="56">
        <v>1.0</v>
      </c>
      <c r="F878" s="161">
        <v>70000.0</v>
      </c>
      <c r="G878" s="162">
        <f t="shared" si="17"/>
        <v>70000</v>
      </c>
      <c r="H878" s="194"/>
      <c r="I878" s="204">
        <f t="shared" si="11"/>
        <v>70000</v>
      </c>
      <c r="J878" s="164">
        <f t="shared" si="12"/>
        <v>70000</v>
      </c>
      <c r="K878" s="307" t="s">
        <v>5299</v>
      </c>
      <c r="L878" s="165" t="s">
        <v>5300</v>
      </c>
      <c r="M878" s="73"/>
      <c r="N878" s="171"/>
      <c r="O878" s="169" t="s">
        <v>5301</v>
      </c>
      <c r="P878" s="168" t="s">
        <v>3112</v>
      </c>
      <c r="Q878" s="173"/>
      <c r="R878" s="167">
        <v>70000.0</v>
      </c>
      <c r="S878" s="173"/>
      <c r="T878" s="173"/>
      <c r="U878" s="173"/>
      <c r="V878" s="168" t="s">
        <v>3799</v>
      </c>
      <c r="W878" s="169"/>
      <c r="X878" s="219">
        <v>45580.0</v>
      </c>
    </row>
    <row r="879" ht="15.0" customHeight="1">
      <c r="A879" s="127">
        <v>45576.0</v>
      </c>
      <c r="B879" s="181" t="s">
        <v>5302</v>
      </c>
      <c r="C879" s="56" t="s">
        <v>5303</v>
      </c>
      <c r="D879" s="73" t="str">
        <f>IFERROR(VLOOKUP(C879,Stock,3,FALSE),"")</f>
        <v>Nissan Juke 11-</v>
      </c>
      <c r="E879" s="56">
        <v>1.0</v>
      </c>
      <c r="F879" s="161">
        <v>2032000.0</v>
      </c>
      <c r="G879" s="162">
        <f t="shared" si="17"/>
        <v>2032000</v>
      </c>
      <c r="H879" s="194"/>
      <c r="I879" s="204">
        <f t="shared" si="11"/>
        <v>2032000</v>
      </c>
      <c r="J879" s="164">
        <f t="shared" si="12"/>
        <v>2032000</v>
      </c>
      <c r="K879" s="56" t="s">
        <v>5304</v>
      </c>
      <c r="L879" s="165" t="s">
        <v>5305</v>
      </c>
      <c r="M879" s="73"/>
      <c r="N879" s="169" t="s">
        <v>5306</v>
      </c>
      <c r="O879" s="169" t="s">
        <v>3037</v>
      </c>
      <c r="P879" s="168" t="s">
        <v>3112</v>
      </c>
      <c r="Q879" s="173"/>
      <c r="R879" s="167">
        <v>2032000.0</v>
      </c>
      <c r="S879" s="173"/>
      <c r="T879" s="173"/>
      <c r="U879" s="173"/>
      <c r="V879" s="168" t="s">
        <v>3883</v>
      </c>
      <c r="W879" s="169"/>
      <c r="X879" s="219">
        <v>45580.0</v>
      </c>
    </row>
    <row r="880" ht="15.0" customHeight="1">
      <c r="A880" s="127">
        <v>45576.0</v>
      </c>
      <c r="B880" s="181" t="s">
        <v>5302</v>
      </c>
      <c r="C880" s="56" t="s">
        <v>2954</v>
      </c>
      <c r="D880" s="73" t="str">
        <f>IFERROR(VLOOKUP(C880,Stock,3,FALSE),"")</f>
        <v>Transport</v>
      </c>
      <c r="E880" s="56">
        <v>1.0</v>
      </c>
      <c r="F880" s="161">
        <v>150000.0</v>
      </c>
      <c r="G880" s="162">
        <f t="shared" si="17"/>
        <v>150000</v>
      </c>
      <c r="H880" s="194"/>
      <c r="I880" s="204">
        <f t="shared" si="11"/>
        <v>150000</v>
      </c>
      <c r="J880" s="164">
        <f t="shared" si="12"/>
        <v>150000</v>
      </c>
      <c r="K880" s="56" t="s">
        <v>5304</v>
      </c>
      <c r="L880" s="165" t="s">
        <v>5305</v>
      </c>
      <c r="M880" s="73"/>
      <c r="N880" s="169" t="s">
        <v>5306</v>
      </c>
      <c r="O880" s="169" t="s">
        <v>3037</v>
      </c>
      <c r="P880" s="168" t="s">
        <v>3112</v>
      </c>
      <c r="Q880" s="173"/>
      <c r="R880" s="167">
        <v>150000.0</v>
      </c>
      <c r="S880" s="173"/>
      <c r="T880" s="173"/>
      <c r="U880" s="173"/>
      <c r="V880" s="168" t="s">
        <v>3883</v>
      </c>
      <c r="W880" s="169"/>
      <c r="X880" s="219">
        <v>45580.0</v>
      </c>
    </row>
    <row r="881" ht="15.0" customHeight="1">
      <c r="A881" s="127">
        <v>45577.0</v>
      </c>
      <c r="B881" s="181" t="s">
        <v>5307</v>
      </c>
      <c r="C881" s="56" t="s">
        <v>5308</v>
      </c>
      <c r="D881" s="73" t="str">
        <f>IFERROR(VLOOKUP(C881,Stock,3,FALSE),"")</f>
        <v>Toyota Hilux Pickup 15- (Revo)</v>
      </c>
      <c r="E881" s="56">
        <v>1.0</v>
      </c>
      <c r="F881" s="161">
        <v>1615000.0</v>
      </c>
      <c r="G881" s="162">
        <f t="shared" si="17"/>
        <v>1615000</v>
      </c>
      <c r="H881" s="194"/>
      <c r="I881" s="204">
        <f t="shared" si="11"/>
        <v>1615000</v>
      </c>
      <c r="J881" s="164">
        <f t="shared" si="12"/>
        <v>1615000</v>
      </c>
      <c r="K881" s="56" t="s">
        <v>5309</v>
      </c>
      <c r="L881" s="165" t="s">
        <v>5310</v>
      </c>
      <c r="M881" s="56" t="s">
        <v>5311</v>
      </c>
      <c r="N881" s="171"/>
      <c r="O881" s="169" t="s">
        <v>2958</v>
      </c>
      <c r="P881" s="168" t="s">
        <v>3112</v>
      </c>
      <c r="Q881" s="167">
        <v>1650000.0</v>
      </c>
      <c r="R881" s="173"/>
      <c r="S881" s="173"/>
      <c r="T881" s="173"/>
      <c r="U881" s="167">
        <v>35000.0</v>
      </c>
      <c r="V881" s="168" t="s">
        <v>3883</v>
      </c>
      <c r="W881" s="169"/>
      <c r="X881" s="219">
        <v>45586.0</v>
      </c>
    </row>
    <row r="882" ht="15.0" customHeight="1">
      <c r="A882" s="127">
        <v>45577.0</v>
      </c>
      <c r="B882" s="181" t="s">
        <v>5312</v>
      </c>
      <c r="C882" s="56" t="s">
        <v>3099</v>
      </c>
      <c r="D882" s="73" t="str">
        <f>IFERROR(VLOOKUP(C882,Stock,3,FALSE),"")</f>
        <v>Toyota Calya / Sigra 16-</v>
      </c>
      <c r="E882" s="56">
        <v>1.0</v>
      </c>
      <c r="F882" s="161">
        <v>1199000.0</v>
      </c>
      <c r="G882" s="162">
        <f t="shared" si="17"/>
        <v>1199000</v>
      </c>
      <c r="H882" s="194"/>
      <c r="I882" s="204">
        <f t="shared" si="11"/>
        <v>1199000</v>
      </c>
      <c r="J882" s="164">
        <f t="shared" si="12"/>
        <v>1199000</v>
      </c>
      <c r="K882" s="56" t="s">
        <v>5313</v>
      </c>
      <c r="L882" s="165" t="s">
        <v>5314</v>
      </c>
      <c r="M882" s="306" t="s">
        <v>5315</v>
      </c>
      <c r="N882" s="169" t="s">
        <v>5316</v>
      </c>
      <c r="O882" s="169" t="s">
        <v>2968</v>
      </c>
      <c r="P882" s="168" t="s">
        <v>3112</v>
      </c>
      <c r="Q882" s="173"/>
      <c r="R882" s="167">
        <v>1199000.0</v>
      </c>
      <c r="S882" s="173"/>
      <c r="T882" s="173"/>
      <c r="U882" s="173"/>
      <c r="V882" s="308" t="s">
        <v>3883</v>
      </c>
      <c r="W882" s="6"/>
      <c r="X882" s="219">
        <v>45586.0</v>
      </c>
    </row>
    <row r="883" ht="15.0" customHeight="1">
      <c r="A883" s="127">
        <v>45577.0</v>
      </c>
      <c r="B883" s="181" t="s">
        <v>5317</v>
      </c>
      <c r="C883" s="56" t="s">
        <v>3099</v>
      </c>
      <c r="D883" s="73" t="str">
        <f>IFERROR(VLOOKUP(C883,Stock,3,FALSE),"")</f>
        <v>Toyota Calya / Sigra 16-</v>
      </c>
      <c r="E883" s="56">
        <v>1.0</v>
      </c>
      <c r="F883" s="161">
        <v>1249000.0</v>
      </c>
      <c r="G883" s="162">
        <f t="shared" si="17"/>
        <v>1249000</v>
      </c>
      <c r="H883" s="201">
        <v>100000.0</v>
      </c>
      <c r="I883" s="204">
        <f t="shared" si="11"/>
        <v>1149000</v>
      </c>
      <c r="J883" s="164">
        <f t="shared" si="12"/>
        <v>1149000</v>
      </c>
      <c r="K883" s="56" t="s">
        <v>5318</v>
      </c>
      <c r="L883" s="165" t="s">
        <v>5319</v>
      </c>
      <c r="M883" s="73"/>
      <c r="N883" s="169" t="s">
        <v>5320</v>
      </c>
      <c r="O883" s="169" t="s">
        <v>3204</v>
      </c>
      <c r="P883" s="168" t="s">
        <v>3112</v>
      </c>
      <c r="Q883" s="173"/>
      <c r="R883" s="167">
        <v>1149000.0</v>
      </c>
      <c r="S883" s="173"/>
      <c r="T883" s="173"/>
      <c r="U883" s="173"/>
      <c r="V883" s="308" t="s">
        <v>3883</v>
      </c>
      <c r="W883" s="6"/>
      <c r="X883" s="219">
        <v>45586.0</v>
      </c>
    </row>
    <row r="884" ht="15.0" customHeight="1">
      <c r="A884" s="127">
        <v>45578.0</v>
      </c>
      <c r="B884" s="181" t="s">
        <v>5321</v>
      </c>
      <c r="C884" s="56" t="s">
        <v>3360</v>
      </c>
      <c r="D884" s="73" t="str">
        <f>IFERROR(VLOOKUP(C884,Stock,3,FALSE),"")</f>
        <v>Mitsubishi Xpander 17-</v>
      </c>
      <c r="E884" s="56">
        <v>1.0</v>
      </c>
      <c r="F884" s="161">
        <v>1798000.0</v>
      </c>
      <c r="G884" s="162">
        <f t="shared" si="17"/>
        <v>1798000</v>
      </c>
      <c r="H884" s="194"/>
      <c r="I884" s="204">
        <f t="shared" si="11"/>
        <v>1798000</v>
      </c>
      <c r="J884" s="164">
        <f t="shared" si="12"/>
        <v>1798000</v>
      </c>
      <c r="K884" s="56" t="s">
        <v>5322</v>
      </c>
      <c r="L884" s="165" t="s">
        <v>5323</v>
      </c>
      <c r="M884" s="306" t="s">
        <v>5324</v>
      </c>
      <c r="N884" s="169" t="s">
        <v>5325</v>
      </c>
      <c r="O884" s="169" t="s">
        <v>2958</v>
      </c>
      <c r="P884" s="168" t="s">
        <v>3112</v>
      </c>
      <c r="Q884" s="173"/>
      <c r="R884" s="167">
        <v>1798000.0</v>
      </c>
      <c r="S884" s="173"/>
      <c r="T884" s="173"/>
      <c r="U884" s="173"/>
      <c r="V884" s="308" t="s">
        <v>3883</v>
      </c>
      <c r="W884" s="6"/>
      <c r="X884" s="219">
        <v>45586.0</v>
      </c>
    </row>
    <row r="885" ht="15.0" customHeight="1">
      <c r="A885" s="127">
        <v>45578.0</v>
      </c>
      <c r="B885" s="181" t="s">
        <v>5326</v>
      </c>
      <c r="C885" s="56" t="s">
        <v>4183</v>
      </c>
      <c r="D885" s="73" t="str">
        <f>IFERROR(VLOOKUP(C885,Stock,3,FALSE),"")</f>
        <v>Mitsubishi Xpander 17-21</v>
      </c>
      <c r="E885" s="56">
        <v>1.0</v>
      </c>
      <c r="F885" s="161">
        <v>950000.0</v>
      </c>
      <c r="G885" s="162">
        <f t="shared" si="17"/>
        <v>950000</v>
      </c>
      <c r="H885" s="201">
        <v>35000.0</v>
      </c>
      <c r="I885" s="204">
        <f t="shared" si="11"/>
        <v>915000</v>
      </c>
      <c r="J885" s="164">
        <f t="shared" si="12"/>
        <v>915000</v>
      </c>
      <c r="K885" s="56" t="s">
        <v>5327</v>
      </c>
      <c r="L885" s="165" t="s">
        <v>5328</v>
      </c>
      <c r="M885" s="56" t="s">
        <v>5329</v>
      </c>
      <c r="N885" s="169" t="s">
        <v>5330</v>
      </c>
      <c r="O885" s="169" t="s">
        <v>2958</v>
      </c>
      <c r="P885" s="168" t="s">
        <v>3112</v>
      </c>
      <c r="Q885" s="173"/>
      <c r="R885" s="167">
        <v>915000.0</v>
      </c>
      <c r="S885" s="173"/>
      <c r="T885" s="173"/>
      <c r="U885" s="173"/>
      <c r="V885" s="168" t="s">
        <v>3883</v>
      </c>
      <c r="W885" s="169"/>
      <c r="X885" s="219">
        <v>45586.0</v>
      </c>
    </row>
    <row r="886" ht="15.0" customHeight="1">
      <c r="A886" s="127">
        <v>45579.0</v>
      </c>
      <c r="B886" s="181" t="s">
        <v>5331</v>
      </c>
      <c r="C886" s="56" t="s">
        <v>3411</v>
      </c>
      <c r="D886" s="73" t="str">
        <f>IFERROR(VLOOKUP(C886,Stock,3,FALSE),"")</f>
        <v>Toyota Agya/Ayla 13-22 1st Gen</v>
      </c>
      <c r="E886" s="56">
        <v>1.0</v>
      </c>
      <c r="F886" s="161">
        <v>1015000.0</v>
      </c>
      <c r="G886" s="162">
        <f t="shared" si="17"/>
        <v>1015000</v>
      </c>
      <c r="H886" s="194"/>
      <c r="I886" s="204">
        <f t="shared" si="11"/>
        <v>1015000</v>
      </c>
      <c r="J886" s="164">
        <f t="shared" si="12"/>
        <v>1015000</v>
      </c>
      <c r="K886" s="56" t="s">
        <v>5332</v>
      </c>
      <c r="L886" s="165" t="s">
        <v>5333</v>
      </c>
      <c r="M886" s="73"/>
      <c r="N886" s="169" t="s">
        <v>5334</v>
      </c>
      <c r="O886" s="169" t="s">
        <v>2958</v>
      </c>
      <c r="P886" s="168" t="s">
        <v>3112</v>
      </c>
      <c r="Q886" s="167">
        <v>1050000.0</v>
      </c>
      <c r="R886" s="173"/>
      <c r="S886" s="173"/>
      <c r="T886" s="173"/>
      <c r="U886" s="167">
        <v>35000.0</v>
      </c>
      <c r="V886" s="168" t="s">
        <v>3883</v>
      </c>
      <c r="W886" s="169"/>
      <c r="X886" s="219">
        <v>45586.0</v>
      </c>
    </row>
    <row r="887" ht="15.0" customHeight="1">
      <c r="A887" s="127">
        <v>45579.0</v>
      </c>
      <c r="B887" s="181" t="s">
        <v>5335</v>
      </c>
      <c r="C887" s="56" t="s">
        <v>3068</v>
      </c>
      <c r="D887" s="73" t="str">
        <f>IFERROR(VLOOKUP(C887,Stock,3,FALSE),"")</f>
        <v>Honda Brio 10- / Mobilio 11-</v>
      </c>
      <c r="E887" s="56">
        <v>1.0</v>
      </c>
      <c r="F887" s="161">
        <v>1442000.0</v>
      </c>
      <c r="G887" s="162">
        <f t="shared" si="17"/>
        <v>1442000</v>
      </c>
      <c r="H887" s="194"/>
      <c r="I887" s="204">
        <f t="shared" si="11"/>
        <v>1442000</v>
      </c>
      <c r="J887" s="164">
        <f t="shared" si="12"/>
        <v>1442000</v>
      </c>
      <c r="K887" s="56" t="s">
        <v>5336</v>
      </c>
      <c r="L887" s="165" t="s">
        <v>5337</v>
      </c>
      <c r="M887" s="73"/>
      <c r="N887" s="171"/>
      <c r="O887" s="169" t="s">
        <v>2958</v>
      </c>
      <c r="P887" s="168" t="s">
        <v>3112</v>
      </c>
      <c r="Q887" s="173"/>
      <c r="R887" s="167">
        <v>1442000.0</v>
      </c>
      <c r="S887" s="173"/>
      <c r="T887" s="173"/>
      <c r="U887" s="173"/>
      <c r="V887" s="168" t="s">
        <v>3883</v>
      </c>
      <c r="W887" s="169"/>
      <c r="X887" s="219">
        <v>45586.0</v>
      </c>
    </row>
    <row r="888" ht="15.0" customHeight="1">
      <c r="A888" s="127">
        <v>45579.0</v>
      </c>
      <c r="B888" s="181" t="s">
        <v>5338</v>
      </c>
      <c r="C888" s="56" t="s">
        <v>3411</v>
      </c>
      <c r="D888" s="73" t="str">
        <f>IFERROR(VLOOKUP(C888,Stock,3,FALSE),"")</f>
        <v>Toyota Agya/Ayla 13-22 1st Gen</v>
      </c>
      <c r="E888" s="56">
        <v>1.0</v>
      </c>
      <c r="F888" s="161">
        <v>1115000.0</v>
      </c>
      <c r="G888" s="162">
        <f t="shared" si="17"/>
        <v>1115000</v>
      </c>
      <c r="H888" s="194"/>
      <c r="I888" s="204">
        <f t="shared" si="11"/>
        <v>1115000</v>
      </c>
      <c r="J888" s="164">
        <f t="shared" si="12"/>
        <v>1115000</v>
      </c>
      <c r="K888" s="56" t="s">
        <v>5339</v>
      </c>
      <c r="L888" s="165" t="s">
        <v>5340</v>
      </c>
      <c r="M888" s="56" t="s">
        <v>5341</v>
      </c>
      <c r="N888" s="169" t="s">
        <v>5342</v>
      </c>
      <c r="O888" s="169" t="s">
        <v>5161</v>
      </c>
      <c r="P888" s="168" t="s">
        <v>3112</v>
      </c>
      <c r="Q888" s="167">
        <v>1115000.0</v>
      </c>
      <c r="R888" s="173"/>
      <c r="S888" s="173"/>
      <c r="T888" s="173"/>
      <c r="U888" s="173"/>
      <c r="V888" s="168" t="s">
        <v>3883</v>
      </c>
      <c r="W888" s="169"/>
      <c r="X888" s="219">
        <v>45586.0</v>
      </c>
    </row>
    <row r="889" ht="15.0" customHeight="1">
      <c r="A889" s="127">
        <v>45580.0</v>
      </c>
      <c r="B889" s="181" t="s">
        <v>5343</v>
      </c>
      <c r="C889" s="56" t="s">
        <v>5344</v>
      </c>
      <c r="D889" s="73" t="str">
        <f>IFERROR(VLOOKUP(C889,Stock,3,FALSE),"")</f>
        <v>Suzuki Karimun Estilo 07- (Suzuki)</v>
      </c>
      <c r="E889" s="56">
        <v>1.0</v>
      </c>
      <c r="F889" s="161">
        <v>1500000.0</v>
      </c>
      <c r="G889" s="162">
        <f t="shared" si="17"/>
        <v>1500000</v>
      </c>
      <c r="H889" s="194"/>
      <c r="I889" s="204">
        <f t="shared" si="11"/>
        <v>1500000</v>
      </c>
      <c r="J889" s="164">
        <f t="shared" si="12"/>
        <v>1500000</v>
      </c>
      <c r="K889" s="56" t="s">
        <v>5345</v>
      </c>
      <c r="L889" s="165" t="s">
        <v>5346</v>
      </c>
      <c r="M889" s="73"/>
      <c r="N889" s="169" t="s">
        <v>5347</v>
      </c>
      <c r="O889" s="169" t="s">
        <v>2958</v>
      </c>
      <c r="P889" s="168" t="s">
        <v>3112</v>
      </c>
      <c r="Q889" s="173"/>
      <c r="R889" s="167">
        <v>1500000.0</v>
      </c>
      <c r="S889" s="173"/>
      <c r="T889" s="173"/>
      <c r="U889" s="173"/>
      <c r="V889" s="168" t="s">
        <v>3883</v>
      </c>
      <c r="W889" s="169"/>
      <c r="X889" s="219">
        <v>45586.0</v>
      </c>
    </row>
    <row r="890" ht="15.0" customHeight="1">
      <c r="A890" s="127">
        <v>45580.0</v>
      </c>
      <c r="B890" s="181" t="s">
        <v>5343</v>
      </c>
      <c r="C890" s="56" t="s">
        <v>2954</v>
      </c>
      <c r="D890" s="73" t="str">
        <f>IFERROR(VLOOKUP(C890,Stock,3,FALSE),"")</f>
        <v>Transport</v>
      </c>
      <c r="E890" s="56">
        <v>1.0</v>
      </c>
      <c r="F890" s="161">
        <v>50000.0</v>
      </c>
      <c r="G890" s="162">
        <f t="shared" si="17"/>
        <v>50000</v>
      </c>
      <c r="H890" s="194"/>
      <c r="I890" s="204">
        <f t="shared" si="11"/>
        <v>50000</v>
      </c>
      <c r="J890" s="164">
        <f t="shared" si="12"/>
        <v>50000</v>
      </c>
      <c r="K890" s="56" t="s">
        <v>5348</v>
      </c>
      <c r="L890" s="165" t="s">
        <v>5346</v>
      </c>
      <c r="M890" s="73"/>
      <c r="N890" s="169" t="s">
        <v>5347</v>
      </c>
      <c r="O890" s="169" t="s">
        <v>2958</v>
      </c>
      <c r="P890" s="168" t="s">
        <v>3112</v>
      </c>
      <c r="Q890" s="173"/>
      <c r="R890" s="167">
        <v>50000.0</v>
      </c>
      <c r="S890" s="173"/>
      <c r="T890" s="173"/>
      <c r="U890" s="173"/>
      <c r="V890" s="168" t="s">
        <v>3883</v>
      </c>
      <c r="W890" s="169"/>
      <c r="X890" s="219">
        <v>45586.0</v>
      </c>
    </row>
    <row r="891" ht="15.0" customHeight="1">
      <c r="A891" s="127">
        <v>45580.0</v>
      </c>
      <c r="B891" s="181" t="s">
        <v>5349</v>
      </c>
      <c r="C891" s="56" t="s">
        <v>3099</v>
      </c>
      <c r="D891" s="73" t="str">
        <f>IFERROR(VLOOKUP(C891,Stock,3,FALSE),"")</f>
        <v>Toyota Calya / Sigra 16-</v>
      </c>
      <c r="E891" s="56">
        <v>1.0</v>
      </c>
      <c r="F891" s="161">
        <v>1149000.0</v>
      </c>
      <c r="G891" s="162">
        <f t="shared" si="17"/>
        <v>1149000</v>
      </c>
      <c r="H891" s="194"/>
      <c r="I891" s="204">
        <f t="shared" si="11"/>
        <v>1149000</v>
      </c>
      <c r="J891" s="164">
        <f t="shared" si="12"/>
        <v>1149000</v>
      </c>
      <c r="K891" s="56" t="s">
        <v>5350</v>
      </c>
      <c r="L891" s="165" t="s">
        <v>5351</v>
      </c>
      <c r="M891" s="73"/>
      <c r="N891" s="169" t="s">
        <v>5352</v>
      </c>
      <c r="O891" s="169" t="s">
        <v>2958</v>
      </c>
      <c r="P891" s="168" t="s">
        <v>3112</v>
      </c>
      <c r="Q891" s="173"/>
      <c r="R891" s="167">
        <v>1149000.0</v>
      </c>
      <c r="S891" s="173"/>
      <c r="T891" s="173"/>
      <c r="U891" s="173"/>
      <c r="V891" s="168" t="s">
        <v>3883</v>
      </c>
      <c r="W891" s="169"/>
      <c r="X891" s="219">
        <v>45586.0</v>
      </c>
    </row>
    <row r="892" ht="15.0" customHeight="1">
      <c r="A892" s="127">
        <v>45580.0</v>
      </c>
      <c r="B892" s="181" t="s">
        <v>5353</v>
      </c>
      <c r="C892" s="56" t="s">
        <v>2753</v>
      </c>
      <c r="D892" s="73" t="str">
        <f>IFERROR(VLOOKUP(C892,Stock,3,FALSE),"")</f>
        <v>Daihatsu Luxio 07-</v>
      </c>
      <c r="E892" s="56">
        <v>1.0</v>
      </c>
      <c r="F892" s="161">
        <v>1050000.0</v>
      </c>
      <c r="G892" s="162">
        <f t="shared" si="17"/>
        <v>1050000</v>
      </c>
      <c r="H892" s="201">
        <v>100000.0</v>
      </c>
      <c r="I892" s="204">
        <f t="shared" si="11"/>
        <v>950000</v>
      </c>
      <c r="J892" s="164">
        <f t="shared" si="12"/>
        <v>950000</v>
      </c>
      <c r="K892" s="56" t="s">
        <v>5354</v>
      </c>
      <c r="L892" s="165" t="s">
        <v>5355</v>
      </c>
      <c r="M892" s="56" t="s">
        <v>5356</v>
      </c>
      <c r="N892" s="169" t="s">
        <v>5357</v>
      </c>
      <c r="O892" s="169" t="s">
        <v>2958</v>
      </c>
      <c r="P892" s="168" t="s">
        <v>3112</v>
      </c>
      <c r="Q892" s="167">
        <v>950000.0</v>
      </c>
      <c r="R892" s="173"/>
      <c r="S892" s="173"/>
      <c r="T892" s="173"/>
      <c r="U892" s="173"/>
      <c r="V892" s="168" t="s">
        <v>3883</v>
      </c>
      <c r="W892" s="169"/>
      <c r="X892" s="219">
        <v>45586.0</v>
      </c>
    </row>
    <row r="893" ht="15.0" customHeight="1">
      <c r="A893" s="127">
        <v>45580.0</v>
      </c>
      <c r="B893" s="181" t="s">
        <v>5353</v>
      </c>
      <c r="C893" s="56" t="s">
        <v>5358</v>
      </c>
      <c r="D893" s="73" t="str">
        <f>IFERROR(VLOOKUP(C893,Stock,3,FALSE),"")</f>
        <v>Daihatsu Luxio 07-</v>
      </c>
      <c r="E893" s="56">
        <v>1.0</v>
      </c>
      <c r="F893" s="161">
        <v>450000.0</v>
      </c>
      <c r="G893" s="162">
        <f t="shared" si="17"/>
        <v>450000</v>
      </c>
      <c r="H893" s="194"/>
      <c r="I893" s="204">
        <f t="shared" si="11"/>
        <v>450000</v>
      </c>
      <c r="J893" s="164">
        <f t="shared" si="12"/>
        <v>450000</v>
      </c>
      <c r="K893" s="56" t="s">
        <v>5354</v>
      </c>
      <c r="L893" s="309" t="s">
        <v>5355</v>
      </c>
      <c r="M893" s="56" t="s">
        <v>5356</v>
      </c>
      <c r="N893" s="169" t="s">
        <v>5357</v>
      </c>
      <c r="O893" s="169" t="s">
        <v>2958</v>
      </c>
      <c r="P893" s="168" t="s">
        <v>3112</v>
      </c>
      <c r="Q893" s="167">
        <v>450000.0</v>
      </c>
      <c r="R893" s="173"/>
      <c r="S893" s="173"/>
      <c r="T893" s="173"/>
      <c r="U893" s="173"/>
      <c r="V893" s="168" t="s">
        <v>3883</v>
      </c>
      <c r="W893" s="169"/>
      <c r="X893" s="219">
        <v>45586.0</v>
      </c>
    </row>
    <row r="894" ht="15.0" customHeight="1">
      <c r="A894" s="127">
        <v>45580.0</v>
      </c>
      <c r="B894" s="181" t="s">
        <v>5359</v>
      </c>
      <c r="C894" s="56" t="s">
        <v>5360</v>
      </c>
      <c r="D894" s="73" t="str">
        <f>IFERROR(VLOOKUP(C894,Stock,3,FALSE),"")</f>
        <v>Honda CR-V 07-11 3rd Gen</v>
      </c>
      <c r="E894" s="56">
        <v>1.0</v>
      </c>
      <c r="F894" s="161">
        <v>1269000.0</v>
      </c>
      <c r="G894" s="162">
        <f t="shared" si="17"/>
        <v>1269000</v>
      </c>
      <c r="H894" s="194"/>
      <c r="I894" s="204">
        <f t="shared" si="11"/>
        <v>1269000</v>
      </c>
      <c r="J894" s="164">
        <f t="shared" si="12"/>
        <v>1269000</v>
      </c>
      <c r="K894" s="56" t="s">
        <v>5361</v>
      </c>
      <c r="L894" s="165" t="s">
        <v>5362</v>
      </c>
      <c r="M894" s="73"/>
      <c r="N894" s="171"/>
      <c r="O894" s="169" t="s">
        <v>5363</v>
      </c>
      <c r="P894" s="168" t="s">
        <v>3112</v>
      </c>
      <c r="Q894" s="173"/>
      <c r="R894" s="167">
        <v>1269000.0</v>
      </c>
      <c r="S894" s="173"/>
      <c r="T894" s="173"/>
      <c r="U894" s="173"/>
      <c r="V894" s="168" t="s">
        <v>3883</v>
      </c>
      <c r="W894" s="169"/>
      <c r="X894" s="219">
        <v>45586.0</v>
      </c>
    </row>
    <row r="895" ht="15.0" customHeight="1">
      <c r="A895" s="127">
        <v>45580.0</v>
      </c>
      <c r="B895" s="181" t="s">
        <v>5359</v>
      </c>
      <c r="C895" s="56" t="s">
        <v>2934</v>
      </c>
      <c r="D895" s="73" t="str">
        <f>IFERROR(VLOOKUP(C895,Stock,3,FALSE),"")</f>
        <v>Peti Kayu</v>
      </c>
      <c r="E895" s="56">
        <v>1.0</v>
      </c>
      <c r="F895" s="161">
        <v>200000.0</v>
      </c>
      <c r="G895" s="162">
        <f t="shared" si="17"/>
        <v>200000</v>
      </c>
      <c r="H895" s="194"/>
      <c r="I895" s="204">
        <f t="shared" si="11"/>
        <v>200000</v>
      </c>
      <c r="J895" s="164">
        <f t="shared" si="12"/>
        <v>200000</v>
      </c>
      <c r="K895" s="56" t="s">
        <v>5361</v>
      </c>
      <c r="L895" s="165" t="s">
        <v>5362</v>
      </c>
      <c r="M895" s="73"/>
      <c r="N895" s="171"/>
      <c r="O895" s="169" t="s">
        <v>5363</v>
      </c>
      <c r="P895" s="168" t="s">
        <v>3112</v>
      </c>
      <c r="Q895" s="173"/>
      <c r="R895" s="167">
        <v>200000.0</v>
      </c>
      <c r="S895" s="173"/>
      <c r="T895" s="173"/>
      <c r="U895" s="173"/>
      <c r="V895" s="168" t="s">
        <v>3883</v>
      </c>
      <c r="W895" s="169"/>
      <c r="X895" s="219">
        <v>45586.0</v>
      </c>
    </row>
    <row r="896" ht="15.0" customHeight="1">
      <c r="A896" s="127">
        <v>45580.0</v>
      </c>
      <c r="B896" s="181" t="s">
        <v>5364</v>
      </c>
      <c r="C896" s="56" t="s">
        <v>5365</v>
      </c>
      <c r="D896" s="73" t="str">
        <f>IFERROR(VLOOKUP(C896,Stock,3,FALSE),"")</f>
        <v>Nissan Livina  07-12 L10 (Tanpa Lubang) Nissan</v>
      </c>
      <c r="E896" s="56">
        <v>1.0</v>
      </c>
      <c r="F896" s="161">
        <v>1620000.0</v>
      </c>
      <c r="G896" s="162">
        <f t="shared" si="17"/>
        <v>1620000</v>
      </c>
      <c r="H896" s="194"/>
      <c r="I896" s="204">
        <f t="shared" si="11"/>
        <v>1620000</v>
      </c>
      <c r="J896" s="164">
        <f t="shared" si="12"/>
        <v>1620000</v>
      </c>
      <c r="K896" s="310" t="s">
        <v>5366</v>
      </c>
      <c r="L896" s="165" t="s">
        <v>5367</v>
      </c>
      <c r="M896" s="73"/>
      <c r="N896" s="169" t="s">
        <v>5368</v>
      </c>
      <c r="O896" s="169" t="s">
        <v>3858</v>
      </c>
      <c r="P896" s="168" t="s">
        <v>5369</v>
      </c>
      <c r="Q896" s="173"/>
      <c r="R896" s="167">
        <v>1620000.0</v>
      </c>
      <c r="S896" s="173"/>
      <c r="T896" s="173"/>
      <c r="U896" s="173"/>
      <c r="V896" s="168" t="s">
        <v>3799</v>
      </c>
      <c r="W896" s="169"/>
      <c r="X896" s="219">
        <v>45586.0</v>
      </c>
    </row>
    <row r="897" ht="15.0" customHeight="1">
      <c r="A897" s="183">
        <v>45580.0</v>
      </c>
      <c r="B897" s="185" t="s">
        <v>5370</v>
      </c>
      <c r="C897" s="184" t="s">
        <v>3411</v>
      </c>
      <c r="D897" s="186" t="str">
        <f>IFERROR(VLOOKUP(C897,Stock,3,FALSE),"")</f>
        <v>Toyota Agya/Ayla 13-22 1st Gen</v>
      </c>
      <c r="E897" s="184">
        <v>1.0</v>
      </c>
      <c r="F897" s="188"/>
      <c r="G897" s="188">
        <f t="shared" si="17"/>
        <v>0</v>
      </c>
      <c r="H897" s="210"/>
      <c r="I897" s="204">
        <f t="shared" si="11"/>
        <v>0</v>
      </c>
      <c r="J897" s="189">
        <f t="shared" si="12"/>
        <v>0</v>
      </c>
      <c r="K897" s="184" t="s">
        <v>5371</v>
      </c>
      <c r="L897" s="186"/>
      <c r="M897" s="186"/>
      <c r="N897" s="212"/>
      <c r="O897" s="212"/>
      <c r="P897" s="214"/>
      <c r="Q897" s="213"/>
      <c r="R897" s="213"/>
      <c r="S897" s="213"/>
      <c r="T897" s="213"/>
      <c r="U897" s="213"/>
      <c r="V897" s="214"/>
      <c r="W897" s="212"/>
      <c r="X897" s="212"/>
    </row>
    <row r="898" ht="15.0" customHeight="1">
      <c r="A898" s="127">
        <v>45581.0</v>
      </c>
      <c r="B898" s="181" t="s">
        <v>5372</v>
      </c>
      <c r="C898" s="56" t="s">
        <v>2629</v>
      </c>
      <c r="D898" s="73" t="str">
        <f>IFERROR(VLOOKUP(C898,Stock,3,FALSE),"")</f>
        <v>Suzuki Baleno 08-15 SX4 / Neo Baleno</v>
      </c>
      <c r="E898" s="56">
        <v>1.0</v>
      </c>
      <c r="F898" s="161">
        <v>1736000.0</v>
      </c>
      <c r="G898" s="162">
        <f t="shared" si="17"/>
        <v>1736000</v>
      </c>
      <c r="H898" s="194"/>
      <c r="I898" s="204">
        <f t="shared" si="11"/>
        <v>1736000</v>
      </c>
      <c r="J898" s="164">
        <f t="shared" si="12"/>
        <v>1736000</v>
      </c>
      <c r="K898" s="56" t="s">
        <v>5373</v>
      </c>
      <c r="L898" s="165" t="s">
        <v>5374</v>
      </c>
      <c r="M898" s="56" t="s">
        <v>5375</v>
      </c>
      <c r="N898" s="169" t="s">
        <v>5376</v>
      </c>
      <c r="O898" s="169" t="s">
        <v>2958</v>
      </c>
      <c r="P898" s="168" t="s">
        <v>3112</v>
      </c>
      <c r="Q898" s="167">
        <v>1800000.0</v>
      </c>
      <c r="R898" s="173"/>
      <c r="S898" s="173"/>
      <c r="T898" s="173"/>
      <c r="U898" s="167">
        <v>64000.0</v>
      </c>
      <c r="V898" s="168" t="s">
        <v>3883</v>
      </c>
      <c r="W898" s="169"/>
      <c r="X898" s="219">
        <v>45586.0</v>
      </c>
    </row>
    <row r="899" ht="15.0" customHeight="1">
      <c r="A899" s="127">
        <v>45581.0</v>
      </c>
      <c r="B899" s="181" t="s">
        <v>5377</v>
      </c>
      <c r="C899" s="56" t="s">
        <v>2919</v>
      </c>
      <c r="D899" s="73" t="str">
        <f>IFERROR(VLOOKUP(C899,Stock,3,FALSE),"")</f>
        <v>Toyota Innova 04-15 1st Gen</v>
      </c>
      <c r="E899" s="56">
        <v>1.0</v>
      </c>
      <c r="F899" s="161">
        <v>2640000.0</v>
      </c>
      <c r="G899" s="162">
        <f t="shared" si="17"/>
        <v>2640000</v>
      </c>
      <c r="H899" s="194"/>
      <c r="I899" s="204">
        <f t="shared" si="11"/>
        <v>2640000</v>
      </c>
      <c r="J899" s="164">
        <f t="shared" si="12"/>
        <v>2640000</v>
      </c>
      <c r="K899" s="307" t="s">
        <v>5378</v>
      </c>
      <c r="L899" s="165" t="s">
        <v>5379</v>
      </c>
      <c r="M899" s="73"/>
      <c r="N899" s="169" t="s">
        <v>5380</v>
      </c>
      <c r="O899" s="169" t="s">
        <v>2958</v>
      </c>
      <c r="P899" s="168" t="s">
        <v>3112</v>
      </c>
      <c r="Q899" s="173"/>
      <c r="R899" s="167">
        <v>2640000.0</v>
      </c>
      <c r="S899" s="173"/>
      <c r="T899" s="173"/>
      <c r="U899" s="173"/>
      <c r="V899" s="168" t="s">
        <v>3799</v>
      </c>
      <c r="W899" s="169"/>
      <c r="X899" s="219">
        <v>45586.0</v>
      </c>
    </row>
    <row r="900" ht="15.0" customHeight="1">
      <c r="A900" s="127">
        <v>45581.0</v>
      </c>
      <c r="B900" s="181" t="s">
        <v>5377</v>
      </c>
      <c r="C900" s="56" t="s">
        <v>3355</v>
      </c>
      <c r="D900" s="73" t="str">
        <f>IFERROR(VLOOKUP(C900,Stock,3,FALSE),"")</f>
        <v>List Kaca Depan INV</v>
      </c>
      <c r="E900" s="56">
        <v>1.0</v>
      </c>
      <c r="F900" s="161">
        <v>315000.0</v>
      </c>
      <c r="G900" s="162">
        <f t="shared" si="17"/>
        <v>315000</v>
      </c>
      <c r="H900" s="194"/>
      <c r="I900" s="204">
        <f t="shared" si="11"/>
        <v>315000</v>
      </c>
      <c r="J900" s="164">
        <f t="shared" si="12"/>
        <v>315000</v>
      </c>
      <c r="K900" s="307" t="s">
        <v>5378</v>
      </c>
      <c r="L900" s="165" t="s">
        <v>5379</v>
      </c>
      <c r="M900" s="73"/>
      <c r="N900" s="169" t="s">
        <v>5380</v>
      </c>
      <c r="O900" s="169" t="s">
        <v>2958</v>
      </c>
      <c r="P900" s="168" t="s">
        <v>3112</v>
      </c>
      <c r="Q900" s="173"/>
      <c r="R900" s="167">
        <v>315000.0</v>
      </c>
      <c r="S900" s="173"/>
      <c r="T900" s="173"/>
      <c r="U900" s="173"/>
      <c r="V900" s="168" t="s">
        <v>3799</v>
      </c>
      <c r="W900" s="169"/>
      <c r="X900" s="219">
        <v>45586.0</v>
      </c>
    </row>
    <row r="901" ht="15.0" customHeight="1">
      <c r="A901" s="127">
        <v>45581.0</v>
      </c>
      <c r="B901" s="181" t="s">
        <v>5381</v>
      </c>
      <c r="C901" s="251" t="s">
        <v>2692</v>
      </c>
      <c r="D901" s="73" t="str">
        <f>IFERROR(VLOOKUP(C901,Stock,3,FALSE),"")</f>
        <v>Suzuki Ertiga 18- 2nd Gen / XL7</v>
      </c>
      <c r="E901" s="56">
        <v>1.0</v>
      </c>
      <c r="F901" s="161">
        <v>1500000.0</v>
      </c>
      <c r="G901" s="162">
        <f t="shared" si="17"/>
        <v>1500000</v>
      </c>
      <c r="H901" s="194"/>
      <c r="I901" s="204">
        <f t="shared" si="11"/>
        <v>1500000</v>
      </c>
      <c r="J901" s="164">
        <f t="shared" si="12"/>
        <v>1500000</v>
      </c>
      <c r="K901" s="307" t="s">
        <v>5382</v>
      </c>
      <c r="L901" s="165" t="s">
        <v>5383</v>
      </c>
      <c r="M901" s="56" t="s">
        <v>5384</v>
      </c>
      <c r="N901" s="289" t="s">
        <v>5385</v>
      </c>
      <c r="O901" s="169" t="s">
        <v>2958</v>
      </c>
      <c r="P901" s="168" t="s">
        <v>3054</v>
      </c>
      <c r="Q901" s="173"/>
      <c r="R901" s="167">
        <v>1500000.0</v>
      </c>
      <c r="S901" s="173"/>
      <c r="T901" s="173"/>
      <c r="U901" s="173"/>
      <c r="V901" s="168" t="s">
        <v>3799</v>
      </c>
      <c r="W901" s="169"/>
      <c r="X901" s="219">
        <v>45586.0</v>
      </c>
    </row>
    <row r="902" ht="15.0" customHeight="1">
      <c r="A902" s="311">
        <v>45581.0</v>
      </c>
      <c r="B902" s="181" t="s">
        <v>5381</v>
      </c>
      <c r="C902" s="251" t="s">
        <v>4027</v>
      </c>
      <c r="D902" s="73" t="str">
        <f>IFERROR(VLOOKUP(C902,Stock,3,FALSE),"")</f>
        <v>501 Sealant Application</v>
      </c>
      <c r="E902" s="56">
        <v>1.0</v>
      </c>
      <c r="F902" s="161">
        <v>100000.0</v>
      </c>
      <c r="G902" s="162">
        <f t="shared" si="17"/>
        <v>100000</v>
      </c>
      <c r="H902" s="201">
        <v>100000.0</v>
      </c>
      <c r="I902" s="161">
        <f t="shared" si="11"/>
        <v>0</v>
      </c>
      <c r="J902" s="164">
        <f t="shared" si="12"/>
        <v>0</v>
      </c>
      <c r="K902" s="307" t="s">
        <v>5382</v>
      </c>
      <c r="L902" s="165" t="s">
        <v>5383</v>
      </c>
      <c r="M902" s="56" t="s">
        <v>5384</v>
      </c>
      <c r="N902" s="289" t="s">
        <v>5385</v>
      </c>
      <c r="O902" s="169" t="s">
        <v>2958</v>
      </c>
      <c r="P902" s="168" t="s">
        <v>3054</v>
      </c>
      <c r="Q902" s="173"/>
      <c r="R902" s="173"/>
      <c r="S902" s="173"/>
      <c r="T902" s="173"/>
      <c r="U902" s="173"/>
      <c r="V902" s="168" t="s">
        <v>3799</v>
      </c>
      <c r="W902" s="169"/>
      <c r="X902" s="219">
        <v>45586.0</v>
      </c>
    </row>
    <row r="903" ht="15.0" customHeight="1">
      <c r="A903" s="127">
        <v>45581.0</v>
      </c>
      <c r="B903" s="181" t="s">
        <v>5386</v>
      </c>
      <c r="C903" s="56" t="s">
        <v>2691</v>
      </c>
      <c r="D903" s="73" t="str">
        <f>IFERROR(VLOOKUP(C903,Stock,3,FALSE),"")</f>
        <v>Suzuki Ertiga 12-18 1st Gen MPV</v>
      </c>
      <c r="E903" s="56">
        <v>1.0</v>
      </c>
      <c r="F903" s="161">
        <v>1360000.0</v>
      </c>
      <c r="G903" s="162">
        <f t="shared" si="17"/>
        <v>1360000</v>
      </c>
      <c r="H903" s="194"/>
      <c r="I903" s="161">
        <f t="shared" si="11"/>
        <v>1360000</v>
      </c>
      <c r="J903" s="164">
        <f t="shared" si="12"/>
        <v>1360000</v>
      </c>
      <c r="K903" s="307" t="s">
        <v>5387</v>
      </c>
      <c r="L903" s="165" t="s">
        <v>5388</v>
      </c>
      <c r="M903" s="56" t="s">
        <v>5389</v>
      </c>
      <c r="N903" s="289" t="s">
        <v>5390</v>
      </c>
      <c r="O903" s="169" t="s">
        <v>3213</v>
      </c>
      <c r="P903" s="168" t="s">
        <v>3112</v>
      </c>
      <c r="Q903" s="167">
        <v>1400000.0</v>
      </c>
      <c r="R903" s="173"/>
      <c r="S903" s="173"/>
      <c r="T903" s="173"/>
      <c r="U903" s="167">
        <v>40000.0</v>
      </c>
      <c r="V903" s="168" t="s">
        <v>3799</v>
      </c>
      <c r="W903" s="169"/>
      <c r="X903" s="219">
        <v>45586.0</v>
      </c>
    </row>
    <row r="904" ht="15.0" customHeight="1">
      <c r="A904" s="127">
        <v>45582.0</v>
      </c>
      <c r="B904" s="181" t="s">
        <v>5391</v>
      </c>
      <c r="C904" s="56" t="s">
        <v>3033</v>
      </c>
      <c r="D904" s="73" t="str">
        <f>IFERROR(VLOOKUP(C904,Stock,3,FALSE),"")</f>
        <v>Toyota Innova 04-15 1st Gen</v>
      </c>
      <c r="E904" s="56">
        <v>1.0</v>
      </c>
      <c r="F904" s="161">
        <v>1442000.0</v>
      </c>
      <c r="G904" s="162">
        <f t="shared" si="17"/>
        <v>1442000</v>
      </c>
      <c r="H904" s="194"/>
      <c r="I904" s="161">
        <f t="shared" si="11"/>
        <v>1442000</v>
      </c>
      <c r="J904" s="164">
        <f t="shared" si="12"/>
        <v>1442000</v>
      </c>
      <c r="K904" s="56" t="s">
        <v>5392</v>
      </c>
      <c r="L904" s="165" t="s">
        <v>5393</v>
      </c>
      <c r="M904" s="56" t="s">
        <v>5394</v>
      </c>
      <c r="N904" s="169" t="s">
        <v>5395</v>
      </c>
      <c r="O904" s="169" t="s">
        <v>2958</v>
      </c>
      <c r="P904" s="168" t="s">
        <v>3054</v>
      </c>
      <c r="Q904" s="167">
        <v>1502000.0</v>
      </c>
      <c r="R904" s="173"/>
      <c r="S904" s="173"/>
      <c r="T904" s="173"/>
      <c r="U904" s="167">
        <v>60000.0</v>
      </c>
      <c r="V904" s="168" t="s">
        <v>3883</v>
      </c>
      <c r="W904" s="169"/>
      <c r="X904" s="219">
        <v>45586.0</v>
      </c>
    </row>
    <row r="905" ht="15.0" customHeight="1">
      <c r="A905" s="127">
        <v>45583.0</v>
      </c>
      <c r="B905" s="181" t="s">
        <v>5396</v>
      </c>
      <c r="C905" s="56" t="s">
        <v>4313</v>
      </c>
      <c r="D905" s="73" t="str">
        <f>IFERROR(VLOOKUP(C905,Stock,3,FALSE),"")</f>
        <v>Toyota Alphard 02-08 ANH10 1st Gen</v>
      </c>
      <c r="E905" s="56">
        <v>1.0</v>
      </c>
      <c r="F905" s="161">
        <v>4552000.0</v>
      </c>
      <c r="G905" s="162">
        <f t="shared" si="17"/>
        <v>4552000</v>
      </c>
      <c r="H905" s="194"/>
      <c r="I905" s="161">
        <f t="shared" si="11"/>
        <v>4552000</v>
      </c>
      <c r="J905" s="164">
        <f t="shared" si="12"/>
        <v>4552000</v>
      </c>
      <c r="K905" s="56" t="s">
        <v>5397</v>
      </c>
      <c r="L905" s="165" t="s">
        <v>5398</v>
      </c>
      <c r="M905" s="73"/>
      <c r="N905" s="171"/>
      <c r="O905" s="169" t="s">
        <v>2958</v>
      </c>
      <c r="P905" s="168" t="s">
        <v>4002</v>
      </c>
      <c r="Q905" s="173"/>
      <c r="R905" s="167">
        <v>4552000.0</v>
      </c>
      <c r="S905" s="173"/>
      <c r="T905" s="173"/>
      <c r="U905" s="173"/>
      <c r="V905" s="168" t="s">
        <v>3883</v>
      </c>
      <c r="W905" s="169"/>
      <c r="X905" s="169" t="s">
        <v>5399</v>
      </c>
    </row>
    <row r="906" ht="15.0" customHeight="1">
      <c r="A906" s="127">
        <v>45583.0</v>
      </c>
      <c r="B906" s="181" t="s">
        <v>5400</v>
      </c>
      <c r="C906" s="56" t="s">
        <v>3398</v>
      </c>
      <c r="D906" s="73" t="str">
        <f>IFERROR(VLOOKUP(C906,Stock,3,FALSE),"")</f>
        <v>Pemasangan Kaca Mobil Samping</v>
      </c>
      <c r="E906" s="56">
        <v>1.0</v>
      </c>
      <c r="F906" s="161">
        <v>250000.0</v>
      </c>
      <c r="G906" s="162">
        <f t="shared" si="17"/>
        <v>250000</v>
      </c>
      <c r="H906" s="194"/>
      <c r="I906" s="161">
        <f t="shared" si="11"/>
        <v>250000</v>
      </c>
      <c r="J906" s="164">
        <f t="shared" si="12"/>
        <v>250000</v>
      </c>
      <c r="K906" s="56" t="s">
        <v>5401</v>
      </c>
      <c r="L906" s="165" t="s">
        <v>5402</v>
      </c>
      <c r="M906" s="56" t="s">
        <v>5403</v>
      </c>
      <c r="N906" s="169" t="s">
        <v>5404</v>
      </c>
      <c r="O906" s="169" t="s">
        <v>2958</v>
      </c>
      <c r="P906" s="168" t="s">
        <v>3112</v>
      </c>
      <c r="Q906" s="167">
        <v>250000.0</v>
      </c>
      <c r="R906" s="173"/>
      <c r="S906" s="173"/>
      <c r="T906" s="173"/>
      <c r="U906" s="173"/>
      <c r="V906" s="168" t="s">
        <v>3883</v>
      </c>
      <c r="W906" s="169"/>
      <c r="X906" s="219">
        <v>45586.0</v>
      </c>
    </row>
    <row r="907" ht="15.0" customHeight="1">
      <c r="A907" s="127">
        <v>45583.0</v>
      </c>
      <c r="B907" s="181" t="s">
        <v>5405</v>
      </c>
      <c r="C907" s="56" t="s">
        <v>3273</v>
      </c>
      <c r="D907" s="73" t="str">
        <f>IFERROR(VLOOKUP(C907,Stock,3,FALSE),"")</f>
        <v>Pemasangan Kaca Mobil Belakang</v>
      </c>
      <c r="E907" s="56">
        <v>1.0</v>
      </c>
      <c r="F907" s="161">
        <v>450000.0</v>
      </c>
      <c r="G907" s="162">
        <f t="shared" si="17"/>
        <v>450000</v>
      </c>
      <c r="H907" s="194"/>
      <c r="I907" s="161">
        <f t="shared" si="11"/>
        <v>450000</v>
      </c>
      <c r="J907" s="164">
        <f t="shared" si="12"/>
        <v>450000</v>
      </c>
      <c r="K907" s="307" t="s">
        <v>5406</v>
      </c>
      <c r="L907" s="165" t="s">
        <v>5407</v>
      </c>
      <c r="M907" s="73"/>
      <c r="N907" s="169" t="s">
        <v>5408</v>
      </c>
      <c r="O907" s="169" t="s">
        <v>2958</v>
      </c>
      <c r="P907" s="168" t="s">
        <v>3112</v>
      </c>
      <c r="Q907" s="173"/>
      <c r="R907" s="167">
        <v>450000.0</v>
      </c>
      <c r="S907" s="173"/>
      <c r="T907" s="173"/>
      <c r="U907" s="173"/>
      <c r="V907" s="168" t="s">
        <v>3883</v>
      </c>
      <c r="W907" s="169"/>
      <c r="X907" s="219">
        <v>45586.0</v>
      </c>
    </row>
    <row r="908" ht="15.0" customHeight="1">
      <c r="A908" s="127">
        <v>45583.0</v>
      </c>
      <c r="B908" s="181" t="s">
        <v>5405</v>
      </c>
      <c r="C908" s="56" t="s">
        <v>4027</v>
      </c>
      <c r="D908" s="73" t="str">
        <f>IFERROR(VLOOKUP(C908,Stock,3,FALSE),"")</f>
        <v>501 Sealant Application</v>
      </c>
      <c r="E908" s="56">
        <v>1.0</v>
      </c>
      <c r="F908" s="161">
        <v>150000.0</v>
      </c>
      <c r="G908" s="162">
        <f t="shared" si="17"/>
        <v>150000</v>
      </c>
      <c r="H908" s="194"/>
      <c r="I908" s="161">
        <f t="shared" si="11"/>
        <v>150000</v>
      </c>
      <c r="J908" s="164">
        <f t="shared" si="12"/>
        <v>150000</v>
      </c>
      <c r="K908" s="307" t="s">
        <v>5406</v>
      </c>
      <c r="L908" s="165" t="s">
        <v>5407</v>
      </c>
      <c r="M908" s="73"/>
      <c r="N908" s="169" t="s">
        <v>5408</v>
      </c>
      <c r="O908" s="169" t="s">
        <v>2958</v>
      </c>
      <c r="P908" s="168" t="s">
        <v>3112</v>
      </c>
      <c r="Q908" s="173"/>
      <c r="R908" s="167">
        <v>150000.0</v>
      </c>
      <c r="S908" s="173"/>
      <c r="T908" s="173"/>
      <c r="U908" s="173"/>
      <c r="V908" s="168" t="s">
        <v>3883</v>
      </c>
      <c r="W908" s="169"/>
      <c r="X908" s="219">
        <v>45586.0</v>
      </c>
    </row>
    <row r="909" ht="15.0" customHeight="1">
      <c r="A909" s="127">
        <v>45583.0</v>
      </c>
      <c r="B909" s="181" t="s">
        <v>5409</v>
      </c>
      <c r="C909" s="56" t="s">
        <v>5410</v>
      </c>
      <c r="D909" s="73" t="str">
        <f>IFERROR(VLOOKUP(C909,Stock,3,FALSE),"")</f>
        <v/>
      </c>
      <c r="E909" s="56">
        <v>1.0</v>
      </c>
      <c r="F909" s="161">
        <v>785000.0</v>
      </c>
      <c r="G909" s="162">
        <f t="shared" si="17"/>
        <v>785000</v>
      </c>
      <c r="H909" s="194"/>
      <c r="I909" s="161">
        <f t="shared" si="11"/>
        <v>785000</v>
      </c>
      <c r="J909" s="164">
        <f t="shared" si="12"/>
        <v>785000</v>
      </c>
      <c r="K909" s="310" t="s">
        <v>5397</v>
      </c>
      <c r="L909" s="165" t="s">
        <v>5398</v>
      </c>
      <c r="M909" s="73"/>
      <c r="N909" s="171"/>
      <c r="O909" s="169" t="s">
        <v>2958</v>
      </c>
      <c r="P909" s="168" t="s">
        <v>4002</v>
      </c>
      <c r="Q909" s="173"/>
      <c r="R909" s="167">
        <v>785000.0</v>
      </c>
      <c r="S909" s="173"/>
      <c r="T909" s="173"/>
      <c r="U909" s="173"/>
      <c r="V909" s="168" t="s">
        <v>3799</v>
      </c>
      <c r="W909" s="169"/>
      <c r="X909" s="312" t="s">
        <v>5411</v>
      </c>
    </row>
    <row r="910" ht="15.0" customHeight="1">
      <c r="A910" s="127">
        <v>45583.0</v>
      </c>
      <c r="B910" s="181" t="s">
        <v>5412</v>
      </c>
      <c r="C910" s="56" t="s">
        <v>2549</v>
      </c>
      <c r="D910" s="73" t="str">
        <f>IFERROR(VLOOKUP(C910,Stock,3,FALSE),"")</f>
        <v>Toyota Avanza / Xenia 11-15 2nd Gen</v>
      </c>
      <c r="E910" s="56">
        <v>1.0</v>
      </c>
      <c r="F910" s="161">
        <v>1120000.0</v>
      </c>
      <c r="G910" s="162">
        <f t="shared" si="17"/>
        <v>1120000</v>
      </c>
      <c r="H910" s="201">
        <v>100000.0</v>
      </c>
      <c r="I910" s="161">
        <f t="shared" si="11"/>
        <v>1020000</v>
      </c>
      <c r="J910" s="164">
        <f t="shared" si="12"/>
        <v>1020000</v>
      </c>
      <c r="K910" s="307" t="s">
        <v>5413</v>
      </c>
      <c r="L910" s="165" t="s">
        <v>5414</v>
      </c>
      <c r="M910" s="313" t="s">
        <v>5415</v>
      </c>
      <c r="N910" s="289" t="s">
        <v>5416</v>
      </c>
      <c r="O910" s="169" t="s">
        <v>2958</v>
      </c>
      <c r="P910" s="168" t="s">
        <v>3112</v>
      </c>
      <c r="Q910" s="167">
        <v>1045000.0</v>
      </c>
      <c r="R910" s="167">
        <v>250000.0</v>
      </c>
      <c r="S910" s="173"/>
      <c r="T910" s="173"/>
      <c r="U910" s="173"/>
      <c r="V910" s="168" t="s">
        <v>3883</v>
      </c>
      <c r="W910" s="169"/>
      <c r="X910" s="219">
        <v>45586.0</v>
      </c>
    </row>
    <row r="911" ht="15.0" customHeight="1">
      <c r="A911" s="127">
        <v>45583.0</v>
      </c>
      <c r="B911" s="181" t="s">
        <v>5412</v>
      </c>
      <c r="C911" s="56" t="s">
        <v>3826</v>
      </c>
      <c r="D911" s="73" t="str">
        <f>IFERROR(VLOOKUP(C911,Stock,3,FALSE),"")</f>
        <v>List Kaca Depan Code 11</v>
      </c>
      <c r="E911" s="56">
        <v>1.0</v>
      </c>
      <c r="F911" s="161">
        <v>275000.0</v>
      </c>
      <c r="G911" s="162">
        <f t="shared" si="17"/>
        <v>275000</v>
      </c>
      <c r="H911" s="194"/>
      <c r="I911" s="161">
        <f t="shared" si="11"/>
        <v>275000</v>
      </c>
      <c r="J911" s="164">
        <f t="shared" si="12"/>
        <v>275000</v>
      </c>
      <c r="K911" s="307" t="s">
        <v>5413</v>
      </c>
      <c r="L911" s="165" t="s">
        <v>5414</v>
      </c>
      <c r="M911" s="73"/>
      <c r="N911" s="289" t="s">
        <v>5416</v>
      </c>
      <c r="O911" s="169" t="s">
        <v>2958</v>
      </c>
      <c r="P911" s="168" t="s">
        <v>3112</v>
      </c>
      <c r="Q911" s="173"/>
      <c r="R911" s="167"/>
      <c r="S911" s="173"/>
      <c r="T911" s="173"/>
      <c r="U911" s="173"/>
      <c r="V911" s="168" t="s">
        <v>3883</v>
      </c>
      <c r="W911" s="169"/>
      <c r="X911" s="219">
        <v>45586.0</v>
      </c>
    </row>
    <row r="912" ht="15.0" customHeight="1">
      <c r="A912" s="127">
        <v>45583.0</v>
      </c>
      <c r="B912" s="181" t="s">
        <v>5417</v>
      </c>
      <c r="C912" s="56" t="s">
        <v>4782</v>
      </c>
      <c r="D912" s="73" t="str">
        <f>IFERROR(VLOOKUP(C912,Stock,3,FALSE),"")</f>
        <v>Mitsubishi Pajero 08-16</v>
      </c>
      <c r="E912" s="56">
        <v>1.0</v>
      </c>
      <c r="F912" s="161">
        <v>1550000.0</v>
      </c>
      <c r="G912" s="162">
        <f t="shared" si="17"/>
        <v>1550000</v>
      </c>
      <c r="H912" s="194"/>
      <c r="I912" s="161">
        <f t="shared" si="11"/>
        <v>1550000</v>
      </c>
      <c r="J912" s="164">
        <f t="shared" si="12"/>
        <v>1550000</v>
      </c>
      <c r="K912" s="56" t="s">
        <v>5418</v>
      </c>
      <c r="L912" s="165" t="s">
        <v>5419</v>
      </c>
      <c r="M912" s="73"/>
      <c r="N912" s="171"/>
      <c r="O912" s="169" t="s">
        <v>2958</v>
      </c>
      <c r="P912" s="168" t="s">
        <v>5420</v>
      </c>
      <c r="Q912" s="173"/>
      <c r="R912" s="167">
        <v>1550000.0</v>
      </c>
      <c r="S912" s="173"/>
      <c r="T912" s="173"/>
      <c r="U912" s="173"/>
      <c r="V912" s="168" t="s">
        <v>3883</v>
      </c>
      <c r="W912" s="169"/>
      <c r="X912" s="219">
        <v>45586.0</v>
      </c>
    </row>
    <row r="913" ht="15.0" customHeight="1">
      <c r="A913" s="127">
        <v>45583.0</v>
      </c>
      <c r="B913" s="181" t="s">
        <v>5417</v>
      </c>
      <c r="C913" s="56" t="s">
        <v>2934</v>
      </c>
      <c r="D913" s="73" t="str">
        <f>IFERROR(VLOOKUP(C913,Stock,3,FALSE),"")</f>
        <v>Peti Kayu</v>
      </c>
      <c r="E913" s="56">
        <v>1.0</v>
      </c>
      <c r="F913" s="161">
        <v>200000.0</v>
      </c>
      <c r="G913" s="162">
        <f t="shared" si="17"/>
        <v>200000</v>
      </c>
      <c r="H913" s="194"/>
      <c r="I913" s="161">
        <f t="shared" si="11"/>
        <v>200000</v>
      </c>
      <c r="J913" s="164">
        <f t="shared" si="12"/>
        <v>200000</v>
      </c>
      <c r="K913" s="56" t="s">
        <v>5418</v>
      </c>
      <c r="L913" s="165" t="s">
        <v>5419</v>
      </c>
      <c r="M913" s="73"/>
      <c r="N913" s="171"/>
      <c r="O913" s="169" t="s">
        <v>2958</v>
      </c>
      <c r="P913" s="168" t="s">
        <v>5420</v>
      </c>
      <c r="Q913" s="173"/>
      <c r="R913" s="167">
        <v>200000.0</v>
      </c>
      <c r="S913" s="173"/>
      <c r="T913" s="173"/>
      <c r="U913" s="173"/>
      <c r="V913" s="168" t="s">
        <v>3883</v>
      </c>
      <c r="W913" s="169"/>
      <c r="X913" s="219">
        <v>45586.0</v>
      </c>
    </row>
    <row r="914" ht="15.0" customHeight="1">
      <c r="A914" s="127">
        <v>45584.0</v>
      </c>
      <c r="B914" s="181" t="s">
        <v>5421</v>
      </c>
      <c r="C914" s="56" t="s">
        <v>3181</v>
      </c>
      <c r="D914" s="73" t="str">
        <f>IFERROR(VLOOKUP(C914,Stock,3,FALSE),"")</f>
        <v>Toyota Corolla Cross 21-</v>
      </c>
      <c r="E914" s="56">
        <v>1.0</v>
      </c>
      <c r="F914" s="161">
        <v>3750000.0</v>
      </c>
      <c r="G914" s="162">
        <f t="shared" si="17"/>
        <v>3750000</v>
      </c>
      <c r="H914" s="194"/>
      <c r="I914" s="161">
        <f t="shared" si="11"/>
        <v>3750000</v>
      </c>
      <c r="J914" s="164">
        <f t="shared" si="12"/>
        <v>3750000</v>
      </c>
      <c r="K914" s="310" t="s">
        <v>5422</v>
      </c>
      <c r="L914" s="165" t="s">
        <v>5423</v>
      </c>
      <c r="M914" s="73"/>
      <c r="N914" s="171"/>
      <c r="O914" s="169" t="s">
        <v>3891</v>
      </c>
      <c r="P914" s="168" t="s">
        <v>2922</v>
      </c>
      <c r="Q914" s="173"/>
      <c r="R914" s="167">
        <v>3750000.0</v>
      </c>
      <c r="S914" s="173"/>
      <c r="T914" s="173"/>
      <c r="U914" s="173"/>
      <c r="V914" s="168" t="s">
        <v>3799</v>
      </c>
      <c r="W914" s="169"/>
      <c r="X914" s="219">
        <v>45593.0</v>
      </c>
    </row>
    <row r="915" ht="15.0" customHeight="1">
      <c r="A915" s="127">
        <v>45585.0</v>
      </c>
      <c r="B915" s="181" t="s">
        <v>5424</v>
      </c>
      <c r="C915" s="56" t="s">
        <v>2562</v>
      </c>
      <c r="D915" s="73" t="str">
        <f>IFERROR(VLOOKUP(C915,Stock,3,FALSE),"")</f>
        <v>Toyota Avanza / Xenia 15-21 3rd Gen</v>
      </c>
      <c r="E915" s="56">
        <v>1.0</v>
      </c>
      <c r="F915" s="161">
        <v>1020000.0</v>
      </c>
      <c r="G915" s="162">
        <f t="shared" si="17"/>
        <v>1020000</v>
      </c>
      <c r="H915" s="194"/>
      <c r="I915" s="161">
        <f t="shared" si="11"/>
        <v>1020000</v>
      </c>
      <c r="J915" s="164">
        <f t="shared" si="12"/>
        <v>1020000</v>
      </c>
      <c r="K915" s="310" t="s">
        <v>5425</v>
      </c>
      <c r="L915" s="165" t="s">
        <v>5423</v>
      </c>
      <c r="M915" s="56" t="s">
        <v>5426</v>
      </c>
      <c r="N915" s="289" t="s">
        <v>5427</v>
      </c>
      <c r="O915" s="169" t="s">
        <v>2958</v>
      </c>
      <c r="P915" s="168" t="s">
        <v>3112</v>
      </c>
      <c r="Q915" s="173"/>
      <c r="R915" s="167">
        <v>1020000.0</v>
      </c>
      <c r="S915" s="173"/>
      <c r="T915" s="173"/>
      <c r="U915" s="173"/>
      <c r="V915" s="168" t="s">
        <v>3799</v>
      </c>
      <c r="W915" s="169"/>
      <c r="X915" s="219">
        <v>45593.0</v>
      </c>
    </row>
    <row r="916" ht="15.0" customHeight="1">
      <c r="A916" s="127">
        <v>45585.0</v>
      </c>
      <c r="B916" s="181" t="s">
        <v>5428</v>
      </c>
      <c r="C916" s="56" t="s">
        <v>5429</v>
      </c>
      <c r="D916" s="73" t="str">
        <f>IFERROR(VLOOKUP(C916,Stock,3,FALSE),"")</f>
        <v>Toyota Innova 04-15 1st Gen (Toyota)</v>
      </c>
      <c r="E916" s="56">
        <v>1.0</v>
      </c>
      <c r="F916" s="161">
        <v>2200000.0</v>
      </c>
      <c r="G916" s="162">
        <f t="shared" si="17"/>
        <v>2200000</v>
      </c>
      <c r="H916" s="194"/>
      <c r="I916" s="161">
        <f t="shared" si="11"/>
        <v>2200000</v>
      </c>
      <c r="J916" s="164">
        <f t="shared" si="12"/>
        <v>2200000</v>
      </c>
      <c r="K916" s="310" t="s">
        <v>4155</v>
      </c>
      <c r="L916" s="165" t="s">
        <v>5430</v>
      </c>
      <c r="M916" s="73"/>
      <c r="N916" s="169" t="s">
        <v>5431</v>
      </c>
      <c r="O916" s="169" t="s">
        <v>2958</v>
      </c>
      <c r="P916" s="168" t="s">
        <v>3112</v>
      </c>
      <c r="Q916" s="173"/>
      <c r="R916" s="167">
        <v>2200000.0</v>
      </c>
      <c r="S916" s="173"/>
      <c r="T916" s="173"/>
      <c r="U916" s="173"/>
      <c r="V916" s="168" t="s">
        <v>3799</v>
      </c>
      <c r="W916" s="169"/>
      <c r="X916" s="219">
        <v>45593.0</v>
      </c>
    </row>
    <row r="917" ht="15.0" customHeight="1">
      <c r="A917" s="127">
        <v>45586.0</v>
      </c>
      <c r="B917" s="181" t="s">
        <v>5432</v>
      </c>
      <c r="C917" s="56" t="s">
        <v>2710</v>
      </c>
      <c r="D917" s="73" t="str">
        <f>IFERROR(VLOOKUP(C917,Stock,3,FALSE),"")</f>
        <v>Suzuki Carry (1000cc)</v>
      </c>
      <c r="E917" s="56">
        <v>1.0</v>
      </c>
      <c r="F917" s="161">
        <v>1170000.0</v>
      </c>
      <c r="G917" s="162">
        <f t="shared" si="17"/>
        <v>1170000</v>
      </c>
      <c r="H917" s="201">
        <v>120000.0</v>
      </c>
      <c r="I917" s="161">
        <f t="shared" si="11"/>
        <v>1050000</v>
      </c>
      <c r="J917" s="164">
        <f t="shared" si="12"/>
        <v>1050000</v>
      </c>
      <c r="K917" s="310" t="s">
        <v>5433</v>
      </c>
      <c r="L917" s="165" t="s">
        <v>5434</v>
      </c>
      <c r="M917" s="73"/>
      <c r="N917" s="169" t="s">
        <v>5435</v>
      </c>
      <c r="O917" s="169" t="s">
        <v>4250</v>
      </c>
      <c r="P917" s="168" t="s">
        <v>3112</v>
      </c>
      <c r="Q917" s="167">
        <v>1050000.0</v>
      </c>
      <c r="R917" s="173"/>
      <c r="S917" s="173"/>
      <c r="T917" s="173"/>
      <c r="U917" s="173"/>
      <c r="V917" s="168" t="s">
        <v>3671</v>
      </c>
      <c r="W917" s="169"/>
      <c r="X917" s="314">
        <v>45593.0</v>
      </c>
    </row>
    <row r="918" ht="15.0" customHeight="1">
      <c r="A918" s="127">
        <v>45586.0</v>
      </c>
      <c r="B918" s="181" t="s">
        <v>5432</v>
      </c>
      <c r="C918" s="56" t="s">
        <v>2954</v>
      </c>
      <c r="D918" s="73" t="str">
        <f>IFERROR(VLOOKUP(C918,Stock,3,FALSE),"")</f>
        <v>Transport</v>
      </c>
      <c r="E918" s="56">
        <v>1.0</v>
      </c>
      <c r="F918" s="161">
        <v>100000.0</v>
      </c>
      <c r="G918" s="162">
        <f t="shared" si="17"/>
        <v>100000</v>
      </c>
      <c r="H918" s="194"/>
      <c r="I918" s="161">
        <f t="shared" si="11"/>
        <v>100000</v>
      </c>
      <c r="J918" s="164">
        <f t="shared" si="12"/>
        <v>100000</v>
      </c>
      <c r="K918" s="56" t="s">
        <v>5433</v>
      </c>
      <c r="L918" s="165" t="s">
        <v>5434</v>
      </c>
      <c r="M918" s="73"/>
      <c r="N918" s="169" t="s">
        <v>5435</v>
      </c>
      <c r="O918" s="169" t="s">
        <v>4250</v>
      </c>
      <c r="P918" s="168" t="s">
        <v>3112</v>
      </c>
      <c r="Q918" s="167">
        <v>100000.0</v>
      </c>
      <c r="R918" s="173"/>
      <c r="S918" s="173"/>
      <c r="T918" s="173"/>
      <c r="U918" s="173"/>
      <c r="V918" s="168" t="s">
        <v>3883</v>
      </c>
      <c r="W918" s="169"/>
      <c r="X918" s="314">
        <v>45593.0</v>
      </c>
    </row>
    <row r="919" ht="15.0" customHeight="1">
      <c r="A919" s="127">
        <v>45586.0</v>
      </c>
      <c r="B919" s="181" t="s">
        <v>5436</v>
      </c>
      <c r="C919" s="56" t="s">
        <v>3574</v>
      </c>
      <c r="D919" s="73" t="str">
        <f>IFERROR(VLOOKUP(C919,Stock,3,FALSE),"")</f>
        <v>Toyota Rush / Terios 06-17</v>
      </c>
      <c r="E919" s="56">
        <v>1.0</v>
      </c>
      <c r="F919" s="161">
        <v>1005000.0</v>
      </c>
      <c r="G919" s="162">
        <f t="shared" si="17"/>
        <v>1005000</v>
      </c>
      <c r="H919" s="194"/>
      <c r="I919" s="161">
        <f t="shared" si="11"/>
        <v>1005000</v>
      </c>
      <c r="J919" s="164">
        <f t="shared" si="12"/>
        <v>1005000</v>
      </c>
      <c r="K919" s="56" t="s">
        <v>5437</v>
      </c>
      <c r="L919" s="165" t="s">
        <v>5438</v>
      </c>
      <c r="M919" s="73"/>
      <c r="N919" s="169" t="s">
        <v>5439</v>
      </c>
      <c r="O919" s="169" t="s">
        <v>3213</v>
      </c>
      <c r="P919" s="168" t="s">
        <v>3112</v>
      </c>
      <c r="Q919" s="167">
        <v>1005000.0</v>
      </c>
      <c r="R919" s="173"/>
      <c r="S919" s="173"/>
      <c r="T919" s="173"/>
      <c r="U919" s="167">
        <v>45000.0</v>
      </c>
      <c r="V919" s="168" t="s">
        <v>3883</v>
      </c>
      <c r="W919" s="169"/>
      <c r="X919" s="314">
        <v>45593.0</v>
      </c>
    </row>
    <row r="920" ht="15.0" customHeight="1">
      <c r="A920" s="127">
        <v>45586.0</v>
      </c>
      <c r="B920" s="181" t="s">
        <v>5440</v>
      </c>
      <c r="C920" s="56" t="s">
        <v>2712</v>
      </c>
      <c r="D920" s="73" t="str">
        <f>IFERROR(VLOOKUP(C920,Stock,3,FALSE),"")</f>
        <v>Mitsubishi L300</v>
      </c>
      <c r="E920" s="56">
        <v>1.0</v>
      </c>
      <c r="F920" s="161">
        <v>880000.0</v>
      </c>
      <c r="G920" s="162">
        <f t="shared" si="17"/>
        <v>880000</v>
      </c>
      <c r="H920" s="194"/>
      <c r="I920" s="161">
        <f t="shared" si="11"/>
        <v>880000</v>
      </c>
      <c r="J920" s="164">
        <f t="shared" si="12"/>
        <v>880000</v>
      </c>
      <c r="K920" s="56" t="s">
        <v>5441</v>
      </c>
      <c r="L920" s="165" t="s">
        <v>5442</v>
      </c>
      <c r="M920" s="73"/>
      <c r="N920" s="171"/>
      <c r="O920" s="169" t="s">
        <v>3204</v>
      </c>
      <c r="P920" s="168" t="s">
        <v>3112</v>
      </c>
      <c r="Q920" s="173"/>
      <c r="R920" s="167">
        <v>880000.0</v>
      </c>
      <c r="S920" s="173"/>
      <c r="T920" s="173"/>
      <c r="U920" s="173"/>
      <c r="V920" s="168" t="s">
        <v>3883</v>
      </c>
      <c r="W920" s="169"/>
      <c r="X920" s="314">
        <v>45593.0</v>
      </c>
    </row>
    <row r="921" ht="15.0" customHeight="1">
      <c r="A921" s="127">
        <v>45586.0</v>
      </c>
      <c r="B921" s="181" t="s">
        <v>5440</v>
      </c>
      <c r="C921" s="56" t="s">
        <v>2954</v>
      </c>
      <c r="D921" s="73" t="str">
        <f>IFERROR(VLOOKUP(C921,Stock,3,FALSE),"")</f>
        <v>Transport</v>
      </c>
      <c r="E921" s="56">
        <v>1.0</v>
      </c>
      <c r="F921" s="161">
        <v>50000.0</v>
      </c>
      <c r="G921" s="162">
        <f t="shared" si="17"/>
        <v>50000</v>
      </c>
      <c r="H921" s="194"/>
      <c r="I921" s="161">
        <f t="shared" si="11"/>
        <v>50000</v>
      </c>
      <c r="J921" s="164">
        <f t="shared" si="12"/>
        <v>50000</v>
      </c>
      <c r="K921" s="56" t="s">
        <v>5441</v>
      </c>
      <c r="L921" s="165" t="s">
        <v>5442</v>
      </c>
      <c r="M921" s="73"/>
      <c r="N921" s="171"/>
      <c r="O921" s="169" t="s">
        <v>3204</v>
      </c>
      <c r="P921" s="168" t="s">
        <v>3112</v>
      </c>
      <c r="Q921" s="173"/>
      <c r="R921" s="167">
        <v>50000.0</v>
      </c>
      <c r="S921" s="173"/>
      <c r="T921" s="173"/>
      <c r="U921" s="173"/>
      <c r="V921" s="168" t="s">
        <v>3883</v>
      </c>
      <c r="W921" s="169"/>
      <c r="X921" s="314">
        <v>45593.0</v>
      </c>
    </row>
    <row r="922" ht="15.0" customHeight="1">
      <c r="A922" s="127">
        <v>45586.0</v>
      </c>
      <c r="B922" s="181" t="s">
        <v>5443</v>
      </c>
      <c r="C922" s="56" t="s">
        <v>5444</v>
      </c>
      <c r="D922" s="73" t="str">
        <f>IFERROR(VLOOKUP(C922,Stock,3,FALSE),"")</f>
        <v>Toyota Hi-Ace 19- Premio (Hitam) (Tinggi 56.7cm)</v>
      </c>
      <c r="E922" s="56">
        <v>1.0</v>
      </c>
      <c r="F922" s="161">
        <v>3002000.0</v>
      </c>
      <c r="G922" s="162">
        <f t="shared" si="17"/>
        <v>3002000</v>
      </c>
      <c r="H922" s="194"/>
      <c r="I922" s="161">
        <f t="shared" si="11"/>
        <v>3002000</v>
      </c>
      <c r="J922" s="164">
        <f t="shared" si="12"/>
        <v>3002000</v>
      </c>
      <c r="K922" s="56" t="s">
        <v>5445</v>
      </c>
      <c r="L922" s="165" t="s">
        <v>5446</v>
      </c>
      <c r="M922" s="56" t="s">
        <v>5447</v>
      </c>
      <c r="N922" s="289" t="s">
        <v>5448</v>
      </c>
      <c r="O922" s="169" t="s">
        <v>3710</v>
      </c>
      <c r="P922" s="168" t="s">
        <v>3112</v>
      </c>
      <c r="Q922" s="173"/>
      <c r="R922" s="167">
        <v>3002000.0</v>
      </c>
      <c r="S922" s="173"/>
      <c r="T922" s="173"/>
      <c r="U922" s="173"/>
      <c r="V922" s="168" t="s">
        <v>3883</v>
      </c>
      <c r="W922" s="169"/>
      <c r="X922" s="314">
        <v>45595.0</v>
      </c>
    </row>
    <row r="923" ht="15.0" customHeight="1">
      <c r="A923" s="127">
        <v>45587.0</v>
      </c>
      <c r="B923" s="181" t="s">
        <v>5449</v>
      </c>
      <c r="C923" s="56" t="s">
        <v>4027</v>
      </c>
      <c r="D923" s="73" t="str">
        <f>IFERROR(VLOOKUP(C923,Stock,3,FALSE),"")</f>
        <v>501 Sealant Application</v>
      </c>
      <c r="E923" s="56">
        <v>1.0</v>
      </c>
      <c r="F923" s="161">
        <v>200000.0</v>
      </c>
      <c r="G923" s="162">
        <f t="shared" si="17"/>
        <v>200000</v>
      </c>
      <c r="H923" s="194"/>
      <c r="I923" s="161">
        <f t="shared" si="11"/>
        <v>200000</v>
      </c>
      <c r="J923" s="164">
        <f t="shared" si="12"/>
        <v>200000</v>
      </c>
      <c r="K923" s="315" t="s">
        <v>5397</v>
      </c>
      <c r="L923" s="165" t="s">
        <v>5450</v>
      </c>
      <c r="M923" s="73"/>
      <c r="N923" s="289" t="s">
        <v>5451</v>
      </c>
      <c r="O923" s="169" t="s">
        <v>3710</v>
      </c>
      <c r="P923" s="168" t="s">
        <v>3112</v>
      </c>
      <c r="Q923" s="173"/>
      <c r="R923" s="167">
        <v>200000.0</v>
      </c>
      <c r="S923" s="173"/>
      <c r="T923" s="173"/>
      <c r="U923" s="173"/>
      <c r="V923" s="168" t="s">
        <v>3883</v>
      </c>
      <c r="W923" s="169"/>
      <c r="X923" s="314">
        <v>45595.0</v>
      </c>
    </row>
    <row r="924" ht="15.0" customHeight="1">
      <c r="A924" s="127">
        <v>45587.0</v>
      </c>
      <c r="B924" s="181" t="s">
        <v>5452</v>
      </c>
      <c r="C924" s="56" t="s">
        <v>4340</v>
      </c>
      <c r="D924" s="73" t="str">
        <f>IFERROR(VLOOKUP(C924,Stock,3,FALSE),"")</f>
        <v/>
      </c>
      <c r="E924" s="56"/>
      <c r="F924" s="161"/>
      <c r="G924" s="162"/>
      <c r="H924" s="194"/>
      <c r="I924" s="161"/>
      <c r="J924" s="164"/>
      <c r="K924" s="310"/>
      <c r="L924" s="56"/>
      <c r="M924" s="73"/>
      <c r="N924" s="171"/>
      <c r="O924" s="316"/>
      <c r="P924" s="168"/>
      <c r="Q924" s="167"/>
      <c r="R924" s="173"/>
      <c r="S924" s="173"/>
      <c r="T924" s="173"/>
      <c r="U924" s="173"/>
      <c r="V924" s="168" t="s">
        <v>3799</v>
      </c>
      <c r="W924" s="169"/>
      <c r="X924" s="169" t="s">
        <v>2939</v>
      </c>
    </row>
    <row r="925" ht="15.0" customHeight="1">
      <c r="A925" s="127">
        <v>45587.0</v>
      </c>
      <c r="B925" s="181" t="s">
        <v>5452</v>
      </c>
      <c r="C925" s="56" t="s">
        <v>4340</v>
      </c>
      <c r="D925" s="73" t="str">
        <f>IFERROR(VLOOKUP(C925,Stock,3,FALSE),"")</f>
        <v/>
      </c>
      <c r="E925" s="56"/>
      <c r="F925" s="161"/>
      <c r="G925" s="162"/>
      <c r="H925" s="194"/>
      <c r="I925" s="161"/>
      <c r="J925" s="164"/>
      <c r="K925" s="310"/>
      <c r="L925" s="56"/>
      <c r="M925" s="73"/>
      <c r="N925" s="171"/>
      <c r="O925" s="316"/>
      <c r="P925" s="168"/>
      <c r="Q925" s="173"/>
      <c r="R925" s="173"/>
      <c r="S925" s="173"/>
      <c r="T925" s="173"/>
      <c r="U925" s="173"/>
      <c r="V925" s="168" t="s">
        <v>3799</v>
      </c>
      <c r="W925" s="169"/>
      <c r="X925" s="169" t="s">
        <v>2939</v>
      </c>
    </row>
    <row r="926" ht="15.0" customHeight="1">
      <c r="A926" s="127">
        <v>45587.0</v>
      </c>
      <c r="B926" s="181" t="s">
        <v>5453</v>
      </c>
      <c r="C926" s="56" t="s">
        <v>2671</v>
      </c>
      <c r="D926" s="73" t="str">
        <f>IFERROR(VLOOKUP(C926,Stock,3,FALSE),"")</f>
        <v>Isuzu D-Max 02-12 1st Gen</v>
      </c>
      <c r="E926" s="56">
        <v>1.0</v>
      </c>
      <c r="F926" s="161">
        <v>1789000.0</v>
      </c>
      <c r="G926" s="162">
        <f t="shared" ref="G926:G939" si="18">$E$611*F926</f>
        <v>1789000</v>
      </c>
      <c r="H926" s="194"/>
      <c r="I926" s="161">
        <f t="shared" ref="I926:I977" si="19">G926-H926</f>
        <v>1789000</v>
      </c>
      <c r="J926" s="164">
        <f t="shared" ref="J926:J977" si="20">I926</f>
        <v>1789000</v>
      </c>
      <c r="K926" s="315" t="s">
        <v>5454</v>
      </c>
      <c r="L926" s="165" t="s">
        <v>5455</v>
      </c>
      <c r="M926" s="73"/>
      <c r="N926" s="289" t="s">
        <v>5456</v>
      </c>
      <c r="O926" s="169" t="s">
        <v>2958</v>
      </c>
      <c r="P926" s="168" t="s">
        <v>3112</v>
      </c>
      <c r="Q926" s="173"/>
      <c r="R926" s="167">
        <v>1789000.0</v>
      </c>
      <c r="S926" s="173"/>
      <c r="T926" s="173"/>
      <c r="U926" s="173"/>
      <c r="V926" s="168" t="s">
        <v>3799</v>
      </c>
      <c r="W926" s="169"/>
      <c r="X926" s="314">
        <v>45595.0</v>
      </c>
    </row>
    <row r="927" ht="15.0" customHeight="1">
      <c r="A927" s="127">
        <v>45588.0</v>
      </c>
      <c r="B927" s="181" t="s">
        <v>5457</v>
      </c>
      <c r="C927" s="56" t="s">
        <v>5458</v>
      </c>
      <c r="D927" s="73" t="str">
        <f>IFERROR(VLOOKUP(C927,Stock,3,FALSE),"")</f>
        <v>Isuzu Panther 00- 2nd Gen (Sealant)</v>
      </c>
      <c r="E927" s="56">
        <v>1.0</v>
      </c>
      <c r="F927" s="161">
        <v>850000.0</v>
      </c>
      <c r="G927" s="162">
        <f t="shared" si="18"/>
        <v>850000</v>
      </c>
      <c r="H927" s="194"/>
      <c r="I927" s="161">
        <f t="shared" si="19"/>
        <v>850000</v>
      </c>
      <c r="J927" s="164">
        <f t="shared" si="20"/>
        <v>850000</v>
      </c>
      <c r="K927" s="56" t="s">
        <v>5459</v>
      </c>
      <c r="L927" s="165" t="s">
        <v>5460</v>
      </c>
      <c r="M927" s="73"/>
      <c r="N927" s="171"/>
      <c r="O927" s="169" t="s">
        <v>2958</v>
      </c>
      <c r="P927" s="168" t="s">
        <v>3112</v>
      </c>
      <c r="Q927" s="167">
        <v>850000.0</v>
      </c>
      <c r="R927" s="173"/>
      <c r="S927" s="173"/>
      <c r="T927" s="173"/>
      <c r="U927" s="173"/>
      <c r="V927" s="168" t="s">
        <v>3799</v>
      </c>
      <c r="W927" s="169"/>
      <c r="X927" s="314">
        <v>45595.0</v>
      </c>
    </row>
    <row r="928" ht="15.0" customHeight="1">
      <c r="A928" s="127">
        <v>45588.0</v>
      </c>
      <c r="B928" s="181" t="s">
        <v>5461</v>
      </c>
      <c r="C928" s="251" t="s">
        <v>2936</v>
      </c>
      <c r="D928" s="73" t="str">
        <f>IFERROR(VLOOKUP(C928,Stock,3,FALSE),"")</f>
        <v>Toyota Calya / Sigra 16-</v>
      </c>
      <c r="E928" s="56">
        <v>1.0</v>
      </c>
      <c r="F928" s="161">
        <v>850000.0</v>
      </c>
      <c r="G928" s="162">
        <f t="shared" si="18"/>
        <v>850000</v>
      </c>
      <c r="H928" s="194"/>
      <c r="I928" s="161">
        <f t="shared" si="19"/>
        <v>850000</v>
      </c>
      <c r="J928" s="164">
        <f t="shared" si="20"/>
        <v>850000</v>
      </c>
      <c r="K928" s="56" t="s">
        <v>5462</v>
      </c>
      <c r="L928" s="165" t="s">
        <v>5463</v>
      </c>
      <c r="M928" s="73"/>
      <c r="N928" s="171"/>
      <c r="O928" s="169" t="s">
        <v>2958</v>
      </c>
      <c r="P928" s="168" t="s">
        <v>3112</v>
      </c>
      <c r="Q928" s="167">
        <v>850000.0</v>
      </c>
      <c r="R928" s="173"/>
      <c r="S928" s="173"/>
      <c r="T928" s="173"/>
      <c r="U928" s="173"/>
      <c r="V928" s="168" t="s">
        <v>3883</v>
      </c>
      <c r="W928" s="169"/>
      <c r="X928" s="314">
        <v>45595.0</v>
      </c>
    </row>
    <row r="929" ht="15.0" customHeight="1">
      <c r="A929" s="127">
        <v>45588.0</v>
      </c>
      <c r="B929" s="181" t="s">
        <v>5464</v>
      </c>
      <c r="C929" s="56" t="s">
        <v>5465</v>
      </c>
      <c r="D929" s="73" t="str">
        <f>IFERROR(VLOOKUP(C929,Stock,3,FALSE),"")</f>
        <v>Toyota Yaris 05-13 XP90 1st Gen</v>
      </c>
      <c r="E929" s="56">
        <v>1.0</v>
      </c>
      <c r="F929" s="161">
        <v>938000.0</v>
      </c>
      <c r="G929" s="162">
        <f t="shared" si="18"/>
        <v>938000</v>
      </c>
      <c r="H929" s="194"/>
      <c r="I929" s="161">
        <f t="shared" si="19"/>
        <v>938000</v>
      </c>
      <c r="J929" s="164">
        <f t="shared" si="20"/>
        <v>938000</v>
      </c>
      <c r="K929" s="56" t="s">
        <v>5011</v>
      </c>
      <c r="L929" s="165" t="s">
        <v>3644</v>
      </c>
      <c r="M929" s="73"/>
      <c r="N929" s="171"/>
      <c r="O929" s="169" t="s">
        <v>2958</v>
      </c>
      <c r="P929" s="168" t="s">
        <v>3112</v>
      </c>
      <c r="Q929" s="173"/>
      <c r="R929" s="167">
        <v>938000.0</v>
      </c>
      <c r="S929" s="173"/>
      <c r="T929" s="173"/>
      <c r="U929" s="173"/>
      <c r="V929" s="168" t="s">
        <v>4262</v>
      </c>
      <c r="W929" s="169"/>
      <c r="X929" s="314">
        <v>45595.0</v>
      </c>
    </row>
    <row r="930" ht="15.0" customHeight="1">
      <c r="A930" s="127">
        <v>45588.0</v>
      </c>
      <c r="B930" s="181" t="s">
        <v>5466</v>
      </c>
      <c r="C930" s="56" t="s">
        <v>3707</v>
      </c>
      <c r="D930" s="73" t="str">
        <f>IFERROR(VLOOKUP(C930,Stock,3,FALSE),"")</f>
        <v>Mitsubishi Pajero 16-</v>
      </c>
      <c r="E930" s="56">
        <v>1.0</v>
      </c>
      <c r="F930" s="161">
        <v>1680000.0</v>
      </c>
      <c r="G930" s="162">
        <f t="shared" si="18"/>
        <v>1680000</v>
      </c>
      <c r="H930" s="194"/>
      <c r="I930" s="161">
        <f t="shared" si="19"/>
        <v>1680000</v>
      </c>
      <c r="J930" s="164">
        <f t="shared" si="20"/>
        <v>1680000</v>
      </c>
      <c r="K930" s="56" t="s">
        <v>5467</v>
      </c>
      <c r="L930" s="165" t="s">
        <v>5468</v>
      </c>
      <c r="M930" s="73"/>
      <c r="N930" s="169" t="s">
        <v>5469</v>
      </c>
      <c r="O930" s="169" t="s">
        <v>2958</v>
      </c>
      <c r="P930" s="168" t="s">
        <v>3112</v>
      </c>
      <c r="Q930" s="173"/>
      <c r="R930" s="167">
        <v>1680000.0</v>
      </c>
      <c r="S930" s="173"/>
      <c r="T930" s="173"/>
      <c r="U930" s="173"/>
      <c r="V930" s="168" t="s">
        <v>3883</v>
      </c>
      <c r="W930" s="169"/>
      <c r="X930" s="314">
        <v>45595.0</v>
      </c>
    </row>
    <row r="931" ht="15.0" customHeight="1">
      <c r="A931" s="127">
        <v>45588.0</v>
      </c>
      <c r="B931" s="181" t="s">
        <v>5470</v>
      </c>
      <c r="C931" s="56" t="s">
        <v>3127</v>
      </c>
      <c r="D931" s="73" t="str">
        <f>IFERROR(VLOOKUP(C931,Stock,3,FALSE),"")</f>
        <v>Toyota Avanza / Xenia 03-11 1st Gen</v>
      </c>
      <c r="E931" s="56">
        <v>1.0</v>
      </c>
      <c r="F931" s="161">
        <v>650000.0</v>
      </c>
      <c r="G931" s="162">
        <f t="shared" si="18"/>
        <v>650000</v>
      </c>
      <c r="H931" s="194"/>
      <c r="I931" s="161">
        <f t="shared" si="19"/>
        <v>650000</v>
      </c>
      <c r="J931" s="164">
        <f t="shared" si="20"/>
        <v>650000</v>
      </c>
      <c r="K931" s="56" t="s">
        <v>5471</v>
      </c>
      <c r="L931" s="165" t="s">
        <v>5472</v>
      </c>
      <c r="M931" s="73"/>
      <c r="N931" s="171"/>
      <c r="O931" s="169" t="s">
        <v>2958</v>
      </c>
      <c r="P931" s="168" t="s">
        <v>3112</v>
      </c>
      <c r="Q931" s="173"/>
      <c r="R931" s="167">
        <v>650000.0</v>
      </c>
      <c r="S931" s="173"/>
      <c r="T931" s="173"/>
      <c r="U931" s="173"/>
      <c r="V931" s="168" t="s">
        <v>3883</v>
      </c>
      <c r="W931" s="169"/>
      <c r="X931" s="314">
        <v>45595.0</v>
      </c>
    </row>
    <row r="932" ht="15.0" customHeight="1">
      <c r="A932" s="127">
        <v>45589.0</v>
      </c>
      <c r="B932" s="181" t="s">
        <v>5473</v>
      </c>
      <c r="C932" s="56" t="s">
        <v>2562</v>
      </c>
      <c r="D932" s="73" t="str">
        <f>IFERROR(VLOOKUP(C932,Stock,3,FALSE),"")</f>
        <v>Toyota Avanza / Xenia 15-21 3rd Gen</v>
      </c>
      <c r="E932" s="56">
        <v>1.0</v>
      </c>
      <c r="F932" s="161">
        <v>1120000.0</v>
      </c>
      <c r="G932" s="162">
        <f t="shared" si="18"/>
        <v>1120000</v>
      </c>
      <c r="H932" s="201">
        <v>100000.0</v>
      </c>
      <c r="I932" s="161">
        <f t="shared" si="19"/>
        <v>1020000</v>
      </c>
      <c r="J932" s="164">
        <f t="shared" si="20"/>
        <v>1020000</v>
      </c>
      <c r="K932" s="56" t="s">
        <v>5474</v>
      </c>
      <c r="L932" s="165" t="s">
        <v>5475</v>
      </c>
      <c r="M932" s="73"/>
      <c r="N932" s="169" t="s">
        <v>5476</v>
      </c>
      <c r="O932" s="169" t="s">
        <v>2958</v>
      </c>
      <c r="P932" s="168" t="s">
        <v>3112</v>
      </c>
      <c r="Q932" s="167">
        <v>1050000.0</v>
      </c>
      <c r="R932" s="173"/>
      <c r="S932" s="173"/>
      <c r="T932" s="173"/>
      <c r="U932" s="167">
        <v>30000.0</v>
      </c>
      <c r="V932" s="168" t="s">
        <v>4262</v>
      </c>
      <c r="W932" s="169"/>
      <c r="X932" s="314">
        <v>45595.0</v>
      </c>
    </row>
    <row r="933" ht="15.0" customHeight="1">
      <c r="A933" s="127">
        <v>45589.0</v>
      </c>
      <c r="B933" s="181" t="s">
        <v>5477</v>
      </c>
      <c r="C933" s="251" t="s">
        <v>2669</v>
      </c>
      <c r="D933" s="73" t="str">
        <f>IFERROR(VLOOKUP(C933,Stock,3,FALSE),"")</f>
        <v>Nissan Livina 07-18 L10/L11</v>
      </c>
      <c r="E933" s="56">
        <v>1.0</v>
      </c>
      <c r="F933" s="161">
        <v>1442000.0</v>
      </c>
      <c r="G933" s="162">
        <f t="shared" si="18"/>
        <v>1442000</v>
      </c>
      <c r="H933" s="194"/>
      <c r="I933" s="161">
        <f t="shared" si="19"/>
        <v>1442000</v>
      </c>
      <c r="J933" s="164">
        <f t="shared" si="20"/>
        <v>1442000</v>
      </c>
      <c r="K933" s="310" t="s">
        <v>5478</v>
      </c>
      <c r="L933" s="165" t="s">
        <v>5479</v>
      </c>
      <c r="M933" s="73"/>
      <c r="N933" s="289" t="s">
        <v>5480</v>
      </c>
      <c r="O933" s="169" t="s">
        <v>2958</v>
      </c>
      <c r="P933" s="168" t="s">
        <v>3112</v>
      </c>
      <c r="Q933" s="173"/>
      <c r="R933" s="167">
        <v>1442000.0</v>
      </c>
      <c r="S933" s="173"/>
      <c r="T933" s="173"/>
      <c r="U933" s="173"/>
      <c r="V933" s="168" t="s">
        <v>3799</v>
      </c>
      <c r="W933" s="169"/>
      <c r="X933" s="314">
        <v>45595.0</v>
      </c>
    </row>
    <row r="934" ht="15.0" customHeight="1">
      <c r="A934" s="127">
        <v>45590.0</v>
      </c>
      <c r="B934" s="181" t="s">
        <v>5481</v>
      </c>
      <c r="C934" s="251" t="s">
        <v>2936</v>
      </c>
      <c r="D934" s="73" t="str">
        <f>IFERROR(VLOOKUP(C934,Stock,3,FALSE),"")</f>
        <v>Toyota Calya / Sigra 16-</v>
      </c>
      <c r="E934" s="56">
        <v>1.0</v>
      </c>
      <c r="F934" s="161">
        <v>950000.0</v>
      </c>
      <c r="G934" s="162">
        <f t="shared" si="18"/>
        <v>950000</v>
      </c>
      <c r="H934" s="194"/>
      <c r="I934" s="161">
        <f t="shared" si="19"/>
        <v>950000</v>
      </c>
      <c r="J934" s="164">
        <f t="shared" si="20"/>
        <v>950000</v>
      </c>
      <c r="K934" s="56" t="s">
        <v>5482</v>
      </c>
      <c r="L934" s="165" t="s">
        <v>5483</v>
      </c>
      <c r="M934" s="73"/>
      <c r="N934" s="169" t="s">
        <v>5484</v>
      </c>
      <c r="O934" s="169" t="s">
        <v>2958</v>
      </c>
      <c r="P934" s="168" t="s">
        <v>3112</v>
      </c>
      <c r="Q934" s="173"/>
      <c r="R934" s="167">
        <v>950000.0</v>
      </c>
      <c r="S934" s="173"/>
      <c r="T934" s="173"/>
      <c r="U934" s="173"/>
      <c r="V934" s="168" t="s">
        <v>3883</v>
      </c>
      <c r="W934" s="169"/>
      <c r="X934" s="314">
        <v>45595.0</v>
      </c>
    </row>
    <row r="935" ht="15.0" customHeight="1">
      <c r="A935" s="127">
        <v>45590.0</v>
      </c>
      <c r="B935" s="181" t="s">
        <v>5485</v>
      </c>
      <c r="C935" s="56" t="s">
        <v>3099</v>
      </c>
      <c r="D935" s="73" t="str">
        <f>IFERROR(VLOOKUP(C935,Stock,3,FALSE),"")</f>
        <v>Toyota Calya / Sigra 16-</v>
      </c>
      <c r="E935" s="56">
        <v>1.0</v>
      </c>
      <c r="F935" s="161">
        <v>1149000.0</v>
      </c>
      <c r="G935" s="162">
        <f t="shared" si="18"/>
        <v>1149000</v>
      </c>
      <c r="H935" s="194"/>
      <c r="I935" s="161">
        <f t="shared" si="19"/>
        <v>1149000</v>
      </c>
      <c r="J935" s="164">
        <f t="shared" si="20"/>
        <v>1149000</v>
      </c>
      <c r="K935" s="56" t="s">
        <v>5486</v>
      </c>
      <c r="L935" s="165" t="s">
        <v>5487</v>
      </c>
      <c r="M935" s="73"/>
      <c r="N935" s="169" t="s">
        <v>5488</v>
      </c>
      <c r="O935" s="169" t="s">
        <v>2958</v>
      </c>
      <c r="P935" s="168" t="s">
        <v>3112</v>
      </c>
      <c r="Q935" s="173"/>
      <c r="R935" s="167">
        <v>1149000.0</v>
      </c>
      <c r="S935" s="173"/>
      <c r="T935" s="173"/>
      <c r="U935" s="173"/>
      <c r="V935" s="168" t="s">
        <v>3883</v>
      </c>
      <c r="W935" s="169"/>
      <c r="X935" s="314">
        <v>45595.0</v>
      </c>
    </row>
    <row r="936" ht="15.0" customHeight="1">
      <c r="A936" s="127">
        <v>45590.0</v>
      </c>
      <c r="B936" s="181" t="s">
        <v>5489</v>
      </c>
      <c r="C936" s="251" t="s">
        <v>3638</v>
      </c>
      <c r="D936" s="73" t="str">
        <f>IFERROR(VLOOKUP(C936,Stock,3,FALSE),"")</f>
        <v>Mitsubishi Xpander 17-21</v>
      </c>
      <c r="E936" s="56">
        <v>1.0</v>
      </c>
      <c r="F936" s="161">
        <v>950000.0</v>
      </c>
      <c r="G936" s="162">
        <f t="shared" si="18"/>
        <v>950000</v>
      </c>
      <c r="H936" s="194"/>
      <c r="I936" s="161">
        <f t="shared" si="19"/>
        <v>950000</v>
      </c>
      <c r="J936" s="164">
        <f t="shared" si="20"/>
        <v>950000</v>
      </c>
      <c r="K936" s="56" t="s">
        <v>5490</v>
      </c>
      <c r="L936" s="165" t="s">
        <v>5491</v>
      </c>
      <c r="M936" s="73"/>
      <c r="N936" s="171"/>
      <c r="O936" s="169" t="s">
        <v>2958</v>
      </c>
      <c r="P936" s="168" t="s">
        <v>3112</v>
      </c>
      <c r="Q936" s="167">
        <v>1000000.0</v>
      </c>
      <c r="R936" s="167"/>
      <c r="S936" s="173"/>
      <c r="T936" s="173"/>
      <c r="U936" s="167">
        <v>50000.0</v>
      </c>
      <c r="V936" s="168" t="s">
        <v>3883</v>
      </c>
      <c r="W936" s="169"/>
      <c r="X936" s="314">
        <v>45595.0</v>
      </c>
    </row>
    <row r="937" ht="15.0" customHeight="1">
      <c r="A937" s="127">
        <v>45591.0</v>
      </c>
      <c r="B937" s="181" t="s">
        <v>5492</v>
      </c>
      <c r="C937" s="56" t="s">
        <v>5493</v>
      </c>
      <c r="D937" s="73" t="str">
        <f>IFERROR(VLOOKUP(C937,Stock,3,FALSE),"")</f>
        <v>Toyota Calya / Sigra 16-</v>
      </c>
      <c r="E937" s="56">
        <v>1.0</v>
      </c>
      <c r="F937" s="161">
        <v>450000.0</v>
      </c>
      <c r="G937" s="162">
        <f t="shared" si="18"/>
        <v>450000</v>
      </c>
      <c r="H937" s="194"/>
      <c r="I937" s="161">
        <f t="shared" si="19"/>
        <v>450000</v>
      </c>
      <c r="J937" s="164">
        <f t="shared" si="20"/>
        <v>450000</v>
      </c>
      <c r="K937" s="56" t="s">
        <v>5494</v>
      </c>
      <c r="L937" s="165" t="s">
        <v>5495</v>
      </c>
      <c r="M937" s="73"/>
      <c r="N937" s="171"/>
      <c r="O937" s="169" t="s">
        <v>2958</v>
      </c>
      <c r="P937" s="168" t="s">
        <v>3112</v>
      </c>
      <c r="Q937" s="173"/>
      <c r="R937" s="173"/>
      <c r="S937" s="173"/>
      <c r="T937" s="173"/>
      <c r="U937" s="173"/>
      <c r="V937" s="168" t="s">
        <v>3883</v>
      </c>
      <c r="W937" s="169"/>
      <c r="X937" s="314">
        <v>45601.0</v>
      </c>
    </row>
    <row r="938" ht="15.0" customHeight="1">
      <c r="A938" s="127">
        <v>45591.0</v>
      </c>
      <c r="B938" s="181" t="s">
        <v>5492</v>
      </c>
      <c r="C938" s="169" t="s">
        <v>2954</v>
      </c>
      <c r="D938" s="73" t="str">
        <f>IFERROR(VLOOKUP(C938,Stock,3,FALSE),"")</f>
        <v>Transport</v>
      </c>
      <c r="E938" s="56">
        <v>1.0</v>
      </c>
      <c r="F938" s="161">
        <v>100000.0</v>
      </c>
      <c r="G938" s="162">
        <f t="shared" si="18"/>
        <v>100000</v>
      </c>
      <c r="H938" s="194"/>
      <c r="I938" s="161">
        <f t="shared" si="19"/>
        <v>100000</v>
      </c>
      <c r="J938" s="164">
        <f t="shared" si="20"/>
        <v>100000</v>
      </c>
      <c r="K938" s="56" t="s">
        <v>5494</v>
      </c>
      <c r="L938" s="165" t="s">
        <v>5495</v>
      </c>
      <c r="M938" s="73"/>
      <c r="N938" s="171"/>
      <c r="O938" s="169" t="s">
        <v>2958</v>
      </c>
      <c r="P938" s="168" t="s">
        <v>3112</v>
      </c>
      <c r="Q938" s="173"/>
      <c r="R938" s="173"/>
      <c r="S938" s="173"/>
      <c r="T938" s="173"/>
      <c r="U938" s="173"/>
      <c r="V938" s="168" t="s">
        <v>3883</v>
      </c>
      <c r="W938" s="169"/>
      <c r="X938" s="314">
        <v>45601.0</v>
      </c>
    </row>
    <row r="939" ht="15.0" customHeight="1">
      <c r="A939" s="127">
        <v>45591.0</v>
      </c>
      <c r="B939" s="181" t="s">
        <v>5496</v>
      </c>
      <c r="C939" s="251" t="s">
        <v>2565</v>
      </c>
      <c r="D939" s="73" t="str">
        <f>IFERROR(VLOOKUP(C939,Stock,3,FALSE),"")</f>
        <v>Toyota Avanza / Xenia 03-11 1st Gen</v>
      </c>
      <c r="E939" s="56">
        <v>1.0</v>
      </c>
      <c r="F939" s="161">
        <v>880000.0</v>
      </c>
      <c r="G939" s="162">
        <f t="shared" si="18"/>
        <v>880000</v>
      </c>
      <c r="H939" s="194"/>
      <c r="I939" s="161">
        <f t="shared" si="19"/>
        <v>880000</v>
      </c>
      <c r="J939" s="164">
        <f t="shared" si="20"/>
        <v>880000</v>
      </c>
      <c r="K939" s="310" t="s">
        <v>5497</v>
      </c>
      <c r="L939" s="165" t="s">
        <v>4226</v>
      </c>
      <c r="M939" s="73"/>
      <c r="N939" s="171"/>
      <c r="O939" s="169" t="s">
        <v>3213</v>
      </c>
      <c r="P939" s="168" t="s">
        <v>3011</v>
      </c>
      <c r="Q939" s="173"/>
      <c r="R939" s="167">
        <v>880000.0</v>
      </c>
      <c r="S939" s="173"/>
      <c r="T939" s="173"/>
      <c r="U939" s="173"/>
      <c r="V939" s="168" t="s">
        <v>3799</v>
      </c>
      <c r="W939" s="169"/>
      <c r="X939" s="314">
        <v>45601.0</v>
      </c>
    </row>
    <row r="940" ht="15.0" customHeight="1">
      <c r="A940" s="127">
        <v>45591.0</v>
      </c>
      <c r="B940" s="181" t="s">
        <v>5496</v>
      </c>
      <c r="C940" s="251" t="s">
        <v>3059</v>
      </c>
      <c r="D940" s="73" t="str">
        <f>IFERROR(VLOOKUP(C940,Stock,3,FALSE),"")</f>
        <v>Sealant Polyurethane XYG Tube</v>
      </c>
      <c r="E940" s="56">
        <v>2.0</v>
      </c>
      <c r="F940" s="161">
        <v>75000.0</v>
      </c>
      <c r="G940" s="162">
        <f>E940*F940</f>
        <v>150000</v>
      </c>
      <c r="H940" s="194"/>
      <c r="I940" s="161">
        <f t="shared" si="19"/>
        <v>150000</v>
      </c>
      <c r="J940" s="164">
        <f t="shared" si="20"/>
        <v>150000</v>
      </c>
      <c r="K940" s="310" t="s">
        <v>5497</v>
      </c>
      <c r="L940" s="165" t="s">
        <v>4226</v>
      </c>
      <c r="M940" s="73"/>
      <c r="N940" s="171"/>
      <c r="O940" s="169" t="s">
        <v>3213</v>
      </c>
      <c r="P940" s="168" t="s">
        <v>3011</v>
      </c>
      <c r="Q940" s="173"/>
      <c r="R940" s="167">
        <v>150000.0</v>
      </c>
      <c r="S940" s="173"/>
      <c r="T940" s="173"/>
      <c r="U940" s="173"/>
      <c r="V940" s="168" t="s">
        <v>3799</v>
      </c>
      <c r="W940" s="169"/>
      <c r="X940" s="314">
        <v>45601.0</v>
      </c>
    </row>
    <row r="941" ht="15.0" customHeight="1">
      <c r="A941" s="127">
        <v>45592.0</v>
      </c>
      <c r="B941" s="181" t="s">
        <v>5498</v>
      </c>
      <c r="C941" s="56" t="s">
        <v>3168</v>
      </c>
      <c r="D941" s="73" t="str">
        <f>IFERROR(VLOOKUP(C941,Stock,3,FALSE),"")</f>
        <v>Toyota Agya/Ayla</v>
      </c>
      <c r="E941" s="56">
        <v>1.0</v>
      </c>
      <c r="F941" s="161">
        <v>890000.0</v>
      </c>
      <c r="G941" s="162">
        <f t="shared" ref="G941:G1029" si="21">$E$611*F941</f>
        <v>890000</v>
      </c>
      <c r="H941" s="194"/>
      <c r="I941" s="161">
        <f t="shared" si="19"/>
        <v>890000</v>
      </c>
      <c r="J941" s="164">
        <f t="shared" si="20"/>
        <v>890000</v>
      </c>
      <c r="K941" s="56" t="s">
        <v>5499</v>
      </c>
      <c r="L941" s="165" t="s">
        <v>5500</v>
      </c>
      <c r="M941" s="73"/>
      <c r="N941" s="171"/>
      <c r="O941" s="169" t="s">
        <v>2958</v>
      </c>
      <c r="P941" s="168" t="s">
        <v>3011</v>
      </c>
      <c r="Q941" s="167">
        <v>900000.0</v>
      </c>
      <c r="R941" s="173"/>
      <c r="S941" s="173"/>
      <c r="T941" s="173"/>
      <c r="U941" s="167">
        <v>10000.0</v>
      </c>
      <c r="V941" s="168" t="s">
        <v>3883</v>
      </c>
      <c r="W941" s="169"/>
      <c r="X941" s="314">
        <v>45601.0</v>
      </c>
    </row>
    <row r="942" ht="15.0" customHeight="1">
      <c r="A942" s="127">
        <v>45592.0</v>
      </c>
      <c r="B942" s="181" t="s">
        <v>5501</v>
      </c>
      <c r="C942" s="56" t="s">
        <v>5365</v>
      </c>
      <c r="D942" s="73" t="str">
        <f>IFERROR(VLOOKUP(C942,Stock,3,FALSE),"")</f>
        <v>Nissan Livina  07-12 L10 (Tanpa Lubang) Nissan</v>
      </c>
      <c r="E942" s="56">
        <v>1.0</v>
      </c>
      <c r="F942" s="161">
        <v>1620000.0</v>
      </c>
      <c r="G942" s="162">
        <f t="shared" si="21"/>
        <v>1620000</v>
      </c>
      <c r="H942" s="194"/>
      <c r="I942" s="161">
        <f t="shared" si="19"/>
        <v>1620000</v>
      </c>
      <c r="J942" s="164">
        <f t="shared" si="20"/>
        <v>1620000</v>
      </c>
      <c r="K942" s="56" t="s">
        <v>5502</v>
      </c>
      <c r="L942" s="165" t="s">
        <v>5503</v>
      </c>
      <c r="M942" s="73"/>
      <c r="N942" s="171"/>
      <c r="O942" s="169" t="s">
        <v>2958</v>
      </c>
      <c r="P942" s="168" t="s">
        <v>3011</v>
      </c>
      <c r="Q942" s="173"/>
      <c r="R942" s="167">
        <v>1620000.0</v>
      </c>
      <c r="S942" s="173"/>
      <c r="T942" s="173"/>
      <c r="U942" s="173"/>
      <c r="V942" s="168" t="s">
        <v>3883</v>
      </c>
      <c r="W942" s="169"/>
      <c r="X942" s="317" t="s">
        <v>5504</v>
      </c>
    </row>
    <row r="943" ht="15.0" customHeight="1">
      <c r="A943" s="127">
        <v>45592.0</v>
      </c>
      <c r="B943" s="181" t="s">
        <v>5505</v>
      </c>
      <c r="C943" s="251" t="s">
        <v>3924</v>
      </c>
      <c r="D943" s="73" t="str">
        <f>IFERROR(VLOOKUP(C943,Stock,3,FALSE),"")</f>
        <v>Nissan X-Trail 07-13 T31</v>
      </c>
      <c r="E943" s="56">
        <v>1.0</v>
      </c>
      <c r="F943" s="161">
        <v>1578000.0</v>
      </c>
      <c r="G943" s="162">
        <f t="shared" si="21"/>
        <v>1578000</v>
      </c>
      <c r="H943" s="194"/>
      <c r="I943" s="161">
        <f t="shared" si="19"/>
        <v>1578000</v>
      </c>
      <c r="J943" s="164">
        <f t="shared" si="20"/>
        <v>1578000</v>
      </c>
      <c r="K943" s="310" t="s">
        <v>5506</v>
      </c>
      <c r="L943" s="318" t="s">
        <v>5507</v>
      </c>
      <c r="M943" s="73"/>
      <c r="N943" s="171"/>
      <c r="O943" s="169" t="s">
        <v>2958</v>
      </c>
      <c r="P943" s="168" t="s">
        <v>3011</v>
      </c>
      <c r="Q943" s="173"/>
      <c r="R943" s="167">
        <v>1578000.0</v>
      </c>
      <c r="S943" s="173"/>
      <c r="T943" s="173"/>
      <c r="U943" s="173"/>
      <c r="V943" s="168" t="s">
        <v>3883</v>
      </c>
      <c r="W943" s="169"/>
      <c r="X943" s="314">
        <v>45601.0</v>
      </c>
    </row>
    <row r="944" ht="15.0" customHeight="1">
      <c r="A944" s="127">
        <v>45592.0</v>
      </c>
      <c r="B944" s="181" t="s">
        <v>5505</v>
      </c>
      <c r="C944" s="251" t="s">
        <v>2934</v>
      </c>
      <c r="D944" s="73" t="str">
        <f>IFERROR(VLOOKUP(C944,Stock,3,FALSE),"")</f>
        <v>Peti Kayu</v>
      </c>
      <c r="E944" s="56">
        <v>1.0</v>
      </c>
      <c r="F944" s="161">
        <v>200000.0</v>
      </c>
      <c r="G944" s="162">
        <f t="shared" si="21"/>
        <v>200000</v>
      </c>
      <c r="H944" s="194"/>
      <c r="I944" s="161">
        <f t="shared" si="19"/>
        <v>200000</v>
      </c>
      <c r="J944" s="164">
        <f t="shared" si="20"/>
        <v>200000</v>
      </c>
      <c r="K944" s="310" t="s">
        <v>5506</v>
      </c>
      <c r="L944" s="318" t="s">
        <v>5507</v>
      </c>
      <c r="M944" s="73"/>
      <c r="N944" s="171"/>
      <c r="O944" s="169" t="s">
        <v>2958</v>
      </c>
      <c r="P944" s="168" t="s">
        <v>3011</v>
      </c>
      <c r="Q944" s="173"/>
      <c r="R944" s="167">
        <v>200000.0</v>
      </c>
      <c r="S944" s="173"/>
      <c r="T944" s="173"/>
      <c r="U944" s="173"/>
      <c r="V944" s="168" t="s">
        <v>3883</v>
      </c>
      <c r="W944" s="169"/>
      <c r="X944" s="314">
        <v>45601.0</v>
      </c>
    </row>
    <row r="945" ht="15.0" customHeight="1">
      <c r="A945" s="127">
        <v>45592.0</v>
      </c>
      <c r="B945" s="181" t="s">
        <v>5505</v>
      </c>
      <c r="C945" s="169" t="s">
        <v>2954</v>
      </c>
      <c r="D945" s="73" t="str">
        <f>IFERROR(VLOOKUP(C945,Stock,3,FALSE),"")</f>
        <v>Transport</v>
      </c>
      <c r="E945" s="56">
        <v>1.0</v>
      </c>
      <c r="F945" s="161">
        <v>60000.0</v>
      </c>
      <c r="G945" s="162">
        <f t="shared" si="21"/>
        <v>60000</v>
      </c>
      <c r="H945" s="194"/>
      <c r="I945" s="161">
        <f t="shared" si="19"/>
        <v>60000</v>
      </c>
      <c r="J945" s="164">
        <f t="shared" si="20"/>
        <v>60000</v>
      </c>
      <c r="K945" s="310" t="s">
        <v>5506</v>
      </c>
      <c r="L945" s="318" t="s">
        <v>5507</v>
      </c>
      <c r="M945" s="73"/>
      <c r="N945" s="171"/>
      <c r="O945" s="169" t="s">
        <v>2958</v>
      </c>
      <c r="P945" s="168" t="s">
        <v>3011</v>
      </c>
      <c r="Q945" s="173"/>
      <c r="R945" s="167">
        <v>60000.0</v>
      </c>
      <c r="S945" s="173"/>
      <c r="T945" s="173"/>
      <c r="U945" s="173"/>
      <c r="V945" s="168" t="s">
        <v>3883</v>
      </c>
      <c r="W945" s="169"/>
      <c r="X945" s="314">
        <v>45601.0</v>
      </c>
    </row>
    <row r="946" ht="15.0" customHeight="1">
      <c r="A946" s="127">
        <v>45593.0</v>
      </c>
      <c r="B946" s="181" t="s">
        <v>5508</v>
      </c>
      <c r="C946" s="251" t="s">
        <v>3186</v>
      </c>
      <c r="D946" s="73" t="str">
        <f>IFERROR(VLOOKUP(C946,Stock,3,FALSE),"")</f>
        <v>Daihatsu Gran Max / Luxio 07-</v>
      </c>
      <c r="E946" s="56">
        <v>1.0</v>
      </c>
      <c r="F946" s="161">
        <v>1100000.0</v>
      </c>
      <c r="G946" s="162">
        <f t="shared" si="21"/>
        <v>1100000</v>
      </c>
      <c r="H946" s="194"/>
      <c r="I946" s="161">
        <f t="shared" si="19"/>
        <v>1100000</v>
      </c>
      <c r="J946" s="164">
        <f t="shared" si="20"/>
        <v>1100000</v>
      </c>
      <c r="K946" s="310" t="s">
        <v>5509</v>
      </c>
      <c r="L946" s="165" t="s">
        <v>5510</v>
      </c>
      <c r="M946" s="73"/>
      <c r="N946" s="171"/>
      <c r="O946" s="169" t="s">
        <v>2958</v>
      </c>
      <c r="P946" s="168" t="s">
        <v>3112</v>
      </c>
      <c r="Q946" s="167">
        <v>1100000.0</v>
      </c>
      <c r="R946" s="173"/>
      <c r="S946" s="173"/>
      <c r="T946" s="173"/>
      <c r="U946" s="173"/>
      <c r="V946" s="168" t="s">
        <v>3664</v>
      </c>
      <c r="W946" s="169"/>
      <c r="X946" s="314">
        <v>45601.0</v>
      </c>
    </row>
    <row r="947" ht="15.0" customHeight="1">
      <c r="A947" s="127">
        <v>45593.0</v>
      </c>
      <c r="B947" s="181" t="s">
        <v>5511</v>
      </c>
      <c r="C947" s="251" t="s">
        <v>4027</v>
      </c>
      <c r="D947" s="73" t="str">
        <f>IFERROR(VLOOKUP(C947,Stock,3,FALSE),"")</f>
        <v>501 Sealant Application</v>
      </c>
      <c r="E947" s="56">
        <v>1.0</v>
      </c>
      <c r="F947" s="161">
        <v>150000.0</v>
      </c>
      <c r="G947" s="162">
        <f t="shared" si="21"/>
        <v>150000</v>
      </c>
      <c r="H947" s="194"/>
      <c r="I947" s="161">
        <f t="shared" si="19"/>
        <v>150000</v>
      </c>
      <c r="J947" s="164">
        <f t="shared" si="20"/>
        <v>150000</v>
      </c>
      <c r="K947" s="310" t="s">
        <v>5478</v>
      </c>
      <c r="L947" s="165" t="s">
        <v>5479</v>
      </c>
      <c r="M947" s="73"/>
      <c r="N947" s="289" t="s">
        <v>5480</v>
      </c>
      <c r="O947" s="169" t="s">
        <v>2958</v>
      </c>
      <c r="P947" s="168" t="s">
        <v>3112</v>
      </c>
      <c r="Q947" s="173"/>
      <c r="R947" s="167">
        <v>150000.0</v>
      </c>
      <c r="S947" s="173"/>
      <c r="T947" s="173"/>
      <c r="U947" s="173"/>
      <c r="V947" s="168" t="s">
        <v>3664</v>
      </c>
      <c r="W947" s="169"/>
      <c r="X947" s="314">
        <v>45601.0</v>
      </c>
    </row>
    <row r="948" ht="15.0" customHeight="1">
      <c r="A948" s="127">
        <v>45593.0</v>
      </c>
      <c r="B948" s="181" t="s">
        <v>5512</v>
      </c>
      <c r="C948" s="251" t="s">
        <v>2557</v>
      </c>
      <c r="D948" s="73" t="str">
        <f>IFERROR(VLOOKUP(C948,Stock,3,FALSE),"")</f>
        <v>Toyota Fortuner 05-15 1st Gen (Toyota)</v>
      </c>
      <c r="E948" s="56">
        <v>1.0</v>
      </c>
      <c r="F948" s="161">
        <v>2998000.0</v>
      </c>
      <c r="G948" s="162">
        <f t="shared" si="21"/>
        <v>2998000</v>
      </c>
      <c r="H948" s="194"/>
      <c r="I948" s="161">
        <f t="shared" si="19"/>
        <v>2998000</v>
      </c>
      <c r="J948" s="164">
        <f t="shared" si="20"/>
        <v>2998000</v>
      </c>
      <c r="K948" s="315" t="s">
        <v>5513</v>
      </c>
      <c r="L948" s="165" t="s">
        <v>5514</v>
      </c>
      <c r="M948" s="73"/>
      <c r="N948" s="289" t="s">
        <v>5515</v>
      </c>
      <c r="O948" s="169" t="s">
        <v>3204</v>
      </c>
      <c r="P948" s="168" t="s">
        <v>3112</v>
      </c>
      <c r="Q948" s="173"/>
      <c r="R948" s="167">
        <v>2998000.0</v>
      </c>
      <c r="S948" s="173"/>
      <c r="T948" s="173"/>
      <c r="U948" s="173"/>
      <c r="V948" s="168" t="s">
        <v>3664</v>
      </c>
      <c r="W948" s="169"/>
      <c r="X948" s="314">
        <v>45601.0</v>
      </c>
    </row>
    <row r="949" ht="15.0" customHeight="1">
      <c r="A949" s="127">
        <v>45593.0</v>
      </c>
      <c r="B949" s="181" t="s">
        <v>5516</v>
      </c>
      <c r="C949" s="56" t="s">
        <v>2706</v>
      </c>
      <c r="D949" s="73" t="str">
        <f>IFERROR(VLOOKUP(C949,Stock,3,FALSE),"")</f>
        <v>Isuzu Elf 17- New NMR NLR</v>
      </c>
      <c r="E949" s="56">
        <v>1.0</v>
      </c>
      <c r="F949" s="161">
        <v>1464000.0</v>
      </c>
      <c r="G949" s="162">
        <f t="shared" si="21"/>
        <v>1464000</v>
      </c>
      <c r="H949" s="201">
        <v>64000.0</v>
      </c>
      <c r="I949" s="161">
        <f t="shared" si="19"/>
        <v>1400000</v>
      </c>
      <c r="J949" s="164">
        <f t="shared" si="20"/>
        <v>1400000</v>
      </c>
      <c r="K949" s="56" t="s">
        <v>5517</v>
      </c>
      <c r="L949" s="165" t="s">
        <v>5518</v>
      </c>
      <c r="M949" s="73"/>
      <c r="N949" s="171"/>
      <c r="O949" s="169" t="s">
        <v>2958</v>
      </c>
      <c r="P949" s="168" t="s">
        <v>3112</v>
      </c>
      <c r="Q949" s="167">
        <v>1400000.0</v>
      </c>
      <c r="S949" s="173"/>
      <c r="T949" s="173"/>
      <c r="U949" s="173"/>
      <c r="V949" s="168" t="s">
        <v>3883</v>
      </c>
      <c r="W949" s="169"/>
      <c r="X949" s="314">
        <v>45601.0</v>
      </c>
    </row>
    <row r="950" ht="15.0" customHeight="1">
      <c r="A950" s="127">
        <v>45593.0</v>
      </c>
      <c r="B950" s="181" t="s">
        <v>5519</v>
      </c>
      <c r="C950" s="251" t="s">
        <v>3186</v>
      </c>
      <c r="D950" s="73" t="str">
        <f>IFERROR(VLOOKUP(C950,Stock,3,FALSE),"")</f>
        <v>Daihatsu Gran Max / Luxio 07-</v>
      </c>
      <c r="E950" s="56">
        <v>1.0</v>
      </c>
      <c r="F950" s="161">
        <v>1020000.0</v>
      </c>
      <c r="G950" s="162">
        <f t="shared" si="21"/>
        <v>1020000</v>
      </c>
      <c r="H950" s="194"/>
      <c r="I950" s="161">
        <f t="shared" si="19"/>
        <v>1020000</v>
      </c>
      <c r="J950" s="164">
        <f t="shared" si="20"/>
        <v>1020000</v>
      </c>
      <c r="K950" s="310" t="s">
        <v>5520</v>
      </c>
      <c r="L950" s="165" t="s">
        <v>5521</v>
      </c>
      <c r="M950" s="73"/>
      <c r="N950" s="289" t="s">
        <v>5522</v>
      </c>
      <c r="O950" s="169" t="s">
        <v>2958</v>
      </c>
      <c r="P950" s="168" t="s">
        <v>3112</v>
      </c>
      <c r="Q950" s="173"/>
      <c r="R950" s="167">
        <v>1020000.0</v>
      </c>
      <c r="S950" s="173"/>
      <c r="T950" s="173"/>
      <c r="U950" s="173"/>
      <c r="V950" s="168" t="s">
        <v>3664</v>
      </c>
      <c r="W950" s="169"/>
      <c r="X950" s="314">
        <v>45601.0</v>
      </c>
    </row>
    <row r="951" ht="15.0" customHeight="1">
      <c r="A951" s="127">
        <v>45594.0</v>
      </c>
      <c r="B951" s="181" t="s">
        <v>5523</v>
      </c>
      <c r="C951" s="56" t="s">
        <v>2936</v>
      </c>
      <c r="D951" s="73" t="str">
        <f>IFERROR(VLOOKUP(C951,Stock,3,FALSE),"")</f>
        <v>Toyota Calya / Sigra 16-</v>
      </c>
      <c r="E951" s="56">
        <v>1.0</v>
      </c>
      <c r="F951" s="161">
        <v>900000.0</v>
      </c>
      <c r="G951" s="162">
        <f t="shared" si="21"/>
        <v>900000</v>
      </c>
      <c r="H951" s="194"/>
      <c r="I951" s="161">
        <f t="shared" si="19"/>
        <v>900000</v>
      </c>
      <c r="J951" s="164">
        <f t="shared" si="20"/>
        <v>900000</v>
      </c>
      <c r="K951" s="56" t="s">
        <v>5524</v>
      </c>
      <c r="L951" s="309" t="s">
        <v>5525</v>
      </c>
      <c r="M951" s="73"/>
      <c r="N951" s="169" t="s">
        <v>5526</v>
      </c>
      <c r="O951" s="169" t="s">
        <v>2958</v>
      </c>
      <c r="P951" s="168" t="s">
        <v>3011</v>
      </c>
      <c r="Q951" s="167">
        <v>900000.0</v>
      </c>
      <c r="R951" s="173"/>
      <c r="S951" s="173"/>
      <c r="T951" s="173"/>
      <c r="U951" s="173"/>
      <c r="V951" s="168" t="s">
        <v>3883</v>
      </c>
      <c r="W951" s="169"/>
      <c r="X951" s="314">
        <v>45601.0</v>
      </c>
    </row>
    <row r="952" ht="15.0" customHeight="1">
      <c r="A952" s="127">
        <v>45594.0</v>
      </c>
      <c r="B952" s="181" t="s">
        <v>5527</v>
      </c>
      <c r="C952" s="56" t="s">
        <v>5528</v>
      </c>
      <c r="D952" s="73" t="str">
        <f>IFERROR(VLOOKUP(C952,Stock,3,FALSE),"")</f>
        <v>Toyota Innova 15-22 2nd Gen (Toyota)</v>
      </c>
      <c r="E952" s="56">
        <v>1.0</v>
      </c>
      <c r="F952" s="161">
        <v>2988000.0</v>
      </c>
      <c r="G952" s="162">
        <f t="shared" si="21"/>
        <v>2988000</v>
      </c>
      <c r="H952" s="194"/>
      <c r="I952" s="161">
        <f t="shared" si="19"/>
        <v>2988000</v>
      </c>
      <c r="J952" s="164">
        <f t="shared" si="20"/>
        <v>2988000</v>
      </c>
      <c r="K952" s="56" t="s">
        <v>5529</v>
      </c>
      <c r="L952" s="165" t="s">
        <v>5530</v>
      </c>
      <c r="M952" s="73"/>
      <c r="N952" s="169" t="s">
        <v>5531</v>
      </c>
      <c r="O952" s="169" t="s">
        <v>2958</v>
      </c>
      <c r="P952" s="168" t="s">
        <v>3112</v>
      </c>
      <c r="Q952" s="167">
        <v>3000000.0</v>
      </c>
      <c r="R952" s="173"/>
      <c r="S952" s="173"/>
      <c r="T952" s="173"/>
      <c r="U952" s="167">
        <v>12000.0</v>
      </c>
      <c r="V952" s="168" t="s">
        <v>3883</v>
      </c>
      <c r="W952" s="169"/>
      <c r="X952" s="314">
        <v>45601.0</v>
      </c>
    </row>
    <row r="953" ht="15.0" customHeight="1">
      <c r="A953" s="127">
        <v>45594.0</v>
      </c>
      <c r="B953" s="181" t="s">
        <v>5532</v>
      </c>
      <c r="C953" s="56" t="s">
        <v>2703</v>
      </c>
      <c r="D953" s="73" t="str">
        <f>IFERROR(VLOOKUP(C953,Stock,3,FALSE),"")</f>
        <v>Toyota Hi-Ace 04-20 Commuter</v>
      </c>
      <c r="E953" s="56">
        <v>1.0</v>
      </c>
      <c r="F953" s="161">
        <v>1680000.0</v>
      </c>
      <c r="G953" s="162">
        <f t="shared" si="21"/>
        <v>1680000</v>
      </c>
      <c r="H953" s="194"/>
      <c r="I953" s="161">
        <f t="shared" si="19"/>
        <v>1680000</v>
      </c>
      <c r="J953" s="164">
        <f t="shared" si="20"/>
        <v>1680000</v>
      </c>
      <c r="K953" s="56" t="s">
        <v>5533</v>
      </c>
      <c r="L953" s="165" t="s">
        <v>5534</v>
      </c>
      <c r="M953" s="73"/>
      <c r="N953" s="169" t="s">
        <v>5535</v>
      </c>
      <c r="O953" s="169" t="s">
        <v>2958</v>
      </c>
      <c r="P953" s="168" t="s">
        <v>3112</v>
      </c>
      <c r="Q953" s="173"/>
      <c r="R953" s="167">
        <v>1680000.0</v>
      </c>
      <c r="S953" s="173"/>
      <c r="T953" s="173"/>
      <c r="U953" s="173"/>
      <c r="V953" s="168" t="s">
        <v>3883</v>
      </c>
      <c r="W953" s="169"/>
      <c r="X953" s="314">
        <v>45601.0</v>
      </c>
    </row>
    <row r="954" ht="15.0" customHeight="1">
      <c r="A954" s="127">
        <v>45595.0</v>
      </c>
      <c r="B954" s="181" t="s">
        <v>5536</v>
      </c>
      <c r="C954" s="251" t="s">
        <v>4164</v>
      </c>
      <c r="D954" s="73" t="str">
        <f>IFERROR(VLOOKUP(C954,Stock,3,FALSE),"")</f>
        <v>Nissan Frontier Navara 04-15 D40 2nd Gen</v>
      </c>
      <c r="E954" s="56">
        <v>1.0</v>
      </c>
      <c r="F954" s="161">
        <v>1456000.0</v>
      </c>
      <c r="G954" s="162">
        <f t="shared" si="21"/>
        <v>1456000</v>
      </c>
      <c r="H954" s="194"/>
      <c r="I954" s="161">
        <f t="shared" si="19"/>
        <v>1456000</v>
      </c>
      <c r="J954" s="164">
        <f t="shared" si="20"/>
        <v>1456000</v>
      </c>
      <c r="K954" s="56" t="s">
        <v>5537</v>
      </c>
      <c r="L954" s="165" t="s">
        <v>5538</v>
      </c>
      <c r="M954" s="73"/>
      <c r="N954" s="171"/>
      <c r="O954" s="169" t="s">
        <v>3927</v>
      </c>
      <c r="P954" s="168" t="s">
        <v>3112</v>
      </c>
      <c r="Q954" s="173"/>
      <c r="R954" s="167">
        <v>1456000.0</v>
      </c>
      <c r="S954" s="173"/>
      <c r="T954" s="173"/>
      <c r="U954" s="173"/>
      <c r="V954" s="168" t="s">
        <v>3883</v>
      </c>
      <c r="W954" s="169"/>
      <c r="X954" s="314">
        <v>45601.0</v>
      </c>
    </row>
    <row r="955" ht="15.0" customHeight="1">
      <c r="A955" s="127">
        <v>45595.0</v>
      </c>
      <c r="B955" s="181" t="s">
        <v>5536</v>
      </c>
      <c r="C955" s="251" t="s">
        <v>2934</v>
      </c>
      <c r="D955" s="73" t="str">
        <f>IFERROR(VLOOKUP(C955,Stock,3,FALSE),"")</f>
        <v>Peti Kayu</v>
      </c>
      <c r="E955" s="56">
        <v>1.0</v>
      </c>
      <c r="F955" s="161">
        <v>200000.0</v>
      </c>
      <c r="G955" s="162">
        <f t="shared" si="21"/>
        <v>200000</v>
      </c>
      <c r="H955" s="194"/>
      <c r="I955" s="161">
        <f t="shared" si="19"/>
        <v>200000</v>
      </c>
      <c r="J955" s="164">
        <f t="shared" si="20"/>
        <v>200000</v>
      </c>
      <c r="K955" s="56" t="s">
        <v>5537</v>
      </c>
      <c r="L955" s="165" t="s">
        <v>5538</v>
      </c>
      <c r="M955" s="73"/>
      <c r="N955" s="171"/>
      <c r="O955" s="169" t="s">
        <v>3927</v>
      </c>
      <c r="P955" s="168" t="s">
        <v>3112</v>
      </c>
      <c r="Q955" s="173"/>
      <c r="R955" s="167">
        <v>200000.0</v>
      </c>
      <c r="S955" s="173"/>
      <c r="T955" s="173"/>
      <c r="U955" s="173"/>
      <c r="V955" s="168" t="s">
        <v>3883</v>
      </c>
      <c r="W955" s="169"/>
      <c r="X955" s="314">
        <v>45601.0</v>
      </c>
    </row>
    <row r="956" ht="15.0" customHeight="1">
      <c r="A956" s="127">
        <v>45595.0</v>
      </c>
      <c r="B956" s="181" t="s">
        <v>5539</v>
      </c>
      <c r="C956" s="56" t="s">
        <v>2784</v>
      </c>
      <c r="D956" s="73" t="str">
        <f>IFERROR(VLOOKUP(C956,Stock,3,FALSE),"")</f>
        <v>Honda City 19- GN</v>
      </c>
      <c r="E956" s="56">
        <v>1.0</v>
      </c>
      <c r="F956" s="161">
        <v>2922000.0</v>
      </c>
      <c r="G956" s="162">
        <f t="shared" si="21"/>
        <v>2922000</v>
      </c>
      <c r="H956" s="194"/>
      <c r="I956" s="161">
        <f t="shared" si="19"/>
        <v>2922000</v>
      </c>
      <c r="J956" s="164">
        <f t="shared" si="20"/>
        <v>2922000</v>
      </c>
      <c r="K956" s="56" t="s">
        <v>5540</v>
      </c>
      <c r="L956" s="165" t="s">
        <v>5541</v>
      </c>
      <c r="M956" s="313" t="s">
        <v>5542</v>
      </c>
      <c r="N956" s="169" t="s">
        <v>5543</v>
      </c>
      <c r="O956" s="169" t="s">
        <v>3184</v>
      </c>
      <c r="P956" s="168" t="s">
        <v>3112</v>
      </c>
      <c r="Q956" s="167">
        <v>2900000.0</v>
      </c>
      <c r="R956" s="167">
        <v>100000.0</v>
      </c>
      <c r="S956" s="173"/>
      <c r="T956" s="173"/>
      <c r="U956" s="167">
        <v>78000.0</v>
      </c>
      <c r="V956" s="168" t="s">
        <v>3883</v>
      </c>
      <c r="W956" s="169"/>
      <c r="X956" s="169" t="s">
        <v>5544</v>
      </c>
    </row>
    <row r="957" ht="15.0" customHeight="1">
      <c r="A957" s="127">
        <v>45595.0</v>
      </c>
      <c r="B957" s="181" t="s">
        <v>5545</v>
      </c>
      <c r="C957" s="251" t="s">
        <v>5546</v>
      </c>
      <c r="D957" s="73" t="str">
        <f>IFERROR(VLOOKUP(C957,Stock,3,FALSE),"")</f>
        <v>Chevrolet Spin 12-</v>
      </c>
      <c r="E957" s="56">
        <v>1.0</v>
      </c>
      <c r="F957" s="161">
        <v>1750000.0</v>
      </c>
      <c r="G957" s="162">
        <f t="shared" si="21"/>
        <v>1750000</v>
      </c>
      <c r="H957" s="194"/>
      <c r="I957" s="161">
        <f t="shared" si="19"/>
        <v>1750000</v>
      </c>
      <c r="J957" s="164">
        <f t="shared" si="20"/>
        <v>1750000</v>
      </c>
      <c r="K957" s="56" t="s">
        <v>5547</v>
      </c>
      <c r="L957" s="165" t="s">
        <v>5548</v>
      </c>
      <c r="M957" s="73"/>
      <c r="N957" s="171"/>
      <c r="O957" s="169" t="s">
        <v>5549</v>
      </c>
      <c r="P957" s="168" t="s">
        <v>3112</v>
      </c>
      <c r="Q957" s="167">
        <v>1750000.0</v>
      </c>
      <c r="R957" s="173"/>
      <c r="S957" s="173"/>
      <c r="T957" s="173"/>
      <c r="U957" s="173"/>
      <c r="V957" s="168" t="s">
        <v>4262</v>
      </c>
      <c r="W957" s="169"/>
      <c r="X957" s="314">
        <v>45601.0</v>
      </c>
    </row>
    <row r="958" ht="15.0" customHeight="1">
      <c r="A958" s="127">
        <v>45596.0</v>
      </c>
      <c r="B958" s="181" t="s">
        <v>5550</v>
      </c>
      <c r="C958" s="56" t="s">
        <v>3186</v>
      </c>
      <c r="D958" s="73" t="str">
        <f>IFERROR(VLOOKUP(C958,Stock,3,FALSE),"")</f>
        <v>Daihatsu Gran Max / Luxio 07-</v>
      </c>
      <c r="E958" s="56">
        <v>1.0</v>
      </c>
      <c r="F958" s="161">
        <v>1098000.0</v>
      </c>
      <c r="G958" s="162">
        <f t="shared" si="21"/>
        <v>1098000</v>
      </c>
      <c r="H958" s="201">
        <v>50000.0</v>
      </c>
      <c r="I958" s="161">
        <f t="shared" si="19"/>
        <v>1048000</v>
      </c>
      <c r="J958" s="164">
        <f t="shared" si="20"/>
        <v>1048000</v>
      </c>
      <c r="K958" s="56" t="s">
        <v>5551</v>
      </c>
      <c r="L958" s="165" t="s">
        <v>5552</v>
      </c>
      <c r="M958" s="73"/>
      <c r="N958" s="171"/>
      <c r="O958" s="169" t="s">
        <v>2958</v>
      </c>
      <c r="P958" s="168" t="s">
        <v>3112</v>
      </c>
      <c r="Q958" s="167">
        <v>1050000.0</v>
      </c>
      <c r="R958" s="173"/>
      <c r="S958" s="173"/>
      <c r="T958" s="173"/>
      <c r="U958" s="167">
        <v>2000.0</v>
      </c>
      <c r="V958" s="168" t="s">
        <v>4262</v>
      </c>
      <c r="W958" s="169"/>
      <c r="X958" s="314">
        <v>45601.0</v>
      </c>
    </row>
    <row r="959" ht="15.0" customHeight="1">
      <c r="A959" s="127">
        <v>45596.0</v>
      </c>
      <c r="B959" s="181" t="s">
        <v>5553</v>
      </c>
      <c r="C959" s="251" t="s">
        <v>5554</v>
      </c>
      <c r="D959" s="73" t="str">
        <f>IFERROR(VLOOKUP(C959,Stock,3,FALSE),"")</f>
        <v>Mers-Benz E-Class  09-16  W212 (2 Sensor/ □Δ) Trapes.</v>
      </c>
      <c r="E959" s="56">
        <v>1.0</v>
      </c>
      <c r="F959" s="161">
        <v>4732000.0</v>
      </c>
      <c r="G959" s="162">
        <f t="shared" si="21"/>
        <v>4732000</v>
      </c>
      <c r="H959" s="201">
        <v>132000.0</v>
      </c>
      <c r="I959" s="161">
        <f t="shared" si="19"/>
        <v>4600000</v>
      </c>
      <c r="J959" s="164">
        <f t="shared" si="20"/>
        <v>4600000</v>
      </c>
      <c r="K959" s="310" t="s">
        <v>5555</v>
      </c>
      <c r="L959" s="165" t="s">
        <v>5556</v>
      </c>
      <c r="M959" s="73"/>
      <c r="N959" s="171"/>
      <c r="O959" s="169" t="s">
        <v>2958</v>
      </c>
      <c r="P959" s="168" t="s">
        <v>3112</v>
      </c>
      <c r="Q959" s="173"/>
      <c r="R959" s="173"/>
      <c r="S959" s="173"/>
      <c r="T959" s="173"/>
      <c r="U959" s="173"/>
      <c r="V959" s="168" t="s">
        <v>4258</v>
      </c>
      <c r="W959" s="169"/>
      <c r="X959" s="314">
        <v>45601.0</v>
      </c>
    </row>
    <row r="960" ht="15.0" customHeight="1">
      <c r="A960" s="127">
        <v>45597.0</v>
      </c>
      <c r="B960" s="181" t="s">
        <v>5557</v>
      </c>
      <c r="C960" s="251" t="s">
        <v>2565</v>
      </c>
      <c r="D960" s="73" t="str">
        <f>IFERROR(VLOOKUP(C960,Stock,3,FALSE),"")</f>
        <v>Toyota Avanza / Xenia 03-11 1st Gen</v>
      </c>
      <c r="E960" s="56">
        <v>1.0</v>
      </c>
      <c r="F960" s="161">
        <v>1020000.0</v>
      </c>
      <c r="G960" s="162">
        <f t="shared" si="21"/>
        <v>1020000</v>
      </c>
      <c r="H960" s="194"/>
      <c r="I960" s="204">
        <f t="shared" si="19"/>
        <v>1020000</v>
      </c>
      <c r="J960" s="164">
        <f t="shared" si="20"/>
        <v>1020000</v>
      </c>
      <c r="K960" s="56" t="s">
        <v>5011</v>
      </c>
      <c r="L960" s="165" t="s">
        <v>5558</v>
      </c>
      <c r="M960" s="73"/>
      <c r="N960" s="169" t="s">
        <v>5559</v>
      </c>
      <c r="O960" s="169" t="s">
        <v>3037</v>
      </c>
      <c r="P960" s="168" t="s">
        <v>3112</v>
      </c>
      <c r="Q960" s="167">
        <v>1050000.0</v>
      </c>
      <c r="R960" s="173"/>
      <c r="S960" s="173"/>
      <c r="T960" s="173"/>
      <c r="U960" s="167">
        <v>30000.0</v>
      </c>
      <c r="V960" s="168" t="s">
        <v>4258</v>
      </c>
      <c r="W960" s="169"/>
      <c r="X960" s="314">
        <v>45601.0</v>
      </c>
    </row>
    <row r="961" ht="15.0" customHeight="1">
      <c r="A961" s="127">
        <v>45597.0</v>
      </c>
      <c r="B961" s="181" t="s">
        <v>5560</v>
      </c>
      <c r="C961" s="251" t="s">
        <v>2821</v>
      </c>
      <c r="D961" s="73" t="str">
        <f>IFERROR(VLOOKUP(C961,Stock,3,FALSE),"")</f>
        <v>Isuzu Elf 17- New NMR NLR / Isuzu Giga </v>
      </c>
      <c r="E961" s="56">
        <v>1.0</v>
      </c>
      <c r="F961" s="161">
        <v>535000.0</v>
      </c>
      <c r="G961" s="162">
        <f t="shared" si="21"/>
        <v>535000</v>
      </c>
      <c r="H961" s="201">
        <v>35000.0</v>
      </c>
      <c r="I961" s="204">
        <f t="shared" si="19"/>
        <v>500000</v>
      </c>
      <c r="J961" s="164">
        <f t="shared" si="20"/>
        <v>500000</v>
      </c>
      <c r="K961" s="310" t="s">
        <v>5561</v>
      </c>
      <c r="L961" s="165" t="s">
        <v>5562</v>
      </c>
      <c r="M961" s="73"/>
      <c r="N961" s="171"/>
      <c r="O961" s="169" t="s">
        <v>3213</v>
      </c>
      <c r="P961" s="168" t="s">
        <v>3112</v>
      </c>
      <c r="Q961" s="173"/>
      <c r="R961" s="167">
        <v>500000.0</v>
      </c>
      <c r="S961" s="173"/>
      <c r="T961" s="173"/>
      <c r="U961" s="173"/>
      <c r="V961" s="168" t="s">
        <v>4258</v>
      </c>
      <c r="W961" s="169"/>
      <c r="X961" s="314">
        <v>45601.0</v>
      </c>
    </row>
    <row r="962" ht="15.0" customHeight="1">
      <c r="A962" s="127">
        <v>45598.0</v>
      </c>
      <c r="B962" s="181" t="s">
        <v>5563</v>
      </c>
      <c r="C962" s="251" t="s">
        <v>3622</v>
      </c>
      <c r="D962" s="73" t="str">
        <f>IFERROR(VLOOKUP(C962,Stock,3,FALSE),"")</f>
        <v>Mitsubishi Pajero 08-16</v>
      </c>
      <c r="E962" s="56">
        <v>1.0</v>
      </c>
      <c r="F962" s="161">
        <v>1800000.0</v>
      </c>
      <c r="G962" s="162">
        <f t="shared" si="21"/>
        <v>1800000</v>
      </c>
      <c r="H962" s="194"/>
      <c r="I962" s="204">
        <f t="shared" si="19"/>
        <v>1800000</v>
      </c>
      <c r="J962" s="164">
        <f t="shared" si="20"/>
        <v>1800000</v>
      </c>
      <c r="K962" s="310" t="s">
        <v>4989</v>
      </c>
      <c r="L962" s="165" t="s">
        <v>5564</v>
      </c>
      <c r="M962" s="73"/>
      <c r="N962" s="169" t="s">
        <v>5565</v>
      </c>
      <c r="O962" s="169" t="s">
        <v>2958</v>
      </c>
      <c r="P962" s="168" t="s">
        <v>3011</v>
      </c>
      <c r="Q962" s="173"/>
      <c r="R962" s="167">
        <v>1800000.0</v>
      </c>
      <c r="S962" s="173"/>
      <c r="T962" s="173"/>
      <c r="U962" s="173"/>
      <c r="V962" s="168" t="s">
        <v>4258</v>
      </c>
      <c r="W962" s="169"/>
      <c r="X962" s="314">
        <v>45601.0</v>
      </c>
    </row>
    <row r="963" ht="15.0" customHeight="1">
      <c r="A963" s="127">
        <v>45598.0</v>
      </c>
      <c r="B963" s="181" t="s">
        <v>5563</v>
      </c>
      <c r="C963" s="56" t="s">
        <v>2954</v>
      </c>
      <c r="D963" s="73" t="str">
        <f>IFERROR(VLOOKUP(C963,Stock,3,FALSE),"")</f>
        <v>Transport</v>
      </c>
      <c r="E963" s="56">
        <v>1.0</v>
      </c>
      <c r="F963" s="161">
        <v>75000.0</v>
      </c>
      <c r="G963" s="162">
        <f t="shared" si="21"/>
        <v>75000</v>
      </c>
      <c r="H963" s="201">
        <v>75000.0</v>
      </c>
      <c r="I963" s="204">
        <f t="shared" si="19"/>
        <v>0</v>
      </c>
      <c r="J963" s="164">
        <f t="shared" si="20"/>
        <v>0</v>
      </c>
      <c r="K963" s="310" t="s">
        <v>4989</v>
      </c>
      <c r="L963" s="165" t="s">
        <v>5564</v>
      </c>
      <c r="M963" s="73"/>
      <c r="N963" s="169" t="s">
        <v>5565</v>
      </c>
      <c r="O963" s="169" t="s">
        <v>2958</v>
      </c>
      <c r="P963" s="168" t="s">
        <v>3011</v>
      </c>
      <c r="Q963" s="173"/>
      <c r="R963" s="173"/>
      <c r="S963" s="173"/>
      <c r="T963" s="173"/>
      <c r="U963" s="173"/>
      <c r="V963" s="168" t="s">
        <v>4258</v>
      </c>
      <c r="W963" s="169"/>
      <c r="X963" s="314">
        <v>45601.0</v>
      </c>
    </row>
    <row r="964" ht="15.0" customHeight="1">
      <c r="A964" s="127">
        <v>45598.0</v>
      </c>
      <c r="B964" s="181" t="s">
        <v>5566</v>
      </c>
      <c r="C964" s="56" t="s">
        <v>5262</v>
      </c>
      <c r="D964" s="73" t="str">
        <f>IFERROR(VLOOKUP(C964,Stock,3,FALSE),"")</f>
        <v>Nissan March 10- K13</v>
      </c>
      <c r="E964" s="56">
        <v>1.0</v>
      </c>
      <c r="F964" s="161">
        <v>1593000.0</v>
      </c>
      <c r="G964" s="162">
        <f t="shared" si="21"/>
        <v>1593000</v>
      </c>
      <c r="H964" s="194"/>
      <c r="I964" s="204">
        <f t="shared" si="19"/>
        <v>1593000</v>
      </c>
      <c r="J964" s="164">
        <f t="shared" si="20"/>
        <v>1593000</v>
      </c>
      <c r="K964" s="56" t="s">
        <v>5567</v>
      </c>
      <c r="L964" s="165" t="s">
        <v>5568</v>
      </c>
      <c r="M964" s="73"/>
      <c r="N964" s="169" t="s">
        <v>5569</v>
      </c>
      <c r="O964" s="169" t="s">
        <v>2958</v>
      </c>
      <c r="P964" s="168" t="s">
        <v>3112</v>
      </c>
      <c r="Q964" s="173"/>
      <c r="R964" s="167">
        <v>1593000.0</v>
      </c>
      <c r="S964" s="173"/>
      <c r="T964" s="173"/>
      <c r="U964" s="173"/>
      <c r="V964" s="168" t="s">
        <v>3883</v>
      </c>
      <c r="W964" s="169"/>
      <c r="X964" s="314">
        <v>45601.0</v>
      </c>
    </row>
    <row r="965" ht="15.0" customHeight="1">
      <c r="A965" s="127">
        <v>45598.0</v>
      </c>
      <c r="B965" s="181" t="s">
        <v>5566</v>
      </c>
      <c r="C965" s="251" t="s">
        <v>3083</v>
      </c>
      <c r="D965" s="73" t="str">
        <f>IFERROR(VLOOKUP(C965,Stock,3,FALSE),"")</f>
        <v>List Kaca Depan Code 04</v>
      </c>
      <c r="E965" s="56">
        <v>1.0</v>
      </c>
      <c r="F965" s="161">
        <v>275000.0</v>
      </c>
      <c r="G965" s="162">
        <f t="shared" si="21"/>
        <v>275000</v>
      </c>
      <c r="H965" s="194"/>
      <c r="I965" s="204">
        <f t="shared" si="19"/>
        <v>275000</v>
      </c>
      <c r="J965" s="164">
        <f t="shared" si="20"/>
        <v>275000</v>
      </c>
      <c r="K965" s="56" t="s">
        <v>5567</v>
      </c>
      <c r="L965" s="165" t="s">
        <v>5568</v>
      </c>
      <c r="M965" s="73"/>
      <c r="N965" s="169" t="s">
        <v>5569</v>
      </c>
      <c r="O965" s="169" t="s">
        <v>2958</v>
      </c>
      <c r="P965" s="168" t="s">
        <v>3112</v>
      </c>
      <c r="Q965" s="173"/>
      <c r="R965" s="167">
        <v>275000.0</v>
      </c>
      <c r="S965" s="173"/>
      <c r="T965" s="173"/>
      <c r="U965" s="173"/>
      <c r="V965" s="168" t="s">
        <v>3883</v>
      </c>
      <c r="W965" s="169"/>
      <c r="X965" s="314">
        <v>45601.0</v>
      </c>
    </row>
    <row r="966" ht="15.0" customHeight="1">
      <c r="A966" s="127">
        <v>45598.0</v>
      </c>
      <c r="B966" s="181" t="s">
        <v>5570</v>
      </c>
      <c r="C966" s="251" t="s">
        <v>5571</v>
      </c>
      <c r="D966" s="73" t="str">
        <f>IFERROR(VLOOKUP(C966,Stock,3,FALSE),"")</f>
        <v>Toyota Altis 18- E210 12th Gen</v>
      </c>
      <c r="E966" s="56">
        <v>1.0</v>
      </c>
      <c r="F966" s="161">
        <v>2400000.0</v>
      </c>
      <c r="G966" s="162">
        <f t="shared" si="21"/>
        <v>2400000</v>
      </c>
      <c r="H966" s="194"/>
      <c r="I966" s="204">
        <f t="shared" si="19"/>
        <v>2400000</v>
      </c>
      <c r="J966" s="164">
        <f t="shared" si="20"/>
        <v>2400000</v>
      </c>
      <c r="K966" s="56" t="s">
        <v>5572</v>
      </c>
      <c r="L966" s="165" t="s">
        <v>5573</v>
      </c>
      <c r="M966" s="73"/>
      <c r="N966" s="171"/>
      <c r="O966" s="169" t="s">
        <v>2958</v>
      </c>
      <c r="P966" s="168" t="s">
        <v>3112</v>
      </c>
      <c r="Q966" s="173"/>
      <c r="R966" s="167">
        <v>2400000.0</v>
      </c>
      <c r="S966" s="173"/>
      <c r="T966" s="173"/>
      <c r="U966" s="173"/>
      <c r="V966" s="168" t="s">
        <v>3883</v>
      </c>
      <c r="W966" s="169"/>
      <c r="X966" s="169" t="s">
        <v>5574</v>
      </c>
    </row>
    <row r="967" ht="15.0" customHeight="1">
      <c r="A967" s="127">
        <v>45598.0</v>
      </c>
      <c r="B967" s="181" t="s">
        <v>5570</v>
      </c>
      <c r="C967" s="251" t="s">
        <v>2934</v>
      </c>
      <c r="D967" s="73" t="str">
        <f>IFERROR(VLOOKUP(C967,Stock,3,FALSE),"")</f>
        <v>Peti Kayu</v>
      </c>
      <c r="E967" s="56">
        <v>1.0</v>
      </c>
      <c r="F967" s="161">
        <v>200000.0</v>
      </c>
      <c r="G967" s="162">
        <f t="shared" si="21"/>
        <v>200000</v>
      </c>
      <c r="H967" s="194"/>
      <c r="I967" s="204">
        <f t="shared" si="19"/>
        <v>200000</v>
      </c>
      <c r="J967" s="164">
        <f t="shared" si="20"/>
        <v>200000</v>
      </c>
      <c r="K967" s="56" t="s">
        <v>5572</v>
      </c>
      <c r="L967" s="165" t="s">
        <v>5573</v>
      </c>
      <c r="M967" s="73"/>
      <c r="N967" s="171"/>
      <c r="O967" s="169" t="s">
        <v>2958</v>
      </c>
      <c r="P967" s="168" t="s">
        <v>3112</v>
      </c>
      <c r="Q967" s="173"/>
      <c r="R967" s="167">
        <v>200000.0</v>
      </c>
      <c r="S967" s="173"/>
      <c r="T967" s="173"/>
      <c r="U967" s="173"/>
      <c r="V967" s="168" t="s">
        <v>3883</v>
      </c>
      <c r="W967" s="169"/>
      <c r="X967" s="169" t="s">
        <v>5574</v>
      </c>
    </row>
    <row r="968" ht="15.0" customHeight="1">
      <c r="A968" s="127">
        <v>45598.0</v>
      </c>
      <c r="B968" s="181" t="s">
        <v>5575</v>
      </c>
      <c r="C968" s="56" t="s">
        <v>2562</v>
      </c>
      <c r="D968" s="73" t="str">
        <f>IFERROR(VLOOKUP(C968,Stock,3,FALSE),"")</f>
        <v>Toyota Avanza / Xenia 15-21 3rd Gen</v>
      </c>
      <c r="E968" s="56">
        <v>1.0</v>
      </c>
      <c r="F968" s="161">
        <v>1120000.0</v>
      </c>
      <c r="G968" s="162">
        <f t="shared" si="21"/>
        <v>1120000</v>
      </c>
      <c r="H968" s="201">
        <v>100000.0</v>
      </c>
      <c r="I968" s="204">
        <f t="shared" si="19"/>
        <v>1020000</v>
      </c>
      <c r="J968" s="164">
        <f t="shared" si="20"/>
        <v>1020000</v>
      </c>
      <c r="K968" s="56" t="s">
        <v>5576</v>
      </c>
      <c r="L968" s="165" t="s">
        <v>5577</v>
      </c>
      <c r="M968" s="319" t="s">
        <v>5578</v>
      </c>
      <c r="N968" s="169" t="s">
        <v>5579</v>
      </c>
      <c r="O968" s="169" t="s">
        <v>2958</v>
      </c>
      <c r="P968" s="168" t="s">
        <v>5580</v>
      </c>
      <c r="Q968" s="173"/>
      <c r="R968" s="167">
        <v>1020000.0</v>
      </c>
      <c r="S968" s="173"/>
      <c r="T968" s="173"/>
      <c r="U968" s="173"/>
      <c r="V968" s="168" t="s">
        <v>4258</v>
      </c>
      <c r="W968" s="169"/>
      <c r="X968" s="314">
        <v>45601.0</v>
      </c>
    </row>
    <row r="969" ht="15.0" customHeight="1">
      <c r="A969" s="127">
        <v>45598.0</v>
      </c>
      <c r="B969" s="181" t="s">
        <v>5581</v>
      </c>
      <c r="C969" s="251" t="s">
        <v>2997</v>
      </c>
      <c r="D969" s="73" t="str">
        <f>IFERROR(VLOOKUP(C969,Stock,3,FALSE),"")</f>
        <v>Honda City 02-08 4th Gen Idsi GD8</v>
      </c>
      <c r="E969" s="56">
        <v>1.0</v>
      </c>
      <c r="F969" s="161">
        <v>2148000.0</v>
      </c>
      <c r="G969" s="162">
        <f t="shared" si="21"/>
        <v>2148000</v>
      </c>
      <c r="H969" s="194"/>
      <c r="I969" s="204">
        <f t="shared" si="19"/>
        <v>2148000</v>
      </c>
      <c r="J969" s="164">
        <f t="shared" si="20"/>
        <v>2148000</v>
      </c>
      <c r="K969" s="310" t="s">
        <v>5582</v>
      </c>
      <c r="L969" s="165" t="s">
        <v>5583</v>
      </c>
      <c r="M969" s="320" t="s">
        <v>5584</v>
      </c>
      <c r="N969" s="169" t="s">
        <v>5585</v>
      </c>
      <c r="O969" s="169" t="s">
        <v>2958</v>
      </c>
      <c r="P969" s="168" t="s">
        <v>3112</v>
      </c>
      <c r="Q969" s="173"/>
      <c r="R969" s="167">
        <v>2148000.0</v>
      </c>
      <c r="S969" s="173"/>
      <c r="T969" s="173"/>
      <c r="U969" s="173"/>
      <c r="V969" s="168" t="s">
        <v>4258</v>
      </c>
      <c r="W969" s="169"/>
      <c r="X969" s="314">
        <v>45601.0</v>
      </c>
    </row>
    <row r="970" ht="15.0" customHeight="1">
      <c r="A970" s="127">
        <v>45598.0</v>
      </c>
      <c r="B970" s="181" t="s">
        <v>5586</v>
      </c>
      <c r="C970" s="56" t="s">
        <v>5587</v>
      </c>
      <c r="D970" s="73" t="str">
        <f>IFERROR(VLOOKUP(C970,Stock,3,FALSE),"")</f>
        <v>Honda CR-V 02-04 2nd Gen (Spion Jepit)</v>
      </c>
      <c r="E970" s="56">
        <v>1.0</v>
      </c>
      <c r="F970" s="161">
        <v>1882000.0</v>
      </c>
      <c r="G970" s="162">
        <f t="shared" si="21"/>
        <v>1882000</v>
      </c>
      <c r="H970" s="194"/>
      <c r="I970" s="204">
        <f t="shared" si="19"/>
        <v>1882000</v>
      </c>
      <c r="J970" s="164">
        <f t="shared" si="20"/>
        <v>1882000</v>
      </c>
      <c r="K970" s="56" t="s">
        <v>5588</v>
      </c>
      <c r="L970" s="165" t="s">
        <v>5589</v>
      </c>
      <c r="M970" s="313" t="s">
        <v>5590</v>
      </c>
      <c r="N970" s="169" t="s">
        <v>5591</v>
      </c>
      <c r="O970" s="169" t="s">
        <v>2958</v>
      </c>
      <c r="P970" s="168" t="s">
        <v>3112</v>
      </c>
      <c r="Q970" s="167">
        <v>1902000.0</v>
      </c>
      <c r="R970" s="173"/>
      <c r="S970" s="173"/>
      <c r="T970" s="173"/>
      <c r="U970" s="173"/>
      <c r="V970" s="168" t="s">
        <v>3883</v>
      </c>
      <c r="W970" s="169"/>
      <c r="X970" s="314">
        <v>45601.0</v>
      </c>
    </row>
    <row r="971" ht="15.0" customHeight="1">
      <c r="A971" s="127">
        <v>45599.0</v>
      </c>
      <c r="B971" s="181" t="s">
        <v>5592</v>
      </c>
      <c r="C971" s="315" t="s">
        <v>2637</v>
      </c>
      <c r="D971" s="73" t="str">
        <f>IFERROR(VLOOKUP(C971,Stock,3,FALSE),"")</f>
        <v>Ford Everest 04-15 / Ranger 04-11 / Mazda BT-50</v>
      </c>
      <c r="E971" s="56">
        <v>1.0</v>
      </c>
      <c r="F971" s="161">
        <v>1461000.0</v>
      </c>
      <c r="G971" s="162">
        <f t="shared" si="21"/>
        <v>1461000</v>
      </c>
      <c r="H971" s="201">
        <v>11000.0</v>
      </c>
      <c r="I971" s="204">
        <f t="shared" si="19"/>
        <v>1450000</v>
      </c>
      <c r="J971" s="164">
        <f t="shared" si="20"/>
        <v>1450000</v>
      </c>
      <c r="K971" s="310" t="s">
        <v>5593</v>
      </c>
      <c r="L971" s="165" t="s">
        <v>5594</v>
      </c>
      <c r="M971" s="313" t="s">
        <v>5595</v>
      </c>
      <c r="N971" s="289" t="s">
        <v>5596</v>
      </c>
      <c r="O971" s="169" t="s">
        <v>4308</v>
      </c>
      <c r="P971" s="168" t="s">
        <v>3112</v>
      </c>
      <c r="Q971" s="167">
        <v>1450000.0</v>
      </c>
      <c r="R971" s="173"/>
      <c r="S971" s="173"/>
      <c r="T971" s="173"/>
      <c r="U971" s="173"/>
      <c r="V971" s="168" t="s">
        <v>4258</v>
      </c>
      <c r="W971" s="169"/>
      <c r="X971" s="314">
        <v>45601.0</v>
      </c>
    </row>
    <row r="972" ht="15.0" customHeight="1">
      <c r="A972" s="127">
        <v>45599.0</v>
      </c>
      <c r="B972" s="181" t="s">
        <v>5597</v>
      </c>
      <c r="C972" s="228" t="s">
        <v>5598</v>
      </c>
      <c r="D972" s="73" t="str">
        <f>IFERROR(VLOOKUP(C972,Stock,3,FALSE),"")</f>
        <v>Toyota Avanza / Xenia 11-15 2nd Gen / 15-21 3rd Gen</v>
      </c>
      <c r="E972" s="56">
        <v>1.0</v>
      </c>
      <c r="F972" s="161">
        <v>550000.0</v>
      </c>
      <c r="G972" s="162">
        <f t="shared" si="21"/>
        <v>550000</v>
      </c>
      <c r="H972" s="194"/>
      <c r="I972" s="204">
        <f t="shared" si="19"/>
        <v>550000</v>
      </c>
      <c r="J972" s="164">
        <f t="shared" si="20"/>
        <v>550000</v>
      </c>
      <c r="K972" s="310" t="s">
        <v>5599</v>
      </c>
      <c r="L972" s="165" t="s">
        <v>5600</v>
      </c>
      <c r="M972" s="313" t="s">
        <v>5601</v>
      </c>
      <c r="N972" s="289" t="s">
        <v>5602</v>
      </c>
      <c r="O972" s="169" t="s">
        <v>3037</v>
      </c>
      <c r="P972" s="168" t="s">
        <v>3112</v>
      </c>
      <c r="Q972" s="173"/>
      <c r="R972" s="167">
        <v>550000.0</v>
      </c>
      <c r="S972" s="173"/>
      <c r="T972" s="173"/>
      <c r="U972" s="173"/>
      <c r="V972" s="168" t="s">
        <v>4258</v>
      </c>
      <c r="W972" s="169"/>
      <c r="X972" s="314">
        <v>45601.0</v>
      </c>
    </row>
    <row r="973" ht="15.0" customHeight="1">
      <c r="A973" s="127">
        <v>45600.0</v>
      </c>
      <c r="B973" s="181" t="s">
        <v>5603</v>
      </c>
      <c r="C973" s="56" t="s">
        <v>2595</v>
      </c>
      <c r="D973" s="73" t="str">
        <f>IFERROR(VLOOKUP(C973,Stock,3,FALSE),"")</f>
        <v>Toyota Alphard 08-15 ANH20 2nd Gen</v>
      </c>
      <c r="E973" s="56">
        <v>1.0</v>
      </c>
      <c r="F973" s="161">
        <v>3907000.0</v>
      </c>
      <c r="G973" s="162">
        <f t="shared" si="21"/>
        <v>3907000</v>
      </c>
      <c r="H973" s="194"/>
      <c r="I973" s="204">
        <f t="shared" si="19"/>
        <v>3907000</v>
      </c>
      <c r="J973" s="164">
        <f t="shared" si="20"/>
        <v>3907000</v>
      </c>
      <c r="K973" s="56" t="s">
        <v>5604</v>
      </c>
      <c r="L973" s="165" t="s">
        <v>5605</v>
      </c>
      <c r="M973" s="73"/>
      <c r="N973" s="171"/>
      <c r="O973" s="169" t="s">
        <v>5606</v>
      </c>
      <c r="P973" s="168" t="s">
        <v>5077</v>
      </c>
      <c r="Q973" s="173"/>
      <c r="R973" s="173"/>
      <c r="S973" s="167">
        <v>3907000.0</v>
      </c>
      <c r="T973" s="167">
        <v>328560.0</v>
      </c>
      <c r="U973" s="173"/>
      <c r="V973" s="168" t="s">
        <v>3883</v>
      </c>
      <c r="W973" s="169"/>
      <c r="X973" s="169" t="s">
        <v>5607</v>
      </c>
    </row>
    <row r="974" ht="15.0" customHeight="1">
      <c r="A974" s="127">
        <v>45600.0</v>
      </c>
      <c r="B974" s="181" t="s">
        <v>5603</v>
      </c>
      <c r="C974" s="56" t="s">
        <v>2934</v>
      </c>
      <c r="D974" s="73" t="str">
        <f>IFERROR(VLOOKUP(C974,Stock,3,FALSE),"")</f>
        <v>Peti Kayu</v>
      </c>
      <c r="E974" s="56">
        <v>1.0</v>
      </c>
      <c r="F974" s="161">
        <v>200000.0</v>
      </c>
      <c r="G974" s="162">
        <f t="shared" si="21"/>
        <v>200000</v>
      </c>
      <c r="H974" s="194"/>
      <c r="I974" s="204">
        <f t="shared" si="19"/>
        <v>200000</v>
      </c>
      <c r="J974" s="164">
        <f t="shared" si="20"/>
        <v>200000</v>
      </c>
      <c r="K974" s="56" t="s">
        <v>5604</v>
      </c>
      <c r="L974" s="165" t="s">
        <v>5605</v>
      </c>
      <c r="M974" s="73"/>
      <c r="N974" s="171"/>
      <c r="O974" s="169" t="s">
        <v>5606</v>
      </c>
      <c r="P974" s="168" t="s">
        <v>5077</v>
      </c>
      <c r="Q974" s="173"/>
      <c r="R974" s="173"/>
      <c r="S974" s="167">
        <v>200000.0</v>
      </c>
      <c r="T974" s="173"/>
      <c r="U974" s="173"/>
      <c r="V974" s="168" t="s">
        <v>3883</v>
      </c>
      <c r="W974" s="169"/>
      <c r="X974" s="169" t="s">
        <v>5607</v>
      </c>
    </row>
    <row r="975" ht="15.0" customHeight="1">
      <c r="A975" s="127">
        <v>45600.0</v>
      </c>
      <c r="B975" s="181" t="s">
        <v>5608</v>
      </c>
      <c r="C975" s="56" t="s">
        <v>5587</v>
      </c>
      <c r="D975" s="73" t="str">
        <f>IFERROR(VLOOKUP(C975,Stock,3,FALSE),"")</f>
        <v>Honda CR-V 02-04 2nd Gen (Spion Jepit)</v>
      </c>
      <c r="E975" s="56">
        <v>1.0</v>
      </c>
      <c r="F975" s="161">
        <v>1558000.0</v>
      </c>
      <c r="G975" s="162">
        <f t="shared" si="21"/>
        <v>1558000</v>
      </c>
      <c r="H975" s="194"/>
      <c r="I975" s="204">
        <f t="shared" si="19"/>
        <v>1558000</v>
      </c>
      <c r="J975" s="164">
        <f t="shared" si="20"/>
        <v>1558000</v>
      </c>
      <c r="K975" s="56" t="s">
        <v>5609</v>
      </c>
      <c r="L975" s="165" t="s">
        <v>5610</v>
      </c>
      <c r="M975" s="73"/>
      <c r="N975" s="171"/>
      <c r="O975" s="169" t="s">
        <v>2958</v>
      </c>
      <c r="P975" s="168" t="s">
        <v>5077</v>
      </c>
      <c r="Q975" s="173"/>
      <c r="R975" s="173"/>
      <c r="S975" s="167">
        <v>1558000.0</v>
      </c>
      <c r="T975" s="167">
        <v>-124640.0</v>
      </c>
      <c r="U975" s="173"/>
      <c r="V975" s="168" t="s">
        <v>3883</v>
      </c>
      <c r="W975" s="169"/>
      <c r="X975" s="169" t="s">
        <v>5611</v>
      </c>
    </row>
    <row r="976" ht="15.0" customHeight="1">
      <c r="A976" s="127">
        <v>45600.0</v>
      </c>
      <c r="B976" s="181" t="s">
        <v>5608</v>
      </c>
      <c r="C976" s="56" t="s">
        <v>2954</v>
      </c>
      <c r="D976" s="73" t="str">
        <f>IFERROR(VLOOKUP(C976,Stock,3,FALSE),"")</f>
        <v>Transport</v>
      </c>
      <c r="E976" s="56">
        <v>1.0</v>
      </c>
      <c r="F976" s="161">
        <v>100000.0</v>
      </c>
      <c r="G976" s="162">
        <f t="shared" si="21"/>
        <v>100000</v>
      </c>
      <c r="H976" s="194"/>
      <c r="I976" s="204">
        <f t="shared" si="19"/>
        <v>100000</v>
      </c>
      <c r="J976" s="164">
        <f t="shared" si="20"/>
        <v>100000</v>
      </c>
      <c r="K976" s="56" t="s">
        <v>5609</v>
      </c>
      <c r="L976" s="165" t="s">
        <v>5610</v>
      </c>
      <c r="M976" s="73"/>
      <c r="N976" s="171"/>
      <c r="O976" s="169" t="s">
        <v>2958</v>
      </c>
      <c r="P976" s="168" t="s">
        <v>5077</v>
      </c>
      <c r="Q976" s="173"/>
      <c r="R976" s="167">
        <v>100000.0</v>
      </c>
      <c r="S976" s="173"/>
      <c r="T976" s="173"/>
      <c r="U976" s="173"/>
      <c r="V976" s="168" t="s">
        <v>3883</v>
      </c>
      <c r="W976" s="169"/>
      <c r="X976" s="169" t="s">
        <v>5611</v>
      </c>
    </row>
    <row r="977" ht="15.0" customHeight="1">
      <c r="A977" s="127">
        <v>45600.0</v>
      </c>
      <c r="B977" s="181" t="s">
        <v>5612</v>
      </c>
      <c r="C977" s="228" t="s">
        <v>5613</v>
      </c>
      <c r="D977" s="73" t="str">
        <f>IFERROR(VLOOKUP(C977,Stock,3,FALSE),"")</f>
        <v>Suzuki Esteem 89-90</v>
      </c>
      <c r="E977" s="56">
        <v>1.0</v>
      </c>
      <c r="F977" s="161">
        <v>1660000.0</v>
      </c>
      <c r="G977" s="162">
        <f t="shared" si="21"/>
        <v>1660000</v>
      </c>
      <c r="H977" s="194"/>
      <c r="I977" s="204">
        <f t="shared" si="19"/>
        <v>1660000</v>
      </c>
      <c r="J977" s="164">
        <f t="shared" si="20"/>
        <v>1660000</v>
      </c>
      <c r="K977" s="56" t="s">
        <v>5614</v>
      </c>
      <c r="L977" s="165" t="s">
        <v>5615</v>
      </c>
      <c r="M977" s="73"/>
      <c r="N977" s="169" t="s">
        <v>5616</v>
      </c>
      <c r="O977" s="169" t="s">
        <v>2958</v>
      </c>
      <c r="P977" s="168" t="s">
        <v>3645</v>
      </c>
      <c r="Q977" s="173"/>
      <c r="R977" s="167">
        <v>1660000.0</v>
      </c>
      <c r="S977" s="173"/>
      <c r="T977" s="173"/>
      <c r="U977" s="173"/>
      <c r="V977" s="168" t="s">
        <v>3883</v>
      </c>
      <c r="W977" s="169"/>
      <c r="X977" s="314">
        <v>45601.0</v>
      </c>
    </row>
    <row r="978" ht="15.0" customHeight="1">
      <c r="A978" s="127">
        <v>45600.0</v>
      </c>
      <c r="B978" s="181" t="s">
        <v>5612</v>
      </c>
      <c r="C978" s="251" t="s">
        <v>2954</v>
      </c>
      <c r="D978" s="73" t="str">
        <f>IFERROR(VLOOKUP(C978,Stock,3,FALSE),"")</f>
        <v>Transport</v>
      </c>
      <c r="E978" s="56">
        <v>1.0</v>
      </c>
      <c r="F978" s="161">
        <v>60000.0</v>
      </c>
      <c r="G978" s="162">
        <f t="shared" si="21"/>
        <v>60000</v>
      </c>
      <c r="H978" s="194"/>
      <c r="I978" s="204">
        <v>0.0</v>
      </c>
      <c r="J978" s="195">
        <v>0.0</v>
      </c>
      <c r="K978" s="56" t="s">
        <v>5614</v>
      </c>
      <c r="L978" s="165" t="s">
        <v>5615</v>
      </c>
      <c r="M978" s="73"/>
      <c r="N978" s="169" t="s">
        <v>5616</v>
      </c>
      <c r="O978" s="169" t="s">
        <v>2958</v>
      </c>
      <c r="P978" s="168" t="s">
        <v>3645</v>
      </c>
      <c r="Q978" s="173"/>
      <c r="R978" s="173"/>
      <c r="S978" s="173"/>
      <c r="T978" s="173"/>
      <c r="U978" s="173"/>
      <c r="V978" s="168" t="s">
        <v>3883</v>
      </c>
      <c r="W978" s="169"/>
      <c r="X978" s="314">
        <v>45601.0</v>
      </c>
    </row>
    <row r="979" ht="15.0" customHeight="1">
      <c r="A979" s="127">
        <v>45600.0</v>
      </c>
      <c r="B979" s="181" t="s">
        <v>5617</v>
      </c>
      <c r="C979" s="56" t="s">
        <v>5308</v>
      </c>
      <c r="D979" s="73" t="str">
        <f>IFERROR(VLOOKUP(C979,Stock,3,FALSE),"")</f>
        <v>Toyota Hilux Pickup 15- (Revo)</v>
      </c>
      <c r="E979" s="56">
        <v>1.0</v>
      </c>
      <c r="F979" s="161">
        <v>1615000.0</v>
      </c>
      <c r="G979" s="162">
        <f t="shared" si="21"/>
        <v>1615000</v>
      </c>
      <c r="H979" s="194"/>
      <c r="I979" s="204">
        <f t="shared" ref="I979:I1029" si="22">G979-H979</f>
        <v>1615000</v>
      </c>
      <c r="J979" s="164">
        <f t="shared" ref="J979:J1029" si="23">I979</f>
        <v>1615000</v>
      </c>
      <c r="K979" s="56" t="s">
        <v>5618</v>
      </c>
      <c r="L979" s="165" t="s">
        <v>5619</v>
      </c>
      <c r="M979" s="73"/>
      <c r="N979" s="169" t="s">
        <v>5620</v>
      </c>
      <c r="O979" s="169" t="s">
        <v>2958</v>
      </c>
      <c r="P979" s="168" t="s">
        <v>3112</v>
      </c>
      <c r="Q979" s="173"/>
      <c r="R979" s="167">
        <v>1615000.0</v>
      </c>
      <c r="S979" s="173"/>
      <c r="T979" s="173"/>
      <c r="U979" s="173"/>
      <c r="V979" s="168" t="s">
        <v>3883</v>
      </c>
      <c r="W979" s="169"/>
      <c r="X979" s="314">
        <v>45601.0</v>
      </c>
    </row>
    <row r="980" ht="15.0" customHeight="1">
      <c r="A980" s="127">
        <v>45600.0</v>
      </c>
      <c r="B980" s="181" t="s">
        <v>5621</v>
      </c>
      <c r="C980" s="228" t="s">
        <v>5622</v>
      </c>
      <c r="D980" s="73" t="str">
        <f>IFERROR(VLOOKUP(C980,Stock,3,FALSE),"")</f>
        <v>Mers-Benz S-Class 13-20 W222 4D</v>
      </c>
      <c r="E980" s="56">
        <v>1.0</v>
      </c>
      <c r="F980" s="161">
        <v>1.2718E7</v>
      </c>
      <c r="G980" s="162">
        <f t="shared" si="21"/>
        <v>12718000</v>
      </c>
      <c r="H980" s="194"/>
      <c r="I980" s="204">
        <f t="shared" si="22"/>
        <v>12718000</v>
      </c>
      <c r="J980" s="164">
        <f t="shared" si="23"/>
        <v>12718000</v>
      </c>
      <c r="K980" s="56" t="s">
        <v>5623</v>
      </c>
      <c r="L980" s="165" t="s">
        <v>3063</v>
      </c>
      <c r="M980" s="73"/>
      <c r="N980" s="169" t="s">
        <v>5624</v>
      </c>
      <c r="O980" s="169" t="s">
        <v>2958</v>
      </c>
      <c r="P980" s="168" t="s">
        <v>4778</v>
      </c>
      <c r="Q980" s="173"/>
      <c r="R980" s="167">
        <v>1.2718E7</v>
      </c>
      <c r="S980" s="173"/>
      <c r="T980" s="173"/>
      <c r="U980" s="173"/>
      <c r="V980" s="168" t="s">
        <v>3883</v>
      </c>
      <c r="W980" s="169"/>
      <c r="X980" s="169" t="s">
        <v>5625</v>
      </c>
    </row>
    <row r="981" ht="15.0" customHeight="1">
      <c r="A981" s="127">
        <v>45600.0</v>
      </c>
      <c r="B981" s="181" t="s">
        <v>5621</v>
      </c>
      <c r="C981" s="251" t="s">
        <v>3045</v>
      </c>
      <c r="D981" s="73" t="str">
        <f>IFERROR(VLOOKUP(C981,Stock,3,FALSE),"")</f>
        <v>Pemasangan Kaca Mobil Depan</v>
      </c>
      <c r="E981" s="56">
        <v>1.0</v>
      </c>
      <c r="F981" s="161">
        <v>950000.0</v>
      </c>
      <c r="G981" s="162">
        <f t="shared" si="21"/>
        <v>950000</v>
      </c>
      <c r="H981" s="194"/>
      <c r="I981" s="204">
        <f t="shared" si="22"/>
        <v>950000</v>
      </c>
      <c r="J981" s="164">
        <f t="shared" si="23"/>
        <v>950000</v>
      </c>
      <c r="K981" s="56" t="s">
        <v>5623</v>
      </c>
      <c r="L981" s="165" t="s">
        <v>3063</v>
      </c>
      <c r="M981" s="73"/>
      <c r="N981" s="169" t="s">
        <v>5624</v>
      </c>
      <c r="O981" s="169" t="s">
        <v>2958</v>
      </c>
      <c r="P981" s="168" t="s">
        <v>4778</v>
      </c>
      <c r="Q981" s="173"/>
      <c r="R981" s="167">
        <v>950000.0</v>
      </c>
      <c r="S981" s="173"/>
      <c r="T981" s="173"/>
      <c r="U981" s="173"/>
      <c r="V981" s="168" t="s">
        <v>3883</v>
      </c>
      <c r="W981" s="169"/>
      <c r="X981" s="219">
        <v>45614.0</v>
      </c>
    </row>
    <row r="982" ht="15.0" customHeight="1">
      <c r="A982" s="127">
        <v>45601.0</v>
      </c>
      <c r="B982" s="181" t="s">
        <v>5626</v>
      </c>
      <c r="C982" s="251" t="s">
        <v>3186</v>
      </c>
      <c r="D982" s="73" t="str">
        <f>IFERROR(VLOOKUP(C982,Stock,3,FALSE),"")</f>
        <v>Daihatsu Gran Max / Luxio 07-</v>
      </c>
      <c r="E982" s="56">
        <v>1.0</v>
      </c>
      <c r="F982" s="161">
        <v>1048000.0</v>
      </c>
      <c r="G982" s="162">
        <f t="shared" si="21"/>
        <v>1048000</v>
      </c>
      <c r="H982" s="194"/>
      <c r="I982" s="204">
        <f t="shared" si="22"/>
        <v>1048000</v>
      </c>
      <c r="J982" s="164">
        <f t="shared" si="23"/>
        <v>1048000</v>
      </c>
      <c r="K982" s="310" t="s">
        <v>5627</v>
      </c>
      <c r="L982" s="165" t="s">
        <v>5628</v>
      </c>
      <c r="M982" s="73"/>
      <c r="N982" s="169" t="s">
        <v>5629</v>
      </c>
      <c r="O982" s="169" t="s">
        <v>2958</v>
      </c>
      <c r="P982" s="168" t="s">
        <v>3011</v>
      </c>
      <c r="Q982" s="167">
        <v>1050000.0</v>
      </c>
      <c r="R982" s="173"/>
      <c r="S982" s="173"/>
      <c r="T982" s="173"/>
      <c r="U982" s="167">
        <v>2000.0</v>
      </c>
      <c r="V982" s="168" t="s">
        <v>4258</v>
      </c>
      <c r="W982" s="169"/>
      <c r="X982" s="314">
        <v>45601.0</v>
      </c>
    </row>
    <row r="983" ht="15.0" customHeight="1">
      <c r="A983" s="127">
        <v>45602.0</v>
      </c>
      <c r="B983" s="181" t="s">
        <v>5630</v>
      </c>
      <c r="C983" s="56" t="s">
        <v>2730</v>
      </c>
      <c r="D983" s="73" t="str">
        <f>IFERROR(VLOOKUP(C983,Stock,3,FALSE),"")</f>
        <v>Honda HR-V 14-21 5D SUV (Honda)</v>
      </c>
      <c r="E983" s="56">
        <v>1.0</v>
      </c>
      <c r="F983" s="161">
        <v>3106000.0</v>
      </c>
      <c r="G983" s="162">
        <f t="shared" si="21"/>
        <v>3106000</v>
      </c>
      <c r="H983" s="201">
        <v>50000.0</v>
      </c>
      <c r="I983" s="204">
        <f t="shared" si="22"/>
        <v>3056000</v>
      </c>
      <c r="J983" s="164">
        <f t="shared" si="23"/>
        <v>3056000</v>
      </c>
      <c r="K983" s="56" t="s">
        <v>5631</v>
      </c>
      <c r="L983" s="165" t="s">
        <v>5632</v>
      </c>
      <c r="M983" s="73"/>
      <c r="N983" s="169" t="s">
        <v>5633</v>
      </c>
      <c r="O983" s="169" t="s">
        <v>3184</v>
      </c>
      <c r="P983" s="168" t="s">
        <v>3112</v>
      </c>
      <c r="Q983" s="173"/>
      <c r="R983" s="167">
        <v>3056000.0</v>
      </c>
      <c r="S983" s="173"/>
      <c r="T983" s="173"/>
      <c r="U983" s="173"/>
      <c r="V983" s="168" t="s">
        <v>3883</v>
      </c>
      <c r="W983" s="169"/>
      <c r="X983" s="219">
        <v>45608.0</v>
      </c>
    </row>
    <row r="984" ht="15.0" customHeight="1">
      <c r="A984" s="127">
        <v>45602.0</v>
      </c>
      <c r="B984" s="181" t="s">
        <v>5634</v>
      </c>
      <c r="C984" s="56" t="s">
        <v>5635</v>
      </c>
      <c r="D984" s="73" t="str">
        <f>IFERROR(VLOOKUP(C984,Stock,3,FALSE),"")</f>
        <v>Honda HR-V 14-21 5D SUV</v>
      </c>
      <c r="E984" s="56">
        <v>1.0</v>
      </c>
      <c r="F984" s="161">
        <v>1365000.0</v>
      </c>
      <c r="G984" s="162">
        <f t="shared" si="21"/>
        <v>1365000</v>
      </c>
      <c r="H984" s="194"/>
      <c r="I984" s="204">
        <f t="shared" si="22"/>
        <v>1365000</v>
      </c>
      <c r="J984" s="164">
        <f t="shared" si="23"/>
        <v>1365000</v>
      </c>
      <c r="K984" s="56" t="s">
        <v>5636</v>
      </c>
      <c r="L984" s="165" t="s">
        <v>5637</v>
      </c>
      <c r="M984" s="321" t="s">
        <v>5638</v>
      </c>
      <c r="N984" s="169" t="s">
        <v>5639</v>
      </c>
      <c r="O984" s="169" t="s">
        <v>3037</v>
      </c>
      <c r="P984" s="168" t="s">
        <v>3112</v>
      </c>
      <c r="Q984" s="173"/>
      <c r="R984" s="167">
        <v>1365000.0</v>
      </c>
      <c r="S984" s="173"/>
      <c r="T984" s="173"/>
      <c r="U984" s="173"/>
      <c r="V984" s="168" t="s">
        <v>3883</v>
      </c>
      <c r="W984" s="169"/>
      <c r="X984" s="219">
        <v>45608.0</v>
      </c>
    </row>
    <row r="985" ht="15.0" customHeight="1">
      <c r="A985" s="127">
        <v>45603.0</v>
      </c>
      <c r="B985" s="181" t="s">
        <v>5640</v>
      </c>
      <c r="C985" s="228" t="s">
        <v>4942</v>
      </c>
      <c r="D985" s="73" t="str">
        <f>IFERROR(VLOOKUP(C985,Stock,3,FALSE),"")</f>
        <v>Mazda Biante 08- (Hitam)</v>
      </c>
      <c r="E985" s="56">
        <v>1.0</v>
      </c>
      <c r="F985" s="161">
        <v>3443000.0</v>
      </c>
      <c r="G985" s="162">
        <f t="shared" si="21"/>
        <v>3443000</v>
      </c>
      <c r="H985" s="194"/>
      <c r="I985" s="204">
        <f t="shared" si="22"/>
        <v>3443000</v>
      </c>
      <c r="J985" s="164">
        <f t="shared" si="23"/>
        <v>3443000</v>
      </c>
      <c r="K985" s="56" t="s">
        <v>5641</v>
      </c>
      <c r="L985" s="165" t="s">
        <v>5642</v>
      </c>
      <c r="M985" s="73"/>
      <c r="N985" s="169" t="s">
        <v>5643</v>
      </c>
      <c r="O985" s="169" t="s">
        <v>3037</v>
      </c>
      <c r="P985" s="168" t="s">
        <v>3112</v>
      </c>
      <c r="Q985" s="173"/>
      <c r="R985" s="167">
        <v>3443000.0</v>
      </c>
      <c r="S985" s="173"/>
      <c r="T985" s="173"/>
      <c r="U985" s="173"/>
      <c r="V985" s="168" t="s">
        <v>3883</v>
      </c>
      <c r="W985" s="169"/>
      <c r="X985" s="219">
        <v>45608.0</v>
      </c>
    </row>
    <row r="986" ht="15.0" customHeight="1">
      <c r="A986" s="127">
        <v>45603.0</v>
      </c>
      <c r="B986" s="181" t="s">
        <v>5640</v>
      </c>
      <c r="C986" s="251" t="s">
        <v>2954</v>
      </c>
      <c r="D986" s="73" t="str">
        <f>IFERROR(VLOOKUP(C986,Stock,3,FALSE),"")</f>
        <v>Transport</v>
      </c>
      <c r="E986" s="56">
        <v>1.0</v>
      </c>
      <c r="F986" s="161">
        <v>100000.0</v>
      </c>
      <c r="G986" s="162">
        <f t="shared" si="21"/>
        <v>100000</v>
      </c>
      <c r="H986" s="194"/>
      <c r="I986" s="204">
        <f t="shared" si="22"/>
        <v>100000</v>
      </c>
      <c r="J986" s="164">
        <f t="shared" si="23"/>
        <v>100000</v>
      </c>
      <c r="K986" s="56" t="s">
        <v>5641</v>
      </c>
      <c r="L986" s="165" t="s">
        <v>5642</v>
      </c>
      <c r="M986" s="73"/>
      <c r="N986" s="169" t="s">
        <v>5643</v>
      </c>
      <c r="O986" s="169" t="s">
        <v>3037</v>
      </c>
      <c r="P986" s="168" t="s">
        <v>3112</v>
      </c>
      <c r="Q986" s="173"/>
      <c r="R986" s="167">
        <v>100000.0</v>
      </c>
      <c r="S986" s="173"/>
      <c r="T986" s="173"/>
      <c r="U986" s="173"/>
      <c r="V986" s="168" t="s">
        <v>3883</v>
      </c>
      <c r="W986" s="169"/>
      <c r="X986" s="219">
        <v>45608.0</v>
      </c>
    </row>
    <row r="987" ht="15.0" customHeight="1">
      <c r="A987" s="127">
        <v>45603.0</v>
      </c>
      <c r="B987" s="181" t="s">
        <v>5644</v>
      </c>
      <c r="C987" s="56" t="s">
        <v>5645</v>
      </c>
      <c r="D987" s="73" t="str">
        <f>IFERROR(VLOOKUP(C987,Stock,3,FALSE),"")</f>
        <v>Toyota Avanza / Xenia 21- 4th Gen</v>
      </c>
      <c r="E987" s="56">
        <v>1.0</v>
      </c>
      <c r="F987" s="161">
        <v>450000.0</v>
      </c>
      <c r="G987" s="162">
        <f t="shared" si="21"/>
        <v>450000</v>
      </c>
      <c r="H987" s="194"/>
      <c r="I987" s="204">
        <f t="shared" si="22"/>
        <v>450000</v>
      </c>
      <c r="J987" s="164">
        <f t="shared" si="23"/>
        <v>450000</v>
      </c>
      <c r="K987" s="56" t="s">
        <v>5646</v>
      </c>
      <c r="L987" s="165" t="s">
        <v>5242</v>
      </c>
      <c r="M987" s="73"/>
      <c r="N987" s="171"/>
      <c r="O987" s="169" t="s">
        <v>2958</v>
      </c>
      <c r="P987" s="168" t="s">
        <v>3112</v>
      </c>
      <c r="Q987" s="167">
        <v>450000.0</v>
      </c>
      <c r="R987" s="173"/>
      <c r="S987" s="173"/>
      <c r="T987" s="173"/>
      <c r="U987" s="173"/>
      <c r="V987" s="168" t="s">
        <v>3883</v>
      </c>
      <c r="W987" s="169"/>
      <c r="X987" s="219">
        <v>45608.0</v>
      </c>
    </row>
    <row r="988" ht="15.0" customHeight="1">
      <c r="A988" s="127">
        <v>45603.0</v>
      </c>
      <c r="B988" s="181" t="s">
        <v>5647</v>
      </c>
      <c r="C988" s="56" t="s">
        <v>3045</v>
      </c>
      <c r="D988" s="73" t="str">
        <f>IFERROR(VLOOKUP(C988,Stock,3,FALSE),"")</f>
        <v>Pemasangan Kaca Mobil Depan</v>
      </c>
      <c r="E988" s="56">
        <v>1.0</v>
      </c>
      <c r="F988" s="161">
        <v>450000.0</v>
      </c>
      <c r="G988" s="162">
        <f t="shared" si="21"/>
        <v>450000</v>
      </c>
      <c r="H988" s="194"/>
      <c r="I988" s="204">
        <f t="shared" si="22"/>
        <v>450000</v>
      </c>
      <c r="J988" s="164">
        <f t="shared" si="23"/>
        <v>450000</v>
      </c>
      <c r="K988" s="56" t="s">
        <v>5648</v>
      </c>
      <c r="L988" s="165" t="s">
        <v>5649</v>
      </c>
      <c r="M988" s="322"/>
      <c r="N988" s="169" t="s">
        <v>5650</v>
      </c>
      <c r="O988" s="169" t="s">
        <v>2958</v>
      </c>
      <c r="P988" s="168" t="s">
        <v>3112</v>
      </c>
      <c r="Q988" s="167">
        <v>500000.0</v>
      </c>
      <c r="R988" s="173"/>
      <c r="S988" s="173"/>
      <c r="T988" s="173"/>
      <c r="U988" s="167">
        <v>50000.0</v>
      </c>
      <c r="V988" s="168" t="s">
        <v>3883</v>
      </c>
      <c r="W988" s="169"/>
      <c r="X988" s="219">
        <v>45608.0</v>
      </c>
    </row>
    <row r="989" ht="15.0" customHeight="1">
      <c r="A989" s="127">
        <v>45603.0</v>
      </c>
      <c r="B989" s="181" t="s">
        <v>5651</v>
      </c>
      <c r="C989" s="56" t="s">
        <v>3186</v>
      </c>
      <c r="D989" s="73" t="str">
        <f>IFERROR(VLOOKUP(C989,Stock,3,FALSE),"")</f>
        <v>Daihatsu Gran Max / Luxio 07-</v>
      </c>
      <c r="E989" s="56">
        <v>1.0</v>
      </c>
      <c r="F989" s="161">
        <v>1050000.0</v>
      </c>
      <c r="G989" s="162">
        <f t="shared" si="21"/>
        <v>1050000</v>
      </c>
      <c r="H989" s="194"/>
      <c r="I989" s="204">
        <f t="shared" si="22"/>
        <v>1050000</v>
      </c>
      <c r="J989" s="164">
        <f t="shared" si="23"/>
        <v>1050000</v>
      </c>
      <c r="K989" s="56" t="s">
        <v>5652</v>
      </c>
      <c r="L989" s="165" t="s">
        <v>5653</v>
      </c>
      <c r="M989" s="313" t="s">
        <v>5654</v>
      </c>
      <c r="N989" s="169" t="s">
        <v>5655</v>
      </c>
      <c r="O989" s="169" t="s">
        <v>5656</v>
      </c>
      <c r="P989" s="168" t="s">
        <v>3011</v>
      </c>
      <c r="Q989" s="167">
        <v>1050000.0</v>
      </c>
      <c r="R989" s="173"/>
      <c r="S989" s="173"/>
      <c r="T989" s="173"/>
      <c r="U989" s="173"/>
      <c r="V989" s="168" t="s">
        <v>3883</v>
      </c>
      <c r="W989" s="169"/>
      <c r="X989" s="219">
        <v>45608.0</v>
      </c>
    </row>
    <row r="990" ht="15.0" customHeight="1">
      <c r="A990" s="127">
        <v>45604.0</v>
      </c>
      <c r="B990" s="181" t="s">
        <v>5657</v>
      </c>
      <c r="C990" s="251" t="s">
        <v>3837</v>
      </c>
      <c r="D990" s="73" t="str">
        <f>IFERROR(VLOOKUP(C990,Stock,3,FALSE),"")</f>
        <v>Toyota Yaris 13- 2nd Gen / Vios 14- 3rd Gen</v>
      </c>
      <c r="E990" s="56">
        <v>1.0</v>
      </c>
      <c r="F990" s="161">
        <v>1719000.0</v>
      </c>
      <c r="G990" s="162">
        <f t="shared" si="21"/>
        <v>1719000</v>
      </c>
      <c r="H990" s="194"/>
      <c r="I990" s="204">
        <f t="shared" si="22"/>
        <v>1719000</v>
      </c>
      <c r="J990" s="164">
        <f t="shared" si="23"/>
        <v>1719000</v>
      </c>
      <c r="K990" s="56" t="s">
        <v>5658</v>
      </c>
      <c r="L990" s="165" t="s">
        <v>5659</v>
      </c>
      <c r="M990" s="320" t="s">
        <v>5660</v>
      </c>
      <c r="N990" s="169" t="s">
        <v>5661</v>
      </c>
      <c r="O990" s="169" t="s">
        <v>3037</v>
      </c>
      <c r="P990" s="168" t="s">
        <v>3112</v>
      </c>
      <c r="Q990" s="173"/>
      <c r="R990" s="167">
        <v>1719000.0</v>
      </c>
      <c r="S990" s="173"/>
      <c r="T990" s="173"/>
      <c r="U990" s="173"/>
      <c r="V990" s="168" t="s">
        <v>3883</v>
      </c>
      <c r="W990" s="169"/>
      <c r="X990" s="219">
        <v>45608.0</v>
      </c>
    </row>
    <row r="991" ht="15.0" customHeight="1">
      <c r="A991" s="127">
        <v>45604.0</v>
      </c>
      <c r="B991" s="181" t="s">
        <v>5657</v>
      </c>
      <c r="C991" s="251" t="s">
        <v>2954</v>
      </c>
      <c r="D991" s="73" t="str">
        <f>IFERROR(VLOOKUP(C991,Stock,3,FALSE),"")</f>
        <v>Transport</v>
      </c>
      <c r="E991" s="56">
        <v>1.0</v>
      </c>
      <c r="F991" s="161">
        <v>150000.0</v>
      </c>
      <c r="G991" s="162">
        <f t="shared" si="21"/>
        <v>150000</v>
      </c>
      <c r="H991" s="194"/>
      <c r="I991" s="204">
        <f t="shared" si="22"/>
        <v>150000</v>
      </c>
      <c r="J991" s="164">
        <f t="shared" si="23"/>
        <v>150000</v>
      </c>
      <c r="K991" s="56" t="s">
        <v>5658</v>
      </c>
      <c r="L991" s="165" t="s">
        <v>5659</v>
      </c>
      <c r="M991" s="313" t="s">
        <v>5660</v>
      </c>
      <c r="N991" s="169" t="s">
        <v>5661</v>
      </c>
      <c r="O991" s="169" t="s">
        <v>3037</v>
      </c>
      <c r="P991" s="168" t="s">
        <v>3112</v>
      </c>
      <c r="Q991" s="173"/>
      <c r="R991" s="167">
        <v>150000.0</v>
      </c>
      <c r="S991" s="173"/>
      <c r="T991" s="173"/>
      <c r="U991" s="173"/>
      <c r="V991" s="168" t="s">
        <v>3883</v>
      </c>
      <c r="W991" s="169"/>
      <c r="X991" s="219">
        <v>45608.0</v>
      </c>
    </row>
    <row r="992" ht="15.0" customHeight="1">
      <c r="A992" s="127">
        <v>45604.0</v>
      </c>
      <c r="B992" s="181" t="s">
        <v>5662</v>
      </c>
      <c r="C992" s="56" t="s">
        <v>3118</v>
      </c>
      <c r="D992" s="73" t="str">
        <f>IFERROR(VLOOKUP(C992,Stock,3,FALSE),"")</f>
        <v>Toyota Hilux Pickup 15- (Revo)</v>
      </c>
      <c r="E992" s="56">
        <v>1.0</v>
      </c>
      <c r="F992" s="161">
        <v>1800000.0</v>
      </c>
      <c r="G992" s="162">
        <f t="shared" si="21"/>
        <v>1800000</v>
      </c>
      <c r="H992" s="194"/>
      <c r="I992" s="204">
        <f t="shared" si="22"/>
        <v>1800000</v>
      </c>
      <c r="J992" s="164">
        <f t="shared" si="23"/>
        <v>1800000</v>
      </c>
      <c r="K992" s="310" t="s">
        <v>5663</v>
      </c>
      <c r="L992" s="165" t="s">
        <v>5664</v>
      </c>
      <c r="M992" s="313" t="s">
        <v>5665</v>
      </c>
      <c r="N992" s="169" t="s">
        <v>5666</v>
      </c>
      <c r="O992" s="316" t="s">
        <v>2958</v>
      </c>
      <c r="P992" s="168" t="s">
        <v>3112</v>
      </c>
      <c r="Q992" s="173"/>
      <c r="R992" s="167">
        <v>1800000.0</v>
      </c>
      <c r="S992" s="173"/>
      <c r="T992" s="173"/>
      <c r="U992" s="173"/>
      <c r="V992" s="168" t="s">
        <v>4258</v>
      </c>
      <c r="W992" s="169"/>
      <c r="X992" s="219">
        <v>45608.0</v>
      </c>
    </row>
    <row r="993" ht="15.0" customHeight="1">
      <c r="A993" s="127">
        <v>45604.0</v>
      </c>
      <c r="B993" s="181" t="s">
        <v>5662</v>
      </c>
      <c r="C993" s="56" t="s">
        <v>3513</v>
      </c>
      <c r="D993" s="73" t="str">
        <f>IFERROR(VLOOKUP(C993,Stock,3,FALSE),"")</f>
        <v>Lembur</v>
      </c>
      <c r="E993" s="56">
        <v>1.0</v>
      </c>
      <c r="F993" s="161">
        <v>100000.0</v>
      </c>
      <c r="G993" s="162">
        <f t="shared" si="21"/>
        <v>100000</v>
      </c>
      <c r="H993" s="194"/>
      <c r="I993" s="204">
        <f t="shared" si="22"/>
        <v>100000</v>
      </c>
      <c r="J993" s="164">
        <f t="shared" si="23"/>
        <v>100000</v>
      </c>
      <c r="K993" s="310" t="s">
        <v>5663</v>
      </c>
      <c r="L993" s="165" t="s">
        <v>5664</v>
      </c>
      <c r="M993" s="313" t="s">
        <v>5665</v>
      </c>
      <c r="N993" s="169" t="s">
        <v>5666</v>
      </c>
      <c r="O993" s="316" t="s">
        <v>2958</v>
      </c>
      <c r="P993" s="168" t="s">
        <v>3112</v>
      </c>
      <c r="Q993" s="173"/>
      <c r="R993" s="167">
        <v>100000.0</v>
      </c>
      <c r="S993" s="173"/>
      <c r="T993" s="173"/>
      <c r="U993" s="173"/>
      <c r="V993" s="168" t="s">
        <v>4258</v>
      </c>
      <c r="W993" s="169"/>
      <c r="X993" s="219">
        <v>45608.0</v>
      </c>
    </row>
    <row r="994" ht="15.0" customHeight="1">
      <c r="A994" s="127">
        <v>45604.0</v>
      </c>
      <c r="B994" s="181" t="s">
        <v>5667</v>
      </c>
      <c r="C994" s="251" t="s">
        <v>3376</v>
      </c>
      <c r="D994" s="73" t="str">
        <f>IFERROR(VLOOKUP(C994,Stock,3,FALSE),"")</f>
        <v>Toyota Hi-Ace 04-20 Commuter</v>
      </c>
      <c r="E994" s="56">
        <v>1.0</v>
      </c>
      <c r="F994" s="161">
        <v>818000.0</v>
      </c>
      <c r="G994" s="162">
        <f t="shared" si="21"/>
        <v>818000</v>
      </c>
      <c r="H994" s="201">
        <v>81800.0</v>
      </c>
      <c r="I994" s="204">
        <f t="shared" si="22"/>
        <v>736200</v>
      </c>
      <c r="J994" s="164">
        <f t="shared" si="23"/>
        <v>736200</v>
      </c>
      <c r="K994" s="56" t="s">
        <v>5668</v>
      </c>
      <c r="L994" s="165" t="s">
        <v>5664</v>
      </c>
      <c r="M994" s="73"/>
      <c r="N994" s="171"/>
      <c r="O994" s="316" t="s">
        <v>2958</v>
      </c>
      <c r="P994" s="168" t="s">
        <v>3112</v>
      </c>
      <c r="Q994" s="173"/>
      <c r="R994" s="173"/>
      <c r="S994" s="173"/>
      <c r="T994" s="173"/>
      <c r="U994" s="173"/>
      <c r="V994" s="168" t="s">
        <v>3883</v>
      </c>
      <c r="W994" s="169"/>
      <c r="X994" s="323"/>
    </row>
    <row r="995" ht="15.0" customHeight="1">
      <c r="A995" s="127">
        <v>45604.0</v>
      </c>
      <c r="B995" s="181" t="s">
        <v>5667</v>
      </c>
      <c r="C995" s="251" t="s">
        <v>2934</v>
      </c>
      <c r="D995" s="73" t="str">
        <f>IFERROR(VLOOKUP(C995,Stock,3,FALSE),"")</f>
        <v>Peti Kayu</v>
      </c>
      <c r="E995" s="56">
        <v>1.0</v>
      </c>
      <c r="F995" s="161">
        <v>0.0</v>
      </c>
      <c r="G995" s="162">
        <f t="shared" si="21"/>
        <v>0</v>
      </c>
      <c r="H995" s="194"/>
      <c r="I995" s="204">
        <f t="shared" si="22"/>
        <v>0</v>
      </c>
      <c r="J995" s="164">
        <f t="shared" si="23"/>
        <v>0</v>
      </c>
      <c r="K995" s="56" t="s">
        <v>5668</v>
      </c>
      <c r="L995" s="165" t="s">
        <v>5664</v>
      </c>
      <c r="M995" s="73"/>
      <c r="N995" s="171"/>
      <c r="O995" s="316" t="s">
        <v>2958</v>
      </c>
      <c r="P995" s="168" t="s">
        <v>3112</v>
      </c>
      <c r="Q995" s="173"/>
      <c r="R995" s="173"/>
      <c r="S995" s="173"/>
      <c r="T995" s="173"/>
      <c r="U995" s="173"/>
      <c r="V995" s="168" t="s">
        <v>3883</v>
      </c>
      <c r="W995" s="169"/>
      <c r="X995" s="323"/>
    </row>
    <row r="996" ht="15.0" customHeight="1">
      <c r="A996" s="127">
        <v>45605.0</v>
      </c>
      <c r="B996" s="181" t="s">
        <v>5669</v>
      </c>
      <c r="C996" s="56" t="s">
        <v>3493</v>
      </c>
      <c r="D996" s="73" t="str">
        <f>IFERROR(VLOOKUP(C996,Stock,3,FALSE),"")</f>
        <v>Nissan Livina 07-18 L10/L11</v>
      </c>
      <c r="E996" s="56">
        <v>1.0</v>
      </c>
      <c r="F996" s="161">
        <v>1442000.0</v>
      </c>
      <c r="G996" s="162">
        <f t="shared" si="21"/>
        <v>1442000</v>
      </c>
      <c r="H996" s="194"/>
      <c r="I996" s="204">
        <f t="shared" si="22"/>
        <v>1442000</v>
      </c>
      <c r="J996" s="164">
        <f t="shared" si="23"/>
        <v>1442000</v>
      </c>
      <c r="K996" s="56" t="s">
        <v>5670</v>
      </c>
      <c r="L996" s="165" t="s">
        <v>5671</v>
      </c>
      <c r="M996" s="73"/>
      <c r="N996" s="169" t="s">
        <v>5672</v>
      </c>
      <c r="O996" s="169" t="s">
        <v>4280</v>
      </c>
      <c r="P996" s="168" t="s">
        <v>3112</v>
      </c>
      <c r="Q996" s="173"/>
      <c r="R996" s="167">
        <v>1442000.0</v>
      </c>
      <c r="S996" s="173"/>
      <c r="T996" s="173"/>
      <c r="U996" s="173"/>
      <c r="V996" s="168" t="s">
        <v>3883</v>
      </c>
      <c r="W996" s="169"/>
      <c r="X996" s="219">
        <v>45608.0</v>
      </c>
    </row>
    <row r="997" ht="15.0" customHeight="1">
      <c r="A997" s="127">
        <v>45605.0</v>
      </c>
      <c r="B997" s="181" t="s">
        <v>5673</v>
      </c>
      <c r="C997" s="56" t="s">
        <v>2565</v>
      </c>
      <c r="D997" s="73" t="str">
        <f>IFERROR(VLOOKUP(C997,Stock,3,FALSE),"")</f>
        <v>Toyota Avanza / Xenia 03-11 1st Gen</v>
      </c>
      <c r="E997" s="56">
        <v>1.0</v>
      </c>
      <c r="F997" s="161">
        <v>1050000.0</v>
      </c>
      <c r="G997" s="162">
        <f t="shared" si="21"/>
        <v>1050000</v>
      </c>
      <c r="H997" s="194"/>
      <c r="I997" s="204">
        <f t="shared" si="22"/>
        <v>1050000</v>
      </c>
      <c r="J997" s="164">
        <f t="shared" si="23"/>
        <v>1050000</v>
      </c>
      <c r="K997" s="310" t="s">
        <v>5674</v>
      </c>
      <c r="L997" s="165" t="s">
        <v>5675</v>
      </c>
      <c r="M997" s="313" t="s">
        <v>5676</v>
      </c>
      <c r="N997" s="289" t="s">
        <v>5677</v>
      </c>
      <c r="O997" s="169" t="s">
        <v>2958</v>
      </c>
      <c r="P997" s="168" t="s">
        <v>3112</v>
      </c>
      <c r="Q997" s="167">
        <v>1050000.0</v>
      </c>
      <c r="R997" s="173"/>
      <c r="S997" s="173"/>
      <c r="T997" s="173"/>
      <c r="U997" s="173"/>
      <c r="V997" s="168" t="s">
        <v>4258</v>
      </c>
      <c r="W997" s="169"/>
      <c r="X997" s="219">
        <v>45608.0</v>
      </c>
    </row>
    <row r="998" ht="15.0" customHeight="1">
      <c r="A998" s="127">
        <v>45605.0</v>
      </c>
      <c r="B998" s="181" t="s">
        <v>5678</v>
      </c>
      <c r="C998" s="56" t="s">
        <v>3837</v>
      </c>
      <c r="D998" s="73" t="str">
        <f>IFERROR(VLOOKUP(C998,Stock,3,FALSE),"")</f>
        <v>Toyota Yaris 13- 2nd Gen / Vios 14- 3rd Gen</v>
      </c>
      <c r="E998" s="56">
        <v>1.0</v>
      </c>
      <c r="F998" s="161">
        <v>1419000.0</v>
      </c>
      <c r="G998" s="162">
        <f t="shared" si="21"/>
        <v>1419000</v>
      </c>
      <c r="H998" s="194"/>
      <c r="I998" s="204">
        <f t="shared" si="22"/>
        <v>1419000</v>
      </c>
      <c r="J998" s="164">
        <f t="shared" si="23"/>
        <v>1419000</v>
      </c>
      <c r="K998" s="310" t="s">
        <v>5679</v>
      </c>
      <c r="L998" s="165" t="s">
        <v>5680</v>
      </c>
      <c r="M998" s="73"/>
      <c r="N998" s="171"/>
      <c r="O998" s="169" t="s">
        <v>3213</v>
      </c>
      <c r="P998" s="168" t="s">
        <v>3112</v>
      </c>
      <c r="Q998" s="173"/>
      <c r="R998" s="167">
        <v>1419000.0</v>
      </c>
      <c r="S998" s="173"/>
      <c r="T998" s="173"/>
      <c r="U998" s="173"/>
      <c r="V998" s="168" t="s">
        <v>3883</v>
      </c>
      <c r="W998" s="169"/>
      <c r="X998" s="219">
        <v>45608.0</v>
      </c>
    </row>
    <row r="999" ht="15.0" customHeight="1">
      <c r="A999" s="127">
        <v>45605.0</v>
      </c>
      <c r="B999" s="181" t="s">
        <v>5681</v>
      </c>
      <c r="C999" s="56" t="s">
        <v>2835</v>
      </c>
      <c r="D999" s="73" t="str">
        <f>IFERROR(VLOOKUP(C999,Stock,3,FALSE),"")</f>
        <v>Toyota Vios 13-17 3rd Gen / Yaris 13- 2nd Gen XP150 / Yaris 18- 3rd Gen XP151</v>
      </c>
      <c r="E999" s="56">
        <v>1.0</v>
      </c>
      <c r="F999" s="161">
        <v>685000.0</v>
      </c>
      <c r="G999" s="162">
        <f t="shared" si="21"/>
        <v>685000</v>
      </c>
      <c r="H999" s="194"/>
      <c r="I999" s="204">
        <f t="shared" si="22"/>
        <v>685000</v>
      </c>
      <c r="J999" s="164">
        <f t="shared" si="23"/>
        <v>685000</v>
      </c>
      <c r="K999" s="310" t="s">
        <v>5679</v>
      </c>
      <c r="L999" s="165" t="s">
        <v>5680</v>
      </c>
      <c r="M999" s="73"/>
      <c r="N999" s="171"/>
      <c r="O999" s="169" t="s">
        <v>3213</v>
      </c>
      <c r="P999" s="168" t="s">
        <v>3112</v>
      </c>
      <c r="Q999" s="167">
        <v>685000.0</v>
      </c>
      <c r="R999" s="167"/>
      <c r="S999" s="173"/>
      <c r="T999" s="173"/>
      <c r="U999" s="173"/>
      <c r="V999" s="168" t="s">
        <v>3883</v>
      </c>
      <c r="W999" s="169"/>
      <c r="X999" s="219">
        <v>45614.0</v>
      </c>
    </row>
    <row r="1000" ht="15.0" customHeight="1">
      <c r="A1000" s="127">
        <v>45605.0</v>
      </c>
      <c r="B1000" s="181" t="s">
        <v>5681</v>
      </c>
      <c r="C1000" s="251" t="s">
        <v>2833</v>
      </c>
      <c r="D1000" s="73" t="str">
        <f>IFERROR(VLOOKUP(C1000,Stock,3,FALSE),"")</f>
        <v>Toyota Vios 13-17 3rd Gen / Yaris 13- 2nd Gen XP150 / Yaris 18- 3rd Gen XP151</v>
      </c>
      <c r="E1000" s="56">
        <v>1.0</v>
      </c>
      <c r="F1000" s="161">
        <v>685000.0</v>
      </c>
      <c r="G1000" s="162">
        <f t="shared" si="21"/>
        <v>685000</v>
      </c>
      <c r="H1000" s="194"/>
      <c r="I1000" s="204">
        <f t="shared" si="22"/>
        <v>685000</v>
      </c>
      <c r="J1000" s="164">
        <f t="shared" si="23"/>
        <v>685000</v>
      </c>
      <c r="K1000" s="310" t="s">
        <v>5679</v>
      </c>
      <c r="L1000" s="165" t="s">
        <v>5680</v>
      </c>
      <c r="M1000" s="73"/>
      <c r="N1000" s="171"/>
      <c r="O1000" s="169" t="s">
        <v>3213</v>
      </c>
      <c r="P1000" s="168" t="s">
        <v>3112</v>
      </c>
      <c r="Q1000" s="167">
        <v>685000.0</v>
      </c>
      <c r="R1000" s="173"/>
      <c r="S1000" s="173"/>
      <c r="T1000" s="173"/>
      <c r="U1000" s="173"/>
      <c r="V1000" s="168" t="s">
        <v>3883</v>
      </c>
      <c r="W1000" s="169"/>
      <c r="X1000" s="219">
        <v>45614.0</v>
      </c>
    </row>
    <row r="1001" ht="15.0" customHeight="1">
      <c r="A1001" s="127">
        <v>45605.0</v>
      </c>
      <c r="B1001" s="181" t="s">
        <v>5681</v>
      </c>
      <c r="C1001" s="169" t="s">
        <v>2849</v>
      </c>
      <c r="D1001" s="73" t="str">
        <f>IFERROR(VLOOKUP(C1001,Stock,3,FALSE),"")</f>
        <v>Toyota Yaris 13- 2nd Gen XP150 / 18- 3rd Gen XP151</v>
      </c>
      <c r="E1001" s="56">
        <v>1.0</v>
      </c>
      <c r="F1001" s="161">
        <v>530000.0</v>
      </c>
      <c r="G1001" s="162">
        <f t="shared" si="21"/>
        <v>530000</v>
      </c>
      <c r="H1001" s="194"/>
      <c r="I1001" s="204">
        <f t="shared" si="22"/>
        <v>530000</v>
      </c>
      <c r="J1001" s="164">
        <f t="shared" si="23"/>
        <v>530000</v>
      </c>
      <c r="K1001" s="310" t="s">
        <v>5679</v>
      </c>
      <c r="L1001" s="165" t="s">
        <v>5680</v>
      </c>
      <c r="M1001" s="73"/>
      <c r="N1001" s="171"/>
      <c r="O1001" s="169" t="s">
        <v>3213</v>
      </c>
      <c r="P1001" s="168" t="s">
        <v>3112</v>
      </c>
      <c r="Q1001" s="167">
        <v>530000.0</v>
      </c>
      <c r="R1001" s="173"/>
      <c r="S1001" s="173"/>
      <c r="T1001" s="173"/>
      <c r="U1001" s="173"/>
      <c r="V1001" s="168" t="s">
        <v>3883</v>
      </c>
      <c r="W1001" s="169"/>
      <c r="X1001" s="219">
        <v>45614.0</v>
      </c>
    </row>
    <row r="1002" ht="15.0" customHeight="1">
      <c r="A1002" s="127">
        <v>45605.0</v>
      </c>
      <c r="B1002" s="181" t="s">
        <v>5682</v>
      </c>
      <c r="C1002" s="251" t="s">
        <v>5683</v>
      </c>
      <c r="D1002" s="73" t="str">
        <f>IFERROR(VLOOKUP(C1002,Stock,3,FALSE),"")</f>
        <v>Wuling Cortez</v>
      </c>
      <c r="E1002" s="56">
        <v>1.0</v>
      </c>
      <c r="F1002" s="161">
        <v>2187000.0</v>
      </c>
      <c r="G1002" s="162">
        <f t="shared" si="21"/>
        <v>2187000</v>
      </c>
      <c r="H1002" s="194"/>
      <c r="I1002" s="204">
        <f t="shared" si="22"/>
        <v>2187000</v>
      </c>
      <c r="J1002" s="164">
        <f t="shared" si="23"/>
        <v>2187000</v>
      </c>
      <c r="K1002" s="315" t="s">
        <v>5684</v>
      </c>
      <c r="L1002" s="165" t="s">
        <v>5685</v>
      </c>
      <c r="M1002" s="313" t="s">
        <v>5686</v>
      </c>
      <c r="N1002" s="169" t="s">
        <v>5687</v>
      </c>
      <c r="O1002" s="169" t="s">
        <v>2958</v>
      </c>
      <c r="P1002" s="168" t="s">
        <v>3112</v>
      </c>
      <c r="Q1002" s="173"/>
      <c r="R1002" s="167">
        <v>2187000.0</v>
      </c>
      <c r="S1002" s="173"/>
      <c r="T1002" s="173"/>
      <c r="U1002" s="173"/>
      <c r="V1002" s="168" t="s">
        <v>3883</v>
      </c>
      <c r="W1002" s="169"/>
      <c r="X1002" s="219">
        <v>45608.0</v>
      </c>
    </row>
    <row r="1003" ht="15.0" customHeight="1">
      <c r="A1003" s="127">
        <v>45605.0</v>
      </c>
      <c r="B1003" s="181" t="s">
        <v>5688</v>
      </c>
      <c r="C1003" s="251" t="s">
        <v>2643</v>
      </c>
      <c r="D1003" s="73" t="str">
        <f>IFERROR(VLOOKUP(C1003,Stock,3,FALSE),"")</f>
        <v>Toyota Vios 07-13 XP90 2nd Gen</v>
      </c>
      <c r="E1003" s="56">
        <v>1.0</v>
      </c>
      <c r="F1003" s="161">
        <v>1483000.0</v>
      </c>
      <c r="G1003" s="162">
        <f t="shared" si="21"/>
        <v>1483000</v>
      </c>
      <c r="H1003" s="194"/>
      <c r="I1003" s="204">
        <f t="shared" si="22"/>
        <v>1483000</v>
      </c>
      <c r="J1003" s="164">
        <f t="shared" si="23"/>
        <v>1483000</v>
      </c>
      <c r="K1003" s="310" t="s">
        <v>5689</v>
      </c>
      <c r="L1003" s="165" t="s">
        <v>5690</v>
      </c>
      <c r="M1003" s="73"/>
      <c r="N1003" s="169" t="s">
        <v>5691</v>
      </c>
      <c r="O1003" s="169" t="s">
        <v>3213</v>
      </c>
      <c r="P1003" s="168" t="s">
        <v>3112</v>
      </c>
      <c r="Q1003" s="173"/>
      <c r="R1003" s="167">
        <v>1483000.0</v>
      </c>
      <c r="S1003" s="173"/>
      <c r="T1003" s="173"/>
      <c r="U1003" s="173"/>
      <c r="V1003" s="168" t="s">
        <v>3799</v>
      </c>
      <c r="W1003" s="169"/>
      <c r="X1003" s="219">
        <v>45608.0</v>
      </c>
    </row>
    <row r="1004" ht="15.0" customHeight="1">
      <c r="A1004" s="127">
        <v>45605.0</v>
      </c>
      <c r="B1004" s="181" t="s">
        <v>5692</v>
      </c>
      <c r="C1004" s="251" t="s">
        <v>3411</v>
      </c>
      <c r="D1004" s="73" t="str">
        <f>IFERROR(VLOOKUP(C1004,Stock,3,FALSE),"")</f>
        <v>Toyota Agya/Ayla 13-22 1st Gen</v>
      </c>
      <c r="E1004" s="56">
        <v>1.0</v>
      </c>
      <c r="F1004" s="161">
        <v>1020000.0</v>
      </c>
      <c r="G1004" s="162">
        <f t="shared" si="21"/>
        <v>1020000</v>
      </c>
      <c r="H1004" s="194"/>
      <c r="I1004" s="204">
        <f t="shared" si="22"/>
        <v>1020000</v>
      </c>
      <c r="J1004" s="164">
        <f t="shared" si="23"/>
        <v>1020000</v>
      </c>
      <c r="K1004" s="315" t="s">
        <v>5693</v>
      </c>
      <c r="L1004" s="165" t="s">
        <v>5694</v>
      </c>
      <c r="M1004" s="313" t="s">
        <v>5695</v>
      </c>
      <c r="N1004" s="289" t="s">
        <v>5696</v>
      </c>
      <c r="O1004" s="169" t="s">
        <v>2958</v>
      </c>
      <c r="P1004" s="168" t="s">
        <v>3112</v>
      </c>
      <c r="Q1004" s="173"/>
      <c r="R1004" s="167">
        <v>1020000.0</v>
      </c>
      <c r="S1004" s="173"/>
      <c r="T1004" s="173"/>
      <c r="U1004" s="173"/>
      <c r="V1004" s="168" t="s">
        <v>3799</v>
      </c>
      <c r="W1004" s="169"/>
      <c r="X1004" s="219">
        <v>45608.0</v>
      </c>
    </row>
    <row r="1005" ht="15.0" customHeight="1">
      <c r="A1005" s="127">
        <v>45605.0</v>
      </c>
      <c r="B1005" s="181" t="s">
        <v>5697</v>
      </c>
      <c r="C1005" s="56" t="s">
        <v>2565</v>
      </c>
      <c r="D1005" s="73" t="str">
        <f>IFERROR(VLOOKUP(C1005,Stock,3,FALSE),"")</f>
        <v>Toyota Avanza / Xenia 03-11 1st Gen</v>
      </c>
      <c r="E1005" s="56">
        <v>1.0</v>
      </c>
      <c r="F1005" s="161">
        <v>1020000.0</v>
      </c>
      <c r="G1005" s="162">
        <f t="shared" si="21"/>
        <v>1020000</v>
      </c>
      <c r="H1005" s="194"/>
      <c r="I1005" s="204">
        <f t="shared" si="22"/>
        <v>1020000</v>
      </c>
      <c r="J1005" s="164">
        <f t="shared" si="23"/>
        <v>1020000</v>
      </c>
      <c r="K1005" s="310" t="s">
        <v>5698</v>
      </c>
      <c r="L1005" s="165" t="s">
        <v>5699</v>
      </c>
      <c r="M1005" s="73"/>
      <c r="N1005" s="289" t="s">
        <v>5700</v>
      </c>
      <c r="O1005" s="169" t="s">
        <v>2958</v>
      </c>
      <c r="P1005" s="168" t="s">
        <v>3112</v>
      </c>
      <c r="Q1005" s="173"/>
      <c r="R1005" s="167">
        <v>1020000.0</v>
      </c>
      <c r="S1005" s="173"/>
      <c r="T1005" s="173"/>
      <c r="U1005" s="173"/>
      <c r="V1005" s="168" t="s">
        <v>3883</v>
      </c>
      <c r="W1005" s="169"/>
      <c r="X1005" s="219">
        <v>45608.0</v>
      </c>
    </row>
    <row r="1006" ht="15.0" customHeight="1">
      <c r="A1006" s="127">
        <v>45606.0</v>
      </c>
      <c r="B1006" s="181" t="s">
        <v>5701</v>
      </c>
      <c r="C1006" s="56" t="s">
        <v>2562</v>
      </c>
      <c r="D1006" s="73" t="str">
        <f>IFERROR(VLOOKUP(C1006,Stock,3,FALSE),"")</f>
        <v>Toyota Avanza / Xenia 15-21 3rd Gen</v>
      </c>
      <c r="E1006" s="56">
        <v>1.0</v>
      </c>
      <c r="F1006" s="161">
        <v>1120000.0</v>
      </c>
      <c r="G1006" s="162">
        <f t="shared" si="21"/>
        <v>1120000</v>
      </c>
      <c r="H1006" s="194"/>
      <c r="I1006" s="204">
        <f t="shared" si="22"/>
        <v>1120000</v>
      </c>
      <c r="J1006" s="164">
        <f t="shared" si="23"/>
        <v>1120000</v>
      </c>
      <c r="K1006" s="56" t="s">
        <v>5702</v>
      </c>
      <c r="L1006" s="165" t="s">
        <v>5703</v>
      </c>
      <c r="M1006" s="313" t="s">
        <v>5704</v>
      </c>
      <c r="N1006" s="169" t="s">
        <v>5705</v>
      </c>
      <c r="O1006" s="169" t="s">
        <v>3213</v>
      </c>
      <c r="P1006" s="168" t="s">
        <v>3112</v>
      </c>
      <c r="Q1006" s="167">
        <v>1150000.0</v>
      </c>
      <c r="R1006" s="173"/>
      <c r="S1006" s="173"/>
      <c r="T1006" s="173"/>
      <c r="U1006" s="167">
        <v>30000.0</v>
      </c>
      <c r="V1006" s="168" t="s">
        <v>3883</v>
      </c>
      <c r="W1006" s="169"/>
      <c r="X1006" s="219">
        <v>45608.0</v>
      </c>
    </row>
    <row r="1007" ht="15.0" customHeight="1">
      <c r="A1007" s="127">
        <v>45606.0</v>
      </c>
      <c r="B1007" s="181" t="s">
        <v>5706</v>
      </c>
      <c r="C1007" s="56" t="s">
        <v>2919</v>
      </c>
      <c r="D1007" s="73" t="str">
        <f>IFERROR(VLOOKUP(C1007,Stock,3,FALSE),"")</f>
        <v>Toyota Innova 04-15 1st Gen</v>
      </c>
      <c r="E1007" s="56">
        <v>1.0</v>
      </c>
      <c r="F1007" s="161">
        <v>2640000.0</v>
      </c>
      <c r="G1007" s="162">
        <f t="shared" si="21"/>
        <v>2640000</v>
      </c>
      <c r="H1007" s="194"/>
      <c r="I1007" s="204">
        <f t="shared" si="22"/>
        <v>2640000</v>
      </c>
      <c r="J1007" s="164">
        <f t="shared" si="23"/>
        <v>2640000</v>
      </c>
      <c r="K1007" s="56" t="s">
        <v>5707</v>
      </c>
      <c r="L1007" s="165" t="s">
        <v>5703</v>
      </c>
      <c r="M1007" s="313" t="s">
        <v>5708</v>
      </c>
      <c r="N1007" s="169" t="s">
        <v>5709</v>
      </c>
      <c r="O1007" s="169" t="s">
        <v>2958</v>
      </c>
      <c r="P1007" s="168" t="s">
        <v>3112</v>
      </c>
      <c r="Q1007" s="167">
        <v>2700000.0</v>
      </c>
      <c r="R1007" s="173"/>
      <c r="S1007" s="173"/>
      <c r="T1007" s="173"/>
      <c r="U1007" s="167">
        <v>60000.0</v>
      </c>
      <c r="V1007" s="168" t="s">
        <v>3883</v>
      </c>
      <c r="W1007" s="169"/>
      <c r="X1007" s="219">
        <v>45608.0</v>
      </c>
    </row>
    <row r="1008" ht="15.0" customHeight="1">
      <c r="A1008" s="127">
        <v>45606.0</v>
      </c>
      <c r="B1008" s="181" t="s">
        <v>5710</v>
      </c>
      <c r="C1008" s="251" t="s">
        <v>2670</v>
      </c>
      <c r="D1008" s="73" t="str">
        <f>IFERROR(VLOOKUP(C1008,Stock,3,FALSE),"")</f>
        <v>Honda City 02-08 4th Gen Idsi GD8</v>
      </c>
      <c r="E1008" s="56">
        <v>1.0</v>
      </c>
      <c r="F1008" s="161">
        <v>1821000.0</v>
      </c>
      <c r="G1008" s="162">
        <f t="shared" si="21"/>
        <v>1821000</v>
      </c>
      <c r="H1008" s="194"/>
      <c r="I1008" s="204">
        <f t="shared" si="22"/>
        <v>1821000</v>
      </c>
      <c r="J1008" s="164">
        <f t="shared" si="23"/>
        <v>1821000</v>
      </c>
      <c r="K1008" s="56" t="s">
        <v>5711</v>
      </c>
      <c r="L1008" s="165" t="s">
        <v>5712</v>
      </c>
      <c r="M1008" s="56" t="s">
        <v>5713</v>
      </c>
      <c r="N1008" s="169" t="s">
        <v>5714</v>
      </c>
      <c r="O1008" s="169" t="s">
        <v>2958</v>
      </c>
      <c r="P1008" s="168" t="s">
        <v>3112</v>
      </c>
      <c r="Q1008" s="173"/>
      <c r="R1008" s="173"/>
      <c r="S1008" s="167">
        <v>1821000.0</v>
      </c>
      <c r="T1008" s="167">
        <v>145680.0</v>
      </c>
      <c r="U1008" s="173"/>
      <c r="V1008" s="168" t="s">
        <v>3883</v>
      </c>
      <c r="W1008" s="169"/>
      <c r="X1008" s="169" t="s">
        <v>5715</v>
      </c>
    </row>
    <row r="1009" ht="15.0" customHeight="1">
      <c r="A1009" s="127">
        <v>45606.0</v>
      </c>
      <c r="B1009" s="181" t="s">
        <v>5710</v>
      </c>
      <c r="C1009" s="251" t="s">
        <v>3045</v>
      </c>
      <c r="D1009" s="73" t="str">
        <f>IFERROR(VLOOKUP(C1009,Stock,3,FALSE),"")</f>
        <v>Pemasangan Kaca Mobil Depan</v>
      </c>
      <c r="E1009" s="56">
        <v>1.0</v>
      </c>
      <c r="F1009" s="161">
        <v>400000.0</v>
      </c>
      <c r="G1009" s="162">
        <f t="shared" si="21"/>
        <v>400000</v>
      </c>
      <c r="H1009" s="201">
        <v>50000.0</v>
      </c>
      <c r="I1009" s="204">
        <f t="shared" si="22"/>
        <v>350000</v>
      </c>
      <c r="J1009" s="164">
        <f t="shared" si="23"/>
        <v>350000</v>
      </c>
      <c r="K1009" s="56" t="s">
        <v>5711</v>
      </c>
      <c r="L1009" s="165" t="s">
        <v>5712</v>
      </c>
      <c r="M1009" s="56" t="s">
        <v>5713</v>
      </c>
      <c r="N1009" s="169" t="s">
        <v>5714</v>
      </c>
      <c r="O1009" s="169" t="s">
        <v>2958</v>
      </c>
      <c r="P1009" s="168" t="s">
        <v>3112</v>
      </c>
      <c r="Q1009" s="167">
        <v>350000.0</v>
      </c>
      <c r="R1009" s="173"/>
      <c r="S1009" s="173"/>
      <c r="T1009" s="173"/>
      <c r="U1009" s="167"/>
      <c r="V1009" s="168" t="s">
        <v>3883</v>
      </c>
      <c r="W1009" s="169"/>
      <c r="X1009" s="219">
        <v>45614.0</v>
      </c>
    </row>
    <row r="1010" ht="15.0" customHeight="1">
      <c r="A1010" s="127">
        <v>45606.0</v>
      </c>
      <c r="B1010" s="181" t="s">
        <v>5716</v>
      </c>
      <c r="C1010" s="56" t="s">
        <v>3795</v>
      </c>
      <c r="D1010" s="73" t="str">
        <f>IFERROR(VLOOKUP(C1010,Stock,3,FALSE),"")</f>
        <v>Toyota Innova 04-15 1st Gen</v>
      </c>
      <c r="E1010" s="56">
        <v>1.0</v>
      </c>
      <c r="F1010" s="161">
        <v>1319000.0</v>
      </c>
      <c r="G1010" s="162">
        <f t="shared" si="21"/>
        <v>1319000</v>
      </c>
      <c r="H1010" s="194"/>
      <c r="I1010" s="204">
        <f t="shared" si="22"/>
        <v>1319000</v>
      </c>
      <c r="J1010" s="164">
        <f t="shared" si="23"/>
        <v>1319000</v>
      </c>
      <c r="K1010" s="56" t="s">
        <v>5717</v>
      </c>
      <c r="L1010" s="165" t="s">
        <v>5718</v>
      </c>
      <c r="M1010" s="56" t="s">
        <v>5719</v>
      </c>
      <c r="N1010" s="169" t="s">
        <v>5720</v>
      </c>
      <c r="O1010" s="169" t="s">
        <v>3213</v>
      </c>
      <c r="P1010" s="168" t="s">
        <v>3054</v>
      </c>
      <c r="Q1010" s="173"/>
      <c r="R1010" s="167">
        <v>1319000.0</v>
      </c>
      <c r="S1010" s="173"/>
      <c r="T1010" s="173"/>
      <c r="U1010" s="173"/>
      <c r="V1010" s="168" t="s">
        <v>3883</v>
      </c>
      <c r="W1010" s="169"/>
      <c r="X1010" s="219">
        <v>45608.0</v>
      </c>
    </row>
    <row r="1011" ht="15.0" customHeight="1">
      <c r="A1011" s="127">
        <v>45606.0</v>
      </c>
      <c r="B1011" s="181" t="s">
        <v>5721</v>
      </c>
      <c r="C1011" s="56" t="s">
        <v>3127</v>
      </c>
      <c r="D1011" s="73" t="str">
        <f>IFERROR(VLOOKUP(C1011,Stock,3,FALSE),"")</f>
        <v>Toyota Avanza / Xenia 03-11 1st Gen</v>
      </c>
      <c r="E1011" s="56">
        <v>1.0</v>
      </c>
      <c r="F1011" s="161">
        <v>880000.0</v>
      </c>
      <c r="G1011" s="162">
        <f t="shared" si="21"/>
        <v>880000</v>
      </c>
      <c r="H1011" s="194"/>
      <c r="I1011" s="204">
        <f t="shared" si="22"/>
        <v>880000</v>
      </c>
      <c r="J1011" s="164">
        <f t="shared" si="23"/>
        <v>880000</v>
      </c>
      <c r="K1011" s="56" t="s">
        <v>5722</v>
      </c>
      <c r="L1011" s="165" t="s">
        <v>5723</v>
      </c>
      <c r="M1011" s="313" t="s">
        <v>5724</v>
      </c>
      <c r="N1011" s="169" t="s">
        <v>5725</v>
      </c>
      <c r="O1011" s="169" t="s">
        <v>4308</v>
      </c>
      <c r="P1011" s="168" t="s">
        <v>3054</v>
      </c>
      <c r="Q1011" s="173"/>
      <c r="R1011" s="167">
        <v>880000.0</v>
      </c>
      <c r="S1011" s="173"/>
      <c r="T1011" s="173"/>
      <c r="U1011" s="173"/>
      <c r="V1011" s="168" t="s">
        <v>3883</v>
      </c>
      <c r="W1011" s="169"/>
      <c r="X1011" s="219">
        <v>45608.0</v>
      </c>
    </row>
    <row r="1012" ht="15.0" customHeight="1">
      <c r="A1012" s="127">
        <v>45607.0</v>
      </c>
      <c r="B1012" s="181" t="s">
        <v>5726</v>
      </c>
      <c r="C1012" s="56" t="s">
        <v>2541</v>
      </c>
      <c r="D1012" s="73" t="str">
        <f>IFERROR(VLOOKUP(C1012,Stock,3,FALSE),"")</f>
        <v>Nissan Datsun Go/Go+ 14- (5-Seater)</v>
      </c>
      <c r="E1012" s="56">
        <v>1.0</v>
      </c>
      <c r="F1012" s="161">
        <v>1378000.0</v>
      </c>
      <c r="G1012" s="162">
        <f t="shared" si="21"/>
        <v>1378000</v>
      </c>
      <c r="H1012" s="194"/>
      <c r="I1012" s="204">
        <f t="shared" si="22"/>
        <v>1378000</v>
      </c>
      <c r="J1012" s="164">
        <f t="shared" si="23"/>
        <v>1378000</v>
      </c>
      <c r="K1012" s="228" t="s">
        <v>5727</v>
      </c>
      <c r="L1012" s="165" t="s">
        <v>5728</v>
      </c>
      <c r="M1012" s="56" t="s">
        <v>5729</v>
      </c>
      <c r="N1012" s="289" t="s">
        <v>5730</v>
      </c>
      <c r="O1012" s="316" t="s">
        <v>3037</v>
      </c>
      <c r="P1012" s="168" t="s">
        <v>3112</v>
      </c>
      <c r="Q1012" s="167">
        <v>1400000.0</v>
      </c>
      <c r="R1012" s="173"/>
      <c r="S1012" s="173"/>
      <c r="T1012" s="173"/>
      <c r="U1012" s="167">
        <v>22000.0</v>
      </c>
      <c r="V1012" s="168" t="s">
        <v>3883</v>
      </c>
      <c r="W1012" s="169"/>
      <c r="X1012" s="219">
        <v>45608.0</v>
      </c>
    </row>
    <row r="1013" ht="15.0" customHeight="1">
      <c r="A1013" s="127">
        <v>45607.0</v>
      </c>
      <c r="B1013" s="181" t="s">
        <v>5731</v>
      </c>
      <c r="C1013" s="56" t="s">
        <v>3342</v>
      </c>
      <c r="D1013" s="73" t="str">
        <f>IFERROR(VLOOKUP(C1013,Stock,3,FALSE),"")</f>
        <v>Toyota Hi-Ace 04-20 Commuter (Hitam)</v>
      </c>
      <c r="E1013" s="56">
        <v>1.0</v>
      </c>
      <c r="F1013" s="161">
        <v>2545600.0</v>
      </c>
      <c r="G1013" s="162">
        <f t="shared" si="21"/>
        <v>2545600</v>
      </c>
      <c r="H1013" s="194"/>
      <c r="I1013" s="204">
        <f t="shared" si="22"/>
        <v>2545600</v>
      </c>
      <c r="J1013" s="164">
        <f t="shared" si="23"/>
        <v>2545600</v>
      </c>
      <c r="K1013" s="56" t="s">
        <v>5732</v>
      </c>
      <c r="L1013" s="165" t="s">
        <v>5733</v>
      </c>
      <c r="M1013" s="73"/>
      <c r="N1013" s="171"/>
      <c r="O1013" s="169" t="s">
        <v>2958</v>
      </c>
      <c r="P1013" s="168" t="s">
        <v>5077</v>
      </c>
      <c r="Q1013" s="173"/>
      <c r="R1013" s="173"/>
      <c r="S1013" s="167">
        <v>2752000.0</v>
      </c>
      <c r="T1013" s="167">
        <v>206400.0</v>
      </c>
      <c r="U1013" s="173"/>
      <c r="V1013" s="168" t="s">
        <v>3883</v>
      </c>
      <c r="W1013" s="169"/>
      <c r="X1013" s="169" t="s">
        <v>5734</v>
      </c>
    </row>
    <row r="1014" ht="15.0" customHeight="1">
      <c r="A1014" s="127">
        <v>45607.0</v>
      </c>
      <c r="B1014" s="181" t="s">
        <v>5735</v>
      </c>
      <c r="C1014" s="56" t="s">
        <v>5736</v>
      </c>
      <c r="D1014" s="73" t="str">
        <f>IFERROR(VLOOKUP(C1014,Stock,3,FALSE),"")</f>
        <v>Toyota Fortuner 15-  2nd Gen</v>
      </c>
      <c r="E1014" s="56">
        <v>1.0</v>
      </c>
      <c r="F1014" s="161">
        <v>756000.0</v>
      </c>
      <c r="G1014" s="162">
        <f t="shared" si="21"/>
        <v>756000</v>
      </c>
      <c r="H1014" s="194"/>
      <c r="I1014" s="204">
        <f t="shared" si="22"/>
        <v>756000</v>
      </c>
      <c r="J1014" s="164">
        <f t="shared" si="23"/>
        <v>756000</v>
      </c>
      <c r="K1014" s="56" t="s">
        <v>5454</v>
      </c>
      <c r="L1014" s="165" t="s">
        <v>5737</v>
      </c>
      <c r="M1014" s="56" t="s">
        <v>5738</v>
      </c>
      <c r="N1014" s="169" t="s">
        <v>5739</v>
      </c>
      <c r="O1014" s="169" t="s">
        <v>2968</v>
      </c>
      <c r="P1014" s="168" t="s">
        <v>3112</v>
      </c>
      <c r="Q1014" s="173"/>
      <c r="R1014" s="167">
        <v>756000.0</v>
      </c>
      <c r="S1014" s="173"/>
      <c r="T1014" s="173"/>
      <c r="U1014" s="173"/>
      <c r="V1014" s="168" t="s">
        <v>3883</v>
      </c>
      <c r="W1014" s="169"/>
      <c r="X1014" s="219">
        <v>45608.0</v>
      </c>
    </row>
    <row r="1015" ht="15.0" customHeight="1">
      <c r="A1015" s="127">
        <v>45607.0</v>
      </c>
      <c r="B1015" s="181" t="s">
        <v>5740</v>
      </c>
      <c r="C1015" s="56" t="s">
        <v>4183</v>
      </c>
      <c r="D1015" s="73" t="str">
        <f>IFERROR(VLOOKUP(C1015,Stock,3,FALSE),"")</f>
        <v>Mitsubishi Xpander 17-21</v>
      </c>
      <c r="E1015" s="56">
        <v>1.0</v>
      </c>
      <c r="F1015" s="161">
        <v>980000.0</v>
      </c>
      <c r="G1015" s="162">
        <f t="shared" si="21"/>
        <v>980000</v>
      </c>
      <c r="H1015" s="194"/>
      <c r="I1015" s="204">
        <f t="shared" si="22"/>
        <v>980000</v>
      </c>
      <c r="J1015" s="164">
        <f t="shared" si="23"/>
        <v>980000</v>
      </c>
      <c r="K1015" s="56" t="s">
        <v>5741</v>
      </c>
      <c r="L1015" s="165" t="s">
        <v>5742</v>
      </c>
      <c r="M1015" s="313" t="s">
        <v>5743</v>
      </c>
      <c r="N1015" s="169" t="s">
        <v>5744</v>
      </c>
      <c r="O1015" s="324" t="s">
        <v>3715</v>
      </c>
      <c r="P1015" s="168" t="s">
        <v>3112</v>
      </c>
      <c r="Q1015" s="173"/>
      <c r="R1015" s="167">
        <v>980000.0</v>
      </c>
      <c r="S1015" s="173"/>
      <c r="T1015" s="173"/>
      <c r="U1015" s="173"/>
      <c r="V1015" s="168" t="s">
        <v>3883</v>
      </c>
      <c r="W1015" s="169"/>
      <c r="X1015" s="219">
        <v>45608.0</v>
      </c>
    </row>
    <row r="1016" ht="15.0" customHeight="1">
      <c r="A1016" s="127">
        <v>45608.0</v>
      </c>
      <c r="B1016" s="181" t="s">
        <v>5745</v>
      </c>
      <c r="C1016" s="56" t="s">
        <v>3181</v>
      </c>
      <c r="D1016" s="73" t="str">
        <f>IFERROR(VLOOKUP(C1016,Stock,3,FALSE),"")</f>
        <v>Toyota Corolla Cross 21-</v>
      </c>
      <c r="E1016" s="56">
        <v>1.0</v>
      </c>
      <c r="F1016" s="161">
        <v>4050000.0</v>
      </c>
      <c r="G1016" s="162">
        <f t="shared" si="21"/>
        <v>4050000</v>
      </c>
      <c r="H1016" s="194"/>
      <c r="I1016" s="204">
        <f t="shared" si="22"/>
        <v>4050000</v>
      </c>
      <c r="J1016" s="164">
        <f t="shared" si="23"/>
        <v>4050000</v>
      </c>
      <c r="K1016" s="56" t="s">
        <v>5746</v>
      </c>
      <c r="L1016" s="165" t="s">
        <v>5747</v>
      </c>
      <c r="M1016" s="73"/>
      <c r="N1016" s="171"/>
      <c r="O1016" s="169" t="s">
        <v>2958</v>
      </c>
      <c r="P1016" s="168" t="s">
        <v>3112</v>
      </c>
      <c r="Q1016" s="173"/>
      <c r="R1016" s="167">
        <v>4050000.0</v>
      </c>
      <c r="S1016" s="173"/>
      <c r="T1016" s="173"/>
      <c r="U1016" s="173"/>
      <c r="V1016" s="168" t="s">
        <v>3883</v>
      </c>
      <c r="W1016" s="169"/>
      <c r="X1016" s="219">
        <v>45614.0</v>
      </c>
    </row>
    <row r="1017" ht="15.0" customHeight="1">
      <c r="A1017" s="127">
        <v>45608.0</v>
      </c>
      <c r="B1017" s="181" t="s">
        <v>5745</v>
      </c>
      <c r="C1017" s="251" t="s">
        <v>2934</v>
      </c>
      <c r="D1017" s="73" t="str">
        <f>IFERROR(VLOOKUP(C1017,Stock,3,FALSE),"")</f>
        <v>Peti Kayu</v>
      </c>
      <c r="E1017" s="56">
        <v>1.0</v>
      </c>
      <c r="F1017" s="161">
        <v>200000.0</v>
      </c>
      <c r="G1017" s="162">
        <f t="shared" si="21"/>
        <v>200000</v>
      </c>
      <c r="H1017" s="201">
        <v>200000.0</v>
      </c>
      <c r="I1017" s="204">
        <f t="shared" si="22"/>
        <v>0</v>
      </c>
      <c r="J1017" s="164">
        <f t="shared" si="23"/>
        <v>0</v>
      </c>
      <c r="K1017" s="56" t="s">
        <v>5746</v>
      </c>
      <c r="L1017" s="165" t="s">
        <v>5747</v>
      </c>
      <c r="M1017" s="73"/>
      <c r="N1017" s="171"/>
      <c r="O1017" s="169" t="s">
        <v>2958</v>
      </c>
      <c r="P1017" s="168" t="s">
        <v>3112</v>
      </c>
      <c r="Q1017" s="173"/>
      <c r="R1017" s="173"/>
      <c r="S1017" s="173"/>
      <c r="T1017" s="173"/>
      <c r="U1017" s="173"/>
      <c r="V1017" s="168" t="s">
        <v>3883</v>
      </c>
      <c r="W1017" s="169"/>
      <c r="X1017" s="219">
        <v>45614.0</v>
      </c>
    </row>
    <row r="1018" ht="15.0" customHeight="1">
      <c r="A1018" s="127">
        <v>45608.0</v>
      </c>
      <c r="B1018" s="181" t="s">
        <v>5748</v>
      </c>
      <c r="C1018" s="56" t="s">
        <v>4183</v>
      </c>
      <c r="D1018" s="73" t="str">
        <f>IFERROR(VLOOKUP(C1018,Stock,3,FALSE),"")</f>
        <v>Mitsubishi Xpander 17-21</v>
      </c>
      <c r="E1018" s="56">
        <v>1.0</v>
      </c>
      <c r="F1018" s="161">
        <v>980000.0</v>
      </c>
      <c r="G1018" s="162">
        <f t="shared" si="21"/>
        <v>980000</v>
      </c>
      <c r="H1018" s="194"/>
      <c r="I1018" s="204">
        <f t="shared" si="22"/>
        <v>980000</v>
      </c>
      <c r="J1018" s="164">
        <f t="shared" si="23"/>
        <v>980000</v>
      </c>
      <c r="K1018" s="228" t="s">
        <v>5749</v>
      </c>
      <c r="L1018" s="165" t="s">
        <v>5750</v>
      </c>
      <c r="M1018" s="73"/>
      <c r="N1018" s="325">
        <v>1586281.0</v>
      </c>
      <c r="O1018" s="169" t="s">
        <v>2958</v>
      </c>
      <c r="P1018" s="168" t="s">
        <v>3112</v>
      </c>
      <c r="Q1018" s="173"/>
      <c r="R1018" s="167">
        <v>980000.0</v>
      </c>
      <c r="S1018" s="173"/>
      <c r="T1018" s="173"/>
      <c r="U1018" s="173"/>
      <c r="V1018" s="168" t="s">
        <v>3799</v>
      </c>
      <c r="W1018" s="169"/>
      <c r="X1018" s="219">
        <v>45614.0</v>
      </c>
    </row>
    <row r="1019" ht="15.0" customHeight="1">
      <c r="A1019" s="127">
        <v>45608.0</v>
      </c>
      <c r="B1019" s="181" t="s">
        <v>5751</v>
      </c>
      <c r="C1019" s="56" t="s">
        <v>2720</v>
      </c>
      <c r="D1019" s="73" t="str">
        <f>IFERROR(VLOOKUP(C1019,Stock,3,FALSE),"")</f>
        <v>Mitsubishi Canter FE300 85- (PS100,120,135 kabin kecil)</v>
      </c>
      <c r="E1019" s="56">
        <v>1.0</v>
      </c>
      <c r="F1019" s="161">
        <v>995000.0</v>
      </c>
      <c r="G1019" s="162">
        <f t="shared" si="21"/>
        <v>995000</v>
      </c>
      <c r="H1019" s="194"/>
      <c r="I1019" s="204">
        <f t="shared" si="22"/>
        <v>995000</v>
      </c>
      <c r="J1019" s="164">
        <f t="shared" si="23"/>
        <v>995000</v>
      </c>
      <c r="K1019" s="56" t="s">
        <v>5752</v>
      </c>
      <c r="L1019" s="165" t="s">
        <v>5753</v>
      </c>
      <c r="M1019" s="73"/>
      <c r="N1019" s="171"/>
      <c r="O1019" s="169" t="s">
        <v>2958</v>
      </c>
      <c r="P1019" s="168" t="s">
        <v>3112</v>
      </c>
      <c r="Q1019" s="173"/>
      <c r="R1019" s="167">
        <v>995000.0</v>
      </c>
      <c r="S1019" s="173"/>
      <c r="T1019" s="173"/>
      <c r="U1019" s="173"/>
      <c r="V1019" s="168" t="s">
        <v>3883</v>
      </c>
      <c r="W1019" s="169"/>
      <c r="X1019" s="219">
        <v>45614.0</v>
      </c>
    </row>
    <row r="1020" ht="15.0" customHeight="1">
      <c r="A1020" s="127">
        <v>45608.0</v>
      </c>
      <c r="B1020" s="181" t="s">
        <v>5754</v>
      </c>
      <c r="C1020" s="56" t="s">
        <v>2778</v>
      </c>
      <c r="D1020" s="73" t="str">
        <f>IFERROR(VLOOKUP(C1020,Stock,3,FALSE),"")</f>
        <v>Mitsubishi Fuso Fighter FK40 82-(PS190,220)</v>
      </c>
      <c r="E1020" s="56">
        <v>1.0</v>
      </c>
      <c r="F1020" s="161">
        <v>1547000.0</v>
      </c>
      <c r="G1020" s="162">
        <f t="shared" si="21"/>
        <v>1547000</v>
      </c>
      <c r="H1020" s="194"/>
      <c r="I1020" s="204">
        <f t="shared" si="22"/>
        <v>1547000</v>
      </c>
      <c r="J1020" s="164">
        <f t="shared" si="23"/>
        <v>1547000</v>
      </c>
      <c r="K1020" s="56" t="s">
        <v>5755</v>
      </c>
      <c r="L1020" s="165" t="s">
        <v>5756</v>
      </c>
      <c r="M1020" s="73"/>
      <c r="N1020" s="171"/>
      <c r="O1020" s="169" t="s">
        <v>2958</v>
      </c>
      <c r="P1020" s="168" t="s">
        <v>3112</v>
      </c>
      <c r="Q1020" s="173"/>
      <c r="R1020" s="167">
        <v>1547000.0</v>
      </c>
      <c r="S1020" s="173"/>
      <c r="T1020" s="173"/>
      <c r="U1020" s="173"/>
      <c r="V1020" s="168" t="s">
        <v>3883</v>
      </c>
      <c r="W1020" s="169"/>
      <c r="X1020" s="219">
        <v>45614.0</v>
      </c>
    </row>
    <row r="1021" ht="15.0" customHeight="1">
      <c r="A1021" s="127">
        <v>45608.0</v>
      </c>
      <c r="B1021" s="181" t="s">
        <v>5754</v>
      </c>
      <c r="C1021" s="251" t="s">
        <v>2954</v>
      </c>
      <c r="D1021" s="73" t="str">
        <f>IFERROR(VLOOKUP(C1021,Stock,3,FALSE),"")</f>
        <v>Transport</v>
      </c>
      <c r="E1021" s="56">
        <v>1.0</v>
      </c>
      <c r="F1021" s="161">
        <v>50000.0</v>
      </c>
      <c r="G1021" s="162">
        <f t="shared" si="21"/>
        <v>50000</v>
      </c>
      <c r="H1021" s="201">
        <v>50000.0</v>
      </c>
      <c r="I1021" s="204">
        <f t="shared" si="22"/>
        <v>0</v>
      </c>
      <c r="J1021" s="164">
        <f t="shared" si="23"/>
        <v>0</v>
      </c>
      <c r="K1021" s="56" t="s">
        <v>5755</v>
      </c>
      <c r="L1021" s="165" t="s">
        <v>5756</v>
      </c>
      <c r="M1021" s="73"/>
      <c r="N1021" s="171"/>
      <c r="O1021" s="169" t="s">
        <v>2958</v>
      </c>
      <c r="P1021" s="168" t="s">
        <v>3112</v>
      </c>
      <c r="Q1021" s="173"/>
      <c r="R1021" s="173"/>
      <c r="S1021" s="173"/>
      <c r="T1021" s="173"/>
      <c r="U1021" s="173"/>
      <c r="V1021" s="168" t="s">
        <v>3883</v>
      </c>
      <c r="W1021" s="169"/>
      <c r="X1021" s="219">
        <v>45614.0</v>
      </c>
    </row>
    <row r="1022" ht="15.0" customHeight="1">
      <c r="A1022" s="127">
        <v>45608.0</v>
      </c>
      <c r="B1022" s="181" t="s">
        <v>5757</v>
      </c>
      <c r="C1022" s="251" t="s">
        <v>3099</v>
      </c>
      <c r="D1022" s="73" t="str">
        <f>IFERROR(VLOOKUP(C1022,Stock,3,FALSE),"")</f>
        <v>Toyota Calya / Sigra 16-</v>
      </c>
      <c r="E1022" s="56">
        <v>1.0</v>
      </c>
      <c r="F1022" s="161">
        <v>1249000.0</v>
      </c>
      <c r="G1022" s="162">
        <f t="shared" si="21"/>
        <v>1249000</v>
      </c>
      <c r="H1022" s="194"/>
      <c r="I1022" s="204">
        <f t="shared" si="22"/>
        <v>1249000</v>
      </c>
      <c r="J1022" s="164">
        <f t="shared" si="23"/>
        <v>1249000</v>
      </c>
      <c r="K1022" s="326" t="s">
        <v>5758</v>
      </c>
      <c r="L1022" s="165" t="s">
        <v>5759</v>
      </c>
      <c r="M1022" s="56" t="s">
        <v>5760</v>
      </c>
      <c r="N1022" s="169" t="s">
        <v>5761</v>
      </c>
      <c r="O1022" s="169" t="s">
        <v>4072</v>
      </c>
      <c r="P1022" s="168" t="s">
        <v>3112</v>
      </c>
      <c r="Q1022" s="173"/>
      <c r="R1022" s="167">
        <v>1249000.0</v>
      </c>
      <c r="S1022" s="173"/>
      <c r="T1022" s="173"/>
      <c r="U1022" s="173"/>
      <c r="V1022" s="168" t="s">
        <v>3799</v>
      </c>
      <c r="W1022" s="169"/>
      <c r="X1022" s="219">
        <v>45614.0</v>
      </c>
    </row>
    <row r="1023" ht="15.0" customHeight="1">
      <c r="A1023" s="127">
        <v>45609.0</v>
      </c>
      <c r="B1023" s="181" t="s">
        <v>5762</v>
      </c>
      <c r="C1023" s="56" t="s">
        <v>3411</v>
      </c>
      <c r="D1023" s="73" t="str">
        <f>IFERROR(VLOOKUP(C1023,Stock,3,FALSE),"")</f>
        <v>Toyota Agya/Ayla 13-22 1st Gen</v>
      </c>
      <c r="E1023" s="56">
        <v>1.0</v>
      </c>
      <c r="F1023" s="161">
        <v>1115000.0</v>
      </c>
      <c r="G1023" s="162">
        <f t="shared" si="21"/>
        <v>1115000</v>
      </c>
      <c r="H1023" s="194"/>
      <c r="I1023" s="204">
        <f t="shared" si="22"/>
        <v>1115000</v>
      </c>
      <c r="J1023" s="164">
        <f t="shared" si="23"/>
        <v>1115000</v>
      </c>
      <c r="K1023" s="56" t="s">
        <v>5763</v>
      </c>
      <c r="L1023" s="165" t="s">
        <v>5764</v>
      </c>
      <c r="M1023" s="73"/>
      <c r="N1023" s="169" t="s">
        <v>5765</v>
      </c>
      <c r="O1023" s="169" t="s">
        <v>2958</v>
      </c>
      <c r="P1023" s="168" t="s">
        <v>3112</v>
      </c>
      <c r="Q1023" s="173"/>
      <c r="R1023" s="167">
        <v>1115000.0</v>
      </c>
      <c r="S1023" s="173"/>
      <c r="T1023" s="173"/>
      <c r="U1023" s="173"/>
      <c r="V1023" s="168" t="s">
        <v>4262</v>
      </c>
      <c r="W1023" s="169"/>
      <c r="X1023" s="219">
        <v>45614.0</v>
      </c>
    </row>
    <row r="1024" ht="15.0" customHeight="1">
      <c r="A1024" s="127">
        <v>45609.0</v>
      </c>
      <c r="B1024" s="181" t="s">
        <v>5766</v>
      </c>
      <c r="C1024" s="56" t="s">
        <v>3059</v>
      </c>
      <c r="D1024" s="73" t="str">
        <f>IFERROR(VLOOKUP(C1024,Stock,3,FALSE),"")</f>
        <v>Sealant Polyurethane XYG Tube</v>
      </c>
      <c r="E1024" s="56">
        <v>1.0</v>
      </c>
      <c r="F1024" s="161">
        <v>75000.0</v>
      </c>
      <c r="G1024" s="162">
        <f t="shared" si="21"/>
        <v>75000</v>
      </c>
      <c r="H1024" s="194"/>
      <c r="I1024" s="161">
        <f t="shared" si="22"/>
        <v>75000</v>
      </c>
      <c r="J1024" s="164">
        <f t="shared" si="23"/>
        <v>75000</v>
      </c>
      <c r="K1024" s="56" t="s">
        <v>5767</v>
      </c>
      <c r="L1024" s="165" t="s">
        <v>5768</v>
      </c>
      <c r="M1024" s="73"/>
      <c r="N1024" s="171"/>
      <c r="O1024" s="169" t="s">
        <v>2958</v>
      </c>
      <c r="P1024" s="168" t="s">
        <v>3112</v>
      </c>
      <c r="Q1024" s="173"/>
      <c r="R1024" s="167">
        <v>75000.0</v>
      </c>
      <c r="S1024" s="173"/>
      <c r="T1024" s="173"/>
      <c r="U1024" s="173"/>
      <c r="V1024" s="168" t="s">
        <v>3883</v>
      </c>
      <c r="W1024" s="169"/>
      <c r="X1024" s="219">
        <v>45614.0</v>
      </c>
    </row>
    <row r="1025" ht="15.0" customHeight="1">
      <c r="A1025" s="127">
        <v>45609.0</v>
      </c>
      <c r="B1025" s="181" t="s">
        <v>5769</v>
      </c>
      <c r="C1025" s="56" t="s">
        <v>3186</v>
      </c>
      <c r="D1025" s="73" t="str">
        <f>IFERROR(VLOOKUP(C1025,Stock,3,FALSE),"")</f>
        <v>Daihatsu Gran Max / Luxio 07-</v>
      </c>
      <c r="E1025" s="56">
        <v>1.0</v>
      </c>
      <c r="F1025" s="161">
        <v>1450000.0</v>
      </c>
      <c r="G1025" s="162">
        <f t="shared" si="21"/>
        <v>1450000</v>
      </c>
      <c r="H1025" s="201">
        <v>150000.0</v>
      </c>
      <c r="I1025" s="161">
        <f t="shared" si="22"/>
        <v>1300000</v>
      </c>
      <c r="J1025" s="164">
        <f t="shared" si="23"/>
        <v>1300000</v>
      </c>
      <c r="K1025" s="228" t="s">
        <v>5770</v>
      </c>
      <c r="L1025" s="288" t="s">
        <v>5771</v>
      </c>
      <c r="M1025" s="73"/>
      <c r="N1025" s="169" t="s">
        <v>5772</v>
      </c>
      <c r="O1025" s="169" t="s">
        <v>2958</v>
      </c>
      <c r="P1025" s="168" t="s">
        <v>3112</v>
      </c>
      <c r="Q1025" s="173"/>
      <c r="R1025" s="167">
        <v>1300000.0</v>
      </c>
      <c r="S1025" s="173"/>
      <c r="T1025" s="173"/>
      <c r="U1025" s="173"/>
      <c r="V1025" s="168" t="s">
        <v>3799</v>
      </c>
      <c r="W1025" s="169"/>
      <c r="X1025" s="219">
        <v>45614.0</v>
      </c>
    </row>
    <row r="1026" ht="15.0" customHeight="1">
      <c r="A1026" s="127">
        <v>45609.0</v>
      </c>
      <c r="B1026" s="181" t="s">
        <v>5769</v>
      </c>
      <c r="C1026" s="251" t="s">
        <v>3083</v>
      </c>
      <c r="D1026" s="73" t="str">
        <f>IFERROR(VLOOKUP(C1026,Stock,3,FALSE),"")</f>
        <v>List Kaca Depan Code 04</v>
      </c>
      <c r="E1026" s="56">
        <v>1.0</v>
      </c>
      <c r="F1026" s="161">
        <v>275000.0</v>
      </c>
      <c r="G1026" s="162">
        <f t="shared" si="21"/>
        <v>275000</v>
      </c>
      <c r="H1026" s="194"/>
      <c r="I1026" s="161">
        <f t="shared" si="22"/>
        <v>275000</v>
      </c>
      <c r="J1026" s="164">
        <f t="shared" si="23"/>
        <v>275000</v>
      </c>
      <c r="K1026" s="228" t="s">
        <v>5770</v>
      </c>
      <c r="L1026" s="288" t="s">
        <v>5771</v>
      </c>
      <c r="M1026" s="73"/>
      <c r="N1026" s="169" t="s">
        <v>5772</v>
      </c>
      <c r="O1026" s="169" t="s">
        <v>2958</v>
      </c>
      <c r="P1026" s="168" t="s">
        <v>3112</v>
      </c>
      <c r="Q1026" s="173"/>
      <c r="R1026" s="167">
        <v>275000.0</v>
      </c>
      <c r="S1026" s="173"/>
      <c r="T1026" s="173"/>
      <c r="U1026" s="167"/>
      <c r="V1026" s="168" t="s">
        <v>3799</v>
      </c>
      <c r="W1026" s="169"/>
      <c r="X1026" s="219">
        <v>45614.0</v>
      </c>
    </row>
    <row r="1027" ht="15.0" customHeight="1">
      <c r="A1027" s="127">
        <v>45610.0</v>
      </c>
      <c r="B1027" s="181" t="s">
        <v>5773</v>
      </c>
      <c r="C1027" s="56" t="s">
        <v>5774</v>
      </c>
      <c r="D1027" s="73" t="str">
        <f>IFERROR(VLOOKUP(C1027,Stock,3,FALSE),"")</f>
        <v>Isuzu Elf  93- NKR NHR </v>
      </c>
      <c r="E1027" s="56">
        <v>1.0</v>
      </c>
      <c r="F1027" s="161">
        <v>465000.0</v>
      </c>
      <c r="G1027" s="162">
        <f t="shared" si="21"/>
        <v>465000</v>
      </c>
      <c r="H1027" s="194"/>
      <c r="I1027" s="161">
        <f t="shared" si="22"/>
        <v>465000</v>
      </c>
      <c r="J1027" s="164">
        <f t="shared" si="23"/>
        <v>465000</v>
      </c>
      <c r="K1027" s="56" t="s">
        <v>5142</v>
      </c>
      <c r="L1027" s="165" t="s">
        <v>5775</v>
      </c>
      <c r="M1027" s="73"/>
      <c r="N1027" s="169" t="s">
        <v>5776</v>
      </c>
      <c r="O1027" s="169" t="s">
        <v>2958</v>
      </c>
      <c r="P1027" s="168" t="s">
        <v>3112</v>
      </c>
      <c r="Q1027" s="173"/>
      <c r="R1027" s="167">
        <v>465000.0</v>
      </c>
      <c r="S1027" s="173"/>
      <c r="T1027" s="173"/>
      <c r="U1027" s="173"/>
      <c r="V1027" s="168" t="s">
        <v>3883</v>
      </c>
      <c r="W1027" s="169"/>
      <c r="X1027" s="219">
        <v>45614.0</v>
      </c>
    </row>
    <row r="1028" ht="15.0" customHeight="1">
      <c r="A1028" s="127">
        <v>45610.0</v>
      </c>
      <c r="B1028" s="181" t="s">
        <v>5777</v>
      </c>
      <c r="C1028" s="56" t="s">
        <v>3378</v>
      </c>
      <c r="D1028" s="73" t="str">
        <f>IFERROR(VLOOKUP(C1028,Stock,3,FALSE),"")</f>
        <v>Isuzu Panther 00- 2nd Gen</v>
      </c>
      <c r="E1028" s="56">
        <v>1.0</v>
      </c>
      <c r="F1028" s="161">
        <v>1338000.0</v>
      </c>
      <c r="G1028" s="162">
        <f t="shared" si="21"/>
        <v>1338000</v>
      </c>
      <c r="H1028" s="194"/>
      <c r="I1028" s="161">
        <f t="shared" si="22"/>
        <v>1338000</v>
      </c>
      <c r="J1028" s="164">
        <f t="shared" si="23"/>
        <v>1338000</v>
      </c>
      <c r="K1028" s="56" t="s">
        <v>5778</v>
      </c>
      <c r="L1028" s="165" t="s">
        <v>5779</v>
      </c>
      <c r="M1028" s="313" t="s">
        <v>5780</v>
      </c>
      <c r="N1028" s="169" t="s">
        <v>5781</v>
      </c>
      <c r="O1028" s="169" t="s">
        <v>2958</v>
      </c>
      <c r="P1028" s="168" t="s">
        <v>3112</v>
      </c>
      <c r="Q1028" s="173"/>
      <c r="R1028" s="167">
        <v>1338000.0</v>
      </c>
      <c r="S1028" s="173"/>
      <c r="T1028" s="173"/>
      <c r="U1028" s="173"/>
      <c r="V1028" s="168" t="s">
        <v>3883</v>
      </c>
      <c r="W1028" s="169"/>
      <c r="X1028" s="219">
        <v>45614.0</v>
      </c>
    </row>
    <row r="1029" ht="15.0" customHeight="1">
      <c r="A1029" s="127">
        <v>45610.0</v>
      </c>
      <c r="B1029" s="181" t="s">
        <v>5782</v>
      </c>
      <c r="C1029" s="56" t="s">
        <v>2736</v>
      </c>
      <c r="D1029" s="73" t="str">
        <f>IFERROR(VLOOKUP(C1029,Stock,3,FALSE),"")</f>
        <v>Toyota Alphard 02-08 ANH10  1st Gen</v>
      </c>
      <c r="E1029" s="56">
        <v>1.0</v>
      </c>
      <c r="F1029" s="161">
        <v>3300000.0</v>
      </c>
      <c r="G1029" s="162">
        <f t="shared" si="21"/>
        <v>3300000</v>
      </c>
      <c r="H1029" s="194"/>
      <c r="I1029" s="161">
        <f t="shared" si="22"/>
        <v>3300000</v>
      </c>
      <c r="J1029" s="164">
        <f t="shared" si="23"/>
        <v>3300000</v>
      </c>
      <c r="K1029" s="56" t="s">
        <v>5783</v>
      </c>
      <c r="L1029" s="165" t="s">
        <v>5784</v>
      </c>
      <c r="M1029" s="73"/>
      <c r="N1029" s="169" t="s">
        <v>5785</v>
      </c>
      <c r="O1029" s="169" t="s">
        <v>2958</v>
      </c>
      <c r="P1029" s="168" t="s">
        <v>2958</v>
      </c>
      <c r="Q1029" s="173"/>
      <c r="R1029" s="167">
        <v>3300000.0</v>
      </c>
      <c r="S1029" s="173"/>
      <c r="T1029" s="173"/>
      <c r="U1029" s="173"/>
      <c r="V1029" s="168" t="s">
        <v>3883</v>
      </c>
      <c r="W1029" s="169"/>
      <c r="X1029" s="219">
        <v>45614.0</v>
      </c>
    </row>
    <row r="1030" ht="15.0" customHeight="1">
      <c r="A1030" s="127">
        <v>45610.0</v>
      </c>
      <c r="B1030" s="181" t="s">
        <v>5786</v>
      </c>
      <c r="C1030" s="251" t="s">
        <v>4340</v>
      </c>
      <c r="D1030" s="73"/>
      <c r="E1030" s="56"/>
      <c r="F1030" s="161"/>
      <c r="G1030" s="162"/>
      <c r="H1030" s="194"/>
      <c r="I1030" s="161"/>
      <c r="J1030" s="164"/>
      <c r="K1030" s="310"/>
      <c r="L1030" s="56"/>
      <c r="M1030" s="73"/>
      <c r="N1030" s="171"/>
      <c r="O1030" s="169"/>
      <c r="P1030" s="168"/>
      <c r="Q1030" s="167"/>
      <c r="R1030" s="173"/>
      <c r="S1030" s="173"/>
      <c r="T1030" s="173"/>
      <c r="U1030" s="173"/>
      <c r="V1030" s="168"/>
      <c r="W1030" s="169"/>
      <c r="X1030" s="169" t="s">
        <v>2939</v>
      </c>
    </row>
    <row r="1031" ht="15.0" customHeight="1">
      <c r="A1031" s="127">
        <v>45611.0</v>
      </c>
      <c r="B1031" s="181" t="s">
        <v>5787</v>
      </c>
      <c r="C1031" s="56" t="s">
        <v>3564</v>
      </c>
      <c r="D1031" s="73" t="str">
        <f>IFERROR(VLOOKUP(C1031,Stock,3,FALSE),"")</f>
        <v>Toyota Calya / Sigra 16-</v>
      </c>
      <c r="E1031" s="56">
        <v>1.0</v>
      </c>
      <c r="F1031" s="161">
        <v>450000.0</v>
      </c>
      <c r="G1031" s="162">
        <f t="shared" ref="G1031:G1037" si="24">$E$611*F1031</f>
        <v>450000</v>
      </c>
      <c r="H1031" s="194"/>
      <c r="I1031" s="161">
        <f t="shared" ref="I1031:I1054" si="25">G1031-H1031</f>
        <v>450000</v>
      </c>
      <c r="J1031" s="164">
        <f t="shared" ref="J1031:J1054" si="26">I1031</f>
        <v>450000</v>
      </c>
      <c r="K1031" s="56" t="s">
        <v>5788</v>
      </c>
      <c r="L1031" s="165" t="s">
        <v>5789</v>
      </c>
      <c r="M1031" s="313" t="s">
        <v>5790</v>
      </c>
      <c r="N1031" s="169" t="s">
        <v>5791</v>
      </c>
      <c r="O1031" s="169" t="s">
        <v>2958</v>
      </c>
      <c r="P1031" s="168" t="s">
        <v>2958</v>
      </c>
      <c r="Q1031" s="167">
        <v>450000.0</v>
      </c>
      <c r="R1031" s="173"/>
      <c r="S1031" s="173"/>
      <c r="T1031" s="173"/>
      <c r="U1031" s="173"/>
      <c r="V1031" s="168" t="s">
        <v>3883</v>
      </c>
      <c r="W1031" s="169"/>
      <c r="X1031" s="219">
        <v>45614.0</v>
      </c>
    </row>
    <row r="1032" ht="15.0" customHeight="1">
      <c r="A1032" s="127">
        <v>45611.0</v>
      </c>
      <c r="B1032" s="181" t="s">
        <v>5792</v>
      </c>
      <c r="C1032" s="251" t="s">
        <v>5793</v>
      </c>
      <c r="D1032" s="73" t="str">
        <f>IFERROR(VLOOKUP(C1032,Stock,3,FALSE),"")</f>
        <v>BMW 3 Series 12-18 F30/F35</v>
      </c>
      <c r="E1032" s="56">
        <v>1.0</v>
      </c>
      <c r="F1032" s="161">
        <v>2512000.0</v>
      </c>
      <c r="G1032" s="162">
        <f t="shared" si="24"/>
        <v>2512000</v>
      </c>
      <c r="H1032" s="194"/>
      <c r="I1032" s="161">
        <f t="shared" si="25"/>
        <v>2512000</v>
      </c>
      <c r="J1032" s="164">
        <f t="shared" si="26"/>
        <v>2512000</v>
      </c>
      <c r="K1032" s="56" t="s">
        <v>5794</v>
      </c>
      <c r="L1032" s="165" t="s">
        <v>5795</v>
      </c>
      <c r="M1032" s="73"/>
      <c r="N1032" s="171"/>
      <c r="O1032" s="169" t="s">
        <v>2958</v>
      </c>
      <c r="P1032" s="168" t="s">
        <v>5077</v>
      </c>
      <c r="Q1032" s="173"/>
      <c r="R1032" s="173"/>
      <c r="S1032" s="167">
        <v>2512000.0</v>
      </c>
      <c r="T1032" s="167">
        <v>200960.0</v>
      </c>
      <c r="U1032" s="173"/>
      <c r="V1032" s="168" t="s">
        <v>3883</v>
      </c>
      <c r="W1032" s="169"/>
      <c r="X1032" s="219">
        <v>45629.0</v>
      </c>
    </row>
    <row r="1033" ht="15.0" customHeight="1">
      <c r="A1033" s="127">
        <v>45611.0</v>
      </c>
      <c r="B1033" s="181" t="s">
        <v>5792</v>
      </c>
      <c r="C1033" s="251" t="s">
        <v>3273</v>
      </c>
      <c r="D1033" s="73" t="str">
        <f>IFERROR(VLOOKUP(C1033,Stock,3,FALSE),"")</f>
        <v>Pemasangan Kaca Mobil Belakang</v>
      </c>
      <c r="E1033" s="56">
        <v>1.0</v>
      </c>
      <c r="F1033" s="161">
        <v>450000.0</v>
      </c>
      <c r="G1033" s="162">
        <f t="shared" si="24"/>
        <v>450000</v>
      </c>
      <c r="H1033" s="194"/>
      <c r="I1033" s="161">
        <f t="shared" si="25"/>
        <v>450000</v>
      </c>
      <c r="J1033" s="164">
        <f t="shared" si="26"/>
        <v>450000</v>
      </c>
      <c r="K1033" s="56" t="s">
        <v>5794</v>
      </c>
      <c r="L1033" s="165" t="s">
        <v>5795</v>
      </c>
      <c r="M1033" s="73"/>
      <c r="N1033" s="171"/>
      <c r="O1033" s="169" t="s">
        <v>2958</v>
      </c>
      <c r="P1033" s="168" t="s">
        <v>5077</v>
      </c>
      <c r="Q1033" s="173"/>
      <c r="R1033" s="167">
        <v>450000.0</v>
      </c>
      <c r="S1033" s="173"/>
      <c r="T1033" s="173"/>
      <c r="U1033" s="173"/>
      <c r="V1033" s="168" t="s">
        <v>3883</v>
      </c>
      <c r="W1033" s="169"/>
      <c r="X1033" s="169" t="s">
        <v>5796</v>
      </c>
    </row>
    <row r="1034" ht="15.0" customHeight="1">
      <c r="A1034" s="127">
        <v>45611.0</v>
      </c>
      <c r="B1034" s="181" t="s">
        <v>5797</v>
      </c>
      <c r="C1034" s="251" t="s">
        <v>2549</v>
      </c>
      <c r="D1034" s="73" t="str">
        <f>IFERROR(VLOOKUP(C1034,Stock,3,FALSE),"")</f>
        <v>Toyota Avanza / Xenia 11-15 2nd Gen</v>
      </c>
      <c r="E1034" s="56">
        <v>1.0</v>
      </c>
      <c r="F1034" s="161">
        <v>1120000.0</v>
      </c>
      <c r="G1034" s="162">
        <f t="shared" si="24"/>
        <v>1120000</v>
      </c>
      <c r="H1034" s="201">
        <v>70000.0</v>
      </c>
      <c r="I1034" s="161">
        <f t="shared" si="25"/>
        <v>1050000</v>
      </c>
      <c r="J1034" s="164">
        <f t="shared" si="26"/>
        <v>1050000</v>
      </c>
      <c r="K1034" s="56" t="s">
        <v>5798</v>
      </c>
      <c r="L1034" s="165" t="s">
        <v>5799</v>
      </c>
      <c r="M1034" s="313" t="s">
        <v>5800</v>
      </c>
      <c r="N1034" s="169" t="s">
        <v>5801</v>
      </c>
      <c r="O1034" s="169" t="s">
        <v>2958</v>
      </c>
      <c r="P1034" s="168" t="s">
        <v>4778</v>
      </c>
      <c r="Q1034" s="167">
        <v>1050000.0</v>
      </c>
      <c r="R1034" s="173"/>
      <c r="S1034" s="173"/>
      <c r="T1034" s="173"/>
      <c r="U1034" s="173"/>
      <c r="V1034" s="168" t="s">
        <v>3883</v>
      </c>
      <c r="W1034" s="169"/>
      <c r="X1034" s="219">
        <v>45614.0</v>
      </c>
    </row>
    <row r="1035" ht="15.0" customHeight="1">
      <c r="A1035" s="127">
        <v>45611.0</v>
      </c>
      <c r="B1035" s="181" t="s">
        <v>5797</v>
      </c>
      <c r="C1035" s="251" t="s">
        <v>3826</v>
      </c>
      <c r="D1035" s="73" t="str">
        <f>IFERROR(VLOOKUP(C1035,Stock,3,FALSE),"")</f>
        <v>List Kaca Depan Code 11</v>
      </c>
      <c r="E1035" s="56">
        <v>1.0</v>
      </c>
      <c r="F1035" s="161">
        <v>275000.0</v>
      </c>
      <c r="G1035" s="162">
        <f t="shared" si="24"/>
        <v>275000</v>
      </c>
      <c r="H1035" s="194"/>
      <c r="I1035" s="161">
        <f t="shared" si="25"/>
        <v>275000</v>
      </c>
      <c r="J1035" s="164">
        <f t="shared" si="26"/>
        <v>275000</v>
      </c>
      <c r="K1035" s="56" t="s">
        <v>5798</v>
      </c>
      <c r="L1035" s="165" t="s">
        <v>5802</v>
      </c>
      <c r="M1035" s="313" t="s">
        <v>5800</v>
      </c>
      <c r="N1035" s="169" t="s">
        <v>5801</v>
      </c>
      <c r="O1035" s="169" t="s">
        <v>2958</v>
      </c>
      <c r="P1035" s="168" t="s">
        <v>4778</v>
      </c>
      <c r="Q1035" s="167">
        <v>275000.0</v>
      </c>
      <c r="R1035" s="173"/>
      <c r="S1035" s="173"/>
      <c r="T1035" s="173"/>
      <c r="U1035" s="173"/>
      <c r="V1035" s="168" t="s">
        <v>3883</v>
      </c>
      <c r="W1035" s="169"/>
      <c r="X1035" s="219">
        <v>45614.0</v>
      </c>
    </row>
    <row r="1036" ht="15.0" customHeight="1">
      <c r="A1036" s="127">
        <v>45611.0</v>
      </c>
      <c r="B1036" s="181" t="s">
        <v>5803</v>
      </c>
      <c r="C1036" s="56" t="s">
        <v>3378</v>
      </c>
      <c r="D1036" s="73" t="str">
        <f>IFERROR(VLOOKUP(C1036,Stock,3,FALSE),"")</f>
        <v>Isuzu Panther 00- 2nd Gen</v>
      </c>
      <c r="E1036" s="56">
        <v>1.0</v>
      </c>
      <c r="F1036" s="161">
        <v>1338000.0</v>
      </c>
      <c r="G1036" s="162">
        <f t="shared" si="24"/>
        <v>1338000</v>
      </c>
      <c r="H1036" s="194"/>
      <c r="I1036" s="161">
        <f t="shared" si="25"/>
        <v>1338000</v>
      </c>
      <c r="J1036" s="164">
        <f t="shared" si="26"/>
        <v>1338000</v>
      </c>
      <c r="K1036" s="56" t="s">
        <v>5804</v>
      </c>
      <c r="L1036" s="165" t="s">
        <v>5805</v>
      </c>
      <c r="M1036" s="313" t="s">
        <v>5806</v>
      </c>
      <c r="N1036" s="169" t="s">
        <v>5807</v>
      </c>
      <c r="O1036" s="169" t="s">
        <v>3204</v>
      </c>
      <c r="P1036" s="168" t="s">
        <v>3112</v>
      </c>
      <c r="Q1036" s="173"/>
      <c r="R1036" s="167">
        <v>1338000.0</v>
      </c>
      <c r="S1036" s="173"/>
      <c r="T1036" s="173"/>
      <c r="U1036" s="173"/>
      <c r="V1036" s="168" t="s">
        <v>3883</v>
      </c>
      <c r="W1036" s="169"/>
      <c r="X1036" s="219">
        <v>45614.0</v>
      </c>
    </row>
    <row r="1037" ht="15.0" customHeight="1">
      <c r="A1037" s="127">
        <v>45611.0</v>
      </c>
      <c r="B1037" s="181" t="s">
        <v>5808</v>
      </c>
      <c r="C1037" s="228" t="s">
        <v>3041</v>
      </c>
      <c r="D1037" s="73" t="str">
        <f>IFERROR(VLOOKUP(C1037,Stock,3,FALSE),"")</f>
        <v>Honda Jazz 13- 3rd Gen (Honda)</v>
      </c>
      <c r="E1037" s="56">
        <v>1.0</v>
      </c>
      <c r="F1037" s="161">
        <v>2590000.0</v>
      </c>
      <c r="G1037" s="162">
        <f t="shared" si="24"/>
        <v>2590000</v>
      </c>
      <c r="H1037" s="194"/>
      <c r="I1037" s="161">
        <f t="shared" si="25"/>
        <v>2590000</v>
      </c>
      <c r="J1037" s="164">
        <f t="shared" si="26"/>
        <v>2590000</v>
      </c>
      <c r="K1037" s="165" t="s">
        <v>5809</v>
      </c>
      <c r="L1037" s="165" t="s">
        <v>5810</v>
      </c>
      <c r="M1037" s="73"/>
      <c r="N1037" s="169" t="s">
        <v>5811</v>
      </c>
      <c r="O1037" s="169" t="s">
        <v>2958</v>
      </c>
      <c r="P1037" s="168" t="s">
        <v>3112</v>
      </c>
      <c r="Q1037" s="167">
        <v>2600000.0</v>
      </c>
      <c r="R1037" s="173"/>
      <c r="S1037" s="173"/>
      <c r="T1037" s="173"/>
      <c r="U1037" s="167">
        <v>10000.0</v>
      </c>
      <c r="V1037" s="168" t="s">
        <v>3799</v>
      </c>
      <c r="W1037" s="169"/>
      <c r="X1037" s="219">
        <v>45619.0</v>
      </c>
    </row>
    <row r="1038" ht="15.0" customHeight="1">
      <c r="A1038" s="127">
        <v>45611.0</v>
      </c>
      <c r="B1038" s="181" t="s">
        <v>5812</v>
      </c>
      <c r="C1038" s="56" t="s">
        <v>3059</v>
      </c>
      <c r="D1038" s="73" t="str">
        <f>IFERROR(VLOOKUP(C1038,Stock,3,FALSE),"")</f>
        <v>Sealant Polyurethane XYG Tube</v>
      </c>
      <c r="E1038" s="56">
        <v>40.0</v>
      </c>
      <c r="F1038" s="161">
        <v>65000.0</v>
      </c>
      <c r="G1038" s="162">
        <f>E1038*F1038</f>
        <v>2600000</v>
      </c>
      <c r="H1038" s="194"/>
      <c r="I1038" s="161">
        <f t="shared" si="25"/>
        <v>2600000</v>
      </c>
      <c r="J1038" s="164">
        <f t="shared" si="26"/>
        <v>2600000</v>
      </c>
      <c r="K1038" s="56" t="s">
        <v>5813</v>
      </c>
      <c r="L1038" s="165" t="s">
        <v>5814</v>
      </c>
      <c r="M1038" s="73"/>
      <c r="N1038" s="171"/>
      <c r="O1038" s="169" t="s">
        <v>2958</v>
      </c>
      <c r="P1038" s="168" t="s">
        <v>5077</v>
      </c>
      <c r="Q1038" s="173"/>
      <c r="R1038" s="173"/>
      <c r="S1038" s="167">
        <v>2600000.0</v>
      </c>
      <c r="T1038" s="167">
        <v>208000.0</v>
      </c>
      <c r="U1038" s="173"/>
      <c r="V1038" s="168" t="s">
        <v>3883</v>
      </c>
      <c r="W1038" s="169"/>
      <c r="X1038" s="169" t="s">
        <v>5815</v>
      </c>
    </row>
    <row r="1039" ht="15.0" customHeight="1">
      <c r="A1039" s="127">
        <v>45612.0</v>
      </c>
      <c r="B1039" s="181" t="s">
        <v>5816</v>
      </c>
      <c r="C1039" s="56" t="s">
        <v>3411</v>
      </c>
      <c r="D1039" s="73" t="str">
        <f>IFERROR(VLOOKUP(C1039,Stock,3,FALSE),"")</f>
        <v>Toyota Agya/Ayla 13-22 1st Gen</v>
      </c>
      <c r="E1039" s="56">
        <v>1.0</v>
      </c>
      <c r="F1039" s="161">
        <v>1115000.0</v>
      </c>
      <c r="G1039" s="162">
        <f t="shared" ref="G1039:G1054" si="27">$E$611*F1039</f>
        <v>1115000</v>
      </c>
      <c r="H1039" s="194"/>
      <c r="I1039" s="161">
        <f t="shared" si="25"/>
        <v>1115000</v>
      </c>
      <c r="J1039" s="164">
        <f t="shared" si="26"/>
        <v>1115000</v>
      </c>
      <c r="K1039" s="228" t="s">
        <v>5817</v>
      </c>
      <c r="L1039" s="165" t="s">
        <v>5818</v>
      </c>
      <c r="M1039" s="73"/>
      <c r="N1039" s="169" t="s">
        <v>5819</v>
      </c>
      <c r="O1039" s="169" t="s">
        <v>2958</v>
      </c>
      <c r="P1039" s="168" t="s">
        <v>3112</v>
      </c>
      <c r="Q1039" s="173"/>
      <c r="R1039" s="167">
        <v>1115000.0</v>
      </c>
      <c r="S1039" s="173"/>
      <c r="T1039" s="173"/>
      <c r="U1039" s="173"/>
      <c r="V1039" s="168" t="s">
        <v>3883</v>
      </c>
      <c r="W1039" s="169"/>
      <c r="X1039" s="219">
        <v>45619.0</v>
      </c>
    </row>
    <row r="1040" ht="15.0" customHeight="1">
      <c r="A1040" s="127">
        <v>45612.0</v>
      </c>
      <c r="B1040" s="181" t="s">
        <v>5820</v>
      </c>
      <c r="C1040" s="327" t="s">
        <v>5821</v>
      </c>
      <c r="D1040" s="73" t="str">
        <f>IFERROR(VLOOKUP(C1040,Stock,3,FALSE),"")</f>
        <v>Toyota Agya/Ayla 13-22 1st Gen</v>
      </c>
      <c r="E1040" s="56">
        <v>1.0</v>
      </c>
      <c r="F1040" s="161">
        <v>420000.0</v>
      </c>
      <c r="G1040" s="162">
        <f t="shared" si="27"/>
        <v>420000</v>
      </c>
      <c r="H1040" s="194"/>
      <c r="I1040" s="161">
        <f t="shared" si="25"/>
        <v>420000</v>
      </c>
      <c r="J1040" s="164">
        <f t="shared" si="26"/>
        <v>420000</v>
      </c>
      <c r="K1040" s="56" t="s">
        <v>5822</v>
      </c>
      <c r="L1040" s="165" t="s">
        <v>5823</v>
      </c>
      <c r="M1040" s="73"/>
      <c r="N1040" s="169" t="s">
        <v>5824</v>
      </c>
      <c r="O1040" s="169" t="s">
        <v>3204</v>
      </c>
      <c r="P1040" s="168" t="s">
        <v>3112</v>
      </c>
      <c r="Q1040" s="167">
        <v>470000.0</v>
      </c>
      <c r="R1040" s="173"/>
      <c r="S1040" s="173"/>
      <c r="T1040" s="173"/>
      <c r="U1040" s="173"/>
      <c r="V1040" s="168" t="s">
        <v>3883</v>
      </c>
      <c r="W1040" s="169"/>
      <c r="X1040" s="219">
        <v>45619.0</v>
      </c>
    </row>
    <row r="1041" ht="15.0" customHeight="1">
      <c r="A1041" s="127">
        <v>45612.0</v>
      </c>
      <c r="B1041" s="181" t="s">
        <v>5820</v>
      </c>
      <c r="C1041" s="251" t="s">
        <v>2954</v>
      </c>
      <c r="D1041" s="73" t="str">
        <f>IFERROR(VLOOKUP(C1041,Stock,3,FALSE),"")</f>
        <v>Transport</v>
      </c>
      <c r="E1041" s="56">
        <v>1.0</v>
      </c>
      <c r="F1041" s="161">
        <v>150000.0</v>
      </c>
      <c r="G1041" s="162">
        <f t="shared" si="27"/>
        <v>150000</v>
      </c>
      <c r="H1041" s="194"/>
      <c r="I1041" s="161">
        <f t="shared" si="25"/>
        <v>150000</v>
      </c>
      <c r="J1041" s="164">
        <f t="shared" si="26"/>
        <v>150000</v>
      </c>
      <c r="K1041" s="56" t="s">
        <v>5822</v>
      </c>
      <c r="L1041" s="165" t="s">
        <v>5823</v>
      </c>
      <c r="M1041" s="73"/>
      <c r="N1041" s="171"/>
      <c r="O1041" s="169" t="s">
        <v>3204</v>
      </c>
      <c r="P1041" s="168" t="s">
        <v>3112</v>
      </c>
      <c r="Q1041" s="173"/>
      <c r="R1041" s="167">
        <v>100000.0</v>
      </c>
      <c r="S1041" s="173"/>
      <c r="T1041" s="173"/>
      <c r="U1041" s="173"/>
      <c r="V1041" s="168" t="s">
        <v>3883</v>
      </c>
      <c r="W1041" s="169"/>
      <c r="X1041" s="219">
        <v>45619.0</v>
      </c>
    </row>
    <row r="1042" ht="15.0" customHeight="1">
      <c r="A1042" s="127">
        <v>45612.0</v>
      </c>
      <c r="B1042" s="181" t="s">
        <v>5825</v>
      </c>
      <c r="C1042" s="56" t="s">
        <v>2718</v>
      </c>
      <c r="D1042" s="73" t="str">
        <f>IFERROR(VLOOKUP(C1042,Stock,3,FALSE),"")</f>
        <v>Isuzu Traga</v>
      </c>
      <c r="E1042" s="56">
        <v>1.0</v>
      </c>
      <c r="F1042" s="161">
        <v>1120000.0</v>
      </c>
      <c r="G1042" s="162">
        <f t="shared" si="27"/>
        <v>1120000</v>
      </c>
      <c r="H1042" s="194"/>
      <c r="I1042" s="161">
        <f t="shared" si="25"/>
        <v>1120000</v>
      </c>
      <c r="J1042" s="164">
        <f t="shared" si="26"/>
        <v>1120000</v>
      </c>
      <c r="K1042" s="228" t="s">
        <v>5826</v>
      </c>
      <c r="L1042" s="165" t="s">
        <v>5827</v>
      </c>
      <c r="M1042" s="73"/>
      <c r="N1042" s="171"/>
      <c r="O1042" s="169" t="s">
        <v>4072</v>
      </c>
      <c r="P1042" s="168" t="s">
        <v>3112</v>
      </c>
      <c r="Q1042" s="167">
        <v>1150000.0</v>
      </c>
      <c r="R1042" s="173"/>
      <c r="S1042" s="173"/>
      <c r="T1042" s="173"/>
      <c r="U1042" s="167">
        <v>30000.0</v>
      </c>
      <c r="V1042" s="168" t="s">
        <v>3799</v>
      </c>
      <c r="W1042" s="169"/>
      <c r="X1042" s="219">
        <v>45619.0</v>
      </c>
    </row>
    <row r="1043" ht="15.0" customHeight="1">
      <c r="A1043" s="127">
        <v>45612.0</v>
      </c>
      <c r="B1043" s="181" t="s">
        <v>5828</v>
      </c>
      <c r="C1043" s="56" t="s">
        <v>3045</v>
      </c>
      <c r="D1043" s="73" t="str">
        <f>IFERROR(VLOOKUP(C1043,Stock,3,FALSE),"")</f>
        <v>Pemasangan Kaca Mobil Depan</v>
      </c>
      <c r="E1043" s="56">
        <v>1.0</v>
      </c>
      <c r="F1043" s="161">
        <v>400000.0</v>
      </c>
      <c r="G1043" s="162">
        <f t="shared" si="27"/>
        <v>400000</v>
      </c>
      <c r="H1043" s="194"/>
      <c r="I1043" s="161">
        <f t="shared" si="25"/>
        <v>400000</v>
      </c>
      <c r="J1043" s="164">
        <f t="shared" si="26"/>
        <v>400000</v>
      </c>
      <c r="K1043" s="56" t="s">
        <v>5829</v>
      </c>
      <c r="L1043" s="165" t="s">
        <v>5830</v>
      </c>
      <c r="M1043" s="73"/>
      <c r="N1043" s="171"/>
      <c r="O1043" s="169" t="s">
        <v>2958</v>
      </c>
      <c r="P1043" s="168" t="s">
        <v>3112</v>
      </c>
      <c r="Q1043" s="173"/>
      <c r="R1043" s="167">
        <v>400000.0</v>
      </c>
      <c r="S1043" s="173"/>
      <c r="T1043" s="173"/>
      <c r="U1043" s="173"/>
      <c r="V1043" s="168" t="s">
        <v>3883</v>
      </c>
      <c r="W1043" s="169"/>
      <c r="X1043" s="219">
        <v>45619.0</v>
      </c>
    </row>
    <row r="1044" ht="15.0" customHeight="1">
      <c r="A1044" s="127">
        <v>45612.0</v>
      </c>
      <c r="B1044" s="181" t="s">
        <v>5828</v>
      </c>
      <c r="C1044" s="251" t="s">
        <v>2954</v>
      </c>
      <c r="D1044" s="73" t="str">
        <f>IFERROR(VLOOKUP(C1044,Stock,3,FALSE),"")</f>
        <v>Transport</v>
      </c>
      <c r="E1044" s="56">
        <v>1.0</v>
      </c>
      <c r="F1044" s="161">
        <v>50000.0</v>
      </c>
      <c r="G1044" s="162">
        <f t="shared" si="27"/>
        <v>50000</v>
      </c>
      <c r="H1044" s="194"/>
      <c r="I1044" s="161">
        <f t="shared" si="25"/>
        <v>50000</v>
      </c>
      <c r="J1044" s="164">
        <f t="shared" si="26"/>
        <v>50000</v>
      </c>
      <c r="K1044" s="56" t="s">
        <v>5829</v>
      </c>
      <c r="L1044" s="165" t="s">
        <v>5830</v>
      </c>
      <c r="M1044" s="73"/>
      <c r="N1044" s="171"/>
      <c r="O1044" s="169" t="s">
        <v>2958</v>
      </c>
      <c r="P1044" s="168" t="s">
        <v>3112</v>
      </c>
      <c r="Q1044" s="173"/>
      <c r="R1044" s="167">
        <v>50000.0</v>
      </c>
      <c r="S1044" s="173"/>
      <c r="T1044" s="173"/>
      <c r="U1044" s="173"/>
      <c r="V1044" s="168" t="s">
        <v>3883</v>
      </c>
      <c r="W1044" s="169"/>
      <c r="X1044" s="219">
        <v>45619.0</v>
      </c>
    </row>
    <row r="1045" ht="15.0" customHeight="1">
      <c r="A1045" s="127">
        <v>45614.0</v>
      </c>
      <c r="B1045" s="181" t="s">
        <v>5831</v>
      </c>
      <c r="C1045" s="56" t="s">
        <v>5832</v>
      </c>
      <c r="D1045" s="73" t="str">
        <f>IFERROR(VLOOKUP(C1045,Stock,3,FALSE),"")</f>
        <v>Toyota Fortuner 05-15  1st Gen (Toyota)</v>
      </c>
      <c r="E1045" s="56">
        <v>1.0</v>
      </c>
      <c r="F1045" s="161">
        <v>2998000.0</v>
      </c>
      <c r="G1045" s="162">
        <f t="shared" si="27"/>
        <v>2998000</v>
      </c>
      <c r="H1045" s="194"/>
      <c r="I1045" s="161">
        <f t="shared" si="25"/>
        <v>2998000</v>
      </c>
      <c r="J1045" s="164">
        <f t="shared" si="26"/>
        <v>2998000</v>
      </c>
      <c r="K1045" s="56" t="s">
        <v>5833</v>
      </c>
      <c r="L1045" s="165" t="s">
        <v>5834</v>
      </c>
      <c r="M1045" s="73"/>
      <c r="N1045" s="171"/>
      <c r="O1045" s="169" t="s">
        <v>3204</v>
      </c>
      <c r="P1045" s="168" t="s">
        <v>3112</v>
      </c>
      <c r="Q1045" s="173"/>
      <c r="R1045" s="167">
        <v>2998000.0</v>
      </c>
      <c r="S1045" s="173"/>
      <c r="T1045" s="173"/>
      <c r="U1045" s="173"/>
      <c r="V1045" s="168" t="s">
        <v>3883</v>
      </c>
      <c r="W1045" s="169"/>
      <c r="X1045" s="219">
        <v>45619.0</v>
      </c>
    </row>
    <row r="1046" ht="15.0" customHeight="1">
      <c r="A1046" s="127">
        <v>45614.0</v>
      </c>
      <c r="B1046" s="181" t="s">
        <v>5835</v>
      </c>
      <c r="C1046" s="327" t="s">
        <v>2682</v>
      </c>
      <c r="D1046" s="73" t="str">
        <f>IFERROR(VLOOKUP(C1046,Stock,3,FALSE),"")</f>
        <v>Toyota Yaris 05-13 XP90 1st Gen</v>
      </c>
      <c r="E1046" s="56">
        <v>1.0</v>
      </c>
      <c r="F1046" s="161">
        <v>1588000.0</v>
      </c>
      <c r="G1046" s="162">
        <f t="shared" si="27"/>
        <v>1588000</v>
      </c>
      <c r="H1046" s="194"/>
      <c r="I1046" s="161">
        <f t="shared" si="25"/>
        <v>1588000</v>
      </c>
      <c r="J1046" s="164">
        <f t="shared" si="26"/>
        <v>1588000</v>
      </c>
      <c r="K1046" s="228" t="s">
        <v>5836</v>
      </c>
      <c r="L1046" s="165" t="s">
        <v>5837</v>
      </c>
      <c r="M1046" s="73"/>
      <c r="N1046" s="171"/>
      <c r="O1046" s="169" t="s">
        <v>2958</v>
      </c>
      <c r="P1046" s="168" t="s">
        <v>3112</v>
      </c>
      <c r="Q1046" s="173"/>
      <c r="R1046" s="167">
        <v>1588000.0</v>
      </c>
      <c r="S1046" s="173"/>
      <c r="T1046" s="173"/>
      <c r="U1046" s="173"/>
      <c r="V1046" s="168" t="s">
        <v>3883</v>
      </c>
      <c r="W1046" s="169"/>
      <c r="X1046" s="219">
        <v>45619.0</v>
      </c>
    </row>
    <row r="1047" ht="15.0" customHeight="1">
      <c r="A1047" s="127">
        <v>45614.0</v>
      </c>
      <c r="B1047" s="181" t="s">
        <v>5838</v>
      </c>
      <c r="C1047" s="56" t="s">
        <v>3273</v>
      </c>
      <c r="D1047" s="73" t="str">
        <f>IFERROR(VLOOKUP(C1047,Stock,3,FALSE),"")</f>
        <v>Pemasangan Kaca Mobil Belakang</v>
      </c>
      <c r="E1047" s="56">
        <v>1.0</v>
      </c>
      <c r="F1047" s="161">
        <v>350000.0</v>
      </c>
      <c r="G1047" s="162">
        <f t="shared" si="27"/>
        <v>350000</v>
      </c>
      <c r="H1047" s="194"/>
      <c r="I1047" s="161">
        <f t="shared" si="25"/>
        <v>350000</v>
      </c>
      <c r="J1047" s="164">
        <f t="shared" si="26"/>
        <v>350000</v>
      </c>
      <c r="K1047" s="56" t="s">
        <v>5839</v>
      </c>
      <c r="L1047" s="165" t="s">
        <v>5840</v>
      </c>
      <c r="M1047" s="73"/>
      <c r="N1047" s="171"/>
      <c r="O1047" s="169" t="s">
        <v>2958</v>
      </c>
      <c r="P1047" s="168" t="s">
        <v>3112</v>
      </c>
      <c r="Q1047" s="167">
        <v>350000.0</v>
      </c>
      <c r="R1047" s="173"/>
      <c r="S1047" s="173"/>
      <c r="T1047" s="173"/>
      <c r="U1047" s="173"/>
      <c r="V1047" s="168" t="s">
        <v>3883</v>
      </c>
      <c r="W1047" s="169"/>
      <c r="X1047" s="219">
        <v>45619.0</v>
      </c>
    </row>
    <row r="1048" ht="15.0" customHeight="1">
      <c r="A1048" s="127">
        <v>45614.0</v>
      </c>
      <c r="B1048" s="181" t="s">
        <v>5841</v>
      </c>
      <c r="C1048" s="56" t="s">
        <v>5842</v>
      </c>
      <c r="D1048" s="73" t="str">
        <f>IFERROR(VLOOKUP(C1048,Stock,3,FALSE),"")</f>
        <v>Toyota Corolla All New AE111 95-02 8th Gen</v>
      </c>
      <c r="E1048" s="56">
        <v>1.0</v>
      </c>
      <c r="F1048" s="161">
        <v>1589000.0</v>
      </c>
      <c r="G1048" s="162">
        <f t="shared" si="27"/>
        <v>1589000</v>
      </c>
      <c r="H1048" s="194"/>
      <c r="I1048" s="161">
        <f t="shared" si="25"/>
        <v>1589000</v>
      </c>
      <c r="J1048" s="164">
        <f t="shared" si="26"/>
        <v>1589000</v>
      </c>
      <c r="K1048" s="228" t="s">
        <v>5843</v>
      </c>
      <c r="L1048" s="165" t="s">
        <v>5844</v>
      </c>
      <c r="M1048" s="73"/>
      <c r="N1048" s="171"/>
      <c r="O1048" s="169" t="s">
        <v>3213</v>
      </c>
      <c r="P1048" s="168" t="s">
        <v>3112</v>
      </c>
      <c r="Q1048" s="167">
        <v>1600000.0</v>
      </c>
      <c r="R1048" s="173"/>
      <c r="S1048" s="173"/>
      <c r="T1048" s="173"/>
      <c r="U1048" s="167">
        <v>11000.0</v>
      </c>
      <c r="V1048" s="168" t="s">
        <v>3799</v>
      </c>
      <c r="W1048" s="169"/>
      <c r="X1048" s="219">
        <v>45619.0</v>
      </c>
    </row>
    <row r="1049" ht="15.0" customHeight="1">
      <c r="A1049" s="127">
        <v>45615.0</v>
      </c>
      <c r="B1049" s="181" t="s">
        <v>5845</v>
      </c>
      <c r="C1049" s="56" t="s">
        <v>2641</v>
      </c>
      <c r="D1049" s="73" t="str">
        <f>IFERROR(VLOOKUP(C1049,Stock,3,FALSE),"")</f>
        <v>Kia Timor 95-98 / Sephia 94-05</v>
      </c>
      <c r="E1049" s="56">
        <v>1.0</v>
      </c>
      <c r="F1049" s="161">
        <v>1600000.0</v>
      </c>
      <c r="G1049" s="162">
        <f t="shared" si="27"/>
        <v>1600000</v>
      </c>
      <c r="H1049" s="194"/>
      <c r="I1049" s="161">
        <f t="shared" si="25"/>
        <v>1600000</v>
      </c>
      <c r="J1049" s="164">
        <f t="shared" si="26"/>
        <v>1600000</v>
      </c>
      <c r="K1049" s="56" t="s">
        <v>5846</v>
      </c>
      <c r="L1049" s="165" t="s">
        <v>4349</v>
      </c>
      <c r="M1049" s="73"/>
      <c r="N1049" s="171"/>
      <c r="O1049" s="169" t="s">
        <v>2958</v>
      </c>
      <c r="P1049" s="168" t="s">
        <v>3112</v>
      </c>
      <c r="Q1049" s="173"/>
      <c r="R1049" s="167">
        <v>1600000.0</v>
      </c>
      <c r="S1049" s="173"/>
      <c r="T1049" s="173"/>
      <c r="U1049" s="173"/>
      <c r="V1049" s="168" t="s">
        <v>3883</v>
      </c>
      <c r="W1049" s="169"/>
      <c r="X1049" s="219">
        <v>45619.0</v>
      </c>
    </row>
    <row r="1050" ht="15.0" customHeight="1">
      <c r="A1050" s="127">
        <v>45615.0</v>
      </c>
      <c r="B1050" s="181" t="s">
        <v>5845</v>
      </c>
      <c r="C1050" s="251" t="s">
        <v>2954</v>
      </c>
      <c r="D1050" s="73" t="str">
        <f>IFERROR(VLOOKUP(C1050,Stock,3,FALSE),"")</f>
        <v>Transport</v>
      </c>
      <c r="E1050" s="56">
        <v>1.0</v>
      </c>
      <c r="F1050" s="161">
        <v>50000.0</v>
      </c>
      <c r="G1050" s="162">
        <f t="shared" si="27"/>
        <v>50000</v>
      </c>
      <c r="H1050" s="194"/>
      <c r="I1050" s="161">
        <f t="shared" si="25"/>
        <v>50000</v>
      </c>
      <c r="J1050" s="164">
        <f t="shared" si="26"/>
        <v>50000</v>
      </c>
      <c r="K1050" s="56" t="s">
        <v>5847</v>
      </c>
      <c r="L1050" s="165" t="s">
        <v>4349</v>
      </c>
      <c r="M1050" s="73"/>
      <c r="N1050" s="171"/>
      <c r="O1050" s="169" t="s">
        <v>2958</v>
      </c>
      <c r="P1050" s="168" t="s">
        <v>3112</v>
      </c>
      <c r="Q1050" s="173"/>
      <c r="R1050" s="167">
        <v>50000.0</v>
      </c>
      <c r="S1050" s="173"/>
      <c r="T1050" s="173"/>
      <c r="U1050" s="173"/>
      <c r="V1050" s="168" t="s">
        <v>3883</v>
      </c>
      <c r="W1050" s="169"/>
      <c r="X1050" s="219">
        <v>45619.0</v>
      </c>
    </row>
    <row r="1051" ht="15.0" customHeight="1">
      <c r="A1051" s="127">
        <v>45615.0</v>
      </c>
      <c r="B1051" s="181" t="s">
        <v>5848</v>
      </c>
      <c r="C1051" s="56" t="s">
        <v>2555</v>
      </c>
      <c r="D1051" s="73" t="str">
        <f>IFERROR(VLOOKUP(C1051,Stock,3,FALSE),"")</f>
        <v>Toyota Fortuner 15-  2nd Gen (Toyota)</v>
      </c>
      <c r="E1051" s="56">
        <v>1.0</v>
      </c>
      <c r="F1051" s="161">
        <v>2998000.0</v>
      </c>
      <c r="G1051" s="162">
        <f t="shared" si="27"/>
        <v>2998000</v>
      </c>
      <c r="H1051" s="194"/>
      <c r="I1051" s="161">
        <f t="shared" si="25"/>
        <v>2998000</v>
      </c>
      <c r="J1051" s="164">
        <f t="shared" si="26"/>
        <v>2998000</v>
      </c>
      <c r="K1051" s="56" t="s">
        <v>5849</v>
      </c>
      <c r="L1051" s="165" t="s">
        <v>5850</v>
      </c>
      <c r="M1051" s="73"/>
      <c r="N1051" s="171"/>
      <c r="O1051" s="169" t="s">
        <v>3081</v>
      </c>
      <c r="P1051" s="168" t="s">
        <v>3112</v>
      </c>
      <c r="Q1051" s="173"/>
      <c r="R1051" s="167">
        <v>2998000.0</v>
      </c>
      <c r="S1051" s="173"/>
      <c r="T1051" s="173"/>
      <c r="U1051" s="173"/>
      <c r="V1051" s="168" t="s">
        <v>3883</v>
      </c>
      <c r="W1051" s="169"/>
      <c r="X1051" s="219">
        <v>45619.0</v>
      </c>
    </row>
    <row r="1052" ht="15.0" customHeight="1">
      <c r="A1052" s="127">
        <v>45615.0</v>
      </c>
      <c r="B1052" s="181" t="s">
        <v>5851</v>
      </c>
      <c r="C1052" s="56" t="s">
        <v>3168</v>
      </c>
      <c r="D1052" s="73" t="str">
        <f>IFERROR(VLOOKUP(C1052,Stock,3,FALSE),"")</f>
        <v>Toyota Agya/Ayla</v>
      </c>
      <c r="E1052" s="56">
        <v>1.0</v>
      </c>
      <c r="F1052" s="161">
        <v>890000.0</v>
      </c>
      <c r="G1052" s="162">
        <f t="shared" si="27"/>
        <v>890000</v>
      </c>
      <c r="H1052" s="194"/>
      <c r="I1052" s="161">
        <f t="shared" si="25"/>
        <v>890000</v>
      </c>
      <c r="J1052" s="164">
        <f t="shared" si="26"/>
        <v>890000</v>
      </c>
      <c r="K1052" s="56" t="s">
        <v>5852</v>
      </c>
      <c r="L1052" s="165" t="s">
        <v>5853</v>
      </c>
      <c r="M1052" s="73"/>
      <c r="N1052" s="169" t="s">
        <v>5854</v>
      </c>
      <c r="O1052" s="169" t="s">
        <v>3037</v>
      </c>
      <c r="P1052" s="168" t="s">
        <v>3112</v>
      </c>
      <c r="Q1052" s="167">
        <v>900000.0</v>
      </c>
      <c r="R1052" s="173"/>
      <c r="S1052" s="173"/>
      <c r="T1052" s="173"/>
      <c r="U1052" s="167">
        <v>10000.0</v>
      </c>
      <c r="V1052" s="168" t="s">
        <v>3883</v>
      </c>
      <c r="W1052" s="169"/>
      <c r="X1052" s="219">
        <v>45619.0</v>
      </c>
    </row>
    <row r="1053" ht="15.0" customHeight="1">
      <c r="A1053" s="127">
        <v>45615.0</v>
      </c>
      <c r="B1053" s="181" t="s">
        <v>5855</v>
      </c>
      <c r="C1053" s="56" t="s">
        <v>3186</v>
      </c>
      <c r="D1053" s="73" t="str">
        <f>IFERROR(VLOOKUP(C1053,Stock,3,FALSE),"")</f>
        <v>Daihatsu Gran Max / Luxio 07-</v>
      </c>
      <c r="E1053" s="56">
        <v>1.0</v>
      </c>
      <c r="F1053" s="161">
        <v>1048000.0</v>
      </c>
      <c r="G1053" s="162">
        <f t="shared" si="27"/>
        <v>1048000</v>
      </c>
      <c r="H1053" s="194"/>
      <c r="I1053" s="161">
        <f t="shared" si="25"/>
        <v>1048000</v>
      </c>
      <c r="J1053" s="164">
        <f t="shared" si="26"/>
        <v>1048000</v>
      </c>
      <c r="K1053" s="56" t="s">
        <v>4155</v>
      </c>
      <c r="L1053" s="165" t="s">
        <v>5856</v>
      </c>
      <c r="M1053" s="73"/>
      <c r="N1053" s="169" t="s">
        <v>5857</v>
      </c>
      <c r="O1053" s="169" t="s">
        <v>2958</v>
      </c>
      <c r="P1053" s="168" t="s">
        <v>3112</v>
      </c>
      <c r="Q1053" s="173"/>
      <c r="R1053" s="167">
        <v>1048000.0</v>
      </c>
      <c r="S1053" s="173"/>
      <c r="T1053" s="173"/>
      <c r="U1053" s="173"/>
      <c r="V1053" s="168" t="s">
        <v>3883</v>
      </c>
      <c r="W1053" s="169"/>
      <c r="X1053" s="219">
        <v>45619.0</v>
      </c>
    </row>
    <row r="1054" ht="15.0" customHeight="1">
      <c r="A1054" s="127">
        <v>45615.0</v>
      </c>
      <c r="B1054" s="181" t="s">
        <v>5858</v>
      </c>
      <c r="C1054" s="56" t="s">
        <v>2944</v>
      </c>
      <c r="D1054" s="73" t="str">
        <f>IFERROR(VLOOKUP(C1054,Stock,3,FALSE),"")</f>
        <v>Nissan X-Trail 13- T32</v>
      </c>
      <c r="E1054" s="56">
        <v>1.0</v>
      </c>
      <c r="F1054" s="161">
        <v>2782000.0</v>
      </c>
      <c r="G1054" s="162">
        <f t="shared" si="27"/>
        <v>2782000</v>
      </c>
      <c r="H1054" s="201">
        <v>132000.0</v>
      </c>
      <c r="I1054" s="161">
        <f t="shared" si="25"/>
        <v>2650000</v>
      </c>
      <c r="J1054" s="164">
        <f t="shared" si="26"/>
        <v>2650000</v>
      </c>
      <c r="K1054" s="56" t="s">
        <v>5859</v>
      </c>
      <c r="L1054" s="165" t="s">
        <v>5860</v>
      </c>
      <c r="M1054" s="73"/>
      <c r="N1054" s="169" t="s">
        <v>5861</v>
      </c>
      <c r="O1054" s="169" t="s">
        <v>2958</v>
      </c>
      <c r="P1054" s="168" t="s">
        <v>3112</v>
      </c>
      <c r="Q1054" s="173"/>
      <c r="R1054" s="167">
        <v>2650000.0</v>
      </c>
      <c r="S1054" s="173"/>
      <c r="T1054" s="173"/>
      <c r="U1054" s="173"/>
      <c r="V1054" s="168" t="s">
        <v>3883</v>
      </c>
      <c r="W1054" s="169"/>
      <c r="X1054" s="219">
        <v>45619.0</v>
      </c>
    </row>
    <row r="1055" ht="15.0" customHeight="1">
      <c r="A1055" s="127"/>
      <c r="B1055" s="181" t="s">
        <v>5862</v>
      </c>
      <c r="C1055" s="181" t="s">
        <v>4340</v>
      </c>
      <c r="D1055" s="73" t="str">
        <f>IFERROR(VLOOKUP(C1055,Stock,3,FALSE),"")</f>
        <v/>
      </c>
      <c r="E1055" s="56"/>
      <c r="F1055" s="161"/>
      <c r="G1055" s="162"/>
      <c r="H1055" s="194"/>
      <c r="I1055" s="161"/>
      <c r="J1055" s="164"/>
      <c r="K1055" s="56"/>
      <c r="L1055" s="56"/>
      <c r="M1055" s="73"/>
      <c r="N1055" s="171"/>
      <c r="O1055" s="169"/>
      <c r="P1055" s="168"/>
      <c r="Q1055" s="173"/>
      <c r="R1055" s="167"/>
      <c r="S1055" s="173"/>
      <c r="T1055" s="173"/>
      <c r="U1055" s="173"/>
      <c r="V1055" s="168"/>
      <c r="W1055" s="169"/>
      <c r="X1055" s="171"/>
    </row>
    <row r="1056" ht="15.0" customHeight="1">
      <c r="A1056" s="127">
        <v>45616.0</v>
      </c>
      <c r="B1056" s="181" t="s">
        <v>5863</v>
      </c>
      <c r="C1056" s="327" t="s">
        <v>2555</v>
      </c>
      <c r="D1056" s="73" t="str">
        <f>IFERROR(VLOOKUP(C1056,Stock,3,FALSE),"")</f>
        <v>Toyota Fortuner 15-  2nd Gen (Toyota)</v>
      </c>
      <c r="E1056" s="56">
        <v>1.0</v>
      </c>
      <c r="F1056" s="161">
        <v>2698000.0</v>
      </c>
      <c r="G1056" s="162">
        <f t="shared" ref="G1056:G1059" si="28">$E$611*F1056</f>
        <v>2698000</v>
      </c>
      <c r="H1056" s="194"/>
      <c r="I1056" s="161">
        <f t="shared" ref="I1056:I1304" si="29">G1056-H1056</f>
        <v>2698000</v>
      </c>
      <c r="J1056" s="164">
        <f t="shared" ref="J1056:J2299" si="30">I1056</f>
        <v>2698000</v>
      </c>
      <c r="K1056" s="56" t="s">
        <v>4271</v>
      </c>
      <c r="L1056" s="165" t="s">
        <v>4001</v>
      </c>
      <c r="M1056" s="73"/>
      <c r="N1056" s="171"/>
      <c r="O1056" s="169" t="s">
        <v>3037</v>
      </c>
      <c r="P1056" s="168" t="s">
        <v>4002</v>
      </c>
      <c r="Q1056" s="167">
        <v>1698000.0</v>
      </c>
      <c r="R1056" s="167">
        <v>1000000.0</v>
      </c>
      <c r="S1056" s="173"/>
      <c r="T1056" s="173"/>
      <c r="U1056" s="173"/>
      <c r="V1056" s="168" t="s">
        <v>3799</v>
      </c>
      <c r="W1056" s="169"/>
      <c r="X1056" s="219">
        <v>45643.0</v>
      </c>
    </row>
    <row r="1057" ht="15.0" customHeight="1">
      <c r="A1057" s="127">
        <v>45616.0</v>
      </c>
      <c r="B1057" s="181" t="s">
        <v>5864</v>
      </c>
      <c r="C1057" s="56" t="s">
        <v>3360</v>
      </c>
      <c r="D1057" s="73" t="str">
        <f>IFERROR(VLOOKUP(C1057,Stock,3,FALSE),"")</f>
        <v>Mitsubishi Xpander 17-</v>
      </c>
      <c r="E1057" s="56">
        <v>1.0</v>
      </c>
      <c r="F1057" s="161">
        <v>1800000.0</v>
      </c>
      <c r="G1057" s="162">
        <f t="shared" si="28"/>
        <v>1800000</v>
      </c>
      <c r="H1057" s="194"/>
      <c r="I1057" s="161">
        <f t="shared" si="29"/>
        <v>1800000</v>
      </c>
      <c r="J1057" s="164">
        <f t="shared" si="30"/>
        <v>1800000</v>
      </c>
      <c r="K1057" s="56" t="s">
        <v>5865</v>
      </c>
      <c r="L1057" s="165" t="s">
        <v>5866</v>
      </c>
      <c r="M1057" s="73"/>
      <c r="N1057" s="171"/>
      <c r="O1057" s="169" t="s">
        <v>2958</v>
      </c>
      <c r="P1057" s="168" t="s">
        <v>3112</v>
      </c>
      <c r="Q1057" s="173"/>
      <c r="R1057" s="167">
        <v>1800000.0</v>
      </c>
      <c r="S1057" s="173"/>
      <c r="T1057" s="173"/>
      <c r="U1057" s="173"/>
      <c r="V1057" s="168" t="s">
        <v>3883</v>
      </c>
      <c r="W1057" s="169"/>
      <c r="X1057" s="219">
        <v>45619.0</v>
      </c>
    </row>
    <row r="1058" ht="15.0" customHeight="1">
      <c r="A1058" s="127">
        <v>45617.0</v>
      </c>
      <c r="B1058" s="181" t="s">
        <v>5867</v>
      </c>
      <c r="C1058" s="56" t="s">
        <v>2541</v>
      </c>
      <c r="D1058" s="73" t="str">
        <f>IFERROR(VLOOKUP(C1058,Stock,3,FALSE),"")</f>
        <v>Nissan Datsun Go/Go+ 14- (5-Seater)</v>
      </c>
      <c r="E1058" s="56">
        <v>1.0</v>
      </c>
      <c r="F1058" s="161">
        <v>1370000.0</v>
      </c>
      <c r="G1058" s="162">
        <f t="shared" si="28"/>
        <v>1370000</v>
      </c>
      <c r="H1058" s="194"/>
      <c r="I1058" s="161">
        <f t="shared" si="29"/>
        <v>1370000</v>
      </c>
      <c r="J1058" s="164">
        <f t="shared" si="30"/>
        <v>1370000</v>
      </c>
      <c r="K1058" s="56" t="s">
        <v>5868</v>
      </c>
      <c r="L1058" s="165" t="s">
        <v>5869</v>
      </c>
      <c r="M1058" s="56" t="s">
        <v>5870</v>
      </c>
      <c r="N1058" s="169" t="s">
        <v>5871</v>
      </c>
      <c r="O1058" s="169" t="s">
        <v>2958</v>
      </c>
      <c r="P1058" s="168" t="s">
        <v>3112</v>
      </c>
      <c r="Q1058" s="173"/>
      <c r="R1058" s="167">
        <v>1370000.0</v>
      </c>
      <c r="S1058" s="173"/>
      <c r="T1058" s="173"/>
      <c r="U1058" s="173"/>
      <c r="V1058" s="168" t="s">
        <v>3799</v>
      </c>
      <c r="W1058" s="169"/>
      <c r="X1058" s="219">
        <v>45619.0</v>
      </c>
    </row>
    <row r="1059" ht="15.0" customHeight="1">
      <c r="A1059" s="127">
        <v>45617.0</v>
      </c>
      <c r="B1059" s="181" t="s">
        <v>5872</v>
      </c>
      <c r="C1059" s="327" t="s">
        <v>2783</v>
      </c>
      <c r="D1059" s="73" t="str">
        <f>IFERROR(VLOOKUP(C1059,Stock,3,FALSE),"")</f>
        <v>Mers-Benz C-Class 07-14 W204 (1 Sensor/ □)</v>
      </c>
      <c r="E1059" s="56">
        <v>1.0</v>
      </c>
      <c r="F1059" s="161">
        <v>3772000.0</v>
      </c>
      <c r="G1059" s="162">
        <f t="shared" si="28"/>
        <v>3772000</v>
      </c>
      <c r="H1059" s="194"/>
      <c r="I1059" s="161">
        <f t="shared" si="29"/>
        <v>3772000</v>
      </c>
      <c r="J1059" s="164">
        <f t="shared" si="30"/>
        <v>3772000</v>
      </c>
      <c r="K1059" s="56" t="s">
        <v>5873</v>
      </c>
      <c r="L1059" s="165" t="s">
        <v>5874</v>
      </c>
      <c r="M1059" s="73"/>
      <c r="N1059" s="171"/>
      <c r="O1059" s="169" t="s">
        <v>2958</v>
      </c>
      <c r="P1059" s="168" t="s">
        <v>3112</v>
      </c>
      <c r="Q1059" s="173"/>
      <c r="R1059" s="167">
        <v>3772000.0</v>
      </c>
      <c r="S1059" s="173"/>
      <c r="T1059" s="173"/>
      <c r="U1059" s="173"/>
      <c r="V1059" s="168" t="s">
        <v>3883</v>
      </c>
      <c r="W1059" s="169"/>
      <c r="X1059" s="169" t="s">
        <v>5875</v>
      </c>
    </row>
    <row r="1060" ht="15.0" customHeight="1">
      <c r="A1060" s="127">
        <v>45618.0</v>
      </c>
      <c r="B1060" s="181" t="s">
        <v>5876</v>
      </c>
      <c r="C1060" s="56" t="s">
        <v>3059</v>
      </c>
      <c r="D1060" s="73" t="str">
        <f>IFERROR(VLOOKUP(C1060,Stock,3,FALSE),"")</f>
        <v>Sealant Polyurethane XYG Tube</v>
      </c>
      <c r="E1060" s="56">
        <v>2.0</v>
      </c>
      <c r="F1060" s="161">
        <v>69000.0</v>
      </c>
      <c r="G1060" s="162">
        <f>E1060*F1060</f>
        <v>138000</v>
      </c>
      <c r="H1060" s="194"/>
      <c r="I1060" s="161">
        <f t="shared" si="29"/>
        <v>138000</v>
      </c>
      <c r="J1060" s="164">
        <f t="shared" si="30"/>
        <v>138000</v>
      </c>
      <c r="K1060" s="56" t="s">
        <v>5877</v>
      </c>
      <c r="L1060" s="165" t="s">
        <v>5878</v>
      </c>
      <c r="M1060" s="73"/>
      <c r="N1060" s="171"/>
      <c r="O1060" s="169" t="s">
        <v>2958</v>
      </c>
      <c r="P1060" s="168" t="s">
        <v>3112</v>
      </c>
      <c r="Q1060" s="173"/>
      <c r="R1060" s="173"/>
      <c r="S1060" s="167">
        <v>150000.0</v>
      </c>
      <c r="T1060" s="167">
        <v>12000.0</v>
      </c>
      <c r="U1060" s="173"/>
      <c r="V1060" s="168" t="s">
        <v>3883</v>
      </c>
      <c r="W1060" s="169"/>
      <c r="X1060" s="169" t="s">
        <v>5879</v>
      </c>
    </row>
    <row r="1061" ht="15.0" customHeight="1">
      <c r="A1061" s="127">
        <v>45618.0</v>
      </c>
      <c r="B1061" s="181" t="s">
        <v>5880</v>
      </c>
      <c r="C1061" s="56" t="s">
        <v>5881</v>
      </c>
      <c r="D1061" s="73" t="str">
        <f>IFERROR(VLOOKUP(C1061,Stock,3,FALSE),"")</f>
        <v>Nissan Serena 99-10 MKII C24</v>
      </c>
      <c r="E1061" s="56">
        <v>1.0</v>
      </c>
      <c r="F1061" s="161">
        <v>3196000.0</v>
      </c>
      <c r="G1061" s="162">
        <f t="shared" ref="G1061:G1073" si="31">$E$611*F1061</f>
        <v>3196000</v>
      </c>
      <c r="H1061" s="201">
        <v>196000.0</v>
      </c>
      <c r="I1061" s="161">
        <f t="shared" si="29"/>
        <v>3000000</v>
      </c>
      <c r="J1061" s="164">
        <f t="shared" si="30"/>
        <v>3000000</v>
      </c>
      <c r="K1061" s="327" t="s">
        <v>5882</v>
      </c>
      <c r="L1061" s="165" t="s">
        <v>5883</v>
      </c>
      <c r="M1061" s="73"/>
      <c r="N1061" s="171"/>
      <c r="O1061" s="169" t="s">
        <v>2958</v>
      </c>
      <c r="P1061" s="168" t="s">
        <v>3112</v>
      </c>
      <c r="Q1061" s="173"/>
      <c r="R1061" s="167">
        <v>3000000.0</v>
      </c>
      <c r="S1061" s="173"/>
      <c r="T1061" s="173"/>
      <c r="U1061" s="173"/>
      <c r="V1061" s="168" t="s">
        <v>3799</v>
      </c>
      <c r="W1061" s="169"/>
      <c r="X1061" s="219">
        <v>45619.0</v>
      </c>
    </row>
    <row r="1062" ht="15.0" customHeight="1">
      <c r="A1062" s="127">
        <v>45618.0</v>
      </c>
      <c r="B1062" s="181" t="s">
        <v>5880</v>
      </c>
      <c r="C1062" s="56" t="s">
        <v>2954</v>
      </c>
      <c r="D1062" s="73" t="str">
        <f>IFERROR(VLOOKUP(C1062,Stock,3,FALSE),"")</f>
        <v>Transport</v>
      </c>
      <c r="E1062" s="56">
        <v>1.0</v>
      </c>
      <c r="F1062" s="161">
        <v>75000.0</v>
      </c>
      <c r="G1062" s="162">
        <f t="shared" si="31"/>
        <v>75000</v>
      </c>
      <c r="H1062" s="201">
        <v>75000.0</v>
      </c>
      <c r="I1062" s="161">
        <f t="shared" si="29"/>
        <v>0</v>
      </c>
      <c r="J1062" s="164">
        <f t="shared" si="30"/>
        <v>0</v>
      </c>
      <c r="K1062" s="327" t="s">
        <v>5882</v>
      </c>
      <c r="L1062" s="165" t="s">
        <v>5883</v>
      </c>
      <c r="M1062" s="73"/>
      <c r="N1062" s="171"/>
      <c r="O1062" s="169" t="s">
        <v>2958</v>
      </c>
      <c r="P1062" s="168" t="s">
        <v>3112</v>
      </c>
      <c r="Q1062" s="173"/>
      <c r="R1062" s="173"/>
      <c r="S1062" s="173"/>
      <c r="T1062" s="173"/>
      <c r="U1062" s="173"/>
      <c r="V1062" s="168" t="s">
        <v>3799</v>
      </c>
      <c r="W1062" s="169"/>
      <c r="X1062" s="219">
        <v>45619.0</v>
      </c>
    </row>
    <row r="1063" ht="15.0" customHeight="1">
      <c r="A1063" s="127">
        <v>45618.0</v>
      </c>
      <c r="B1063" s="181" t="s">
        <v>5884</v>
      </c>
      <c r="C1063" s="56" t="s">
        <v>2670</v>
      </c>
      <c r="D1063" s="73" t="str">
        <f>IFERROR(VLOOKUP(C1063,Stock,3,FALSE),"")</f>
        <v>Honda City 02-08 4th Gen Idsi GD8</v>
      </c>
      <c r="E1063" s="56">
        <v>1.0</v>
      </c>
      <c r="F1063" s="161">
        <v>2148000.0</v>
      </c>
      <c r="G1063" s="162">
        <f t="shared" si="31"/>
        <v>2148000</v>
      </c>
      <c r="H1063" s="194"/>
      <c r="I1063" s="161">
        <f t="shared" si="29"/>
        <v>2148000</v>
      </c>
      <c r="J1063" s="164">
        <f t="shared" si="30"/>
        <v>2148000</v>
      </c>
      <c r="K1063" s="56" t="s">
        <v>5885</v>
      </c>
      <c r="L1063" s="165" t="s">
        <v>5886</v>
      </c>
      <c r="M1063" s="73"/>
      <c r="N1063" s="171"/>
      <c r="O1063" s="169" t="s">
        <v>2958</v>
      </c>
      <c r="P1063" s="168" t="s">
        <v>3112</v>
      </c>
      <c r="Q1063" s="167">
        <v>2150000.0</v>
      </c>
      <c r="R1063" s="173"/>
      <c r="S1063" s="173"/>
      <c r="T1063" s="173"/>
      <c r="U1063" s="167">
        <v>2000.0</v>
      </c>
      <c r="V1063" s="168" t="s">
        <v>3883</v>
      </c>
      <c r="W1063" s="169"/>
      <c r="X1063" s="219">
        <v>45619.0</v>
      </c>
    </row>
    <row r="1064" ht="15.0" customHeight="1">
      <c r="A1064" s="127">
        <v>45619.0</v>
      </c>
      <c r="B1064" s="181" t="s">
        <v>5887</v>
      </c>
      <c r="C1064" s="56" t="s">
        <v>2826</v>
      </c>
      <c r="D1064" s="73" t="str">
        <f>IFERROR(VLOOKUP(C1064,Stock,3,FALSE),"")</f>
        <v>Toyota Kijang 02-04 Kapsul Lem Efi </v>
      </c>
      <c r="E1064" s="56">
        <v>1.0</v>
      </c>
      <c r="F1064" s="161">
        <v>965000.0</v>
      </c>
      <c r="G1064" s="162">
        <f t="shared" si="31"/>
        <v>965000</v>
      </c>
      <c r="H1064" s="194"/>
      <c r="I1064" s="161">
        <f t="shared" si="29"/>
        <v>965000</v>
      </c>
      <c r="J1064" s="164">
        <f t="shared" si="30"/>
        <v>965000</v>
      </c>
      <c r="K1064" s="56" t="s">
        <v>5888</v>
      </c>
      <c r="L1064" s="165" t="s">
        <v>5889</v>
      </c>
      <c r="M1064" s="73"/>
      <c r="N1064" s="169" t="s">
        <v>5890</v>
      </c>
      <c r="O1064" s="169" t="s">
        <v>2958</v>
      </c>
      <c r="P1064" s="168" t="s">
        <v>3112</v>
      </c>
      <c r="Q1064" s="167">
        <v>1050000.0</v>
      </c>
      <c r="R1064" s="173"/>
      <c r="S1064" s="173"/>
      <c r="T1064" s="173"/>
      <c r="U1064" s="167">
        <v>10000.0</v>
      </c>
      <c r="V1064" s="168" t="s">
        <v>4262</v>
      </c>
      <c r="W1064" s="169"/>
      <c r="X1064" s="219">
        <v>45619.0</v>
      </c>
    </row>
    <row r="1065" ht="15.0" customHeight="1">
      <c r="A1065" s="127">
        <v>45619.0</v>
      </c>
      <c r="B1065" s="181" t="s">
        <v>5887</v>
      </c>
      <c r="C1065" s="251" t="s">
        <v>2954</v>
      </c>
      <c r="D1065" s="73" t="str">
        <f>IFERROR(VLOOKUP(C1065,Stock,3,FALSE),"")</f>
        <v>Transport</v>
      </c>
      <c r="E1065" s="56">
        <v>1.0</v>
      </c>
      <c r="F1065" s="161">
        <v>75000.0</v>
      </c>
      <c r="G1065" s="162">
        <f t="shared" si="31"/>
        <v>75000</v>
      </c>
      <c r="H1065" s="194"/>
      <c r="I1065" s="161">
        <f t="shared" si="29"/>
        <v>75000</v>
      </c>
      <c r="J1065" s="164">
        <f t="shared" si="30"/>
        <v>75000</v>
      </c>
      <c r="K1065" s="56" t="s">
        <v>5888</v>
      </c>
      <c r="L1065" s="165" t="s">
        <v>5889</v>
      </c>
      <c r="M1065" s="73"/>
      <c r="N1065" s="169" t="s">
        <v>5890</v>
      </c>
      <c r="O1065" s="169" t="s">
        <v>2958</v>
      </c>
      <c r="P1065" s="168" t="s">
        <v>3112</v>
      </c>
      <c r="Q1065" s="173"/>
      <c r="R1065" s="173"/>
      <c r="S1065" s="173"/>
      <c r="T1065" s="173"/>
      <c r="U1065" s="173"/>
      <c r="V1065" s="168" t="s">
        <v>4262</v>
      </c>
      <c r="W1065" s="169"/>
      <c r="X1065" s="219">
        <v>45619.0</v>
      </c>
    </row>
    <row r="1066" ht="15.0" customHeight="1">
      <c r="A1066" s="127">
        <v>45619.0</v>
      </c>
      <c r="B1066" s="181" t="s">
        <v>5891</v>
      </c>
      <c r="C1066" s="56" t="s">
        <v>5892</v>
      </c>
      <c r="D1066" s="73" t="str">
        <f>IFERROR(VLOOKUP(C1066,Stock,3,FALSE),"")</f>
        <v>Tata Superace 11-</v>
      </c>
      <c r="E1066" s="56">
        <v>1.0</v>
      </c>
      <c r="F1066" s="161">
        <v>1480000.0</v>
      </c>
      <c r="G1066" s="162">
        <f t="shared" si="31"/>
        <v>1480000</v>
      </c>
      <c r="H1066" s="194"/>
      <c r="I1066" s="161">
        <f t="shared" si="29"/>
        <v>1480000</v>
      </c>
      <c r="J1066" s="164">
        <f t="shared" si="30"/>
        <v>1480000</v>
      </c>
      <c r="K1066" s="56" t="s">
        <v>5893</v>
      </c>
      <c r="L1066" s="165" t="s">
        <v>5894</v>
      </c>
      <c r="M1066" s="73"/>
      <c r="N1066" s="171"/>
      <c r="O1066" s="169" t="s">
        <v>2958</v>
      </c>
      <c r="P1066" s="168" t="s">
        <v>3112</v>
      </c>
      <c r="Q1066" s="167">
        <v>1480000.0</v>
      </c>
      <c r="R1066" s="173"/>
      <c r="S1066" s="173"/>
      <c r="T1066" s="173"/>
      <c r="U1066" s="173"/>
      <c r="V1066" s="168" t="s">
        <v>3799</v>
      </c>
      <c r="W1066" s="169"/>
      <c r="X1066" s="219">
        <v>45619.0</v>
      </c>
    </row>
    <row r="1067" ht="15.0" customHeight="1">
      <c r="A1067" s="127">
        <v>45619.0</v>
      </c>
      <c r="B1067" s="181" t="s">
        <v>5895</v>
      </c>
      <c r="C1067" s="56" t="s">
        <v>4775</v>
      </c>
      <c r="D1067" s="73" t="str">
        <f>IFERROR(VLOOKUP(C1067,Stock,3,FALSE),"")</f>
        <v>Toyota Avanza / Xenia 11-15 2nd Gen / 15-21 3rd Gen</v>
      </c>
      <c r="E1067" s="56">
        <v>1.0</v>
      </c>
      <c r="F1067" s="161">
        <v>900000.0</v>
      </c>
      <c r="G1067" s="162">
        <f t="shared" si="31"/>
        <v>900000</v>
      </c>
      <c r="H1067" s="194"/>
      <c r="I1067" s="161">
        <f t="shared" si="29"/>
        <v>900000</v>
      </c>
      <c r="J1067" s="164">
        <f t="shared" si="30"/>
        <v>900000</v>
      </c>
      <c r="K1067" s="56" t="s">
        <v>5896</v>
      </c>
      <c r="L1067" s="165" t="s">
        <v>5897</v>
      </c>
      <c r="M1067" s="73"/>
      <c r="N1067" s="169" t="s">
        <v>5898</v>
      </c>
      <c r="O1067" s="324" t="s">
        <v>3213</v>
      </c>
      <c r="P1067" s="168" t="s">
        <v>3112</v>
      </c>
      <c r="Q1067" s="167">
        <v>900000.0</v>
      </c>
      <c r="R1067" s="173"/>
      <c r="S1067" s="173"/>
      <c r="T1067" s="173"/>
      <c r="U1067" s="173"/>
      <c r="V1067" s="168" t="s">
        <v>3883</v>
      </c>
      <c r="W1067" s="169"/>
      <c r="X1067" s="219">
        <v>45619.0</v>
      </c>
    </row>
    <row r="1068" ht="15.0" customHeight="1">
      <c r="A1068" s="127">
        <v>45619.0</v>
      </c>
      <c r="B1068" s="181" t="s">
        <v>5899</v>
      </c>
      <c r="C1068" s="56" t="s">
        <v>3176</v>
      </c>
      <c r="D1068" s="73" t="str">
        <f>IFERROR(VLOOKUP(C1068,Stock,3,FALSE),"")</f>
        <v>Toyota Avanza / Xenia 11-15 2nd Gen / 15-21 3rd Gen</v>
      </c>
      <c r="E1068" s="56">
        <v>1.0</v>
      </c>
      <c r="F1068" s="161">
        <v>880000.0</v>
      </c>
      <c r="G1068" s="162">
        <f t="shared" si="31"/>
        <v>880000</v>
      </c>
      <c r="H1068" s="194"/>
      <c r="I1068" s="161">
        <f t="shared" si="29"/>
        <v>880000</v>
      </c>
      <c r="J1068" s="164">
        <f t="shared" si="30"/>
        <v>880000</v>
      </c>
      <c r="K1068" s="56" t="s">
        <v>5900</v>
      </c>
      <c r="L1068" s="165" t="s">
        <v>5901</v>
      </c>
      <c r="M1068" s="73"/>
      <c r="N1068" s="289" t="s">
        <v>5902</v>
      </c>
      <c r="O1068" s="169" t="s">
        <v>2958</v>
      </c>
      <c r="P1068" s="168" t="s">
        <v>3112</v>
      </c>
      <c r="Q1068" s="167">
        <v>40000.0</v>
      </c>
      <c r="R1068" s="167">
        <v>840000.0</v>
      </c>
      <c r="S1068" s="173"/>
      <c r="T1068" s="173"/>
      <c r="U1068" s="173"/>
      <c r="V1068" s="168" t="s">
        <v>3799</v>
      </c>
      <c r="W1068" s="169"/>
      <c r="X1068" s="219">
        <v>45619.0</v>
      </c>
    </row>
    <row r="1069" ht="15.0" customHeight="1">
      <c r="A1069" s="127">
        <v>45620.0</v>
      </c>
      <c r="B1069" s="181" t="s">
        <v>5903</v>
      </c>
      <c r="C1069" s="56" t="s">
        <v>4608</v>
      </c>
      <c r="D1069" s="73" t="str">
        <f>IFERROR(VLOOKUP(C1069,Stock,3,FALSE),"")</f>
        <v>Suzuki APV 03- Van</v>
      </c>
      <c r="E1069" s="56">
        <v>1.0</v>
      </c>
      <c r="F1069" s="161">
        <v>615000.0</v>
      </c>
      <c r="G1069" s="162">
        <f t="shared" si="31"/>
        <v>615000</v>
      </c>
      <c r="H1069" s="194"/>
      <c r="I1069" s="161">
        <f t="shared" si="29"/>
        <v>615000</v>
      </c>
      <c r="J1069" s="164">
        <f t="shared" si="30"/>
        <v>615000</v>
      </c>
      <c r="K1069" s="56" t="s">
        <v>5904</v>
      </c>
      <c r="L1069" s="165" t="s">
        <v>5905</v>
      </c>
      <c r="M1069" s="73"/>
      <c r="N1069" s="171"/>
      <c r="O1069" s="169" t="s">
        <v>2958</v>
      </c>
      <c r="P1069" s="168" t="s">
        <v>3112</v>
      </c>
      <c r="Q1069" s="173"/>
      <c r="R1069" s="167">
        <v>615000.0</v>
      </c>
      <c r="S1069" s="173"/>
      <c r="T1069" s="173"/>
      <c r="U1069" s="173"/>
      <c r="V1069" s="168" t="s">
        <v>3883</v>
      </c>
      <c r="W1069" s="169"/>
      <c r="X1069" s="219">
        <v>45624.0</v>
      </c>
    </row>
    <row r="1070" ht="15.0" customHeight="1">
      <c r="A1070" s="127">
        <v>45620.0</v>
      </c>
      <c r="B1070" s="181" t="s">
        <v>5903</v>
      </c>
      <c r="C1070" s="251" t="s">
        <v>2934</v>
      </c>
      <c r="D1070" s="73" t="str">
        <f>IFERROR(VLOOKUP(C1070,Stock,3,FALSE),"")</f>
        <v>Peti Kayu</v>
      </c>
      <c r="E1070" s="56">
        <v>1.0</v>
      </c>
      <c r="F1070" s="161">
        <v>200000.0</v>
      </c>
      <c r="G1070" s="162">
        <f t="shared" si="31"/>
        <v>200000</v>
      </c>
      <c r="H1070" s="194"/>
      <c r="I1070" s="161">
        <f t="shared" si="29"/>
        <v>200000</v>
      </c>
      <c r="J1070" s="164">
        <f t="shared" si="30"/>
        <v>200000</v>
      </c>
      <c r="K1070" s="56" t="s">
        <v>5904</v>
      </c>
      <c r="L1070" s="165" t="s">
        <v>5905</v>
      </c>
      <c r="M1070" s="73"/>
      <c r="N1070" s="171"/>
      <c r="O1070" s="169" t="s">
        <v>2958</v>
      </c>
      <c r="P1070" s="168" t="s">
        <v>3112</v>
      </c>
      <c r="Q1070" s="173"/>
      <c r="R1070" s="167">
        <v>200000.0</v>
      </c>
      <c r="S1070" s="173"/>
      <c r="T1070" s="173"/>
      <c r="U1070" s="173"/>
      <c r="V1070" s="168" t="s">
        <v>3883</v>
      </c>
      <c r="W1070" s="169"/>
      <c r="X1070" s="219">
        <v>45624.0</v>
      </c>
    </row>
    <row r="1071" ht="15.0" customHeight="1">
      <c r="A1071" s="127">
        <v>45620.0</v>
      </c>
      <c r="B1071" s="181" t="s">
        <v>5906</v>
      </c>
      <c r="C1071" s="327" t="s">
        <v>5907</v>
      </c>
      <c r="D1071" s="73" t="str">
        <f>IFERROR(VLOOKUP(C1071,Stock,3,FALSE),"")</f>
        <v>Toyota Kijang 02-04 Kapsul Lem Efi</v>
      </c>
      <c r="E1071" s="56">
        <v>1.0</v>
      </c>
      <c r="F1071" s="161">
        <v>1200000.0</v>
      </c>
      <c r="G1071" s="162">
        <f t="shared" si="31"/>
        <v>1200000</v>
      </c>
      <c r="H1071" s="194"/>
      <c r="I1071" s="161">
        <f t="shared" si="29"/>
        <v>1200000</v>
      </c>
      <c r="J1071" s="164">
        <f t="shared" si="30"/>
        <v>1200000</v>
      </c>
      <c r="K1071" s="228" t="s">
        <v>5908</v>
      </c>
      <c r="L1071" s="165" t="s">
        <v>5909</v>
      </c>
      <c r="M1071" s="73"/>
      <c r="N1071" s="171"/>
      <c r="O1071" s="169" t="s">
        <v>2958</v>
      </c>
      <c r="P1071" s="168" t="s">
        <v>3112</v>
      </c>
      <c r="Q1071" s="167">
        <v>700000.0</v>
      </c>
      <c r="R1071" s="167">
        <v>500000.0</v>
      </c>
      <c r="S1071" s="173"/>
      <c r="T1071" s="173"/>
      <c r="U1071" s="173"/>
      <c r="V1071" s="168" t="s">
        <v>3883</v>
      </c>
      <c r="W1071" s="169"/>
      <c r="X1071" s="219">
        <v>45624.0</v>
      </c>
    </row>
    <row r="1072" ht="15.0" customHeight="1">
      <c r="A1072" s="127">
        <v>45620.0</v>
      </c>
      <c r="B1072" s="181" t="s">
        <v>5910</v>
      </c>
      <c r="C1072" s="56" t="s">
        <v>3574</v>
      </c>
      <c r="D1072" s="73" t="str">
        <f>IFERROR(VLOOKUP(C1072,Stock,3,FALSE),"")</f>
        <v>Toyota Rush / Terios 06-17</v>
      </c>
      <c r="E1072" s="56">
        <v>1.0</v>
      </c>
      <c r="F1072" s="161">
        <v>805000.0</v>
      </c>
      <c r="G1072" s="162">
        <f t="shared" si="31"/>
        <v>805000</v>
      </c>
      <c r="H1072" s="194"/>
      <c r="I1072" s="161">
        <f t="shared" si="29"/>
        <v>805000</v>
      </c>
      <c r="J1072" s="164">
        <f t="shared" si="30"/>
        <v>805000</v>
      </c>
      <c r="K1072" s="228" t="s">
        <v>5911</v>
      </c>
      <c r="L1072" s="309" t="s">
        <v>5912</v>
      </c>
      <c r="M1072" s="73"/>
      <c r="N1072" s="171"/>
      <c r="O1072" s="169" t="s">
        <v>2958</v>
      </c>
      <c r="P1072" s="168" t="s">
        <v>3112</v>
      </c>
      <c r="Q1072" s="173"/>
      <c r="R1072" s="167">
        <v>805000.0</v>
      </c>
      <c r="S1072" s="173"/>
      <c r="T1072" s="173"/>
      <c r="U1072" s="173"/>
      <c r="V1072" s="168" t="s">
        <v>3883</v>
      </c>
      <c r="W1072" s="169"/>
      <c r="X1072" s="219">
        <v>45624.0</v>
      </c>
    </row>
    <row r="1073" ht="15.0" customHeight="1">
      <c r="A1073" s="127">
        <v>45620.0</v>
      </c>
      <c r="B1073" s="181" t="s">
        <v>5910</v>
      </c>
      <c r="C1073" s="251" t="s">
        <v>2934</v>
      </c>
      <c r="D1073" s="73" t="str">
        <f>IFERROR(VLOOKUP(C1073,Stock,3,FALSE),"")</f>
        <v>Peti Kayu</v>
      </c>
      <c r="E1073" s="56">
        <v>1.0</v>
      </c>
      <c r="F1073" s="161">
        <v>200000.0</v>
      </c>
      <c r="G1073" s="162">
        <f t="shared" si="31"/>
        <v>200000</v>
      </c>
      <c r="H1073" s="194"/>
      <c r="I1073" s="161">
        <f t="shared" si="29"/>
        <v>200000</v>
      </c>
      <c r="J1073" s="164">
        <f t="shared" si="30"/>
        <v>200000</v>
      </c>
      <c r="K1073" s="228" t="s">
        <v>5911</v>
      </c>
      <c r="L1073" s="165" t="s">
        <v>5912</v>
      </c>
      <c r="M1073" s="73"/>
      <c r="N1073" s="171"/>
      <c r="O1073" s="169" t="s">
        <v>2958</v>
      </c>
      <c r="P1073" s="168" t="s">
        <v>3645</v>
      </c>
      <c r="Q1073" s="173"/>
      <c r="R1073" s="167">
        <v>200000.0</v>
      </c>
      <c r="S1073" s="173"/>
      <c r="T1073" s="173"/>
      <c r="U1073" s="173"/>
      <c r="V1073" s="168" t="s">
        <v>3883</v>
      </c>
      <c r="W1073" s="169"/>
      <c r="X1073" s="219">
        <v>45624.0</v>
      </c>
    </row>
    <row r="1074" ht="15.0" customHeight="1">
      <c r="A1074" s="127">
        <v>45620.0</v>
      </c>
      <c r="B1074" s="181" t="s">
        <v>5910</v>
      </c>
      <c r="C1074" s="169" t="s">
        <v>4027</v>
      </c>
      <c r="D1074" s="73" t="str">
        <f>IFERROR(VLOOKUP(C1074,Stock,3,FALSE),"")</f>
        <v>501 Sealant Application</v>
      </c>
      <c r="E1074" s="56">
        <v>5.0</v>
      </c>
      <c r="F1074" s="161">
        <v>95000.0</v>
      </c>
      <c r="G1074" s="162">
        <f t="shared" ref="G1074:G1304" si="32">E1074*F1074</f>
        <v>475000</v>
      </c>
      <c r="H1074" s="194"/>
      <c r="I1074" s="161">
        <f t="shared" si="29"/>
        <v>475000</v>
      </c>
      <c r="J1074" s="164">
        <f t="shared" si="30"/>
        <v>475000</v>
      </c>
      <c r="K1074" s="228" t="s">
        <v>5911</v>
      </c>
      <c r="L1074" s="165" t="s">
        <v>5912</v>
      </c>
      <c r="M1074" s="73"/>
      <c r="N1074" s="171"/>
      <c r="O1074" s="169" t="s">
        <v>2958</v>
      </c>
      <c r="P1074" s="168" t="s">
        <v>3645</v>
      </c>
      <c r="Q1074" s="173"/>
      <c r="R1074" s="167">
        <v>475000.0</v>
      </c>
      <c r="S1074" s="173"/>
      <c r="T1074" s="173"/>
      <c r="U1074" s="173"/>
      <c r="V1074" s="168" t="s">
        <v>3883</v>
      </c>
      <c r="W1074" s="169"/>
      <c r="X1074" s="219">
        <v>45624.0</v>
      </c>
    </row>
    <row r="1075" ht="15.0" customHeight="1">
      <c r="A1075" s="127">
        <v>45620.0</v>
      </c>
      <c r="B1075" s="328" t="s">
        <v>5913</v>
      </c>
      <c r="C1075" s="327" t="s">
        <v>2669</v>
      </c>
      <c r="D1075" s="73" t="str">
        <f>IFERROR(VLOOKUP(C1075,Stock,3,FALSE),"")</f>
        <v>Nissan Livina 07-18 L10/L11</v>
      </c>
      <c r="E1075" s="56">
        <v>1.0</v>
      </c>
      <c r="F1075" s="161">
        <v>1422000.0</v>
      </c>
      <c r="G1075" s="162">
        <f t="shared" si="32"/>
        <v>1422000</v>
      </c>
      <c r="H1075" s="194"/>
      <c r="I1075" s="161">
        <f t="shared" si="29"/>
        <v>1422000</v>
      </c>
      <c r="J1075" s="164">
        <f t="shared" si="30"/>
        <v>1422000</v>
      </c>
      <c r="K1075" s="56" t="s">
        <v>5914</v>
      </c>
      <c r="L1075" s="181">
        <v>8.1703672342E10</v>
      </c>
      <c r="M1075" s="73"/>
      <c r="N1075" s="171"/>
      <c r="O1075" s="169" t="s">
        <v>2958</v>
      </c>
      <c r="P1075" s="168" t="s">
        <v>3645</v>
      </c>
      <c r="Q1075" s="167">
        <v>1452000.0</v>
      </c>
      <c r="R1075" s="173"/>
      <c r="S1075" s="173"/>
      <c r="T1075" s="173"/>
      <c r="U1075" s="167">
        <v>30000.0</v>
      </c>
      <c r="V1075" s="168" t="s">
        <v>3883</v>
      </c>
      <c r="W1075" s="169"/>
      <c r="X1075" s="219">
        <v>45624.0</v>
      </c>
    </row>
    <row r="1076" ht="15.0" customHeight="1">
      <c r="A1076" s="127">
        <v>45621.0</v>
      </c>
      <c r="B1076" s="181" t="s">
        <v>5915</v>
      </c>
      <c r="C1076" s="56" t="s">
        <v>4901</v>
      </c>
      <c r="D1076" s="73" t="str">
        <f>IFERROR(VLOOKUP(C1076,Stock,3,FALSE),"")</f>
        <v>Toyota Rush / Terios 18-</v>
      </c>
      <c r="E1076" s="56">
        <v>1.0</v>
      </c>
      <c r="F1076" s="161">
        <v>1052000.0</v>
      </c>
      <c r="G1076" s="162">
        <f t="shared" si="32"/>
        <v>1052000</v>
      </c>
      <c r="H1076" s="194"/>
      <c r="I1076" s="161">
        <f t="shared" si="29"/>
        <v>1052000</v>
      </c>
      <c r="J1076" s="164">
        <f t="shared" si="30"/>
        <v>1052000</v>
      </c>
      <c r="K1076" s="251" t="s">
        <v>5916</v>
      </c>
      <c r="L1076" s="165" t="s">
        <v>5917</v>
      </c>
      <c r="M1076" s="73"/>
      <c r="N1076" s="169" t="s">
        <v>5918</v>
      </c>
      <c r="O1076" s="169" t="s">
        <v>2958</v>
      </c>
      <c r="P1076" s="168" t="s">
        <v>3112</v>
      </c>
      <c r="Q1076" s="173"/>
      <c r="R1076" s="167">
        <v>1052000.0</v>
      </c>
      <c r="S1076" s="173"/>
      <c r="T1076" s="173"/>
      <c r="U1076" s="173"/>
      <c r="V1076" s="168" t="s">
        <v>3883</v>
      </c>
      <c r="W1076" s="169"/>
      <c r="X1076" s="219">
        <v>45624.0</v>
      </c>
    </row>
    <row r="1077" ht="15.0" customHeight="1">
      <c r="A1077" s="127">
        <v>45621.0</v>
      </c>
      <c r="B1077" s="181" t="s">
        <v>5919</v>
      </c>
      <c r="C1077" s="327" t="s">
        <v>5458</v>
      </c>
      <c r="D1077" s="73" t="str">
        <f>IFERROR(VLOOKUP(C1077,Stock,3,FALSE),"")</f>
        <v>Isuzu Panther 00- 2nd Gen (Sealant)</v>
      </c>
      <c r="E1077" s="56">
        <v>1.0</v>
      </c>
      <c r="F1077" s="161">
        <v>850000.0</v>
      </c>
      <c r="G1077" s="162">
        <f t="shared" si="32"/>
        <v>850000</v>
      </c>
      <c r="H1077" s="194"/>
      <c r="I1077" s="161">
        <f t="shared" si="29"/>
        <v>850000</v>
      </c>
      <c r="J1077" s="164">
        <f t="shared" si="30"/>
        <v>850000</v>
      </c>
      <c r="K1077" s="228" t="s">
        <v>5920</v>
      </c>
      <c r="L1077" s="165" t="s">
        <v>5921</v>
      </c>
      <c r="M1077" s="56" t="s">
        <v>5922</v>
      </c>
      <c r="N1077" s="289" t="s">
        <v>5923</v>
      </c>
      <c r="O1077" s="169" t="s">
        <v>2958</v>
      </c>
      <c r="P1077" s="168" t="s">
        <v>3112</v>
      </c>
      <c r="Q1077" s="167">
        <v>900000.0</v>
      </c>
      <c r="R1077" s="173"/>
      <c r="S1077" s="173"/>
      <c r="T1077" s="173"/>
      <c r="U1077" s="167">
        <v>50000.0</v>
      </c>
      <c r="V1077" s="168" t="s">
        <v>3799</v>
      </c>
      <c r="W1077" s="169"/>
      <c r="X1077" s="219">
        <v>45624.0</v>
      </c>
    </row>
    <row r="1078" ht="15.0" customHeight="1">
      <c r="A1078" s="127">
        <v>45621.0</v>
      </c>
      <c r="B1078" s="181" t="s">
        <v>5924</v>
      </c>
      <c r="C1078" s="327" t="s">
        <v>3118</v>
      </c>
      <c r="D1078" s="73" t="str">
        <f>IFERROR(VLOOKUP(C1078,Stock,3,FALSE),"")</f>
        <v>Toyota Hilux Pickup 15- (Revo)</v>
      </c>
      <c r="E1078" s="56">
        <v>1.0</v>
      </c>
      <c r="F1078" s="161">
        <v>1800000.0</v>
      </c>
      <c r="G1078" s="162">
        <f t="shared" si="32"/>
        <v>1800000</v>
      </c>
      <c r="H1078" s="194"/>
      <c r="I1078" s="161">
        <f t="shared" si="29"/>
        <v>1800000</v>
      </c>
      <c r="J1078" s="164">
        <f t="shared" si="30"/>
        <v>1800000</v>
      </c>
      <c r="K1078" s="228" t="s">
        <v>5618</v>
      </c>
      <c r="L1078" s="165" t="s">
        <v>5619</v>
      </c>
      <c r="M1078" s="73"/>
      <c r="N1078" s="289" t="s">
        <v>5620</v>
      </c>
      <c r="O1078" s="169" t="s">
        <v>2958</v>
      </c>
      <c r="P1078" s="168" t="s">
        <v>3011</v>
      </c>
      <c r="Q1078" s="167">
        <v>1800000.0</v>
      </c>
      <c r="R1078" s="173"/>
      <c r="S1078" s="173"/>
      <c r="T1078" s="173"/>
      <c r="U1078" s="173"/>
      <c r="V1078" s="168" t="s">
        <v>3799</v>
      </c>
      <c r="W1078" s="169"/>
      <c r="X1078" s="219">
        <v>45624.0</v>
      </c>
    </row>
    <row r="1079" ht="15.0" customHeight="1">
      <c r="A1079" s="127">
        <v>45621.0</v>
      </c>
      <c r="B1079" s="181" t="s">
        <v>5925</v>
      </c>
      <c r="C1079" s="56" t="s">
        <v>5926</v>
      </c>
      <c r="D1079" s="73" t="str">
        <f>IFERROR(VLOOKUP(C1079,Stock,3,FALSE),"")</f>
        <v>Hyundai Santa Fe 12-18</v>
      </c>
      <c r="E1079" s="56">
        <v>1.0</v>
      </c>
      <c r="F1079" s="161">
        <v>2718000.0</v>
      </c>
      <c r="G1079" s="162">
        <f t="shared" si="32"/>
        <v>2718000</v>
      </c>
      <c r="H1079" s="201">
        <v>218000.0</v>
      </c>
      <c r="I1079" s="161">
        <f t="shared" si="29"/>
        <v>2500000</v>
      </c>
      <c r="J1079" s="164">
        <f t="shared" si="30"/>
        <v>2500000</v>
      </c>
      <c r="K1079" s="56" t="s">
        <v>5927</v>
      </c>
      <c r="L1079" s="165" t="s">
        <v>5928</v>
      </c>
      <c r="M1079" s="73"/>
      <c r="N1079" s="169" t="s">
        <v>5929</v>
      </c>
      <c r="O1079" s="169" t="s">
        <v>5930</v>
      </c>
      <c r="P1079" s="168" t="s">
        <v>2922</v>
      </c>
      <c r="Q1079" s="173"/>
      <c r="R1079" s="167">
        <v>2500000.0</v>
      </c>
      <c r="S1079" s="173"/>
      <c r="T1079" s="173"/>
      <c r="U1079" s="173"/>
      <c r="V1079" s="168" t="s">
        <v>3883</v>
      </c>
      <c r="W1079" s="169"/>
      <c r="X1079" s="219">
        <v>45624.0</v>
      </c>
    </row>
    <row r="1080" ht="15.0" customHeight="1">
      <c r="A1080" s="127">
        <v>45621.0</v>
      </c>
      <c r="B1080" s="181" t="s">
        <v>5931</v>
      </c>
      <c r="C1080" s="56" t="s">
        <v>3360</v>
      </c>
      <c r="D1080" s="73" t="str">
        <f>IFERROR(VLOOKUP(C1080,Stock,3,FALSE),"")</f>
        <v>Mitsubishi Xpander 17-</v>
      </c>
      <c r="E1080" s="56">
        <v>1.0</v>
      </c>
      <c r="F1080" s="161">
        <v>1800000.0</v>
      </c>
      <c r="G1080" s="162">
        <f t="shared" si="32"/>
        <v>1800000</v>
      </c>
      <c r="H1080" s="194"/>
      <c r="I1080" s="161">
        <f t="shared" si="29"/>
        <v>1800000</v>
      </c>
      <c r="J1080" s="164">
        <f t="shared" si="30"/>
        <v>1800000</v>
      </c>
      <c r="K1080" s="56" t="s">
        <v>5932</v>
      </c>
      <c r="L1080" s="165" t="s">
        <v>5933</v>
      </c>
      <c r="M1080" s="73"/>
      <c r="N1080" s="169" t="s">
        <v>5934</v>
      </c>
      <c r="O1080" s="169" t="s">
        <v>2958</v>
      </c>
      <c r="P1080" s="168" t="s">
        <v>3645</v>
      </c>
      <c r="Q1080" s="173"/>
      <c r="R1080" s="167">
        <v>1800000.0</v>
      </c>
      <c r="S1080" s="173"/>
      <c r="T1080" s="173"/>
      <c r="U1080" s="173"/>
      <c r="V1080" s="168" t="s">
        <v>3883</v>
      </c>
      <c r="W1080" s="169"/>
      <c r="X1080" s="219">
        <v>45624.0</v>
      </c>
    </row>
    <row r="1081" ht="15.0" customHeight="1">
      <c r="A1081" s="127">
        <v>45622.0</v>
      </c>
      <c r="B1081" s="181" t="s">
        <v>5935</v>
      </c>
      <c r="C1081" s="56" t="s">
        <v>5936</v>
      </c>
      <c r="D1081" s="73" t="str">
        <f>IFERROR(VLOOKUP(C1081,Stock,3,FALSE),"")</f>
        <v>Mitsubishi Xpander 17- / Livina 19- 2nd Gen (Mitsubishi)</v>
      </c>
      <c r="E1081" s="56">
        <v>1.0</v>
      </c>
      <c r="F1081" s="161">
        <v>2850000.0</v>
      </c>
      <c r="G1081" s="162">
        <f t="shared" si="32"/>
        <v>2850000</v>
      </c>
      <c r="H1081" s="194"/>
      <c r="I1081" s="161">
        <f t="shared" si="29"/>
        <v>2850000</v>
      </c>
      <c r="J1081" s="164">
        <f t="shared" si="30"/>
        <v>2850000</v>
      </c>
      <c r="K1081" s="56" t="s">
        <v>5937</v>
      </c>
      <c r="L1081" s="165" t="s">
        <v>5938</v>
      </c>
      <c r="M1081" s="73"/>
      <c r="N1081" s="169" t="s">
        <v>5939</v>
      </c>
      <c r="O1081" s="169" t="s">
        <v>2958</v>
      </c>
      <c r="P1081" s="168" t="s">
        <v>3112</v>
      </c>
      <c r="Q1081" s="173"/>
      <c r="R1081" s="167">
        <v>2850000.0</v>
      </c>
      <c r="S1081" s="173"/>
      <c r="T1081" s="173"/>
      <c r="U1081" s="173"/>
      <c r="V1081" s="168" t="s">
        <v>3883</v>
      </c>
      <c r="W1081" s="169"/>
      <c r="X1081" s="219">
        <v>45624.0</v>
      </c>
    </row>
    <row r="1082" ht="15.0" customHeight="1">
      <c r="A1082" s="127">
        <v>45622.0</v>
      </c>
      <c r="B1082" s="181" t="s">
        <v>5940</v>
      </c>
      <c r="C1082" s="56" t="s">
        <v>2702</v>
      </c>
      <c r="D1082" s="73" t="str">
        <f>IFERROR(VLOOKUP(C1082,Stock,3,FALSE),"")</f>
        <v>Toyota Sienta 15-</v>
      </c>
      <c r="E1082" s="56">
        <v>1.0</v>
      </c>
      <c r="F1082" s="161">
        <v>1688000.0</v>
      </c>
      <c r="G1082" s="162">
        <f t="shared" si="32"/>
        <v>1688000</v>
      </c>
      <c r="H1082" s="194"/>
      <c r="I1082" s="161">
        <f t="shared" si="29"/>
        <v>1688000</v>
      </c>
      <c r="J1082" s="164">
        <f t="shared" si="30"/>
        <v>1688000</v>
      </c>
      <c r="K1082" s="56" t="s">
        <v>5941</v>
      </c>
      <c r="L1082" s="165" t="s">
        <v>5942</v>
      </c>
      <c r="M1082" s="73"/>
      <c r="N1082" s="169" t="s">
        <v>5943</v>
      </c>
      <c r="O1082" s="169" t="s">
        <v>2958</v>
      </c>
      <c r="P1082" s="168" t="s">
        <v>3112</v>
      </c>
      <c r="Q1082" s="173"/>
      <c r="R1082" s="167">
        <v>1688000.0</v>
      </c>
      <c r="S1082" s="173"/>
      <c r="T1082" s="173"/>
      <c r="U1082" s="173"/>
      <c r="V1082" s="168" t="s">
        <v>3883</v>
      </c>
      <c r="W1082" s="169"/>
      <c r="X1082" s="219">
        <v>45629.0</v>
      </c>
    </row>
    <row r="1083" ht="15.0" customHeight="1">
      <c r="A1083" s="127">
        <v>45622.0</v>
      </c>
      <c r="B1083" s="181" t="s">
        <v>5944</v>
      </c>
      <c r="C1083" s="327" t="s">
        <v>2565</v>
      </c>
      <c r="D1083" s="73" t="str">
        <f>IFERROR(VLOOKUP(C1083,Stock,3,FALSE),"")</f>
        <v>Toyota Avanza / Xenia 03-11 1st Gen</v>
      </c>
      <c r="E1083" s="56">
        <v>1.0</v>
      </c>
      <c r="F1083" s="161">
        <v>1098000.0</v>
      </c>
      <c r="G1083" s="162">
        <f t="shared" si="32"/>
        <v>1098000</v>
      </c>
      <c r="H1083" s="194"/>
      <c r="I1083" s="161">
        <f t="shared" si="29"/>
        <v>1098000</v>
      </c>
      <c r="J1083" s="164">
        <f t="shared" si="30"/>
        <v>1098000</v>
      </c>
      <c r="K1083" s="228" t="s">
        <v>5945</v>
      </c>
      <c r="L1083" s="165" t="s">
        <v>5946</v>
      </c>
      <c r="M1083" s="73"/>
      <c r="N1083" s="171"/>
      <c r="O1083" s="169" t="s">
        <v>3037</v>
      </c>
      <c r="P1083" s="168" t="s">
        <v>3112</v>
      </c>
      <c r="Q1083" s="167">
        <v>1160000.0</v>
      </c>
      <c r="R1083" s="167">
        <v>100000.0</v>
      </c>
      <c r="S1083" s="173"/>
      <c r="T1083" s="173"/>
      <c r="U1083" s="167">
        <v>12000.0</v>
      </c>
      <c r="V1083" s="168" t="s">
        <v>3799</v>
      </c>
      <c r="W1083" s="169"/>
      <c r="X1083" s="219">
        <v>45629.0</v>
      </c>
    </row>
    <row r="1084" ht="15.0" customHeight="1">
      <c r="A1084" s="127">
        <v>45622.0</v>
      </c>
      <c r="B1084" s="181" t="s">
        <v>5944</v>
      </c>
      <c r="C1084" s="251" t="s">
        <v>2954</v>
      </c>
      <c r="D1084" s="73" t="str">
        <f>IFERROR(VLOOKUP(C1084,Stock,3,FALSE),"")</f>
        <v>Transport</v>
      </c>
      <c r="E1084" s="56">
        <v>1.0</v>
      </c>
      <c r="F1084" s="161">
        <v>150000.0</v>
      </c>
      <c r="G1084" s="162">
        <f t="shared" si="32"/>
        <v>150000</v>
      </c>
      <c r="H1084" s="194"/>
      <c r="I1084" s="161">
        <f t="shared" si="29"/>
        <v>150000</v>
      </c>
      <c r="J1084" s="164">
        <f t="shared" si="30"/>
        <v>150000</v>
      </c>
      <c r="K1084" s="228" t="s">
        <v>5945</v>
      </c>
      <c r="L1084" s="165" t="s">
        <v>5946</v>
      </c>
      <c r="M1084" s="73"/>
      <c r="N1084" s="171"/>
      <c r="O1084" s="169" t="s">
        <v>3037</v>
      </c>
      <c r="P1084" s="168" t="s">
        <v>3112</v>
      </c>
      <c r="Q1084" s="173"/>
      <c r="R1084" s="173"/>
      <c r="S1084" s="173"/>
      <c r="T1084" s="173"/>
      <c r="U1084" s="173"/>
      <c r="V1084" s="168" t="s">
        <v>3799</v>
      </c>
      <c r="W1084" s="169"/>
      <c r="X1084" s="219">
        <v>45629.0</v>
      </c>
    </row>
    <row r="1085" ht="15.0" customHeight="1">
      <c r="A1085" s="127">
        <v>45622.0</v>
      </c>
      <c r="B1085" s="181" t="s">
        <v>5947</v>
      </c>
      <c r="C1085" s="56" t="s">
        <v>2692</v>
      </c>
      <c r="D1085" s="73" t="str">
        <f>IFERROR(VLOOKUP(C1085,Stock,3,FALSE),"")</f>
        <v>Suzuki Ertiga 18- 2nd Gen / XL7</v>
      </c>
      <c r="E1085" s="56">
        <v>1.0</v>
      </c>
      <c r="F1085" s="161">
        <v>1554000.0</v>
      </c>
      <c r="G1085" s="162">
        <f t="shared" si="32"/>
        <v>1554000</v>
      </c>
      <c r="H1085" s="194"/>
      <c r="I1085" s="161">
        <f t="shared" si="29"/>
        <v>1554000</v>
      </c>
      <c r="J1085" s="164">
        <f t="shared" si="30"/>
        <v>1554000</v>
      </c>
      <c r="K1085" s="56" t="s">
        <v>5948</v>
      </c>
      <c r="L1085" s="165" t="s">
        <v>5949</v>
      </c>
      <c r="M1085" s="73"/>
      <c r="N1085" s="171"/>
      <c r="O1085" s="169" t="s">
        <v>2958</v>
      </c>
      <c r="P1085" s="168" t="s">
        <v>3112</v>
      </c>
      <c r="Q1085" s="173"/>
      <c r="R1085" s="167">
        <v>1554000.0</v>
      </c>
      <c r="S1085" s="173"/>
      <c r="T1085" s="173"/>
      <c r="U1085" s="173"/>
      <c r="V1085" s="168" t="s">
        <v>3883</v>
      </c>
      <c r="W1085" s="169"/>
      <c r="X1085" s="219">
        <v>45629.0</v>
      </c>
    </row>
    <row r="1086" ht="15.0" customHeight="1">
      <c r="A1086" s="127">
        <v>45624.0</v>
      </c>
      <c r="B1086" s="181" t="s">
        <v>5950</v>
      </c>
      <c r="C1086" s="251" t="s">
        <v>2997</v>
      </c>
      <c r="D1086" s="73" t="str">
        <f>IFERROR(VLOOKUP(C1086,Stock,3,FALSE),"")</f>
        <v>Honda City 02-08 4th Gen Idsi GD8</v>
      </c>
      <c r="E1086" s="56">
        <v>1.0</v>
      </c>
      <c r="F1086" s="161">
        <v>1821000.0</v>
      </c>
      <c r="G1086" s="162">
        <f t="shared" si="32"/>
        <v>1821000</v>
      </c>
      <c r="H1086" s="194"/>
      <c r="I1086" s="161">
        <f t="shared" si="29"/>
        <v>1821000</v>
      </c>
      <c r="J1086" s="164">
        <f t="shared" si="30"/>
        <v>1821000</v>
      </c>
      <c r="K1086" s="56" t="s">
        <v>5951</v>
      </c>
      <c r="L1086" s="165" t="s">
        <v>5878</v>
      </c>
      <c r="M1086" s="73"/>
      <c r="N1086" s="171"/>
      <c r="O1086" s="169" t="s">
        <v>2958</v>
      </c>
      <c r="P1086" s="168" t="s">
        <v>2922</v>
      </c>
      <c r="Q1086" s="173"/>
      <c r="R1086" s="173"/>
      <c r="S1086" s="167">
        <v>1821000.0</v>
      </c>
      <c r="T1086" s="167">
        <v>145680.0</v>
      </c>
      <c r="U1086" s="173"/>
      <c r="V1086" s="168" t="s">
        <v>3883</v>
      </c>
      <c r="W1086" s="169"/>
      <c r="X1086" s="169" t="s">
        <v>5952</v>
      </c>
    </row>
    <row r="1087" ht="15.0" customHeight="1">
      <c r="A1087" s="127">
        <v>45624.0</v>
      </c>
      <c r="B1087" s="181" t="s">
        <v>5950</v>
      </c>
      <c r="C1087" s="251" t="s">
        <v>3045</v>
      </c>
      <c r="D1087" s="73" t="str">
        <f>IFERROR(VLOOKUP(C1087,Stock,3,FALSE),"")</f>
        <v>Pemasangan Kaca Mobil Depan</v>
      </c>
      <c r="E1087" s="56">
        <v>1.0</v>
      </c>
      <c r="F1087" s="161">
        <v>350000.0</v>
      </c>
      <c r="G1087" s="162">
        <f t="shared" si="32"/>
        <v>350000</v>
      </c>
      <c r="H1087" s="194"/>
      <c r="I1087" s="161">
        <f t="shared" si="29"/>
        <v>350000</v>
      </c>
      <c r="J1087" s="164">
        <f t="shared" si="30"/>
        <v>350000</v>
      </c>
      <c r="K1087" s="56" t="s">
        <v>5951</v>
      </c>
      <c r="L1087" s="165" t="s">
        <v>5878</v>
      </c>
      <c r="M1087" s="73"/>
      <c r="N1087" s="171"/>
      <c r="O1087" s="169" t="s">
        <v>2958</v>
      </c>
      <c r="P1087" s="168" t="s">
        <v>2922</v>
      </c>
      <c r="Q1087" s="173"/>
      <c r="R1087" s="167">
        <v>350000.0</v>
      </c>
      <c r="S1087" s="173"/>
      <c r="T1087" s="173"/>
      <c r="U1087" s="173"/>
      <c r="V1087" s="168" t="s">
        <v>3883</v>
      </c>
      <c r="W1087" s="169"/>
      <c r="X1087" s="169" t="s">
        <v>4668</v>
      </c>
    </row>
    <row r="1088" ht="15.0" customHeight="1">
      <c r="A1088" s="127">
        <v>45624.0</v>
      </c>
      <c r="B1088" s="181" t="s">
        <v>5953</v>
      </c>
      <c r="C1088" s="56" t="s">
        <v>3186</v>
      </c>
      <c r="D1088" s="73" t="str">
        <f>IFERROR(VLOOKUP(C1088,Stock,3,FALSE),"")</f>
        <v>Daihatsu Gran Max / Luxio 07-</v>
      </c>
      <c r="E1088" s="56">
        <v>1.0</v>
      </c>
      <c r="F1088" s="161">
        <v>1100000.0</v>
      </c>
      <c r="G1088" s="162">
        <f t="shared" si="32"/>
        <v>1100000</v>
      </c>
      <c r="H1088" s="194"/>
      <c r="I1088" s="161">
        <f t="shared" si="29"/>
        <v>1100000</v>
      </c>
      <c r="J1088" s="164">
        <f t="shared" si="30"/>
        <v>1100000</v>
      </c>
      <c r="K1088" s="56" t="s">
        <v>5954</v>
      </c>
      <c r="L1088" s="165" t="s">
        <v>5955</v>
      </c>
      <c r="M1088" s="73"/>
      <c r="N1088" s="171"/>
      <c r="O1088" s="169" t="s">
        <v>5956</v>
      </c>
      <c r="P1088" s="168" t="s">
        <v>3112</v>
      </c>
      <c r="Q1088" s="173"/>
      <c r="R1088" s="167">
        <v>1100000.0</v>
      </c>
      <c r="S1088" s="173"/>
      <c r="T1088" s="173"/>
      <c r="U1088" s="173"/>
      <c r="V1088" s="168" t="s">
        <v>3883</v>
      </c>
      <c r="W1088" s="169"/>
      <c r="X1088" s="169" t="s">
        <v>4668</v>
      </c>
    </row>
    <row r="1089" ht="15.0" customHeight="1">
      <c r="A1089" s="127">
        <v>45624.0</v>
      </c>
      <c r="B1089" s="181" t="s">
        <v>5957</v>
      </c>
      <c r="C1089" s="56" t="s">
        <v>2682</v>
      </c>
      <c r="D1089" s="73" t="str">
        <f>IFERROR(VLOOKUP(C1089,Stock,3,FALSE),"")</f>
        <v>Toyota Yaris 05-13 XP90 1st Gen</v>
      </c>
      <c r="E1089" s="56">
        <v>1.0</v>
      </c>
      <c r="F1089" s="161">
        <v>1588000.0</v>
      </c>
      <c r="G1089" s="162">
        <f t="shared" si="32"/>
        <v>1588000</v>
      </c>
      <c r="H1089" s="194"/>
      <c r="I1089" s="161">
        <f t="shared" si="29"/>
        <v>1588000</v>
      </c>
      <c r="J1089" s="164">
        <f t="shared" si="30"/>
        <v>1588000</v>
      </c>
      <c r="K1089" s="307" t="s">
        <v>5958</v>
      </c>
      <c r="L1089" s="165" t="s">
        <v>5959</v>
      </c>
      <c r="M1089" s="73"/>
      <c r="N1089" s="169" t="s">
        <v>5960</v>
      </c>
      <c r="O1089" s="329" t="s">
        <v>3204</v>
      </c>
      <c r="P1089" s="168" t="s">
        <v>3112</v>
      </c>
      <c r="Q1089" s="173"/>
      <c r="R1089" s="167">
        <v>1588000.0</v>
      </c>
      <c r="S1089" s="173"/>
      <c r="T1089" s="173"/>
      <c r="U1089" s="173"/>
      <c r="V1089" s="168" t="s">
        <v>3883</v>
      </c>
      <c r="W1089" s="169"/>
      <c r="X1089" s="169" t="s">
        <v>5961</v>
      </c>
    </row>
    <row r="1090" ht="15.0" customHeight="1">
      <c r="A1090" s="127">
        <v>45625.0</v>
      </c>
      <c r="B1090" s="181" t="s">
        <v>5962</v>
      </c>
      <c r="C1090" s="56" t="s">
        <v>3127</v>
      </c>
      <c r="D1090" s="73" t="str">
        <f>IFERROR(VLOOKUP(C1090,Stock,3,FALSE),"")</f>
        <v>Toyota Avanza / Xenia 03-11 1st Gen</v>
      </c>
      <c r="E1090" s="56">
        <v>1.0</v>
      </c>
      <c r="F1090" s="161">
        <v>880000.0</v>
      </c>
      <c r="G1090" s="162">
        <f t="shared" si="32"/>
        <v>880000</v>
      </c>
      <c r="H1090" s="194"/>
      <c r="I1090" s="161">
        <f t="shared" si="29"/>
        <v>880000</v>
      </c>
      <c r="J1090" s="164">
        <f t="shared" si="30"/>
        <v>880000</v>
      </c>
      <c r="K1090" s="56" t="s">
        <v>5963</v>
      </c>
      <c r="L1090" s="165" t="s">
        <v>5964</v>
      </c>
      <c r="M1090" s="73"/>
      <c r="N1090" s="171"/>
      <c r="O1090" s="329" t="s">
        <v>3204</v>
      </c>
      <c r="P1090" s="168" t="s">
        <v>3112</v>
      </c>
      <c r="Q1090" s="173"/>
      <c r="R1090" s="167">
        <v>880000.0</v>
      </c>
      <c r="S1090" s="173"/>
      <c r="T1090" s="173"/>
      <c r="U1090" s="173"/>
      <c r="V1090" s="168" t="s">
        <v>3883</v>
      </c>
      <c r="W1090" s="169"/>
      <c r="X1090" s="169" t="s">
        <v>5965</v>
      </c>
    </row>
    <row r="1091" ht="15.0" customHeight="1">
      <c r="A1091" s="127">
        <v>45625.0</v>
      </c>
      <c r="B1091" s="181" t="s">
        <v>5962</v>
      </c>
      <c r="C1091" s="56" t="s">
        <v>2954</v>
      </c>
      <c r="D1091" s="73" t="str">
        <f>IFERROR(VLOOKUP(C1091,Stock,3,FALSE),"")</f>
        <v>Transport</v>
      </c>
      <c r="E1091" s="56">
        <v>1.0</v>
      </c>
      <c r="F1091" s="161">
        <v>160000.0</v>
      </c>
      <c r="G1091" s="162">
        <f t="shared" si="32"/>
        <v>160000</v>
      </c>
      <c r="H1091" s="194"/>
      <c r="I1091" s="161">
        <f t="shared" si="29"/>
        <v>160000</v>
      </c>
      <c r="J1091" s="164">
        <f t="shared" si="30"/>
        <v>160000</v>
      </c>
      <c r="K1091" s="56" t="s">
        <v>5963</v>
      </c>
      <c r="L1091" s="165" t="s">
        <v>5964</v>
      </c>
      <c r="M1091" s="73"/>
      <c r="N1091" s="171"/>
      <c r="O1091" s="329" t="s">
        <v>3204</v>
      </c>
      <c r="P1091" s="168" t="s">
        <v>3112</v>
      </c>
      <c r="Q1091" s="173"/>
      <c r="R1091" s="167">
        <v>160000.0</v>
      </c>
      <c r="S1091" s="173"/>
      <c r="T1091" s="173"/>
      <c r="U1091" s="173"/>
      <c r="V1091" s="168" t="s">
        <v>3883</v>
      </c>
      <c r="W1091" s="169"/>
      <c r="X1091" s="169" t="s">
        <v>5965</v>
      </c>
    </row>
    <row r="1092" ht="15.0" customHeight="1">
      <c r="A1092" s="127">
        <v>45625.0</v>
      </c>
      <c r="B1092" s="181" t="s">
        <v>5966</v>
      </c>
      <c r="C1092" s="56" t="s">
        <v>2691</v>
      </c>
      <c r="D1092" s="73" t="str">
        <f>IFERROR(VLOOKUP(C1092,Stock,3,FALSE),"")</f>
        <v>Suzuki Ertiga 12-18 1st Gen MPV</v>
      </c>
      <c r="E1092" s="56">
        <v>1.0</v>
      </c>
      <c r="F1092" s="161">
        <v>1360000.0</v>
      </c>
      <c r="G1092" s="162">
        <f t="shared" si="32"/>
        <v>1360000</v>
      </c>
      <c r="H1092" s="194"/>
      <c r="I1092" s="161">
        <f t="shared" si="29"/>
        <v>1360000</v>
      </c>
      <c r="J1092" s="164">
        <f t="shared" si="30"/>
        <v>1360000</v>
      </c>
      <c r="K1092" s="56" t="s">
        <v>5967</v>
      </c>
      <c r="L1092" s="165" t="s">
        <v>5968</v>
      </c>
      <c r="M1092" s="73"/>
      <c r="N1092" s="169" t="s">
        <v>5969</v>
      </c>
      <c r="O1092" s="169" t="s">
        <v>2958</v>
      </c>
      <c r="P1092" s="168" t="s">
        <v>3011</v>
      </c>
      <c r="Q1092" s="173"/>
      <c r="R1092" s="167">
        <v>1360000.0</v>
      </c>
      <c r="S1092" s="173"/>
      <c r="T1092" s="173"/>
      <c r="U1092" s="173"/>
      <c r="V1092" s="168" t="s">
        <v>3883</v>
      </c>
      <c r="W1092" s="169"/>
      <c r="X1092" s="169" t="s">
        <v>5970</v>
      </c>
    </row>
    <row r="1093" ht="15.0" customHeight="1">
      <c r="A1093" s="127">
        <v>45625.0</v>
      </c>
      <c r="B1093" s="181" t="s">
        <v>5971</v>
      </c>
      <c r="C1093" s="56" t="s">
        <v>2565</v>
      </c>
      <c r="D1093" s="73" t="str">
        <f>IFERROR(VLOOKUP(C1093,Stock,3,FALSE),"")</f>
        <v>Toyota Avanza / Xenia 03-11 1st Gen</v>
      </c>
      <c r="E1093" s="56">
        <v>1.0</v>
      </c>
      <c r="F1093" s="161">
        <v>1100000.0</v>
      </c>
      <c r="G1093" s="162">
        <f t="shared" si="32"/>
        <v>1100000</v>
      </c>
      <c r="H1093" s="201">
        <v>50000.0</v>
      </c>
      <c r="I1093" s="161">
        <f t="shared" si="29"/>
        <v>1050000</v>
      </c>
      <c r="J1093" s="164">
        <f t="shared" si="30"/>
        <v>1050000</v>
      </c>
      <c r="K1093" s="56" t="s">
        <v>5972</v>
      </c>
      <c r="L1093" s="165" t="s">
        <v>5973</v>
      </c>
      <c r="M1093" s="73"/>
      <c r="N1093" s="169" t="s">
        <v>5974</v>
      </c>
      <c r="O1093" s="169" t="s">
        <v>2958</v>
      </c>
      <c r="P1093" s="168" t="s">
        <v>3112</v>
      </c>
      <c r="Q1093" s="167">
        <v>1100000.0</v>
      </c>
      <c r="R1093" s="167"/>
      <c r="S1093" s="173"/>
      <c r="T1093" s="173"/>
      <c r="U1093" s="173"/>
      <c r="V1093" s="168" t="s">
        <v>3883</v>
      </c>
      <c r="W1093" s="169"/>
      <c r="X1093" s="169" t="s">
        <v>5975</v>
      </c>
    </row>
    <row r="1094" ht="15.0" customHeight="1">
      <c r="A1094" s="127">
        <v>45625.0</v>
      </c>
      <c r="B1094" s="181" t="s">
        <v>5971</v>
      </c>
      <c r="C1094" s="251" t="s">
        <v>3083</v>
      </c>
      <c r="D1094" s="73" t="str">
        <f>IFERROR(VLOOKUP(C1094,Stock,3,FALSE),"")</f>
        <v>List Kaca Depan Code 04</v>
      </c>
      <c r="E1094" s="56">
        <v>1.0</v>
      </c>
      <c r="F1094" s="161">
        <v>275000.0</v>
      </c>
      <c r="G1094" s="162">
        <f t="shared" si="32"/>
        <v>275000</v>
      </c>
      <c r="H1094" s="194"/>
      <c r="I1094" s="161">
        <f t="shared" si="29"/>
        <v>275000</v>
      </c>
      <c r="J1094" s="164">
        <f t="shared" si="30"/>
        <v>275000</v>
      </c>
      <c r="K1094" s="56" t="s">
        <v>5972</v>
      </c>
      <c r="L1094" s="165" t="s">
        <v>5973</v>
      </c>
      <c r="M1094" s="73"/>
      <c r="N1094" s="169" t="s">
        <v>5974</v>
      </c>
      <c r="O1094" s="169" t="s">
        <v>2958</v>
      </c>
      <c r="P1094" s="168" t="s">
        <v>3112</v>
      </c>
      <c r="Q1094" s="173"/>
      <c r="R1094" s="167">
        <v>225000.0</v>
      </c>
      <c r="S1094" s="173"/>
      <c r="T1094" s="173"/>
      <c r="U1094" s="173"/>
      <c r="V1094" s="168" t="s">
        <v>3883</v>
      </c>
      <c r="W1094" s="169"/>
      <c r="X1094" s="169" t="s">
        <v>5976</v>
      </c>
    </row>
    <row r="1095" ht="15.0" customHeight="1">
      <c r="A1095" s="127">
        <v>45626.0</v>
      </c>
      <c r="B1095" s="181" t="s">
        <v>5977</v>
      </c>
      <c r="C1095" s="56" t="s">
        <v>2954</v>
      </c>
      <c r="D1095" s="73" t="str">
        <f>IFERROR(VLOOKUP(C1095,Stock,3,FALSE),"")</f>
        <v>Transport</v>
      </c>
      <c r="E1095" s="56">
        <v>1.0</v>
      </c>
      <c r="F1095" s="161">
        <v>50000.0</v>
      </c>
      <c r="G1095" s="162">
        <f t="shared" si="32"/>
        <v>50000</v>
      </c>
      <c r="H1095" s="194"/>
      <c r="I1095" s="161">
        <f t="shared" si="29"/>
        <v>50000</v>
      </c>
      <c r="J1095" s="164">
        <f t="shared" si="30"/>
        <v>50000</v>
      </c>
      <c r="K1095" s="56" t="s">
        <v>5794</v>
      </c>
      <c r="L1095" s="165" t="s">
        <v>5795</v>
      </c>
      <c r="M1095" s="73"/>
      <c r="N1095" s="171"/>
      <c r="O1095" s="169" t="s">
        <v>2958</v>
      </c>
      <c r="P1095" s="168" t="s">
        <v>2922</v>
      </c>
      <c r="Q1095" s="173"/>
      <c r="R1095" s="167">
        <v>50000.0</v>
      </c>
      <c r="S1095" s="173"/>
      <c r="T1095" s="173"/>
      <c r="U1095" s="173"/>
      <c r="V1095" s="168" t="s">
        <v>3883</v>
      </c>
      <c r="W1095" s="169"/>
      <c r="X1095" s="169" t="s">
        <v>5796</v>
      </c>
    </row>
    <row r="1096" ht="15.0" customHeight="1">
      <c r="A1096" s="127">
        <v>45626.0</v>
      </c>
      <c r="B1096" s="181" t="s">
        <v>5978</v>
      </c>
      <c r="C1096" s="56" t="s">
        <v>3273</v>
      </c>
      <c r="D1096" s="73" t="str">
        <f>IFERROR(VLOOKUP(C1096,Stock,3,FALSE),"")</f>
        <v>Pemasangan Kaca Mobil Belakang</v>
      </c>
      <c r="E1096" s="56">
        <v>1.0</v>
      </c>
      <c r="F1096" s="161">
        <v>400000.0</v>
      </c>
      <c r="G1096" s="162">
        <f t="shared" si="32"/>
        <v>400000</v>
      </c>
      <c r="H1096" s="194"/>
      <c r="I1096" s="161">
        <f t="shared" si="29"/>
        <v>400000</v>
      </c>
      <c r="J1096" s="164">
        <f t="shared" si="30"/>
        <v>400000</v>
      </c>
      <c r="K1096" s="228" t="s">
        <v>5979</v>
      </c>
      <c r="L1096" s="165" t="s">
        <v>5946</v>
      </c>
      <c r="M1096" s="73"/>
      <c r="N1096" s="289" t="s">
        <v>5980</v>
      </c>
      <c r="O1096" s="169" t="s">
        <v>3037</v>
      </c>
      <c r="P1096" s="168" t="s">
        <v>3011</v>
      </c>
      <c r="Q1096" s="167">
        <v>400000.0</v>
      </c>
      <c r="R1096" s="173"/>
      <c r="S1096" s="173"/>
      <c r="T1096" s="173"/>
      <c r="U1096" s="173"/>
      <c r="V1096" s="168" t="s">
        <v>3799</v>
      </c>
      <c r="W1096" s="169"/>
      <c r="X1096" s="219">
        <v>45629.0</v>
      </c>
    </row>
    <row r="1097" ht="15.0" customHeight="1">
      <c r="A1097" s="127">
        <v>45626.0</v>
      </c>
      <c r="B1097" s="181" t="s">
        <v>5981</v>
      </c>
      <c r="C1097" s="56" t="s">
        <v>4782</v>
      </c>
      <c r="D1097" s="73" t="str">
        <f>IFERROR(VLOOKUP(C1097,Stock,3,FALSE),"")</f>
        <v>Mitsubishi Pajero 08-16</v>
      </c>
      <c r="E1097" s="56">
        <v>1.0</v>
      </c>
      <c r="F1097" s="161">
        <v>1755000.0</v>
      </c>
      <c r="G1097" s="162">
        <f t="shared" si="32"/>
        <v>1755000</v>
      </c>
      <c r="H1097" s="194"/>
      <c r="I1097" s="161">
        <f t="shared" si="29"/>
        <v>1755000</v>
      </c>
      <c r="J1097" s="164">
        <f t="shared" si="30"/>
        <v>1755000</v>
      </c>
      <c r="K1097" s="56" t="s">
        <v>5982</v>
      </c>
      <c r="L1097" s="165" t="s">
        <v>5983</v>
      </c>
      <c r="M1097" s="73"/>
      <c r="N1097" s="171"/>
      <c r="O1097" s="169" t="s">
        <v>2958</v>
      </c>
      <c r="P1097" s="168" t="s">
        <v>3112</v>
      </c>
      <c r="Q1097" s="173"/>
      <c r="R1097" s="167">
        <v>1755000.0</v>
      </c>
      <c r="S1097" s="173"/>
      <c r="T1097" s="173"/>
      <c r="U1097" s="173"/>
      <c r="V1097" s="168" t="s">
        <v>3883</v>
      </c>
      <c r="W1097" s="169"/>
      <c r="X1097" s="169" t="s">
        <v>5984</v>
      </c>
    </row>
    <row r="1098" ht="15.0" customHeight="1">
      <c r="A1098" s="127">
        <v>45626.0</v>
      </c>
      <c r="B1098" s="181" t="s">
        <v>5985</v>
      </c>
      <c r="C1098" s="56" t="s">
        <v>3045</v>
      </c>
      <c r="D1098" s="73" t="str">
        <f>IFERROR(VLOOKUP(C1098,Stock,3,FALSE),"")</f>
        <v>Pemasangan Kaca Mobil Depan</v>
      </c>
      <c r="E1098" s="56">
        <v>1.0</v>
      </c>
      <c r="F1098" s="161">
        <v>500000.0</v>
      </c>
      <c r="G1098" s="162">
        <f t="shared" si="32"/>
        <v>500000</v>
      </c>
      <c r="H1098" s="194"/>
      <c r="I1098" s="161">
        <f t="shared" si="29"/>
        <v>500000</v>
      </c>
      <c r="J1098" s="164">
        <f t="shared" si="30"/>
        <v>500000</v>
      </c>
      <c r="K1098" s="307" t="s">
        <v>5986</v>
      </c>
      <c r="L1098" s="165" t="s">
        <v>5987</v>
      </c>
      <c r="M1098" s="73"/>
      <c r="N1098" s="171"/>
      <c r="O1098" s="169" t="s">
        <v>2958</v>
      </c>
      <c r="P1098" s="168" t="s">
        <v>3112</v>
      </c>
      <c r="Q1098" s="173"/>
      <c r="R1098" s="167">
        <v>500000.0</v>
      </c>
      <c r="S1098" s="173"/>
      <c r="T1098" s="173"/>
      <c r="U1098" s="173"/>
      <c r="V1098" s="168" t="s">
        <v>3883</v>
      </c>
      <c r="W1098" s="169"/>
      <c r="X1098" s="169" t="s">
        <v>5988</v>
      </c>
    </row>
    <row r="1099" ht="15.0" customHeight="1">
      <c r="A1099" s="218">
        <v>45628.0</v>
      </c>
      <c r="B1099" s="181" t="s">
        <v>5989</v>
      </c>
      <c r="C1099" s="56" t="s">
        <v>3059</v>
      </c>
      <c r="D1099" s="73" t="str">
        <f>IFERROR(VLOOKUP(C1099,Stock,3,FALSE),"")</f>
        <v>Sealant Polyurethane XYG Tube</v>
      </c>
      <c r="E1099" s="56">
        <v>1.0</v>
      </c>
      <c r="F1099" s="161">
        <v>75000.0</v>
      </c>
      <c r="G1099" s="162">
        <f t="shared" si="32"/>
        <v>75000</v>
      </c>
      <c r="H1099" s="194"/>
      <c r="I1099" s="204">
        <f t="shared" si="29"/>
        <v>75000</v>
      </c>
      <c r="J1099" s="164">
        <f t="shared" si="30"/>
        <v>75000</v>
      </c>
      <c r="K1099" s="56" t="s">
        <v>5990</v>
      </c>
      <c r="L1099" s="165" t="s">
        <v>5991</v>
      </c>
      <c r="M1099" s="73"/>
      <c r="N1099" s="171"/>
      <c r="O1099" s="169" t="s">
        <v>4280</v>
      </c>
      <c r="P1099" s="168" t="s">
        <v>2922</v>
      </c>
      <c r="Q1099" s="173"/>
      <c r="R1099" s="173"/>
      <c r="S1099" s="167">
        <v>75000.0</v>
      </c>
      <c r="T1099" s="167">
        <v>6000.0</v>
      </c>
      <c r="U1099" s="173"/>
      <c r="V1099" s="168" t="s">
        <v>3883</v>
      </c>
      <c r="W1099" s="169"/>
      <c r="X1099" s="169">
        <v>69000.0</v>
      </c>
    </row>
    <row r="1100" ht="15.0" customHeight="1">
      <c r="A1100" s="127">
        <v>45628.0</v>
      </c>
      <c r="B1100" s="181" t="s">
        <v>5992</v>
      </c>
      <c r="C1100" s="56" t="s">
        <v>2707</v>
      </c>
      <c r="D1100" s="73" t="str">
        <f>IFERROR(VLOOKUP(C1100,Stock,3,FALSE),"")</f>
        <v>Isuzu Elf 93- NKR NHR</v>
      </c>
      <c r="E1100" s="56">
        <v>1.0</v>
      </c>
      <c r="F1100" s="161">
        <v>1014000.0</v>
      </c>
      <c r="G1100" s="162">
        <f t="shared" si="32"/>
        <v>1014000</v>
      </c>
      <c r="H1100" s="201">
        <v>14000.0</v>
      </c>
      <c r="I1100" s="204">
        <f t="shared" si="29"/>
        <v>1000000</v>
      </c>
      <c r="J1100" s="164">
        <f t="shared" si="30"/>
        <v>1000000</v>
      </c>
      <c r="K1100" s="310" t="s">
        <v>5993</v>
      </c>
      <c r="L1100" s="165" t="s">
        <v>5994</v>
      </c>
      <c r="M1100" s="73"/>
      <c r="N1100" s="171"/>
      <c r="O1100" s="169" t="s">
        <v>3204</v>
      </c>
      <c r="P1100" s="168" t="s">
        <v>3112</v>
      </c>
      <c r="Q1100" s="167">
        <v>1000000.0</v>
      </c>
      <c r="R1100" s="173"/>
      <c r="S1100" s="173"/>
      <c r="T1100" s="173"/>
      <c r="U1100" s="173"/>
      <c r="V1100" s="168" t="s">
        <v>3799</v>
      </c>
      <c r="W1100" s="169"/>
      <c r="X1100" s="219">
        <v>45629.0</v>
      </c>
    </row>
    <row r="1101" ht="15.0" customHeight="1">
      <c r="A1101" s="127">
        <v>45628.0</v>
      </c>
      <c r="B1101" s="181" t="s">
        <v>5992</v>
      </c>
      <c r="C1101" s="251" t="s">
        <v>5774</v>
      </c>
      <c r="D1101" s="73" t="str">
        <f>IFERROR(VLOOKUP(C1101,Stock,3,FALSE),"")</f>
        <v>Isuzu Elf  93- NKR NHR </v>
      </c>
      <c r="E1101" s="56">
        <v>1.0</v>
      </c>
      <c r="F1101" s="161">
        <v>465000.0</v>
      </c>
      <c r="G1101" s="162">
        <f t="shared" si="32"/>
        <v>465000</v>
      </c>
      <c r="H1101" s="201">
        <v>65000.0</v>
      </c>
      <c r="I1101" s="204">
        <f t="shared" si="29"/>
        <v>400000</v>
      </c>
      <c r="J1101" s="164">
        <f t="shared" si="30"/>
        <v>400000</v>
      </c>
      <c r="K1101" s="310" t="s">
        <v>5993</v>
      </c>
      <c r="L1101" s="165" t="s">
        <v>5994</v>
      </c>
      <c r="M1101" s="73"/>
      <c r="N1101" s="171"/>
      <c r="O1101" s="169" t="s">
        <v>3204</v>
      </c>
      <c r="P1101" s="168" t="s">
        <v>3112</v>
      </c>
      <c r="Q1101" s="167">
        <v>400000.0</v>
      </c>
      <c r="R1101" s="173"/>
      <c r="S1101" s="173"/>
      <c r="T1101" s="173"/>
      <c r="U1101" s="173"/>
      <c r="V1101" s="168" t="s">
        <v>3799</v>
      </c>
      <c r="W1101" s="169"/>
      <c r="X1101" s="219">
        <v>45629.0</v>
      </c>
    </row>
    <row r="1102" ht="15.0" customHeight="1">
      <c r="A1102" s="127">
        <v>45628.0</v>
      </c>
      <c r="B1102" s="181" t="s">
        <v>5995</v>
      </c>
      <c r="C1102" s="56" t="s">
        <v>3099</v>
      </c>
      <c r="D1102" s="73" t="str">
        <f>IFERROR(VLOOKUP(C1102,Stock,3,FALSE),"")</f>
        <v>Toyota Calya / Sigra 16-</v>
      </c>
      <c r="E1102" s="56">
        <v>1.0</v>
      </c>
      <c r="F1102" s="161">
        <v>1200000.0</v>
      </c>
      <c r="G1102" s="162">
        <f t="shared" si="32"/>
        <v>1200000</v>
      </c>
      <c r="H1102" s="194"/>
      <c r="I1102" s="204">
        <f t="shared" si="29"/>
        <v>1200000</v>
      </c>
      <c r="J1102" s="164">
        <f t="shared" si="30"/>
        <v>1200000</v>
      </c>
      <c r="K1102" s="56" t="s">
        <v>5996</v>
      </c>
      <c r="L1102" s="165" t="s">
        <v>5997</v>
      </c>
      <c r="M1102" s="73"/>
      <c r="N1102" s="171"/>
      <c r="O1102" s="169" t="s">
        <v>2958</v>
      </c>
      <c r="P1102" s="168" t="s">
        <v>3112</v>
      </c>
      <c r="Q1102" s="173"/>
      <c r="R1102" s="167">
        <v>1200000.0</v>
      </c>
      <c r="S1102" s="173"/>
      <c r="T1102" s="173"/>
      <c r="U1102" s="173"/>
      <c r="V1102" s="168" t="s">
        <v>3883</v>
      </c>
      <c r="W1102" s="169"/>
      <c r="X1102" s="169" t="s">
        <v>5998</v>
      </c>
    </row>
    <row r="1103" ht="15.0" customHeight="1">
      <c r="A1103" s="127">
        <v>45629.0</v>
      </c>
      <c r="B1103" s="181" t="s">
        <v>5999</v>
      </c>
      <c r="C1103" s="56" t="s">
        <v>3045</v>
      </c>
      <c r="D1103" s="73" t="str">
        <f>IFERROR(VLOOKUP(C1103,Stock,3,FALSE),"")</f>
        <v>Pemasangan Kaca Mobil Depan</v>
      </c>
      <c r="E1103" s="56">
        <v>1.0</v>
      </c>
      <c r="F1103" s="161">
        <v>550000.0</v>
      </c>
      <c r="G1103" s="162">
        <f t="shared" si="32"/>
        <v>550000</v>
      </c>
      <c r="H1103" s="194"/>
      <c r="I1103" s="204">
        <f t="shared" si="29"/>
        <v>550000</v>
      </c>
      <c r="J1103" s="164">
        <f t="shared" si="30"/>
        <v>550000</v>
      </c>
      <c r="K1103" s="56" t="s">
        <v>6000</v>
      </c>
      <c r="L1103" s="165" t="s">
        <v>6001</v>
      </c>
      <c r="M1103" s="73"/>
      <c r="N1103" s="169" t="s">
        <v>6002</v>
      </c>
      <c r="O1103" s="169" t="s">
        <v>2958</v>
      </c>
      <c r="P1103" s="168" t="s">
        <v>3112</v>
      </c>
      <c r="Q1103" s="167">
        <v>550000.0</v>
      </c>
      <c r="R1103" s="173"/>
      <c r="S1103" s="173"/>
      <c r="T1103" s="173"/>
      <c r="U1103" s="173"/>
      <c r="V1103" s="168" t="s">
        <v>3883</v>
      </c>
      <c r="W1103" s="169"/>
      <c r="X1103" s="219">
        <v>45629.0</v>
      </c>
    </row>
    <row r="1104" ht="15.0" customHeight="1">
      <c r="A1104" s="127">
        <v>45630.0</v>
      </c>
      <c r="B1104" s="181" t="s">
        <v>6003</v>
      </c>
      <c r="C1104" s="56" t="s">
        <v>6004</v>
      </c>
      <c r="D1104" s="73" t="str">
        <f>IFERROR(VLOOKUP(C1104,Stock,3,FALSE),"")</f>
        <v>Daihatsu Gran Max / Luxio 07-</v>
      </c>
      <c r="E1104" s="56">
        <v>1.0</v>
      </c>
      <c r="F1104" s="161">
        <v>1587000.0</v>
      </c>
      <c r="G1104" s="162">
        <f t="shared" si="32"/>
        <v>1587000</v>
      </c>
      <c r="H1104" s="194"/>
      <c r="I1104" s="204">
        <f t="shared" si="29"/>
        <v>1587000</v>
      </c>
      <c r="J1104" s="164">
        <f t="shared" si="30"/>
        <v>1587000</v>
      </c>
      <c r="K1104" s="56" t="s">
        <v>4741</v>
      </c>
      <c r="L1104" s="165" t="s">
        <v>6005</v>
      </c>
      <c r="M1104" s="73"/>
      <c r="N1104" s="169" t="s">
        <v>6006</v>
      </c>
      <c r="O1104" s="169" t="s">
        <v>5930</v>
      </c>
      <c r="P1104" s="168" t="s">
        <v>3112</v>
      </c>
      <c r="Q1104" s="167">
        <v>1592000.0</v>
      </c>
      <c r="R1104" s="173"/>
      <c r="S1104" s="173"/>
      <c r="T1104" s="173"/>
      <c r="U1104" s="167">
        <v>5000.0</v>
      </c>
      <c r="V1104" s="168" t="s">
        <v>3883</v>
      </c>
      <c r="W1104" s="169"/>
      <c r="X1104" s="219">
        <v>45643.0</v>
      </c>
    </row>
    <row r="1105" ht="15.0" customHeight="1">
      <c r="A1105" s="127">
        <v>45631.0</v>
      </c>
      <c r="B1105" s="181" t="s">
        <v>6007</v>
      </c>
      <c r="C1105" s="56" t="s">
        <v>2919</v>
      </c>
      <c r="D1105" s="73" t="str">
        <f>IFERROR(VLOOKUP(C1105,Stock,3,FALSE),"")</f>
        <v>Toyota Innova 04-15 1st Gen</v>
      </c>
      <c r="E1105" s="56">
        <v>1.0</v>
      </c>
      <c r="F1105" s="161">
        <v>2340000.0</v>
      </c>
      <c r="G1105" s="162">
        <f t="shared" si="32"/>
        <v>2340000</v>
      </c>
      <c r="H1105" s="194"/>
      <c r="I1105" s="204">
        <f t="shared" si="29"/>
        <v>2340000</v>
      </c>
      <c r="J1105" s="164">
        <f t="shared" si="30"/>
        <v>2340000</v>
      </c>
      <c r="K1105" s="56" t="s">
        <v>6008</v>
      </c>
      <c r="L1105" s="165" t="s">
        <v>6009</v>
      </c>
      <c r="M1105" s="73"/>
      <c r="N1105" s="171"/>
      <c r="O1105" s="169" t="s">
        <v>5220</v>
      </c>
      <c r="P1105" s="168" t="s">
        <v>3112</v>
      </c>
      <c r="Q1105" s="173"/>
      <c r="R1105" s="167">
        <v>2340000.0</v>
      </c>
      <c r="S1105" s="173"/>
      <c r="T1105" s="173"/>
      <c r="U1105" s="173"/>
      <c r="V1105" s="168" t="s">
        <v>3883</v>
      </c>
      <c r="W1105" s="169"/>
      <c r="X1105" s="219">
        <v>45643.0</v>
      </c>
    </row>
    <row r="1106" ht="15.0" customHeight="1">
      <c r="A1106" s="127">
        <v>45631.0</v>
      </c>
      <c r="B1106" s="181" t="s">
        <v>6007</v>
      </c>
      <c r="C1106" s="251" t="s">
        <v>2934</v>
      </c>
      <c r="D1106" s="73" t="str">
        <f>IFERROR(VLOOKUP(C1106,Stock,3,FALSE),"")</f>
        <v>Peti Kayu</v>
      </c>
      <c r="E1106" s="56">
        <v>1.0</v>
      </c>
      <c r="F1106" s="161">
        <v>200000.0</v>
      </c>
      <c r="G1106" s="162">
        <f t="shared" si="32"/>
        <v>200000</v>
      </c>
      <c r="H1106" s="194"/>
      <c r="I1106" s="204">
        <f t="shared" si="29"/>
        <v>200000</v>
      </c>
      <c r="J1106" s="164">
        <f t="shared" si="30"/>
        <v>200000</v>
      </c>
      <c r="K1106" s="56" t="s">
        <v>6008</v>
      </c>
      <c r="L1106" s="165" t="s">
        <v>6009</v>
      </c>
      <c r="M1106" s="73"/>
      <c r="N1106" s="171"/>
      <c r="O1106" s="169" t="s">
        <v>5220</v>
      </c>
      <c r="P1106" s="168" t="s">
        <v>3112</v>
      </c>
      <c r="Q1106" s="173"/>
      <c r="R1106" s="167">
        <v>200000.0</v>
      </c>
      <c r="S1106" s="173"/>
      <c r="T1106" s="173"/>
      <c r="U1106" s="173"/>
      <c r="V1106" s="168" t="s">
        <v>3883</v>
      </c>
      <c r="W1106" s="169"/>
      <c r="X1106" s="219">
        <v>45643.0</v>
      </c>
    </row>
    <row r="1107" ht="15.0" customHeight="1">
      <c r="A1107" s="127">
        <v>45631.0</v>
      </c>
      <c r="B1107" s="181" t="s">
        <v>6007</v>
      </c>
      <c r="C1107" s="169" t="s">
        <v>2954</v>
      </c>
      <c r="D1107" s="73" t="str">
        <f>IFERROR(VLOOKUP(C1107,Stock,3,FALSE),"")</f>
        <v>Transport</v>
      </c>
      <c r="E1107" s="56">
        <v>1.0</v>
      </c>
      <c r="F1107" s="161">
        <v>75000.0</v>
      </c>
      <c r="G1107" s="162">
        <f t="shared" si="32"/>
        <v>75000</v>
      </c>
      <c r="H1107" s="194"/>
      <c r="I1107" s="204">
        <f t="shared" si="29"/>
        <v>75000</v>
      </c>
      <c r="J1107" s="164">
        <f t="shared" si="30"/>
        <v>75000</v>
      </c>
      <c r="K1107" s="56" t="s">
        <v>6008</v>
      </c>
      <c r="L1107" s="165" t="s">
        <v>6009</v>
      </c>
      <c r="M1107" s="73"/>
      <c r="N1107" s="171"/>
      <c r="O1107" s="169" t="s">
        <v>5220</v>
      </c>
      <c r="P1107" s="168" t="s">
        <v>3112</v>
      </c>
      <c r="Q1107" s="173"/>
      <c r="R1107" s="167">
        <v>75000.0</v>
      </c>
      <c r="S1107" s="173"/>
      <c r="T1107" s="173"/>
      <c r="U1107" s="173"/>
      <c r="V1107" s="168" t="s">
        <v>3883</v>
      </c>
      <c r="W1107" s="169"/>
      <c r="X1107" s="219">
        <v>45643.0</v>
      </c>
    </row>
    <row r="1108" ht="15.0" customHeight="1">
      <c r="A1108" s="127">
        <v>45631.0</v>
      </c>
      <c r="B1108" s="181" t="s">
        <v>6010</v>
      </c>
      <c r="C1108" s="56" t="s">
        <v>6011</v>
      </c>
      <c r="D1108" s="73" t="str">
        <f>IFERROR(VLOOKUP(C1108,Stock,3,FALSE),"")</f>
        <v>Subaru Forester 09-13</v>
      </c>
      <c r="E1108" s="56">
        <v>1.0</v>
      </c>
      <c r="F1108" s="161">
        <v>2550000.0</v>
      </c>
      <c r="G1108" s="162">
        <f t="shared" si="32"/>
        <v>2550000</v>
      </c>
      <c r="H1108" s="201">
        <v>100000.0</v>
      </c>
      <c r="I1108" s="204">
        <f t="shared" si="29"/>
        <v>2450000</v>
      </c>
      <c r="J1108" s="164">
        <f t="shared" si="30"/>
        <v>2450000</v>
      </c>
      <c r="K1108" s="56" t="s">
        <v>6012</v>
      </c>
      <c r="L1108" s="165" t="s">
        <v>6013</v>
      </c>
      <c r="M1108" s="73"/>
      <c r="N1108" s="171"/>
      <c r="O1108" s="169" t="s">
        <v>2958</v>
      </c>
      <c r="P1108" s="168" t="s">
        <v>3112</v>
      </c>
      <c r="Q1108" s="173"/>
      <c r="R1108" s="167">
        <v>2450000.0</v>
      </c>
      <c r="S1108" s="173"/>
      <c r="T1108" s="173"/>
      <c r="U1108" s="173"/>
      <c r="V1108" s="168" t="s">
        <v>3883</v>
      </c>
      <c r="W1108" s="169"/>
      <c r="X1108" s="169" t="s">
        <v>6014</v>
      </c>
    </row>
    <row r="1109" ht="15.0" customHeight="1">
      <c r="A1109" s="127">
        <v>45631.0</v>
      </c>
      <c r="B1109" s="181" t="s">
        <v>6010</v>
      </c>
      <c r="C1109" s="251" t="s">
        <v>2954</v>
      </c>
      <c r="D1109" s="73" t="str">
        <f>IFERROR(VLOOKUP(C1109,Stock,3,FALSE),"")</f>
        <v>Transport</v>
      </c>
      <c r="E1109" s="56">
        <v>1.0</v>
      </c>
      <c r="F1109" s="161">
        <v>75000.0</v>
      </c>
      <c r="G1109" s="162">
        <f t="shared" si="32"/>
        <v>75000</v>
      </c>
      <c r="H1109" s="194"/>
      <c r="I1109" s="204">
        <f t="shared" si="29"/>
        <v>75000</v>
      </c>
      <c r="J1109" s="164">
        <f t="shared" si="30"/>
        <v>75000</v>
      </c>
      <c r="K1109" s="56" t="s">
        <v>6012</v>
      </c>
      <c r="L1109" s="165" t="s">
        <v>6013</v>
      </c>
      <c r="M1109" s="73"/>
      <c r="N1109" s="171"/>
      <c r="O1109" s="169" t="s">
        <v>2958</v>
      </c>
      <c r="P1109" s="168" t="s">
        <v>3112</v>
      </c>
      <c r="Q1109" s="173"/>
      <c r="R1109" s="167">
        <v>75000.0</v>
      </c>
      <c r="S1109" s="173"/>
      <c r="T1109" s="173"/>
      <c r="U1109" s="173"/>
      <c r="V1109" s="168" t="s">
        <v>3883</v>
      </c>
      <c r="W1109" s="169"/>
      <c r="X1109" s="169" t="s">
        <v>6014</v>
      </c>
    </row>
    <row r="1110" ht="15.0" customHeight="1">
      <c r="A1110" s="127">
        <v>45631.0</v>
      </c>
      <c r="B1110" s="181" t="s">
        <v>6015</v>
      </c>
      <c r="C1110" s="56" t="s">
        <v>2936</v>
      </c>
      <c r="D1110" s="73" t="str">
        <f>IFERROR(VLOOKUP(C1110,Stock,3,FALSE),"")</f>
        <v>Toyota Calya / Sigra 16-</v>
      </c>
      <c r="E1110" s="56">
        <v>1.0</v>
      </c>
      <c r="F1110" s="161">
        <v>950000.0</v>
      </c>
      <c r="G1110" s="162">
        <f t="shared" si="32"/>
        <v>950000</v>
      </c>
      <c r="H1110" s="194"/>
      <c r="I1110" s="204">
        <f t="shared" si="29"/>
        <v>950000</v>
      </c>
      <c r="J1110" s="164">
        <f t="shared" si="30"/>
        <v>950000</v>
      </c>
      <c r="K1110" s="56" t="s">
        <v>5011</v>
      </c>
      <c r="L1110" s="165" t="s">
        <v>6016</v>
      </c>
      <c r="M1110" s="73"/>
      <c r="N1110" s="171"/>
      <c r="O1110" s="169" t="s">
        <v>2958</v>
      </c>
      <c r="P1110" s="168" t="s">
        <v>3112</v>
      </c>
      <c r="Q1110" s="167">
        <v>950000.0</v>
      </c>
      <c r="R1110" s="173"/>
      <c r="S1110" s="173"/>
      <c r="T1110" s="173"/>
      <c r="U1110" s="173"/>
      <c r="V1110" s="168" t="s">
        <v>3883</v>
      </c>
      <c r="W1110" s="169"/>
      <c r="X1110" s="219">
        <v>45643.0</v>
      </c>
    </row>
    <row r="1111" ht="15.0" customHeight="1">
      <c r="A1111" s="127">
        <v>45632.0</v>
      </c>
      <c r="B1111" s="181" t="s">
        <v>6017</v>
      </c>
      <c r="C1111" s="56" t="s">
        <v>3378</v>
      </c>
      <c r="D1111" s="73" t="str">
        <f>IFERROR(VLOOKUP(C1111,Stock,3,FALSE),"")</f>
        <v>Isuzu Panther 00- 2nd Gen</v>
      </c>
      <c r="E1111" s="56">
        <v>1.0</v>
      </c>
      <c r="F1111" s="161">
        <v>1338000.0</v>
      </c>
      <c r="G1111" s="162">
        <f t="shared" si="32"/>
        <v>1338000</v>
      </c>
      <c r="H1111" s="194"/>
      <c r="I1111" s="204">
        <f t="shared" si="29"/>
        <v>1338000</v>
      </c>
      <c r="J1111" s="164">
        <f t="shared" si="30"/>
        <v>1338000</v>
      </c>
      <c r="K1111" s="56" t="s">
        <v>6018</v>
      </c>
      <c r="L1111" s="165" t="s">
        <v>6019</v>
      </c>
      <c r="M1111" s="73"/>
      <c r="N1111" s="169" t="s">
        <v>6020</v>
      </c>
      <c r="O1111" s="169" t="s">
        <v>2958</v>
      </c>
      <c r="P1111" s="168" t="s">
        <v>3112</v>
      </c>
      <c r="Q1111" s="167">
        <v>1338000.0</v>
      </c>
      <c r="R1111" s="173"/>
      <c r="S1111" s="173"/>
      <c r="T1111" s="173"/>
      <c r="U1111" s="173"/>
      <c r="V1111" s="168" t="s">
        <v>3883</v>
      </c>
      <c r="W1111" s="169"/>
      <c r="X1111" s="219">
        <v>45643.0</v>
      </c>
    </row>
    <row r="1112" ht="15.0" customHeight="1">
      <c r="A1112" s="127">
        <v>45632.0</v>
      </c>
      <c r="B1112" s="181" t="s">
        <v>6017</v>
      </c>
      <c r="C1112" s="251" t="s">
        <v>2954</v>
      </c>
      <c r="D1112" s="73" t="str">
        <f>IFERROR(VLOOKUP(C1112,Stock,3,FALSE),"")</f>
        <v>Transport</v>
      </c>
      <c r="E1112" s="56">
        <v>1.0</v>
      </c>
      <c r="F1112" s="161">
        <v>50000.0</v>
      </c>
      <c r="G1112" s="162">
        <f t="shared" si="32"/>
        <v>50000</v>
      </c>
      <c r="H1112" s="201">
        <v>50000.0</v>
      </c>
      <c r="I1112" s="204">
        <f t="shared" si="29"/>
        <v>0</v>
      </c>
      <c r="J1112" s="164">
        <f t="shared" si="30"/>
        <v>0</v>
      </c>
      <c r="K1112" s="56" t="s">
        <v>6018</v>
      </c>
      <c r="L1112" s="165" t="s">
        <v>6019</v>
      </c>
      <c r="M1112" s="73"/>
      <c r="N1112" s="169" t="s">
        <v>6020</v>
      </c>
      <c r="O1112" s="169" t="s">
        <v>2958</v>
      </c>
      <c r="P1112" s="168" t="s">
        <v>3112</v>
      </c>
      <c r="Q1112" s="173"/>
      <c r="R1112" s="173"/>
      <c r="S1112" s="173"/>
      <c r="T1112" s="173"/>
      <c r="U1112" s="173"/>
      <c r="V1112" s="168" t="s">
        <v>3883</v>
      </c>
      <c r="W1112" s="169"/>
      <c r="X1112" s="219">
        <v>45643.0</v>
      </c>
    </row>
    <row r="1113" ht="15.0" customHeight="1">
      <c r="A1113" s="127">
        <v>45632.0</v>
      </c>
      <c r="B1113" s="181" t="s">
        <v>6021</v>
      </c>
      <c r="C1113" s="56" t="s">
        <v>6022</v>
      </c>
      <c r="D1113" s="73" t="str">
        <f>IFERROR(VLOOKUP(C1113,Stock,3,FALSE),"")</f>
        <v>Suzuki Ertiga 18- 2nd Gen / XL7 (Suzuki)</v>
      </c>
      <c r="E1113" s="56">
        <v>1.0</v>
      </c>
      <c r="F1113" s="161">
        <v>1350000.0</v>
      </c>
      <c r="G1113" s="162">
        <f t="shared" si="32"/>
        <v>1350000</v>
      </c>
      <c r="H1113" s="194"/>
      <c r="I1113" s="204">
        <f t="shared" si="29"/>
        <v>1350000</v>
      </c>
      <c r="J1113" s="164">
        <f t="shared" si="30"/>
        <v>1350000</v>
      </c>
      <c r="K1113" s="56" t="s">
        <v>6023</v>
      </c>
      <c r="L1113" s="165" t="s">
        <v>6024</v>
      </c>
      <c r="M1113" s="73"/>
      <c r="N1113" s="169" t="s">
        <v>6025</v>
      </c>
      <c r="O1113" s="169" t="s">
        <v>2958</v>
      </c>
      <c r="P1113" s="168" t="s">
        <v>3112</v>
      </c>
      <c r="Q1113" s="173"/>
      <c r="R1113" s="167">
        <v>1350000.0</v>
      </c>
      <c r="S1113" s="173"/>
      <c r="T1113" s="173"/>
      <c r="U1113" s="173"/>
      <c r="V1113" s="168" t="s">
        <v>3883</v>
      </c>
      <c r="W1113" s="169"/>
      <c r="X1113" s="169" t="s">
        <v>6026</v>
      </c>
    </row>
    <row r="1114" ht="15.0" customHeight="1">
      <c r="A1114" s="127">
        <v>45632.0</v>
      </c>
      <c r="B1114" s="181" t="s">
        <v>6027</v>
      </c>
      <c r="C1114" s="56" t="s">
        <v>6028</v>
      </c>
      <c r="D1114" s="73" t="str">
        <f>IFERROR(VLOOKUP(C1114,Stock,3,FALSE),"")</f>
        <v>Toyota Innova 04-15 1st Gen (Toyota)</v>
      </c>
      <c r="E1114" s="56">
        <v>1.0</v>
      </c>
      <c r="F1114" s="161">
        <v>2200000.0</v>
      </c>
      <c r="G1114" s="162">
        <f t="shared" si="32"/>
        <v>2200000</v>
      </c>
      <c r="H1114" s="201">
        <v>200000.0</v>
      </c>
      <c r="I1114" s="204">
        <f t="shared" si="29"/>
        <v>2000000</v>
      </c>
      <c r="J1114" s="164">
        <f t="shared" si="30"/>
        <v>2000000</v>
      </c>
      <c r="K1114" s="56" t="s">
        <v>6029</v>
      </c>
      <c r="L1114" s="165" t="s">
        <v>5556</v>
      </c>
      <c r="M1114" s="73"/>
      <c r="N1114" s="169" t="s">
        <v>6030</v>
      </c>
      <c r="O1114" s="169" t="s">
        <v>2958</v>
      </c>
      <c r="P1114" s="168" t="s">
        <v>3112</v>
      </c>
      <c r="Q1114" s="173"/>
      <c r="R1114" s="167">
        <v>2000000.0</v>
      </c>
      <c r="S1114" s="173"/>
      <c r="T1114" s="173"/>
      <c r="U1114" s="173"/>
      <c r="V1114" s="168" t="s">
        <v>3883</v>
      </c>
      <c r="W1114" s="169"/>
      <c r="X1114" s="169" t="s">
        <v>6031</v>
      </c>
    </row>
    <row r="1115" ht="15.0" customHeight="1">
      <c r="A1115" s="127">
        <v>45632.0</v>
      </c>
      <c r="B1115" s="181" t="s">
        <v>6032</v>
      </c>
      <c r="C1115" s="56" t="s">
        <v>6033</v>
      </c>
      <c r="D1115" s="73" t="str">
        <f>IFERROR(VLOOKUP(C1115,Stock,3,FALSE),"")</f>
        <v>Mitsubishi Kuda 99-06</v>
      </c>
      <c r="E1115" s="56">
        <v>1.0</v>
      </c>
      <c r="F1115" s="161">
        <v>485000.0</v>
      </c>
      <c r="G1115" s="162">
        <f t="shared" si="32"/>
        <v>485000</v>
      </c>
      <c r="H1115" s="194"/>
      <c r="I1115" s="204">
        <f t="shared" si="29"/>
        <v>485000</v>
      </c>
      <c r="J1115" s="164">
        <f t="shared" si="30"/>
        <v>485000</v>
      </c>
      <c r="K1115" s="56" t="s">
        <v>6034</v>
      </c>
      <c r="L1115" s="165" t="s">
        <v>6035</v>
      </c>
      <c r="M1115" s="73"/>
      <c r="N1115" s="171"/>
      <c r="O1115" s="169" t="s">
        <v>2958</v>
      </c>
      <c r="P1115" s="168" t="s">
        <v>3112</v>
      </c>
      <c r="Q1115" s="173"/>
      <c r="R1115" s="167">
        <v>485000.0</v>
      </c>
      <c r="S1115" s="173"/>
      <c r="T1115" s="173"/>
      <c r="U1115" s="173"/>
      <c r="V1115" s="168" t="s">
        <v>3883</v>
      </c>
      <c r="W1115" s="169"/>
      <c r="X1115" s="169" t="s">
        <v>6036</v>
      </c>
    </row>
    <row r="1116" ht="15.0" customHeight="1">
      <c r="A1116" s="127">
        <v>45633.0</v>
      </c>
      <c r="B1116" s="181" t="s">
        <v>6037</v>
      </c>
      <c r="C1116" s="169" t="s">
        <v>3013</v>
      </c>
      <c r="D1116" s="73" t="str">
        <f>IFERROR(VLOOKUP(C1116,Stock,3,FALSE),"")</f>
        <v>Honda BR-V 16-</v>
      </c>
      <c r="E1116" s="56">
        <v>1.0</v>
      </c>
      <c r="F1116" s="161">
        <v>1411000.0</v>
      </c>
      <c r="G1116" s="162">
        <f t="shared" si="32"/>
        <v>1411000</v>
      </c>
      <c r="H1116" s="194"/>
      <c r="I1116" s="204">
        <f t="shared" si="29"/>
        <v>1411000</v>
      </c>
      <c r="J1116" s="164">
        <f t="shared" si="30"/>
        <v>1411000</v>
      </c>
      <c r="K1116" s="56" t="s">
        <v>6038</v>
      </c>
      <c r="L1116" s="165" t="s">
        <v>6039</v>
      </c>
      <c r="M1116" s="73"/>
      <c r="N1116" s="169" t="s">
        <v>6040</v>
      </c>
      <c r="O1116" s="169" t="s">
        <v>2958</v>
      </c>
      <c r="P1116" s="168" t="s">
        <v>3112</v>
      </c>
      <c r="Q1116" s="173"/>
      <c r="R1116" s="167">
        <v>1411000.0</v>
      </c>
      <c r="S1116" s="173"/>
      <c r="T1116" s="173"/>
      <c r="U1116" s="173"/>
      <c r="V1116" s="168" t="s">
        <v>3883</v>
      </c>
      <c r="W1116" s="169"/>
      <c r="X1116" s="169" t="s">
        <v>6041</v>
      </c>
    </row>
    <row r="1117" ht="15.0" customHeight="1">
      <c r="A1117" s="127">
        <v>45633.0</v>
      </c>
      <c r="B1117" s="181" t="s">
        <v>6037</v>
      </c>
      <c r="C1117" s="251" t="s">
        <v>2954</v>
      </c>
      <c r="D1117" s="73" t="str">
        <f>IFERROR(VLOOKUP(C1117,Stock,3,FALSE),"")</f>
        <v>Transport</v>
      </c>
      <c r="E1117" s="56">
        <v>1.0</v>
      </c>
      <c r="F1117" s="161">
        <v>50000.0</v>
      </c>
      <c r="G1117" s="162">
        <f t="shared" si="32"/>
        <v>50000</v>
      </c>
      <c r="H1117" s="194"/>
      <c r="I1117" s="204">
        <f t="shared" si="29"/>
        <v>50000</v>
      </c>
      <c r="J1117" s="164">
        <f t="shared" si="30"/>
        <v>50000</v>
      </c>
      <c r="K1117" s="56" t="s">
        <v>6038</v>
      </c>
      <c r="L1117" s="165" t="s">
        <v>6039</v>
      </c>
      <c r="M1117" s="73"/>
      <c r="N1117" s="169" t="s">
        <v>6040</v>
      </c>
      <c r="O1117" s="169" t="s">
        <v>2958</v>
      </c>
      <c r="P1117" s="168" t="s">
        <v>3112</v>
      </c>
      <c r="Q1117" s="173"/>
      <c r="R1117" s="167">
        <v>50000.0</v>
      </c>
      <c r="S1117" s="173"/>
      <c r="T1117" s="173"/>
      <c r="U1117" s="173"/>
      <c r="V1117" s="168" t="s">
        <v>3883</v>
      </c>
      <c r="W1117" s="169"/>
      <c r="X1117" s="169" t="s">
        <v>6041</v>
      </c>
    </row>
    <row r="1118" ht="15.0" customHeight="1">
      <c r="A1118" s="127">
        <v>45633.0</v>
      </c>
      <c r="B1118" s="181" t="s">
        <v>6042</v>
      </c>
      <c r="C1118" s="251" t="s">
        <v>6043</v>
      </c>
      <c r="D1118" s="73" t="str">
        <f>IFERROR(VLOOKUP(C1118,Stock,3,FALSE),"")</f>
        <v>Suzuki Vitara 88-97 / Escudo / Sidekick</v>
      </c>
      <c r="E1118" s="56">
        <v>1.0</v>
      </c>
      <c r="F1118" s="161">
        <v>1349000.0</v>
      </c>
      <c r="G1118" s="162">
        <f t="shared" si="32"/>
        <v>1349000</v>
      </c>
      <c r="H1118" s="194"/>
      <c r="I1118" s="204">
        <f t="shared" si="29"/>
        <v>1349000</v>
      </c>
      <c r="J1118" s="164">
        <f t="shared" si="30"/>
        <v>1349000</v>
      </c>
      <c r="K1118" s="310" t="s">
        <v>6044</v>
      </c>
      <c r="L1118" s="165" t="s">
        <v>6045</v>
      </c>
      <c r="M1118" s="73"/>
      <c r="N1118" s="171"/>
      <c r="O1118" s="169" t="s">
        <v>2958</v>
      </c>
      <c r="P1118" s="168" t="s">
        <v>2922</v>
      </c>
      <c r="Q1118" s="173"/>
      <c r="R1118" s="173"/>
      <c r="S1118" s="167">
        <v>1349000.0</v>
      </c>
      <c r="T1118" s="167">
        <v>129920.0</v>
      </c>
      <c r="U1118" s="173"/>
      <c r="V1118" s="168" t="s">
        <v>3883</v>
      </c>
      <c r="W1118" s="169"/>
      <c r="X1118" s="169" t="s">
        <v>6046</v>
      </c>
    </row>
    <row r="1119" ht="15.0" customHeight="1">
      <c r="A1119" s="127">
        <v>45633.0</v>
      </c>
      <c r="B1119" s="181" t="s">
        <v>6042</v>
      </c>
      <c r="C1119" s="251" t="s">
        <v>2934</v>
      </c>
      <c r="D1119" s="73" t="str">
        <f>IFERROR(VLOOKUP(C1119,Stock,3,FALSE),"")</f>
        <v>Peti Kayu</v>
      </c>
      <c r="E1119" s="56">
        <v>1.0</v>
      </c>
      <c r="F1119" s="161">
        <v>200000.0</v>
      </c>
      <c r="G1119" s="162">
        <f t="shared" si="32"/>
        <v>200000</v>
      </c>
      <c r="H1119" s="194"/>
      <c r="I1119" s="204">
        <f t="shared" si="29"/>
        <v>200000</v>
      </c>
      <c r="J1119" s="164">
        <f t="shared" si="30"/>
        <v>200000</v>
      </c>
      <c r="K1119" s="310" t="s">
        <v>6044</v>
      </c>
      <c r="L1119" s="165" t="s">
        <v>6045</v>
      </c>
      <c r="M1119" s="73"/>
      <c r="N1119" s="171"/>
      <c r="O1119" s="169" t="s">
        <v>2958</v>
      </c>
      <c r="P1119" s="168" t="s">
        <v>2922</v>
      </c>
      <c r="Q1119" s="173"/>
      <c r="R1119" s="173"/>
      <c r="S1119" s="167">
        <v>200000.0</v>
      </c>
      <c r="T1119" s="173"/>
      <c r="U1119" s="173"/>
      <c r="V1119" s="168" t="s">
        <v>3883</v>
      </c>
      <c r="W1119" s="169"/>
      <c r="X1119" s="171"/>
    </row>
    <row r="1120" ht="15.0" customHeight="1">
      <c r="A1120" s="127">
        <v>45633.0</v>
      </c>
      <c r="B1120" s="181" t="s">
        <v>6042</v>
      </c>
      <c r="C1120" s="181" t="s">
        <v>3059</v>
      </c>
      <c r="D1120" s="73" t="str">
        <f>IFERROR(VLOOKUP(C1120,Stock,3,FALSE),"")</f>
        <v>Sealant Polyurethane XYG Tube</v>
      </c>
      <c r="E1120" s="56">
        <v>1.0</v>
      </c>
      <c r="F1120" s="161">
        <v>75000.0</v>
      </c>
      <c r="G1120" s="162">
        <f t="shared" si="32"/>
        <v>75000</v>
      </c>
      <c r="H1120" s="194"/>
      <c r="I1120" s="204">
        <f t="shared" si="29"/>
        <v>75000</v>
      </c>
      <c r="J1120" s="164">
        <f t="shared" si="30"/>
        <v>75000</v>
      </c>
      <c r="K1120" s="310" t="s">
        <v>6044</v>
      </c>
      <c r="L1120" s="165" t="s">
        <v>6045</v>
      </c>
      <c r="M1120" s="73"/>
      <c r="N1120" s="171"/>
      <c r="O1120" s="169" t="s">
        <v>2958</v>
      </c>
      <c r="P1120" s="168" t="s">
        <v>2922</v>
      </c>
      <c r="Q1120" s="173"/>
      <c r="R1120" s="173"/>
      <c r="S1120" s="167">
        <v>75000.0</v>
      </c>
      <c r="T1120" s="173"/>
      <c r="U1120" s="173"/>
      <c r="V1120" s="168" t="s">
        <v>3883</v>
      </c>
      <c r="W1120" s="169"/>
      <c r="X1120" s="171"/>
    </row>
    <row r="1121" ht="15.0" customHeight="1">
      <c r="A1121" s="127">
        <v>45633.0</v>
      </c>
      <c r="B1121" s="181" t="s">
        <v>6042</v>
      </c>
      <c r="C1121" s="181" t="s">
        <v>2954</v>
      </c>
      <c r="D1121" s="73" t="str">
        <f>IFERROR(VLOOKUP(C1121,Stock,3,FALSE),"")</f>
        <v>Transport</v>
      </c>
      <c r="E1121" s="56">
        <v>1.0</v>
      </c>
      <c r="F1121" s="161">
        <v>60000.0</v>
      </c>
      <c r="G1121" s="162">
        <f t="shared" si="32"/>
        <v>60000</v>
      </c>
      <c r="H1121" s="194"/>
      <c r="I1121" s="204">
        <f t="shared" si="29"/>
        <v>60000</v>
      </c>
      <c r="J1121" s="164">
        <f t="shared" si="30"/>
        <v>60000</v>
      </c>
      <c r="K1121" s="310" t="s">
        <v>6044</v>
      </c>
      <c r="L1121" s="165" t="s">
        <v>6045</v>
      </c>
      <c r="M1121" s="73"/>
      <c r="N1121" s="171"/>
      <c r="O1121" s="169" t="s">
        <v>2958</v>
      </c>
      <c r="P1121" s="168" t="s">
        <v>2922</v>
      </c>
      <c r="Q1121" s="173"/>
      <c r="R1121" s="167">
        <v>60000.0</v>
      </c>
      <c r="S1121" s="173"/>
      <c r="T1121" s="173"/>
      <c r="U1121" s="173"/>
      <c r="V1121" s="168" t="s">
        <v>3883</v>
      </c>
      <c r="W1121" s="169"/>
      <c r="X1121" s="169" t="s">
        <v>6047</v>
      </c>
    </row>
    <row r="1122" ht="15.0" customHeight="1">
      <c r="A1122" s="127">
        <v>45633.0</v>
      </c>
      <c r="B1122" s="181" t="s">
        <v>6048</v>
      </c>
      <c r="C1122" s="56" t="s">
        <v>2847</v>
      </c>
      <c r="D1122" s="73" t="str">
        <f>IFERROR(VLOOKUP(C1122,Stock,3,FALSE),"")</f>
        <v>Honda BR-V 22-</v>
      </c>
      <c r="E1122" s="56">
        <v>1.0</v>
      </c>
      <c r="F1122" s="161">
        <v>1818000.0</v>
      </c>
      <c r="G1122" s="162">
        <f t="shared" si="32"/>
        <v>1818000</v>
      </c>
      <c r="H1122" s="194"/>
      <c r="I1122" s="204">
        <f t="shared" si="29"/>
        <v>1818000</v>
      </c>
      <c r="J1122" s="164">
        <f t="shared" si="30"/>
        <v>1818000</v>
      </c>
      <c r="K1122" s="56" t="s">
        <v>6049</v>
      </c>
      <c r="L1122" s="165" t="s">
        <v>6050</v>
      </c>
      <c r="M1122" s="73"/>
      <c r="N1122" s="169"/>
      <c r="O1122" s="169" t="s">
        <v>3037</v>
      </c>
      <c r="P1122" s="168" t="s">
        <v>3112</v>
      </c>
      <c r="Q1122" s="173"/>
      <c r="R1122" s="167">
        <v>1818000.0</v>
      </c>
      <c r="S1122" s="173"/>
      <c r="T1122" s="173"/>
      <c r="U1122" s="173"/>
      <c r="V1122" s="168" t="s">
        <v>3883</v>
      </c>
      <c r="W1122" s="169"/>
      <c r="X1122" s="169" t="s">
        <v>6051</v>
      </c>
    </row>
    <row r="1123" ht="15.0" customHeight="1">
      <c r="A1123" s="127">
        <v>45633.0</v>
      </c>
      <c r="B1123" s="181" t="s">
        <v>6052</v>
      </c>
      <c r="C1123" s="56" t="s">
        <v>2583</v>
      </c>
      <c r="D1123" s="73" t="str">
        <f>IFERROR(VLOOKUP(C1123,Stock,3,FALSE),"")</f>
        <v>Ford Ranger 11- T6 /Mazda BT50 Sing/Doub Cabin</v>
      </c>
      <c r="E1123" s="56">
        <v>1.0</v>
      </c>
      <c r="F1123" s="161">
        <v>1797000.0</v>
      </c>
      <c r="G1123" s="162">
        <f t="shared" si="32"/>
        <v>1797000</v>
      </c>
      <c r="H1123" s="194"/>
      <c r="I1123" s="204">
        <f t="shared" si="29"/>
        <v>1797000</v>
      </c>
      <c r="J1123" s="164">
        <f t="shared" si="30"/>
        <v>1797000</v>
      </c>
      <c r="K1123" s="56" t="s">
        <v>6053</v>
      </c>
      <c r="L1123" s="165" t="s">
        <v>6054</v>
      </c>
      <c r="M1123" s="73"/>
      <c r="N1123" s="169" t="s">
        <v>6055</v>
      </c>
      <c r="O1123" s="169" t="s">
        <v>2958</v>
      </c>
      <c r="P1123" s="168" t="s">
        <v>3112</v>
      </c>
      <c r="Q1123" s="173"/>
      <c r="R1123" s="167">
        <v>500000.0</v>
      </c>
      <c r="S1123" s="173"/>
      <c r="T1123" s="173"/>
      <c r="U1123" s="173"/>
      <c r="V1123" s="168" t="s">
        <v>3883</v>
      </c>
      <c r="W1123" s="169"/>
      <c r="X1123" s="169" t="s">
        <v>6056</v>
      </c>
    </row>
    <row r="1124" ht="15.0" customHeight="1">
      <c r="A1124" s="127">
        <v>45633.0</v>
      </c>
      <c r="B1124" s="181" t="s">
        <v>6057</v>
      </c>
      <c r="C1124" s="56" t="s">
        <v>2555</v>
      </c>
      <c r="D1124" s="73" t="str">
        <f>IFERROR(VLOOKUP(C1124,Stock,3,FALSE),"")</f>
        <v>Toyota Fortuner 15-  2nd Gen (Toyota)</v>
      </c>
      <c r="E1124" s="56">
        <v>1.0</v>
      </c>
      <c r="F1124" s="161">
        <v>2998000.0</v>
      </c>
      <c r="G1124" s="162">
        <f t="shared" si="32"/>
        <v>2998000</v>
      </c>
      <c r="H1124" s="201">
        <v>98000.0</v>
      </c>
      <c r="I1124" s="204">
        <f t="shared" si="29"/>
        <v>2900000</v>
      </c>
      <c r="J1124" s="164">
        <f t="shared" si="30"/>
        <v>2900000</v>
      </c>
      <c r="K1124" s="56" t="s">
        <v>6058</v>
      </c>
      <c r="L1124" s="165" t="s">
        <v>6059</v>
      </c>
      <c r="M1124" s="73"/>
      <c r="N1124" s="169" t="s">
        <v>6060</v>
      </c>
      <c r="O1124" s="169" t="s">
        <v>2958</v>
      </c>
      <c r="P1124" s="168" t="s">
        <v>3112</v>
      </c>
      <c r="Q1124" s="173"/>
      <c r="R1124" s="167">
        <v>2900000.0</v>
      </c>
      <c r="S1124" s="173"/>
      <c r="T1124" s="173"/>
      <c r="U1124" s="173"/>
      <c r="V1124" s="168" t="s">
        <v>3883</v>
      </c>
      <c r="W1124" s="169"/>
      <c r="X1124" s="169" t="s">
        <v>6061</v>
      </c>
    </row>
    <row r="1125" ht="15.0" customHeight="1">
      <c r="A1125" s="127">
        <v>45633.0</v>
      </c>
      <c r="B1125" s="181" t="s">
        <v>6057</v>
      </c>
      <c r="C1125" s="251" t="s">
        <v>2859</v>
      </c>
      <c r="D1125" s="73" t="str">
        <f>IFERROR(VLOOKUP(C1125,Stock,3,FALSE),"")</f>
        <v>Toyota Fortuner 15-  2nd Gen</v>
      </c>
      <c r="E1125" s="56">
        <v>1.0</v>
      </c>
      <c r="F1125" s="161">
        <v>785000.0</v>
      </c>
      <c r="G1125" s="162">
        <f t="shared" si="32"/>
        <v>785000</v>
      </c>
      <c r="H1125" s="194"/>
      <c r="I1125" s="204">
        <f t="shared" si="29"/>
        <v>785000</v>
      </c>
      <c r="J1125" s="164">
        <f t="shared" si="30"/>
        <v>785000</v>
      </c>
      <c r="K1125" s="56" t="s">
        <v>6058</v>
      </c>
      <c r="L1125" s="165" t="s">
        <v>6059</v>
      </c>
      <c r="M1125" s="73"/>
      <c r="N1125" s="169" t="s">
        <v>6060</v>
      </c>
      <c r="O1125" s="169" t="s">
        <v>2958</v>
      </c>
      <c r="P1125" s="168" t="s">
        <v>3112</v>
      </c>
      <c r="Q1125" s="173"/>
      <c r="R1125" s="167">
        <v>785000.0</v>
      </c>
      <c r="S1125" s="173"/>
      <c r="T1125" s="173"/>
      <c r="U1125" s="173"/>
      <c r="V1125" s="168" t="s">
        <v>3883</v>
      </c>
      <c r="W1125" s="169"/>
      <c r="X1125" s="169" t="s">
        <v>6061</v>
      </c>
    </row>
    <row r="1126" ht="15.0" customHeight="1">
      <c r="A1126" s="127">
        <v>45633.0</v>
      </c>
      <c r="B1126" s="181" t="s">
        <v>6062</v>
      </c>
      <c r="C1126" s="56" t="s">
        <v>3964</v>
      </c>
      <c r="D1126" s="73" t="str">
        <f>IFERROR(VLOOKUP(C1126,Stock,3,FALSE),"")</f>
        <v>Nissan Terrano 95-06</v>
      </c>
      <c r="E1126" s="56">
        <v>1.0</v>
      </c>
      <c r="F1126" s="161">
        <v>1599000.0</v>
      </c>
      <c r="G1126" s="162">
        <f t="shared" si="32"/>
        <v>1599000</v>
      </c>
      <c r="H1126" s="194"/>
      <c r="I1126" s="204">
        <f t="shared" si="29"/>
        <v>1599000</v>
      </c>
      <c r="J1126" s="164">
        <f t="shared" si="30"/>
        <v>1599000</v>
      </c>
      <c r="K1126" s="56" t="s">
        <v>6063</v>
      </c>
      <c r="L1126" s="165" t="s">
        <v>6064</v>
      </c>
      <c r="M1126" s="73"/>
      <c r="N1126" s="171"/>
      <c r="O1126" s="169" t="s">
        <v>3204</v>
      </c>
      <c r="P1126" s="168" t="s">
        <v>3112</v>
      </c>
      <c r="Q1126" s="173"/>
      <c r="R1126" s="167">
        <v>1599000.0</v>
      </c>
      <c r="S1126" s="173"/>
      <c r="T1126" s="173"/>
      <c r="U1126" s="173"/>
      <c r="V1126" s="168" t="s">
        <v>3883</v>
      </c>
      <c r="W1126" s="169"/>
      <c r="X1126" s="169" t="s">
        <v>6065</v>
      </c>
    </row>
    <row r="1127" ht="15.0" customHeight="1">
      <c r="A1127" s="127">
        <v>45633.0</v>
      </c>
      <c r="B1127" s="181" t="s">
        <v>6062</v>
      </c>
      <c r="C1127" s="251" t="s">
        <v>2954</v>
      </c>
      <c r="D1127" s="73" t="str">
        <f>IFERROR(VLOOKUP(C1127,Stock,3,FALSE),"")</f>
        <v>Transport</v>
      </c>
      <c r="E1127" s="56">
        <v>1.0</v>
      </c>
      <c r="F1127" s="161">
        <v>150000.0</v>
      </c>
      <c r="G1127" s="162">
        <f t="shared" si="32"/>
        <v>150000</v>
      </c>
      <c r="H1127" s="194"/>
      <c r="I1127" s="204">
        <f t="shared" si="29"/>
        <v>150000</v>
      </c>
      <c r="J1127" s="164">
        <f t="shared" si="30"/>
        <v>150000</v>
      </c>
      <c r="K1127" s="56" t="s">
        <v>6063</v>
      </c>
      <c r="L1127" s="165" t="s">
        <v>6064</v>
      </c>
      <c r="M1127" s="73"/>
      <c r="N1127" s="171"/>
      <c r="O1127" s="169" t="s">
        <v>3204</v>
      </c>
      <c r="P1127" s="168" t="s">
        <v>3112</v>
      </c>
      <c r="Q1127" s="173"/>
      <c r="R1127" s="167">
        <v>150000.0</v>
      </c>
      <c r="S1127" s="173"/>
      <c r="T1127" s="173"/>
      <c r="U1127" s="173"/>
      <c r="V1127" s="168" t="s">
        <v>3883</v>
      </c>
      <c r="W1127" s="169"/>
      <c r="X1127" s="169" t="s">
        <v>6065</v>
      </c>
    </row>
    <row r="1128" ht="15.0" customHeight="1">
      <c r="A1128" s="127">
        <v>45634.0</v>
      </c>
      <c r="B1128" s="181" t="s">
        <v>6066</v>
      </c>
      <c r="C1128" s="56" t="s">
        <v>3574</v>
      </c>
      <c r="D1128" s="73" t="str">
        <f>IFERROR(VLOOKUP(C1128,Stock,3,FALSE),"")</f>
        <v>Toyota Rush / Terios 06-17</v>
      </c>
      <c r="E1128" s="56">
        <v>1.0</v>
      </c>
      <c r="F1128" s="161">
        <v>1100000.0</v>
      </c>
      <c r="G1128" s="162">
        <f t="shared" si="32"/>
        <v>1100000</v>
      </c>
      <c r="H1128" s="194"/>
      <c r="I1128" s="204">
        <f t="shared" si="29"/>
        <v>1100000</v>
      </c>
      <c r="J1128" s="164">
        <f t="shared" si="30"/>
        <v>1100000</v>
      </c>
      <c r="K1128" s="56" t="s">
        <v>6067</v>
      </c>
      <c r="L1128" s="165" t="s">
        <v>6068</v>
      </c>
      <c r="M1128" s="73"/>
      <c r="N1128" s="171"/>
      <c r="O1128" s="169" t="s">
        <v>2958</v>
      </c>
      <c r="P1128" s="168" t="s">
        <v>6069</v>
      </c>
      <c r="Q1128" s="167">
        <v>1100000.0</v>
      </c>
      <c r="R1128" s="173"/>
      <c r="S1128" s="173"/>
      <c r="T1128" s="173"/>
      <c r="U1128" s="173"/>
      <c r="V1128" s="168" t="s">
        <v>3883</v>
      </c>
      <c r="W1128" s="169"/>
      <c r="X1128" s="219">
        <v>45643.0</v>
      </c>
    </row>
    <row r="1129" ht="15.0" customHeight="1">
      <c r="A1129" s="127">
        <v>45634.0</v>
      </c>
      <c r="B1129" s="181" t="s">
        <v>6070</v>
      </c>
      <c r="C1129" s="330" t="s">
        <v>3099</v>
      </c>
      <c r="D1129" s="73" t="str">
        <f>IFERROR(VLOOKUP(C1129,Stock,3,FALSE),"")</f>
        <v>Toyota Calya / Sigra 16-</v>
      </c>
      <c r="E1129" s="56">
        <v>1.0</v>
      </c>
      <c r="F1129" s="161">
        <v>1200000.0</v>
      </c>
      <c r="G1129" s="162">
        <f t="shared" si="32"/>
        <v>1200000</v>
      </c>
      <c r="H1129" s="194"/>
      <c r="I1129" s="204">
        <f t="shared" si="29"/>
        <v>1200000</v>
      </c>
      <c r="J1129" s="164">
        <f t="shared" si="30"/>
        <v>1200000</v>
      </c>
      <c r="K1129" s="56" t="s">
        <v>6071</v>
      </c>
      <c r="L1129" s="165" t="s">
        <v>6072</v>
      </c>
      <c r="M1129" s="73"/>
      <c r="N1129" s="171"/>
      <c r="O1129" s="169" t="s">
        <v>3037</v>
      </c>
      <c r="P1129" s="168" t="s">
        <v>3112</v>
      </c>
      <c r="Q1129" s="173"/>
      <c r="R1129" s="167">
        <v>1200000.0</v>
      </c>
      <c r="S1129" s="173"/>
      <c r="T1129" s="173"/>
      <c r="U1129" s="173"/>
      <c r="V1129" s="168" t="s">
        <v>3883</v>
      </c>
      <c r="W1129" s="169"/>
      <c r="X1129" s="169" t="s">
        <v>6073</v>
      </c>
    </row>
    <row r="1130" ht="15.0" customHeight="1">
      <c r="A1130" s="127">
        <v>45634.0</v>
      </c>
      <c r="B1130" s="181" t="s">
        <v>6070</v>
      </c>
      <c r="C1130" s="251" t="s">
        <v>4027</v>
      </c>
      <c r="D1130" s="73" t="str">
        <f>IFERROR(VLOOKUP(C1130,Stock,3,FALSE),"")</f>
        <v>501 Sealant Application</v>
      </c>
      <c r="E1130" s="56">
        <v>1.0</v>
      </c>
      <c r="F1130" s="161">
        <v>100000.0</v>
      </c>
      <c r="G1130" s="162">
        <f t="shared" si="32"/>
        <v>100000</v>
      </c>
      <c r="H1130" s="194"/>
      <c r="I1130" s="204">
        <f t="shared" si="29"/>
        <v>100000</v>
      </c>
      <c r="J1130" s="164">
        <f t="shared" si="30"/>
        <v>100000</v>
      </c>
      <c r="K1130" s="56" t="s">
        <v>6071</v>
      </c>
      <c r="L1130" s="165" t="s">
        <v>6072</v>
      </c>
      <c r="M1130" s="73"/>
      <c r="N1130" s="171"/>
      <c r="O1130" s="169" t="s">
        <v>3037</v>
      </c>
      <c r="P1130" s="168" t="s">
        <v>3112</v>
      </c>
      <c r="Q1130" s="173"/>
      <c r="R1130" s="167">
        <v>100000.0</v>
      </c>
      <c r="S1130" s="167"/>
      <c r="T1130" s="173"/>
      <c r="U1130" s="173"/>
      <c r="V1130" s="168" t="s">
        <v>3883</v>
      </c>
      <c r="W1130" s="169"/>
      <c r="X1130" s="169" t="s">
        <v>6073</v>
      </c>
    </row>
    <row r="1131" ht="15.0" customHeight="1">
      <c r="A1131" s="127">
        <v>45635.0</v>
      </c>
      <c r="B1131" s="181" t="s">
        <v>6074</v>
      </c>
      <c r="C1131" s="56" t="s">
        <v>2623</v>
      </c>
      <c r="D1131" s="73" t="str">
        <f>IFERROR(VLOOKUP(C1131,Stock,3,FALSE),"")</f>
        <v>Honda Civic 05-11 8th Gen (Civic Batman FD)</v>
      </c>
      <c r="E1131" s="56">
        <v>1.0</v>
      </c>
      <c r="F1131" s="161">
        <v>2818000.0</v>
      </c>
      <c r="G1131" s="162">
        <f t="shared" si="32"/>
        <v>2818000</v>
      </c>
      <c r="H1131" s="194"/>
      <c r="I1131" s="204">
        <f t="shared" si="29"/>
        <v>2818000</v>
      </c>
      <c r="J1131" s="164">
        <f t="shared" si="30"/>
        <v>2818000</v>
      </c>
      <c r="K1131" s="56" t="s">
        <v>6075</v>
      </c>
      <c r="L1131" s="165" t="s">
        <v>6076</v>
      </c>
      <c r="M1131" s="73"/>
      <c r="N1131" s="171"/>
      <c r="O1131" s="169" t="s">
        <v>5930</v>
      </c>
      <c r="P1131" s="168" t="s">
        <v>3112</v>
      </c>
      <c r="Q1131" s="167">
        <v>2818000.0</v>
      </c>
      <c r="R1131" s="173"/>
      <c r="S1131" s="173"/>
      <c r="T1131" s="173"/>
      <c r="U1131" s="173"/>
      <c r="V1131" s="168" t="s">
        <v>3883</v>
      </c>
      <c r="W1131" s="169"/>
      <c r="X1131" s="219">
        <v>45643.0</v>
      </c>
    </row>
    <row r="1132" ht="15.0" customHeight="1">
      <c r="A1132" s="127">
        <v>45635.0</v>
      </c>
      <c r="B1132" s="181" t="s">
        <v>6074</v>
      </c>
      <c r="C1132" s="251" t="s">
        <v>2934</v>
      </c>
      <c r="D1132" s="73" t="str">
        <f>IFERROR(VLOOKUP(C1132,Stock,3,FALSE),"")</f>
        <v>Peti Kayu</v>
      </c>
      <c r="E1132" s="56">
        <v>1.0</v>
      </c>
      <c r="F1132" s="161">
        <v>200000.0</v>
      </c>
      <c r="G1132" s="162">
        <f t="shared" si="32"/>
        <v>200000</v>
      </c>
      <c r="H1132" s="194"/>
      <c r="I1132" s="204">
        <f t="shared" si="29"/>
        <v>200000</v>
      </c>
      <c r="J1132" s="164">
        <f t="shared" si="30"/>
        <v>200000</v>
      </c>
      <c r="K1132" s="56" t="s">
        <v>6075</v>
      </c>
      <c r="L1132" s="165" t="s">
        <v>6076</v>
      </c>
      <c r="M1132" s="73"/>
      <c r="N1132" s="171"/>
      <c r="O1132" s="169" t="s">
        <v>5930</v>
      </c>
      <c r="P1132" s="168" t="s">
        <v>3112</v>
      </c>
      <c r="Q1132" s="167">
        <v>200000.0</v>
      </c>
      <c r="R1132" s="173"/>
      <c r="S1132" s="173"/>
      <c r="T1132" s="173"/>
      <c r="U1132" s="173"/>
      <c r="V1132" s="168" t="s">
        <v>3883</v>
      </c>
      <c r="W1132" s="169"/>
      <c r="X1132" s="219">
        <v>45643.0</v>
      </c>
    </row>
    <row r="1133" ht="15.0" customHeight="1">
      <c r="A1133" s="127">
        <v>45635.0</v>
      </c>
      <c r="B1133" s="181" t="s">
        <v>6077</v>
      </c>
      <c r="C1133" s="251" t="s">
        <v>6078</v>
      </c>
      <c r="D1133" s="73" t="str">
        <f>IFERROR(VLOOKUP(C1133,Stock,3,FALSE),"")</f>
        <v>Chevrolet Captiva 06-18 1st gen C100</v>
      </c>
      <c r="E1133" s="56">
        <v>1.0</v>
      </c>
      <c r="F1133" s="161">
        <v>1963000.0</v>
      </c>
      <c r="G1133" s="162">
        <f t="shared" si="32"/>
        <v>1963000</v>
      </c>
      <c r="H1133" s="194"/>
      <c r="I1133" s="204">
        <f t="shared" si="29"/>
        <v>1963000</v>
      </c>
      <c r="J1133" s="164">
        <f t="shared" si="30"/>
        <v>1963000</v>
      </c>
      <c r="K1133" s="56" t="s">
        <v>6079</v>
      </c>
      <c r="L1133" s="165" t="s">
        <v>6080</v>
      </c>
      <c r="M1133" s="73"/>
      <c r="N1133" s="171"/>
      <c r="O1133" s="169" t="s">
        <v>4869</v>
      </c>
      <c r="P1133" s="168" t="s">
        <v>2922</v>
      </c>
      <c r="Q1133" s="173"/>
      <c r="R1133" s="173"/>
      <c r="S1133" s="167">
        <v>1963000.0</v>
      </c>
      <c r="T1133" s="167">
        <v>173040.0</v>
      </c>
      <c r="U1133" s="173"/>
      <c r="V1133" s="168" t="s">
        <v>3883</v>
      </c>
      <c r="W1133" s="169"/>
      <c r="X1133" s="169" t="s">
        <v>6081</v>
      </c>
    </row>
    <row r="1134" ht="15.0" customHeight="1">
      <c r="A1134" s="127">
        <v>45635.0</v>
      </c>
      <c r="B1134" s="181" t="s">
        <v>6077</v>
      </c>
      <c r="C1134" s="251" t="s">
        <v>2934</v>
      </c>
      <c r="D1134" s="73" t="str">
        <f>IFERROR(VLOOKUP(C1134,Stock,3,FALSE),"")</f>
        <v>Peti Kayu</v>
      </c>
      <c r="E1134" s="56">
        <v>1.0</v>
      </c>
      <c r="F1134" s="161">
        <v>200000.0</v>
      </c>
      <c r="G1134" s="162">
        <f t="shared" si="32"/>
        <v>200000</v>
      </c>
      <c r="H1134" s="194"/>
      <c r="I1134" s="204">
        <f t="shared" si="29"/>
        <v>200000</v>
      </c>
      <c r="J1134" s="164">
        <f t="shared" si="30"/>
        <v>200000</v>
      </c>
      <c r="K1134" s="56" t="s">
        <v>6079</v>
      </c>
      <c r="L1134" s="165" t="s">
        <v>6080</v>
      </c>
      <c r="M1134" s="73"/>
      <c r="N1134" s="171"/>
      <c r="O1134" s="169" t="s">
        <v>4869</v>
      </c>
      <c r="P1134" s="168" t="s">
        <v>2922</v>
      </c>
      <c r="Q1134" s="173"/>
      <c r="R1134" s="173"/>
      <c r="S1134" s="167">
        <v>200000.0</v>
      </c>
      <c r="T1134" s="173"/>
      <c r="U1134" s="173"/>
      <c r="V1134" s="168" t="s">
        <v>3883</v>
      </c>
      <c r="W1134" s="169"/>
      <c r="X1134" s="171"/>
    </row>
    <row r="1135" ht="15.0" customHeight="1">
      <c r="A1135" s="127">
        <v>45635.0</v>
      </c>
      <c r="B1135" s="181" t="s">
        <v>6082</v>
      </c>
      <c r="C1135" s="56" t="s">
        <v>5528</v>
      </c>
      <c r="D1135" s="73" t="str">
        <f>IFERROR(VLOOKUP(C1135,Stock,3,FALSE),"")</f>
        <v>Toyota Innova 15-22 2nd Gen (Toyota)</v>
      </c>
      <c r="E1135" s="56">
        <v>1.0</v>
      </c>
      <c r="F1135" s="161">
        <v>2988000.0</v>
      </c>
      <c r="G1135" s="162">
        <f t="shared" si="32"/>
        <v>2988000</v>
      </c>
      <c r="H1135" s="194"/>
      <c r="I1135" s="204">
        <f t="shared" si="29"/>
        <v>2988000</v>
      </c>
      <c r="J1135" s="164">
        <f t="shared" si="30"/>
        <v>2988000</v>
      </c>
      <c r="K1135" s="56" t="s">
        <v>6083</v>
      </c>
      <c r="L1135" s="165" t="s">
        <v>6084</v>
      </c>
      <c r="M1135" s="73"/>
      <c r="N1135" s="171"/>
      <c r="O1135" s="169" t="s">
        <v>3204</v>
      </c>
      <c r="P1135" s="168" t="s">
        <v>3112</v>
      </c>
      <c r="Q1135" s="173"/>
      <c r="R1135" s="167">
        <v>2988000.0</v>
      </c>
      <c r="S1135" s="173"/>
      <c r="T1135" s="173"/>
      <c r="U1135" s="173"/>
      <c r="V1135" s="168" t="s">
        <v>3883</v>
      </c>
      <c r="W1135" s="169"/>
      <c r="X1135" s="169" t="s">
        <v>6085</v>
      </c>
    </row>
    <row r="1136" ht="15.0" customHeight="1">
      <c r="A1136" s="127">
        <v>45635.0</v>
      </c>
      <c r="B1136" s="181" t="s">
        <v>6086</v>
      </c>
      <c r="C1136" s="56" t="s">
        <v>2826</v>
      </c>
      <c r="D1136" s="73" t="str">
        <f>IFERROR(VLOOKUP(C1136,Stock,3,FALSE),"")</f>
        <v>Toyota Kijang 02-04 Kapsul Lem Efi </v>
      </c>
      <c r="E1136" s="56">
        <v>1.0</v>
      </c>
      <c r="F1136" s="161">
        <v>765000.0</v>
      </c>
      <c r="G1136" s="162">
        <f t="shared" si="32"/>
        <v>765000</v>
      </c>
      <c r="H1136" s="194"/>
      <c r="I1136" s="204">
        <f t="shared" si="29"/>
        <v>765000</v>
      </c>
      <c r="J1136" s="164">
        <f t="shared" si="30"/>
        <v>765000</v>
      </c>
      <c r="K1136" s="56" t="s">
        <v>6087</v>
      </c>
      <c r="L1136" s="165" t="s">
        <v>6084</v>
      </c>
      <c r="M1136" s="73"/>
      <c r="N1136" s="171"/>
      <c r="O1136" s="169" t="s">
        <v>2958</v>
      </c>
      <c r="P1136" s="168" t="s">
        <v>3112</v>
      </c>
      <c r="Q1136" s="173"/>
      <c r="R1136" s="167">
        <v>765000.0</v>
      </c>
      <c r="S1136" s="173"/>
      <c r="T1136" s="173"/>
      <c r="U1136" s="173"/>
      <c r="V1136" s="168" t="s">
        <v>3883</v>
      </c>
      <c r="W1136" s="169"/>
      <c r="X1136" s="169" t="s">
        <v>6088</v>
      </c>
    </row>
    <row r="1137" ht="15.0" customHeight="1">
      <c r="A1137" s="127">
        <v>45635.0</v>
      </c>
      <c r="B1137" s="181" t="s">
        <v>6086</v>
      </c>
      <c r="C1137" s="251" t="s">
        <v>2934</v>
      </c>
      <c r="D1137" s="73" t="str">
        <f>IFERROR(VLOOKUP(C1137,Stock,3,FALSE),"")</f>
        <v>Peti Kayu</v>
      </c>
      <c r="E1137" s="56">
        <v>1.0</v>
      </c>
      <c r="F1137" s="161">
        <v>200000.0</v>
      </c>
      <c r="G1137" s="162">
        <f t="shared" si="32"/>
        <v>200000</v>
      </c>
      <c r="H1137" s="194"/>
      <c r="I1137" s="204">
        <f t="shared" si="29"/>
        <v>200000</v>
      </c>
      <c r="J1137" s="164">
        <f t="shared" si="30"/>
        <v>200000</v>
      </c>
      <c r="K1137" s="56" t="s">
        <v>6087</v>
      </c>
      <c r="L1137" s="165" t="s">
        <v>6084</v>
      </c>
      <c r="M1137" s="73"/>
      <c r="N1137" s="171"/>
      <c r="O1137" s="169" t="s">
        <v>2958</v>
      </c>
      <c r="P1137" s="168" t="s">
        <v>3112</v>
      </c>
      <c r="Q1137" s="173"/>
      <c r="R1137" s="167">
        <v>200000.0</v>
      </c>
      <c r="S1137" s="173"/>
      <c r="T1137" s="173"/>
      <c r="U1137" s="173"/>
      <c r="V1137" s="168" t="s">
        <v>3883</v>
      </c>
      <c r="W1137" s="169"/>
      <c r="X1137" s="169" t="s">
        <v>6088</v>
      </c>
    </row>
    <row r="1138" ht="15.0" customHeight="1">
      <c r="A1138" s="127">
        <v>45635.0</v>
      </c>
      <c r="B1138" s="181" t="s">
        <v>6086</v>
      </c>
      <c r="C1138" s="169" t="s">
        <v>3059</v>
      </c>
      <c r="D1138" s="73" t="str">
        <f>IFERROR(VLOOKUP(C1138,Stock,3,FALSE),"")</f>
        <v>Sealant Polyurethane XYG Tube</v>
      </c>
      <c r="E1138" s="56">
        <v>2.0</v>
      </c>
      <c r="F1138" s="161">
        <v>75000.0</v>
      </c>
      <c r="G1138" s="162">
        <f t="shared" si="32"/>
        <v>150000</v>
      </c>
      <c r="H1138" s="194"/>
      <c r="I1138" s="204">
        <f t="shared" si="29"/>
        <v>150000</v>
      </c>
      <c r="J1138" s="164">
        <f t="shared" si="30"/>
        <v>150000</v>
      </c>
      <c r="K1138" s="56" t="s">
        <v>6087</v>
      </c>
      <c r="L1138" s="165" t="s">
        <v>6084</v>
      </c>
      <c r="M1138" s="73"/>
      <c r="N1138" s="171"/>
      <c r="O1138" s="169" t="s">
        <v>2958</v>
      </c>
      <c r="P1138" s="168" t="s">
        <v>3112</v>
      </c>
      <c r="Q1138" s="173"/>
      <c r="R1138" s="167">
        <v>150000.0</v>
      </c>
      <c r="S1138" s="173"/>
      <c r="T1138" s="173"/>
      <c r="U1138" s="173"/>
      <c r="V1138" s="168" t="s">
        <v>3883</v>
      </c>
      <c r="W1138" s="169"/>
      <c r="X1138" s="169" t="s">
        <v>6088</v>
      </c>
    </row>
    <row r="1139" ht="15.0" customHeight="1">
      <c r="A1139" s="127">
        <v>45635.0</v>
      </c>
      <c r="B1139" s="181" t="s">
        <v>6086</v>
      </c>
      <c r="C1139" s="169" t="s">
        <v>2954</v>
      </c>
      <c r="D1139" s="73" t="str">
        <f>IFERROR(VLOOKUP(C1139,Stock,3,FALSE),"")</f>
        <v>Transport</v>
      </c>
      <c r="E1139" s="56">
        <v>1.0</v>
      </c>
      <c r="F1139" s="161">
        <v>100000.0</v>
      </c>
      <c r="G1139" s="162">
        <f t="shared" si="32"/>
        <v>100000</v>
      </c>
      <c r="H1139" s="194"/>
      <c r="I1139" s="204">
        <f t="shared" si="29"/>
        <v>100000</v>
      </c>
      <c r="J1139" s="164">
        <f t="shared" si="30"/>
        <v>100000</v>
      </c>
      <c r="K1139" s="56" t="s">
        <v>6087</v>
      </c>
      <c r="L1139" s="165" t="s">
        <v>6084</v>
      </c>
      <c r="M1139" s="73"/>
      <c r="N1139" s="171"/>
      <c r="O1139" s="169" t="s">
        <v>2958</v>
      </c>
      <c r="P1139" s="168" t="s">
        <v>3112</v>
      </c>
      <c r="Q1139" s="173"/>
      <c r="R1139" s="167">
        <v>100000.0</v>
      </c>
      <c r="S1139" s="173"/>
      <c r="T1139" s="173"/>
      <c r="U1139" s="173"/>
      <c r="V1139" s="168" t="s">
        <v>3883</v>
      </c>
      <c r="W1139" s="169"/>
      <c r="X1139" s="169" t="s">
        <v>6088</v>
      </c>
    </row>
    <row r="1140" ht="15.0" customHeight="1">
      <c r="A1140" s="127">
        <v>45635.0</v>
      </c>
      <c r="B1140" s="181" t="s">
        <v>6089</v>
      </c>
      <c r="C1140" s="56" t="s">
        <v>5444</v>
      </c>
      <c r="D1140" s="73" t="str">
        <f>IFERROR(VLOOKUP(C1140,Stock,3,FALSE),"")</f>
        <v>Toyota Hi-Ace 19- Premio (Hitam) (Tinggi 56.7cm)</v>
      </c>
      <c r="E1140" s="56">
        <v>1.0</v>
      </c>
      <c r="F1140" s="161">
        <v>3005000.0</v>
      </c>
      <c r="G1140" s="162">
        <f t="shared" si="32"/>
        <v>3005000</v>
      </c>
      <c r="H1140" s="194"/>
      <c r="I1140" s="204">
        <f t="shared" si="29"/>
        <v>3005000</v>
      </c>
      <c r="J1140" s="164">
        <f t="shared" si="30"/>
        <v>3005000</v>
      </c>
      <c r="K1140" s="56" t="s">
        <v>6090</v>
      </c>
      <c r="L1140" s="165" t="s">
        <v>6091</v>
      </c>
      <c r="M1140" s="73"/>
      <c r="N1140" s="171"/>
      <c r="O1140" s="169" t="s">
        <v>2958</v>
      </c>
      <c r="P1140" s="168" t="s">
        <v>3112</v>
      </c>
      <c r="Q1140" s="167">
        <v>5000.0</v>
      </c>
      <c r="R1140" s="167">
        <v>3000000.0</v>
      </c>
      <c r="S1140" s="173"/>
      <c r="T1140" s="173"/>
      <c r="U1140" s="173"/>
      <c r="V1140" s="168" t="s">
        <v>3883</v>
      </c>
      <c r="W1140" s="169"/>
      <c r="X1140" s="169" t="s">
        <v>6092</v>
      </c>
    </row>
    <row r="1141" ht="15.0" customHeight="1">
      <c r="A1141" s="183">
        <v>45635.0</v>
      </c>
      <c r="B1141" s="185" t="s">
        <v>6093</v>
      </c>
      <c r="C1141" s="184" t="s">
        <v>3378</v>
      </c>
      <c r="D1141" s="186" t="str">
        <f>IFERROR(VLOOKUP(C1141,Stock,3,FALSE),"")</f>
        <v>Isuzu Panther 00- 2nd Gen</v>
      </c>
      <c r="E1141" s="184">
        <v>1.0</v>
      </c>
      <c r="F1141" s="187">
        <v>416000.0</v>
      </c>
      <c r="G1141" s="188">
        <f t="shared" si="32"/>
        <v>416000</v>
      </c>
      <c r="H1141" s="210"/>
      <c r="I1141" s="204">
        <f t="shared" si="29"/>
        <v>416000</v>
      </c>
      <c r="J1141" s="189">
        <f t="shared" si="30"/>
        <v>416000</v>
      </c>
      <c r="K1141" s="184" t="s">
        <v>6094</v>
      </c>
      <c r="L1141" s="186"/>
      <c r="M1141" s="186"/>
      <c r="N1141" s="212"/>
      <c r="O1141" s="212"/>
      <c r="P1141" s="214"/>
      <c r="Q1141" s="213"/>
      <c r="R1141" s="213"/>
      <c r="S1141" s="213"/>
      <c r="T1141" s="213"/>
      <c r="U1141" s="213"/>
      <c r="V1141" s="192" t="s">
        <v>3883</v>
      </c>
      <c r="W1141" s="193"/>
      <c r="X1141" s="212"/>
    </row>
    <row r="1142" ht="15.0" customHeight="1">
      <c r="A1142" s="183">
        <v>45635.0</v>
      </c>
      <c r="B1142" s="185" t="s">
        <v>6095</v>
      </c>
      <c r="C1142" s="184" t="s">
        <v>2583</v>
      </c>
      <c r="D1142" s="186" t="str">
        <f>IFERROR(VLOOKUP(C1142,Stock,3,FALSE),"")</f>
        <v>Ford Ranger 11- T6 /Mazda BT50 Sing/Doub Cabin</v>
      </c>
      <c r="E1142" s="184">
        <v>1.0</v>
      </c>
      <c r="F1142" s="187">
        <v>806000.0</v>
      </c>
      <c r="G1142" s="188">
        <f t="shared" si="32"/>
        <v>806000</v>
      </c>
      <c r="H1142" s="210"/>
      <c r="I1142" s="204">
        <f t="shared" si="29"/>
        <v>806000</v>
      </c>
      <c r="J1142" s="189">
        <f t="shared" si="30"/>
        <v>806000</v>
      </c>
      <c r="K1142" s="184" t="s">
        <v>6096</v>
      </c>
      <c r="L1142" s="186"/>
      <c r="M1142" s="186"/>
      <c r="N1142" s="212"/>
      <c r="O1142" s="212"/>
      <c r="P1142" s="214"/>
      <c r="Q1142" s="213"/>
      <c r="R1142" s="213"/>
      <c r="S1142" s="213"/>
      <c r="T1142" s="213"/>
      <c r="U1142" s="213"/>
      <c r="V1142" s="192" t="s">
        <v>3883</v>
      </c>
      <c r="W1142" s="193"/>
      <c r="X1142" s="212"/>
    </row>
    <row r="1143" ht="15.0" customHeight="1">
      <c r="A1143" s="127">
        <v>45636.0</v>
      </c>
      <c r="B1143" s="181" t="s">
        <v>6097</v>
      </c>
      <c r="C1143" s="56" t="s">
        <v>2954</v>
      </c>
      <c r="D1143" s="73" t="str">
        <f>IFERROR(VLOOKUP(C1143,Stock,3,FALSE),"")</f>
        <v>Transport</v>
      </c>
      <c r="E1143" s="56">
        <v>1.0</v>
      </c>
      <c r="F1143" s="161">
        <v>100000.0</v>
      </c>
      <c r="G1143" s="162">
        <f t="shared" si="32"/>
        <v>100000</v>
      </c>
      <c r="H1143" s="194"/>
      <c r="I1143" s="204">
        <f t="shared" si="29"/>
        <v>100000</v>
      </c>
      <c r="J1143" s="164">
        <f t="shared" si="30"/>
        <v>100000</v>
      </c>
      <c r="K1143" s="56" t="s">
        <v>6053</v>
      </c>
      <c r="L1143" s="165" t="s">
        <v>6054</v>
      </c>
      <c r="M1143" s="73"/>
      <c r="N1143" s="171"/>
      <c r="O1143" s="169" t="s">
        <v>2958</v>
      </c>
      <c r="P1143" s="168" t="s">
        <v>3112</v>
      </c>
      <c r="Q1143" s="173"/>
      <c r="R1143" s="167">
        <v>100000.0</v>
      </c>
      <c r="S1143" s="173"/>
      <c r="T1143" s="173"/>
      <c r="U1143" s="173"/>
      <c r="V1143" s="168" t="s">
        <v>3883</v>
      </c>
      <c r="W1143" s="169"/>
      <c r="X1143" s="169" t="s">
        <v>6098</v>
      </c>
    </row>
    <row r="1144" ht="15.0" customHeight="1">
      <c r="A1144" s="127">
        <v>45636.0</v>
      </c>
      <c r="B1144" s="181" t="s">
        <v>6099</v>
      </c>
      <c r="C1144" s="56" t="s">
        <v>3045</v>
      </c>
      <c r="D1144" s="73" t="str">
        <f>IFERROR(VLOOKUP(C1144,Stock,3,FALSE),"")</f>
        <v>Pemasangan Kaca Mobil Depan</v>
      </c>
      <c r="E1144" s="56">
        <v>1.0</v>
      </c>
      <c r="F1144" s="161">
        <v>600000.0</v>
      </c>
      <c r="G1144" s="162">
        <f t="shared" si="32"/>
        <v>600000</v>
      </c>
      <c r="H1144" s="194"/>
      <c r="I1144" s="204">
        <f t="shared" si="29"/>
        <v>600000</v>
      </c>
      <c r="J1144" s="164">
        <f t="shared" si="30"/>
        <v>600000</v>
      </c>
      <c r="K1144" s="56" t="s">
        <v>6100</v>
      </c>
      <c r="L1144" s="165" t="s">
        <v>6101</v>
      </c>
      <c r="M1144" s="73"/>
      <c r="N1144" s="169" t="s">
        <v>6102</v>
      </c>
      <c r="O1144" s="169" t="s">
        <v>3213</v>
      </c>
      <c r="P1144" s="168" t="s">
        <v>3112</v>
      </c>
      <c r="Q1144" s="167">
        <v>600000.0</v>
      </c>
      <c r="R1144" s="173"/>
      <c r="S1144" s="173"/>
      <c r="T1144" s="173"/>
      <c r="U1144" s="173"/>
      <c r="V1144" s="168" t="s">
        <v>3883</v>
      </c>
      <c r="W1144" s="169"/>
      <c r="X1144" s="219">
        <v>45643.0</v>
      </c>
    </row>
    <row r="1145" ht="15.0" customHeight="1">
      <c r="A1145" s="127">
        <v>45636.0</v>
      </c>
      <c r="B1145" s="181" t="s">
        <v>6103</v>
      </c>
      <c r="C1145" s="330" t="s">
        <v>3025</v>
      </c>
      <c r="D1145" s="73" t="str">
        <f>IFERROR(VLOOKUP(C1145,Stock,3,FALSE),"")</f>
        <v>Toyota Rush / Terios 06-17</v>
      </c>
      <c r="E1145" s="56">
        <v>1.0</v>
      </c>
      <c r="F1145" s="161">
        <v>1448000.0</v>
      </c>
      <c r="G1145" s="162">
        <f t="shared" si="32"/>
        <v>1448000</v>
      </c>
      <c r="H1145" s="201">
        <v>48000.0</v>
      </c>
      <c r="I1145" s="204">
        <f t="shared" si="29"/>
        <v>1400000</v>
      </c>
      <c r="J1145" s="164">
        <f t="shared" si="30"/>
        <v>1400000</v>
      </c>
      <c r="K1145" s="56" t="s">
        <v>6104</v>
      </c>
      <c r="L1145" s="165" t="s">
        <v>6105</v>
      </c>
      <c r="M1145" s="73"/>
      <c r="N1145" s="171"/>
      <c r="O1145" s="169" t="s">
        <v>3204</v>
      </c>
      <c r="P1145" s="168" t="s">
        <v>3112</v>
      </c>
      <c r="Q1145" s="173"/>
      <c r="R1145" s="167">
        <v>1400000.0</v>
      </c>
      <c r="S1145" s="173"/>
      <c r="T1145" s="173"/>
      <c r="U1145" s="173"/>
      <c r="V1145" s="168" t="s">
        <v>3883</v>
      </c>
      <c r="W1145" s="169"/>
      <c r="X1145" s="169" t="s">
        <v>6106</v>
      </c>
    </row>
    <row r="1146" ht="15.0" customHeight="1">
      <c r="A1146" s="127">
        <v>45636.0</v>
      </c>
      <c r="B1146" s="181" t="s">
        <v>6103</v>
      </c>
      <c r="C1146" s="251" t="s">
        <v>2954</v>
      </c>
      <c r="D1146" s="73" t="str">
        <f>IFERROR(VLOOKUP(C1146,Stock,3,FALSE),"")</f>
        <v>Transport</v>
      </c>
      <c r="E1146" s="56">
        <v>1.0</v>
      </c>
      <c r="F1146" s="161">
        <v>200000.0</v>
      </c>
      <c r="G1146" s="162">
        <f t="shared" si="32"/>
        <v>200000</v>
      </c>
      <c r="H1146" s="194"/>
      <c r="I1146" s="204">
        <f t="shared" si="29"/>
        <v>200000</v>
      </c>
      <c r="J1146" s="164">
        <f t="shared" si="30"/>
        <v>200000</v>
      </c>
      <c r="K1146" s="56" t="s">
        <v>6104</v>
      </c>
      <c r="L1146" s="165" t="s">
        <v>6105</v>
      </c>
      <c r="M1146" s="73"/>
      <c r="N1146" s="171"/>
      <c r="O1146" s="169" t="s">
        <v>3204</v>
      </c>
      <c r="P1146" s="168" t="s">
        <v>3112</v>
      </c>
      <c r="Q1146" s="173"/>
      <c r="R1146" s="167">
        <v>200000.0</v>
      </c>
      <c r="S1146" s="173"/>
      <c r="T1146" s="173"/>
      <c r="U1146" s="173"/>
      <c r="V1146" s="168" t="s">
        <v>3883</v>
      </c>
      <c r="W1146" s="169"/>
      <c r="X1146" s="169" t="s">
        <v>6106</v>
      </c>
    </row>
    <row r="1147" ht="15.0" customHeight="1">
      <c r="A1147" s="127">
        <v>45637.0</v>
      </c>
      <c r="B1147" s="181" t="s">
        <v>6107</v>
      </c>
      <c r="C1147" s="56" t="s">
        <v>5493</v>
      </c>
      <c r="D1147" s="73" t="str">
        <f>IFERROR(VLOOKUP(C1147,Stock,3,FALSE),"")</f>
        <v>Toyota Calya / Sigra 16-</v>
      </c>
      <c r="E1147" s="56">
        <v>1.0</v>
      </c>
      <c r="F1147" s="161">
        <v>400000.0</v>
      </c>
      <c r="G1147" s="162">
        <f t="shared" si="32"/>
        <v>400000</v>
      </c>
      <c r="H1147" s="194"/>
      <c r="I1147" s="204">
        <f t="shared" si="29"/>
        <v>400000</v>
      </c>
      <c r="J1147" s="164">
        <f t="shared" si="30"/>
        <v>400000</v>
      </c>
      <c r="K1147" s="56" t="s">
        <v>6108</v>
      </c>
      <c r="L1147" s="165" t="s">
        <v>6109</v>
      </c>
      <c r="M1147" s="73"/>
      <c r="N1147" s="171"/>
      <c r="O1147" s="169" t="s">
        <v>2958</v>
      </c>
      <c r="P1147" s="168" t="s">
        <v>3112</v>
      </c>
      <c r="Q1147" s="173"/>
      <c r="R1147" s="167">
        <v>400000.0</v>
      </c>
      <c r="S1147" s="173"/>
      <c r="T1147" s="173"/>
      <c r="U1147" s="173"/>
      <c r="V1147" s="168" t="s">
        <v>3883</v>
      </c>
      <c r="W1147" s="169"/>
      <c r="X1147" s="219">
        <v>45643.0</v>
      </c>
    </row>
    <row r="1148" ht="15.0" customHeight="1">
      <c r="A1148" s="127">
        <v>45637.0</v>
      </c>
      <c r="B1148" s="181" t="s">
        <v>6110</v>
      </c>
      <c r="C1148" s="56" t="s">
        <v>3235</v>
      </c>
      <c r="D1148" s="73" t="str">
        <f>IFERROR(VLOOKUP(C1148,Stock,3,FALSE),"")</f>
        <v>Toyota Vios 02-07 XP40 1st Gen</v>
      </c>
      <c r="E1148" s="56">
        <v>1.0</v>
      </c>
      <c r="F1148" s="161">
        <v>1455000.0</v>
      </c>
      <c r="G1148" s="162">
        <f t="shared" si="32"/>
        <v>1455000</v>
      </c>
      <c r="H1148" s="194"/>
      <c r="I1148" s="204">
        <f t="shared" si="29"/>
        <v>1455000</v>
      </c>
      <c r="J1148" s="164">
        <f t="shared" si="30"/>
        <v>1455000</v>
      </c>
      <c r="K1148" s="56" t="s">
        <v>6111</v>
      </c>
      <c r="L1148" s="165" t="s">
        <v>6112</v>
      </c>
      <c r="M1148" s="73"/>
      <c r="N1148" s="171"/>
      <c r="O1148" s="169" t="s">
        <v>2958</v>
      </c>
      <c r="P1148" s="168" t="s">
        <v>6113</v>
      </c>
      <c r="Q1148" s="173"/>
      <c r="R1148" s="167">
        <v>1455000.0</v>
      </c>
      <c r="S1148" s="173"/>
      <c r="T1148" s="173"/>
      <c r="U1148" s="173"/>
      <c r="V1148" s="168" t="s">
        <v>3883</v>
      </c>
      <c r="W1148" s="169"/>
      <c r="X1148" s="169" t="s">
        <v>6114</v>
      </c>
    </row>
    <row r="1149" ht="15.0" customHeight="1">
      <c r="A1149" s="127">
        <v>45637.0</v>
      </c>
      <c r="B1149" s="181" t="s">
        <v>6110</v>
      </c>
      <c r="C1149" s="251" t="s">
        <v>2954</v>
      </c>
      <c r="D1149" s="73" t="str">
        <f>IFERROR(VLOOKUP(C1149,Stock,3,FALSE),"")</f>
        <v>Transport</v>
      </c>
      <c r="E1149" s="56">
        <v>1.0</v>
      </c>
      <c r="F1149" s="161">
        <v>50000.0</v>
      </c>
      <c r="G1149" s="162">
        <f t="shared" si="32"/>
        <v>50000</v>
      </c>
      <c r="H1149" s="194"/>
      <c r="I1149" s="204">
        <f t="shared" si="29"/>
        <v>50000</v>
      </c>
      <c r="J1149" s="164">
        <f t="shared" si="30"/>
        <v>50000</v>
      </c>
      <c r="K1149" s="56" t="s">
        <v>6111</v>
      </c>
      <c r="L1149" s="165" t="s">
        <v>6112</v>
      </c>
      <c r="M1149" s="73"/>
      <c r="N1149" s="171"/>
      <c r="O1149" s="169" t="s">
        <v>2958</v>
      </c>
      <c r="P1149" s="168" t="s">
        <v>6113</v>
      </c>
      <c r="Q1149" s="173"/>
      <c r="R1149" s="167">
        <v>50000.0</v>
      </c>
      <c r="S1149" s="173"/>
      <c r="T1149" s="173"/>
      <c r="U1149" s="173"/>
      <c r="V1149" s="168" t="s">
        <v>3883</v>
      </c>
      <c r="W1149" s="169"/>
      <c r="X1149" s="169" t="s">
        <v>6114</v>
      </c>
    </row>
    <row r="1150" ht="15.0" customHeight="1">
      <c r="A1150" s="127">
        <v>45637.0</v>
      </c>
      <c r="B1150" s="181" t="s">
        <v>6115</v>
      </c>
      <c r="C1150" s="56" t="s">
        <v>4964</v>
      </c>
      <c r="D1150" s="73" t="str">
        <f>IFERROR(VLOOKUP(C1150,Stock,3,FALSE),"")</f>
        <v>Honda Civic 96-00 SO4/SO6 (Ferio)</v>
      </c>
      <c r="E1150" s="56">
        <v>1.0</v>
      </c>
      <c r="F1150" s="161">
        <v>1620000.0</v>
      </c>
      <c r="G1150" s="162">
        <f t="shared" si="32"/>
        <v>1620000</v>
      </c>
      <c r="H1150" s="194"/>
      <c r="I1150" s="204">
        <f t="shared" si="29"/>
        <v>1620000</v>
      </c>
      <c r="J1150" s="164">
        <f t="shared" si="30"/>
        <v>1620000</v>
      </c>
      <c r="K1150" s="56" t="s">
        <v>6116</v>
      </c>
      <c r="L1150" s="165" t="s">
        <v>6117</v>
      </c>
      <c r="M1150" s="73"/>
      <c r="N1150" s="171"/>
      <c r="O1150" s="169" t="s">
        <v>2958</v>
      </c>
      <c r="P1150" s="168" t="s">
        <v>3112</v>
      </c>
      <c r="Q1150" s="173"/>
      <c r="R1150" s="167">
        <v>1620000.0</v>
      </c>
      <c r="S1150" s="173"/>
      <c r="T1150" s="173"/>
      <c r="U1150" s="173"/>
      <c r="V1150" s="168" t="s">
        <v>3883</v>
      </c>
      <c r="W1150" s="169"/>
      <c r="X1150" s="169" t="s">
        <v>6118</v>
      </c>
    </row>
    <row r="1151" ht="15.0" customHeight="1">
      <c r="A1151" s="127">
        <v>45638.0</v>
      </c>
      <c r="B1151" s="181" t="s">
        <v>6119</v>
      </c>
      <c r="C1151" s="56" t="s">
        <v>2703</v>
      </c>
      <c r="D1151" s="73" t="str">
        <f>IFERROR(VLOOKUP(C1151,Stock,3,FALSE),"")</f>
        <v>Toyota Hi-Ace 04-20 Commuter</v>
      </c>
      <c r="E1151" s="56">
        <v>1.0</v>
      </c>
      <c r="F1151" s="161">
        <v>1409000.0</v>
      </c>
      <c r="G1151" s="162">
        <f t="shared" si="32"/>
        <v>1409000</v>
      </c>
      <c r="H1151" s="194"/>
      <c r="I1151" s="204">
        <f t="shared" si="29"/>
        <v>1409000</v>
      </c>
      <c r="J1151" s="164">
        <f t="shared" si="30"/>
        <v>1409000</v>
      </c>
      <c r="K1151" s="56" t="s">
        <v>6120</v>
      </c>
      <c r="L1151" s="165" t="s">
        <v>6121</v>
      </c>
      <c r="M1151" s="73"/>
      <c r="N1151" s="171"/>
      <c r="O1151" s="169" t="s">
        <v>5549</v>
      </c>
      <c r="P1151" s="168" t="s">
        <v>3112</v>
      </c>
      <c r="Q1151" s="173"/>
      <c r="R1151" s="167">
        <v>1409000.0</v>
      </c>
      <c r="S1151" s="173"/>
      <c r="T1151" s="173"/>
      <c r="U1151" s="173"/>
      <c r="V1151" s="168" t="s">
        <v>3883</v>
      </c>
      <c r="W1151" s="169"/>
      <c r="X1151" s="169" t="s">
        <v>6122</v>
      </c>
    </row>
    <row r="1152" ht="15.0" customHeight="1">
      <c r="A1152" s="127">
        <v>45638.0</v>
      </c>
      <c r="B1152" s="181" t="s">
        <v>6123</v>
      </c>
      <c r="C1152" s="56" t="s">
        <v>2718</v>
      </c>
      <c r="D1152" s="73" t="str">
        <f>IFERROR(VLOOKUP(C1152,Stock,3,FALSE),"")</f>
        <v>Isuzu Traga</v>
      </c>
      <c r="E1152" s="56">
        <v>1.0</v>
      </c>
      <c r="F1152" s="161">
        <v>1300000.0</v>
      </c>
      <c r="G1152" s="162">
        <f t="shared" si="32"/>
        <v>1300000</v>
      </c>
      <c r="H1152" s="194"/>
      <c r="I1152" s="204">
        <f t="shared" si="29"/>
        <v>1300000</v>
      </c>
      <c r="J1152" s="164">
        <f t="shared" si="30"/>
        <v>1300000</v>
      </c>
      <c r="K1152" s="56" t="s">
        <v>6124</v>
      </c>
      <c r="L1152" s="165" t="s">
        <v>4711</v>
      </c>
      <c r="M1152" s="73"/>
      <c r="N1152" s="169" t="s">
        <v>6125</v>
      </c>
      <c r="O1152" s="169" t="s">
        <v>2958</v>
      </c>
      <c r="P1152" s="168" t="s">
        <v>3112</v>
      </c>
      <c r="Q1152" s="173"/>
      <c r="R1152" s="167">
        <v>1300000.0</v>
      </c>
      <c r="S1152" s="173"/>
      <c r="T1152" s="173"/>
      <c r="U1152" s="173"/>
      <c r="V1152" s="168" t="s">
        <v>3883</v>
      </c>
      <c r="W1152" s="169"/>
      <c r="X1152" s="169" t="s">
        <v>6126</v>
      </c>
    </row>
    <row r="1153" ht="15.0" customHeight="1">
      <c r="A1153" s="127">
        <v>45638.0</v>
      </c>
      <c r="B1153" s="181" t="s">
        <v>6127</v>
      </c>
      <c r="C1153" s="251" t="s">
        <v>3229</v>
      </c>
      <c r="D1153" s="73" t="str">
        <f>IFERROR(VLOOKUP(C1153,Stock,3,FALSE),"")</f>
        <v>Nissan Evalia 10- X11M</v>
      </c>
      <c r="E1153" s="56">
        <v>1.0</v>
      </c>
      <c r="F1153" s="161">
        <v>872000.0</v>
      </c>
      <c r="G1153" s="162">
        <f t="shared" si="32"/>
        <v>872000</v>
      </c>
      <c r="H1153" s="194"/>
      <c r="I1153" s="204">
        <f t="shared" si="29"/>
        <v>872000</v>
      </c>
      <c r="J1153" s="164">
        <f t="shared" si="30"/>
        <v>872000</v>
      </c>
      <c r="K1153" s="56" t="s">
        <v>6128</v>
      </c>
      <c r="L1153" s="165" t="s">
        <v>6129</v>
      </c>
      <c r="M1153" s="73"/>
      <c r="N1153" s="171"/>
      <c r="O1153" s="169" t="s">
        <v>6130</v>
      </c>
      <c r="P1153" s="168" t="s">
        <v>5077</v>
      </c>
      <c r="Q1153" s="173"/>
      <c r="R1153" s="173"/>
      <c r="S1153" s="167">
        <v>872000.0</v>
      </c>
      <c r="T1153" s="167">
        <v>69760.0</v>
      </c>
      <c r="U1153" s="173"/>
      <c r="V1153" s="168" t="s">
        <v>3883</v>
      </c>
      <c r="W1153" s="169"/>
      <c r="X1153" s="169" t="s">
        <v>6131</v>
      </c>
    </row>
    <row r="1154" ht="15.0" customHeight="1">
      <c r="A1154" s="127">
        <v>45638.0</v>
      </c>
      <c r="B1154" s="181" t="s">
        <v>6127</v>
      </c>
      <c r="C1154" s="251" t="s">
        <v>2934</v>
      </c>
      <c r="D1154" s="73" t="str">
        <f>IFERROR(VLOOKUP(C1154,Stock,3,FALSE),"")</f>
        <v>Peti Kayu</v>
      </c>
      <c r="E1154" s="56">
        <v>1.0</v>
      </c>
      <c r="F1154" s="161">
        <v>200000.0</v>
      </c>
      <c r="G1154" s="162">
        <f t="shared" si="32"/>
        <v>200000</v>
      </c>
      <c r="H1154" s="194"/>
      <c r="I1154" s="204">
        <f t="shared" si="29"/>
        <v>200000</v>
      </c>
      <c r="J1154" s="164">
        <f t="shared" si="30"/>
        <v>200000</v>
      </c>
      <c r="K1154" s="56" t="s">
        <v>6128</v>
      </c>
      <c r="L1154" s="165" t="s">
        <v>6129</v>
      </c>
      <c r="M1154" s="73"/>
      <c r="N1154" s="171"/>
      <c r="O1154" s="169" t="s">
        <v>6130</v>
      </c>
      <c r="P1154" s="168" t="s">
        <v>5077</v>
      </c>
      <c r="Q1154" s="173"/>
      <c r="R1154" s="167">
        <v>200000.0</v>
      </c>
      <c r="S1154" s="173"/>
      <c r="T1154" s="173"/>
      <c r="U1154" s="173"/>
      <c r="V1154" s="168" t="s">
        <v>3883</v>
      </c>
      <c r="W1154" s="169"/>
      <c r="X1154" s="169" t="s">
        <v>6132</v>
      </c>
    </row>
    <row r="1155" ht="15.0" customHeight="1">
      <c r="A1155" s="127">
        <v>45638.0</v>
      </c>
      <c r="B1155" s="181" t="s">
        <v>6133</v>
      </c>
      <c r="C1155" s="56" t="s">
        <v>2783</v>
      </c>
      <c r="D1155" s="73" t="str">
        <f>IFERROR(VLOOKUP(C1155,Stock,3,FALSE),"")</f>
        <v>Mers-Benz C-Class 07-14 W204 (1 Sensor/ □)</v>
      </c>
      <c r="E1155" s="56">
        <v>1.0</v>
      </c>
      <c r="F1155" s="161">
        <v>3772000.0</v>
      </c>
      <c r="G1155" s="162">
        <f t="shared" si="32"/>
        <v>3772000</v>
      </c>
      <c r="H1155" s="194"/>
      <c r="I1155" s="204">
        <f t="shared" si="29"/>
        <v>3772000</v>
      </c>
      <c r="J1155" s="164">
        <f t="shared" si="30"/>
        <v>3772000</v>
      </c>
      <c r="K1155" s="56" t="s">
        <v>6134</v>
      </c>
      <c r="L1155" s="165" t="s">
        <v>6135</v>
      </c>
      <c r="M1155" s="73"/>
      <c r="N1155" s="169" t="s">
        <v>6136</v>
      </c>
      <c r="O1155" s="169" t="s">
        <v>6137</v>
      </c>
      <c r="P1155" s="168" t="s">
        <v>3112</v>
      </c>
      <c r="Q1155" s="173"/>
      <c r="R1155" s="167">
        <v>3772000.0</v>
      </c>
      <c r="S1155" s="173"/>
      <c r="T1155" s="173"/>
      <c r="U1155" s="173"/>
      <c r="V1155" s="168" t="s">
        <v>3883</v>
      </c>
      <c r="W1155" s="169"/>
      <c r="X1155" s="169" t="s">
        <v>6138</v>
      </c>
    </row>
    <row r="1156" ht="15.0" customHeight="1">
      <c r="A1156" s="127">
        <v>45638.0</v>
      </c>
      <c r="B1156" s="181" t="s">
        <v>6139</v>
      </c>
      <c r="C1156" s="330" t="s">
        <v>3186</v>
      </c>
      <c r="D1156" s="73" t="str">
        <f>IFERROR(VLOOKUP(C1156,Stock,3,FALSE),"")</f>
        <v>Daihatsu Gran Max / Luxio 07-</v>
      </c>
      <c r="E1156" s="56">
        <v>1.0</v>
      </c>
      <c r="F1156" s="161">
        <v>1100000.0</v>
      </c>
      <c r="G1156" s="162">
        <f t="shared" si="32"/>
        <v>1100000</v>
      </c>
      <c r="H1156" s="201">
        <v>50000.0</v>
      </c>
      <c r="I1156" s="204">
        <f t="shared" si="29"/>
        <v>1050000</v>
      </c>
      <c r="J1156" s="164">
        <f t="shared" si="30"/>
        <v>1050000</v>
      </c>
      <c r="K1156" s="56" t="s">
        <v>6140</v>
      </c>
      <c r="L1156" s="165" t="s">
        <v>6141</v>
      </c>
      <c r="M1156" s="73"/>
      <c r="N1156" s="169" t="s">
        <v>6142</v>
      </c>
      <c r="O1156" s="169" t="s">
        <v>2958</v>
      </c>
      <c r="P1156" s="168" t="s">
        <v>3645</v>
      </c>
      <c r="Q1156" s="173"/>
      <c r="R1156" s="167">
        <v>1050000.0</v>
      </c>
      <c r="S1156" s="173"/>
      <c r="T1156" s="173"/>
      <c r="U1156" s="173"/>
      <c r="V1156" s="168" t="s">
        <v>3883</v>
      </c>
      <c r="W1156" s="169"/>
      <c r="X1156" s="169" t="s">
        <v>6143</v>
      </c>
    </row>
    <row r="1157" ht="15.0" customHeight="1">
      <c r="A1157" s="127">
        <v>45638.0</v>
      </c>
      <c r="B1157" s="181" t="s">
        <v>6139</v>
      </c>
      <c r="C1157" s="251" t="s">
        <v>3083</v>
      </c>
      <c r="D1157" s="73" t="str">
        <f>IFERROR(VLOOKUP(C1157,Stock,3,FALSE),"")</f>
        <v>List Kaca Depan Code 04</v>
      </c>
      <c r="E1157" s="56">
        <v>1.0</v>
      </c>
      <c r="F1157" s="161">
        <v>275000.0</v>
      </c>
      <c r="G1157" s="162">
        <f t="shared" si="32"/>
        <v>275000</v>
      </c>
      <c r="H1157" s="194"/>
      <c r="I1157" s="204">
        <f t="shared" si="29"/>
        <v>275000</v>
      </c>
      <c r="J1157" s="164">
        <f t="shared" si="30"/>
        <v>275000</v>
      </c>
      <c r="K1157" s="56" t="s">
        <v>6140</v>
      </c>
      <c r="L1157" s="165" t="s">
        <v>6141</v>
      </c>
      <c r="M1157" s="73"/>
      <c r="N1157" s="169" t="s">
        <v>6142</v>
      </c>
      <c r="O1157" s="169" t="s">
        <v>2958</v>
      </c>
      <c r="P1157" s="168" t="s">
        <v>3645</v>
      </c>
      <c r="Q1157" s="173"/>
      <c r="R1157" s="167">
        <v>275000.0</v>
      </c>
      <c r="S1157" s="173"/>
      <c r="T1157" s="173"/>
      <c r="U1157" s="173"/>
      <c r="V1157" s="168" t="s">
        <v>3883</v>
      </c>
      <c r="W1157" s="169"/>
      <c r="X1157" s="169" t="s">
        <v>6143</v>
      </c>
    </row>
    <row r="1158" ht="15.0" customHeight="1">
      <c r="A1158" s="127">
        <v>45639.0</v>
      </c>
      <c r="B1158" s="181" t="s">
        <v>6144</v>
      </c>
      <c r="C1158" s="56" t="s">
        <v>6145</v>
      </c>
      <c r="D1158" s="73" t="str">
        <f>IFERROR(VLOOKUP(C1158,Stock,3,FALSE),"")</f>
        <v>BMW 3 Series 98-06 E46</v>
      </c>
      <c r="E1158" s="56">
        <v>1.0</v>
      </c>
      <c r="F1158" s="161">
        <v>2155000.0</v>
      </c>
      <c r="G1158" s="162">
        <f t="shared" si="32"/>
        <v>2155000</v>
      </c>
      <c r="H1158" s="194"/>
      <c r="I1158" s="204">
        <f t="shared" si="29"/>
        <v>2155000</v>
      </c>
      <c r="J1158" s="164">
        <f t="shared" si="30"/>
        <v>2155000</v>
      </c>
      <c r="K1158" s="307" t="s">
        <v>6146</v>
      </c>
      <c r="L1158" s="165" t="s">
        <v>6147</v>
      </c>
      <c r="M1158" s="73"/>
      <c r="N1158" s="171"/>
      <c r="O1158" s="169" t="s">
        <v>2958</v>
      </c>
      <c r="P1158" s="168" t="s">
        <v>3112</v>
      </c>
      <c r="Q1158" s="173"/>
      <c r="R1158" s="167">
        <v>2155000.0</v>
      </c>
      <c r="S1158" s="173"/>
      <c r="T1158" s="173"/>
      <c r="U1158" s="173"/>
      <c r="V1158" s="168" t="s">
        <v>3883</v>
      </c>
      <c r="W1158" s="169"/>
      <c r="X1158" s="169" t="s">
        <v>6148</v>
      </c>
    </row>
    <row r="1159" ht="15.0" customHeight="1">
      <c r="A1159" s="127">
        <v>45639.0</v>
      </c>
      <c r="B1159" s="181" t="s">
        <v>6144</v>
      </c>
      <c r="C1159" s="251" t="s">
        <v>3513</v>
      </c>
      <c r="D1159" s="73" t="str">
        <f>IFERROR(VLOOKUP(C1159,Stock,3,FALSE),"")</f>
        <v>Lembur</v>
      </c>
      <c r="E1159" s="56">
        <v>1.0</v>
      </c>
      <c r="F1159" s="161">
        <v>100000.0</v>
      </c>
      <c r="G1159" s="162">
        <f t="shared" si="32"/>
        <v>100000</v>
      </c>
      <c r="H1159" s="194"/>
      <c r="I1159" s="204">
        <f t="shared" si="29"/>
        <v>100000</v>
      </c>
      <c r="J1159" s="164">
        <f t="shared" si="30"/>
        <v>100000</v>
      </c>
      <c r="K1159" s="56" t="s">
        <v>6146</v>
      </c>
      <c r="L1159" s="165" t="s">
        <v>6147</v>
      </c>
      <c r="M1159" s="73"/>
      <c r="N1159" s="171"/>
      <c r="O1159" s="169" t="s">
        <v>2958</v>
      </c>
      <c r="P1159" s="168" t="s">
        <v>3112</v>
      </c>
      <c r="Q1159" s="173"/>
      <c r="R1159" s="167">
        <v>100000.0</v>
      </c>
      <c r="S1159" s="173"/>
      <c r="T1159" s="173"/>
      <c r="U1159" s="173"/>
      <c r="V1159" s="168" t="s">
        <v>3883</v>
      </c>
      <c r="W1159" s="169"/>
      <c r="X1159" s="169" t="s">
        <v>6148</v>
      </c>
    </row>
    <row r="1160" ht="15.0" customHeight="1">
      <c r="A1160" s="127">
        <v>45639.0</v>
      </c>
      <c r="B1160" s="181" t="s">
        <v>6144</v>
      </c>
      <c r="C1160" s="169" t="s">
        <v>3083</v>
      </c>
      <c r="D1160" s="73" t="str">
        <f>IFERROR(VLOOKUP(C1160,Stock,3,FALSE),"")</f>
        <v>List Kaca Depan Code 04</v>
      </c>
      <c r="E1160" s="56">
        <v>1.0</v>
      </c>
      <c r="F1160" s="161">
        <v>275000.0</v>
      </c>
      <c r="G1160" s="162">
        <f t="shared" si="32"/>
        <v>275000</v>
      </c>
      <c r="H1160" s="194"/>
      <c r="I1160" s="204">
        <f t="shared" si="29"/>
        <v>275000</v>
      </c>
      <c r="J1160" s="164">
        <f t="shared" si="30"/>
        <v>275000</v>
      </c>
      <c r="K1160" s="56" t="s">
        <v>6146</v>
      </c>
      <c r="L1160" s="165" t="s">
        <v>6147</v>
      </c>
      <c r="M1160" s="73"/>
      <c r="N1160" s="171"/>
      <c r="O1160" s="169" t="s">
        <v>2958</v>
      </c>
      <c r="P1160" s="168" t="s">
        <v>3112</v>
      </c>
      <c r="Q1160" s="173"/>
      <c r="R1160" s="167">
        <v>275000.0</v>
      </c>
      <c r="S1160" s="173"/>
      <c r="T1160" s="173"/>
      <c r="U1160" s="173"/>
      <c r="V1160" s="168" t="s">
        <v>3883</v>
      </c>
      <c r="W1160" s="169"/>
      <c r="X1160" s="169" t="s">
        <v>6148</v>
      </c>
    </row>
    <row r="1161" ht="15.0" customHeight="1">
      <c r="A1161" s="127">
        <v>45640.0</v>
      </c>
      <c r="B1161" s="181" t="s">
        <v>6149</v>
      </c>
      <c r="C1161" s="56" t="s">
        <v>3099</v>
      </c>
      <c r="D1161" s="73" t="str">
        <f>IFERROR(VLOOKUP(C1161,Stock,3,FALSE),"")</f>
        <v>Toyota Calya / Sigra 16-</v>
      </c>
      <c r="E1161" s="56">
        <v>1.0</v>
      </c>
      <c r="F1161" s="161">
        <v>1200000.0</v>
      </c>
      <c r="G1161" s="162">
        <f t="shared" si="32"/>
        <v>1200000</v>
      </c>
      <c r="H1161" s="194"/>
      <c r="I1161" s="204">
        <f t="shared" si="29"/>
        <v>1200000</v>
      </c>
      <c r="J1161" s="164">
        <f t="shared" si="30"/>
        <v>1200000</v>
      </c>
      <c r="K1161" s="56" t="s">
        <v>6150</v>
      </c>
      <c r="L1161" s="165" t="s">
        <v>6151</v>
      </c>
      <c r="M1161" s="73"/>
      <c r="N1161" s="171"/>
      <c r="O1161" s="169" t="s">
        <v>2958</v>
      </c>
      <c r="P1161" s="168" t="s">
        <v>3112</v>
      </c>
      <c r="Q1161" s="167">
        <v>1200000.0</v>
      </c>
      <c r="R1161" s="167" t="s">
        <v>3066</v>
      </c>
      <c r="S1161" s="173"/>
      <c r="T1161" s="173"/>
      <c r="U1161" s="173"/>
      <c r="V1161" s="168" t="s">
        <v>3883</v>
      </c>
      <c r="W1161" s="169"/>
      <c r="X1161" s="219">
        <v>45654.0</v>
      </c>
    </row>
    <row r="1162" ht="15.0" customHeight="1">
      <c r="A1162" s="127">
        <v>45640.0</v>
      </c>
      <c r="B1162" s="181" t="s">
        <v>6152</v>
      </c>
      <c r="C1162" s="56" t="s">
        <v>3817</v>
      </c>
      <c r="D1162" s="73" t="str">
        <f>IFERROR(VLOOKUP(C1162,Stock,3,FALSE),"")</f>
        <v>Suzuki APV 03- Pickup/ Van (MULIA)</v>
      </c>
      <c r="E1162" s="56">
        <v>1.0</v>
      </c>
      <c r="F1162" s="161">
        <v>1244000.0</v>
      </c>
      <c r="G1162" s="162">
        <f t="shared" si="32"/>
        <v>1244000</v>
      </c>
      <c r="H1162" s="194"/>
      <c r="I1162" s="204">
        <f t="shared" si="29"/>
        <v>1244000</v>
      </c>
      <c r="J1162" s="164">
        <f t="shared" si="30"/>
        <v>1244000</v>
      </c>
      <c r="K1162" s="56" t="s">
        <v>6153</v>
      </c>
      <c r="L1162" s="165" t="s">
        <v>6154</v>
      </c>
      <c r="M1162" s="73"/>
      <c r="N1162" s="171"/>
      <c r="O1162" s="169" t="s">
        <v>3500</v>
      </c>
      <c r="P1162" s="168" t="s">
        <v>4002</v>
      </c>
      <c r="Q1162" s="167">
        <v>1300000.0</v>
      </c>
      <c r="R1162" s="173"/>
      <c r="S1162" s="173"/>
      <c r="T1162" s="173"/>
      <c r="U1162" s="167">
        <v>56000.0</v>
      </c>
      <c r="V1162" s="168" t="s">
        <v>3883</v>
      </c>
      <c r="W1162" s="169"/>
      <c r="X1162" s="219">
        <v>45654.0</v>
      </c>
    </row>
    <row r="1163" ht="15.0" customHeight="1">
      <c r="A1163" s="127">
        <v>45640.0</v>
      </c>
      <c r="B1163" s="181" t="s">
        <v>6155</v>
      </c>
      <c r="C1163" s="327" t="s">
        <v>6156</v>
      </c>
      <c r="D1163" s="73" t="str">
        <f>IFERROR(VLOOKUP(C1163,Stock,3,FALSE),"")</f>
        <v>Toyota Voxy 17- (Hitam)</v>
      </c>
      <c r="E1163" s="56">
        <v>1.0</v>
      </c>
      <c r="F1163" s="161">
        <v>2835000.0</v>
      </c>
      <c r="G1163" s="162">
        <f t="shared" si="32"/>
        <v>2835000</v>
      </c>
      <c r="H1163" s="194"/>
      <c r="I1163" s="204">
        <f t="shared" si="29"/>
        <v>2835000</v>
      </c>
      <c r="J1163" s="164">
        <f t="shared" si="30"/>
        <v>2835000</v>
      </c>
      <c r="K1163" s="56" t="s">
        <v>6157</v>
      </c>
      <c r="L1163" s="165" t="s">
        <v>6158</v>
      </c>
      <c r="M1163" s="73"/>
      <c r="N1163" s="171"/>
      <c r="O1163" s="169" t="s">
        <v>2958</v>
      </c>
      <c r="P1163" s="168" t="s">
        <v>3112</v>
      </c>
      <c r="Q1163" s="173"/>
      <c r="R1163" s="167">
        <v>2835000.0</v>
      </c>
      <c r="S1163" s="173"/>
      <c r="T1163" s="173"/>
      <c r="U1163" s="173"/>
      <c r="V1163" s="168" t="s">
        <v>3883</v>
      </c>
      <c r="W1163" s="169"/>
      <c r="X1163" s="169" t="s">
        <v>6159</v>
      </c>
    </row>
    <row r="1164" ht="15.0" customHeight="1">
      <c r="A1164" s="127">
        <v>45640.0</v>
      </c>
      <c r="B1164" s="181" t="s">
        <v>6155</v>
      </c>
      <c r="C1164" s="251" t="s">
        <v>2934</v>
      </c>
      <c r="D1164" s="73" t="str">
        <f>IFERROR(VLOOKUP(C1164,Stock,3,FALSE),"")</f>
        <v>Peti Kayu</v>
      </c>
      <c r="E1164" s="56">
        <v>1.0</v>
      </c>
      <c r="F1164" s="161">
        <v>200000.0</v>
      </c>
      <c r="G1164" s="162">
        <f t="shared" si="32"/>
        <v>200000</v>
      </c>
      <c r="H1164" s="194"/>
      <c r="I1164" s="204">
        <f t="shared" si="29"/>
        <v>200000</v>
      </c>
      <c r="J1164" s="164">
        <f t="shared" si="30"/>
        <v>200000</v>
      </c>
      <c r="K1164" s="56" t="s">
        <v>6157</v>
      </c>
      <c r="L1164" s="309" t="s">
        <v>6158</v>
      </c>
      <c r="M1164" s="73"/>
      <c r="N1164" s="171"/>
      <c r="O1164" s="169" t="s">
        <v>2958</v>
      </c>
      <c r="P1164" s="168" t="s">
        <v>3112</v>
      </c>
      <c r="Q1164" s="173"/>
      <c r="R1164" s="167">
        <v>200000.0</v>
      </c>
      <c r="S1164" s="173"/>
      <c r="T1164" s="173"/>
      <c r="U1164" s="173"/>
      <c r="V1164" s="168" t="s">
        <v>3883</v>
      </c>
      <c r="W1164" s="169"/>
      <c r="X1164" s="169" t="s">
        <v>6159</v>
      </c>
    </row>
    <row r="1165" ht="15.0" customHeight="1">
      <c r="A1165" s="127">
        <v>45640.0</v>
      </c>
      <c r="B1165" s="181" t="s">
        <v>6160</v>
      </c>
      <c r="C1165" s="56" t="s">
        <v>2822</v>
      </c>
      <c r="D1165" s="73" t="str">
        <f>IFERROR(VLOOKUP(C1165,Stock,3,FALSE),"")</f>
        <v>Mitsubishi Canter FE700 01- (PS110,125)</v>
      </c>
      <c r="E1165" s="56">
        <v>1.0</v>
      </c>
      <c r="F1165" s="161">
        <v>350000.0</v>
      </c>
      <c r="G1165" s="162">
        <f t="shared" si="32"/>
        <v>350000</v>
      </c>
      <c r="H1165" s="194"/>
      <c r="I1165" s="204">
        <f t="shared" si="29"/>
        <v>350000</v>
      </c>
      <c r="J1165" s="164">
        <f t="shared" si="30"/>
        <v>350000</v>
      </c>
      <c r="K1165" s="56" t="s">
        <v>6161</v>
      </c>
      <c r="L1165" s="165" t="s">
        <v>6162</v>
      </c>
      <c r="M1165" s="73"/>
      <c r="N1165" s="171"/>
      <c r="O1165" s="169" t="s">
        <v>2958</v>
      </c>
      <c r="P1165" s="168" t="s">
        <v>3645</v>
      </c>
      <c r="Q1165" s="167">
        <v>350000.0</v>
      </c>
      <c r="R1165" s="173"/>
      <c r="S1165" s="173"/>
      <c r="T1165" s="173"/>
      <c r="U1165" s="173"/>
      <c r="V1165" s="168" t="s">
        <v>3883</v>
      </c>
      <c r="W1165" s="169"/>
      <c r="X1165" s="219">
        <v>45654.0</v>
      </c>
    </row>
    <row r="1166" ht="15.0" customHeight="1">
      <c r="A1166" s="127">
        <v>45640.0</v>
      </c>
      <c r="B1166" s="181" t="s">
        <v>6163</v>
      </c>
      <c r="C1166" s="56" t="s">
        <v>6164</v>
      </c>
      <c r="D1166" s="73" t="str">
        <f>IFERROR(VLOOKUP(C1166,Stock,3,FALSE),"")</f>
        <v>Kia Picanto 04-11 1st Gen</v>
      </c>
      <c r="E1166" s="56">
        <v>1.0</v>
      </c>
      <c r="F1166" s="161">
        <v>925000.0</v>
      </c>
      <c r="G1166" s="162">
        <f t="shared" si="32"/>
        <v>925000</v>
      </c>
      <c r="H1166" s="194"/>
      <c r="I1166" s="204">
        <f t="shared" si="29"/>
        <v>925000</v>
      </c>
      <c r="J1166" s="164">
        <f t="shared" si="30"/>
        <v>925000</v>
      </c>
      <c r="K1166" s="56" t="s">
        <v>6165</v>
      </c>
      <c r="L1166" s="165" t="s">
        <v>6166</v>
      </c>
      <c r="M1166" s="73"/>
      <c r="N1166" s="171"/>
      <c r="O1166" s="169" t="s">
        <v>2958</v>
      </c>
      <c r="P1166" s="168" t="s">
        <v>3645</v>
      </c>
      <c r="Q1166" s="167">
        <v>925000.0</v>
      </c>
      <c r="R1166" s="173"/>
      <c r="S1166" s="173"/>
      <c r="T1166" s="173"/>
      <c r="U1166" s="173"/>
      <c r="V1166" s="168" t="s">
        <v>3883</v>
      </c>
      <c r="W1166" s="169"/>
      <c r="X1166" s="169" t="s">
        <v>6167</v>
      </c>
    </row>
    <row r="1167" ht="15.0" customHeight="1">
      <c r="A1167" s="127">
        <v>45640.0</v>
      </c>
      <c r="B1167" s="181" t="s">
        <v>6168</v>
      </c>
      <c r="C1167" s="56" t="s">
        <v>2669</v>
      </c>
      <c r="D1167" s="73" t="str">
        <f>IFERROR(VLOOKUP(C1167,Stock,3,FALSE),"")</f>
        <v>Nissan Livina 07-18 L10/L11</v>
      </c>
      <c r="E1167" s="56">
        <v>1.0</v>
      </c>
      <c r="F1167" s="161">
        <v>1192000.0</v>
      </c>
      <c r="G1167" s="162">
        <f t="shared" si="32"/>
        <v>1192000</v>
      </c>
      <c r="H1167" s="194"/>
      <c r="I1167" s="204">
        <f t="shared" si="29"/>
        <v>1192000</v>
      </c>
      <c r="J1167" s="164">
        <f t="shared" si="30"/>
        <v>1192000</v>
      </c>
      <c r="K1167" s="56" t="s">
        <v>6169</v>
      </c>
      <c r="L1167" s="165" t="s">
        <v>6170</v>
      </c>
      <c r="M1167" s="73"/>
      <c r="N1167" s="171"/>
      <c r="O1167" s="169" t="s">
        <v>2958</v>
      </c>
      <c r="P1167" s="168" t="s">
        <v>3645</v>
      </c>
      <c r="Q1167" s="167">
        <v>1200000.0</v>
      </c>
      <c r="R1167" s="173"/>
      <c r="S1167" s="173"/>
      <c r="T1167" s="173"/>
      <c r="U1167" s="167">
        <v>8000.0</v>
      </c>
      <c r="V1167" s="168" t="s">
        <v>3883</v>
      </c>
      <c r="W1167" s="169"/>
      <c r="X1167" s="219">
        <v>45654.0</v>
      </c>
    </row>
    <row r="1168" ht="15.0" customHeight="1">
      <c r="A1168" s="127">
        <v>45640.0</v>
      </c>
      <c r="B1168" s="181" t="s">
        <v>6171</v>
      </c>
      <c r="C1168" s="56" t="s">
        <v>4340</v>
      </c>
      <c r="D1168" s="73" t="str">
        <f>IFERROR(VLOOKUP(C1168,Stock,3,FALSE),"")</f>
        <v/>
      </c>
      <c r="E1168" s="56"/>
      <c r="F1168" s="161"/>
      <c r="G1168" s="162">
        <f t="shared" si="32"/>
        <v>0</v>
      </c>
      <c r="H1168" s="194"/>
      <c r="I1168" s="204">
        <f t="shared" si="29"/>
        <v>0</v>
      </c>
      <c r="J1168" s="164">
        <f t="shared" si="30"/>
        <v>0</v>
      </c>
      <c r="K1168" s="56" t="s">
        <v>6172</v>
      </c>
      <c r="L1168" s="165" t="s">
        <v>6173</v>
      </c>
      <c r="M1168" s="73"/>
      <c r="N1168" s="171"/>
      <c r="O1168" s="169" t="s">
        <v>2958</v>
      </c>
      <c r="P1168" s="168" t="s">
        <v>3112</v>
      </c>
      <c r="Q1168" s="167"/>
      <c r="R1168" s="167"/>
      <c r="S1168" s="173"/>
      <c r="T1168" s="173"/>
      <c r="U1168" s="173"/>
      <c r="V1168" s="168" t="s">
        <v>3883</v>
      </c>
      <c r="W1168" s="169"/>
      <c r="X1168" s="169" t="s">
        <v>6174</v>
      </c>
    </row>
    <row r="1169" ht="15.0" customHeight="1">
      <c r="A1169" s="127">
        <v>45640.0</v>
      </c>
      <c r="B1169" s="181" t="s">
        <v>6171</v>
      </c>
      <c r="C1169" s="251" t="s">
        <v>4340</v>
      </c>
      <c r="D1169" s="73" t="str">
        <f>IFERROR(VLOOKUP(C1169,Stock,3,FALSE),"")</f>
        <v/>
      </c>
      <c r="E1169" s="56"/>
      <c r="F1169" s="161"/>
      <c r="G1169" s="162">
        <f t="shared" si="32"/>
        <v>0</v>
      </c>
      <c r="H1169" s="194"/>
      <c r="I1169" s="204">
        <f t="shared" si="29"/>
        <v>0</v>
      </c>
      <c r="J1169" s="164">
        <f t="shared" si="30"/>
        <v>0</v>
      </c>
      <c r="K1169" s="56" t="s">
        <v>6172</v>
      </c>
      <c r="L1169" s="165" t="s">
        <v>6173</v>
      </c>
      <c r="M1169" s="73"/>
      <c r="N1169" s="171"/>
      <c r="O1169" s="169" t="s">
        <v>2958</v>
      </c>
      <c r="P1169" s="168" t="s">
        <v>3112</v>
      </c>
      <c r="Q1169" s="173"/>
      <c r="R1169" s="173"/>
      <c r="S1169" s="173"/>
      <c r="T1169" s="173"/>
      <c r="U1169" s="173"/>
      <c r="V1169" s="168" t="s">
        <v>3883</v>
      </c>
      <c r="W1169" s="169"/>
      <c r="X1169" s="169" t="s">
        <v>6175</v>
      </c>
    </row>
    <row r="1170" ht="15.0" customHeight="1">
      <c r="A1170" s="127">
        <v>45642.0</v>
      </c>
      <c r="B1170" s="181" t="s">
        <v>6176</v>
      </c>
      <c r="C1170" s="56" t="s">
        <v>2954</v>
      </c>
      <c r="D1170" s="73" t="str">
        <f>IFERROR(VLOOKUP(C1170,Stock,3,FALSE),"")</f>
        <v>Transport</v>
      </c>
      <c r="E1170" s="56">
        <v>1.0</v>
      </c>
      <c r="F1170" s="161">
        <v>100000.0</v>
      </c>
      <c r="G1170" s="162">
        <f t="shared" si="32"/>
        <v>100000</v>
      </c>
      <c r="H1170" s="194"/>
      <c r="I1170" s="204">
        <f t="shared" si="29"/>
        <v>100000</v>
      </c>
      <c r="J1170" s="164">
        <f t="shared" si="30"/>
        <v>100000</v>
      </c>
      <c r="K1170" s="56" t="s">
        <v>4271</v>
      </c>
      <c r="L1170" s="165" t="s">
        <v>4001</v>
      </c>
      <c r="M1170" s="73"/>
      <c r="N1170" s="171"/>
      <c r="O1170" s="169" t="s">
        <v>3037</v>
      </c>
      <c r="P1170" s="168" t="s">
        <v>3112</v>
      </c>
      <c r="Q1170" s="167">
        <v>100000.0</v>
      </c>
      <c r="R1170" s="173"/>
      <c r="S1170" s="173"/>
      <c r="T1170" s="173"/>
      <c r="U1170" s="173"/>
      <c r="V1170" s="168" t="s">
        <v>3883</v>
      </c>
      <c r="W1170" s="169"/>
      <c r="X1170" s="219">
        <v>45654.0</v>
      </c>
    </row>
    <row r="1171" ht="15.0" customHeight="1">
      <c r="A1171" s="127">
        <v>45643.0</v>
      </c>
      <c r="B1171" s="181" t="s">
        <v>6177</v>
      </c>
      <c r="C1171" s="56" t="s">
        <v>3168</v>
      </c>
      <c r="D1171" s="73" t="str">
        <f>IFERROR(VLOOKUP(C1171,Stock,3,FALSE),"")</f>
        <v>Toyota Agya/Ayla</v>
      </c>
      <c r="E1171" s="56">
        <v>1.0</v>
      </c>
      <c r="F1171" s="161">
        <v>890000.0</v>
      </c>
      <c r="G1171" s="162">
        <f t="shared" si="32"/>
        <v>890000</v>
      </c>
      <c r="H1171" s="194"/>
      <c r="I1171" s="204">
        <f t="shared" si="29"/>
        <v>890000</v>
      </c>
      <c r="J1171" s="164">
        <f t="shared" si="30"/>
        <v>890000</v>
      </c>
      <c r="K1171" s="56" t="s">
        <v>6178</v>
      </c>
      <c r="L1171" s="165" t="s">
        <v>6179</v>
      </c>
      <c r="M1171" s="56" t="s">
        <v>6180</v>
      </c>
      <c r="N1171" s="169" t="s">
        <v>6181</v>
      </c>
      <c r="O1171" s="169" t="s">
        <v>3500</v>
      </c>
      <c r="P1171" s="168" t="s">
        <v>3112</v>
      </c>
      <c r="Q1171" s="167">
        <v>900000.0</v>
      </c>
      <c r="R1171" s="173"/>
      <c r="S1171" s="173"/>
      <c r="T1171" s="173"/>
      <c r="U1171" s="167">
        <v>10000.0</v>
      </c>
      <c r="V1171" s="168" t="s">
        <v>3883</v>
      </c>
      <c r="W1171" s="169"/>
      <c r="X1171" s="219">
        <v>45654.0</v>
      </c>
    </row>
    <row r="1172" ht="15.0" customHeight="1">
      <c r="A1172" s="127">
        <v>45643.0</v>
      </c>
      <c r="B1172" s="181" t="s">
        <v>6182</v>
      </c>
      <c r="C1172" s="56" t="s">
        <v>2936</v>
      </c>
      <c r="D1172" s="73" t="str">
        <f>IFERROR(VLOOKUP(C1172,Stock,3,FALSE),"")</f>
        <v>Toyota Calya / Sigra 16-</v>
      </c>
      <c r="E1172" s="56">
        <v>1.0</v>
      </c>
      <c r="F1172" s="161">
        <v>950000.0</v>
      </c>
      <c r="G1172" s="162">
        <f t="shared" si="32"/>
        <v>950000</v>
      </c>
      <c r="H1172" s="194"/>
      <c r="I1172" s="204">
        <f t="shared" si="29"/>
        <v>950000</v>
      </c>
      <c r="J1172" s="164">
        <f t="shared" si="30"/>
        <v>950000</v>
      </c>
      <c r="K1172" s="56" t="s">
        <v>6183</v>
      </c>
      <c r="L1172" s="165" t="s">
        <v>6184</v>
      </c>
      <c r="M1172" s="56" t="s">
        <v>6185</v>
      </c>
      <c r="N1172" s="169" t="s">
        <v>6186</v>
      </c>
      <c r="O1172" s="169" t="s">
        <v>2958</v>
      </c>
      <c r="P1172" s="168" t="s">
        <v>3112</v>
      </c>
      <c r="Q1172" s="173"/>
      <c r="R1172" s="167">
        <v>950000.0</v>
      </c>
      <c r="S1172" s="173"/>
      <c r="T1172" s="173"/>
      <c r="U1172" s="173"/>
      <c r="V1172" s="168" t="s">
        <v>3883</v>
      </c>
      <c r="W1172" s="169"/>
      <c r="X1172" s="169" t="s">
        <v>6187</v>
      </c>
    </row>
    <row r="1173" ht="15.0" customHeight="1">
      <c r="A1173" s="127">
        <v>45643.0</v>
      </c>
      <c r="B1173" s="181" t="s">
        <v>6188</v>
      </c>
      <c r="C1173" s="56" t="s">
        <v>2549</v>
      </c>
      <c r="D1173" s="73" t="str">
        <f>IFERROR(VLOOKUP(C1173,Stock,3,FALSE),"")</f>
        <v>Toyota Avanza / Xenia 11-15 2nd Gen</v>
      </c>
      <c r="E1173" s="56">
        <v>1.0</v>
      </c>
      <c r="F1173" s="161">
        <v>1100000.0</v>
      </c>
      <c r="G1173" s="162">
        <f t="shared" si="32"/>
        <v>1100000</v>
      </c>
      <c r="H1173" s="194"/>
      <c r="I1173" s="204">
        <f t="shared" si="29"/>
        <v>1100000</v>
      </c>
      <c r="J1173" s="164">
        <f t="shared" si="30"/>
        <v>1100000</v>
      </c>
      <c r="K1173" s="56" t="s">
        <v>6189</v>
      </c>
      <c r="L1173" s="165" t="s">
        <v>6190</v>
      </c>
      <c r="M1173" s="73"/>
      <c r="N1173" s="169" t="s">
        <v>6191</v>
      </c>
      <c r="O1173" s="169" t="s">
        <v>2958</v>
      </c>
      <c r="P1173" s="168" t="s">
        <v>3112</v>
      </c>
      <c r="Q1173" s="167">
        <v>1100000.0</v>
      </c>
      <c r="R1173" s="173"/>
      <c r="S1173" s="173"/>
      <c r="T1173" s="173"/>
      <c r="U1173" s="173"/>
      <c r="V1173" s="168" t="s">
        <v>3883</v>
      </c>
      <c r="W1173" s="169"/>
      <c r="X1173" s="219">
        <v>45654.0</v>
      </c>
    </row>
    <row r="1174" ht="15.0" customHeight="1">
      <c r="A1174" s="127">
        <v>45643.0</v>
      </c>
      <c r="B1174" s="181" t="s">
        <v>6192</v>
      </c>
      <c r="C1174" s="56" t="s">
        <v>2575</v>
      </c>
      <c r="D1174" s="73" t="str">
        <f>IFERROR(VLOOKUP(C1174,Stock,3,FALSE),"")</f>
        <v>Toyota Camry 06-11 XV40 4th Gen</v>
      </c>
      <c r="E1174" s="56">
        <v>1.0</v>
      </c>
      <c r="F1174" s="161">
        <v>2950000.0</v>
      </c>
      <c r="G1174" s="162">
        <f t="shared" si="32"/>
        <v>2950000</v>
      </c>
      <c r="H1174" s="194"/>
      <c r="I1174" s="204">
        <f t="shared" si="29"/>
        <v>2950000</v>
      </c>
      <c r="J1174" s="164">
        <f t="shared" si="30"/>
        <v>2950000</v>
      </c>
      <c r="K1174" s="56" t="s">
        <v>6193</v>
      </c>
      <c r="L1174" s="165" t="s">
        <v>6194</v>
      </c>
      <c r="M1174" s="56" t="s">
        <v>6195</v>
      </c>
      <c r="N1174" s="169" t="s">
        <v>6196</v>
      </c>
      <c r="O1174" s="169" t="s">
        <v>2958</v>
      </c>
      <c r="P1174" s="168" t="s">
        <v>3112</v>
      </c>
      <c r="Q1174" s="173"/>
      <c r="R1174" s="167">
        <v>2950000.0</v>
      </c>
      <c r="S1174" s="173"/>
      <c r="T1174" s="173"/>
      <c r="U1174" s="173"/>
      <c r="V1174" s="168" t="s">
        <v>3883</v>
      </c>
      <c r="W1174" s="169"/>
      <c r="X1174" s="169" t="s">
        <v>6197</v>
      </c>
    </row>
    <row r="1175" ht="15.0" customHeight="1">
      <c r="A1175" s="127">
        <v>45643.0</v>
      </c>
      <c r="B1175" s="181" t="s">
        <v>6198</v>
      </c>
      <c r="C1175" s="56" t="s">
        <v>6199</v>
      </c>
      <c r="D1175" s="73" t="str">
        <f>IFERROR(VLOOKUP(C1175,Stock,3,FALSE),"")</f>
        <v>Honda Brio 10-17 [Tanpa Lubang]</v>
      </c>
      <c r="E1175" s="56">
        <v>1.0</v>
      </c>
      <c r="F1175" s="161">
        <v>1305000.0</v>
      </c>
      <c r="G1175" s="162">
        <f t="shared" si="32"/>
        <v>1305000</v>
      </c>
      <c r="H1175" s="194"/>
      <c r="I1175" s="204">
        <f t="shared" si="29"/>
        <v>1305000</v>
      </c>
      <c r="J1175" s="164">
        <f t="shared" si="30"/>
        <v>1305000</v>
      </c>
      <c r="K1175" s="56" t="s">
        <v>6200</v>
      </c>
      <c r="L1175" s="165" t="s">
        <v>6201</v>
      </c>
      <c r="M1175" s="56" t="s">
        <v>6202</v>
      </c>
      <c r="N1175" s="169" t="s">
        <v>6203</v>
      </c>
      <c r="O1175" s="169" t="s">
        <v>2958</v>
      </c>
      <c r="P1175" s="168" t="s">
        <v>5420</v>
      </c>
      <c r="Q1175" s="167">
        <v>1310000.0</v>
      </c>
      <c r="R1175" s="173"/>
      <c r="S1175" s="173"/>
      <c r="T1175" s="173"/>
      <c r="U1175" s="167">
        <v>5000.0</v>
      </c>
      <c r="V1175" s="168" t="s">
        <v>3883</v>
      </c>
      <c r="W1175" s="169"/>
      <c r="X1175" s="219">
        <v>45654.0</v>
      </c>
    </row>
    <row r="1176" ht="15.0" customHeight="1">
      <c r="A1176" s="127">
        <v>45644.0</v>
      </c>
      <c r="B1176" s="181" t="s">
        <v>6204</v>
      </c>
      <c r="C1176" s="56" t="s">
        <v>2926</v>
      </c>
      <c r="D1176" s="73" t="str">
        <f>IFERROR(VLOOKUP(C1176,Stock,3,FALSE),"")</f>
        <v>Honda Jazz 01-07 1st Gen</v>
      </c>
      <c r="E1176" s="56">
        <v>1.0</v>
      </c>
      <c r="F1176" s="161">
        <v>1350000.0</v>
      </c>
      <c r="G1176" s="162">
        <f t="shared" si="32"/>
        <v>1350000</v>
      </c>
      <c r="H1176" s="201">
        <v>55000.0</v>
      </c>
      <c r="I1176" s="204">
        <f t="shared" si="29"/>
        <v>1295000</v>
      </c>
      <c r="J1176" s="164">
        <f t="shared" si="30"/>
        <v>1295000</v>
      </c>
      <c r="K1176" s="228" t="s">
        <v>4472</v>
      </c>
      <c r="L1176" s="165" t="s">
        <v>6205</v>
      </c>
      <c r="M1176" s="73"/>
      <c r="N1176" s="171"/>
      <c r="O1176" s="169" t="s">
        <v>3037</v>
      </c>
      <c r="P1176" s="168" t="s">
        <v>3112</v>
      </c>
      <c r="Q1176" s="173"/>
      <c r="R1176" s="167">
        <v>1295000.0</v>
      </c>
      <c r="S1176" s="173"/>
      <c r="T1176" s="173"/>
      <c r="U1176" s="173"/>
      <c r="V1176" s="168" t="s">
        <v>3799</v>
      </c>
      <c r="W1176" s="169"/>
      <c r="X1176" s="169" t="s">
        <v>6206</v>
      </c>
    </row>
    <row r="1177" ht="15.0" customHeight="1">
      <c r="A1177" s="127">
        <v>45644.0</v>
      </c>
      <c r="B1177" s="181" t="s">
        <v>6204</v>
      </c>
      <c r="C1177" s="251" t="s">
        <v>3355</v>
      </c>
      <c r="D1177" s="73" t="str">
        <f>IFERROR(VLOOKUP(C1177,Stock,3,FALSE),"")</f>
        <v>List Kaca Depan INV</v>
      </c>
      <c r="E1177" s="56">
        <v>1.0</v>
      </c>
      <c r="F1177" s="161">
        <v>315000.0</v>
      </c>
      <c r="G1177" s="162">
        <f t="shared" si="32"/>
        <v>315000</v>
      </c>
      <c r="H1177" s="194"/>
      <c r="I1177" s="204">
        <f t="shared" si="29"/>
        <v>315000</v>
      </c>
      <c r="J1177" s="164">
        <f t="shared" si="30"/>
        <v>315000</v>
      </c>
      <c r="K1177" s="228" t="s">
        <v>4472</v>
      </c>
      <c r="L1177" s="165" t="s">
        <v>6205</v>
      </c>
      <c r="M1177" s="73"/>
      <c r="N1177" s="171"/>
      <c r="O1177" s="169" t="s">
        <v>3037</v>
      </c>
      <c r="P1177" s="168" t="s">
        <v>3112</v>
      </c>
      <c r="Q1177" s="173"/>
      <c r="R1177" s="167">
        <v>315000.0</v>
      </c>
      <c r="S1177" s="173"/>
      <c r="T1177" s="173"/>
      <c r="U1177" s="173"/>
      <c r="V1177" s="168" t="s">
        <v>3799</v>
      </c>
      <c r="W1177" s="169"/>
      <c r="X1177" s="169" t="s">
        <v>6206</v>
      </c>
    </row>
    <row r="1178" ht="15.0" customHeight="1">
      <c r="A1178" s="127">
        <v>45644.0</v>
      </c>
      <c r="B1178" s="181" t="s">
        <v>6204</v>
      </c>
      <c r="C1178" s="169" t="s">
        <v>4027</v>
      </c>
      <c r="D1178" s="73" t="str">
        <f>IFERROR(VLOOKUP(C1178,Stock,3,FALSE),"")</f>
        <v>501 Sealant Application</v>
      </c>
      <c r="E1178" s="56">
        <v>2.0</v>
      </c>
      <c r="F1178" s="161">
        <v>95000.0</v>
      </c>
      <c r="G1178" s="162">
        <f t="shared" si="32"/>
        <v>190000</v>
      </c>
      <c r="H1178" s="194"/>
      <c r="I1178" s="204">
        <f t="shared" si="29"/>
        <v>190000</v>
      </c>
      <c r="J1178" s="164">
        <f t="shared" si="30"/>
        <v>190000</v>
      </c>
      <c r="K1178" s="228" t="s">
        <v>4472</v>
      </c>
      <c r="L1178" s="165" t="s">
        <v>6205</v>
      </c>
      <c r="M1178" s="73"/>
      <c r="N1178" s="171"/>
      <c r="O1178" s="169" t="s">
        <v>3037</v>
      </c>
      <c r="P1178" s="168" t="s">
        <v>3112</v>
      </c>
      <c r="Q1178" s="173"/>
      <c r="R1178" s="167">
        <v>190000.0</v>
      </c>
      <c r="S1178" s="173"/>
      <c r="T1178" s="173"/>
      <c r="U1178" s="173"/>
      <c r="V1178" s="168" t="s">
        <v>3799</v>
      </c>
      <c r="W1178" s="169"/>
      <c r="X1178" s="169" t="s">
        <v>6206</v>
      </c>
    </row>
    <row r="1179" ht="15.0" customHeight="1">
      <c r="A1179" s="127">
        <v>45644.0</v>
      </c>
      <c r="B1179" s="181" t="s">
        <v>6204</v>
      </c>
      <c r="C1179" s="304" t="s">
        <v>2934</v>
      </c>
      <c r="D1179" s="73" t="str">
        <f>IFERROR(VLOOKUP(C1179,Stock,3,FALSE),"")</f>
        <v>Peti Kayu</v>
      </c>
      <c r="E1179" s="56">
        <v>1.0</v>
      </c>
      <c r="F1179" s="161">
        <v>200000.0</v>
      </c>
      <c r="G1179" s="162">
        <f t="shared" si="32"/>
        <v>200000</v>
      </c>
      <c r="H1179" s="194"/>
      <c r="I1179" s="204">
        <f t="shared" si="29"/>
        <v>200000</v>
      </c>
      <c r="J1179" s="164">
        <f t="shared" si="30"/>
        <v>200000</v>
      </c>
      <c r="K1179" s="228" t="s">
        <v>4472</v>
      </c>
      <c r="L1179" s="165" t="s">
        <v>6205</v>
      </c>
      <c r="M1179" s="73"/>
      <c r="N1179" s="171"/>
      <c r="O1179" s="169" t="s">
        <v>3037</v>
      </c>
      <c r="P1179" s="168" t="s">
        <v>3112</v>
      </c>
      <c r="Q1179" s="173"/>
      <c r="R1179" s="167">
        <v>200000.0</v>
      </c>
      <c r="S1179" s="173"/>
      <c r="T1179" s="173"/>
      <c r="U1179" s="173"/>
      <c r="V1179" s="168" t="s">
        <v>3799</v>
      </c>
      <c r="W1179" s="169"/>
      <c r="X1179" s="169" t="s">
        <v>6206</v>
      </c>
    </row>
    <row r="1180" ht="15.0" customHeight="1">
      <c r="A1180" s="127">
        <v>45644.0</v>
      </c>
      <c r="B1180" s="181" t="s">
        <v>6207</v>
      </c>
      <c r="C1180" s="56" t="s">
        <v>3045</v>
      </c>
      <c r="D1180" s="73" t="str">
        <f>IFERROR(VLOOKUP(C1180,Stock,3,FALSE),"")</f>
        <v>Pemasangan Kaca Mobil Depan</v>
      </c>
      <c r="E1180" s="56">
        <v>1.0</v>
      </c>
      <c r="F1180" s="161">
        <v>400000.0</v>
      </c>
      <c r="G1180" s="162">
        <f t="shared" si="32"/>
        <v>400000</v>
      </c>
      <c r="H1180" s="194"/>
      <c r="I1180" s="204">
        <f t="shared" si="29"/>
        <v>400000</v>
      </c>
      <c r="J1180" s="164">
        <f t="shared" si="30"/>
        <v>400000</v>
      </c>
      <c r="K1180" s="56" t="s">
        <v>5593</v>
      </c>
      <c r="L1180" s="165" t="s">
        <v>6208</v>
      </c>
      <c r="M1180" s="73"/>
      <c r="N1180" s="169" t="s">
        <v>6209</v>
      </c>
      <c r="O1180" s="169" t="s">
        <v>2958</v>
      </c>
      <c r="P1180" s="168" t="s">
        <v>3112</v>
      </c>
      <c r="Q1180" s="173"/>
      <c r="R1180" s="167">
        <v>400000.0</v>
      </c>
      <c r="S1180" s="173"/>
      <c r="T1180" s="173"/>
      <c r="U1180" s="173"/>
      <c r="V1180" s="168" t="s">
        <v>3883</v>
      </c>
      <c r="W1180" s="169"/>
      <c r="X1180" s="169" t="s">
        <v>6210</v>
      </c>
    </row>
    <row r="1181" ht="15.0" customHeight="1">
      <c r="A1181" s="127">
        <v>45645.0</v>
      </c>
      <c r="B1181" s="181" t="s">
        <v>6211</v>
      </c>
      <c r="C1181" s="56" t="s">
        <v>6212</v>
      </c>
      <c r="D1181" s="73" t="str">
        <f>IFERROR(VLOOKUP(C1181,Stock,3,FALSE),"")</f>
        <v>Honda Jazz 07-13 2nd Gen (Honda)</v>
      </c>
      <c r="E1181" s="56">
        <v>1.0</v>
      </c>
      <c r="F1181" s="161">
        <v>3288000.0</v>
      </c>
      <c r="G1181" s="162">
        <f t="shared" si="32"/>
        <v>3288000</v>
      </c>
      <c r="H1181" s="194"/>
      <c r="I1181" s="204">
        <f t="shared" si="29"/>
        <v>3288000</v>
      </c>
      <c r="J1181" s="164">
        <f t="shared" si="30"/>
        <v>3288000</v>
      </c>
      <c r="K1181" s="56" t="s">
        <v>6213</v>
      </c>
      <c r="L1181" s="165" t="s">
        <v>6214</v>
      </c>
      <c r="M1181" s="56" t="s">
        <v>6215</v>
      </c>
      <c r="N1181" s="169" t="s">
        <v>6216</v>
      </c>
      <c r="O1181" s="169" t="s">
        <v>2958</v>
      </c>
      <c r="P1181" s="168" t="s">
        <v>3112</v>
      </c>
      <c r="Q1181" s="167">
        <v>3200000.0</v>
      </c>
      <c r="R1181" s="167">
        <v>100000.0</v>
      </c>
      <c r="S1181" s="173"/>
      <c r="T1181" s="173"/>
      <c r="U1181" s="167">
        <v>12000.0</v>
      </c>
      <c r="V1181" s="168" t="s">
        <v>3883</v>
      </c>
      <c r="W1181" s="169"/>
      <c r="X1181" s="169" t="s">
        <v>6217</v>
      </c>
    </row>
    <row r="1182" ht="15.0" customHeight="1">
      <c r="A1182" s="127">
        <v>45646.0</v>
      </c>
      <c r="B1182" s="181" t="s">
        <v>6218</v>
      </c>
      <c r="C1182" s="327" t="s">
        <v>3099</v>
      </c>
      <c r="D1182" s="73" t="str">
        <f>IFERROR(VLOOKUP(C1182,Stock,3,FALSE),"")</f>
        <v>Toyota Calya / Sigra 16-</v>
      </c>
      <c r="E1182" s="56">
        <v>1.0</v>
      </c>
      <c r="F1182" s="161">
        <v>1150000.0</v>
      </c>
      <c r="G1182" s="162">
        <f t="shared" si="32"/>
        <v>1150000</v>
      </c>
      <c r="H1182" s="194"/>
      <c r="I1182" s="204">
        <f t="shared" si="29"/>
        <v>1150000</v>
      </c>
      <c r="J1182" s="164">
        <f t="shared" si="30"/>
        <v>1150000</v>
      </c>
      <c r="K1182" s="56" t="s">
        <v>6219</v>
      </c>
      <c r="L1182" s="165" t="s">
        <v>6220</v>
      </c>
      <c r="M1182" s="73"/>
      <c r="N1182" s="171"/>
      <c r="O1182" s="169" t="s">
        <v>2958</v>
      </c>
      <c r="P1182" s="168" t="s">
        <v>3112</v>
      </c>
      <c r="Q1182" s="167">
        <v>1050000.0</v>
      </c>
      <c r="R1182" s="167">
        <v>100000.0</v>
      </c>
      <c r="S1182" s="173"/>
      <c r="T1182" s="173"/>
      <c r="U1182" s="173"/>
      <c r="V1182" s="168" t="s">
        <v>3883</v>
      </c>
      <c r="W1182" s="169"/>
      <c r="X1182" s="169" t="s">
        <v>6221</v>
      </c>
    </row>
    <row r="1183" ht="15.0" customHeight="1">
      <c r="A1183" s="127">
        <v>45646.0</v>
      </c>
      <c r="B1183" s="181" t="s">
        <v>6218</v>
      </c>
      <c r="C1183" s="251" t="s">
        <v>2954</v>
      </c>
      <c r="D1183" s="73" t="str">
        <f>IFERROR(VLOOKUP(C1183,Stock,3,FALSE),"")</f>
        <v>Transport</v>
      </c>
      <c r="E1183" s="56">
        <v>1.0</v>
      </c>
      <c r="F1183" s="161">
        <v>75000.0</v>
      </c>
      <c r="G1183" s="162">
        <f t="shared" si="32"/>
        <v>75000</v>
      </c>
      <c r="H1183" s="194"/>
      <c r="I1183" s="204">
        <f t="shared" si="29"/>
        <v>75000</v>
      </c>
      <c r="J1183" s="164">
        <f t="shared" si="30"/>
        <v>75000</v>
      </c>
      <c r="K1183" s="56" t="s">
        <v>6222</v>
      </c>
      <c r="L1183" s="165" t="s">
        <v>6220</v>
      </c>
      <c r="M1183" s="73"/>
      <c r="N1183" s="171"/>
      <c r="O1183" s="169" t="s">
        <v>2958</v>
      </c>
      <c r="P1183" s="168" t="s">
        <v>3112</v>
      </c>
      <c r="Q1183" s="167">
        <v>75000.0</v>
      </c>
      <c r="R1183" s="173"/>
      <c r="S1183" s="173"/>
      <c r="T1183" s="173"/>
      <c r="U1183" s="173"/>
      <c r="V1183" s="168" t="s">
        <v>3883</v>
      </c>
      <c r="W1183" s="169"/>
      <c r="X1183" s="169" t="s">
        <v>6221</v>
      </c>
    </row>
    <row r="1184" ht="15.0" customHeight="1">
      <c r="A1184" s="127">
        <v>45646.0</v>
      </c>
      <c r="B1184" s="181" t="s">
        <v>6223</v>
      </c>
      <c r="C1184" s="56" t="s">
        <v>2722</v>
      </c>
      <c r="D1184" s="73" t="str">
        <f>IFERROR(VLOOKUP(C1184,Stock,3,FALSE),"")</f>
        <v>Suzuki Carry Futura (1300cc) / Mitsubishi Colt T120</v>
      </c>
      <c r="E1184" s="56">
        <v>1.0</v>
      </c>
      <c r="F1184" s="161">
        <v>1020000.0</v>
      </c>
      <c r="G1184" s="162">
        <f t="shared" si="32"/>
        <v>1020000</v>
      </c>
      <c r="H1184" s="194"/>
      <c r="I1184" s="204">
        <f t="shared" si="29"/>
        <v>1020000</v>
      </c>
      <c r="J1184" s="164">
        <f t="shared" si="30"/>
        <v>1020000</v>
      </c>
      <c r="K1184" s="56" t="s">
        <v>4448</v>
      </c>
      <c r="L1184" s="165" t="s">
        <v>6224</v>
      </c>
      <c r="M1184" s="73"/>
      <c r="N1184" s="171"/>
      <c r="O1184" s="169" t="s">
        <v>2958</v>
      </c>
      <c r="P1184" s="168" t="s">
        <v>3112</v>
      </c>
      <c r="Q1184" s="167">
        <v>1020000.0</v>
      </c>
      <c r="R1184" s="173"/>
      <c r="S1184" s="173"/>
      <c r="T1184" s="173"/>
      <c r="U1184" s="173"/>
      <c r="V1184" s="168" t="s">
        <v>3883</v>
      </c>
      <c r="W1184" s="169"/>
      <c r="X1184" s="219">
        <v>45748.0</v>
      </c>
    </row>
    <row r="1185" ht="15.0" customHeight="1">
      <c r="A1185" s="127">
        <v>45646.0</v>
      </c>
      <c r="B1185" s="181" t="s">
        <v>6223</v>
      </c>
      <c r="C1185" s="251" t="s">
        <v>2954</v>
      </c>
      <c r="D1185" s="73" t="str">
        <f>IFERROR(VLOOKUP(C1185,Stock,3,FALSE),"")</f>
        <v>Transport</v>
      </c>
      <c r="E1185" s="56">
        <v>1.0</v>
      </c>
      <c r="F1185" s="161">
        <v>50000.0</v>
      </c>
      <c r="G1185" s="162">
        <f t="shared" si="32"/>
        <v>50000</v>
      </c>
      <c r="H1185" s="194"/>
      <c r="I1185" s="204">
        <f t="shared" si="29"/>
        <v>50000</v>
      </c>
      <c r="J1185" s="164">
        <f t="shared" si="30"/>
        <v>50000</v>
      </c>
      <c r="K1185" s="56" t="s">
        <v>4448</v>
      </c>
      <c r="L1185" s="165" t="s">
        <v>6224</v>
      </c>
      <c r="M1185" s="73"/>
      <c r="N1185" s="171"/>
      <c r="O1185" s="169" t="s">
        <v>2958</v>
      </c>
      <c r="P1185" s="168" t="s">
        <v>3112</v>
      </c>
      <c r="Q1185" s="167">
        <v>50000.0</v>
      </c>
      <c r="R1185" s="173"/>
      <c r="S1185" s="173"/>
      <c r="T1185" s="173"/>
      <c r="U1185" s="173"/>
      <c r="V1185" s="168" t="s">
        <v>3883</v>
      </c>
      <c r="W1185" s="169"/>
      <c r="X1185" s="169" t="s">
        <v>6225</v>
      </c>
    </row>
    <row r="1186" ht="15.0" customHeight="1">
      <c r="A1186" s="127">
        <v>45646.0</v>
      </c>
      <c r="B1186" s="181" t="s">
        <v>6226</v>
      </c>
      <c r="C1186" s="56" t="s">
        <v>6227</v>
      </c>
      <c r="D1186" s="73" t="str">
        <f>IFERROR(VLOOKUP(C1186,Stock,3,FALSE),"")</f>
        <v>Toyota Fortuner 15-  2nd Gen</v>
      </c>
      <c r="E1186" s="56">
        <v>1.0</v>
      </c>
      <c r="F1186" s="161">
        <v>790000.0</v>
      </c>
      <c r="G1186" s="162">
        <f t="shared" si="32"/>
        <v>790000</v>
      </c>
      <c r="H1186" s="194"/>
      <c r="I1186" s="204">
        <f t="shared" si="29"/>
        <v>790000</v>
      </c>
      <c r="J1186" s="164">
        <f t="shared" si="30"/>
        <v>790000</v>
      </c>
      <c r="K1186" s="310" t="s">
        <v>6228</v>
      </c>
      <c r="L1186" s="165" t="s">
        <v>6229</v>
      </c>
      <c r="M1186" s="73"/>
      <c r="N1186" s="289" t="s">
        <v>6230</v>
      </c>
      <c r="O1186" s="169" t="s">
        <v>2968</v>
      </c>
      <c r="P1186" s="168" t="s">
        <v>3112</v>
      </c>
      <c r="Q1186" s="173"/>
      <c r="R1186" s="167">
        <v>790000.0</v>
      </c>
      <c r="S1186" s="173"/>
      <c r="T1186" s="173"/>
      <c r="U1186" s="173"/>
      <c r="V1186" s="168" t="s">
        <v>3799</v>
      </c>
      <c r="W1186" s="169"/>
      <c r="X1186" s="169" t="s">
        <v>6231</v>
      </c>
    </row>
    <row r="1187" ht="15.0" customHeight="1">
      <c r="A1187" s="127">
        <v>45646.0</v>
      </c>
      <c r="B1187" s="181" t="s">
        <v>6232</v>
      </c>
      <c r="C1187" s="56" t="s">
        <v>2714</v>
      </c>
      <c r="D1187" s="73" t="str">
        <f>IFERROR(VLOOKUP(C1187,Stock,3,FALSE),"")</f>
        <v>Mitsubishi Canter FE700 01- (PS110,125)</v>
      </c>
      <c r="E1187" s="56">
        <v>1.0</v>
      </c>
      <c r="F1187" s="161">
        <v>1100000.0</v>
      </c>
      <c r="G1187" s="162">
        <f t="shared" si="32"/>
        <v>1100000</v>
      </c>
      <c r="H1187" s="194"/>
      <c r="I1187" s="204">
        <f t="shared" si="29"/>
        <v>1100000</v>
      </c>
      <c r="J1187" s="164">
        <f t="shared" si="30"/>
        <v>1100000</v>
      </c>
      <c r="K1187" s="56" t="s">
        <v>6233</v>
      </c>
      <c r="L1187" s="165" t="s">
        <v>6234</v>
      </c>
      <c r="M1187" s="73"/>
      <c r="N1187" s="171"/>
      <c r="O1187" s="169" t="s">
        <v>6235</v>
      </c>
      <c r="P1187" s="168" t="s">
        <v>3112</v>
      </c>
      <c r="Q1187" s="167">
        <v>1100000.0</v>
      </c>
      <c r="R1187" s="173"/>
      <c r="S1187" s="173"/>
      <c r="T1187" s="173"/>
      <c r="U1187" s="173"/>
      <c r="V1187" s="168" t="s">
        <v>3883</v>
      </c>
      <c r="W1187" s="169"/>
      <c r="X1187" s="219">
        <v>45748.0</v>
      </c>
    </row>
    <row r="1188" ht="15.0" customHeight="1">
      <c r="A1188" s="127">
        <v>45647.0</v>
      </c>
      <c r="B1188" s="181" t="s">
        <v>6236</v>
      </c>
      <c r="C1188" s="56" t="s">
        <v>3745</v>
      </c>
      <c r="D1188" s="73" t="str">
        <f>IFERROR(VLOOKUP(C1188,Stock,3,FALSE),"")</f>
        <v>Honda Brio 10- / Mobilio 11-</v>
      </c>
      <c r="E1188" s="56">
        <v>1.0</v>
      </c>
      <c r="F1188" s="161">
        <v>1748000.0</v>
      </c>
      <c r="G1188" s="162">
        <f t="shared" si="32"/>
        <v>1748000</v>
      </c>
      <c r="H1188" s="194"/>
      <c r="I1188" s="161">
        <f t="shared" si="29"/>
        <v>1748000</v>
      </c>
      <c r="J1188" s="164">
        <f t="shared" si="30"/>
        <v>1748000</v>
      </c>
      <c r="K1188" s="56" t="s">
        <v>6237</v>
      </c>
      <c r="L1188" s="165" t="s">
        <v>6238</v>
      </c>
      <c r="M1188" s="73"/>
      <c r="N1188" s="171"/>
      <c r="O1188" s="169" t="s">
        <v>2958</v>
      </c>
      <c r="P1188" s="168" t="s">
        <v>3112</v>
      </c>
      <c r="Q1188" s="173"/>
      <c r="R1188" s="167">
        <v>1748000.0</v>
      </c>
      <c r="S1188" s="173"/>
      <c r="T1188" s="173"/>
      <c r="U1188" s="173"/>
      <c r="V1188" s="168" t="s">
        <v>3883</v>
      </c>
      <c r="W1188" s="169"/>
      <c r="X1188" s="169" t="s">
        <v>6239</v>
      </c>
    </row>
    <row r="1189" ht="15.0" customHeight="1">
      <c r="A1189" s="127">
        <v>45647.0</v>
      </c>
      <c r="B1189" s="181" t="s">
        <v>6236</v>
      </c>
      <c r="C1189" s="251" t="s">
        <v>2954</v>
      </c>
      <c r="D1189" s="73" t="str">
        <f>IFERROR(VLOOKUP(C1189,Stock,3,FALSE),"")</f>
        <v>Transport</v>
      </c>
      <c r="E1189" s="56">
        <v>1.0</v>
      </c>
      <c r="F1189" s="161">
        <v>150000.0</v>
      </c>
      <c r="G1189" s="162">
        <f t="shared" si="32"/>
        <v>150000</v>
      </c>
      <c r="H1189" s="201">
        <v>50000.0</v>
      </c>
      <c r="I1189" s="161">
        <f t="shared" si="29"/>
        <v>100000</v>
      </c>
      <c r="J1189" s="164">
        <f t="shared" si="30"/>
        <v>100000</v>
      </c>
      <c r="K1189" s="56" t="s">
        <v>6237</v>
      </c>
      <c r="L1189" s="165" t="s">
        <v>6238</v>
      </c>
      <c r="M1189" s="73"/>
      <c r="N1189" s="171"/>
      <c r="O1189" s="169" t="s">
        <v>2958</v>
      </c>
      <c r="P1189" s="168" t="s">
        <v>3112</v>
      </c>
      <c r="Q1189" s="167"/>
      <c r="R1189" s="167">
        <v>100000.0</v>
      </c>
      <c r="S1189" s="173"/>
      <c r="T1189" s="173"/>
      <c r="U1189" s="173"/>
      <c r="V1189" s="168" t="s">
        <v>3883</v>
      </c>
      <c r="W1189" s="169"/>
      <c r="X1189" s="169" t="s">
        <v>6239</v>
      </c>
    </row>
    <row r="1190" ht="15.0" customHeight="1">
      <c r="A1190" s="127">
        <v>45647.0</v>
      </c>
      <c r="B1190" s="181" t="s">
        <v>6240</v>
      </c>
      <c r="C1190" s="56" t="s">
        <v>3099</v>
      </c>
      <c r="D1190" s="73" t="str">
        <f>IFERROR(VLOOKUP(C1190,Stock,3,FALSE),"")</f>
        <v>Toyota Calya / Sigra 16-</v>
      </c>
      <c r="E1190" s="56">
        <v>1.0</v>
      </c>
      <c r="F1190" s="161">
        <v>1150000.0</v>
      </c>
      <c r="G1190" s="162">
        <f t="shared" si="32"/>
        <v>1150000</v>
      </c>
      <c r="H1190" s="194"/>
      <c r="I1190" s="161">
        <f t="shared" si="29"/>
        <v>1150000</v>
      </c>
      <c r="J1190" s="164">
        <f t="shared" si="30"/>
        <v>1150000</v>
      </c>
      <c r="K1190" s="284" t="s">
        <v>6241</v>
      </c>
      <c r="L1190" s="181">
        <v>8.1217014141E10</v>
      </c>
      <c r="M1190" s="73"/>
      <c r="N1190" s="171"/>
      <c r="O1190" s="169" t="s">
        <v>2958</v>
      </c>
      <c r="P1190" s="168" t="s">
        <v>3645</v>
      </c>
      <c r="Q1190" s="173"/>
      <c r="R1190" s="167">
        <v>1150000.0</v>
      </c>
      <c r="S1190" s="173"/>
      <c r="T1190" s="173"/>
      <c r="U1190" s="173"/>
      <c r="V1190" s="168" t="s">
        <v>3883</v>
      </c>
      <c r="W1190" s="169"/>
      <c r="X1190" s="219">
        <v>45748.0</v>
      </c>
    </row>
    <row r="1191" ht="15.0" customHeight="1">
      <c r="A1191" s="127">
        <v>45647.0</v>
      </c>
      <c r="B1191" s="181" t="s">
        <v>6242</v>
      </c>
      <c r="C1191" s="56" t="s">
        <v>4027</v>
      </c>
      <c r="D1191" s="73" t="str">
        <f>IFERROR(VLOOKUP(C1191,Stock,3,FALSE),"")</f>
        <v>501 Sealant Application</v>
      </c>
      <c r="E1191" s="56">
        <v>1.0</v>
      </c>
      <c r="F1191" s="161">
        <v>200000.0</v>
      </c>
      <c r="G1191" s="162">
        <f t="shared" si="32"/>
        <v>200000</v>
      </c>
      <c r="H1191" s="194"/>
      <c r="I1191" s="161">
        <f t="shared" si="29"/>
        <v>200000</v>
      </c>
      <c r="J1191" s="164">
        <f t="shared" si="30"/>
        <v>200000</v>
      </c>
      <c r="K1191" s="56" t="s">
        <v>6243</v>
      </c>
      <c r="L1191" s="165" t="s">
        <v>6112</v>
      </c>
      <c r="M1191" s="73"/>
      <c r="N1191" s="171"/>
      <c r="O1191" s="169" t="s">
        <v>2958</v>
      </c>
      <c r="P1191" s="168" t="s">
        <v>3645</v>
      </c>
      <c r="Q1191" s="167">
        <v>200000.0</v>
      </c>
      <c r="R1191" s="173"/>
      <c r="S1191" s="173"/>
      <c r="T1191" s="173"/>
      <c r="U1191" s="173"/>
      <c r="V1191" s="168" t="s">
        <v>3883</v>
      </c>
      <c r="W1191" s="169"/>
      <c r="X1191" s="219">
        <v>45748.0</v>
      </c>
    </row>
    <row r="1192" ht="15.0" customHeight="1">
      <c r="A1192" s="127">
        <v>45648.0</v>
      </c>
      <c r="B1192" s="181" t="s">
        <v>6244</v>
      </c>
      <c r="C1192" s="56" t="s">
        <v>6245</v>
      </c>
      <c r="D1192" s="73" t="str">
        <f>IFERROR(VLOOKUP(C1192,Stock,3,FALSE),"")</f>
        <v>Toyota Altis 06-13 E140 10th Gen</v>
      </c>
      <c r="E1192" s="56">
        <v>1.0</v>
      </c>
      <c r="F1192" s="161">
        <v>3135000.0</v>
      </c>
      <c r="G1192" s="162">
        <f t="shared" si="32"/>
        <v>3135000</v>
      </c>
      <c r="H1192" s="194"/>
      <c r="I1192" s="161">
        <f t="shared" si="29"/>
        <v>3135000</v>
      </c>
      <c r="J1192" s="164">
        <f t="shared" si="30"/>
        <v>3135000</v>
      </c>
      <c r="K1192" s="56" t="s">
        <v>6246</v>
      </c>
      <c r="L1192" s="165" t="s">
        <v>6247</v>
      </c>
      <c r="M1192" s="73"/>
      <c r="N1192" s="171"/>
      <c r="O1192" s="169" t="s">
        <v>2958</v>
      </c>
      <c r="P1192" s="168" t="s">
        <v>3112</v>
      </c>
      <c r="Q1192" s="173"/>
      <c r="R1192" s="167">
        <v>3135000.0</v>
      </c>
      <c r="S1192" s="173"/>
      <c r="T1192" s="173"/>
      <c r="U1192" s="173"/>
      <c r="V1192" s="168" t="s">
        <v>3883</v>
      </c>
      <c r="W1192" s="169"/>
      <c r="X1192" s="169" t="s">
        <v>6248</v>
      </c>
    </row>
    <row r="1193" ht="15.0" customHeight="1">
      <c r="A1193" s="127">
        <v>45648.0</v>
      </c>
      <c r="B1193" s="181" t="s">
        <v>6244</v>
      </c>
      <c r="C1193" s="251" t="s">
        <v>2934</v>
      </c>
      <c r="D1193" s="73" t="str">
        <f>IFERROR(VLOOKUP(C1193,Stock,3,FALSE),"")</f>
        <v>Peti Kayu</v>
      </c>
      <c r="E1193" s="56">
        <v>1.0</v>
      </c>
      <c r="F1193" s="161">
        <v>200000.0</v>
      </c>
      <c r="G1193" s="162">
        <f t="shared" si="32"/>
        <v>200000</v>
      </c>
      <c r="H1193" s="194"/>
      <c r="I1193" s="161">
        <f t="shared" si="29"/>
        <v>200000</v>
      </c>
      <c r="J1193" s="164">
        <f t="shared" si="30"/>
        <v>200000</v>
      </c>
      <c r="K1193" s="56" t="s">
        <v>6246</v>
      </c>
      <c r="L1193" s="165" t="s">
        <v>6247</v>
      </c>
      <c r="M1193" s="73"/>
      <c r="N1193" s="171"/>
      <c r="O1193" s="169" t="s">
        <v>2958</v>
      </c>
      <c r="P1193" s="168" t="s">
        <v>3112</v>
      </c>
      <c r="Q1193" s="173"/>
      <c r="R1193" s="167">
        <v>200000.0</v>
      </c>
      <c r="S1193" s="173"/>
      <c r="T1193" s="173"/>
      <c r="U1193" s="173"/>
      <c r="V1193" s="168" t="s">
        <v>3883</v>
      </c>
      <c r="W1193" s="169"/>
      <c r="X1193" s="169" t="s">
        <v>6248</v>
      </c>
    </row>
    <row r="1194" ht="15.0" customHeight="1">
      <c r="A1194" s="127">
        <v>45648.0</v>
      </c>
      <c r="B1194" s="181" t="s">
        <v>6249</v>
      </c>
      <c r="C1194" s="56" t="s">
        <v>2549</v>
      </c>
      <c r="D1194" s="73" t="str">
        <f>IFERROR(VLOOKUP(C1194,Stock,3,FALSE),"")</f>
        <v>Toyota Avanza / Xenia 11-15 2nd Gen</v>
      </c>
      <c r="E1194" s="56">
        <v>1.0</v>
      </c>
      <c r="F1194" s="161">
        <v>1100000.0</v>
      </c>
      <c r="G1194" s="162">
        <f t="shared" si="32"/>
        <v>1100000</v>
      </c>
      <c r="H1194" s="194"/>
      <c r="I1194" s="161">
        <f t="shared" si="29"/>
        <v>1100000</v>
      </c>
      <c r="J1194" s="164">
        <f t="shared" si="30"/>
        <v>1100000</v>
      </c>
      <c r="K1194" s="56" t="s">
        <v>6250</v>
      </c>
      <c r="L1194" s="165" t="s">
        <v>6251</v>
      </c>
      <c r="M1194" s="73"/>
      <c r="N1194" s="169" t="s">
        <v>6252</v>
      </c>
      <c r="O1194" s="169" t="s">
        <v>2958</v>
      </c>
      <c r="P1194" s="168" t="s">
        <v>3112</v>
      </c>
      <c r="Q1194" s="173"/>
      <c r="R1194" s="167">
        <v>1100000.0</v>
      </c>
      <c r="S1194" s="173"/>
      <c r="T1194" s="173"/>
      <c r="U1194" s="173"/>
      <c r="V1194" s="168" t="s">
        <v>3883</v>
      </c>
      <c r="W1194" s="169"/>
      <c r="X1194" s="169" t="s">
        <v>6253</v>
      </c>
    </row>
    <row r="1195" ht="15.0" customHeight="1">
      <c r="A1195" s="127">
        <v>45648.0</v>
      </c>
      <c r="B1195" s="181" t="s">
        <v>6254</v>
      </c>
      <c r="C1195" s="56" t="s">
        <v>3360</v>
      </c>
      <c r="D1195" s="73" t="str">
        <f>IFERROR(VLOOKUP(C1195,Stock,3,FALSE),"")</f>
        <v>Mitsubishi Xpander 17-</v>
      </c>
      <c r="E1195" s="56">
        <v>1.0</v>
      </c>
      <c r="F1195" s="161">
        <v>1800000.0</v>
      </c>
      <c r="G1195" s="162">
        <f t="shared" si="32"/>
        <v>1800000</v>
      </c>
      <c r="H1195" s="194"/>
      <c r="I1195" s="161">
        <f t="shared" si="29"/>
        <v>1800000</v>
      </c>
      <c r="J1195" s="164">
        <f t="shared" si="30"/>
        <v>1800000</v>
      </c>
      <c r="K1195" s="56" t="s">
        <v>6255</v>
      </c>
      <c r="L1195" s="165" t="s">
        <v>6256</v>
      </c>
      <c r="M1195" s="73"/>
      <c r="N1195" s="171"/>
      <c r="O1195" s="169" t="s">
        <v>2958</v>
      </c>
      <c r="P1195" s="168" t="s">
        <v>3112</v>
      </c>
      <c r="Q1195" s="173"/>
      <c r="R1195" s="167">
        <v>1800000.0</v>
      </c>
      <c r="S1195" s="173"/>
      <c r="T1195" s="173"/>
      <c r="U1195" s="173"/>
      <c r="V1195" s="168" t="s">
        <v>3883</v>
      </c>
      <c r="W1195" s="169"/>
      <c r="X1195" s="169" t="s">
        <v>6257</v>
      </c>
    </row>
    <row r="1196" ht="15.0" customHeight="1">
      <c r="A1196" s="127">
        <v>45649.0</v>
      </c>
      <c r="B1196" s="181" t="s">
        <v>6258</v>
      </c>
      <c r="C1196" s="56" t="s">
        <v>3045</v>
      </c>
      <c r="D1196" s="73" t="str">
        <f>IFERROR(VLOOKUP(C1196,Stock,3,FALSE),"")</f>
        <v>Pemasangan Kaca Mobil Depan</v>
      </c>
      <c r="E1196" s="56">
        <v>2.0</v>
      </c>
      <c r="F1196" s="161">
        <v>475000.0</v>
      </c>
      <c r="G1196" s="162">
        <f t="shared" si="32"/>
        <v>950000</v>
      </c>
      <c r="H1196" s="201">
        <v>100000.0</v>
      </c>
      <c r="I1196" s="161">
        <f t="shared" si="29"/>
        <v>850000</v>
      </c>
      <c r="J1196" s="164">
        <f t="shared" si="30"/>
        <v>850000</v>
      </c>
      <c r="K1196" s="228" t="s">
        <v>5752</v>
      </c>
      <c r="L1196" s="165" t="s">
        <v>6208</v>
      </c>
      <c r="M1196" s="73"/>
      <c r="N1196" s="171"/>
      <c r="O1196" s="331" t="s">
        <v>3037</v>
      </c>
      <c r="P1196" s="168" t="s">
        <v>3112</v>
      </c>
      <c r="Q1196" s="173"/>
      <c r="R1196" s="167">
        <v>850000.0</v>
      </c>
      <c r="S1196" s="173"/>
      <c r="T1196" s="173"/>
      <c r="U1196" s="173"/>
      <c r="V1196" s="168" t="s">
        <v>3799</v>
      </c>
      <c r="W1196" s="169"/>
      <c r="X1196" s="169" t="s">
        <v>6210</v>
      </c>
    </row>
    <row r="1197" ht="15.0" customHeight="1">
      <c r="A1197" s="127">
        <v>45649.0</v>
      </c>
      <c r="B1197" s="181" t="s">
        <v>6258</v>
      </c>
      <c r="C1197" s="56" t="s">
        <v>3273</v>
      </c>
      <c r="D1197" s="73" t="str">
        <f>IFERROR(VLOOKUP(C1197,Stock,3,FALSE),"")</f>
        <v>Pemasangan Kaca Mobil Belakang</v>
      </c>
      <c r="E1197" s="56">
        <v>1.0</v>
      </c>
      <c r="F1197" s="161">
        <v>250000.0</v>
      </c>
      <c r="G1197" s="162">
        <f t="shared" si="32"/>
        <v>250000</v>
      </c>
      <c r="H1197" s="201">
        <v>100000.0</v>
      </c>
      <c r="I1197" s="161">
        <f t="shared" si="29"/>
        <v>150000</v>
      </c>
      <c r="J1197" s="164">
        <f t="shared" si="30"/>
        <v>150000</v>
      </c>
      <c r="K1197" s="228" t="s">
        <v>5752</v>
      </c>
      <c r="L1197" s="165" t="s">
        <v>6208</v>
      </c>
      <c r="M1197" s="73"/>
      <c r="N1197" s="171"/>
      <c r="O1197" s="331" t="s">
        <v>3037</v>
      </c>
      <c r="P1197" s="168" t="s">
        <v>3112</v>
      </c>
      <c r="Q1197" s="173"/>
      <c r="R1197" s="167">
        <v>150000.0</v>
      </c>
      <c r="S1197" s="173"/>
      <c r="T1197" s="173"/>
      <c r="U1197" s="173"/>
      <c r="V1197" s="168" t="s">
        <v>3799</v>
      </c>
      <c r="W1197" s="169"/>
      <c r="X1197" s="169" t="s">
        <v>6210</v>
      </c>
    </row>
    <row r="1198" ht="15.0" customHeight="1">
      <c r="A1198" s="127">
        <v>45649.0</v>
      </c>
      <c r="B1198" s="181" t="s">
        <v>6258</v>
      </c>
      <c r="C1198" s="169" t="s">
        <v>2954</v>
      </c>
      <c r="D1198" s="73" t="str">
        <f>IFERROR(VLOOKUP(C1198,Stock,3,FALSE),"")</f>
        <v>Transport</v>
      </c>
      <c r="E1198" s="56">
        <v>1.0</v>
      </c>
      <c r="F1198" s="161">
        <v>100000.0</v>
      </c>
      <c r="G1198" s="162">
        <f t="shared" si="32"/>
        <v>100000</v>
      </c>
      <c r="H1198" s="201">
        <v>100000.0</v>
      </c>
      <c r="I1198" s="161">
        <f t="shared" si="29"/>
        <v>0</v>
      </c>
      <c r="J1198" s="164">
        <f t="shared" si="30"/>
        <v>0</v>
      </c>
      <c r="K1198" s="228" t="s">
        <v>5752</v>
      </c>
      <c r="L1198" s="165" t="s">
        <v>6208</v>
      </c>
      <c r="M1198" s="73"/>
      <c r="N1198" s="171"/>
      <c r="O1198" s="331" t="s">
        <v>3037</v>
      </c>
      <c r="P1198" s="168" t="s">
        <v>3112</v>
      </c>
      <c r="Q1198" s="173"/>
      <c r="R1198" s="173"/>
      <c r="S1198" s="173"/>
      <c r="T1198" s="173"/>
      <c r="U1198" s="173"/>
      <c r="V1198" s="168" t="s">
        <v>3799</v>
      </c>
      <c r="W1198" s="169"/>
      <c r="X1198" s="169" t="s">
        <v>6210</v>
      </c>
    </row>
    <row r="1199" ht="15.0" customHeight="1">
      <c r="A1199" s="127">
        <v>45649.0</v>
      </c>
      <c r="B1199" s="181" t="s">
        <v>6259</v>
      </c>
      <c r="C1199" s="56" t="s">
        <v>3099</v>
      </c>
      <c r="D1199" s="73" t="str">
        <f>IFERROR(VLOOKUP(C1199,Stock,3,FALSE),"")</f>
        <v>Toyota Calya / Sigra 16-</v>
      </c>
      <c r="E1199" s="56">
        <v>1.0</v>
      </c>
      <c r="F1199" s="161">
        <v>1200000.0</v>
      </c>
      <c r="G1199" s="162">
        <f t="shared" si="32"/>
        <v>1200000</v>
      </c>
      <c r="H1199" s="194"/>
      <c r="I1199" s="161">
        <f t="shared" si="29"/>
        <v>1200000</v>
      </c>
      <c r="J1199" s="164">
        <f t="shared" si="30"/>
        <v>1200000</v>
      </c>
      <c r="K1199" s="56" t="s">
        <v>6260</v>
      </c>
      <c r="L1199" s="165" t="s">
        <v>6261</v>
      </c>
      <c r="M1199" s="73"/>
      <c r="N1199" s="169" t="s">
        <v>6262</v>
      </c>
      <c r="O1199" s="331" t="s">
        <v>2958</v>
      </c>
      <c r="P1199" s="168" t="s">
        <v>3112</v>
      </c>
      <c r="Q1199" s="167">
        <v>1200000.0</v>
      </c>
      <c r="R1199" s="173"/>
      <c r="S1199" s="173"/>
      <c r="T1199" s="173"/>
      <c r="U1199" s="173"/>
      <c r="V1199" s="168" t="s">
        <v>3883</v>
      </c>
      <c r="W1199" s="169"/>
      <c r="X1199" s="219">
        <v>45748.0</v>
      </c>
    </row>
    <row r="1200" ht="15.0" customHeight="1">
      <c r="A1200" s="127">
        <v>45649.0</v>
      </c>
      <c r="B1200" s="181" t="s">
        <v>6263</v>
      </c>
      <c r="C1200" s="56" t="s">
        <v>6264</v>
      </c>
      <c r="D1200" s="73" t="str">
        <f>IFERROR(VLOOKUP(C1200,Stock,3,FALSE),"")</f>
        <v>Toyota Vios 02-07 XP40 1st Gen</v>
      </c>
      <c r="E1200" s="56">
        <v>1.0</v>
      </c>
      <c r="F1200" s="161">
        <v>1556000.0</v>
      </c>
      <c r="G1200" s="162">
        <f t="shared" si="32"/>
        <v>1556000</v>
      </c>
      <c r="H1200" s="201"/>
      <c r="I1200" s="161">
        <f t="shared" si="29"/>
        <v>1556000</v>
      </c>
      <c r="J1200" s="164">
        <f t="shared" si="30"/>
        <v>1556000</v>
      </c>
      <c r="K1200" s="56" t="s">
        <v>6265</v>
      </c>
      <c r="L1200" s="165" t="s">
        <v>6266</v>
      </c>
      <c r="M1200" s="73"/>
      <c r="N1200" s="171"/>
      <c r="O1200" s="331" t="s">
        <v>2958</v>
      </c>
      <c r="P1200" s="168" t="s">
        <v>3112</v>
      </c>
      <c r="Q1200" s="167">
        <v>1556000.0</v>
      </c>
      <c r="R1200" s="173"/>
      <c r="S1200" s="173"/>
      <c r="T1200" s="173"/>
      <c r="U1200" s="173"/>
      <c r="V1200" s="168" t="s">
        <v>3883</v>
      </c>
      <c r="W1200" s="169"/>
      <c r="X1200" s="219">
        <v>45748.0</v>
      </c>
    </row>
    <row r="1201" ht="15.0" customHeight="1">
      <c r="A1201" s="127">
        <v>45649.0</v>
      </c>
      <c r="B1201" s="181" t="s">
        <v>6267</v>
      </c>
      <c r="C1201" s="56" t="s">
        <v>2730</v>
      </c>
      <c r="D1201" s="73" t="str">
        <f>IFERROR(VLOOKUP(C1201,Stock,3,FALSE),"")</f>
        <v>Honda HR-V 14-21 5D SUV (Honda)</v>
      </c>
      <c r="E1201" s="56">
        <v>1.0</v>
      </c>
      <c r="F1201" s="161">
        <v>3156000.0</v>
      </c>
      <c r="G1201" s="162">
        <f t="shared" si="32"/>
        <v>3156000</v>
      </c>
      <c r="H1201" s="201">
        <v>100000.0</v>
      </c>
      <c r="I1201" s="161">
        <f t="shared" si="29"/>
        <v>3056000</v>
      </c>
      <c r="J1201" s="164">
        <f t="shared" si="30"/>
        <v>3056000</v>
      </c>
      <c r="K1201" s="56" t="s">
        <v>6268</v>
      </c>
      <c r="L1201" s="165" t="s">
        <v>6269</v>
      </c>
      <c r="M1201" s="73"/>
      <c r="N1201" s="171"/>
      <c r="O1201" s="331" t="s">
        <v>2958</v>
      </c>
      <c r="P1201" s="168" t="s">
        <v>3112</v>
      </c>
      <c r="Q1201" s="173"/>
      <c r="R1201" s="167">
        <v>3056000.0</v>
      </c>
      <c r="S1201" s="173"/>
      <c r="T1201" s="173"/>
      <c r="U1201" s="173"/>
      <c r="V1201" s="168" t="s">
        <v>3883</v>
      </c>
      <c r="W1201" s="169"/>
      <c r="X1201" s="169" t="s">
        <v>6270</v>
      </c>
    </row>
    <row r="1202" ht="15.0" customHeight="1">
      <c r="A1202" s="127">
        <v>45649.0</v>
      </c>
      <c r="B1202" s="181" t="s">
        <v>6271</v>
      </c>
      <c r="C1202" s="56" t="s">
        <v>3871</v>
      </c>
      <c r="D1202" s="73" t="str">
        <f>IFERROR(VLOOKUP(C1202,Stock,3,FALSE),"")</f>
        <v>Suzuki Swift 04-11 1st Gen</v>
      </c>
      <c r="E1202" s="56">
        <v>1.0</v>
      </c>
      <c r="F1202" s="161">
        <v>1694000.0</v>
      </c>
      <c r="G1202" s="162">
        <f t="shared" si="32"/>
        <v>1694000</v>
      </c>
      <c r="H1202" s="194"/>
      <c r="I1202" s="161">
        <f t="shared" si="29"/>
        <v>1694000</v>
      </c>
      <c r="J1202" s="164">
        <f t="shared" si="30"/>
        <v>1694000</v>
      </c>
      <c r="K1202" s="56" t="s">
        <v>6272</v>
      </c>
      <c r="L1202" s="165" t="s">
        <v>6273</v>
      </c>
      <c r="M1202" s="73"/>
      <c r="N1202" s="169" t="s">
        <v>6274</v>
      </c>
      <c r="O1202" s="169" t="s">
        <v>3213</v>
      </c>
      <c r="P1202" s="168" t="s">
        <v>3112</v>
      </c>
      <c r="Q1202" s="167">
        <v>1694000.0</v>
      </c>
      <c r="R1202" s="173"/>
      <c r="S1202" s="173"/>
      <c r="T1202" s="173"/>
      <c r="U1202" s="173"/>
      <c r="V1202" s="168" t="s">
        <v>3883</v>
      </c>
      <c r="W1202" s="169"/>
      <c r="X1202" s="219">
        <v>45748.0</v>
      </c>
    </row>
    <row r="1203" ht="15.0" customHeight="1">
      <c r="A1203" s="252">
        <v>45649.0</v>
      </c>
      <c r="B1203" s="253" t="s">
        <v>6271</v>
      </c>
      <c r="C1203" s="256" t="s">
        <v>3513</v>
      </c>
      <c r="D1203" s="255" t="str">
        <f>IFERROR(VLOOKUP(C1203,Stock,3,FALSE),"")</f>
        <v>Lembur</v>
      </c>
      <c r="E1203" s="256">
        <v>1.0</v>
      </c>
      <c r="F1203" s="257">
        <v>100000.0</v>
      </c>
      <c r="G1203" s="258">
        <f t="shared" si="32"/>
        <v>100000</v>
      </c>
      <c r="H1203" s="259"/>
      <c r="I1203" s="257">
        <f t="shared" si="29"/>
        <v>100000</v>
      </c>
      <c r="J1203" s="260">
        <f t="shared" si="30"/>
        <v>100000</v>
      </c>
      <c r="K1203" s="256" t="s">
        <v>6272</v>
      </c>
      <c r="L1203" s="261" t="s">
        <v>6273</v>
      </c>
      <c r="M1203" s="255"/>
      <c r="N1203" s="262" t="s">
        <v>6274</v>
      </c>
      <c r="O1203" s="262" t="s">
        <v>3213</v>
      </c>
      <c r="P1203" s="263" t="s">
        <v>3112</v>
      </c>
      <c r="Q1203" s="265">
        <v>100000.0</v>
      </c>
      <c r="R1203" s="264"/>
      <c r="S1203" s="264"/>
      <c r="T1203" s="264"/>
      <c r="U1203" s="264"/>
      <c r="V1203" s="263" t="s">
        <v>3883</v>
      </c>
      <c r="W1203" s="262"/>
      <c r="X1203" s="266">
        <v>45748.0</v>
      </c>
    </row>
    <row r="1204" ht="15.0" customHeight="1">
      <c r="A1204" s="127">
        <v>45650.0</v>
      </c>
      <c r="B1204" s="181" t="s">
        <v>6275</v>
      </c>
      <c r="C1204" s="56" t="s">
        <v>2677</v>
      </c>
      <c r="D1204" s="73" t="str">
        <f>IFERROR(VLOOKUP(C1204,Stock,3,FALSE),"")</f>
        <v>Suzuki Grand Escudo 00-05</v>
      </c>
      <c r="E1204" s="56">
        <v>1.0</v>
      </c>
      <c r="F1204" s="161">
        <v>1830000.0</v>
      </c>
      <c r="G1204" s="162">
        <f t="shared" si="32"/>
        <v>1830000</v>
      </c>
      <c r="H1204" s="194"/>
      <c r="I1204" s="161">
        <f t="shared" si="29"/>
        <v>1830000</v>
      </c>
      <c r="J1204" s="164">
        <f t="shared" si="30"/>
        <v>1830000</v>
      </c>
      <c r="K1204" s="56" t="s">
        <v>6276</v>
      </c>
      <c r="L1204" s="165" t="s">
        <v>6277</v>
      </c>
      <c r="M1204" s="73"/>
      <c r="N1204" s="171"/>
      <c r="O1204" s="169" t="s">
        <v>3204</v>
      </c>
      <c r="P1204" s="168" t="s">
        <v>3112</v>
      </c>
      <c r="Q1204" s="173"/>
      <c r="R1204" s="167">
        <v>1830000.0</v>
      </c>
      <c r="S1204" s="173"/>
      <c r="T1204" s="173"/>
      <c r="U1204" s="173"/>
      <c r="V1204" s="168" t="s">
        <v>3883</v>
      </c>
      <c r="W1204" s="169"/>
      <c r="X1204" s="169" t="s">
        <v>6278</v>
      </c>
    </row>
    <row r="1205" ht="15.0" customHeight="1">
      <c r="A1205" s="127">
        <v>45650.0</v>
      </c>
      <c r="B1205" s="181" t="s">
        <v>6275</v>
      </c>
      <c r="C1205" s="56" t="s">
        <v>6279</v>
      </c>
      <c r="D1205" s="73" t="str">
        <f>IFERROR(VLOOKUP(C1205,Stock,3,FALSE),"")</f>
        <v>Suzuki Grand Escudo 00-05</v>
      </c>
      <c r="E1205" s="56">
        <v>1.0</v>
      </c>
      <c r="F1205" s="161">
        <v>1873000.0</v>
      </c>
      <c r="G1205" s="162">
        <f t="shared" si="32"/>
        <v>1873000</v>
      </c>
      <c r="H1205" s="194"/>
      <c r="I1205" s="161">
        <f t="shared" si="29"/>
        <v>1873000</v>
      </c>
      <c r="J1205" s="164">
        <f t="shared" si="30"/>
        <v>1873000</v>
      </c>
      <c r="K1205" s="56" t="s">
        <v>6276</v>
      </c>
      <c r="L1205" s="165" t="s">
        <v>6277</v>
      </c>
      <c r="M1205" s="73"/>
      <c r="N1205" s="171"/>
      <c r="O1205" s="169" t="s">
        <v>3204</v>
      </c>
      <c r="P1205" s="168" t="s">
        <v>3112</v>
      </c>
      <c r="Q1205" s="173"/>
      <c r="R1205" s="167">
        <v>1873000.0</v>
      </c>
      <c r="S1205" s="173"/>
      <c r="T1205" s="173"/>
      <c r="U1205" s="173"/>
      <c r="V1205" s="168" t="s">
        <v>3883</v>
      </c>
      <c r="W1205" s="169"/>
      <c r="X1205" s="169" t="s">
        <v>6278</v>
      </c>
    </row>
    <row r="1206" ht="15.0" customHeight="1">
      <c r="A1206" s="127">
        <v>45650.0</v>
      </c>
      <c r="B1206" s="181" t="s">
        <v>6275</v>
      </c>
      <c r="C1206" s="169" t="s">
        <v>2954</v>
      </c>
      <c r="D1206" s="73" t="str">
        <f>IFERROR(VLOOKUP(C1206,Stock,3,FALSE),"")</f>
        <v>Transport</v>
      </c>
      <c r="E1206" s="56">
        <v>1.0</v>
      </c>
      <c r="F1206" s="161">
        <v>100000.0</v>
      </c>
      <c r="G1206" s="162">
        <f t="shared" si="32"/>
        <v>100000</v>
      </c>
      <c r="H1206" s="194"/>
      <c r="I1206" s="161">
        <f t="shared" si="29"/>
        <v>100000</v>
      </c>
      <c r="J1206" s="164">
        <f t="shared" si="30"/>
        <v>100000</v>
      </c>
      <c r="K1206" s="56" t="s">
        <v>6276</v>
      </c>
      <c r="L1206" s="165" t="s">
        <v>6277</v>
      </c>
      <c r="M1206" s="73"/>
      <c r="N1206" s="171"/>
      <c r="O1206" s="169" t="s">
        <v>3204</v>
      </c>
      <c r="P1206" s="168" t="s">
        <v>3112</v>
      </c>
      <c r="Q1206" s="173"/>
      <c r="R1206" s="167">
        <v>100000.0</v>
      </c>
      <c r="S1206" s="173"/>
      <c r="T1206" s="173"/>
      <c r="U1206" s="173"/>
      <c r="V1206" s="168" t="s">
        <v>3883</v>
      </c>
      <c r="W1206" s="169"/>
      <c r="X1206" s="169" t="s">
        <v>6278</v>
      </c>
    </row>
    <row r="1207" ht="15.0" customHeight="1">
      <c r="A1207" s="127">
        <v>45650.0</v>
      </c>
      <c r="B1207" s="181" t="s">
        <v>6280</v>
      </c>
      <c r="C1207" s="56" t="s">
        <v>3273</v>
      </c>
      <c r="D1207" s="73" t="str">
        <f>IFERROR(VLOOKUP(C1207,Stock,3,FALSE),"")</f>
        <v>Pemasangan Kaca Mobil Belakang</v>
      </c>
      <c r="E1207" s="56">
        <v>1.0</v>
      </c>
      <c r="F1207" s="161">
        <v>450000.0</v>
      </c>
      <c r="G1207" s="162">
        <f t="shared" si="32"/>
        <v>450000</v>
      </c>
      <c r="H1207" s="194"/>
      <c r="I1207" s="161">
        <f t="shared" si="29"/>
        <v>450000</v>
      </c>
      <c r="J1207" s="164">
        <f t="shared" si="30"/>
        <v>450000</v>
      </c>
      <c r="K1207" s="56" t="s">
        <v>6281</v>
      </c>
      <c r="L1207" s="165" t="s">
        <v>6282</v>
      </c>
      <c r="M1207" s="73"/>
      <c r="N1207" s="171"/>
      <c r="O1207" s="169" t="s">
        <v>2958</v>
      </c>
      <c r="P1207" s="168" t="s">
        <v>3112</v>
      </c>
      <c r="Q1207" s="167">
        <v>500000.0</v>
      </c>
      <c r="R1207" s="173"/>
      <c r="S1207" s="173"/>
      <c r="T1207" s="173"/>
      <c r="U1207" s="167">
        <v>50000.0</v>
      </c>
      <c r="V1207" s="168" t="s">
        <v>3883</v>
      </c>
      <c r="W1207" s="169"/>
      <c r="X1207" s="219">
        <v>45748.0</v>
      </c>
    </row>
    <row r="1208" ht="15.0" customHeight="1">
      <c r="A1208" s="127">
        <v>45650.0</v>
      </c>
      <c r="B1208" s="181" t="s">
        <v>6283</v>
      </c>
      <c r="C1208" s="251" t="s">
        <v>4340</v>
      </c>
      <c r="D1208" s="73" t="str">
        <f>IFERROR(VLOOKUP(C1208,Stock,3,FALSE),"")</f>
        <v/>
      </c>
      <c r="E1208" s="56"/>
      <c r="F1208" s="161"/>
      <c r="G1208" s="162">
        <f t="shared" si="32"/>
        <v>0</v>
      </c>
      <c r="H1208" s="194"/>
      <c r="I1208" s="161">
        <f t="shared" si="29"/>
        <v>0</v>
      </c>
      <c r="J1208" s="164">
        <f t="shared" si="30"/>
        <v>0</v>
      </c>
      <c r="K1208" s="56"/>
      <c r="L1208" s="56"/>
      <c r="M1208" s="73"/>
      <c r="N1208" s="171"/>
      <c r="O1208" s="169"/>
      <c r="P1208" s="168"/>
      <c r="Q1208" s="173"/>
      <c r="R1208" s="173"/>
      <c r="S1208" s="167">
        <v>3270000.0</v>
      </c>
      <c r="T1208" s="173"/>
      <c r="U1208" s="173"/>
      <c r="V1208" s="168" t="s">
        <v>3883</v>
      </c>
      <c r="W1208" s="169"/>
      <c r="X1208" s="171"/>
    </row>
    <row r="1209" ht="15.0" customHeight="1">
      <c r="A1209" s="127">
        <v>45650.0</v>
      </c>
      <c r="B1209" s="181" t="s">
        <v>6283</v>
      </c>
      <c r="C1209" s="251" t="s">
        <v>2934</v>
      </c>
      <c r="D1209" s="73" t="str">
        <f>IFERROR(VLOOKUP(C1209,Stock,3,FALSE),"")</f>
        <v>Peti Kayu</v>
      </c>
      <c r="E1209" s="56">
        <v>1.0</v>
      </c>
      <c r="F1209" s="161">
        <v>200000.0</v>
      </c>
      <c r="G1209" s="162">
        <f t="shared" si="32"/>
        <v>200000</v>
      </c>
      <c r="H1209" s="194"/>
      <c r="I1209" s="161">
        <f t="shared" si="29"/>
        <v>200000</v>
      </c>
      <c r="J1209" s="164">
        <f t="shared" si="30"/>
        <v>200000</v>
      </c>
      <c r="K1209" s="56" t="s">
        <v>6284</v>
      </c>
      <c r="L1209" s="165" t="s">
        <v>6285</v>
      </c>
      <c r="M1209" s="73"/>
      <c r="N1209" s="171"/>
      <c r="O1209" s="169" t="s">
        <v>6286</v>
      </c>
      <c r="P1209" s="168" t="s">
        <v>3112</v>
      </c>
      <c r="Q1209" s="173"/>
      <c r="R1209" s="173"/>
      <c r="S1209" s="167">
        <v>200000.0</v>
      </c>
      <c r="T1209" s="173"/>
      <c r="U1209" s="173"/>
      <c r="V1209" s="168" t="s">
        <v>3883</v>
      </c>
      <c r="W1209" s="169"/>
      <c r="X1209" s="169" t="s">
        <v>6287</v>
      </c>
    </row>
    <row r="1210" ht="15.0" customHeight="1">
      <c r="A1210" s="127">
        <v>45650.0</v>
      </c>
      <c r="B1210" s="181" t="s">
        <v>6288</v>
      </c>
      <c r="C1210" s="56" t="s">
        <v>2783</v>
      </c>
      <c r="D1210" s="73" t="str">
        <f>IFERROR(VLOOKUP(C1210,Stock,3,FALSE),"")</f>
        <v>Mers-Benz C-Class 07-14 W204 (1 Sensor/ □)</v>
      </c>
      <c r="E1210" s="56">
        <v>1.0</v>
      </c>
      <c r="F1210" s="161">
        <v>3772000.0</v>
      </c>
      <c r="G1210" s="162">
        <f t="shared" si="32"/>
        <v>3772000</v>
      </c>
      <c r="H1210" s="194"/>
      <c r="I1210" s="161">
        <f t="shared" si="29"/>
        <v>3772000</v>
      </c>
      <c r="J1210" s="164">
        <f t="shared" si="30"/>
        <v>3772000</v>
      </c>
      <c r="K1210" s="56" t="s">
        <v>6289</v>
      </c>
      <c r="L1210" s="165" t="s">
        <v>6135</v>
      </c>
      <c r="M1210" s="73"/>
      <c r="N1210" s="171"/>
      <c r="O1210" s="169" t="s">
        <v>4072</v>
      </c>
      <c r="P1210" s="168" t="s">
        <v>3112</v>
      </c>
      <c r="Q1210" s="173"/>
      <c r="R1210" s="167">
        <v>3772000.0</v>
      </c>
      <c r="S1210" s="173"/>
      <c r="T1210" s="173"/>
      <c r="U1210" s="173"/>
      <c r="V1210" s="168" t="s">
        <v>3883</v>
      </c>
      <c r="W1210" s="169"/>
      <c r="X1210" s="169" t="s">
        <v>6290</v>
      </c>
    </row>
    <row r="1211" ht="15.0" customHeight="1">
      <c r="A1211" s="127">
        <v>45650.0</v>
      </c>
      <c r="B1211" s="181" t="s">
        <v>6291</v>
      </c>
      <c r="C1211" s="327" t="s">
        <v>4340</v>
      </c>
      <c r="D1211" s="73" t="str">
        <f>IFERROR(VLOOKUP(C1211,Stock,3,FALSE),"")</f>
        <v/>
      </c>
      <c r="E1211" s="56"/>
      <c r="F1211" s="161"/>
      <c r="G1211" s="162">
        <f t="shared" si="32"/>
        <v>0</v>
      </c>
      <c r="H1211" s="201"/>
      <c r="I1211" s="161">
        <f t="shared" si="29"/>
        <v>0</v>
      </c>
      <c r="J1211" s="164">
        <f t="shared" si="30"/>
        <v>0</v>
      </c>
      <c r="K1211" s="310"/>
      <c r="L1211" s="56"/>
      <c r="M1211" s="73"/>
      <c r="N1211" s="171"/>
      <c r="O1211" s="169" t="s">
        <v>2958</v>
      </c>
      <c r="P1211" s="168" t="s">
        <v>3112</v>
      </c>
      <c r="Q1211" s="173"/>
      <c r="R1211" s="167"/>
      <c r="S1211" s="173"/>
      <c r="T1211" s="173"/>
      <c r="U1211" s="173"/>
      <c r="V1211" s="202"/>
      <c r="W1211" s="171"/>
      <c r="X1211" s="171"/>
    </row>
    <row r="1212" ht="15.0" customHeight="1">
      <c r="A1212" s="332">
        <v>45650.0</v>
      </c>
      <c r="B1212" s="181" t="s">
        <v>6292</v>
      </c>
      <c r="C1212" s="333" t="s">
        <v>4765</v>
      </c>
      <c r="D1212" s="334" t="str">
        <f>IFERROR(VLOOKUP(C1212,Stock,3,FALSE),"")</f>
        <v>Nissan X-Trail 01-07 T30</v>
      </c>
      <c r="E1212" s="335">
        <v>1.0</v>
      </c>
      <c r="F1212" s="336">
        <v>2136000.0</v>
      </c>
      <c r="G1212" s="336">
        <f t="shared" si="32"/>
        <v>2136000</v>
      </c>
      <c r="H1212" s="336">
        <v>86000.0</v>
      </c>
      <c r="I1212" s="336">
        <f t="shared" si="29"/>
        <v>2050000</v>
      </c>
      <c r="J1212" s="337">
        <f t="shared" si="30"/>
        <v>2050000</v>
      </c>
      <c r="K1212" s="333" t="s">
        <v>6293</v>
      </c>
      <c r="L1212" s="338" t="s">
        <v>6294</v>
      </c>
      <c r="M1212" s="334"/>
      <c r="N1212" s="339"/>
      <c r="O1212" s="333" t="s">
        <v>2958</v>
      </c>
      <c r="P1212" s="340" t="s">
        <v>3112</v>
      </c>
      <c r="Q1212" s="341"/>
      <c r="R1212" s="342">
        <v>2050000.0</v>
      </c>
      <c r="S1212" s="173"/>
      <c r="T1212" s="173"/>
      <c r="U1212" s="173"/>
      <c r="V1212" s="168" t="s">
        <v>3799</v>
      </c>
      <c r="W1212" s="169"/>
      <c r="X1212" s="169" t="s">
        <v>6295</v>
      </c>
    </row>
    <row r="1213" ht="15.0" customHeight="1">
      <c r="A1213" s="332">
        <v>45650.0</v>
      </c>
      <c r="B1213" s="181" t="s">
        <v>6296</v>
      </c>
      <c r="C1213" s="334" t="s">
        <v>3451</v>
      </c>
      <c r="D1213" s="334" t="str">
        <f>IFERROR(VLOOKUP(C1213,Stock,3,FALSE),"")</f>
        <v>Toyota Rush / Terios 18-</v>
      </c>
      <c r="E1213" s="343">
        <v>1.0</v>
      </c>
      <c r="F1213" s="336">
        <v>1300000.0</v>
      </c>
      <c r="G1213" s="336">
        <f t="shared" si="32"/>
        <v>1300000</v>
      </c>
      <c r="H1213" s="344"/>
      <c r="I1213" s="336">
        <f t="shared" si="29"/>
        <v>1300000</v>
      </c>
      <c r="J1213" s="337">
        <f t="shared" si="30"/>
        <v>1300000</v>
      </c>
      <c r="K1213" s="334" t="s">
        <v>6297</v>
      </c>
      <c r="L1213" s="345" t="s">
        <v>6298</v>
      </c>
      <c r="M1213" s="334"/>
      <c r="N1213" s="339"/>
      <c r="O1213" s="339" t="s">
        <v>2958</v>
      </c>
      <c r="P1213" s="340" t="s">
        <v>3112</v>
      </c>
      <c r="Q1213" s="346">
        <v>1300000.0</v>
      </c>
      <c r="R1213" s="341"/>
      <c r="S1213" s="173"/>
      <c r="T1213" s="173"/>
      <c r="U1213" s="173"/>
      <c r="V1213" s="168" t="s">
        <v>3883</v>
      </c>
      <c r="W1213" s="169"/>
      <c r="X1213" s="219">
        <v>45748.0</v>
      </c>
    </row>
    <row r="1214" ht="15.0" customHeight="1">
      <c r="A1214" s="347">
        <v>45652.0</v>
      </c>
      <c r="B1214" s="181" t="s">
        <v>6299</v>
      </c>
      <c r="C1214" s="56" t="s">
        <v>6300</v>
      </c>
      <c r="D1214" s="73" t="str">
        <f>IFERROR(VLOOKUP(C1214,Stock,3,FALSE),"")</f>
        <v>Toyota Rush / Terios 06-17</v>
      </c>
      <c r="E1214" s="56">
        <v>1.0</v>
      </c>
      <c r="F1214" s="161">
        <v>550000.0</v>
      </c>
      <c r="G1214" s="162">
        <f t="shared" si="32"/>
        <v>550000</v>
      </c>
      <c r="H1214" s="194"/>
      <c r="I1214" s="161">
        <f t="shared" si="29"/>
        <v>550000</v>
      </c>
      <c r="J1214" s="164">
        <f t="shared" si="30"/>
        <v>550000</v>
      </c>
      <c r="K1214" s="56" t="s">
        <v>6301</v>
      </c>
      <c r="L1214" s="165" t="s">
        <v>6302</v>
      </c>
      <c r="M1214" s="73"/>
      <c r="N1214" s="171"/>
      <c r="O1214" s="339" t="s">
        <v>2958</v>
      </c>
      <c r="P1214" s="340" t="s">
        <v>3112</v>
      </c>
      <c r="Q1214" s="173"/>
      <c r="R1214" s="167">
        <v>550000.0</v>
      </c>
      <c r="S1214" s="173"/>
      <c r="T1214" s="173"/>
      <c r="U1214" s="173"/>
      <c r="V1214" s="168" t="s">
        <v>3883</v>
      </c>
      <c r="W1214" s="169"/>
      <c r="X1214" s="169" t="s">
        <v>6303</v>
      </c>
    </row>
    <row r="1215" ht="15.0" customHeight="1">
      <c r="A1215" s="347">
        <v>45652.0</v>
      </c>
      <c r="B1215" s="181" t="s">
        <v>6304</v>
      </c>
      <c r="C1215" s="56" t="s">
        <v>2703</v>
      </c>
      <c r="D1215" s="73" t="str">
        <f>IFERROR(VLOOKUP(C1215,Stock,3,FALSE),"")</f>
        <v>Toyota Hi-Ace 04-20 Commuter</v>
      </c>
      <c r="E1215" s="56">
        <v>1.0</v>
      </c>
      <c r="F1215" s="161">
        <v>1600000.0</v>
      </c>
      <c r="G1215" s="162">
        <f t="shared" si="32"/>
        <v>1600000</v>
      </c>
      <c r="H1215" s="194"/>
      <c r="I1215" s="161">
        <f t="shared" si="29"/>
        <v>1600000</v>
      </c>
      <c r="J1215" s="164">
        <f t="shared" si="30"/>
        <v>1600000</v>
      </c>
      <c r="K1215" s="56" t="s">
        <v>4593</v>
      </c>
      <c r="L1215" s="165" t="s">
        <v>4594</v>
      </c>
      <c r="M1215" s="73"/>
      <c r="N1215" s="171"/>
      <c r="O1215" s="339" t="s">
        <v>2958</v>
      </c>
      <c r="P1215" s="340" t="s">
        <v>3112</v>
      </c>
      <c r="Q1215" s="173"/>
      <c r="R1215" s="167">
        <v>1600000.0</v>
      </c>
      <c r="S1215" s="173"/>
      <c r="T1215" s="173"/>
      <c r="U1215" s="173"/>
      <c r="V1215" s="168" t="s">
        <v>3883</v>
      </c>
      <c r="W1215" s="169"/>
      <c r="X1215" s="169" t="s">
        <v>6305</v>
      </c>
    </row>
    <row r="1216" ht="15.0" customHeight="1">
      <c r="A1216" s="347">
        <v>45652.0</v>
      </c>
      <c r="B1216" s="181" t="s">
        <v>6306</v>
      </c>
      <c r="C1216" s="56" t="s">
        <v>3411</v>
      </c>
      <c r="D1216" s="73" t="str">
        <f>IFERROR(VLOOKUP(C1216,Stock,3,FALSE),"")</f>
        <v>Toyota Agya/Ayla 13-22 1st Gen</v>
      </c>
      <c r="E1216" s="56">
        <v>1.0</v>
      </c>
      <c r="F1216" s="161">
        <v>1050000.0</v>
      </c>
      <c r="G1216" s="162">
        <f t="shared" si="32"/>
        <v>1050000</v>
      </c>
      <c r="H1216" s="194"/>
      <c r="I1216" s="161">
        <f t="shared" si="29"/>
        <v>1050000</v>
      </c>
      <c r="J1216" s="164">
        <f t="shared" si="30"/>
        <v>1050000</v>
      </c>
      <c r="K1216" s="56" t="s">
        <v>6307</v>
      </c>
      <c r="L1216" s="165" t="s">
        <v>6308</v>
      </c>
      <c r="M1216" s="73"/>
      <c r="N1216" s="171"/>
      <c r="O1216" s="339" t="s">
        <v>2958</v>
      </c>
      <c r="P1216" s="348" t="s">
        <v>3645</v>
      </c>
      <c r="Q1216" s="167">
        <v>1050000.0</v>
      </c>
      <c r="R1216" s="173"/>
      <c r="S1216" s="173"/>
      <c r="T1216" s="173"/>
      <c r="U1216" s="173"/>
      <c r="V1216" s="168" t="s">
        <v>3883</v>
      </c>
      <c r="W1216" s="169"/>
      <c r="X1216" s="219">
        <v>45748.0</v>
      </c>
    </row>
    <row r="1217" ht="15.0" customHeight="1">
      <c r="A1217" s="347">
        <v>45652.0</v>
      </c>
      <c r="B1217" s="181" t="s">
        <v>6309</v>
      </c>
      <c r="C1217" s="56" t="s">
        <v>3411</v>
      </c>
      <c r="D1217" s="73" t="str">
        <f>IFERROR(VLOOKUP(C1217,Stock,3,FALSE),"")</f>
        <v>Toyota Agya/Ayla 13-22 1st Gen</v>
      </c>
      <c r="E1217" s="56">
        <v>1.0</v>
      </c>
      <c r="F1217" s="161">
        <v>1115000.0</v>
      </c>
      <c r="G1217" s="162">
        <f t="shared" si="32"/>
        <v>1115000</v>
      </c>
      <c r="H1217" s="194"/>
      <c r="I1217" s="161">
        <f t="shared" si="29"/>
        <v>1115000</v>
      </c>
      <c r="J1217" s="164">
        <f t="shared" si="30"/>
        <v>1115000</v>
      </c>
      <c r="K1217" s="56" t="s">
        <v>6310</v>
      </c>
      <c r="L1217" s="165" t="s">
        <v>6311</v>
      </c>
      <c r="M1217" s="73"/>
      <c r="N1217" s="171"/>
      <c r="O1217" s="169" t="s">
        <v>3213</v>
      </c>
      <c r="P1217" s="348" t="s">
        <v>3112</v>
      </c>
      <c r="Q1217" s="167">
        <v>1115000.0</v>
      </c>
      <c r="R1217" s="173"/>
      <c r="S1217" s="173"/>
      <c r="T1217" s="173"/>
      <c r="U1217" s="173"/>
      <c r="V1217" s="168" t="s">
        <v>3883</v>
      </c>
      <c r="W1217" s="169"/>
      <c r="X1217" s="219">
        <v>45748.0</v>
      </c>
    </row>
    <row r="1218" ht="15.0" customHeight="1">
      <c r="A1218" s="347">
        <v>45652.0</v>
      </c>
      <c r="B1218" s="181" t="s">
        <v>6309</v>
      </c>
      <c r="C1218" s="169" t="s">
        <v>3826</v>
      </c>
      <c r="D1218" s="73" t="str">
        <f>IFERROR(VLOOKUP(C1218,Stock,3,FALSE),"")</f>
        <v>List Kaca Depan Code 11</v>
      </c>
      <c r="E1218" s="56">
        <v>1.0</v>
      </c>
      <c r="F1218" s="161">
        <v>275000.0</v>
      </c>
      <c r="G1218" s="162">
        <f t="shared" si="32"/>
        <v>275000</v>
      </c>
      <c r="H1218" s="194"/>
      <c r="I1218" s="161">
        <f t="shared" si="29"/>
        <v>275000</v>
      </c>
      <c r="J1218" s="164">
        <f t="shared" si="30"/>
        <v>275000</v>
      </c>
      <c r="K1218" s="56" t="s">
        <v>6310</v>
      </c>
      <c r="L1218" s="165" t="s">
        <v>6311</v>
      </c>
      <c r="M1218" s="73"/>
      <c r="N1218" s="171"/>
      <c r="O1218" s="169" t="s">
        <v>3213</v>
      </c>
      <c r="P1218" s="348" t="s">
        <v>3112</v>
      </c>
      <c r="Q1218" s="167">
        <v>275000.0</v>
      </c>
      <c r="R1218" s="173"/>
      <c r="S1218" s="173"/>
      <c r="T1218" s="173"/>
      <c r="U1218" s="173"/>
      <c r="V1218" s="168" t="s">
        <v>3883</v>
      </c>
      <c r="W1218" s="169"/>
      <c r="X1218" s="219">
        <v>45748.0</v>
      </c>
    </row>
    <row r="1219" ht="15.0" customHeight="1">
      <c r="A1219" s="127">
        <v>45652.0</v>
      </c>
      <c r="B1219" s="181" t="s">
        <v>6312</v>
      </c>
      <c r="C1219" s="56" t="s">
        <v>6313</v>
      </c>
      <c r="D1219" s="73" t="str">
        <f>IFERROR(VLOOKUP(C1219,Stock,3,FALSE),"")</f>
        <v>Mazda CX-9 07-15 1st Gen</v>
      </c>
      <c r="E1219" s="56">
        <v>1.0</v>
      </c>
      <c r="F1219" s="161">
        <v>5550000.0</v>
      </c>
      <c r="G1219" s="162">
        <f t="shared" si="32"/>
        <v>5550000</v>
      </c>
      <c r="H1219" s="201">
        <v>110000.0</v>
      </c>
      <c r="I1219" s="161">
        <f t="shared" si="29"/>
        <v>5440000</v>
      </c>
      <c r="J1219" s="164">
        <f t="shared" si="30"/>
        <v>5440000</v>
      </c>
      <c r="K1219" s="56" t="s">
        <v>6314</v>
      </c>
      <c r="L1219" s="165" t="s">
        <v>6315</v>
      </c>
      <c r="M1219" s="73"/>
      <c r="N1219" s="169" t="s">
        <v>6316</v>
      </c>
      <c r="O1219" s="169" t="s">
        <v>2958</v>
      </c>
      <c r="P1219" s="348" t="s">
        <v>3112</v>
      </c>
      <c r="Q1219" s="173"/>
      <c r="R1219" s="167">
        <v>5440000.0</v>
      </c>
      <c r="S1219" s="173"/>
      <c r="T1219" s="173"/>
      <c r="U1219" s="173"/>
      <c r="V1219" s="168" t="s">
        <v>3883</v>
      </c>
      <c r="W1219" s="169"/>
      <c r="X1219" s="169" t="s">
        <v>6317</v>
      </c>
    </row>
    <row r="1220" ht="15.0" customHeight="1">
      <c r="A1220" s="127">
        <v>45652.0</v>
      </c>
      <c r="B1220" s="181" t="s">
        <v>6318</v>
      </c>
      <c r="C1220" s="327" t="s">
        <v>6319</v>
      </c>
      <c r="D1220" s="73" t="str">
        <f>IFERROR(VLOOKUP(C1220,Stock,3,FALSE),"")</f>
        <v>Wuling Almaz</v>
      </c>
      <c r="E1220" s="56">
        <v>1.0</v>
      </c>
      <c r="F1220" s="161">
        <v>1519000.0</v>
      </c>
      <c r="G1220" s="162">
        <f t="shared" si="32"/>
        <v>1519000</v>
      </c>
      <c r="H1220" s="194"/>
      <c r="I1220" s="161">
        <f t="shared" si="29"/>
        <v>1519000</v>
      </c>
      <c r="J1220" s="164">
        <f t="shared" si="30"/>
        <v>1519000</v>
      </c>
      <c r="K1220" s="56" t="s">
        <v>6320</v>
      </c>
      <c r="L1220" s="165" t="s">
        <v>6321</v>
      </c>
      <c r="M1220" s="73"/>
      <c r="N1220" s="171"/>
      <c r="O1220" s="169" t="s">
        <v>2958</v>
      </c>
      <c r="P1220" s="348" t="s">
        <v>3112</v>
      </c>
      <c r="Q1220" s="173"/>
      <c r="R1220" s="167">
        <v>1519000.0</v>
      </c>
      <c r="S1220" s="173"/>
      <c r="T1220" s="173"/>
      <c r="U1220" s="173"/>
      <c r="V1220" s="168" t="s">
        <v>3883</v>
      </c>
      <c r="W1220" s="169"/>
      <c r="X1220" s="169" t="s">
        <v>6322</v>
      </c>
    </row>
    <row r="1221" ht="15.0" customHeight="1">
      <c r="A1221" s="127">
        <v>45652.0</v>
      </c>
      <c r="B1221" s="181" t="s">
        <v>6318</v>
      </c>
      <c r="C1221" s="251" t="s">
        <v>2954</v>
      </c>
      <c r="D1221" s="73" t="str">
        <f>IFERROR(VLOOKUP(C1221,Stock,3,FALSE),"")</f>
        <v>Transport</v>
      </c>
      <c r="E1221" s="56">
        <v>1.0</v>
      </c>
      <c r="F1221" s="161">
        <v>75000.0</v>
      </c>
      <c r="G1221" s="162">
        <f t="shared" si="32"/>
        <v>75000</v>
      </c>
      <c r="H1221" s="194"/>
      <c r="I1221" s="161">
        <f t="shared" si="29"/>
        <v>75000</v>
      </c>
      <c r="J1221" s="164">
        <f t="shared" si="30"/>
        <v>75000</v>
      </c>
      <c r="K1221" s="56" t="s">
        <v>6320</v>
      </c>
      <c r="L1221" s="165" t="s">
        <v>6321</v>
      </c>
      <c r="M1221" s="73"/>
      <c r="N1221" s="171"/>
      <c r="O1221" s="169" t="s">
        <v>2958</v>
      </c>
      <c r="P1221" s="348" t="s">
        <v>3112</v>
      </c>
      <c r="Q1221" s="173"/>
      <c r="R1221" s="167">
        <v>75000.0</v>
      </c>
      <c r="S1221" s="173"/>
      <c r="T1221" s="173"/>
      <c r="U1221" s="173"/>
      <c r="V1221" s="168" t="s">
        <v>3883</v>
      </c>
      <c r="W1221" s="169"/>
      <c r="X1221" s="169" t="s">
        <v>6322</v>
      </c>
    </row>
    <row r="1222" ht="15.0" customHeight="1">
      <c r="A1222" s="127">
        <v>45653.0</v>
      </c>
      <c r="B1222" s="181" t="s">
        <v>6323</v>
      </c>
      <c r="C1222" s="56" t="s">
        <v>3099</v>
      </c>
      <c r="D1222" s="73" t="str">
        <f>IFERROR(VLOOKUP(C1222,Stock,3,FALSE),"")</f>
        <v>Toyota Calya / Sigra 16-</v>
      </c>
      <c r="E1222" s="56">
        <v>1.0</v>
      </c>
      <c r="F1222" s="161">
        <v>1149000.0</v>
      </c>
      <c r="G1222" s="162">
        <f t="shared" si="32"/>
        <v>1149000</v>
      </c>
      <c r="H1222" s="194"/>
      <c r="I1222" s="161">
        <f t="shared" si="29"/>
        <v>1149000</v>
      </c>
      <c r="J1222" s="164">
        <f t="shared" si="30"/>
        <v>1149000</v>
      </c>
      <c r="K1222" s="56" t="s">
        <v>6324</v>
      </c>
      <c r="L1222" s="165" t="s">
        <v>6325</v>
      </c>
      <c r="M1222" s="73"/>
      <c r="N1222" s="169" t="s">
        <v>6326</v>
      </c>
      <c r="O1222" s="169" t="s">
        <v>2958</v>
      </c>
      <c r="P1222" s="348" t="s">
        <v>3112</v>
      </c>
      <c r="Q1222" s="167">
        <v>1149000.0</v>
      </c>
      <c r="R1222" s="173"/>
      <c r="S1222" s="173"/>
      <c r="T1222" s="173"/>
      <c r="U1222" s="173"/>
      <c r="V1222" s="168" t="s">
        <v>4262</v>
      </c>
      <c r="W1222" s="169"/>
      <c r="X1222" s="219">
        <v>45748.0</v>
      </c>
    </row>
    <row r="1223" ht="15.0" customHeight="1">
      <c r="A1223" s="127">
        <v>45653.0</v>
      </c>
      <c r="B1223" s="181" t="s">
        <v>6327</v>
      </c>
      <c r="C1223" s="56" t="s">
        <v>3186</v>
      </c>
      <c r="D1223" s="73" t="str">
        <f>IFERROR(VLOOKUP(C1223,Stock,3,FALSE),"")</f>
        <v>Daihatsu Gran Max / Luxio 07-</v>
      </c>
      <c r="E1223" s="56">
        <v>1.0</v>
      </c>
      <c r="F1223" s="161">
        <v>1050000.0</v>
      </c>
      <c r="G1223" s="162">
        <f t="shared" si="32"/>
        <v>1050000</v>
      </c>
      <c r="H1223" s="194"/>
      <c r="I1223" s="161">
        <f t="shared" si="29"/>
        <v>1050000</v>
      </c>
      <c r="J1223" s="164">
        <f t="shared" si="30"/>
        <v>1050000</v>
      </c>
      <c r="K1223" s="56" t="s">
        <v>6328</v>
      </c>
      <c r="L1223" s="165" t="s">
        <v>6329</v>
      </c>
      <c r="M1223" s="73"/>
      <c r="N1223" s="171"/>
      <c r="O1223" s="169" t="s">
        <v>2958</v>
      </c>
      <c r="P1223" s="348" t="s">
        <v>3112</v>
      </c>
      <c r="Q1223" s="173"/>
      <c r="R1223" s="173"/>
      <c r="S1223" s="173"/>
      <c r="T1223" s="173"/>
      <c r="U1223" s="173"/>
      <c r="V1223" s="168" t="s">
        <v>4262</v>
      </c>
      <c r="W1223" s="169"/>
      <c r="X1223" s="169" t="s">
        <v>6330</v>
      </c>
    </row>
    <row r="1224" ht="15.0" customHeight="1">
      <c r="A1224" s="127">
        <v>45653.0</v>
      </c>
      <c r="B1224" s="181" t="s">
        <v>6327</v>
      </c>
      <c r="C1224" s="56" t="s">
        <v>2954</v>
      </c>
      <c r="D1224" s="73" t="str">
        <f>IFERROR(VLOOKUP(C1224,Stock,3,FALSE),"")</f>
        <v>Transport</v>
      </c>
      <c r="E1224" s="56">
        <v>1.0</v>
      </c>
      <c r="F1224" s="161">
        <v>50000.0</v>
      </c>
      <c r="G1224" s="162">
        <f t="shared" si="32"/>
        <v>50000</v>
      </c>
      <c r="H1224" s="194"/>
      <c r="I1224" s="161">
        <f t="shared" si="29"/>
        <v>50000</v>
      </c>
      <c r="J1224" s="164">
        <f t="shared" si="30"/>
        <v>50000</v>
      </c>
      <c r="K1224" s="56" t="s">
        <v>6328</v>
      </c>
      <c r="L1224" s="165" t="s">
        <v>6329</v>
      </c>
      <c r="M1224" s="73"/>
      <c r="N1224" s="171"/>
      <c r="O1224" s="169" t="s">
        <v>2958</v>
      </c>
      <c r="P1224" s="348" t="s">
        <v>3112</v>
      </c>
      <c r="Q1224" s="173"/>
      <c r="R1224" s="173"/>
      <c r="S1224" s="173"/>
      <c r="T1224" s="173"/>
      <c r="U1224" s="173"/>
      <c r="V1224" s="168" t="s">
        <v>4262</v>
      </c>
      <c r="W1224" s="169"/>
      <c r="X1224" s="169" t="s">
        <v>6330</v>
      </c>
    </row>
    <row r="1225" ht="15.0" customHeight="1">
      <c r="A1225" s="127">
        <v>45653.0</v>
      </c>
      <c r="B1225" s="181" t="s">
        <v>6331</v>
      </c>
      <c r="C1225" s="56" t="s">
        <v>4988</v>
      </c>
      <c r="D1225" s="73" t="str">
        <f>IFERROR(VLOOKUP(C1225,Stock,3,FALSE),"")</f>
        <v>Toyota Innova 15- 2nd Gen</v>
      </c>
      <c r="E1225" s="56">
        <v>1.0</v>
      </c>
      <c r="F1225" s="161">
        <v>1464000.0</v>
      </c>
      <c r="G1225" s="162">
        <f t="shared" si="32"/>
        <v>1464000</v>
      </c>
      <c r="H1225" s="194"/>
      <c r="I1225" s="161">
        <f t="shared" si="29"/>
        <v>1464000</v>
      </c>
      <c r="J1225" s="164">
        <f t="shared" si="30"/>
        <v>1464000</v>
      </c>
      <c r="K1225" s="56" t="s">
        <v>6332</v>
      </c>
      <c r="L1225" s="165" t="s">
        <v>4473</v>
      </c>
      <c r="M1225" s="73"/>
      <c r="N1225" s="171"/>
      <c r="O1225" s="169" t="s">
        <v>2958</v>
      </c>
      <c r="P1225" s="348" t="s">
        <v>3112</v>
      </c>
      <c r="Q1225" s="173"/>
      <c r="R1225" s="167">
        <v>1464000.0</v>
      </c>
      <c r="S1225" s="173"/>
      <c r="T1225" s="173"/>
      <c r="U1225" s="173"/>
      <c r="V1225" s="168" t="s">
        <v>4262</v>
      </c>
      <c r="W1225" s="169"/>
      <c r="X1225" s="169" t="s">
        <v>6333</v>
      </c>
    </row>
    <row r="1226" ht="15.0" customHeight="1">
      <c r="A1226" s="127">
        <v>45655.0</v>
      </c>
      <c r="B1226" s="181" t="s">
        <v>6334</v>
      </c>
      <c r="C1226" s="330" t="s">
        <v>5635</v>
      </c>
      <c r="D1226" s="73" t="str">
        <f>IFERROR(VLOOKUP(C1226,Stock,3,FALSE),"")</f>
        <v>Honda HR-V 14-21 5D SUV</v>
      </c>
      <c r="E1226" s="56">
        <v>1.0</v>
      </c>
      <c r="F1226" s="161">
        <v>1365000.0</v>
      </c>
      <c r="G1226" s="162">
        <f t="shared" si="32"/>
        <v>1365000</v>
      </c>
      <c r="H1226" s="194"/>
      <c r="I1226" s="161">
        <f t="shared" si="29"/>
        <v>1365000</v>
      </c>
      <c r="J1226" s="164">
        <f t="shared" si="30"/>
        <v>1365000</v>
      </c>
      <c r="K1226" s="307" t="s">
        <v>6335</v>
      </c>
      <c r="L1226" s="165" t="s">
        <v>6336</v>
      </c>
      <c r="M1226" s="73"/>
      <c r="N1226" s="169" t="s">
        <v>6337</v>
      </c>
      <c r="O1226" s="329" t="s">
        <v>2958</v>
      </c>
      <c r="P1226" s="348" t="s">
        <v>3112</v>
      </c>
      <c r="Q1226" s="173"/>
      <c r="R1226" s="167">
        <v>1365000.0</v>
      </c>
      <c r="S1226" s="173"/>
      <c r="T1226" s="173"/>
      <c r="U1226" s="173"/>
      <c r="V1226" s="168" t="s">
        <v>3799</v>
      </c>
      <c r="W1226" s="169"/>
      <c r="X1226" s="169" t="s">
        <v>6338</v>
      </c>
    </row>
    <row r="1227" ht="15.0" customHeight="1">
      <c r="A1227" s="127">
        <v>45655.0</v>
      </c>
      <c r="B1227" s="181" t="s">
        <v>6339</v>
      </c>
      <c r="C1227" s="56" t="s">
        <v>3176</v>
      </c>
      <c r="D1227" s="73" t="str">
        <f>IFERROR(VLOOKUP(C1227,Stock,3,FALSE),"")</f>
        <v>Toyota Avanza / Xenia 11-15 2nd Gen / 15-21 3rd Gen</v>
      </c>
      <c r="E1227" s="56">
        <v>1.0</v>
      </c>
      <c r="F1227" s="161">
        <v>900000.0</v>
      </c>
      <c r="G1227" s="162">
        <f t="shared" si="32"/>
        <v>900000</v>
      </c>
      <c r="H1227" s="194"/>
      <c r="I1227" s="161">
        <f t="shared" si="29"/>
        <v>900000</v>
      </c>
      <c r="J1227" s="164">
        <f t="shared" si="30"/>
        <v>900000</v>
      </c>
      <c r="K1227" s="307" t="s">
        <v>6340</v>
      </c>
      <c r="L1227" s="165" t="s">
        <v>6341</v>
      </c>
      <c r="M1227" s="313" t="s">
        <v>6342</v>
      </c>
      <c r="N1227" s="169" t="s">
        <v>6343</v>
      </c>
      <c r="O1227" s="329" t="s">
        <v>2958</v>
      </c>
      <c r="P1227" s="348" t="s">
        <v>3112</v>
      </c>
      <c r="Q1227" s="173"/>
      <c r="R1227" s="167">
        <v>900000.0</v>
      </c>
      <c r="S1227" s="173"/>
      <c r="T1227" s="173"/>
      <c r="U1227" s="173"/>
      <c r="V1227" s="168" t="s">
        <v>3799</v>
      </c>
      <c r="W1227" s="169"/>
      <c r="X1227" s="169" t="s">
        <v>6344</v>
      </c>
    </row>
    <row r="1228" ht="15.0" customHeight="1">
      <c r="A1228" s="127">
        <v>45655.0</v>
      </c>
      <c r="B1228" s="181" t="s">
        <v>6345</v>
      </c>
      <c r="C1228" s="56" t="s">
        <v>3934</v>
      </c>
      <c r="D1228" s="73" t="str">
        <f>IFERROR(VLOOKUP(C1228,Stock,3,FALSE),"")</f>
        <v>Toyota Avanza / Xenia 11-15 2nd Gen / 15-21 3rd Gen</v>
      </c>
      <c r="E1228" s="56">
        <v>1.0</v>
      </c>
      <c r="F1228" s="161">
        <v>500000.0</v>
      </c>
      <c r="G1228" s="162">
        <f t="shared" si="32"/>
        <v>500000</v>
      </c>
      <c r="H1228" s="194"/>
      <c r="I1228" s="161">
        <f t="shared" si="29"/>
        <v>500000</v>
      </c>
      <c r="J1228" s="164">
        <f t="shared" si="30"/>
        <v>500000</v>
      </c>
      <c r="K1228" s="56" t="s">
        <v>6346</v>
      </c>
      <c r="L1228" s="165" t="s">
        <v>6347</v>
      </c>
      <c r="M1228" s="73"/>
      <c r="N1228" s="171"/>
      <c r="O1228" s="329" t="s">
        <v>2958</v>
      </c>
      <c r="P1228" s="348" t="s">
        <v>3112</v>
      </c>
      <c r="Q1228" s="173"/>
      <c r="R1228" s="167">
        <v>500000.0</v>
      </c>
      <c r="S1228" s="173"/>
      <c r="T1228" s="173"/>
      <c r="U1228" s="173"/>
      <c r="V1228" s="168" t="s">
        <v>3883</v>
      </c>
      <c r="W1228" s="169"/>
      <c r="X1228" s="169" t="s">
        <v>6348</v>
      </c>
    </row>
    <row r="1229" ht="15.0" customHeight="1">
      <c r="A1229" s="127">
        <v>45655.0</v>
      </c>
      <c r="B1229" s="181" t="s">
        <v>6349</v>
      </c>
      <c r="C1229" s="56" t="s">
        <v>3582</v>
      </c>
      <c r="D1229" s="73" t="str">
        <f>IFERROR(VLOOKUP(C1229,Stock,3,FALSE),"")</f>
        <v>Honda CR-V 12-16 4th Gen</v>
      </c>
      <c r="E1229" s="56">
        <v>1.0</v>
      </c>
      <c r="F1229" s="161">
        <v>1999000.0</v>
      </c>
      <c r="G1229" s="162">
        <f t="shared" si="32"/>
        <v>1999000</v>
      </c>
      <c r="H1229" s="194"/>
      <c r="I1229" s="161">
        <f t="shared" si="29"/>
        <v>1999000</v>
      </c>
      <c r="J1229" s="164">
        <f t="shared" si="30"/>
        <v>1999000</v>
      </c>
      <c r="K1229" s="56" t="s">
        <v>6350</v>
      </c>
      <c r="L1229" s="165" t="s">
        <v>6351</v>
      </c>
      <c r="M1229" s="73"/>
      <c r="N1229" s="171"/>
      <c r="O1229" s="329" t="s">
        <v>2958</v>
      </c>
      <c r="P1229" s="348" t="s">
        <v>3112</v>
      </c>
      <c r="Q1229" s="173"/>
      <c r="R1229" s="167">
        <v>1999000.0</v>
      </c>
      <c r="S1229" s="173"/>
      <c r="T1229" s="173"/>
      <c r="U1229" s="173"/>
      <c r="V1229" s="168" t="s">
        <v>3883</v>
      </c>
      <c r="W1229" s="169"/>
      <c r="X1229" s="169" t="s">
        <v>6352</v>
      </c>
    </row>
    <row r="1230" ht="15.0" customHeight="1">
      <c r="A1230" s="127">
        <v>45656.0</v>
      </c>
      <c r="B1230" s="181" t="s">
        <v>6353</v>
      </c>
      <c r="C1230" s="330" t="s">
        <v>3045</v>
      </c>
      <c r="D1230" s="73" t="str">
        <f>IFERROR(VLOOKUP(C1230,Stock,3,FALSE),"")</f>
        <v>Pemasangan Kaca Mobil Depan</v>
      </c>
      <c r="E1230" s="56">
        <v>1.0</v>
      </c>
      <c r="F1230" s="161">
        <v>450000.0</v>
      </c>
      <c r="G1230" s="162">
        <f t="shared" si="32"/>
        <v>450000</v>
      </c>
      <c r="H1230" s="194"/>
      <c r="I1230" s="161">
        <f t="shared" si="29"/>
        <v>450000</v>
      </c>
      <c r="J1230" s="164">
        <f t="shared" si="30"/>
        <v>450000</v>
      </c>
      <c r="K1230" s="307" t="s">
        <v>6354</v>
      </c>
      <c r="L1230" s="165" t="s">
        <v>6355</v>
      </c>
      <c r="M1230" s="73"/>
      <c r="N1230" s="289" t="s">
        <v>6356</v>
      </c>
      <c r="O1230" s="329" t="s">
        <v>2958</v>
      </c>
      <c r="P1230" s="348" t="s">
        <v>3112</v>
      </c>
      <c r="Q1230" s="173"/>
      <c r="R1230" s="167">
        <v>450000.0</v>
      </c>
      <c r="S1230" s="173"/>
      <c r="T1230" s="173"/>
      <c r="U1230" s="173"/>
      <c r="V1230" s="168" t="s">
        <v>4258</v>
      </c>
      <c r="W1230" s="169"/>
      <c r="X1230" s="169" t="s">
        <v>6357</v>
      </c>
    </row>
    <row r="1231" ht="15.0" customHeight="1">
      <c r="A1231" s="127">
        <v>45656.0</v>
      </c>
      <c r="B1231" s="181" t="s">
        <v>6358</v>
      </c>
      <c r="C1231" s="56" t="s">
        <v>6359</v>
      </c>
      <c r="D1231" s="73" t="str">
        <f>IFERROR(VLOOKUP(C1231,Stock,3,FALSE),"")</f>
        <v>Kia Sportage 10-15 SL [Tipe ada Spoiler]</v>
      </c>
      <c r="E1231" s="56">
        <v>1.0</v>
      </c>
      <c r="F1231" s="161">
        <v>2970000.0</v>
      </c>
      <c r="G1231" s="162">
        <f t="shared" si="32"/>
        <v>2970000</v>
      </c>
      <c r="H1231" s="194"/>
      <c r="I1231" s="161">
        <f t="shared" si="29"/>
        <v>2970000</v>
      </c>
      <c r="J1231" s="164">
        <f t="shared" si="30"/>
        <v>2970000</v>
      </c>
      <c r="K1231" s="56" t="s">
        <v>6360</v>
      </c>
      <c r="L1231" s="165" t="s">
        <v>6361</v>
      </c>
      <c r="M1231" s="73"/>
      <c r="N1231" s="171"/>
      <c r="O1231" s="329" t="s">
        <v>2958</v>
      </c>
      <c r="P1231" s="348" t="s">
        <v>3112</v>
      </c>
      <c r="Q1231" s="167">
        <v>2970000.0</v>
      </c>
      <c r="R1231" s="173"/>
      <c r="S1231" s="173"/>
      <c r="T1231" s="173"/>
      <c r="U1231" s="173"/>
      <c r="V1231" s="168" t="s">
        <v>3883</v>
      </c>
      <c r="W1231" s="169"/>
      <c r="X1231" s="219">
        <v>45748.0</v>
      </c>
    </row>
    <row r="1232" ht="15.0" customHeight="1">
      <c r="A1232" s="127">
        <v>45656.0</v>
      </c>
      <c r="B1232" s="181" t="s">
        <v>6362</v>
      </c>
      <c r="C1232" s="56" t="s">
        <v>2562</v>
      </c>
      <c r="D1232" s="73" t="str">
        <f>IFERROR(VLOOKUP(C1232,Stock,3,FALSE),"")</f>
        <v>Toyota Avanza / Xenia 15-21 3rd Gen</v>
      </c>
      <c r="E1232" s="56">
        <v>1.0</v>
      </c>
      <c r="F1232" s="161">
        <v>1050000.0</v>
      </c>
      <c r="G1232" s="162">
        <f t="shared" si="32"/>
        <v>1050000</v>
      </c>
      <c r="H1232" s="194"/>
      <c r="I1232" s="161">
        <f t="shared" si="29"/>
        <v>1050000</v>
      </c>
      <c r="J1232" s="164">
        <f t="shared" si="30"/>
        <v>1050000</v>
      </c>
      <c r="K1232" s="307" t="s">
        <v>6340</v>
      </c>
      <c r="L1232" s="165" t="s">
        <v>6363</v>
      </c>
      <c r="M1232" s="73"/>
      <c r="N1232" s="289" t="s">
        <v>6364</v>
      </c>
      <c r="O1232" s="329" t="s">
        <v>2958</v>
      </c>
      <c r="P1232" s="348" t="s">
        <v>3112</v>
      </c>
      <c r="Q1232" s="173"/>
      <c r="R1232" s="167">
        <v>1050000.0</v>
      </c>
      <c r="S1232" s="173"/>
      <c r="T1232" s="173"/>
      <c r="U1232" s="173"/>
      <c r="V1232" s="168" t="s">
        <v>4258</v>
      </c>
      <c r="W1232" s="169"/>
      <c r="X1232" s="169" t="s">
        <v>6365</v>
      </c>
    </row>
    <row r="1233" ht="15.0" customHeight="1">
      <c r="A1233" s="127">
        <v>45656.0</v>
      </c>
      <c r="B1233" s="181" t="s">
        <v>6366</v>
      </c>
      <c r="C1233" s="251" t="s">
        <v>3622</v>
      </c>
      <c r="D1233" s="73" t="str">
        <f>IFERROR(VLOOKUP(C1233,Stock,3,FALSE),"")</f>
        <v>Mitsubishi Pajero 08-16</v>
      </c>
      <c r="E1233" s="56">
        <v>1.0</v>
      </c>
      <c r="F1233" s="161">
        <v>1330000.0</v>
      </c>
      <c r="G1233" s="162">
        <f t="shared" si="32"/>
        <v>1330000</v>
      </c>
      <c r="H1233" s="194"/>
      <c r="I1233" s="161">
        <f t="shared" si="29"/>
        <v>1330000</v>
      </c>
      <c r="J1233" s="164">
        <f t="shared" si="30"/>
        <v>1330000</v>
      </c>
      <c r="K1233" s="56" t="s">
        <v>6367</v>
      </c>
      <c r="L1233" s="288" t="s">
        <v>6368</v>
      </c>
      <c r="M1233" s="73"/>
      <c r="N1233" s="171"/>
      <c r="O1233" s="316" t="s">
        <v>2958</v>
      </c>
      <c r="P1233" s="348" t="s">
        <v>2922</v>
      </c>
      <c r="Q1233" s="173"/>
      <c r="R1233" s="173"/>
      <c r="S1233" s="167">
        <v>1330000.0</v>
      </c>
      <c r="T1233" s="167">
        <v>106400.0</v>
      </c>
      <c r="U1233" s="173"/>
      <c r="V1233" s="168" t="s">
        <v>3883</v>
      </c>
      <c r="W1233" s="169"/>
      <c r="X1233" s="169" t="s">
        <v>6369</v>
      </c>
    </row>
    <row r="1234" ht="15.0" customHeight="1">
      <c r="A1234" s="127">
        <v>45656.0</v>
      </c>
      <c r="B1234" s="181" t="s">
        <v>6366</v>
      </c>
      <c r="C1234" s="251" t="s">
        <v>3045</v>
      </c>
      <c r="D1234" s="73" t="str">
        <f>IFERROR(VLOOKUP(C1234,Stock,3,FALSE),"")</f>
        <v>Pemasangan Kaca Mobil Depan</v>
      </c>
      <c r="E1234" s="56">
        <v>1.0</v>
      </c>
      <c r="F1234" s="161">
        <v>300000.0</v>
      </c>
      <c r="G1234" s="162">
        <f t="shared" si="32"/>
        <v>300000</v>
      </c>
      <c r="H1234" s="194"/>
      <c r="I1234" s="161">
        <f t="shared" si="29"/>
        <v>300000</v>
      </c>
      <c r="J1234" s="164">
        <f t="shared" si="30"/>
        <v>300000</v>
      </c>
      <c r="K1234" s="56" t="s">
        <v>6367</v>
      </c>
      <c r="L1234" s="165" t="s">
        <v>6368</v>
      </c>
      <c r="M1234" s="73"/>
      <c r="N1234" s="171"/>
      <c r="O1234" s="329" t="s">
        <v>2958</v>
      </c>
      <c r="P1234" s="348" t="s">
        <v>2922</v>
      </c>
      <c r="Q1234" s="173"/>
      <c r="R1234" s="167">
        <v>300000.0</v>
      </c>
      <c r="S1234" s="173"/>
      <c r="T1234" s="173"/>
      <c r="U1234" s="173"/>
      <c r="V1234" s="168" t="s">
        <v>3883</v>
      </c>
      <c r="W1234" s="169"/>
      <c r="X1234" s="169" t="s">
        <v>6370</v>
      </c>
    </row>
    <row r="1235" ht="15.0" customHeight="1">
      <c r="A1235" s="127">
        <v>45656.0</v>
      </c>
      <c r="B1235" s="181" t="s">
        <v>6366</v>
      </c>
      <c r="C1235" s="181" t="s">
        <v>2954</v>
      </c>
      <c r="D1235" s="73" t="str">
        <f>IFERROR(VLOOKUP(C1235,Stock,3,FALSE),"")</f>
        <v>Transport</v>
      </c>
      <c r="E1235" s="56">
        <v>1.0</v>
      </c>
      <c r="F1235" s="161">
        <v>100000.0</v>
      </c>
      <c r="G1235" s="162">
        <f t="shared" si="32"/>
        <v>100000</v>
      </c>
      <c r="H1235" s="194"/>
      <c r="I1235" s="161">
        <f t="shared" si="29"/>
        <v>100000</v>
      </c>
      <c r="J1235" s="164">
        <f t="shared" si="30"/>
        <v>100000</v>
      </c>
      <c r="K1235" s="56" t="s">
        <v>6367</v>
      </c>
      <c r="L1235" s="165" t="s">
        <v>6368</v>
      </c>
      <c r="M1235" s="73"/>
      <c r="N1235" s="171"/>
      <c r="O1235" s="329" t="s">
        <v>2958</v>
      </c>
      <c r="P1235" s="348" t="s">
        <v>2922</v>
      </c>
      <c r="Q1235" s="173"/>
      <c r="R1235" s="167">
        <v>100000.0</v>
      </c>
      <c r="S1235" s="173"/>
      <c r="T1235" s="173"/>
      <c r="U1235" s="173"/>
      <c r="V1235" s="168" t="s">
        <v>3883</v>
      </c>
      <c r="W1235" s="169"/>
      <c r="X1235" s="169" t="s">
        <v>6370</v>
      </c>
    </row>
    <row r="1236" ht="15.0" customHeight="1">
      <c r="A1236" s="127">
        <v>45656.0</v>
      </c>
      <c r="B1236" s="181" t="s">
        <v>6371</v>
      </c>
      <c r="C1236" s="56" t="s">
        <v>2691</v>
      </c>
      <c r="D1236" s="73" t="str">
        <f>IFERROR(VLOOKUP(C1236,Stock,3,FALSE),"")</f>
        <v>Suzuki Ertiga 12-18 1st Gen MPV</v>
      </c>
      <c r="E1236" s="56">
        <v>1.0</v>
      </c>
      <c r="F1236" s="161">
        <v>1310000.0</v>
      </c>
      <c r="G1236" s="162">
        <f t="shared" si="32"/>
        <v>1310000</v>
      </c>
      <c r="H1236" s="194"/>
      <c r="I1236" s="161">
        <f t="shared" si="29"/>
        <v>1310000</v>
      </c>
      <c r="J1236" s="164">
        <f t="shared" si="30"/>
        <v>1310000</v>
      </c>
      <c r="K1236" s="307" t="s">
        <v>6372</v>
      </c>
      <c r="L1236" s="349" t="s">
        <v>6373</v>
      </c>
      <c r="M1236" s="73"/>
      <c r="N1236" s="289" t="s">
        <v>6374</v>
      </c>
      <c r="O1236" s="329" t="s">
        <v>2958</v>
      </c>
      <c r="P1236" s="348" t="s">
        <v>3112</v>
      </c>
      <c r="Q1236" s="173"/>
      <c r="R1236" s="167">
        <v>1310000.0</v>
      </c>
      <c r="S1236" s="173"/>
      <c r="T1236" s="173"/>
      <c r="U1236" s="173"/>
      <c r="V1236" s="168" t="s">
        <v>3799</v>
      </c>
      <c r="W1236" s="169"/>
      <c r="X1236" s="169" t="s">
        <v>6375</v>
      </c>
    </row>
    <row r="1237" ht="15.0" customHeight="1">
      <c r="A1237" s="127">
        <v>45656.0</v>
      </c>
      <c r="B1237" s="181" t="s">
        <v>6371</v>
      </c>
      <c r="C1237" s="56" t="s">
        <v>4027</v>
      </c>
      <c r="D1237" s="73" t="str">
        <f>IFERROR(VLOOKUP(C1237,Stock,3,FALSE),"")</f>
        <v>501 Sealant Application</v>
      </c>
      <c r="E1237" s="56">
        <v>1.0</v>
      </c>
      <c r="F1237" s="161">
        <v>100000.0</v>
      </c>
      <c r="G1237" s="162">
        <f t="shared" si="32"/>
        <v>100000</v>
      </c>
      <c r="H1237" s="194"/>
      <c r="I1237" s="161">
        <f t="shared" si="29"/>
        <v>100000</v>
      </c>
      <c r="J1237" s="164">
        <f t="shared" si="30"/>
        <v>100000</v>
      </c>
      <c r="K1237" s="307" t="s">
        <v>6372</v>
      </c>
      <c r="L1237" s="349" t="s">
        <v>6373</v>
      </c>
      <c r="M1237" s="73"/>
      <c r="N1237" s="289" t="s">
        <v>6374</v>
      </c>
      <c r="O1237" s="329" t="s">
        <v>2958</v>
      </c>
      <c r="P1237" s="348" t="s">
        <v>3112</v>
      </c>
      <c r="Q1237" s="173"/>
      <c r="R1237" s="167">
        <v>100000.0</v>
      </c>
      <c r="S1237" s="173"/>
      <c r="T1237" s="173"/>
      <c r="U1237" s="173"/>
      <c r="V1237" s="168" t="s">
        <v>3799</v>
      </c>
      <c r="W1237" s="169"/>
      <c r="X1237" s="169" t="s">
        <v>6375</v>
      </c>
    </row>
    <row r="1238" ht="15.0" customHeight="1">
      <c r="A1238" s="127">
        <v>45659.0</v>
      </c>
      <c r="B1238" s="181" t="s">
        <v>6376</v>
      </c>
      <c r="C1238" s="56" t="s">
        <v>4901</v>
      </c>
      <c r="D1238" s="73" t="str">
        <f>IFERROR(VLOOKUP(C1238,Stock,3,FALSE),"")</f>
        <v>Toyota Rush / Terios 18-</v>
      </c>
      <c r="E1238" s="56">
        <v>1.0</v>
      </c>
      <c r="F1238" s="161">
        <v>1052000.0</v>
      </c>
      <c r="G1238" s="162">
        <f t="shared" si="32"/>
        <v>1052000</v>
      </c>
      <c r="H1238" s="194"/>
      <c r="I1238" s="161">
        <f t="shared" si="29"/>
        <v>1052000</v>
      </c>
      <c r="J1238" s="164">
        <f t="shared" si="30"/>
        <v>1052000</v>
      </c>
      <c r="K1238" s="56" t="s">
        <v>6377</v>
      </c>
      <c r="L1238" s="349" t="s">
        <v>6378</v>
      </c>
      <c r="M1238" s="73"/>
      <c r="N1238" s="289" t="s">
        <v>6379</v>
      </c>
      <c r="O1238" s="169" t="s">
        <v>3213</v>
      </c>
      <c r="P1238" s="348" t="s">
        <v>3112</v>
      </c>
      <c r="Q1238" s="173"/>
      <c r="R1238" s="173"/>
      <c r="S1238" s="167"/>
      <c r="T1238" s="173"/>
      <c r="U1238" s="173"/>
      <c r="V1238" s="168" t="s">
        <v>3883</v>
      </c>
      <c r="W1238" s="169"/>
      <c r="X1238" s="219">
        <v>45748.0</v>
      </c>
    </row>
    <row r="1239" ht="15.0" customHeight="1">
      <c r="A1239" s="127">
        <v>45660.0</v>
      </c>
      <c r="B1239" s="181" t="s">
        <v>6380</v>
      </c>
      <c r="C1239" s="56" t="s">
        <v>3227</v>
      </c>
      <c r="D1239" s="73" t="str">
        <f>IFERROR(VLOOKUP(C1239,Stock,3,FALSE),"")</f>
        <v>Mitsubishi Strada Triton 08-15</v>
      </c>
      <c r="E1239" s="56">
        <v>1.0</v>
      </c>
      <c r="F1239" s="161">
        <v>858000.0</v>
      </c>
      <c r="G1239" s="162">
        <f t="shared" si="32"/>
        <v>858000</v>
      </c>
      <c r="H1239" s="194"/>
      <c r="I1239" s="161">
        <f t="shared" si="29"/>
        <v>858000</v>
      </c>
      <c r="J1239" s="164">
        <f t="shared" si="30"/>
        <v>858000</v>
      </c>
      <c r="K1239" s="56" t="s">
        <v>6381</v>
      </c>
      <c r="L1239" s="165" t="s">
        <v>6382</v>
      </c>
      <c r="M1239" s="73"/>
      <c r="N1239" s="171"/>
      <c r="O1239" s="169" t="s">
        <v>6130</v>
      </c>
      <c r="P1239" s="348" t="s">
        <v>3112</v>
      </c>
      <c r="Q1239" s="173"/>
      <c r="R1239" s="173"/>
      <c r="S1239" s="167">
        <v>858000.0</v>
      </c>
      <c r="T1239" s="167">
        <v>64350.0</v>
      </c>
      <c r="U1239" s="173"/>
      <c r="V1239" s="168" t="s">
        <v>3883</v>
      </c>
      <c r="W1239" s="169"/>
      <c r="X1239" s="169" t="s">
        <v>6383</v>
      </c>
    </row>
    <row r="1240" ht="15.0" customHeight="1">
      <c r="A1240" s="127">
        <v>45660.0</v>
      </c>
      <c r="B1240" s="181" t="s">
        <v>6384</v>
      </c>
      <c r="C1240" s="251" t="s">
        <v>3223</v>
      </c>
      <c r="D1240" s="73" t="str">
        <f>IFERROR(VLOOKUP(C1240,Stock,3,FALSE),"")</f>
        <v>Mitsubishi Strada Triton 08-15</v>
      </c>
      <c r="E1240" s="56">
        <v>1.0</v>
      </c>
      <c r="F1240" s="161">
        <v>1201000.0</v>
      </c>
      <c r="G1240" s="162">
        <f t="shared" si="32"/>
        <v>1201000</v>
      </c>
      <c r="H1240" s="194"/>
      <c r="I1240" s="161">
        <f t="shared" si="29"/>
        <v>1201000</v>
      </c>
      <c r="J1240" s="164">
        <f t="shared" si="30"/>
        <v>1201000</v>
      </c>
      <c r="K1240" s="56" t="s">
        <v>6381</v>
      </c>
      <c r="L1240" s="165" t="s">
        <v>6382</v>
      </c>
      <c r="M1240" s="73"/>
      <c r="N1240" s="171"/>
      <c r="O1240" s="169" t="s">
        <v>6130</v>
      </c>
      <c r="P1240" s="348" t="s">
        <v>3112</v>
      </c>
      <c r="Q1240" s="173"/>
      <c r="R1240" s="173"/>
      <c r="S1240" s="167">
        <v>1201000.0</v>
      </c>
      <c r="T1240" s="173"/>
      <c r="U1240" s="173"/>
      <c r="V1240" s="168" t="s">
        <v>3883</v>
      </c>
      <c r="W1240" s="169"/>
      <c r="X1240" s="169" t="s">
        <v>6385</v>
      </c>
    </row>
    <row r="1241" ht="15.0" customHeight="1">
      <c r="A1241" s="127">
        <v>45660.0</v>
      </c>
      <c r="B1241" s="181" t="s">
        <v>6384</v>
      </c>
      <c r="C1241" s="251" t="s">
        <v>2934</v>
      </c>
      <c r="D1241" s="73" t="str">
        <f>IFERROR(VLOOKUP(C1241,Stock,3,FALSE),"")</f>
        <v>Peti Kayu</v>
      </c>
      <c r="E1241" s="56">
        <v>1.0</v>
      </c>
      <c r="F1241" s="161">
        <v>200000.0</v>
      </c>
      <c r="G1241" s="162">
        <f t="shared" si="32"/>
        <v>200000</v>
      </c>
      <c r="H1241" s="194"/>
      <c r="I1241" s="161">
        <f t="shared" si="29"/>
        <v>200000</v>
      </c>
      <c r="J1241" s="164">
        <f t="shared" si="30"/>
        <v>200000</v>
      </c>
      <c r="K1241" s="56" t="s">
        <v>6381</v>
      </c>
      <c r="L1241" s="165" t="s">
        <v>6382</v>
      </c>
      <c r="M1241" s="73"/>
      <c r="N1241" s="171"/>
      <c r="O1241" s="169" t="s">
        <v>6130</v>
      </c>
      <c r="P1241" s="348" t="s">
        <v>3112</v>
      </c>
      <c r="Q1241" s="173"/>
      <c r="R1241" s="173"/>
      <c r="S1241" s="167">
        <v>200000.0</v>
      </c>
      <c r="T1241" s="173"/>
      <c r="U1241" s="173"/>
      <c r="V1241" s="168" t="s">
        <v>3883</v>
      </c>
      <c r="W1241" s="169"/>
      <c r="X1241" s="169" t="s">
        <v>6385</v>
      </c>
    </row>
    <row r="1242" ht="15.0" customHeight="1">
      <c r="A1242" s="290">
        <v>45660.0</v>
      </c>
      <c r="B1242" s="291" t="s">
        <v>6386</v>
      </c>
      <c r="C1242" s="292" t="s">
        <v>5907</v>
      </c>
      <c r="D1242" s="293" t="str">
        <f>IFERROR(VLOOKUP(C1242,Stock,3,FALSE),"")</f>
        <v>Toyota Kijang 02-04 Kapsul Lem Efi</v>
      </c>
      <c r="E1242" s="292">
        <v>1.0</v>
      </c>
      <c r="F1242" s="294">
        <v>1428000.0</v>
      </c>
      <c r="G1242" s="295">
        <f t="shared" si="32"/>
        <v>1428000</v>
      </c>
      <c r="H1242" s="350">
        <v>28000.0</v>
      </c>
      <c r="I1242" s="294">
        <f t="shared" si="29"/>
        <v>1400000</v>
      </c>
      <c r="J1242" s="164">
        <f t="shared" si="30"/>
        <v>1400000</v>
      </c>
      <c r="K1242" s="292" t="s">
        <v>6387</v>
      </c>
      <c r="L1242" s="298" t="s">
        <v>6388</v>
      </c>
      <c r="M1242" s="293"/>
      <c r="N1242" s="351" t="s">
        <v>6389</v>
      </c>
      <c r="O1242" s="300" t="s">
        <v>3037</v>
      </c>
      <c r="P1242" s="352" t="s">
        <v>3112</v>
      </c>
      <c r="Q1242" s="303">
        <v>1400000.0</v>
      </c>
      <c r="R1242" s="302"/>
      <c r="S1242" s="302"/>
      <c r="T1242" s="302"/>
      <c r="U1242" s="302"/>
      <c r="V1242" s="301" t="s">
        <v>3883</v>
      </c>
      <c r="W1242" s="300"/>
      <c r="X1242" s="353">
        <v>45748.0</v>
      </c>
    </row>
    <row r="1243" ht="15.0" customHeight="1">
      <c r="A1243" s="127">
        <v>45660.0</v>
      </c>
      <c r="B1243" s="181" t="s">
        <v>6390</v>
      </c>
      <c r="C1243" s="330" t="s">
        <v>3707</v>
      </c>
      <c r="D1243" s="73" t="str">
        <f>IFERROR(VLOOKUP(C1243,Stock,3,FALSE),"")</f>
        <v>Mitsubishi Pajero 16-</v>
      </c>
      <c r="E1243" s="56">
        <v>1.0</v>
      </c>
      <c r="F1243" s="161">
        <v>1800000.0</v>
      </c>
      <c r="G1243" s="162">
        <f t="shared" si="32"/>
        <v>1800000</v>
      </c>
      <c r="H1243" s="201">
        <v>100000.0</v>
      </c>
      <c r="I1243" s="161">
        <f t="shared" si="29"/>
        <v>1700000</v>
      </c>
      <c r="J1243" s="164">
        <f t="shared" si="30"/>
        <v>1700000</v>
      </c>
      <c r="K1243" s="197" t="s">
        <v>6391</v>
      </c>
      <c r="L1243" s="165" t="s">
        <v>6392</v>
      </c>
      <c r="M1243" s="73"/>
      <c r="N1243" s="289" t="s">
        <v>6393</v>
      </c>
      <c r="O1243" s="169" t="s">
        <v>2958</v>
      </c>
      <c r="P1243" s="348" t="s">
        <v>3112</v>
      </c>
      <c r="Q1243" s="173"/>
      <c r="R1243" s="167">
        <v>1700000.0</v>
      </c>
      <c r="S1243" s="173"/>
      <c r="T1243" s="173"/>
      <c r="U1243" s="173"/>
      <c r="V1243" s="168" t="s">
        <v>3883</v>
      </c>
      <c r="W1243" s="169"/>
      <c r="X1243" s="169" t="s">
        <v>6394</v>
      </c>
    </row>
    <row r="1244" ht="15.0" customHeight="1">
      <c r="A1244" s="127">
        <v>45660.0</v>
      </c>
      <c r="B1244" s="181" t="s">
        <v>6395</v>
      </c>
      <c r="C1244" s="56" t="s">
        <v>6396</v>
      </c>
      <c r="D1244" s="73" t="str">
        <f>IFERROR(VLOOKUP(C1244,Stock,3,FALSE),"")</f>
        <v>Geely Panda 09- LC Hatchback</v>
      </c>
      <c r="E1244" s="56">
        <v>1.0</v>
      </c>
      <c r="F1244" s="161">
        <v>2579000.0</v>
      </c>
      <c r="G1244" s="162">
        <f t="shared" si="32"/>
        <v>2579000</v>
      </c>
      <c r="H1244" s="194"/>
      <c r="I1244" s="161">
        <f t="shared" si="29"/>
        <v>2579000</v>
      </c>
      <c r="J1244" s="164">
        <f t="shared" si="30"/>
        <v>2579000</v>
      </c>
      <c r="K1244" s="56" t="s">
        <v>6397</v>
      </c>
      <c r="L1244" s="165" t="s">
        <v>6398</v>
      </c>
      <c r="M1244" s="73"/>
      <c r="N1244" s="171"/>
      <c r="O1244" s="169" t="s">
        <v>3213</v>
      </c>
      <c r="P1244" s="348" t="s">
        <v>3112</v>
      </c>
      <c r="Q1244" s="173"/>
      <c r="R1244" s="167">
        <v>2579000.0</v>
      </c>
      <c r="S1244" s="173"/>
      <c r="T1244" s="173"/>
      <c r="U1244" s="173"/>
      <c r="V1244" s="168" t="s">
        <v>3883</v>
      </c>
      <c r="W1244" s="169"/>
      <c r="X1244" s="317" t="s">
        <v>6399</v>
      </c>
    </row>
    <row r="1245" ht="15.0" customHeight="1">
      <c r="A1245" s="290">
        <v>45661.0</v>
      </c>
      <c r="B1245" s="291" t="s">
        <v>6400</v>
      </c>
      <c r="C1245" s="292" t="s">
        <v>3273</v>
      </c>
      <c r="D1245" s="293" t="str">
        <f>IFERROR(VLOOKUP(C1245,Stock,3,FALSE),"")</f>
        <v>Pemasangan Kaca Mobil Belakang</v>
      </c>
      <c r="E1245" s="292">
        <v>1.0</v>
      </c>
      <c r="F1245" s="294">
        <v>450000.0</v>
      </c>
      <c r="G1245" s="295">
        <f t="shared" si="32"/>
        <v>450000</v>
      </c>
      <c r="H1245" s="296"/>
      <c r="I1245" s="294">
        <f t="shared" si="29"/>
        <v>450000</v>
      </c>
      <c r="J1245" s="164">
        <f t="shared" si="30"/>
        <v>450000</v>
      </c>
      <c r="K1245" s="292" t="s">
        <v>6401</v>
      </c>
      <c r="L1245" s="298" t="s">
        <v>6402</v>
      </c>
      <c r="M1245" s="293"/>
      <c r="N1245" s="300" t="s">
        <v>6403</v>
      </c>
      <c r="O1245" s="300" t="s">
        <v>6404</v>
      </c>
      <c r="P1245" s="352" t="s">
        <v>3112</v>
      </c>
      <c r="Q1245" s="303">
        <v>450000.0</v>
      </c>
      <c r="R1245" s="302"/>
      <c r="S1245" s="302"/>
      <c r="T1245" s="302"/>
      <c r="U1245" s="302"/>
      <c r="V1245" s="301" t="s">
        <v>3883</v>
      </c>
      <c r="W1245" s="300"/>
      <c r="X1245" s="300" t="s">
        <v>6405</v>
      </c>
    </row>
    <row r="1246" ht="15.0" customHeight="1">
      <c r="A1246" s="290">
        <v>45661.0</v>
      </c>
      <c r="B1246" s="291" t="s">
        <v>6406</v>
      </c>
      <c r="C1246" s="292" t="s">
        <v>3934</v>
      </c>
      <c r="D1246" s="293" t="str">
        <f>IFERROR(VLOOKUP(C1246,Stock,3,FALSE),"")</f>
        <v>Toyota Avanza / Xenia 11-15 2nd Gen / 15-21 3rd Gen</v>
      </c>
      <c r="E1246" s="292">
        <v>1.0</v>
      </c>
      <c r="F1246" s="294">
        <v>450000.0</v>
      </c>
      <c r="G1246" s="295">
        <f t="shared" si="32"/>
        <v>450000</v>
      </c>
      <c r="H1246" s="296"/>
      <c r="I1246" s="294">
        <f t="shared" si="29"/>
        <v>450000</v>
      </c>
      <c r="J1246" s="164">
        <f t="shared" si="30"/>
        <v>450000</v>
      </c>
      <c r="K1246" s="292" t="s">
        <v>6407</v>
      </c>
      <c r="L1246" s="298" t="s">
        <v>6408</v>
      </c>
      <c r="M1246" s="293"/>
      <c r="N1246" s="299"/>
      <c r="O1246" s="300" t="s">
        <v>2968</v>
      </c>
      <c r="P1246" s="352" t="s">
        <v>3112</v>
      </c>
      <c r="Q1246" s="303">
        <v>450000.0</v>
      </c>
      <c r="R1246" s="302"/>
      <c r="S1246" s="302"/>
      <c r="T1246" s="302"/>
      <c r="U1246" s="302"/>
      <c r="V1246" s="301" t="s">
        <v>3883</v>
      </c>
      <c r="W1246" s="300"/>
      <c r="X1246" s="300" t="s">
        <v>6405</v>
      </c>
    </row>
    <row r="1247" ht="15.0" customHeight="1">
      <c r="A1247" s="290">
        <v>45661.0</v>
      </c>
      <c r="B1247" s="291" t="s">
        <v>6409</v>
      </c>
      <c r="C1247" s="292" t="s">
        <v>3201</v>
      </c>
      <c r="D1247" s="293" t="str">
        <f>IFERROR(VLOOKUP(C1247,Stock,3,FALSE),"")</f>
        <v>Honda Freed 08-16 1st gen</v>
      </c>
      <c r="E1247" s="292">
        <v>1.0</v>
      </c>
      <c r="F1247" s="294">
        <v>1818000.0</v>
      </c>
      <c r="G1247" s="295">
        <f t="shared" si="32"/>
        <v>1818000</v>
      </c>
      <c r="H1247" s="296"/>
      <c r="I1247" s="294">
        <f t="shared" si="29"/>
        <v>1818000</v>
      </c>
      <c r="J1247" s="164">
        <f t="shared" si="30"/>
        <v>1818000</v>
      </c>
      <c r="K1247" s="292" t="s">
        <v>6410</v>
      </c>
      <c r="L1247" s="298" t="s">
        <v>6411</v>
      </c>
      <c r="M1247" s="293"/>
      <c r="N1247" s="300" t="s">
        <v>6412</v>
      </c>
      <c r="O1247" s="300" t="s">
        <v>2958</v>
      </c>
      <c r="P1247" s="352" t="s">
        <v>3011</v>
      </c>
      <c r="Q1247" s="303">
        <v>1818000.0</v>
      </c>
      <c r="R1247" s="302"/>
      <c r="S1247" s="302"/>
      <c r="T1247" s="302"/>
      <c r="U1247" s="302"/>
      <c r="V1247" s="301" t="s">
        <v>3883</v>
      </c>
      <c r="W1247" s="300"/>
      <c r="X1247" s="300" t="s">
        <v>6405</v>
      </c>
    </row>
    <row r="1248" ht="15.0" customHeight="1">
      <c r="A1248" s="290">
        <v>45661.0</v>
      </c>
      <c r="B1248" s="291" t="s">
        <v>6409</v>
      </c>
      <c r="C1248" s="292" t="s">
        <v>3355</v>
      </c>
      <c r="D1248" s="293" t="str">
        <f>IFERROR(VLOOKUP(C1248,Stock,3,FALSE),"")</f>
        <v>List Kaca Depan INV</v>
      </c>
      <c r="E1248" s="292">
        <v>1.0</v>
      </c>
      <c r="F1248" s="294">
        <v>315000.0</v>
      </c>
      <c r="G1248" s="295">
        <f t="shared" si="32"/>
        <v>315000</v>
      </c>
      <c r="H1248" s="296"/>
      <c r="I1248" s="294">
        <f t="shared" si="29"/>
        <v>315000</v>
      </c>
      <c r="J1248" s="164">
        <f t="shared" si="30"/>
        <v>315000</v>
      </c>
      <c r="K1248" s="292" t="s">
        <v>6410</v>
      </c>
      <c r="L1248" s="298" t="s">
        <v>6411</v>
      </c>
      <c r="M1248" s="293"/>
      <c r="N1248" s="300" t="s">
        <v>6412</v>
      </c>
      <c r="O1248" s="300" t="s">
        <v>2958</v>
      </c>
      <c r="P1248" s="352" t="s">
        <v>3011</v>
      </c>
      <c r="Q1248" s="303">
        <v>315000.0</v>
      </c>
      <c r="R1248" s="302"/>
      <c r="S1248" s="302"/>
      <c r="T1248" s="302"/>
      <c r="U1248" s="302"/>
      <c r="V1248" s="301" t="s">
        <v>3883</v>
      </c>
      <c r="W1248" s="300"/>
      <c r="X1248" s="300" t="s">
        <v>6405</v>
      </c>
    </row>
    <row r="1249" ht="15.0" customHeight="1">
      <c r="A1249" s="127">
        <v>45661.0</v>
      </c>
      <c r="B1249" s="181" t="s">
        <v>6413</v>
      </c>
      <c r="C1249" s="330" t="s">
        <v>2623</v>
      </c>
      <c r="D1249" s="73" t="str">
        <f>IFERROR(VLOOKUP(C1249,Stock,3,FALSE),"")</f>
        <v>Honda Civic 05-11 8th Gen (Civic Batman FD)</v>
      </c>
      <c r="E1249" s="56">
        <v>1.0</v>
      </c>
      <c r="F1249" s="161">
        <v>3298000.0</v>
      </c>
      <c r="G1249" s="162">
        <f t="shared" si="32"/>
        <v>3298000</v>
      </c>
      <c r="H1249" s="201">
        <v>100000.0</v>
      </c>
      <c r="I1249" s="161">
        <f t="shared" si="29"/>
        <v>3198000</v>
      </c>
      <c r="J1249" s="164">
        <f t="shared" si="30"/>
        <v>3198000</v>
      </c>
      <c r="K1249" s="56" t="s">
        <v>6414</v>
      </c>
      <c r="L1249" s="165" t="s">
        <v>6415</v>
      </c>
      <c r="M1249" s="73"/>
      <c r="N1249" s="171"/>
      <c r="O1249" s="169" t="s">
        <v>3204</v>
      </c>
      <c r="P1249" s="348" t="s">
        <v>3112</v>
      </c>
      <c r="Q1249" s="173"/>
      <c r="R1249" s="167">
        <v>3198000.0</v>
      </c>
      <c r="S1249" s="173"/>
      <c r="T1249" s="173"/>
      <c r="U1249" s="173"/>
      <c r="V1249" s="168" t="s">
        <v>3883</v>
      </c>
      <c r="W1249" s="169"/>
      <c r="X1249" s="171"/>
    </row>
    <row r="1250" ht="15.0" customHeight="1">
      <c r="A1250" s="127">
        <v>45661.0</v>
      </c>
      <c r="B1250" s="181" t="s">
        <v>6413</v>
      </c>
      <c r="C1250" s="251" t="s">
        <v>2954</v>
      </c>
      <c r="D1250" s="73" t="str">
        <f>IFERROR(VLOOKUP(C1250,Stock,3,FALSE),"")</f>
        <v>Transport</v>
      </c>
      <c r="E1250" s="56">
        <v>1.0</v>
      </c>
      <c r="F1250" s="161">
        <v>100000.0</v>
      </c>
      <c r="G1250" s="162">
        <f t="shared" si="32"/>
        <v>100000</v>
      </c>
      <c r="H1250" s="194"/>
      <c r="I1250" s="161">
        <f t="shared" si="29"/>
        <v>100000</v>
      </c>
      <c r="J1250" s="164">
        <f t="shared" si="30"/>
        <v>100000</v>
      </c>
      <c r="K1250" s="56" t="s">
        <v>6414</v>
      </c>
      <c r="L1250" s="165" t="s">
        <v>6415</v>
      </c>
      <c r="M1250" s="73"/>
      <c r="N1250" s="171"/>
      <c r="O1250" s="169" t="s">
        <v>3204</v>
      </c>
      <c r="P1250" s="348" t="s">
        <v>3112</v>
      </c>
      <c r="Q1250" s="173"/>
      <c r="R1250" s="167">
        <v>100000.0</v>
      </c>
      <c r="S1250" s="173"/>
      <c r="T1250" s="173"/>
      <c r="U1250" s="173"/>
      <c r="V1250" s="168" t="s">
        <v>3883</v>
      </c>
      <c r="W1250" s="169"/>
      <c r="X1250" s="171"/>
    </row>
    <row r="1251" ht="15.0" customHeight="1">
      <c r="A1251" s="127">
        <v>45661.0</v>
      </c>
      <c r="B1251" s="181" t="s">
        <v>6416</v>
      </c>
      <c r="C1251" s="56" t="s">
        <v>3045</v>
      </c>
      <c r="D1251" s="73" t="str">
        <f>IFERROR(VLOOKUP(C1251,Stock,3,FALSE),"")</f>
        <v>Pemasangan Kaca Mobil Depan</v>
      </c>
      <c r="E1251" s="56">
        <v>1.0</v>
      </c>
      <c r="F1251" s="161">
        <v>550000.0</v>
      </c>
      <c r="G1251" s="162">
        <f t="shared" si="32"/>
        <v>550000</v>
      </c>
      <c r="H1251" s="194"/>
      <c r="I1251" s="161">
        <f t="shared" si="29"/>
        <v>550000</v>
      </c>
      <c r="J1251" s="164">
        <f t="shared" si="30"/>
        <v>550000</v>
      </c>
      <c r="K1251" s="56" t="s">
        <v>6172</v>
      </c>
      <c r="L1251" s="354" t="s">
        <v>6173</v>
      </c>
      <c r="M1251" s="73"/>
      <c r="N1251" s="171"/>
      <c r="O1251" s="169" t="s">
        <v>2958</v>
      </c>
      <c r="P1251" s="348" t="s">
        <v>3112</v>
      </c>
      <c r="Q1251" s="173"/>
      <c r="R1251" s="167">
        <v>1100000.0</v>
      </c>
      <c r="S1251" s="173"/>
      <c r="T1251" s="173"/>
      <c r="U1251" s="173"/>
      <c r="V1251" s="168" t="s">
        <v>3883</v>
      </c>
      <c r="W1251" s="169"/>
      <c r="X1251" s="171"/>
    </row>
    <row r="1252" ht="15.0" customHeight="1">
      <c r="A1252" s="127">
        <v>45661.0</v>
      </c>
      <c r="B1252" s="181" t="s">
        <v>6416</v>
      </c>
      <c r="C1252" s="56" t="s">
        <v>3273</v>
      </c>
      <c r="D1252" s="73" t="str">
        <f>IFERROR(VLOOKUP(C1252,Stock,3,FALSE),"")</f>
        <v>Pemasangan Kaca Mobil Belakang</v>
      </c>
      <c r="E1252" s="56">
        <v>1.0</v>
      </c>
      <c r="F1252" s="161">
        <v>550000.0</v>
      </c>
      <c r="G1252" s="162">
        <f t="shared" si="32"/>
        <v>550000</v>
      </c>
      <c r="H1252" s="194"/>
      <c r="I1252" s="161">
        <f t="shared" si="29"/>
        <v>550000</v>
      </c>
      <c r="J1252" s="164">
        <f t="shared" si="30"/>
        <v>550000</v>
      </c>
      <c r="K1252" s="56" t="s">
        <v>6172</v>
      </c>
      <c r="L1252" s="165" t="s">
        <v>6173</v>
      </c>
      <c r="M1252" s="73"/>
      <c r="N1252" s="171"/>
      <c r="O1252" s="169" t="s">
        <v>2958</v>
      </c>
      <c r="P1252" s="348" t="s">
        <v>3112</v>
      </c>
      <c r="Q1252" s="173"/>
      <c r="R1252" s="173"/>
      <c r="S1252" s="173"/>
      <c r="T1252" s="173"/>
      <c r="U1252" s="173"/>
      <c r="V1252" s="168" t="s">
        <v>3883</v>
      </c>
      <c r="W1252" s="169"/>
      <c r="X1252" s="171"/>
    </row>
    <row r="1253" ht="15.0" customHeight="1">
      <c r="A1253" s="127">
        <v>45661.0</v>
      </c>
      <c r="B1253" s="181" t="s">
        <v>6417</v>
      </c>
      <c r="C1253" s="251" t="s">
        <v>3223</v>
      </c>
      <c r="D1253" s="73" t="str">
        <f>IFERROR(VLOOKUP(C1253,Stock,3,FALSE),"")</f>
        <v>Mitsubishi Strada Triton 08-15</v>
      </c>
      <c r="E1253" s="56">
        <v>1.0</v>
      </c>
      <c r="F1253" s="161">
        <v>1201000.0</v>
      </c>
      <c r="G1253" s="162">
        <f t="shared" si="32"/>
        <v>1201000</v>
      </c>
      <c r="H1253" s="194"/>
      <c r="I1253" s="161">
        <f t="shared" si="29"/>
        <v>1201000</v>
      </c>
      <c r="J1253" s="164">
        <f t="shared" si="30"/>
        <v>1201000</v>
      </c>
      <c r="K1253" s="56" t="s">
        <v>6418</v>
      </c>
      <c r="L1253" s="165" t="s">
        <v>6419</v>
      </c>
      <c r="M1253" s="73"/>
      <c r="N1253" s="171"/>
      <c r="O1253" s="169" t="s">
        <v>5220</v>
      </c>
      <c r="P1253" s="348" t="s">
        <v>6420</v>
      </c>
      <c r="Q1253" s="173"/>
      <c r="R1253" s="173"/>
      <c r="S1253" s="167">
        <v>1201000.0</v>
      </c>
      <c r="T1253" s="167">
        <v>90075.0</v>
      </c>
      <c r="U1253" s="173"/>
      <c r="V1253" s="168" t="s">
        <v>3883</v>
      </c>
      <c r="W1253" s="169"/>
      <c r="X1253" s="355">
        <v>45679.0</v>
      </c>
    </row>
    <row r="1254" ht="15.0" customHeight="1">
      <c r="A1254" s="127">
        <v>45661.0</v>
      </c>
      <c r="B1254" s="181" t="s">
        <v>6417</v>
      </c>
      <c r="C1254" s="251" t="s">
        <v>2934</v>
      </c>
      <c r="D1254" s="73" t="str">
        <f>IFERROR(VLOOKUP(C1254,Stock,3,FALSE),"")</f>
        <v>Peti Kayu</v>
      </c>
      <c r="E1254" s="56">
        <v>1.0</v>
      </c>
      <c r="F1254" s="161">
        <v>200000.0</v>
      </c>
      <c r="G1254" s="162">
        <f t="shared" si="32"/>
        <v>200000</v>
      </c>
      <c r="H1254" s="194"/>
      <c r="I1254" s="161">
        <f t="shared" si="29"/>
        <v>200000</v>
      </c>
      <c r="J1254" s="164">
        <f t="shared" si="30"/>
        <v>200000</v>
      </c>
      <c r="K1254" s="56" t="s">
        <v>6418</v>
      </c>
      <c r="L1254" s="165" t="s">
        <v>6419</v>
      </c>
      <c r="M1254" s="73"/>
      <c r="N1254" s="171"/>
      <c r="O1254" s="169" t="s">
        <v>5220</v>
      </c>
      <c r="P1254" s="348" t="s">
        <v>6420</v>
      </c>
      <c r="Q1254" s="173"/>
      <c r="R1254" s="167">
        <v>200000.0</v>
      </c>
      <c r="S1254" s="173"/>
      <c r="T1254" s="173"/>
      <c r="U1254" s="173"/>
      <c r="V1254" s="168" t="s">
        <v>3883</v>
      </c>
      <c r="W1254" s="169"/>
      <c r="X1254" s="171"/>
    </row>
    <row r="1255" ht="15.0" customHeight="1">
      <c r="A1255" s="127">
        <v>45661.0</v>
      </c>
      <c r="B1255" s="181" t="s">
        <v>6417</v>
      </c>
      <c r="C1255" s="181" t="s">
        <v>2954</v>
      </c>
      <c r="D1255" s="73" t="str">
        <f>IFERROR(VLOOKUP(C1255,Stock,3,FALSE),"")</f>
        <v>Transport</v>
      </c>
      <c r="E1255" s="56">
        <v>1.0</v>
      </c>
      <c r="F1255" s="161">
        <v>100000.0</v>
      </c>
      <c r="G1255" s="162">
        <f t="shared" si="32"/>
        <v>100000</v>
      </c>
      <c r="H1255" s="194"/>
      <c r="I1255" s="161">
        <f t="shared" si="29"/>
        <v>100000</v>
      </c>
      <c r="J1255" s="164">
        <f t="shared" si="30"/>
        <v>100000</v>
      </c>
      <c r="K1255" s="56" t="s">
        <v>6418</v>
      </c>
      <c r="L1255" s="165" t="s">
        <v>6419</v>
      </c>
      <c r="M1255" s="73"/>
      <c r="N1255" s="171"/>
      <c r="O1255" s="169" t="s">
        <v>5220</v>
      </c>
      <c r="P1255" s="348" t="s">
        <v>6420</v>
      </c>
      <c r="Q1255" s="173"/>
      <c r="R1255" s="167">
        <v>100000.0</v>
      </c>
      <c r="S1255" s="173"/>
      <c r="T1255" s="173"/>
      <c r="U1255" s="173"/>
      <c r="V1255" s="168" t="s">
        <v>3883</v>
      </c>
      <c r="W1255" s="169"/>
      <c r="X1255" s="171"/>
    </row>
    <row r="1256" ht="15.0" customHeight="1">
      <c r="A1256" s="127">
        <v>45661.0</v>
      </c>
      <c r="B1256" s="181" t="s">
        <v>6421</v>
      </c>
      <c r="C1256" s="56" t="s">
        <v>2691</v>
      </c>
      <c r="D1256" s="73" t="str">
        <f>IFERROR(VLOOKUP(C1256,Stock,3,FALSE),"")</f>
        <v>Suzuki Ertiga 12-18 1st Gen MPV</v>
      </c>
      <c r="E1256" s="56">
        <v>1.0</v>
      </c>
      <c r="F1256" s="161">
        <v>1360000.0</v>
      </c>
      <c r="G1256" s="162">
        <f t="shared" si="32"/>
        <v>1360000</v>
      </c>
      <c r="H1256" s="194"/>
      <c r="I1256" s="161">
        <f t="shared" si="29"/>
        <v>1360000</v>
      </c>
      <c r="J1256" s="164">
        <f t="shared" si="30"/>
        <v>1360000</v>
      </c>
      <c r="K1256" s="56" t="s">
        <v>6422</v>
      </c>
      <c r="L1256" s="165" t="s">
        <v>6423</v>
      </c>
      <c r="M1256" s="73"/>
      <c r="N1256" s="171"/>
      <c r="O1256" s="169" t="s">
        <v>2958</v>
      </c>
      <c r="P1256" s="348" t="s">
        <v>3112</v>
      </c>
      <c r="Q1256" s="173"/>
      <c r="R1256" s="167">
        <v>1360000.0</v>
      </c>
      <c r="S1256" s="173"/>
      <c r="T1256" s="173"/>
      <c r="U1256" s="173"/>
      <c r="V1256" s="168" t="s">
        <v>3883</v>
      </c>
      <c r="W1256" s="169"/>
      <c r="X1256" s="171"/>
    </row>
    <row r="1257" ht="15.0" customHeight="1">
      <c r="A1257" s="356">
        <v>45661.0</v>
      </c>
      <c r="B1257" s="357" t="s">
        <v>6421</v>
      </c>
      <c r="C1257" s="358" t="s">
        <v>6424</v>
      </c>
      <c r="D1257" s="359" t="str">
        <f>IFERROR(VLOOKUP(C1257,Stock,3,FALSE),"")</f>
        <v>Automotive Film Standard - Black 40%                                </v>
      </c>
      <c r="E1257" s="358">
        <v>1.0</v>
      </c>
      <c r="F1257" s="204">
        <v>350000.0</v>
      </c>
      <c r="G1257" s="198">
        <f t="shared" si="32"/>
        <v>350000</v>
      </c>
      <c r="H1257" s="360"/>
      <c r="I1257" s="204">
        <f t="shared" si="29"/>
        <v>350000</v>
      </c>
      <c r="J1257" s="164">
        <f t="shared" si="30"/>
        <v>350000</v>
      </c>
      <c r="K1257" s="358" t="s">
        <v>6422</v>
      </c>
      <c r="L1257" s="361" t="s">
        <v>6423</v>
      </c>
      <c r="M1257" s="359"/>
      <c r="N1257" s="362"/>
      <c r="O1257" s="363" t="s">
        <v>2958</v>
      </c>
      <c r="P1257" s="364" t="s">
        <v>3112</v>
      </c>
      <c r="Q1257" s="365"/>
      <c r="R1257" s="366">
        <v>350000.0</v>
      </c>
      <c r="S1257" s="365"/>
      <c r="T1257" s="365"/>
      <c r="U1257" s="365"/>
      <c r="V1257" s="367" t="s">
        <v>3883</v>
      </c>
      <c r="W1257" s="363"/>
      <c r="X1257" s="362"/>
    </row>
    <row r="1258" ht="15.0" customHeight="1">
      <c r="A1258" s="127">
        <v>45662.0</v>
      </c>
      <c r="B1258" s="181" t="s">
        <v>6425</v>
      </c>
      <c r="C1258" s="56" t="s">
        <v>3360</v>
      </c>
      <c r="D1258" s="73" t="str">
        <f>IFERROR(VLOOKUP(C1258,Stock,3,FALSE),"")</f>
        <v>Mitsubishi Xpander 17-</v>
      </c>
      <c r="E1258" s="56">
        <v>1.0</v>
      </c>
      <c r="F1258" s="161">
        <v>1800000.0</v>
      </c>
      <c r="G1258" s="162">
        <f t="shared" si="32"/>
        <v>1800000</v>
      </c>
      <c r="H1258" s="194"/>
      <c r="I1258" s="161">
        <f t="shared" si="29"/>
        <v>1800000</v>
      </c>
      <c r="J1258" s="164">
        <f t="shared" si="30"/>
        <v>1800000</v>
      </c>
      <c r="K1258" s="56" t="s">
        <v>5406</v>
      </c>
      <c r="L1258" s="165" t="s">
        <v>6426</v>
      </c>
      <c r="M1258" s="73"/>
      <c r="N1258" s="169" t="s">
        <v>6427</v>
      </c>
      <c r="O1258" s="169" t="s">
        <v>2958</v>
      </c>
      <c r="P1258" s="348" t="s">
        <v>3112</v>
      </c>
      <c r="Q1258" s="173"/>
      <c r="R1258" s="167">
        <v>1800000.0</v>
      </c>
      <c r="S1258" s="173"/>
      <c r="T1258" s="173"/>
      <c r="U1258" s="173"/>
      <c r="V1258" s="168" t="s">
        <v>3883</v>
      </c>
      <c r="W1258" s="169"/>
      <c r="X1258" s="171"/>
    </row>
    <row r="1259" ht="15.0" customHeight="1">
      <c r="A1259" s="127">
        <v>45662.0</v>
      </c>
      <c r="B1259" s="181" t="s">
        <v>6428</v>
      </c>
      <c r="C1259" s="56" t="s">
        <v>2936</v>
      </c>
      <c r="D1259" s="73" t="str">
        <f>IFERROR(VLOOKUP(C1259,Stock,3,FALSE),"")</f>
        <v>Toyota Calya / Sigra 16-</v>
      </c>
      <c r="E1259" s="56">
        <v>1.0</v>
      </c>
      <c r="F1259" s="161">
        <v>748000.0</v>
      </c>
      <c r="G1259" s="162">
        <f t="shared" si="32"/>
        <v>748000</v>
      </c>
      <c r="H1259" s="194"/>
      <c r="I1259" s="161">
        <f t="shared" si="29"/>
        <v>748000</v>
      </c>
      <c r="J1259" s="164">
        <f t="shared" si="30"/>
        <v>748000</v>
      </c>
      <c r="K1259" s="56" t="s">
        <v>6429</v>
      </c>
      <c r="L1259" s="165" t="s">
        <v>6430</v>
      </c>
      <c r="M1259" s="73"/>
      <c r="N1259" s="171"/>
      <c r="O1259" s="169" t="s">
        <v>3213</v>
      </c>
      <c r="P1259" s="348" t="s">
        <v>3112</v>
      </c>
      <c r="Q1259" s="173"/>
      <c r="R1259" s="167">
        <v>748000.0</v>
      </c>
      <c r="S1259" s="173"/>
      <c r="T1259" s="173"/>
      <c r="U1259" s="173"/>
      <c r="V1259" s="168" t="s">
        <v>3883</v>
      </c>
      <c r="W1259" s="169"/>
      <c r="X1259" s="171"/>
    </row>
    <row r="1260" ht="15.0" customHeight="1">
      <c r="A1260" s="290">
        <v>45663.0</v>
      </c>
      <c r="B1260" s="291" t="s">
        <v>6431</v>
      </c>
      <c r="C1260" s="292" t="s">
        <v>3745</v>
      </c>
      <c r="D1260" s="293" t="str">
        <f>IFERROR(VLOOKUP(C1260,Stock,3,FALSE),"")</f>
        <v>Honda Brio 10- / Mobilio 11-</v>
      </c>
      <c r="E1260" s="292">
        <v>1.0</v>
      </c>
      <c r="F1260" s="294">
        <v>1748000.0</v>
      </c>
      <c r="G1260" s="295">
        <f t="shared" si="32"/>
        <v>1748000</v>
      </c>
      <c r="H1260" s="296"/>
      <c r="I1260" s="294">
        <f t="shared" si="29"/>
        <v>1748000</v>
      </c>
      <c r="J1260" s="164">
        <f t="shared" si="30"/>
        <v>1748000</v>
      </c>
      <c r="K1260" s="292" t="s">
        <v>6432</v>
      </c>
      <c r="L1260" s="298" t="s">
        <v>6433</v>
      </c>
      <c r="M1260" s="293"/>
      <c r="N1260" s="300" t="s">
        <v>6434</v>
      </c>
      <c r="O1260" s="300" t="s">
        <v>2958</v>
      </c>
      <c r="P1260" s="352" t="s">
        <v>3645</v>
      </c>
      <c r="Q1260" s="303">
        <v>1800000.0</v>
      </c>
      <c r="R1260" s="302"/>
      <c r="S1260" s="302"/>
      <c r="T1260" s="302"/>
      <c r="U1260" s="303">
        <v>52000.0</v>
      </c>
      <c r="V1260" s="301" t="s">
        <v>3883</v>
      </c>
      <c r="W1260" s="300"/>
      <c r="X1260" s="300" t="s">
        <v>6405</v>
      </c>
    </row>
    <row r="1261" ht="15.0" customHeight="1">
      <c r="A1261" s="290">
        <v>45663.0</v>
      </c>
      <c r="B1261" s="368" t="s">
        <v>6435</v>
      </c>
      <c r="C1261" s="369" t="s">
        <v>2639</v>
      </c>
      <c r="D1261" s="293" t="str">
        <f>IFERROR(VLOOKUP(C1261,Stock,3,FALSE),"")</f>
        <v>Kia Sonet 21-</v>
      </c>
      <c r="E1261" s="292">
        <v>1.0</v>
      </c>
      <c r="F1261" s="294">
        <v>2050000.0</v>
      </c>
      <c r="G1261" s="295">
        <f t="shared" si="32"/>
        <v>2050000</v>
      </c>
      <c r="H1261" s="296"/>
      <c r="I1261" s="294">
        <f t="shared" si="29"/>
        <v>2050000</v>
      </c>
      <c r="J1261" s="164">
        <f t="shared" si="30"/>
        <v>2050000</v>
      </c>
      <c r="K1261" s="370" t="s">
        <v>6436</v>
      </c>
      <c r="L1261" s="298" t="s">
        <v>6437</v>
      </c>
      <c r="M1261" s="293"/>
      <c r="N1261" s="351" t="s">
        <v>6438</v>
      </c>
      <c r="O1261" s="300" t="s">
        <v>2958</v>
      </c>
      <c r="P1261" s="352" t="s">
        <v>3112</v>
      </c>
      <c r="Q1261" s="303">
        <v>2050000.0</v>
      </c>
      <c r="R1261" s="302"/>
      <c r="S1261" s="302"/>
      <c r="T1261" s="302"/>
      <c r="U1261" s="302"/>
      <c r="V1261" s="301" t="s">
        <v>3799</v>
      </c>
      <c r="W1261" s="300"/>
      <c r="X1261" s="300" t="s">
        <v>6405</v>
      </c>
    </row>
    <row r="1262" ht="15.0" customHeight="1">
      <c r="A1262" s="127">
        <v>45664.0</v>
      </c>
      <c r="B1262" s="181" t="s">
        <v>6439</v>
      </c>
      <c r="C1262" s="56" t="s">
        <v>4988</v>
      </c>
      <c r="D1262" s="73" t="str">
        <f>IFERROR(VLOOKUP(C1262,Stock,3,FALSE),"")</f>
        <v>Toyota Innova 15- 2nd Gen</v>
      </c>
      <c r="E1262" s="56">
        <v>1.0</v>
      </c>
      <c r="F1262" s="161">
        <v>1764000.0</v>
      </c>
      <c r="G1262" s="162">
        <f t="shared" si="32"/>
        <v>1764000</v>
      </c>
      <c r="H1262" s="201">
        <v>64000.0</v>
      </c>
      <c r="I1262" s="161">
        <f t="shared" si="29"/>
        <v>1700000</v>
      </c>
      <c r="J1262" s="164">
        <f t="shared" si="30"/>
        <v>1700000</v>
      </c>
      <c r="K1262" s="307" t="s">
        <v>6440</v>
      </c>
      <c r="L1262" s="165" t="s">
        <v>6441</v>
      </c>
      <c r="M1262" s="73"/>
      <c r="N1262" s="289" t="s">
        <v>6442</v>
      </c>
      <c r="O1262" s="169" t="s">
        <v>2958</v>
      </c>
      <c r="P1262" s="348" t="s">
        <v>3054</v>
      </c>
      <c r="Q1262" s="173"/>
      <c r="R1262" s="167">
        <v>1700000.0</v>
      </c>
      <c r="S1262" s="173"/>
      <c r="T1262" s="173"/>
      <c r="U1262" s="173"/>
      <c r="V1262" s="168" t="s">
        <v>3799</v>
      </c>
      <c r="W1262" s="169"/>
      <c r="X1262" s="171"/>
    </row>
    <row r="1263" ht="15.0" customHeight="1">
      <c r="A1263" s="127">
        <v>45664.0</v>
      </c>
      <c r="B1263" s="181" t="s">
        <v>6443</v>
      </c>
      <c r="C1263" s="56" t="s">
        <v>2617</v>
      </c>
      <c r="D1263" s="73" t="str">
        <f>IFERROR(VLOOKUP(C1263,Stock,3,FALSE),"")</f>
        <v>Mitsubishi Pajero 16- (Mitsubishi)</v>
      </c>
      <c r="E1263" s="56">
        <v>1.0</v>
      </c>
      <c r="F1263" s="161">
        <v>3299000.0</v>
      </c>
      <c r="G1263" s="162">
        <f t="shared" si="32"/>
        <v>3299000</v>
      </c>
      <c r="H1263" s="194"/>
      <c r="I1263" s="161">
        <f t="shared" si="29"/>
        <v>3299000</v>
      </c>
      <c r="J1263" s="164">
        <f t="shared" si="30"/>
        <v>3299000</v>
      </c>
      <c r="K1263" s="197" t="s">
        <v>6444</v>
      </c>
      <c r="L1263" s="349" t="s">
        <v>6445</v>
      </c>
      <c r="M1263" s="73"/>
      <c r="N1263" s="289" t="s">
        <v>6446</v>
      </c>
      <c r="O1263" s="169" t="s">
        <v>3037</v>
      </c>
      <c r="P1263" s="348" t="s">
        <v>3112</v>
      </c>
      <c r="Q1263" s="173"/>
      <c r="R1263" s="167">
        <v>3299000.0</v>
      </c>
      <c r="S1263" s="173"/>
      <c r="T1263" s="173"/>
      <c r="U1263" s="173"/>
      <c r="V1263" s="168" t="s">
        <v>3799</v>
      </c>
      <c r="W1263" s="169"/>
      <c r="X1263" s="171"/>
    </row>
    <row r="1264" ht="15.0" customHeight="1">
      <c r="A1264" s="127">
        <v>45664.0</v>
      </c>
      <c r="B1264" s="181" t="s">
        <v>6443</v>
      </c>
      <c r="C1264" s="251" t="s">
        <v>4027</v>
      </c>
      <c r="D1264" s="73" t="str">
        <f>IFERROR(VLOOKUP(C1264,Stock,3,FALSE),"")</f>
        <v>501 Sealant Application</v>
      </c>
      <c r="E1264" s="56">
        <v>1.0</v>
      </c>
      <c r="F1264" s="161">
        <v>100000.0</v>
      </c>
      <c r="G1264" s="162">
        <f t="shared" si="32"/>
        <v>100000</v>
      </c>
      <c r="H1264" s="194"/>
      <c r="I1264" s="161">
        <f t="shared" si="29"/>
        <v>100000</v>
      </c>
      <c r="J1264" s="164">
        <f t="shared" si="30"/>
        <v>100000</v>
      </c>
      <c r="K1264" s="197" t="s">
        <v>6444</v>
      </c>
      <c r="L1264" s="349" t="s">
        <v>6445</v>
      </c>
      <c r="M1264" s="73"/>
      <c r="N1264" s="289" t="s">
        <v>6446</v>
      </c>
      <c r="O1264" s="169" t="s">
        <v>3037</v>
      </c>
      <c r="P1264" s="348" t="s">
        <v>3112</v>
      </c>
      <c r="Q1264" s="173"/>
      <c r="R1264" s="167">
        <v>100000.0</v>
      </c>
      <c r="S1264" s="173"/>
      <c r="T1264" s="173"/>
      <c r="U1264" s="173"/>
      <c r="V1264" s="168" t="s">
        <v>3799</v>
      </c>
      <c r="W1264" s="169"/>
      <c r="X1264" s="171"/>
    </row>
    <row r="1265" ht="15.0" customHeight="1">
      <c r="A1265" s="127">
        <v>45664.0</v>
      </c>
      <c r="B1265" s="181" t="s">
        <v>6447</v>
      </c>
      <c r="C1265" s="56" t="s">
        <v>5683</v>
      </c>
      <c r="D1265" s="73" t="str">
        <f>IFERROR(VLOOKUP(C1265,Stock,3,FALSE),"")</f>
        <v>Wuling Cortez</v>
      </c>
      <c r="E1265" s="56">
        <v>1.0</v>
      </c>
      <c r="F1265" s="161">
        <v>2187000.0</v>
      </c>
      <c r="G1265" s="162">
        <f t="shared" si="32"/>
        <v>2187000</v>
      </c>
      <c r="H1265" s="194"/>
      <c r="I1265" s="161">
        <f t="shared" si="29"/>
        <v>2187000</v>
      </c>
      <c r="J1265" s="164">
        <f t="shared" si="30"/>
        <v>2187000</v>
      </c>
      <c r="K1265" s="197" t="s">
        <v>4691</v>
      </c>
      <c r="L1265" s="165" t="s">
        <v>6448</v>
      </c>
      <c r="M1265" s="73"/>
      <c r="N1265" s="289" t="s">
        <v>6449</v>
      </c>
      <c r="O1265" s="169" t="s">
        <v>2958</v>
      </c>
      <c r="P1265" s="348" t="s">
        <v>6450</v>
      </c>
      <c r="Q1265" s="173"/>
      <c r="R1265" s="167">
        <v>2187000.0</v>
      </c>
      <c r="S1265" s="173"/>
      <c r="T1265" s="173"/>
      <c r="U1265" s="173"/>
      <c r="V1265" s="168" t="s">
        <v>3799</v>
      </c>
      <c r="W1265" s="169"/>
      <c r="X1265" s="171"/>
    </row>
    <row r="1266" ht="15.0" customHeight="1">
      <c r="A1266" s="127">
        <v>45664.0</v>
      </c>
      <c r="B1266" s="181" t="s">
        <v>6447</v>
      </c>
      <c r="C1266" s="251" t="s">
        <v>4027</v>
      </c>
      <c r="D1266" s="73" t="str">
        <f>IFERROR(VLOOKUP(C1266,Stock,3,FALSE),"")</f>
        <v>501 Sealant Application</v>
      </c>
      <c r="E1266" s="56">
        <v>1.0</v>
      </c>
      <c r="F1266" s="161">
        <v>100000.0</v>
      </c>
      <c r="G1266" s="162">
        <f t="shared" si="32"/>
        <v>100000</v>
      </c>
      <c r="H1266" s="194"/>
      <c r="I1266" s="161">
        <f t="shared" si="29"/>
        <v>100000</v>
      </c>
      <c r="J1266" s="164">
        <f t="shared" si="30"/>
        <v>100000</v>
      </c>
      <c r="K1266" s="197" t="s">
        <v>4691</v>
      </c>
      <c r="L1266" s="165" t="s">
        <v>6448</v>
      </c>
      <c r="M1266" s="73"/>
      <c r="N1266" s="289" t="s">
        <v>6449</v>
      </c>
      <c r="O1266" s="169" t="s">
        <v>2958</v>
      </c>
      <c r="P1266" s="348" t="s">
        <v>6450</v>
      </c>
      <c r="Q1266" s="173"/>
      <c r="R1266" s="167">
        <v>100000.0</v>
      </c>
      <c r="S1266" s="173"/>
      <c r="T1266" s="173"/>
      <c r="U1266" s="173"/>
      <c r="V1266" s="168" t="s">
        <v>3799</v>
      </c>
      <c r="W1266" s="169"/>
      <c r="X1266" s="171"/>
    </row>
    <row r="1267" ht="15.0" customHeight="1">
      <c r="A1267" s="127">
        <v>45664.0</v>
      </c>
      <c r="B1267" s="181" t="s">
        <v>6451</v>
      </c>
      <c r="C1267" s="330" t="s">
        <v>2682</v>
      </c>
      <c r="D1267" s="73" t="str">
        <f>IFERROR(VLOOKUP(C1267,Stock,3,FALSE),"")</f>
        <v>Toyota Yaris 05-13 XP90 1st Gen</v>
      </c>
      <c r="E1267" s="56">
        <v>1.0</v>
      </c>
      <c r="F1267" s="161">
        <v>1300000.0</v>
      </c>
      <c r="G1267" s="162">
        <f t="shared" si="32"/>
        <v>1300000</v>
      </c>
      <c r="H1267" s="194"/>
      <c r="I1267" s="161">
        <f t="shared" si="29"/>
        <v>1300000</v>
      </c>
      <c r="J1267" s="164">
        <f t="shared" si="30"/>
        <v>1300000</v>
      </c>
      <c r="K1267" s="197" t="s">
        <v>6452</v>
      </c>
      <c r="L1267" s="165" t="s">
        <v>6453</v>
      </c>
      <c r="M1267" s="73"/>
      <c r="N1267" s="171"/>
      <c r="O1267" s="169" t="s">
        <v>2968</v>
      </c>
      <c r="P1267" s="348" t="s">
        <v>3112</v>
      </c>
      <c r="Q1267" s="167">
        <v>1300000.0</v>
      </c>
      <c r="R1267" s="173"/>
      <c r="S1267" s="173"/>
      <c r="T1267" s="173"/>
      <c r="U1267" s="173"/>
      <c r="V1267" s="168" t="s">
        <v>3799</v>
      </c>
      <c r="W1267" s="169"/>
      <c r="X1267" s="171"/>
    </row>
    <row r="1268" ht="15.0" customHeight="1">
      <c r="A1268" s="127">
        <v>45664.0</v>
      </c>
      <c r="B1268" s="181" t="s">
        <v>6454</v>
      </c>
      <c r="C1268" s="56" t="s">
        <v>2721</v>
      </c>
      <c r="D1268" s="73" t="str">
        <f>IFERROR(VLOOKUP(C1268,Stock,3,FALSE),"")</f>
        <v>Toyota Dyna/Hino Dutro 00-</v>
      </c>
      <c r="E1268" s="56">
        <v>1.0</v>
      </c>
      <c r="F1268" s="161">
        <v>1300000.0</v>
      </c>
      <c r="G1268" s="162">
        <f t="shared" si="32"/>
        <v>1300000</v>
      </c>
      <c r="H1268" s="201">
        <v>100000.0</v>
      </c>
      <c r="I1268" s="161">
        <f t="shared" si="29"/>
        <v>1200000</v>
      </c>
      <c r="J1268" s="164">
        <f t="shared" si="30"/>
        <v>1200000</v>
      </c>
      <c r="K1268" s="197" t="s">
        <v>6455</v>
      </c>
      <c r="L1268" s="165" t="s">
        <v>4044</v>
      </c>
      <c r="M1268" s="73"/>
      <c r="N1268" s="171"/>
      <c r="O1268" s="169" t="s">
        <v>2958</v>
      </c>
      <c r="P1268" s="348" t="s">
        <v>3112</v>
      </c>
      <c r="Q1268" s="173"/>
      <c r="R1268" s="167">
        <v>1200000.0</v>
      </c>
      <c r="S1268" s="173"/>
      <c r="T1268" s="173"/>
      <c r="U1268" s="173"/>
      <c r="V1268" s="168" t="s">
        <v>3799</v>
      </c>
      <c r="W1268" s="169"/>
      <c r="X1268" s="171"/>
    </row>
    <row r="1269" ht="15.0" customHeight="1">
      <c r="A1269" s="127">
        <v>45664.0</v>
      </c>
      <c r="B1269" s="181" t="s">
        <v>6454</v>
      </c>
      <c r="C1269" s="56" t="s">
        <v>2954</v>
      </c>
      <c r="D1269" s="73" t="str">
        <f>IFERROR(VLOOKUP(C1269,Stock,3,FALSE),"")</f>
        <v>Transport</v>
      </c>
      <c r="E1269" s="56">
        <v>1.0</v>
      </c>
      <c r="F1269" s="161">
        <v>70000.0</v>
      </c>
      <c r="G1269" s="162">
        <f t="shared" si="32"/>
        <v>70000</v>
      </c>
      <c r="H1269" s="194"/>
      <c r="I1269" s="161">
        <f t="shared" si="29"/>
        <v>70000</v>
      </c>
      <c r="J1269" s="164">
        <f t="shared" si="30"/>
        <v>70000</v>
      </c>
      <c r="K1269" s="197" t="s">
        <v>6455</v>
      </c>
      <c r="L1269" s="165" t="s">
        <v>4044</v>
      </c>
      <c r="M1269" s="73"/>
      <c r="N1269" s="171"/>
      <c r="O1269" s="169" t="s">
        <v>2958</v>
      </c>
      <c r="P1269" s="348" t="s">
        <v>3112</v>
      </c>
      <c r="Q1269" s="173"/>
      <c r="R1269" s="167">
        <v>70000.0</v>
      </c>
      <c r="S1269" s="173"/>
      <c r="T1269" s="173"/>
      <c r="U1269" s="173"/>
      <c r="V1269" s="168" t="s">
        <v>3799</v>
      </c>
      <c r="W1269" s="169"/>
      <c r="X1269" s="171"/>
    </row>
    <row r="1270" ht="15.0" customHeight="1">
      <c r="A1270" s="127">
        <v>45664.0</v>
      </c>
      <c r="B1270" s="181" t="s">
        <v>6456</v>
      </c>
      <c r="C1270" s="56" t="s">
        <v>2734</v>
      </c>
      <c r="D1270" s="73" t="str">
        <f>IFERROR(VLOOKUP(C1270,Stock,3,FALSE),"")</f>
        <v>Honda Jazz 07-13 2nd Gen</v>
      </c>
      <c r="E1270" s="56">
        <v>1.0</v>
      </c>
      <c r="F1270" s="161">
        <v>1818000.0</v>
      </c>
      <c r="G1270" s="162">
        <f t="shared" si="32"/>
        <v>1818000</v>
      </c>
      <c r="H1270" s="194"/>
      <c r="I1270" s="161">
        <f t="shared" si="29"/>
        <v>1818000</v>
      </c>
      <c r="J1270" s="164">
        <f t="shared" si="30"/>
        <v>1818000</v>
      </c>
      <c r="K1270" s="197" t="s">
        <v>6457</v>
      </c>
      <c r="L1270" s="165" t="s">
        <v>6458</v>
      </c>
      <c r="M1270" s="73"/>
      <c r="N1270" s="289" t="s">
        <v>6459</v>
      </c>
      <c r="O1270" s="169" t="s">
        <v>4308</v>
      </c>
      <c r="P1270" s="348" t="s">
        <v>3645</v>
      </c>
      <c r="Q1270" s="173"/>
      <c r="R1270" s="167">
        <v>1818000.0</v>
      </c>
      <c r="S1270" s="173"/>
      <c r="T1270" s="173"/>
      <c r="U1270" s="173"/>
      <c r="V1270" s="168" t="s">
        <v>3799</v>
      </c>
      <c r="W1270" s="169"/>
      <c r="X1270" s="171"/>
    </row>
    <row r="1271" ht="15.0" customHeight="1">
      <c r="A1271" s="127">
        <v>45664.0</v>
      </c>
      <c r="B1271" s="181" t="s">
        <v>6456</v>
      </c>
      <c r="C1271" s="56" t="s">
        <v>3355</v>
      </c>
      <c r="D1271" s="73" t="str">
        <f>IFERROR(VLOOKUP(C1271,Stock,3,FALSE),"")</f>
        <v>List Kaca Depan INV</v>
      </c>
      <c r="E1271" s="56">
        <v>1.0</v>
      </c>
      <c r="F1271" s="161">
        <v>315000.0</v>
      </c>
      <c r="G1271" s="162">
        <f t="shared" si="32"/>
        <v>315000</v>
      </c>
      <c r="H1271" s="194"/>
      <c r="I1271" s="161">
        <f t="shared" si="29"/>
        <v>315000</v>
      </c>
      <c r="J1271" s="164">
        <f t="shared" si="30"/>
        <v>315000</v>
      </c>
      <c r="K1271" s="197" t="s">
        <v>6457</v>
      </c>
      <c r="L1271" s="165" t="s">
        <v>6458</v>
      </c>
      <c r="M1271" s="73"/>
      <c r="N1271" s="289" t="s">
        <v>6459</v>
      </c>
      <c r="O1271" s="169" t="s">
        <v>4308</v>
      </c>
      <c r="P1271" s="348" t="s">
        <v>3645</v>
      </c>
      <c r="Q1271" s="173"/>
      <c r="R1271" s="167">
        <v>315000.0</v>
      </c>
      <c r="S1271" s="173"/>
      <c r="T1271" s="173"/>
      <c r="U1271" s="173"/>
      <c r="V1271" s="168" t="s">
        <v>3799</v>
      </c>
      <c r="W1271" s="169"/>
      <c r="X1271" s="171"/>
    </row>
    <row r="1272" ht="15.0" customHeight="1">
      <c r="A1272" s="127">
        <v>45665.0</v>
      </c>
      <c r="B1272" s="181" t="s">
        <v>6460</v>
      </c>
      <c r="C1272" s="56" t="s">
        <v>3186</v>
      </c>
      <c r="D1272" s="73" t="str">
        <f>IFERROR(VLOOKUP(C1272,Stock,3,FALSE),"")</f>
        <v>Daihatsu Gran Max / Luxio 07-</v>
      </c>
      <c r="E1272" s="56">
        <v>1.0</v>
      </c>
      <c r="F1272" s="161">
        <v>1098000.0</v>
      </c>
      <c r="G1272" s="162">
        <f t="shared" si="32"/>
        <v>1098000</v>
      </c>
      <c r="H1272" s="194"/>
      <c r="I1272" s="161">
        <f t="shared" si="29"/>
        <v>1098000</v>
      </c>
      <c r="J1272" s="164">
        <f t="shared" si="30"/>
        <v>1098000</v>
      </c>
      <c r="K1272" s="197" t="s">
        <v>6461</v>
      </c>
      <c r="L1272" s="349" t="s">
        <v>6462</v>
      </c>
      <c r="M1272" s="73"/>
      <c r="N1272" s="169" t="s">
        <v>6463</v>
      </c>
      <c r="O1272" s="169" t="s">
        <v>3037</v>
      </c>
      <c r="P1272" s="348" t="s">
        <v>3112</v>
      </c>
      <c r="Q1272" s="167">
        <v>1098000.0</v>
      </c>
      <c r="R1272" s="173"/>
      <c r="S1272" s="173"/>
      <c r="T1272" s="173"/>
      <c r="U1272" s="173"/>
      <c r="V1272" s="168" t="s">
        <v>3799</v>
      </c>
      <c r="W1272" s="169"/>
      <c r="X1272" s="171"/>
    </row>
    <row r="1273" ht="15.0" customHeight="1">
      <c r="A1273" s="127">
        <v>45665.0</v>
      </c>
      <c r="B1273" s="181" t="s">
        <v>6460</v>
      </c>
      <c r="C1273" s="56" t="s">
        <v>2954</v>
      </c>
      <c r="D1273" s="73" t="str">
        <f>IFERROR(VLOOKUP(C1273,Stock,3,FALSE),"")</f>
        <v>Transport</v>
      </c>
      <c r="E1273" s="56">
        <v>1.0</v>
      </c>
      <c r="F1273" s="161">
        <v>150000.0</v>
      </c>
      <c r="G1273" s="162">
        <f t="shared" si="32"/>
        <v>150000</v>
      </c>
      <c r="H1273" s="194"/>
      <c r="I1273" s="161">
        <f t="shared" si="29"/>
        <v>150000</v>
      </c>
      <c r="J1273" s="164">
        <f t="shared" si="30"/>
        <v>150000</v>
      </c>
      <c r="K1273" s="197" t="s">
        <v>6461</v>
      </c>
      <c r="L1273" s="165" t="s">
        <v>6462</v>
      </c>
      <c r="M1273" s="73"/>
      <c r="N1273" s="169" t="s">
        <v>6463</v>
      </c>
      <c r="O1273" s="169" t="s">
        <v>3037</v>
      </c>
      <c r="P1273" s="348" t="s">
        <v>3112</v>
      </c>
      <c r="Q1273" s="167">
        <v>150000.0</v>
      </c>
      <c r="R1273" s="173"/>
      <c r="S1273" s="173"/>
      <c r="T1273" s="173"/>
      <c r="U1273" s="173"/>
      <c r="V1273" s="168" t="s">
        <v>3799</v>
      </c>
      <c r="W1273" s="169"/>
      <c r="X1273" s="171"/>
    </row>
    <row r="1274" ht="15.0" customHeight="1">
      <c r="A1274" s="127">
        <v>45665.0</v>
      </c>
      <c r="B1274" s="181" t="s">
        <v>6460</v>
      </c>
      <c r="C1274" s="56" t="s">
        <v>3083</v>
      </c>
      <c r="D1274" s="73" t="str">
        <f>IFERROR(VLOOKUP(C1274,Stock,3,FALSE),"")</f>
        <v>List Kaca Depan Code 04</v>
      </c>
      <c r="E1274" s="56">
        <v>1.0</v>
      </c>
      <c r="F1274" s="161">
        <v>275000.0</v>
      </c>
      <c r="G1274" s="162">
        <f t="shared" si="32"/>
        <v>275000</v>
      </c>
      <c r="H1274" s="194"/>
      <c r="I1274" s="161">
        <f t="shared" si="29"/>
        <v>275000</v>
      </c>
      <c r="J1274" s="164">
        <f t="shared" si="30"/>
        <v>275000</v>
      </c>
      <c r="K1274" s="197" t="s">
        <v>6461</v>
      </c>
      <c r="L1274" s="165" t="s">
        <v>6462</v>
      </c>
      <c r="M1274" s="73"/>
      <c r="N1274" s="169" t="s">
        <v>6463</v>
      </c>
      <c r="O1274" s="169" t="s">
        <v>3037</v>
      </c>
      <c r="P1274" s="348" t="s">
        <v>3112</v>
      </c>
      <c r="Q1274" s="167">
        <v>275000.0</v>
      </c>
      <c r="R1274" s="173"/>
      <c r="S1274" s="173"/>
      <c r="T1274" s="173"/>
      <c r="U1274" s="173"/>
      <c r="V1274" s="168" t="s">
        <v>3799</v>
      </c>
      <c r="W1274" s="169"/>
      <c r="X1274" s="171"/>
    </row>
    <row r="1275" ht="15.0" customHeight="1">
      <c r="A1275" s="127">
        <v>45665.0</v>
      </c>
      <c r="B1275" s="181" t="s">
        <v>6464</v>
      </c>
      <c r="C1275" s="56" t="s">
        <v>6465</v>
      </c>
      <c r="D1275" s="73" t="str">
        <f>IFERROR(VLOOKUP(C1275,Stock,3,FALSE),"")</f>
        <v>Toyota Innova 15- 2nd Gen</v>
      </c>
      <c r="E1275" s="56">
        <v>1.0</v>
      </c>
      <c r="F1275" s="161">
        <v>700000.0</v>
      </c>
      <c r="G1275" s="162">
        <f t="shared" si="32"/>
        <v>700000</v>
      </c>
      <c r="H1275" s="194"/>
      <c r="I1275" s="161">
        <f t="shared" si="29"/>
        <v>700000</v>
      </c>
      <c r="J1275" s="164">
        <f t="shared" si="30"/>
        <v>700000</v>
      </c>
      <c r="K1275" s="56" t="s">
        <v>6466</v>
      </c>
      <c r="L1275" s="73"/>
      <c r="M1275" s="73"/>
      <c r="N1275" s="171"/>
      <c r="O1275" s="169" t="s">
        <v>2958</v>
      </c>
      <c r="P1275" s="168" t="s">
        <v>4544</v>
      </c>
      <c r="Q1275" s="167">
        <v>700000.0</v>
      </c>
      <c r="R1275" s="173"/>
      <c r="S1275" s="173"/>
      <c r="T1275" s="173"/>
      <c r="U1275" s="173"/>
      <c r="V1275" s="168" t="s">
        <v>3799</v>
      </c>
      <c r="W1275" s="169"/>
      <c r="X1275" s="171"/>
    </row>
    <row r="1276" ht="15.0" customHeight="1">
      <c r="A1276" s="127">
        <v>45665.0</v>
      </c>
      <c r="B1276" s="181" t="s">
        <v>6467</v>
      </c>
      <c r="C1276" s="56" t="s">
        <v>3176</v>
      </c>
      <c r="D1276" s="73" t="str">
        <f>IFERROR(VLOOKUP(C1276,Stock,3,FALSE),"")</f>
        <v>Toyota Avanza / Xenia 11-15 2nd Gen / 15-21 3rd Gen</v>
      </c>
      <c r="E1276" s="56">
        <v>1.0</v>
      </c>
      <c r="F1276" s="161">
        <v>880000.0</v>
      </c>
      <c r="G1276" s="162">
        <f t="shared" si="32"/>
        <v>880000</v>
      </c>
      <c r="H1276" s="194"/>
      <c r="I1276" s="161">
        <f t="shared" si="29"/>
        <v>880000</v>
      </c>
      <c r="J1276" s="164">
        <f t="shared" si="30"/>
        <v>880000</v>
      </c>
      <c r="K1276" s="56" t="s">
        <v>6468</v>
      </c>
      <c r="L1276" s="165" t="s">
        <v>6469</v>
      </c>
      <c r="M1276" s="73"/>
      <c r="N1276" s="171"/>
      <c r="O1276" s="169" t="s">
        <v>2958</v>
      </c>
      <c r="P1276" s="168" t="s">
        <v>3112</v>
      </c>
      <c r="Q1276" s="173"/>
      <c r="R1276" s="167">
        <v>880000.0</v>
      </c>
      <c r="S1276" s="173"/>
      <c r="T1276" s="173"/>
      <c r="U1276" s="173"/>
      <c r="V1276" s="168" t="s">
        <v>3883</v>
      </c>
      <c r="W1276" s="169"/>
      <c r="X1276" s="171"/>
    </row>
    <row r="1277" ht="15.0" customHeight="1">
      <c r="A1277" s="127">
        <v>45666.0</v>
      </c>
      <c r="B1277" s="181" t="s">
        <v>6470</v>
      </c>
      <c r="C1277" s="56" t="s">
        <v>4988</v>
      </c>
      <c r="D1277" s="73" t="str">
        <f>IFERROR(VLOOKUP(C1277,Stock,3,FALSE),"")</f>
        <v>Toyota Innova 15- 2nd Gen</v>
      </c>
      <c r="E1277" s="56">
        <v>1.0</v>
      </c>
      <c r="F1277" s="161">
        <v>1464000.0</v>
      </c>
      <c r="G1277" s="162">
        <f t="shared" si="32"/>
        <v>1464000</v>
      </c>
      <c r="H1277" s="194"/>
      <c r="I1277" s="161">
        <f t="shared" si="29"/>
        <v>1464000</v>
      </c>
      <c r="J1277" s="164">
        <f t="shared" si="30"/>
        <v>1464000</v>
      </c>
      <c r="K1277" s="197" t="s">
        <v>6332</v>
      </c>
      <c r="L1277" s="165" t="s">
        <v>4473</v>
      </c>
      <c r="M1277" s="73"/>
      <c r="N1277" s="171"/>
      <c r="O1277" s="169" t="s">
        <v>2958</v>
      </c>
      <c r="P1277" s="168" t="s">
        <v>3112</v>
      </c>
      <c r="Q1277" s="173"/>
      <c r="R1277" s="167">
        <v>1464000.0</v>
      </c>
      <c r="S1277" s="173"/>
      <c r="T1277" s="173"/>
      <c r="U1277" s="173"/>
      <c r="V1277" s="168" t="s">
        <v>3799</v>
      </c>
      <c r="W1277" s="169"/>
      <c r="X1277" s="171"/>
    </row>
    <row r="1278" ht="15.0" customHeight="1">
      <c r="A1278" s="127">
        <v>45666.0</v>
      </c>
      <c r="B1278" s="181" t="s">
        <v>6471</v>
      </c>
      <c r="C1278" s="56" t="s">
        <v>3186</v>
      </c>
      <c r="D1278" s="73" t="str">
        <f>IFERROR(VLOOKUP(C1278,Stock,3,FALSE),"")</f>
        <v>Daihatsu Gran Max / Luxio 07-</v>
      </c>
      <c r="E1278" s="56">
        <v>1.0</v>
      </c>
      <c r="F1278" s="161">
        <v>1098000.0</v>
      </c>
      <c r="G1278" s="162">
        <f t="shared" si="32"/>
        <v>1098000</v>
      </c>
      <c r="H1278" s="194"/>
      <c r="I1278" s="161">
        <f t="shared" si="29"/>
        <v>1098000</v>
      </c>
      <c r="J1278" s="164">
        <f t="shared" si="30"/>
        <v>1098000</v>
      </c>
      <c r="K1278" s="56" t="s">
        <v>6472</v>
      </c>
      <c r="L1278" s="165" t="s">
        <v>6473</v>
      </c>
      <c r="M1278" s="73"/>
      <c r="N1278" s="289" t="s">
        <v>6474</v>
      </c>
      <c r="O1278" s="169" t="s">
        <v>2958</v>
      </c>
      <c r="P1278" s="168" t="s">
        <v>3112</v>
      </c>
      <c r="Q1278" s="173"/>
      <c r="R1278" s="167">
        <v>1098000.0</v>
      </c>
      <c r="S1278" s="173"/>
      <c r="T1278" s="173"/>
      <c r="U1278" s="173"/>
      <c r="V1278" s="168" t="s">
        <v>3799</v>
      </c>
      <c r="W1278" s="169"/>
      <c r="X1278" s="171"/>
    </row>
    <row r="1279" ht="15.0" customHeight="1">
      <c r="A1279" s="127">
        <v>45666.0</v>
      </c>
      <c r="B1279" s="181" t="s">
        <v>6475</v>
      </c>
      <c r="C1279" s="56" t="s">
        <v>6476</v>
      </c>
      <c r="D1279" s="73" t="str">
        <f>IFERROR(VLOOKUP(C1279,Stock,3,FALSE),"")</f>
        <v>Mitsubishi Outlander 10-21</v>
      </c>
      <c r="E1279" s="56">
        <v>1.0</v>
      </c>
      <c r="F1279" s="161">
        <v>1491000.0</v>
      </c>
      <c r="G1279" s="162">
        <f t="shared" si="32"/>
        <v>1491000</v>
      </c>
      <c r="H1279" s="194"/>
      <c r="I1279" s="161">
        <f t="shared" si="29"/>
        <v>1491000</v>
      </c>
      <c r="J1279" s="164">
        <f t="shared" si="30"/>
        <v>1491000</v>
      </c>
      <c r="K1279" s="197" t="s">
        <v>6477</v>
      </c>
      <c r="L1279" s="165" t="s">
        <v>6478</v>
      </c>
      <c r="M1279" s="73"/>
      <c r="N1279" s="289" t="s">
        <v>6479</v>
      </c>
      <c r="O1279" s="169" t="s">
        <v>2958</v>
      </c>
      <c r="P1279" s="168" t="s">
        <v>3112</v>
      </c>
      <c r="Q1279" s="173"/>
      <c r="R1279" s="167">
        <v>1491000.0</v>
      </c>
      <c r="S1279" s="173"/>
      <c r="T1279" s="173"/>
      <c r="U1279" s="173"/>
      <c r="V1279" s="168" t="s">
        <v>3799</v>
      </c>
      <c r="W1279" s="169"/>
      <c r="X1279" s="171"/>
    </row>
    <row r="1280" ht="15.0" customHeight="1">
      <c r="A1280" s="127">
        <v>45667.0</v>
      </c>
      <c r="B1280" s="181" t="s">
        <v>6480</v>
      </c>
      <c r="C1280" s="56" t="s">
        <v>6481</v>
      </c>
      <c r="D1280" s="73" t="str">
        <f>IFERROR(VLOOKUP(C1280,Stock,3,FALSE),"")</f>
        <v>Honda Odyssey 09-13 4th Gen RB3-RB4</v>
      </c>
      <c r="E1280" s="56">
        <v>1.0</v>
      </c>
      <c r="F1280" s="161">
        <v>3929000.0</v>
      </c>
      <c r="G1280" s="162">
        <f t="shared" si="32"/>
        <v>3929000</v>
      </c>
      <c r="H1280" s="194"/>
      <c r="I1280" s="161">
        <f t="shared" si="29"/>
        <v>3929000</v>
      </c>
      <c r="J1280" s="164">
        <f t="shared" si="30"/>
        <v>3929000</v>
      </c>
      <c r="K1280" s="197" t="s">
        <v>6482</v>
      </c>
      <c r="L1280" s="165" t="s">
        <v>6483</v>
      </c>
      <c r="M1280" s="73"/>
      <c r="N1280" s="171"/>
      <c r="O1280" s="371" t="s">
        <v>3204</v>
      </c>
      <c r="P1280" s="168" t="s">
        <v>3112</v>
      </c>
      <c r="Q1280" s="173"/>
      <c r="R1280" s="167">
        <v>3929000.0</v>
      </c>
      <c r="S1280" s="173"/>
      <c r="T1280" s="173"/>
      <c r="U1280" s="173"/>
      <c r="V1280" s="168" t="s">
        <v>3799</v>
      </c>
      <c r="W1280" s="169"/>
      <c r="X1280" s="171"/>
    </row>
    <row r="1281" ht="15.0" customHeight="1">
      <c r="A1281" s="127">
        <v>45667.0</v>
      </c>
      <c r="B1281" s="181" t="s">
        <v>6480</v>
      </c>
      <c r="C1281" s="56" t="s">
        <v>2954</v>
      </c>
      <c r="D1281" s="73" t="str">
        <f>IFERROR(VLOOKUP(C1281,Stock,3,FALSE),"")</f>
        <v>Transport</v>
      </c>
      <c r="E1281" s="56">
        <v>1.0</v>
      </c>
      <c r="F1281" s="161">
        <v>250000.0</v>
      </c>
      <c r="G1281" s="162">
        <f t="shared" si="32"/>
        <v>250000</v>
      </c>
      <c r="H1281" s="194"/>
      <c r="I1281" s="161">
        <f t="shared" si="29"/>
        <v>250000</v>
      </c>
      <c r="J1281" s="164">
        <f t="shared" si="30"/>
        <v>250000</v>
      </c>
      <c r="K1281" s="197" t="s">
        <v>6482</v>
      </c>
      <c r="L1281" s="165" t="s">
        <v>6483</v>
      </c>
      <c r="M1281" s="73"/>
      <c r="N1281" s="171"/>
      <c r="O1281" s="371" t="s">
        <v>3204</v>
      </c>
      <c r="P1281" s="168" t="s">
        <v>3112</v>
      </c>
      <c r="Q1281" s="173"/>
      <c r="R1281" s="167">
        <v>250000.0</v>
      </c>
      <c r="S1281" s="173"/>
      <c r="T1281" s="173"/>
      <c r="U1281" s="173"/>
      <c r="V1281" s="168" t="s">
        <v>3799</v>
      </c>
      <c r="W1281" s="169"/>
      <c r="X1281" s="171"/>
    </row>
    <row r="1282" ht="15.0" customHeight="1">
      <c r="A1282" s="127">
        <v>45667.0</v>
      </c>
      <c r="B1282" s="181" t="s">
        <v>6484</v>
      </c>
      <c r="C1282" s="56" t="s">
        <v>2593</v>
      </c>
      <c r="D1282" s="73" t="str">
        <f>IFERROR(VLOOKUP(C1282,Stock,3,FALSE),"")</f>
        <v>Toyota Alphard 08-15 ANH20 2nd Gen Sensor</v>
      </c>
      <c r="E1282" s="56">
        <v>1.0</v>
      </c>
      <c r="F1282" s="161">
        <v>4652000.0</v>
      </c>
      <c r="G1282" s="162">
        <f t="shared" si="32"/>
        <v>4652000</v>
      </c>
      <c r="H1282" s="194"/>
      <c r="I1282" s="161">
        <f t="shared" si="29"/>
        <v>4652000</v>
      </c>
      <c r="J1282" s="164">
        <f t="shared" si="30"/>
        <v>4652000</v>
      </c>
      <c r="K1282" s="197" t="s">
        <v>6485</v>
      </c>
      <c r="L1282" s="165" t="s">
        <v>6486</v>
      </c>
      <c r="M1282" s="73"/>
      <c r="N1282" s="289" t="s">
        <v>6487</v>
      </c>
      <c r="O1282" s="169" t="s">
        <v>2958</v>
      </c>
      <c r="P1282" s="168" t="s">
        <v>3112</v>
      </c>
      <c r="Q1282" s="173"/>
      <c r="R1282" s="167">
        <v>4652000.0</v>
      </c>
      <c r="S1282" s="173"/>
      <c r="T1282" s="173"/>
      <c r="U1282" s="173"/>
      <c r="V1282" s="168" t="s">
        <v>3799</v>
      </c>
      <c r="W1282" s="169"/>
      <c r="X1282" s="171"/>
    </row>
    <row r="1283" ht="15.0" customHeight="1">
      <c r="A1283" s="127">
        <v>45667.0</v>
      </c>
      <c r="B1283" s="181" t="s">
        <v>6484</v>
      </c>
      <c r="C1283" s="56" t="s">
        <v>4027</v>
      </c>
      <c r="D1283" s="73" t="str">
        <f>IFERROR(VLOOKUP(C1283,Stock,3,FALSE),"")</f>
        <v>501 Sealant Application</v>
      </c>
      <c r="E1283" s="56">
        <v>1.0</v>
      </c>
      <c r="F1283" s="161">
        <v>200000.0</v>
      </c>
      <c r="G1283" s="162">
        <f t="shared" si="32"/>
        <v>200000</v>
      </c>
      <c r="H1283" s="194"/>
      <c r="I1283" s="161">
        <f t="shared" si="29"/>
        <v>200000</v>
      </c>
      <c r="J1283" s="164">
        <f t="shared" si="30"/>
        <v>200000</v>
      </c>
      <c r="K1283" s="197" t="s">
        <v>6485</v>
      </c>
      <c r="L1283" s="165" t="s">
        <v>6486</v>
      </c>
      <c r="M1283" s="73"/>
      <c r="N1283" s="289" t="s">
        <v>6487</v>
      </c>
      <c r="O1283" s="169" t="s">
        <v>2958</v>
      </c>
      <c r="P1283" s="168" t="s">
        <v>3112</v>
      </c>
      <c r="Q1283" s="173"/>
      <c r="R1283" s="167">
        <v>200000.0</v>
      </c>
      <c r="S1283" s="173"/>
      <c r="T1283" s="173"/>
      <c r="U1283" s="173"/>
      <c r="V1283" s="168" t="s">
        <v>3799</v>
      </c>
      <c r="W1283" s="169"/>
      <c r="X1283" s="171"/>
    </row>
    <row r="1284" ht="15.0" customHeight="1">
      <c r="A1284" s="127">
        <v>45667.0</v>
      </c>
      <c r="B1284" s="181" t="s">
        <v>6488</v>
      </c>
      <c r="C1284" s="330" t="s">
        <v>3542</v>
      </c>
      <c r="D1284" s="73" t="str">
        <f>IFERROR(VLOOKUP(C1284,Stock,3,FALSE),"")</f>
        <v>Daihatsu Gran Max</v>
      </c>
      <c r="E1284" s="56">
        <v>1.0</v>
      </c>
      <c r="F1284" s="161">
        <v>420000.0</v>
      </c>
      <c r="G1284" s="162">
        <f t="shared" si="32"/>
        <v>420000</v>
      </c>
      <c r="H1284" s="194"/>
      <c r="I1284" s="161">
        <f t="shared" si="29"/>
        <v>420000</v>
      </c>
      <c r="J1284" s="164">
        <f t="shared" si="30"/>
        <v>420000</v>
      </c>
      <c r="K1284" s="56" t="s">
        <v>6489</v>
      </c>
      <c r="L1284" s="165" t="s">
        <v>6490</v>
      </c>
      <c r="M1284" s="73"/>
      <c r="N1284" s="289" t="s">
        <v>6491</v>
      </c>
      <c r="O1284" s="169" t="s">
        <v>2958</v>
      </c>
      <c r="P1284" s="168" t="s">
        <v>3054</v>
      </c>
      <c r="Q1284" s="173"/>
      <c r="R1284" s="167">
        <v>420000.0</v>
      </c>
      <c r="S1284" s="173"/>
      <c r="T1284" s="173"/>
      <c r="U1284" s="173"/>
      <c r="V1284" s="168" t="s">
        <v>3799</v>
      </c>
      <c r="W1284" s="169"/>
      <c r="X1284" s="171"/>
    </row>
    <row r="1285" ht="15.0" customHeight="1">
      <c r="A1285" s="127">
        <v>45668.0</v>
      </c>
      <c r="B1285" s="181" t="s">
        <v>6492</v>
      </c>
      <c r="C1285" s="56" t="s">
        <v>3837</v>
      </c>
      <c r="D1285" s="73" t="str">
        <f>IFERROR(VLOOKUP(C1285,Stock,3,FALSE),"")</f>
        <v>Toyota Yaris 13- 2nd Gen / Vios 14- 3rd Gen</v>
      </c>
      <c r="E1285" s="56">
        <v>1.0</v>
      </c>
      <c r="F1285" s="161">
        <v>1200000.0</v>
      </c>
      <c r="G1285" s="162">
        <f t="shared" si="32"/>
        <v>1200000</v>
      </c>
      <c r="H1285" s="194"/>
      <c r="I1285" s="161">
        <f t="shared" si="29"/>
        <v>1200000</v>
      </c>
      <c r="J1285" s="164">
        <f t="shared" si="30"/>
        <v>1200000</v>
      </c>
      <c r="K1285" s="197" t="s">
        <v>6493</v>
      </c>
      <c r="L1285" s="165" t="s">
        <v>6494</v>
      </c>
      <c r="M1285" s="73"/>
      <c r="N1285" s="171"/>
      <c r="O1285" s="169" t="s">
        <v>2958</v>
      </c>
      <c r="P1285" s="168" t="s">
        <v>3112</v>
      </c>
      <c r="Q1285" s="173"/>
      <c r="R1285" s="167">
        <v>1200000.0</v>
      </c>
      <c r="S1285" s="173"/>
      <c r="T1285" s="173"/>
      <c r="U1285" s="173"/>
      <c r="V1285" s="168" t="s">
        <v>3799</v>
      </c>
      <c r="W1285" s="169"/>
      <c r="X1285" s="171"/>
    </row>
    <row r="1286" ht="15.0" customHeight="1">
      <c r="A1286" s="127">
        <v>45668.0</v>
      </c>
      <c r="B1286" s="181" t="s">
        <v>6495</v>
      </c>
      <c r="C1286" s="56" t="s">
        <v>3411</v>
      </c>
      <c r="D1286" s="73" t="str">
        <f>IFERROR(VLOOKUP(C1286,Stock,3,FALSE),"")</f>
        <v>Toyota Agya/Ayla 13-22 1st Gen</v>
      </c>
      <c r="E1286" s="56">
        <v>1.0</v>
      </c>
      <c r="F1286" s="161">
        <v>1050000.0</v>
      </c>
      <c r="G1286" s="162">
        <f t="shared" si="32"/>
        <v>1050000</v>
      </c>
      <c r="H1286" s="194"/>
      <c r="I1286" s="161">
        <f t="shared" si="29"/>
        <v>1050000</v>
      </c>
      <c r="J1286" s="164">
        <f t="shared" si="30"/>
        <v>1050000</v>
      </c>
      <c r="K1286" s="197" t="s">
        <v>6496</v>
      </c>
      <c r="L1286" s="165" t="s">
        <v>6497</v>
      </c>
      <c r="M1286" s="73"/>
      <c r="N1286" s="169" t="s">
        <v>6498</v>
      </c>
      <c r="O1286" s="169" t="s">
        <v>2958</v>
      </c>
      <c r="P1286" s="168" t="s">
        <v>3112</v>
      </c>
      <c r="Q1286" s="173"/>
      <c r="R1286" s="167">
        <v>1050000.0</v>
      </c>
      <c r="S1286" s="173"/>
      <c r="T1286" s="173"/>
      <c r="U1286" s="173"/>
      <c r="V1286" s="168" t="s">
        <v>3799</v>
      </c>
      <c r="W1286" s="169"/>
      <c r="X1286" s="171"/>
    </row>
    <row r="1287" ht="15.0" customHeight="1">
      <c r="A1287" s="127">
        <v>45668.0</v>
      </c>
      <c r="B1287" s="181" t="s">
        <v>6499</v>
      </c>
      <c r="C1287" s="56" t="s">
        <v>3041</v>
      </c>
      <c r="D1287" s="73" t="str">
        <f>IFERROR(VLOOKUP(C1287,Stock,3,FALSE),"")</f>
        <v>Honda Jazz 13- 3rd Gen (Honda)</v>
      </c>
      <c r="E1287" s="56">
        <v>1.0</v>
      </c>
      <c r="F1287" s="161">
        <v>2590000.0</v>
      </c>
      <c r="G1287" s="162">
        <f t="shared" si="32"/>
        <v>2590000</v>
      </c>
      <c r="H1287" s="194"/>
      <c r="I1287" s="161">
        <f t="shared" si="29"/>
        <v>2590000</v>
      </c>
      <c r="J1287" s="164">
        <f t="shared" si="30"/>
        <v>2590000</v>
      </c>
      <c r="K1287" s="197" t="s">
        <v>6500</v>
      </c>
      <c r="L1287" s="165" t="s">
        <v>6494</v>
      </c>
      <c r="M1287" s="73"/>
      <c r="N1287" s="171"/>
      <c r="O1287" s="169" t="s">
        <v>3858</v>
      </c>
      <c r="P1287" s="168" t="s">
        <v>3112</v>
      </c>
      <c r="Q1287" s="173"/>
      <c r="R1287" s="167">
        <v>2590000.0</v>
      </c>
      <c r="S1287" s="173"/>
      <c r="T1287" s="173"/>
      <c r="U1287" s="173"/>
      <c r="V1287" s="168" t="s">
        <v>3799</v>
      </c>
      <c r="W1287" s="169"/>
      <c r="X1287" s="171"/>
    </row>
    <row r="1288" ht="15.0" customHeight="1">
      <c r="A1288" s="127">
        <v>45668.0</v>
      </c>
      <c r="B1288" s="181" t="s">
        <v>6501</v>
      </c>
      <c r="C1288" s="56" t="s">
        <v>6502</v>
      </c>
      <c r="D1288" s="73" t="str">
        <f>IFERROR(VLOOKUP(C1288,Stock,3,FALSE),"")</f>
        <v>Kia Caren 1 99-04 / Caren 2 04-12</v>
      </c>
      <c r="E1288" s="56">
        <v>1.0</v>
      </c>
      <c r="F1288" s="161">
        <v>1723000.0</v>
      </c>
      <c r="G1288" s="162">
        <f t="shared" si="32"/>
        <v>1723000</v>
      </c>
      <c r="H1288" s="194"/>
      <c r="I1288" s="161">
        <f t="shared" si="29"/>
        <v>1723000</v>
      </c>
      <c r="J1288" s="164">
        <f t="shared" si="30"/>
        <v>1723000</v>
      </c>
      <c r="K1288" s="56" t="s">
        <v>6503</v>
      </c>
      <c r="L1288" s="165" t="s">
        <v>6504</v>
      </c>
      <c r="M1288" s="73"/>
      <c r="N1288" s="169" t="s">
        <v>6505</v>
      </c>
      <c r="O1288" s="169" t="s">
        <v>2958</v>
      </c>
      <c r="P1288" s="168" t="s">
        <v>3112</v>
      </c>
      <c r="Q1288" s="167">
        <v>1723000.0</v>
      </c>
      <c r="R1288" s="173"/>
      <c r="S1288" s="173"/>
      <c r="T1288" s="173"/>
      <c r="U1288" s="173"/>
      <c r="V1288" s="168" t="s">
        <v>3883</v>
      </c>
      <c r="W1288" s="169"/>
      <c r="X1288" s="171"/>
    </row>
    <row r="1289" ht="15.0" customHeight="1">
      <c r="A1289" s="127">
        <v>45668.0</v>
      </c>
      <c r="B1289" s="181" t="s">
        <v>6506</v>
      </c>
      <c r="C1289" s="56" t="s">
        <v>3898</v>
      </c>
      <c r="D1289" s="73" t="str">
        <f>IFERROR(VLOOKUP(C1289,Stock,3,FALSE),"")</f>
        <v>Suzuki Ertiga 18- 2nd Gen / XL7</v>
      </c>
      <c r="E1289" s="56">
        <v>1.0</v>
      </c>
      <c r="F1289" s="161">
        <v>1222000.0</v>
      </c>
      <c r="G1289" s="162">
        <f t="shared" si="32"/>
        <v>1222000</v>
      </c>
      <c r="H1289" s="194"/>
      <c r="I1289" s="161">
        <f t="shared" si="29"/>
        <v>1222000</v>
      </c>
      <c r="J1289" s="164">
        <f t="shared" si="30"/>
        <v>1222000</v>
      </c>
      <c r="K1289" s="56" t="s">
        <v>6507</v>
      </c>
      <c r="L1289" s="165" t="s">
        <v>6508</v>
      </c>
      <c r="M1289" s="73"/>
      <c r="N1289" s="169" t="s">
        <v>6509</v>
      </c>
      <c r="O1289" s="169" t="s">
        <v>2958</v>
      </c>
      <c r="P1289" s="168" t="s">
        <v>3112</v>
      </c>
      <c r="Q1289" s="167">
        <v>1222000.0</v>
      </c>
      <c r="R1289" s="173"/>
      <c r="S1289" s="173"/>
      <c r="T1289" s="173"/>
      <c r="U1289" s="173"/>
      <c r="V1289" s="168" t="s">
        <v>3883</v>
      </c>
      <c r="W1289" s="169"/>
      <c r="X1289" s="171"/>
    </row>
    <row r="1290" ht="15.0" customHeight="1">
      <c r="A1290" s="127">
        <v>45668.0</v>
      </c>
      <c r="B1290" s="181" t="s">
        <v>6510</v>
      </c>
      <c r="C1290" s="56" t="s">
        <v>3045</v>
      </c>
      <c r="D1290" s="73" t="str">
        <f>IFERROR(VLOOKUP(C1290,Stock,3,FALSE),"")</f>
        <v>Pemasangan Kaca Mobil Depan</v>
      </c>
      <c r="E1290" s="56">
        <v>1.0</v>
      </c>
      <c r="F1290" s="161">
        <v>450000.0</v>
      </c>
      <c r="G1290" s="162">
        <f t="shared" si="32"/>
        <v>450000</v>
      </c>
      <c r="H1290" s="194"/>
      <c r="I1290" s="161">
        <f t="shared" si="29"/>
        <v>450000</v>
      </c>
      <c r="J1290" s="164">
        <f t="shared" si="30"/>
        <v>450000</v>
      </c>
      <c r="K1290" s="56" t="s">
        <v>6511</v>
      </c>
      <c r="L1290" s="165" t="s">
        <v>6512</v>
      </c>
      <c r="M1290" s="73"/>
      <c r="N1290" s="169" t="s">
        <v>6513</v>
      </c>
      <c r="O1290" s="169" t="s">
        <v>2958</v>
      </c>
      <c r="P1290" s="168" t="s">
        <v>3112</v>
      </c>
      <c r="Q1290" s="167">
        <v>450000.0</v>
      </c>
      <c r="R1290" s="173"/>
      <c r="S1290" s="173"/>
      <c r="T1290" s="173"/>
      <c r="U1290" s="173"/>
      <c r="V1290" s="168" t="s">
        <v>3799</v>
      </c>
      <c r="W1290" s="169"/>
      <c r="X1290" s="171"/>
    </row>
    <row r="1291" ht="15.0" customHeight="1">
      <c r="A1291" s="127">
        <v>45668.0</v>
      </c>
      <c r="B1291" s="181" t="s">
        <v>6514</v>
      </c>
      <c r="C1291" s="56" t="s">
        <v>3513</v>
      </c>
      <c r="D1291" s="73" t="str">
        <f>IFERROR(VLOOKUP(C1291,Stock,3,FALSE),"")</f>
        <v>Lembur</v>
      </c>
      <c r="E1291" s="56">
        <v>1.0</v>
      </c>
      <c r="F1291" s="161">
        <v>100000.0</v>
      </c>
      <c r="G1291" s="162">
        <f t="shared" si="32"/>
        <v>100000</v>
      </c>
      <c r="H1291" s="194"/>
      <c r="I1291" s="161">
        <f t="shared" si="29"/>
        <v>100000</v>
      </c>
      <c r="J1291" s="164">
        <f t="shared" si="30"/>
        <v>100000</v>
      </c>
      <c r="K1291" s="197" t="s">
        <v>6515</v>
      </c>
      <c r="L1291" s="165" t="s">
        <v>6308</v>
      </c>
      <c r="M1291" s="73"/>
      <c r="N1291" s="289" t="s">
        <v>6516</v>
      </c>
      <c r="O1291" s="169" t="s">
        <v>2958</v>
      </c>
      <c r="P1291" s="168" t="s">
        <v>3645</v>
      </c>
      <c r="Q1291" s="167">
        <v>100000.0</v>
      </c>
      <c r="R1291" s="173"/>
      <c r="S1291" s="173"/>
      <c r="T1291" s="173"/>
      <c r="U1291" s="173"/>
      <c r="V1291" s="168" t="s">
        <v>3799</v>
      </c>
      <c r="W1291" s="169"/>
      <c r="X1291" s="171"/>
    </row>
    <row r="1292" ht="15.0" customHeight="1">
      <c r="A1292" s="127">
        <v>45669.0</v>
      </c>
      <c r="B1292" s="181" t="s">
        <v>6517</v>
      </c>
      <c r="C1292" s="56" t="s">
        <v>3745</v>
      </c>
      <c r="D1292" s="73" t="str">
        <f>IFERROR(VLOOKUP(C1292,Stock,3,FALSE),"")</f>
        <v>Honda Brio 10- / Mobilio 11-</v>
      </c>
      <c r="E1292" s="56">
        <v>1.0</v>
      </c>
      <c r="F1292" s="161">
        <v>1750000.0</v>
      </c>
      <c r="G1292" s="162">
        <f t="shared" si="32"/>
        <v>1750000</v>
      </c>
      <c r="H1292" s="194"/>
      <c r="I1292" s="161">
        <f t="shared" si="29"/>
        <v>1750000</v>
      </c>
      <c r="J1292" s="164">
        <f t="shared" si="30"/>
        <v>1750000</v>
      </c>
      <c r="K1292" s="197" t="s">
        <v>6518</v>
      </c>
      <c r="L1292" s="165" t="s">
        <v>6519</v>
      </c>
      <c r="M1292" s="73"/>
      <c r="N1292" s="289" t="s">
        <v>6520</v>
      </c>
      <c r="O1292" s="169" t="s">
        <v>2958</v>
      </c>
      <c r="P1292" s="168" t="s">
        <v>3645</v>
      </c>
      <c r="Q1292" s="173"/>
      <c r="R1292" s="167">
        <v>1750000.0</v>
      </c>
      <c r="S1292" s="173"/>
      <c r="T1292" s="173"/>
      <c r="U1292" s="173"/>
      <c r="V1292" s="168" t="s">
        <v>3799</v>
      </c>
      <c r="W1292" s="169"/>
      <c r="X1292" s="171"/>
    </row>
    <row r="1293" ht="15.0" customHeight="1">
      <c r="A1293" s="127">
        <v>45669.0</v>
      </c>
      <c r="B1293" s="181" t="s">
        <v>6521</v>
      </c>
      <c r="C1293" s="330" t="s">
        <v>2936</v>
      </c>
      <c r="D1293" s="73" t="str">
        <f>IFERROR(VLOOKUP(C1293,Stock,3,FALSE),"")</f>
        <v>Toyota Calya / Sigra 16-</v>
      </c>
      <c r="E1293" s="56">
        <v>1.0</v>
      </c>
      <c r="F1293" s="161">
        <v>950000.0</v>
      </c>
      <c r="G1293" s="162">
        <f t="shared" si="32"/>
        <v>950000</v>
      </c>
      <c r="H1293" s="194"/>
      <c r="I1293" s="161">
        <f t="shared" si="29"/>
        <v>950000</v>
      </c>
      <c r="J1293" s="164">
        <f t="shared" si="30"/>
        <v>950000</v>
      </c>
      <c r="K1293" s="197" t="s">
        <v>6522</v>
      </c>
      <c r="L1293" s="165" t="s">
        <v>6523</v>
      </c>
      <c r="M1293" s="313" t="s">
        <v>6524</v>
      </c>
      <c r="N1293" s="289" t="s">
        <v>6525</v>
      </c>
      <c r="O1293" s="169" t="s">
        <v>3037</v>
      </c>
      <c r="P1293" s="168" t="s">
        <v>3112</v>
      </c>
      <c r="Q1293" s="173"/>
      <c r="R1293" s="167">
        <v>950000.0</v>
      </c>
      <c r="S1293" s="173"/>
      <c r="T1293" s="173"/>
      <c r="U1293" s="173"/>
      <c r="V1293" s="168" t="s">
        <v>3799</v>
      </c>
      <c r="W1293" s="169"/>
      <c r="X1293" s="171"/>
    </row>
    <row r="1294" ht="15.0" customHeight="1">
      <c r="A1294" s="127">
        <v>45669.0</v>
      </c>
      <c r="B1294" s="181" t="s">
        <v>6526</v>
      </c>
      <c r="C1294" s="56" t="s">
        <v>2839</v>
      </c>
      <c r="D1294" s="73" t="str">
        <f>IFERROR(VLOOKUP(C1294,Stock,3,FALSE),"")</f>
        <v>Toyota Vios 07-13 XP90 2nd Gen</v>
      </c>
      <c r="E1294" s="56">
        <v>1.0</v>
      </c>
      <c r="F1294" s="161">
        <v>600000.0</v>
      </c>
      <c r="G1294" s="162">
        <f t="shared" si="32"/>
        <v>600000</v>
      </c>
      <c r="H1294" s="201"/>
      <c r="I1294" s="161">
        <f t="shared" si="29"/>
        <v>600000</v>
      </c>
      <c r="J1294" s="164">
        <f t="shared" si="30"/>
        <v>600000</v>
      </c>
      <c r="K1294" s="197" t="s">
        <v>6527</v>
      </c>
      <c r="L1294" s="165" t="s">
        <v>6528</v>
      </c>
      <c r="M1294" s="73"/>
      <c r="N1294" s="289" t="s">
        <v>6529</v>
      </c>
      <c r="O1294" s="169" t="s">
        <v>2958</v>
      </c>
      <c r="P1294" s="168" t="s">
        <v>3112</v>
      </c>
      <c r="Q1294" s="167">
        <v>60000.0</v>
      </c>
      <c r="R1294" s="173"/>
      <c r="S1294" s="173"/>
      <c r="T1294" s="173"/>
      <c r="U1294" s="173"/>
      <c r="V1294" s="168" t="s">
        <v>3799</v>
      </c>
      <c r="W1294" s="169"/>
      <c r="X1294" s="171"/>
    </row>
    <row r="1295" ht="15.0" customHeight="1">
      <c r="A1295" s="127">
        <v>45669.0</v>
      </c>
      <c r="B1295" s="181" t="s">
        <v>6530</v>
      </c>
      <c r="C1295" s="330" t="s">
        <v>3290</v>
      </c>
      <c r="D1295" s="73" t="str">
        <f>IFERROR(VLOOKUP(C1295,Stock,3,FALSE),"")</f>
        <v>Toyota Innova 04-15 1st Gen</v>
      </c>
      <c r="E1295" s="56">
        <v>1.0</v>
      </c>
      <c r="F1295" s="161">
        <v>1450000.0</v>
      </c>
      <c r="G1295" s="162">
        <f t="shared" si="32"/>
        <v>1450000</v>
      </c>
      <c r="H1295" s="194"/>
      <c r="I1295" s="161">
        <f t="shared" si="29"/>
        <v>1450000</v>
      </c>
      <c r="J1295" s="164">
        <f t="shared" si="30"/>
        <v>1450000</v>
      </c>
      <c r="K1295" s="197" t="s">
        <v>6531</v>
      </c>
      <c r="L1295" s="165" t="s">
        <v>6532</v>
      </c>
      <c r="M1295" s="56" t="s">
        <v>6533</v>
      </c>
      <c r="N1295" s="289" t="s">
        <v>6534</v>
      </c>
      <c r="O1295" s="169" t="s">
        <v>2958</v>
      </c>
      <c r="P1295" s="168" t="s">
        <v>3112</v>
      </c>
      <c r="Q1295" s="173"/>
      <c r="R1295" s="167">
        <v>1450000.0</v>
      </c>
      <c r="S1295" s="173"/>
      <c r="T1295" s="173"/>
      <c r="U1295" s="173"/>
      <c r="V1295" s="168" t="s">
        <v>3799</v>
      </c>
      <c r="W1295" s="169"/>
      <c r="X1295" s="171"/>
    </row>
    <row r="1296" ht="15.0" customHeight="1">
      <c r="A1296" s="127">
        <v>45670.0</v>
      </c>
      <c r="B1296" s="181" t="s">
        <v>6535</v>
      </c>
      <c r="C1296" s="56" t="s">
        <v>2562</v>
      </c>
      <c r="D1296" s="73" t="str">
        <f>IFERROR(VLOOKUP(C1296,Stock,3,FALSE),"")</f>
        <v>Toyota Avanza / Xenia 15-21 3rd Gen</v>
      </c>
      <c r="E1296" s="56">
        <v>1.0</v>
      </c>
      <c r="F1296" s="161">
        <v>1120000.0</v>
      </c>
      <c r="G1296" s="162">
        <f t="shared" si="32"/>
        <v>1120000</v>
      </c>
      <c r="H1296" s="194"/>
      <c r="I1296" s="161">
        <f t="shared" si="29"/>
        <v>1120000</v>
      </c>
      <c r="J1296" s="164">
        <f t="shared" si="30"/>
        <v>1120000</v>
      </c>
      <c r="K1296" s="197" t="s">
        <v>6536</v>
      </c>
      <c r="L1296" s="165" t="s">
        <v>6537</v>
      </c>
      <c r="M1296" s="73"/>
      <c r="N1296" s="289" t="s">
        <v>6538</v>
      </c>
      <c r="O1296" s="169" t="s">
        <v>2958</v>
      </c>
      <c r="P1296" s="168" t="s">
        <v>3112</v>
      </c>
      <c r="Q1296" s="173"/>
      <c r="R1296" s="173"/>
      <c r="S1296" s="173"/>
      <c r="T1296" s="173"/>
      <c r="U1296" s="173"/>
      <c r="V1296" s="168" t="s">
        <v>3799</v>
      </c>
      <c r="W1296" s="169"/>
      <c r="X1296" s="171"/>
    </row>
    <row r="1297" ht="15.0" customHeight="1">
      <c r="A1297" s="127">
        <v>45670.0</v>
      </c>
      <c r="B1297" s="181" t="s">
        <v>6535</v>
      </c>
      <c r="C1297" s="56" t="s">
        <v>4027</v>
      </c>
      <c r="D1297" s="73" t="str">
        <f>IFERROR(VLOOKUP(C1297,Stock,3,FALSE),"")</f>
        <v>501 Sealant Application</v>
      </c>
      <c r="E1297" s="56">
        <v>1.0</v>
      </c>
      <c r="F1297" s="161">
        <v>100000.0</v>
      </c>
      <c r="G1297" s="162">
        <f t="shared" si="32"/>
        <v>100000</v>
      </c>
      <c r="H1297" s="194"/>
      <c r="I1297" s="161">
        <f t="shared" si="29"/>
        <v>100000</v>
      </c>
      <c r="J1297" s="164">
        <f t="shared" si="30"/>
        <v>100000</v>
      </c>
      <c r="K1297" s="197" t="s">
        <v>6536</v>
      </c>
      <c r="L1297" s="165" t="s">
        <v>6537</v>
      </c>
      <c r="M1297" s="73"/>
      <c r="N1297" s="289" t="s">
        <v>6538</v>
      </c>
      <c r="O1297" s="169" t="s">
        <v>2958</v>
      </c>
      <c r="P1297" s="168" t="s">
        <v>3112</v>
      </c>
      <c r="Q1297" s="173"/>
      <c r="R1297" s="173"/>
      <c r="S1297" s="173"/>
      <c r="T1297" s="173"/>
      <c r="U1297" s="173"/>
      <c r="V1297" s="168" t="s">
        <v>3799</v>
      </c>
      <c r="W1297" s="169"/>
      <c r="X1297" s="171"/>
    </row>
    <row r="1298" ht="15.0" customHeight="1">
      <c r="A1298" s="127">
        <v>45670.0</v>
      </c>
      <c r="B1298" s="181" t="s">
        <v>6539</v>
      </c>
      <c r="C1298" s="56" t="s">
        <v>2725</v>
      </c>
      <c r="D1298" s="73" t="str">
        <f>IFERROR(VLOOKUP(C1298,Stock,3,FALSE),"")</f>
        <v>Honda Odyssey 99-03 2nd Gen RA6-RA9</v>
      </c>
      <c r="E1298" s="56">
        <v>1.0</v>
      </c>
      <c r="F1298" s="161">
        <v>3575000.0</v>
      </c>
      <c r="G1298" s="162">
        <f t="shared" si="32"/>
        <v>3575000</v>
      </c>
      <c r="H1298" s="194"/>
      <c r="I1298" s="161">
        <f t="shared" si="29"/>
        <v>3575000</v>
      </c>
      <c r="J1298" s="164">
        <f t="shared" si="30"/>
        <v>3575000</v>
      </c>
      <c r="K1298" s="197" t="s">
        <v>6540</v>
      </c>
      <c r="L1298" s="165" t="s">
        <v>6541</v>
      </c>
      <c r="M1298" s="73"/>
      <c r="N1298" s="289" t="s">
        <v>6542</v>
      </c>
      <c r="O1298" s="169" t="s">
        <v>3081</v>
      </c>
      <c r="P1298" s="168" t="s">
        <v>3112</v>
      </c>
      <c r="Q1298" s="167">
        <v>500000.0</v>
      </c>
      <c r="R1298" s="167">
        <v>3075000.0</v>
      </c>
      <c r="S1298" s="173"/>
      <c r="T1298" s="173"/>
      <c r="U1298" s="173"/>
      <c r="V1298" s="168" t="s">
        <v>3799</v>
      </c>
      <c r="W1298" s="169"/>
      <c r="X1298" s="171"/>
    </row>
    <row r="1299" ht="15.0" customHeight="1">
      <c r="A1299" s="127">
        <v>45671.0</v>
      </c>
      <c r="B1299" s="181" t="s">
        <v>6543</v>
      </c>
      <c r="C1299" s="56" t="s">
        <v>6544</v>
      </c>
      <c r="D1299" s="73" t="str">
        <f>IFERROR(VLOOKUP(C1299,Stock,3,FALSE),"")</f>
        <v>Daihatsu Taruna</v>
      </c>
      <c r="E1299" s="56">
        <v>1.0</v>
      </c>
      <c r="F1299" s="161">
        <v>1500000.0</v>
      </c>
      <c r="G1299" s="162">
        <f t="shared" si="32"/>
        <v>1500000</v>
      </c>
      <c r="H1299" s="194"/>
      <c r="I1299" s="161">
        <f t="shared" si="29"/>
        <v>1500000</v>
      </c>
      <c r="J1299" s="164">
        <f t="shared" si="30"/>
        <v>1500000</v>
      </c>
      <c r="K1299" s="56" t="s">
        <v>6545</v>
      </c>
      <c r="L1299" s="165" t="s">
        <v>6546</v>
      </c>
      <c r="M1299" s="73"/>
      <c r="N1299" s="169" t="s">
        <v>6547</v>
      </c>
      <c r="O1299" s="169" t="s">
        <v>3204</v>
      </c>
      <c r="P1299" s="168" t="s">
        <v>3112</v>
      </c>
      <c r="Q1299" s="173"/>
      <c r="R1299" s="167">
        <v>1500000.0</v>
      </c>
      <c r="S1299" s="173"/>
      <c r="T1299" s="173"/>
      <c r="U1299" s="173"/>
      <c r="V1299" s="168" t="s">
        <v>3883</v>
      </c>
      <c r="W1299" s="169"/>
      <c r="X1299" s="171"/>
    </row>
    <row r="1300" ht="15.0" customHeight="1">
      <c r="A1300" s="127">
        <v>45671.0</v>
      </c>
      <c r="B1300" s="181" t="s">
        <v>6543</v>
      </c>
      <c r="C1300" s="56" t="s">
        <v>2954</v>
      </c>
      <c r="D1300" s="73" t="str">
        <f>IFERROR(VLOOKUP(C1300,Stock,3,FALSE),"")</f>
        <v>Transport</v>
      </c>
      <c r="E1300" s="56">
        <v>1.0</v>
      </c>
      <c r="F1300" s="161">
        <v>150000.0</v>
      </c>
      <c r="G1300" s="162">
        <f t="shared" si="32"/>
        <v>150000</v>
      </c>
      <c r="H1300" s="194"/>
      <c r="I1300" s="161">
        <f t="shared" si="29"/>
        <v>150000</v>
      </c>
      <c r="J1300" s="164">
        <f t="shared" si="30"/>
        <v>150000</v>
      </c>
      <c r="K1300" s="56" t="s">
        <v>6545</v>
      </c>
      <c r="L1300" s="165" t="s">
        <v>6546</v>
      </c>
      <c r="M1300" s="73"/>
      <c r="N1300" s="169" t="s">
        <v>6547</v>
      </c>
      <c r="O1300" s="169" t="s">
        <v>3204</v>
      </c>
      <c r="P1300" s="168" t="s">
        <v>3112</v>
      </c>
      <c r="Q1300" s="173"/>
      <c r="R1300" s="167">
        <v>150000.0</v>
      </c>
      <c r="S1300" s="173"/>
      <c r="T1300" s="173"/>
      <c r="U1300" s="173"/>
      <c r="V1300" s="168" t="s">
        <v>3883</v>
      </c>
      <c r="W1300" s="169"/>
      <c r="X1300" s="171"/>
    </row>
    <row r="1301" ht="15.0" customHeight="1">
      <c r="A1301" s="127">
        <v>45671.0</v>
      </c>
      <c r="B1301" s="181" t="s">
        <v>6548</v>
      </c>
      <c r="C1301" s="56" t="s">
        <v>6549</v>
      </c>
      <c r="D1301" s="73" t="str">
        <f>IFERROR(VLOOKUP(C1301,Stock,3,FALSE),"")</f>
        <v>Honda Mobilio 14-</v>
      </c>
      <c r="E1301" s="56">
        <v>1.0</v>
      </c>
      <c r="F1301" s="161">
        <v>1201000.0</v>
      </c>
      <c r="G1301" s="162">
        <f t="shared" si="32"/>
        <v>1201000</v>
      </c>
      <c r="H1301" s="194"/>
      <c r="I1301" s="161">
        <f t="shared" si="29"/>
        <v>1201000</v>
      </c>
      <c r="J1301" s="164">
        <f t="shared" si="30"/>
        <v>1201000</v>
      </c>
      <c r="K1301" s="56" t="s">
        <v>4448</v>
      </c>
      <c r="L1301" s="165" t="s">
        <v>6550</v>
      </c>
      <c r="M1301" s="73"/>
      <c r="N1301" s="169" t="s">
        <v>6551</v>
      </c>
      <c r="O1301" s="169" t="s">
        <v>2958</v>
      </c>
      <c r="P1301" s="168" t="s">
        <v>3112</v>
      </c>
      <c r="Q1301" s="173"/>
      <c r="R1301" s="167">
        <v>1201000.0</v>
      </c>
      <c r="S1301" s="173"/>
      <c r="T1301" s="173"/>
      <c r="U1301" s="173"/>
      <c r="V1301" s="168" t="s">
        <v>3883</v>
      </c>
      <c r="W1301" s="169"/>
      <c r="X1301" s="171"/>
    </row>
    <row r="1302" ht="15.0" customHeight="1">
      <c r="A1302" s="127">
        <v>45671.0</v>
      </c>
      <c r="B1302" s="181" t="s">
        <v>6552</v>
      </c>
      <c r="C1302" s="56" t="s">
        <v>6553</v>
      </c>
      <c r="D1302" s="73" t="str">
        <f>IFERROR(VLOOKUP(C1302,Stock,3,FALSE),"")</f>
        <v>Hino Ranger Louhan 03- / Hino 500</v>
      </c>
      <c r="E1302" s="56">
        <v>1.0</v>
      </c>
      <c r="F1302" s="161">
        <v>1671000.0</v>
      </c>
      <c r="G1302" s="162">
        <f t="shared" si="32"/>
        <v>1671000</v>
      </c>
      <c r="H1302" s="194"/>
      <c r="I1302" s="161">
        <f t="shared" si="29"/>
        <v>1671000</v>
      </c>
      <c r="J1302" s="164">
        <f t="shared" si="30"/>
        <v>1671000</v>
      </c>
      <c r="K1302" s="197" t="s">
        <v>6554</v>
      </c>
      <c r="L1302" s="165" t="s">
        <v>4175</v>
      </c>
      <c r="M1302" s="73"/>
      <c r="N1302" s="171"/>
      <c r="O1302" s="169" t="s">
        <v>2958</v>
      </c>
      <c r="P1302" s="168" t="s">
        <v>3112</v>
      </c>
      <c r="Q1302" s="173"/>
      <c r="R1302" s="167">
        <v>1671000.0</v>
      </c>
      <c r="S1302" s="173"/>
      <c r="T1302" s="173"/>
      <c r="U1302" s="173"/>
      <c r="V1302" s="168" t="s">
        <v>3883</v>
      </c>
      <c r="W1302" s="169"/>
      <c r="X1302" s="171"/>
    </row>
    <row r="1303" ht="15.0" customHeight="1">
      <c r="A1303" s="127">
        <v>45671.0</v>
      </c>
      <c r="B1303" s="181" t="s">
        <v>6552</v>
      </c>
      <c r="C1303" s="56" t="s">
        <v>6555</v>
      </c>
      <c r="D1303" s="73" t="str">
        <f>IFERROR(VLOOKUP(C1303,Stock,3,FALSE),"")</f>
        <v>Hino Ranger Louhan 03- / Hino 500 (MULIA)</v>
      </c>
      <c r="E1303" s="56">
        <v>1.0</v>
      </c>
      <c r="F1303" s="161">
        <v>550000.0</v>
      </c>
      <c r="G1303" s="162">
        <f t="shared" si="32"/>
        <v>550000</v>
      </c>
      <c r="H1303" s="194"/>
      <c r="I1303" s="161">
        <f t="shared" si="29"/>
        <v>550000</v>
      </c>
      <c r="J1303" s="164">
        <f t="shared" si="30"/>
        <v>550000</v>
      </c>
      <c r="K1303" s="56" t="s">
        <v>6554</v>
      </c>
      <c r="L1303" s="165" t="s">
        <v>4175</v>
      </c>
      <c r="M1303" s="73"/>
      <c r="N1303" s="171"/>
      <c r="O1303" s="169" t="s">
        <v>2958</v>
      </c>
      <c r="P1303" s="168" t="s">
        <v>3112</v>
      </c>
      <c r="Q1303" s="173"/>
      <c r="R1303" s="167">
        <v>550000.0</v>
      </c>
      <c r="S1303" s="173"/>
      <c r="T1303" s="173"/>
      <c r="U1303" s="173"/>
      <c r="V1303" s="168" t="s">
        <v>3883</v>
      </c>
      <c r="W1303" s="169"/>
      <c r="X1303" s="171"/>
    </row>
    <row r="1304" ht="15.0" customHeight="1">
      <c r="A1304" s="127">
        <v>45671.0</v>
      </c>
      <c r="B1304" s="181" t="s">
        <v>6552</v>
      </c>
      <c r="C1304" s="169" t="s">
        <v>2954</v>
      </c>
      <c r="D1304" s="73" t="str">
        <f>IFERROR(VLOOKUP(C1304,Stock,3,FALSE),"")</f>
        <v>Transport</v>
      </c>
      <c r="E1304" s="56">
        <v>1.0</v>
      </c>
      <c r="F1304" s="161">
        <v>75000.0</v>
      </c>
      <c r="G1304" s="162">
        <f t="shared" si="32"/>
        <v>75000</v>
      </c>
      <c r="H1304" s="194"/>
      <c r="I1304" s="161">
        <f t="shared" si="29"/>
        <v>75000</v>
      </c>
      <c r="J1304" s="164">
        <f t="shared" si="30"/>
        <v>75000</v>
      </c>
      <c r="K1304" s="56" t="s">
        <v>6554</v>
      </c>
      <c r="L1304" s="165" t="s">
        <v>4175</v>
      </c>
      <c r="M1304" s="73"/>
      <c r="N1304" s="171"/>
      <c r="O1304" s="169" t="s">
        <v>2958</v>
      </c>
      <c r="P1304" s="168" t="s">
        <v>3112</v>
      </c>
      <c r="Q1304" s="173"/>
      <c r="R1304" s="167">
        <v>75000.0</v>
      </c>
      <c r="S1304" s="173"/>
      <c r="T1304" s="173"/>
      <c r="U1304" s="173"/>
      <c r="V1304" s="168" t="s">
        <v>3883</v>
      </c>
      <c r="W1304" s="169"/>
      <c r="X1304" s="171"/>
    </row>
    <row r="1305" ht="15.0" customHeight="1">
      <c r="A1305" s="183">
        <v>45671.0</v>
      </c>
      <c r="B1305" s="185" t="s">
        <v>6556</v>
      </c>
      <c r="C1305" s="184" t="s">
        <v>6557</v>
      </c>
      <c r="D1305" s="186" t="str">
        <f>IFERROR(VLOOKUP(C1305,Stock,3,FALSE),"")</f>
        <v>Nissan Serena 99-10 MKII C24</v>
      </c>
      <c r="E1305" s="184">
        <v>1.0</v>
      </c>
      <c r="F1305" s="187"/>
      <c r="G1305" s="188"/>
      <c r="H1305" s="210"/>
      <c r="I1305" s="187"/>
      <c r="J1305" s="189" t="str">
        <f t="shared" si="30"/>
        <v/>
      </c>
      <c r="K1305" s="184"/>
      <c r="L1305" s="184"/>
      <c r="M1305" s="186"/>
      <c r="N1305" s="212"/>
      <c r="O1305" s="212"/>
      <c r="P1305" s="214"/>
      <c r="Q1305" s="213"/>
      <c r="R1305" s="213"/>
      <c r="S1305" s="213"/>
      <c r="T1305" s="213"/>
      <c r="U1305" s="213"/>
      <c r="V1305" s="214"/>
      <c r="W1305" s="212"/>
      <c r="X1305" s="212"/>
    </row>
    <row r="1306" ht="15.0" customHeight="1">
      <c r="A1306" s="127">
        <v>45672.0</v>
      </c>
      <c r="B1306" s="181" t="s">
        <v>6558</v>
      </c>
      <c r="C1306" s="330" t="s">
        <v>3045</v>
      </c>
      <c r="D1306" s="73" t="str">
        <f>IFERROR(VLOOKUP(C1306,Stock,3,FALSE),"")</f>
        <v>Pemasangan Kaca Mobil Depan</v>
      </c>
      <c r="E1306" s="56">
        <v>1.0</v>
      </c>
      <c r="F1306" s="161">
        <v>550000.0</v>
      </c>
      <c r="G1306" s="162">
        <f t="shared" ref="G1306:G2299" si="33">E1306*F1306</f>
        <v>550000</v>
      </c>
      <c r="H1306" s="194"/>
      <c r="I1306" s="161">
        <f t="shared" ref="I1306:I1314" si="34">G1306-H1306</f>
        <v>550000</v>
      </c>
      <c r="J1306" s="164">
        <f t="shared" si="30"/>
        <v>550000</v>
      </c>
      <c r="K1306" s="197" t="s">
        <v>6559</v>
      </c>
      <c r="L1306" s="165" t="s">
        <v>6560</v>
      </c>
      <c r="M1306" s="73"/>
      <c r="N1306" s="289" t="s">
        <v>6561</v>
      </c>
      <c r="O1306" s="169" t="s">
        <v>2958</v>
      </c>
      <c r="P1306" s="168" t="s">
        <v>3112</v>
      </c>
      <c r="Q1306" s="173"/>
      <c r="R1306" s="167">
        <v>550000.0</v>
      </c>
      <c r="S1306" s="173"/>
      <c r="T1306" s="173"/>
      <c r="U1306" s="173"/>
      <c r="V1306" s="168" t="s">
        <v>3799</v>
      </c>
      <c r="W1306" s="169"/>
      <c r="X1306" s="171"/>
    </row>
    <row r="1307" ht="15.0" customHeight="1">
      <c r="A1307" s="127">
        <v>45672.0</v>
      </c>
      <c r="B1307" s="181" t="s">
        <v>6562</v>
      </c>
      <c r="C1307" s="330" t="s">
        <v>6553</v>
      </c>
      <c r="D1307" s="73" t="str">
        <f>IFERROR(VLOOKUP(C1307,Stock,3,FALSE),"")</f>
        <v>Hino Ranger Louhan 03- / Hino 500</v>
      </c>
      <c r="E1307" s="56">
        <v>1.0</v>
      </c>
      <c r="F1307" s="161">
        <v>2171000.0</v>
      </c>
      <c r="G1307" s="162">
        <f t="shared" si="33"/>
        <v>2171000</v>
      </c>
      <c r="H1307" s="194"/>
      <c r="I1307" s="161">
        <f t="shared" si="34"/>
        <v>2171000</v>
      </c>
      <c r="J1307" s="164">
        <f t="shared" si="30"/>
        <v>2171000</v>
      </c>
      <c r="K1307" s="56" t="s">
        <v>6563</v>
      </c>
      <c r="L1307" s="165" t="s">
        <v>6564</v>
      </c>
      <c r="M1307" s="73"/>
      <c r="N1307" s="171"/>
      <c r="O1307" s="169" t="s">
        <v>2958</v>
      </c>
      <c r="P1307" s="168" t="s">
        <v>3112</v>
      </c>
      <c r="Q1307" s="173"/>
      <c r="R1307" s="167">
        <v>2171000.0</v>
      </c>
      <c r="S1307" s="173"/>
      <c r="T1307" s="173"/>
      <c r="U1307" s="173"/>
      <c r="V1307" s="168" t="s">
        <v>3883</v>
      </c>
      <c r="W1307" s="169"/>
      <c r="X1307" s="171"/>
    </row>
    <row r="1308" ht="15.0" customHeight="1">
      <c r="A1308" s="372">
        <v>45672.0</v>
      </c>
      <c r="B1308" s="373" t="s">
        <v>6562</v>
      </c>
      <c r="C1308" s="374" t="s">
        <v>2954</v>
      </c>
      <c r="D1308" s="375" t="str">
        <f>IFERROR(VLOOKUP(C1308,Stock,3,FALSE),"")</f>
        <v>Transport</v>
      </c>
      <c r="E1308" s="376">
        <v>1.0</v>
      </c>
      <c r="F1308" s="377">
        <v>70000.0</v>
      </c>
      <c r="G1308" s="378">
        <f t="shared" si="33"/>
        <v>70000</v>
      </c>
      <c r="H1308" s="379">
        <v>70000.0</v>
      </c>
      <c r="I1308" s="377">
        <f t="shared" si="34"/>
        <v>0</v>
      </c>
      <c r="J1308" s="380">
        <f t="shared" si="30"/>
        <v>0</v>
      </c>
      <c r="K1308" s="376" t="s">
        <v>6563</v>
      </c>
      <c r="L1308" s="381" t="s">
        <v>6564</v>
      </c>
      <c r="M1308" s="375"/>
      <c r="N1308" s="382"/>
      <c r="O1308" s="383" t="s">
        <v>2958</v>
      </c>
      <c r="P1308" s="384" t="s">
        <v>3112</v>
      </c>
      <c r="Q1308" s="385"/>
      <c r="R1308" s="385"/>
      <c r="S1308" s="385"/>
      <c r="T1308" s="385"/>
      <c r="U1308" s="385"/>
      <c r="V1308" s="386"/>
      <c r="W1308" s="382"/>
      <c r="X1308" s="383" t="s">
        <v>6565</v>
      </c>
    </row>
    <row r="1309" ht="15.0" customHeight="1">
      <c r="A1309" s="127">
        <v>45673.0</v>
      </c>
      <c r="B1309" s="181" t="s">
        <v>6566</v>
      </c>
      <c r="C1309" s="330" t="s">
        <v>3085</v>
      </c>
      <c r="D1309" s="73" t="str">
        <f>IFERROR(VLOOKUP(C1309,Stock,3,FALSE),"")</f>
        <v>Honda Jazz 07-13 2nd Gen</v>
      </c>
      <c r="E1309" s="56">
        <v>1.0</v>
      </c>
      <c r="F1309" s="161">
        <v>1237000.0</v>
      </c>
      <c r="G1309" s="162">
        <f t="shared" si="33"/>
        <v>1237000</v>
      </c>
      <c r="H1309" s="194"/>
      <c r="I1309" s="161">
        <f t="shared" si="34"/>
        <v>1237000</v>
      </c>
      <c r="J1309" s="164">
        <f t="shared" si="30"/>
        <v>1237000</v>
      </c>
      <c r="K1309" s="197" t="s">
        <v>6567</v>
      </c>
      <c r="L1309" s="165" t="s">
        <v>6568</v>
      </c>
      <c r="M1309" s="73"/>
      <c r="N1309" s="289" t="s">
        <v>6569</v>
      </c>
      <c r="O1309" s="169" t="s">
        <v>2958</v>
      </c>
      <c r="P1309" s="168" t="s">
        <v>3112</v>
      </c>
      <c r="Q1309" s="173"/>
      <c r="R1309" s="167">
        <v>1237000.0</v>
      </c>
      <c r="S1309" s="173"/>
      <c r="T1309" s="173"/>
      <c r="U1309" s="173"/>
      <c r="V1309" s="168" t="s">
        <v>3799</v>
      </c>
      <c r="W1309" s="169"/>
      <c r="X1309" s="169"/>
    </row>
    <row r="1310" ht="15.0" customHeight="1">
      <c r="A1310" s="127">
        <v>45673.0</v>
      </c>
      <c r="B1310" s="181" t="s">
        <v>6570</v>
      </c>
      <c r="C1310" s="56" t="s">
        <v>3366</v>
      </c>
      <c r="D1310" s="73" t="str">
        <f>IFERROR(VLOOKUP(C1310,Stock,3,FALSE),"")</f>
        <v>Toyota Hi-Ace 04-20 Commuter (Clear)</v>
      </c>
      <c r="E1310" s="56">
        <v>1.0</v>
      </c>
      <c r="F1310" s="161">
        <v>2337000.0</v>
      </c>
      <c r="G1310" s="162">
        <f t="shared" si="33"/>
        <v>2337000</v>
      </c>
      <c r="H1310" s="194"/>
      <c r="I1310" s="161">
        <f t="shared" si="34"/>
        <v>2337000</v>
      </c>
      <c r="J1310" s="164">
        <f t="shared" si="30"/>
        <v>2337000</v>
      </c>
      <c r="K1310" s="197" t="s">
        <v>4392</v>
      </c>
      <c r="L1310" s="165" t="s">
        <v>6571</v>
      </c>
      <c r="M1310" s="73"/>
      <c r="N1310" s="171"/>
      <c r="O1310" s="169" t="s">
        <v>2958</v>
      </c>
      <c r="P1310" s="168" t="s">
        <v>3112</v>
      </c>
      <c r="Q1310" s="173"/>
      <c r="R1310" s="167">
        <v>2337000.0</v>
      </c>
      <c r="S1310" s="173"/>
      <c r="T1310" s="173"/>
      <c r="U1310" s="173"/>
      <c r="V1310" s="168" t="s">
        <v>3799</v>
      </c>
      <c r="W1310" s="169"/>
      <c r="X1310" s="169" t="s">
        <v>6572</v>
      </c>
    </row>
    <row r="1311" ht="15.0" customHeight="1">
      <c r="A1311" s="127">
        <v>45673.0</v>
      </c>
      <c r="B1311" s="181" t="s">
        <v>6570</v>
      </c>
      <c r="C1311" s="56" t="s">
        <v>2934</v>
      </c>
      <c r="D1311" s="73" t="str">
        <f>IFERROR(VLOOKUP(C1311,Stock,3,FALSE),"")</f>
        <v>Peti Kayu</v>
      </c>
      <c r="E1311" s="56">
        <v>1.0</v>
      </c>
      <c r="F1311" s="161">
        <v>200000.0</v>
      </c>
      <c r="G1311" s="162">
        <f t="shared" si="33"/>
        <v>200000</v>
      </c>
      <c r="H1311" s="194"/>
      <c r="I1311" s="161">
        <f t="shared" si="34"/>
        <v>200000</v>
      </c>
      <c r="J1311" s="164">
        <f t="shared" si="30"/>
        <v>200000</v>
      </c>
      <c r="K1311" s="197" t="s">
        <v>4392</v>
      </c>
      <c r="L1311" s="165" t="s">
        <v>6571</v>
      </c>
      <c r="M1311" s="73"/>
      <c r="N1311" s="171"/>
      <c r="O1311" s="169" t="s">
        <v>2958</v>
      </c>
      <c r="P1311" s="168" t="s">
        <v>3112</v>
      </c>
      <c r="Q1311" s="173"/>
      <c r="R1311" s="167">
        <v>200000.0</v>
      </c>
      <c r="S1311" s="173"/>
      <c r="T1311" s="173"/>
      <c r="U1311" s="173"/>
      <c r="V1311" s="168" t="s">
        <v>3799</v>
      </c>
      <c r="W1311" s="169"/>
      <c r="X1311" s="169" t="s">
        <v>6572</v>
      </c>
    </row>
    <row r="1312" ht="15.0" customHeight="1">
      <c r="A1312" s="127">
        <v>45673.0</v>
      </c>
      <c r="B1312" s="181" t="s">
        <v>6570</v>
      </c>
      <c r="C1312" s="169" t="s">
        <v>2954</v>
      </c>
      <c r="D1312" s="73" t="str">
        <f>IFERROR(VLOOKUP(C1312,Stock,3,FALSE),"")</f>
        <v>Transport</v>
      </c>
      <c r="E1312" s="56">
        <v>1.0</v>
      </c>
      <c r="F1312" s="161">
        <v>100000.0</v>
      </c>
      <c r="G1312" s="162">
        <f t="shared" si="33"/>
        <v>100000</v>
      </c>
      <c r="H1312" s="194"/>
      <c r="I1312" s="161">
        <f t="shared" si="34"/>
        <v>100000</v>
      </c>
      <c r="J1312" s="164">
        <f t="shared" si="30"/>
        <v>100000</v>
      </c>
      <c r="K1312" s="197" t="s">
        <v>4392</v>
      </c>
      <c r="L1312" s="165" t="s">
        <v>6571</v>
      </c>
      <c r="M1312" s="73"/>
      <c r="N1312" s="171"/>
      <c r="O1312" s="169" t="s">
        <v>2958</v>
      </c>
      <c r="P1312" s="168" t="s">
        <v>3112</v>
      </c>
      <c r="Q1312" s="173"/>
      <c r="R1312" s="167">
        <v>100000.0</v>
      </c>
      <c r="S1312" s="173"/>
      <c r="T1312" s="173"/>
      <c r="U1312" s="173"/>
      <c r="V1312" s="168" t="s">
        <v>3799</v>
      </c>
      <c r="W1312" s="169"/>
      <c r="X1312" s="169" t="s">
        <v>6572</v>
      </c>
    </row>
    <row r="1313" ht="15.0" customHeight="1">
      <c r="A1313" s="183">
        <v>45673.0</v>
      </c>
      <c r="B1313" s="185" t="s">
        <v>6573</v>
      </c>
      <c r="C1313" s="184" t="s">
        <v>2549</v>
      </c>
      <c r="D1313" s="186" t="str">
        <f>IFERROR(VLOOKUP(C1313,Stock,3,FALSE),"")</f>
        <v>Toyota Avanza / Xenia 11-15 2nd Gen</v>
      </c>
      <c r="E1313" s="184">
        <v>1.0</v>
      </c>
      <c r="F1313" s="188"/>
      <c r="G1313" s="188">
        <f t="shared" si="33"/>
        <v>0</v>
      </c>
      <c r="H1313" s="210"/>
      <c r="I1313" s="187">
        <f t="shared" si="34"/>
        <v>0</v>
      </c>
      <c r="J1313" s="189">
        <f t="shared" si="30"/>
        <v>0</v>
      </c>
      <c r="K1313" s="186"/>
      <c r="L1313" s="186"/>
      <c r="M1313" s="186"/>
      <c r="N1313" s="212"/>
      <c r="O1313" s="212"/>
      <c r="P1313" s="214"/>
      <c r="Q1313" s="213"/>
      <c r="R1313" s="213"/>
      <c r="S1313" s="213"/>
      <c r="T1313" s="213"/>
      <c r="U1313" s="213"/>
      <c r="V1313" s="214"/>
      <c r="W1313" s="212"/>
      <c r="X1313" s="171"/>
    </row>
    <row r="1314" ht="15.0" customHeight="1">
      <c r="A1314" s="127">
        <v>45674.0</v>
      </c>
      <c r="B1314" s="181" t="s">
        <v>6574</v>
      </c>
      <c r="C1314" s="330" t="s">
        <v>2997</v>
      </c>
      <c r="D1314" s="73" t="str">
        <f>IFERROR(VLOOKUP(C1314,Stock,3,FALSE),"")</f>
        <v>Honda City 02-08 4th Gen Idsi GD8</v>
      </c>
      <c r="E1314" s="56">
        <v>1.0</v>
      </c>
      <c r="F1314" s="161">
        <v>1771000.0</v>
      </c>
      <c r="G1314" s="162">
        <f t="shared" si="33"/>
        <v>1771000</v>
      </c>
      <c r="H1314" s="194"/>
      <c r="I1314" s="161">
        <f t="shared" si="34"/>
        <v>1771000</v>
      </c>
      <c r="J1314" s="164">
        <f t="shared" si="30"/>
        <v>1771000</v>
      </c>
      <c r="K1314" s="197" t="s">
        <v>6332</v>
      </c>
      <c r="L1314" s="165" t="s">
        <v>4473</v>
      </c>
      <c r="M1314" s="73"/>
      <c r="N1314" s="171"/>
      <c r="O1314" s="169" t="s">
        <v>2958</v>
      </c>
      <c r="P1314" s="168" t="s">
        <v>3112</v>
      </c>
      <c r="Q1314" s="173"/>
      <c r="R1314" s="167">
        <v>1771000.0</v>
      </c>
      <c r="S1314" s="173"/>
      <c r="T1314" s="173"/>
      <c r="U1314" s="173"/>
      <c r="V1314" s="168" t="s">
        <v>3799</v>
      </c>
      <c r="W1314" s="169"/>
      <c r="X1314" s="171"/>
    </row>
    <row r="1315" ht="15.0" customHeight="1">
      <c r="A1315" s="183">
        <v>45674.0</v>
      </c>
      <c r="B1315" s="185" t="s">
        <v>6575</v>
      </c>
      <c r="C1315" s="184" t="s">
        <v>6576</v>
      </c>
      <c r="D1315" s="186" t="str">
        <f>IFERROR(VLOOKUP(C1315,Stock,3,FALSE),"")</f>
        <v>Subaru XV 12- / WRX 15-</v>
      </c>
      <c r="E1315" s="184"/>
      <c r="F1315" s="187">
        <v>883600.0</v>
      </c>
      <c r="G1315" s="188">
        <f t="shared" si="33"/>
        <v>0</v>
      </c>
      <c r="H1315" s="210"/>
      <c r="I1315" s="187">
        <f>F1315</f>
        <v>883600</v>
      </c>
      <c r="J1315" s="189">
        <f t="shared" si="30"/>
        <v>883600</v>
      </c>
      <c r="K1315" s="387" t="s">
        <v>6577</v>
      </c>
      <c r="L1315" s="211" t="s">
        <v>6578</v>
      </c>
      <c r="M1315" s="186"/>
      <c r="N1315" s="212"/>
      <c r="O1315" s="193" t="s">
        <v>6579</v>
      </c>
      <c r="P1315" s="192" t="s">
        <v>3112</v>
      </c>
      <c r="Q1315" s="213"/>
      <c r="R1315" s="227">
        <v>883600.0</v>
      </c>
      <c r="S1315" s="213"/>
      <c r="T1315" s="213"/>
      <c r="U1315" s="213"/>
      <c r="V1315" s="192" t="s">
        <v>3799</v>
      </c>
      <c r="W1315" s="193"/>
      <c r="X1315" s="171"/>
    </row>
    <row r="1316" ht="15.0" customHeight="1">
      <c r="A1316" s="127">
        <v>45674.0</v>
      </c>
      <c r="B1316" s="181" t="s">
        <v>6580</v>
      </c>
      <c r="C1316" s="330" t="s">
        <v>6581</v>
      </c>
      <c r="D1316" s="73" t="str">
        <f>IFERROR(VLOOKUP(C1316,Stock,3,FALSE),"")</f>
        <v>Mitsubishi Galant 96-03 YC/EA2A 8th Gen (Hiu)</v>
      </c>
      <c r="E1316" s="56">
        <v>1.0</v>
      </c>
      <c r="F1316" s="161">
        <v>1926000.0</v>
      </c>
      <c r="G1316" s="162">
        <f t="shared" si="33"/>
        <v>1926000</v>
      </c>
      <c r="H1316" s="194"/>
      <c r="I1316" s="161">
        <f t="shared" ref="I1316:I1726" si="35">G1316-H1316</f>
        <v>1926000</v>
      </c>
      <c r="J1316" s="164">
        <f t="shared" si="30"/>
        <v>1926000</v>
      </c>
      <c r="K1316" s="197" t="s">
        <v>6582</v>
      </c>
      <c r="L1316" s="165" t="s">
        <v>6583</v>
      </c>
      <c r="M1316" s="73"/>
      <c r="N1316" s="171"/>
      <c r="O1316" s="169" t="s">
        <v>2958</v>
      </c>
      <c r="P1316" s="168" t="s">
        <v>3112</v>
      </c>
      <c r="Q1316" s="173"/>
      <c r="R1316" s="167">
        <v>1926000.0</v>
      </c>
      <c r="S1316" s="173"/>
      <c r="T1316" s="173"/>
      <c r="U1316" s="173"/>
      <c r="V1316" s="168" t="s">
        <v>3799</v>
      </c>
      <c r="W1316" s="169"/>
      <c r="X1316" s="171"/>
    </row>
    <row r="1317" ht="15.0" customHeight="1">
      <c r="A1317" s="127">
        <v>45675.0</v>
      </c>
      <c r="B1317" s="181" t="s">
        <v>6584</v>
      </c>
      <c r="C1317" s="330" t="s">
        <v>3201</v>
      </c>
      <c r="D1317" s="73" t="str">
        <f>IFERROR(VLOOKUP(C1317,Stock,3,FALSE),"")</f>
        <v>Honda Freed 08-16 1st gen</v>
      </c>
      <c r="E1317" s="56">
        <v>1.0</v>
      </c>
      <c r="F1317" s="161">
        <v>1818000.0</v>
      </c>
      <c r="G1317" s="162">
        <f t="shared" si="33"/>
        <v>1818000</v>
      </c>
      <c r="H1317" s="194"/>
      <c r="I1317" s="161">
        <f t="shared" si="35"/>
        <v>1818000</v>
      </c>
      <c r="J1317" s="164">
        <f t="shared" si="30"/>
        <v>1818000</v>
      </c>
      <c r="K1317" s="56" t="s">
        <v>6585</v>
      </c>
      <c r="L1317" s="165" t="s">
        <v>6586</v>
      </c>
      <c r="M1317" s="73"/>
      <c r="N1317" s="171"/>
      <c r="O1317" s="169" t="s">
        <v>3037</v>
      </c>
      <c r="P1317" s="168" t="s">
        <v>3112</v>
      </c>
      <c r="Q1317" s="167">
        <v>1818000.0</v>
      </c>
      <c r="S1317" s="173"/>
      <c r="T1317" s="173"/>
      <c r="U1317" s="173"/>
      <c r="V1317" s="168" t="s">
        <v>3883</v>
      </c>
      <c r="W1317" s="169"/>
      <c r="X1317" s="171"/>
    </row>
    <row r="1318" ht="15.0" customHeight="1">
      <c r="A1318" s="127">
        <v>45675.0</v>
      </c>
      <c r="B1318" s="181" t="s">
        <v>6584</v>
      </c>
      <c r="C1318" s="251" t="s">
        <v>3355</v>
      </c>
      <c r="D1318" s="73" t="str">
        <f>IFERROR(VLOOKUP(C1318,Stock,3,FALSE),"")</f>
        <v>List Kaca Depan INV</v>
      </c>
      <c r="E1318" s="56">
        <v>1.0</v>
      </c>
      <c r="F1318" s="161">
        <v>315000.0</v>
      </c>
      <c r="G1318" s="162">
        <f t="shared" si="33"/>
        <v>315000</v>
      </c>
      <c r="H1318" s="194"/>
      <c r="I1318" s="161">
        <f t="shared" si="35"/>
        <v>315000</v>
      </c>
      <c r="J1318" s="164">
        <f t="shared" si="30"/>
        <v>315000</v>
      </c>
      <c r="K1318" s="56" t="s">
        <v>6585</v>
      </c>
      <c r="L1318" s="165" t="s">
        <v>6586</v>
      </c>
      <c r="M1318" s="73"/>
      <c r="N1318" s="169" t="s">
        <v>6587</v>
      </c>
      <c r="O1318" s="169" t="s">
        <v>3037</v>
      </c>
      <c r="P1318" s="168" t="s">
        <v>3112</v>
      </c>
      <c r="Q1318" s="167">
        <v>315000.0</v>
      </c>
      <c r="S1318" s="173"/>
      <c r="T1318" s="173"/>
      <c r="U1318" s="173"/>
      <c r="V1318" s="168" t="s">
        <v>3883</v>
      </c>
      <c r="W1318" s="169"/>
      <c r="X1318" s="171"/>
    </row>
    <row r="1319" ht="15.0" customHeight="1">
      <c r="A1319" s="127">
        <v>45675.0</v>
      </c>
      <c r="B1319" s="181" t="s">
        <v>6588</v>
      </c>
      <c r="C1319" s="56" t="s">
        <v>4775</v>
      </c>
      <c r="D1319" s="73" t="str">
        <f>IFERROR(VLOOKUP(C1319,Stock,3,FALSE),"")</f>
        <v>Toyota Avanza / Xenia 11-15 2nd Gen / 15-21 3rd Gen</v>
      </c>
      <c r="E1319" s="56">
        <v>1.0</v>
      </c>
      <c r="F1319" s="161">
        <v>900000.0</v>
      </c>
      <c r="G1319" s="162">
        <f t="shared" si="33"/>
        <v>900000</v>
      </c>
      <c r="H1319" s="194"/>
      <c r="I1319" s="161">
        <f t="shared" si="35"/>
        <v>900000</v>
      </c>
      <c r="J1319" s="164">
        <f t="shared" si="30"/>
        <v>900000</v>
      </c>
      <c r="K1319" s="56" t="s">
        <v>6589</v>
      </c>
      <c r="L1319" s="165" t="s">
        <v>6590</v>
      </c>
      <c r="M1319" s="73"/>
      <c r="N1319" s="169" t="s">
        <v>6591</v>
      </c>
      <c r="O1319" s="169" t="s">
        <v>2958</v>
      </c>
      <c r="P1319" s="168" t="s">
        <v>3112</v>
      </c>
      <c r="Q1319" s="167">
        <v>900000.0</v>
      </c>
      <c r="S1319" s="173"/>
      <c r="T1319" s="173"/>
      <c r="U1319" s="173"/>
      <c r="V1319" s="168" t="s">
        <v>3883</v>
      </c>
      <c r="W1319" s="169"/>
      <c r="X1319" s="171"/>
    </row>
    <row r="1320" ht="15.0" customHeight="1">
      <c r="A1320" s="127">
        <v>45675.0</v>
      </c>
      <c r="B1320" s="181" t="s">
        <v>6592</v>
      </c>
      <c r="C1320" s="56" t="s">
        <v>3273</v>
      </c>
      <c r="D1320" s="73" t="str">
        <f>IFERROR(VLOOKUP(C1320,Stock,3,FALSE),"")</f>
        <v>Pemasangan Kaca Mobil Belakang</v>
      </c>
      <c r="E1320" s="56">
        <v>1.0</v>
      </c>
      <c r="F1320" s="161">
        <v>550000.0</v>
      </c>
      <c r="G1320" s="162">
        <f t="shared" si="33"/>
        <v>550000</v>
      </c>
      <c r="H1320" s="194"/>
      <c r="I1320" s="161">
        <f t="shared" si="35"/>
        <v>550000</v>
      </c>
      <c r="J1320" s="164">
        <f t="shared" si="30"/>
        <v>550000</v>
      </c>
      <c r="K1320" s="197" t="s">
        <v>6172</v>
      </c>
      <c r="L1320" s="165" t="s">
        <v>6173</v>
      </c>
      <c r="M1320" s="73"/>
      <c r="N1320" s="171"/>
      <c r="O1320" s="169" t="s">
        <v>2958</v>
      </c>
      <c r="P1320" s="168" t="s">
        <v>3112</v>
      </c>
      <c r="Q1320" s="173"/>
      <c r="R1320" s="167">
        <v>550000.0</v>
      </c>
      <c r="S1320" s="173"/>
      <c r="T1320" s="173"/>
      <c r="U1320" s="173"/>
      <c r="V1320" s="168" t="s">
        <v>3799</v>
      </c>
      <c r="W1320" s="169"/>
      <c r="X1320" s="171"/>
    </row>
    <row r="1321" ht="15.0" customHeight="1">
      <c r="A1321" s="127">
        <v>45676.0</v>
      </c>
      <c r="B1321" s="181" t="s">
        <v>6593</v>
      </c>
      <c r="C1321" s="56" t="s">
        <v>2549</v>
      </c>
      <c r="D1321" s="73" t="str">
        <f>IFERROR(VLOOKUP(C1321,Stock,3,FALSE),"")</f>
        <v>Toyota Avanza / Xenia 11-15 2nd Gen</v>
      </c>
      <c r="E1321" s="56">
        <v>1.0</v>
      </c>
      <c r="F1321" s="161">
        <v>1050000.0</v>
      </c>
      <c r="G1321" s="162">
        <f t="shared" si="33"/>
        <v>1050000</v>
      </c>
      <c r="H1321" s="194"/>
      <c r="I1321" s="161">
        <f t="shared" si="35"/>
        <v>1050000</v>
      </c>
      <c r="J1321" s="164">
        <f t="shared" si="30"/>
        <v>1050000</v>
      </c>
      <c r="K1321" s="56" t="s">
        <v>6594</v>
      </c>
      <c r="L1321" s="165" t="s">
        <v>6595</v>
      </c>
      <c r="M1321" s="73"/>
      <c r="N1321" s="171"/>
      <c r="O1321" s="169" t="s">
        <v>2958</v>
      </c>
      <c r="P1321" s="168" t="s">
        <v>3112</v>
      </c>
      <c r="Q1321" s="173"/>
      <c r="R1321" s="167">
        <v>1050000.0</v>
      </c>
      <c r="S1321" s="173"/>
      <c r="T1321" s="173"/>
      <c r="U1321" s="173"/>
      <c r="V1321" s="168" t="s">
        <v>3883</v>
      </c>
      <c r="W1321" s="169"/>
      <c r="X1321" s="171"/>
    </row>
    <row r="1322" ht="15.0" customHeight="1">
      <c r="A1322" s="127">
        <v>45676.0</v>
      </c>
      <c r="B1322" s="181" t="s">
        <v>6596</v>
      </c>
      <c r="C1322" s="330" t="s">
        <v>2778</v>
      </c>
      <c r="D1322" s="73" t="str">
        <f>IFERROR(VLOOKUP(C1322,Stock,3,FALSE),"")</f>
        <v>Mitsubishi Fuso Fighter FK40 82-(PS190,220)</v>
      </c>
      <c r="E1322" s="56">
        <v>1.0</v>
      </c>
      <c r="F1322" s="161">
        <v>1867000.0</v>
      </c>
      <c r="G1322" s="162">
        <f t="shared" si="33"/>
        <v>1867000</v>
      </c>
      <c r="H1322" s="194"/>
      <c r="I1322" s="161">
        <f t="shared" si="35"/>
        <v>1867000</v>
      </c>
      <c r="J1322" s="164">
        <f t="shared" si="30"/>
        <v>1867000</v>
      </c>
      <c r="K1322" s="56" t="s">
        <v>6597</v>
      </c>
      <c r="L1322" s="165" t="s">
        <v>6598</v>
      </c>
      <c r="M1322" s="73"/>
      <c r="N1322" s="171"/>
      <c r="O1322" s="169" t="s">
        <v>4869</v>
      </c>
      <c r="P1322" s="168" t="s">
        <v>3112</v>
      </c>
      <c r="Q1322" s="173"/>
      <c r="R1322" s="167">
        <v>1867000.0</v>
      </c>
      <c r="S1322" s="173"/>
      <c r="T1322" s="173"/>
      <c r="U1322" s="173"/>
      <c r="V1322" s="168" t="s">
        <v>3883</v>
      </c>
      <c r="W1322" s="169"/>
      <c r="X1322" s="171"/>
    </row>
    <row r="1323" ht="15.0" customHeight="1">
      <c r="A1323" s="127">
        <v>45676.0</v>
      </c>
      <c r="B1323" s="181" t="s">
        <v>6596</v>
      </c>
      <c r="C1323" s="251" t="s">
        <v>3513</v>
      </c>
      <c r="D1323" s="73" t="str">
        <f>IFERROR(VLOOKUP(C1323,Stock,3,FALSE),"")</f>
        <v>Lembur</v>
      </c>
      <c r="E1323" s="56">
        <v>1.0</v>
      </c>
      <c r="F1323" s="161">
        <v>50000.0</v>
      </c>
      <c r="G1323" s="162">
        <f t="shared" si="33"/>
        <v>50000</v>
      </c>
      <c r="H1323" s="194"/>
      <c r="I1323" s="161">
        <f t="shared" si="35"/>
        <v>50000</v>
      </c>
      <c r="J1323" s="164">
        <f t="shared" si="30"/>
        <v>50000</v>
      </c>
      <c r="K1323" s="56" t="s">
        <v>6597</v>
      </c>
      <c r="L1323" s="165" t="s">
        <v>6598</v>
      </c>
      <c r="M1323" s="73"/>
      <c r="N1323" s="171"/>
      <c r="O1323" s="169" t="s">
        <v>4869</v>
      </c>
      <c r="P1323" s="168" t="s">
        <v>3112</v>
      </c>
      <c r="Q1323" s="173"/>
      <c r="R1323" s="167">
        <v>50000.0</v>
      </c>
      <c r="S1323" s="173"/>
      <c r="T1323" s="173"/>
      <c r="U1323" s="173"/>
      <c r="V1323" s="168" t="s">
        <v>3883</v>
      </c>
      <c r="W1323" s="169"/>
      <c r="X1323" s="171"/>
    </row>
    <row r="1324" ht="15.0" customHeight="1">
      <c r="A1324" s="127">
        <v>45676.0</v>
      </c>
      <c r="B1324" s="181" t="s">
        <v>6599</v>
      </c>
      <c r="C1324" s="56" t="s">
        <v>2831</v>
      </c>
      <c r="D1324" s="73" t="str">
        <f>IFERROR(VLOOKUP(C1324,Stock,3,FALSE),"")</f>
        <v>Daihatsu Gran Max / Luxio 07-</v>
      </c>
      <c r="E1324" s="56">
        <v>1.0</v>
      </c>
      <c r="F1324" s="161">
        <v>350000.0</v>
      </c>
      <c r="G1324" s="162">
        <f t="shared" si="33"/>
        <v>350000</v>
      </c>
      <c r="H1324" s="194"/>
      <c r="I1324" s="161">
        <f t="shared" si="35"/>
        <v>350000</v>
      </c>
      <c r="J1324" s="164">
        <f t="shared" si="30"/>
        <v>350000</v>
      </c>
      <c r="K1324" s="56" t="s">
        <v>6600</v>
      </c>
      <c r="L1324" s="165" t="s">
        <v>6601</v>
      </c>
      <c r="M1324" s="73"/>
      <c r="N1324" s="171"/>
      <c r="O1324" s="169" t="s">
        <v>2958</v>
      </c>
      <c r="P1324" s="168" t="s">
        <v>3112</v>
      </c>
      <c r="Q1324" s="167">
        <v>350000.0</v>
      </c>
      <c r="R1324" s="173"/>
      <c r="S1324" s="173"/>
      <c r="T1324" s="173"/>
      <c r="U1324" s="173"/>
      <c r="V1324" s="168" t="s">
        <v>3883</v>
      </c>
      <c r="W1324" s="169"/>
      <c r="X1324" s="171"/>
    </row>
    <row r="1325" ht="15.0" customHeight="1">
      <c r="A1325" s="127">
        <v>45676.0</v>
      </c>
      <c r="B1325" s="181" t="s">
        <v>6602</v>
      </c>
      <c r="C1325" s="56" t="s">
        <v>3068</v>
      </c>
      <c r="D1325" s="73" t="str">
        <f>IFERROR(VLOOKUP(C1325,Stock,3,FALSE),"")</f>
        <v>Honda Brio 10- / Mobilio 11-</v>
      </c>
      <c r="E1325" s="56">
        <v>1.0</v>
      </c>
      <c r="F1325" s="161">
        <v>1542000.0</v>
      </c>
      <c r="G1325" s="162">
        <f t="shared" si="33"/>
        <v>1542000</v>
      </c>
      <c r="H1325" s="194"/>
      <c r="I1325" s="161">
        <f t="shared" si="35"/>
        <v>1542000</v>
      </c>
      <c r="J1325" s="164">
        <f t="shared" si="30"/>
        <v>1542000</v>
      </c>
      <c r="K1325" s="56" t="s">
        <v>6603</v>
      </c>
      <c r="L1325" s="165" t="s">
        <v>6604</v>
      </c>
      <c r="M1325" s="73"/>
      <c r="N1325" s="171"/>
      <c r="O1325" s="169" t="s">
        <v>2958</v>
      </c>
      <c r="P1325" s="168" t="s">
        <v>3112</v>
      </c>
      <c r="Q1325" s="173"/>
      <c r="R1325" s="167">
        <v>1542000.0</v>
      </c>
      <c r="S1325" s="173"/>
      <c r="T1325" s="173"/>
      <c r="U1325" s="173"/>
      <c r="V1325" s="168" t="s">
        <v>3883</v>
      </c>
      <c r="W1325" s="169"/>
      <c r="X1325" s="171"/>
    </row>
    <row r="1326" ht="15.0" customHeight="1">
      <c r="A1326" s="127">
        <v>45677.0</v>
      </c>
      <c r="B1326" s="181" t="s">
        <v>6605</v>
      </c>
      <c r="C1326" s="56" t="s">
        <v>5241</v>
      </c>
      <c r="D1326" s="73" t="str">
        <f>IFERROR(VLOOKUP(C1326,Stock,3,FALSE),"")</f>
        <v>Honda Brio 18-</v>
      </c>
      <c r="E1326" s="56">
        <v>1.0</v>
      </c>
      <c r="F1326" s="161">
        <v>1190000.0</v>
      </c>
      <c r="G1326" s="162">
        <f t="shared" si="33"/>
        <v>1190000</v>
      </c>
      <c r="H1326" s="194"/>
      <c r="I1326" s="161">
        <f t="shared" si="35"/>
        <v>1190000</v>
      </c>
      <c r="J1326" s="164">
        <f t="shared" si="30"/>
        <v>1190000</v>
      </c>
      <c r="K1326" s="197" t="s">
        <v>6606</v>
      </c>
      <c r="L1326" s="165" t="s">
        <v>6607</v>
      </c>
      <c r="M1326" s="73"/>
      <c r="N1326" s="171"/>
      <c r="O1326" s="169" t="s">
        <v>3204</v>
      </c>
      <c r="P1326" s="168" t="s">
        <v>3112</v>
      </c>
      <c r="Q1326" s="173"/>
      <c r="R1326" s="167">
        <v>1190000.0</v>
      </c>
      <c r="S1326" s="173"/>
      <c r="T1326" s="173"/>
      <c r="U1326" s="173"/>
      <c r="V1326" s="168" t="s">
        <v>3799</v>
      </c>
      <c r="W1326" s="169"/>
      <c r="X1326" s="171"/>
    </row>
    <row r="1327" ht="15.0" customHeight="1">
      <c r="A1327" s="127">
        <v>45677.0</v>
      </c>
      <c r="B1327" s="181" t="s">
        <v>6605</v>
      </c>
      <c r="C1327" s="56" t="s">
        <v>2954</v>
      </c>
      <c r="D1327" s="73" t="str">
        <f>IFERROR(VLOOKUP(C1327,Stock,3,FALSE),"")</f>
        <v>Transport</v>
      </c>
      <c r="E1327" s="56">
        <v>1.0</v>
      </c>
      <c r="F1327" s="161">
        <v>150000.0</v>
      </c>
      <c r="G1327" s="162">
        <f t="shared" si="33"/>
        <v>150000</v>
      </c>
      <c r="H1327" s="194"/>
      <c r="I1327" s="161">
        <f t="shared" si="35"/>
        <v>150000</v>
      </c>
      <c r="J1327" s="164">
        <f t="shared" si="30"/>
        <v>150000</v>
      </c>
      <c r="K1327" s="197" t="s">
        <v>6606</v>
      </c>
      <c r="L1327" s="165" t="s">
        <v>6607</v>
      </c>
      <c r="M1327" s="73"/>
      <c r="N1327" s="171"/>
      <c r="O1327" s="169" t="s">
        <v>3204</v>
      </c>
      <c r="P1327" s="168" t="s">
        <v>3112</v>
      </c>
      <c r="Q1327" s="173"/>
      <c r="R1327" s="167">
        <v>150000.0</v>
      </c>
      <c r="S1327" s="173"/>
      <c r="T1327" s="173"/>
      <c r="U1327" s="173"/>
      <c r="V1327" s="168" t="s">
        <v>3799</v>
      </c>
      <c r="W1327" s="169"/>
      <c r="X1327" s="171"/>
    </row>
    <row r="1328" ht="15.0" customHeight="1">
      <c r="A1328" s="127">
        <v>45677.0</v>
      </c>
      <c r="B1328" s="181" t="s">
        <v>6608</v>
      </c>
      <c r="C1328" s="56" t="s">
        <v>3948</v>
      </c>
      <c r="D1328" s="73" t="str">
        <f>IFERROR(VLOOKUP(C1328,Stock,3,FALSE),"")</f>
        <v>BMW 3 Series 90-99 E36</v>
      </c>
      <c r="E1328" s="56">
        <v>1.0</v>
      </c>
      <c r="F1328" s="161">
        <v>1914000.0</v>
      </c>
      <c r="G1328" s="162">
        <f t="shared" si="33"/>
        <v>1914000</v>
      </c>
      <c r="H1328" s="201">
        <v>50000.0</v>
      </c>
      <c r="I1328" s="161">
        <f t="shared" si="35"/>
        <v>1864000</v>
      </c>
      <c r="J1328" s="164">
        <f t="shared" si="30"/>
        <v>1864000</v>
      </c>
      <c r="K1328" s="197" t="s">
        <v>6609</v>
      </c>
      <c r="L1328" s="165" t="s">
        <v>6610</v>
      </c>
      <c r="M1328" s="73"/>
      <c r="N1328" s="289" t="s">
        <v>6611</v>
      </c>
      <c r="O1328" s="169" t="s">
        <v>2958</v>
      </c>
      <c r="P1328" s="168" t="s">
        <v>3112</v>
      </c>
      <c r="Q1328" s="167">
        <v>1864000.0</v>
      </c>
      <c r="R1328" s="173"/>
      <c r="S1328" s="173"/>
      <c r="T1328" s="173"/>
      <c r="U1328" s="173"/>
      <c r="V1328" s="168" t="s">
        <v>3799</v>
      </c>
      <c r="W1328" s="169"/>
      <c r="X1328" s="171"/>
    </row>
    <row r="1329" ht="15.0" customHeight="1">
      <c r="A1329" s="127">
        <v>45677.0</v>
      </c>
      <c r="B1329" s="181" t="s">
        <v>6608</v>
      </c>
      <c r="C1329" s="56" t="s">
        <v>4027</v>
      </c>
      <c r="D1329" s="73" t="str">
        <f>IFERROR(VLOOKUP(C1329,Stock,3,FALSE),"")</f>
        <v>501 Sealant Application</v>
      </c>
      <c r="E1329" s="56">
        <v>1.0</v>
      </c>
      <c r="F1329" s="161">
        <v>150000.0</v>
      </c>
      <c r="G1329" s="162">
        <f t="shared" si="33"/>
        <v>150000</v>
      </c>
      <c r="H1329" s="194"/>
      <c r="I1329" s="161">
        <f t="shared" si="35"/>
        <v>150000</v>
      </c>
      <c r="J1329" s="164">
        <f t="shared" si="30"/>
        <v>150000</v>
      </c>
      <c r="K1329" s="197" t="s">
        <v>6609</v>
      </c>
      <c r="L1329" s="165" t="s">
        <v>6612</v>
      </c>
      <c r="M1329" s="73"/>
      <c r="N1329" s="289" t="s">
        <v>6611</v>
      </c>
      <c r="O1329" s="169" t="s">
        <v>2958</v>
      </c>
      <c r="P1329" s="168" t="s">
        <v>3112</v>
      </c>
      <c r="Q1329" s="167">
        <v>150000.0</v>
      </c>
      <c r="R1329" s="173"/>
      <c r="S1329" s="173"/>
      <c r="T1329" s="173"/>
      <c r="U1329" s="173"/>
      <c r="V1329" s="168" t="s">
        <v>3799</v>
      </c>
      <c r="W1329" s="169"/>
      <c r="X1329" s="171"/>
    </row>
    <row r="1330" ht="15.0" customHeight="1">
      <c r="A1330" s="127">
        <v>45678.0</v>
      </c>
      <c r="B1330" s="181" t="s">
        <v>6613</v>
      </c>
      <c r="C1330" s="56" t="s">
        <v>2825</v>
      </c>
      <c r="D1330" s="73" t="str">
        <f>IFERROR(VLOOKUP(C1330,Stock,3,FALSE),"")</f>
        <v>Toyota Avanza / Xenia 21- 4th Gen</v>
      </c>
      <c r="E1330" s="56">
        <v>1.0</v>
      </c>
      <c r="F1330" s="161">
        <v>880000.0</v>
      </c>
      <c r="G1330" s="162">
        <f t="shared" si="33"/>
        <v>880000</v>
      </c>
      <c r="H1330" s="194"/>
      <c r="I1330" s="161">
        <f t="shared" si="35"/>
        <v>880000</v>
      </c>
      <c r="J1330" s="164">
        <f t="shared" si="30"/>
        <v>880000</v>
      </c>
      <c r="K1330" s="197" t="s">
        <v>6614</v>
      </c>
      <c r="L1330" s="165" t="s">
        <v>6615</v>
      </c>
      <c r="M1330" s="73"/>
      <c r="N1330" s="289" t="s">
        <v>6616</v>
      </c>
      <c r="O1330" s="169" t="s">
        <v>3037</v>
      </c>
      <c r="P1330" s="168" t="s">
        <v>3112</v>
      </c>
      <c r="Q1330" s="167">
        <v>880000.0</v>
      </c>
      <c r="R1330" s="173"/>
      <c r="S1330" s="173"/>
      <c r="T1330" s="173"/>
      <c r="U1330" s="173"/>
      <c r="V1330" s="168" t="s">
        <v>3799</v>
      </c>
      <c r="W1330" s="169"/>
      <c r="X1330" s="171"/>
    </row>
    <row r="1331" ht="15.0" customHeight="1">
      <c r="A1331" s="127">
        <v>45678.0</v>
      </c>
      <c r="B1331" s="181" t="s">
        <v>6617</v>
      </c>
      <c r="C1331" s="56" t="s">
        <v>2562</v>
      </c>
      <c r="D1331" s="73" t="str">
        <f>IFERROR(VLOOKUP(C1331,Stock,3,FALSE),"")</f>
        <v>Toyota Avanza / Xenia 15-21 3rd Gen</v>
      </c>
      <c r="E1331" s="56">
        <v>1.0</v>
      </c>
      <c r="F1331" s="161">
        <v>1120000.0</v>
      </c>
      <c r="G1331" s="162">
        <f t="shared" si="33"/>
        <v>1120000</v>
      </c>
      <c r="H1331" s="194"/>
      <c r="I1331" s="161">
        <f t="shared" si="35"/>
        <v>1120000</v>
      </c>
      <c r="J1331" s="164">
        <f t="shared" si="30"/>
        <v>1120000</v>
      </c>
      <c r="K1331" s="197" t="s">
        <v>5702</v>
      </c>
      <c r="L1331" s="165" t="s">
        <v>5703</v>
      </c>
      <c r="M1331" s="73"/>
      <c r="N1331" s="289" t="s">
        <v>6618</v>
      </c>
      <c r="O1331" s="371" t="s">
        <v>3213</v>
      </c>
      <c r="P1331" s="168" t="s">
        <v>3112</v>
      </c>
      <c r="Q1331" s="167">
        <v>1120000.0</v>
      </c>
      <c r="R1331" s="173"/>
      <c r="S1331" s="173"/>
      <c r="T1331" s="173"/>
      <c r="U1331" s="173"/>
      <c r="V1331" s="168" t="s">
        <v>3799</v>
      </c>
      <c r="W1331" s="169"/>
      <c r="X1331" s="171"/>
    </row>
    <row r="1332" ht="15.0" customHeight="1">
      <c r="A1332" s="127">
        <v>45679.0</v>
      </c>
      <c r="B1332" s="181" t="s">
        <v>6619</v>
      </c>
      <c r="C1332" s="56" t="s">
        <v>3622</v>
      </c>
      <c r="D1332" s="73" t="str">
        <f>IFERROR(VLOOKUP(C1332,Stock,3,FALSE),"")</f>
        <v>Mitsubishi Pajero 08-16</v>
      </c>
      <c r="E1332" s="56">
        <v>1.0</v>
      </c>
      <c r="F1332" s="161">
        <v>1490000.0</v>
      </c>
      <c r="G1332" s="162">
        <f t="shared" si="33"/>
        <v>1490000</v>
      </c>
      <c r="H1332" s="194"/>
      <c r="I1332" s="161">
        <f t="shared" si="35"/>
        <v>1490000</v>
      </c>
      <c r="J1332" s="164">
        <f t="shared" si="30"/>
        <v>1490000</v>
      </c>
      <c r="K1332" s="197" t="s">
        <v>6620</v>
      </c>
      <c r="L1332" s="165" t="s">
        <v>6621</v>
      </c>
      <c r="M1332" s="73"/>
      <c r="N1332" s="289" t="s">
        <v>6622</v>
      </c>
      <c r="O1332" s="169" t="s">
        <v>3184</v>
      </c>
      <c r="P1332" s="168" t="s">
        <v>3112</v>
      </c>
      <c r="Q1332" s="167">
        <v>1490000.0</v>
      </c>
      <c r="R1332" s="173"/>
      <c r="S1332" s="173"/>
      <c r="T1332" s="173"/>
      <c r="U1332" s="173"/>
      <c r="V1332" s="168" t="s">
        <v>3799</v>
      </c>
      <c r="W1332" s="169"/>
      <c r="X1332" s="171"/>
    </row>
    <row r="1333" ht="15.0" customHeight="1">
      <c r="A1333" s="127">
        <v>45679.0</v>
      </c>
      <c r="B1333" s="181" t="s">
        <v>6623</v>
      </c>
      <c r="C1333" s="330" t="s">
        <v>6624</v>
      </c>
      <c r="D1333" s="73" t="str">
        <f>IFERROR(VLOOKUP(C1333,Stock,3,FALSE),"")</f>
        <v>Toyota Innova 04-15 1st Gen (Toyota)</v>
      </c>
      <c r="E1333" s="56">
        <v>1.0</v>
      </c>
      <c r="F1333" s="161">
        <v>2640000.0</v>
      </c>
      <c r="G1333" s="162">
        <f t="shared" si="33"/>
        <v>2640000</v>
      </c>
      <c r="H1333" s="194"/>
      <c r="I1333" s="161">
        <f t="shared" si="35"/>
        <v>2640000</v>
      </c>
      <c r="J1333" s="164">
        <f t="shared" si="30"/>
        <v>2640000</v>
      </c>
      <c r="K1333" s="197" t="s">
        <v>6625</v>
      </c>
      <c r="L1333" s="165" t="s">
        <v>6626</v>
      </c>
      <c r="M1333" s="73"/>
      <c r="N1333" s="289" t="s">
        <v>6627</v>
      </c>
      <c r="O1333" s="169" t="s">
        <v>2958</v>
      </c>
      <c r="P1333" s="168" t="s">
        <v>3112</v>
      </c>
      <c r="Q1333" s="167">
        <v>2640000.0</v>
      </c>
      <c r="R1333" s="173"/>
      <c r="S1333" s="173"/>
      <c r="T1333" s="173"/>
      <c r="U1333" s="173"/>
      <c r="V1333" s="168" t="s">
        <v>3799</v>
      </c>
      <c r="W1333" s="169"/>
      <c r="X1333" s="171"/>
    </row>
    <row r="1334" ht="15.0" customHeight="1">
      <c r="A1334" s="127">
        <v>45679.0</v>
      </c>
      <c r="B1334" s="181" t="s">
        <v>6623</v>
      </c>
      <c r="C1334" s="251" t="s">
        <v>3355</v>
      </c>
      <c r="D1334" s="73" t="str">
        <f>IFERROR(VLOOKUP(C1334,Stock,3,FALSE),"")</f>
        <v>List Kaca Depan INV</v>
      </c>
      <c r="E1334" s="56">
        <v>1.0</v>
      </c>
      <c r="F1334" s="161">
        <v>315000.0</v>
      </c>
      <c r="G1334" s="162">
        <f t="shared" si="33"/>
        <v>315000</v>
      </c>
      <c r="H1334" s="194"/>
      <c r="I1334" s="161">
        <f t="shared" si="35"/>
        <v>315000</v>
      </c>
      <c r="J1334" s="164">
        <f t="shared" si="30"/>
        <v>315000</v>
      </c>
      <c r="K1334" s="197" t="s">
        <v>6625</v>
      </c>
      <c r="L1334" s="165" t="s">
        <v>6626</v>
      </c>
      <c r="M1334" s="73"/>
      <c r="N1334" s="289" t="s">
        <v>6627</v>
      </c>
      <c r="O1334" s="169" t="s">
        <v>2958</v>
      </c>
      <c r="P1334" s="168" t="s">
        <v>3112</v>
      </c>
      <c r="Q1334" s="167">
        <v>315000.0</v>
      </c>
      <c r="R1334" s="173"/>
      <c r="S1334" s="173"/>
      <c r="T1334" s="173"/>
      <c r="U1334" s="173"/>
      <c r="V1334" s="168" t="s">
        <v>3799</v>
      </c>
      <c r="W1334" s="169"/>
      <c r="X1334" s="171"/>
    </row>
    <row r="1335" ht="15.0" customHeight="1">
      <c r="A1335" s="127">
        <v>45680.0</v>
      </c>
      <c r="B1335" s="181" t="s">
        <v>6628</v>
      </c>
      <c r="C1335" s="56" t="s">
        <v>3045</v>
      </c>
      <c r="D1335" s="73" t="str">
        <f>IFERROR(VLOOKUP(C1335,Stock,3,FALSE),"")</f>
        <v>Pemasangan Kaca Mobil Depan</v>
      </c>
      <c r="E1335" s="56">
        <v>1.0</v>
      </c>
      <c r="F1335" s="161">
        <v>550000.0</v>
      </c>
      <c r="G1335" s="162">
        <f t="shared" si="33"/>
        <v>550000</v>
      </c>
      <c r="H1335" s="194"/>
      <c r="I1335" s="161">
        <f t="shared" si="35"/>
        <v>550000</v>
      </c>
      <c r="J1335" s="164">
        <f t="shared" si="30"/>
        <v>550000</v>
      </c>
      <c r="K1335" s="197" t="s">
        <v>5770</v>
      </c>
      <c r="L1335" s="165" t="s">
        <v>6629</v>
      </c>
      <c r="M1335" s="73"/>
      <c r="N1335" s="289" t="s">
        <v>6630</v>
      </c>
      <c r="O1335" s="169" t="s">
        <v>3037</v>
      </c>
      <c r="P1335" s="168" t="s">
        <v>3112</v>
      </c>
      <c r="Q1335" s="167">
        <v>550000.0</v>
      </c>
      <c r="R1335" s="173"/>
      <c r="S1335" s="173"/>
      <c r="T1335" s="173"/>
      <c r="U1335" s="173"/>
      <c r="V1335" s="168" t="s">
        <v>3799</v>
      </c>
      <c r="W1335" s="169"/>
      <c r="X1335" s="171"/>
    </row>
    <row r="1336" ht="15.0" customHeight="1">
      <c r="A1336" s="127">
        <v>45680.0</v>
      </c>
      <c r="B1336" s="181" t="s">
        <v>6628</v>
      </c>
      <c r="C1336" s="56" t="s">
        <v>4027</v>
      </c>
      <c r="D1336" s="73" t="str">
        <f>IFERROR(VLOOKUP(C1336,Stock,3,FALSE),"")</f>
        <v>501 Sealant Application</v>
      </c>
      <c r="E1336" s="56">
        <v>1.0</v>
      </c>
      <c r="F1336" s="161">
        <v>150000.0</v>
      </c>
      <c r="G1336" s="162">
        <f t="shared" si="33"/>
        <v>150000</v>
      </c>
      <c r="H1336" s="194"/>
      <c r="I1336" s="161">
        <f t="shared" si="35"/>
        <v>150000</v>
      </c>
      <c r="J1336" s="164">
        <f t="shared" si="30"/>
        <v>150000</v>
      </c>
      <c r="K1336" s="197" t="s">
        <v>5770</v>
      </c>
      <c r="L1336" s="165" t="s">
        <v>6629</v>
      </c>
      <c r="M1336" s="73"/>
      <c r="N1336" s="289" t="s">
        <v>6630</v>
      </c>
      <c r="O1336" s="169" t="s">
        <v>3037</v>
      </c>
      <c r="P1336" s="168" t="s">
        <v>3112</v>
      </c>
      <c r="Q1336" s="167">
        <v>150000.0</v>
      </c>
      <c r="R1336" s="173"/>
      <c r="S1336" s="173"/>
      <c r="T1336" s="173"/>
      <c r="U1336" s="173"/>
      <c r="V1336" s="168" t="s">
        <v>3799</v>
      </c>
      <c r="W1336" s="169"/>
      <c r="X1336" s="171"/>
    </row>
    <row r="1337" ht="15.0" customHeight="1">
      <c r="A1337" s="127">
        <v>45680.0</v>
      </c>
      <c r="B1337" s="181" t="s">
        <v>6628</v>
      </c>
      <c r="C1337" s="56" t="s">
        <v>3355</v>
      </c>
      <c r="D1337" s="73" t="str">
        <f>IFERROR(VLOOKUP(C1337,Stock,3,FALSE),"")</f>
        <v>List Kaca Depan INV</v>
      </c>
      <c r="E1337" s="56">
        <v>1.0</v>
      </c>
      <c r="F1337" s="161">
        <v>315000.0</v>
      </c>
      <c r="G1337" s="162">
        <f t="shared" si="33"/>
        <v>315000</v>
      </c>
      <c r="H1337" s="194"/>
      <c r="I1337" s="161">
        <f t="shared" si="35"/>
        <v>315000</v>
      </c>
      <c r="J1337" s="164">
        <f t="shared" si="30"/>
        <v>315000</v>
      </c>
      <c r="K1337" s="197" t="s">
        <v>5770</v>
      </c>
      <c r="L1337" s="165" t="s">
        <v>6629</v>
      </c>
      <c r="M1337" s="73"/>
      <c r="N1337" s="289" t="s">
        <v>6630</v>
      </c>
      <c r="O1337" s="169" t="s">
        <v>3037</v>
      </c>
      <c r="P1337" s="168" t="s">
        <v>3112</v>
      </c>
      <c r="Q1337" s="167">
        <v>315000.0</v>
      </c>
      <c r="R1337" s="173"/>
      <c r="S1337" s="173"/>
      <c r="T1337" s="173"/>
      <c r="U1337" s="173"/>
      <c r="V1337" s="168" t="s">
        <v>3799</v>
      </c>
      <c r="W1337" s="169"/>
      <c r="X1337" s="171"/>
    </row>
    <row r="1338" ht="15.0" customHeight="1">
      <c r="A1338" s="127">
        <v>45681.0</v>
      </c>
      <c r="B1338" s="181" t="s">
        <v>6631</v>
      </c>
      <c r="C1338" s="56" t="s">
        <v>3186</v>
      </c>
      <c r="D1338" s="73" t="str">
        <f>IFERROR(VLOOKUP(C1338,Stock,3,FALSE),"")</f>
        <v>Daihatsu Gran Max / Luxio 07-</v>
      </c>
      <c r="E1338" s="56">
        <v>10.0</v>
      </c>
      <c r="F1338" s="161">
        <v>598500.0</v>
      </c>
      <c r="G1338" s="162">
        <f t="shared" si="33"/>
        <v>5985000</v>
      </c>
      <c r="H1338" s="194"/>
      <c r="I1338" s="161">
        <f t="shared" si="35"/>
        <v>5985000</v>
      </c>
      <c r="J1338" s="164">
        <f t="shared" si="30"/>
        <v>5985000</v>
      </c>
      <c r="K1338" s="197" t="s">
        <v>6632</v>
      </c>
      <c r="L1338" s="165" t="s">
        <v>6633</v>
      </c>
      <c r="M1338" s="73"/>
      <c r="N1338" s="171"/>
      <c r="O1338" s="169" t="s">
        <v>2958</v>
      </c>
      <c r="P1338" s="168" t="s">
        <v>3112</v>
      </c>
      <c r="Q1338" s="173"/>
      <c r="R1338" s="167">
        <v>5985000.0</v>
      </c>
      <c r="S1338" s="173"/>
      <c r="T1338" s="173"/>
      <c r="U1338" s="173"/>
      <c r="V1338" s="168" t="s">
        <v>3799</v>
      </c>
      <c r="W1338" s="169"/>
      <c r="X1338" s="171"/>
    </row>
    <row r="1339" ht="15.0" customHeight="1">
      <c r="A1339" s="127">
        <v>45681.0</v>
      </c>
      <c r="B1339" s="181" t="s">
        <v>6634</v>
      </c>
      <c r="C1339" s="56" t="s">
        <v>4613</v>
      </c>
      <c r="D1339" s="73" t="str">
        <f>IFERROR(VLOOKUP(C1339,Stock,3,FALSE),"")</f>
        <v>Honda Freed 08-16 1st gen</v>
      </c>
      <c r="E1339" s="56">
        <v>1.0</v>
      </c>
      <c r="F1339" s="161">
        <v>1446000.0</v>
      </c>
      <c r="G1339" s="162">
        <f t="shared" si="33"/>
        <v>1446000</v>
      </c>
      <c r="H1339" s="194"/>
      <c r="I1339" s="161">
        <f t="shared" si="35"/>
        <v>1446000</v>
      </c>
      <c r="J1339" s="164">
        <f t="shared" si="30"/>
        <v>1446000</v>
      </c>
      <c r="K1339" s="197" t="s">
        <v>6635</v>
      </c>
      <c r="L1339" s="165" t="s">
        <v>6636</v>
      </c>
      <c r="M1339" s="73"/>
      <c r="N1339" s="289" t="s">
        <v>6637</v>
      </c>
      <c r="O1339" s="169" t="s">
        <v>2958</v>
      </c>
      <c r="P1339" s="168" t="s">
        <v>3112</v>
      </c>
      <c r="Q1339" s="167">
        <v>1450000.0</v>
      </c>
      <c r="R1339" s="173"/>
      <c r="S1339" s="173"/>
      <c r="T1339" s="173"/>
      <c r="U1339" s="167">
        <v>4000.0</v>
      </c>
      <c r="V1339" s="168" t="s">
        <v>3799</v>
      </c>
      <c r="W1339" s="169"/>
      <c r="X1339" s="171"/>
    </row>
    <row r="1340" ht="15.0" customHeight="1">
      <c r="A1340" s="127">
        <v>45681.0</v>
      </c>
      <c r="B1340" s="181" t="s">
        <v>6638</v>
      </c>
      <c r="C1340" s="327" t="s">
        <v>6639</v>
      </c>
      <c r="D1340" s="73" t="str">
        <f>IFERROR(VLOOKUP(C1340,Stock,3,FALSE),"")</f>
        <v>Kia Sportage 10-15 SL</v>
      </c>
      <c r="E1340" s="56">
        <v>1.0</v>
      </c>
      <c r="F1340" s="161">
        <v>3661000.0</v>
      </c>
      <c r="G1340" s="162">
        <f t="shared" si="33"/>
        <v>3661000</v>
      </c>
      <c r="H1340" s="194"/>
      <c r="I1340" s="161">
        <f t="shared" si="35"/>
        <v>3661000</v>
      </c>
      <c r="J1340" s="164">
        <f t="shared" si="30"/>
        <v>3661000</v>
      </c>
      <c r="K1340" s="228" t="s">
        <v>6640</v>
      </c>
      <c r="L1340" s="165" t="s">
        <v>6641</v>
      </c>
      <c r="M1340" s="73"/>
      <c r="N1340" s="171"/>
      <c r="O1340" s="169" t="s">
        <v>3204</v>
      </c>
      <c r="P1340" s="168" t="s">
        <v>3112</v>
      </c>
      <c r="Q1340" s="173"/>
      <c r="R1340" s="167">
        <v>3661000.0</v>
      </c>
      <c r="S1340" s="173"/>
      <c r="T1340" s="173"/>
      <c r="U1340" s="173"/>
      <c r="V1340" s="168" t="s">
        <v>3799</v>
      </c>
      <c r="W1340" s="169"/>
      <c r="X1340" s="171"/>
    </row>
    <row r="1341" ht="15.0" customHeight="1">
      <c r="A1341" s="127">
        <v>45681.0</v>
      </c>
      <c r="B1341" s="181" t="s">
        <v>6642</v>
      </c>
      <c r="C1341" s="56" t="s">
        <v>3235</v>
      </c>
      <c r="D1341" s="73" t="str">
        <f>IFERROR(VLOOKUP(C1341,Stock,3,FALSE),"")</f>
        <v>Toyota Vios 02-07 XP40 1st Gen</v>
      </c>
      <c r="E1341" s="56">
        <v>1.0</v>
      </c>
      <c r="F1341" s="161">
        <v>1150000.0</v>
      </c>
      <c r="G1341" s="162">
        <f t="shared" si="33"/>
        <v>1150000</v>
      </c>
      <c r="H1341" s="194"/>
      <c r="I1341" s="161">
        <f t="shared" si="35"/>
        <v>1150000</v>
      </c>
      <c r="J1341" s="164">
        <f t="shared" si="30"/>
        <v>1150000</v>
      </c>
      <c r="K1341" s="197" t="s">
        <v>6643</v>
      </c>
      <c r="L1341" s="165" t="s">
        <v>6644</v>
      </c>
      <c r="M1341" s="73"/>
      <c r="N1341" s="171"/>
      <c r="O1341" s="169" t="s">
        <v>3037</v>
      </c>
      <c r="P1341" s="168" t="s">
        <v>3112</v>
      </c>
      <c r="Q1341" s="167">
        <v>1150000.0</v>
      </c>
      <c r="R1341" s="173"/>
      <c r="S1341" s="173"/>
      <c r="T1341" s="173"/>
      <c r="U1341" s="173"/>
      <c r="V1341" s="168" t="s">
        <v>3799</v>
      </c>
      <c r="W1341" s="169"/>
      <c r="X1341" s="171"/>
    </row>
    <row r="1342" ht="15.0" customHeight="1">
      <c r="A1342" s="127">
        <v>45682.0</v>
      </c>
      <c r="B1342" s="181" t="s">
        <v>6645</v>
      </c>
      <c r="C1342" s="56" t="s">
        <v>3378</v>
      </c>
      <c r="D1342" s="73" t="str">
        <f>IFERROR(VLOOKUP(C1342,Stock,3,FALSE),"")</f>
        <v>Isuzu Panther 00- 2nd Gen</v>
      </c>
      <c r="E1342" s="56">
        <v>1.0</v>
      </c>
      <c r="F1342" s="161">
        <v>1338000.0</v>
      </c>
      <c r="G1342" s="162">
        <f t="shared" si="33"/>
        <v>1338000</v>
      </c>
      <c r="H1342" s="194"/>
      <c r="I1342" s="161">
        <f t="shared" si="35"/>
        <v>1338000</v>
      </c>
      <c r="J1342" s="164">
        <f t="shared" si="30"/>
        <v>1338000</v>
      </c>
      <c r="K1342" s="197" t="s">
        <v>6646</v>
      </c>
      <c r="L1342" s="165" t="s">
        <v>6647</v>
      </c>
      <c r="M1342" s="73"/>
      <c r="N1342" s="289" t="s">
        <v>6648</v>
      </c>
      <c r="O1342" s="169" t="s">
        <v>3081</v>
      </c>
      <c r="P1342" s="168" t="s">
        <v>3112</v>
      </c>
      <c r="Q1342" s="167">
        <v>1338000.0</v>
      </c>
      <c r="R1342" s="173"/>
      <c r="S1342" s="173"/>
      <c r="T1342" s="173"/>
      <c r="U1342" s="173"/>
      <c r="V1342" s="168" t="s">
        <v>3799</v>
      </c>
      <c r="W1342" s="169"/>
      <c r="X1342" s="169" t="s">
        <v>6405</v>
      </c>
    </row>
    <row r="1343" ht="15.0" customHeight="1">
      <c r="A1343" s="127">
        <v>45682.0</v>
      </c>
      <c r="B1343" s="181" t="s">
        <v>6645</v>
      </c>
      <c r="C1343" s="56" t="s">
        <v>4027</v>
      </c>
      <c r="D1343" s="73" t="str">
        <f>IFERROR(VLOOKUP(C1343,Stock,3,FALSE),"")</f>
        <v>501 Sealant Application</v>
      </c>
      <c r="E1343" s="56">
        <v>1.0</v>
      </c>
      <c r="F1343" s="161">
        <v>150000.0</v>
      </c>
      <c r="G1343" s="162">
        <f t="shared" si="33"/>
        <v>150000</v>
      </c>
      <c r="H1343" s="194"/>
      <c r="I1343" s="161">
        <f t="shared" si="35"/>
        <v>150000</v>
      </c>
      <c r="J1343" s="164">
        <f t="shared" si="30"/>
        <v>150000</v>
      </c>
      <c r="K1343" s="197" t="s">
        <v>6646</v>
      </c>
      <c r="L1343" s="165" t="s">
        <v>6647</v>
      </c>
      <c r="M1343" s="73"/>
      <c r="N1343" s="289" t="s">
        <v>6648</v>
      </c>
      <c r="O1343" s="169" t="s">
        <v>3081</v>
      </c>
      <c r="P1343" s="168" t="s">
        <v>3112</v>
      </c>
      <c r="Q1343" s="167">
        <v>150000.0</v>
      </c>
      <c r="R1343" s="173"/>
      <c r="S1343" s="173"/>
      <c r="T1343" s="173"/>
      <c r="U1343" s="173"/>
      <c r="V1343" s="168" t="s">
        <v>3799</v>
      </c>
      <c r="W1343" s="169"/>
      <c r="X1343" s="169" t="s">
        <v>6405</v>
      </c>
    </row>
    <row r="1344" ht="15.0" customHeight="1">
      <c r="A1344" s="127">
        <v>45682.0</v>
      </c>
      <c r="B1344" s="181" t="s">
        <v>6649</v>
      </c>
      <c r="C1344" s="56" t="s">
        <v>2703</v>
      </c>
      <c r="D1344" s="73" t="str">
        <f>IFERROR(VLOOKUP(C1344,Stock,3,FALSE),"")</f>
        <v>Toyota Hi-Ace 04-20 Commuter</v>
      </c>
      <c r="E1344" s="56">
        <v>1.0</v>
      </c>
      <c r="F1344" s="161">
        <v>1680000.0</v>
      </c>
      <c r="G1344" s="162">
        <f t="shared" si="33"/>
        <v>1680000</v>
      </c>
      <c r="H1344" s="201">
        <v>80000.0</v>
      </c>
      <c r="I1344" s="161">
        <f t="shared" si="35"/>
        <v>1600000</v>
      </c>
      <c r="J1344" s="164">
        <f t="shared" si="30"/>
        <v>1600000</v>
      </c>
      <c r="K1344" s="197" t="s">
        <v>6650</v>
      </c>
      <c r="L1344" s="165" t="s">
        <v>6651</v>
      </c>
      <c r="M1344" s="73"/>
      <c r="N1344" s="289" t="s">
        <v>6652</v>
      </c>
      <c r="O1344" s="169" t="s">
        <v>3204</v>
      </c>
      <c r="P1344" s="168" t="s">
        <v>3112</v>
      </c>
      <c r="Q1344" s="173"/>
      <c r="R1344" s="167">
        <v>1600000.0</v>
      </c>
      <c r="S1344" s="173"/>
      <c r="T1344" s="173"/>
      <c r="U1344" s="173"/>
      <c r="V1344" s="168" t="s">
        <v>3799</v>
      </c>
      <c r="W1344" s="169"/>
      <c r="X1344" s="171"/>
    </row>
    <row r="1345" ht="15.0" customHeight="1">
      <c r="A1345" s="127">
        <v>45682.0</v>
      </c>
      <c r="B1345" s="181" t="s">
        <v>6653</v>
      </c>
      <c r="C1345" s="56" t="s">
        <v>3526</v>
      </c>
      <c r="D1345" s="73" t="str">
        <f>IFERROR(VLOOKUP(C1345,Stock,3,FALSE),"")</f>
        <v>Toyota Kijang 98- Kapsul Karet</v>
      </c>
      <c r="E1345" s="56">
        <v>1.0</v>
      </c>
      <c r="F1345" s="161">
        <v>1178000.0</v>
      </c>
      <c r="G1345" s="162">
        <f t="shared" si="33"/>
        <v>1178000</v>
      </c>
      <c r="H1345" s="194"/>
      <c r="I1345" s="161">
        <f t="shared" si="35"/>
        <v>1178000</v>
      </c>
      <c r="J1345" s="164">
        <f t="shared" si="30"/>
        <v>1178000</v>
      </c>
      <c r="K1345" s="197" t="s">
        <v>6654</v>
      </c>
      <c r="L1345" s="165" t="s">
        <v>6655</v>
      </c>
      <c r="M1345" s="73"/>
      <c r="N1345" s="171"/>
      <c r="O1345" s="169" t="s">
        <v>3213</v>
      </c>
      <c r="P1345" s="168" t="s">
        <v>3112</v>
      </c>
      <c r="Q1345" s="167">
        <v>1200000.0</v>
      </c>
      <c r="R1345" s="173"/>
      <c r="S1345" s="173"/>
      <c r="T1345" s="173"/>
      <c r="U1345" s="167">
        <v>22000.0</v>
      </c>
      <c r="V1345" s="168" t="s">
        <v>3799</v>
      </c>
      <c r="W1345" s="169"/>
      <c r="X1345" s="169" t="s">
        <v>6405</v>
      </c>
    </row>
    <row r="1346" ht="15.0" customHeight="1">
      <c r="A1346" s="127">
        <v>45682.0</v>
      </c>
      <c r="B1346" s="181" t="s">
        <v>6656</v>
      </c>
      <c r="C1346" s="56" t="s">
        <v>2936</v>
      </c>
      <c r="D1346" s="73" t="str">
        <f>IFERROR(VLOOKUP(C1346,Stock,3,FALSE),"")</f>
        <v>Toyota Calya / Sigra 16-</v>
      </c>
      <c r="E1346" s="56">
        <v>1.0</v>
      </c>
      <c r="F1346" s="161">
        <v>950000.0</v>
      </c>
      <c r="G1346" s="162">
        <f t="shared" si="33"/>
        <v>950000</v>
      </c>
      <c r="H1346" s="201">
        <v>50000.0</v>
      </c>
      <c r="I1346" s="161">
        <f t="shared" si="35"/>
        <v>900000</v>
      </c>
      <c r="J1346" s="164">
        <f t="shared" si="30"/>
        <v>900000</v>
      </c>
      <c r="K1346" s="197" t="s">
        <v>6657</v>
      </c>
      <c r="L1346" s="165" t="s">
        <v>6658</v>
      </c>
      <c r="M1346" s="73"/>
      <c r="N1346" s="289" t="s">
        <v>6659</v>
      </c>
      <c r="O1346" s="169" t="s">
        <v>2958</v>
      </c>
      <c r="P1346" s="168" t="s">
        <v>3011</v>
      </c>
      <c r="Q1346" s="173"/>
      <c r="R1346" s="167">
        <v>900000.0</v>
      </c>
      <c r="S1346" s="173"/>
      <c r="T1346" s="173"/>
      <c r="U1346" s="173"/>
      <c r="V1346" s="168" t="s">
        <v>3799</v>
      </c>
      <c r="W1346" s="169"/>
      <c r="X1346" s="171"/>
    </row>
    <row r="1347" ht="15.0" customHeight="1">
      <c r="A1347" s="127">
        <v>45683.0</v>
      </c>
      <c r="B1347" s="181" t="s">
        <v>6660</v>
      </c>
      <c r="C1347" s="56" t="s">
        <v>3871</v>
      </c>
      <c r="D1347" s="73" t="str">
        <f>IFERROR(VLOOKUP(C1347,Stock,3,FALSE),"")</f>
        <v>Suzuki Swift 04-11 1st Gen</v>
      </c>
      <c r="E1347" s="56">
        <v>1.0</v>
      </c>
      <c r="F1347" s="161">
        <v>1694000.0</v>
      </c>
      <c r="G1347" s="162">
        <f t="shared" si="33"/>
        <v>1694000</v>
      </c>
      <c r="H1347" s="194"/>
      <c r="I1347" s="161">
        <f t="shared" si="35"/>
        <v>1694000</v>
      </c>
      <c r="J1347" s="164">
        <f t="shared" si="30"/>
        <v>1694000</v>
      </c>
      <c r="K1347" s="197" t="s">
        <v>6661</v>
      </c>
      <c r="L1347" s="165" t="s">
        <v>6662</v>
      </c>
      <c r="M1347" s="73"/>
      <c r="N1347" s="289" t="s">
        <v>6663</v>
      </c>
      <c r="O1347" s="169" t="s">
        <v>3204</v>
      </c>
      <c r="P1347" s="168" t="s">
        <v>3112</v>
      </c>
      <c r="Q1347" s="173"/>
      <c r="R1347" s="167">
        <v>1694000.0</v>
      </c>
      <c r="S1347" s="173"/>
      <c r="T1347" s="173"/>
      <c r="U1347" s="173"/>
      <c r="V1347" s="168" t="s">
        <v>3799</v>
      </c>
      <c r="W1347" s="169"/>
      <c r="X1347" s="171"/>
    </row>
    <row r="1348" ht="15.0" customHeight="1">
      <c r="A1348" s="127">
        <v>45683.0</v>
      </c>
      <c r="B1348" s="181" t="s">
        <v>6664</v>
      </c>
      <c r="C1348" s="56" t="s">
        <v>3398</v>
      </c>
      <c r="D1348" s="73" t="str">
        <f>IFERROR(VLOOKUP(C1348,Stock,3,FALSE),"")</f>
        <v>Pemasangan Kaca Mobil Samping</v>
      </c>
      <c r="E1348" s="56">
        <v>1.0</v>
      </c>
      <c r="F1348" s="161">
        <v>100000.0</v>
      </c>
      <c r="G1348" s="162">
        <f t="shared" si="33"/>
        <v>100000</v>
      </c>
      <c r="H1348" s="194"/>
      <c r="I1348" s="161">
        <f t="shared" si="35"/>
        <v>100000</v>
      </c>
      <c r="J1348" s="164">
        <f t="shared" si="30"/>
        <v>100000</v>
      </c>
      <c r="K1348" s="197" t="s">
        <v>6665</v>
      </c>
      <c r="L1348" s="165" t="s">
        <v>6666</v>
      </c>
      <c r="M1348" s="73"/>
      <c r="N1348" s="289" t="s">
        <v>6667</v>
      </c>
      <c r="O1348" s="169" t="s">
        <v>3213</v>
      </c>
      <c r="P1348" s="168" t="s">
        <v>3112</v>
      </c>
      <c r="Q1348" s="167">
        <v>100000.0</v>
      </c>
      <c r="R1348" s="173"/>
      <c r="S1348" s="173"/>
      <c r="T1348" s="173"/>
      <c r="U1348" s="173"/>
      <c r="V1348" s="168" t="s">
        <v>3799</v>
      </c>
      <c r="W1348" s="169"/>
      <c r="X1348" s="171"/>
    </row>
    <row r="1349" ht="15.0" customHeight="1">
      <c r="A1349" s="127">
        <v>45683.0</v>
      </c>
      <c r="B1349" s="181" t="s">
        <v>6668</v>
      </c>
      <c r="C1349" s="56" t="s">
        <v>3382</v>
      </c>
      <c r="D1349" s="73" t="str">
        <f>IFERROR(VLOOKUP(C1349,Stock,3,FALSE),"")</f>
        <v>Toyota Avanza / Xenia 11-15 2nd Gen / 15-21 3rd Gen</v>
      </c>
      <c r="E1349" s="56">
        <v>1.0</v>
      </c>
      <c r="F1349" s="161">
        <v>500000.0</v>
      </c>
      <c r="G1349" s="162">
        <f t="shared" si="33"/>
        <v>500000</v>
      </c>
      <c r="H1349" s="194"/>
      <c r="I1349" s="161">
        <f t="shared" si="35"/>
        <v>500000</v>
      </c>
      <c r="J1349" s="164">
        <f t="shared" si="30"/>
        <v>500000</v>
      </c>
      <c r="K1349" s="197" t="s">
        <v>6669</v>
      </c>
      <c r="L1349" s="165" t="s">
        <v>6670</v>
      </c>
      <c r="M1349" s="73"/>
      <c r="N1349" s="169" t="s">
        <v>6671</v>
      </c>
      <c r="O1349" s="169" t="s">
        <v>2958</v>
      </c>
      <c r="P1349" s="168" t="s">
        <v>3112</v>
      </c>
      <c r="Q1349" s="167">
        <v>500000.0</v>
      </c>
      <c r="R1349" s="173"/>
      <c r="S1349" s="173"/>
      <c r="T1349" s="173"/>
      <c r="U1349" s="173"/>
      <c r="V1349" s="168" t="s">
        <v>3799</v>
      </c>
      <c r="W1349" s="169"/>
      <c r="X1349" s="171"/>
    </row>
    <row r="1350" ht="15.0" customHeight="1">
      <c r="A1350" s="127">
        <v>45684.0</v>
      </c>
      <c r="B1350" s="181" t="s">
        <v>6672</v>
      </c>
      <c r="C1350" s="56" t="s">
        <v>4765</v>
      </c>
      <c r="D1350" s="73" t="str">
        <f>IFERROR(VLOOKUP(C1350,Stock,3,FALSE),"")</f>
        <v>Nissan X-Trail 01-07 T30</v>
      </c>
      <c r="E1350" s="56">
        <v>1.0</v>
      </c>
      <c r="F1350" s="161">
        <v>1986000.0</v>
      </c>
      <c r="G1350" s="162">
        <f t="shared" si="33"/>
        <v>1986000</v>
      </c>
      <c r="H1350" s="194"/>
      <c r="I1350" s="161">
        <f t="shared" si="35"/>
        <v>1986000</v>
      </c>
      <c r="J1350" s="164">
        <f t="shared" si="30"/>
        <v>1986000</v>
      </c>
      <c r="K1350" s="56" t="s">
        <v>6673</v>
      </c>
      <c r="L1350" s="165" t="s">
        <v>6674</v>
      </c>
      <c r="M1350" s="73"/>
      <c r="N1350" s="171"/>
      <c r="O1350" s="169" t="s">
        <v>3184</v>
      </c>
      <c r="P1350" s="168" t="s">
        <v>3112</v>
      </c>
      <c r="Q1350" s="173"/>
      <c r="R1350" s="167">
        <v>1986000.0</v>
      </c>
      <c r="S1350" s="173"/>
      <c r="T1350" s="173"/>
      <c r="U1350" s="173"/>
      <c r="V1350" s="168" t="s">
        <v>4778</v>
      </c>
      <c r="W1350" s="169"/>
      <c r="X1350" s="169" t="s">
        <v>6675</v>
      </c>
    </row>
    <row r="1351" ht="15.0" customHeight="1">
      <c r="A1351" s="127">
        <v>45684.0</v>
      </c>
      <c r="B1351" s="181" t="s">
        <v>6676</v>
      </c>
      <c r="C1351" s="56" t="s">
        <v>4907</v>
      </c>
      <c r="D1351" s="73" t="str">
        <f>IFERROR(VLOOKUP(C1351,Stock,3,FALSE),"")</f>
        <v>Nissan Livina 07-12 L10 (Tanpa Lubang)</v>
      </c>
      <c r="E1351" s="56">
        <v>1.0</v>
      </c>
      <c r="F1351" s="161">
        <v>1350000.0</v>
      </c>
      <c r="G1351" s="162">
        <f t="shared" si="33"/>
        <v>1350000</v>
      </c>
      <c r="H1351" s="194"/>
      <c r="I1351" s="161">
        <f t="shared" si="35"/>
        <v>1350000</v>
      </c>
      <c r="J1351" s="164">
        <f t="shared" si="30"/>
        <v>1350000</v>
      </c>
      <c r="K1351" s="56" t="s">
        <v>6677</v>
      </c>
      <c r="L1351" s="165" t="s">
        <v>6678</v>
      </c>
      <c r="M1351" s="73"/>
      <c r="N1351" s="171"/>
      <c r="O1351" s="169" t="s">
        <v>2958</v>
      </c>
      <c r="P1351" s="168" t="s">
        <v>3112</v>
      </c>
      <c r="Q1351" s="173"/>
      <c r="R1351" s="167">
        <v>1350000.0</v>
      </c>
      <c r="S1351" s="173"/>
      <c r="T1351" s="173"/>
      <c r="U1351" s="173"/>
      <c r="V1351" s="168" t="s">
        <v>4778</v>
      </c>
      <c r="W1351" s="169"/>
      <c r="X1351" s="169" t="s">
        <v>6675</v>
      </c>
    </row>
    <row r="1352" ht="15.0" customHeight="1">
      <c r="A1352" s="127">
        <v>45685.0</v>
      </c>
      <c r="B1352" s="181" t="s">
        <v>6679</v>
      </c>
      <c r="C1352" s="56" t="s">
        <v>2829</v>
      </c>
      <c r="D1352" s="73" t="str">
        <f>IFERROR(VLOOKUP(C1352,Stock,3,FALSE),"")</f>
        <v>Daihatsu Gran Max / Luxio 07-</v>
      </c>
      <c r="E1352" s="56">
        <v>1.0</v>
      </c>
      <c r="F1352" s="161">
        <v>350000.0</v>
      </c>
      <c r="G1352" s="162">
        <f t="shared" si="33"/>
        <v>350000</v>
      </c>
      <c r="H1352" s="194"/>
      <c r="I1352" s="161">
        <f t="shared" si="35"/>
        <v>350000</v>
      </c>
      <c r="J1352" s="164">
        <f t="shared" si="30"/>
        <v>350000</v>
      </c>
      <c r="K1352" s="56" t="s">
        <v>6680</v>
      </c>
      <c r="L1352" s="165" t="s">
        <v>6681</v>
      </c>
      <c r="M1352" s="73"/>
      <c r="N1352" s="171"/>
      <c r="O1352" s="169" t="s">
        <v>2958</v>
      </c>
      <c r="P1352" s="168" t="s">
        <v>3112</v>
      </c>
      <c r="Q1352" s="167">
        <v>350000.0</v>
      </c>
      <c r="R1352" s="173"/>
      <c r="S1352" s="173"/>
      <c r="T1352" s="173"/>
      <c r="U1352" s="173"/>
      <c r="V1352" s="168" t="s">
        <v>4262</v>
      </c>
      <c r="W1352" s="169"/>
      <c r="X1352" s="171"/>
    </row>
    <row r="1353" ht="15.0" customHeight="1">
      <c r="A1353" s="127">
        <v>45685.0</v>
      </c>
      <c r="B1353" s="181" t="s">
        <v>6682</v>
      </c>
      <c r="C1353" s="56" t="s">
        <v>5892</v>
      </c>
      <c r="D1353" s="73" t="str">
        <f>IFERROR(VLOOKUP(C1353,Stock,3,FALSE),"")</f>
        <v>Tata Superace 11-</v>
      </c>
      <c r="E1353" s="56">
        <v>1.0</v>
      </c>
      <c r="F1353" s="161">
        <v>1180000.0</v>
      </c>
      <c r="G1353" s="162">
        <f t="shared" si="33"/>
        <v>1180000</v>
      </c>
      <c r="H1353" s="194"/>
      <c r="I1353" s="161">
        <f t="shared" si="35"/>
        <v>1180000</v>
      </c>
      <c r="J1353" s="164">
        <f t="shared" si="30"/>
        <v>1180000</v>
      </c>
      <c r="K1353" s="56" t="s">
        <v>6683</v>
      </c>
      <c r="L1353" s="165" t="s">
        <v>4287</v>
      </c>
      <c r="M1353" s="73"/>
      <c r="N1353" s="171"/>
      <c r="O1353" s="169" t="s">
        <v>2958</v>
      </c>
      <c r="P1353" s="168" t="s">
        <v>3112</v>
      </c>
      <c r="Q1353" s="167">
        <v>500000.0</v>
      </c>
      <c r="R1353" s="167">
        <v>680000.0</v>
      </c>
      <c r="S1353" s="173"/>
      <c r="T1353" s="173"/>
      <c r="U1353" s="173"/>
      <c r="V1353" s="168" t="s">
        <v>3883</v>
      </c>
      <c r="W1353" s="169"/>
      <c r="X1353" s="171"/>
    </row>
    <row r="1354" ht="15.0" customHeight="1">
      <c r="A1354" s="127">
        <v>45685.0</v>
      </c>
      <c r="B1354" s="181" t="s">
        <v>6684</v>
      </c>
      <c r="C1354" s="327" t="s">
        <v>3543</v>
      </c>
      <c r="D1354" s="73" t="str">
        <f>IFERROR(VLOOKUP(C1354,Stock,3,FALSE),"")</f>
        <v>Daihatsu Gran Max Minibus/Van</v>
      </c>
      <c r="E1354" s="56">
        <v>1.0</v>
      </c>
      <c r="F1354" s="161">
        <v>650000.0</v>
      </c>
      <c r="G1354" s="162">
        <f t="shared" si="33"/>
        <v>650000</v>
      </c>
      <c r="H1354" s="194"/>
      <c r="I1354" s="161">
        <f t="shared" si="35"/>
        <v>650000</v>
      </c>
      <c r="J1354" s="164">
        <f t="shared" si="30"/>
        <v>650000</v>
      </c>
      <c r="K1354" s="56" t="s">
        <v>6685</v>
      </c>
      <c r="L1354" s="73"/>
      <c r="M1354" s="73"/>
      <c r="N1354" s="171"/>
      <c r="O1354" s="169" t="s">
        <v>5220</v>
      </c>
      <c r="P1354" s="168" t="s">
        <v>3112</v>
      </c>
      <c r="Q1354" s="173"/>
      <c r="R1354" s="167">
        <v>3275000.0</v>
      </c>
      <c r="S1354" s="173"/>
      <c r="T1354" s="173"/>
      <c r="U1354" s="173"/>
      <c r="V1354" s="168" t="s">
        <v>3883</v>
      </c>
      <c r="W1354" s="169"/>
      <c r="X1354" s="171"/>
    </row>
    <row r="1355" ht="15.0" customHeight="1">
      <c r="A1355" s="127">
        <v>45685.0</v>
      </c>
      <c r="B1355" s="181" t="s">
        <v>6684</v>
      </c>
      <c r="C1355" s="251" t="s">
        <v>6686</v>
      </c>
      <c r="D1355" s="73" t="str">
        <f>IFERROR(VLOOKUP(C1355,Stock,3,FALSE),"")</f>
        <v>Daihatsu Gran Max / Luxio 07-</v>
      </c>
      <c r="E1355" s="56">
        <v>1.0</v>
      </c>
      <c r="F1355" s="161">
        <v>350000.0</v>
      </c>
      <c r="G1355" s="162">
        <f t="shared" si="33"/>
        <v>350000</v>
      </c>
      <c r="H1355" s="194"/>
      <c r="I1355" s="161">
        <f t="shared" si="35"/>
        <v>350000</v>
      </c>
      <c r="J1355" s="164">
        <f t="shared" si="30"/>
        <v>350000</v>
      </c>
      <c r="K1355" s="56" t="s">
        <v>6685</v>
      </c>
      <c r="L1355" s="73"/>
      <c r="M1355" s="73"/>
      <c r="N1355" s="171"/>
      <c r="O1355" s="169" t="s">
        <v>5220</v>
      </c>
      <c r="P1355" s="168" t="s">
        <v>3112</v>
      </c>
      <c r="Q1355" s="173"/>
      <c r="R1355" s="173"/>
      <c r="S1355" s="173"/>
      <c r="T1355" s="173"/>
      <c r="U1355" s="173"/>
      <c r="V1355" s="168" t="s">
        <v>3883</v>
      </c>
      <c r="W1355" s="169"/>
      <c r="X1355" s="171"/>
    </row>
    <row r="1356" ht="15.0" customHeight="1">
      <c r="A1356" s="127">
        <v>45685.0</v>
      </c>
      <c r="B1356" s="181" t="s">
        <v>6684</v>
      </c>
      <c r="C1356" s="169" t="s">
        <v>6687</v>
      </c>
      <c r="D1356" s="73" t="str">
        <f>IFERROR(VLOOKUP(C1356,Stock,3,FALSE),"")</f>
        <v>Daihatsu Gran Max / Luxio 07-</v>
      </c>
      <c r="E1356" s="56">
        <v>1.0</v>
      </c>
      <c r="F1356" s="161">
        <v>350000.0</v>
      </c>
      <c r="G1356" s="162">
        <f t="shared" si="33"/>
        <v>350000</v>
      </c>
      <c r="H1356" s="194"/>
      <c r="I1356" s="161">
        <f t="shared" si="35"/>
        <v>350000</v>
      </c>
      <c r="J1356" s="164">
        <f t="shared" si="30"/>
        <v>350000</v>
      </c>
      <c r="K1356" s="56" t="s">
        <v>6685</v>
      </c>
      <c r="L1356" s="73"/>
      <c r="M1356" s="73"/>
      <c r="N1356" s="171"/>
      <c r="O1356" s="169" t="s">
        <v>5220</v>
      </c>
      <c r="P1356" s="168" t="s">
        <v>3112</v>
      </c>
      <c r="Q1356" s="173"/>
      <c r="R1356" s="173"/>
      <c r="S1356" s="173"/>
      <c r="T1356" s="173"/>
      <c r="U1356" s="173"/>
      <c r="V1356" s="168" t="s">
        <v>3883</v>
      </c>
      <c r="W1356" s="169"/>
      <c r="X1356" s="171"/>
    </row>
    <row r="1357" ht="15.0" customHeight="1">
      <c r="A1357" s="127">
        <v>45685.0</v>
      </c>
      <c r="B1357" s="181" t="s">
        <v>6684</v>
      </c>
      <c r="C1357" s="169" t="s">
        <v>3542</v>
      </c>
      <c r="D1357" s="73" t="str">
        <f>IFERROR(VLOOKUP(C1357,Stock,3,FALSE),"")</f>
        <v>Daihatsu Gran Max</v>
      </c>
      <c r="E1357" s="56">
        <v>1.0</v>
      </c>
      <c r="F1357" s="161">
        <v>350000.0</v>
      </c>
      <c r="G1357" s="162">
        <f t="shared" si="33"/>
        <v>350000</v>
      </c>
      <c r="H1357" s="194"/>
      <c r="I1357" s="161">
        <f t="shared" si="35"/>
        <v>350000</v>
      </c>
      <c r="J1357" s="164">
        <f t="shared" si="30"/>
        <v>350000</v>
      </c>
      <c r="K1357" s="56" t="s">
        <v>6685</v>
      </c>
      <c r="L1357" s="73"/>
      <c r="M1357" s="73"/>
      <c r="N1357" s="171"/>
      <c r="O1357" s="169" t="s">
        <v>5220</v>
      </c>
      <c r="P1357" s="168" t="s">
        <v>3112</v>
      </c>
      <c r="Q1357" s="173"/>
      <c r="R1357" s="173"/>
      <c r="S1357" s="173"/>
      <c r="T1357" s="173"/>
      <c r="U1357" s="173"/>
      <c r="V1357" s="168" t="s">
        <v>3883</v>
      </c>
      <c r="W1357" s="169"/>
      <c r="X1357" s="171"/>
    </row>
    <row r="1358" ht="15.0" customHeight="1">
      <c r="A1358" s="127">
        <v>45685.0</v>
      </c>
      <c r="B1358" s="181" t="s">
        <v>6684</v>
      </c>
      <c r="C1358" s="304" t="s">
        <v>3541</v>
      </c>
      <c r="D1358" s="73" t="str">
        <f>IFERROR(VLOOKUP(C1358,Stock,3,FALSE),"")</f>
        <v>Daihatsu Gran Max</v>
      </c>
      <c r="E1358" s="56">
        <v>1.0</v>
      </c>
      <c r="F1358" s="161">
        <v>350000.0</v>
      </c>
      <c r="G1358" s="162">
        <f t="shared" si="33"/>
        <v>350000</v>
      </c>
      <c r="H1358" s="194"/>
      <c r="I1358" s="161">
        <f t="shared" si="35"/>
        <v>350000</v>
      </c>
      <c r="J1358" s="164">
        <f t="shared" si="30"/>
        <v>350000</v>
      </c>
      <c r="K1358" s="56" t="s">
        <v>6685</v>
      </c>
      <c r="L1358" s="73"/>
      <c r="M1358" s="73"/>
      <c r="N1358" s="171"/>
      <c r="O1358" s="169" t="s">
        <v>5220</v>
      </c>
      <c r="P1358" s="168" t="s">
        <v>3112</v>
      </c>
      <c r="Q1358" s="173"/>
      <c r="R1358" s="173"/>
      <c r="S1358" s="173"/>
      <c r="T1358" s="173"/>
      <c r="U1358" s="173"/>
      <c r="V1358" s="168" t="s">
        <v>3883</v>
      </c>
      <c r="W1358" s="169"/>
      <c r="X1358" s="171"/>
    </row>
    <row r="1359" ht="15.0" customHeight="1">
      <c r="A1359" s="127">
        <v>45685.0</v>
      </c>
      <c r="B1359" s="181" t="s">
        <v>6684</v>
      </c>
      <c r="C1359" s="175" t="s">
        <v>2826</v>
      </c>
      <c r="D1359" s="73" t="str">
        <f>IFERROR(VLOOKUP(C1359,Stock,3,FALSE),"")</f>
        <v>Toyota Kijang 02-04 Kapsul Lem Efi </v>
      </c>
      <c r="E1359" s="56">
        <v>1.0</v>
      </c>
      <c r="F1359" s="161">
        <v>650000.0</v>
      </c>
      <c r="G1359" s="162">
        <f t="shared" si="33"/>
        <v>650000</v>
      </c>
      <c r="H1359" s="194"/>
      <c r="I1359" s="161">
        <f t="shared" si="35"/>
        <v>650000</v>
      </c>
      <c r="J1359" s="164">
        <f t="shared" si="30"/>
        <v>650000</v>
      </c>
      <c r="K1359" s="56" t="s">
        <v>6685</v>
      </c>
      <c r="L1359" s="73"/>
      <c r="M1359" s="73"/>
      <c r="N1359" s="171"/>
      <c r="O1359" s="169" t="s">
        <v>5220</v>
      </c>
      <c r="P1359" s="168" t="s">
        <v>3112</v>
      </c>
      <c r="Q1359" s="173"/>
      <c r="R1359" s="173"/>
      <c r="S1359" s="173"/>
      <c r="T1359" s="173"/>
      <c r="U1359" s="173"/>
      <c r="V1359" s="168" t="s">
        <v>3883</v>
      </c>
      <c r="W1359" s="169"/>
      <c r="X1359" s="171"/>
    </row>
    <row r="1360" ht="15.0" customHeight="1">
      <c r="A1360" s="127">
        <v>45685.0</v>
      </c>
      <c r="B1360" s="181" t="s">
        <v>6684</v>
      </c>
      <c r="C1360" s="304" t="s">
        <v>3059</v>
      </c>
      <c r="D1360" s="73" t="str">
        <f>IFERROR(VLOOKUP(C1360,Stock,3,FALSE),"")</f>
        <v>Sealant Polyurethane XYG Tube</v>
      </c>
      <c r="E1360" s="56">
        <v>5.0</v>
      </c>
      <c r="F1360" s="161">
        <v>75000.0</v>
      </c>
      <c r="G1360" s="162">
        <f t="shared" si="33"/>
        <v>375000</v>
      </c>
      <c r="H1360" s="194"/>
      <c r="I1360" s="161">
        <f t="shared" si="35"/>
        <v>375000</v>
      </c>
      <c r="J1360" s="164">
        <f t="shared" si="30"/>
        <v>375000</v>
      </c>
      <c r="K1360" s="56" t="s">
        <v>6685</v>
      </c>
      <c r="L1360" s="73"/>
      <c r="M1360" s="73"/>
      <c r="N1360" s="171"/>
      <c r="O1360" s="169" t="s">
        <v>5220</v>
      </c>
      <c r="P1360" s="168" t="s">
        <v>3112</v>
      </c>
      <c r="Q1360" s="173"/>
      <c r="R1360" s="173"/>
      <c r="S1360" s="173"/>
      <c r="T1360" s="173"/>
      <c r="U1360" s="173"/>
      <c r="V1360" s="168" t="s">
        <v>3883</v>
      </c>
      <c r="W1360" s="169"/>
      <c r="X1360" s="171"/>
    </row>
    <row r="1361" ht="15.0" customHeight="1">
      <c r="A1361" s="127">
        <v>45685.0</v>
      </c>
      <c r="B1361" s="181" t="s">
        <v>6684</v>
      </c>
      <c r="C1361" s="175" t="s">
        <v>2934</v>
      </c>
      <c r="D1361" s="73" t="str">
        <f>IFERROR(VLOOKUP(C1361,Stock,3,FALSE),"")</f>
        <v>Peti Kayu</v>
      </c>
      <c r="E1361" s="56">
        <v>1.0</v>
      </c>
      <c r="F1361" s="161">
        <v>200000.0</v>
      </c>
      <c r="G1361" s="162">
        <f t="shared" si="33"/>
        <v>200000</v>
      </c>
      <c r="H1361" s="194"/>
      <c r="I1361" s="161">
        <f t="shared" si="35"/>
        <v>200000</v>
      </c>
      <c r="J1361" s="164">
        <f t="shared" si="30"/>
        <v>200000</v>
      </c>
      <c r="K1361" s="56" t="s">
        <v>6685</v>
      </c>
      <c r="L1361" s="73"/>
      <c r="M1361" s="73"/>
      <c r="N1361" s="171"/>
      <c r="O1361" s="169" t="s">
        <v>5220</v>
      </c>
      <c r="P1361" s="168" t="s">
        <v>3112</v>
      </c>
      <c r="Q1361" s="173"/>
      <c r="R1361" s="173"/>
      <c r="S1361" s="173"/>
      <c r="T1361" s="173"/>
      <c r="U1361" s="173"/>
      <c r="V1361" s="168" t="s">
        <v>3883</v>
      </c>
      <c r="W1361" s="169"/>
      <c r="X1361" s="171"/>
    </row>
    <row r="1362" ht="15.0" customHeight="1">
      <c r="A1362" s="127">
        <v>45685.0</v>
      </c>
      <c r="B1362" s="181" t="s">
        <v>6688</v>
      </c>
      <c r="C1362" s="56" t="s">
        <v>6689</v>
      </c>
      <c r="D1362" s="73" t="str">
        <f>IFERROR(VLOOKUP(C1362,Stock,3,FALSE),"")</f>
        <v>Mazda 2 09-14 3rd Gen</v>
      </c>
      <c r="E1362" s="56">
        <v>1.0</v>
      </c>
      <c r="F1362" s="161">
        <v>1699000.0</v>
      </c>
      <c r="G1362" s="162">
        <f t="shared" si="33"/>
        <v>1699000</v>
      </c>
      <c r="H1362" s="194"/>
      <c r="I1362" s="161">
        <f t="shared" si="35"/>
        <v>1699000</v>
      </c>
      <c r="J1362" s="164">
        <f t="shared" si="30"/>
        <v>1699000</v>
      </c>
      <c r="K1362" s="56" t="s">
        <v>6690</v>
      </c>
      <c r="L1362" s="165" t="s">
        <v>6691</v>
      </c>
      <c r="M1362" s="73"/>
      <c r="N1362" s="171"/>
      <c r="O1362" s="169" t="s">
        <v>2958</v>
      </c>
      <c r="P1362" s="168" t="s">
        <v>3112</v>
      </c>
      <c r="Q1362" s="167">
        <v>800000.0</v>
      </c>
      <c r="R1362" s="167">
        <v>1960000.0</v>
      </c>
      <c r="S1362" s="173"/>
      <c r="T1362" s="173"/>
      <c r="U1362" s="173"/>
      <c r="V1362" s="168" t="s">
        <v>3883</v>
      </c>
      <c r="W1362" s="169"/>
      <c r="X1362" s="171"/>
    </row>
    <row r="1363" ht="15.0" customHeight="1">
      <c r="A1363" s="127">
        <v>45685.0</v>
      </c>
      <c r="B1363" s="181" t="s">
        <v>6688</v>
      </c>
      <c r="C1363" s="56" t="s">
        <v>4628</v>
      </c>
      <c r="D1363" s="73" t="str">
        <f>IFERROR(VLOOKUP(C1363,Stock,3,FALSE),"")</f>
        <v>Mazda 2 09-14 3rd Gen Hatchback</v>
      </c>
      <c r="E1363" s="56">
        <v>1.0</v>
      </c>
      <c r="F1363" s="161">
        <v>1061000.0</v>
      </c>
      <c r="G1363" s="162">
        <f t="shared" si="33"/>
        <v>1061000</v>
      </c>
      <c r="H1363" s="194"/>
      <c r="I1363" s="161">
        <f t="shared" si="35"/>
        <v>1061000</v>
      </c>
      <c r="J1363" s="164">
        <f t="shared" si="30"/>
        <v>1061000</v>
      </c>
      <c r="K1363" s="56" t="s">
        <v>6690</v>
      </c>
      <c r="L1363" s="165" t="s">
        <v>6691</v>
      </c>
      <c r="M1363" s="73"/>
      <c r="N1363" s="171"/>
      <c r="O1363" s="169" t="s">
        <v>2958</v>
      </c>
      <c r="P1363" s="168" t="s">
        <v>3112</v>
      </c>
      <c r="Q1363" s="173"/>
      <c r="R1363" s="173"/>
      <c r="S1363" s="173"/>
      <c r="T1363" s="173"/>
      <c r="U1363" s="173"/>
      <c r="V1363" s="168" t="s">
        <v>3883</v>
      </c>
      <c r="W1363" s="169"/>
      <c r="X1363" s="171"/>
    </row>
    <row r="1364" ht="15.0" customHeight="1">
      <c r="A1364" s="127">
        <v>45685.0</v>
      </c>
      <c r="B1364" s="181" t="s">
        <v>6692</v>
      </c>
      <c r="C1364" s="56" t="s">
        <v>6693</v>
      </c>
      <c r="D1364" s="73" t="str">
        <f>IFERROR(VLOOKUP(C1364,Stock,3,FALSE),"")</f>
        <v>Toyota Yaris 05-13 XP90 1st Gen</v>
      </c>
      <c r="E1364" s="56">
        <v>1.0</v>
      </c>
      <c r="F1364" s="161">
        <v>1388000.0</v>
      </c>
      <c r="G1364" s="162">
        <f t="shared" si="33"/>
        <v>1388000</v>
      </c>
      <c r="H1364" s="201">
        <v>50000.0</v>
      </c>
      <c r="I1364" s="161">
        <f t="shared" si="35"/>
        <v>1338000</v>
      </c>
      <c r="J1364" s="164">
        <f t="shared" si="30"/>
        <v>1338000</v>
      </c>
      <c r="K1364" s="56" t="s">
        <v>6694</v>
      </c>
      <c r="L1364" s="165" t="s">
        <v>6695</v>
      </c>
      <c r="M1364" s="73"/>
      <c r="N1364" s="169" t="s">
        <v>6696</v>
      </c>
      <c r="O1364" s="169" t="s">
        <v>2958</v>
      </c>
      <c r="P1364" s="168" t="s">
        <v>3112</v>
      </c>
      <c r="Q1364" s="173"/>
      <c r="R1364" s="167">
        <v>1338000.0</v>
      </c>
      <c r="S1364" s="173"/>
      <c r="T1364" s="173"/>
      <c r="U1364" s="173"/>
      <c r="V1364" s="168" t="s">
        <v>3883</v>
      </c>
      <c r="W1364" s="169"/>
      <c r="X1364" s="171"/>
    </row>
    <row r="1365" ht="15.0" customHeight="1">
      <c r="A1365" s="127">
        <v>45685.0</v>
      </c>
      <c r="B1365" s="181" t="s">
        <v>6697</v>
      </c>
      <c r="C1365" s="56" t="s">
        <v>2936</v>
      </c>
      <c r="D1365" s="73" t="str">
        <f>IFERROR(VLOOKUP(C1365,Stock,3,FALSE),"")</f>
        <v>Toyota Calya / Sigra 16-</v>
      </c>
      <c r="E1365" s="56">
        <v>1.0</v>
      </c>
      <c r="F1365" s="161">
        <v>900000.0</v>
      </c>
      <c r="G1365" s="162">
        <f t="shared" si="33"/>
        <v>900000</v>
      </c>
      <c r="H1365" s="194"/>
      <c r="I1365" s="161">
        <f t="shared" si="35"/>
        <v>900000</v>
      </c>
      <c r="J1365" s="164">
        <f t="shared" si="30"/>
        <v>900000</v>
      </c>
      <c r="K1365" s="56" t="s">
        <v>6698</v>
      </c>
      <c r="L1365" s="165" t="s">
        <v>6699</v>
      </c>
      <c r="M1365" s="73"/>
      <c r="N1365" s="169" t="s">
        <v>6700</v>
      </c>
      <c r="O1365" s="169" t="s">
        <v>2958</v>
      </c>
      <c r="P1365" s="168" t="s">
        <v>3112</v>
      </c>
      <c r="Q1365" s="173"/>
      <c r="R1365" s="167">
        <v>900000.0</v>
      </c>
      <c r="S1365" s="173"/>
      <c r="T1365" s="173"/>
      <c r="U1365" s="173"/>
      <c r="V1365" s="168" t="s">
        <v>3883</v>
      </c>
      <c r="W1365" s="169"/>
      <c r="X1365" s="171"/>
    </row>
    <row r="1366" ht="15.0" customHeight="1">
      <c r="A1366" s="127">
        <v>45685.0</v>
      </c>
      <c r="B1366" s="181" t="s">
        <v>6701</v>
      </c>
      <c r="C1366" s="56" t="s">
        <v>4901</v>
      </c>
      <c r="D1366" s="73" t="str">
        <f>IFERROR(VLOOKUP(C1366,Stock,3,FALSE),"")</f>
        <v>Toyota Rush / Terios 18-</v>
      </c>
      <c r="E1366" s="56">
        <v>1.0</v>
      </c>
      <c r="F1366" s="161">
        <v>1352000.0</v>
      </c>
      <c r="G1366" s="162">
        <f t="shared" si="33"/>
        <v>1352000</v>
      </c>
      <c r="H1366" s="194"/>
      <c r="I1366" s="161">
        <f t="shared" si="35"/>
        <v>1352000</v>
      </c>
      <c r="J1366" s="164">
        <f t="shared" si="30"/>
        <v>1352000</v>
      </c>
      <c r="K1366" s="56" t="s">
        <v>6702</v>
      </c>
      <c r="L1366" s="165" t="s">
        <v>6703</v>
      </c>
      <c r="M1366" s="73"/>
      <c r="N1366" s="171"/>
      <c r="O1366" s="169" t="s">
        <v>2958</v>
      </c>
      <c r="P1366" s="168" t="s">
        <v>3112</v>
      </c>
      <c r="Q1366" s="173"/>
      <c r="R1366" s="167">
        <v>1352000.0</v>
      </c>
      <c r="S1366" s="173"/>
      <c r="T1366" s="173"/>
      <c r="U1366" s="173"/>
      <c r="V1366" s="168" t="s">
        <v>3883</v>
      </c>
      <c r="W1366" s="169"/>
      <c r="X1366" s="171"/>
    </row>
    <row r="1367" ht="15.0" customHeight="1">
      <c r="A1367" s="127">
        <v>45686.0</v>
      </c>
      <c r="B1367" s="181" t="s">
        <v>6704</v>
      </c>
      <c r="C1367" s="56" t="s">
        <v>2682</v>
      </c>
      <c r="D1367" s="73" t="str">
        <f>IFERROR(VLOOKUP(C1367,Stock,3,FALSE),"")</f>
        <v>Toyota Yaris 05-13 XP90 1st Gen</v>
      </c>
      <c r="E1367" s="56">
        <v>1.0</v>
      </c>
      <c r="F1367" s="161">
        <v>1588000.0</v>
      </c>
      <c r="G1367" s="162">
        <f t="shared" si="33"/>
        <v>1588000</v>
      </c>
      <c r="H1367" s="194"/>
      <c r="I1367" s="161">
        <f t="shared" si="35"/>
        <v>1588000</v>
      </c>
      <c r="J1367" s="164">
        <f t="shared" si="30"/>
        <v>1588000</v>
      </c>
      <c r="K1367" s="56" t="s">
        <v>6705</v>
      </c>
      <c r="L1367" s="165" t="s">
        <v>6706</v>
      </c>
      <c r="M1367" s="73"/>
      <c r="N1367" s="169" t="s">
        <v>6707</v>
      </c>
      <c r="O1367" s="169" t="s">
        <v>2958</v>
      </c>
      <c r="P1367" s="168" t="s">
        <v>3112</v>
      </c>
      <c r="Q1367" s="167">
        <v>1588000.0</v>
      </c>
      <c r="R1367" s="173"/>
      <c r="S1367" s="173"/>
      <c r="T1367" s="173"/>
      <c r="U1367" s="173"/>
      <c r="V1367" s="168" t="s">
        <v>3883</v>
      </c>
      <c r="W1367" s="169"/>
      <c r="X1367" s="171"/>
    </row>
    <row r="1368" ht="15.0" customHeight="1">
      <c r="A1368" s="127">
        <v>45686.0</v>
      </c>
      <c r="B1368" s="181" t="s">
        <v>6704</v>
      </c>
      <c r="C1368" s="56" t="s">
        <v>3513</v>
      </c>
      <c r="D1368" s="73" t="str">
        <f>IFERROR(VLOOKUP(C1368,Stock,3,FALSE),"")</f>
        <v>Lembur</v>
      </c>
      <c r="E1368" s="56">
        <v>1.0</v>
      </c>
      <c r="F1368" s="161">
        <v>100000.0</v>
      </c>
      <c r="G1368" s="162">
        <f t="shared" si="33"/>
        <v>100000</v>
      </c>
      <c r="H1368" s="194"/>
      <c r="I1368" s="161">
        <f t="shared" si="35"/>
        <v>100000</v>
      </c>
      <c r="J1368" s="164">
        <f t="shared" si="30"/>
        <v>100000</v>
      </c>
      <c r="K1368" s="56" t="s">
        <v>6705</v>
      </c>
      <c r="L1368" s="165" t="s">
        <v>6706</v>
      </c>
      <c r="M1368" s="73"/>
      <c r="N1368" s="169" t="s">
        <v>6707</v>
      </c>
      <c r="O1368" s="169" t="s">
        <v>2958</v>
      </c>
      <c r="P1368" s="168" t="s">
        <v>3112</v>
      </c>
      <c r="Q1368" s="173"/>
      <c r="R1368" s="167">
        <v>100000.0</v>
      </c>
      <c r="S1368" s="173"/>
      <c r="T1368" s="173"/>
      <c r="U1368" s="173"/>
      <c r="V1368" s="168" t="s">
        <v>3883</v>
      </c>
      <c r="W1368" s="169"/>
      <c r="X1368" s="171"/>
    </row>
    <row r="1369" ht="15.0" customHeight="1">
      <c r="A1369" s="127">
        <v>45686.0</v>
      </c>
      <c r="B1369" s="181" t="s">
        <v>6704</v>
      </c>
      <c r="C1369" s="56" t="s">
        <v>4027</v>
      </c>
      <c r="D1369" s="73" t="str">
        <f>IFERROR(VLOOKUP(C1369,Stock,3,FALSE),"")</f>
        <v>501 Sealant Application</v>
      </c>
      <c r="E1369" s="56">
        <v>1.0</v>
      </c>
      <c r="F1369" s="161">
        <v>150000.0</v>
      </c>
      <c r="G1369" s="162">
        <f t="shared" si="33"/>
        <v>150000</v>
      </c>
      <c r="H1369" s="194"/>
      <c r="I1369" s="161">
        <f t="shared" si="35"/>
        <v>150000</v>
      </c>
      <c r="J1369" s="164">
        <f t="shared" si="30"/>
        <v>150000</v>
      </c>
      <c r="K1369" s="56" t="s">
        <v>6705</v>
      </c>
      <c r="L1369" s="165" t="s">
        <v>6706</v>
      </c>
      <c r="M1369" s="73"/>
      <c r="N1369" s="169" t="s">
        <v>6707</v>
      </c>
      <c r="O1369" s="169" t="s">
        <v>2958</v>
      </c>
      <c r="P1369" s="168" t="s">
        <v>3112</v>
      </c>
      <c r="Q1369" s="167">
        <v>150000.0</v>
      </c>
      <c r="R1369" s="173"/>
      <c r="S1369" s="173"/>
      <c r="T1369" s="173"/>
      <c r="U1369" s="173"/>
      <c r="V1369" s="168" t="s">
        <v>3883</v>
      </c>
      <c r="W1369" s="169"/>
      <c r="X1369" s="171"/>
    </row>
    <row r="1370" ht="15.0" customHeight="1">
      <c r="A1370" s="127">
        <v>45686.0</v>
      </c>
      <c r="B1370" s="181" t="s">
        <v>6708</v>
      </c>
      <c r="C1370" s="56" t="s">
        <v>3176</v>
      </c>
      <c r="D1370" s="73" t="str">
        <f>IFERROR(VLOOKUP(C1370,Stock,3,FALSE),"")</f>
        <v>Toyota Avanza / Xenia 11-15 2nd Gen / 15-21 3rd Gen</v>
      </c>
      <c r="E1370" s="56">
        <v>1.0</v>
      </c>
      <c r="F1370" s="161">
        <v>880000.0</v>
      </c>
      <c r="G1370" s="162">
        <f t="shared" si="33"/>
        <v>880000</v>
      </c>
      <c r="H1370" s="194"/>
      <c r="I1370" s="161">
        <f t="shared" si="35"/>
        <v>880000</v>
      </c>
      <c r="J1370" s="164">
        <f t="shared" si="30"/>
        <v>880000</v>
      </c>
      <c r="K1370" s="56" t="s">
        <v>6709</v>
      </c>
      <c r="L1370" s="165" t="s">
        <v>6710</v>
      </c>
      <c r="M1370" s="73"/>
      <c r="N1370" s="169" t="s">
        <v>6711</v>
      </c>
      <c r="O1370" s="169" t="s">
        <v>2958</v>
      </c>
      <c r="P1370" s="168" t="s">
        <v>3112</v>
      </c>
      <c r="Q1370" s="173"/>
      <c r="R1370" s="167">
        <v>880000.0</v>
      </c>
      <c r="S1370" s="173"/>
      <c r="T1370" s="173"/>
      <c r="U1370" s="173"/>
      <c r="V1370" s="168" t="s">
        <v>3883</v>
      </c>
      <c r="W1370" s="169"/>
      <c r="X1370" s="171"/>
    </row>
    <row r="1371" ht="15.0" customHeight="1">
      <c r="A1371" s="127">
        <v>45688.0</v>
      </c>
      <c r="B1371" s="181" t="s">
        <v>6712</v>
      </c>
      <c r="C1371" s="56" t="s">
        <v>5262</v>
      </c>
      <c r="D1371" s="73" t="str">
        <f>IFERROR(VLOOKUP(C1371,Stock,3,FALSE),"")</f>
        <v>Nissan March 10- K13</v>
      </c>
      <c r="E1371" s="56">
        <v>1.0</v>
      </c>
      <c r="F1371" s="161">
        <v>1593000.0</v>
      </c>
      <c r="G1371" s="162">
        <f t="shared" si="33"/>
        <v>1593000</v>
      </c>
      <c r="H1371" s="194"/>
      <c r="I1371" s="161">
        <f t="shared" si="35"/>
        <v>1593000</v>
      </c>
      <c r="J1371" s="164">
        <f t="shared" si="30"/>
        <v>1593000</v>
      </c>
      <c r="K1371" s="197" t="s">
        <v>6713</v>
      </c>
      <c r="L1371" s="165" t="s">
        <v>6714</v>
      </c>
      <c r="M1371" s="73"/>
      <c r="N1371" s="171"/>
      <c r="O1371" s="169" t="s">
        <v>2958</v>
      </c>
      <c r="P1371" s="168" t="s">
        <v>3011</v>
      </c>
      <c r="Q1371" s="173"/>
      <c r="R1371" s="167">
        <v>1593000.0</v>
      </c>
      <c r="S1371" s="173"/>
      <c r="T1371" s="173"/>
      <c r="U1371" s="173"/>
      <c r="V1371" s="168" t="s">
        <v>3799</v>
      </c>
      <c r="W1371" s="169"/>
      <c r="X1371" s="171"/>
    </row>
    <row r="1372" ht="15.0" customHeight="1">
      <c r="A1372" s="127">
        <v>45688.0</v>
      </c>
      <c r="B1372" s="181" t="s">
        <v>6715</v>
      </c>
      <c r="C1372" s="56" t="s">
        <v>6716</v>
      </c>
      <c r="D1372" s="73" t="str">
        <f>IFERROR(VLOOKUP(C1372,Stock,3,FALSE),"")</f>
        <v>Toyota Fortuner 15- 2nd Gen</v>
      </c>
      <c r="E1372" s="56">
        <v>1.0</v>
      </c>
      <c r="F1372" s="161">
        <v>1150000.0</v>
      </c>
      <c r="G1372" s="162">
        <f t="shared" si="33"/>
        <v>1150000</v>
      </c>
      <c r="H1372" s="194"/>
      <c r="I1372" s="161">
        <f t="shared" si="35"/>
        <v>1150000</v>
      </c>
      <c r="J1372" s="164">
        <f t="shared" si="30"/>
        <v>1150000</v>
      </c>
      <c r="K1372" s="197" t="s">
        <v>6717</v>
      </c>
      <c r="L1372" s="165" t="s">
        <v>6714</v>
      </c>
      <c r="M1372" s="73"/>
      <c r="N1372" s="289" t="s">
        <v>6718</v>
      </c>
      <c r="O1372" s="169" t="s">
        <v>6719</v>
      </c>
      <c r="P1372" s="168" t="s">
        <v>3112</v>
      </c>
      <c r="Q1372" s="173"/>
      <c r="R1372" s="167">
        <v>1150000.0</v>
      </c>
      <c r="S1372" s="173"/>
      <c r="T1372" s="173"/>
      <c r="U1372" s="173"/>
      <c r="V1372" s="168" t="s">
        <v>3799</v>
      </c>
      <c r="W1372" s="169"/>
      <c r="X1372" s="171"/>
    </row>
    <row r="1373" ht="15.0" customHeight="1">
      <c r="A1373" s="127">
        <v>45688.0</v>
      </c>
      <c r="B1373" s="181" t="s">
        <v>6720</v>
      </c>
      <c r="C1373" s="56" t="s">
        <v>3451</v>
      </c>
      <c r="D1373" s="73" t="str">
        <f>IFERROR(VLOOKUP(C1373,Stock,3,FALSE),"")</f>
        <v>Toyota Rush / Terios 18-</v>
      </c>
      <c r="E1373" s="56">
        <v>1.0</v>
      </c>
      <c r="F1373" s="161">
        <v>1360000.0</v>
      </c>
      <c r="G1373" s="162">
        <f t="shared" si="33"/>
        <v>1360000</v>
      </c>
      <c r="H1373" s="194"/>
      <c r="I1373" s="161">
        <f t="shared" si="35"/>
        <v>1360000</v>
      </c>
      <c r="J1373" s="164">
        <f t="shared" si="30"/>
        <v>1360000</v>
      </c>
      <c r="K1373" s="197" t="s">
        <v>6721</v>
      </c>
      <c r="L1373" s="165" t="s">
        <v>6722</v>
      </c>
      <c r="M1373" s="73"/>
      <c r="N1373" s="171"/>
      <c r="O1373" s="169" t="s">
        <v>3204</v>
      </c>
      <c r="P1373" s="168" t="s">
        <v>3112</v>
      </c>
      <c r="Q1373" s="173"/>
      <c r="R1373" s="167">
        <v>1360000.0</v>
      </c>
      <c r="S1373" s="173"/>
      <c r="T1373" s="173"/>
      <c r="U1373" s="173"/>
      <c r="V1373" s="168" t="s">
        <v>3799</v>
      </c>
      <c r="W1373" s="169"/>
      <c r="X1373" s="171"/>
    </row>
    <row r="1374" ht="15.0" customHeight="1">
      <c r="A1374" s="127">
        <v>45688.0</v>
      </c>
      <c r="B1374" s="181" t="s">
        <v>6723</v>
      </c>
      <c r="C1374" s="56" t="s">
        <v>3411</v>
      </c>
      <c r="D1374" s="73" t="str">
        <f>IFERROR(VLOOKUP(C1374,Stock,3,FALSE),"")</f>
        <v>Toyota Agya/Ayla 13-22 1st Gen</v>
      </c>
      <c r="E1374" s="56">
        <v>1.0</v>
      </c>
      <c r="F1374" s="161">
        <v>1150000.0</v>
      </c>
      <c r="G1374" s="162">
        <f t="shared" si="33"/>
        <v>1150000</v>
      </c>
      <c r="H1374" s="194"/>
      <c r="I1374" s="161">
        <f t="shared" si="35"/>
        <v>1150000</v>
      </c>
      <c r="J1374" s="164">
        <f t="shared" si="30"/>
        <v>1150000</v>
      </c>
      <c r="K1374" s="197" t="s">
        <v>6724</v>
      </c>
      <c r="L1374" s="165" t="s">
        <v>6725</v>
      </c>
      <c r="M1374" s="73"/>
      <c r="N1374" s="289" t="s">
        <v>6726</v>
      </c>
      <c r="O1374" s="169" t="s">
        <v>3204</v>
      </c>
      <c r="P1374" s="168" t="s">
        <v>3112</v>
      </c>
      <c r="Q1374" s="173"/>
      <c r="R1374" s="167">
        <v>1150000.0</v>
      </c>
      <c r="S1374" s="173"/>
      <c r="T1374" s="173"/>
      <c r="U1374" s="173"/>
      <c r="V1374" s="168" t="s">
        <v>3799</v>
      </c>
      <c r="W1374" s="169"/>
      <c r="X1374" s="171"/>
    </row>
    <row r="1375" ht="15.0" customHeight="1">
      <c r="A1375" s="127">
        <v>45688.0</v>
      </c>
      <c r="B1375" s="181" t="s">
        <v>6727</v>
      </c>
      <c r="C1375" s="56" t="s">
        <v>6728</v>
      </c>
      <c r="D1375" s="73" t="str">
        <f>IFERROR(VLOOKUP(C1375,Stock,3,FALSE),"")</f>
        <v>Suzuki Ertiga 18- 2nd Gen / XL7</v>
      </c>
      <c r="E1375" s="56">
        <v>1.0</v>
      </c>
      <c r="F1375" s="161">
        <v>550000.0</v>
      </c>
      <c r="G1375" s="162">
        <f t="shared" si="33"/>
        <v>550000</v>
      </c>
      <c r="H1375" s="194"/>
      <c r="I1375" s="161">
        <f t="shared" si="35"/>
        <v>550000</v>
      </c>
      <c r="J1375" s="164">
        <f t="shared" si="30"/>
        <v>550000</v>
      </c>
      <c r="K1375" s="56" t="s">
        <v>6729</v>
      </c>
      <c r="L1375" s="165" t="s">
        <v>6730</v>
      </c>
      <c r="M1375" s="73"/>
      <c r="N1375" s="171"/>
      <c r="O1375" s="169" t="s">
        <v>6731</v>
      </c>
      <c r="P1375" s="168" t="s">
        <v>3112</v>
      </c>
      <c r="Q1375" s="173"/>
      <c r="R1375" s="167">
        <v>550000.0</v>
      </c>
      <c r="S1375" s="173"/>
      <c r="T1375" s="173"/>
      <c r="U1375" s="173"/>
      <c r="V1375" s="168" t="s">
        <v>3883</v>
      </c>
      <c r="W1375" s="169"/>
      <c r="X1375" s="171"/>
    </row>
    <row r="1376" ht="15.0" customHeight="1">
      <c r="A1376" s="127">
        <v>45688.0</v>
      </c>
      <c r="B1376" s="181" t="s">
        <v>6727</v>
      </c>
      <c r="C1376" s="56" t="s">
        <v>2934</v>
      </c>
      <c r="D1376" s="73" t="str">
        <f>IFERROR(VLOOKUP(C1376,Stock,3,FALSE),"")</f>
        <v>Peti Kayu</v>
      </c>
      <c r="E1376" s="56">
        <v>1.0</v>
      </c>
      <c r="F1376" s="161">
        <v>120000.0</v>
      </c>
      <c r="G1376" s="162">
        <f t="shared" si="33"/>
        <v>120000</v>
      </c>
      <c r="H1376" s="194"/>
      <c r="I1376" s="161">
        <f t="shared" si="35"/>
        <v>120000</v>
      </c>
      <c r="J1376" s="164">
        <f t="shared" si="30"/>
        <v>120000</v>
      </c>
      <c r="K1376" s="56" t="s">
        <v>6729</v>
      </c>
      <c r="L1376" s="165" t="s">
        <v>6730</v>
      </c>
      <c r="M1376" s="73"/>
      <c r="N1376" s="171"/>
      <c r="O1376" s="169" t="s">
        <v>6731</v>
      </c>
      <c r="P1376" s="168" t="s">
        <v>3112</v>
      </c>
      <c r="Q1376" s="173"/>
      <c r="R1376" s="167">
        <v>120000.0</v>
      </c>
      <c r="S1376" s="173"/>
      <c r="T1376" s="173"/>
      <c r="U1376" s="173"/>
      <c r="V1376" s="168" t="s">
        <v>3883</v>
      </c>
      <c r="W1376" s="169"/>
      <c r="X1376" s="171"/>
    </row>
    <row r="1377" ht="15.0" customHeight="1">
      <c r="A1377" s="127">
        <v>45688.0</v>
      </c>
      <c r="B1377" s="181" t="s">
        <v>6732</v>
      </c>
      <c r="C1377" s="339" t="s">
        <v>3817</v>
      </c>
      <c r="D1377" s="73" t="str">
        <f>IFERROR(VLOOKUP(C1377,Stock,3,FALSE),"")</f>
        <v>Suzuki APV 03- Pickup/ Van (MULIA)</v>
      </c>
      <c r="E1377" s="388">
        <v>4.0</v>
      </c>
      <c r="F1377" s="162"/>
      <c r="G1377" s="162">
        <f t="shared" si="33"/>
        <v>0</v>
      </c>
      <c r="H1377" s="194"/>
      <c r="I1377" s="161">
        <f t="shared" si="35"/>
        <v>0</v>
      </c>
      <c r="J1377" s="164">
        <f t="shared" si="30"/>
        <v>0</v>
      </c>
      <c r="K1377" s="56" t="s">
        <v>6733</v>
      </c>
      <c r="L1377" s="73"/>
      <c r="M1377" s="73"/>
      <c r="N1377" s="171"/>
      <c r="O1377" s="171"/>
      <c r="P1377" s="202"/>
      <c r="Q1377" s="173"/>
      <c r="R1377" s="173"/>
      <c r="S1377" s="173"/>
      <c r="T1377" s="173"/>
      <c r="U1377" s="173"/>
      <c r="V1377" s="202"/>
      <c r="W1377" s="171"/>
      <c r="X1377" s="171"/>
    </row>
    <row r="1378" ht="15.0" customHeight="1">
      <c r="A1378" s="127">
        <v>45688.0</v>
      </c>
      <c r="B1378" s="181" t="s">
        <v>6732</v>
      </c>
      <c r="C1378" s="339" t="s">
        <v>3451</v>
      </c>
      <c r="D1378" s="73" t="str">
        <f>IFERROR(VLOOKUP(C1378,Stock,3,FALSE),"")</f>
        <v>Toyota Rush / Terios 18-</v>
      </c>
      <c r="E1378" s="388">
        <v>5.0</v>
      </c>
      <c r="F1378" s="162"/>
      <c r="G1378" s="162">
        <f t="shared" si="33"/>
        <v>0</v>
      </c>
      <c r="H1378" s="194"/>
      <c r="I1378" s="161">
        <f t="shared" si="35"/>
        <v>0</v>
      </c>
      <c r="J1378" s="164">
        <f t="shared" si="30"/>
        <v>0</v>
      </c>
      <c r="K1378" s="56" t="s">
        <v>6733</v>
      </c>
      <c r="L1378" s="73"/>
      <c r="M1378" s="73"/>
      <c r="N1378" s="171"/>
      <c r="O1378" s="171"/>
      <c r="P1378" s="202"/>
      <c r="Q1378" s="173"/>
      <c r="R1378" s="173"/>
      <c r="S1378" s="173"/>
      <c r="T1378" s="173"/>
      <c r="U1378" s="173"/>
      <c r="V1378" s="202"/>
      <c r="W1378" s="171"/>
      <c r="X1378" s="171"/>
    </row>
    <row r="1379" ht="15.0" customHeight="1">
      <c r="A1379" s="127">
        <v>45688.0</v>
      </c>
      <c r="B1379" s="181" t="s">
        <v>6732</v>
      </c>
      <c r="C1379" s="389" t="s">
        <v>2926</v>
      </c>
      <c r="D1379" s="73" t="str">
        <f>IFERROR(VLOOKUP(C1379,Stock,3,FALSE),"")</f>
        <v>Honda Jazz 01-07 1st Gen</v>
      </c>
      <c r="E1379" s="388">
        <v>5.0</v>
      </c>
      <c r="F1379" s="162"/>
      <c r="G1379" s="162">
        <f t="shared" si="33"/>
        <v>0</v>
      </c>
      <c r="H1379" s="194"/>
      <c r="I1379" s="161">
        <f t="shared" si="35"/>
        <v>0</v>
      </c>
      <c r="J1379" s="164">
        <f t="shared" si="30"/>
        <v>0</v>
      </c>
      <c r="K1379" s="56" t="s">
        <v>6733</v>
      </c>
      <c r="L1379" s="73"/>
      <c r="M1379" s="73"/>
      <c r="N1379" s="171"/>
      <c r="O1379" s="171"/>
      <c r="P1379" s="202"/>
      <c r="Q1379" s="173"/>
      <c r="R1379" s="173"/>
      <c r="S1379" s="173"/>
      <c r="T1379" s="173"/>
      <c r="U1379" s="173"/>
      <c r="V1379" s="202"/>
      <c r="W1379" s="171"/>
      <c r="X1379" s="171"/>
    </row>
    <row r="1380" ht="15.0" customHeight="1">
      <c r="A1380" s="127">
        <v>45688.0</v>
      </c>
      <c r="B1380" s="181" t="s">
        <v>6732</v>
      </c>
      <c r="C1380" s="339" t="s">
        <v>2720</v>
      </c>
      <c r="D1380" s="73" t="str">
        <f>IFERROR(VLOOKUP(C1380,Stock,3,FALSE),"")</f>
        <v>Mitsubishi Canter FE300 85- (PS100,120,135 kabin kecil)</v>
      </c>
      <c r="E1380" s="388">
        <v>6.0</v>
      </c>
      <c r="F1380" s="162"/>
      <c r="G1380" s="162">
        <f t="shared" si="33"/>
        <v>0</v>
      </c>
      <c r="H1380" s="194"/>
      <c r="I1380" s="161">
        <f t="shared" si="35"/>
        <v>0</v>
      </c>
      <c r="J1380" s="164">
        <f t="shared" si="30"/>
        <v>0</v>
      </c>
      <c r="K1380" s="56" t="s">
        <v>6733</v>
      </c>
      <c r="L1380" s="73"/>
      <c r="M1380" s="73"/>
      <c r="N1380" s="171"/>
      <c r="O1380" s="171"/>
      <c r="P1380" s="202"/>
      <c r="Q1380" s="173"/>
      <c r="R1380" s="173"/>
      <c r="S1380" s="173"/>
      <c r="T1380" s="173"/>
      <c r="U1380" s="173"/>
      <c r="V1380" s="202"/>
      <c r="W1380" s="171"/>
      <c r="X1380" s="171"/>
    </row>
    <row r="1381" ht="15.0" customHeight="1">
      <c r="A1381" s="127">
        <v>45688.0</v>
      </c>
      <c r="B1381" s="181" t="s">
        <v>6732</v>
      </c>
      <c r="C1381" s="339" t="s">
        <v>6734</v>
      </c>
      <c r="D1381" s="73" t="str">
        <f>IFERROR(VLOOKUP(C1381,Stock,3,FALSE),"")</f>
        <v>Suzuki Katana 84-</v>
      </c>
      <c r="E1381" s="388">
        <v>3.0</v>
      </c>
      <c r="F1381" s="162"/>
      <c r="G1381" s="162">
        <f t="shared" si="33"/>
        <v>0</v>
      </c>
      <c r="H1381" s="194"/>
      <c r="I1381" s="161">
        <f t="shared" si="35"/>
        <v>0</v>
      </c>
      <c r="J1381" s="164">
        <f t="shared" si="30"/>
        <v>0</v>
      </c>
      <c r="K1381" s="56" t="s">
        <v>6733</v>
      </c>
      <c r="L1381" s="73"/>
      <c r="M1381" s="73"/>
      <c r="N1381" s="171"/>
      <c r="O1381" s="171"/>
      <c r="P1381" s="202"/>
      <c r="Q1381" s="173"/>
      <c r="R1381" s="173"/>
      <c r="S1381" s="173"/>
      <c r="T1381" s="173"/>
      <c r="U1381" s="173"/>
      <c r="V1381" s="202"/>
      <c r="W1381" s="171"/>
      <c r="X1381" s="171"/>
    </row>
    <row r="1382" ht="15.0" customHeight="1">
      <c r="A1382" s="127">
        <v>45688.0</v>
      </c>
      <c r="B1382" s="181" t="s">
        <v>6732</v>
      </c>
      <c r="C1382" s="339" t="s">
        <v>6735</v>
      </c>
      <c r="D1382" s="73" t="str">
        <f>IFERROR(VLOOKUP(C1382,Stock,3,FALSE),"")</f>
        <v>Suzuki Katana 84-</v>
      </c>
      <c r="E1382" s="388">
        <v>2.0</v>
      </c>
      <c r="F1382" s="162"/>
      <c r="G1382" s="162">
        <f t="shared" si="33"/>
        <v>0</v>
      </c>
      <c r="H1382" s="194"/>
      <c r="I1382" s="161">
        <f t="shared" si="35"/>
        <v>0</v>
      </c>
      <c r="J1382" s="164">
        <f t="shared" si="30"/>
        <v>0</v>
      </c>
      <c r="K1382" s="56" t="s">
        <v>6733</v>
      </c>
      <c r="L1382" s="73"/>
      <c r="M1382" s="73"/>
      <c r="N1382" s="171"/>
      <c r="O1382" s="171"/>
      <c r="P1382" s="202"/>
      <c r="Q1382" s="173"/>
      <c r="R1382" s="173"/>
      <c r="S1382" s="173"/>
      <c r="T1382" s="173"/>
      <c r="U1382" s="173"/>
      <c r="V1382" s="202"/>
      <c r="W1382" s="171"/>
      <c r="X1382" s="171"/>
    </row>
    <row r="1383" ht="15.0" customHeight="1">
      <c r="A1383" s="127">
        <v>45688.0</v>
      </c>
      <c r="B1383" s="181" t="s">
        <v>6732</v>
      </c>
      <c r="C1383" s="339" t="s">
        <v>6043</v>
      </c>
      <c r="D1383" s="73" t="str">
        <f>IFERROR(VLOOKUP(C1383,Stock,3,FALSE),"")</f>
        <v>Suzuki Vitara 88-97 / Escudo / Sidekick</v>
      </c>
      <c r="E1383" s="388">
        <v>4.0</v>
      </c>
      <c r="F1383" s="162"/>
      <c r="G1383" s="162">
        <f t="shared" si="33"/>
        <v>0</v>
      </c>
      <c r="H1383" s="194"/>
      <c r="I1383" s="161">
        <f t="shared" si="35"/>
        <v>0</v>
      </c>
      <c r="J1383" s="164">
        <f t="shared" si="30"/>
        <v>0</v>
      </c>
      <c r="K1383" s="56" t="s">
        <v>6733</v>
      </c>
      <c r="L1383" s="73"/>
      <c r="M1383" s="73"/>
      <c r="N1383" s="171"/>
      <c r="O1383" s="171"/>
      <c r="P1383" s="202"/>
      <c r="Q1383" s="173"/>
      <c r="R1383" s="173"/>
      <c r="S1383" s="173"/>
      <c r="T1383" s="173"/>
      <c r="U1383" s="173"/>
      <c r="V1383" s="202"/>
      <c r="W1383" s="171"/>
      <c r="X1383" s="171"/>
    </row>
    <row r="1384" ht="15.0" customHeight="1">
      <c r="A1384" s="127">
        <v>45688.0</v>
      </c>
      <c r="B1384" s="181" t="s">
        <v>6732</v>
      </c>
      <c r="C1384" s="339" t="s">
        <v>2637</v>
      </c>
      <c r="D1384" s="73" t="str">
        <f>IFERROR(VLOOKUP(C1384,Stock,3,FALSE),"")</f>
        <v>Ford Everest 04-15 / Ranger 04-11 / Mazda BT-50</v>
      </c>
      <c r="E1384" s="388">
        <v>1.0</v>
      </c>
      <c r="F1384" s="162"/>
      <c r="G1384" s="162">
        <f t="shared" si="33"/>
        <v>0</v>
      </c>
      <c r="H1384" s="194"/>
      <c r="I1384" s="161">
        <f t="shared" si="35"/>
        <v>0</v>
      </c>
      <c r="J1384" s="164">
        <f t="shared" si="30"/>
        <v>0</v>
      </c>
      <c r="K1384" s="56" t="s">
        <v>6733</v>
      </c>
      <c r="L1384" s="73"/>
      <c r="M1384" s="73"/>
      <c r="N1384" s="171"/>
      <c r="O1384" s="171"/>
      <c r="P1384" s="202"/>
      <c r="Q1384" s="173"/>
      <c r="R1384" s="173"/>
      <c r="S1384" s="173"/>
      <c r="T1384" s="173"/>
      <c r="U1384" s="173"/>
      <c r="V1384" s="202"/>
      <c r="W1384" s="171"/>
      <c r="X1384" s="171"/>
    </row>
    <row r="1385" ht="15.0" customHeight="1">
      <c r="A1385" s="127">
        <v>45688.0</v>
      </c>
      <c r="B1385" s="181" t="s">
        <v>6732</v>
      </c>
      <c r="C1385" s="339" t="s">
        <v>6544</v>
      </c>
      <c r="D1385" s="73" t="str">
        <f>IFERROR(VLOOKUP(C1385,Stock,3,FALSE),"")</f>
        <v>Daihatsu Taruna</v>
      </c>
      <c r="E1385" s="56">
        <v>4.0</v>
      </c>
      <c r="F1385" s="162"/>
      <c r="G1385" s="162">
        <f t="shared" si="33"/>
        <v>0</v>
      </c>
      <c r="H1385" s="194"/>
      <c r="I1385" s="161">
        <f t="shared" si="35"/>
        <v>0</v>
      </c>
      <c r="J1385" s="164">
        <f t="shared" si="30"/>
        <v>0</v>
      </c>
      <c r="K1385" s="56" t="s">
        <v>6733</v>
      </c>
      <c r="L1385" s="73"/>
      <c r="M1385" s="73"/>
      <c r="N1385" s="171"/>
      <c r="O1385" s="171"/>
      <c r="P1385" s="202"/>
      <c r="Q1385" s="173"/>
      <c r="R1385" s="173"/>
      <c r="S1385" s="173"/>
      <c r="T1385" s="173"/>
      <c r="U1385" s="173"/>
      <c r="V1385" s="202"/>
      <c r="W1385" s="171"/>
      <c r="X1385" s="171"/>
    </row>
    <row r="1386" ht="15.0" customHeight="1">
      <c r="A1386" s="127">
        <v>45688.0</v>
      </c>
      <c r="B1386" s="181" t="s">
        <v>6732</v>
      </c>
      <c r="C1386" s="339" t="s">
        <v>3865</v>
      </c>
      <c r="D1386" s="73" t="str">
        <f>IFERROR(VLOOKUP(C1386,Stock,3,FALSE),"")</f>
        <v>Mitsubishi Mirage 12-</v>
      </c>
      <c r="E1386" s="56">
        <v>4.0</v>
      </c>
      <c r="F1386" s="162"/>
      <c r="G1386" s="162">
        <f t="shared" si="33"/>
        <v>0</v>
      </c>
      <c r="H1386" s="194"/>
      <c r="I1386" s="161">
        <f t="shared" si="35"/>
        <v>0</v>
      </c>
      <c r="J1386" s="164">
        <f t="shared" si="30"/>
        <v>0</v>
      </c>
      <c r="K1386" s="56" t="s">
        <v>6733</v>
      </c>
      <c r="L1386" s="73"/>
      <c r="M1386" s="73"/>
      <c r="N1386" s="171"/>
      <c r="O1386" s="171"/>
      <c r="P1386" s="202"/>
      <c r="Q1386" s="173"/>
      <c r="R1386" s="173"/>
      <c r="S1386" s="173"/>
      <c r="T1386" s="173"/>
      <c r="U1386" s="173"/>
      <c r="V1386" s="202"/>
      <c r="W1386" s="171"/>
      <c r="X1386" s="171"/>
    </row>
    <row r="1387" ht="15.0" customHeight="1">
      <c r="A1387" s="127">
        <v>45688.0</v>
      </c>
      <c r="B1387" s="181" t="s">
        <v>6732</v>
      </c>
      <c r="C1387" s="339" t="s">
        <v>5546</v>
      </c>
      <c r="D1387" s="73" t="str">
        <f>IFERROR(VLOOKUP(C1387,Stock,3,FALSE),"")</f>
        <v>Chevrolet Spin 12-</v>
      </c>
      <c r="E1387" s="56">
        <v>4.0</v>
      </c>
      <c r="F1387" s="162"/>
      <c r="G1387" s="162">
        <f t="shared" si="33"/>
        <v>0</v>
      </c>
      <c r="H1387" s="194"/>
      <c r="I1387" s="161">
        <f t="shared" si="35"/>
        <v>0</v>
      </c>
      <c r="J1387" s="164">
        <f t="shared" si="30"/>
        <v>0</v>
      </c>
      <c r="K1387" s="56" t="s">
        <v>6733</v>
      </c>
      <c r="L1387" s="73"/>
      <c r="M1387" s="73"/>
      <c r="N1387" s="171"/>
      <c r="O1387" s="171"/>
      <c r="P1387" s="202"/>
      <c r="Q1387" s="173"/>
      <c r="R1387" s="173"/>
      <c r="S1387" s="173"/>
      <c r="T1387" s="173"/>
      <c r="U1387" s="173"/>
      <c r="V1387" s="202"/>
      <c r="W1387" s="171"/>
      <c r="X1387" s="171"/>
    </row>
    <row r="1388" ht="15.0" customHeight="1">
      <c r="A1388" s="127">
        <v>45688.0</v>
      </c>
      <c r="B1388" s="181" t="s">
        <v>6732</v>
      </c>
      <c r="C1388" s="339" t="s">
        <v>3391</v>
      </c>
      <c r="D1388" s="73" t="str">
        <f>IFERROR(VLOOKUP(C1388,Stock,3,FALSE),"")</f>
        <v>Toyota Fortuner 05-15 1st Gen</v>
      </c>
      <c r="E1388" s="56">
        <v>6.0</v>
      </c>
      <c r="F1388" s="162"/>
      <c r="G1388" s="162">
        <f t="shared" si="33"/>
        <v>0</v>
      </c>
      <c r="H1388" s="194"/>
      <c r="I1388" s="161">
        <f t="shared" si="35"/>
        <v>0</v>
      </c>
      <c r="J1388" s="164">
        <f t="shared" si="30"/>
        <v>0</v>
      </c>
      <c r="K1388" s="56" t="s">
        <v>6733</v>
      </c>
      <c r="L1388" s="73"/>
      <c r="M1388" s="73"/>
      <c r="N1388" s="171"/>
      <c r="O1388" s="171"/>
      <c r="P1388" s="202"/>
      <c r="Q1388" s="173"/>
      <c r="R1388" s="173"/>
      <c r="S1388" s="173"/>
      <c r="T1388" s="173"/>
      <c r="U1388" s="173"/>
      <c r="V1388" s="202"/>
      <c r="W1388" s="171"/>
      <c r="X1388" s="171"/>
    </row>
    <row r="1389" ht="15.0" customHeight="1">
      <c r="A1389" s="127">
        <v>45688.0</v>
      </c>
      <c r="B1389" s="181" t="s">
        <v>6732</v>
      </c>
      <c r="C1389" s="339" t="s">
        <v>3622</v>
      </c>
      <c r="D1389" s="73" t="str">
        <f>IFERROR(VLOOKUP(C1389,Stock,3,FALSE),"")</f>
        <v>Mitsubishi Pajero 08-16</v>
      </c>
      <c r="E1389" s="56">
        <v>3.0</v>
      </c>
      <c r="F1389" s="162"/>
      <c r="G1389" s="162">
        <f t="shared" si="33"/>
        <v>0</v>
      </c>
      <c r="H1389" s="194"/>
      <c r="I1389" s="161">
        <f t="shared" si="35"/>
        <v>0</v>
      </c>
      <c r="J1389" s="164">
        <f t="shared" si="30"/>
        <v>0</v>
      </c>
      <c r="K1389" s="56" t="s">
        <v>6733</v>
      </c>
      <c r="L1389" s="73"/>
      <c r="M1389" s="73"/>
      <c r="N1389" s="171"/>
      <c r="O1389" s="171"/>
      <c r="P1389" s="202"/>
      <c r="Q1389" s="173"/>
      <c r="R1389" s="173"/>
      <c r="S1389" s="173"/>
      <c r="T1389" s="173"/>
      <c r="U1389" s="173"/>
      <c r="V1389" s="202"/>
      <c r="W1389" s="171"/>
      <c r="X1389" s="171"/>
    </row>
    <row r="1390" ht="15.0" customHeight="1">
      <c r="A1390" s="127">
        <v>45688.0</v>
      </c>
      <c r="B1390" s="181" t="s">
        <v>6732</v>
      </c>
      <c r="C1390" s="339" t="s">
        <v>3118</v>
      </c>
      <c r="D1390" s="73" t="str">
        <f>IFERROR(VLOOKUP(C1390,Stock,3,FALSE),"")</f>
        <v>Toyota Hilux Pickup 15- (Revo)</v>
      </c>
      <c r="E1390" s="56">
        <v>3.0</v>
      </c>
      <c r="F1390" s="162"/>
      <c r="G1390" s="162">
        <f t="shared" si="33"/>
        <v>0</v>
      </c>
      <c r="H1390" s="194"/>
      <c r="I1390" s="161">
        <f t="shared" si="35"/>
        <v>0</v>
      </c>
      <c r="J1390" s="164">
        <f t="shared" si="30"/>
        <v>0</v>
      </c>
      <c r="K1390" s="56" t="s">
        <v>6733</v>
      </c>
      <c r="L1390" s="73"/>
      <c r="M1390" s="73"/>
      <c r="N1390" s="171"/>
      <c r="O1390" s="171"/>
      <c r="P1390" s="202"/>
      <c r="Q1390" s="173"/>
      <c r="R1390" s="173"/>
      <c r="S1390" s="173"/>
      <c r="T1390" s="173"/>
      <c r="U1390" s="173"/>
      <c r="V1390" s="202"/>
      <c r="W1390" s="171"/>
      <c r="X1390" s="171"/>
    </row>
    <row r="1391" ht="15.0" customHeight="1">
      <c r="A1391" s="127">
        <v>45688.0</v>
      </c>
      <c r="B1391" s="181" t="s">
        <v>6732</v>
      </c>
      <c r="C1391" s="339" t="s">
        <v>3127</v>
      </c>
      <c r="D1391" s="73" t="str">
        <f>IFERROR(VLOOKUP(C1391,Stock,3,FALSE),"")</f>
        <v>Toyota Avanza / Xenia 03-11 1st Gen</v>
      </c>
      <c r="E1391" s="56">
        <v>10.0</v>
      </c>
      <c r="F1391" s="162"/>
      <c r="G1391" s="162">
        <f t="shared" si="33"/>
        <v>0</v>
      </c>
      <c r="H1391" s="194"/>
      <c r="I1391" s="161">
        <f t="shared" si="35"/>
        <v>0</v>
      </c>
      <c r="J1391" s="164">
        <f t="shared" si="30"/>
        <v>0</v>
      </c>
      <c r="K1391" s="56" t="s">
        <v>6733</v>
      </c>
      <c r="L1391" s="73"/>
      <c r="M1391" s="73"/>
      <c r="N1391" s="171"/>
      <c r="O1391" s="171"/>
      <c r="P1391" s="202"/>
      <c r="Q1391" s="173"/>
      <c r="R1391" s="173"/>
      <c r="S1391" s="173"/>
      <c r="T1391" s="173"/>
      <c r="U1391" s="173"/>
      <c r="V1391" s="202"/>
      <c r="W1391" s="171"/>
      <c r="X1391" s="171"/>
    </row>
    <row r="1392" ht="15.0" customHeight="1">
      <c r="A1392" s="127">
        <v>45688.0</v>
      </c>
      <c r="B1392" s="181" t="s">
        <v>6732</v>
      </c>
      <c r="C1392" s="339" t="s">
        <v>6736</v>
      </c>
      <c r="D1392" s="73" t="str">
        <f>IFERROR(VLOOKUP(C1392,Stock,3,FALSE),"")</f>
        <v>Toyota Avanza / Xenia 03-11 1st Gen</v>
      </c>
      <c r="E1392" s="56">
        <v>5.0</v>
      </c>
      <c r="F1392" s="162"/>
      <c r="G1392" s="162">
        <f t="shared" si="33"/>
        <v>0</v>
      </c>
      <c r="H1392" s="194"/>
      <c r="I1392" s="161">
        <f t="shared" si="35"/>
        <v>0</v>
      </c>
      <c r="J1392" s="164">
        <f t="shared" si="30"/>
        <v>0</v>
      </c>
      <c r="K1392" s="56" t="s">
        <v>6733</v>
      </c>
      <c r="L1392" s="73"/>
      <c r="M1392" s="73"/>
      <c r="N1392" s="171"/>
      <c r="O1392" s="171"/>
      <c r="P1392" s="202"/>
      <c r="Q1392" s="173"/>
      <c r="R1392" s="173"/>
      <c r="S1392" s="173"/>
      <c r="T1392" s="173"/>
      <c r="U1392" s="173"/>
      <c r="V1392" s="202"/>
      <c r="W1392" s="171"/>
      <c r="X1392" s="171"/>
    </row>
    <row r="1393" ht="15.0" customHeight="1">
      <c r="A1393" s="127">
        <v>45688.0</v>
      </c>
      <c r="B1393" s="181" t="s">
        <v>6732</v>
      </c>
      <c r="C1393" s="339" t="s">
        <v>6737</v>
      </c>
      <c r="D1393" s="73" t="str">
        <f>IFERROR(VLOOKUP(C1393,Stock,3,FALSE),"")</f>
        <v>Toyota Avanza / Xenia 03-11 1st Gen</v>
      </c>
      <c r="E1393" s="56">
        <v>5.0</v>
      </c>
      <c r="F1393" s="162"/>
      <c r="G1393" s="162">
        <f t="shared" si="33"/>
        <v>0</v>
      </c>
      <c r="H1393" s="194"/>
      <c r="I1393" s="161">
        <f t="shared" si="35"/>
        <v>0</v>
      </c>
      <c r="J1393" s="164">
        <f t="shared" si="30"/>
        <v>0</v>
      </c>
      <c r="K1393" s="56" t="s">
        <v>6733</v>
      </c>
      <c r="L1393" s="73"/>
      <c r="M1393" s="73"/>
      <c r="N1393" s="171"/>
      <c r="O1393" s="171"/>
      <c r="P1393" s="202"/>
      <c r="Q1393" s="173"/>
      <c r="R1393" s="173"/>
      <c r="S1393" s="173"/>
      <c r="T1393" s="173"/>
      <c r="U1393" s="173"/>
      <c r="V1393" s="202"/>
      <c r="W1393" s="171"/>
      <c r="X1393" s="171"/>
    </row>
    <row r="1394" ht="15.0" customHeight="1">
      <c r="A1394" s="127">
        <v>45688.0</v>
      </c>
      <c r="B1394" s="181" t="s">
        <v>6732</v>
      </c>
      <c r="C1394" s="339" t="s">
        <v>2753</v>
      </c>
      <c r="D1394" s="73" t="str">
        <f>IFERROR(VLOOKUP(C1394,Stock,3,FALSE),"")</f>
        <v>Daihatsu Luxio 07-</v>
      </c>
      <c r="E1394" s="56">
        <v>4.0</v>
      </c>
      <c r="F1394" s="162"/>
      <c r="G1394" s="162">
        <f t="shared" si="33"/>
        <v>0</v>
      </c>
      <c r="H1394" s="194"/>
      <c r="I1394" s="161">
        <f t="shared" si="35"/>
        <v>0</v>
      </c>
      <c r="J1394" s="164">
        <f t="shared" si="30"/>
        <v>0</v>
      </c>
      <c r="K1394" s="56" t="s">
        <v>6733</v>
      </c>
      <c r="L1394" s="73"/>
      <c r="M1394" s="73"/>
      <c r="N1394" s="171"/>
      <c r="O1394" s="171"/>
      <c r="P1394" s="202"/>
      <c r="Q1394" s="173"/>
      <c r="R1394" s="173"/>
      <c r="S1394" s="173"/>
      <c r="T1394" s="173"/>
      <c r="U1394" s="173"/>
      <c r="V1394" s="202"/>
      <c r="W1394" s="171"/>
      <c r="X1394" s="171"/>
    </row>
    <row r="1395" ht="15.0" customHeight="1">
      <c r="A1395" s="127">
        <v>45688.0</v>
      </c>
      <c r="B1395" s="181" t="s">
        <v>6732</v>
      </c>
      <c r="C1395" s="339" t="s">
        <v>6738</v>
      </c>
      <c r="D1395" s="73" t="str">
        <f>IFERROR(VLOOKUP(C1395,Stock,3,FALSE),"")</f>
        <v>Honda Jazz 13- 3rd Gen</v>
      </c>
      <c r="E1395" s="56">
        <v>2.0</v>
      </c>
      <c r="F1395" s="162"/>
      <c r="G1395" s="162">
        <f t="shared" si="33"/>
        <v>0</v>
      </c>
      <c r="H1395" s="194"/>
      <c r="I1395" s="161">
        <f t="shared" si="35"/>
        <v>0</v>
      </c>
      <c r="J1395" s="164">
        <f t="shared" si="30"/>
        <v>0</v>
      </c>
      <c r="K1395" s="56" t="s">
        <v>6733</v>
      </c>
      <c r="L1395" s="73"/>
      <c r="M1395" s="73"/>
      <c r="N1395" s="171"/>
      <c r="O1395" s="171"/>
      <c r="P1395" s="202"/>
      <c r="Q1395" s="173"/>
      <c r="R1395" s="173"/>
      <c r="S1395" s="173"/>
      <c r="T1395" s="173"/>
      <c r="U1395" s="173"/>
      <c r="V1395" s="202"/>
      <c r="W1395" s="171"/>
      <c r="X1395" s="171"/>
    </row>
    <row r="1396" ht="15.0" customHeight="1">
      <c r="A1396" s="127">
        <v>45688.0</v>
      </c>
      <c r="B1396" s="181" t="s">
        <v>6732</v>
      </c>
      <c r="C1396" s="339" t="s">
        <v>3877</v>
      </c>
      <c r="D1396" s="73" t="str">
        <f>IFERROR(VLOOKUP(C1396,Stock,3,FALSE),"")</f>
        <v>Nissan Livina 13-18 L11 (Lubang)</v>
      </c>
      <c r="E1396" s="56">
        <v>1.0</v>
      </c>
      <c r="F1396" s="162"/>
      <c r="G1396" s="162">
        <f t="shared" si="33"/>
        <v>0</v>
      </c>
      <c r="H1396" s="194"/>
      <c r="I1396" s="161">
        <f t="shared" si="35"/>
        <v>0</v>
      </c>
      <c r="J1396" s="164">
        <f t="shared" si="30"/>
        <v>0</v>
      </c>
      <c r="K1396" s="56" t="s">
        <v>6733</v>
      </c>
      <c r="L1396" s="73"/>
      <c r="M1396" s="73"/>
      <c r="N1396" s="171"/>
      <c r="O1396" s="171"/>
      <c r="P1396" s="202"/>
      <c r="Q1396" s="173"/>
      <c r="R1396" s="173"/>
      <c r="S1396" s="173"/>
      <c r="T1396" s="173"/>
      <c r="U1396" s="173"/>
      <c r="V1396" s="202"/>
      <c r="W1396" s="171"/>
      <c r="X1396" s="171"/>
    </row>
    <row r="1397" ht="15.0" customHeight="1">
      <c r="A1397" s="127">
        <v>45688.0</v>
      </c>
      <c r="B1397" s="181" t="s">
        <v>6732</v>
      </c>
      <c r="C1397" s="339" t="s">
        <v>6739</v>
      </c>
      <c r="D1397" s="73" t="str">
        <f>IFERROR(VLOOKUP(C1397,Stock,3,FALSE),"")</f>
        <v>Daihatsu Sirion 04-10 1st Gen</v>
      </c>
      <c r="E1397" s="56">
        <v>2.0</v>
      </c>
      <c r="F1397" s="162"/>
      <c r="G1397" s="162">
        <f t="shared" si="33"/>
        <v>0</v>
      </c>
      <c r="H1397" s="194"/>
      <c r="I1397" s="161">
        <f t="shared" si="35"/>
        <v>0</v>
      </c>
      <c r="J1397" s="164">
        <f t="shared" si="30"/>
        <v>0</v>
      </c>
      <c r="K1397" s="56" t="s">
        <v>6733</v>
      </c>
      <c r="L1397" s="73"/>
      <c r="M1397" s="73"/>
      <c r="N1397" s="171"/>
      <c r="O1397" s="171"/>
      <c r="P1397" s="202"/>
      <c r="Q1397" s="173"/>
      <c r="R1397" s="173"/>
      <c r="S1397" s="173"/>
      <c r="T1397" s="173"/>
      <c r="U1397" s="173"/>
      <c r="V1397" s="202"/>
      <c r="W1397" s="171"/>
      <c r="X1397" s="171"/>
    </row>
    <row r="1398" ht="15.0" customHeight="1">
      <c r="A1398" s="127">
        <v>45688.0</v>
      </c>
      <c r="B1398" s="181" t="s">
        <v>6732</v>
      </c>
      <c r="C1398" s="339" t="s">
        <v>3031</v>
      </c>
      <c r="D1398" s="73" t="str">
        <f>IFERROR(VLOOKUP(C1398,Stock,3,FALSE),"")</f>
        <v>Toyota Yaris 18- 3rd Gen (Lampu -) XP151</v>
      </c>
      <c r="E1398" s="56">
        <v>1.0</v>
      </c>
      <c r="F1398" s="162"/>
      <c r="G1398" s="162">
        <f t="shared" si="33"/>
        <v>0</v>
      </c>
      <c r="H1398" s="194"/>
      <c r="I1398" s="161">
        <f t="shared" si="35"/>
        <v>0</v>
      </c>
      <c r="J1398" s="164">
        <f t="shared" si="30"/>
        <v>0</v>
      </c>
      <c r="K1398" s="56" t="s">
        <v>6733</v>
      </c>
      <c r="L1398" s="73"/>
      <c r="M1398" s="73"/>
      <c r="N1398" s="171"/>
      <c r="O1398" s="171"/>
      <c r="P1398" s="202"/>
      <c r="Q1398" s="173"/>
      <c r="R1398" s="173"/>
      <c r="S1398" s="173"/>
      <c r="T1398" s="173"/>
      <c r="U1398" s="173"/>
      <c r="V1398" s="202"/>
      <c r="W1398" s="171"/>
      <c r="X1398" s="171"/>
    </row>
    <row r="1399" ht="15.0" customHeight="1">
      <c r="A1399" s="127">
        <v>45688.0</v>
      </c>
      <c r="B1399" s="181" t="s">
        <v>6732</v>
      </c>
      <c r="C1399" s="339" t="s">
        <v>6740</v>
      </c>
      <c r="D1399" s="73" t="str">
        <f>IFERROR(VLOOKUP(C1399,Stock,3,FALSE),"")</f>
        <v>Toyota Yaris 13- 2nd Gen (Lampu C) XP150</v>
      </c>
      <c r="E1399" s="56">
        <v>2.0</v>
      </c>
      <c r="F1399" s="162"/>
      <c r="G1399" s="162">
        <f t="shared" si="33"/>
        <v>0</v>
      </c>
      <c r="H1399" s="194"/>
      <c r="I1399" s="161">
        <f t="shared" si="35"/>
        <v>0</v>
      </c>
      <c r="J1399" s="164">
        <f t="shared" si="30"/>
        <v>0</v>
      </c>
      <c r="K1399" s="56" t="s">
        <v>6733</v>
      </c>
      <c r="L1399" s="73"/>
      <c r="M1399" s="73"/>
      <c r="N1399" s="171"/>
      <c r="O1399" s="171"/>
      <c r="P1399" s="202"/>
      <c r="Q1399" s="173"/>
      <c r="R1399" s="173"/>
      <c r="S1399" s="173"/>
      <c r="T1399" s="173"/>
      <c r="U1399" s="173"/>
      <c r="V1399" s="202"/>
      <c r="W1399" s="171"/>
      <c r="X1399" s="171"/>
    </row>
    <row r="1400" ht="15.0" customHeight="1">
      <c r="A1400" s="127">
        <v>45688.0</v>
      </c>
      <c r="B1400" s="181" t="s">
        <v>6732</v>
      </c>
      <c r="C1400" s="339" t="s">
        <v>6319</v>
      </c>
      <c r="D1400" s="73" t="str">
        <f>IFERROR(VLOOKUP(C1400,Stock,3,FALSE),"")</f>
        <v>Wuling Almaz</v>
      </c>
      <c r="E1400" s="56">
        <v>1.0</v>
      </c>
      <c r="F1400" s="162"/>
      <c r="G1400" s="162">
        <f t="shared" si="33"/>
        <v>0</v>
      </c>
      <c r="H1400" s="194"/>
      <c r="I1400" s="161">
        <f t="shared" si="35"/>
        <v>0</v>
      </c>
      <c r="J1400" s="164">
        <f t="shared" si="30"/>
        <v>0</v>
      </c>
      <c r="K1400" s="56" t="s">
        <v>6733</v>
      </c>
      <c r="L1400" s="73"/>
      <c r="M1400" s="73"/>
      <c r="N1400" s="171"/>
      <c r="O1400" s="171"/>
      <c r="P1400" s="202"/>
      <c r="Q1400" s="173"/>
      <c r="R1400" s="173"/>
      <c r="S1400" s="173"/>
      <c r="T1400" s="173"/>
      <c r="U1400" s="173"/>
      <c r="V1400" s="202"/>
      <c r="W1400" s="171"/>
      <c r="X1400" s="171"/>
    </row>
    <row r="1401" ht="15.0" customHeight="1">
      <c r="A1401" s="127">
        <v>45688.0</v>
      </c>
      <c r="B1401" s="181" t="s">
        <v>6732</v>
      </c>
      <c r="C1401" s="339" t="s">
        <v>3426</v>
      </c>
      <c r="D1401" s="73" t="str">
        <f>IFERROR(VLOOKUP(C1401,Stock,3,FALSE),"")</f>
        <v>Toyota Rush / Terios 06-17</v>
      </c>
      <c r="E1401" s="56">
        <v>1.0</v>
      </c>
      <c r="F1401" s="162"/>
      <c r="G1401" s="162">
        <f t="shared" si="33"/>
        <v>0</v>
      </c>
      <c r="H1401" s="194"/>
      <c r="I1401" s="161">
        <f t="shared" si="35"/>
        <v>0</v>
      </c>
      <c r="J1401" s="164">
        <f t="shared" si="30"/>
        <v>0</v>
      </c>
      <c r="K1401" s="56" t="s">
        <v>6733</v>
      </c>
      <c r="L1401" s="73"/>
      <c r="M1401" s="73"/>
      <c r="N1401" s="171"/>
      <c r="O1401" s="171"/>
      <c r="P1401" s="202"/>
      <c r="Q1401" s="173"/>
      <c r="R1401" s="173"/>
      <c r="S1401" s="173"/>
      <c r="T1401" s="173"/>
      <c r="U1401" s="173"/>
      <c r="V1401" s="202"/>
      <c r="W1401" s="171"/>
      <c r="X1401" s="171"/>
    </row>
    <row r="1402" ht="15.0" customHeight="1">
      <c r="A1402" s="127">
        <v>45688.0</v>
      </c>
      <c r="B1402" s="181" t="s">
        <v>6732</v>
      </c>
      <c r="C1402" s="339" t="s">
        <v>6741</v>
      </c>
      <c r="D1402" s="73" t="str">
        <f>IFERROR(VLOOKUP(C1402,Stock,3,FALSE),"")</f>
        <v>Honda Jazz 01-07 1st Gen</v>
      </c>
      <c r="E1402" s="56">
        <v>2.0</v>
      </c>
      <c r="F1402" s="162"/>
      <c r="G1402" s="162">
        <f t="shared" si="33"/>
        <v>0</v>
      </c>
      <c r="H1402" s="194"/>
      <c r="I1402" s="161">
        <f t="shared" si="35"/>
        <v>0</v>
      </c>
      <c r="J1402" s="164">
        <f t="shared" si="30"/>
        <v>0</v>
      </c>
      <c r="K1402" s="56" t="s">
        <v>6733</v>
      </c>
      <c r="L1402" s="73"/>
      <c r="M1402" s="73"/>
      <c r="N1402" s="171"/>
      <c r="O1402" s="171"/>
      <c r="P1402" s="202"/>
      <c r="Q1402" s="173"/>
      <c r="R1402" s="173"/>
      <c r="S1402" s="173"/>
      <c r="T1402" s="173"/>
      <c r="U1402" s="173"/>
      <c r="V1402" s="202"/>
      <c r="W1402" s="171"/>
      <c r="X1402" s="171"/>
    </row>
    <row r="1403" ht="15.0" customHeight="1">
      <c r="A1403" s="127">
        <v>45688.0</v>
      </c>
      <c r="B1403" s="181" t="s">
        <v>6732</v>
      </c>
      <c r="C1403" s="339" t="s">
        <v>4623</v>
      </c>
      <c r="D1403" s="73" t="str">
        <f>IFERROR(VLOOKUP(C1403,Stock,3,FALSE),"")</f>
        <v>Toyota Innova 15- 2nd Gen</v>
      </c>
      <c r="E1403" s="56">
        <v>1.0</v>
      </c>
      <c r="F1403" s="162"/>
      <c r="G1403" s="162">
        <f t="shared" si="33"/>
        <v>0</v>
      </c>
      <c r="H1403" s="194"/>
      <c r="I1403" s="161">
        <f t="shared" si="35"/>
        <v>0</v>
      </c>
      <c r="J1403" s="164">
        <f t="shared" si="30"/>
        <v>0</v>
      </c>
      <c r="K1403" s="56" t="s">
        <v>6733</v>
      </c>
      <c r="L1403" s="73"/>
      <c r="M1403" s="73"/>
      <c r="N1403" s="171"/>
      <c r="O1403" s="171"/>
      <c r="P1403" s="202"/>
      <c r="Q1403" s="173"/>
      <c r="R1403" s="173"/>
      <c r="S1403" s="173"/>
      <c r="T1403" s="173"/>
      <c r="U1403" s="173"/>
      <c r="V1403" s="202"/>
      <c r="W1403" s="171"/>
      <c r="X1403" s="171"/>
    </row>
    <row r="1404" ht="15.0" customHeight="1">
      <c r="A1404" s="127">
        <v>45688.0</v>
      </c>
      <c r="B1404" s="181" t="s">
        <v>6732</v>
      </c>
      <c r="C1404" s="339" t="s">
        <v>2643</v>
      </c>
      <c r="D1404" s="73" t="str">
        <f>IFERROR(VLOOKUP(C1404,Stock,3,FALSE),"")</f>
        <v>Toyota Vios 07-13 XP90 2nd Gen</v>
      </c>
      <c r="E1404" s="56">
        <v>3.0</v>
      </c>
      <c r="F1404" s="162"/>
      <c r="G1404" s="162">
        <f t="shared" si="33"/>
        <v>0</v>
      </c>
      <c r="H1404" s="194"/>
      <c r="I1404" s="161">
        <f t="shared" si="35"/>
        <v>0</v>
      </c>
      <c r="J1404" s="164">
        <f t="shared" si="30"/>
        <v>0</v>
      </c>
      <c r="K1404" s="56" t="s">
        <v>6733</v>
      </c>
      <c r="L1404" s="73"/>
      <c r="M1404" s="73"/>
      <c r="N1404" s="171"/>
      <c r="O1404" s="171"/>
      <c r="P1404" s="202"/>
      <c r="Q1404" s="173"/>
      <c r="R1404" s="173"/>
      <c r="S1404" s="173"/>
      <c r="T1404" s="173"/>
      <c r="U1404" s="173"/>
      <c r="V1404" s="202"/>
      <c r="W1404" s="171"/>
      <c r="X1404" s="171"/>
    </row>
    <row r="1405" ht="15.0" customHeight="1">
      <c r="A1405" s="127">
        <v>45688.0</v>
      </c>
      <c r="B1405" s="181" t="s">
        <v>6732</v>
      </c>
      <c r="C1405" s="339" t="s">
        <v>2721</v>
      </c>
      <c r="D1405" s="73" t="str">
        <f>IFERROR(VLOOKUP(C1405,Stock,3,FALSE),"")</f>
        <v>Toyota Dyna/Hino Dutro 00-</v>
      </c>
      <c r="E1405" s="56">
        <v>4.0</v>
      </c>
      <c r="F1405" s="162"/>
      <c r="G1405" s="162">
        <f t="shared" si="33"/>
        <v>0</v>
      </c>
      <c r="H1405" s="194"/>
      <c r="I1405" s="161">
        <f t="shared" si="35"/>
        <v>0</v>
      </c>
      <c r="J1405" s="164">
        <f t="shared" si="30"/>
        <v>0</v>
      </c>
      <c r="K1405" s="56" t="s">
        <v>6733</v>
      </c>
      <c r="L1405" s="73"/>
      <c r="M1405" s="73"/>
      <c r="N1405" s="171"/>
      <c r="O1405" s="171"/>
      <c r="P1405" s="202"/>
      <c r="Q1405" s="173"/>
      <c r="R1405" s="173"/>
      <c r="S1405" s="173"/>
      <c r="T1405" s="173"/>
      <c r="U1405" s="173"/>
      <c r="V1405" s="202"/>
      <c r="W1405" s="171"/>
      <c r="X1405" s="171"/>
    </row>
    <row r="1406" ht="15.0" customHeight="1">
      <c r="A1406" s="127">
        <v>45688.0</v>
      </c>
      <c r="B1406" s="181" t="s">
        <v>6732</v>
      </c>
      <c r="C1406" s="339" t="s">
        <v>2692</v>
      </c>
      <c r="D1406" s="73" t="str">
        <f>IFERROR(VLOOKUP(C1406,Stock,3,FALSE),"")</f>
        <v>Suzuki Ertiga 18- 2nd Gen / XL7</v>
      </c>
      <c r="E1406" s="56">
        <v>6.0</v>
      </c>
      <c r="F1406" s="162"/>
      <c r="G1406" s="162">
        <f t="shared" si="33"/>
        <v>0</v>
      </c>
      <c r="H1406" s="194"/>
      <c r="I1406" s="161">
        <f t="shared" si="35"/>
        <v>0</v>
      </c>
      <c r="J1406" s="164">
        <f t="shared" si="30"/>
        <v>0</v>
      </c>
      <c r="K1406" s="56" t="s">
        <v>6733</v>
      </c>
      <c r="L1406" s="73"/>
      <c r="M1406" s="73"/>
      <c r="N1406" s="171"/>
      <c r="O1406" s="171"/>
      <c r="P1406" s="202"/>
      <c r="Q1406" s="173"/>
      <c r="R1406" s="173"/>
      <c r="S1406" s="173"/>
      <c r="T1406" s="173"/>
      <c r="U1406" s="173"/>
      <c r="V1406" s="202"/>
      <c r="W1406" s="171"/>
      <c r="X1406" s="171"/>
    </row>
    <row r="1407" ht="15.0" customHeight="1">
      <c r="A1407" s="127">
        <v>45688.0</v>
      </c>
      <c r="B1407" s="181" t="s">
        <v>6732</v>
      </c>
      <c r="C1407" s="339" t="s">
        <v>3235</v>
      </c>
      <c r="D1407" s="73" t="str">
        <f>IFERROR(VLOOKUP(C1407,Stock,3,FALSE),"")</f>
        <v>Toyota Vios 02-07 XP40 1st Gen</v>
      </c>
      <c r="E1407" s="56">
        <v>5.0</v>
      </c>
      <c r="F1407" s="162"/>
      <c r="G1407" s="162">
        <f t="shared" si="33"/>
        <v>0</v>
      </c>
      <c r="H1407" s="194"/>
      <c r="I1407" s="161">
        <f t="shared" si="35"/>
        <v>0</v>
      </c>
      <c r="J1407" s="164">
        <f t="shared" si="30"/>
        <v>0</v>
      </c>
      <c r="K1407" s="56" t="s">
        <v>6733</v>
      </c>
      <c r="L1407" s="73"/>
      <c r="M1407" s="73"/>
      <c r="N1407" s="171"/>
      <c r="O1407" s="171"/>
      <c r="P1407" s="202"/>
      <c r="Q1407" s="173"/>
      <c r="R1407" s="173"/>
      <c r="S1407" s="173"/>
      <c r="T1407" s="173"/>
      <c r="U1407" s="173"/>
      <c r="V1407" s="202"/>
      <c r="W1407" s="171"/>
      <c r="X1407" s="171"/>
    </row>
    <row r="1408" ht="15.0" customHeight="1">
      <c r="A1408" s="127">
        <v>45688.0</v>
      </c>
      <c r="B1408" s="181" t="s">
        <v>6732</v>
      </c>
      <c r="C1408" s="339" t="s">
        <v>2932</v>
      </c>
      <c r="D1408" s="73" t="str">
        <f>IFERROR(VLOOKUP(C1408,Stock,3,FALSE),"")</f>
        <v>Toyota LandCruiser 74- FJ40 / Jeep Hardtop</v>
      </c>
      <c r="E1408" s="56">
        <v>4.0</v>
      </c>
      <c r="F1408" s="162"/>
      <c r="G1408" s="162">
        <f t="shared" si="33"/>
        <v>0</v>
      </c>
      <c r="H1408" s="194"/>
      <c r="I1408" s="161">
        <f t="shared" si="35"/>
        <v>0</v>
      </c>
      <c r="J1408" s="164">
        <f t="shared" si="30"/>
        <v>0</v>
      </c>
      <c r="K1408" s="56" t="s">
        <v>6733</v>
      </c>
      <c r="L1408" s="73"/>
      <c r="M1408" s="73"/>
      <c r="N1408" s="171"/>
      <c r="O1408" s="171"/>
      <c r="P1408" s="202"/>
      <c r="Q1408" s="173"/>
      <c r="R1408" s="173"/>
      <c r="S1408" s="173"/>
      <c r="T1408" s="173"/>
      <c r="U1408" s="173"/>
      <c r="V1408" s="202"/>
      <c r="W1408" s="171"/>
      <c r="X1408" s="171"/>
    </row>
    <row r="1409" ht="15.0" customHeight="1">
      <c r="A1409" s="127">
        <v>45688.0</v>
      </c>
      <c r="B1409" s="181" t="s">
        <v>6732</v>
      </c>
      <c r="C1409" s="339" t="s">
        <v>3964</v>
      </c>
      <c r="D1409" s="73" t="str">
        <f>IFERROR(VLOOKUP(C1409,Stock,3,FALSE),"")</f>
        <v>Nissan Terrano 95-06</v>
      </c>
      <c r="E1409" s="56">
        <v>3.0</v>
      </c>
      <c r="F1409" s="162"/>
      <c r="G1409" s="162">
        <f t="shared" si="33"/>
        <v>0</v>
      </c>
      <c r="H1409" s="194"/>
      <c r="I1409" s="161">
        <f t="shared" si="35"/>
        <v>0</v>
      </c>
      <c r="J1409" s="164">
        <f t="shared" si="30"/>
        <v>0</v>
      </c>
      <c r="K1409" s="56" t="s">
        <v>6733</v>
      </c>
      <c r="L1409" s="73"/>
      <c r="M1409" s="73"/>
      <c r="N1409" s="171"/>
      <c r="O1409" s="171"/>
      <c r="P1409" s="202"/>
      <c r="Q1409" s="173"/>
      <c r="R1409" s="173"/>
      <c r="S1409" s="173"/>
      <c r="T1409" s="173"/>
      <c r="U1409" s="173"/>
      <c r="V1409" s="202"/>
      <c r="W1409" s="171"/>
      <c r="X1409" s="171"/>
    </row>
    <row r="1410" ht="15.0" customHeight="1">
      <c r="A1410" s="127">
        <v>45688.0</v>
      </c>
      <c r="B1410" s="181" t="s">
        <v>6732</v>
      </c>
      <c r="C1410" s="339" t="s">
        <v>6742</v>
      </c>
      <c r="D1410" s="73" t="str">
        <f>IFERROR(VLOOKUP(C1410,Stock,3,FALSE),"")</f>
        <v>Suzuki Wagon R 12-</v>
      </c>
      <c r="E1410" s="56">
        <v>2.0</v>
      </c>
      <c r="F1410" s="162"/>
      <c r="G1410" s="162">
        <f t="shared" si="33"/>
        <v>0</v>
      </c>
      <c r="H1410" s="194"/>
      <c r="I1410" s="161">
        <f t="shared" si="35"/>
        <v>0</v>
      </c>
      <c r="J1410" s="164">
        <f t="shared" si="30"/>
        <v>0</v>
      </c>
      <c r="K1410" s="56" t="s">
        <v>6733</v>
      </c>
      <c r="L1410" s="73"/>
      <c r="M1410" s="73"/>
      <c r="N1410" s="171"/>
      <c r="O1410" s="171"/>
      <c r="P1410" s="202"/>
      <c r="Q1410" s="173"/>
      <c r="R1410" s="173"/>
      <c r="S1410" s="173"/>
      <c r="T1410" s="173"/>
      <c r="U1410" s="173"/>
      <c r="V1410" s="202"/>
      <c r="W1410" s="171"/>
      <c r="X1410" s="171"/>
    </row>
    <row r="1411" ht="15.0" customHeight="1">
      <c r="A1411" s="127">
        <v>45688.0</v>
      </c>
      <c r="B1411" s="181" t="s">
        <v>6732</v>
      </c>
      <c r="C1411" s="339" t="s">
        <v>2862</v>
      </c>
      <c r="D1411" s="73" t="str">
        <f>IFERROR(VLOOKUP(C1411,Stock,3,FALSE),"")</f>
        <v>Suzuki Futura Mini Bus</v>
      </c>
      <c r="E1411" s="56">
        <v>2.0</v>
      </c>
      <c r="F1411" s="162"/>
      <c r="G1411" s="162">
        <f t="shared" si="33"/>
        <v>0</v>
      </c>
      <c r="H1411" s="194"/>
      <c r="I1411" s="161">
        <f t="shared" si="35"/>
        <v>0</v>
      </c>
      <c r="J1411" s="164">
        <f t="shared" si="30"/>
        <v>0</v>
      </c>
      <c r="K1411" s="56" t="s">
        <v>6733</v>
      </c>
      <c r="L1411" s="73"/>
      <c r="M1411" s="73"/>
      <c r="N1411" s="171"/>
      <c r="O1411" s="171"/>
      <c r="P1411" s="202"/>
      <c r="Q1411" s="173"/>
      <c r="R1411" s="173"/>
      <c r="S1411" s="173"/>
      <c r="T1411" s="173"/>
      <c r="U1411" s="173"/>
      <c r="V1411" s="202"/>
      <c r="W1411" s="171"/>
      <c r="X1411" s="171"/>
    </row>
    <row r="1412" ht="15.0" customHeight="1">
      <c r="A1412" s="127">
        <v>45688.0</v>
      </c>
      <c r="B1412" s="181" t="s">
        <v>6732</v>
      </c>
      <c r="C1412" s="339" t="s">
        <v>6199</v>
      </c>
      <c r="D1412" s="73" t="str">
        <f>IFERROR(VLOOKUP(C1412,Stock,3,FALSE),"")</f>
        <v>Honda Brio 10-17 [Tanpa Lubang]</v>
      </c>
      <c r="E1412" s="56">
        <v>1.0</v>
      </c>
      <c r="F1412" s="162"/>
      <c r="G1412" s="162">
        <f t="shared" si="33"/>
        <v>0</v>
      </c>
      <c r="H1412" s="194"/>
      <c r="I1412" s="161">
        <f t="shared" si="35"/>
        <v>0</v>
      </c>
      <c r="J1412" s="164">
        <f t="shared" si="30"/>
        <v>0</v>
      </c>
      <c r="K1412" s="56" t="s">
        <v>6733</v>
      </c>
      <c r="L1412" s="73"/>
      <c r="M1412" s="73"/>
      <c r="N1412" s="171"/>
      <c r="O1412" s="171"/>
      <c r="P1412" s="202"/>
      <c r="Q1412" s="173"/>
      <c r="R1412" s="173"/>
      <c r="S1412" s="173"/>
      <c r="T1412" s="173"/>
      <c r="U1412" s="173"/>
      <c r="V1412" s="202"/>
      <c r="W1412" s="171"/>
      <c r="X1412" s="171"/>
    </row>
    <row r="1413" ht="15.0" customHeight="1">
      <c r="A1413" s="127">
        <v>45688.0</v>
      </c>
      <c r="B1413" s="181" t="s">
        <v>6732</v>
      </c>
      <c r="C1413" s="339" t="s">
        <v>5002</v>
      </c>
      <c r="D1413" s="73" t="str">
        <f>IFERROR(VLOOKUP(C1413,Stock,3,FALSE),"")</f>
        <v>Honda Brio 10-17 [Lubang Wiper]</v>
      </c>
      <c r="E1413" s="56">
        <v>1.0</v>
      </c>
      <c r="F1413" s="162"/>
      <c r="G1413" s="162">
        <f t="shared" si="33"/>
        <v>0</v>
      </c>
      <c r="H1413" s="194"/>
      <c r="I1413" s="161">
        <f t="shared" si="35"/>
        <v>0</v>
      </c>
      <c r="J1413" s="164">
        <f t="shared" si="30"/>
        <v>0</v>
      </c>
      <c r="K1413" s="56" t="s">
        <v>6733</v>
      </c>
      <c r="L1413" s="73"/>
      <c r="M1413" s="73"/>
      <c r="N1413" s="171"/>
      <c r="O1413" s="171"/>
      <c r="P1413" s="202"/>
      <c r="Q1413" s="173"/>
      <c r="R1413" s="173"/>
      <c r="S1413" s="173"/>
      <c r="T1413" s="173"/>
      <c r="U1413" s="173"/>
      <c r="V1413" s="202"/>
      <c r="W1413" s="171"/>
      <c r="X1413" s="171"/>
    </row>
    <row r="1414" ht="15.0" customHeight="1">
      <c r="A1414" s="127">
        <v>45688.0</v>
      </c>
      <c r="B1414" s="181" t="s">
        <v>6732</v>
      </c>
      <c r="C1414" s="339" t="s">
        <v>3136</v>
      </c>
      <c r="D1414" s="73" t="str">
        <f>IFERROR(VLOOKUP(C1414,Stock,3,FALSE),"")</f>
        <v>Mitsubishi Pajero 16-</v>
      </c>
      <c r="E1414" s="56">
        <v>1.0</v>
      </c>
      <c r="F1414" s="162"/>
      <c r="G1414" s="162">
        <f t="shared" si="33"/>
        <v>0</v>
      </c>
      <c r="H1414" s="194"/>
      <c r="I1414" s="161">
        <f t="shared" si="35"/>
        <v>0</v>
      </c>
      <c r="J1414" s="164">
        <f t="shared" si="30"/>
        <v>0</v>
      </c>
      <c r="K1414" s="56" t="s">
        <v>6733</v>
      </c>
      <c r="L1414" s="73"/>
      <c r="M1414" s="73"/>
      <c r="N1414" s="171"/>
      <c r="O1414" s="171"/>
      <c r="P1414" s="202"/>
      <c r="Q1414" s="173"/>
      <c r="R1414" s="173"/>
      <c r="S1414" s="173"/>
      <c r="T1414" s="173"/>
      <c r="U1414" s="173"/>
      <c r="V1414" s="202"/>
      <c r="W1414" s="171"/>
      <c r="X1414" s="171"/>
    </row>
    <row r="1415" ht="15.0" customHeight="1">
      <c r="A1415" s="127">
        <v>45688.0</v>
      </c>
      <c r="B1415" s="181" t="s">
        <v>6732</v>
      </c>
      <c r="C1415" s="339" t="s">
        <v>3068</v>
      </c>
      <c r="D1415" s="73" t="str">
        <f>IFERROR(VLOOKUP(C1415,Stock,3,FALSE),"")</f>
        <v>Honda Brio 10- / Mobilio 11-</v>
      </c>
      <c r="E1415" s="56">
        <v>1.0</v>
      </c>
      <c r="F1415" s="162"/>
      <c r="G1415" s="162">
        <f t="shared" si="33"/>
        <v>0</v>
      </c>
      <c r="H1415" s="194"/>
      <c r="I1415" s="161">
        <f t="shared" si="35"/>
        <v>0</v>
      </c>
      <c r="J1415" s="164">
        <f t="shared" si="30"/>
        <v>0</v>
      </c>
      <c r="K1415" s="56" t="s">
        <v>6733</v>
      </c>
      <c r="L1415" s="73"/>
      <c r="M1415" s="73"/>
      <c r="N1415" s="171"/>
      <c r="O1415" s="171"/>
      <c r="P1415" s="202"/>
      <c r="Q1415" s="173"/>
      <c r="R1415" s="173"/>
      <c r="S1415" s="173"/>
      <c r="T1415" s="173"/>
      <c r="U1415" s="173"/>
      <c r="V1415" s="202"/>
      <c r="W1415" s="171"/>
      <c r="X1415" s="171"/>
    </row>
    <row r="1416" ht="15.0" customHeight="1">
      <c r="A1416" s="127">
        <v>45688.0</v>
      </c>
      <c r="B1416" s="181" t="s">
        <v>6732</v>
      </c>
      <c r="C1416" s="339" t="s">
        <v>4038</v>
      </c>
      <c r="D1416" s="73" t="str">
        <f>IFERROR(VLOOKUP(C1416,Stock,3,FALSE),"")</f>
        <v>Suzuki Carry New 19-</v>
      </c>
      <c r="E1416" s="56">
        <v>4.0</v>
      </c>
      <c r="F1416" s="162"/>
      <c r="G1416" s="162">
        <f t="shared" si="33"/>
        <v>0</v>
      </c>
      <c r="H1416" s="194"/>
      <c r="I1416" s="161">
        <f t="shared" si="35"/>
        <v>0</v>
      </c>
      <c r="J1416" s="164">
        <f t="shared" si="30"/>
        <v>0</v>
      </c>
      <c r="K1416" s="56" t="s">
        <v>6733</v>
      </c>
      <c r="L1416" s="73"/>
      <c r="M1416" s="73"/>
      <c r="N1416" s="171"/>
      <c r="O1416" s="171"/>
      <c r="P1416" s="202"/>
      <c r="Q1416" s="173"/>
      <c r="R1416" s="173"/>
      <c r="S1416" s="173"/>
      <c r="T1416" s="173"/>
      <c r="U1416" s="173"/>
      <c r="V1416" s="202"/>
      <c r="W1416" s="171"/>
      <c r="X1416" s="171"/>
    </row>
    <row r="1417" ht="15.0" customHeight="1">
      <c r="A1417" s="127">
        <v>45688.0</v>
      </c>
      <c r="B1417" s="181" t="s">
        <v>6732</v>
      </c>
      <c r="C1417" s="339" t="s">
        <v>3707</v>
      </c>
      <c r="D1417" s="73" t="str">
        <f>IFERROR(VLOOKUP(C1417,Stock,3,FALSE),"")</f>
        <v>Mitsubishi Pajero 16-</v>
      </c>
      <c r="E1417" s="56">
        <v>2.0</v>
      </c>
      <c r="F1417" s="162"/>
      <c r="G1417" s="162">
        <f t="shared" si="33"/>
        <v>0</v>
      </c>
      <c r="H1417" s="194"/>
      <c r="I1417" s="161">
        <f t="shared" si="35"/>
        <v>0</v>
      </c>
      <c r="J1417" s="164">
        <f t="shared" si="30"/>
        <v>0</v>
      </c>
      <c r="K1417" s="56" t="s">
        <v>6733</v>
      </c>
      <c r="L1417" s="73"/>
      <c r="M1417" s="73"/>
      <c r="N1417" s="171"/>
      <c r="O1417" s="171"/>
      <c r="P1417" s="202"/>
      <c r="Q1417" s="173"/>
      <c r="R1417" s="173"/>
      <c r="S1417" s="173"/>
      <c r="T1417" s="173"/>
      <c r="U1417" s="173"/>
      <c r="V1417" s="202"/>
      <c r="W1417" s="171"/>
      <c r="X1417" s="171"/>
    </row>
    <row r="1418" ht="15.0" customHeight="1">
      <c r="A1418" s="127">
        <v>45688.0</v>
      </c>
      <c r="B1418" s="181" t="s">
        <v>6732</v>
      </c>
      <c r="C1418" s="339" t="s">
        <v>3223</v>
      </c>
      <c r="D1418" s="73" t="str">
        <f>IFERROR(VLOOKUP(C1418,Stock,3,FALSE),"")</f>
        <v>Mitsubishi Strada Triton 08-15</v>
      </c>
      <c r="E1418" s="56">
        <v>7.0</v>
      </c>
      <c r="F1418" s="162"/>
      <c r="G1418" s="162">
        <f t="shared" si="33"/>
        <v>0</v>
      </c>
      <c r="H1418" s="194"/>
      <c r="I1418" s="161">
        <f t="shared" si="35"/>
        <v>0</v>
      </c>
      <c r="J1418" s="164">
        <f t="shared" si="30"/>
        <v>0</v>
      </c>
      <c r="K1418" s="56" t="s">
        <v>6733</v>
      </c>
      <c r="L1418" s="73"/>
      <c r="M1418" s="73"/>
      <c r="N1418" s="171"/>
      <c r="O1418" s="171"/>
      <c r="P1418" s="202"/>
      <c r="Q1418" s="173"/>
      <c r="R1418" s="173"/>
      <c r="S1418" s="173"/>
      <c r="T1418" s="173"/>
      <c r="U1418" s="173"/>
      <c r="V1418" s="202"/>
      <c r="W1418" s="171"/>
      <c r="X1418" s="171"/>
    </row>
    <row r="1419" ht="15.0" customHeight="1">
      <c r="A1419" s="127">
        <v>45688.0</v>
      </c>
      <c r="B1419" s="181" t="s">
        <v>6732</v>
      </c>
      <c r="C1419" s="339" t="s">
        <v>2682</v>
      </c>
      <c r="D1419" s="73" t="str">
        <f>IFERROR(VLOOKUP(C1419,Stock,3,FALSE),"")</f>
        <v>Toyota Yaris 05-13 XP90 1st Gen</v>
      </c>
      <c r="E1419" s="56">
        <v>4.0</v>
      </c>
      <c r="F1419" s="162"/>
      <c r="G1419" s="162">
        <f t="shared" si="33"/>
        <v>0</v>
      </c>
      <c r="H1419" s="194"/>
      <c r="I1419" s="161">
        <f t="shared" si="35"/>
        <v>0</v>
      </c>
      <c r="J1419" s="164">
        <f t="shared" si="30"/>
        <v>0</v>
      </c>
      <c r="K1419" s="56" t="s">
        <v>6733</v>
      </c>
      <c r="L1419" s="73"/>
      <c r="M1419" s="73"/>
      <c r="N1419" s="171"/>
      <c r="O1419" s="171"/>
      <c r="P1419" s="202"/>
      <c r="Q1419" s="173"/>
      <c r="R1419" s="173"/>
      <c r="S1419" s="173"/>
      <c r="T1419" s="173"/>
      <c r="U1419" s="173"/>
      <c r="V1419" s="202"/>
      <c r="W1419" s="171"/>
      <c r="X1419" s="171"/>
    </row>
    <row r="1420" ht="15.0" customHeight="1">
      <c r="A1420" s="127">
        <v>45688.0</v>
      </c>
      <c r="B1420" s="181" t="s">
        <v>6732</v>
      </c>
      <c r="C1420" s="333" t="s">
        <v>3313</v>
      </c>
      <c r="D1420" s="73" t="str">
        <f>IFERROR(VLOOKUP(C1420,Stock,3,FALSE),"")</f>
        <v>Toyota Avanza / Xenia 21- 4th Gen (Non sensor)</v>
      </c>
      <c r="E1420" s="56">
        <v>2.0</v>
      </c>
      <c r="F1420" s="162"/>
      <c r="G1420" s="162">
        <f t="shared" si="33"/>
        <v>0</v>
      </c>
      <c r="H1420" s="194"/>
      <c r="I1420" s="161">
        <f t="shared" si="35"/>
        <v>0</v>
      </c>
      <c r="J1420" s="164">
        <f t="shared" si="30"/>
        <v>0</v>
      </c>
      <c r="K1420" s="56" t="s">
        <v>6733</v>
      </c>
      <c r="L1420" s="73"/>
      <c r="M1420" s="73"/>
      <c r="N1420" s="171"/>
      <c r="O1420" s="171"/>
      <c r="P1420" s="202"/>
      <c r="Q1420" s="173"/>
      <c r="R1420" s="173"/>
      <c r="S1420" s="173"/>
      <c r="T1420" s="173"/>
      <c r="U1420" s="173"/>
      <c r="V1420" s="202"/>
      <c r="W1420" s="171"/>
      <c r="X1420" s="171"/>
    </row>
    <row r="1421" ht="15.0" customHeight="1">
      <c r="A1421" s="127">
        <v>45688.0</v>
      </c>
      <c r="B1421" s="181" t="s">
        <v>6732</v>
      </c>
      <c r="C1421" s="339" t="s">
        <v>2734</v>
      </c>
      <c r="D1421" s="73" t="str">
        <f>IFERROR(VLOOKUP(C1421,Stock,3,FALSE),"")</f>
        <v>Honda Jazz 07-13 2nd Gen</v>
      </c>
      <c r="E1421" s="56">
        <v>4.0</v>
      </c>
      <c r="F1421" s="162"/>
      <c r="G1421" s="162">
        <f t="shared" si="33"/>
        <v>0</v>
      </c>
      <c r="H1421" s="194"/>
      <c r="I1421" s="161">
        <f t="shared" si="35"/>
        <v>0</v>
      </c>
      <c r="J1421" s="164">
        <f t="shared" si="30"/>
        <v>0</v>
      </c>
      <c r="K1421" s="56" t="s">
        <v>6733</v>
      </c>
      <c r="L1421" s="73"/>
      <c r="M1421" s="73"/>
      <c r="N1421" s="171"/>
      <c r="O1421" s="171"/>
      <c r="P1421" s="202"/>
      <c r="Q1421" s="173"/>
      <c r="R1421" s="173"/>
      <c r="S1421" s="173"/>
      <c r="T1421" s="173"/>
      <c r="U1421" s="173"/>
      <c r="V1421" s="202"/>
      <c r="W1421" s="171"/>
      <c r="X1421" s="171"/>
    </row>
    <row r="1422" ht="15.0" customHeight="1">
      <c r="A1422" s="127">
        <v>45688.0</v>
      </c>
      <c r="B1422" s="181" t="s">
        <v>6732</v>
      </c>
      <c r="C1422" s="339" t="s">
        <v>2722</v>
      </c>
      <c r="D1422" s="73" t="str">
        <f>IFERROR(VLOOKUP(C1422,Stock,3,FALSE),"")</f>
        <v>Suzuki Carry Futura (1300cc) / Mitsubishi Colt T120</v>
      </c>
      <c r="E1422" s="56">
        <v>9.0</v>
      </c>
      <c r="F1422" s="162"/>
      <c r="G1422" s="162">
        <f t="shared" si="33"/>
        <v>0</v>
      </c>
      <c r="H1422" s="194"/>
      <c r="I1422" s="161">
        <f t="shared" si="35"/>
        <v>0</v>
      </c>
      <c r="J1422" s="164">
        <f t="shared" si="30"/>
        <v>0</v>
      </c>
      <c r="K1422" s="56" t="s">
        <v>6733</v>
      </c>
      <c r="L1422" s="73"/>
      <c r="M1422" s="73"/>
      <c r="N1422" s="171"/>
      <c r="O1422" s="171"/>
      <c r="P1422" s="202"/>
      <c r="Q1422" s="173"/>
      <c r="R1422" s="173"/>
      <c r="S1422" s="173"/>
      <c r="T1422" s="173"/>
      <c r="U1422" s="173"/>
      <c r="V1422" s="202"/>
      <c r="W1422" s="171"/>
      <c r="X1422" s="171"/>
    </row>
    <row r="1423" ht="15.0" customHeight="1">
      <c r="A1423" s="127">
        <v>45688.0</v>
      </c>
      <c r="B1423" s="181" t="s">
        <v>6732</v>
      </c>
      <c r="C1423" s="339" t="s">
        <v>6743</v>
      </c>
      <c r="D1423" s="73" t="str">
        <f>IFERROR(VLOOKUP(C1423,Stock,3,FALSE),"")</f>
        <v>Nissan X-Trail 07-13 T31</v>
      </c>
      <c r="E1423" s="56">
        <v>5.0</v>
      </c>
      <c r="F1423" s="162"/>
      <c r="G1423" s="162">
        <f t="shared" si="33"/>
        <v>0</v>
      </c>
      <c r="H1423" s="194"/>
      <c r="I1423" s="161">
        <f t="shared" si="35"/>
        <v>0</v>
      </c>
      <c r="J1423" s="164">
        <f t="shared" si="30"/>
        <v>0</v>
      </c>
      <c r="K1423" s="56" t="s">
        <v>6733</v>
      </c>
      <c r="L1423" s="73"/>
      <c r="M1423" s="73"/>
      <c r="N1423" s="171"/>
      <c r="O1423" s="171"/>
      <c r="P1423" s="202"/>
      <c r="Q1423" s="173"/>
      <c r="R1423" s="173"/>
      <c r="S1423" s="173"/>
      <c r="T1423" s="173"/>
      <c r="U1423" s="173"/>
      <c r="V1423" s="202"/>
      <c r="W1423" s="171"/>
      <c r="X1423" s="171"/>
    </row>
    <row r="1424" ht="15.0" customHeight="1">
      <c r="A1424" s="127">
        <v>45688.0</v>
      </c>
      <c r="B1424" s="181" t="s">
        <v>6732</v>
      </c>
      <c r="C1424" s="339" t="s">
        <v>2585</v>
      </c>
      <c r="D1424" s="73" t="str">
        <f>IFERROR(VLOOKUP(C1424,Stock,3,FALSE),"")</f>
        <v>Ford Ranger 11- T6 /Mazda BT50 Sing/Doub Cabin</v>
      </c>
      <c r="E1424" s="56">
        <v>5.0</v>
      </c>
      <c r="F1424" s="162"/>
      <c r="G1424" s="162">
        <f t="shared" si="33"/>
        <v>0</v>
      </c>
      <c r="H1424" s="194"/>
      <c r="I1424" s="161">
        <f t="shared" si="35"/>
        <v>0</v>
      </c>
      <c r="J1424" s="164">
        <f t="shared" si="30"/>
        <v>0</v>
      </c>
      <c r="K1424" s="56" t="s">
        <v>6733</v>
      </c>
      <c r="L1424" s="73"/>
      <c r="M1424" s="73"/>
      <c r="N1424" s="171"/>
      <c r="O1424" s="171"/>
      <c r="P1424" s="202"/>
      <c r="Q1424" s="173"/>
      <c r="R1424" s="173"/>
      <c r="S1424" s="173"/>
      <c r="T1424" s="173"/>
      <c r="U1424" s="173"/>
      <c r="V1424" s="202"/>
      <c r="W1424" s="171"/>
      <c r="X1424" s="171"/>
    </row>
    <row r="1425" ht="15.0" customHeight="1">
      <c r="A1425" s="127">
        <v>45688.0</v>
      </c>
      <c r="B1425" s="181" t="s">
        <v>6732</v>
      </c>
      <c r="C1425" s="339" t="s">
        <v>6557</v>
      </c>
      <c r="D1425" s="73" t="str">
        <f>IFERROR(VLOOKUP(C1425,Stock,3,FALSE),"")</f>
        <v>Nissan Serena 99-10 MKII C24</v>
      </c>
      <c r="E1425" s="56">
        <v>4.0</v>
      </c>
      <c r="F1425" s="162"/>
      <c r="G1425" s="162">
        <f t="shared" si="33"/>
        <v>0</v>
      </c>
      <c r="H1425" s="194"/>
      <c r="I1425" s="161">
        <f t="shared" si="35"/>
        <v>0</v>
      </c>
      <c r="J1425" s="164">
        <f t="shared" si="30"/>
        <v>0</v>
      </c>
      <c r="K1425" s="56" t="s">
        <v>6733</v>
      </c>
      <c r="L1425" s="73"/>
      <c r="M1425" s="73"/>
      <c r="N1425" s="171"/>
      <c r="O1425" s="171"/>
      <c r="P1425" s="202"/>
      <c r="Q1425" s="173"/>
      <c r="R1425" s="173"/>
      <c r="S1425" s="173"/>
      <c r="T1425" s="173"/>
      <c r="U1425" s="173"/>
      <c r="V1425" s="202"/>
      <c r="W1425" s="171"/>
      <c r="X1425" s="171"/>
    </row>
    <row r="1426" ht="15.0" customHeight="1">
      <c r="A1426" s="127">
        <v>45688.0</v>
      </c>
      <c r="B1426" s="181" t="s">
        <v>6732</v>
      </c>
      <c r="C1426" s="339" t="s">
        <v>2588</v>
      </c>
      <c r="D1426" s="73" t="str">
        <f>IFERROR(VLOOKUP(C1426,Stock,3,FALSE),"")</f>
        <v>Ford Fiesta 09-17</v>
      </c>
      <c r="E1426" s="56">
        <v>7.0</v>
      </c>
      <c r="F1426" s="162"/>
      <c r="G1426" s="162">
        <f t="shared" si="33"/>
        <v>0</v>
      </c>
      <c r="H1426" s="194"/>
      <c r="I1426" s="161">
        <f t="shared" si="35"/>
        <v>0</v>
      </c>
      <c r="J1426" s="164">
        <f t="shared" si="30"/>
        <v>0</v>
      </c>
      <c r="K1426" s="56" t="s">
        <v>6733</v>
      </c>
      <c r="L1426" s="73"/>
      <c r="M1426" s="73"/>
      <c r="N1426" s="171"/>
      <c r="O1426" s="171"/>
      <c r="P1426" s="202"/>
      <c r="Q1426" s="173"/>
      <c r="R1426" s="173"/>
      <c r="S1426" s="173"/>
      <c r="T1426" s="173"/>
      <c r="U1426" s="173"/>
      <c r="V1426" s="202"/>
      <c r="W1426" s="171"/>
      <c r="X1426" s="171"/>
    </row>
    <row r="1427" ht="15.0" customHeight="1">
      <c r="A1427" s="127">
        <v>45688.0</v>
      </c>
      <c r="B1427" s="181" t="s">
        <v>6732</v>
      </c>
      <c r="C1427" s="339" t="s">
        <v>4936</v>
      </c>
      <c r="D1427" s="73" t="str">
        <f>IFERROR(VLOOKUP(C1427,Stock,3,FALSE),"")</f>
        <v>Honda HR-V 14-21 5D SUV</v>
      </c>
      <c r="E1427" s="56">
        <v>9.0</v>
      </c>
      <c r="F1427" s="162"/>
      <c r="G1427" s="162">
        <f t="shared" si="33"/>
        <v>0</v>
      </c>
      <c r="H1427" s="194"/>
      <c r="I1427" s="161">
        <f t="shared" si="35"/>
        <v>0</v>
      </c>
      <c r="J1427" s="164">
        <f t="shared" si="30"/>
        <v>0</v>
      </c>
      <c r="K1427" s="56" t="s">
        <v>6733</v>
      </c>
      <c r="L1427" s="73"/>
      <c r="M1427" s="73"/>
      <c r="N1427" s="171"/>
      <c r="O1427" s="171"/>
      <c r="P1427" s="202"/>
      <c r="Q1427" s="173"/>
      <c r="R1427" s="173"/>
      <c r="S1427" s="173"/>
      <c r="T1427" s="173"/>
      <c r="U1427" s="173"/>
      <c r="V1427" s="202"/>
      <c r="W1427" s="171"/>
      <c r="X1427" s="171"/>
    </row>
    <row r="1428" ht="15.0" customHeight="1">
      <c r="A1428" s="127">
        <v>45688.0</v>
      </c>
      <c r="B1428" s="181" t="s">
        <v>6732</v>
      </c>
      <c r="C1428" s="339" t="s">
        <v>3159</v>
      </c>
      <c r="D1428" s="73" t="str">
        <f>IFERROR(VLOOKUP(C1428,Stock,3,FALSE),"")</f>
        <v>Honda Jazz 13- 3rd Gen</v>
      </c>
      <c r="E1428" s="56">
        <v>3.0</v>
      </c>
      <c r="F1428" s="162"/>
      <c r="G1428" s="162">
        <f t="shared" si="33"/>
        <v>0</v>
      </c>
      <c r="H1428" s="194"/>
      <c r="I1428" s="161">
        <f t="shared" si="35"/>
        <v>0</v>
      </c>
      <c r="J1428" s="164">
        <f t="shared" si="30"/>
        <v>0</v>
      </c>
      <c r="K1428" s="56" t="s">
        <v>6733</v>
      </c>
      <c r="L1428" s="73"/>
      <c r="M1428" s="73"/>
      <c r="N1428" s="171"/>
      <c r="O1428" s="171"/>
      <c r="P1428" s="202"/>
      <c r="Q1428" s="173"/>
      <c r="R1428" s="173"/>
      <c r="S1428" s="173"/>
      <c r="T1428" s="173"/>
      <c r="U1428" s="173"/>
      <c r="V1428" s="202"/>
      <c r="W1428" s="171"/>
      <c r="X1428" s="171"/>
    </row>
    <row r="1429" ht="15.0" customHeight="1">
      <c r="A1429" s="127">
        <v>45688.0</v>
      </c>
      <c r="B1429" s="181" t="s">
        <v>6732</v>
      </c>
      <c r="C1429" s="339" t="s">
        <v>6744</v>
      </c>
      <c r="D1429" s="73" t="str">
        <f>IFERROR(VLOOKUP(C1429,Stock,3,FALSE),"")</f>
        <v>Jeep Grand Cherooke 96-99 ZJ</v>
      </c>
      <c r="E1429" s="56">
        <v>5.0</v>
      </c>
      <c r="F1429" s="162"/>
      <c r="G1429" s="162">
        <f t="shared" si="33"/>
        <v>0</v>
      </c>
      <c r="H1429" s="194"/>
      <c r="I1429" s="161">
        <f t="shared" si="35"/>
        <v>0</v>
      </c>
      <c r="J1429" s="164">
        <f t="shared" si="30"/>
        <v>0</v>
      </c>
      <c r="K1429" s="56" t="s">
        <v>6733</v>
      </c>
      <c r="L1429" s="73"/>
      <c r="M1429" s="73"/>
      <c r="N1429" s="171"/>
      <c r="O1429" s="171"/>
      <c r="P1429" s="202"/>
      <c r="Q1429" s="173"/>
      <c r="R1429" s="173"/>
      <c r="S1429" s="173"/>
      <c r="T1429" s="173"/>
      <c r="U1429" s="173"/>
      <c r="V1429" s="202"/>
      <c r="W1429" s="171"/>
      <c r="X1429" s="171"/>
    </row>
    <row r="1430" ht="15.0" customHeight="1">
      <c r="A1430" s="127">
        <v>45688.0</v>
      </c>
      <c r="B1430" s="181" t="s">
        <v>6732</v>
      </c>
      <c r="C1430" s="339" t="s">
        <v>6502</v>
      </c>
      <c r="D1430" s="73" t="str">
        <f>IFERROR(VLOOKUP(C1430,Stock,3,FALSE),"")</f>
        <v>Kia Caren 1 99-04 / Caren 2 04-12</v>
      </c>
      <c r="E1430" s="56">
        <v>4.0</v>
      </c>
      <c r="F1430" s="162"/>
      <c r="G1430" s="162">
        <f t="shared" si="33"/>
        <v>0</v>
      </c>
      <c r="H1430" s="194"/>
      <c r="I1430" s="161">
        <f t="shared" si="35"/>
        <v>0</v>
      </c>
      <c r="J1430" s="164">
        <f t="shared" si="30"/>
        <v>0</v>
      </c>
      <c r="K1430" s="56" t="s">
        <v>6733</v>
      </c>
      <c r="L1430" s="73"/>
      <c r="M1430" s="73"/>
      <c r="N1430" s="171"/>
      <c r="O1430" s="171"/>
      <c r="P1430" s="202"/>
      <c r="Q1430" s="173"/>
      <c r="R1430" s="173"/>
      <c r="S1430" s="173"/>
      <c r="T1430" s="173"/>
      <c r="U1430" s="173"/>
      <c r="V1430" s="202"/>
      <c r="W1430" s="171"/>
      <c r="X1430" s="171"/>
    </row>
    <row r="1431" ht="15.0" customHeight="1">
      <c r="A1431" s="127">
        <v>45688.0</v>
      </c>
      <c r="B1431" s="181" t="s">
        <v>6732</v>
      </c>
      <c r="C1431" s="339" t="s">
        <v>6745</v>
      </c>
      <c r="D1431" s="73" t="str">
        <f>IFERROR(VLOOKUP(C1431,Stock,3,FALSE),"")</f>
        <v>Toyota Corolla AE92/EE90 87-92 6th Gen Twincam</v>
      </c>
      <c r="E1431" s="56">
        <v>5.0</v>
      </c>
      <c r="F1431" s="162"/>
      <c r="G1431" s="162">
        <f t="shared" si="33"/>
        <v>0</v>
      </c>
      <c r="H1431" s="194"/>
      <c r="I1431" s="161">
        <f t="shared" si="35"/>
        <v>0</v>
      </c>
      <c r="J1431" s="164">
        <f t="shared" si="30"/>
        <v>0</v>
      </c>
      <c r="K1431" s="56" t="s">
        <v>6733</v>
      </c>
      <c r="L1431" s="73"/>
      <c r="M1431" s="73"/>
      <c r="N1431" s="171"/>
      <c r="O1431" s="171"/>
      <c r="P1431" s="202"/>
      <c r="Q1431" s="173"/>
      <c r="R1431" s="173"/>
      <c r="S1431" s="173"/>
      <c r="T1431" s="173"/>
      <c r="U1431" s="173"/>
      <c r="V1431" s="202"/>
      <c r="W1431" s="171"/>
      <c r="X1431" s="171"/>
    </row>
    <row r="1432" ht="15.0" customHeight="1">
      <c r="A1432" s="127">
        <v>45688.0</v>
      </c>
      <c r="B1432" s="181" t="s">
        <v>6732</v>
      </c>
      <c r="C1432" s="339" t="s">
        <v>6145</v>
      </c>
      <c r="D1432" s="73" t="str">
        <f>IFERROR(VLOOKUP(C1432,Stock,3,FALSE),"")</f>
        <v>BMW 3 Series 98-06 E46</v>
      </c>
      <c r="E1432" s="56">
        <v>4.0</v>
      </c>
      <c r="F1432" s="162"/>
      <c r="G1432" s="162">
        <f t="shared" si="33"/>
        <v>0</v>
      </c>
      <c r="H1432" s="194"/>
      <c r="I1432" s="161">
        <f t="shared" si="35"/>
        <v>0</v>
      </c>
      <c r="J1432" s="164">
        <f t="shared" si="30"/>
        <v>0</v>
      </c>
      <c r="K1432" s="56" t="s">
        <v>6733</v>
      </c>
      <c r="L1432" s="73"/>
      <c r="M1432" s="73"/>
      <c r="N1432" s="171"/>
      <c r="O1432" s="171"/>
      <c r="P1432" s="202"/>
      <c r="Q1432" s="173"/>
      <c r="R1432" s="173"/>
      <c r="S1432" s="173"/>
      <c r="T1432" s="173"/>
      <c r="U1432" s="173"/>
      <c r="V1432" s="202"/>
      <c r="W1432" s="171"/>
      <c r="X1432" s="171"/>
    </row>
    <row r="1433" ht="15.0" customHeight="1">
      <c r="A1433" s="127">
        <v>45688.0</v>
      </c>
      <c r="B1433" s="181" t="s">
        <v>6732</v>
      </c>
      <c r="C1433" s="339" t="s">
        <v>2546</v>
      </c>
      <c r="D1433" s="73" t="str">
        <f>IFERROR(VLOOKUP(C1433,Stock,3,FALSE),"")</f>
        <v>Wuling Confero (Tanpa Spionnya)</v>
      </c>
      <c r="E1433" s="56">
        <v>2.0</v>
      </c>
      <c r="F1433" s="162"/>
      <c r="G1433" s="162">
        <f t="shared" si="33"/>
        <v>0</v>
      </c>
      <c r="H1433" s="194"/>
      <c r="I1433" s="161">
        <f t="shared" si="35"/>
        <v>0</v>
      </c>
      <c r="J1433" s="164">
        <f t="shared" si="30"/>
        <v>0</v>
      </c>
      <c r="K1433" s="56" t="s">
        <v>6733</v>
      </c>
      <c r="L1433" s="73"/>
      <c r="M1433" s="73"/>
      <c r="N1433" s="171"/>
      <c r="O1433" s="171"/>
      <c r="P1433" s="202"/>
      <c r="Q1433" s="173"/>
      <c r="R1433" s="173"/>
      <c r="S1433" s="173"/>
      <c r="T1433" s="173"/>
      <c r="U1433" s="173"/>
      <c r="V1433" s="202"/>
      <c r="W1433" s="171"/>
      <c r="X1433" s="171"/>
    </row>
    <row r="1434" ht="15.0" customHeight="1">
      <c r="A1434" s="127">
        <v>45688.0</v>
      </c>
      <c r="B1434" s="181" t="s">
        <v>6732</v>
      </c>
      <c r="C1434" s="339" t="s">
        <v>5303</v>
      </c>
      <c r="D1434" s="73" t="str">
        <f>IFERROR(VLOOKUP(C1434,Stock,3,FALSE),"")</f>
        <v>Nissan Juke 11-</v>
      </c>
      <c r="E1434" s="56">
        <v>4.0</v>
      </c>
      <c r="F1434" s="162"/>
      <c r="G1434" s="162">
        <f t="shared" si="33"/>
        <v>0</v>
      </c>
      <c r="H1434" s="194"/>
      <c r="I1434" s="161">
        <f t="shared" si="35"/>
        <v>0</v>
      </c>
      <c r="J1434" s="164">
        <f t="shared" si="30"/>
        <v>0</v>
      </c>
      <c r="K1434" s="56" t="s">
        <v>6733</v>
      </c>
      <c r="L1434" s="73"/>
      <c r="M1434" s="73"/>
      <c r="N1434" s="171"/>
      <c r="O1434" s="171"/>
      <c r="P1434" s="202"/>
      <c r="Q1434" s="173"/>
      <c r="R1434" s="173"/>
      <c r="S1434" s="173"/>
      <c r="T1434" s="173"/>
      <c r="U1434" s="173"/>
      <c r="V1434" s="202"/>
      <c r="W1434" s="171"/>
      <c r="X1434" s="171"/>
    </row>
    <row r="1435" ht="15.0" customHeight="1">
      <c r="A1435" s="127">
        <v>45688.0</v>
      </c>
      <c r="B1435" s="181" t="s">
        <v>6732</v>
      </c>
      <c r="C1435" s="339" t="s">
        <v>6689</v>
      </c>
      <c r="D1435" s="73" t="str">
        <f>IFERROR(VLOOKUP(C1435,Stock,3,FALSE),"")</f>
        <v>Mazda 2 09-14 3rd Gen</v>
      </c>
      <c r="E1435" s="56">
        <v>4.0</v>
      </c>
      <c r="F1435" s="162"/>
      <c r="G1435" s="162">
        <f t="shared" si="33"/>
        <v>0</v>
      </c>
      <c r="H1435" s="194"/>
      <c r="I1435" s="161">
        <f t="shared" si="35"/>
        <v>0</v>
      </c>
      <c r="J1435" s="164">
        <f t="shared" si="30"/>
        <v>0</v>
      </c>
      <c r="K1435" s="56" t="s">
        <v>6733</v>
      </c>
      <c r="L1435" s="73"/>
      <c r="M1435" s="73"/>
      <c r="N1435" s="171"/>
      <c r="O1435" s="171"/>
      <c r="P1435" s="202"/>
      <c r="Q1435" s="173"/>
      <c r="R1435" s="173"/>
      <c r="S1435" s="173"/>
      <c r="T1435" s="173"/>
      <c r="U1435" s="173"/>
      <c r="V1435" s="202"/>
      <c r="W1435" s="171"/>
      <c r="X1435" s="171"/>
    </row>
    <row r="1436" ht="15.0" customHeight="1">
      <c r="A1436" s="127">
        <v>45688.0</v>
      </c>
      <c r="B1436" s="181" t="s">
        <v>6732</v>
      </c>
      <c r="C1436" s="339" t="s">
        <v>4323</v>
      </c>
      <c r="D1436" s="73" t="str">
        <f>IFERROR(VLOOKUP(C1436,Stock,3,FALSE),"")</f>
        <v>Daihatsu Sirion 11-18 2nd Gen</v>
      </c>
      <c r="E1436" s="56">
        <v>4.0</v>
      </c>
      <c r="F1436" s="162"/>
      <c r="G1436" s="162">
        <f t="shared" si="33"/>
        <v>0</v>
      </c>
      <c r="H1436" s="194"/>
      <c r="I1436" s="161">
        <f t="shared" si="35"/>
        <v>0</v>
      </c>
      <c r="J1436" s="164">
        <f t="shared" si="30"/>
        <v>0</v>
      </c>
      <c r="K1436" s="56" t="s">
        <v>6733</v>
      </c>
      <c r="L1436" s="73"/>
      <c r="M1436" s="73"/>
      <c r="N1436" s="171"/>
      <c r="O1436" s="171"/>
      <c r="P1436" s="202"/>
      <c r="Q1436" s="173"/>
      <c r="R1436" s="173"/>
      <c r="S1436" s="173"/>
      <c r="T1436" s="173"/>
      <c r="U1436" s="173"/>
      <c r="V1436" s="202"/>
      <c r="W1436" s="171"/>
      <c r="X1436" s="171"/>
    </row>
    <row r="1437" ht="15.0" customHeight="1">
      <c r="A1437" s="127">
        <v>45688.0</v>
      </c>
      <c r="B1437" s="181" t="s">
        <v>6732</v>
      </c>
      <c r="C1437" s="339" t="s">
        <v>6746</v>
      </c>
      <c r="D1437" s="73" t="str">
        <f>IFERROR(VLOOKUP(C1437,Stock,3,FALSE),"")</f>
        <v>Toyota Kijang Super/Grand K125</v>
      </c>
      <c r="E1437" s="56">
        <v>5.0</v>
      </c>
      <c r="F1437" s="162"/>
      <c r="G1437" s="162">
        <f t="shared" si="33"/>
        <v>0</v>
      </c>
      <c r="H1437" s="194"/>
      <c r="I1437" s="161">
        <f t="shared" si="35"/>
        <v>0</v>
      </c>
      <c r="J1437" s="164">
        <f t="shared" si="30"/>
        <v>0</v>
      </c>
      <c r="K1437" s="56" t="s">
        <v>6733</v>
      </c>
      <c r="L1437" s="73"/>
      <c r="M1437" s="73"/>
      <c r="N1437" s="171"/>
      <c r="O1437" s="171"/>
      <c r="P1437" s="202"/>
      <c r="Q1437" s="173"/>
      <c r="R1437" s="173"/>
      <c r="S1437" s="173"/>
      <c r="T1437" s="173"/>
      <c r="U1437" s="173"/>
      <c r="V1437" s="202"/>
      <c r="W1437" s="171"/>
      <c r="X1437" s="171"/>
    </row>
    <row r="1438" ht="15.0" customHeight="1">
      <c r="A1438" s="127">
        <v>45688.0</v>
      </c>
      <c r="B1438" s="181" t="s">
        <v>6732</v>
      </c>
      <c r="C1438" s="339" t="s">
        <v>3712</v>
      </c>
      <c r="D1438" s="73" t="str">
        <f>IFERROR(VLOOKUP(C1438,Stock,3,FALSE),"")</f>
        <v>Toyota Soluna AL50 00-</v>
      </c>
      <c r="E1438" s="56">
        <v>4.0</v>
      </c>
      <c r="F1438" s="162"/>
      <c r="G1438" s="162">
        <f t="shared" si="33"/>
        <v>0</v>
      </c>
      <c r="H1438" s="194"/>
      <c r="I1438" s="161">
        <f t="shared" si="35"/>
        <v>0</v>
      </c>
      <c r="J1438" s="164">
        <f t="shared" si="30"/>
        <v>0</v>
      </c>
      <c r="K1438" s="56" t="s">
        <v>6733</v>
      </c>
      <c r="L1438" s="73"/>
      <c r="M1438" s="73"/>
      <c r="N1438" s="171"/>
      <c r="O1438" s="171"/>
      <c r="P1438" s="202"/>
      <c r="Q1438" s="173"/>
      <c r="R1438" s="173"/>
      <c r="S1438" s="173"/>
      <c r="T1438" s="173"/>
      <c r="U1438" s="173"/>
      <c r="V1438" s="202"/>
      <c r="W1438" s="171"/>
      <c r="X1438" s="171"/>
    </row>
    <row r="1439" ht="15.0" customHeight="1">
      <c r="A1439" s="127">
        <v>45688.0</v>
      </c>
      <c r="B1439" s="181" t="s">
        <v>6732</v>
      </c>
      <c r="C1439" s="339" t="s">
        <v>2677</v>
      </c>
      <c r="D1439" s="73" t="str">
        <f>IFERROR(VLOOKUP(C1439,Stock,3,FALSE),"")</f>
        <v>Suzuki Grand Escudo 00-05</v>
      </c>
      <c r="E1439" s="56">
        <v>2.0</v>
      </c>
      <c r="F1439" s="162"/>
      <c r="G1439" s="162">
        <f t="shared" si="33"/>
        <v>0</v>
      </c>
      <c r="H1439" s="194"/>
      <c r="I1439" s="161">
        <f t="shared" si="35"/>
        <v>0</v>
      </c>
      <c r="J1439" s="164">
        <f t="shared" si="30"/>
        <v>0</v>
      </c>
      <c r="K1439" s="56" t="s">
        <v>6733</v>
      </c>
      <c r="L1439" s="73"/>
      <c r="M1439" s="73"/>
      <c r="N1439" s="171"/>
      <c r="O1439" s="171"/>
      <c r="P1439" s="202"/>
      <c r="Q1439" s="173"/>
      <c r="R1439" s="173"/>
      <c r="S1439" s="173"/>
      <c r="T1439" s="173"/>
      <c r="U1439" s="173"/>
      <c r="V1439" s="202"/>
      <c r="W1439" s="171"/>
      <c r="X1439" s="171"/>
    </row>
    <row r="1440" ht="15.0" customHeight="1">
      <c r="A1440" s="127">
        <v>45688.0</v>
      </c>
      <c r="B1440" s="181" t="s">
        <v>6732</v>
      </c>
      <c r="C1440" s="339" t="s">
        <v>2693</v>
      </c>
      <c r="D1440" s="73" t="str">
        <f>IFERROR(VLOOKUP(C1440,Stock,3,FALSE),"")</f>
        <v>Nissan X-Trail 01-07 T30</v>
      </c>
      <c r="E1440" s="56">
        <v>4.0</v>
      </c>
      <c r="F1440" s="162"/>
      <c r="G1440" s="162">
        <f t="shared" si="33"/>
        <v>0</v>
      </c>
      <c r="H1440" s="194"/>
      <c r="I1440" s="161">
        <f t="shared" si="35"/>
        <v>0</v>
      </c>
      <c r="J1440" s="164">
        <f t="shared" si="30"/>
        <v>0</v>
      </c>
      <c r="K1440" s="56" t="s">
        <v>6733</v>
      </c>
      <c r="L1440" s="73"/>
      <c r="M1440" s="73"/>
      <c r="N1440" s="171"/>
      <c r="O1440" s="171"/>
      <c r="P1440" s="202"/>
      <c r="Q1440" s="173"/>
      <c r="R1440" s="173"/>
      <c r="S1440" s="173"/>
      <c r="T1440" s="173"/>
      <c r="U1440" s="173"/>
      <c r="V1440" s="202"/>
      <c r="W1440" s="171"/>
      <c r="X1440" s="171"/>
    </row>
    <row r="1441" ht="15.0" customHeight="1">
      <c r="A1441" s="127">
        <v>45688.0</v>
      </c>
      <c r="B1441" s="181" t="s">
        <v>6732</v>
      </c>
      <c r="C1441" s="339" t="s">
        <v>3948</v>
      </c>
      <c r="D1441" s="73" t="str">
        <f>IFERROR(VLOOKUP(C1441,Stock,3,FALSE),"")</f>
        <v>BMW 3 Series 90-99 E36</v>
      </c>
      <c r="E1441" s="56">
        <v>8.0</v>
      </c>
      <c r="F1441" s="162"/>
      <c r="G1441" s="162">
        <f t="shared" si="33"/>
        <v>0</v>
      </c>
      <c r="H1441" s="194"/>
      <c r="I1441" s="161">
        <f t="shared" si="35"/>
        <v>0</v>
      </c>
      <c r="J1441" s="164">
        <f t="shared" si="30"/>
        <v>0</v>
      </c>
      <c r="K1441" s="56" t="s">
        <v>6733</v>
      </c>
      <c r="L1441" s="73"/>
      <c r="M1441" s="73"/>
      <c r="N1441" s="171"/>
      <c r="O1441" s="171"/>
      <c r="P1441" s="202"/>
      <c r="Q1441" s="173"/>
      <c r="R1441" s="173"/>
      <c r="S1441" s="173"/>
      <c r="T1441" s="173"/>
      <c r="U1441" s="173"/>
      <c r="V1441" s="202"/>
      <c r="W1441" s="171"/>
      <c r="X1441" s="171"/>
    </row>
    <row r="1442" ht="15.0" customHeight="1">
      <c r="A1442" s="127">
        <v>45688.0</v>
      </c>
      <c r="B1442" s="181" t="s">
        <v>6732</v>
      </c>
      <c r="C1442" s="339" t="s">
        <v>5084</v>
      </c>
      <c r="D1442" s="73" t="str">
        <f>IFERROR(VLOOKUP(C1442,Stock,3,FALSE),"")</f>
        <v>Ford Lynx/Liata Mazda Lantis/Familia</v>
      </c>
      <c r="E1442" s="56">
        <v>2.0</v>
      </c>
      <c r="F1442" s="162"/>
      <c r="G1442" s="162">
        <f t="shared" si="33"/>
        <v>0</v>
      </c>
      <c r="H1442" s="194"/>
      <c r="I1442" s="161">
        <f t="shared" si="35"/>
        <v>0</v>
      </c>
      <c r="J1442" s="164">
        <f t="shared" si="30"/>
        <v>0</v>
      </c>
      <c r="K1442" s="56" t="s">
        <v>6733</v>
      </c>
      <c r="L1442" s="73"/>
      <c r="M1442" s="73"/>
      <c r="N1442" s="171"/>
      <c r="O1442" s="171"/>
      <c r="P1442" s="202"/>
      <c r="Q1442" s="173"/>
      <c r="R1442" s="173"/>
      <c r="S1442" s="173"/>
      <c r="T1442" s="173"/>
      <c r="U1442" s="173"/>
      <c r="V1442" s="202"/>
      <c r="W1442" s="171"/>
      <c r="X1442" s="171"/>
    </row>
    <row r="1443" ht="15.0" customHeight="1">
      <c r="A1443" s="127">
        <v>45688.0</v>
      </c>
      <c r="B1443" s="181" t="s">
        <v>6732</v>
      </c>
      <c r="C1443" s="339" t="s">
        <v>6747</v>
      </c>
      <c r="D1443" s="73" t="str">
        <f>IFERROR(VLOOKUP(C1443,Stock,3,FALSE),"")</f>
        <v>Hyundai Accent/Excel/Cakra 94-01 Sedan</v>
      </c>
      <c r="E1443" s="56">
        <v>1.0</v>
      </c>
      <c r="F1443" s="162"/>
      <c r="G1443" s="162">
        <f t="shared" si="33"/>
        <v>0</v>
      </c>
      <c r="H1443" s="194"/>
      <c r="I1443" s="161">
        <f t="shared" si="35"/>
        <v>0</v>
      </c>
      <c r="J1443" s="164">
        <f t="shared" si="30"/>
        <v>0</v>
      </c>
      <c r="K1443" s="56" t="s">
        <v>6733</v>
      </c>
      <c r="L1443" s="73"/>
      <c r="M1443" s="73"/>
      <c r="N1443" s="171"/>
      <c r="O1443" s="171"/>
      <c r="P1443" s="202"/>
      <c r="Q1443" s="173"/>
      <c r="R1443" s="173"/>
      <c r="S1443" s="173"/>
      <c r="T1443" s="173"/>
      <c r="U1443" s="173"/>
      <c r="V1443" s="202"/>
      <c r="W1443" s="171"/>
      <c r="X1443" s="171"/>
    </row>
    <row r="1444" ht="15.0" customHeight="1">
      <c r="A1444" s="127">
        <v>45688.0</v>
      </c>
      <c r="B1444" s="181" t="s">
        <v>6732</v>
      </c>
      <c r="C1444" s="339" t="s">
        <v>6748</v>
      </c>
      <c r="D1444" s="73" t="str">
        <f>IFERROR(VLOOKUP(C1444,Stock,3,FALSE),"")</f>
        <v>Mitsubishi Strada Triton 16-</v>
      </c>
      <c r="E1444" s="56">
        <v>10.0</v>
      </c>
      <c r="F1444" s="162"/>
      <c r="G1444" s="162">
        <f t="shared" si="33"/>
        <v>0</v>
      </c>
      <c r="H1444" s="194"/>
      <c r="I1444" s="161">
        <f t="shared" si="35"/>
        <v>0</v>
      </c>
      <c r="J1444" s="164">
        <f t="shared" si="30"/>
        <v>0</v>
      </c>
      <c r="K1444" s="56" t="s">
        <v>6733</v>
      </c>
      <c r="L1444" s="73"/>
      <c r="M1444" s="73"/>
      <c r="N1444" s="171"/>
      <c r="O1444" s="171"/>
      <c r="P1444" s="202"/>
      <c r="Q1444" s="173"/>
      <c r="R1444" s="173"/>
      <c r="S1444" s="173"/>
      <c r="T1444" s="173"/>
      <c r="U1444" s="173"/>
      <c r="V1444" s="202"/>
      <c r="W1444" s="171"/>
      <c r="X1444" s="171"/>
    </row>
    <row r="1445" ht="15.0" customHeight="1">
      <c r="A1445" s="127">
        <v>45688.0</v>
      </c>
      <c r="B1445" s="181" t="s">
        <v>6732</v>
      </c>
      <c r="C1445" s="339" t="s">
        <v>6749</v>
      </c>
      <c r="D1445" s="73" t="str">
        <f>IFERROR(VLOOKUP(C1445,Stock,3,FALSE),"")</f>
        <v>Mitsubishi Lancer 91-96 LE41 CB4/5 (Evo3)</v>
      </c>
      <c r="E1445" s="56">
        <v>3.0</v>
      </c>
      <c r="F1445" s="162"/>
      <c r="G1445" s="162">
        <f t="shared" si="33"/>
        <v>0</v>
      </c>
      <c r="H1445" s="194"/>
      <c r="I1445" s="161">
        <f t="shared" si="35"/>
        <v>0</v>
      </c>
      <c r="J1445" s="164">
        <f t="shared" si="30"/>
        <v>0</v>
      </c>
      <c r="K1445" s="56" t="s">
        <v>6733</v>
      </c>
      <c r="L1445" s="73"/>
      <c r="M1445" s="73"/>
      <c r="N1445" s="171"/>
      <c r="O1445" s="171"/>
      <c r="P1445" s="202"/>
      <c r="Q1445" s="173"/>
      <c r="R1445" s="173"/>
      <c r="S1445" s="173"/>
      <c r="T1445" s="173"/>
      <c r="U1445" s="173"/>
      <c r="V1445" s="202"/>
      <c r="W1445" s="171"/>
      <c r="X1445" s="171"/>
    </row>
    <row r="1446" ht="15.0" customHeight="1">
      <c r="A1446" s="127">
        <v>45688.0</v>
      </c>
      <c r="B1446" s="181" t="s">
        <v>6732</v>
      </c>
      <c r="C1446" s="339" t="s">
        <v>2781</v>
      </c>
      <c r="D1446" s="73" t="str">
        <f>IFERROR(VLOOKUP(C1446,Stock,3,FALSE),"")</f>
        <v>Kia Sportage 04-10 JE/KM</v>
      </c>
      <c r="E1446" s="56">
        <v>3.0</v>
      </c>
      <c r="F1446" s="162"/>
      <c r="G1446" s="162">
        <f t="shared" si="33"/>
        <v>0</v>
      </c>
      <c r="H1446" s="194"/>
      <c r="I1446" s="161">
        <f t="shared" si="35"/>
        <v>0</v>
      </c>
      <c r="J1446" s="164">
        <f t="shared" si="30"/>
        <v>0</v>
      </c>
      <c r="K1446" s="56" t="s">
        <v>6733</v>
      </c>
      <c r="L1446" s="73"/>
      <c r="M1446" s="73"/>
      <c r="N1446" s="171"/>
      <c r="O1446" s="171"/>
      <c r="P1446" s="202"/>
      <c r="Q1446" s="173"/>
      <c r="R1446" s="173"/>
      <c r="S1446" s="173"/>
      <c r="T1446" s="173"/>
      <c r="U1446" s="173"/>
      <c r="V1446" s="202"/>
      <c r="W1446" s="171"/>
      <c r="X1446" s="171"/>
    </row>
    <row r="1447" ht="15.0" customHeight="1">
      <c r="A1447" s="127">
        <v>45688.0</v>
      </c>
      <c r="B1447" s="181" t="s">
        <v>6732</v>
      </c>
      <c r="C1447" s="339" t="s">
        <v>6750</v>
      </c>
      <c r="D1447" s="73" t="str">
        <f>IFERROR(VLOOKUP(C1447,Stock,3,FALSE),"")</f>
        <v>Kia Rio 00-05 DC Sedan/Hatchback</v>
      </c>
      <c r="E1447" s="56">
        <v>3.0</v>
      </c>
      <c r="F1447" s="162"/>
      <c r="G1447" s="162">
        <f t="shared" si="33"/>
        <v>0</v>
      </c>
      <c r="H1447" s="194"/>
      <c r="I1447" s="161">
        <f t="shared" si="35"/>
        <v>0</v>
      </c>
      <c r="J1447" s="164">
        <f t="shared" si="30"/>
        <v>0</v>
      </c>
      <c r="K1447" s="56" t="s">
        <v>6733</v>
      </c>
      <c r="L1447" s="73"/>
      <c r="M1447" s="73"/>
      <c r="N1447" s="171"/>
      <c r="O1447" s="171"/>
      <c r="P1447" s="202"/>
      <c r="Q1447" s="173"/>
      <c r="R1447" s="173"/>
      <c r="S1447" s="173"/>
      <c r="T1447" s="173"/>
      <c r="U1447" s="173"/>
      <c r="V1447" s="202"/>
      <c r="W1447" s="171"/>
      <c r="X1447" s="171"/>
    </row>
    <row r="1448" ht="15.0" customHeight="1">
      <c r="A1448" s="127">
        <v>45688.0</v>
      </c>
      <c r="B1448" s="181" t="s">
        <v>6732</v>
      </c>
      <c r="C1448" s="339" t="s">
        <v>6751</v>
      </c>
      <c r="D1448" s="73" t="str">
        <f>IFERROR(VLOOKUP(C1448,Stock,3,FALSE),"")</f>
        <v>Kia Pregio Van 95-</v>
      </c>
      <c r="E1448" s="56">
        <v>5.0</v>
      </c>
      <c r="F1448" s="162"/>
      <c r="G1448" s="162">
        <f t="shared" si="33"/>
        <v>0</v>
      </c>
      <c r="H1448" s="194"/>
      <c r="I1448" s="161">
        <f t="shared" si="35"/>
        <v>0</v>
      </c>
      <c r="J1448" s="164">
        <f t="shared" si="30"/>
        <v>0</v>
      </c>
      <c r="K1448" s="56" t="s">
        <v>6733</v>
      </c>
      <c r="L1448" s="73"/>
      <c r="M1448" s="73"/>
      <c r="N1448" s="171"/>
      <c r="O1448" s="171"/>
      <c r="P1448" s="202"/>
      <c r="Q1448" s="173"/>
      <c r="R1448" s="173"/>
      <c r="S1448" s="173"/>
      <c r="T1448" s="173"/>
      <c r="U1448" s="173"/>
      <c r="V1448" s="202"/>
      <c r="W1448" s="171"/>
      <c r="X1448" s="171"/>
    </row>
    <row r="1449" ht="15.0" customHeight="1">
      <c r="A1449" s="127">
        <v>45688.0</v>
      </c>
      <c r="B1449" s="181" t="s">
        <v>6732</v>
      </c>
      <c r="C1449" s="339" t="s">
        <v>2712</v>
      </c>
      <c r="D1449" s="73" t="str">
        <f>IFERROR(VLOOKUP(C1449,Stock,3,FALSE),"")</f>
        <v>Mitsubishi L300</v>
      </c>
      <c r="E1449" s="56">
        <v>2.0</v>
      </c>
      <c r="F1449" s="162"/>
      <c r="G1449" s="162">
        <f t="shared" si="33"/>
        <v>0</v>
      </c>
      <c r="H1449" s="194"/>
      <c r="I1449" s="161">
        <f t="shared" si="35"/>
        <v>0</v>
      </c>
      <c r="J1449" s="164">
        <f t="shared" si="30"/>
        <v>0</v>
      </c>
      <c r="K1449" s="56" t="s">
        <v>6733</v>
      </c>
      <c r="L1449" s="73"/>
      <c r="M1449" s="73"/>
      <c r="N1449" s="171"/>
      <c r="O1449" s="171"/>
      <c r="P1449" s="202"/>
      <c r="Q1449" s="173"/>
      <c r="R1449" s="173"/>
      <c r="S1449" s="173"/>
      <c r="T1449" s="173"/>
      <c r="U1449" s="173"/>
      <c r="V1449" s="202"/>
      <c r="W1449" s="171"/>
      <c r="X1449" s="171"/>
    </row>
    <row r="1450" ht="15.0" customHeight="1">
      <c r="A1450" s="127">
        <v>45688.0</v>
      </c>
      <c r="B1450" s="181" t="s">
        <v>6732</v>
      </c>
      <c r="C1450" s="339" t="s">
        <v>6752</v>
      </c>
      <c r="D1450" s="73" t="str">
        <f>IFERROR(VLOOKUP(C1450,Stock,3,FALSE),"")</f>
        <v>Ford Telstar 93 / Mazda Cronos 626</v>
      </c>
      <c r="E1450" s="56">
        <v>3.0</v>
      </c>
      <c r="F1450" s="162"/>
      <c r="G1450" s="162">
        <f t="shared" si="33"/>
        <v>0</v>
      </c>
      <c r="H1450" s="194"/>
      <c r="I1450" s="161">
        <f t="shared" si="35"/>
        <v>0</v>
      </c>
      <c r="J1450" s="164">
        <f t="shared" si="30"/>
        <v>0</v>
      </c>
      <c r="K1450" s="56" t="s">
        <v>6733</v>
      </c>
      <c r="L1450" s="73"/>
      <c r="M1450" s="73"/>
      <c r="N1450" s="171"/>
      <c r="O1450" s="171"/>
      <c r="P1450" s="202"/>
      <c r="Q1450" s="173"/>
      <c r="R1450" s="173"/>
      <c r="S1450" s="173"/>
      <c r="T1450" s="173"/>
      <c r="U1450" s="173"/>
      <c r="V1450" s="202"/>
      <c r="W1450" s="171"/>
      <c r="X1450" s="171"/>
    </row>
    <row r="1451" ht="15.0" customHeight="1">
      <c r="A1451" s="127">
        <v>45688.0</v>
      </c>
      <c r="B1451" s="181" t="s">
        <v>6732</v>
      </c>
      <c r="C1451" s="339" t="s">
        <v>6753</v>
      </c>
      <c r="D1451" s="73" t="str">
        <f>IFERROR(VLOOKUP(C1451,Stock,3,FALSE),"")</f>
        <v>Mazda INTERPLAY 1992-97 FHG</v>
      </c>
      <c r="E1451" s="56">
        <v>5.0</v>
      </c>
      <c r="F1451" s="162"/>
      <c r="G1451" s="162">
        <f t="shared" si="33"/>
        <v>0</v>
      </c>
      <c r="H1451" s="194"/>
      <c r="I1451" s="161">
        <f t="shared" si="35"/>
        <v>0</v>
      </c>
      <c r="J1451" s="164">
        <f t="shared" si="30"/>
        <v>0</v>
      </c>
      <c r="K1451" s="56" t="s">
        <v>6733</v>
      </c>
      <c r="L1451" s="73"/>
      <c r="M1451" s="73"/>
      <c r="N1451" s="171"/>
      <c r="O1451" s="171"/>
      <c r="P1451" s="202"/>
      <c r="Q1451" s="173"/>
      <c r="R1451" s="173"/>
      <c r="S1451" s="173"/>
      <c r="T1451" s="173"/>
      <c r="U1451" s="173"/>
      <c r="V1451" s="202"/>
      <c r="W1451" s="171"/>
      <c r="X1451" s="171"/>
    </row>
    <row r="1452" ht="15.0" customHeight="1">
      <c r="A1452" s="127">
        <v>45688.0</v>
      </c>
      <c r="B1452" s="181" t="s">
        <v>6732</v>
      </c>
      <c r="C1452" s="339" t="s">
        <v>6754</v>
      </c>
      <c r="D1452" s="73" t="str">
        <f>IFERROR(VLOOKUP(C1452,Stock,3,FALSE),"")</f>
        <v>Jeep Cherooke 94-99 XJ</v>
      </c>
      <c r="E1452" s="56">
        <v>5.0</v>
      </c>
      <c r="F1452" s="162"/>
      <c r="G1452" s="162">
        <f t="shared" si="33"/>
        <v>0</v>
      </c>
      <c r="H1452" s="194"/>
      <c r="I1452" s="161">
        <f t="shared" si="35"/>
        <v>0</v>
      </c>
      <c r="J1452" s="164">
        <f t="shared" si="30"/>
        <v>0</v>
      </c>
      <c r="K1452" s="56" t="s">
        <v>6733</v>
      </c>
      <c r="L1452" s="73"/>
      <c r="M1452" s="73"/>
      <c r="N1452" s="171"/>
      <c r="O1452" s="171"/>
      <c r="P1452" s="202"/>
      <c r="Q1452" s="173"/>
      <c r="R1452" s="173"/>
      <c r="S1452" s="173"/>
      <c r="T1452" s="173"/>
      <c r="U1452" s="173"/>
      <c r="V1452" s="202"/>
      <c r="W1452" s="171"/>
      <c r="X1452" s="171"/>
    </row>
    <row r="1453" ht="15.0" customHeight="1">
      <c r="A1453" s="127">
        <v>45688.0</v>
      </c>
      <c r="B1453" s="181" t="s">
        <v>6732</v>
      </c>
      <c r="C1453" s="339" t="s">
        <v>4964</v>
      </c>
      <c r="D1453" s="73" t="str">
        <f>IFERROR(VLOOKUP(C1453,Stock,3,FALSE),"")</f>
        <v>Honda Civic 96-00 SO4/SO6 (Ferio)</v>
      </c>
      <c r="E1453" s="56">
        <v>3.0</v>
      </c>
      <c r="F1453" s="162"/>
      <c r="G1453" s="162">
        <f t="shared" si="33"/>
        <v>0</v>
      </c>
      <c r="H1453" s="194"/>
      <c r="I1453" s="161">
        <f t="shared" si="35"/>
        <v>0</v>
      </c>
      <c r="J1453" s="164">
        <f t="shared" si="30"/>
        <v>0</v>
      </c>
      <c r="K1453" s="56" t="s">
        <v>6733</v>
      </c>
      <c r="L1453" s="73"/>
      <c r="M1453" s="73"/>
      <c r="N1453" s="171"/>
      <c r="O1453" s="171"/>
      <c r="P1453" s="202"/>
      <c r="Q1453" s="173"/>
      <c r="R1453" s="173"/>
      <c r="S1453" s="173"/>
      <c r="T1453" s="173"/>
      <c r="U1453" s="173"/>
      <c r="V1453" s="202"/>
      <c r="W1453" s="171"/>
      <c r="X1453" s="171"/>
    </row>
    <row r="1454" ht="15.0" customHeight="1">
      <c r="A1454" s="127">
        <v>45688.0</v>
      </c>
      <c r="B1454" s="181" t="s">
        <v>6732</v>
      </c>
      <c r="C1454" s="339" t="s">
        <v>4512</v>
      </c>
      <c r="D1454" s="73" t="str">
        <f>IFERROR(VLOOKUP(C1454,Stock,3,FALSE),"")</f>
        <v>Suzuki Splash 09-16</v>
      </c>
      <c r="E1454" s="56">
        <v>4.0</v>
      </c>
      <c r="F1454" s="162"/>
      <c r="G1454" s="162">
        <f t="shared" si="33"/>
        <v>0</v>
      </c>
      <c r="H1454" s="194"/>
      <c r="I1454" s="161">
        <f t="shared" si="35"/>
        <v>0</v>
      </c>
      <c r="J1454" s="164">
        <f t="shared" si="30"/>
        <v>0</v>
      </c>
      <c r="K1454" s="56" t="s">
        <v>6733</v>
      </c>
      <c r="L1454" s="73"/>
      <c r="M1454" s="73"/>
      <c r="N1454" s="171"/>
      <c r="O1454" s="171"/>
      <c r="P1454" s="202"/>
      <c r="Q1454" s="173"/>
      <c r="R1454" s="173"/>
      <c r="S1454" s="173"/>
      <c r="T1454" s="173"/>
      <c r="U1454" s="173"/>
      <c r="V1454" s="202"/>
      <c r="W1454" s="171"/>
      <c r="X1454" s="171"/>
    </row>
    <row r="1455" ht="15.0" customHeight="1">
      <c r="A1455" s="127">
        <v>45688.0</v>
      </c>
      <c r="B1455" s="181" t="s">
        <v>6732</v>
      </c>
      <c r="C1455" s="339" t="s">
        <v>3594</v>
      </c>
      <c r="D1455" s="73" t="str">
        <f>IFERROR(VLOOKUP(C1455,Stock,3,FALSE),"")</f>
        <v>Chevrolet Aveo 08-11 T250 Hatch. (Kalos/Lova) (Pendek) Barina</v>
      </c>
      <c r="E1455" s="56">
        <v>4.0</v>
      </c>
      <c r="F1455" s="162"/>
      <c r="G1455" s="162">
        <f t="shared" si="33"/>
        <v>0</v>
      </c>
      <c r="H1455" s="194"/>
      <c r="I1455" s="161">
        <f t="shared" si="35"/>
        <v>0</v>
      </c>
      <c r="J1455" s="164">
        <f t="shared" si="30"/>
        <v>0</v>
      </c>
      <c r="K1455" s="56" t="s">
        <v>6733</v>
      </c>
      <c r="L1455" s="73"/>
      <c r="M1455" s="73"/>
      <c r="N1455" s="171"/>
      <c r="O1455" s="171"/>
      <c r="P1455" s="202"/>
      <c r="Q1455" s="173"/>
      <c r="R1455" s="173"/>
      <c r="S1455" s="173"/>
      <c r="T1455" s="173"/>
      <c r="U1455" s="173"/>
      <c r="V1455" s="202"/>
      <c r="W1455" s="171"/>
      <c r="X1455" s="171"/>
    </row>
    <row r="1456" ht="15.0" customHeight="1">
      <c r="A1456" s="127">
        <v>45688.0</v>
      </c>
      <c r="B1456" s="181" t="s">
        <v>6732</v>
      </c>
      <c r="C1456" s="339" t="s">
        <v>4178</v>
      </c>
      <c r="D1456" s="73" t="str">
        <f>IFERROR(VLOOKUP(C1456,Stock,3,FALSE),"")</f>
        <v>Honda BR-V 16-</v>
      </c>
      <c r="E1456" s="56">
        <v>8.0</v>
      </c>
      <c r="F1456" s="162"/>
      <c r="G1456" s="162">
        <f t="shared" si="33"/>
        <v>0</v>
      </c>
      <c r="H1456" s="194"/>
      <c r="I1456" s="161">
        <f t="shared" si="35"/>
        <v>0</v>
      </c>
      <c r="J1456" s="164">
        <f t="shared" si="30"/>
        <v>0</v>
      </c>
      <c r="K1456" s="56" t="s">
        <v>6733</v>
      </c>
      <c r="L1456" s="73"/>
      <c r="M1456" s="73"/>
      <c r="N1456" s="171"/>
      <c r="O1456" s="171"/>
      <c r="P1456" s="202"/>
      <c r="Q1456" s="173"/>
      <c r="R1456" s="173"/>
      <c r="S1456" s="173"/>
      <c r="T1456" s="173"/>
      <c r="U1456" s="173"/>
      <c r="V1456" s="202"/>
      <c r="W1456" s="171"/>
      <c r="X1456" s="171"/>
    </row>
    <row r="1457" ht="15.0" customHeight="1">
      <c r="A1457" s="127">
        <v>45688.0</v>
      </c>
      <c r="B1457" s="181" t="s">
        <v>6732</v>
      </c>
      <c r="C1457" s="339" t="s">
        <v>6755</v>
      </c>
      <c r="D1457" s="73" t="str">
        <f>IFERROR(VLOOKUP(C1457,Stock,3,FALSE),"")</f>
        <v>Mitsubishi Kuda 99-06</v>
      </c>
      <c r="E1457" s="56">
        <v>5.0</v>
      </c>
      <c r="F1457" s="162"/>
      <c r="G1457" s="162">
        <f t="shared" si="33"/>
        <v>0</v>
      </c>
      <c r="H1457" s="194"/>
      <c r="I1457" s="161">
        <f t="shared" si="35"/>
        <v>0</v>
      </c>
      <c r="J1457" s="164">
        <f t="shared" si="30"/>
        <v>0</v>
      </c>
      <c r="K1457" s="56" t="s">
        <v>6733</v>
      </c>
      <c r="L1457" s="73"/>
      <c r="M1457" s="73"/>
      <c r="N1457" s="171"/>
      <c r="O1457" s="171"/>
      <c r="P1457" s="202"/>
      <c r="Q1457" s="173"/>
      <c r="R1457" s="173"/>
      <c r="S1457" s="173"/>
      <c r="T1457" s="173"/>
      <c r="U1457" s="173"/>
      <c r="V1457" s="202"/>
      <c r="W1457" s="171"/>
      <c r="X1457" s="171"/>
    </row>
    <row r="1458" ht="15.0" customHeight="1">
      <c r="A1458" s="127">
        <v>45688.0</v>
      </c>
      <c r="B1458" s="181" t="s">
        <v>6732</v>
      </c>
      <c r="C1458" s="339" t="s">
        <v>6756</v>
      </c>
      <c r="D1458" s="73" t="str">
        <f>IFERROR(VLOOKUP(C1458,Stock,3,FALSE),"")</f>
        <v>Toyota Raize / Daihatsu Rocky 20-</v>
      </c>
      <c r="E1458" s="56">
        <v>5.0</v>
      </c>
      <c r="F1458" s="162"/>
      <c r="G1458" s="162">
        <f t="shared" si="33"/>
        <v>0</v>
      </c>
      <c r="H1458" s="194"/>
      <c r="I1458" s="161">
        <f t="shared" si="35"/>
        <v>0</v>
      </c>
      <c r="J1458" s="164">
        <f t="shared" si="30"/>
        <v>0</v>
      </c>
      <c r="K1458" s="56" t="s">
        <v>6733</v>
      </c>
      <c r="L1458" s="73"/>
      <c r="M1458" s="73"/>
      <c r="N1458" s="171"/>
      <c r="O1458" s="171"/>
      <c r="P1458" s="202"/>
      <c r="Q1458" s="173"/>
      <c r="R1458" s="173"/>
      <c r="S1458" s="173"/>
      <c r="T1458" s="173"/>
      <c r="U1458" s="173"/>
      <c r="V1458" s="202"/>
      <c r="W1458" s="171"/>
      <c r="X1458" s="171"/>
    </row>
    <row r="1459" ht="15.0" customHeight="1">
      <c r="A1459" s="127">
        <v>45688.0</v>
      </c>
      <c r="B1459" s="181" t="s">
        <v>6732</v>
      </c>
      <c r="C1459" s="339" t="s">
        <v>3526</v>
      </c>
      <c r="D1459" s="73" t="str">
        <f>IFERROR(VLOOKUP(C1459,Stock,3,FALSE),"")</f>
        <v>Toyota Kijang 98- Kapsul Karet</v>
      </c>
      <c r="E1459" s="56">
        <v>1.0</v>
      </c>
      <c r="F1459" s="162"/>
      <c r="G1459" s="162">
        <f t="shared" si="33"/>
        <v>0</v>
      </c>
      <c r="H1459" s="194"/>
      <c r="I1459" s="161">
        <f t="shared" si="35"/>
        <v>0</v>
      </c>
      <c r="J1459" s="164">
        <f t="shared" si="30"/>
        <v>0</v>
      </c>
      <c r="K1459" s="56" t="s">
        <v>6733</v>
      </c>
      <c r="L1459" s="73"/>
      <c r="M1459" s="73"/>
      <c r="N1459" s="171"/>
      <c r="O1459" s="171"/>
      <c r="P1459" s="202"/>
      <c r="Q1459" s="173"/>
      <c r="R1459" s="173"/>
      <c r="S1459" s="173"/>
      <c r="T1459" s="173"/>
      <c r="U1459" s="173"/>
      <c r="V1459" s="202"/>
      <c r="W1459" s="171"/>
      <c r="X1459" s="171"/>
    </row>
    <row r="1460" ht="15.0" customHeight="1">
      <c r="A1460" s="127">
        <v>45688.0</v>
      </c>
      <c r="B1460" s="181" t="s">
        <v>6732</v>
      </c>
      <c r="C1460" s="339" t="s">
        <v>5907</v>
      </c>
      <c r="D1460" s="73" t="str">
        <f>IFERROR(VLOOKUP(C1460,Stock,3,FALSE),"")</f>
        <v>Toyota Kijang 02-04 Kapsul Lem Efi</v>
      </c>
      <c r="E1460" s="56">
        <v>3.0</v>
      </c>
      <c r="F1460" s="162"/>
      <c r="G1460" s="162">
        <f t="shared" si="33"/>
        <v>0</v>
      </c>
      <c r="H1460" s="194"/>
      <c r="I1460" s="161">
        <f t="shared" si="35"/>
        <v>0</v>
      </c>
      <c r="J1460" s="164">
        <f t="shared" si="30"/>
        <v>0</v>
      </c>
      <c r="K1460" s="56" t="s">
        <v>6733</v>
      </c>
      <c r="L1460" s="73"/>
      <c r="M1460" s="73"/>
      <c r="N1460" s="171"/>
      <c r="O1460" s="171"/>
      <c r="P1460" s="202"/>
      <c r="Q1460" s="173"/>
      <c r="R1460" s="173"/>
      <c r="S1460" s="173"/>
      <c r="T1460" s="173"/>
      <c r="U1460" s="173"/>
      <c r="V1460" s="202"/>
      <c r="W1460" s="171"/>
      <c r="X1460" s="171"/>
    </row>
    <row r="1461" ht="15.0" customHeight="1">
      <c r="A1461" s="127">
        <v>45688.0</v>
      </c>
      <c r="B1461" s="181" t="s">
        <v>6732</v>
      </c>
      <c r="C1461" s="339" t="s">
        <v>6757</v>
      </c>
      <c r="D1461" s="73" t="str">
        <f>IFERROR(VLOOKUP(C1461,Stock,3,FALSE),"")</f>
        <v>Toyota Agya/Ayla 23- 2nd Gen</v>
      </c>
      <c r="E1461" s="56">
        <v>5.0</v>
      </c>
      <c r="F1461" s="162"/>
      <c r="G1461" s="162">
        <f t="shared" si="33"/>
        <v>0</v>
      </c>
      <c r="H1461" s="194"/>
      <c r="I1461" s="161">
        <f t="shared" si="35"/>
        <v>0</v>
      </c>
      <c r="J1461" s="164">
        <f t="shared" si="30"/>
        <v>0</v>
      </c>
      <c r="K1461" s="56" t="s">
        <v>6733</v>
      </c>
      <c r="L1461" s="73"/>
      <c r="M1461" s="73"/>
      <c r="N1461" s="171"/>
      <c r="O1461" s="171"/>
      <c r="P1461" s="202"/>
      <c r="Q1461" s="173"/>
      <c r="R1461" s="173"/>
      <c r="S1461" s="173"/>
      <c r="T1461" s="173"/>
      <c r="U1461" s="173"/>
      <c r="V1461" s="202"/>
      <c r="W1461" s="171"/>
      <c r="X1461" s="171"/>
    </row>
    <row r="1462" ht="15.0" customHeight="1">
      <c r="A1462" s="127">
        <v>45688.0</v>
      </c>
      <c r="B1462" s="181" t="s">
        <v>6732</v>
      </c>
      <c r="C1462" s="339" t="s">
        <v>2651</v>
      </c>
      <c r="D1462" s="73" t="str">
        <f>IFERROR(VLOOKUP(C1462,Stock,3,FALSE),"")</f>
        <v>Suzuki Wagon R 12-</v>
      </c>
      <c r="E1462" s="56">
        <v>2.0</v>
      </c>
      <c r="F1462" s="162"/>
      <c r="G1462" s="162">
        <f t="shared" si="33"/>
        <v>0</v>
      </c>
      <c r="H1462" s="194"/>
      <c r="I1462" s="161">
        <f t="shared" si="35"/>
        <v>0</v>
      </c>
      <c r="J1462" s="164">
        <f t="shared" si="30"/>
        <v>0</v>
      </c>
      <c r="K1462" s="56" t="s">
        <v>6733</v>
      </c>
      <c r="L1462" s="73"/>
      <c r="M1462" s="73"/>
      <c r="N1462" s="171"/>
      <c r="O1462" s="171"/>
      <c r="P1462" s="202"/>
      <c r="Q1462" s="173"/>
      <c r="R1462" s="173"/>
      <c r="S1462" s="173"/>
      <c r="T1462" s="173"/>
      <c r="U1462" s="173"/>
      <c r="V1462" s="202"/>
      <c r="W1462" s="171"/>
      <c r="X1462" s="171"/>
    </row>
    <row r="1463" ht="15.0" customHeight="1">
      <c r="A1463" s="127">
        <v>45688.0</v>
      </c>
      <c r="B1463" s="181" t="s">
        <v>6732</v>
      </c>
      <c r="C1463" s="169" t="s">
        <v>2703</v>
      </c>
      <c r="D1463" s="73" t="str">
        <f>IFERROR(VLOOKUP(C1463,Stock,3,FALSE),"")</f>
        <v>Toyota Hi-Ace 04-20 Commuter</v>
      </c>
      <c r="E1463" s="56">
        <v>30.0</v>
      </c>
      <c r="F1463" s="162"/>
      <c r="G1463" s="162">
        <f t="shared" si="33"/>
        <v>0</v>
      </c>
      <c r="H1463" s="194"/>
      <c r="I1463" s="161">
        <f t="shared" si="35"/>
        <v>0</v>
      </c>
      <c r="J1463" s="164">
        <f t="shared" si="30"/>
        <v>0</v>
      </c>
      <c r="K1463" s="56" t="s">
        <v>6733</v>
      </c>
      <c r="L1463" s="73"/>
      <c r="M1463" s="73"/>
      <c r="N1463" s="171"/>
      <c r="O1463" s="171"/>
      <c r="P1463" s="202"/>
      <c r="Q1463" s="173"/>
      <c r="R1463" s="173"/>
      <c r="S1463" s="173"/>
      <c r="T1463" s="173"/>
      <c r="U1463" s="173"/>
      <c r="V1463" s="202"/>
      <c r="W1463" s="171"/>
      <c r="X1463" s="171"/>
    </row>
    <row r="1464" ht="15.0" customHeight="1">
      <c r="A1464" s="127">
        <v>45689.0</v>
      </c>
      <c r="B1464" s="181" t="s">
        <v>6758</v>
      </c>
      <c r="C1464" s="56" t="s">
        <v>3186</v>
      </c>
      <c r="D1464" s="73" t="str">
        <f>IFERROR(VLOOKUP(C1464,Stock,3,FALSE),"")</f>
        <v>Daihatsu Gran Max / Luxio 07-</v>
      </c>
      <c r="E1464" s="56">
        <v>1.0</v>
      </c>
      <c r="F1464" s="161">
        <v>855000.0</v>
      </c>
      <c r="G1464" s="162">
        <f t="shared" si="33"/>
        <v>855000</v>
      </c>
      <c r="H1464" s="194"/>
      <c r="I1464" s="161">
        <f t="shared" si="35"/>
        <v>855000</v>
      </c>
      <c r="J1464" s="164">
        <f t="shared" si="30"/>
        <v>855000</v>
      </c>
      <c r="K1464" s="56" t="s">
        <v>4271</v>
      </c>
      <c r="L1464" s="165" t="s">
        <v>4001</v>
      </c>
      <c r="M1464" s="73"/>
      <c r="N1464" s="171"/>
      <c r="O1464" s="169" t="s">
        <v>3037</v>
      </c>
      <c r="P1464" s="168" t="s">
        <v>3112</v>
      </c>
      <c r="Q1464" s="167">
        <v>855000.0</v>
      </c>
      <c r="R1464" s="173"/>
      <c r="S1464" s="173"/>
      <c r="T1464" s="173"/>
      <c r="U1464" s="173"/>
      <c r="V1464" s="202"/>
      <c r="W1464" s="171"/>
      <c r="X1464" s="171"/>
    </row>
    <row r="1465" ht="15.0" customHeight="1">
      <c r="A1465" s="127">
        <v>45689.0</v>
      </c>
      <c r="B1465" s="181" t="s">
        <v>6758</v>
      </c>
      <c r="C1465" s="56" t="s">
        <v>2954</v>
      </c>
      <c r="D1465" s="73" t="str">
        <f>IFERROR(VLOOKUP(C1465,Stock,3,FALSE),"")</f>
        <v>Transport</v>
      </c>
      <c r="E1465" s="56">
        <v>1.0</v>
      </c>
      <c r="F1465" s="161">
        <v>100000.0</v>
      </c>
      <c r="G1465" s="162">
        <f t="shared" si="33"/>
        <v>100000</v>
      </c>
      <c r="H1465" s="194"/>
      <c r="I1465" s="161">
        <f t="shared" si="35"/>
        <v>100000</v>
      </c>
      <c r="J1465" s="164">
        <f t="shared" si="30"/>
        <v>100000</v>
      </c>
      <c r="K1465" s="56" t="s">
        <v>4271</v>
      </c>
      <c r="L1465" s="165" t="s">
        <v>4001</v>
      </c>
      <c r="M1465" s="73"/>
      <c r="N1465" s="171"/>
      <c r="O1465" s="169" t="s">
        <v>3037</v>
      </c>
      <c r="P1465" s="168" t="s">
        <v>3112</v>
      </c>
      <c r="Q1465" s="167">
        <v>100000.0</v>
      </c>
      <c r="R1465" s="173"/>
      <c r="S1465" s="173"/>
      <c r="T1465" s="173"/>
      <c r="U1465" s="173"/>
      <c r="V1465" s="202"/>
      <c r="W1465" s="171"/>
      <c r="X1465" s="171"/>
    </row>
    <row r="1466" ht="15.0" customHeight="1">
      <c r="A1466" s="127">
        <v>45689.0</v>
      </c>
      <c r="B1466" s="181" t="s">
        <v>6759</v>
      </c>
      <c r="C1466" s="330" t="s">
        <v>3013</v>
      </c>
      <c r="D1466" s="73" t="str">
        <f>IFERROR(VLOOKUP(C1466,Stock,3,FALSE),"")</f>
        <v>Honda BR-V 16-</v>
      </c>
      <c r="E1466" s="56">
        <v>1.0</v>
      </c>
      <c r="F1466" s="161">
        <v>1411000.0</v>
      </c>
      <c r="G1466" s="162">
        <f t="shared" si="33"/>
        <v>1411000</v>
      </c>
      <c r="H1466" s="194"/>
      <c r="I1466" s="161">
        <f t="shared" si="35"/>
        <v>1411000</v>
      </c>
      <c r="J1466" s="164">
        <f t="shared" si="30"/>
        <v>1411000</v>
      </c>
      <c r="K1466" s="56" t="s">
        <v>6760</v>
      </c>
      <c r="L1466" s="165" t="s">
        <v>6761</v>
      </c>
      <c r="M1466" s="73"/>
      <c r="N1466" s="171"/>
      <c r="O1466" s="169" t="s">
        <v>2958</v>
      </c>
      <c r="P1466" s="168" t="s">
        <v>3112</v>
      </c>
      <c r="Q1466" s="173"/>
      <c r="R1466" s="167">
        <v>1411000.0</v>
      </c>
      <c r="S1466" s="173"/>
      <c r="T1466" s="173"/>
      <c r="U1466" s="173"/>
      <c r="V1466" s="168" t="s">
        <v>3883</v>
      </c>
      <c r="W1466" s="169"/>
      <c r="X1466" s="171"/>
    </row>
    <row r="1467" ht="15.0" customHeight="1">
      <c r="A1467" s="127">
        <v>45689.0</v>
      </c>
      <c r="B1467" s="181" t="s">
        <v>6759</v>
      </c>
      <c r="C1467" s="251" t="s">
        <v>2954</v>
      </c>
      <c r="D1467" s="73" t="str">
        <f>IFERROR(VLOOKUP(C1467,Stock,3,FALSE),"")</f>
        <v>Transport</v>
      </c>
      <c r="E1467" s="56">
        <v>1.0</v>
      </c>
      <c r="F1467" s="161">
        <v>75000.0</v>
      </c>
      <c r="G1467" s="162">
        <f t="shared" si="33"/>
        <v>75000</v>
      </c>
      <c r="H1467" s="194"/>
      <c r="I1467" s="161">
        <f t="shared" si="35"/>
        <v>75000</v>
      </c>
      <c r="J1467" s="164">
        <f t="shared" si="30"/>
        <v>75000</v>
      </c>
      <c r="K1467" s="56" t="s">
        <v>6760</v>
      </c>
      <c r="L1467" s="165" t="s">
        <v>6761</v>
      </c>
      <c r="M1467" s="73"/>
      <c r="N1467" s="171"/>
      <c r="O1467" s="169" t="s">
        <v>2958</v>
      </c>
      <c r="P1467" s="168" t="s">
        <v>3112</v>
      </c>
      <c r="Q1467" s="173"/>
      <c r="R1467" s="167">
        <v>75000.0</v>
      </c>
      <c r="S1467" s="173"/>
      <c r="T1467" s="173"/>
      <c r="U1467" s="173"/>
      <c r="V1467" s="168" t="s">
        <v>3883</v>
      </c>
      <c r="W1467" s="169"/>
      <c r="X1467" s="171"/>
    </row>
    <row r="1468" ht="15.0" customHeight="1">
      <c r="A1468" s="127">
        <v>45689.0</v>
      </c>
      <c r="B1468" s="181" t="s">
        <v>6762</v>
      </c>
      <c r="C1468" s="56" t="s">
        <v>2562</v>
      </c>
      <c r="D1468" s="73" t="str">
        <f>IFERROR(VLOOKUP(C1468,Stock,3,FALSE),"")</f>
        <v>Toyota Avanza / Xenia 15-21 3rd Gen</v>
      </c>
      <c r="E1468" s="56">
        <v>1.0</v>
      </c>
      <c r="F1468" s="161">
        <v>1050000.0</v>
      </c>
      <c r="G1468" s="162">
        <f t="shared" si="33"/>
        <v>1050000</v>
      </c>
      <c r="H1468" s="194"/>
      <c r="I1468" s="161">
        <f t="shared" si="35"/>
        <v>1050000</v>
      </c>
      <c r="J1468" s="164">
        <f t="shared" si="30"/>
        <v>1050000</v>
      </c>
      <c r="K1468" s="197" t="s">
        <v>6763</v>
      </c>
      <c r="L1468" s="349" t="s">
        <v>6764</v>
      </c>
      <c r="M1468" s="313" t="s">
        <v>6765</v>
      </c>
      <c r="N1468" s="171"/>
      <c r="O1468" s="169" t="s">
        <v>2958</v>
      </c>
      <c r="P1468" s="168" t="s">
        <v>3112</v>
      </c>
      <c r="Q1468" s="167">
        <v>1050000.0</v>
      </c>
      <c r="R1468" s="173"/>
      <c r="S1468" s="173"/>
      <c r="T1468" s="173"/>
      <c r="U1468" s="173"/>
      <c r="V1468" s="168" t="s">
        <v>3883</v>
      </c>
      <c r="W1468" s="169"/>
      <c r="X1468" s="171"/>
    </row>
    <row r="1469" ht="15.0" customHeight="1">
      <c r="A1469" s="127">
        <v>45690.0</v>
      </c>
      <c r="B1469" s="181" t="s">
        <v>6766</v>
      </c>
      <c r="C1469" s="56" t="s">
        <v>2686</v>
      </c>
      <c r="D1469" s="73" t="str">
        <f>IFERROR(VLOOKUP(C1469,Stock,3,FALSE),"")</f>
        <v>Wuling Cortez</v>
      </c>
      <c r="E1469" s="56">
        <v>1.0</v>
      </c>
      <c r="F1469" s="161">
        <v>2088000.0</v>
      </c>
      <c r="G1469" s="162">
        <f t="shared" si="33"/>
        <v>2088000</v>
      </c>
      <c r="H1469" s="194"/>
      <c r="I1469" s="161">
        <f t="shared" si="35"/>
        <v>2088000</v>
      </c>
      <c r="J1469" s="164">
        <f t="shared" si="30"/>
        <v>2088000</v>
      </c>
      <c r="K1469" s="197" t="s">
        <v>6767</v>
      </c>
      <c r="L1469" s="165" t="s">
        <v>6768</v>
      </c>
      <c r="M1469" s="56" t="s">
        <v>2939</v>
      </c>
      <c r="N1469" s="289" t="s">
        <v>6769</v>
      </c>
      <c r="O1469" s="169" t="s">
        <v>3204</v>
      </c>
      <c r="P1469" s="168" t="s">
        <v>3011</v>
      </c>
      <c r="Q1469" s="173"/>
      <c r="R1469" s="167">
        <v>2088000.0</v>
      </c>
      <c r="S1469" s="173"/>
      <c r="T1469" s="173"/>
      <c r="U1469" s="173"/>
      <c r="V1469" s="168" t="s">
        <v>3799</v>
      </c>
      <c r="W1469" s="169"/>
      <c r="X1469" s="171"/>
    </row>
    <row r="1470" ht="15.0" customHeight="1">
      <c r="A1470" s="127">
        <v>45691.0</v>
      </c>
      <c r="B1470" s="181" t="s">
        <v>6770</v>
      </c>
      <c r="C1470" s="56" t="s">
        <v>2562</v>
      </c>
      <c r="D1470" s="73" t="str">
        <f>IFERROR(VLOOKUP(C1470,Stock,3,FALSE),"")</f>
        <v>Toyota Avanza / Xenia 15-21 3rd Gen</v>
      </c>
      <c r="E1470" s="56">
        <v>1.0</v>
      </c>
      <c r="F1470" s="161">
        <v>880000.0</v>
      </c>
      <c r="G1470" s="162">
        <f t="shared" si="33"/>
        <v>880000</v>
      </c>
      <c r="H1470" s="201">
        <v>80000.0</v>
      </c>
      <c r="I1470" s="161">
        <f t="shared" si="35"/>
        <v>800000</v>
      </c>
      <c r="J1470" s="164">
        <f t="shared" si="30"/>
        <v>800000</v>
      </c>
      <c r="K1470" s="197" t="s">
        <v>6771</v>
      </c>
      <c r="L1470" s="165" t="s">
        <v>6772</v>
      </c>
      <c r="M1470" s="73"/>
      <c r="N1470" s="171"/>
      <c r="O1470" s="169" t="s">
        <v>2958</v>
      </c>
      <c r="P1470" s="168" t="s">
        <v>3112</v>
      </c>
      <c r="Q1470" s="173"/>
      <c r="R1470" s="167">
        <v>800000.0</v>
      </c>
      <c r="S1470" s="173"/>
      <c r="T1470" s="173"/>
      <c r="U1470" s="173"/>
      <c r="V1470" s="168" t="s">
        <v>3799</v>
      </c>
      <c r="W1470" s="169"/>
      <c r="X1470" s="171"/>
    </row>
    <row r="1471" ht="15.0" customHeight="1">
      <c r="A1471" s="127">
        <v>45691.0</v>
      </c>
      <c r="B1471" s="181" t="s">
        <v>6773</v>
      </c>
      <c r="C1471" s="56" t="s">
        <v>3313</v>
      </c>
      <c r="D1471" s="73" t="str">
        <f>IFERROR(VLOOKUP(C1471,Stock,3,FALSE),"")</f>
        <v>Toyota Avanza / Xenia 21- 4th Gen (Non sensor)</v>
      </c>
      <c r="E1471" s="56">
        <v>1.0</v>
      </c>
      <c r="F1471" s="161">
        <v>1600000.0</v>
      </c>
      <c r="G1471" s="162">
        <f t="shared" si="33"/>
        <v>1600000</v>
      </c>
      <c r="H1471" s="194"/>
      <c r="I1471" s="161">
        <f t="shared" si="35"/>
        <v>1600000</v>
      </c>
      <c r="J1471" s="164">
        <f t="shared" si="30"/>
        <v>1600000</v>
      </c>
      <c r="K1471" s="197" t="s">
        <v>5366</v>
      </c>
      <c r="L1471" s="165" t="s">
        <v>6774</v>
      </c>
      <c r="M1471" s="73"/>
      <c r="N1471" s="289" t="s">
        <v>6775</v>
      </c>
      <c r="O1471" s="169" t="s">
        <v>2958</v>
      </c>
      <c r="P1471" s="168" t="s">
        <v>3011</v>
      </c>
      <c r="Q1471" s="173"/>
      <c r="R1471" s="167">
        <v>1600000.0</v>
      </c>
      <c r="S1471" s="173"/>
      <c r="T1471" s="173"/>
      <c r="U1471" s="173"/>
      <c r="V1471" s="168" t="s">
        <v>3799</v>
      </c>
      <c r="W1471" s="169"/>
      <c r="X1471" s="171"/>
    </row>
    <row r="1472" ht="15.0" customHeight="1">
      <c r="A1472" s="127">
        <v>45691.0</v>
      </c>
      <c r="B1472" s="181" t="s">
        <v>6776</v>
      </c>
      <c r="C1472" s="330" t="s">
        <v>3745</v>
      </c>
      <c r="D1472" s="73" t="str">
        <f>IFERROR(VLOOKUP(C1472,Stock,3,FALSE),"")</f>
        <v>Honda Brio 10- / Mobilio 11-</v>
      </c>
      <c r="E1472" s="56">
        <v>1.0</v>
      </c>
      <c r="F1472" s="161">
        <v>1748000.0</v>
      </c>
      <c r="G1472" s="162">
        <f t="shared" si="33"/>
        <v>1748000</v>
      </c>
      <c r="H1472" s="194"/>
      <c r="I1472" s="161">
        <f t="shared" si="35"/>
        <v>1748000</v>
      </c>
      <c r="J1472" s="164">
        <f t="shared" si="30"/>
        <v>1748000</v>
      </c>
      <c r="K1472" s="56" t="s">
        <v>6777</v>
      </c>
      <c r="L1472" s="165" t="s">
        <v>6778</v>
      </c>
      <c r="M1472" s="73"/>
      <c r="N1472" s="289" t="s">
        <v>6779</v>
      </c>
      <c r="O1472" s="169" t="s">
        <v>2958</v>
      </c>
      <c r="P1472" s="168" t="s">
        <v>3112</v>
      </c>
      <c r="Q1472" s="173"/>
      <c r="R1472" s="167">
        <v>1748000.0</v>
      </c>
      <c r="S1472" s="173"/>
      <c r="T1472" s="173"/>
      <c r="U1472" s="173"/>
      <c r="V1472" s="168" t="s">
        <v>3799</v>
      </c>
      <c r="W1472" s="169"/>
      <c r="X1472" s="171"/>
    </row>
    <row r="1473" ht="15.0" customHeight="1">
      <c r="A1473" s="127">
        <v>45691.0</v>
      </c>
      <c r="B1473" s="181" t="s">
        <v>6780</v>
      </c>
      <c r="C1473" s="56" t="s">
        <v>2546</v>
      </c>
      <c r="D1473" s="73" t="str">
        <f>IFERROR(VLOOKUP(C1473,Stock,3,FALSE),"")</f>
        <v>Wuling Confero (Tanpa Spionnya)</v>
      </c>
      <c r="E1473" s="56">
        <v>1.0</v>
      </c>
      <c r="F1473" s="161">
        <v>1540000.0</v>
      </c>
      <c r="G1473" s="162">
        <f t="shared" si="33"/>
        <v>1540000</v>
      </c>
      <c r="H1473" s="194"/>
      <c r="I1473" s="161">
        <f t="shared" si="35"/>
        <v>1540000</v>
      </c>
      <c r="J1473" s="164">
        <f t="shared" si="30"/>
        <v>1540000</v>
      </c>
      <c r="K1473" s="56" t="s">
        <v>6781</v>
      </c>
      <c r="L1473" s="165" t="s">
        <v>6782</v>
      </c>
      <c r="M1473" s="73"/>
      <c r="N1473" s="171"/>
      <c r="O1473" s="169" t="s">
        <v>2958</v>
      </c>
      <c r="P1473" s="168" t="s">
        <v>3112</v>
      </c>
      <c r="Q1473" s="173"/>
      <c r="R1473" s="167">
        <v>1540000.0</v>
      </c>
      <c r="S1473" s="173"/>
      <c r="T1473" s="173"/>
      <c r="U1473" s="173"/>
      <c r="V1473" s="202"/>
      <c r="W1473" s="171"/>
      <c r="X1473" s="171"/>
    </row>
    <row r="1474" ht="15.0" customHeight="1">
      <c r="A1474" s="127">
        <v>45692.0</v>
      </c>
      <c r="B1474" s="181" t="s">
        <v>6783</v>
      </c>
      <c r="C1474" s="56" t="s">
        <v>2669</v>
      </c>
      <c r="D1474" s="73" t="str">
        <f>IFERROR(VLOOKUP(C1474,Stock,3,FALSE),"")</f>
        <v>Nissan Livina 07-18 L10/L11</v>
      </c>
      <c r="E1474" s="56">
        <v>1.0</v>
      </c>
      <c r="F1474" s="161">
        <v>1422000.0</v>
      </c>
      <c r="G1474" s="162">
        <f t="shared" si="33"/>
        <v>1422000</v>
      </c>
      <c r="H1474" s="194"/>
      <c r="I1474" s="161">
        <f t="shared" si="35"/>
        <v>1422000</v>
      </c>
      <c r="J1474" s="164">
        <f t="shared" si="30"/>
        <v>1422000</v>
      </c>
      <c r="K1474" s="56" t="s">
        <v>6784</v>
      </c>
      <c r="L1474" s="165" t="s">
        <v>6785</v>
      </c>
      <c r="M1474" s="73"/>
      <c r="N1474" s="289" t="s">
        <v>6786</v>
      </c>
      <c r="O1474" s="169" t="s">
        <v>2958</v>
      </c>
      <c r="P1474" s="168" t="s">
        <v>3112</v>
      </c>
      <c r="Q1474" s="173"/>
      <c r="R1474" s="167">
        <v>1422000.0</v>
      </c>
      <c r="S1474" s="173"/>
      <c r="T1474" s="173"/>
      <c r="U1474" s="173"/>
      <c r="V1474" s="202"/>
      <c r="W1474" s="171"/>
      <c r="X1474" s="171"/>
    </row>
    <row r="1475" ht="15.0" customHeight="1">
      <c r="A1475" s="127">
        <v>45692.0</v>
      </c>
      <c r="B1475" s="181" t="s">
        <v>6783</v>
      </c>
      <c r="C1475" s="56" t="s">
        <v>3083</v>
      </c>
      <c r="D1475" s="73" t="str">
        <f>IFERROR(VLOOKUP(C1475,Stock,3,FALSE),"")</f>
        <v>List Kaca Depan Code 04</v>
      </c>
      <c r="E1475" s="56">
        <v>1.0</v>
      </c>
      <c r="F1475" s="161">
        <v>275000.0</v>
      </c>
      <c r="G1475" s="162">
        <f t="shared" si="33"/>
        <v>275000</v>
      </c>
      <c r="H1475" s="194"/>
      <c r="I1475" s="161">
        <f t="shared" si="35"/>
        <v>275000</v>
      </c>
      <c r="J1475" s="164">
        <f t="shared" si="30"/>
        <v>275000</v>
      </c>
      <c r="K1475" s="56" t="s">
        <v>6784</v>
      </c>
      <c r="L1475" s="165" t="s">
        <v>6785</v>
      </c>
      <c r="M1475" s="73"/>
      <c r="N1475" s="289" t="s">
        <v>6786</v>
      </c>
      <c r="O1475" s="169" t="s">
        <v>2958</v>
      </c>
      <c r="P1475" s="168" t="s">
        <v>3112</v>
      </c>
      <c r="Q1475" s="173"/>
      <c r="R1475" s="167">
        <v>275000.0</v>
      </c>
      <c r="S1475" s="173"/>
      <c r="T1475" s="173"/>
      <c r="U1475" s="173"/>
      <c r="V1475" s="202"/>
      <c r="W1475" s="171"/>
      <c r="X1475" s="171"/>
    </row>
    <row r="1476" ht="15.0" customHeight="1">
      <c r="A1476" s="127">
        <v>45693.0</v>
      </c>
      <c r="B1476" s="181" t="s">
        <v>6787</v>
      </c>
      <c r="C1476" s="56" t="s">
        <v>3176</v>
      </c>
      <c r="D1476" s="73" t="str">
        <f>IFERROR(VLOOKUP(C1476,Stock,3,FALSE),"")</f>
        <v>Toyota Avanza / Xenia 11-15 2nd Gen / 15-21 3rd Gen</v>
      </c>
      <c r="E1476" s="56">
        <v>1.0</v>
      </c>
      <c r="F1476" s="161">
        <v>880000.0</v>
      </c>
      <c r="G1476" s="162">
        <f t="shared" si="33"/>
        <v>880000</v>
      </c>
      <c r="H1476" s="194"/>
      <c r="I1476" s="161">
        <f t="shared" si="35"/>
        <v>880000</v>
      </c>
      <c r="J1476" s="164">
        <f t="shared" si="30"/>
        <v>880000</v>
      </c>
      <c r="K1476" s="197" t="s">
        <v>6788</v>
      </c>
      <c r="L1476" s="165" t="s">
        <v>6789</v>
      </c>
      <c r="M1476" s="73"/>
      <c r="N1476" s="289" t="s">
        <v>6790</v>
      </c>
      <c r="O1476" s="169" t="s">
        <v>2958</v>
      </c>
      <c r="P1476" s="168" t="s">
        <v>3011</v>
      </c>
      <c r="Q1476" s="173"/>
      <c r="R1476" s="167">
        <v>880000.0</v>
      </c>
      <c r="S1476" s="173"/>
      <c r="T1476" s="173"/>
      <c r="U1476" s="173"/>
      <c r="V1476" s="168" t="s">
        <v>3799</v>
      </c>
      <c r="W1476" s="169"/>
      <c r="X1476" s="171"/>
    </row>
    <row r="1477" ht="15.0" customHeight="1">
      <c r="A1477" s="127">
        <v>45694.0</v>
      </c>
      <c r="B1477" s="181" t="s">
        <v>6791</v>
      </c>
      <c r="C1477" s="56" t="s">
        <v>5587</v>
      </c>
      <c r="D1477" s="73" t="str">
        <f>IFERROR(VLOOKUP(C1477,Stock,3,FALSE),"")</f>
        <v>Honda CR-V 02-04 2nd Gen (Spion Jepit)</v>
      </c>
      <c r="E1477" s="56">
        <v>1.0</v>
      </c>
      <c r="F1477" s="161">
        <v>1882000.0</v>
      </c>
      <c r="G1477" s="162">
        <f t="shared" si="33"/>
        <v>1882000</v>
      </c>
      <c r="H1477" s="194"/>
      <c r="I1477" s="161">
        <f t="shared" si="35"/>
        <v>1882000</v>
      </c>
      <c r="J1477" s="164">
        <f t="shared" si="30"/>
        <v>1882000</v>
      </c>
      <c r="K1477" s="56" t="s">
        <v>6792</v>
      </c>
      <c r="L1477" s="165" t="s">
        <v>6793</v>
      </c>
      <c r="M1477" s="73"/>
      <c r="N1477" s="169" t="s">
        <v>6794</v>
      </c>
      <c r="O1477" s="169" t="s">
        <v>3184</v>
      </c>
      <c r="P1477" s="168" t="s">
        <v>3112</v>
      </c>
      <c r="Q1477" s="167">
        <v>1882000.0</v>
      </c>
      <c r="R1477" s="173"/>
      <c r="S1477" s="173"/>
      <c r="T1477" s="173"/>
      <c r="U1477" s="173"/>
      <c r="V1477" s="202"/>
      <c r="W1477" s="171"/>
      <c r="X1477" s="171"/>
    </row>
    <row r="1478" ht="15.0" customHeight="1">
      <c r="A1478" s="127">
        <v>45694.0</v>
      </c>
      <c r="B1478" s="181" t="s">
        <v>6795</v>
      </c>
      <c r="C1478" s="330" t="s">
        <v>3099</v>
      </c>
      <c r="D1478" s="73" t="str">
        <f>IFERROR(VLOOKUP(C1478,Stock,3,FALSE),"")</f>
        <v>Toyota Calya / Sigra 16-</v>
      </c>
      <c r="E1478" s="56">
        <v>1.0</v>
      </c>
      <c r="F1478" s="161">
        <v>919000.0</v>
      </c>
      <c r="G1478" s="162">
        <f t="shared" si="33"/>
        <v>919000</v>
      </c>
      <c r="H1478" s="194"/>
      <c r="I1478" s="161">
        <f t="shared" si="35"/>
        <v>919000</v>
      </c>
      <c r="J1478" s="164">
        <f t="shared" si="30"/>
        <v>919000</v>
      </c>
      <c r="K1478" s="56" t="s">
        <v>5011</v>
      </c>
      <c r="L1478" s="165" t="s">
        <v>3644</v>
      </c>
      <c r="M1478" s="73"/>
      <c r="N1478" s="171"/>
      <c r="O1478" s="169" t="s">
        <v>2958</v>
      </c>
      <c r="P1478" s="168" t="s">
        <v>6796</v>
      </c>
      <c r="Q1478" s="173"/>
      <c r="R1478" s="167">
        <v>919000.0</v>
      </c>
      <c r="S1478" s="173"/>
      <c r="T1478" s="173"/>
      <c r="U1478" s="173"/>
      <c r="V1478" s="202"/>
      <c r="W1478" s="171"/>
      <c r="X1478" s="171"/>
    </row>
    <row r="1479" ht="15.0" customHeight="1">
      <c r="A1479" s="127">
        <v>45694.0</v>
      </c>
      <c r="B1479" s="181" t="s">
        <v>6795</v>
      </c>
      <c r="C1479" s="251" t="s">
        <v>6797</v>
      </c>
      <c r="D1479" s="73" t="str">
        <f>IFERROR(VLOOKUP(C1479,Stock,3,FALSE),"")</f>
        <v>Toyota Calya / Sigra 16-</v>
      </c>
      <c r="E1479" s="56">
        <v>1.0</v>
      </c>
      <c r="F1479" s="161">
        <v>380000.0</v>
      </c>
      <c r="G1479" s="162">
        <f t="shared" si="33"/>
        <v>380000</v>
      </c>
      <c r="H1479" s="194"/>
      <c r="I1479" s="161">
        <f t="shared" si="35"/>
        <v>380000</v>
      </c>
      <c r="J1479" s="164">
        <f t="shared" si="30"/>
        <v>380000</v>
      </c>
      <c r="K1479" s="56" t="s">
        <v>5011</v>
      </c>
      <c r="L1479" s="165" t="s">
        <v>3644</v>
      </c>
      <c r="M1479" s="73"/>
      <c r="N1479" s="171"/>
      <c r="O1479" s="169" t="s">
        <v>2958</v>
      </c>
      <c r="P1479" s="168" t="s">
        <v>3645</v>
      </c>
      <c r="Q1479" s="173"/>
      <c r="R1479" s="167">
        <v>380000.0</v>
      </c>
      <c r="S1479" s="173"/>
      <c r="T1479" s="173"/>
      <c r="U1479" s="173"/>
      <c r="V1479" s="202"/>
      <c r="W1479" s="171"/>
      <c r="X1479" s="171"/>
    </row>
    <row r="1480" ht="15.0" customHeight="1">
      <c r="A1480" s="127">
        <v>45694.0</v>
      </c>
      <c r="B1480" s="181" t="s">
        <v>6798</v>
      </c>
      <c r="C1480" s="56" t="s">
        <v>3176</v>
      </c>
      <c r="D1480" s="73" t="str">
        <f>IFERROR(VLOOKUP(C1480,Stock,3,FALSE),"")</f>
        <v>Toyota Avanza / Xenia 11-15 2nd Gen / 15-21 3rd Gen</v>
      </c>
      <c r="E1480" s="56">
        <v>1.0</v>
      </c>
      <c r="F1480" s="161">
        <v>880000.0</v>
      </c>
      <c r="G1480" s="162">
        <f t="shared" si="33"/>
        <v>880000</v>
      </c>
      <c r="H1480" s="201">
        <v>30000.0</v>
      </c>
      <c r="I1480" s="161">
        <f t="shared" si="35"/>
        <v>850000</v>
      </c>
      <c r="J1480" s="164">
        <f t="shared" si="30"/>
        <v>850000</v>
      </c>
      <c r="K1480" s="197" t="s">
        <v>6799</v>
      </c>
      <c r="L1480" s="165" t="s">
        <v>6800</v>
      </c>
      <c r="M1480" s="313" t="s">
        <v>6801</v>
      </c>
      <c r="N1480" s="289" t="s">
        <v>6802</v>
      </c>
      <c r="O1480" s="169" t="s">
        <v>2958</v>
      </c>
      <c r="P1480" s="168" t="s">
        <v>3112</v>
      </c>
      <c r="Q1480" s="173"/>
      <c r="R1480" s="167">
        <v>850000.0</v>
      </c>
      <c r="S1480" s="173"/>
      <c r="T1480" s="173"/>
      <c r="U1480" s="173"/>
      <c r="V1480" s="168" t="s">
        <v>3799</v>
      </c>
      <c r="W1480" s="169"/>
      <c r="X1480" s="171"/>
    </row>
    <row r="1481" ht="15.0" customHeight="1">
      <c r="A1481" s="127">
        <v>45694.0</v>
      </c>
      <c r="B1481" s="181" t="s">
        <v>6803</v>
      </c>
      <c r="C1481" s="56" t="s">
        <v>2611</v>
      </c>
      <c r="D1481" s="73" t="str">
        <f>IFERROR(VLOOKUP(C1481,Stock,3,FALSE),"")</f>
        <v>Mazda CX-5 .12-14 1st Gen KE Pre - (1 Sensor/ □ )</v>
      </c>
      <c r="E1481" s="56">
        <v>1.0</v>
      </c>
      <c r="F1481" s="161">
        <v>3376000.0</v>
      </c>
      <c r="G1481" s="162">
        <f t="shared" si="33"/>
        <v>3376000</v>
      </c>
      <c r="H1481" s="194"/>
      <c r="I1481" s="161">
        <f t="shared" si="35"/>
        <v>3376000</v>
      </c>
      <c r="J1481" s="164">
        <f t="shared" si="30"/>
        <v>3376000</v>
      </c>
      <c r="K1481" s="197" t="s">
        <v>4831</v>
      </c>
      <c r="L1481" s="165" t="s">
        <v>5242</v>
      </c>
      <c r="M1481" s="313" t="s">
        <v>6804</v>
      </c>
      <c r="N1481" s="289" t="s">
        <v>6805</v>
      </c>
      <c r="O1481" s="169" t="s">
        <v>2958</v>
      </c>
      <c r="P1481" s="168" t="s">
        <v>3112</v>
      </c>
      <c r="Q1481" s="167">
        <v>3400000.0</v>
      </c>
      <c r="R1481" s="173"/>
      <c r="S1481" s="173"/>
      <c r="T1481" s="173"/>
      <c r="U1481" s="167">
        <v>24000.0</v>
      </c>
      <c r="V1481" s="168" t="s">
        <v>3799</v>
      </c>
      <c r="W1481" s="169"/>
      <c r="X1481" s="171"/>
    </row>
    <row r="1482" ht="15.0" customHeight="1">
      <c r="A1482" s="127">
        <v>45695.0</v>
      </c>
      <c r="B1482" s="181" t="s">
        <v>6806</v>
      </c>
      <c r="C1482" s="390" t="s">
        <v>6807</v>
      </c>
      <c r="D1482" s="73" t="str">
        <f>IFERROR(VLOOKUP(C1482,Stock,3,FALSE),"")</f>
        <v>Honda Mobilio 14- / Honda BR-V 16-21</v>
      </c>
      <c r="E1482" s="289">
        <v>1.0</v>
      </c>
      <c r="F1482" s="162"/>
      <c r="G1482" s="162">
        <f t="shared" si="33"/>
        <v>0</v>
      </c>
      <c r="H1482" s="194"/>
      <c r="I1482" s="161">
        <f t="shared" si="35"/>
        <v>0</v>
      </c>
      <c r="J1482" s="164">
        <f t="shared" si="30"/>
        <v>0</v>
      </c>
      <c r="K1482" s="56" t="s">
        <v>6808</v>
      </c>
      <c r="L1482" s="73"/>
      <c r="M1482" s="73"/>
      <c r="N1482" s="171"/>
      <c r="O1482" s="169" t="s">
        <v>6809</v>
      </c>
      <c r="P1482" s="202"/>
      <c r="Q1482" s="173"/>
      <c r="R1482" s="173"/>
      <c r="S1482" s="173"/>
      <c r="T1482" s="173"/>
      <c r="U1482" s="173"/>
      <c r="V1482" s="202"/>
      <c r="W1482" s="171"/>
      <c r="X1482" s="171"/>
    </row>
    <row r="1483" ht="15.0" customHeight="1">
      <c r="A1483" s="127">
        <v>45695.0</v>
      </c>
      <c r="B1483" s="181" t="s">
        <v>6806</v>
      </c>
      <c r="C1483" s="390" t="s">
        <v>6810</v>
      </c>
      <c r="D1483" s="73" t="str">
        <f>IFERROR(VLOOKUP(C1483,Stock,3,FALSE),"")</f>
        <v>Honda Mobilio 14- / Honda BR-V 16-21</v>
      </c>
      <c r="E1483" s="289">
        <v>1.0</v>
      </c>
      <c r="F1483" s="162"/>
      <c r="G1483" s="162">
        <f t="shared" si="33"/>
        <v>0</v>
      </c>
      <c r="H1483" s="194"/>
      <c r="I1483" s="161">
        <f t="shared" si="35"/>
        <v>0</v>
      </c>
      <c r="J1483" s="164">
        <f t="shared" si="30"/>
        <v>0</v>
      </c>
      <c r="K1483" s="56" t="s">
        <v>6808</v>
      </c>
      <c r="L1483" s="73"/>
      <c r="M1483" s="73"/>
      <c r="N1483" s="171"/>
      <c r="O1483" s="169" t="s">
        <v>6809</v>
      </c>
      <c r="P1483" s="202"/>
      <c r="Q1483" s="173"/>
      <c r="R1483" s="173"/>
      <c r="S1483" s="173"/>
      <c r="T1483" s="173"/>
      <c r="U1483" s="173"/>
      <c r="V1483" s="202"/>
      <c r="W1483" s="171"/>
      <c r="X1483" s="171"/>
    </row>
    <row r="1484" ht="15.0" customHeight="1">
      <c r="A1484" s="391">
        <v>45695.0</v>
      </c>
      <c r="B1484" s="392" t="s">
        <v>6811</v>
      </c>
      <c r="C1484" s="393" t="s">
        <v>6812</v>
      </c>
      <c r="D1484" s="394" t="str">
        <f>IFERROR(VLOOKUP(C1484,Stock,3,FALSE),"")</f>
        <v>Honda Mobilio 14- / Honda BR-V 16-21</v>
      </c>
      <c r="E1484" s="395">
        <v>1.0</v>
      </c>
      <c r="F1484" s="396"/>
      <c r="G1484" s="396">
        <f t="shared" si="33"/>
        <v>0</v>
      </c>
      <c r="H1484" s="397"/>
      <c r="I1484" s="398">
        <f t="shared" si="35"/>
        <v>0</v>
      </c>
      <c r="J1484" s="399">
        <f t="shared" si="30"/>
        <v>0</v>
      </c>
      <c r="K1484" s="400" t="s">
        <v>6808</v>
      </c>
      <c r="L1484" s="394"/>
      <c r="M1484" s="394"/>
      <c r="N1484" s="401"/>
      <c r="O1484" s="402" t="s">
        <v>6809</v>
      </c>
      <c r="P1484" s="403"/>
      <c r="Q1484" s="173"/>
      <c r="R1484" s="173"/>
      <c r="S1484" s="173"/>
      <c r="T1484" s="173"/>
      <c r="U1484" s="173"/>
      <c r="V1484" s="202"/>
      <c r="W1484" s="171"/>
      <c r="X1484" s="171"/>
    </row>
    <row r="1485" ht="15.0" customHeight="1">
      <c r="A1485" s="391">
        <v>45695.0</v>
      </c>
      <c r="B1485" s="392" t="s">
        <v>6811</v>
      </c>
      <c r="C1485" s="393" t="s">
        <v>2843</v>
      </c>
      <c r="D1485" s="394" t="str">
        <f>IFERROR(VLOOKUP(C1485,Stock,3,FALSE),"")</f>
        <v>Honda Mobilio 14- / Honda BR-V 16-21</v>
      </c>
      <c r="E1485" s="395">
        <v>1.0</v>
      </c>
      <c r="F1485" s="396"/>
      <c r="G1485" s="396">
        <f t="shared" si="33"/>
        <v>0</v>
      </c>
      <c r="H1485" s="397"/>
      <c r="I1485" s="398">
        <f t="shared" si="35"/>
        <v>0</v>
      </c>
      <c r="J1485" s="399">
        <f t="shared" si="30"/>
        <v>0</v>
      </c>
      <c r="K1485" s="400" t="s">
        <v>6808</v>
      </c>
      <c r="L1485" s="394"/>
      <c r="M1485" s="394"/>
      <c r="N1485" s="401"/>
      <c r="O1485" s="402" t="s">
        <v>6809</v>
      </c>
      <c r="P1485" s="403"/>
      <c r="Q1485" s="173"/>
      <c r="R1485" s="173"/>
      <c r="S1485" s="173"/>
      <c r="T1485" s="173"/>
      <c r="U1485" s="173"/>
      <c r="V1485" s="202"/>
      <c r="W1485" s="171"/>
      <c r="X1485" s="171"/>
    </row>
    <row r="1486" ht="15.0" customHeight="1">
      <c r="A1486" s="391">
        <v>45695.0</v>
      </c>
      <c r="B1486" s="392" t="s">
        <v>6811</v>
      </c>
      <c r="C1486" s="401" t="s">
        <v>6813</v>
      </c>
      <c r="D1486" s="394" t="str">
        <f>IFERROR(VLOOKUP(C1486,Stock,3,FALSE),"")</f>
        <v>Toyota Hilux Pickup 05-15</v>
      </c>
      <c r="E1486" s="395">
        <v>1.0</v>
      </c>
      <c r="F1486" s="396"/>
      <c r="G1486" s="396">
        <f t="shared" si="33"/>
        <v>0</v>
      </c>
      <c r="H1486" s="397"/>
      <c r="I1486" s="398">
        <f t="shared" si="35"/>
        <v>0</v>
      </c>
      <c r="J1486" s="399">
        <f t="shared" si="30"/>
        <v>0</v>
      </c>
      <c r="K1486" s="400" t="s">
        <v>6808</v>
      </c>
      <c r="L1486" s="394"/>
      <c r="M1486" s="394"/>
      <c r="N1486" s="401"/>
      <c r="O1486" s="402" t="s">
        <v>6809</v>
      </c>
      <c r="P1486" s="403"/>
      <c r="Q1486" s="173"/>
      <c r="R1486" s="173"/>
      <c r="S1486" s="173"/>
      <c r="T1486" s="173"/>
      <c r="U1486" s="173"/>
      <c r="V1486" s="202"/>
      <c r="W1486" s="171"/>
      <c r="X1486" s="171"/>
    </row>
    <row r="1487" ht="15.0" customHeight="1">
      <c r="A1487" s="127">
        <v>45695.0</v>
      </c>
      <c r="B1487" s="181" t="s">
        <v>6806</v>
      </c>
      <c r="C1487" s="171" t="s">
        <v>2857</v>
      </c>
      <c r="D1487" s="73" t="str">
        <f>IFERROR(VLOOKUP(C1487,Stock,3,FALSE),"")</f>
        <v>Toyota Fortuner 15-  2nd Gen / Toyota Hilux Pickup 15- (Revo)</v>
      </c>
      <c r="E1487" s="289">
        <v>1.0</v>
      </c>
      <c r="F1487" s="162"/>
      <c r="G1487" s="162">
        <f t="shared" si="33"/>
        <v>0</v>
      </c>
      <c r="H1487" s="194"/>
      <c r="I1487" s="161">
        <f t="shared" si="35"/>
        <v>0</v>
      </c>
      <c r="J1487" s="164">
        <f t="shared" si="30"/>
        <v>0</v>
      </c>
      <c r="K1487" s="56" t="s">
        <v>6808</v>
      </c>
      <c r="L1487" s="73"/>
      <c r="M1487" s="73"/>
      <c r="N1487" s="171"/>
      <c r="O1487" s="169" t="s">
        <v>6809</v>
      </c>
      <c r="P1487" s="202"/>
      <c r="Q1487" s="173"/>
      <c r="R1487" s="173"/>
      <c r="S1487" s="173"/>
      <c r="T1487" s="173"/>
      <c r="U1487" s="173"/>
      <c r="V1487" s="202"/>
      <c r="W1487" s="171"/>
      <c r="X1487" s="171"/>
    </row>
    <row r="1488" ht="15.0" customHeight="1">
      <c r="A1488" s="127">
        <v>45695.0</v>
      </c>
      <c r="B1488" s="181" t="s">
        <v>6806</v>
      </c>
      <c r="C1488" s="390" t="s">
        <v>6814</v>
      </c>
      <c r="D1488" s="73" t="str">
        <f>IFERROR(VLOOKUP(C1488,Stock,3,FALSE),"")</f>
        <v>Toyota Fortuner 15-  2nd Gen</v>
      </c>
      <c r="E1488" s="289">
        <v>1.0</v>
      </c>
      <c r="F1488" s="162"/>
      <c r="G1488" s="162">
        <f t="shared" si="33"/>
        <v>0</v>
      </c>
      <c r="H1488" s="194"/>
      <c r="I1488" s="161">
        <f t="shared" si="35"/>
        <v>0</v>
      </c>
      <c r="J1488" s="164">
        <f t="shared" si="30"/>
        <v>0</v>
      </c>
      <c r="K1488" s="56" t="s">
        <v>6808</v>
      </c>
      <c r="L1488" s="73"/>
      <c r="M1488" s="73"/>
      <c r="N1488" s="171"/>
      <c r="O1488" s="169" t="s">
        <v>6809</v>
      </c>
      <c r="P1488" s="202"/>
      <c r="Q1488" s="173"/>
      <c r="R1488" s="173"/>
      <c r="S1488" s="173"/>
      <c r="T1488" s="173"/>
      <c r="U1488" s="173"/>
      <c r="V1488" s="202"/>
      <c r="W1488" s="171"/>
      <c r="X1488" s="171"/>
    </row>
    <row r="1489" ht="15.0" customHeight="1">
      <c r="A1489" s="127">
        <v>45695.0</v>
      </c>
      <c r="B1489" s="181" t="s">
        <v>6806</v>
      </c>
      <c r="C1489" s="390" t="s">
        <v>6815</v>
      </c>
      <c r="D1489" s="73" t="str">
        <f>IFERROR(VLOOKUP(C1489,Stock,3,FALSE),"")</f>
        <v>Toyota Fortuner 15-  2nd Gen</v>
      </c>
      <c r="E1489" s="289">
        <v>1.0</v>
      </c>
      <c r="F1489" s="162"/>
      <c r="G1489" s="162">
        <f t="shared" si="33"/>
        <v>0</v>
      </c>
      <c r="H1489" s="194"/>
      <c r="I1489" s="161">
        <f t="shared" si="35"/>
        <v>0</v>
      </c>
      <c r="J1489" s="164">
        <f t="shared" si="30"/>
        <v>0</v>
      </c>
      <c r="K1489" s="56" t="s">
        <v>6808</v>
      </c>
      <c r="L1489" s="73"/>
      <c r="M1489" s="73"/>
      <c r="N1489" s="171"/>
      <c r="O1489" s="169" t="s">
        <v>6809</v>
      </c>
      <c r="P1489" s="202"/>
      <c r="Q1489" s="173"/>
      <c r="R1489" s="173"/>
      <c r="S1489" s="173"/>
      <c r="T1489" s="173"/>
      <c r="U1489" s="173"/>
      <c r="V1489" s="202"/>
      <c r="W1489" s="171"/>
      <c r="X1489" s="171"/>
    </row>
    <row r="1490" ht="15.0" customHeight="1">
      <c r="A1490" s="404">
        <v>45695.0</v>
      </c>
      <c r="B1490" s="405" t="s">
        <v>6816</v>
      </c>
      <c r="C1490" s="406" t="s">
        <v>2832</v>
      </c>
      <c r="D1490" s="407" t="str">
        <f>IFERROR(VLOOKUP(C1490,Stock,3,FALSE),"")</f>
        <v>Toyota Fortuner 15-  2nd Gen</v>
      </c>
      <c r="E1490" s="408">
        <v>1.0</v>
      </c>
      <c r="F1490" s="409"/>
      <c r="G1490" s="409">
        <f t="shared" si="33"/>
        <v>0</v>
      </c>
      <c r="H1490" s="410"/>
      <c r="I1490" s="411">
        <f t="shared" si="35"/>
        <v>0</v>
      </c>
      <c r="J1490" s="412">
        <f t="shared" si="30"/>
        <v>0</v>
      </c>
      <c r="K1490" s="413" t="s">
        <v>6808</v>
      </c>
      <c r="L1490" s="407"/>
      <c r="M1490" s="407"/>
      <c r="N1490" s="414"/>
      <c r="O1490" s="415" t="s">
        <v>6809</v>
      </c>
      <c r="P1490" s="416"/>
      <c r="Q1490" s="417"/>
      <c r="R1490" s="417"/>
      <c r="S1490" s="417"/>
      <c r="T1490" s="417"/>
      <c r="U1490" s="417"/>
      <c r="V1490" s="416"/>
      <c r="W1490" s="414"/>
      <c r="X1490" s="171"/>
    </row>
    <row r="1491" ht="15.0" customHeight="1">
      <c r="A1491" s="127">
        <v>45695.0</v>
      </c>
      <c r="B1491" s="181" t="s">
        <v>6806</v>
      </c>
      <c r="C1491" s="390" t="s">
        <v>2837</v>
      </c>
      <c r="D1491" s="73" t="str">
        <f>IFERROR(VLOOKUP(C1491,Stock,3,FALSE),"")</f>
        <v>Honda Freed 08-16 1st gen</v>
      </c>
      <c r="E1491" s="289">
        <v>1.0</v>
      </c>
      <c r="F1491" s="162"/>
      <c r="G1491" s="162">
        <f t="shared" si="33"/>
        <v>0</v>
      </c>
      <c r="H1491" s="194"/>
      <c r="I1491" s="161">
        <f t="shared" si="35"/>
        <v>0</v>
      </c>
      <c r="J1491" s="164">
        <f t="shared" si="30"/>
        <v>0</v>
      </c>
      <c r="K1491" s="56" t="s">
        <v>6808</v>
      </c>
      <c r="L1491" s="73"/>
      <c r="M1491" s="73"/>
      <c r="N1491" s="171"/>
      <c r="O1491" s="169" t="s">
        <v>6809</v>
      </c>
      <c r="P1491" s="202"/>
      <c r="Q1491" s="173"/>
      <c r="R1491" s="173"/>
      <c r="S1491" s="173"/>
      <c r="T1491" s="173"/>
      <c r="U1491" s="173"/>
      <c r="V1491" s="202"/>
      <c r="W1491" s="171"/>
      <c r="X1491" s="171"/>
    </row>
    <row r="1492" ht="15.0" customHeight="1">
      <c r="A1492" s="127">
        <v>45695.0</v>
      </c>
      <c r="B1492" s="181" t="s">
        <v>6806</v>
      </c>
      <c r="C1492" s="390" t="s">
        <v>6817</v>
      </c>
      <c r="D1492" s="73" t="str">
        <f>IFERROR(VLOOKUP(C1492,Stock,3,FALSE),"")</f>
        <v>Toyota Rush / Terios 18-</v>
      </c>
      <c r="E1492" s="289">
        <v>1.0</v>
      </c>
      <c r="F1492" s="162"/>
      <c r="G1492" s="162">
        <f t="shared" si="33"/>
        <v>0</v>
      </c>
      <c r="H1492" s="194"/>
      <c r="I1492" s="161">
        <f t="shared" si="35"/>
        <v>0</v>
      </c>
      <c r="J1492" s="164">
        <f t="shared" si="30"/>
        <v>0</v>
      </c>
      <c r="K1492" s="56" t="s">
        <v>6808</v>
      </c>
      <c r="L1492" s="73"/>
      <c r="M1492" s="73"/>
      <c r="N1492" s="171"/>
      <c r="O1492" s="169" t="s">
        <v>6809</v>
      </c>
      <c r="P1492" s="202"/>
      <c r="Q1492" s="173"/>
      <c r="R1492" s="173"/>
      <c r="S1492" s="173"/>
      <c r="T1492" s="173"/>
      <c r="U1492" s="173"/>
      <c r="V1492" s="202"/>
      <c r="W1492" s="171"/>
      <c r="X1492" s="171"/>
    </row>
    <row r="1493" ht="15.0" customHeight="1">
      <c r="A1493" s="127">
        <v>45695.0</v>
      </c>
      <c r="B1493" s="181" t="s">
        <v>6806</v>
      </c>
      <c r="C1493" s="390" t="s">
        <v>6818</v>
      </c>
      <c r="D1493" s="73" t="str">
        <f>IFERROR(VLOOKUP(C1493,Stock,3,FALSE),"")</f>
        <v>Toyota Rush / Terios 18-</v>
      </c>
      <c r="E1493" s="289">
        <v>2.0</v>
      </c>
      <c r="F1493" s="162"/>
      <c r="G1493" s="162">
        <f t="shared" si="33"/>
        <v>0</v>
      </c>
      <c r="H1493" s="194"/>
      <c r="I1493" s="161">
        <f t="shared" si="35"/>
        <v>0</v>
      </c>
      <c r="J1493" s="164">
        <f t="shared" si="30"/>
        <v>0</v>
      </c>
      <c r="K1493" s="56" t="s">
        <v>6808</v>
      </c>
      <c r="L1493" s="73"/>
      <c r="M1493" s="73"/>
      <c r="N1493" s="171"/>
      <c r="O1493" s="169" t="s">
        <v>6809</v>
      </c>
      <c r="P1493" s="202"/>
      <c r="Q1493" s="173"/>
      <c r="R1493" s="173"/>
      <c r="S1493" s="173"/>
      <c r="T1493" s="173"/>
      <c r="U1493" s="173"/>
      <c r="V1493" s="202"/>
      <c r="W1493" s="171"/>
      <c r="X1493" s="171"/>
    </row>
    <row r="1494" ht="15.0" customHeight="1">
      <c r="A1494" s="391">
        <v>45695.0</v>
      </c>
      <c r="B1494" s="392" t="s">
        <v>6811</v>
      </c>
      <c r="C1494" s="402" t="s">
        <v>6819</v>
      </c>
      <c r="D1494" s="394" t="str">
        <f>IFERROR(VLOOKUP(C1494,Stock,3,FALSE),"")</f>
        <v>Mitsubishi L300</v>
      </c>
      <c r="E1494" s="395">
        <v>1.0</v>
      </c>
      <c r="F1494" s="396"/>
      <c r="G1494" s="396">
        <f t="shared" si="33"/>
        <v>0</v>
      </c>
      <c r="H1494" s="397"/>
      <c r="I1494" s="398">
        <f t="shared" si="35"/>
        <v>0</v>
      </c>
      <c r="J1494" s="399">
        <f t="shared" si="30"/>
        <v>0</v>
      </c>
      <c r="K1494" s="400" t="s">
        <v>6808</v>
      </c>
      <c r="L1494" s="394"/>
      <c r="M1494" s="394"/>
      <c r="N1494" s="401"/>
      <c r="O1494" s="402" t="s">
        <v>6809</v>
      </c>
      <c r="P1494" s="403"/>
      <c r="Q1494" s="173"/>
      <c r="R1494" s="173"/>
      <c r="S1494" s="173"/>
      <c r="T1494" s="173"/>
      <c r="U1494" s="173"/>
      <c r="V1494" s="202"/>
      <c r="W1494" s="171"/>
      <c r="X1494" s="171"/>
    </row>
    <row r="1495" ht="15.0" customHeight="1">
      <c r="A1495" s="127">
        <v>45695.0</v>
      </c>
      <c r="B1495" s="181" t="s">
        <v>6806</v>
      </c>
      <c r="C1495" s="169" t="s">
        <v>4356</v>
      </c>
      <c r="D1495" s="73" t="str">
        <f>IFERROR(VLOOKUP(C1495,Stock,3,FALSE),"")</f>
        <v>Toyota Innova 04-15 1st Gen</v>
      </c>
      <c r="E1495" s="289">
        <v>2.0</v>
      </c>
      <c r="F1495" s="162"/>
      <c r="G1495" s="162">
        <f t="shared" si="33"/>
        <v>0</v>
      </c>
      <c r="H1495" s="194"/>
      <c r="I1495" s="161">
        <f t="shared" si="35"/>
        <v>0</v>
      </c>
      <c r="J1495" s="164">
        <f t="shared" si="30"/>
        <v>0</v>
      </c>
      <c r="K1495" s="56" t="s">
        <v>6808</v>
      </c>
      <c r="L1495" s="73"/>
      <c r="M1495" s="73"/>
      <c r="N1495" s="171"/>
      <c r="O1495" s="169" t="s">
        <v>6809</v>
      </c>
      <c r="P1495" s="202"/>
      <c r="Q1495" s="173"/>
      <c r="R1495" s="173"/>
      <c r="S1495" s="173"/>
      <c r="T1495" s="173"/>
      <c r="U1495" s="173"/>
      <c r="V1495" s="202"/>
      <c r="W1495" s="171"/>
      <c r="X1495" s="171"/>
    </row>
    <row r="1496" ht="15.0" customHeight="1">
      <c r="A1496" s="391">
        <v>45695.0</v>
      </c>
      <c r="B1496" s="392" t="s">
        <v>6811</v>
      </c>
      <c r="C1496" s="393" t="s">
        <v>2829</v>
      </c>
      <c r="D1496" s="394" t="str">
        <f>IFERROR(VLOOKUP(C1496,Stock,3,FALSE),"")</f>
        <v>Daihatsu Gran Max / Luxio 07-</v>
      </c>
      <c r="E1496" s="395">
        <v>2.0</v>
      </c>
      <c r="F1496" s="396"/>
      <c r="G1496" s="396">
        <f t="shared" si="33"/>
        <v>0</v>
      </c>
      <c r="H1496" s="397"/>
      <c r="I1496" s="398">
        <f t="shared" si="35"/>
        <v>0</v>
      </c>
      <c r="J1496" s="399">
        <f t="shared" si="30"/>
        <v>0</v>
      </c>
      <c r="K1496" s="400" t="s">
        <v>6808</v>
      </c>
      <c r="L1496" s="394"/>
      <c r="M1496" s="394"/>
      <c r="N1496" s="401"/>
      <c r="O1496" s="402" t="s">
        <v>6809</v>
      </c>
      <c r="P1496" s="403"/>
      <c r="Q1496" s="173"/>
      <c r="R1496" s="173"/>
      <c r="S1496" s="173"/>
      <c r="T1496" s="173"/>
      <c r="U1496" s="173"/>
      <c r="V1496" s="202"/>
      <c r="W1496" s="171"/>
      <c r="X1496" s="171"/>
    </row>
    <row r="1497" ht="15.0" customHeight="1">
      <c r="A1497" s="391">
        <v>45695.0</v>
      </c>
      <c r="B1497" s="392" t="s">
        <v>6811</v>
      </c>
      <c r="C1497" s="393" t="s">
        <v>2831</v>
      </c>
      <c r="D1497" s="394" t="str">
        <f>IFERROR(VLOOKUP(C1497,Stock,3,FALSE),"")</f>
        <v>Daihatsu Gran Max / Luxio 07-</v>
      </c>
      <c r="E1497" s="395">
        <v>2.0</v>
      </c>
      <c r="F1497" s="396"/>
      <c r="G1497" s="396">
        <f t="shared" si="33"/>
        <v>0</v>
      </c>
      <c r="H1497" s="397"/>
      <c r="I1497" s="398">
        <f t="shared" si="35"/>
        <v>0</v>
      </c>
      <c r="J1497" s="399">
        <f t="shared" si="30"/>
        <v>0</v>
      </c>
      <c r="K1497" s="400" t="s">
        <v>6808</v>
      </c>
      <c r="L1497" s="394"/>
      <c r="M1497" s="394"/>
      <c r="N1497" s="401"/>
      <c r="O1497" s="402" t="s">
        <v>6809</v>
      </c>
      <c r="P1497" s="403"/>
      <c r="Q1497" s="173"/>
      <c r="R1497" s="173"/>
      <c r="S1497" s="173"/>
      <c r="T1497" s="173"/>
      <c r="U1497" s="173"/>
      <c r="V1497" s="202"/>
      <c r="W1497" s="171"/>
      <c r="X1497" s="171"/>
    </row>
    <row r="1498" ht="15.0" customHeight="1">
      <c r="A1498" s="127">
        <v>45695.0</v>
      </c>
      <c r="B1498" s="181" t="s">
        <v>6806</v>
      </c>
      <c r="C1498" s="390" t="s">
        <v>6686</v>
      </c>
      <c r="D1498" s="73" t="str">
        <f>IFERROR(VLOOKUP(C1498,Stock,3,FALSE),"")</f>
        <v>Daihatsu Gran Max / Luxio 07-</v>
      </c>
      <c r="E1498" s="289">
        <v>3.0</v>
      </c>
      <c r="F1498" s="162"/>
      <c r="G1498" s="162">
        <f t="shared" si="33"/>
        <v>0</v>
      </c>
      <c r="H1498" s="194"/>
      <c r="I1498" s="161">
        <f t="shared" si="35"/>
        <v>0</v>
      </c>
      <c r="J1498" s="164">
        <f t="shared" si="30"/>
        <v>0</v>
      </c>
      <c r="K1498" s="56" t="s">
        <v>6808</v>
      </c>
      <c r="L1498" s="73"/>
      <c r="M1498" s="73"/>
      <c r="N1498" s="171"/>
      <c r="O1498" s="169" t="s">
        <v>6809</v>
      </c>
      <c r="P1498" s="202"/>
      <c r="Q1498" s="173"/>
      <c r="R1498" s="173"/>
      <c r="S1498" s="173"/>
      <c r="T1498" s="173"/>
      <c r="U1498" s="173"/>
      <c r="V1498" s="202"/>
      <c r="W1498" s="171"/>
      <c r="X1498" s="171"/>
    </row>
    <row r="1499" ht="15.0" customHeight="1">
      <c r="A1499" s="127">
        <v>45695.0</v>
      </c>
      <c r="B1499" s="181" t="s">
        <v>6806</v>
      </c>
      <c r="C1499" s="390" t="s">
        <v>6687</v>
      </c>
      <c r="D1499" s="73" t="str">
        <f>IFERROR(VLOOKUP(C1499,Stock,3,FALSE),"")</f>
        <v>Daihatsu Gran Max / Luxio 07-</v>
      </c>
      <c r="E1499" s="289">
        <v>3.0</v>
      </c>
      <c r="F1499" s="162"/>
      <c r="G1499" s="162">
        <f t="shared" si="33"/>
        <v>0</v>
      </c>
      <c r="H1499" s="194"/>
      <c r="I1499" s="161">
        <f t="shared" si="35"/>
        <v>0</v>
      </c>
      <c r="J1499" s="164">
        <f t="shared" si="30"/>
        <v>0</v>
      </c>
      <c r="K1499" s="56" t="s">
        <v>6808</v>
      </c>
      <c r="L1499" s="73"/>
      <c r="M1499" s="73"/>
      <c r="N1499" s="171"/>
      <c r="O1499" s="169" t="s">
        <v>6809</v>
      </c>
      <c r="P1499" s="202"/>
      <c r="Q1499" s="173"/>
      <c r="R1499" s="173"/>
      <c r="S1499" s="173"/>
      <c r="T1499" s="173"/>
      <c r="U1499" s="173"/>
      <c r="V1499" s="202"/>
      <c r="W1499" s="171"/>
      <c r="X1499" s="171"/>
    </row>
    <row r="1500" ht="15.0" customHeight="1">
      <c r="A1500" s="127">
        <v>45695.0</v>
      </c>
      <c r="B1500" s="181" t="s">
        <v>6806</v>
      </c>
      <c r="C1500" s="390" t="s">
        <v>3542</v>
      </c>
      <c r="D1500" s="73" t="str">
        <f>IFERROR(VLOOKUP(C1500,Stock,3,FALSE),"")</f>
        <v>Daihatsu Gran Max</v>
      </c>
      <c r="E1500" s="289">
        <v>1.0</v>
      </c>
      <c r="F1500" s="162"/>
      <c r="G1500" s="162">
        <f t="shared" si="33"/>
        <v>0</v>
      </c>
      <c r="H1500" s="194"/>
      <c r="I1500" s="161">
        <f t="shared" si="35"/>
        <v>0</v>
      </c>
      <c r="J1500" s="164">
        <f t="shared" si="30"/>
        <v>0</v>
      </c>
      <c r="K1500" s="56" t="s">
        <v>6808</v>
      </c>
      <c r="L1500" s="73"/>
      <c r="M1500" s="73"/>
      <c r="N1500" s="171"/>
      <c r="O1500" s="169" t="s">
        <v>6809</v>
      </c>
      <c r="P1500" s="202"/>
      <c r="Q1500" s="173"/>
      <c r="R1500" s="173"/>
      <c r="S1500" s="173"/>
      <c r="T1500" s="173"/>
      <c r="U1500" s="173"/>
      <c r="V1500" s="202"/>
      <c r="W1500" s="171"/>
      <c r="X1500" s="171"/>
    </row>
    <row r="1501" ht="15.0" customHeight="1">
      <c r="A1501" s="127">
        <v>45695.0</v>
      </c>
      <c r="B1501" s="181" t="s">
        <v>6806</v>
      </c>
      <c r="C1501" s="390" t="s">
        <v>3541</v>
      </c>
      <c r="D1501" s="73" t="str">
        <f>IFERROR(VLOOKUP(C1501,Stock,3,FALSE),"")</f>
        <v>Daihatsu Gran Max</v>
      </c>
      <c r="E1501" s="289">
        <v>2.0</v>
      </c>
      <c r="F1501" s="162"/>
      <c r="G1501" s="162">
        <f t="shared" si="33"/>
        <v>0</v>
      </c>
      <c r="H1501" s="194"/>
      <c r="I1501" s="161">
        <f t="shared" si="35"/>
        <v>0</v>
      </c>
      <c r="J1501" s="164">
        <f t="shared" si="30"/>
        <v>0</v>
      </c>
      <c r="K1501" s="56" t="s">
        <v>6808</v>
      </c>
      <c r="L1501" s="73"/>
      <c r="M1501" s="73"/>
      <c r="N1501" s="171"/>
      <c r="O1501" s="169" t="s">
        <v>6809</v>
      </c>
      <c r="P1501" s="202"/>
      <c r="Q1501" s="173"/>
      <c r="R1501" s="173"/>
      <c r="S1501" s="173"/>
      <c r="T1501" s="173"/>
      <c r="U1501" s="173"/>
      <c r="V1501" s="202"/>
      <c r="W1501" s="171"/>
      <c r="X1501" s="171"/>
    </row>
    <row r="1502" ht="15.0" customHeight="1">
      <c r="A1502" s="391">
        <v>45695.0</v>
      </c>
      <c r="B1502" s="392" t="s">
        <v>6811</v>
      </c>
      <c r="C1502" s="393" t="s">
        <v>3347</v>
      </c>
      <c r="D1502" s="394" t="str">
        <f>IFERROR(VLOOKUP(C1502,Stock,3,FALSE),"")</f>
        <v>Toyota Avanza / Xenia 03-11 1st Gen</v>
      </c>
      <c r="E1502" s="395">
        <v>2.0</v>
      </c>
      <c r="F1502" s="396"/>
      <c r="G1502" s="396">
        <f t="shared" si="33"/>
        <v>0</v>
      </c>
      <c r="H1502" s="397"/>
      <c r="I1502" s="398">
        <f t="shared" si="35"/>
        <v>0</v>
      </c>
      <c r="J1502" s="399">
        <f t="shared" si="30"/>
        <v>0</v>
      </c>
      <c r="K1502" s="400" t="s">
        <v>6808</v>
      </c>
      <c r="L1502" s="394"/>
      <c r="M1502" s="394"/>
      <c r="N1502" s="401"/>
      <c r="O1502" s="402" t="s">
        <v>6809</v>
      </c>
      <c r="P1502" s="403"/>
      <c r="Q1502" s="173"/>
      <c r="R1502" s="173"/>
      <c r="S1502" s="173"/>
      <c r="T1502" s="173"/>
      <c r="U1502" s="173"/>
      <c r="V1502" s="202"/>
      <c r="W1502" s="171"/>
      <c r="X1502" s="171"/>
    </row>
    <row r="1503" ht="15.0" customHeight="1">
      <c r="A1503" s="127">
        <v>45695.0</v>
      </c>
      <c r="B1503" s="181" t="s">
        <v>6806</v>
      </c>
      <c r="C1503" s="390" t="s">
        <v>6820</v>
      </c>
      <c r="D1503" s="73" t="str">
        <f>IFERROR(VLOOKUP(C1503,Stock,3,FALSE),"")</f>
        <v>Toyota Avanza / Xenia 03-11 1st Gen</v>
      </c>
      <c r="E1503" s="203">
        <v>3.0</v>
      </c>
      <c r="F1503" s="162"/>
      <c r="G1503" s="162">
        <f t="shared" si="33"/>
        <v>0</v>
      </c>
      <c r="H1503" s="194"/>
      <c r="I1503" s="161">
        <f t="shared" si="35"/>
        <v>0</v>
      </c>
      <c r="J1503" s="164">
        <f t="shared" si="30"/>
        <v>0</v>
      </c>
      <c r="K1503" s="56" t="s">
        <v>6808</v>
      </c>
      <c r="L1503" s="73"/>
      <c r="M1503" s="73"/>
      <c r="N1503" s="171"/>
      <c r="O1503" s="169" t="s">
        <v>6809</v>
      </c>
      <c r="P1503" s="202"/>
      <c r="Q1503" s="173"/>
      <c r="R1503" s="173"/>
      <c r="S1503" s="173"/>
      <c r="T1503" s="173"/>
      <c r="U1503" s="173"/>
      <c r="V1503" s="202"/>
      <c r="W1503" s="171"/>
      <c r="X1503" s="171"/>
    </row>
    <row r="1504" ht="15.0" customHeight="1">
      <c r="A1504" s="127">
        <v>45695.0</v>
      </c>
      <c r="B1504" s="181" t="s">
        <v>6806</v>
      </c>
      <c r="C1504" s="390" t="s">
        <v>6821</v>
      </c>
      <c r="D1504" s="73" t="str">
        <f>IFERROR(VLOOKUP(C1504,Stock,3,FALSE),"")</f>
        <v>Toyota Avanza / Xenia 03-11 1st Gen</v>
      </c>
      <c r="E1504" s="203">
        <v>3.0</v>
      </c>
      <c r="F1504" s="162"/>
      <c r="G1504" s="162">
        <f t="shared" si="33"/>
        <v>0</v>
      </c>
      <c r="H1504" s="194"/>
      <c r="I1504" s="161">
        <f t="shared" si="35"/>
        <v>0</v>
      </c>
      <c r="J1504" s="164">
        <f t="shared" si="30"/>
        <v>0</v>
      </c>
      <c r="K1504" s="56" t="s">
        <v>6808</v>
      </c>
      <c r="L1504" s="73"/>
      <c r="M1504" s="73"/>
      <c r="N1504" s="171"/>
      <c r="O1504" s="169" t="s">
        <v>6809</v>
      </c>
      <c r="P1504" s="202"/>
      <c r="Q1504" s="173"/>
      <c r="R1504" s="173"/>
      <c r="S1504" s="173"/>
      <c r="T1504" s="173"/>
      <c r="U1504" s="173"/>
      <c r="V1504" s="202"/>
      <c r="W1504" s="171"/>
      <c r="X1504" s="171"/>
    </row>
    <row r="1505" ht="15.0" customHeight="1">
      <c r="A1505" s="127">
        <v>45695.0</v>
      </c>
      <c r="B1505" s="181" t="s">
        <v>6806</v>
      </c>
      <c r="C1505" s="390" t="s">
        <v>6822</v>
      </c>
      <c r="D1505" s="73" t="str">
        <f>IFERROR(VLOOKUP(C1505,Stock,3,FALSE),"")</f>
        <v>Toyota Agya/Ayla 13-22 1st Gen</v>
      </c>
      <c r="E1505" s="289">
        <v>3.0</v>
      </c>
      <c r="F1505" s="162"/>
      <c r="G1505" s="162">
        <f t="shared" si="33"/>
        <v>0</v>
      </c>
      <c r="H1505" s="194"/>
      <c r="I1505" s="161">
        <f t="shared" si="35"/>
        <v>0</v>
      </c>
      <c r="J1505" s="164">
        <f t="shared" si="30"/>
        <v>0</v>
      </c>
      <c r="K1505" s="56" t="s">
        <v>6808</v>
      </c>
      <c r="L1505" s="73"/>
      <c r="M1505" s="73"/>
      <c r="N1505" s="171"/>
      <c r="O1505" s="169" t="s">
        <v>6809</v>
      </c>
      <c r="P1505" s="202"/>
      <c r="Q1505" s="173"/>
      <c r="R1505" s="173"/>
      <c r="S1505" s="173"/>
      <c r="T1505" s="173"/>
      <c r="U1505" s="173"/>
      <c r="V1505" s="202"/>
      <c r="W1505" s="171"/>
      <c r="X1505" s="171"/>
    </row>
    <row r="1506" ht="15.0" customHeight="1">
      <c r="A1506" s="127">
        <v>45695.0</v>
      </c>
      <c r="B1506" s="181" t="s">
        <v>6806</v>
      </c>
      <c r="C1506" s="390" t="s">
        <v>6823</v>
      </c>
      <c r="D1506" s="73" t="str">
        <f>IFERROR(VLOOKUP(C1506,Stock,3,FALSE),"")</f>
        <v>Toyota Agya/Ayla 13-22 1st Gen</v>
      </c>
      <c r="E1506" s="289">
        <v>3.0</v>
      </c>
      <c r="F1506" s="162"/>
      <c r="G1506" s="162">
        <f t="shared" si="33"/>
        <v>0</v>
      </c>
      <c r="H1506" s="194"/>
      <c r="I1506" s="161">
        <f t="shared" si="35"/>
        <v>0</v>
      </c>
      <c r="J1506" s="164">
        <f t="shared" si="30"/>
        <v>0</v>
      </c>
      <c r="K1506" s="56" t="s">
        <v>6808</v>
      </c>
      <c r="L1506" s="73"/>
      <c r="M1506" s="73"/>
      <c r="N1506" s="171"/>
      <c r="O1506" s="169" t="s">
        <v>6809</v>
      </c>
      <c r="P1506" s="202"/>
      <c r="Q1506" s="173"/>
      <c r="R1506" s="173"/>
      <c r="S1506" s="173"/>
      <c r="T1506" s="173"/>
      <c r="U1506" s="173"/>
      <c r="V1506" s="202"/>
      <c r="W1506" s="171"/>
      <c r="X1506" s="171"/>
    </row>
    <row r="1507" ht="15.0" customHeight="1">
      <c r="A1507" s="391">
        <v>45695.0</v>
      </c>
      <c r="B1507" s="392" t="s">
        <v>6811</v>
      </c>
      <c r="C1507" s="393" t="s">
        <v>6824</v>
      </c>
      <c r="D1507" s="394" t="str">
        <f>IFERROR(VLOOKUP(C1507,Stock,3,FALSE),"")</f>
        <v>Toyota Innova 04-15 1st Gen</v>
      </c>
      <c r="E1507" s="395">
        <v>3.0</v>
      </c>
      <c r="F1507" s="396"/>
      <c r="G1507" s="396">
        <f t="shared" si="33"/>
        <v>0</v>
      </c>
      <c r="H1507" s="397"/>
      <c r="I1507" s="398">
        <f t="shared" si="35"/>
        <v>0</v>
      </c>
      <c r="J1507" s="399">
        <f t="shared" si="30"/>
        <v>0</v>
      </c>
      <c r="K1507" s="400" t="s">
        <v>6808</v>
      </c>
      <c r="L1507" s="394"/>
      <c r="M1507" s="394"/>
      <c r="N1507" s="401"/>
      <c r="O1507" s="402" t="s">
        <v>6809</v>
      </c>
      <c r="P1507" s="403"/>
      <c r="Q1507" s="173"/>
      <c r="R1507" s="173"/>
      <c r="S1507" s="173"/>
      <c r="T1507" s="173"/>
      <c r="U1507" s="173"/>
      <c r="V1507" s="202"/>
      <c r="W1507" s="171"/>
      <c r="X1507" s="171"/>
    </row>
    <row r="1508" ht="15.0" customHeight="1">
      <c r="A1508" s="391">
        <v>45695.0</v>
      </c>
      <c r="B1508" s="392" t="s">
        <v>6811</v>
      </c>
      <c r="C1508" s="393" t="s">
        <v>4354</v>
      </c>
      <c r="D1508" s="394" t="str">
        <f>IFERROR(VLOOKUP(C1508,Stock,3,FALSE),"")</f>
        <v>Toyota Innova 04-15 1st Gen</v>
      </c>
      <c r="E1508" s="395">
        <v>2.0</v>
      </c>
      <c r="F1508" s="396"/>
      <c r="G1508" s="396">
        <f t="shared" si="33"/>
        <v>0</v>
      </c>
      <c r="H1508" s="397"/>
      <c r="I1508" s="398">
        <f t="shared" si="35"/>
        <v>0</v>
      </c>
      <c r="J1508" s="399">
        <f t="shared" si="30"/>
        <v>0</v>
      </c>
      <c r="K1508" s="400" t="s">
        <v>6808</v>
      </c>
      <c r="L1508" s="394"/>
      <c r="M1508" s="394"/>
      <c r="N1508" s="401"/>
      <c r="O1508" s="402" t="s">
        <v>6809</v>
      </c>
      <c r="P1508" s="403"/>
      <c r="Q1508" s="173"/>
      <c r="R1508" s="173"/>
      <c r="S1508" s="173"/>
      <c r="T1508" s="173"/>
      <c r="U1508" s="173"/>
      <c r="V1508" s="202"/>
      <c r="W1508" s="171"/>
      <c r="X1508" s="171"/>
    </row>
    <row r="1509" ht="15.0" customHeight="1">
      <c r="A1509" s="127">
        <v>45695.0</v>
      </c>
      <c r="B1509" s="181" t="s">
        <v>6806</v>
      </c>
      <c r="C1509" s="169" t="s">
        <v>6825</v>
      </c>
      <c r="D1509" s="73" t="str">
        <f>IFERROR(VLOOKUP(C1509,Stock,3,FALSE),"")</f>
        <v>Toyota Calya /  Sigra 16-</v>
      </c>
      <c r="E1509" s="289">
        <v>3.0</v>
      </c>
      <c r="F1509" s="162"/>
      <c r="G1509" s="162">
        <f t="shared" si="33"/>
        <v>0</v>
      </c>
      <c r="H1509" s="194"/>
      <c r="I1509" s="161">
        <f t="shared" si="35"/>
        <v>0</v>
      </c>
      <c r="J1509" s="164">
        <f t="shared" si="30"/>
        <v>0</v>
      </c>
      <c r="K1509" s="56" t="s">
        <v>6808</v>
      </c>
      <c r="L1509" s="73"/>
      <c r="M1509" s="73"/>
      <c r="N1509" s="171"/>
      <c r="O1509" s="169" t="s">
        <v>6809</v>
      </c>
      <c r="P1509" s="202"/>
      <c r="Q1509" s="173"/>
      <c r="R1509" s="173"/>
      <c r="S1509" s="173"/>
      <c r="T1509" s="173"/>
      <c r="U1509" s="173"/>
      <c r="V1509" s="202"/>
      <c r="W1509" s="171"/>
      <c r="X1509" s="171"/>
    </row>
    <row r="1510" ht="15.0" customHeight="1">
      <c r="A1510" s="127">
        <v>45695.0</v>
      </c>
      <c r="B1510" s="181" t="s">
        <v>6806</v>
      </c>
      <c r="C1510" s="169" t="s">
        <v>6826</v>
      </c>
      <c r="D1510" s="73" t="str">
        <f>IFERROR(VLOOKUP(C1510,Stock,3,FALSE),"")</f>
        <v>Toyota Calya /  Sigra 16-</v>
      </c>
      <c r="E1510" s="289">
        <v>3.0</v>
      </c>
      <c r="F1510" s="162"/>
      <c r="G1510" s="162">
        <f t="shared" si="33"/>
        <v>0</v>
      </c>
      <c r="H1510" s="194"/>
      <c r="I1510" s="161">
        <f t="shared" si="35"/>
        <v>0</v>
      </c>
      <c r="J1510" s="164">
        <f t="shared" si="30"/>
        <v>0</v>
      </c>
      <c r="K1510" s="56" t="s">
        <v>6808</v>
      </c>
      <c r="L1510" s="73"/>
      <c r="M1510" s="73"/>
      <c r="N1510" s="171"/>
      <c r="O1510" s="169" t="s">
        <v>6809</v>
      </c>
      <c r="P1510" s="202"/>
      <c r="Q1510" s="173"/>
      <c r="R1510" s="173"/>
      <c r="S1510" s="173"/>
      <c r="T1510" s="173"/>
      <c r="U1510" s="173"/>
      <c r="V1510" s="202"/>
      <c r="W1510" s="171"/>
      <c r="X1510" s="171"/>
    </row>
    <row r="1511" ht="15.0" customHeight="1">
      <c r="A1511" s="391">
        <v>45695.0</v>
      </c>
      <c r="B1511" s="392" t="s">
        <v>6811</v>
      </c>
      <c r="C1511" s="402" t="s">
        <v>4149</v>
      </c>
      <c r="D1511" s="394" t="str">
        <f>IFERROR(VLOOKUP(C1511,Stock,3,FALSE),"")</f>
        <v>Toyota Avanza / Xenia 11-15 2nd Gen</v>
      </c>
      <c r="E1511" s="395">
        <v>2.0</v>
      </c>
      <c r="F1511" s="396"/>
      <c r="G1511" s="396">
        <f t="shared" si="33"/>
        <v>0</v>
      </c>
      <c r="H1511" s="397"/>
      <c r="I1511" s="398">
        <f t="shared" si="35"/>
        <v>0</v>
      </c>
      <c r="J1511" s="399">
        <f t="shared" si="30"/>
        <v>0</v>
      </c>
      <c r="K1511" s="400" t="s">
        <v>6808</v>
      </c>
      <c r="L1511" s="394"/>
      <c r="M1511" s="394"/>
      <c r="N1511" s="401"/>
      <c r="O1511" s="402" t="s">
        <v>6809</v>
      </c>
      <c r="P1511" s="403"/>
      <c r="Q1511" s="173"/>
      <c r="R1511" s="173"/>
      <c r="S1511" s="173"/>
      <c r="T1511" s="173"/>
      <c r="U1511" s="173"/>
      <c r="V1511" s="202"/>
      <c r="W1511" s="171"/>
      <c r="X1511" s="171"/>
    </row>
    <row r="1512" ht="15.0" customHeight="1">
      <c r="A1512" s="391">
        <v>45695.0</v>
      </c>
      <c r="B1512" s="392" t="s">
        <v>6811</v>
      </c>
      <c r="C1512" s="402" t="s">
        <v>6827</v>
      </c>
      <c r="D1512" s="394" t="str">
        <f>IFERROR(VLOOKUP(C1512,Stock,3,FALSE),"")</f>
        <v>Toyota Avanza / Xenia 11-15 2nd Gen</v>
      </c>
      <c r="E1512" s="395">
        <v>3.0</v>
      </c>
      <c r="F1512" s="396"/>
      <c r="G1512" s="396">
        <f t="shared" si="33"/>
        <v>0</v>
      </c>
      <c r="H1512" s="397"/>
      <c r="I1512" s="398">
        <f t="shared" si="35"/>
        <v>0</v>
      </c>
      <c r="J1512" s="399">
        <f t="shared" si="30"/>
        <v>0</v>
      </c>
      <c r="K1512" s="400" t="s">
        <v>6808</v>
      </c>
      <c r="L1512" s="394"/>
      <c r="M1512" s="394"/>
      <c r="N1512" s="401"/>
      <c r="O1512" s="402" t="s">
        <v>6809</v>
      </c>
      <c r="P1512" s="403"/>
      <c r="Q1512" s="173"/>
      <c r="R1512" s="173"/>
      <c r="S1512" s="173"/>
      <c r="T1512" s="173"/>
      <c r="U1512" s="173"/>
      <c r="V1512" s="202"/>
      <c r="W1512" s="171"/>
      <c r="X1512" s="171"/>
    </row>
    <row r="1513" ht="15.0" customHeight="1">
      <c r="A1513" s="127">
        <v>45695.0</v>
      </c>
      <c r="B1513" s="181" t="s">
        <v>6828</v>
      </c>
      <c r="C1513" s="169" t="s">
        <v>2696</v>
      </c>
      <c r="D1513" s="73" t="str">
        <f>IFERROR(VLOOKUP(C1513,Stock,3,FALSE),"")</f>
        <v>Honda HR-V 22- 5D SUV (Honda)</v>
      </c>
      <c r="E1513" s="289">
        <v>1.0</v>
      </c>
      <c r="F1513" s="162"/>
      <c r="G1513" s="162">
        <f t="shared" si="33"/>
        <v>0</v>
      </c>
      <c r="H1513" s="194"/>
      <c r="I1513" s="161">
        <f t="shared" si="35"/>
        <v>0</v>
      </c>
      <c r="J1513" s="164">
        <f t="shared" si="30"/>
        <v>0</v>
      </c>
      <c r="K1513" s="56" t="s">
        <v>6808</v>
      </c>
      <c r="L1513" s="73"/>
      <c r="M1513" s="73"/>
      <c r="N1513" s="171"/>
      <c r="O1513" s="169" t="s">
        <v>6809</v>
      </c>
      <c r="P1513" s="202"/>
      <c r="Q1513" s="173"/>
      <c r="R1513" s="173"/>
      <c r="S1513" s="173"/>
      <c r="T1513" s="173"/>
      <c r="U1513" s="173"/>
      <c r="V1513" s="202"/>
      <c r="W1513" s="171"/>
      <c r="X1513" s="171"/>
    </row>
    <row r="1514" ht="15.0" customHeight="1">
      <c r="A1514" s="127">
        <v>45695.0</v>
      </c>
      <c r="B1514" s="181" t="s">
        <v>6828</v>
      </c>
      <c r="C1514" s="169" t="s">
        <v>6829</v>
      </c>
      <c r="D1514" s="73" t="str">
        <f>IFERROR(VLOOKUP(C1514,Stock,3,FALSE),"")</f>
        <v>Toyota Avanza / Xenia 21- 4th Gen ( Sensor)</v>
      </c>
      <c r="E1514" s="289">
        <v>1.0</v>
      </c>
      <c r="F1514" s="162"/>
      <c r="G1514" s="162">
        <f t="shared" si="33"/>
        <v>0</v>
      </c>
      <c r="H1514" s="194"/>
      <c r="I1514" s="161">
        <f t="shared" si="35"/>
        <v>0</v>
      </c>
      <c r="J1514" s="164">
        <f t="shared" si="30"/>
        <v>0</v>
      </c>
      <c r="K1514" s="56" t="s">
        <v>6808</v>
      </c>
      <c r="L1514" s="73"/>
      <c r="M1514" s="73"/>
      <c r="N1514" s="171"/>
      <c r="O1514" s="169" t="s">
        <v>6809</v>
      </c>
      <c r="P1514" s="202"/>
      <c r="Q1514" s="173"/>
      <c r="R1514" s="173"/>
      <c r="S1514" s="173"/>
      <c r="T1514" s="173"/>
      <c r="U1514" s="173"/>
      <c r="V1514" s="202"/>
      <c r="W1514" s="171"/>
      <c r="X1514" s="171"/>
    </row>
    <row r="1515" ht="15.0" customHeight="1">
      <c r="A1515" s="127">
        <v>45695.0</v>
      </c>
      <c r="B1515" s="181" t="s">
        <v>6828</v>
      </c>
      <c r="C1515" s="169" t="s">
        <v>3313</v>
      </c>
      <c r="D1515" s="73" t="str">
        <f>IFERROR(VLOOKUP(C1515,Stock,3,FALSE),"")</f>
        <v>Toyota Avanza / Xenia 21- 4th Gen (Non sensor)</v>
      </c>
      <c r="E1515" s="289">
        <v>3.0</v>
      </c>
      <c r="F1515" s="162"/>
      <c r="G1515" s="162">
        <f t="shared" si="33"/>
        <v>0</v>
      </c>
      <c r="H1515" s="194"/>
      <c r="I1515" s="161">
        <f t="shared" si="35"/>
        <v>0</v>
      </c>
      <c r="J1515" s="164">
        <f t="shared" si="30"/>
        <v>0</v>
      </c>
      <c r="K1515" s="56" t="s">
        <v>6808</v>
      </c>
      <c r="L1515" s="73"/>
      <c r="M1515" s="73"/>
      <c r="N1515" s="171"/>
      <c r="O1515" s="169" t="s">
        <v>6809</v>
      </c>
      <c r="P1515" s="202"/>
      <c r="Q1515" s="173"/>
      <c r="R1515" s="173"/>
      <c r="S1515" s="173"/>
      <c r="T1515" s="173"/>
      <c r="U1515" s="173"/>
      <c r="V1515" s="202"/>
      <c r="W1515" s="171"/>
      <c r="X1515" s="171"/>
    </row>
    <row r="1516" ht="15.0" customHeight="1">
      <c r="A1516" s="127">
        <v>45695.0</v>
      </c>
      <c r="B1516" s="181" t="s">
        <v>6828</v>
      </c>
      <c r="C1516" s="169" t="s">
        <v>2847</v>
      </c>
      <c r="D1516" s="73" t="str">
        <f>IFERROR(VLOOKUP(C1516,Stock,3,FALSE),"")</f>
        <v>Honda BR-V 22-</v>
      </c>
      <c r="E1516" s="289">
        <v>2.0</v>
      </c>
      <c r="F1516" s="162"/>
      <c r="G1516" s="162">
        <f t="shared" si="33"/>
        <v>0</v>
      </c>
      <c r="H1516" s="194"/>
      <c r="I1516" s="161">
        <f t="shared" si="35"/>
        <v>0</v>
      </c>
      <c r="J1516" s="164">
        <f t="shared" si="30"/>
        <v>0</v>
      </c>
      <c r="K1516" s="56" t="s">
        <v>6808</v>
      </c>
      <c r="L1516" s="73"/>
      <c r="M1516" s="73"/>
      <c r="N1516" s="171"/>
      <c r="O1516" s="169" t="s">
        <v>6809</v>
      </c>
      <c r="P1516" s="202"/>
      <c r="Q1516" s="173"/>
      <c r="R1516" s="173"/>
      <c r="S1516" s="173"/>
      <c r="T1516" s="173"/>
      <c r="U1516" s="173"/>
      <c r="V1516" s="202"/>
      <c r="W1516" s="171"/>
      <c r="X1516" s="171"/>
    </row>
    <row r="1517" ht="15.0" customHeight="1">
      <c r="A1517" s="127">
        <v>45695.0</v>
      </c>
      <c r="B1517" s="181" t="s">
        <v>6828</v>
      </c>
      <c r="C1517" s="169" t="s">
        <v>2710</v>
      </c>
      <c r="D1517" s="73" t="str">
        <f>IFERROR(VLOOKUP(C1517,Stock,3,FALSE),"")</f>
        <v>Suzuki Carry (1000cc)</v>
      </c>
      <c r="E1517" s="289">
        <v>2.0</v>
      </c>
      <c r="F1517" s="162"/>
      <c r="G1517" s="162">
        <f t="shared" si="33"/>
        <v>0</v>
      </c>
      <c r="H1517" s="194"/>
      <c r="I1517" s="161">
        <f t="shared" si="35"/>
        <v>0</v>
      </c>
      <c r="J1517" s="164">
        <f t="shared" si="30"/>
        <v>0</v>
      </c>
      <c r="K1517" s="56" t="s">
        <v>6808</v>
      </c>
      <c r="L1517" s="73"/>
      <c r="M1517" s="73"/>
      <c r="N1517" s="171"/>
      <c r="O1517" s="169" t="s">
        <v>6809</v>
      </c>
      <c r="P1517" s="202"/>
      <c r="Q1517" s="173"/>
      <c r="R1517" s="173"/>
      <c r="S1517" s="173"/>
      <c r="T1517" s="173"/>
      <c r="U1517" s="173"/>
      <c r="V1517" s="202"/>
      <c r="W1517" s="171"/>
      <c r="X1517" s="171"/>
    </row>
    <row r="1518" ht="15.0" customHeight="1">
      <c r="A1518" s="127">
        <v>45695.0</v>
      </c>
      <c r="B1518" s="181" t="s">
        <v>6828</v>
      </c>
      <c r="C1518" s="56" t="s">
        <v>2557</v>
      </c>
      <c r="D1518" s="73" t="str">
        <f>IFERROR(VLOOKUP(C1518,Stock,3,FALSE),"")</f>
        <v>Toyota Fortuner 05-15 1st Gen (Toyota)</v>
      </c>
      <c r="E1518" s="203">
        <v>5.0</v>
      </c>
      <c r="F1518" s="162"/>
      <c r="G1518" s="162">
        <f t="shared" si="33"/>
        <v>0</v>
      </c>
      <c r="H1518" s="194"/>
      <c r="I1518" s="161">
        <f t="shared" si="35"/>
        <v>0</v>
      </c>
      <c r="J1518" s="164">
        <f t="shared" si="30"/>
        <v>0</v>
      </c>
      <c r="K1518" s="56" t="s">
        <v>6808</v>
      </c>
      <c r="L1518" s="73"/>
      <c r="M1518" s="73"/>
      <c r="N1518" s="171"/>
      <c r="O1518" s="169" t="s">
        <v>6809</v>
      </c>
      <c r="P1518" s="202"/>
      <c r="Q1518" s="173"/>
      <c r="R1518" s="173"/>
      <c r="S1518" s="173"/>
      <c r="T1518" s="173"/>
      <c r="U1518" s="173"/>
      <c r="V1518" s="202"/>
      <c r="W1518" s="171"/>
      <c r="X1518" s="171"/>
    </row>
    <row r="1519" ht="15.0" customHeight="1">
      <c r="A1519" s="127">
        <v>45695.0</v>
      </c>
      <c r="B1519" s="181" t="s">
        <v>6828</v>
      </c>
      <c r="C1519" s="56" t="s">
        <v>4365</v>
      </c>
      <c r="D1519" s="73" t="str">
        <f>IFERROR(VLOOKUP(C1519,Stock,3,FALSE),"")</f>
        <v>Wuling Almaz (Orisinil)</v>
      </c>
      <c r="E1519" s="203">
        <v>1.0</v>
      </c>
      <c r="F1519" s="162"/>
      <c r="G1519" s="162">
        <f t="shared" si="33"/>
        <v>0</v>
      </c>
      <c r="H1519" s="194"/>
      <c r="I1519" s="161">
        <f t="shared" si="35"/>
        <v>0</v>
      </c>
      <c r="J1519" s="164">
        <f t="shared" si="30"/>
        <v>0</v>
      </c>
      <c r="K1519" s="56" t="s">
        <v>6808</v>
      </c>
      <c r="L1519" s="73"/>
      <c r="M1519" s="73"/>
      <c r="N1519" s="171"/>
      <c r="O1519" s="169" t="s">
        <v>6809</v>
      </c>
      <c r="P1519" s="202"/>
      <c r="Q1519" s="173"/>
      <c r="R1519" s="173"/>
      <c r="S1519" s="173"/>
      <c r="T1519" s="173"/>
      <c r="U1519" s="173"/>
      <c r="V1519" s="202"/>
      <c r="W1519" s="171"/>
      <c r="X1519" s="171"/>
    </row>
    <row r="1520" ht="15.0" customHeight="1">
      <c r="A1520" s="127">
        <v>45695.0</v>
      </c>
      <c r="B1520" s="181" t="s">
        <v>6816</v>
      </c>
      <c r="C1520" s="169" t="s">
        <v>6830</v>
      </c>
      <c r="D1520" s="73" t="str">
        <f>IFERROR(VLOOKUP(C1520,Stock,3,FALSE),"")</f>
        <v>Daihatsu Gran Max / Zebra 2 (Pick Up)</v>
      </c>
      <c r="E1520" s="289">
        <v>3.0</v>
      </c>
      <c r="F1520" s="162"/>
      <c r="G1520" s="162">
        <f t="shared" si="33"/>
        <v>0</v>
      </c>
      <c r="H1520" s="194"/>
      <c r="I1520" s="161">
        <f t="shared" si="35"/>
        <v>0</v>
      </c>
      <c r="J1520" s="164">
        <f t="shared" si="30"/>
        <v>0</v>
      </c>
      <c r="K1520" s="56" t="s">
        <v>6808</v>
      </c>
      <c r="L1520" s="73"/>
      <c r="M1520" s="73"/>
      <c r="N1520" s="171"/>
      <c r="O1520" s="169" t="s">
        <v>6809</v>
      </c>
      <c r="P1520" s="202"/>
      <c r="Q1520" s="173"/>
      <c r="R1520" s="173"/>
      <c r="S1520" s="173"/>
      <c r="T1520" s="173"/>
      <c r="U1520" s="173"/>
      <c r="V1520" s="202"/>
      <c r="W1520" s="171"/>
      <c r="X1520" s="171"/>
    </row>
    <row r="1521" ht="15.0" customHeight="1">
      <c r="A1521" s="127">
        <v>45695.0</v>
      </c>
      <c r="B1521" s="181" t="s">
        <v>6816</v>
      </c>
      <c r="C1521" s="169" t="s">
        <v>5458</v>
      </c>
      <c r="D1521" s="73" t="str">
        <f>IFERROR(VLOOKUP(C1521,Stock,3,FALSE),"")</f>
        <v>Isuzu Panther 00- 2nd Gen (Sealant)</v>
      </c>
      <c r="E1521" s="289">
        <v>2.0</v>
      </c>
      <c r="F1521" s="162"/>
      <c r="G1521" s="162">
        <f t="shared" si="33"/>
        <v>0</v>
      </c>
      <c r="H1521" s="194"/>
      <c r="I1521" s="161">
        <f t="shared" si="35"/>
        <v>0</v>
      </c>
      <c r="J1521" s="164">
        <f t="shared" si="30"/>
        <v>0</v>
      </c>
      <c r="K1521" s="56" t="s">
        <v>6808</v>
      </c>
      <c r="L1521" s="73"/>
      <c r="M1521" s="73"/>
      <c r="N1521" s="171"/>
      <c r="O1521" s="169" t="s">
        <v>6809</v>
      </c>
      <c r="P1521" s="202"/>
      <c r="Q1521" s="173"/>
      <c r="R1521" s="173"/>
      <c r="S1521" s="173"/>
      <c r="T1521" s="173"/>
      <c r="U1521" s="173"/>
      <c r="V1521" s="202"/>
      <c r="W1521" s="171"/>
      <c r="X1521" s="171"/>
    </row>
    <row r="1522" ht="15.0" customHeight="1">
      <c r="A1522" s="127">
        <v>45695.0</v>
      </c>
      <c r="B1522" s="181" t="s">
        <v>6816</v>
      </c>
      <c r="C1522" s="169" t="s">
        <v>2826</v>
      </c>
      <c r="D1522" s="73" t="str">
        <f>IFERROR(VLOOKUP(C1522,Stock,3,FALSE),"")</f>
        <v>Toyota Kijang 02-04 Kapsul Lem Efi </v>
      </c>
      <c r="E1522" s="289">
        <v>2.0</v>
      </c>
      <c r="F1522" s="162"/>
      <c r="G1522" s="162">
        <f t="shared" si="33"/>
        <v>0</v>
      </c>
      <c r="H1522" s="194"/>
      <c r="I1522" s="161">
        <f t="shared" si="35"/>
        <v>0</v>
      </c>
      <c r="J1522" s="164">
        <f t="shared" si="30"/>
        <v>0</v>
      </c>
      <c r="K1522" s="56" t="s">
        <v>6808</v>
      </c>
      <c r="L1522" s="73"/>
      <c r="M1522" s="73"/>
      <c r="N1522" s="171"/>
      <c r="O1522" s="169" t="s">
        <v>6809</v>
      </c>
      <c r="P1522" s="202"/>
      <c r="Q1522" s="173"/>
      <c r="R1522" s="173"/>
      <c r="S1522" s="173"/>
      <c r="T1522" s="173"/>
      <c r="U1522" s="173"/>
      <c r="V1522" s="202"/>
      <c r="W1522" s="171"/>
      <c r="X1522" s="171"/>
    </row>
    <row r="1523" ht="15.0" customHeight="1">
      <c r="A1523" s="127">
        <v>45695.0</v>
      </c>
      <c r="B1523" s="181" t="s">
        <v>6816</v>
      </c>
      <c r="C1523" s="169" t="s">
        <v>3501</v>
      </c>
      <c r="D1523" s="73" t="str">
        <f>IFERROR(VLOOKUP(C1523,Stock,3,FALSE),"")</f>
        <v>Honda CR-V 02-06 2nd Gen</v>
      </c>
      <c r="E1523" s="289">
        <v>1.0</v>
      </c>
      <c r="F1523" s="162"/>
      <c r="G1523" s="162">
        <f t="shared" si="33"/>
        <v>0</v>
      </c>
      <c r="H1523" s="194"/>
      <c r="I1523" s="161">
        <f t="shared" si="35"/>
        <v>0</v>
      </c>
      <c r="J1523" s="164">
        <f t="shared" si="30"/>
        <v>0</v>
      </c>
      <c r="K1523" s="56" t="s">
        <v>6808</v>
      </c>
      <c r="L1523" s="73"/>
      <c r="M1523" s="73"/>
      <c r="N1523" s="171"/>
      <c r="O1523" s="169" t="s">
        <v>6809</v>
      </c>
      <c r="P1523" s="202"/>
      <c r="Q1523" s="173"/>
      <c r="R1523" s="173"/>
      <c r="S1523" s="173"/>
      <c r="T1523" s="173"/>
      <c r="U1523" s="173"/>
      <c r="V1523" s="202"/>
      <c r="W1523" s="171"/>
      <c r="X1523" s="171"/>
    </row>
    <row r="1524" ht="15.0" customHeight="1">
      <c r="A1524" s="127">
        <v>45695.0</v>
      </c>
      <c r="B1524" s="181" t="s">
        <v>6816</v>
      </c>
      <c r="C1524" s="169" t="s">
        <v>2694</v>
      </c>
      <c r="D1524" s="73" t="str">
        <f>IFERROR(VLOOKUP(C1524,Stock,3,FALSE),"")</f>
        <v>Honda CR-V 17-23 5th Gen</v>
      </c>
      <c r="E1524" s="289">
        <v>1.0</v>
      </c>
      <c r="F1524" s="162"/>
      <c r="G1524" s="162">
        <f t="shared" si="33"/>
        <v>0</v>
      </c>
      <c r="H1524" s="194"/>
      <c r="I1524" s="161">
        <f t="shared" si="35"/>
        <v>0</v>
      </c>
      <c r="J1524" s="164">
        <f t="shared" si="30"/>
        <v>0</v>
      </c>
      <c r="K1524" s="56" t="s">
        <v>6808</v>
      </c>
      <c r="L1524" s="73"/>
      <c r="M1524" s="73"/>
      <c r="N1524" s="171"/>
      <c r="O1524" s="169" t="s">
        <v>6809</v>
      </c>
      <c r="P1524" s="202"/>
      <c r="Q1524" s="173"/>
      <c r="R1524" s="173"/>
      <c r="S1524" s="173"/>
      <c r="T1524" s="173"/>
      <c r="U1524" s="173"/>
      <c r="V1524" s="202"/>
      <c r="W1524" s="171"/>
      <c r="X1524" s="171"/>
    </row>
    <row r="1525" ht="15.0" customHeight="1">
      <c r="A1525" s="127">
        <v>45695.0</v>
      </c>
      <c r="B1525" s="181" t="s">
        <v>6816</v>
      </c>
      <c r="C1525" s="169" t="s">
        <v>3698</v>
      </c>
      <c r="D1525" s="73" t="str">
        <f>IFERROR(VLOOKUP(C1525,Stock,3,FALSE),"")</f>
        <v>Toyota Dyna/Hino Dutro 00-</v>
      </c>
      <c r="E1525" s="289">
        <v>2.0</v>
      </c>
      <c r="F1525" s="162"/>
      <c r="G1525" s="162">
        <f t="shared" si="33"/>
        <v>0</v>
      </c>
      <c r="H1525" s="194"/>
      <c r="I1525" s="161">
        <f t="shared" si="35"/>
        <v>0</v>
      </c>
      <c r="J1525" s="164">
        <f t="shared" si="30"/>
        <v>0</v>
      </c>
      <c r="K1525" s="56" t="s">
        <v>6808</v>
      </c>
      <c r="L1525" s="73"/>
      <c r="M1525" s="73"/>
      <c r="N1525" s="171"/>
      <c r="O1525" s="169" t="s">
        <v>6809</v>
      </c>
      <c r="P1525" s="202"/>
      <c r="Q1525" s="173"/>
      <c r="R1525" s="173"/>
      <c r="S1525" s="173"/>
      <c r="T1525" s="173"/>
      <c r="U1525" s="173"/>
      <c r="V1525" s="202"/>
      <c r="W1525" s="171"/>
      <c r="X1525" s="171"/>
    </row>
    <row r="1526" ht="15.0" customHeight="1">
      <c r="A1526" s="127">
        <v>45695.0</v>
      </c>
      <c r="B1526" s="181" t="s">
        <v>6816</v>
      </c>
      <c r="C1526" s="169" t="s">
        <v>3168</v>
      </c>
      <c r="D1526" s="73" t="str">
        <f>IFERROR(VLOOKUP(C1526,Stock,3,FALSE),"")</f>
        <v>Toyota Agya/Ayla</v>
      </c>
      <c r="E1526" s="289">
        <v>2.0</v>
      </c>
      <c r="F1526" s="162"/>
      <c r="G1526" s="162">
        <f t="shared" si="33"/>
        <v>0</v>
      </c>
      <c r="H1526" s="194"/>
      <c r="I1526" s="161">
        <f t="shared" si="35"/>
        <v>0</v>
      </c>
      <c r="J1526" s="164">
        <f t="shared" si="30"/>
        <v>0</v>
      </c>
      <c r="K1526" s="56" t="s">
        <v>6808</v>
      </c>
      <c r="L1526" s="73"/>
      <c r="M1526" s="73"/>
      <c r="N1526" s="171"/>
      <c r="O1526" s="169" t="s">
        <v>6809</v>
      </c>
      <c r="P1526" s="202"/>
      <c r="Q1526" s="173"/>
      <c r="R1526" s="173"/>
      <c r="S1526" s="173"/>
      <c r="T1526" s="173"/>
      <c r="U1526" s="173"/>
      <c r="V1526" s="202"/>
      <c r="W1526" s="171"/>
      <c r="X1526" s="171"/>
    </row>
    <row r="1527" ht="15.0" customHeight="1">
      <c r="A1527" s="127">
        <v>45695.0</v>
      </c>
      <c r="B1527" s="181" t="s">
        <v>6816</v>
      </c>
      <c r="C1527" s="169" t="s">
        <v>5365</v>
      </c>
      <c r="D1527" s="73" t="str">
        <f>IFERROR(VLOOKUP(C1527,Stock,3,FALSE),"")</f>
        <v>Nissan Livina  07-12 L10 (Tanpa Lubang) Nissan</v>
      </c>
      <c r="E1527" s="289">
        <v>2.0</v>
      </c>
      <c r="F1527" s="162"/>
      <c r="G1527" s="162">
        <f t="shared" si="33"/>
        <v>0</v>
      </c>
      <c r="H1527" s="194"/>
      <c r="I1527" s="161">
        <f t="shared" si="35"/>
        <v>0</v>
      </c>
      <c r="J1527" s="164">
        <f t="shared" si="30"/>
        <v>0</v>
      </c>
      <c r="K1527" s="56" t="s">
        <v>6808</v>
      </c>
      <c r="L1527" s="73"/>
      <c r="M1527" s="73"/>
      <c r="N1527" s="171"/>
      <c r="O1527" s="169" t="s">
        <v>6809</v>
      </c>
      <c r="P1527" s="202"/>
      <c r="Q1527" s="173"/>
      <c r="R1527" s="173"/>
      <c r="S1527" s="173"/>
      <c r="T1527" s="173"/>
      <c r="U1527" s="173"/>
      <c r="V1527" s="202"/>
      <c r="W1527" s="171"/>
      <c r="X1527" s="171"/>
    </row>
    <row r="1528" ht="15.0" customHeight="1">
      <c r="A1528" s="127">
        <v>45695.0</v>
      </c>
      <c r="B1528" s="181" t="s">
        <v>6816</v>
      </c>
      <c r="C1528" s="169" t="s">
        <v>2960</v>
      </c>
      <c r="D1528" s="73" t="str">
        <f>IFERROR(VLOOKUP(C1528,Stock,3,FALSE),"")</f>
        <v>Toyota Alphard 08-15 ANH20 2nd Gen (Hitam)</v>
      </c>
      <c r="E1528" s="289">
        <v>3.0</v>
      </c>
      <c r="F1528" s="162"/>
      <c r="G1528" s="162">
        <f t="shared" si="33"/>
        <v>0</v>
      </c>
      <c r="H1528" s="194"/>
      <c r="I1528" s="161">
        <f t="shared" si="35"/>
        <v>0</v>
      </c>
      <c r="J1528" s="164">
        <f t="shared" si="30"/>
        <v>0</v>
      </c>
      <c r="K1528" s="56" t="s">
        <v>6808</v>
      </c>
      <c r="L1528" s="73"/>
      <c r="M1528" s="73"/>
      <c r="N1528" s="171"/>
      <c r="O1528" s="169" t="s">
        <v>6809</v>
      </c>
      <c r="P1528" s="202"/>
      <c r="Q1528" s="173"/>
      <c r="R1528" s="173"/>
      <c r="S1528" s="173"/>
      <c r="T1528" s="173"/>
      <c r="U1528" s="173"/>
      <c r="V1528" s="202"/>
      <c r="W1528" s="171"/>
      <c r="X1528" s="171"/>
    </row>
    <row r="1529" ht="15.0" customHeight="1">
      <c r="A1529" s="127">
        <v>45695.0</v>
      </c>
      <c r="B1529" s="181" t="s">
        <v>6831</v>
      </c>
      <c r="C1529" s="56" t="s">
        <v>3290</v>
      </c>
      <c r="D1529" s="73" t="str">
        <f>IFERROR(VLOOKUP(C1529,Stock,3,FALSE),"")</f>
        <v>Toyota Innova 04-15 1st Gen</v>
      </c>
      <c r="E1529" s="203">
        <v>1.0</v>
      </c>
      <c r="F1529" s="161">
        <v>1449000.0</v>
      </c>
      <c r="G1529" s="162">
        <f t="shared" si="33"/>
        <v>1449000</v>
      </c>
      <c r="H1529" s="194"/>
      <c r="I1529" s="161">
        <f t="shared" si="35"/>
        <v>1449000</v>
      </c>
      <c r="J1529" s="164">
        <f t="shared" si="30"/>
        <v>1449000</v>
      </c>
      <c r="K1529" s="56" t="s">
        <v>6832</v>
      </c>
      <c r="L1529" s="165" t="s">
        <v>6833</v>
      </c>
      <c r="M1529" s="73"/>
      <c r="N1529" s="169" t="s">
        <v>6834</v>
      </c>
      <c r="O1529" s="169" t="s">
        <v>2958</v>
      </c>
      <c r="P1529" s="168" t="s">
        <v>3112</v>
      </c>
      <c r="Q1529" s="173"/>
      <c r="R1529" s="167">
        <v>1449000.0</v>
      </c>
      <c r="S1529" s="173"/>
      <c r="T1529" s="173"/>
      <c r="U1529" s="173"/>
      <c r="V1529" s="168" t="s">
        <v>3883</v>
      </c>
      <c r="W1529" s="169"/>
      <c r="X1529" s="171"/>
    </row>
    <row r="1530" ht="15.0" customHeight="1">
      <c r="A1530" s="127">
        <v>45695.0</v>
      </c>
      <c r="B1530" s="181" t="s">
        <v>6835</v>
      </c>
      <c r="C1530" s="56" t="s">
        <v>6836</v>
      </c>
      <c r="D1530" s="73" t="str">
        <f>IFERROR(VLOOKUP(C1530,Stock,3,FALSE),"")</f>
        <v>Taft GT / Hiline / Feroza (Daihatsu)        </v>
      </c>
      <c r="E1530" s="203">
        <v>1.0</v>
      </c>
      <c r="F1530" s="161">
        <v>500000.0</v>
      </c>
      <c r="G1530" s="162">
        <f t="shared" si="33"/>
        <v>500000</v>
      </c>
      <c r="H1530" s="194"/>
      <c r="I1530" s="161">
        <f t="shared" si="35"/>
        <v>500000</v>
      </c>
      <c r="J1530" s="164">
        <f t="shared" si="30"/>
        <v>500000</v>
      </c>
      <c r="K1530" s="197" t="s">
        <v>6837</v>
      </c>
      <c r="L1530" s="165" t="s">
        <v>6838</v>
      </c>
      <c r="M1530" s="418" t="s">
        <v>6839</v>
      </c>
      <c r="N1530" s="169" t="s">
        <v>6840</v>
      </c>
      <c r="O1530" s="169" t="s">
        <v>3213</v>
      </c>
      <c r="P1530" s="168" t="s">
        <v>3112</v>
      </c>
      <c r="Q1530" s="173"/>
      <c r="R1530" s="167">
        <v>500000.0</v>
      </c>
      <c r="S1530" s="173"/>
      <c r="T1530" s="173"/>
      <c r="U1530" s="173"/>
      <c r="V1530" s="168" t="s">
        <v>3799</v>
      </c>
      <c r="W1530" s="169"/>
      <c r="X1530" s="171"/>
    </row>
    <row r="1531" ht="15.0" customHeight="1">
      <c r="A1531" s="127">
        <v>45696.0</v>
      </c>
      <c r="B1531" s="181" t="s">
        <v>6841</v>
      </c>
      <c r="C1531" s="56" t="s">
        <v>3186</v>
      </c>
      <c r="D1531" s="73" t="str">
        <f>IFERROR(VLOOKUP(C1531,Stock,3,FALSE),"")</f>
        <v>Daihatsu Gran Max / Luxio 07-</v>
      </c>
      <c r="E1531" s="203">
        <v>1.0</v>
      </c>
      <c r="F1531" s="161">
        <v>1050000.0</v>
      </c>
      <c r="G1531" s="162">
        <f t="shared" si="33"/>
        <v>1050000</v>
      </c>
      <c r="H1531" s="194"/>
      <c r="I1531" s="161">
        <f t="shared" si="35"/>
        <v>1050000</v>
      </c>
      <c r="J1531" s="164">
        <f t="shared" si="30"/>
        <v>1050000</v>
      </c>
      <c r="K1531" s="197" t="s">
        <v>4472</v>
      </c>
      <c r="L1531" s="165" t="s">
        <v>6842</v>
      </c>
      <c r="M1531" s="73"/>
      <c r="N1531" s="171"/>
      <c r="O1531" s="169" t="s">
        <v>3184</v>
      </c>
      <c r="P1531" s="168" t="s">
        <v>3112</v>
      </c>
      <c r="Q1531" s="173"/>
      <c r="R1531" s="167">
        <v>1050000.0</v>
      </c>
      <c r="S1531" s="173"/>
      <c r="T1531" s="173"/>
      <c r="U1531" s="173"/>
      <c r="V1531" s="168" t="s">
        <v>3883</v>
      </c>
      <c r="W1531" s="169"/>
      <c r="X1531" s="171"/>
    </row>
    <row r="1532" ht="15.0" customHeight="1">
      <c r="A1532" s="127">
        <v>45696.0</v>
      </c>
      <c r="B1532" s="181" t="s">
        <v>6841</v>
      </c>
      <c r="C1532" s="56" t="s">
        <v>2954</v>
      </c>
      <c r="D1532" s="73" t="str">
        <f>IFERROR(VLOOKUP(C1532,Stock,3,FALSE),"")</f>
        <v>Transport</v>
      </c>
      <c r="E1532" s="203">
        <v>1.0</v>
      </c>
      <c r="F1532" s="161">
        <v>750000.0</v>
      </c>
      <c r="G1532" s="162">
        <f t="shared" si="33"/>
        <v>750000</v>
      </c>
      <c r="H1532" s="194"/>
      <c r="I1532" s="161">
        <f t="shared" si="35"/>
        <v>750000</v>
      </c>
      <c r="J1532" s="164">
        <f t="shared" si="30"/>
        <v>750000</v>
      </c>
      <c r="K1532" s="197" t="s">
        <v>4472</v>
      </c>
      <c r="L1532" s="165" t="s">
        <v>6842</v>
      </c>
      <c r="M1532" s="73"/>
      <c r="N1532" s="171"/>
      <c r="O1532" s="169" t="s">
        <v>3184</v>
      </c>
      <c r="P1532" s="168" t="s">
        <v>3112</v>
      </c>
      <c r="Q1532" s="173"/>
      <c r="R1532" s="167">
        <v>750000.0</v>
      </c>
      <c r="S1532" s="173"/>
      <c r="T1532" s="173"/>
      <c r="U1532" s="173"/>
      <c r="V1532" s="168" t="s">
        <v>3883</v>
      </c>
      <c r="W1532" s="169"/>
      <c r="X1532" s="171"/>
    </row>
    <row r="1533" ht="15.0" customHeight="1">
      <c r="A1533" s="127">
        <v>45696.0</v>
      </c>
      <c r="B1533" s="181" t="s">
        <v>6843</v>
      </c>
      <c r="C1533" s="56" t="s">
        <v>2625</v>
      </c>
      <c r="D1533" s="73" t="str">
        <f>IFERROR(VLOOKUP(C1533,Stock,3,FALSE),"")</f>
        <v>Honda Civic 16- 10th Gen</v>
      </c>
      <c r="E1533" s="203">
        <v>1.0</v>
      </c>
      <c r="F1533" s="161">
        <v>2741000.0</v>
      </c>
      <c r="G1533" s="162">
        <f t="shared" si="33"/>
        <v>2741000</v>
      </c>
      <c r="H1533" s="201">
        <v>100000.0</v>
      </c>
      <c r="I1533" s="161">
        <f t="shared" si="35"/>
        <v>2641000</v>
      </c>
      <c r="J1533" s="164">
        <f t="shared" si="30"/>
        <v>2641000</v>
      </c>
      <c r="K1533" s="197" t="s">
        <v>6844</v>
      </c>
      <c r="L1533" s="165" t="s">
        <v>6845</v>
      </c>
      <c r="M1533" s="313" t="s">
        <v>6846</v>
      </c>
      <c r="N1533" s="419" t="s">
        <v>6847</v>
      </c>
      <c r="O1533" s="169" t="s">
        <v>2958</v>
      </c>
      <c r="P1533" s="168" t="s">
        <v>3112</v>
      </c>
      <c r="Q1533" s="173"/>
      <c r="R1533" s="167">
        <v>2641000.0</v>
      </c>
      <c r="S1533" s="173"/>
      <c r="T1533" s="173"/>
      <c r="U1533" s="173"/>
      <c r="V1533" s="168" t="s">
        <v>3799</v>
      </c>
      <c r="W1533" s="169"/>
      <c r="X1533" s="171"/>
    </row>
    <row r="1534" ht="15.0" customHeight="1">
      <c r="A1534" s="127">
        <v>45696.0</v>
      </c>
      <c r="B1534" s="181" t="s">
        <v>6843</v>
      </c>
      <c r="C1534" s="56" t="s">
        <v>4027</v>
      </c>
      <c r="D1534" s="73" t="str">
        <f>IFERROR(VLOOKUP(C1534,Stock,3,FALSE),"")</f>
        <v>501 Sealant Application</v>
      </c>
      <c r="E1534" s="203">
        <v>1.0</v>
      </c>
      <c r="F1534" s="161">
        <v>150000.0</v>
      </c>
      <c r="G1534" s="162">
        <f t="shared" si="33"/>
        <v>150000</v>
      </c>
      <c r="H1534" s="194"/>
      <c r="I1534" s="161">
        <f t="shared" si="35"/>
        <v>150000</v>
      </c>
      <c r="J1534" s="164">
        <f t="shared" si="30"/>
        <v>150000</v>
      </c>
      <c r="K1534" s="197" t="s">
        <v>6844</v>
      </c>
      <c r="L1534" s="165" t="s">
        <v>6848</v>
      </c>
      <c r="M1534" s="313" t="s">
        <v>6846</v>
      </c>
      <c r="N1534" s="419" t="s">
        <v>6847</v>
      </c>
      <c r="O1534" s="169" t="s">
        <v>2958</v>
      </c>
      <c r="P1534" s="168" t="s">
        <v>3112</v>
      </c>
      <c r="Q1534" s="173"/>
      <c r="R1534" s="167">
        <v>150000.0</v>
      </c>
      <c r="S1534" s="173"/>
      <c r="T1534" s="173"/>
      <c r="U1534" s="173"/>
      <c r="V1534" s="168" t="s">
        <v>3799</v>
      </c>
      <c r="W1534" s="169"/>
      <c r="X1534" s="171"/>
    </row>
    <row r="1535" ht="15.0" customHeight="1">
      <c r="A1535" s="127">
        <v>45696.0</v>
      </c>
      <c r="B1535" s="181" t="s">
        <v>6849</v>
      </c>
      <c r="C1535" s="56" t="s">
        <v>2744</v>
      </c>
      <c r="D1535" s="73" t="str">
        <f>IFERROR(VLOOKUP(C1535,Stock,3,FALSE),"")</f>
        <v>Toyota Fortuner 05-15 1st Gen (Hitam)</v>
      </c>
      <c r="E1535" s="203">
        <v>1.0</v>
      </c>
      <c r="F1535" s="161">
        <v>2250000.0</v>
      </c>
      <c r="G1535" s="162">
        <f t="shared" si="33"/>
        <v>2250000</v>
      </c>
      <c r="H1535" s="194"/>
      <c r="I1535" s="161">
        <f t="shared" si="35"/>
        <v>2250000</v>
      </c>
      <c r="J1535" s="164">
        <f t="shared" si="30"/>
        <v>2250000</v>
      </c>
      <c r="K1535" s="197" t="s">
        <v>6698</v>
      </c>
      <c r="L1535" s="165" t="s">
        <v>6850</v>
      </c>
      <c r="M1535" s="73"/>
      <c r="N1535" s="289" t="s">
        <v>6851</v>
      </c>
      <c r="O1535" s="169" t="s">
        <v>2958</v>
      </c>
      <c r="P1535" s="168" t="s">
        <v>3112</v>
      </c>
      <c r="Q1535" s="173"/>
      <c r="R1535" s="167">
        <v>2250000.0</v>
      </c>
      <c r="S1535" s="173"/>
      <c r="T1535" s="173"/>
      <c r="U1535" s="173"/>
      <c r="V1535" s="168" t="s">
        <v>3799</v>
      </c>
      <c r="W1535" s="169"/>
      <c r="X1535" s="171"/>
    </row>
    <row r="1536" ht="15.0" customHeight="1">
      <c r="A1536" s="127">
        <v>45697.0</v>
      </c>
      <c r="B1536" s="181" t="s">
        <v>6852</v>
      </c>
      <c r="C1536" s="56" t="s">
        <v>3898</v>
      </c>
      <c r="D1536" s="73" t="str">
        <f>IFERROR(VLOOKUP(C1536,Stock,3,FALSE),"")</f>
        <v>Suzuki Ertiga 18- 2nd Gen / XL7</v>
      </c>
      <c r="E1536" s="203">
        <v>1.0</v>
      </c>
      <c r="F1536" s="161">
        <v>1222000.0</v>
      </c>
      <c r="G1536" s="162">
        <f t="shared" si="33"/>
        <v>1222000</v>
      </c>
      <c r="H1536" s="194"/>
      <c r="I1536" s="161">
        <f t="shared" si="35"/>
        <v>1222000</v>
      </c>
      <c r="J1536" s="164">
        <f t="shared" si="30"/>
        <v>1222000</v>
      </c>
      <c r="K1536" s="56" t="s">
        <v>6853</v>
      </c>
      <c r="L1536" s="165" t="s">
        <v>6854</v>
      </c>
      <c r="M1536" s="73"/>
      <c r="N1536" s="169" t="s">
        <v>6855</v>
      </c>
      <c r="O1536" s="169" t="s">
        <v>3213</v>
      </c>
      <c r="P1536" s="168" t="s">
        <v>3112</v>
      </c>
      <c r="Q1536" s="173"/>
      <c r="R1536" s="167">
        <v>1222000.0</v>
      </c>
      <c r="S1536" s="173"/>
      <c r="T1536" s="173"/>
      <c r="U1536" s="173"/>
      <c r="V1536" s="168" t="s">
        <v>3883</v>
      </c>
      <c r="W1536" s="169"/>
      <c r="X1536" s="171"/>
    </row>
    <row r="1537" ht="15.0" customHeight="1">
      <c r="A1537" s="127">
        <v>45697.0</v>
      </c>
      <c r="B1537" s="181" t="s">
        <v>6856</v>
      </c>
      <c r="C1537" s="56" t="s">
        <v>4608</v>
      </c>
      <c r="D1537" s="73" t="str">
        <f>IFERROR(VLOOKUP(C1537,Stock,3,FALSE),"")</f>
        <v>Suzuki APV 03- Van</v>
      </c>
      <c r="E1537" s="203">
        <v>1.0</v>
      </c>
      <c r="F1537" s="161">
        <v>815000.0</v>
      </c>
      <c r="G1537" s="162">
        <f t="shared" si="33"/>
        <v>815000</v>
      </c>
      <c r="H1537" s="194"/>
      <c r="I1537" s="161">
        <f t="shared" si="35"/>
        <v>815000</v>
      </c>
      <c r="J1537" s="164">
        <f t="shared" si="30"/>
        <v>815000</v>
      </c>
      <c r="K1537" s="56" t="s">
        <v>6857</v>
      </c>
      <c r="L1537" s="165" t="s">
        <v>6858</v>
      </c>
      <c r="M1537" s="73"/>
      <c r="N1537" s="171"/>
      <c r="O1537" s="169" t="s">
        <v>2958</v>
      </c>
      <c r="P1537" s="168" t="s">
        <v>3112</v>
      </c>
      <c r="Q1537" s="167">
        <v>900000.0</v>
      </c>
      <c r="R1537" s="173"/>
      <c r="S1537" s="173"/>
      <c r="T1537" s="173"/>
      <c r="U1537" s="167">
        <v>85000.0</v>
      </c>
      <c r="V1537" s="168" t="s">
        <v>3883</v>
      </c>
      <c r="W1537" s="169"/>
      <c r="X1537" s="171"/>
    </row>
    <row r="1538" ht="15.0" customHeight="1">
      <c r="A1538" s="127">
        <v>45697.0</v>
      </c>
      <c r="B1538" s="181" t="s">
        <v>6859</v>
      </c>
      <c r="C1538" s="56" t="s">
        <v>2965</v>
      </c>
      <c r="D1538" s="73" t="str">
        <f>IFERROR(VLOOKUP(C1538,Stock,3,FALSE),"")</f>
        <v>Suzuki Ertiga 12-18 1st Gen MPV</v>
      </c>
      <c r="E1538" s="203">
        <v>1.0</v>
      </c>
      <c r="F1538" s="161">
        <v>950000.0</v>
      </c>
      <c r="G1538" s="162">
        <f t="shared" si="33"/>
        <v>950000</v>
      </c>
      <c r="H1538" s="194"/>
      <c r="I1538" s="161">
        <f t="shared" si="35"/>
        <v>950000</v>
      </c>
      <c r="J1538" s="164">
        <f t="shared" si="30"/>
        <v>950000</v>
      </c>
      <c r="K1538" s="56" t="s">
        <v>6860</v>
      </c>
      <c r="L1538" s="165" t="s">
        <v>6861</v>
      </c>
      <c r="M1538" s="73"/>
      <c r="N1538" s="169" t="s">
        <v>6862</v>
      </c>
      <c r="O1538" s="169" t="s">
        <v>2958</v>
      </c>
      <c r="P1538" s="168" t="s">
        <v>3112</v>
      </c>
      <c r="Q1538" s="173"/>
      <c r="R1538" s="167">
        <v>950000.0</v>
      </c>
      <c r="S1538" s="173"/>
      <c r="T1538" s="173"/>
      <c r="U1538" s="173"/>
      <c r="V1538" s="168" t="s">
        <v>3883</v>
      </c>
      <c r="W1538" s="169"/>
      <c r="X1538" s="171"/>
    </row>
    <row r="1539" ht="15.0" customHeight="1">
      <c r="A1539" s="127">
        <v>45697.0</v>
      </c>
      <c r="B1539" s="181" t="s">
        <v>6863</v>
      </c>
      <c r="C1539" s="56" t="s">
        <v>3186</v>
      </c>
      <c r="D1539" s="73" t="str">
        <f>IFERROR(VLOOKUP(C1539,Stock,3,FALSE),"")</f>
        <v>Daihatsu Gran Max / Luxio 07-</v>
      </c>
      <c r="E1539" s="203">
        <v>1.0</v>
      </c>
      <c r="F1539" s="161">
        <v>1050000.0</v>
      </c>
      <c r="G1539" s="162">
        <f t="shared" si="33"/>
        <v>1050000</v>
      </c>
      <c r="H1539" s="194"/>
      <c r="I1539" s="161">
        <f t="shared" si="35"/>
        <v>1050000</v>
      </c>
      <c r="J1539" s="164">
        <f t="shared" si="30"/>
        <v>1050000</v>
      </c>
      <c r="K1539" s="56" t="s">
        <v>6864</v>
      </c>
      <c r="L1539" s="165" t="s">
        <v>6865</v>
      </c>
      <c r="M1539" s="73"/>
      <c r="N1539" s="171"/>
      <c r="O1539" s="169" t="s">
        <v>2958</v>
      </c>
      <c r="P1539" s="168" t="s">
        <v>3112</v>
      </c>
      <c r="Q1539" s="173"/>
      <c r="R1539" s="167">
        <v>1050000.0</v>
      </c>
      <c r="S1539" s="173"/>
      <c r="T1539" s="173"/>
      <c r="U1539" s="173"/>
      <c r="V1539" s="168" t="s">
        <v>3883</v>
      </c>
      <c r="W1539" s="169"/>
      <c r="X1539" s="171"/>
    </row>
    <row r="1540" ht="15.0" customHeight="1">
      <c r="A1540" s="127">
        <v>45697.0</v>
      </c>
      <c r="B1540" s="181" t="s">
        <v>6866</v>
      </c>
      <c r="C1540" s="56" t="s">
        <v>2703</v>
      </c>
      <c r="D1540" s="73" t="str">
        <f>IFERROR(VLOOKUP(C1540,Stock,3,FALSE),"")</f>
        <v>Toyota Hi-Ace 04-20 Commuter</v>
      </c>
      <c r="E1540" s="203">
        <v>1.0</v>
      </c>
      <c r="F1540" s="161">
        <v>1409000.0</v>
      </c>
      <c r="G1540" s="162">
        <f t="shared" si="33"/>
        <v>1409000</v>
      </c>
      <c r="H1540" s="194"/>
      <c r="I1540" s="161">
        <f t="shared" si="35"/>
        <v>1409000</v>
      </c>
      <c r="J1540" s="164">
        <f t="shared" si="30"/>
        <v>1409000</v>
      </c>
      <c r="K1540" s="56" t="s">
        <v>6867</v>
      </c>
      <c r="L1540" s="165" t="s">
        <v>6868</v>
      </c>
      <c r="M1540" s="73"/>
      <c r="N1540" s="171"/>
      <c r="O1540" s="169" t="s">
        <v>2958</v>
      </c>
      <c r="P1540" s="168" t="s">
        <v>3112</v>
      </c>
      <c r="Q1540" s="173"/>
      <c r="R1540" s="167">
        <v>1409000.0</v>
      </c>
      <c r="S1540" s="173"/>
      <c r="T1540" s="173"/>
      <c r="U1540" s="173"/>
      <c r="V1540" s="168" t="s">
        <v>3883</v>
      </c>
      <c r="W1540" s="169"/>
      <c r="X1540" s="171"/>
    </row>
    <row r="1541" ht="15.0" customHeight="1">
      <c r="A1541" s="127">
        <v>45697.0</v>
      </c>
      <c r="B1541" s="181" t="s">
        <v>6866</v>
      </c>
      <c r="C1541" s="56" t="s">
        <v>4027</v>
      </c>
      <c r="D1541" s="73" t="str">
        <f>IFERROR(VLOOKUP(C1541,Stock,3,FALSE),"")</f>
        <v>501 Sealant Application</v>
      </c>
      <c r="E1541" s="203">
        <v>2.0</v>
      </c>
      <c r="F1541" s="161">
        <v>95000.0</v>
      </c>
      <c r="G1541" s="162">
        <f t="shared" si="33"/>
        <v>190000</v>
      </c>
      <c r="H1541" s="194"/>
      <c r="I1541" s="161">
        <f t="shared" si="35"/>
        <v>190000</v>
      </c>
      <c r="J1541" s="164">
        <f t="shared" si="30"/>
        <v>190000</v>
      </c>
      <c r="K1541" s="56" t="s">
        <v>6867</v>
      </c>
      <c r="L1541" s="165" t="s">
        <v>6868</v>
      </c>
      <c r="M1541" s="73"/>
      <c r="N1541" s="171"/>
      <c r="O1541" s="169" t="s">
        <v>2958</v>
      </c>
      <c r="P1541" s="168" t="s">
        <v>3112</v>
      </c>
      <c r="Q1541" s="173"/>
      <c r="R1541" s="167">
        <v>190000.0</v>
      </c>
      <c r="S1541" s="173"/>
      <c r="T1541" s="173"/>
      <c r="U1541" s="173"/>
      <c r="V1541" s="168" t="s">
        <v>3883</v>
      </c>
      <c r="W1541" s="169"/>
      <c r="X1541" s="171"/>
    </row>
    <row r="1542" ht="15.0" customHeight="1">
      <c r="A1542" s="127">
        <v>45697.0</v>
      </c>
      <c r="B1542" s="181" t="s">
        <v>6866</v>
      </c>
      <c r="C1542" s="56" t="s">
        <v>2934</v>
      </c>
      <c r="D1542" s="73" t="str">
        <f>IFERROR(VLOOKUP(C1542,Stock,3,FALSE),"")</f>
        <v>Peti Kayu</v>
      </c>
      <c r="E1542" s="203">
        <v>1.0</v>
      </c>
      <c r="F1542" s="161">
        <v>200000.0</v>
      </c>
      <c r="G1542" s="162">
        <f t="shared" si="33"/>
        <v>200000</v>
      </c>
      <c r="H1542" s="194"/>
      <c r="I1542" s="161">
        <f t="shared" si="35"/>
        <v>200000</v>
      </c>
      <c r="J1542" s="164">
        <f t="shared" si="30"/>
        <v>200000</v>
      </c>
      <c r="K1542" s="56" t="s">
        <v>6867</v>
      </c>
      <c r="L1542" s="165" t="s">
        <v>6868</v>
      </c>
      <c r="M1542" s="73"/>
      <c r="N1542" s="171"/>
      <c r="O1542" s="169" t="s">
        <v>2958</v>
      </c>
      <c r="P1542" s="168" t="s">
        <v>3112</v>
      </c>
      <c r="Q1542" s="173"/>
      <c r="R1542" s="167">
        <v>200000.0</v>
      </c>
      <c r="S1542" s="173"/>
      <c r="T1542" s="173"/>
      <c r="U1542" s="173"/>
      <c r="V1542" s="168" t="s">
        <v>3883</v>
      </c>
      <c r="W1542" s="169"/>
      <c r="X1542" s="171"/>
    </row>
    <row r="1543" ht="15.0" customHeight="1">
      <c r="A1543" s="127">
        <v>45697.0</v>
      </c>
      <c r="B1543" s="181" t="s">
        <v>6866</v>
      </c>
      <c r="C1543" s="56" t="s">
        <v>2954</v>
      </c>
      <c r="D1543" s="73" t="str">
        <f>IFERROR(VLOOKUP(C1543,Stock,3,FALSE),"")</f>
        <v>Transport</v>
      </c>
      <c r="E1543" s="56">
        <v>1.0</v>
      </c>
      <c r="F1543" s="161">
        <v>50000.0</v>
      </c>
      <c r="G1543" s="162">
        <f t="shared" si="33"/>
        <v>50000</v>
      </c>
      <c r="H1543" s="194"/>
      <c r="I1543" s="161">
        <f t="shared" si="35"/>
        <v>50000</v>
      </c>
      <c r="J1543" s="164">
        <f t="shared" si="30"/>
        <v>50000</v>
      </c>
      <c r="K1543" s="56" t="s">
        <v>6867</v>
      </c>
      <c r="L1543" s="165" t="s">
        <v>6868</v>
      </c>
      <c r="M1543" s="73"/>
      <c r="N1543" s="171"/>
      <c r="O1543" s="169" t="s">
        <v>2958</v>
      </c>
      <c r="P1543" s="168" t="s">
        <v>3112</v>
      </c>
      <c r="Q1543" s="167">
        <v>50000.0</v>
      </c>
      <c r="R1543" s="173"/>
      <c r="S1543" s="173"/>
      <c r="T1543" s="173"/>
      <c r="U1543" s="173"/>
      <c r="V1543" s="168" t="s">
        <v>3883</v>
      </c>
      <c r="W1543" s="169"/>
      <c r="X1543" s="171"/>
    </row>
    <row r="1544" ht="15.0" customHeight="1">
      <c r="A1544" s="127">
        <v>45698.0</v>
      </c>
      <c r="B1544" s="181" t="s">
        <v>6869</v>
      </c>
      <c r="C1544" s="330" t="s">
        <v>4623</v>
      </c>
      <c r="D1544" s="73" t="str">
        <f>IFERROR(VLOOKUP(C1544,Stock,3,FALSE),"")</f>
        <v>Toyota Innova 15- 2nd Gen</v>
      </c>
      <c r="E1544" s="56">
        <v>1.0</v>
      </c>
      <c r="F1544" s="161">
        <v>1319000.0</v>
      </c>
      <c r="G1544" s="162">
        <f t="shared" si="33"/>
        <v>1319000</v>
      </c>
      <c r="H1544" s="194"/>
      <c r="I1544" s="161">
        <f t="shared" si="35"/>
        <v>1319000</v>
      </c>
      <c r="J1544" s="164">
        <f t="shared" si="30"/>
        <v>1319000</v>
      </c>
      <c r="K1544" s="56" t="s">
        <v>6870</v>
      </c>
      <c r="L1544" s="165" t="s">
        <v>6871</v>
      </c>
      <c r="M1544" s="73"/>
      <c r="N1544" s="171"/>
      <c r="O1544" s="169" t="s">
        <v>3037</v>
      </c>
      <c r="P1544" s="168" t="s">
        <v>3112</v>
      </c>
      <c r="Q1544" s="167">
        <v>1319000.0</v>
      </c>
      <c r="R1544" s="173"/>
      <c r="S1544" s="173"/>
      <c r="T1544" s="173"/>
      <c r="U1544" s="173"/>
      <c r="V1544" s="168" t="s">
        <v>3883</v>
      </c>
      <c r="W1544" s="169"/>
      <c r="X1544" s="171"/>
    </row>
    <row r="1545" ht="15.0" customHeight="1">
      <c r="A1545" s="127">
        <v>45698.0</v>
      </c>
      <c r="B1545" s="181" t="s">
        <v>6869</v>
      </c>
      <c r="C1545" s="251" t="s">
        <v>2954</v>
      </c>
      <c r="D1545" s="73" t="str">
        <f>IFERROR(VLOOKUP(C1545,Stock,3,FALSE),"")</f>
        <v>Transport</v>
      </c>
      <c r="E1545" s="56">
        <v>1.0</v>
      </c>
      <c r="F1545" s="161">
        <v>150000.0</v>
      </c>
      <c r="G1545" s="162">
        <f t="shared" si="33"/>
        <v>150000</v>
      </c>
      <c r="H1545" s="194"/>
      <c r="I1545" s="161">
        <f t="shared" si="35"/>
        <v>150000</v>
      </c>
      <c r="J1545" s="164">
        <f t="shared" si="30"/>
        <v>150000</v>
      </c>
      <c r="K1545" s="56" t="s">
        <v>6870</v>
      </c>
      <c r="L1545" s="165" t="s">
        <v>6871</v>
      </c>
      <c r="M1545" s="73"/>
      <c r="N1545" s="171"/>
      <c r="O1545" s="169" t="s">
        <v>3037</v>
      </c>
      <c r="P1545" s="168" t="s">
        <v>3112</v>
      </c>
      <c r="Q1545" s="167">
        <v>150000.0</v>
      </c>
      <c r="R1545" s="173"/>
      <c r="S1545" s="173"/>
      <c r="T1545" s="173"/>
      <c r="U1545" s="173"/>
      <c r="V1545" s="168" t="s">
        <v>3883</v>
      </c>
      <c r="W1545" s="169"/>
      <c r="X1545" s="171"/>
    </row>
    <row r="1546" ht="15.0" customHeight="1">
      <c r="A1546" s="127">
        <v>45698.0</v>
      </c>
      <c r="B1546" s="181" t="s">
        <v>6872</v>
      </c>
      <c r="C1546" s="56" t="s">
        <v>3186</v>
      </c>
      <c r="D1546" s="73" t="str">
        <f>IFERROR(VLOOKUP(C1546,Stock,3,FALSE),"")</f>
        <v>Daihatsu Gran Max / Luxio 07-</v>
      </c>
      <c r="E1546" s="56">
        <v>1.0</v>
      </c>
      <c r="F1546" s="161">
        <v>1050000.0</v>
      </c>
      <c r="G1546" s="162">
        <f t="shared" si="33"/>
        <v>1050000</v>
      </c>
      <c r="H1546" s="194"/>
      <c r="I1546" s="161">
        <f t="shared" si="35"/>
        <v>1050000</v>
      </c>
      <c r="J1546" s="164">
        <f t="shared" si="30"/>
        <v>1050000</v>
      </c>
      <c r="K1546" s="197" t="s">
        <v>6873</v>
      </c>
      <c r="L1546" s="165" t="s">
        <v>6874</v>
      </c>
      <c r="M1546" s="73"/>
      <c r="N1546" s="171"/>
      <c r="O1546" s="169" t="s">
        <v>2958</v>
      </c>
      <c r="P1546" s="168" t="s">
        <v>3112</v>
      </c>
      <c r="Q1546" s="173"/>
      <c r="R1546" s="167">
        <v>1050000.0</v>
      </c>
      <c r="S1546" s="173"/>
      <c r="T1546" s="173"/>
      <c r="U1546" s="173"/>
      <c r="V1546" s="168" t="s">
        <v>3799</v>
      </c>
      <c r="W1546" s="169"/>
      <c r="X1546" s="171"/>
    </row>
    <row r="1547" ht="15.0" customHeight="1">
      <c r="A1547" s="127">
        <v>45699.0</v>
      </c>
      <c r="B1547" s="181" t="s">
        <v>6875</v>
      </c>
      <c r="C1547" s="56" t="s">
        <v>2637</v>
      </c>
      <c r="D1547" s="73" t="str">
        <f>IFERROR(VLOOKUP(C1547,Stock,3,FALSE),"")</f>
        <v>Ford Everest 04-15 / Ranger 04-11 / Mazda BT-50</v>
      </c>
      <c r="E1547" s="56">
        <v>1.0</v>
      </c>
      <c r="F1547" s="161">
        <v>1461000.0</v>
      </c>
      <c r="G1547" s="162">
        <f t="shared" si="33"/>
        <v>1461000</v>
      </c>
      <c r="H1547" s="194"/>
      <c r="I1547" s="161">
        <f t="shared" si="35"/>
        <v>1461000</v>
      </c>
      <c r="J1547" s="164">
        <f t="shared" si="30"/>
        <v>1461000</v>
      </c>
      <c r="K1547" s="197" t="s">
        <v>6876</v>
      </c>
      <c r="L1547" s="165" t="s">
        <v>6868</v>
      </c>
      <c r="M1547" s="313" t="s">
        <v>6877</v>
      </c>
      <c r="N1547" s="289" t="s">
        <v>6878</v>
      </c>
      <c r="O1547" s="169" t="s">
        <v>2958</v>
      </c>
      <c r="P1547" s="168" t="s">
        <v>3011</v>
      </c>
      <c r="Q1547" s="167">
        <v>1500000.0</v>
      </c>
      <c r="R1547" s="173"/>
      <c r="S1547" s="173"/>
      <c r="T1547" s="173"/>
      <c r="U1547" s="167">
        <v>39000.0</v>
      </c>
      <c r="V1547" s="168" t="s">
        <v>3799</v>
      </c>
      <c r="W1547" s="169"/>
      <c r="X1547" s="169" t="s">
        <v>6405</v>
      </c>
    </row>
    <row r="1548" ht="15.0" customHeight="1">
      <c r="A1548" s="127">
        <v>45699.0</v>
      </c>
      <c r="B1548" s="181" t="s">
        <v>6879</v>
      </c>
      <c r="C1548" s="56" t="s">
        <v>3411</v>
      </c>
      <c r="D1548" s="73" t="str">
        <f>IFERROR(VLOOKUP(C1548,Stock,3,FALSE),"")</f>
        <v>Toyota Agya/Ayla 13-22 1st Gen</v>
      </c>
      <c r="E1548" s="56">
        <v>1.0</v>
      </c>
      <c r="F1548" s="161">
        <v>1050000.0</v>
      </c>
      <c r="G1548" s="162">
        <f t="shared" si="33"/>
        <v>1050000</v>
      </c>
      <c r="H1548" s="201">
        <v>30000.0</v>
      </c>
      <c r="I1548" s="161">
        <f t="shared" si="35"/>
        <v>1020000</v>
      </c>
      <c r="J1548" s="164">
        <f t="shared" si="30"/>
        <v>1020000</v>
      </c>
      <c r="K1548" s="197" t="s">
        <v>6880</v>
      </c>
      <c r="L1548" s="165" t="s">
        <v>6881</v>
      </c>
      <c r="M1548" s="73"/>
      <c r="N1548" s="289" t="s">
        <v>6882</v>
      </c>
      <c r="O1548" s="169" t="s">
        <v>2958</v>
      </c>
      <c r="P1548" s="168" t="s">
        <v>3011</v>
      </c>
      <c r="Q1548" s="173"/>
      <c r="R1548" s="167">
        <v>1020000.0</v>
      </c>
      <c r="S1548" s="173"/>
      <c r="T1548" s="173"/>
      <c r="U1548" s="173"/>
      <c r="V1548" s="168" t="s">
        <v>3799</v>
      </c>
      <c r="W1548" s="169"/>
      <c r="X1548" s="171"/>
    </row>
    <row r="1549" ht="15.0" customHeight="1">
      <c r="A1549" s="127">
        <v>45700.0</v>
      </c>
      <c r="B1549" s="181" t="s">
        <v>6883</v>
      </c>
      <c r="C1549" s="56" t="s">
        <v>3378</v>
      </c>
      <c r="D1549" s="73" t="str">
        <f>IFERROR(VLOOKUP(C1549,Stock,3,FALSE),"")</f>
        <v>Isuzu Panther 00- 2nd Gen</v>
      </c>
      <c r="E1549" s="56">
        <v>1.0</v>
      </c>
      <c r="F1549" s="161">
        <v>1338000.0</v>
      </c>
      <c r="G1549" s="162">
        <f t="shared" si="33"/>
        <v>1338000</v>
      </c>
      <c r="H1549" s="194"/>
      <c r="I1549" s="161">
        <f t="shared" si="35"/>
        <v>1338000</v>
      </c>
      <c r="J1549" s="164">
        <f t="shared" si="30"/>
        <v>1338000</v>
      </c>
      <c r="K1549" s="56" t="s">
        <v>6884</v>
      </c>
      <c r="L1549" s="165" t="s">
        <v>6885</v>
      </c>
      <c r="M1549" s="73"/>
      <c r="N1549" s="169" t="s">
        <v>6886</v>
      </c>
      <c r="O1549" s="169" t="s">
        <v>3204</v>
      </c>
      <c r="P1549" s="168" t="s">
        <v>3112</v>
      </c>
      <c r="Q1549" s="173"/>
      <c r="R1549" s="167">
        <v>1338000.0</v>
      </c>
      <c r="S1549" s="173"/>
      <c r="T1549" s="173"/>
      <c r="U1549" s="173"/>
      <c r="V1549" s="168" t="s">
        <v>3883</v>
      </c>
      <c r="W1549" s="169"/>
      <c r="X1549" s="171"/>
    </row>
    <row r="1550" ht="15.0" customHeight="1">
      <c r="A1550" s="127">
        <v>45700.0</v>
      </c>
      <c r="B1550" s="181" t="s">
        <v>6811</v>
      </c>
      <c r="C1550" s="56" t="s">
        <v>6887</v>
      </c>
      <c r="D1550" s="73" t="str">
        <f>IFERROR(VLOOKUP(C1550,Stock,3,FALSE),"")</f>
        <v>Toyota Agya/Ayla 13-22 1st Gen</v>
      </c>
      <c r="E1550" s="56">
        <v>2.0</v>
      </c>
      <c r="F1550" s="162"/>
      <c r="G1550" s="162">
        <f t="shared" si="33"/>
        <v>0</v>
      </c>
      <c r="H1550" s="194"/>
      <c r="I1550" s="161">
        <f t="shared" si="35"/>
        <v>0</v>
      </c>
      <c r="J1550" s="164">
        <f t="shared" si="30"/>
        <v>0</v>
      </c>
      <c r="K1550" s="73"/>
      <c r="L1550" s="73"/>
      <c r="M1550" s="73"/>
      <c r="N1550" s="171"/>
      <c r="O1550" s="171"/>
      <c r="P1550" s="202"/>
      <c r="Q1550" s="173"/>
      <c r="R1550" s="173"/>
      <c r="S1550" s="173"/>
      <c r="T1550" s="173"/>
      <c r="U1550" s="173"/>
      <c r="V1550" s="202"/>
      <c r="W1550" s="171"/>
      <c r="X1550" s="171"/>
    </row>
    <row r="1551" ht="15.0" customHeight="1">
      <c r="A1551" s="127">
        <v>45700.0</v>
      </c>
      <c r="B1551" s="181" t="s">
        <v>6811</v>
      </c>
      <c r="C1551" s="56" t="s">
        <v>6888</v>
      </c>
      <c r="D1551" s="73" t="str">
        <f>IFERROR(VLOOKUP(C1551,Stock,3,FALSE),"")</f>
        <v>Toyota Agya/Ayla 13-22 1st Gen</v>
      </c>
      <c r="E1551" s="56">
        <v>3.0</v>
      </c>
      <c r="F1551" s="162"/>
      <c r="G1551" s="162">
        <f t="shared" si="33"/>
        <v>0</v>
      </c>
      <c r="H1551" s="194"/>
      <c r="I1551" s="161">
        <f t="shared" si="35"/>
        <v>0</v>
      </c>
      <c r="J1551" s="164">
        <f t="shared" si="30"/>
        <v>0</v>
      </c>
      <c r="K1551" s="73"/>
      <c r="L1551" s="73"/>
      <c r="M1551" s="73"/>
      <c r="N1551" s="171"/>
      <c r="O1551" s="171"/>
      <c r="P1551" s="202"/>
      <c r="Q1551" s="173"/>
      <c r="R1551" s="173"/>
      <c r="S1551" s="173"/>
      <c r="T1551" s="173"/>
      <c r="U1551" s="173"/>
      <c r="V1551" s="202"/>
      <c r="W1551" s="171"/>
      <c r="X1551" s="171"/>
    </row>
    <row r="1552" ht="15.0" customHeight="1">
      <c r="A1552" s="127">
        <v>45700.0</v>
      </c>
      <c r="B1552" s="181" t="s">
        <v>6806</v>
      </c>
      <c r="C1552" s="56" t="s">
        <v>6887</v>
      </c>
      <c r="D1552" s="73" t="str">
        <f>IFERROR(VLOOKUP(C1552,Stock,3,FALSE),"")</f>
        <v>Toyota Agya/Ayla 13-22 1st Gen</v>
      </c>
      <c r="E1552" s="56">
        <v>1.0</v>
      </c>
      <c r="F1552" s="162"/>
      <c r="G1552" s="162">
        <f t="shared" si="33"/>
        <v>0</v>
      </c>
      <c r="H1552" s="194"/>
      <c r="I1552" s="161">
        <f t="shared" si="35"/>
        <v>0</v>
      </c>
      <c r="J1552" s="164">
        <f t="shared" si="30"/>
        <v>0</v>
      </c>
      <c r="K1552" s="73"/>
      <c r="L1552" s="73"/>
      <c r="M1552" s="73"/>
      <c r="N1552" s="171"/>
      <c r="O1552" s="171"/>
      <c r="P1552" s="202"/>
      <c r="Q1552" s="173"/>
      <c r="R1552" s="173"/>
      <c r="S1552" s="173"/>
      <c r="T1552" s="173"/>
      <c r="U1552" s="173"/>
      <c r="V1552" s="202"/>
      <c r="W1552" s="171"/>
      <c r="X1552" s="171"/>
    </row>
    <row r="1553" ht="15.0" customHeight="1">
      <c r="A1553" s="127">
        <v>45700.0</v>
      </c>
      <c r="B1553" s="181" t="s">
        <v>6811</v>
      </c>
      <c r="C1553" s="56" t="s">
        <v>6889</v>
      </c>
      <c r="D1553" s="73" t="str">
        <f>IFERROR(VLOOKUP(C1553,Stock,3,FALSE),"")</f>
        <v>Toyota Avanza / Xenia 21- 4th Gen</v>
      </c>
      <c r="E1553" s="56">
        <v>2.0</v>
      </c>
      <c r="F1553" s="162"/>
      <c r="G1553" s="162">
        <f t="shared" si="33"/>
        <v>0</v>
      </c>
      <c r="H1553" s="194"/>
      <c r="I1553" s="161">
        <f t="shared" si="35"/>
        <v>0</v>
      </c>
      <c r="J1553" s="164">
        <f t="shared" si="30"/>
        <v>0</v>
      </c>
      <c r="K1553" s="73"/>
      <c r="L1553" s="73"/>
      <c r="M1553" s="73"/>
      <c r="N1553" s="171"/>
      <c r="O1553" s="171"/>
      <c r="P1553" s="202"/>
      <c r="Q1553" s="173"/>
      <c r="R1553" s="173"/>
      <c r="S1553" s="173"/>
      <c r="T1553" s="173"/>
      <c r="U1553" s="173"/>
      <c r="V1553" s="202"/>
      <c r="W1553" s="171"/>
      <c r="X1553" s="171"/>
    </row>
    <row r="1554" ht="15.0" customHeight="1">
      <c r="A1554" s="127">
        <v>45700.0</v>
      </c>
      <c r="B1554" s="181" t="s">
        <v>6811</v>
      </c>
      <c r="C1554" s="56" t="s">
        <v>2852</v>
      </c>
      <c r="D1554" s="73" t="str">
        <f>IFERROR(VLOOKUP(C1554,Stock,3,FALSE),"")</f>
        <v>Toyota Avanza / Xenia 21- 4th Gen</v>
      </c>
      <c r="E1554" s="56">
        <v>3.0</v>
      </c>
      <c r="F1554" s="162"/>
      <c r="G1554" s="162">
        <f t="shared" si="33"/>
        <v>0</v>
      </c>
      <c r="H1554" s="194"/>
      <c r="I1554" s="161">
        <f t="shared" si="35"/>
        <v>0</v>
      </c>
      <c r="J1554" s="164">
        <f t="shared" si="30"/>
        <v>0</v>
      </c>
      <c r="K1554" s="73"/>
      <c r="L1554" s="73"/>
      <c r="M1554" s="73"/>
      <c r="N1554" s="171"/>
      <c r="O1554" s="171"/>
      <c r="P1554" s="202"/>
      <c r="Q1554" s="173"/>
      <c r="R1554" s="173"/>
      <c r="S1554" s="173"/>
      <c r="T1554" s="173"/>
      <c r="U1554" s="173"/>
      <c r="V1554" s="202"/>
      <c r="W1554" s="171"/>
      <c r="X1554" s="171"/>
    </row>
    <row r="1555" ht="15.0" customHeight="1">
      <c r="A1555" s="127">
        <v>45700.0</v>
      </c>
      <c r="B1555" s="181" t="s">
        <v>6811</v>
      </c>
      <c r="C1555" s="56" t="s">
        <v>2819</v>
      </c>
      <c r="D1555" s="73" t="str">
        <f>IFERROR(VLOOKUP(C1555,Stock,3,FALSE),"")</f>
        <v>Toyota Rush / Terios 06-17</v>
      </c>
      <c r="E1555" s="56">
        <v>2.0</v>
      </c>
      <c r="F1555" s="162"/>
      <c r="G1555" s="162">
        <f t="shared" si="33"/>
        <v>0</v>
      </c>
      <c r="H1555" s="194"/>
      <c r="I1555" s="161">
        <f t="shared" si="35"/>
        <v>0</v>
      </c>
      <c r="J1555" s="164">
        <f t="shared" si="30"/>
        <v>0</v>
      </c>
      <c r="K1555" s="73"/>
      <c r="L1555" s="73"/>
      <c r="M1555" s="73"/>
      <c r="N1555" s="171"/>
      <c r="O1555" s="171"/>
      <c r="P1555" s="202"/>
      <c r="Q1555" s="173"/>
      <c r="R1555" s="173"/>
      <c r="S1555" s="173"/>
      <c r="T1555" s="173"/>
      <c r="U1555" s="173"/>
      <c r="V1555" s="202"/>
      <c r="W1555" s="171"/>
      <c r="X1555" s="171"/>
    </row>
    <row r="1556" ht="15.0" customHeight="1">
      <c r="A1556" s="127">
        <v>45700.0</v>
      </c>
      <c r="B1556" s="181" t="s">
        <v>6811</v>
      </c>
      <c r="C1556" s="56" t="s">
        <v>6890</v>
      </c>
      <c r="D1556" s="73" t="str">
        <f>IFERROR(VLOOKUP(C1556,Stock,3,FALSE),"")</f>
        <v>Toyota Rush / Terios 06-17</v>
      </c>
      <c r="E1556" s="56">
        <v>3.0</v>
      </c>
      <c r="F1556" s="162"/>
      <c r="G1556" s="162">
        <f t="shared" si="33"/>
        <v>0</v>
      </c>
      <c r="H1556" s="194"/>
      <c r="I1556" s="161">
        <f t="shared" si="35"/>
        <v>0</v>
      </c>
      <c r="J1556" s="164">
        <f t="shared" si="30"/>
        <v>0</v>
      </c>
      <c r="K1556" s="73"/>
      <c r="L1556" s="73"/>
      <c r="M1556" s="73"/>
      <c r="N1556" s="171"/>
      <c r="O1556" s="171"/>
      <c r="P1556" s="202"/>
      <c r="Q1556" s="173"/>
      <c r="R1556" s="173"/>
      <c r="S1556" s="173"/>
      <c r="T1556" s="173"/>
      <c r="U1556" s="173"/>
      <c r="V1556" s="202"/>
      <c r="W1556" s="171"/>
      <c r="X1556" s="171"/>
    </row>
    <row r="1557" ht="15.0" customHeight="1">
      <c r="A1557" s="127">
        <v>45700.0</v>
      </c>
      <c r="B1557" s="181" t="s">
        <v>6811</v>
      </c>
      <c r="C1557" s="56" t="s">
        <v>5040</v>
      </c>
      <c r="D1557" s="73" t="str">
        <f>IFERROR(VLOOKUP(C1557,Stock,3,FALSE),"")</f>
        <v>Isuzu Panther  91-99 1st Gen Kotak</v>
      </c>
      <c r="E1557" s="56">
        <v>2.0</v>
      </c>
      <c r="F1557" s="162"/>
      <c r="G1557" s="162">
        <f t="shared" si="33"/>
        <v>0</v>
      </c>
      <c r="H1557" s="194"/>
      <c r="I1557" s="161">
        <f t="shared" si="35"/>
        <v>0</v>
      </c>
      <c r="J1557" s="164">
        <f t="shared" si="30"/>
        <v>0</v>
      </c>
      <c r="K1557" s="73"/>
      <c r="L1557" s="73"/>
      <c r="M1557" s="73"/>
      <c r="N1557" s="171"/>
      <c r="O1557" s="171"/>
      <c r="P1557" s="202"/>
      <c r="Q1557" s="173"/>
      <c r="R1557" s="173"/>
      <c r="S1557" s="173"/>
      <c r="T1557" s="173"/>
      <c r="U1557" s="173"/>
      <c r="V1557" s="202"/>
      <c r="W1557" s="171"/>
      <c r="X1557" s="171"/>
    </row>
    <row r="1558" ht="15.0" customHeight="1">
      <c r="A1558" s="127">
        <v>45700.0</v>
      </c>
      <c r="B1558" s="181" t="s">
        <v>6811</v>
      </c>
      <c r="C1558" s="56" t="s">
        <v>5263</v>
      </c>
      <c r="D1558" s="73" t="str">
        <f>IFERROR(VLOOKUP(C1558,Stock,3,FALSE),"")</f>
        <v>Suzuki Carry (1000cc)</v>
      </c>
      <c r="E1558" s="56">
        <v>2.0</v>
      </c>
      <c r="F1558" s="162"/>
      <c r="G1558" s="162">
        <f t="shared" si="33"/>
        <v>0</v>
      </c>
      <c r="H1558" s="194"/>
      <c r="I1558" s="161">
        <f t="shared" si="35"/>
        <v>0</v>
      </c>
      <c r="J1558" s="164">
        <f t="shared" si="30"/>
        <v>0</v>
      </c>
      <c r="K1558" s="73"/>
      <c r="L1558" s="73"/>
      <c r="M1558" s="73"/>
      <c r="N1558" s="171"/>
      <c r="O1558" s="171"/>
      <c r="P1558" s="202"/>
      <c r="Q1558" s="173"/>
      <c r="R1558" s="173"/>
      <c r="S1558" s="173"/>
      <c r="T1558" s="173"/>
      <c r="U1558" s="173"/>
      <c r="V1558" s="202"/>
      <c r="W1558" s="171"/>
      <c r="X1558" s="171"/>
    </row>
    <row r="1559" ht="15.0" customHeight="1">
      <c r="A1559" s="127">
        <v>45700.0</v>
      </c>
      <c r="B1559" s="181" t="s">
        <v>6811</v>
      </c>
      <c r="C1559" s="56" t="s">
        <v>6891</v>
      </c>
      <c r="D1559" s="73" t="str">
        <f>IFERROR(VLOOKUP(C1559,Stock,3,FALSE),"")</f>
        <v>Toyota Innova 15- 2nd Gen</v>
      </c>
      <c r="E1559" s="56">
        <v>1.0</v>
      </c>
      <c r="F1559" s="162"/>
      <c r="G1559" s="162">
        <f t="shared" si="33"/>
        <v>0</v>
      </c>
      <c r="H1559" s="194"/>
      <c r="I1559" s="161">
        <f t="shared" si="35"/>
        <v>0</v>
      </c>
      <c r="J1559" s="164">
        <f t="shared" si="30"/>
        <v>0</v>
      </c>
      <c r="K1559" s="73"/>
      <c r="L1559" s="73"/>
      <c r="M1559" s="73"/>
      <c r="N1559" s="171"/>
      <c r="O1559" s="171"/>
      <c r="P1559" s="202"/>
      <c r="Q1559" s="173"/>
      <c r="R1559" s="173"/>
      <c r="S1559" s="173"/>
      <c r="T1559" s="173"/>
      <c r="U1559" s="173"/>
      <c r="V1559" s="202"/>
      <c r="W1559" s="171"/>
      <c r="X1559" s="171"/>
    </row>
    <row r="1560" ht="15.0" customHeight="1">
      <c r="A1560" s="127">
        <v>45700.0</v>
      </c>
      <c r="B1560" s="181" t="s">
        <v>6806</v>
      </c>
      <c r="C1560" s="169" t="s">
        <v>6033</v>
      </c>
      <c r="D1560" s="73" t="str">
        <f>IFERROR(VLOOKUP(C1560,Stock,3,FALSE),"")</f>
        <v>Mitsubishi Kuda 99-06</v>
      </c>
      <c r="E1560" s="56">
        <v>2.0</v>
      </c>
      <c r="F1560" s="162"/>
      <c r="G1560" s="162">
        <f t="shared" si="33"/>
        <v>0</v>
      </c>
      <c r="H1560" s="194"/>
      <c r="I1560" s="161">
        <f t="shared" si="35"/>
        <v>0</v>
      </c>
      <c r="J1560" s="164">
        <f t="shared" si="30"/>
        <v>0</v>
      </c>
      <c r="K1560" s="73"/>
      <c r="L1560" s="73"/>
      <c r="M1560" s="73"/>
      <c r="N1560" s="171"/>
      <c r="O1560" s="171"/>
      <c r="P1560" s="202"/>
      <c r="Q1560" s="173"/>
      <c r="R1560" s="173"/>
      <c r="S1560" s="173"/>
      <c r="T1560" s="173"/>
      <c r="U1560" s="173"/>
      <c r="V1560" s="202"/>
      <c r="W1560" s="171"/>
      <c r="X1560" s="171"/>
    </row>
    <row r="1561" ht="15.0" customHeight="1">
      <c r="A1561" s="127">
        <v>45700.0</v>
      </c>
      <c r="B1561" s="181" t="s">
        <v>6806</v>
      </c>
      <c r="C1561" s="169" t="s">
        <v>2827</v>
      </c>
      <c r="D1561" s="73" t="str">
        <f>IFERROR(VLOOKUP(C1561,Stock,3,FALSE),"")</f>
        <v>Suzuki Ertiga 12-18 1st Gen MPV</v>
      </c>
      <c r="E1561" s="56">
        <v>2.0</v>
      </c>
      <c r="F1561" s="162"/>
      <c r="G1561" s="162">
        <f t="shared" si="33"/>
        <v>0</v>
      </c>
      <c r="H1561" s="194"/>
      <c r="I1561" s="161">
        <f t="shared" si="35"/>
        <v>0</v>
      </c>
      <c r="J1561" s="164">
        <f t="shared" si="30"/>
        <v>0</v>
      </c>
      <c r="K1561" s="73"/>
      <c r="L1561" s="73"/>
      <c r="M1561" s="73"/>
      <c r="N1561" s="171"/>
      <c r="O1561" s="171"/>
      <c r="P1561" s="202"/>
      <c r="Q1561" s="173"/>
      <c r="R1561" s="173"/>
      <c r="S1561" s="173"/>
      <c r="T1561" s="173"/>
      <c r="U1561" s="173"/>
      <c r="V1561" s="202"/>
      <c r="W1561" s="171"/>
      <c r="X1561" s="171"/>
    </row>
    <row r="1562" ht="15.0" customHeight="1">
      <c r="A1562" s="127">
        <v>45700.0</v>
      </c>
      <c r="B1562" s="181" t="s">
        <v>6806</v>
      </c>
      <c r="C1562" s="169" t="s">
        <v>2863</v>
      </c>
      <c r="D1562" s="73" t="str">
        <f>IFERROR(VLOOKUP(C1562,Stock,3,FALSE),"")</f>
        <v>Mitsubishi Canter FE300 85- (PS100,120,135 kabin kecil)</v>
      </c>
      <c r="E1562" s="56">
        <v>2.0</v>
      </c>
      <c r="F1562" s="162"/>
      <c r="G1562" s="162">
        <f t="shared" si="33"/>
        <v>0</v>
      </c>
      <c r="H1562" s="194"/>
      <c r="I1562" s="161">
        <f t="shared" si="35"/>
        <v>0</v>
      </c>
      <c r="J1562" s="164">
        <f t="shared" si="30"/>
        <v>0</v>
      </c>
      <c r="K1562" s="73"/>
      <c r="L1562" s="73"/>
      <c r="M1562" s="73"/>
      <c r="N1562" s="171"/>
      <c r="O1562" s="171"/>
      <c r="P1562" s="202"/>
      <c r="Q1562" s="173"/>
      <c r="R1562" s="173"/>
      <c r="S1562" s="173"/>
      <c r="T1562" s="173"/>
      <c r="U1562" s="173"/>
      <c r="V1562" s="202"/>
      <c r="W1562" s="171"/>
      <c r="X1562" s="171"/>
    </row>
    <row r="1563" ht="15.0" customHeight="1">
      <c r="A1563" s="127">
        <v>45700.0</v>
      </c>
      <c r="B1563" s="181" t="s">
        <v>6806</v>
      </c>
      <c r="C1563" s="169" t="s">
        <v>2855</v>
      </c>
      <c r="D1563" s="73" t="str">
        <f>IFERROR(VLOOKUP(C1563,Stock,3,FALSE),"")</f>
        <v>Toyota Dyna/Hino Dutro 00-</v>
      </c>
      <c r="E1563" s="56">
        <v>2.0</v>
      </c>
      <c r="F1563" s="162"/>
      <c r="G1563" s="162">
        <f t="shared" si="33"/>
        <v>0</v>
      </c>
      <c r="H1563" s="194"/>
      <c r="I1563" s="161">
        <f t="shared" si="35"/>
        <v>0</v>
      </c>
      <c r="J1563" s="164">
        <f t="shared" si="30"/>
        <v>0</v>
      </c>
      <c r="K1563" s="73"/>
      <c r="L1563" s="73"/>
      <c r="M1563" s="73"/>
      <c r="N1563" s="171"/>
      <c r="O1563" s="171"/>
      <c r="P1563" s="202"/>
      <c r="Q1563" s="173"/>
      <c r="R1563" s="173"/>
      <c r="S1563" s="173"/>
      <c r="T1563" s="173"/>
      <c r="U1563" s="173"/>
      <c r="V1563" s="202"/>
      <c r="W1563" s="171"/>
      <c r="X1563" s="171"/>
    </row>
    <row r="1564" ht="15.0" customHeight="1">
      <c r="A1564" s="127">
        <v>45700.0</v>
      </c>
      <c r="B1564" s="181" t="s">
        <v>6806</v>
      </c>
      <c r="C1564" s="169" t="s">
        <v>2820</v>
      </c>
      <c r="D1564" s="73" t="str">
        <f>IFERROR(VLOOKUP(C1564,Stock,3,FALSE),"")</f>
        <v>Toyota Dyna/Hino Dutro 00-</v>
      </c>
      <c r="E1564" s="56">
        <v>2.0</v>
      </c>
      <c r="F1564" s="162"/>
      <c r="G1564" s="162">
        <f t="shared" si="33"/>
        <v>0</v>
      </c>
      <c r="H1564" s="194"/>
      <c r="I1564" s="161">
        <f t="shared" si="35"/>
        <v>0</v>
      </c>
      <c r="J1564" s="164">
        <f t="shared" si="30"/>
        <v>0</v>
      </c>
      <c r="K1564" s="73"/>
      <c r="L1564" s="73"/>
      <c r="M1564" s="73"/>
      <c r="N1564" s="171"/>
      <c r="O1564" s="171"/>
      <c r="P1564" s="202"/>
      <c r="Q1564" s="173"/>
      <c r="R1564" s="173"/>
      <c r="S1564" s="173"/>
      <c r="T1564" s="173"/>
      <c r="U1564" s="173"/>
      <c r="V1564" s="202"/>
      <c r="W1564" s="171"/>
      <c r="X1564" s="171"/>
    </row>
    <row r="1565" ht="15.0" customHeight="1">
      <c r="A1565" s="127">
        <v>45700.0</v>
      </c>
      <c r="B1565" s="181" t="s">
        <v>6806</v>
      </c>
      <c r="C1565" s="169" t="s">
        <v>6892</v>
      </c>
      <c r="D1565" s="73" t="str">
        <f>IFERROR(VLOOKUP(C1565,Stock,3,FALSE),"")</f>
        <v>Isuzu Elf  93- NKR NHR </v>
      </c>
      <c r="E1565" s="56">
        <v>2.0</v>
      </c>
      <c r="F1565" s="162"/>
      <c r="G1565" s="162">
        <f t="shared" si="33"/>
        <v>0</v>
      </c>
      <c r="H1565" s="194"/>
      <c r="I1565" s="161">
        <f t="shared" si="35"/>
        <v>0</v>
      </c>
      <c r="J1565" s="164">
        <f t="shared" si="30"/>
        <v>0</v>
      </c>
      <c r="K1565" s="73"/>
      <c r="L1565" s="73"/>
      <c r="M1565" s="73"/>
      <c r="N1565" s="171"/>
      <c r="O1565" s="171"/>
      <c r="P1565" s="202"/>
      <c r="Q1565" s="173"/>
      <c r="R1565" s="173"/>
      <c r="S1565" s="173"/>
      <c r="T1565" s="173"/>
      <c r="U1565" s="173"/>
      <c r="V1565" s="202"/>
      <c r="W1565" s="171"/>
      <c r="X1565" s="171"/>
    </row>
    <row r="1566" ht="15.0" customHeight="1">
      <c r="A1566" s="127">
        <v>45700.0</v>
      </c>
      <c r="B1566" s="181" t="s">
        <v>6806</v>
      </c>
      <c r="C1566" s="169" t="s">
        <v>5774</v>
      </c>
      <c r="D1566" s="73" t="str">
        <f>IFERROR(VLOOKUP(C1566,Stock,3,FALSE),"")</f>
        <v>Isuzu Elf  93- NKR NHR </v>
      </c>
      <c r="E1566" s="56">
        <v>2.0</v>
      </c>
      <c r="F1566" s="162"/>
      <c r="G1566" s="162">
        <f t="shared" si="33"/>
        <v>0</v>
      </c>
      <c r="H1566" s="194"/>
      <c r="I1566" s="161">
        <f t="shared" si="35"/>
        <v>0</v>
      </c>
      <c r="J1566" s="164">
        <f t="shared" si="30"/>
        <v>0</v>
      </c>
      <c r="K1566" s="73"/>
      <c r="L1566" s="73"/>
      <c r="M1566" s="73"/>
      <c r="N1566" s="171"/>
      <c r="O1566" s="171"/>
      <c r="P1566" s="202"/>
      <c r="Q1566" s="173"/>
      <c r="R1566" s="173"/>
      <c r="S1566" s="173"/>
      <c r="T1566" s="173"/>
      <c r="U1566" s="173"/>
      <c r="V1566" s="202"/>
      <c r="W1566" s="171"/>
      <c r="X1566" s="171"/>
    </row>
    <row r="1567" ht="15.0" customHeight="1">
      <c r="A1567" s="127">
        <v>45700.0</v>
      </c>
      <c r="B1567" s="181" t="s">
        <v>6806</v>
      </c>
      <c r="C1567" s="169" t="s">
        <v>6893</v>
      </c>
      <c r="D1567" s="73" t="str">
        <f>IFERROR(VLOOKUP(C1567,Stock,3,FALSE),"")</f>
        <v>Toyota Avanza / Xenia 21- 4th Gen</v>
      </c>
      <c r="E1567" s="56">
        <v>3.0</v>
      </c>
      <c r="F1567" s="162"/>
      <c r="G1567" s="162">
        <f t="shared" si="33"/>
        <v>0</v>
      </c>
      <c r="H1567" s="194"/>
      <c r="I1567" s="161">
        <f t="shared" si="35"/>
        <v>0</v>
      </c>
      <c r="J1567" s="164">
        <f t="shared" si="30"/>
        <v>0</v>
      </c>
      <c r="K1567" s="73"/>
      <c r="L1567" s="73"/>
      <c r="M1567" s="73"/>
      <c r="N1567" s="171"/>
      <c r="O1567" s="171"/>
      <c r="P1567" s="202"/>
      <c r="Q1567" s="173"/>
      <c r="R1567" s="173"/>
      <c r="S1567" s="173"/>
      <c r="T1567" s="173"/>
      <c r="U1567" s="173"/>
      <c r="V1567" s="202"/>
      <c r="W1567" s="171"/>
      <c r="X1567" s="171"/>
    </row>
    <row r="1568" ht="15.0" customHeight="1">
      <c r="A1568" s="127">
        <v>45700.0</v>
      </c>
      <c r="B1568" s="181" t="s">
        <v>6806</v>
      </c>
      <c r="C1568" s="169" t="s">
        <v>4219</v>
      </c>
      <c r="D1568" s="73" t="str">
        <f>IFERROR(VLOOKUP(C1568,Stock,3,FALSE),"")</f>
        <v>Mitsubishi Pajero 08-16</v>
      </c>
      <c r="E1568" s="56">
        <v>2.0</v>
      </c>
      <c r="F1568" s="162"/>
      <c r="G1568" s="162">
        <f t="shared" si="33"/>
        <v>0</v>
      </c>
      <c r="H1568" s="194"/>
      <c r="I1568" s="161">
        <f t="shared" si="35"/>
        <v>0</v>
      </c>
      <c r="J1568" s="164">
        <f t="shared" si="30"/>
        <v>0</v>
      </c>
      <c r="K1568" s="73"/>
      <c r="L1568" s="73"/>
      <c r="M1568" s="73"/>
      <c r="N1568" s="171"/>
      <c r="O1568" s="171"/>
      <c r="P1568" s="202"/>
      <c r="Q1568" s="173"/>
      <c r="R1568" s="173"/>
      <c r="S1568" s="173"/>
      <c r="T1568" s="173"/>
      <c r="U1568" s="173"/>
      <c r="V1568" s="202"/>
      <c r="W1568" s="171"/>
      <c r="X1568" s="171"/>
    </row>
    <row r="1569" ht="15.0" customHeight="1">
      <c r="A1569" s="127">
        <v>45700.0</v>
      </c>
      <c r="B1569" s="181" t="s">
        <v>6806</v>
      </c>
      <c r="C1569" s="169" t="s">
        <v>2821</v>
      </c>
      <c r="D1569" s="73" t="str">
        <f>IFERROR(VLOOKUP(C1569,Stock,3,FALSE),"")</f>
        <v>Isuzu Elf 17- New NMR NLR / Isuzu Giga </v>
      </c>
      <c r="E1569" s="56">
        <v>2.0</v>
      </c>
      <c r="F1569" s="162"/>
      <c r="G1569" s="162">
        <f t="shared" si="33"/>
        <v>0</v>
      </c>
      <c r="H1569" s="194"/>
      <c r="I1569" s="161">
        <f t="shared" si="35"/>
        <v>0</v>
      </c>
      <c r="J1569" s="164">
        <f t="shared" si="30"/>
        <v>0</v>
      </c>
      <c r="K1569" s="73"/>
      <c r="L1569" s="73"/>
      <c r="M1569" s="73"/>
      <c r="N1569" s="171"/>
      <c r="O1569" s="171"/>
      <c r="P1569" s="202"/>
      <c r="Q1569" s="173"/>
      <c r="R1569" s="173"/>
      <c r="S1569" s="173"/>
      <c r="T1569" s="173"/>
      <c r="U1569" s="173"/>
      <c r="V1569" s="202"/>
      <c r="W1569" s="171"/>
      <c r="X1569" s="171"/>
    </row>
    <row r="1570" ht="15.0" customHeight="1">
      <c r="A1570" s="127">
        <v>45700.0</v>
      </c>
      <c r="B1570" s="181" t="s">
        <v>6806</v>
      </c>
      <c r="C1570" s="169" t="s">
        <v>2856</v>
      </c>
      <c r="D1570" s="73" t="str">
        <f>IFERROR(VLOOKUP(C1570,Stock,3,FALSE),"")</f>
        <v>Isuzu Elf 17- New NMR NLR / Isuzu Giga </v>
      </c>
      <c r="E1570" s="56">
        <v>2.0</v>
      </c>
      <c r="F1570" s="162"/>
      <c r="G1570" s="162">
        <f t="shared" si="33"/>
        <v>0</v>
      </c>
      <c r="H1570" s="194"/>
      <c r="I1570" s="161">
        <f t="shared" si="35"/>
        <v>0</v>
      </c>
      <c r="J1570" s="164">
        <f t="shared" si="30"/>
        <v>0</v>
      </c>
      <c r="K1570" s="73"/>
      <c r="L1570" s="73"/>
      <c r="M1570" s="73"/>
      <c r="N1570" s="171"/>
      <c r="O1570" s="171"/>
      <c r="P1570" s="202"/>
      <c r="Q1570" s="173"/>
      <c r="R1570" s="173"/>
      <c r="S1570" s="173"/>
      <c r="T1570" s="173"/>
      <c r="U1570" s="173"/>
      <c r="V1570" s="202"/>
      <c r="W1570" s="171"/>
      <c r="X1570" s="171"/>
    </row>
    <row r="1571" ht="15.0" customHeight="1">
      <c r="A1571" s="127">
        <v>45700.0</v>
      </c>
      <c r="B1571" s="181" t="s">
        <v>6806</v>
      </c>
      <c r="C1571" s="169" t="s">
        <v>2822</v>
      </c>
      <c r="D1571" s="73" t="str">
        <f>IFERROR(VLOOKUP(C1571,Stock,3,FALSE),"")</f>
        <v>Mitsubishi Canter FE700 01- (PS110,125)</v>
      </c>
      <c r="E1571" s="56">
        <v>2.0</v>
      </c>
      <c r="F1571" s="162"/>
      <c r="G1571" s="162">
        <f t="shared" si="33"/>
        <v>0</v>
      </c>
      <c r="H1571" s="194"/>
      <c r="I1571" s="161">
        <f t="shared" si="35"/>
        <v>0</v>
      </c>
      <c r="J1571" s="164">
        <f t="shared" si="30"/>
        <v>0</v>
      </c>
      <c r="K1571" s="73"/>
      <c r="L1571" s="73"/>
      <c r="M1571" s="73"/>
      <c r="N1571" s="171"/>
      <c r="O1571" s="171"/>
      <c r="P1571" s="202"/>
      <c r="Q1571" s="173"/>
      <c r="R1571" s="173"/>
      <c r="S1571" s="173"/>
      <c r="T1571" s="173"/>
      <c r="U1571" s="173"/>
      <c r="V1571" s="202"/>
      <c r="W1571" s="171"/>
      <c r="X1571" s="171"/>
    </row>
    <row r="1572" ht="15.0" customHeight="1">
      <c r="A1572" s="127">
        <v>45700.0</v>
      </c>
      <c r="B1572" s="181" t="s">
        <v>6806</v>
      </c>
      <c r="C1572" s="169" t="s">
        <v>6894</v>
      </c>
      <c r="D1572" s="73" t="str">
        <f>IFERROR(VLOOKUP(C1572,Stock,3,FALSE),"")</f>
        <v>Mitsubishi Canter FE700 01- (PS110,125)</v>
      </c>
      <c r="E1572" s="56">
        <v>2.0</v>
      </c>
      <c r="F1572" s="162"/>
      <c r="G1572" s="162">
        <f t="shared" si="33"/>
        <v>0</v>
      </c>
      <c r="H1572" s="194"/>
      <c r="I1572" s="161">
        <f t="shared" si="35"/>
        <v>0</v>
      </c>
      <c r="J1572" s="164">
        <f t="shared" si="30"/>
        <v>0</v>
      </c>
      <c r="K1572" s="73"/>
      <c r="L1572" s="73"/>
      <c r="M1572" s="73"/>
      <c r="N1572" s="171"/>
      <c r="O1572" s="171"/>
      <c r="P1572" s="202"/>
      <c r="Q1572" s="173"/>
      <c r="R1572" s="173"/>
      <c r="S1572" s="173"/>
      <c r="T1572" s="173"/>
      <c r="U1572" s="173"/>
      <c r="V1572" s="202"/>
      <c r="W1572" s="171"/>
      <c r="X1572" s="171"/>
    </row>
    <row r="1573" ht="15.0" customHeight="1">
      <c r="A1573" s="127">
        <v>45700.0</v>
      </c>
      <c r="B1573" s="181" t="s">
        <v>6806</v>
      </c>
      <c r="C1573" s="169" t="s">
        <v>4402</v>
      </c>
      <c r="D1573" s="73" t="str">
        <f>IFERROR(VLOOKUP(C1573,Stock,3,FALSE),"")</f>
        <v>Toyota Innova 15- 2nd Gen</v>
      </c>
      <c r="E1573" s="56">
        <v>1.0</v>
      </c>
      <c r="F1573" s="162"/>
      <c r="G1573" s="162">
        <f t="shared" si="33"/>
        <v>0</v>
      </c>
      <c r="H1573" s="194"/>
      <c r="I1573" s="161">
        <f t="shared" si="35"/>
        <v>0</v>
      </c>
      <c r="J1573" s="164">
        <f t="shared" si="30"/>
        <v>0</v>
      </c>
      <c r="K1573" s="73"/>
      <c r="L1573" s="73"/>
      <c r="M1573" s="73"/>
      <c r="N1573" s="171"/>
      <c r="O1573" s="171"/>
      <c r="P1573" s="202"/>
      <c r="Q1573" s="173"/>
      <c r="R1573" s="173"/>
      <c r="S1573" s="173"/>
      <c r="T1573" s="173"/>
      <c r="U1573" s="173"/>
      <c r="V1573" s="202"/>
      <c r="W1573" s="171"/>
      <c r="X1573" s="171"/>
    </row>
    <row r="1574" ht="15.0" customHeight="1">
      <c r="A1574" s="127">
        <v>45700.0</v>
      </c>
      <c r="B1574" s="181" t="s">
        <v>6806</v>
      </c>
      <c r="C1574" s="56" t="s">
        <v>6891</v>
      </c>
      <c r="D1574" s="73" t="str">
        <f>IFERROR(VLOOKUP(C1574,Stock,3,FALSE),"")</f>
        <v>Toyota Innova 15- 2nd Gen</v>
      </c>
      <c r="E1574" s="56">
        <v>2.0</v>
      </c>
      <c r="F1574" s="162"/>
      <c r="G1574" s="162">
        <f t="shared" si="33"/>
        <v>0</v>
      </c>
      <c r="H1574" s="194"/>
      <c r="I1574" s="161">
        <f t="shared" si="35"/>
        <v>0</v>
      </c>
      <c r="J1574" s="164">
        <f t="shared" si="30"/>
        <v>0</v>
      </c>
      <c r="K1574" s="73"/>
      <c r="L1574" s="73"/>
      <c r="M1574" s="73"/>
      <c r="N1574" s="171"/>
      <c r="O1574" s="171"/>
      <c r="P1574" s="202"/>
      <c r="Q1574" s="173"/>
      <c r="R1574" s="173"/>
      <c r="S1574" s="173"/>
      <c r="T1574" s="173"/>
      <c r="U1574" s="173"/>
      <c r="V1574" s="202"/>
      <c r="W1574" s="171"/>
      <c r="X1574" s="171"/>
    </row>
    <row r="1575" ht="15.0" customHeight="1">
      <c r="A1575" s="127">
        <v>45700.0</v>
      </c>
      <c r="B1575" s="181" t="s">
        <v>6806</v>
      </c>
      <c r="C1575" s="56" t="s">
        <v>6895</v>
      </c>
      <c r="D1575" s="73" t="str">
        <f>IFERROR(VLOOKUP(C1575,Stock,3,FALSE),"")</f>
        <v>Toyota Avanza / Xenia 03-11 1st Gen</v>
      </c>
      <c r="E1575" s="56">
        <v>3.0</v>
      </c>
      <c r="F1575" s="162"/>
      <c r="G1575" s="162">
        <f t="shared" si="33"/>
        <v>0</v>
      </c>
      <c r="H1575" s="194"/>
      <c r="I1575" s="161">
        <f t="shared" si="35"/>
        <v>0</v>
      </c>
      <c r="J1575" s="164">
        <f t="shared" si="30"/>
        <v>0</v>
      </c>
      <c r="K1575" s="73"/>
      <c r="L1575" s="73"/>
      <c r="M1575" s="73"/>
      <c r="N1575" s="171"/>
      <c r="O1575" s="171"/>
      <c r="P1575" s="202"/>
      <c r="Q1575" s="173"/>
      <c r="R1575" s="173"/>
      <c r="S1575" s="173"/>
      <c r="T1575" s="173"/>
      <c r="U1575" s="173"/>
      <c r="V1575" s="202"/>
      <c r="W1575" s="171"/>
      <c r="X1575" s="171"/>
    </row>
    <row r="1576" ht="15.0" customHeight="1">
      <c r="A1576" s="127">
        <v>45700.0</v>
      </c>
      <c r="B1576" s="181" t="s">
        <v>6806</v>
      </c>
      <c r="C1576" s="56" t="s">
        <v>5145</v>
      </c>
      <c r="D1576" s="73" t="str">
        <f>IFERROR(VLOOKUP(C1576,Stock,3,FALSE),"")</f>
        <v>Toyota Avanza / Xenia 11-15 2nd Gen / 15-21 3rd Gen</v>
      </c>
      <c r="E1576" s="56">
        <v>2.0</v>
      </c>
      <c r="F1576" s="162"/>
      <c r="G1576" s="162">
        <f t="shared" si="33"/>
        <v>0</v>
      </c>
      <c r="H1576" s="194"/>
      <c r="I1576" s="161">
        <f t="shared" si="35"/>
        <v>0</v>
      </c>
      <c r="J1576" s="164">
        <f t="shared" si="30"/>
        <v>0</v>
      </c>
      <c r="K1576" s="73"/>
      <c r="L1576" s="73"/>
      <c r="M1576" s="73"/>
      <c r="N1576" s="171"/>
      <c r="O1576" s="171"/>
      <c r="P1576" s="202"/>
      <c r="Q1576" s="173"/>
      <c r="R1576" s="173"/>
      <c r="S1576" s="173"/>
      <c r="T1576" s="173"/>
      <c r="U1576" s="173"/>
      <c r="V1576" s="202"/>
      <c r="W1576" s="171"/>
      <c r="X1576" s="171"/>
    </row>
    <row r="1577" ht="15.0" customHeight="1">
      <c r="A1577" s="127">
        <v>45700.0</v>
      </c>
      <c r="B1577" s="181" t="s">
        <v>6806</v>
      </c>
      <c r="C1577" s="56" t="s">
        <v>5598</v>
      </c>
      <c r="D1577" s="73" t="str">
        <f>IFERROR(VLOOKUP(C1577,Stock,3,FALSE),"")</f>
        <v>Toyota Avanza / Xenia 11-15 2nd Gen / 15-21 3rd Gen</v>
      </c>
      <c r="E1577" s="56">
        <v>2.0</v>
      </c>
      <c r="F1577" s="162"/>
      <c r="G1577" s="162">
        <f t="shared" si="33"/>
        <v>0</v>
      </c>
      <c r="H1577" s="194"/>
      <c r="I1577" s="161">
        <f t="shared" si="35"/>
        <v>0</v>
      </c>
      <c r="J1577" s="164">
        <f t="shared" si="30"/>
        <v>0</v>
      </c>
      <c r="K1577" s="73"/>
      <c r="L1577" s="73"/>
      <c r="M1577" s="73"/>
      <c r="N1577" s="171"/>
      <c r="O1577" s="171"/>
      <c r="P1577" s="202"/>
      <c r="Q1577" s="173"/>
      <c r="R1577" s="173"/>
      <c r="S1577" s="173"/>
      <c r="T1577" s="173"/>
      <c r="U1577" s="173"/>
      <c r="V1577" s="202"/>
      <c r="W1577" s="171"/>
      <c r="X1577" s="171"/>
    </row>
    <row r="1578" ht="15.0" customHeight="1">
      <c r="A1578" s="127">
        <v>45700.0</v>
      </c>
      <c r="B1578" s="181" t="s">
        <v>6806</v>
      </c>
      <c r="C1578" s="56" t="s">
        <v>6896</v>
      </c>
      <c r="D1578" s="73" t="str">
        <f>IFERROR(VLOOKUP(C1578,Stock,3,FALSE),"")</f>
        <v>Toyota Innova 04-15 1st Gen</v>
      </c>
      <c r="E1578" s="56">
        <v>1.0</v>
      </c>
      <c r="F1578" s="162"/>
      <c r="G1578" s="162">
        <f t="shared" si="33"/>
        <v>0</v>
      </c>
      <c r="H1578" s="194"/>
      <c r="I1578" s="161">
        <f t="shared" si="35"/>
        <v>0</v>
      </c>
      <c r="J1578" s="164">
        <f t="shared" si="30"/>
        <v>0</v>
      </c>
      <c r="K1578" s="73"/>
      <c r="L1578" s="73"/>
      <c r="M1578" s="73"/>
      <c r="N1578" s="171"/>
      <c r="O1578" s="171"/>
      <c r="P1578" s="202"/>
      <c r="Q1578" s="173"/>
      <c r="R1578" s="173"/>
      <c r="S1578" s="173"/>
      <c r="T1578" s="173"/>
      <c r="U1578" s="173"/>
      <c r="V1578" s="202"/>
      <c r="W1578" s="171"/>
      <c r="X1578" s="171"/>
    </row>
    <row r="1579" ht="15.0" customHeight="1">
      <c r="A1579" s="127">
        <v>45700.0</v>
      </c>
      <c r="B1579" s="181" t="s">
        <v>6806</v>
      </c>
      <c r="C1579" s="56" t="s">
        <v>4355</v>
      </c>
      <c r="D1579" s="73" t="str">
        <f>IFERROR(VLOOKUP(C1579,Stock,3,FALSE),"")</f>
        <v>Toyota Innova 04-15 1st Gen</v>
      </c>
      <c r="E1579" s="56">
        <v>2.0</v>
      </c>
      <c r="F1579" s="162"/>
      <c r="G1579" s="162">
        <f t="shared" si="33"/>
        <v>0</v>
      </c>
      <c r="H1579" s="194"/>
      <c r="I1579" s="161">
        <f t="shared" si="35"/>
        <v>0</v>
      </c>
      <c r="J1579" s="164">
        <f t="shared" si="30"/>
        <v>0</v>
      </c>
      <c r="K1579" s="73"/>
      <c r="L1579" s="73"/>
      <c r="M1579" s="73"/>
      <c r="N1579" s="171"/>
      <c r="O1579" s="171"/>
      <c r="P1579" s="202"/>
      <c r="Q1579" s="173"/>
      <c r="R1579" s="173"/>
      <c r="S1579" s="173"/>
      <c r="T1579" s="173"/>
      <c r="U1579" s="173"/>
      <c r="V1579" s="202"/>
      <c r="W1579" s="171"/>
      <c r="X1579" s="171"/>
    </row>
    <row r="1580" ht="15.0" customHeight="1">
      <c r="A1580" s="127">
        <v>45700.0</v>
      </c>
      <c r="B1580" s="181" t="s">
        <v>6806</v>
      </c>
      <c r="C1580" s="56" t="s">
        <v>6465</v>
      </c>
      <c r="D1580" s="73" t="str">
        <f>IFERROR(VLOOKUP(C1580,Stock,3,FALSE),"")</f>
        <v>Toyota Innova 15- 2nd Gen</v>
      </c>
      <c r="E1580" s="56">
        <v>2.0</v>
      </c>
      <c r="F1580" s="162"/>
      <c r="G1580" s="162">
        <f t="shared" si="33"/>
        <v>0</v>
      </c>
      <c r="H1580" s="194"/>
      <c r="I1580" s="161">
        <f t="shared" si="35"/>
        <v>0</v>
      </c>
      <c r="J1580" s="164">
        <f t="shared" si="30"/>
        <v>0</v>
      </c>
      <c r="K1580" s="73"/>
      <c r="L1580" s="73"/>
      <c r="M1580" s="73"/>
      <c r="N1580" s="171"/>
      <c r="O1580" s="171"/>
      <c r="P1580" s="202"/>
      <c r="Q1580" s="173"/>
      <c r="R1580" s="173"/>
      <c r="S1580" s="173"/>
      <c r="T1580" s="173"/>
      <c r="U1580" s="173"/>
      <c r="V1580" s="202"/>
      <c r="W1580" s="171"/>
      <c r="X1580" s="171"/>
    </row>
    <row r="1581" ht="15.0" customHeight="1">
      <c r="A1581" s="218">
        <v>45700.0</v>
      </c>
      <c r="B1581" s="181" t="s">
        <v>6897</v>
      </c>
      <c r="C1581" s="56" t="s">
        <v>6898</v>
      </c>
      <c r="D1581" s="73" t="str">
        <f>IFERROR(VLOOKUP(C1581,Stock,3,FALSE),"")</f>
        <v>Toyota Sienta 15-</v>
      </c>
      <c r="E1581" s="56">
        <v>1.0</v>
      </c>
      <c r="F1581" s="161">
        <v>1283000.0</v>
      </c>
      <c r="G1581" s="162">
        <f t="shared" si="33"/>
        <v>1283000</v>
      </c>
      <c r="H1581" s="194"/>
      <c r="I1581" s="161">
        <f t="shared" si="35"/>
        <v>1283000</v>
      </c>
      <c r="J1581" s="164">
        <f t="shared" si="30"/>
        <v>1283000</v>
      </c>
      <c r="K1581" s="307" t="s">
        <v>6899</v>
      </c>
      <c r="L1581" s="165" t="s">
        <v>6900</v>
      </c>
      <c r="M1581" s="73"/>
      <c r="N1581" s="289" t="s">
        <v>6901</v>
      </c>
      <c r="O1581" s="169" t="s">
        <v>2958</v>
      </c>
      <c r="P1581" s="168" t="s">
        <v>3112</v>
      </c>
      <c r="Q1581" s="173"/>
      <c r="R1581" s="167">
        <v>1283000.0</v>
      </c>
      <c r="S1581" s="173"/>
      <c r="T1581" s="173"/>
      <c r="U1581" s="173"/>
      <c r="V1581" s="168" t="s">
        <v>3799</v>
      </c>
      <c r="W1581" s="169"/>
      <c r="X1581" s="171"/>
    </row>
    <row r="1582" ht="15.0" customHeight="1">
      <c r="A1582" s="127">
        <v>45700.0</v>
      </c>
      <c r="B1582" s="181" t="s">
        <v>6902</v>
      </c>
      <c r="C1582" s="330" t="s">
        <v>3045</v>
      </c>
      <c r="D1582" s="73" t="str">
        <f>IFERROR(VLOOKUP(C1582,Stock,3,FALSE),"")</f>
        <v>Pemasangan Kaca Mobil Depan</v>
      </c>
      <c r="E1582" s="56">
        <v>1.0</v>
      </c>
      <c r="F1582" s="161">
        <v>250000.0</v>
      </c>
      <c r="G1582" s="162">
        <f t="shared" si="33"/>
        <v>250000</v>
      </c>
      <c r="H1582" s="194"/>
      <c r="I1582" s="161">
        <f t="shared" si="35"/>
        <v>250000</v>
      </c>
      <c r="J1582" s="164">
        <f t="shared" si="30"/>
        <v>250000</v>
      </c>
      <c r="K1582" s="131" t="s">
        <v>6903</v>
      </c>
      <c r="L1582" s="165" t="s">
        <v>6904</v>
      </c>
      <c r="M1582" s="73"/>
      <c r="N1582" s="169" t="s">
        <v>6905</v>
      </c>
      <c r="O1582" s="169" t="s">
        <v>2958</v>
      </c>
      <c r="P1582" s="168" t="s">
        <v>3112</v>
      </c>
      <c r="Q1582" s="167">
        <v>250000.0</v>
      </c>
      <c r="R1582" s="173"/>
      <c r="S1582" s="173"/>
      <c r="T1582" s="173"/>
      <c r="U1582" s="173"/>
      <c r="V1582" s="168" t="s">
        <v>3799</v>
      </c>
      <c r="W1582" s="169"/>
      <c r="X1582" s="171"/>
    </row>
    <row r="1583" ht="15.0" customHeight="1">
      <c r="A1583" s="127">
        <v>45700.0</v>
      </c>
      <c r="B1583" s="181" t="s">
        <v>6906</v>
      </c>
      <c r="C1583" s="56" t="s">
        <v>2709</v>
      </c>
      <c r="D1583" s="73" t="str">
        <f>IFERROR(VLOOKUP(C1583,Stock,3,FALSE),"")</f>
        <v>Isuzu Panther 91-99 1st Gen Kotak</v>
      </c>
      <c r="E1583" s="56">
        <v>1.0</v>
      </c>
      <c r="F1583" s="161">
        <v>985000.0</v>
      </c>
      <c r="G1583" s="162">
        <f t="shared" si="33"/>
        <v>985000</v>
      </c>
      <c r="H1583" s="194"/>
      <c r="I1583" s="161">
        <f t="shared" si="35"/>
        <v>985000</v>
      </c>
      <c r="J1583" s="164">
        <f t="shared" si="30"/>
        <v>985000</v>
      </c>
      <c r="K1583" s="307" t="s">
        <v>6907</v>
      </c>
      <c r="L1583" s="165" t="s">
        <v>6908</v>
      </c>
      <c r="M1583" s="73"/>
      <c r="N1583" s="171"/>
      <c r="O1583" s="169" t="s">
        <v>2958</v>
      </c>
      <c r="P1583" s="168" t="s">
        <v>3112</v>
      </c>
      <c r="Q1583" s="167">
        <v>1000000.0</v>
      </c>
      <c r="R1583" s="173"/>
      <c r="S1583" s="173"/>
      <c r="T1583" s="173"/>
      <c r="U1583" s="167">
        <v>15000.0</v>
      </c>
      <c r="V1583" s="168" t="s">
        <v>3799</v>
      </c>
      <c r="W1583" s="169"/>
      <c r="X1583" s="171"/>
    </row>
    <row r="1584" ht="15.0" customHeight="1">
      <c r="A1584" s="127">
        <v>45701.0</v>
      </c>
      <c r="B1584" s="181" t="s">
        <v>6909</v>
      </c>
      <c r="C1584" s="56" t="s">
        <v>6910</v>
      </c>
      <c r="D1584" s="73" t="str">
        <f>IFERROR(VLOOKUP(C1584,Stock,3,FALSE),"")</f>
        <v>Toyota Hi-Ace 19- Premio</v>
      </c>
      <c r="E1584" s="56">
        <v>1.0</v>
      </c>
      <c r="F1584" s="161">
        <v>1894000.0</v>
      </c>
      <c r="G1584" s="162">
        <f t="shared" si="33"/>
        <v>1894000</v>
      </c>
      <c r="H1584" s="194"/>
      <c r="I1584" s="161">
        <f t="shared" si="35"/>
        <v>1894000</v>
      </c>
      <c r="J1584" s="164">
        <f t="shared" si="30"/>
        <v>1894000</v>
      </c>
      <c r="K1584" s="56" t="s">
        <v>6911</v>
      </c>
      <c r="L1584" s="165" t="s">
        <v>6912</v>
      </c>
      <c r="M1584" s="73"/>
      <c r="N1584" s="171"/>
      <c r="O1584" s="169" t="s">
        <v>2958</v>
      </c>
      <c r="P1584" s="168" t="s">
        <v>3112</v>
      </c>
      <c r="Q1584" s="167">
        <v>1894000.0</v>
      </c>
      <c r="R1584" s="173"/>
      <c r="S1584" s="173"/>
      <c r="T1584" s="173"/>
      <c r="U1584" s="173"/>
      <c r="V1584" s="168" t="s">
        <v>4262</v>
      </c>
      <c r="W1584" s="169"/>
      <c r="X1584" s="171"/>
    </row>
    <row r="1585" ht="15.0" customHeight="1">
      <c r="A1585" s="127">
        <v>45701.0</v>
      </c>
      <c r="B1585" s="181" t="s">
        <v>6913</v>
      </c>
      <c r="C1585" s="56" t="s">
        <v>2686</v>
      </c>
      <c r="D1585" s="73" t="str">
        <f>IFERROR(VLOOKUP(C1585,Stock,3,FALSE),"")</f>
        <v>Wuling Cortez</v>
      </c>
      <c r="E1585" s="56">
        <v>1.0</v>
      </c>
      <c r="F1585" s="161">
        <v>2088000.0</v>
      </c>
      <c r="G1585" s="162">
        <f t="shared" si="33"/>
        <v>2088000</v>
      </c>
      <c r="H1585" s="194"/>
      <c r="I1585" s="161">
        <f t="shared" si="35"/>
        <v>2088000</v>
      </c>
      <c r="J1585" s="164">
        <f t="shared" si="30"/>
        <v>2088000</v>
      </c>
      <c r="K1585" s="197" t="s">
        <v>6914</v>
      </c>
      <c r="L1585" s="165" t="s">
        <v>6915</v>
      </c>
      <c r="M1585" s="73"/>
      <c r="N1585" s="289" t="s">
        <v>6916</v>
      </c>
      <c r="O1585" s="169" t="s">
        <v>2958</v>
      </c>
      <c r="P1585" s="168" t="s">
        <v>3112</v>
      </c>
      <c r="Q1585" s="173"/>
      <c r="R1585" s="167">
        <v>2088000.0</v>
      </c>
      <c r="S1585" s="173"/>
      <c r="T1585" s="173"/>
      <c r="U1585" s="173"/>
      <c r="V1585" s="168" t="s">
        <v>3799</v>
      </c>
      <c r="W1585" s="169"/>
      <c r="X1585" s="171"/>
    </row>
    <row r="1586" ht="15.0" customHeight="1">
      <c r="A1586" s="127">
        <v>45702.0</v>
      </c>
      <c r="B1586" s="181" t="s">
        <v>6917</v>
      </c>
      <c r="C1586" s="56" t="s">
        <v>6918</v>
      </c>
      <c r="D1586" s="73" t="str">
        <f>IFERROR(VLOOKUP(C1586,Stock,3,FALSE),"")</f>
        <v>Wuling Almaz</v>
      </c>
      <c r="E1586" s="56">
        <v>1.0</v>
      </c>
      <c r="F1586" s="161">
        <v>1998000.0</v>
      </c>
      <c r="G1586" s="162">
        <f t="shared" si="33"/>
        <v>1998000</v>
      </c>
      <c r="H1586" s="194"/>
      <c r="I1586" s="161">
        <f t="shared" si="35"/>
        <v>1998000</v>
      </c>
      <c r="J1586" s="164">
        <f t="shared" si="30"/>
        <v>1998000</v>
      </c>
      <c r="K1586" s="56" t="s">
        <v>6919</v>
      </c>
      <c r="L1586" s="165" t="s">
        <v>6920</v>
      </c>
      <c r="M1586" s="73"/>
      <c r="N1586" s="171"/>
      <c r="O1586" s="169" t="s">
        <v>3184</v>
      </c>
      <c r="P1586" s="168" t="s">
        <v>3112</v>
      </c>
      <c r="Q1586" s="173"/>
      <c r="R1586" s="173"/>
      <c r="S1586" s="167">
        <v>1998000.0</v>
      </c>
      <c r="T1586" s="167">
        <v>149850.0</v>
      </c>
      <c r="U1586" s="173"/>
      <c r="V1586" s="168" t="s">
        <v>4262</v>
      </c>
      <c r="W1586" s="169"/>
      <c r="X1586" s="171"/>
    </row>
    <row r="1587" ht="15.0" customHeight="1">
      <c r="A1587" s="127">
        <v>45702.0</v>
      </c>
      <c r="B1587" s="181" t="s">
        <v>6917</v>
      </c>
      <c r="C1587" s="251" t="s">
        <v>3045</v>
      </c>
      <c r="D1587" s="73" t="str">
        <f>IFERROR(VLOOKUP(C1587,Stock,3,FALSE),"")</f>
        <v>Pemasangan Kaca Mobil Depan</v>
      </c>
      <c r="E1587" s="56">
        <v>1.0</v>
      </c>
      <c r="F1587" s="161">
        <v>300000.0</v>
      </c>
      <c r="G1587" s="162">
        <f t="shared" si="33"/>
        <v>300000</v>
      </c>
      <c r="H1587" s="194"/>
      <c r="I1587" s="161">
        <f t="shared" si="35"/>
        <v>300000</v>
      </c>
      <c r="J1587" s="164">
        <f t="shared" si="30"/>
        <v>300000</v>
      </c>
      <c r="K1587" s="56" t="s">
        <v>6919</v>
      </c>
      <c r="L1587" s="165" t="s">
        <v>6920</v>
      </c>
      <c r="M1587" s="73"/>
      <c r="N1587" s="171"/>
      <c r="O1587" s="169" t="s">
        <v>3184</v>
      </c>
      <c r="P1587" s="168" t="s">
        <v>3112</v>
      </c>
      <c r="Q1587" s="167">
        <v>300000.0</v>
      </c>
      <c r="R1587" s="173"/>
      <c r="S1587" s="173"/>
      <c r="T1587" s="173"/>
      <c r="U1587" s="173"/>
      <c r="V1587" s="168" t="s">
        <v>4262</v>
      </c>
      <c r="W1587" s="169"/>
      <c r="X1587" s="171"/>
    </row>
    <row r="1588" ht="15.0" customHeight="1">
      <c r="A1588" s="127">
        <v>45702.0</v>
      </c>
      <c r="B1588" s="181" t="s">
        <v>6921</v>
      </c>
      <c r="C1588" s="56" t="s">
        <v>3411</v>
      </c>
      <c r="D1588" s="73" t="str">
        <f>IFERROR(VLOOKUP(C1588,Stock,3,FALSE),"")</f>
        <v>Toyota Agya/Ayla 13-22 1st Gen</v>
      </c>
      <c r="E1588" s="56">
        <v>1.0</v>
      </c>
      <c r="F1588" s="161">
        <v>1050000.0</v>
      </c>
      <c r="G1588" s="162">
        <f t="shared" si="33"/>
        <v>1050000</v>
      </c>
      <c r="H1588" s="194"/>
      <c r="I1588" s="161">
        <f t="shared" si="35"/>
        <v>1050000</v>
      </c>
      <c r="J1588" s="164">
        <f t="shared" si="30"/>
        <v>1050000</v>
      </c>
      <c r="K1588" s="56" t="s">
        <v>6582</v>
      </c>
      <c r="L1588" s="165" t="s">
        <v>6922</v>
      </c>
      <c r="M1588" s="73"/>
      <c r="N1588" s="171"/>
      <c r="O1588" s="169" t="s">
        <v>6923</v>
      </c>
      <c r="P1588" s="168" t="s">
        <v>3112</v>
      </c>
      <c r="Q1588" s="167">
        <v>1050000.0</v>
      </c>
      <c r="R1588" s="173"/>
      <c r="S1588" s="173"/>
      <c r="T1588" s="173"/>
      <c r="U1588" s="173"/>
      <c r="V1588" s="168" t="s">
        <v>3799</v>
      </c>
      <c r="W1588" s="169"/>
      <c r="X1588" s="171"/>
    </row>
    <row r="1589" ht="15.0" customHeight="1">
      <c r="A1589" s="127">
        <v>45702.0</v>
      </c>
      <c r="B1589" s="181" t="s">
        <v>6924</v>
      </c>
      <c r="C1589" s="56" t="s">
        <v>2734</v>
      </c>
      <c r="D1589" s="73" t="str">
        <f>IFERROR(VLOOKUP(C1589,Stock,3,FALSE),"")</f>
        <v>Honda Jazz 07-13 2nd Gen</v>
      </c>
      <c r="E1589" s="56">
        <v>1.0</v>
      </c>
      <c r="F1589" s="161">
        <v>1818000.0</v>
      </c>
      <c r="G1589" s="162">
        <f t="shared" si="33"/>
        <v>1818000</v>
      </c>
      <c r="H1589" s="194"/>
      <c r="I1589" s="161">
        <f t="shared" si="35"/>
        <v>1818000</v>
      </c>
      <c r="J1589" s="164">
        <f t="shared" si="30"/>
        <v>1818000</v>
      </c>
      <c r="K1589" s="197" t="s">
        <v>6925</v>
      </c>
      <c r="L1589" s="165" t="s">
        <v>6926</v>
      </c>
      <c r="M1589" s="73"/>
      <c r="N1589" s="169" t="s">
        <v>6927</v>
      </c>
      <c r="O1589" s="169" t="s">
        <v>3037</v>
      </c>
      <c r="P1589" s="168" t="s">
        <v>3112</v>
      </c>
      <c r="Q1589" s="167">
        <v>1868000.0</v>
      </c>
      <c r="R1589" s="167">
        <v>100000.0</v>
      </c>
      <c r="S1589" s="173"/>
      <c r="T1589" s="173"/>
      <c r="U1589" s="173"/>
      <c r="V1589" s="168" t="s">
        <v>3799</v>
      </c>
      <c r="W1589" s="169"/>
      <c r="X1589" s="171"/>
    </row>
    <row r="1590" ht="15.0" customHeight="1">
      <c r="A1590" s="127">
        <v>45702.0</v>
      </c>
      <c r="B1590" s="181" t="s">
        <v>6924</v>
      </c>
      <c r="C1590" s="56" t="s">
        <v>2954</v>
      </c>
      <c r="D1590" s="73" t="str">
        <f>IFERROR(VLOOKUP(C1590,Stock,3,FALSE),"")</f>
        <v>Transport</v>
      </c>
      <c r="E1590" s="56">
        <v>1.0</v>
      </c>
      <c r="F1590" s="161">
        <v>150000.0</v>
      </c>
      <c r="G1590" s="162">
        <f t="shared" si="33"/>
        <v>150000</v>
      </c>
      <c r="H1590" s="194"/>
      <c r="I1590" s="161">
        <f t="shared" si="35"/>
        <v>150000</v>
      </c>
      <c r="J1590" s="164">
        <f t="shared" si="30"/>
        <v>150000</v>
      </c>
      <c r="K1590" s="197" t="s">
        <v>6925</v>
      </c>
      <c r="L1590" s="165" t="s">
        <v>6926</v>
      </c>
      <c r="M1590" s="73"/>
      <c r="N1590" s="169" t="s">
        <v>6927</v>
      </c>
      <c r="O1590" s="169" t="s">
        <v>3037</v>
      </c>
      <c r="P1590" s="168" t="s">
        <v>3112</v>
      </c>
      <c r="Q1590" s="173"/>
      <c r="R1590" s="173"/>
      <c r="S1590" s="173"/>
      <c r="T1590" s="173"/>
      <c r="U1590" s="173"/>
      <c r="V1590" s="168" t="s">
        <v>3799</v>
      </c>
      <c r="W1590" s="169"/>
      <c r="X1590" s="171"/>
    </row>
    <row r="1591" ht="15.0" customHeight="1">
      <c r="A1591" s="127">
        <v>45702.0</v>
      </c>
      <c r="B1591" s="181" t="s">
        <v>6928</v>
      </c>
      <c r="C1591" s="56" t="s">
        <v>2718</v>
      </c>
      <c r="D1591" s="73" t="str">
        <f>IFERROR(VLOOKUP(C1591,Stock,3,FALSE),"")</f>
        <v>Isuzu Traga</v>
      </c>
      <c r="E1591" s="56">
        <v>1.0</v>
      </c>
      <c r="F1591" s="161">
        <v>1300000.0</v>
      </c>
      <c r="G1591" s="162">
        <f t="shared" si="33"/>
        <v>1300000</v>
      </c>
      <c r="H1591" s="194"/>
      <c r="I1591" s="161">
        <f t="shared" si="35"/>
        <v>1300000</v>
      </c>
      <c r="J1591" s="164">
        <f t="shared" si="30"/>
        <v>1300000</v>
      </c>
      <c r="K1591" s="197" t="s">
        <v>5142</v>
      </c>
      <c r="L1591" s="165" t="s">
        <v>6929</v>
      </c>
      <c r="M1591" s="73"/>
      <c r="N1591" s="289" t="s">
        <v>6930</v>
      </c>
      <c r="O1591" s="169" t="s">
        <v>6923</v>
      </c>
      <c r="P1591" s="168" t="s">
        <v>3011</v>
      </c>
      <c r="Q1591" s="167">
        <v>1300000.0</v>
      </c>
      <c r="R1591" s="173"/>
      <c r="S1591" s="173"/>
      <c r="T1591" s="173"/>
      <c r="U1591" s="173"/>
      <c r="V1591" s="168" t="s">
        <v>3799</v>
      </c>
      <c r="W1591" s="169"/>
      <c r="X1591" s="171"/>
    </row>
    <row r="1592" ht="15.0" customHeight="1">
      <c r="A1592" s="127">
        <v>45703.0</v>
      </c>
      <c r="B1592" s="181" t="s">
        <v>6931</v>
      </c>
      <c r="C1592" s="56" t="s">
        <v>6932</v>
      </c>
      <c r="D1592" s="73" t="str">
        <f>IFERROR(VLOOKUP(C1592,Stock,3,FALSE),"")</f>
        <v>Kia Sportage 04-10 JE/KM</v>
      </c>
      <c r="E1592" s="56">
        <v>1.0</v>
      </c>
      <c r="F1592" s="161">
        <v>2400000.0</v>
      </c>
      <c r="G1592" s="162">
        <f t="shared" si="33"/>
        <v>2400000</v>
      </c>
      <c r="H1592" s="194"/>
      <c r="I1592" s="161">
        <f t="shared" si="35"/>
        <v>2400000</v>
      </c>
      <c r="J1592" s="164">
        <f t="shared" si="30"/>
        <v>2400000</v>
      </c>
      <c r="K1592" s="56" t="s">
        <v>6933</v>
      </c>
      <c r="L1592" s="165" t="s">
        <v>6934</v>
      </c>
      <c r="M1592" s="73"/>
      <c r="N1592" s="171"/>
      <c r="O1592" s="169" t="s">
        <v>6923</v>
      </c>
      <c r="P1592" s="168" t="s">
        <v>3112</v>
      </c>
      <c r="Q1592" s="167">
        <v>2400000.0</v>
      </c>
      <c r="R1592" s="167"/>
      <c r="S1592" s="173"/>
      <c r="T1592" s="173"/>
      <c r="U1592" s="173"/>
      <c r="V1592" s="168" t="s">
        <v>3883</v>
      </c>
      <c r="W1592" s="169"/>
      <c r="X1592" s="171"/>
    </row>
    <row r="1593" ht="15.0" customHeight="1">
      <c r="A1593" s="127">
        <v>45703.0</v>
      </c>
      <c r="B1593" s="181" t="s">
        <v>6935</v>
      </c>
      <c r="C1593" s="56" t="s">
        <v>3045</v>
      </c>
      <c r="D1593" s="73" t="str">
        <f>IFERROR(VLOOKUP(C1593,Stock,3,FALSE),"")</f>
        <v>Pemasangan Kaca Mobil Depan</v>
      </c>
      <c r="E1593" s="56">
        <v>1.0</v>
      </c>
      <c r="F1593" s="161">
        <v>400000.0</v>
      </c>
      <c r="G1593" s="162">
        <f t="shared" si="33"/>
        <v>400000</v>
      </c>
      <c r="H1593" s="194"/>
      <c r="I1593" s="161">
        <f t="shared" si="35"/>
        <v>400000</v>
      </c>
      <c r="J1593" s="164">
        <f t="shared" si="30"/>
        <v>400000</v>
      </c>
      <c r="K1593" s="56" t="s">
        <v>6911</v>
      </c>
      <c r="L1593" s="165" t="s">
        <v>6936</v>
      </c>
      <c r="M1593" s="73"/>
      <c r="N1593" s="169" t="s">
        <v>6937</v>
      </c>
      <c r="O1593" s="169" t="s">
        <v>2958</v>
      </c>
      <c r="P1593" s="168" t="s">
        <v>3112</v>
      </c>
      <c r="Q1593" s="167">
        <v>400000.0</v>
      </c>
      <c r="R1593" s="173"/>
      <c r="S1593" s="173"/>
      <c r="T1593" s="173"/>
      <c r="U1593" s="173"/>
      <c r="V1593" s="168" t="s">
        <v>3799</v>
      </c>
      <c r="W1593" s="169"/>
      <c r="X1593" s="171"/>
    </row>
    <row r="1594" ht="15.0" customHeight="1">
      <c r="A1594" s="127">
        <v>45703.0</v>
      </c>
      <c r="B1594" s="181" t="s">
        <v>6938</v>
      </c>
      <c r="C1594" s="330" t="s">
        <v>6939</v>
      </c>
      <c r="D1594" s="73" t="str">
        <f>IFERROR(VLOOKUP(C1594,Stock,3,FALSE),"")</f>
        <v>Toyota Agya/Ayla 13-22 1st Gen (Toyota/Daihatsu)</v>
      </c>
      <c r="E1594" s="56">
        <v>1.0</v>
      </c>
      <c r="F1594" s="161">
        <v>1100000.0</v>
      </c>
      <c r="G1594" s="162">
        <f t="shared" si="33"/>
        <v>1100000</v>
      </c>
      <c r="H1594" s="194"/>
      <c r="I1594" s="161">
        <f t="shared" si="35"/>
        <v>1100000</v>
      </c>
      <c r="J1594" s="164">
        <f t="shared" si="30"/>
        <v>1100000</v>
      </c>
      <c r="K1594" s="56" t="s">
        <v>6940</v>
      </c>
      <c r="L1594" s="165" t="s">
        <v>6941</v>
      </c>
      <c r="M1594" s="73"/>
      <c r="N1594" s="289" t="s">
        <v>6942</v>
      </c>
      <c r="O1594" s="169" t="s">
        <v>2958</v>
      </c>
      <c r="P1594" s="168" t="s">
        <v>3112</v>
      </c>
      <c r="Q1594" s="167">
        <v>1100000.0</v>
      </c>
      <c r="R1594" s="173"/>
      <c r="S1594" s="173"/>
      <c r="T1594" s="173"/>
      <c r="U1594" s="173"/>
      <c r="V1594" s="168" t="s">
        <v>3799</v>
      </c>
      <c r="W1594" s="169"/>
      <c r="X1594" s="171"/>
    </row>
    <row r="1595" ht="15.0" customHeight="1">
      <c r="A1595" s="127">
        <v>45704.0</v>
      </c>
      <c r="B1595" s="181" t="s">
        <v>6943</v>
      </c>
      <c r="C1595" s="330" t="s">
        <v>2549</v>
      </c>
      <c r="D1595" s="73" t="str">
        <f>IFERROR(VLOOKUP(C1595,Stock,3,FALSE),"")</f>
        <v>Toyota Avanza / Xenia 11-15 2nd Gen</v>
      </c>
      <c r="E1595" s="56">
        <v>1.0</v>
      </c>
      <c r="F1595" s="161">
        <v>1020000.0</v>
      </c>
      <c r="G1595" s="162">
        <f t="shared" si="33"/>
        <v>1020000</v>
      </c>
      <c r="H1595" s="194"/>
      <c r="I1595" s="161">
        <f t="shared" si="35"/>
        <v>1020000</v>
      </c>
      <c r="J1595" s="164">
        <f t="shared" si="30"/>
        <v>1020000</v>
      </c>
      <c r="K1595" s="56" t="s">
        <v>6944</v>
      </c>
      <c r="L1595" s="165" t="s">
        <v>6945</v>
      </c>
      <c r="M1595" s="313" t="s">
        <v>6946</v>
      </c>
      <c r="N1595" s="289" t="s">
        <v>6947</v>
      </c>
      <c r="O1595" s="169" t="s">
        <v>3213</v>
      </c>
      <c r="P1595" s="168" t="s">
        <v>3112</v>
      </c>
      <c r="Q1595" s="167">
        <v>1020000.0</v>
      </c>
      <c r="R1595" s="173"/>
      <c r="S1595" s="173"/>
      <c r="T1595" s="173"/>
      <c r="U1595" s="173"/>
      <c r="V1595" s="168" t="s">
        <v>3799</v>
      </c>
      <c r="W1595" s="169"/>
      <c r="X1595" s="171"/>
    </row>
    <row r="1596" ht="15.0" customHeight="1">
      <c r="A1596" s="127">
        <v>45704.0</v>
      </c>
      <c r="B1596" s="181" t="s">
        <v>6943</v>
      </c>
      <c r="C1596" s="251" t="s">
        <v>3826</v>
      </c>
      <c r="D1596" s="73" t="str">
        <f>IFERROR(VLOOKUP(C1596,Stock,3,FALSE),"")</f>
        <v>List Kaca Depan Code 11</v>
      </c>
      <c r="E1596" s="56">
        <v>1.0</v>
      </c>
      <c r="F1596" s="161">
        <v>275000.0</v>
      </c>
      <c r="G1596" s="162">
        <f t="shared" si="33"/>
        <v>275000</v>
      </c>
      <c r="H1596" s="194"/>
      <c r="I1596" s="161">
        <f t="shared" si="35"/>
        <v>275000</v>
      </c>
      <c r="J1596" s="164">
        <f t="shared" si="30"/>
        <v>275000</v>
      </c>
      <c r="K1596" s="56" t="s">
        <v>6944</v>
      </c>
      <c r="L1596" s="165" t="s">
        <v>6945</v>
      </c>
      <c r="M1596" s="313" t="s">
        <v>6946</v>
      </c>
      <c r="N1596" s="289" t="s">
        <v>6947</v>
      </c>
      <c r="O1596" s="169" t="s">
        <v>3213</v>
      </c>
      <c r="P1596" s="168" t="s">
        <v>3112</v>
      </c>
      <c r="Q1596" s="167">
        <v>275000.0</v>
      </c>
      <c r="R1596" s="173"/>
      <c r="S1596" s="173"/>
      <c r="T1596" s="173"/>
      <c r="U1596" s="173"/>
      <c r="V1596" s="168" t="s">
        <v>3799</v>
      </c>
      <c r="W1596" s="169"/>
      <c r="X1596" s="171"/>
    </row>
    <row r="1597" ht="15.0" customHeight="1">
      <c r="A1597" s="127">
        <v>45704.0</v>
      </c>
      <c r="B1597" s="181" t="s">
        <v>6948</v>
      </c>
      <c r="C1597" s="330" t="s">
        <v>3045</v>
      </c>
      <c r="D1597" s="73" t="str">
        <f>IFERROR(VLOOKUP(C1597,Stock,3,FALSE),"")</f>
        <v>Pemasangan Kaca Mobil Depan</v>
      </c>
      <c r="E1597" s="56">
        <v>1.0</v>
      </c>
      <c r="F1597" s="161">
        <v>450000.0</v>
      </c>
      <c r="G1597" s="162">
        <f t="shared" si="33"/>
        <v>450000</v>
      </c>
      <c r="H1597" s="194"/>
      <c r="I1597" s="161">
        <f t="shared" si="35"/>
        <v>450000</v>
      </c>
      <c r="J1597" s="164">
        <f t="shared" si="30"/>
        <v>450000</v>
      </c>
      <c r="K1597" s="56" t="s">
        <v>6949</v>
      </c>
      <c r="L1597" s="165" t="s">
        <v>6950</v>
      </c>
      <c r="M1597" s="73"/>
      <c r="N1597" s="289" t="s">
        <v>6951</v>
      </c>
      <c r="O1597" s="169" t="s">
        <v>2958</v>
      </c>
      <c r="P1597" s="168" t="s">
        <v>3112</v>
      </c>
      <c r="Q1597" s="173"/>
      <c r="R1597" s="167">
        <v>450000.0</v>
      </c>
      <c r="S1597" s="173"/>
      <c r="T1597" s="173"/>
      <c r="U1597" s="173"/>
      <c r="V1597" s="168" t="s">
        <v>3799</v>
      </c>
      <c r="W1597" s="169"/>
      <c r="X1597" s="171"/>
    </row>
    <row r="1598" ht="15.0" customHeight="1">
      <c r="A1598" s="127">
        <v>45704.0</v>
      </c>
      <c r="B1598" s="181" t="s">
        <v>6952</v>
      </c>
      <c r="C1598" s="330" t="s">
        <v>2562</v>
      </c>
      <c r="D1598" s="73" t="str">
        <f>IFERROR(VLOOKUP(C1598,Stock,3,FALSE),"")</f>
        <v>Toyota Avanza / Xenia 15-21 3rd Gen</v>
      </c>
      <c r="E1598" s="56">
        <v>1.0</v>
      </c>
      <c r="F1598" s="161">
        <v>1020000.0</v>
      </c>
      <c r="G1598" s="162">
        <f t="shared" si="33"/>
        <v>1020000</v>
      </c>
      <c r="H1598" s="194"/>
      <c r="I1598" s="161">
        <f t="shared" si="35"/>
        <v>1020000</v>
      </c>
      <c r="J1598" s="164">
        <f t="shared" si="30"/>
        <v>1020000</v>
      </c>
      <c r="K1598" s="56" t="s">
        <v>6953</v>
      </c>
      <c r="L1598" s="165" t="s">
        <v>6954</v>
      </c>
      <c r="M1598" s="73"/>
      <c r="N1598" s="289" t="s">
        <v>6955</v>
      </c>
      <c r="O1598" s="169" t="s">
        <v>2958</v>
      </c>
      <c r="P1598" s="168" t="s">
        <v>3112</v>
      </c>
      <c r="Q1598" s="167">
        <v>1100000.0</v>
      </c>
      <c r="R1598" s="173"/>
      <c r="S1598" s="173"/>
      <c r="T1598" s="173"/>
      <c r="U1598" s="167">
        <v>80000.0</v>
      </c>
      <c r="V1598" s="168" t="s">
        <v>3799</v>
      </c>
      <c r="W1598" s="169"/>
      <c r="X1598" s="171"/>
    </row>
    <row r="1599" ht="15.0" customHeight="1">
      <c r="A1599" s="127">
        <v>45704.0</v>
      </c>
      <c r="B1599" s="181" t="s">
        <v>6956</v>
      </c>
      <c r="C1599" s="330" t="s">
        <v>6078</v>
      </c>
      <c r="D1599" s="73" t="str">
        <f>IFERROR(VLOOKUP(C1599,Stock,3,FALSE),"")</f>
        <v>Chevrolet Captiva 06-18 1st gen C100</v>
      </c>
      <c r="E1599" s="56">
        <v>1.0</v>
      </c>
      <c r="F1599" s="161">
        <v>2618000.0</v>
      </c>
      <c r="G1599" s="162">
        <f t="shared" si="33"/>
        <v>2618000</v>
      </c>
      <c r="H1599" s="201">
        <v>200000.0</v>
      </c>
      <c r="I1599" s="161">
        <f t="shared" si="35"/>
        <v>2418000</v>
      </c>
      <c r="J1599" s="164">
        <f t="shared" si="30"/>
        <v>2418000</v>
      </c>
      <c r="K1599" s="56" t="s">
        <v>6957</v>
      </c>
      <c r="L1599" s="165" t="s">
        <v>6958</v>
      </c>
      <c r="M1599" s="73"/>
      <c r="N1599" s="289" t="s">
        <v>6959</v>
      </c>
      <c r="O1599" s="169" t="s">
        <v>2958</v>
      </c>
      <c r="P1599" s="168" t="s">
        <v>3112</v>
      </c>
      <c r="Q1599" s="173"/>
      <c r="R1599" s="167">
        <v>2418000.0</v>
      </c>
      <c r="S1599" s="173"/>
      <c r="T1599" s="173"/>
      <c r="U1599" s="173"/>
      <c r="V1599" s="168" t="s">
        <v>3799</v>
      </c>
      <c r="W1599" s="169"/>
      <c r="X1599" s="169" t="s">
        <v>6960</v>
      </c>
    </row>
    <row r="1600" ht="15.0" customHeight="1">
      <c r="A1600" s="127">
        <v>45707.0</v>
      </c>
      <c r="B1600" s="181" t="s">
        <v>6961</v>
      </c>
      <c r="C1600" s="56" t="s">
        <v>2593</v>
      </c>
      <c r="D1600" s="73" t="str">
        <f>IFERROR(VLOOKUP(C1600,Stock,3,FALSE),"")</f>
        <v>Toyota Alphard 08-15 ANH20 2nd Gen Sensor</v>
      </c>
      <c r="E1600" s="56">
        <v>1.0</v>
      </c>
      <c r="F1600" s="161">
        <v>4652000.0</v>
      </c>
      <c r="G1600" s="162">
        <f t="shared" si="33"/>
        <v>4652000</v>
      </c>
      <c r="H1600" s="201">
        <v>250000.0</v>
      </c>
      <c r="I1600" s="161">
        <f t="shared" si="35"/>
        <v>4402000</v>
      </c>
      <c r="J1600" s="164">
        <f t="shared" si="30"/>
        <v>4402000</v>
      </c>
      <c r="K1600" s="56" t="s">
        <v>6962</v>
      </c>
      <c r="L1600" s="165" t="s">
        <v>6963</v>
      </c>
      <c r="M1600" s="73"/>
      <c r="N1600" s="171"/>
      <c r="O1600" s="169" t="s">
        <v>2958</v>
      </c>
      <c r="P1600" s="168" t="s">
        <v>3112</v>
      </c>
      <c r="Q1600" s="173"/>
      <c r="R1600" s="167">
        <v>4402000.0</v>
      </c>
      <c r="S1600" s="173"/>
      <c r="T1600" s="173"/>
      <c r="U1600" s="173"/>
      <c r="V1600" s="168" t="s">
        <v>3883</v>
      </c>
      <c r="W1600" s="169"/>
      <c r="X1600" s="171"/>
    </row>
    <row r="1601" ht="15.0" customHeight="1">
      <c r="A1601" s="127">
        <v>45707.0</v>
      </c>
      <c r="B1601" s="181" t="s">
        <v>6964</v>
      </c>
      <c r="C1601" s="56" t="s">
        <v>2936</v>
      </c>
      <c r="D1601" s="73" t="str">
        <f>IFERROR(VLOOKUP(C1601,Stock,3,FALSE),"")</f>
        <v>Toyota Calya / Sigra 16-</v>
      </c>
      <c r="E1601" s="56">
        <v>1.0</v>
      </c>
      <c r="F1601" s="161">
        <v>718000.0</v>
      </c>
      <c r="G1601" s="162">
        <f t="shared" si="33"/>
        <v>718000</v>
      </c>
      <c r="H1601" s="194"/>
      <c r="I1601" s="161">
        <f t="shared" si="35"/>
        <v>718000</v>
      </c>
      <c r="J1601" s="164">
        <f t="shared" si="30"/>
        <v>718000</v>
      </c>
      <c r="K1601" s="56" t="s">
        <v>6965</v>
      </c>
      <c r="L1601" s="165" t="s">
        <v>6966</v>
      </c>
      <c r="M1601" s="73"/>
      <c r="N1601" s="171"/>
      <c r="O1601" s="169" t="s">
        <v>3213</v>
      </c>
      <c r="P1601" s="168" t="s">
        <v>3112</v>
      </c>
      <c r="Q1601" s="167">
        <v>720000.0</v>
      </c>
      <c r="R1601" s="173"/>
      <c r="S1601" s="173"/>
      <c r="T1601" s="173"/>
      <c r="U1601" s="167">
        <v>2000.0</v>
      </c>
      <c r="V1601" s="168" t="s">
        <v>3883</v>
      </c>
      <c r="W1601" s="169"/>
      <c r="X1601" s="171"/>
    </row>
    <row r="1602" ht="15.0" customHeight="1">
      <c r="A1602" s="127">
        <v>45708.0</v>
      </c>
      <c r="B1602" s="181" t="s">
        <v>6967</v>
      </c>
      <c r="C1602" s="56" t="s">
        <v>2669</v>
      </c>
      <c r="D1602" s="73" t="str">
        <f>IFERROR(VLOOKUP(C1602,Stock,3,FALSE),"")</f>
        <v>Nissan Livina 07-18 L10/L11</v>
      </c>
      <c r="E1602" s="56">
        <v>1.0</v>
      </c>
      <c r="F1602" s="161">
        <v>1442000.0</v>
      </c>
      <c r="G1602" s="162">
        <f t="shared" si="33"/>
        <v>1442000</v>
      </c>
      <c r="H1602" s="194"/>
      <c r="I1602" s="161">
        <f t="shared" si="35"/>
        <v>1442000</v>
      </c>
      <c r="J1602" s="164">
        <f t="shared" si="30"/>
        <v>1442000</v>
      </c>
      <c r="K1602" s="56" t="s">
        <v>4859</v>
      </c>
      <c r="L1602" s="165" t="s">
        <v>6968</v>
      </c>
      <c r="M1602" s="313" t="s">
        <v>6969</v>
      </c>
      <c r="N1602" s="169" t="s">
        <v>6970</v>
      </c>
      <c r="O1602" s="169" t="s">
        <v>2958</v>
      </c>
      <c r="P1602" s="168" t="s">
        <v>3112</v>
      </c>
      <c r="Q1602" s="167">
        <v>1442000.0</v>
      </c>
      <c r="R1602" s="173"/>
      <c r="S1602" s="173"/>
      <c r="T1602" s="173"/>
      <c r="U1602" s="173"/>
      <c r="V1602" s="168" t="s">
        <v>3883</v>
      </c>
      <c r="W1602" s="169"/>
      <c r="X1602" s="171"/>
    </row>
    <row r="1603" ht="15.0" customHeight="1">
      <c r="A1603" s="127">
        <v>45708.0</v>
      </c>
      <c r="B1603" s="181" t="s">
        <v>6967</v>
      </c>
      <c r="C1603" s="56" t="s">
        <v>3083</v>
      </c>
      <c r="D1603" s="73" t="str">
        <f>IFERROR(VLOOKUP(C1603,Stock,3,FALSE),"")</f>
        <v>List Kaca Depan Code 04</v>
      </c>
      <c r="E1603" s="56">
        <v>1.0</v>
      </c>
      <c r="F1603" s="161">
        <v>275000.0</v>
      </c>
      <c r="G1603" s="162">
        <f t="shared" si="33"/>
        <v>275000</v>
      </c>
      <c r="H1603" s="194"/>
      <c r="I1603" s="161">
        <f t="shared" si="35"/>
        <v>275000</v>
      </c>
      <c r="J1603" s="164">
        <f t="shared" si="30"/>
        <v>275000</v>
      </c>
      <c r="K1603" s="56" t="s">
        <v>4859</v>
      </c>
      <c r="L1603" s="165" t="s">
        <v>6968</v>
      </c>
      <c r="M1603" s="313" t="s">
        <v>6969</v>
      </c>
      <c r="N1603" s="169" t="s">
        <v>6970</v>
      </c>
      <c r="O1603" s="169" t="s">
        <v>2958</v>
      </c>
      <c r="P1603" s="168" t="s">
        <v>3112</v>
      </c>
      <c r="Q1603" s="167">
        <v>275000.0</v>
      </c>
      <c r="R1603" s="173"/>
      <c r="S1603" s="173"/>
      <c r="T1603" s="173"/>
      <c r="U1603" s="173"/>
      <c r="V1603" s="168" t="s">
        <v>3883</v>
      </c>
      <c r="W1603" s="169"/>
      <c r="X1603" s="171"/>
    </row>
    <row r="1604" ht="15.0" customHeight="1">
      <c r="A1604" s="127">
        <v>45708.0</v>
      </c>
      <c r="B1604" s="181" t="s">
        <v>6971</v>
      </c>
      <c r="C1604" s="56" t="s">
        <v>3045</v>
      </c>
      <c r="D1604" s="73" t="str">
        <f>IFERROR(VLOOKUP(C1604,Stock,3,FALSE),"")</f>
        <v>Pemasangan Kaca Mobil Depan</v>
      </c>
      <c r="E1604" s="56">
        <v>1.0</v>
      </c>
      <c r="F1604" s="161">
        <v>450000.0</v>
      </c>
      <c r="G1604" s="162">
        <f t="shared" si="33"/>
        <v>450000</v>
      </c>
      <c r="H1604" s="194"/>
      <c r="I1604" s="161">
        <f t="shared" si="35"/>
        <v>450000</v>
      </c>
      <c r="J1604" s="164">
        <f t="shared" si="30"/>
        <v>450000</v>
      </c>
      <c r="K1604" s="56" t="s">
        <v>6972</v>
      </c>
      <c r="L1604" s="165" t="s">
        <v>6973</v>
      </c>
      <c r="M1604" s="313" t="s">
        <v>6974</v>
      </c>
      <c r="N1604" s="169" t="s">
        <v>6975</v>
      </c>
      <c r="O1604" s="169" t="s">
        <v>2958</v>
      </c>
      <c r="P1604" s="168" t="s">
        <v>3112</v>
      </c>
      <c r="Q1604" s="173"/>
      <c r="R1604" s="167">
        <v>450000.0</v>
      </c>
      <c r="S1604" s="173"/>
      <c r="T1604" s="173"/>
      <c r="U1604" s="173"/>
      <c r="V1604" s="168" t="s">
        <v>3883</v>
      </c>
      <c r="W1604" s="169"/>
      <c r="X1604" s="171"/>
    </row>
    <row r="1605" ht="15.0" customHeight="1">
      <c r="A1605" s="127">
        <v>45708.0</v>
      </c>
      <c r="B1605" s="181" t="s">
        <v>6976</v>
      </c>
      <c r="C1605" s="251" t="s">
        <v>6977</v>
      </c>
      <c r="D1605" s="73" t="str">
        <f>IFERROR(VLOOKUP(C1605,Stock,3,FALSE),"")</f>
        <v>Suzuki Karimun 99-06 Kotak</v>
      </c>
      <c r="E1605" s="56">
        <v>1.0</v>
      </c>
      <c r="F1605" s="161">
        <v>1142000.0</v>
      </c>
      <c r="G1605" s="162">
        <f t="shared" si="33"/>
        <v>1142000</v>
      </c>
      <c r="H1605" s="194"/>
      <c r="I1605" s="161">
        <f t="shared" si="35"/>
        <v>1142000</v>
      </c>
      <c r="J1605" s="164">
        <f t="shared" si="30"/>
        <v>1142000</v>
      </c>
      <c r="K1605" s="56" t="s">
        <v>6978</v>
      </c>
      <c r="L1605" s="165" t="s">
        <v>6979</v>
      </c>
      <c r="M1605" s="73"/>
      <c r="N1605" s="171"/>
      <c r="O1605" s="169" t="s">
        <v>6980</v>
      </c>
      <c r="P1605" s="168" t="s">
        <v>6981</v>
      </c>
      <c r="Q1605" s="173"/>
      <c r="R1605" s="173"/>
      <c r="S1605" s="167">
        <v>1142000.0</v>
      </c>
      <c r="T1605" s="173"/>
      <c r="U1605" s="173"/>
      <c r="V1605" s="168" t="s">
        <v>3883</v>
      </c>
      <c r="W1605" s="169"/>
      <c r="X1605" s="171"/>
    </row>
    <row r="1606" ht="15.0" customHeight="1">
      <c r="A1606" s="127">
        <v>45708.0</v>
      </c>
      <c r="B1606" s="181" t="s">
        <v>6976</v>
      </c>
      <c r="C1606" s="251" t="s">
        <v>2934</v>
      </c>
      <c r="D1606" s="73" t="str">
        <f>IFERROR(VLOOKUP(C1606,Stock,3,FALSE),"")</f>
        <v>Peti Kayu</v>
      </c>
      <c r="E1606" s="56">
        <v>1.0</v>
      </c>
      <c r="F1606" s="161">
        <v>200000.0</v>
      </c>
      <c r="G1606" s="162">
        <f t="shared" si="33"/>
        <v>200000</v>
      </c>
      <c r="H1606" s="194"/>
      <c r="I1606" s="161">
        <f t="shared" si="35"/>
        <v>200000</v>
      </c>
      <c r="J1606" s="164">
        <f t="shared" si="30"/>
        <v>200000</v>
      </c>
      <c r="K1606" s="56" t="s">
        <v>6978</v>
      </c>
      <c r="L1606" s="165" t="s">
        <v>6982</v>
      </c>
      <c r="M1606" s="73"/>
      <c r="N1606" s="171"/>
      <c r="O1606" s="169" t="s">
        <v>6980</v>
      </c>
      <c r="P1606" s="168" t="s">
        <v>6981</v>
      </c>
      <c r="Q1606" s="420"/>
      <c r="R1606" s="173"/>
      <c r="S1606" s="167">
        <v>200000.0</v>
      </c>
      <c r="T1606" s="173"/>
      <c r="U1606" s="173"/>
      <c r="V1606" s="168" t="s">
        <v>3883</v>
      </c>
      <c r="W1606" s="169"/>
      <c r="X1606" s="171"/>
    </row>
    <row r="1607" ht="15.0" customHeight="1">
      <c r="A1607" s="127">
        <v>45708.0</v>
      </c>
      <c r="B1607" s="181" t="s">
        <v>6983</v>
      </c>
      <c r="C1607" s="251" t="s">
        <v>6984</v>
      </c>
      <c r="D1607" s="73" t="str">
        <f>IFERROR(VLOOKUP(C1607,Stock,3,FALSE),"")</f>
        <v>Mitsubishi Mirage 12-</v>
      </c>
      <c r="E1607" s="56">
        <v>1.0</v>
      </c>
      <c r="F1607" s="161">
        <v>1720000.0</v>
      </c>
      <c r="G1607" s="162">
        <f t="shared" si="33"/>
        <v>1720000</v>
      </c>
      <c r="H1607" s="194"/>
      <c r="I1607" s="161">
        <f t="shared" si="35"/>
        <v>1720000</v>
      </c>
      <c r="J1607" s="164">
        <f t="shared" si="30"/>
        <v>1720000</v>
      </c>
      <c r="K1607" s="56" t="s">
        <v>6985</v>
      </c>
      <c r="L1607" s="165" t="s">
        <v>6986</v>
      </c>
      <c r="M1607" s="73"/>
      <c r="N1607" s="171"/>
      <c r="O1607" s="169" t="s">
        <v>2952</v>
      </c>
      <c r="P1607" s="168" t="s">
        <v>4778</v>
      </c>
      <c r="Q1607" s="173"/>
      <c r="R1607" s="167">
        <v>1720000.0</v>
      </c>
      <c r="S1607" s="173"/>
      <c r="T1607" s="173"/>
      <c r="U1607" s="173"/>
      <c r="V1607" s="168" t="s">
        <v>3883</v>
      </c>
      <c r="W1607" s="169"/>
      <c r="X1607" s="171"/>
    </row>
    <row r="1608" ht="15.0" customHeight="1">
      <c r="A1608" s="127">
        <v>45708.0</v>
      </c>
      <c r="B1608" s="181" t="s">
        <v>6983</v>
      </c>
      <c r="C1608" s="251" t="s">
        <v>2934</v>
      </c>
      <c r="D1608" s="73" t="str">
        <f>IFERROR(VLOOKUP(C1608,Stock,3,FALSE),"")</f>
        <v>Peti Kayu</v>
      </c>
      <c r="E1608" s="56">
        <v>1.0</v>
      </c>
      <c r="F1608" s="161">
        <v>200000.0</v>
      </c>
      <c r="G1608" s="162">
        <f t="shared" si="33"/>
        <v>200000</v>
      </c>
      <c r="H1608" s="194"/>
      <c r="I1608" s="161">
        <f t="shared" si="35"/>
        <v>200000</v>
      </c>
      <c r="J1608" s="164">
        <f t="shared" si="30"/>
        <v>200000</v>
      </c>
      <c r="K1608" s="56" t="s">
        <v>6985</v>
      </c>
      <c r="L1608" s="165" t="s">
        <v>6986</v>
      </c>
      <c r="M1608" s="73"/>
      <c r="N1608" s="171"/>
      <c r="O1608" s="169" t="s">
        <v>2952</v>
      </c>
      <c r="P1608" s="168" t="s">
        <v>4778</v>
      </c>
      <c r="Q1608" s="173"/>
      <c r="R1608" s="167">
        <v>200000.0</v>
      </c>
      <c r="S1608" s="173"/>
      <c r="T1608" s="173"/>
      <c r="U1608" s="173"/>
      <c r="V1608" s="168" t="s">
        <v>3883</v>
      </c>
      <c r="W1608" s="169"/>
      <c r="X1608" s="171"/>
    </row>
    <row r="1609" ht="15.0" customHeight="1">
      <c r="A1609" s="127">
        <v>45708.0</v>
      </c>
      <c r="B1609" s="181" t="s">
        <v>6987</v>
      </c>
      <c r="C1609" s="56" t="s">
        <v>3186</v>
      </c>
      <c r="D1609" s="73" t="str">
        <f>IFERROR(VLOOKUP(C1609,Stock,3,FALSE),"")</f>
        <v>Daihatsu Gran Max / Luxio 07-</v>
      </c>
      <c r="E1609" s="56">
        <v>1.0</v>
      </c>
      <c r="F1609" s="161">
        <v>1050000.0</v>
      </c>
      <c r="G1609" s="162">
        <f t="shared" si="33"/>
        <v>1050000</v>
      </c>
      <c r="H1609" s="194"/>
      <c r="I1609" s="161">
        <f t="shared" si="35"/>
        <v>1050000</v>
      </c>
      <c r="J1609" s="164">
        <f t="shared" si="30"/>
        <v>1050000</v>
      </c>
      <c r="K1609" s="56" t="s">
        <v>6988</v>
      </c>
      <c r="L1609" s="165" t="s">
        <v>6989</v>
      </c>
      <c r="M1609" s="313" t="s">
        <v>6990</v>
      </c>
      <c r="N1609" s="169" t="s">
        <v>6991</v>
      </c>
      <c r="O1609" s="169" t="s">
        <v>3184</v>
      </c>
      <c r="P1609" s="168" t="s">
        <v>3112</v>
      </c>
      <c r="Q1609" s="173"/>
      <c r="R1609" s="167">
        <v>1050000.0</v>
      </c>
      <c r="S1609" s="173"/>
      <c r="T1609" s="173"/>
      <c r="U1609" s="173"/>
      <c r="V1609" s="168" t="s">
        <v>3883</v>
      </c>
      <c r="W1609" s="169"/>
      <c r="X1609" s="171"/>
    </row>
    <row r="1610" ht="15.0" customHeight="1">
      <c r="A1610" s="127">
        <v>45708.0</v>
      </c>
      <c r="B1610" s="181" t="s">
        <v>6987</v>
      </c>
      <c r="C1610" s="56" t="s">
        <v>3513</v>
      </c>
      <c r="D1610" s="73" t="str">
        <f>IFERROR(VLOOKUP(C1610,Stock,3,FALSE),"")</f>
        <v>Lembur</v>
      </c>
      <c r="E1610" s="56">
        <v>1.0</v>
      </c>
      <c r="F1610" s="161">
        <v>100000.0</v>
      </c>
      <c r="G1610" s="162">
        <f t="shared" si="33"/>
        <v>100000</v>
      </c>
      <c r="H1610" s="194"/>
      <c r="I1610" s="161">
        <f t="shared" si="35"/>
        <v>100000</v>
      </c>
      <c r="J1610" s="164">
        <f t="shared" si="30"/>
        <v>100000</v>
      </c>
      <c r="K1610" s="56" t="s">
        <v>6988</v>
      </c>
      <c r="L1610" s="421" t="s">
        <v>6989</v>
      </c>
      <c r="M1610" s="313" t="s">
        <v>6990</v>
      </c>
      <c r="N1610" s="169" t="s">
        <v>6991</v>
      </c>
      <c r="O1610" s="169" t="s">
        <v>3184</v>
      </c>
      <c r="P1610" s="168" t="s">
        <v>3112</v>
      </c>
      <c r="Q1610" s="173"/>
      <c r="R1610" s="167">
        <v>100000.0</v>
      </c>
      <c r="S1610" s="173"/>
      <c r="T1610" s="173"/>
      <c r="U1610" s="173"/>
      <c r="V1610" s="168" t="s">
        <v>3883</v>
      </c>
      <c r="W1610" s="169"/>
      <c r="X1610" s="171"/>
    </row>
    <row r="1611" ht="15.0" customHeight="1">
      <c r="A1611" s="127">
        <v>45709.0</v>
      </c>
      <c r="B1611" s="181" t="s">
        <v>6992</v>
      </c>
      <c r="C1611" s="56" t="s">
        <v>6993</v>
      </c>
      <c r="D1611" s="73" t="str">
        <f>IFERROR(VLOOKUP(C1611,Stock,3,FALSE),"")</f>
        <v>Suzuki Ertiga 12-18 1st Gen MPV (Suzuki)</v>
      </c>
      <c r="E1611" s="56">
        <v>1.0</v>
      </c>
      <c r="F1611" s="161">
        <v>500000.0</v>
      </c>
      <c r="G1611" s="162">
        <f t="shared" si="33"/>
        <v>500000</v>
      </c>
      <c r="H1611" s="194"/>
      <c r="I1611" s="161">
        <f t="shared" si="35"/>
        <v>500000</v>
      </c>
      <c r="J1611" s="164">
        <f t="shared" si="30"/>
        <v>500000</v>
      </c>
      <c r="K1611" s="56" t="s">
        <v>6994</v>
      </c>
      <c r="L1611" s="165" t="s">
        <v>6995</v>
      </c>
      <c r="M1611" s="313" t="s">
        <v>6996</v>
      </c>
      <c r="N1611" s="169" t="s">
        <v>6997</v>
      </c>
      <c r="O1611" s="169" t="s">
        <v>2958</v>
      </c>
      <c r="P1611" s="168" t="s">
        <v>3112</v>
      </c>
      <c r="Q1611" s="173"/>
      <c r="R1611" s="167">
        <v>500000.0</v>
      </c>
      <c r="S1611" s="173"/>
      <c r="T1611" s="173"/>
      <c r="U1611" s="173"/>
      <c r="V1611" s="168" t="s">
        <v>3799</v>
      </c>
      <c r="W1611" s="169"/>
      <c r="X1611" s="171"/>
    </row>
    <row r="1612" ht="15.0" customHeight="1">
      <c r="A1612" s="127">
        <v>45709.0</v>
      </c>
      <c r="B1612" s="181" t="s">
        <v>6998</v>
      </c>
      <c r="C1612" s="56" t="s">
        <v>3837</v>
      </c>
      <c r="D1612" s="73" t="str">
        <f>IFERROR(VLOOKUP(C1612,Stock,3,FALSE),"")</f>
        <v>Toyota Yaris 13- 2nd Gen / Vios 14- 3rd Gen</v>
      </c>
      <c r="E1612" s="56">
        <v>1.0</v>
      </c>
      <c r="F1612" s="161">
        <v>1669000.0</v>
      </c>
      <c r="G1612" s="162">
        <f t="shared" si="33"/>
        <v>1669000</v>
      </c>
      <c r="H1612" s="194"/>
      <c r="I1612" s="161">
        <f t="shared" si="35"/>
        <v>1669000</v>
      </c>
      <c r="J1612" s="164">
        <f t="shared" si="30"/>
        <v>1669000</v>
      </c>
      <c r="K1612" s="56" t="s">
        <v>6999</v>
      </c>
      <c r="L1612" s="165" t="s">
        <v>7000</v>
      </c>
      <c r="M1612" s="313" t="s">
        <v>7001</v>
      </c>
      <c r="N1612" s="169" t="s">
        <v>7002</v>
      </c>
      <c r="O1612" s="169" t="s">
        <v>3213</v>
      </c>
      <c r="P1612" s="168" t="s">
        <v>3112</v>
      </c>
      <c r="Q1612" s="173"/>
      <c r="R1612" s="167">
        <v>1669000.0</v>
      </c>
      <c r="S1612" s="173"/>
      <c r="T1612" s="173"/>
      <c r="U1612" s="173"/>
      <c r="V1612" s="168" t="s">
        <v>3883</v>
      </c>
      <c r="W1612" s="169"/>
      <c r="X1612" s="171"/>
    </row>
    <row r="1613" ht="15.0" customHeight="1">
      <c r="A1613" s="127">
        <v>45709.0</v>
      </c>
      <c r="B1613" s="181" t="s">
        <v>7003</v>
      </c>
      <c r="C1613" s="56" t="s">
        <v>2555</v>
      </c>
      <c r="D1613" s="73" t="str">
        <f>IFERROR(VLOOKUP(C1613,Stock,3,FALSE),"")</f>
        <v>Toyota Fortuner 15-  2nd Gen (Toyota)</v>
      </c>
      <c r="E1613" s="56">
        <v>1.0</v>
      </c>
      <c r="F1613" s="161">
        <v>2998000.0</v>
      </c>
      <c r="G1613" s="162">
        <f t="shared" si="33"/>
        <v>2998000</v>
      </c>
      <c r="H1613" s="194"/>
      <c r="I1613" s="161">
        <f t="shared" si="35"/>
        <v>2998000</v>
      </c>
      <c r="J1613" s="164">
        <f t="shared" si="30"/>
        <v>2998000</v>
      </c>
      <c r="K1613" s="56" t="s">
        <v>7004</v>
      </c>
      <c r="L1613" s="165" t="s">
        <v>7005</v>
      </c>
      <c r="M1613" s="313" t="s">
        <v>7006</v>
      </c>
      <c r="N1613" s="169" t="s">
        <v>7007</v>
      </c>
      <c r="O1613" s="169" t="s">
        <v>3037</v>
      </c>
      <c r="P1613" s="168" t="s">
        <v>3112</v>
      </c>
      <c r="Q1613" s="173"/>
      <c r="R1613" s="167">
        <v>2998000.0</v>
      </c>
      <c r="S1613" s="173"/>
      <c r="T1613" s="173"/>
      <c r="U1613" s="173"/>
      <c r="V1613" s="168" t="s">
        <v>3883</v>
      </c>
      <c r="W1613" s="169"/>
      <c r="X1613" s="171"/>
    </row>
    <row r="1614" ht="15.0" customHeight="1">
      <c r="A1614" s="127">
        <v>45709.0</v>
      </c>
      <c r="B1614" s="181" t="s">
        <v>7008</v>
      </c>
      <c r="C1614" s="330" t="s">
        <v>3059</v>
      </c>
      <c r="D1614" s="73" t="str">
        <f>IFERROR(VLOOKUP(C1614,Stock,3,FALSE),"")</f>
        <v>Sealant Polyurethane XYG Tube</v>
      </c>
      <c r="E1614" s="56">
        <v>1.0</v>
      </c>
      <c r="F1614" s="161">
        <v>75000.0</v>
      </c>
      <c r="G1614" s="162">
        <f t="shared" si="33"/>
        <v>75000</v>
      </c>
      <c r="H1614" s="194"/>
      <c r="I1614" s="161">
        <f t="shared" si="35"/>
        <v>75000</v>
      </c>
      <c r="J1614" s="164">
        <f t="shared" si="30"/>
        <v>75000</v>
      </c>
      <c r="K1614" s="56" t="s">
        <v>7009</v>
      </c>
      <c r="L1614" s="165" t="s">
        <v>7010</v>
      </c>
      <c r="M1614" s="73"/>
      <c r="N1614" s="171"/>
      <c r="O1614" s="169" t="s">
        <v>2958</v>
      </c>
      <c r="P1614" s="168" t="s">
        <v>3645</v>
      </c>
      <c r="Q1614" s="167">
        <v>100000.0</v>
      </c>
      <c r="R1614" s="173"/>
      <c r="S1614" s="173"/>
      <c r="T1614" s="173"/>
      <c r="U1614" s="167">
        <v>25000.0</v>
      </c>
      <c r="V1614" s="168" t="s">
        <v>3799</v>
      </c>
      <c r="W1614" s="169"/>
      <c r="X1614" s="171"/>
    </row>
    <row r="1615" ht="15.0" customHeight="1">
      <c r="A1615" s="127">
        <v>45710.0</v>
      </c>
      <c r="B1615" s="181" t="s">
        <v>7011</v>
      </c>
      <c r="C1615" s="56" t="s">
        <v>2669</v>
      </c>
      <c r="D1615" s="73" t="str">
        <f>IFERROR(VLOOKUP(C1615,Stock,3,FALSE),"")</f>
        <v>Nissan Livina 07-18 L10/L11</v>
      </c>
      <c r="E1615" s="56">
        <v>1.0</v>
      </c>
      <c r="F1615" s="161">
        <v>1442000.0</v>
      </c>
      <c r="G1615" s="162">
        <f t="shared" si="33"/>
        <v>1442000</v>
      </c>
      <c r="H1615" s="194"/>
      <c r="I1615" s="161">
        <f t="shared" si="35"/>
        <v>1442000</v>
      </c>
      <c r="J1615" s="164">
        <f t="shared" si="30"/>
        <v>1442000</v>
      </c>
      <c r="K1615" s="56" t="s">
        <v>7012</v>
      </c>
      <c r="L1615" s="165" t="s">
        <v>7013</v>
      </c>
      <c r="M1615" s="313" t="s">
        <v>7014</v>
      </c>
      <c r="N1615" s="169" t="s">
        <v>7015</v>
      </c>
      <c r="O1615" s="169" t="s">
        <v>2968</v>
      </c>
      <c r="P1615" s="168" t="s">
        <v>3112</v>
      </c>
      <c r="Q1615" s="167">
        <v>1442000.0</v>
      </c>
      <c r="R1615" s="167"/>
      <c r="S1615" s="173"/>
      <c r="T1615" s="173"/>
      <c r="U1615" s="173"/>
      <c r="V1615" s="168" t="s">
        <v>3883</v>
      </c>
      <c r="W1615" s="169"/>
      <c r="X1615" s="171"/>
    </row>
    <row r="1616" ht="15.0" customHeight="1">
      <c r="A1616" s="127">
        <v>45710.0</v>
      </c>
      <c r="B1616" s="181" t="s">
        <v>7011</v>
      </c>
      <c r="C1616" s="56" t="s">
        <v>3083</v>
      </c>
      <c r="D1616" s="73" t="str">
        <f>IFERROR(VLOOKUP(C1616,Stock,3,FALSE),"")</f>
        <v>List Kaca Depan Code 04</v>
      </c>
      <c r="E1616" s="56">
        <v>1.0</v>
      </c>
      <c r="F1616" s="161">
        <v>275000.0</v>
      </c>
      <c r="G1616" s="162">
        <f t="shared" si="33"/>
        <v>275000</v>
      </c>
      <c r="H1616" s="194"/>
      <c r="I1616" s="161">
        <f t="shared" si="35"/>
        <v>275000</v>
      </c>
      <c r="J1616" s="164">
        <f t="shared" si="30"/>
        <v>275000</v>
      </c>
      <c r="K1616" s="56" t="s">
        <v>7012</v>
      </c>
      <c r="L1616" s="165" t="s">
        <v>7013</v>
      </c>
      <c r="M1616" s="313" t="s">
        <v>7014</v>
      </c>
      <c r="N1616" s="169" t="s">
        <v>7015</v>
      </c>
      <c r="O1616" s="169" t="s">
        <v>2968</v>
      </c>
      <c r="P1616" s="168" t="s">
        <v>3112</v>
      </c>
      <c r="Q1616" s="167">
        <v>275000.0</v>
      </c>
      <c r="R1616" s="167"/>
      <c r="S1616" s="173"/>
      <c r="T1616" s="173"/>
      <c r="U1616" s="173"/>
      <c r="V1616" s="168" t="s">
        <v>3883</v>
      </c>
      <c r="W1616" s="169"/>
      <c r="X1616" s="171"/>
    </row>
    <row r="1617" ht="15.0" customHeight="1">
      <c r="A1617" s="127">
        <v>45710.0</v>
      </c>
      <c r="B1617" s="181" t="s">
        <v>7016</v>
      </c>
      <c r="C1617" s="56" t="s">
        <v>2562</v>
      </c>
      <c r="D1617" s="73" t="str">
        <f>IFERROR(VLOOKUP(C1617,Stock,3,FALSE),"")</f>
        <v>Toyota Avanza / Xenia 15-21 3rd Gen</v>
      </c>
      <c r="E1617" s="56">
        <v>1.0</v>
      </c>
      <c r="F1617" s="161">
        <v>1050000.0</v>
      </c>
      <c r="G1617" s="162">
        <f t="shared" si="33"/>
        <v>1050000</v>
      </c>
      <c r="H1617" s="201">
        <v>30000.0</v>
      </c>
      <c r="I1617" s="161">
        <f t="shared" si="35"/>
        <v>1020000</v>
      </c>
      <c r="J1617" s="164">
        <f t="shared" si="30"/>
        <v>1020000</v>
      </c>
      <c r="K1617" s="56" t="s">
        <v>7017</v>
      </c>
      <c r="L1617" s="165" t="s">
        <v>7018</v>
      </c>
      <c r="M1617" s="73"/>
      <c r="N1617" s="169" t="s">
        <v>7019</v>
      </c>
      <c r="O1617" s="169" t="s">
        <v>2958</v>
      </c>
      <c r="P1617" s="168" t="s">
        <v>3645</v>
      </c>
      <c r="Q1617" s="167">
        <v>1020000.0</v>
      </c>
      <c r="R1617" s="167"/>
      <c r="S1617" s="173"/>
      <c r="T1617" s="173"/>
      <c r="U1617" s="173"/>
      <c r="V1617" s="168" t="s">
        <v>3883</v>
      </c>
      <c r="W1617" s="169"/>
      <c r="X1617" s="171"/>
    </row>
    <row r="1618" ht="15.0" customHeight="1">
      <c r="A1618" s="127">
        <v>45710.0</v>
      </c>
      <c r="B1618" s="181" t="s">
        <v>7020</v>
      </c>
      <c r="C1618" s="56" t="s">
        <v>5100</v>
      </c>
      <c r="D1618" s="73" t="str">
        <f>IFERROR(VLOOKUP(C1618,Stock,3,FALSE),"")</f>
        <v>Mitsubishi Pajero 20- (1 Sensor / □ ) (Mitsubishi)</v>
      </c>
      <c r="E1618" s="56">
        <v>1.0</v>
      </c>
      <c r="F1618" s="161">
        <v>4272000.0</v>
      </c>
      <c r="G1618" s="162">
        <f t="shared" si="33"/>
        <v>4272000</v>
      </c>
      <c r="H1618" s="201">
        <v>213600.0</v>
      </c>
      <c r="I1618" s="161">
        <f t="shared" si="35"/>
        <v>4058400</v>
      </c>
      <c r="J1618" s="164">
        <f t="shared" si="30"/>
        <v>4058400</v>
      </c>
      <c r="K1618" s="56" t="s">
        <v>7021</v>
      </c>
      <c r="L1618" s="165" t="s">
        <v>7022</v>
      </c>
      <c r="M1618" s="73"/>
      <c r="N1618" s="171"/>
      <c r="O1618" s="169" t="s">
        <v>3037</v>
      </c>
      <c r="P1618" s="168" t="s">
        <v>3112</v>
      </c>
      <c r="Q1618" s="173"/>
      <c r="R1618" s="167">
        <v>4058400.0</v>
      </c>
      <c r="S1618" s="173"/>
      <c r="T1618" s="173"/>
      <c r="U1618" s="173"/>
      <c r="V1618" s="168" t="s">
        <v>3883</v>
      </c>
      <c r="W1618" s="169"/>
      <c r="X1618" s="171"/>
    </row>
    <row r="1619" ht="15.0" customHeight="1">
      <c r="A1619" s="127">
        <v>45710.0</v>
      </c>
      <c r="B1619" s="181" t="s">
        <v>7020</v>
      </c>
      <c r="C1619" s="56" t="s">
        <v>2954</v>
      </c>
      <c r="D1619" s="73" t="str">
        <f>IFERROR(VLOOKUP(C1619,Stock,3,FALSE),"")</f>
        <v>Transport</v>
      </c>
      <c r="E1619" s="56">
        <v>1.0</v>
      </c>
      <c r="F1619" s="161">
        <v>100000.0</v>
      </c>
      <c r="G1619" s="162">
        <f t="shared" si="33"/>
        <v>100000</v>
      </c>
      <c r="H1619" s="201"/>
      <c r="I1619" s="161">
        <f t="shared" si="35"/>
        <v>100000</v>
      </c>
      <c r="J1619" s="164">
        <f t="shared" si="30"/>
        <v>100000</v>
      </c>
      <c r="K1619" s="56" t="s">
        <v>7021</v>
      </c>
      <c r="L1619" s="165" t="s">
        <v>7022</v>
      </c>
      <c r="M1619" s="73"/>
      <c r="N1619" s="171"/>
      <c r="O1619" s="6" t="s">
        <v>3037</v>
      </c>
      <c r="P1619" s="168" t="s">
        <v>3112</v>
      </c>
      <c r="Q1619" s="173"/>
      <c r="R1619" s="167">
        <v>100000.0</v>
      </c>
      <c r="S1619" s="173"/>
      <c r="T1619" s="173"/>
      <c r="U1619" s="173"/>
      <c r="V1619" s="168" t="s">
        <v>3883</v>
      </c>
      <c r="W1619" s="169"/>
      <c r="X1619" s="171"/>
    </row>
    <row r="1620" ht="15.0" customHeight="1">
      <c r="A1620" s="127">
        <v>45710.0</v>
      </c>
      <c r="B1620" s="181" t="s">
        <v>7023</v>
      </c>
      <c r="C1620" s="56" t="s">
        <v>5683</v>
      </c>
      <c r="D1620" s="73" t="str">
        <f>IFERROR(VLOOKUP(C1620,Stock,3,FALSE),"")</f>
        <v>Wuling Cortez</v>
      </c>
      <c r="E1620" s="56">
        <v>1.0</v>
      </c>
      <c r="F1620" s="161">
        <v>2187000.0</v>
      </c>
      <c r="G1620" s="162">
        <f t="shared" si="33"/>
        <v>2187000</v>
      </c>
      <c r="H1620" s="194"/>
      <c r="I1620" s="161">
        <f t="shared" si="35"/>
        <v>2187000</v>
      </c>
      <c r="J1620" s="164">
        <f t="shared" si="30"/>
        <v>2187000</v>
      </c>
      <c r="K1620" s="56" t="s">
        <v>6832</v>
      </c>
      <c r="L1620" s="165" t="s">
        <v>7024</v>
      </c>
      <c r="M1620" s="313" t="s">
        <v>7025</v>
      </c>
      <c r="N1620" s="169" t="s">
        <v>7026</v>
      </c>
      <c r="O1620" s="169" t="s">
        <v>2958</v>
      </c>
      <c r="P1620" s="168" t="s">
        <v>3112</v>
      </c>
      <c r="Q1620" s="167">
        <v>2187000.0</v>
      </c>
      <c r="R1620" s="173"/>
      <c r="S1620" s="173"/>
      <c r="T1620" s="173"/>
      <c r="U1620" s="173"/>
      <c r="V1620" s="168" t="s">
        <v>3883</v>
      </c>
      <c r="W1620" s="169"/>
      <c r="X1620" s="171"/>
    </row>
    <row r="1621" ht="15.0" customHeight="1">
      <c r="A1621" s="127">
        <v>45710.0</v>
      </c>
      <c r="B1621" s="181" t="s">
        <v>7027</v>
      </c>
      <c r="C1621" s="56" t="s">
        <v>2926</v>
      </c>
      <c r="D1621" s="73" t="str">
        <f>IFERROR(VLOOKUP(C1621,Stock,3,FALSE),"")</f>
        <v>Honda Jazz 01-07 1st Gen</v>
      </c>
      <c r="E1621" s="56">
        <v>1.0</v>
      </c>
      <c r="F1621" s="161">
        <v>1624000.0</v>
      </c>
      <c r="G1621" s="162">
        <f t="shared" si="33"/>
        <v>1624000</v>
      </c>
      <c r="H1621" s="194"/>
      <c r="I1621" s="161">
        <f t="shared" si="35"/>
        <v>1624000</v>
      </c>
      <c r="J1621" s="164">
        <f t="shared" si="30"/>
        <v>1624000</v>
      </c>
      <c r="K1621" s="56" t="s">
        <v>7028</v>
      </c>
      <c r="L1621" s="165" t="s">
        <v>7029</v>
      </c>
      <c r="M1621" s="313" t="s">
        <v>7030</v>
      </c>
      <c r="N1621" s="169" t="s">
        <v>7031</v>
      </c>
      <c r="O1621" s="169" t="s">
        <v>2958</v>
      </c>
      <c r="P1621" s="168" t="s">
        <v>3112</v>
      </c>
      <c r="Q1621" s="173"/>
      <c r="R1621" s="167">
        <v>1624000.0</v>
      </c>
      <c r="S1621" s="173"/>
      <c r="T1621" s="173"/>
      <c r="U1621" s="173"/>
      <c r="V1621" s="168" t="s">
        <v>3883</v>
      </c>
      <c r="W1621" s="169"/>
      <c r="X1621" s="171"/>
    </row>
    <row r="1622" ht="15.0" customHeight="1">
      <c r="A1622" s="127">
        <v>45711.0</v>
      </c>
      <c r="B1622" s="181" t="s">
        <v>7032</v>
      </c>
      <c r="C1622" s="56" t="s">
        <v>3243</v>
      </c>
      <c r="D1622" s="73" t="str">
        <f>IFERROR(VLOOKUP(C1622,Stock,3,FALSE),"")</f>
        <v>Daihatsu Taruna</v>
      </c>
      <c r="E1622" s="56">
        <v>1.0</v>
      </c>
      <c r="F1622" s="161">
        <v>829000.0</v>
      </c>
      <c r="G1622" s="162">
        <f t="shared" si="33"/>
        <v>829000</v>
      </c>
      <c r="H1622" s="194"/>
      <c r="I1622" s="161">
        <f t="shared" si="35"/>
        <v>829000</v>
      </c>
      <c r="J1622" s="164">
        <f t="shared" si="30"/>
        <v>829000</v>
      </c>
      <c r="K1622" s="56" t="s">
        <v>7033</v>
      </c>
      <c r="L1622" s="165" t="s">
        <v>7034</v>
      </c>
      <c r="M1622" s="313" t="s">
        <v>7035</v>
      </c>
      <c r="N1622" s="169" t="s">
        <v>7036</v>
      </c>
      <c r="O1622" s="169" t="s">
        <v>2958</v>
      </c>
      <c r="P1622" s="168" t="s">
        <v>3112</v>
      </c>
      <c r="Q1622" s="173"/>
      <c r="R1622" s="167">
        <v>829000.0</v>
      </c>
      <c r="S1622" s="173"/>
      <c r="T1622" s="173"/>
      <c r="U1622" s="173"/>
      <c r="V1622" s="168" t="s">
        <v>3883</v>
      </c>
      <c r="W1622" s="169"/>
      <c r="X1622" s="171"/>
    </row>
    <row r="1623" ht="15.0" customHeight="1">
      <c r="A1623" s="127">
        <v>45711.0</v>
      </c>
      <c r="B1623" s="181" t="s">
        <v>7037</v>
      </c>
      <c r="C1623" s="56" t="s">
        <v>4623</v>
      </c>
      <c r="D1623" s="73" t="str">
        <f>IFERROR(VLOOKUP(C1623,Stock,3,FALSE),"")</f>
        <v>Toyota Innova 15- 2nd Gen</v>
      </c>
      <c r="E1623" s="56">
        <v>1.0</v>
      </c>
      <c r="F1623" s="161">
        <v>1119000.0</v>
      </c>
      <c r="G1623" s="162">
        <f t="shared" si="33"/>
        <v>1119000</v>
      </c>
      <c r="H1623" s="194"/>
      <c r="I1623" s="161">
        <f t="shared" si="35"/>
        <v>1119000</v>
      </c>
      <c r="J1623" s="164">
        <f t="shared" si="30"/>
        <v>1119000</v>
      </c>
      <c r="K1623" s="56" t="s">
        <v>7038</v>
      </c>
      <c r="L1623" s="165" t="s">
        <v>7034</v>
      </c>
      <c r="M1623" s="73"/>
      <c r="N1623" s="171"/>
      <c r="O1623" s="169" t="s">
        <v>2958</v>
      </c>
      <c r="P1623" s="168" t="s">
        <v>3112</v>
      </c>
      <c r="Q1623" s="173"/>
      <c r="R1623" s="167">
        <v>1119000.0</v>
      </c>
      <c r="S1623" s="173"/>
      <c r="T1623" s="173"/>
      <c r="U1623" s="173"/>
      <c r="V1623" s="168" t="s">
        <v>3883</v>
      </c>
      <c r="W1623" s="169"/>
      <c r="X1623" s="171"/>
    </row>
    <row r="1624" ht="15.0" customHeight="1">
      <c r="A1624" s="127">
        <v>45711.0</v>
      </c>
      <c r="B1624" s="181" t="s">
        <v>7039</v>
      </c>
      <c r="C1624" s="56" t="s">
        <v>3493</v>
      </c>
      <c r="D1624" s="73" t="str">
        <f>IFERROR(VLOOKUP(C1624,Stock,3,FALSE),"")</f>
        <v>Nissan Livina 07-18 L10/L11</v>
      </c>
      <c r="E1624" s="56">
        <v>1.0</v>
      </c>
      <c r="F1624" s="161">
        <v>1442000.0</v>
      </c>
      <c r="G1624" s="162">
        <f t="shared" si="33"/>
        <v>1442000</v>
      </c>
      <c r="H1624" s="194"/>
      <c r="I1624" s="161">
        <f t="shared" si="35"/>
        <v>1442000</v>
      </c>
      <c r="J1624" s="164">
        <f t="shared" si="30"/>
        <v>1442000</v>
      </c>
      <c r="K1624" s="197" t="s">
        <v>7040</v>
      </c>
      <c r="L1624" s="165" t="s">
        <v>7041</v>
      </c>
      <c r="M1624" s="313" t="s">
        <v>7042</v>
      </c>
      <c r="N1624" s="169" t="s">
        <v>7043</v>
      </c>
      <c r="O1624" s="169" t="s">
        <v>4308</v>
      </c>
      <c r="P1624" s="168" t="s">
        <v>3112</v>
      </c>
      <c r="Q1624" s="173"/>
      <c r="R1624" s="167">
        <v>1442000.0</v>
      </c>
      <c r="S1624" s="173"/>
      <c r="T1624" s="173"/>
      <c r="U1624" s="173"/>
      <c r="V1624" s="168" t="s">
        <v>3883</v>
      </c>
      <c r="W1624" s="169"/>
      <c r="X1624" s="171"/>
    </row>
    <row r="1625" ht="15.0" customHeight="1">
      <c r="A1625" s="127">
        <v>45711.0</v>
      </c>
      <c r="B1625" s="181" t="s">
        <v>7039</v>
      </c>
      <c r="C1625" s="56" t="s">
        <v>3083</v>
      </c>
      <c r="D1625" s="73" t="str">
        <f>IFERROR(VLOOKUP(C1625,Stock,3,FALSE),"")</f>
        <v>List Kaca Depan Code 04</v>
      </c>
      <c r="E1625" s="56">
        <v>1.0</v>
      </c>
      <c r="F1625" s="161">
        <v>275000.0</v>
      </c>
      <c r="G1625" s="162">
        <f t="shared" si="33"/>
        <v>275000</v>
      </c>
      <c r="H1625" s="194"/>
      <c r="I1625" s="161">
        <f t="shared" si="35"/>
        <v>275000</v>
      </c>
      <c r="J1625" s="164">
        <f t="shared" si="30"/>
        <v>275000</v>
      </c>
      <c r="K1625" s="56" t="s">
        <v>7040</v>
      </c>
      <c r="L1625" s="165" t="s">
        <v>7041</v>
      </c>
      <c r="M1625" s="313" t="s">
        <v>7042</v>
      </c>
      <c r="N1625" s="169" t="s">
        <v>7043</v>
      </c>
      <c r="O1625" s="169" t="s">
        <v>4308</v>
      </c>
      <c r="P1625" s="168" t="s">
        <v>3112</v>
      </c>
      <c r="Q1625" s="173"/>
      <c r="R1625" s="167">
        <v>275000.0</v>
      </c>
      <c r="S1625" s="173"/>
      <c r="T1625" s="173"/>
      <c r="U1625" s="173"/>
      <c r="V1625" s="168" t="s">
        <v>3883</v>
      </c>
      <c r="W1625" s="169"/>
      <c r="X1625" s="171"/>
    </row>
    <row r="1626" ht="15.0" customHeight="1">
      <c r="A1626" s="127">
        <v>45711.0</v>
      </c>
      <c r="B1626" s="181" t="s">
        <v>7044</v>
      </c>
      <c r="C1626" s="56" t="s">
        <v>3045</v>
      </c>
      <c r="D1626" s="73" t="str">
        <f>IFERROR(VLOOKUP(C1626,Stock,3,FALSE),"")</f>
        <v>Pemasangan Kaca Mobil Depan</v>
      </c>
      <c r="E1626" s="56">
        <v>1.0</v>
      </c>
      <c r="F1626" s="161">
        <v>250000.0</v>
      </c>
      <c r="G1626" s="162">
        <f t="shared" si="33"/>
        <v>250000</v>
      </c>
      <c r="H1626" s="194"/>
      <c r="I1626" s="161">
        <f t="shared" si="35"/>
        <v>250000</v>
      </c>
      <c r="J1626" s="164">
        <f t="shared" si="30"/>
        <v>250000</v>
      </c>
      <c r="K1626" s="56" t="s">
        <v>7045</v>
      </c>
      <c r="L1626" s="165" t="s">
        <v>7046</v>
      </c>
      <c r="M1626" s="313" t="s">
        <v>7047</v>
      </c>
      <c r="N1626" s="169" t="s">
        <v>7048</v>
      </c>
      <c r="O1626" s="169" t="s">
        <v>2958</v>
      </c>
      <c r="P1626" s="168" t="s">
        <v>3112</v>
      </c>
      <c r="Q1626" s="173"/>
      <c r="R1626" s="167">
        <v>250000.0</v>
      </c>
      <c r="S1626" s="173"/>
      <c r="T1626" s="173"/>
      <c r="U1626" s="173"/>
      <c r="V1626" s="168" t="s">
        <v>3883</v>
      </c>
      <c r="W1626" s="169"/>
      <c r="X1626" s="171"/>
    </row>
    <row r="1627" ht="15.0" customHeight="1">
      <c r="A1627" s="127">
        <v>45712.0</v>
      </c>
      <c r="B1627" s="181" t="s">
        <v>7049</v>
      </c>
      <c r="C1627" s="56" t="s">
        <v>7050</v>
      </c>
      <c r="D1627" s="73" t="str">
        <f>IFERROR(VLOOKUP(C1627,Stock,3,FALSE),"")</f>
        <v>Toyota Rush / Terios 06-17 (Toyota/Daihatsu)</v>
      </c>
      <c r="E1627" s="56">
        <v>1.0</v>
      </c>
      <c r="F1627" s="161">
        <v>2087000.0</v>
      </c>
      <c r="G1627" s="162">
        <f t="shared" si="33"/>
        <v>2087000</v>
      </c>
      <c r="H1627" s="194"/>
      <c r="I1627" s="161">
        <f t="shared" si="35"/>
        <v>2087000</v>
      </c>
      <c r="J1627" s="164">
        <f t="shared" si="30"/>
        <v>2087000</v>
      </c>
      <c r="K1627" s="56" t="s">
        <v>7051</v>
      </c>
      <c r="L1627" s="165" t="s">
        <v>7052</v>
      </c>
      <c r="M1627" s="313" t="s">
        <v>7053</v>
      </c>
      <c r="N1627" s="169" t="s">
        <v>7054</v>
      </c>
      <c r="O1627" s="169" t="s">
        <v>2958</v>
      </c>
      <c r="P1627" s="168" t="s">
        <v>3112</v>
      </c>
      <c r="Q1627" s="167">
        <v>2087000.0</v>
      </c>
      <c r="R1627" s="173"/>
      <c r="S1627" s="173"/>
      <c r="T1627" s="173"/>
      <c r="U1627" s="173"/>
      <c r="V1627" s="168" t="s">
        <v>3883</v>
      </c>
      <c r="W1627" s="169"/>
      <c r="X1627" s="171"/>
    </row>
    <row r="1628" ht="15.0" customHeight="1">
      <c r="A1628" s="127">
        <v>45712.0</v>
      </c>
      <c r="B1628" s="181" t="s">
        <v>7055</v>
      </c>
      <c r="C1628" s="251" t="s">
        <v>6544</v>
      </c>
      <c r="D1628" s="73" t="str">
        <f>IFERROR(VLOOKUP(C1628,Stock,3,FALSE),"")</f>
        <v>Daihatsu Taruna</v>
      </c>
      <c r="E1628" s="56">
        <v>1.0</v>
      </c>
      <c r="F1628" s="161">
        <v>1250000.0</v>
      </c>
      <c r="G1628" s="162">
        <f t="shared" si="33"/>
        <v>1250000</v>
      </c>
      <c r="H1628" s="194"/>
      <c r="I1628" s="161">
        <f t="shared" si="35"/>
        <v>1250000</v>
      </c>
      <c r="J1628" s="164">
        <f t="shared" si="30"/>
        <v>1250000</v>
      </c>
      <c r="K1628" s="56" t="s">
        <v>7056</v>
      </c>
      <c r="L1628" s="165" t="s">
        <v>7057</v>
      </c>
      <c r="M1628" s="313" t="s">
        <v>7058</v>
      </c>
      <c r="N1628" s="169" t="s">
        <v>7059</v>
      </c>
      <c r="O1628" s="169" t="s">
        <v>2958</v>
      </c>
      <c r="P1628" s="168" t="s">
        <v>7060</v>
      </c>
      <c r="Q1628" s="173"/>
      <c r="R1628" s="173"/>
      <c r="S1628" s="167">
        <v>1250000.0</v>
      </c>
      <c r="T1628" s="167">
        <v>93750.0</v>
      </c>
      <c r="U1628" s="173"/>
      <c r="V1628" s="168" t="s">
        <v>3883</v>
      </c>
      <c r="W1628" s="169"/>
      <c r="X1628" s="171"/>
    </row>
    <row r="1629" ht="15.0" customHeight="1">
      <c r="A1629" s="127">
        <v>45712.0</v>
      </c>
      <c r="B1629" s="181" t="s">
        <v>7055</v>
      </c>
      <c r="C1629" s="251" t="s">
        <v>3045</v>
      </c>
      <c r="D1629" s="73" t="str">
        <f>IFERROR(VLOOKUP(C1629,Stock,3,FALSE),"")</f>
        <v>Pemasangan Kaca Mobil Depan</v>
      </c>
      <c r="E1629" s="56">
        <v>1.0</v>
      </c>
      <c r="F1629" s="161">
        <v>250000.0</v>
      </c>
      <c r="G1629" s="162">
        <f t="shared" si="33"/>
        <v>250000</v>
      </c>
      <c r="H1629" s="194"/>
      <c r="I1629" s="161">
        <f t="shared" si="35"/>
        <v>250000</v>
      </c>
      <c r="J1629" s="164">
        <f t="shared" si="30"/>
        <v>250000</v>
      </c>
      <c r="K1629" s="56" t="s">
        <v>7061</v>
      </c>
      <c r="L1629" s="165" t="s">
        <v>7057</v>
      </c>
      <c r="M1629" s="313" t="s">
        <v>7058</v>
      </c>
      <c r="N1629" s="169" t="s">
        <v>7059</v>
      </c>
      <c r="O1629" s="169" t="s">
        <v>2958</v>
      </c>
      <c r="P1629" s="168" t="s">
        <v>7060</v>
      </c>
      <c r="Q1629" s="167">
        <v>250000.0</v>
      </c>
      <c r="R1629" s="173"/>
      <c r="S1629" s="173"/>
      <c r="T1629" s="173"/>
      <c r="U1629" s="173"/>
      <c r="V1629" s="168" t="s">
        <v>3883</v>
      </c>
      <c r="W1629" s="169"/>
      <c r="X1629" s="171"/>
    </row>
    <row r="1630" ht="15.0" customHeight="1">
      <c r="A1630" s="127">
        <v>45712.0</v>
      </c>
      <c r="B1630" s="181" t="s">
        <v>7062</v>
      </c>
      <c r="C1630" s="56" t="s">
        <v>7063</v>
      </c>
      <c r="D1630" s="73" t="str">
        <f>IFERROR(VLOOKUP(C1630,Stock,3,FALSE),"")</f>
        <v>Wuling Confero (Tanpa Spionnya)</v>
      </c>
      <c r="E1630" s="56">
        <v>1.0</v>
      </c>
      <c r="F1630" s="161">
        <v>1522000.0</v>
      </c>
      <c r="G1630" s="162">
        <f t="shared" si="33"/>
        <v>1522000</v>
      </c>
      <c r="H1630" s="194"/>
      <c r="I1630" s="161">
        <f t="shared" si="35"/>
        <v>1522000</v>
      </c>
      <c r="J1630" s="164">
        <f t="shared" si="30"/>
        <v>1522000</v>
      </c>
      <c r="K1630" s="56" t="s">
        <v>7064</v>
      </c>
      <c r="L1630" s="165" t="s">
        <v>7065</v>
      </c>
      <c r="M1630" s="313" t="s">
        <v>7066</v>
      </c>
      <c r="N1630" s="169" t="s">
        <v>7067</v>
      </c>
      <c r="O1630" s="169" t="s">
        <v>4072</v>
      </c>
      <c r="P1630" s="168" t="s">
        <v>3112</v>
      </c>
      <c r="Q1630" s="167">
        <v>1522000.0</v>
      </c>
      <c r="R1630" s="173"/>
      <c r="S1630" s="173"/>
      <c r="T1630" s="173"/>
      <c r="U1630" s="173"/>
      <c r="V1630" s="168" t="s">
        <v>3883</v>
      </c>
      <c r="W1630" s="169"/>
      <c r="X1630" s="171"/>
    </row>
    <row r="1631" ht="15.0" customHeight="1">
      <c r="A1631" s="127">
        <v>45713.0</v>
      </c>
      <c r="B1631" s="181" t="s">
        <v>7068</v>
      </c>
      <c r="C1631" s="56" t="s">
        <v>7069</v>
      </c>
      <c r="D1631" s="73" t="str">
        <f>IFERROR(VLOOKUP(C1631,Stock,3,FALSE),"")</f>
        <v>Toyota Raize / Daihatsu Rocky 20- [Sensor]</v>
      </c>
      <c r="E1631" s="56">
        <v>1.0</v>
      </c>
      <c r="F1631" s="161">
        <v>1950000.0</v>
      </c>
      <c r="G1631" s="162">
        <f t="shared" si="33"/>
        <v>1950000</v>
      </c>
      <c r="H1631" s="194"/>
      <c r="I1631" s="161">
        <f t="shared" si="35"/>
        <v>1950000</v>
      </c>
      <c r="J1631" s="164">
        <f t="shared" si="30"/>
        <v>1950000</v>
      </c>
      <c r="K1631" s="197" t="s">
        <v>7070</v>
      </c>
      <c r="L1631" s="165" t="s">
        <v>7071</v>
      </c>
      <c r="M1631" s="73"/>
      <c r="N1631" s="289" t="s">
        <v>7072</v>
      </c>
      <c r="O1631" s="169" t="s">
        <v>2958</v>
      </c>
      <c r="P1631" s="168" t="s">
        <v>3112</v>
      </c>
      <c r="Q1631" s="173"/>
      <c r="R1631" s="167">
        <v>1950000.0</v>
      </c>
      <c r="S1631" s="173"/>
      <c r="T1631" s="173"/>
      <c r="U1631" s="173"/>
      <c r="V1631" s="168" t="s">
        <v>3799</v>
      </c>
      <c r="W1631" s="169"/>
      <c r="X1631" s="171"/>
    </row>
    <row r="1632" ht="15.0" customHeight="1">
      <c r="A1632" s="127">
        <v>45714.0</v>
      </c>
      <c r="B1632" s="181" t="s">
        <v>7073</v>
      </c>
      <c r="C1632" s="56" t="s">
        <v>3186</v>
      </c>
      <c r="D1632" s="73" t="str">
        <f>IFERROR(VLOOKUP(C1632,Stock,3,FALSE),"")</f>
        <v>Daihatsu Gran Max / Luxio 07-</v>
      </c>
      <c r="E1632" s="56">
        <v>1.0</v>
      </c>
      <c r="F1632" s="161">
        <v>855000.0</v>
      </c>
      <c r="G1632" s="162">
        <f t="shared" si="33"/>
        <v>855000</v>
      </c>
      <c r="H1632" s="194"/>
      <c r="I1632" s="161">
        <f t="shared" si="35"/>
        <v>855000</v>
      </c>
      <c r="J1632" s="164">
        <f t="shared" si="30"/>
        <v>855000</v>
      </c>
      <c r="K1632" s="56" t="s">
        <v>7074</v>
      </c>
      <c r="L1632" s="165" t="s">
        <v>7075</v>
      </c>
      <c r="M1632" s="73"/>
      <c r="N1632" s="171"/>
      <c r="O1632" s="169" t="s">
        <v>3037</v>
      </c>
      <c r="P1632" s="168" t="s">
        <v>3112</v>
      </c>
      <c r="Q1632" s="173"/>
      <c r="R1632" s="167">
        <v>855000.0</v>
      </c>
      <c r="S1632" s="173"/>
      <c r="T1632" s="173"/>
      <c r="U1632" s="173"/>
      <c r="V1632" s="168" t="s">
        <v>3883</v>
      </c>
      <c r="W1632" s="169"/>
      <c r="X1632" s="171"/>
    </row>
    <row r="1633" ht="15.0" customHeight="1">
      <c r="A1633" s="127">
        <v>45715.0</v>
      </c>
      <c r="B1633" s="181" t="s">
        <v>7076</v>
      </c>
      <c r="C1633" s="251" t="s">
        <v>2637</v>
      </c>
      <c r="D1633" s="73" t="str">
        <f>IFERROR(VLOOKUP(C1633,Stock,3,FALSE),"")</f>
        <v>Ford Everest 04-15 / Ranger 04-11 / Mazda BT-50</v>
      </c>
      <c r="E1633" s="56">
        <v>1.0</v>
      </c>
      <c r="F1633" s="161">
        <v>1261000.0</v>
      </c>
      <c r="G1633" s="162">
        <f t="shared" si="33"/>
        <v>1261000</v>
      </c>
      <c r="H1633" s="194"/>
      <c r="I1633" s="161">
        <f t="shared" si="35"/>
        <v>1261000</v>
      </c>
      <c r="J1633" s="164">
        <f t="shared" si="30"/>
        <v>1261000</v>
      </c>
      <c r="K1633" s="56" t="s">
        <v>7077</v>
      </c>
      <c r="L1633" s="165" t="s">
        <v>7078</v>
      </c>
      <c r="M1633" s="73"/>
      <c r="N1633" s="171"/>
      <c r="O1633" s="169" t="s">
        <v>3710</v>
      </c>
      <c r="P1633" s="168" t="s">
        <v>3112</v>
      </c>
      <c r="Q1633" s="173"/>
      <c r="R1633" s="173"/>
      <c r="S1633" s="167">
        <v>1261000.0</v>
      </c>
      <c r="T1633" s="167">
        <v>94575.0</v>
      </c>
      <c r="U1633" s="173"/>
      <c r="V1633" s="168" t="s">
        <v>3883</v>
      </c>
      <c r="W1633" s="169"/>
      <c r="X1633" s="171"/>
    </row>
    <row r="1634" ht="15.0" customHeight="1">
      <c r="A1634" s="127">
        <v>45715.0</v>
      </c>
      <c r="B1634" s="181" t="s">
        <v>7076</v>
      </c>
      <c r="C1634" s="251" t="s">
        <v>2934</v>
      </c>
      <c r="D1634" s="73" t="str">
        <f>IFERROR(VLOOKUP(C1634,Stock,3,FALSE),"")</f>
        <v>Peti Kayu</v>
      </c>
      <c r="E1634" s="56">
        <v>1.0</v>
      </c>
      <c r="F1634" s="161">
        <v>200000.0</v>
      </c>
      <c r="G1634" s="162">
        <f t="shared" si="33"/>
        <v>200000</v>
      </c>
      <c r="H1634" s="194"/>
      <c r="I1634" s="161">
        <f t="shared" si="35"/>
        <v>200000</v>
      </c>
      <c r="J1634" s="164">
        <f t="shared" si="30"/>
        <v>200000</v>
      </c>
      <c r="K1634" s="56" t="s">
        <v>7077</v>
      </c>
      <c r="L1634" s="165" t="s">
        <v>7078</v>
      </c>
      <c r="M1634" s="73"/>
      <c r="N1634" s="171"/>
      <c r="O1634" s="169" t="s">
        <v>3710</v>
      </c>
      <c r="P1634" s="168" t="s">
        <v>3112</v>
      </c>
      <c r="Q1634" s="173"/>
      <c r="R1634" s="167">
        <v>200000.0</v>
      </c>
      <c r="S1634" s="173"/>
      <c r="T1634" s="173"/>
      <c r="U1634" s="173"/>
      <c r="V1634" s="168" t="s">
        <v>3883</v>
      </c>
      <c r="W1634" s="169"/>
      <c r="X1634" s="171"/>
    </row>
    <row r="1635" ht="15.0" customHeight="1">
      <c r="A1635" s="127">
        <v>45715.0</v>
      </c>
      <c r="B1635" s="181" t="s">
        <v>7079</v>
      </c>
      <c r="C1635" s="56" t="s">
        <v>2691</v>
      </c>
      <c r="D1635" s="73" t="str">
        <f>IFERROR(VLOOKUP(C1635,Stock,3,FALSE),"")</f>
        <v>Suzuki Ertiga 12-18 1st Gen MPV</v>
      </c>
      <c r="E1635" s="56">
        <v>1.0</v>
      </c>
      <c r="F1635" s="161">
        <v>1360000.0</v>
      </c>
      <c r="G1635" s="162">
        <f t="shared" si="33"/>
        <v>1360000</v>
      </c>
      <c r="H1635" s="194"/>
      <c r="I1635" s="161">
        <f t="shared" si="35"/>
        <v>1360000</v>
      </c>
      <c r="J1635" s="164">
        <f t="shared" si="30"/>
        <v>1360000</v>
      </c>
      <c r="K1635" s="56" t="s">
        <v>6911</v>
      </c>
      <c r="L1635" s="165" t="s">
        <v>7080</v>
      </c>
      <c r="M1635" s="73"/>
      <c r="N1635" s="169" t="s">
        <v>7081</v>
      </c>
      <c r="O1635" s="169" t="s">
        <v>3213</v>
      </c>
      <c r="P1635" s="168" t="s">
        <v>3112</v>
      </c>
      <c r="Q1635" s="167">
        <v>1360000.0</v>
      </c>
      <c r="R1635" s="173"/>
      <c r="S1635" s="173"/>
      <c r="T1635" s="173"/>
      <c r="U1635" s="173"/>
      <c r="V1635" s="168" t="s">
        <v>3883</v>
      </c>
      <c r="W1635" s="169"/>
      <c r="X1635" s="171"/>
    </row>
    <row r="1636" ht="15.0" customHeight="1">
      <c r="A1636" s="127">
        <v>45715.0</v>
      </c>
      <c r="B1636" s="181" t="s">
        <v>7082</v>
      </c>
      <c r="C1636" s="56" t="s">
        <v>3378</v>
      </c>
      <c r="D1636" s="73" t="str">
        <f>IFERROR(VLOOKUP(C1636,Stock,3,FALSE),"")</f>
        <v>Isuzu Panther 00- 2nd Gen</v>
      </c>
      <c r="E1636" s="56">
        <v>1.0</v>
      </c>
      <c r="F1636" s="161">
        <v>1338000.0</v>
      </c>
      <c r="G1636" s="162">
        <f t="shared" si="33"/>
        <v>1338000</v>
      </c>
      <c r="H1636" s="194"/>
      <c r="I1636" s="161">
        <f t="shared" si="35"/>
        <v>1338000</v>
      </c>
      <c r="J1636" s="164">
        <f t="shared" si="30"/>
        <v>1338000</v>
      </c>
      <c r="K1636" s="56" t="s">
        <v>7083</v>
      </c>
      <c r="L1636" s="165" t="s">
        <v>7084</v>
      </c>
      <c r="M1636" s="73"/>
      <c r="N1636" s="169" t="s">
        <v>7085</v>
      </c>
      <c r="O1636" s="169" t="s">
        <v>3037</v>
      </c>
      <c r="P1636" s="168" t="s">
        <v>3112</v>
      </c>
      <c r="Q1636" s="167">
        <v>1338000.0</v>
      </c>
      <c r="R1636" s="173"/>
      <c r="S1636" s="173"/>
      <c r="T1636" s="173"/>
      <c r="U1636" s="173"/>
      <c r="V1636" s="168" t="s">
        <v>3883</v>
      </c>
      <c r="W1636" s="169"/>
      <c r="X1636" s="171"/>
    </row>
    <row r="1637" ht="15.0" customHeight="1">
      <c r="A1637" s="127">
        <v>45716.0</v>
      </c>
      <c r="B1637" s="181" t="s">
        <v>7086</v>
      </c>
      <c r="C1637" s="56" t="s">
        <v>7087</v>
      </c>
      <c r="D1637" s="73" t="str">
        <f>IFERROR(VLOOKUP(C1637,Stock,3,FALSE),"")</f>
        <v>BMW 5 Series 10-16 F10</v>
      </c>
      <c r="E1637" s="56">
        <v>1.0</v>
      </c>
      <c r="F1637" s="161">
        <v>3316000.0</v>
      </c>
      <c r="G1637" s="162">
        <f t="shared" si="33"/>
        <v>3316000</v>
      </c>
      <c r="H1637" s="194"/>
      <c r="I1637" s="161">
        <f t="shared" si="35"/>
        <v>3316000</v>
      </c>
      <c r="J1637" s="164">
        <f t="shared" si="30"/>
        <v>3316000</v>
      </c>
      <c r="K1637" s="228" t="s">
        <v>7088</v>
      </c>
      <c r="L1637" s="165" t="s">
        <v>7089</v>
      </c>
      <c r="M1637" s="73"/>
      <c r="N1637" s="171"/>
      <c r="O1637" s="169" t="s">
        <v>3204</v>
      </c>
      <c r="P1637" s="168" t="s">
        <v>3112</v>
      </c>
      <c r="Q1637" s="173"/>
      <c r="R1637" s="167">
        <v>3316000.0</v>
      </c>
      <c r="S1637" s="173"/>
      <c r="T1637" s="173"/>
      <c r="U1637" s="173"/>
      <c r="V1637" s="168" t="s">
        <v>3883</v>
      </c>
      <c r="W1637" s="169"/>
      <c r="X1637" s="317" t="s">
        <v>7090</v>
      </c>
    </row>
    <row r="1638" ht="15.0" customHeight="1">
      <c r="A1638" s="127">
        <v>45716.0</v>
      </c>
      <c r="B1638" s="181" t="s">
        <v>7086</v>
      </c>
      <c r="C1638" s="56" t="s">
        <v>2934</v>
      </c>
      <c r="D1638" s="73" t="str">
        <f>IFERROR(VLOOKUP(C1638,Stock,3,FALSE),"")</f>
        <v>Peti Kayu</v>
      </c>
      <c r="E1638" s="56">
        <v>1.0</v>
      </c>
      <c r="F1638" s="161">
        <v>200000.0</v>
      </c>
      <c r="G1638" s="162">
        <f t="shared" si="33"/>
        <v>200000</v>
      </c>
      <c r="H1638" s="194"/>
      <c r="I1638" s="161">
        <f t="shared" si="35"/>
        <v>200000</v>
      </c>
      <c r="J1638" s="164">
        <f t="shared" si="30"/>
        <v>200000</v>
      </c>
      <c r="K1638" s="228" t="s">
        <v>7088</v>
      </c>
      <c r="L1638" s="165" t="s">
        <v>7089</v>
      </c>
      <c r="M1638" s="73"/>
      <c r="N1638" s="171"/>
      <c r="O1638" s="169" t="s">
        <v>3204</v>
      </c>
      <c r="P1638" s="168" t="s">
        <v>3112</v>
      </c>
      <c r="Q1638" s="173"/>
      <c r="R1638" s="167">
        <v>200000.0</v>
      </c>
      <c r="S1638" s="173"/>
      <c r="T1638" s="173"/>
      <c r="U1638" s="173"/>
      <c r="V1638" s="168" t="s">
        <v>3883</v>
      </c>
      <c r="W1638" s="169"/>
      <c r="X1638" s="422"/>
    </row>
    <row r="1639" ht="15.0" customHeight="1">
      <c r="A1639" s="127">
        <v>45716.0</v>
      </c>
      <c r="B1639" s="181" t="s">
        <v>7086</v>
      </c>
      <c r="C1639" s="56" t="s">
        <v>2954</v>
      </c>
      <c r="D1639" s="73" t="str">
        <f>IFERROR(VLOOKUP(C1639,Stock,3,FALSE),"")</f>
        <v>Transport</v>
      </c>
      <c r="E1639" s="56">
        <v>1.0</v>
      </c>
      <c r="F1639" s="161">
        <v>150000.0</v>
      </c>
      <c r="G1639" s="162">
        <f t="shared" si="33"/>
        <v>150000</v>
      </c>
      <c r="H1639" s="194"/>
      <c r="I1639" s="161">
        <f t="shared" si="35"/>
        <v>150000</v>
      </c>
      <c r="J1639" s="164">
        <f t="shared" si="30"/>
        <v>150000</v>
      </c>
      <c r="K1639" s="228" t="s">
        <v>7088</v>
      </c>
      <c r="L1639" s="165" t="s">
        <v>7089</v>
      </c>
      <c r="M1639" s="73"/>
      <c r="N1639" s="171"/>
      <c r="O1639" s="169" t="s">
        <v>3204</v>
      </c>
      <c r="P1639" s="168" t="s">
        <v>3112</v>
      </c>
      <c r="Q1639" s="173"/>
      <c r="R1639" s="167">
        <v>150000.0</v>
      </c>
      <c r="S1639" s="173"/>
      <c r="T1639" s="173"/>
      <c r="U1639" s="173"/>
      <c r="V1639" s="168" t="s">
        <v>3883</v>
      </c>
      <c r="W1639" s="169"/>
      <c r="X1639" s="422"/>
    </row>
    <row r="1640" ht="15.0" customHeight="1">
      <c r="A1640" s="183">
        <v>45716.0</v>
      </c>
      <c r="B1640" s="185" t="s">
        <v>7091</v>
      </c>
      <c r="C1640" s="184" t="s">
        <v>2655</v>
      </c>
      <c r="D1640" s="186" t="str">
        <f>IFERROR(VLOOKUP(C1640,Stock,3,FALSE),"")</f>
        <v>Ford EcoSport 13- B515</v>
      </c>
      <c r="E1640" s="184">
        <v>1.0</v>
      </c>
      <c r="F1640" s="187">
        <v>1197000.0</v>
      </c>
      <c r="G1640" s="188">
        <f t="shared" si="33"/>
        <v>1197000</v>
      </c>
      <c r="H1640" s="210"/>
      <c r="I1640" s="187">
        <f t="shared" si="35"/>
        <v>1197000</v>
      </c>
      <c r="J1640" s="189">
        <f t="shared" si="30"/>
        <v>1197000</v>
      </c>
      <c r="K1640" s="184" t="s">
        <v>7092</v>
      </c>
      <c r="L1640" s="186"/>
      <c r="M1640" s="186"/>
      <c r="N1640" s="212"/>
      <c r="O1640" s="212"/>
      <c r="P1640" s="214"/>
      <c r="Q1640" s="213"/>
      <c r="R1640" s="213"/>
      <c r="S1640" s="213"/>
      <c r="T1640" s="213"/>
      <c r="U1640" s="213"/>
      <c r="V1640" s="168" t="s">
        <v>3883</v>
      </c>
      <c r="W1640" s="169"/>
      <c r="X1640" s="171"/>
    </row>
    <row r="1641" ht="15.0" customHeight="1">
      <c r="A1641" s="127">
        <v>45717.0</v>
      </c>
      <c r="B1641" s="181" t="s">
        <v>7093</v>
      </c>
      <c r="C1641" s="56" t="s">
        <v>2562</v>
      </c>
      <c r="D1641" s="73" t="str">
        <f>IFERROR(VLOOKUP(C1641,Stock,3,FALSE),"")</f>
        <v>Toyota Avanza / Xenia 15-21 3rd Gen</v>
      </c>
      <c r="E1641" s="56">
        <v>1.0</v>
      </c>
      <c r="F1641" s="161">
        <v>758000.0</v>
      </c>
      <c r="G1641" s="162">
        <f t="shared" si="33"/>
        <v>758000</v>
      </c>
      <c r="H1641" s="194"/>
      <c r="I1641" s="161">
        <f t="shared" si="35"/>
        <v>758000</v>
      </c>
      <c r="J1641" s="164">
        <f t="shared" si="30"/>
        <v>758000</v>
      </c>
      <c r="K1641" s="56" t="s">
        <v>7094</v>
      </c>
      <c r="L1641" s="165" t="s">
        <v>3683</v>
      </c>
      <c r="M1641" s="73"/>
      <c r="N1641" s="171"/>
      <c r="O1641" s="169" t="s">
        <v>2958</v>
      </c>
      <c r="P1641" s="168" t="s">
        <v>3112</v>
      </c>
      <c r="Q1641" s="173"/>
      <c r="R1641" s="167">
        <v>758000.0</v>
      </c>
      <c r="S1641" s="173"/>
      <c r="T1641" s="173"/>
      <c r="U1641" s="173"/>
      <c r="V1641" s="168" t="s">
        <v>3883</v>
      </c>
      <c r="W1641" s="169"/>
      <c r="X1641" s="171"/>
    </row>
    <row r="1642" ht="15.0" customHeight="1">
      <c r="A1642" s="127">
        <v>45717.0</v>
      </c>
      <c r="B1642" s="181" t="s">
        <v>7093</v>
      </c>
      <c r="C1642" s="56" t="s">
        <v>2934</v>
      </c>
      <c r="D1642" s="73" t="str">
        <f>IFERROR(VLOOKUP(C1642,Stock,3,FALSE),"")</f>
        <v>Peti Kayu</v>
      </c>
      <c r="E1642" s="56">
        <v>1.0</v>
      </c>
      <c r="F1642" s="161">
        <v>160000.0</v>
      </c>
      <c r="G1642" s="162">
        <f t="shared" si="33"/>
        <v>160000</v>
      </c>
      <c r="H1642" s="194"/>
      <c r="I1642" s="161">
        <f t="shared" si="35"/>
        <v>160000</v>
      </c>
      <c r="J1642" s="164">
        <f t="shared" si="30"/>
        <v>160000</v>
      </c>
      <c r="K1642" s="56" t="s">
        <v>7094</v>
      </c>
      <c r="L1642" s="165" t="s">
        <v>3683</v>
      </c>
      <c r="M1642" s="73"/>
      <c r="N1642" s="171"/>
      <c r="O1642" s="169" t="s">
        <v>2958</v>
      </c>
      <c r="P1642" s="168" t="s">
        <v>3112</v>
      </c>
      <c r="Q1642" s="173"/>
      <c r="R1642" s="167">
        <v>160000.0</v>
      </c>
      <c r="S1642" s="173"/>
      <c r="T1642" s="173"/>
      <c r="U1642" s="173"/>
      <c r="V1642" s="168" t="s">
        <v>3883</v>
      </c>
      <c r="W1642" s="169"/>
      <c r="X1642" s="171"/>
    </row>
    <row r="1643" ht="15.0" customHeight="1">
      <c r="A1643" s="127">
        <v>45717.0</v>
      </c>
      <c r="B1643" s="181" t="s">
        <v>7095</v>
      </c>
      <c r="C1643" s="56" t="s">
        <v>2565</v>
      </c>
      <c r="D1643" s="73" t="str">
        <f>IFERROR(VLOOKUP(C1643,Stock,3,FALSE),"")</f>
        <v>Toyota Avanza / Xenia 03-11 1st Gen</v>
      </c>
      <c r="E1643" s="56">
        <v>1.0</v>
      </c>
      <c r="F1643" s="161">
        <v>1020000.0</v>
      </c>
      <c r="G1643" s="162">
        <f t="shared" si="33"/>
        <v>1020000</v>
      </c>
      <c r="H1643" s="194"/>
      <c r="I1643" s="161">
        <f t="shared" si="35"/>
        <v>1020000</v>
      </c>
      <c r="J1643" s="164">
        <f t="shared" si="30"/>
        <v>1020000</v>
      </c>
      <c r="K1643" s="56" t="s">
        <v>7096</v>
      </c>
      <c r="L1643" s="165" t="s">
        <v>7097</v>
      </c>
      <c r="M1643" s="73"/>
      <c r="N1643" s="169" t="s">
        <v>7098</v>
      </c>
      <c r="O1643" s="169" t="s">
        <v>3213</v>
      </c>
      <c r="P1643" s="168" t="s">
        <v>3645</v>
      </c>
      <c r="Q1643" s="167">
        <v>1050000.0</v>
      </c>
      <c r="R1643" s="173"/>
      <c r="S1643" s="173"/>
      <c r="T1643" s="173"/>
      <c r="U1643" s="167">
        <v>30000.0</v>
      </c>
      <c r="V1643" s="168" t="s">
        <v>3883</v>
      </c>
      <c r="W1643" s="169"/>
      <c r="X1643" s="171"/>
    </row>
    <row r="1644" ht="15.0" customHeight="1">
      <c r="A1644" s="127">
        <v>45717.0</v>
      </c>
      <c r="B1644" s="181" t="s">
        <v>7099</v>
      </c>
      <c r="C1644" s="56" t="s">
        <v>3360</v>
      </c>
      <c r="D1644" s="73" t="str">
        <f>IFERROR(VLOOKUP(C1644,Stock,3,FALSE),"")</f>
        <v>Mitsubishi Xpander 17-</v>
      </c>
      <c r="E1644" s="56">
        <v>1.0</v>
      </c>
      <c r="F1644" s="161">
        <v>1800000.0</v>
      </c>
      <c r="G1644" s="162">
        <f t="shared" si="33"/>
        <v>1800000</v>
      </c>
      <c r="H1644" s="194"/>
      <c r="I1644" s="161">
        <f t="shared" si="35"/>
        <v>1800000</v>
      </c>
      <c r="J1644" s="164">
        <f t="shared" si="30"/>
        <v>1800000</v>
      </c>
      <c r="K1644" s="56" t="s">
        <v>7100</v>
      </c>
      <c r="L1644" s="165" t="s">
        <v>7101</v>
      </c>
      <c r="M1644" s="73"/>
      <c r="N1644" s="169" t="s">
        <v>7102</v>
      </c>
      <c r="O1644" s="169" t="s">
        <v>3213</v>
      </c>
      <c r="P1644" s="168" t="s">
        <v>3112</v>
      </c>
      <c r="Q1644" s="173"/>
      <c r="R1644" s="167">
        <v>1800000.0</v>
      </c>
      <c r="S1644" s="173"/>
      <c r="T1644" s="173"/>
      <c r="U1644" s="173"/>
      <c r="V1644" s="168" t="s">
        <v>3883</v>
      </c>
      <c r="W1644" s="169"/>
      <c r="X1644" s="171"/>
    </row>
    <row r="1645" ht="15.0" customHeight="1">
      <c r="A1645" s="127">
        <v>45717.0</v>
      </c>
      <c r="B1645" s="181" t="s">
        <v>7103</v>
      </c>
      <c r="C1645" s="56" t="s">
        <v>2625</v>
      </c>
      <c r="D1645" s="73" t="str">
        <f>IFERROR(VLOOKUP(C1645,Stock,3,FALSE),"")</f>
        <v>Honda Civic 16- 10th Gen</v>
      </c>
      <c r="E1645" s="56">
        <v>1.0</v>
      </c>
      <c r="F1645" s="161">
        <v>2741000.0</v>
      </c>
      <c r="G1645" s="162">
        <f t="shared" si="33"/>
        <v>2741000</v>
      </c>
      <c r="H1645" s="194"/>
      <c r="I1645" s="161">
        <f t="shared" si="35"/>
        <v>2741000</v>
      </c>
      <c r="J1645" s="164">
        <f t="shared" si="30"/>
        <v>2741000</v>
      </c>
      <c r="K1645" s="197" t="s">
        <v>7104</v>
      </c>
      <c r="L1645" s="165" t="s">
        <v>7105</v>
      </c>
      <c r="M1645" s="73"/>
      <c r="N1645" s="289" t="s">
        <v>7106</v>
      </c>
      <c r="O1645" s="169" t="s">
        <v>2958</v>
      </c>
      <c r="P1645" s="168" t="s">
        <v>3112</v>
      </c>
      <c r="Q1645" s="167">
        <v>2741000.0</v>
      </c>
      <c r="R1645" s="173"/>
      <c r="S1645" s="173"/>
      <c r="T1645" s="173"/>
      <c r="U1645" s="173"/>
      <c r="V1645" s="168" t="s">
        <v>3799</v>
      </c>
      <c r="W1645" s="169"/>
      <c r="X1645" s="171"/>
    </row>
    <row r="1646" ht="15.0" customHeight="1">
      <c r="A1646" s="127">
        <v>45717.0</v>
      </c>
      <c r="B1646" s="181" t="s">
        <v>7107</v>
      </c>
      <c r="C1646" s="330" t="s">
        <v>2965</v>
      </c>
      <c r="D1646" s="73" t="str">
        <f>IFERROR(VLOOKUP(C1646,Stock,3,FALSE),"")</f>
        <v>Suzuki Ertiga 12-18 1st Gen MPV</v>
      </c>
      <c r="E1646" s="56">
        <v>1.0</v>
      </c>
      <c r="F1646" s="161">
        <v>900000.0</v>
      </c>
      <c r="G1646" s="162">
        <f t="shared" si="33"/>
        <v>900000</v>
      </c>
      <c r="H1646" s="194"/>
      <c r="I1646" s="161">
        <f t="shared" si="35"/>
        <v>900000</v>
      </c>
      <c r="J1646" s="164">
        <f t="shared" si="30"/>
        <v>900000</v>
      </c>
      <c r="K1646" s="56" t="s">
        <v>7108</v>
      </c>
      <c r="L1646" s="165" t="s">
        <v>7109</v>
      </c>
      <c r="M1646" s="73"/>
      <c r="N1646" s="289" t="s">
        <v>7110</v>
      </c>
      <c r="O1646" s="169" t="s">
        <v>2958</v>
      </c>
      <c r="P1646" s="168" t="s">
        <v>3112</v>
      </c>
      <c r="Q1646" s="167">
        <v>900000.0</v>
      </c>
      <c r="R1646" s="173"/>
      <c r="S1646" s="173"/>
      <c r="T1646" s="173"/>
      <c r="U1646" s="173"/>
      <c r="V1646" s="168" t="s">
        <v>3799</v>
      </c>
      <c r="W1646" s="169"/>
      <c r="X1646" s="171"/>
    </row>
    <row r="1647" ht="15.0" customHeight="1">
      <c r="A1647" s="127">
        <v>45718.0</v>
      </c>
      <c r="B1647" s="181" t="s">
        <v>7111</v>
      </c>
      <c r="C1647" s="56" t="s">
        <v>3099</v>
      </c>
      <c r="D1647" s="73" t="str">
        <f>IFERROR(VLOOKUP(C1647,Stock,3,FALSE),"")</f>
        <v>Toyota Calya / Sigra 16-</v>
      </c>
      <c r="E1647" s="56">
        <v>1.0</v>
      </c>
      <c r="F1647" s="161">
        <v>1150000.0</v>
      </c>
      <c r="G1647" s="162">
        <f t="shared" si="33"/>
        <v>1150000</v>
      </c>
      <c r="H1647" s="194"/>
      <c r="I1647" s="161">
        <f t="shared" si="35"/>
        <v>1150000</v>
      </c>
      <c r="J1647" s="164">
        <f t="shared" si="30"/>
        <v>1150000</v>
      </c>
      <c r="K1647" s="197" t="s">
        <v>7112</v>
      </c>
      <c r="L1647" s="165" t="s">
        <v>7113</v>
      </c>
      <c r="M1647" s="73"/>
      <c r="N1647" s="289" t="s">
        <v>7114</v>
      </c>
      <c r="O1647" s="169" t="s">
        <v>3037</v>
      </c>
      <c r="P1647" s="168" t="s">
        <v>3112</v>
      </c>
      <c r="Q1647" s="173"/>
      <c r="R1647" s="167">
        <v>1150000.0</v>
      </c>
      <c r="S1647" s="173"/>
      <c r="T1647" s="173"/>
      <c r="U1647" s="173"/>
      <c r="V1647" s="168" t="s">
        <v>3799</v>
      </c>
      <c r="W1647" s="169"/>
      <c r="X1647" s="171"/>
    </row>
    <row r="1648" ht="15.0" customHeight="1">
      <c r="A1648" s="127">
        <v>45718.0</v>
      </c>
      <c r="B1648" s="181" t="s">
        <v>7111</v>
      </c>
      <c r="C1648" s="56" t="s">
        <v>6424</v>
      </c>
      <c r="D1648" s="73" t="str">
        <f>IFERROR(VLOOKUP(C1648,Stock,3,FALSE),"")</f>
        <v>Automotive Film Standard - Black 40%                                </v>
      </c>
      <c r="E1648" s="56">
        <v>1.0</v>
      </c>
      <c r="F1648" s="161">
        <v>350000.0</v>
      </c>
      <c r="G1648" s="162">
        <f t="shared" si="33"/>
        <v>350000</v>
      </c>
      <c r="H1648" s="201">
        <v>100000.0</v>
      </c>
      <c r="I1648" s="161">
        <f t="shared" si="35"/>
        <v>250000</v>
      </c>
      <c r="J1648" s="164">
        <f t="shared" si="30"/>
        <v>250000</v>
      </c>
      <c r="K1648" s="197" t="s">
        <v>7112</v>
      </c>
      <c r="L1648" s="165" t="s">
        <v>7113</v>
      </c>
      <c r="M1648" s="73"/>
      <c r="N1648" s="289" t="s">
        <v>7114</v>
      </c>
      <c r="O1648" s="169" t="s">
        <v>3037</v>
      </c>
      <c r="P1648" s="168" t="s">
        <v>3112</v>
      </c>
      <c r="Q1648" s="173"/>
      <c r="R1648" s="167">
        <v>250000.0</v>
      </c>
      <c r="S1648" s="173"/>
      <c r="T1648" s="173"/>
      <c r="U1648" s="173"/>
      <c r="V1648" s="168" t="s">
        <v>3799</v>
      </c>
      <c r="W1648" s="169"/>
      <c r="X1648" s="171"/>
    </row>
    <row r="1649" ht="15.0" customHeight="1">
      <c r="A1649" s="423">
        <v>45718.0</v>
      </c>
      <c r="B1649" s="424" t="s">
        <v>7115</v>
      </c>
      <c r="C1649" s="90" t="s">
        <v>3186</v>
      </c>
      <c r="D1649" s="425" t="str">
        <f>IFERROR(VLOOKUP(C1649,Stock,3,FALSE),"")</f>
        <v>Daihatsu Gran Max / Luxio 07-</v>
      </c>
      <c r="E1649" s="90">
        <v>1.0</v>
      </c>
      <c r="F1649" s="426">
        <v>1050000.0</v>
      </c>
      <c r="G1649" s="427">
        <f t="shared" si="33"/>
        <v>1050000</v>
      </c>
      <c r="H1649" s="428"/>
      <c r="I1649" s="426">
        <f t="shared" si="35"/>
        <v>1050000</v>
      </c>
      <c r="J1649" s="429">
        <f t="shared" si="30"/>
        <v>1050000</v>
      </c>
      <c r="K1649" s="430" t="s">
        <v>7116</v>
      </c>
      <c r="L1649" s="431" t="s">
        <v>7117</v>
      </c>
      <c r="M1649" s="425"/>
      <c r="N1649" s="432"/>
      <c r="O1649" s="433" t="s">
        <v>2958</v>
      </c>
      <c r="P1649" s="434" t="s">
        <v>3645</v>
      </c>
      <c r="Q1649" s="435"/>
      <c r="R1649" s="247">
        <v>1050000.0</v>
      </c>
      <c r="S1649" s="435"/>
      <c r="T1649" s="435"/>
      <c r="U1649" s="435"/>
      <c r="V1649" s="434" t="s">
        <v>3799</v>
      </c>
      <c r="W1649" s="433"/>
      <c r="X1649" s="433" t="s">
        <v>7118</v>
      </c>
    </row>
    <row r="1650" ht="15.0" customHeight="1">
      <c r="A1650" s="423">
        <v>45719.0</v>
      </c>
      <c r="B1650" s="424" t="s">
        <v>7119</v>
      </c>
      <c r="C1650" s="90" t="s">
        <v>2734</v>
      </c>
      <c r="D1650" s="425" t="str">
        <f>IFERROR(VLOOKUP(C1650,Stock,3,FALSE),"")</f>
        <v>Honda Jazz 07-13 2nd Gen</v>
      </c>
      <c r="E1650" s="90">
        <v>1.0</v>
      </c>
      <c r="F1650" s="426">
        <v>1818000.0</v>
      </c>
      <c r="G1650" s="427">
        <f t="shared" si="33"/>
        <v>1818000</v>
      </c>
      <c r="H1650" s="428"/>
      <c r="I1650" s="426">
        <f t="shared" si="35"/>
        <v>1818000</v>
      </c>
      <c r="J1650" s="429">
        <f t="shared" si="30"/>
        <v>1818000</v>
      </c>
      <c r="K1650" s="436" t="s">
        <v>7120</v>
      </c>
      <c r="L1650" s="431" t="s">
        <v>7121</v>
      </c>
      <c r="M1650" s="425"/>
      <c r="N1650" s="432"/>
      <c r="O1650" s="433" t="s">
        <v>3213</v>
      </c>
      <c r="P1650" s="434" t="s">
        <v>3112</v>
      </c>
      <c r="Q1650" s="435"/>
      <c r="R1650" s="247">
        <v>1818000.0</v>
      </c>
      <c r="S1650" s="435"/>
      <c r="T1650" s="435"/>
      <c r="U1650" s="435"/>
      <c r="V1650" s="434" t="s">
        <v>3883</v>
      </c>
      <c r="W1650" s="433"/>
      <c r="X1650" s="433" t="s">
        <v>7118</v>
      </c>
    </row>
    <row r="1651" ht="15.0" customHeight="1">
      <c r="A1651" s="127">
        <v>45719.0</v>
      </c>
      <c r="B1651" s="181" t="s">
        <v>7122</v>
      </c>
      <c r="C1651" s="56" t="s">
        <v>4628</v>
      </c>
      <c r="D1651" s="73" t="str">
        <f>IFERROR(VLOOKUP(C1651,Stock,3,FALSE),"")</f>
        <v>Mazda 2 09-14 3rd Gen Hatchback</v>
      </c>
      <c r="E1651" s="56">
        <v>1.0</v>
      </c>
      <c r="F1651" s="161">
        <v>1161000.0</v>
      </c>
      <c r="G1651" s="162">
        <f t="shared" si="33"/>
        <v>1161000</v>
      </c>
      <c r="H1651" s="194"/>
      <c r="I1651" s="161">
        <f t="shared" si="35"/>
        <v>1161000</v>
      </c>
      <c r="J1651" s="164">
        <f t="shared" si="30"/>
        <v>1161000</v>
      </c>
      <c r="K1651" s="56" t="s">
        <v>7123</v>
      </c>
      <c r="L1651" s="165" t="s">
        <v>7124</v>
      </c>
      <c r="M1651" s="73"/>
      <c r="N1651" s="171"/>
      <c r="O1651" s="169" t="s">
        <v>3184</v>
      </c>
      <c r="P1651" s="168" t="s">
        <v>3112</v>
      </c>
      <c r="Q1651" s="173"/>
      <c r="R1651" s="167">
        <v>1161000.0</v>
      </c>
      <c r="S1651" s="173"/>
      <c r="T1651" s="173"/>
      <c r="U1651" s="173"/>
      <c r="V1651" s="168" t="s">
        <v>3883</v>
      </c>
      <c r="W1651" s="169"/>
      <c r="X1651" s="169" t="s">
        <v>7125</v>
      </c>
    </row>
    <row r="1652" ht="15.0" customHeight="1">
      <c r="A1652" s="127">
        <v>45719.0</v>
      </c>
      <c r="B1652" s="181" t="s">
        <v>7122</v>
      </c>
      <c r="C1652" s="56" t="s">
        <v>2934</v>
      </c>
      <c r="D1652" s="73" t="str">
        <f>IFERROR(VLOOKUP(C1652,Stock,3,FALSE),"")</f>
        <v>Peti Kayu</v>
      </c>
      <c r="E1652" s="56">
        <v>1.0</v>
      </c>
      <c r="F1652" s="161">
        <v>200000.0</v>
      </c>
      <c r="G1652" s="162">
        <f t="shared" si="33"/>
        <v>200000</v>
      </c>
      <c r="H1652" s="194"/>
      <c r="I1652" s="161">
        <f t="shared" si="35"/>
        <v>200000</v>
      </c>
      <c r="J1652" s="164">
        <f t="shared" si="30"/>
        <v>200000</v>
      </c>
      <c r="K1652" s="56" t="s">
        <v>7123</v>
      </c>
      <c r="L1652" s="165" t="s">
        <v>7124</v>
      </c>
      <c r="M1652" s="73"/>
      <c r="N1652" s="171"/>
      <c r="O1652" s="169" t="s">
        <v>3184</v>
      </c>
      <c r="P1652" s="168" t="s">
        <v>3112</v>
      </c>
      <c r="Q1652" s="173"/>
      <c r="R1652" s="167">
        <v>200000.0</v>
      </c>
      <c r="S1652" s="173"/>
      <c r="T1652" s="173"/>
      <c r="U1652" s="173"/>
      <c r="V1652" s="168" t="s">
        <v>3883</v>
      </c>
      <c r="W1652" s="169"/>
      <c r="X1652" s="171"/>
    </row>
    <row r="1653" ht="15.0" customHeight="1">
      <c r="A1653" s="423">
        <v>45719.0</v>
      </c>
      <c r="B1653" s="424" t="s">
        <v>7126</v>
      </c>
      <c r="C1653" s="90" t="s">
        <v>7127</v>
      </c>
      <c r="D1653" s="425" t="str">
        <f>IFERROR(VLOOKUP(C1653,Stock,3,FALSE),"")</f>
        <v>Toyota Rush / Terios 18-</v>
      </c>
      <c r="E1653" s="90">
        <v>1.0</v>
      </c>
      <c r="F1653" s="426">
        <v>760000.0</v>
      </c>
      <c r="G1653" s="427">
        <f t="shared" si="33"/>
        <v>760000</v>
      </c>
      <c r="H1653" s="428"/>
      <c r="I1653" s="426">
        <f t="shared" si="35"/>
        <v>760000</v>
      </c>
      <c r="J1653" s="429">
        <f t="shared" si="30"/>
        <v>760000</v>
      </c>
      <c r="K1653" s="90" t="s">
        <v>7128</v>
      </c>
      <c r="L1653" s="431" t="s">
        <v>7129</v>
      </c>
      <c r="M1653" s="425"/>
      <c r="N1653" s="432"/>
      <c r="O1653" s="433" t="s">
        <v>2958</v>
      </c>
      <c r="P1653" s="434" t="s">
        <v>3112</v>
      </c>
      <c r="Q1653" s="435"/>
      <c r="R1653" s="247">
        <v>760000.0</v>
      </c>
      <c r="S1653" s="435"/>
      <c r="T1653" s="435"/>
      <c r="U1653" s="435"/>
      <c r="V1653" s="168" t="s">
        <v>3883</v>
      </c>
      <c r="W1653" s="169"/>
      <c r="X1653" s="433" t="s">
        <v>7118</v>
      </c>
    </row>
    <row r="1654" ht="15.0" customHeight="1">
      <c r="A1654" s="423">
        <v>45720.0</v>
      </c>
      <c r="B1654" s="424" t="s">
        <v>7130</v>
      </c>
      <c r="C1654" s="90" t="s">
        <v>2744</v>
      </c>
      <c r="D1654" s="425" t="str">
        <f>IFERROR(VLOOKUP(C1654,Stock,3,FALSE),"")</f>
        <v>Toyota Fortuner 05-15 1st Gen (Hitam)</v>
      </c>
      <c r="E1654" s="90">
        <v>1.0</v>
      </c>
      <c r="F1654" s="426">
        <v>2250000.0</v>
      </c>
      <c r="G1654" s="427">
        <f t="shared" si="33"/>
        <v>2250000</v>
      </c>
      <c r="H1654" s="428"/>
      <c r="I1654" s="426">
        <f t="shared" si="35"/>
        <v>2250000</v>
      </c>
      <c r="J1654" s="429">
        <f t="shared" si="30"/>
        <v>2250000</v>
      </c>
      <c r="K1654" s="90" t="s">
        <v>7131</v>
      </c>
      <c r="L1654" s="431" t="s">
        <v>7132</v>
      </c>
      <c r="M1654" s="425"/>
      <c r="N1654" s="437" t="s">
        <v>7133</v>
      </c>
      <c r="O1654" s="433" t="s">
        <v>5956</v>
      </c>
      <c r="P1654" s="434" t="s">
        <v>3112</v>
      </c>
      <c r="Q1654" s="435"/>
      <c r="R1654" s="247">
        <v>2250000.0</v>
      </c>
      <c r="S1654" s="435"/>
      <c r="T1654" s="435"/>
      <c r="U1654" s="435"/>
      <c r="V1654" s="168" t="s">
        <v>3883</v>
      </c>
      <c r="W1654" s="169"/>
      <c r="X1654" s="433" t="s">
        <v>7118</v>
      </c>
    </row>
    <row r="1655" ht="15.0" customHeight="1">
      <c r="A1655" s="127">
        <v>45720.0</v>
      </c>
      <c r="B1655" s="181" t="s">
        <v>7134</v>
      </c>
      <c r="C1655" s="56" t="s">
        <v>3837</v>
      </c>
      <c r="D1655" s="73" t="str">
        <f>IFERROR(VLOOKUP(C1655,Stock,3,FALSE),"")</f>
        <v>Toyota Yaris 13- 2nd Gen / Vios 14- 3rd Gen</v>
      </c>
      <c r="E1655" s="56">
        <v>1.0</v>
      </c>
      <c r="F1655" s="161">
        <v>1719000.0</v>
      </c>
      <c r="G1655" s="162">
        <f t="shared" si="33"/>
        <v>1719000</v>
      </c>
      <c r="H1655" s="201">
        <v>50000.0</v>
      </c>
      <c r="I1655" s="161">
        <f t="shared" si="35"/>
        <v>1669000</v>
      </c>
      <c r="J1655" s="164">
        <f t="shared" si="30"/>
        <v>1669000</v>
      </c>
      <c r="K1655" s="56" t="s">
        <v>7135</v>
      </c>
      <c r="L1655" s="165" t="s">
        <v>7136</v>
      </c>
      <c r="M1655" s="73"/>
      <c r="N1655" s="171"/>
      <c r="O1655" s="169" t="s">
        <v>2958</v>
      </c>
      <c r="P1655" s="168" t="s">
        <v>3112</v>
      </c>
      <c r="Q1655" s="167">
        <v>500000.0</v>
      </c>
      <c r="R1655" s="167">
        <v>1169000.0</v>
      </c>
      <c r="S1655" s="173"/>
      <c r="T1655" s="173"/>
      <c r="U1655" s="173"/>
      <c r="V1655" s="168" t="s">
        <v>3883</v>
      </c>
      <c r="W1655" s="169"/>
      <c r="X1655" s="433" t="s">
        <v>7137</v>
      </c>
    </row>
    <row r="1656" ht="15.0" customHeight="1">
      <c r="A1656" s="127">
        <v>45720.0</v>
      </c>
      <c r="B1656" s="181" t="s">
        <v>7138</v>
      </c>
      <c r="C1656" s="56" t="s">
        <v>3127</v>
      </c>
      <c r="D1656" s="73" t="str">
        <f>IFERROR(VLOOKUP(C1656,Stock,3,FALSE),"")</f>
        <v>Toyota Avanza / Xenia 03-11 1st Gen</v>
      </c>
      <c r="E1656" s="56">
        <v>1.0</v>
      </c>
      <c r="F1656" s="161">
        <v>767000.0</v>
      </c>
      <c r="G1656" s="162">
        <f t="shared" si="33"/>
        <v>767000</v>
      </c>
      <c r="H1656" s="194"/>
      <c r="I1656" s="161">
        <f t="shared" si="35"/>
        <v>767000</v>
      </c>
      <c r="J1656" s="164">
        <f t="shared" si="30"/>
        <v>767000</v>
      </c>
      <c r="K1656" s="56" t="s">
        <v>4725</v>
      </c>
      <c r="L1656" s="165" t="s">
        <v>7139</v>
      </c>
      <c r="M1656" s="73"/>
      <c r="N1656" s="171"/>
      <c r="O1656" s="169" t="s">
        <v>2958</v>
      </c>
      <c r="P1656" s="168" t="s">
        <v>3112</v>
      </c>
      <c r="Q1656" s="173"/>
      <c r="R1656" s="167">
        <v>767000.0</v>
      </c>
      <c r="S1656" s="173"/>
      <c r="T1656" s="173"/>
      <c r="U1656" s="173"/>
      <c r="V1656" s="168" t="s">
        <v>3883</v>
      </c>
      <c r="W1656" s="169"/>
      <c r="X1656" s="171"/>
    </row>
    <row r="1657" ht="15.0" customHeight="1">
      <c r="A1657" s="127">
        <v>45720.0</v>
      </c>
      <c r="B1657" s="181" t="s">
        <v>7138</v>
      </c>
      <c r="C1657" s="56" t="s">
        <v>3059</v>
      </c>
      <c r="D1657" s="73" t="str">
        <f>IFERROR(VLOOKUP(C1657,Stock,3,FALSE),"")</f>
        <v>Sealant Polyurethane XYG Tube</v>
      </c>
      <c r="E1657" s="56">
        <v>2.0</v>
      </c>
      <c r="F1657" s="161">
        <v>75000.0</v>
      </c>
      <c r="G1657" s="162">
        <f t="shared" si="33"/>
        <v>150000</v>
      </c>
      <c r="H1657" s="194"/>
      <c r="I1657" s="161">
        <f t="shared" si="35"/>
        <v>150000</v>
      </c>
      <c r="J1657" s="164">
        <f t="shared" si="30"/>
        <v>150000</v>
      </c>
      <c r="K1657" s="56" t="s">
        <v>4725</v>
      </c>
      <c r="L1657" s="165" t="s">
        <v>7139</v>
      </c>
      <c r="M1657" s="73"/>
      <c r="N1657" s="171"/>
      <c r="O1657" s="169" t="s">
        <v>2958</v>
      </c>
      <c r="P1657" s="168" t="s">
        <v>3112</v>
      </c>
      <c r="Q1657" s="173"/>
      <c r="R1657" s="167">
        <v>150000.0</v>
      </c>
      <c r="S1657" s="173"/>
      <c r="T1657" s="173"/>
      <c r="U1657" s="173"/>
      <c r="V1657" s="168" t="s">
        <v>3883</v>
      </c>
      <c r="W1657" s="169"/>
      <c r="X1657" s="171"/>
    </row>
    <row r="1658" ht="15.0" customHeight="1">
      <c r="A1658" s="127">
        <v>45720.0</v>
      </c>
      <c r="B1658" s="181" t="s">
        <v>7138</v>
      </c>
      <c r="C1658" s="56" t="s">
        <v>2954</v>
      </c>
      <c r="D1658" s="73" t="str">
        <f>IFERROR(VLOOKUP(C1658,Stock,3,FALSE),"")</f>
        <v>Transport</v>
      </c>
      <c r="E1658" s="56">
        <v>1.0</v>
      </c>
      <c r="F1658" s="161">
        <v>50000.0</v>
      </c>
      <c r="G1658" s="162">
        <f t="shared" si="33"/>
        <v>50000</v>
      </c>
      <c r="H1658" s="194"/>
      <c r="I1658" s="161">
        <f t="shared" si="35"/>
        <v>50000</v>
      </c>
      <c r="J1658" s="164">
        <f t="shared" si="30"/>
        <v>50000</v>
      </c>
      <c r="K1658" s="56" t="s">
        <v>4725</v>
      </c>
      <c r="L1658" s="165" t="s">
        <v>7139</v>
      </c>
      <c r="M1658" s="73"/>
      <c r="N1658" s="171"/>
      <c r="O1658" s="169" t="s">
        <v>2958</v>
      </c>
      <c r="P1658" s="168" t="s">
        <v>3112</v>
      </c>
      <c r="Q1658" s="173"/>
      <c r="R1658" s="167">
        <v>50000.0</v>
      </c>
      <c r="S1658" s="173"/>
      <c r="T1658" s="173"/>
      <c r="U1658" s="173"/>
      <c r="V1658" s="168" t="s">
        <v>3883</v>
      </c>
      <c r="W1658" s="169"/>
      <c r="X1658" s="171"/>
    </row>
    <row r="1659" ht="15.0" customHeight="1">
      <c r="A1659" s="127">
        <v>45720.0</v>
      </c>
      <c r="B1659" s="181" t="s">
        <v>7140</v>
      </c>
      <c r="C1659" s="330" t="s">
        <v>2549</v>
      </c>
      <c r="D1659" s="73" t="str">
        <f>IFERROR(VLOOKUP(C1659,Stock,3,FALSE),"")</f>
        <v>Toyota Avanza / Xenia 11-15 2nd Gen</v>
      </c>
      <c r="E1659" s="56">
        <v>1.0</v>
      </c>
      <c r="F1659" s="161">
        <v>758000.0</v>
      </c>
      <c r="G1659" s="162">
        <f t="shared" si="33"/>
        <v>758000</v>
      </c>
      <c r="H1659" s="194"/>
      <c r="I1659" s="161">
        <f t="shared" si="35"/>
        <v>758000</v>
      </c>
      <c r="J1659" s="164">
        <f t="shared" si="30"/>
        <v>758000</v>
      </c>
      <c r="K1659" s="131" t="s">
        <v>7094</v>
      </c>
      <c r="L1659" s="165" t="s">
        <v>3683</v>
      </c>
      <c r="M1659" s="73"/>
      <c r="N1659" s="171"/>
      <c r="O1659" s="169" t="s">
        <v>2958</v>
      </c>
      <c r="P1659" s="168" t="s">
        <v>3112</v>
      </c>
      <c r="Q1659" s="173"/>
      <c r="R1659" s="167">
        <v>758000.0</v>
      </c>
      <c r="S1659" s="173"/>
      <c r="T1659" s="173"/>
      <c r="U1659" s="173"/>
      <c r="V1659" s="168" t="s">
        <v>3883</v>
      </c>
      <c r="W1659" s="169"/>
      <c r="X1659" s="171"/>
    </row>
    <row r="1660" ht="15.0" customHeight="1">
      <c r="A1660" s="127">
        <v>45720.0</v>
      </c>
      <c r="B1660" s="181" t="s">
        <v>7140</v>
      </c>
      <c r="C1660" s="251" t="s">
        <v>4149</v>
      </c>
      <c r="D1660" s="73" t="str">
        <f>IFERROR(VLOOKUP(C1660,Stock,3,FALSE),"")</f>
        <v>Toyota Avanza / Xenia 11-15 2nd Gen</v>
      </c>
      <c r="E1660" s="56">
        <v>1.0</v>
      </c>
      <c r="F1660" s="161">
        <v>175000.0</v>
      </c>
      <c r="G1660" s="162">
        <f t="shared" si="33"/>
        <v>175000</v>
      </c>
      <c r="H1660" s="194"/>
      <c r="I1660" s="161">
        <f t="shared" si="35"/>
        <v>175000</v>
      </c>
      <c r="J1660" s="164">
        <f t="shared" si="30"/>
        <v>175000</v>
      </c>
      <c r="K1660" s="56" t="s">
        <v>7094</v>
      </c>
      <c r="L1660" s="165" t="s">
        <v>3683</v>
      </c>
      <c r="M1660" s="73"/>
      <c r="N1660" s="171"/>
      <c r="O1660" s="169" t="s">
        <v>2958</v>
      </c>
      <c r="P1660" s="168" t="s">
        <v>3112</v>
      </c>
      <c r="Q1660" s="173"/>
      <c r="R1660" s="167">
        <v>175000.0</v>
      </c>
      <c r="S1660" s="173"/>
      <c r="T1660" s="173"/>
      <c r="U1660" s="173"/>
      <c r="V1660" s="168" t="s">
        <v>3883</v>
      </c>
      <c r="W1660" s="169"/>
      <c r="X1660" s="171"/>
    </row>
    <row r="1661" ht="15.0" customHeight="1">
      <c r="A1661" s="127">
        <v>45720.0</v>
      </c>
      <c r="B1661" s="181" t="s">
        <v>7140</v>
      </c>
      <c r="C1661" s="169" t="s">
        <v>2934</v>
      </c>
      <c r="D1661" s="73" t="str">
        <f>IFERROR(VLOOKUP(C1661,Stock,3,FALSE),"")</f>
        <v>Peti Kayu</v>
      </c>
      <c r="E1661" s="56">
        <v>1.0</v>
      </c>
      <c r="F1661" s="161">
        <v>160000.0</v>
      </c>
      <c r="G1661" s="162">
        <f t="shared" si="33"/>
        <v>160000</v>
      </c>
      <c r="H1661" s="194"/>
      <c r="I1661" s="161">
        <f t="shared" si="35"/>
        <v>160000</v>
      </c>
      <c r="J1661" s="164">
        <f t="shared" si="30"/>
        <v>160000</v>
      </c>
      <c r="K1661" s="56" t="s">
        <v>7094</v>
      </c>
      <c r="L1661" s="165" t="s">
        <v>3683</v>
      </c>
      <c r="M1661" s="73"/>
      <c r="N1661" s="171"/>
      <c r="O1661" s="169" t="s">
        <v>2958</v>
      </c>
      <c r="P1661" s="168" t="s">
        <v>3112</v>
      </c>
      <c r="Q1661" s="173"/>
      <c r="R1661" s="167">
        <v>160000.0</v>
      </c>
      <c r="S1661" s="173"/>
      <c r="T1661" s="173"/>
      <c r="U1661" s="173"/>
      <c r="V1661" s="168" t="s">
        <v>3883</v>
      </c>
      <c r="W1661" s="169"/>
      <c r="X1661" s="171"/>
    </row>
    <row r="1662" ht="15.0" customHeight="1">
      <c r="A1662" s="127">
        <v>45720.0</v>
      </c>
      <c r="B1662" s="181" t="s">
        <v>7141</v>
      </c>
      <c r="C1662" s="56" t="s">
        <v>7142</v>
      </c>
      <c r="D1662" s="73" t="str">
        <f>IFERROR(VLOOKUP(C1662,Stock,3,FALSE),"")</f>
        <v>Mitsubishi Xpander 17-21 / Livina 19- 2nd Gen (Mitsubishi)</v>
      </c>
      <c r="E1662" s="56">
        <v>1.0</v>
      </c>
      <c r="F1662" s="161">
        <v>650000.0</v>
      </c>
      <c r="G1662" s="162">
        <f t="shared" si="33"/>
        <v>650000</v>
      </c>
      <c r="H1662" s="194"/>
      <c r="I1662" s="161">
        <f t="shared" si="35"/>
        <v>650000</v>
      </c>
      <c r="J1662" s="164">
        <f t="shared" si="30"/>
        <v>650000</v>
      </c>
      <c r="K1662" s="56" t="s">
        <v>7143</v>
      </c>
      <c r="L1662" s="165" t="s">
        <v>7144</v>
      </c>
      <c r="M1662" s="73"/>
      <c r="N1662" s="171"/>
      <c r="O1662" s="169" t="s">
        <v>3037</v>
      </c>
      <c r="P1662" s="168" t="s">
        <v>3112</v>
      </c>
      <c r="Q1662" s="167">
        <v>650000.0</v>
      </c>
      <c r="R1662" s="173"/>
      <c r="S1662" s="173"/>
      <c r="T1662" s="173"/>
      <c r="U1662" s="173"/>
      <c r="V1662" s="168" t="s">
        <v>3883</v>
      </c>
      <c r="W1662" s="169"/>
      <c r="X1662" s="171"/>
    </row>
    <row r="1663" ht="15.0" customHeight="1">
      <c r="A1663" s="127">
        <v>45721.0</v>
      </c>
      <c r="B1663" s="181" t="s">
        <v>7145</v>
      </c>
      <c r="C1663" s="56" t="s">
        <v>3391</v>
      </c>
      <c r="D1663" s="73" t="str">
        <f>IFERROR(VLOOKUP(C1663,Stock,3,FALSE),"")</f>
        <v>Toyota Fortuner 05-15 1st Gen</v>
      </c>
      <c r="E1663" s="56">
        <v>1.0</v>
      </c>
      <c r="F1663" s="161">
        <v>1442000.0</v>
      </c>
      <c r="G1663" s="162">
        <f t="shared" si="33"/>
        <v>1442000</v>
      </c>
      <c r="H1663" s="201">
        <v>72100.0</v>
      </c>
      <c r="I1663" s="161">
        <f t="shared" si="35"/>
        <v>1369900</v>
      </c>
      <c r="J1663" s="164">
        <f t="shared" si="30"/>
        <v>1369900</v>
      </c>
      <c r="K1663" s="56" t="s">
        <v>5406</v>
      </c>
      <c r="L1663" s="165" t="s">
        <v>7146</v>
      </c>
      <c r="M1663" s="73"/>
      <c r="N1663" s="171"/>
      <c r="O1663" s="169" t="s">
        <v>2958</v>
      </c>
      <c r="P1663" s="168" t="s">
        <v>3112</v>
      </c>
      <c r="Q1663" s="173"/>
      <c r="R1663" s="167">
        <v>1400000.0</v>
      </c>
      <c r="S1663" s="173"/>
      <c r="T1663" s="173"/>
      <c r="U1663" s="173"/>
      <c r="V1663" s="168" t="s">
        <v>3883</v>
      </c>
      <c r="W1663" s="169"/>
      <c r="X1663" s="433" t="s">
        <v>7118</v>
      </c>
    </row>
    <row r="1664" ht="15.0" customHeight="1">
      <c r="A1664" s="127">
        <v>45721.0</v>
      </c>
      <c r="B1664" s="181" t="s">
        <v>7145</v>
      </c>
      <c r="C1664" s="56" t="s">
        <v>2954</v>
      </c>
      <c r="D1664" s="73" t="str">
        <f>IFERROR(VLOOKUP(C1664,Stock,3,FALSE),"")</f>
        <v>Transport</v>
      </c>
      <c r="E1664" s="56">
        <v>1.0</v>
      </c>
      <c r="F1664" s="161">
        <v>50000.0</v>
      </c>
      <c r="G1664" s="162">
        <f t="shared" si="33"/>
        <v>50000</v>
      </c>
      <c r="H1664" s="201">
        <v>19900.0</v>
      </c>
      <c r="I1664" s="161">
        <f t="shared" si="35"/>
        <v>30100</v>
      </c>
      <c r="J1664" s="164">
        <f t="shared" si="30"/>
        <v>30100</v>
      </c>
      <c r="K1664" s="197" t="s">
        <v>5406</v>
      </c>
      <c r="L1664" s="165" t="s">
        <v>7146</v>
      </c>
      <c r="M1664" s="73"/>
      <c r="N1664" s="171"/>
      <c r="O1664" s="169" t="s">
        <v>2958</v>
      </c>
      <c r="P1664" s="168" t="s">
        <v>3112</v>
      </c>
      <c r="Q1664" s="173"/>
      <c r="R1664" s="173"/>
      <c r="S1664" s="173"/>
      <c r="T1664" s="173"/>
      <c r="U1664" s="173"/>
      <c r="V1664" s="168" t="s">
        <v>3883</v>
      </c>
      <c r="W1664" s="169"/>
      <c r="X1664" s="433" t="s">
        <v>7118</v>
      </c>
    </row>
    <row r="1665" ht="15.0" customHeight="1">
      <c r="A1665" s="127">
        <v>45721.0</v>
      </c>
      <c r="B1665" s="181" t="s">
        <v>7147</v>
      </c>
      <c r="C1665" s="56" t="s">
        <v>2663</v>
      </c>
      <c r="D1665" s="73" t="str">
        <f>IFERROR(VLOOKUP(C1665,Stock,3,FALSE),"")</f>
        <v>Chevrolet Captiva 06-18 1st gen C100</v>
      </c>
      <c r="E1665" s="56">
        <v>1.0</v>
      </c>
      <c r="F1665" s="161">
        <v>2163000.0</v>
      </c>
      <c r="G1665" s="162">
        <f t="shared" si="33"/>
        <v>2163000</v>
      </c>
      <c r="H1665" s="194"/>
      <c r="I1665" s="161">
        <f t="shared" si="35"/>
        <v>2163000</v>
      </c>
      <c r="J1665" s="164">
        <f t="shared" si="30"/>
        <v>2163000</v>
      </c>
      <c r="K1665" s="197" t="s">
        <v>7148</v>
      </c>
      <c r="L1665" s="165" t="s">
        <v>7149</v>
      </c>
      <c r="M1665" s="73"/>
      <c r="N1665" s="289" t="s">
        <v>7150</v>
      </c>
      <c r="O1665" s="169" t="s">
        <v>2958</v>
      </c>
      <c r="P1665" s="168" t="s">
        <v>3112</v>
      </c>
      <c r="Q1665" s="173"/>
      <c r="R1665" s="167">
        <v>2163000.0</v>
      </c>
      <c r="S1665" s="173"/>
      <c r="T1665" s="173"/>
      <c r="U1665" s="173"/>
      <c r="V1665" s="168" t="s">
        <v>3883</v>
      </c>
      <c r="W1665" s="169"/>
      <c r="X1665" s="433" t="s">
        <v>7118</v>
      </c>
    </row>
    <row r="1666" ht="15.0" customHeight="1">
      <c r="A1666" s="127">
        <v>45721.0</v>
      </c>
      <c r="B1666" s="181" t="s">
        <v>7151</v>
      </c>
      <c r="C1666" s="56" t="s">
        <v>6549</v>
      </c>
      <c r="D1666" s="73" t="str">
        <f>IFERROR(VLOOKUP(C1666,Stock,3,FALSE),"")</f>
        <v>Honda Mobilio 14-</v>
      </c>
      <c r="E1666" s="56">
        <v>1.0</v>
      </c>
      <c r="F1666" s="161">
        <v>1151000.0</v>
      </c>
      <c r="G1666" s="162">
        <f t="shared" si="33"/>
        <v>1151000</v>
      </c>
      <c r="H1666" s="194"/>
      <c r="I1666" s="161">
        <f t="shared" si="35"/>
        <v>1151000</v>
      </c>
      <c r="J1666" s="164">
        <f t="shared" si="30"/>
        <v>1151000</v>
      </c>
      <c r="K1666" s="56" t="s">
        <v>5741</v>
      </c>
      <c r="L1666" s="165" t="s">
        <v>7152</v>
      </c>
      <c r="M1666" s="73"/>
      <c r="N1666" s="169" t="s">
        <v>7153</v>
      </c>
      <c r="O1666" s="169" t="s">
        <v>3081</v>
      </c>
      <c r="P1666" s="168" t="s">
        <v>3112</v>
      </c>
      <c r="Q1666" s="167">
        <v>1151000.0</v>
      </c>
      <c r="R1666" s="173"/>
      <c r="S1666" s="173"/>
      <c r="T1666" s="173"/>
      <c r="U1666" s="173"/>
      <c r="V1666" s="168" t="s">
        <v>3883</v>
      </c>
      <c r="W1666" s="169"/>
      <c r="X1666" s="171"/>
    </row>
    <row r="1667" ht="15.0" customHeight="1">
      <c r="A1667" s="127">
        <v>45721.0</v>
      </c>
      <c r="B1667" s="181" t="s">
        <v>7151</v>
      </c>
      <c r="C1667" s="56" t="s">
        <v>7154</v>
      </c>
      <c r="D1667" s="73" t="str">
        <f>IFERROR(VLOOKUP(C1667,Stock,3,FALSE),"")</f>
        <v>Honda Mobilio 11-</v>
      </c>
      <c r="E1667" s="56">
        <v>1.0</v>
      </c>
      <c r="F1667" s="161">
        <v>1035000.0</v>
      </c>
      <c r="G1667" s="162">
        <f t="shared" si="33"/>
        <v>1035000</v>
      </c>
      <c r="H1667" s="194"/>
      <c r="I1667" s="161">
        <f t="shared" si="35"/>
        <v>1035000</v>
      </c>
      <c r="J1667" s="164">
        <f t="shared" si="30"/>
        <v>1035000</v>
      </c>
      <c r="K1667" s="56" t="s">
        <v>5741</v>
      </c>
      <c r="L1667" s="165" t="s">
        <v>7155</v>
      </c>
      <c r="M1667" s="73"/>
      <c r="N1667" s="169" t="s">
        <v>7153</v>
      </c>
      <c r="O1667" s="169" t="s">
        <v>3081</v>
      </c>
      <c r="P1667" s="168" t="s">
        <v>3112</v>
      </c>
      <c r="Q1667" s="167">
        <v>1035000.0</v>
      </c>
      <c r="R1667" s="173"/>
      <c r="S1667" s="173"/>
      <c r="T1667" s="173"/>
      <c r="U1667" s="173"/>
      <c r="V1667" s="168" t="s">
        <v>3883</v>
      </c>
      <c r="W1667" s="169"/>
      <c r="X1667" s="171"/>
    </row>
    <row r="1668" ht="15.0" customHeight="1">
      <c r="A1668" s="127">
        <v>45721.0</v>
      </c>
      <c r="B1668" s="181" t="s">
        <v>7156</v>
      </c>
      <c r="C1668" s="56" t="s">
        <v>3099</v>
      </c>
      <c r="D1668" s="73" t="str">
        <f>IFERROR(VLOOKUP(C1668,Stock,3,FALSE),"")</f>
        <v>Toyota Calya / Sigra 16-</v>
      </c>
      <c r="E1668" s="56">
        <v>1.0</v>
      </c>
      <c r="F1668" s="161">
        <v>1149000.0</v>
      </c>
      <c r="G1668" s="162">
        <f t="shared" si="33"/>
        <v>1149000</v>
      </c>
      <c r="H1668" s="194"/>
      <c r="I1668" s="161">
        <f t="shared" si="35"/>
        <v>1149000</v>
      </c>
      <c r="J1668" s="164">
        <f t="shared" si="30"/>
        <v>1149000</v>
      </c>
      <c r="K1668" s="56" t="s">
        <v>7157</v>
      </c>
      <c r="L1668" s="165" t="s">
        <v>4170</v>
      </c>
      <c r="M1668" s="73"/>
      <c r="N1668" s="171"/>
      <c r="O1668" s="169" t="s">
        <v>2958</v>
      </c>
      <c r="P1668" s="168" t="s">
        <v>3645</v>
      </c>
      <c r="Q1668" s="173"/>
      <c r="R1668" s="167">
        <v>1149000.0</v>
      </c>
      <c r="S1668" s="173"/>
      <c r="T1668" s="173"/>
      <c r="U1668" s="173"/>
      <c r="V1668" s="168" t="s">
        <v>3883</v>
      </c>
      <c r="W1668" s="169"/>
      <c r="X1668" s="171"/>
    </row>
    <row r="1669" ht="15.0" customHeight="1">
      <c r="A1669" s="127">
        <v>45721.0</v>
      </c>
      <c r="B1669" s="181" t="s">
        <v>7158</v>
      </c>
      <c r="C1669" s="56" t="s">
        <v>7159</v>
      </c>
      <c r="D1669" s="73" t="str">
        <f>IFERROR(VLOOKUP(C1669,Stock,3,FALSE),"")</f>
        <v>Hyundai Grand Avega 11-16 RB</v>
      </c>
      <c r="E1669" s="56">
        <v>1.0</v>
      </c>
      <c r="F1669" s="161">
        <v>2193000.0</v>
      </c>
      <c r="G1669" s="162">
        <f t="shared" si="33"/>
        <v>2193000</v>
      </c>
      <c r="H1669" s="194"/>
      <c r="I1669" s="161">
        <f t="shared" si="35"/>
        <v>2193000</v>
      </c>
      <c r="J1669" s="164">
        <f t="shared" si="30"/>
        <v>2193000</v>
      </c>
      <c r="K1669" s="56" t="s">
        <v>7160</v>
      </c>
      <c r="L1669" s="165" t="s">
        <v>7161</v>
      </c>
      <c r="M1669" s="73"/>
      <c r="N1669" s="171"/>
      <c r="O1669" s="169" t="s">
        <v>2958</v>
      </c>
      <c r="P1669" s="168" t="s">
        <v>3645</v>
      </c>
      <c r="Q1669" s="173"/>
      <c r="R1669" s="167">
        <v>2193000.0</v>
      </c>
      <c r="S1669" s="173"/>
      <c r="T1669" s="173"/>
      <c r="U1669" s="173"/>
      <c r="V1669" s="168" t="s">
        <v>3883</v>
      </c>
      <c r="W1669" s="169"/>
      <c r="X1669" s="171"/>
    </row>
    <row r="1670" ht="15.0" customHeight="1">
      <c r="A1670" s="183">
        <v>45722.0</v>
      </c>
      <c r="B1670" s="185" t="s">
        <v>7162</v>
      </c>
      <c r="C1670" s="184" t="s">
        <v>6716</v>
      </c>
      <c r="D1670" s="186" t="str">
        <f>IFERROR(VLOOKUP(C1670,Stock,3,FALSE),"")</f>
        <v>Toyota Fortuner 15- 2nd Gen</v>
      </c>
      <c r="E1670" s="184">
        <v>1.0</v>
      </c>
      <c r="F1670" s="187">
        <v>585000.0</v>
      </c>
      <c r="G1670" s="188">
        <f t="shared" si="33"/>
        <v>585000</v>
      </c>
      <c r="H1670" s="210"/>
      <c r="I1670" s="187">
        <f t="shared" si="35"/>
        <v>585000</v>
      </c>
      <c r="J1670" s="189">
        <f t="shared" si="30"/>
        <v>585000</v>
      </c>
      <c r="K1670" s="184" t="s">
        <v>7163</v>
      </c>
      <c r="L1670" s="186"/>
      <c r="M1670" s="186"/>
      <c r="N1670" s="212"/>
      <c r="O1670" s="212"/>
      <c r="P1670" s="214"/>
      <c r="Q1670" s="213"/>
      <c r="R1670" s="213"/>
      <c r="S1670" s="213"/>
      <c r="T1670" s="213"/>
      <c r="U1670" s="213"/>
      <c r="V1670" s="168" t="s">
        <v>3883</v>
      </c>
      <c r="W1670" s="169"/>
      <c r="X1670" s="171"/>
    </row>
    <row r="1671" ht="15.0" customHeight="1">
      <c r="A1671" s="127">
        <v>45722.0</v>
      </c>
      <c r="B1671" s="181" t="s">
        <v>7164</v>
      </c>
      <c r="C1671" s="56" t="s">
        <v>3622</v>
      </c>
      <c r="D1671" s="73" t="str">
        <f>IFERROR(VLOOKUP(C1671,Stock,3,FALSE),"")</f>
        <v>Mitsubishi Pajero 08-16</v>
      </c>
      <c r="E1671" s="56">
        <v>1.0</v>
      </c>
      <c r="F1671" s="161">
        <v>1800000.0</v>
      </c>
      <c r="G1671" s="162">
        <f t="shared" si="33"/>
        <v>1800000</v>
      </c>
      <c r="H1671" s="201">
        <v>310000.0</v>
      </c>
      <c r="I1671" s="161">
        <f t="shared" si="35"/>
        <v>1490000</v>
      </c>
      <c r="J1671" s="164">
        <f t="shared" si="30"/>
        <v>1490000</v>
      </c>
      <c r="K1671" s="56" t="s">
        <v>7165</v>
      </c>
      <c r="L1671" s="165" t="s">
        <v>7166</v>
      </c>
      <c r="M1671" s="73"/>
      <c r="N1671" s="171"/>
      <c r="O1671" s="169" t="s">
        <v>2958</v>
      </c>
      <c r="P1671" s="168" t="s">
        <v>3112</v>
      </c>
      <c r="Q1671" s="173"/>
      <c r="R1671" s="167">
        <v>1490000.0</v>
      </c>
      <c r="S1671" s="173"/>
      <c r="T1671" s="173"/>
      <c r="U1671" s="173"/>
      <c r="V1671" s="168" t="s">
        <v>3883</v>
      </c>
      <c r="W1671" s="169"/>
      <c r="X1671" s="171"/>
    </row>
    <row r="1672" ht="15.0" customHeight="1">
      <c r="A1672" s="127">
        <v>45722.0</v>
      </c>
      <c r="B1672" s="181" t="s">
        <v>7167</v>
      </c>
      <c r="C1672" s="56" t="s">
        <v>7168</v>
      </c>
      <c r="D1672" s="73" t="str">
        <f>IFERROR(VLOOKUP(C1672,Stock,3,FALSE),"")</f>
        <v>Nissan X-Trail 07-13 T31</v>
      </c>
      <c r="E1672" s="56">
        <v>1.0</v>
      </c>
      <c r="F1672" s="161">
        <v>1778000.0</v>
      </c>
      <c r="G1672" s="162">
        <f t="shared" si="33"/>
        <v>1778000</v>
      </c>
      <c r="H1672" s="194"/>
      <c r="I1672" s="161">
        <f t="shared" si="35"/>
        <v>1778000</v>
      </c>
      <c r="J1672" s="164">
        <f t="shared" si="30"/>
        <v>1778000</v>
      </c>
      <c r="K1672" s="56" t="s">
        <v>7169</v>
      </c>
      <c r="L1672" s="165" t="s">
        <v>7170</v>
      </c>
      <c r="M1672" s="73"/>
      <c r="N1672" s="171"/>
      <c r="O1672" s="169" t="s">
        <v>2958</v>
      </c>
      <c r="P1672" s="168" t="s">
        <v>3112</v>
      </c>
      <c r="Q1672" s="173"/>
      <c r="R1672" s="167">
        <v>1778000.0</v>
      </c>
      <c r="S1672" s="173"/>
      <c r="T1672" s="173"/>
      <c r="U1672" s="173"/>
      <c r="V1672" s="168" t="s">
        <v>3883</v>
      </c>
      <c r="W1672" s="169"/>
      <c r="X1672" s="171"/>
    </row>
    <row r="1673" ht="15.0" customHeight="1">
      <c r="A1673" s="438">
        <v>45703.0</v>
      </c>
      <c r="B1673" s="439" t="s">
        <v>6806</v>
      </c>
      <c r="C1673" s="440" t="s">
        <v>7171</v>
      </c>
      <c r="D1673" s="441" t="str">
        <f>IFERROR(VLOOKUP(C1673,Stock,3,FALSE),"")</f>
        <v>Toyota Calya / Sigra 16-</v>
      </c>
      <c r="E1673" s="440">
        <v>3.0</v>
      </c>
      <c r="F1673" s="442"/>
      <c r="G1673" s="442">
        <f t="shared" si="33"/>
        <v>0</v>
      </c>
      <c r="H1673" s="443"/>
      <c r="I1673" s="444">
        <f t="shared" si="35"/>
        <v>0</v>
      </c>
      <c r="J1673" s="445">
        <f t="shared" si="30"/>
        <v>0</v>
      </c>
      <c r="K1673" s="440" t="s">
        <v>7172</v>
      </c>
      <c r="L1673" s="441"/>
      <c r="M1673" s="441"/>
      <c r="N1673" s="446"/>
      <c r="O1673" s="446"/>
      <c r="P1673" s="447"/>
      <c r="Q1673" s="448"/>
      <c r="R1673" s="448"/>
      <c r="S1673" s="448"/>
      <c r="T1673" s="448"/>
      <c r="U1673" s="448"/>
      <c r="V1673" s="202"/>
      <c r="W1673" s="171"/>
      <c r="X1673" s="171"/>
    </row>
    <row r="1674" ht="15.0" customHeight="1">
      <c r="A1674" s="438">
        <v>45703.0</v>
      </c>
      <c r="B1674" s="439" t="s">
        <v>6806</v>
      </c>
      <c r="C1674" s="440" t="s">
        <v>7173</v>
      </c>
      <c r="D1674" s="441" t="str">
        <f>IFERROR(VLOOKUP(C1674,Stock,3,FALSE),"")</f>
        <v>Toyota Calya / Sigra 16-</v>
      </c>
      <c r="E1674" s="440">
        <v>1.0</v>
      </c>
      <c r="F1674" s="442"/>
      <c r="G1674" s="442">
        <f t="shared" si="33"/>
        <v>0</v>
      </c>
      <c r="H1674" s="443"/>
      <c r="I1674" s="444">
        <f t="shared" si="35"/>
        <v>0</v>
      </c>
      <c r="J1674" s="445">
        <f t="shared" si="30"/>
        <v>0</v>
      </c>
      <c r="K1674" s="440" t="s">
        <v>7172</v>
      </c>
      <c r="L1674" s="441"/>
      <c r="M1674" s="441"/>
      <c r="N1674" s="446"/>
      <c r="O1674" s="446"/>
      <c r="P1674" s="447"/>
      <c r="Q1674" s="448"/>
      <c r="R1674" s="448"/>
      <c r="S1674" s="448"/>
      <c r="T1674" s="448"/>
      <c r="U1674" s="448"/>
      <c r="V1674" s="202"/>
      <c r="W1674" s="171"/>
      <c r="X1674" s="171"/>
    </row>
    <row r="1675" ht="15.0" customHeight="1">
      <c r="A1675" s="438">
        <v>45706.0</v>
      </c>
      <c r="B1675" s="439" t="s">
        <v>7174</v>
      </c>
      <c r="C1675" s="440" t="s">
        <v>7173</v>
      </c>
      <c r="D1675" s="441" t="str">
        <f>IFERROR(VLOOKUP(C1675,Stock,3,FALSE),"")</f>
        <v>Toyota Calya / Sigra 16-</v>
      </c>
      <c r="E1675" s="440">
        <v>2.0</v>
      </c>
      <c r="F1675" s="442"/>
      <c r="G1675" s="442">
        <f t="shared" si="33"/>
        <v>0</v>
      </c>
      <c r="H1675" s="443"/>
      <c r="I1675" s="444">
        <f t="shared" si="35"/>
        <v>0</v>
      </c>
      <c r="J1675" s="445">
        <f t="shared" si="30"/>
        <v>0</v>
      </c>
      <c r="K1675" s="440" t="s">
        <v>7172</v>
      </c>
      <c r="L1675" s="441"/>
      <c r="M1675" s="441"/>
      <c r="N1675" s="446"/>
      <c r="O1675" s="446"/>
      <c r="P1675" s="447"/>
      <c r="Q1675" s="448"/>
      <c r="R1675" s="448"/>
      <c r="S1675" s="448"/>
      <c r="T1675" s="448"/>
      <c r="U1675" s="448"/>
      <c r="V1675" s="202"/>
      <c r="W1675" s="171"/>
      <c r="X1675" s="171"/>
    </row>
    <row r="1676" ht="15.0" customHeight="1">
      <c r="A1676" s="127">
        <v>45723.0</v>
      </c>
      <c r="B1676" s="181" t="s">
        <v>7175</v>
      </c>
      <c r="C1676" s="56" t="s">
        <v>3313</v>
      </c>
      <c r="D1676" s="73" t="str">
        <f>IFERROR(VLOOKUP(C1676,Stock,3,FALSE),"")</f>
        <v>Toyota Avanza / Xenia 21- 4th Gen (Non sensor)</v>
      </c>
      <c r="E1676" s="56">
        <v>1.0</v>
      </c>
      <c r="F1676" s="161">
        <v>1688000.0</v>
      </c>
      <c r="G1676" s="162">
        <f t="shared" si="33"/>
        <v>1688000</v>
      </c>
      <c r="H1676" s="201">
        <v>135000.0</v>
      </c>
      <c r="I1676" s="161">
        <f t="shared" si="35"/>
        <v>1553000</v>
      </c>
      <c r="J1676" s="164">
        <f t="shared" si="30"/>
        <v>1553000</v>
      </c>
      <c r="K1676" s="56" t="s">
        <v>6367</v>
      </c>
      <c r="L1676" s="165" t="s">
        <v>7176</v>
      </c>
      <c r="M1676" s="73"/>
      <c r="N1676" s="169" t="s">
        <v>7177</v>
      </c>
      <c r="O1676" s="169" t="s">
        <v>2958</v>
      </c>
      <c r="P1676" s="168" t="s">
        <v>3112</v>
      </c>
      <c r="Q1676" s="173"/>
      <c r="R1676" s="167">
        <v>1553000.0</v>
      </c>
      <c r="S1676" s="173"/>
      <c r="T1676" s="173"/>
      <c r="U1676" s="173"/>
      <c r="V1676" s="168" t="s">
        <v>3883</v>
      </c>
      <c r="W1676" s="169"/>
      <c r="X1676" s="171"/>
    </row>
    <row r="1677" ht="15.0" customHeight="1">
      <c r="A1677" s="127">
        <v>45723.0</v>
      </c>
      <c r="B1677" s="181" t="s">
        <v>7178</v>
      </c>
      <c r="C1677" s="56" t="s">
        <v>3707</v>
      </c>
      <c r="D1677" s="73" t="str">
        <f>IFERROR(VLOOKUP(C1677,Stock,3,FALSE),"")</f>
        <v>Mitsubishi Pajero 16-</v>
      </c>
      <c r="E1677" s="56">
        <v>1.0</v>
      </c>
      <c r="F1677" s="161">
        <v>1800000.0</v>
      </c>
      <c r="G1677" s="162">
        <f t="shared" si="33"/>
        <v>1800000</v>
      </c>
      <c r="H1677" s="194"/>
      <c r="I1677" s="161">
        <f t="shared" si="35"/>
        <v>1800000</v>
      </c>
      <c r="J1677" s="164">
        <f t="shared" si="30"/>
        <v>1800000</v>
      </c>
      <c r="K1677" s="56" t="s">
        <v>7179</v>
      </c>
      <c r="L1677" s="165" t="s">
        <v>3393</v>
      </c>
      <c r="M1677" s="73"/>
      <c r="N1677" s="171"/>
      <c r="O1677" s="169" t="s">
        <v>2958</v>
      </c>
      <c r="P1677" s="168" t="s">
        <v>3112</v>
      </c>
      <c r="Q1677" s="173"/>
      <c r="R1677" s="167">
        <v>1800000.0</v>
      </c>
      <c r="S1677" s="173"/>
      <c r="T1677" s="173"/>
      <c r="U1677" s="173"/>
      <c r="V1677" s="168" t="s">
        <v>3883</v>
      </c>
      <c r="W1677" s="169"/>
      <c r="X1677" s="171"/>
    </row>
    <row r="1678" ht="15.0" customHeight="1">
      <c r="A1678" s="127">
        <v>45724.0</v>
      </c>
      <c r="B1678" s="181" t="s">
        <v>7180</v>
      </c>
      <c r="C1678" s="251" t="s">
        <v>4027</v>
      </c>
      <c r="D1678" s="73" t="str">
        <f>IFERROR(VLOOKUP(C1678,Stock,3,FALSE),"")</f>
        <v>501 Sealant Application</v>
      </c>
      <c r="E1678" s="56">
        <v>1.0</v>
      </c>
      <c r="F1678" s="161">
        <v>95000.0</v>
      </c>
      <c r="G1678" s="162">
        <f t="shared" si="33"/>
        <v>95000</v>
      </c>
      <c r="H1678" s="194"/>
      <c r="I1678" s="161">
        <f t="shared" si="35"/>
        <v>95000</v>
      </c>
      <c r="J1678" s="164">
        <f t="shared" si="30"/>
        <v>95000</v>
      </c>
      <c r="K1678" s="56" t="s">
        <v>7181</v>
      </c>
      <c r="L1678" s="165" t="s">
        <v>7182</v>
      </c>
      <c r="M1678" s="73"/>
      <c r="N1678" s="171"/>
      <c r="O1678" s="169" t="s">
        <v>3081</v>
      </c>
      <c r="P1678" s="168" t="s">
        <v>2922</v>
      </c>
      <c r="Q1678" s="173"/>
      <c r="R1678" s="173"/>
      <c r="S1678" s="167">
        <v>95000.0</v>
      </c>
      <c r="T1678" s="449">
        <v>-7600.0</v>
      </c>
      <c r="U1678" s="173"/>
      <c r="V1678" s="168" t="s">
        <v>3883</v>
      </c>
      <c r="W1678" s="169"/>
      <c r="X1678" s="171"/>
    </row>
    <row r="1679" ht="15.0" customHeight="1">
      <c r="A1679" s="127">
        <v>45724.0</v>
      </c>
      <c r="B1679" s="450" t="s">
        <v>7183</v>
      </c>
      <c r="C1679" s="56" t="s">
        <v>3837</v>
      </c>
      <c r="D1679" s="73" t="str">
        <f>IFERROR(VLOOKUP(C1679,Stock,3,FALSE),"")</f>
        <v>Toyota Yaris 13- 2nd Gen / Vios 14- 3rd Gen</v>
      </c>
      <c r="E1679" s="56">
        <v>1.0</v>
      </c>
      <c r="F1679" s="161">
        <v>1719000.0</v>
      </c>
      <c r="G1679" s="162">
        <f t="shared" si="33"/>
        <v>1719000</v>
      </c>
      <c r="H1679" s="194"/>
      <c r="I1679" s="161">
        <f t="shared" si="35"/>
        <v>1719000</v>
      </c>
      <c r="J1679" s="164">
        <f t="shared" si="30"/>
        <v>1719000</v>
      </c>
      <c r="K1679" s="56" t="s">
        <v>7184</v>
      </c>
      <c r="L1679" s="165" t="s">
        <v>7185</v>
      </c>
      <c r="M1679" s="73"/>
      <c r="N1679" s="171"/>
      <c r="O1679" s="169" t="s">
        <v>2958</v>
      </c>
      <c r="P1679" s="168" t="s">
        <v>3112</v>
      </c>
      <c r="Q1679" s="173"/>
      <c r="R1679" s="167">
        <v>1719000.0</v>
      </c>
      <c r="S1679" s="173"/>
      <c r="T1679" s="173"/>
      <c r="U1679" s="173"/>
      <c r="V1679" s="168" t="s">
        <v>3883</v>
      </c>
      <c r="W1679" s="169"/>
      <c r="X1679" s="171"/>
    </row>
    <row r="1680" ht="15.0" customHeight="1">
      <c r="A1680" s="127">
        <v>45724.0</v>
      </c>
      <c r="B1680" s="181" t="s">
        <v>7186</v>
      </c>
      <c r="C1680" s="56" t="s">
        <v>4988</v>
      </c>
      <c r="D1680" s="73" t="str">
        <f>IFERROR(VLOOKUP(C1680,Stock,3,FALSE),"")</f>
        <v>Toyota Innova 15- 2nd Gen</v>
      </c>
      <c r="E1680" s="56">
        <v>1.0</v>
      </c>
      <c r="F1680" s="161">
        <v>1464000.0</v>
      </c>
      <c r="G1680" s="162">
        <f t="shared" si="33"/>
        <v>1464000</v>
      </c>
      <c r="H1680" s="194"/>
      <c r="I1680" s="161">
        <f t="shared" si="35"/>
        <v>1464000</v>
      </c>
      <c r="J1680" s="164">
        <f t="shared" si="30"/>
        <v>1464000</v>
      </c>
      <c r="K1680" s="56" t="s">
        <v>5232</v>
      </c>
      <c r="L1680" s="165" t="s">
        <v>5233</v>
      </c>
      <c r="M1680" s="73"/>
      <c r="N1680" s="171"/>
      <c r="O1680" s="169" t="s">
        <v>5220</v>
      </c>
      <c r="P1680" s="168" t="s">
        <v>3112</v>
      </c>
      <c r="Q1680" s="173"/>
      <c r="R1680" s="167">
        <v>1464000.0</v>
      </c>
      <c r="S1680" s="173"/>
      <c r="T1680" s="173"/>
      <c r="U1680" s="173"/>
      <c r="V1680" s="168" t="s">
        <v>3883</v>
      </c>
      <c r="W1680" s="169"/>
      <c r="X1680" s="171"/>
    </row>
    <row r="1681" ht="15.0" customHeight="1">
      <c r="A1681" s="127">
        <v>45724.0</v>
      </c>
      <c r="B1681" s="181" t="s">
        <v>7186</v>
      </c>
      <c r="C1681" s="56" t="s">
        <v>3059</v>
      </c>
      <c r="D1681" s="73" t="str">
        <f>IFERROR(VLOOKUP(C1681,Stock,3,FALSE),"")</f>
        <v>Sealant Polyurethane XYG Tube</v>
      </c>
      <c r="E1681" s="56">
        <v>5.0</v>
      </c>
      <c r="F1681" s="161">
        <v>75000.0</v>
      </c>
      <c r="G1681" s="162">
        <f t="shared" si="33"/>
        <v>375000</v>
      </c>
      <c r="H1681" s="194"/>
      <c r="I1681" s="161">
        <f t="shared" si="35"/>
        <v>375000</v>
      </c>
      <c r="J1681" s="164">
        <f t="shared" si="30"/>
        <v>375000</v>
      </c>
      <c r="K1681" s="56" t="s">
        <v>5232</v>
      </c>
      <c r="L1681" s="165" t="s">
        <v>5233</v>
      </c>
      <c r="M1681" s="73"/>
      <c r="N1681" s="171"/>
      <c r="O1681" s="169" t="s">
        <v>5220</v>
      </c>
      <c r="P1681" s="168" t="s">
        <v>3112</v>
      </c>
      <c r="Q1681" s="173"/>
      <c r="R1681" s="167">
        <v>375000.0</v>
      </c>
      <c r="S1681" s="173"/>
      <c r="T1681" s="173"/>
      <c r="U1681" s="173"/>
      <c r="V1681" s="168" t="s">
        <v>3883</v>
      </c>
      <c r="W1681" s="169"/>
      <c r="X1681" s="171"/>
    </row>
    <row r="1682" ht="15.0" customHeight="1">
      <c r="A1682" s="127">
        <v>45724.0</v>
      </c>
      <c r="B1682" s="181" t="s">
        <v>7186</v>
      </c>
      <c r="C1682" s="56" t="s">
        <v>2934</v>
      </c>
      <c r="D1682" s="73" t="str">
        <f>IFERROR(VLOOKUP(C1682,Stock,3,FALSE),"")</f>
        <v>Peti Kayu</v>
      </c>
      <c r="E1682" s="56">
        <v>1.0</v>
      </c>
      <c r="F1682" s="161">
        <v>200000.0</v>
      </c>
      <c r="G1682" s="162">
        <f t="shared" si="33"/>
        <v>200000</v>
      </c>
      <c r="H1682" s="194"/>
      <c r="I1682" s="161">
        <f t="shared" si="35"/>
        <v>200000</v>
      </c>
      <c r="J1682" s="164">
        <f t="shared" si="30"/>
        <v>200000</v>
      </c>
      <c r="K1682" s="56" t="s">
        <v>5232</v>
      </c>
      <c r="L1682" s="165" t="s">
        <v>5233</v>
      </c>
      <c r="M1682" s="73"/>
      <c r="N1682" s="171"/>
      <c r="O1682" s="169" t="s">
        <v>5220</v>
      </c>
      <c r="P1682" s="168" t="s">
        <v>3112</v>
      </c>
      <c r="Q1682" s="173"/>
      <c r="R1682" s="167">
        <v>200000.0</v>
      </c>
      <c r="S1682" s="173"/>
      <c r="T1682" s="173"/>
      <c r="U1682" s="173"/>
      <c r="V1682" s="168" t="s">
        <v>3883</v>
      </c>
      <c r="W1682" s="169"/>
      <c r="X1682" s="171"/>
    </row>
    <row r="1683" ht="15.0" customHeight="1">
      <c r="A1683" s="127">
        <v>45724.0</v>
      </c>
      <c r="B1683" s="181" t="s">
        <v>7187</v>
      </c>
      <c r="C1683" s="56" t="s">
        <v>3817</v>
      </c>
      <c r="D1683" s="73" t="str">
        <f>IFERROR(VLOOKUP(C1683,Stock,3,FALSE),"")</f>
        <v>Suzuki APV 03- Pickup/ Van (MULIA)</v>
      </c>
      <c r="E1683" s="56">
        <v>1.0</v>
      </c>
      <c r="F1683" s="161">
        <v>1244000.0</v>
      </c>
      <c r="G1683" s="162">
        <f t="shared" si="33"/>
        <v>1244000</v>
      </c>
      <c r="H1683" s="194"/>
      <c r="I1683" s="161">
        <f t="shared" si="35"/>
        <v>1244000</v>
      </c>
      <c r="J1683" s="164">
        <f t="shared" si="30"/>
        <v>1244000</v>
      </c>
      <c r="K1683" s="56" t="s">
        <v>7188</v>
      </c>
      <c r="L1683" s="165" t="s">
        <v>3819</v>
      </c>
      <c r="M1683" s="73"/>
      <c r="N1683" s="171"/>
      <c r="O1683" s="169" t="s">
        <v>3500</v>
      </c>
      <c r="P1683" s="168" t="s">
        <v>3112</v>
      </c>
      <c r="Q1683" s="167">
        <v>1244000.0</v>
      </c>
      <c r="R1683" s="173"/>
      <c r="S1683" s="173"/>
      <c r="T1683" s="173"/>
      <c r="U1683" s="173"/>
      <c r="V1683" s="168" t="s">
        <v>3883</v>
      </c>
      <c r="W1683" s="169"/>
      <c r="X1683" s="171"/>
    </row>
    <row r="1684" ht="15.0" customHeight="1">
      <c r="A1684" s="127">
        <v>45724.0</v>
      </c>
      <c r="B1684" s="181" t="s">
        <v>7189</v>
      </c>
      <c r="C1684" s="56" t="s">
        <v>3083</v>
      </c>
      <c r="D1684" s="73" t="str">
        <f>IFERROR(VLOOKUP(C1684,Stock,3,FALSE),"")</f>
        <v>List Kaca Depan Code 04</v>
      </c>
      <c r="E1684" s="56">
        <v>1.0</v>
      </c>
      <c r="F1684" s="161">
        <v>275000.0</v>
      </c>
      <c r="G1684" s="162">
        <f t="shared" si="33"/>
        <v>275000</v>
      </c>
      <c r="H1684" s="194"/>
      <c r="I1684" s="161">
        <f t="shared" si="35"/>
        <v>275000</v>
      </c>
      <c r="J1684" s="164">
        <f t="shared" si="30"/>
        <v>275000</v>
      </c>
      <c r="K1684" s="56" t="s">
        <v>7188</v>
      </c>
      <c r="L1684" s="165" t="s">
        <v>3819</v>
      </c>
      <c r="M1684" s="73"/>
      <c r="N1684" s="171"/>
      <c r="O1684" s="169" t="s">
        <v>3500</v>
      </c>
      <c r="P1684" s="168" t="s">
        <v>3112</v>
      </c>
      <c r="Q1684" s="167">
        <v>275000.0</v>
      </c>
      <c r="R1684" s="173"/>
      <c r="S1684" s="173"/>
      <c r="T1684" s="173"/>
      <c r="U1684" s="173"/>
      <c r="V1684" s="168" t="s">
        <v>3883</v>
      </c>
      <c r="W1684" s="169"/>
      <c r="X1684" s="171"/>
    </row>
    <row r="1685" ht="15.0" customHeight="1">
      <c r="A1685" s="127">
        <v>45725.0</v>
      </c>
      <c r="B1685" s="181" t="s">
        <v>7190</v>
      </c>
      <c r="C1685" s="56" t="s">
        <v>2965</v>
      </c>
      <c r="D1685" s="73" t="str">
        <f>IFERROR(VLOOKUP(C1685,Stock,3,FALSE),"")</f>
        <v>Suzuki Ertiga 12-18 1st Gen MPV</v>
      </c>
      <c r="E1685" s="56">
        <v>1.0</v>
      </c>
      <c r="F1685" s="161">
        <v>950000.0</v>
      </c>
      <c r="G1685" s="162">
        <f t="shared" si="33"/>
        <v>950000</v>
      </c>
      <c r="H1685" s="201">
        <v>50000.0</v>
      </c>
      <c r="I1685" s="161">
        <f t="shared" si="35"/>
        <v>900000</v>
      </c>
      <c r="J1685" s="164">
        <f t="shared" si="30"/>
        <v>900000</v>
      </c>
      <c r="K1685" s="56" t="s">
        <v>7191</v>
      </c>
      <c r="L1685" s="165" t="s">
        <v>7192</v>
      </c>
      <c r="M1685" s="73"/>
      <c r="N1685" s="169" t="s">
        <v>7193</v>
      </c>
      <c r="O1685" s="169" t="s">
        <v>3213</v>
      </c>
      <c r="P1685" s="168" t="s">
        <v>3112</v>
      </c>
      <c r="Q1685" s="167">
        <v>900000.0</v>
      </c>
      <c r="R1685" s="173"/>
      <c r="S1685" s="173"/>
      <c r="T1685" s="173"/>
      <c r="U1685" s="173"/>
      <c r="V1685" s="168" t="s">
        <v>3883</v>
      </c>
      <c r="W1685" s="169"/>
      <c r="X1685" s="171"/>
    </row>
    <row r="1686" ht="15.0" customHeight="1">
      <c r="A1686" s="127">
        <v>45725.0</v>
      </c>
      <c r="B1686" s="181" t="s">
        <v>7194</v>
      </c>
      <c r="C1686" s="56" t="s">
        <v>3290</v>
      </c>
      <c r="D1686" s="73" t="str">
        <f>IFERROR(VLOOKUP(C1686,Stock,3,FALSE),"")</f>
        <v>Toyota Innova 04-15 1st Gen</v>
      </c>
      <c r="E1686" s="56">
        <v>1.0</v>
      </c>
      <c r="F1686" s="161">
        <v>1449000.0</v>
      </c>
      <c r="G1686" s="162">
        <f t="shared" si="33"/>
        <v>1449000</v>
      </c>
      <c r="H1686" s="194"/>
      <c r="I1686" s="161">
        <f t="shared" si="35"/>
        <v>1449000</v>
      </c>
      <c r="J1686" s="164">
        <f t="shared" si="30"/>
        <v>1449000</v>
      </c>
      <c r="K1686" s="56" t="s">
        <v>7195</v>
      </c>
      <c r="L1686" s="165" t="s">
        <v>7196</v>
      </c>
      <c r="M1686" s="73"/>
      <c r="N1686" s="171"/>
      <c r="O1686" s="169" t="s">
        <v>4072</v>
      </c>
      <c r="P1686" s="168" t="s">
        <v>3112</v>
      </c>
      <c r="Q1686" s="173"/>
      <c r="R1686" s="167">
        <v>1449000.0</v>
      </c>
      <c r="S1686" s="173"/>
      <c r="T1686" s="173"/>
      <c r="U1686" s="173"/>
      <c r="V1686" s="168" t="s">
        <v>3883</v>
      </c>
      <c r="W1686" s="169"/>
      <c r="X1686" s="171"/>
    </row>
    <row r="1687" ht="15.0" customHeight="1">
      <c r="A1687" s="127">
        <v>45726.0</v>
      </c>
      <c r="B1687" s="181" t="s">
        <v>7197</v>
      </c>
      <c r="C1687" s="56" t="s">
        <v>5241</v>
      </c>
      <c r="D1687" s="73" t="str">
        <f>IFERROR(VLOOKUP(C1687,Stock,3,FALSE),"")</f>
        <v>Honda Brio 18-</v>
      </c>
      <c r="E1687" s="56">
        <v>1.0</v>
      </c>
      <c r="F1687" s="161">
        <v>850000.0</v>
      </c>
      <c r="G1687" s="162">
        <f t="shared" si="33"/>
        <v>850000</v>
      </c>
      <c r="H1687" s="194"/>
      <c r="I1687" s="161">
        <f t="shared" si="35"/>
        <v>850000</v>
      </c>
      <c r="J1687" s="164">
        <f t="shared" si="30"/>
        <v>850000</v>
      </c>
      <c r="K1687" s="56" t="s">
        <v>7198</v>
      </c>
      <c r="L1687" s="165" t="s">
        <v>7199</v>
      </c>
      <c r="M1687" s="73"/>
      <c r="N1687" s="171"/>
      <c r="O1687" s="169" t="s">
        <v>2952</v>
      </c>
      <c r="P1687" s="168" t="s">
        <v>3112</v>
      </c>
      <c r="Q1687" s="173"/>
      <c r="R1687" s="167">
        <v>850000.0</v>
      </c>
      <c r="S1687" s="173"/>
      <c r="T1687" s="173"/>
      <c r="U1687" s="173"/>
      <c r="V1687" s="168" t="s">
        <v>3883</v>
      </c>
      <c r="W1687" s="169"/>
      <c r="X1687" s="171"/>
    </row>
    <row r="1688" ht="15.0" customHeight="1">
      <c r="A1688" s="127">
        <v>45726.0</v>
      </c>
      <c r="B1688" s="181" t="s">
        <v>7197</v>
      </c>
      <c r="C1688" s="56" t="s">
        <v>2934</v>
      </c>
      <c r="D1688" s="73" t="str">
        <f>IFERROR(VLOOKUP(C1688,Stock,3,FALSE),"")</f>
        <v>Peti Kayu</v>
      </c>
      <c r="E1688" s="56">
        <v>1.0</v>
      </c>
      <c r="F1688" s="161">
        <v>200000.0</v>
      </c>
      <c r="G1688" s="162">
        <f t="shared" si="33"/>
        <v>200000</v>
      </c>
      <c r="H1688" s="194"/>
      <c r="I1688" s="161">
        <f t="shared" si="35"/>
        <v>200000</v>
      </c>
      <c r="J1688" s="164">
        <f t="shared" si="30"/>
        <v>200000</v>
      </c>
      <c r="K1688" s="56" t="s">
        <v>7198</v>
      </c>
      <c r="L1688" s="165" t="s">
        <v>7199</v>
      </c>
      <c r="M1688" s="73"/>
      <c r="N1688" s="171"/>
      <c r="O1688" s="169" t="s">
        <v>2952</v>
      </c>
      <c r="P1688" s="168" t="s">
        <v>3112</v>
      </c>
      <c r="Q1688" s="173"/>
      <c r="R1688" s="167">
        <v>200000.0</v>
      </c>
      <c r="S1688" s="173"/>
      <c r="T1688" s="173"/>
      <c r="U1688" s="173"/>
      <c r="V1688" s="168" t="s">
        <v>3883</v>
      </c>
      <c r="W1688" s="169"/>
      <c r="X1688" s="171"/>
    </row>
    <row r="1689" ht="15.0" customHeight="1">
      <c r="A1689" s="127">
        <v>45726.0</v>
      </c>
      <c r="B1689" s="181" t="s">
        <v>7200</v>
      </c>
      <c r="C1689" s="56" t="s">
        <v>7201</v>
      </c>
      <c r="D1689" s="73" t="str">
        <f>IFERROR(VLOOKUP(C1689,Stock,3,FALSE),"")</f>
        <v>Mazda 6 12- GJ1/GL 3rd Gen</v>
      </c>
      <c r="E1689" s="56">
        <v>1.0</v>
      </c>
      <c r="F1689" s="161">
        <v>3914000.0</v>
      </c>
      <c r="G1689" s="162">
        <f t="shared" si="33"/>
        <v>3914000</v>
      </c>
      <c r="H1689" s="194"/>
      <c r="I1689" s="161">
        <f t="shared" si="35"/>
        <v>3914000</v>
      </c>
      <c r="J1689" s="164">
        <f t="shared" si="30"/>
        <v>3914000</v>
      </c>
      <c r="K1689" s="197" t="s">
        <v>5445</v>
      </c>
      <c r="L1689" s="165" t="s">
        <v>7202</v>
      </c>
      <c r="M1689" s="73"/>
      <c r="N1689" s="289" t="s">
        <v>7203</v>
      </c>
      <c r="O1689" s="169" t="s">
        <v>3204</v>
      </c>
      <c r="P1689" s="168" t="s">
        <v>3112</v>
      </c>
      <c r="Q1689" s="173"/>
      <c r="R1689" s="167">
        <v>3914000.0</v>
      </c>
      <c r="S1689" s="173"/>
      <c r="T1689" s="173"/>
      <c r="U1689" s="173"/>
      <c r="V1689" s="168" t="s">
        <v>3799</v>
      </c>
      <c r="W1689" s="169"/>
      <c r="X1689" s="171"/>
    </row>
    <row r="1690" ht="15.0" customHeight="1">
      <c r="A1690" s="127">
        <v>45726.0</v>
      </c>
      <c r="B1690" s="181" t="s">
        <v>7204</v>
      </c>
      <c r="C1690" s="56" t="s">
        <v>2643</v>
      </c>
      <c r="D1690" s="73" t="str">
        <f>IFERROR(VLOOKUP(C1690,Stock,3,FALSE),"")</f>
        <v>Toyota Vios 07-13 XP90 2nd Gen</v>
      </c>
      <c r="E1690" s="56">
        <v>1.0</v>
      </c>
      <c r="F1690" s="161">
        <v>1485000.0</v>
      </c>
      <c r="G1690" s="162">
        <f t="shared" si="33"/>
        <v>1485000</v>
      </c>
      <c r="H1690" s="194"/>
      <c r="I1690" s="161">
        <f t="shared" si="35"/>
        <v>1485000</v>
      </c>
      <c r="J1690" s="164">
        <f t="shared" si="30"/>
        <v>1485000</v>
      </c>
      <c r="K1690" s="131" t="s">
        <v>7205</v>
      </c>
      <c r="L1690" s="165" t="s">
        <v>7206</v>
      </c>
      <c r="M1690" s="73"/>
      <c r="N1690" s="169" t="s">
        <v>7207</v>
      </c>
      <c r="O1690" s="169" t="s">
        <v>2958</v>
      </c>
      <c r="P1690" s="168" t="s">
        <v>3112</v>
      </c>
      <c r="Q1690" s="173"/>
      <c r="R1690" s="167">
        <v>1485000.0</v>
      </c>
      <c r="S1690" s="173"/>
      <c r="T1690" s="173"/>
      <c r="U1690" s="173"/>
      <c r="V1690" s="168" t="s">
        <v>3883</v>
      </c>
      <c r="W1690" s="169"/>
      <c r="X1690" s="171"/>
    </row>
    <row r="1691" ht="15.0" customHeight="1">
      <c r="A1691" s="127">
        <v>45727.0</v>
      </c>
      <c r="B1691" s="181" t="s">
        <v>7208</v>
      </c>
      <c r="C1691" s="251" t="s">
        <v>2997</v>
      </c>
      <c r="D1691" s="73" t="str">
        <f>IFERROR(VLOOKUP(C1691,Stock,3,FALSE),"")</f>
        <v>Honda City 02-08 4th Gen Idsi GD8</v>
      </c>
      <c r="E1691" s="56">
        <v>1.0</v>
      </c>
      <c r="F1691" s="161">
        <v>1821000.0</v>
      </c>
      <c r="G1691" s="162">
        <f t="shared" si="33"/>
        <v>1821000</v>
      </c>
      <c r="H1691" s="194"/>
      <c r="I1691" s="161">
        <f t="shared" si="35"/>
        <v>1821000</v>
      </c>
      <c r="J1691" s="164">
        <f t="shared" si="30"/>
        <v>1821000</v>
      </c>
      <c r="K1691" s="197" t="s">
        <v>7209</v>
      </c>
      <c r="L1691" s="165" t="s">
        <v>7210</v>
      </c>
      <c r="M1691" s="73"/>
      <c r="N1691" s="171"/>
      <c r="O1691" s="169" t="s">
        <v>3891</v>
      </c>
      <c r="P1691" s="168" t="s">
        <v>2922</v>
      </c>
      <c r="Q1691" s="173"/>
      <c r="R1691" s="173"/>
      <c r="S1691" s="167">
        <v>1821000.0</v>
      </c>
      <c r="T1691" s="449">
        <v>167775.0</v>
      </c>
      <c r="U1691" s="173"/>
      <c r="V1691" s="168" t="s">
        <v>3799</v>
      </c>
      <c r="W1691" s="169"/>
      <c r="X1691" s="171"/>
    </row>
    <row r="1692" ht="15.0" customHeight="1">
      <c r="A1692" s="127">
        <v>45727.0</v>
      </c>
      <c r="B1692" s="181" t="s">
        <v>7208</v>
      </c>
      <c r="C1692" s="251" t="s">
        <v>3059</v>
      </c>
      <c r="D1692" s="73" t="str">
        <f>IFERROR(VLOOKUP(C1692,Stock,3,FALSE),"")</f>
        <v>Sealant Polyurethane XYG Tube</v>
      </c>
      <c r="E1692" s="56">
        <v>2.0</v>
      </c>
      <c r="F1692" s="161">
        <v>75000.0</v>
      </c>
      <c r="G1692" s="162">
        <f t="shared" si="33"/>
        <v>150000</v>
      </c>
      <c r="H1692" s="194"/>
      <c r="I1692" s="161">
        <f t="shared" si="35"/>
        <v>150000</v>
      </c>
      <c r="J1692" s="164">
        <f t="shared" si="30"/>
        <v>150000</v>
      </c>
      <c r="K1692" s="197" t="s">
        <v>7209</v>
      </c>
      <c r="L1692" s="165" t="s">
        <v>7210</v>
      </c>
      <c r="M1692" s="73"/>
      <c r="N1692" s="171"/>
      <c r="O1692" s="169" t="s">
        <v>3891</v>
      </c>
      <c r="P1692" s="168" t="s">
        <v>2922</v>
      </c>
      <c r="Q1692" s="173"/>
      <c r="R1692" s="173"/>
      <c r="S1692" s="167">
        <v>150000.0</v>
      </c>
      <c r="T1692" s="173"/>
      <c r="U1692" s="173"/>
      <c r="V1692" s="168" t="s">
        <v>3799</v>
      </c>
      <c r="W1692" s="169"/>
      <c r="X1692" s="171"/>
    </row>
    <row r="1693" ht="15.0" customHeight="1">
      <c r="A1693" s="127">
        <v>45727.0</v>
      </c>
      <c r="B1693" s="181" t="s">
        <v>7208</v>
      </c>
      <c r="C1693" s="181" t="s">
        <v>2934</v>
      </c>
      <c r="D1693" s="73" t="str">
        <f>IFERROR(VLOOKUP(C1693,Stock,3,FALSE),"")</f>
        <v>Peti Kayu</v>
      </c>
      <c r="E1693" s="56">
        <v>1.0</v>
      </c>
      <c r="F1693" s="161">
        <v>200000.0</v>
      </c>
      <c r="G1693" s="162">
        <f t="shared" si="33"/>
        <v>200000</v>
      </c>
      <c r="H1693" s="194"/>
      <c r="I1693" s="161">
        <f t="shared" si="35"/>
        <v>200000</v>
      </c>
      <c r="J1693" s="164">
        <f t="shared" si="30"/>
        <v>200000</v>
      </c>
      <c r="K1693" s="197" t="s">
        <v>7209</v>
      </c>
      <c r="L1693" s="165" t="s">
        <v>7210</v>
      </c>
      <c r="M1693" s="73"/>
      <c r="N1693" s="171"/>
      <c r="O1693" s="169" t="s">
        <v>3891</v>
      </c>
      <c r="P1693" s="168" t="s">
        <v>2922</v>
      </c>
      <c r="Q1693" s="173"/>
      <c r="R1693" s="173"/>
      <c r="S1693" s="167">
        <v>200000.0</v>
      </c>
      <c r="T1693" s="173"/>
      <c r="U1693" s="173"/>
      <c r="V1693" s="168" t="s">
        <v>3799</v>
      </c>
      <c r="W1693" s="169"/>
      <c r="X1693" s="171"/>
    </row>
    <row r="1694" ht="15.0" customHeight="1">
      <c r="A1694" s="127">
        <v>45727.0</v>
      </c>
      <c r="B1694" s="181" t="s">
        <v>7211</v>
      </c>
      <c r="C1694" s="56" t="s">
        <v>5365</v>
      </c>
      <c r="D1694" s="73" t="str">
        <f>IFERROR(VLOOKUP(C1694,Stock,3,FALSE),"")</f>
        <v>Nissan Livina  07-12 L10 (Tanpa Lubang) Nissan</v>
      </c>
      <c r="E1694" s="56">
        <v>1.0</v>
      </c>
      <c r="F1694" s="161">
        <v>1370000.0</v>
      </c>
      <c r="G1694" s="162">
        <f t="shared" si="33"/>
        <v>1370000</v>
      </c>
      <c r="H1694" s="194"/>
      <c r="I1694" s="161">
        <f t="shared" si="35"/>
        <v>1370000</v>
      </c>
      <c r="J1694" s="164">
        <f t="shared" si="30"/>
        <v>1370000</v>
      </c>
      <c r="K1694" s="197" t="s">
        <v>7212</v>
      </c>
      <c r="L1694" s="165" t="s">
        <v>7213</v>
      </c>
      <c r="M1694" s="73"/>
      <c r="N1694" s="171"/>
      <c r="O1694" s="169" t="s">
        <v>2958</v>
      </c>
      <c r="P1694" s="168" t="s">
        <v>3112</v>
      </c>
      <c r="Q1694" s="173"/>
      <c r="R1694" s="167">
        <v>1370000.0</v>
      </c>
      <c r="S1694" s="173"/>
      <c r="T1694" s="173"/>
      <c r="U1694" s="173"/>
      <c r="V1694" s="168" t="s">
        <v>3799</v>
      </c>
      <c r="W1694" s="169"/>
      <c r="X1694" s="171"/>
    </row>
    <row r="1695" ht="15.0" customHeight="1">
      <c r="A1695" s="127">
        <v>45727.0</v>
      </c>
      <c r="B1695" s="181" t="s">
        <v>7211</v>
      </c>
      <c r="C1695" s="56" t="s">
        <v>2954</v>
      </c>
      <c r="D1695" s="73" t="str">
        <f>IFERROR(VLOOKUP(C1695,Stock,3,FALSE),"")</f>
        <v>Transport</v>
      </c>
      <c r="E1695" s="56">
        <v>1.0</v>
      </c>
      <c r="F1695" s="161">
        <v>100000.0</v>
      </c>
      <c r="G1695" s="162">
        <f t="shared" si="33"/>
        <v>100000</v>
      </c>
      <c r="H1695" s="194"/>
      <c r="I1695" s="161">
        <f t="shared" si="35"/>
        <v>100000</v>
      </c>
      <c r="J1695" s="164">
        <f t="shared" si="30"/>
        <v>100000</v>
      </c>
      <c r="K1695" s="197" t="s">
        <v>7212</v>
      </c>
      <c r="L1695" s="165" t="s">
        <v>7213</v>
      </c>
      <c r="M1695" s="73"/>
      <c r="N1695" s="171"/>
      <c r="O1695" s="169" t="s">
        <v>2958</v>
      </c>
      <c r="P1695" s="168" t="s">
        <v>3112</v>
      </c>
      <c r="Q1695" s="173"/>
      <c r="R1695" s="167">
        <v>100000.0</v>
      </c>
      <c r="S1695" s="173"/>
      <c r="T1695" s="173"/>
      <c r="U1695" s="173"/>
      <c r="V1695" s="168" t="s">
        <v>3799</v>
      </c>
      <c r="W1695" s="169"/>
      <c r="X1695" s="171"/>
    </row>
    <row r="1696" ht="15.0" customHeight="1">
      <c r="A1696" s="127">
        <v>45727.0</v>
      </c>
      <c r="B1696" s="181" t="s">
        <v>7214</v>
      </c>
      <c r="C1696" s="56" t="s">
        <v>3290</v>
      </c>
      <c r="D1696" s="73" t="str">
        <f>IFERROR(VLOOKUP(C1696,Stock,3,FALSE),"")</f>
        <v>Toyota Innova 04-15 1st Gen</v>
      </c>
      <c r="E1696" s="56">
        <v>1.0</v>
      </c>
      <c r="F1696" s="161">
        <v>1449000.0</v>
      </c>
      <c r="G1696" s="162">
        <f t="shared" si="33"/>
        <v>1449000</v>
      </c>
      <c r="H1696" s="194"/>
      <c r="I1696" s="161">
        <f t="shared" si="35"/>
        <v>1449000</v>
      </c>
      <c r="J1696" s="164">
        <f t="shared" si="30"/>
        <v>1449000</v>
      </c>
      <c r="K1696" s="197" t="s">
        <v>7215</v>
      </c>
      <c r="L1696" s="165" t="s">
        <v>7216</v>
      </c>
      <c r="M1696" s="73"/>
      <c r="N1696" s="289" t="s">
        <v>7217</v>
      </c>
      <c r="O1696" s="169" t="s">
        <v>3204</v>
      </c>
      <c r="P1696" s="168" t="s">
        <v>4778</v>
      </c>
      <c r="Q1696" s="173"/>
      <c r="R1696" s="167">
        <v>1449000.0</v>
      </c>
      <c r="S1696" s="173"/>
      <c r="T1696" s="173"/>
      <c r="U1696" s="173"/>
      <c r="V1696" s="168" t="s">
        <v>3799</v>
      </c>
      <c r="W1696" s="169"/>
      <c r="X1696" s="171"/>
    </row>
    <row r="1697" ht="15.0" customHeight="1">
      <c r="A1697" s="127">
        <v>45728.0</v>
      </c>
      <c r="B1697" s="181" t="s">
        <v>7218</v>
      </c>
      <c r="C1697" s="56" t="s">
        <v>3817</v>
      </c>
      <c r="D1697" s="73" t="str">
        <f>IFERROR(VLOOKUP(C1697,Stock,3,FALSE),"")</f>
        <v>Suzuki APV 03- Pickup/ Van (MULIA)</v>
      </c>
      <c r="E1697" s="56">
        <v>1.0</v>
      </c>
      <c r="F1697" s="161">
        <v>1244000.0</v>
      </c>
      <c r="G1697" s="162">
        <f t="shared" si="33"/>
        <v>1244000</v>
      </c>
      <c r="H1697" s="194"/>
      <c r="I1697" s="161">
        <f t="shared" si="35"/>
        <v>1244000</v>
      </c>
      <c r="J1697" s="164">
        <f t="shared" si="30"/>
        <v>1244000</v>
      </c>
      <c r="K1697" s="56" t="s">
        <v>4086</v>
      </c>
      <c r="L1697" s="165" t="s">
        <v>7219</v>
      </c>
      <c r="M1697" s="73"/>
      <c r="N1697" s="169" t="s">
        <v>7220</v>
      </c>
      <c r="O1697" s="169" t="s">
        <v>2958</v>
      </c>
      <c r="P1697" s="168" t="s">
        <v>3645</v>
      </c>
      <c r="Q1697" s="167">
        <v>1244000.0</v>
      </c>
      <c r="R1697" s="173"/>
      <c r="S1697" s="173"/>
      <c r="T1697" s="173"/>
      <c r="U1697" s="173"/>
      <c r="V1697" s="168" t="s">
        <v>3883</v>
      </c>
      <c r="W1697" s="169"/>
      <c r="X1697" s="171"/>
    </row>
    <row r="1698" ht="15.0" customHeight="1">
      <c r="A1698" s="127">
        <v>45728.0</v>
      </c>
      <c r="B1698" s="181" t="s">
        <v>7221</v>
      </c>
      <c r="C1698" s="56" t="s">
        <v>7222</v>
      </c>
      <c r="D1698" s="73" t="str">
        <f>IFERROR(VLOOKUP(C1698,Stock,3,FALSE),"")</f>
        <v>Mazda 2 14- Skyactiv 4th Gen Hatchback</v>
      </c>
      <c r="E1698" s="56">
        <v>1.0</v>
      </c>
      <c r="F1698" s="161">
        <v>885000.0</v>
      </c>
      <c r="G1698" s="162">
        <f t="shared" si="33"/>
        <v>885000</v>
      </c>
      <c r="H1698" s="194"/>
      <c r="I1698" s="161">
        <f t="shared" si="35"/>
        <v>885000</v>
      </c>
      <c r="J1698" s="164">
        <f t="shared" si="30"/>
        <v>885000</v>
      </c>
      <c r="K1698" s="56" t="s">
        <v>7223</v>
      </c>
      <c r="L1698" s="165" t="s">
        <v>7224</v>
      </c>
      <c r="M1698" s="73"/>
      <c r="N1698" s="171"/>
      <c r="O1698" s="169" t="s">
        <v>2958</v>
      </c>
      <c r="P1698" s="168" t="s">
        <v>4281</v>
      </c>
      <c r="Q1698" s="173"/>
      <c r="R1698" s="167">
        <v>885000.0</v>
      </c>
      <c r="S1698" s="173"/>
      <c r="T1698" s="173"/>
      <c r="U1698" s="173"/>
      <c r="V1698" s="168" t="s">
        <v>3883</v>
      </c>
      <c r="W1698" s="169"/>
      <c r="X1698" s="171"/>
    </row>
    <row r="1699" ht="15.0" customHeight="1">
      <c r="A1699" s="127">
        <v>45728.0</v>
      </c>
      <c r="B1699" s="181" t="s">
        <v>7225</v>
      </c>
      <c r="C1699" s="56" t="s">
        <v>3391</v>
      </c>
      <c r="D1699" s="73" t="str">
        <f>IFERROR(VLOOKUP(C1699,Stock,3,FALSE),"")</f>
        <v>Toyota Fortuner 05-15 1st Gen</v>
      </c>
      <c r="E1699" s="56">
        <v>1.0</v>
      </c>
      <c r="F1699" s="161">
        <v>1442000.0</v>
      </c>
      <c r="G1699" s="162">
        <f t="shared" si="33"/>
        <v>1442000</v>
      </c>
      <c r="H1699" s="194"/>
      <c r="I1699" s="161">
        <f t="shared" si="35"/>
        <v>1442000</v>
      </c>
      <c r="J1699" s="164">
        <f t="shared" si="30"/>
        <v>1442000</v>
      </c>
      <c r="K1699" s="56" t="s">
        <v>4472</v>
      </c>
      <c r="L1699" s="165" t="s">
        <v>7226</v>
      </c>
      <c r="M1699" s="73"/>
      <c r="N1699" s="171"/>
      <c r="O1699" s="169" t="s">
        <v>2958</v>
      </c>
      <c r="P1699" s="168" t="s">
        <v>3112</v>
      </c>
      <c r="Q1699" s="173"/>
      <c r="R1699" s="167">
        <v>1442000.0</v>
      </c>
      <c r="S1699" s="173"/>
      <c r="T1699" s="173"/>
      <c r="U1699" s="173"/>
      <c r="V1699" s="168" t="s">
        <v>3883</v>
      </c>
      <c r="W1699" s="169"/>
      <c r="X1699" s="171"/>
    </row>
    <row r="1700" ht="15.0" customHeight="1">
      <c r="A1700" s="127">
        <v>45728.0</v>
      </c>
      <c r="B1700" s="181" t="s">
        <v>7227</v>
      </c>
      <c r="C1700" s="56" t="s">
        <v>7228</v>
      </c>
      <c r="D1700" s="73" t="str">
        <f>IFERROR(VLOOKUP(C1700,Stock,3,FALSE),"")</f>
        <v>Toyota Camry 02-06 ACV30 3rd Gen</v>
      </c>
      <c r="E1700" s="56">
        <v>1.0</v>
      </c>
      <c r="F1700" s="161">
        <v>2710000.0</v>
      </c>
      <c r="G1700" s="162">
        <f t="shared" si="33"/>
        <v>2710000</v>
      </c>
      <c r="H1700" s="194"/>
      <c r="I1700" s="161">
        <f t="shared" si="35"/>
        <v>2710000</v>
      </c>
      <c r="J1700" s="164">
        <f t="shared" si="30"/>
        <v>2710000</v>
      </c>
      <c r="K1700" s="56" t="s">
        <v>7229</v>
      </c>
      <c r="L1700" s="165" t="s">
        <v>7230</v>
      </c>
      <c r="M1700" s="73"/>
      <c r="N1700" s="171"/>
      <c r="O1700" s="169" t="s">
        <v>3204</v>
      </c>
      <c r="P1700" s="168" t="s">
        <v>3112</v>
      </c>
      <c r="Q1700" s="173"/>
      <c r="R1700" s="167">
        <v>2710000.0</v>
      </c>
      <c r="S1700" s="173"/>
      <c r="T1700" s="173"/>
      <c r="U1700" s="173"/>
      <c r="V1700" s="168" t="s">
        <v>3883</v>
      </c>
      <c r="W1700" s="169"/>
      <c r="X1700" s="171"/>
    </row>
    <row r="1701" ht="15.0" customHeight="1">
      <c r="A1701" s="127">
        <v>45728.0</v>
      </c>
      <c r="B1701" s="181" t="s">
        <v>7231</v>
      </c>
      <c r="C1701" s="56" t="s">
        <v>3542</v>
      </c>
      <c r="D1701" s="73" t="str">
        <f>IFERROR(VLOOKUP(C1701,Stock,3,FALSE),"")</f>
        <v>Daihatsu Gran Max</v>
      </c>
      <c r="E1701" s="56">
        <v>1.0</v>
      </c>
      <c r="F1701" s="161">
        <v>350000.0</v>
      </c>
      <c r="G1701" s="162">
        <f t="shared" si="33"/>
        <v>350000</v>
      </c>
      <c r="H1701" s="194"/>
      <c r="I1701" s="161">
        <f t="shared" si="35"/>
        <v>350000</v>
      </c>
      <c r="J1701" s="164">
        <f t="shared" si="30"/>
        <v>350000</v>
      </c>
      <c r="K1701" s="197" t="s">
        <v>7232</v>
      </c>
      <c r="L1701" s="165" t="s">
        <v>5771</v>
      </c>
      <c r="M1701" s="73"/>
      <c r="N1701" s="171"/>
      <c r="O1701" s="169" t="s">
        <v>2958</v>
      </c>
      <c r="P1701" s="168" t="s">
        <v>3112</v>
      </c>
      <c r="Q1701" s="173"/>
      <c r="R1701" s="167">
        <v>350000.0</v>
      </c>
      <c r="S1701" s="173"/>
      <c r="T1701" s="173"/>
      <c r="U1701" s="173"/>
      <c r="V1701" s="168" t="s">
        <v>3799</v>
      </c>
      <c r="W1701" s="169"/>
      <c r="X1701" s="171"/>
    </row>
    <row r="1702" ht="15.0" customHeight="1">
      <c r="A1702" s="127">
        <v>45728.0</v>
      </c>
      <c r="B1702" s="181" t="s">
        <v>7231</v>
      </c>
      <c r="C1702" s="56" t="s">
        <v>3541</v>
      </c>
      <c r="D1702" s="73" t="str">
        <f>IFERROR(VLOOKUP(C1702,Stock,3,FALSE),"")</f>
        <v>Daihatsu Gran Max</v>
      </c>
      <c r="E1702" s="56">
        <v>1.0</v>
      </c>
      <c r="F1702" s="161">
        <v>350000.0</v>
      </c>
      <c r="G1702" s="162">
        <f t="shared" si="33"/>
        <v>350000</v>
      </c>
      <c r="H1702" s="194"/>
      <c r="I1702" s="161">
        <f t="shared" si="35"/>
        <v>350000</v>
      </c>
      <c r="J1702" s="164">
        <f t="shared" si="30"/>
        <v>350000</v>
      </c>
      <c r="K1702" s="197" t="s">
        <v>7232</v>
      </c>
      <c r="L1702" s="165" t="s">
        <v>5771</v>
      </c>
      <c r="M1702" s="73"/>
      <c r="N1702" s="171"/>
      <c r="O1702" s="169" t="s">
        <v>2958</v>
      </c>
      <c r="P1702" s="168" t="s">
        <v>3112</v>
      </c>
      <c r="Q1702" s="173"/>
      <c r="R1702" s="167">
        <v>350000.0</v>
      </c>
      <c r="S1702" s="173"/>
      <c r="T1702" s="173"/>
      <c r="U1702" s="173"/>
      <c r="V1702" s="168" t="s">
        <v>3799</v>
      </c>
      <c r="W1702" s="169"/>
      <c r="X1702" s="171"/>
    </row>
    <row r="1703" ht="15.0" customHeight="1">
      <c r="A1703" s="127">
        <v>45728.0</v>
      </c>
      <c r="B1703" s="181" t="s">
        <v>7233</v>
      </c>
      <c r="C1703" s="56" t="s">
        <v>7234</v>
      </c>
      <c r="D1703" s="73" t="str">
        <f>IFERROR(VLOOKUP(C1703,Stock,3,FALSE),"")</f>
        <v>DFSK Supercab 20-</v>
      </c>
      <c r="E1703" s="56">
        <v>1.0</v>
      </c>
      <c r="F1703" s="161">
        <v>1600000.0</v>
      </c>
      <c r="G1703" s="162">
        <f t="shared" si="33"/>
        <v>1600000</v>
      </c>
      <c r="H1703" s="194"/>
      <c r="I1703" s="161">
        <f t="shared" si="35"/>
        <v>1600000</v>
      </c>
      <c r="J1703" s="164">
        <f t="shared" si="30"/>
        <v>1600000</v>
      </c>
      <c r="K1703" s="165" t="s">
        <v>7235</v>
      </c>
      <c r="L1703" s="165" t="s">
        <v>7236</v>
      </c>
      <c r="M1703" s="73"/>
      <c r="N1703" s="171"/>
      <c r="O1703" s="169" t="s">
        <v>2958</v>
      </c>
      <c r="P1703" s="168" t="s">
        <v>3112</v>
      </c>
      <c r="Q1703" s="173"/>
      <c r="R1703" s="167">
        <v>1600000.0</v>
      </c>
      <c r="S1703" s="173"/>
      <c r="T1703" s="173"/>
      <c r="U1703" s="173"/>
      <c r="V1703" s="168" t="s">
        <v>4262</v>
      </c>
      <c r="W1703" s="169"/>
      <c r="X1703" s="171"/>
    </row>
    <row r="1704" ht="15.0" customHeight="1">
      <c r="A1704" s="127">
        <v>45728.0</v>
      </c>
      <c r="B1704" s="181" t="s">
        <v>7237</v>
      </c>
      <c r="C1704" s="56" t="s">
        <v>3127</v>
      </c>
      <c r="D1704" s="73" t="str">
        <f>IFERROR(VLOOKUP(C1704,Stock,3,FALSE),"")</f>
        <v>Toyota Avanza / Xenia 03-11 1st Gen</v>
      </c>
      <c r="E1704" s="56">
        <v>1.0</v>
      </c>
      <c r="F1704" s="161">
        <v>650000.0</v>
      </c>
      <c r="G1704" s="162">
        <f t="shared" si="33"/>
        <v>650000</v>
      </c>
      <c r="H1704" s="194"/>
      <c r="I1704" s="161">
        <f t="shared" si="35"/>
        <v>650000</v>
      </c>
      <c r="J1704" s="164">
        <f t="shared" si="30"/>
        <v>650000</v>
      </c>
      <c r="K1704" s="56" t="s">
        <v>5232</v>
      </c>
      <c r="L1704" s="165" t="s">
        <v>5233</v>
      </c>
      <c r="M1704" s="73"/>
      <c r="N1704" s="171"/>
      <c r="O1704" s="169" t="s">
        <v>5220</v>
      </c>
      <c r="P1704" s="168" t="s">
        <v>3112</v>
      </c>
      <c r="Q1704" s="173"/>
      <c r="R1704" s="167">
        <v>650000.0</v>
      </c>
      <c r="S1704" s="173"/>
      <c r="T1704" s="173"/>
      <c r="U1704" s="173"/>
      <c r="V1704" s="168" t="s">
        <v>4262</v>
      </c>
      <c r="W1704" s="169"/>
      <c r="X1704" s="171"/>
    </row>
    <row r="1705" ht="15.0" customHeight="1">
      <c r="A1705" s="127">
        <v>45729.0</v>
      </c>
      <c r="B1705" s="181" t="s">
        <v>7238</v>
      </c>
      <c r="C1705" s="56" t="s">
        <v>3186</v>
      </c>
      <c r="D1705" s="73" t="str">
        <f>IFERROR(VLOOKUP(C1705,Stock,3,FALSE),"")</f>
        <v>Daihatsu Gran Max / Luxio 07-</v>
      </c>
      <c r="E1705" s="56">
        <v>1.0</v>
      </c>
      <c r="F1705" s="161">
        <v>1050000.0</v>
      </c>
      <c r="G1705" s="162">
        <f t="shared" si="33"/>
        <v>1050000</v>
      </c>
      <c r="H1705" s="194"/>
      <c r="I1705" s="161">
        <f t="shared" si="35"/>
        <v>1050000</v>
      </c>
      <c r="J1705" s="164">
        <f t="shared" si="30"/>
        <v>1050000</v>
      </c>
      <c r="K1705" s="56" t="s">
        <v>7239</v>
      </c>
      <c r="L1705" s="165" t="s">
        <v>7240</v>
      </c>
      <c r="M1705" s="73"/>
      <c r="N1705" s="169" t="s">
        <v>7241</v>
      </c>
      <c r="O1705" s="169" t="s">
        <v>2958</v>
      </c>
      <c r="P1705" s="168" t="s">
        <v>3112</v>
      </c>
      <c r="Q1705" s="167">
        <v>1050000.0</v>
      </c>
      <c r="R1705" s="173"/>
      <c r="S1705" s="173"/>
      <c r="T1705" s="173"/>
      <c r="U1705" s="173"/>
      <c r="V1705" s="168" t="s">
        <v>4262</v>
      </c>
      <c r="W1705" s="169"/>
      <c r="X1705" s="171"/>
    </row>
    <row r="1706" ht="15.0" customHeight="1">
      <c r="A1706" s="127">
        <v>45730.0</v>
      </c>
      <c r="B1706" s="181" t="s">
        <v>7242</v>
      </c>
      <c r="C1706" s="56" t="s">
        <v>2721</v>
      </c>
      <c r="D1706" s="73" t="str">
        <f>IFERROR(VLOOKUP(C1706,Stock,3,FALSE),"")</f>
        <v>Toyota Dyna/Hino Dutro 00-</v>
      </c>
      <c r="E1706" s="56">
        <v>1.0</v>
      </c>
      <c r="F1706" s="161">
        <v>1300000.0</v>
      </c>
      <c r="G1706" s="162">
        <f t="shared" si="33"/>
        <v>1300000</v>
      </c>
      <c r="H1706" s="194"/>
      <c r="I1706" s="161">
        <f t="shared" si="35"/>
        <v>1300000</v>
      </c>
      <c r="J1706" s="164">
        <f t="shared" si="30"/>
        <v>1300000</v>
      </c>
      <c r="K1706" s="56" t="s">
        <v>7243</v>
      </c>
      <c r="L1706" s="165" t="s">
        <v>7244</v>
      </c>
      <c r="M1706" s="73"/>
      <c r="N1706" s="169" t="s">
        <v>7245</v>
      </c>
      <c r="O1706" s="169" t="s">
        <v>2958</v>
      </c>
      <c r="P1706" s="168" t="s">
        <v>3645</v>
      </c>
      <c r="Q1706" s="167">
        <v>1300000.0</v>
      </c>
      <c r="R1706" s="173"/>
      <c r="S1706" s="173"/>
      <c r="T1706" s="173"/>
      <c r="U1706" s="173"/>
      <c r="V1706" s="168" t="s">
        <v>4262</v>
      </c>
      <c r="W1706" s="169"/>
      <c r="X1706" s="171"/>
    </row>
    <row r="1707" ht="15.0" customHeight="1">
      <c r="A1707" s="127">
        <v>45730.0</v>
      </c>
      <c r="B1707" s="181" t="s">
        <v>7246</v>
      </c>
      <c r="C1707" s="251" t="s">
        <v>2562</v>
      </c>
      <c r="D1707" s="73" t="str">
        <f>IFERROR(VLOOKUP(C1707,Stock,3,FALSE),"")</f>
        <v>Toyota Avanza / Xenia 15-21 3rd Gen</v>
      </c>
      <c r="E1707" s="56">
        <v>1.0</v>
      </c>
      <c r="F1707" s="161">
        <v>908000.0</v>
      </c>
      <c r="G1707" s="162">
        <f t="shared" si="33"/>
        <v>908000</v>
      </c>
      <c r="H1707" s="194"/>
      <c r="I1707" s="161">
        <f t="shared" si="35"/>
        <v>908000</v>
      </c>
      <c r="J1707" s="164">
        <f t="shared" si="30"/>
        <v>908000</v>
      </c>
      <c r="K1707" s="56" t="s">
        <v>7247</v>
      </c>
      <c r="L1707" s="165" t="s">
        <v>7248</v>
      </c>
      <c r="M1707" s="73"/>
      <c r="N1707" s="171"/>
      <c r="O1707" s="169" t="s">
        <v>2958</v>
      </c>
      <c r="P1707" s="168" t="s">
        <v>2922</v>
      </c>
      <c r="Q1707" s="173"/>
      <c r="R1707" s="173"/>
      <c r="S1707" s="167">
        <v>908000.0</v>
      </c>
      <c r="T1707" s="167">
        <v>68100.0</v>
      </c>
      <c r="U1707" s="173"/>
      <c r="V1707" s="168" t="s">
        <v>4262</v>
      </c>
      <c r="W1707" s="169"/>
      <c r="X1707" s="171"/>
    </row>
    <row r="1708" ht="15.0" customHeight="1">
      <c r="A1708" s="127">
        <v>45730.0</v>
      </c>
      <c r="B1708" s="181" t="s">
        <v>7246</v>
      </c>
      <c r="C1708" s="251" t="s">
        <v>3045</v>
      </c>
      <c r="D1708" s="73" t="str">
        <f>IFERROR(VLOOKUP(C1708,Stock,3,FALSE),"")</f>
        <v>Pemasangan Kaca Mobil Depan</v>
      </c>
      <c r="E1708" s="56">
        <v>1.0</v>
      </c>
      <c r="F1708" s="161">
        <v>250000.0</v>
      </c>
      <c r="G1708" s="162">
        <f t="shared" si="33"/>
        <v>250000</v>
      </c>
      <c r="H1708" s="194"/>
      <c r="I1708" s="161">
        <f t="shared" si="35"/>
        <v>250000</v>
      </c>
      <c r="J1708" s="164">
        <f t="shared" si="30"/>
        <v>250000</v>
      </c>
      <c r="K1708" s="56" t="s">
        <v>7247</v>
      </c>
      <c r="L1708" s="165" t="s">
        <v>7249</v>
      </c>
      <c r="M1708" s="73"/>
      <c r="N1708" s="171"/>
      <c r="O1708" s="169" t="s">
        <v>2958</v>
      </c>
      <c r="P1708" s="168" t="s">
        <v>2922</v>
      </c>
      <c r="Q1708" s="167">
        <v>250000.0</v>
      </c>
      <c r="R1708" s="173"/>
      <c r="S1708" s="173"/>
      <c r="T1708" s="173"/>
      <c r="U1708" s="173"/>
      <c r="V1708" s="168" t="s">
        <v>4262</v>
      </c>
      <c r="W1708" s="169"/>
      <c r="X1708" s="171"/>
    </row>
    <row r="1709" ht="15.0" customHeight="1">
      <c r="A1709" s="127">
        <v>45730.0</v>
      </c>
      <c r="B1709" s="181" t="s">
        <v>7250</v>
      </c>
      <c r="C1709" s="56" t="s">
        <v>6145</v>
      </c>
      <c r="D1709" s="73" t="str">
        <f>IFERROR(VLOOKUP(C1709,Stock,3,FALSE),"")</f>
        <v>BMW 3 Series 98-06 E46</v>
      </c>
      <c r="E1709" s="56">
        <v>1.0</v>
      </c>
      <c r="F1709" s="161">
        <v>2155000.0</v>
      </c>
      <c r="G1709" s="162">
        <f t="shared" si="33"/>
        <v>2155000</v>
      </c>
      <c r="H1709" s="194"/>
      <c r="I1709" s="161">
        <f t="shared" si="35"/>
        <v>2155000</v>
      </c>
      <c r="J1709" s="164">
        <f t="shared" si="30"/>
        <v>2155000</v>
      </c>
      <c r="K1709" s="228" t="s">
        <v>7251</v>
      </c>
      <c r="L1709" s="165" t="s">
        <v>7252</v>
      </c>
      <c r="M1709" s="73"/>
      <c r="N1709" s="171"/>
      <c r="O1709" s="169" t="s">
        <v>2958</v>
      </c>
      <c r="P1709" s="168" t="s">
        <v>3112</v>
      </c>
      <c r="Q1709" s="173"/>
      <c r="R1709" s="167">
        <v>471000.0</v>
      </c>
      <c r="S1709" s="173"/>
      <c r="T1709" s="173"/>
      <c r="U1709" s="173"/>
      <c r="V1709" s="168" t="s">
        <v>3799</v>
      </c>
      <c r="W1709" s="169"/>
      <c r="X1709" s="171"/>
    </row>
    <row r="1710" ht="15.0" customHeight="1">
      <c r="A1710" s="127">
        <v>45730.0</v>
      </c>
      <c r="B1710" s="181" t="s">
        <v>7250</v>
      </c>
      <c r="C1710" s="56" t="s">
        <v>2934</v>
      </c>
      <c r="D1710" s="73" t="str">
        <f>IFERROR(VLOOKUP(C1710,Stock,3,FALSE),"")</f>
        <v>Peti Kayu</v>
      </c>
      <c r="E1710" s="56">
        <v>1.0</v>
      </c>
      <c r="F1710" s="161">
        <v>200000.0</v>
      </c>
      <c r="G1710" s="162">
        <f t="shared" si="33"/>
        <v>200000</v>
      </c>
      <c r="H1710" s="194"/>
      <c r="I1710" s="161">
        <f t="shared" si="35"/>
        <v>200000</v>
      </c>
      <c r="J1710" s="164">
        <f t="shared" si="30"/>
        <v>200000</v>
      </c>
      <c r="K1710" s="228" t="s">
        <v>7251</v>
      </c>
      <c r="L1710" s="165" t="s">
        <v>7252</v>
      </c>
      <c r="M1710" s="73"/>
      <c r="N1710" s="171"/>
      <c r="O1710" s="169" t="s">
        <v>2958</v>
      </c>
      <c r="P1710" s="168" t="s">
        <v>3112</v>
      </c>
      <c r="Q1710" s="173"/>
      <c r="R1710" s="173"/>
      <c r="S1710" s="173"/>
      <c r="T1710" s="173"/>
      <c r="U1710" s="173"/>
      <c r="V1710" s="168" t="s">
        <v>3799</v>
      </c>
      <c r="W1710" s="169"/>
      <c r="X1710" s="171"/>
    </row>
    <row r="1711" ht="15.0" customHeight="1">
      <c r="A1711" s="127">
        <v>45731.0</v>
      </c>
      <c r="B1711" s="181" t="s">
        <v>7253</v>
      </c>
      <c r="C1711" s="56" t="s">
        <v>4613</v>
      </c>
      <c r="D1711" s="73" t="str">
        <f>IFERROR(VLOOKUP(C1711,Stock,3,FALSE),"")</f>
        <v>Honda Freed 08-16 1st gen</v>
      </c>
      <c r="E1711" s="56">
        <v>1.0</v>
      </c>
      <c r="F1711" s="161">
        <v>1296000.0</v>
      </c>
      <c r="G1711" s="162">
        <f t="shared" si="33"/>
        <v>1296000</v>
      </c>
      <c r="H1711" s="194"/>
      <c r="I1711" s="161">
        <f t="shared" si="35"/>
        <v>1296000</v>
      </c>
      <c r="J1711" s="164">
        <f t="shared" si="30"/>
        <v>1296000</v>
      </c>
      <c r="K1711" s="307" t="s">
        <v>7254</v>
      </c>
      <c r="L1711" s="165" t="s">
        <v>7255</v>
      </c>
      <c r="M1711" s="73"/>
      <c r="N1711" s="171"/>
      <c r="O1711" s="169" t="s">
        <v>2958</v>
      </c>
      <c r="P1711" s="168" t="s">
        <v>3112</v>
      </c>
      <c r="Q1711" s="173"/>
      <c r="R1711" s="167">
        <v>1296000.0</v>
      </c>
      <c r="S1711" s="173"/>
      <c r="T1711" s="173"/>
      <c r="U1711" s="173"/>
      <c r="V1711" s="168" t="s">
        <v>4262</v>
      </c>
      <c r="W1711" s="169"/>
      <c r="X1711" s="171"/>
    </row>
    <row r="1712" ht="15.0" customHeight="1">
      <c r="A1712" s="127">
        <v>45731.0</v>
      </c>
      <c r="B1712" s="181" t="s">
        <v>7253</v>
      </c>
      <c r="C1712" s="56" t="s">
        <v>2934</v>
      </c>
      <c r="D1712" s="73" t="str">
        <f>IFERROR(VLOOKUP(C1712,Stock,3,FALSE),"")</f>
        <v>Peti Kayu</v>
      </c>
      <c r="E1712" s="56">
        <v>1.0</v>
      </c>
      <c r="F1712" s="161">
        <v>200000.0</v>
      </c>
      <c r="G1712" s="162">
        <f t="shared" si="33"/>
        <v>200000</v>
      </c>
      <c r="H1712" s="194"/>
      <c r="I1712" s="161">
        <f t="shared" si="35"/>
        <v>200000</v>
      </c>
      <c r="J1712" s="164">
        <f t="shared" si="30"/>
        <v>200000</v>
      </c>
      <c r="K1712" s="307" t="s">
        <v>7254</v>
      </c>
      <c r="L1712" s="165" t="s">
        <v>7255</v>
      </c>
      <c r="M1712" s="73"/>
      <c r="N1712" s="171"/>
      <c r="O1712" s="169" t="s">
        <v>2958</v>
      </c>
      <c r="P1712" s="168" t="s">
        <v>3112</v>
      </c>
      <c r="Q1712" s="173"/>
      <c r="R1712" s="167">
        <v>200000.0</v>
      </c>
      <c r="S1712" s="173"/>
      <c r="T1712" s="173"/>
      <c r="U1712" s="173"/>
      <c r="V1712" s="168" t="s">
        <v>4262</v>
      </c>
      <c r="W1712" s="169"/>
      <c r="X1712" s="171"/>
    </row>
    <row r="1713" ht="15.0" customHeight="1">
      <c r="A1713" s="127">
        <v>45731.0</v>
      </c>
      <c r="B1713" s="181" t="s">
        <v>7253</v>
      </c>
      <c r="C1713" s="56" t="s">
        <v>2954</v>
      </c>
      <c r="D1713" s="73" t="str">
        <f>IFERROR(VLOOKUP(C1713,Stock,3,FALSE),"")</f>
        <v>Transport</v>
      </c>
      <c r="E1713" s="56">
        <v>1.0</v>
      </c>
      <c r="F1713" s="161">
        <v>50000.0</v>
      </c>
      <c r="G1713" s="162">
        <f t="shared" si="33"/>
        <v>50000</v>
      </c>
      <c r="H1713" s="194"/>
      <c r="I1713" s="161">
        <f t="shared" si="35"/>
        <v>50000</v>
      </c>
      <c r="J1713" s="164">
        <f t="shared" si="30"/>
        <v>50000</v>
      </c>
      <c r="K1713" s="307" t="s">
        <v>7254</v>
      </c>
      <c r="L1713" s="165" t="s">
        <v>7255</v>
      </c>
      <c r="M1713" s="73"/>
      <c r="N1713" s="171"/>
      <c r="O1713" s="169" t="s">
        <v>2958</v>
      </c>
      <c r="P1713" s="168" t="s">
        <v>3112</v>
      </c>
      <c r="Q1713" s="173"/>
      <c r="R1713" s="167">
        <v>50000.0</v>
      </c>
      <c r="S1713" s="173"/>
      <c r="T1713" s="173"/>
      <c r="U1713" s="173"/>
      <c r="V1713" s="168" t="s">
        <v>4262</v>
      </c>
      <c r="W1713" s="169"/>
      <c r="X1713" s="171"/>
    </row>
    <row r="1714" ht="15.0" customHeight="1">
      <c r="A1714" s="127">
        <v>45731.0</v>
      </c>
      <c r="B1714" s="181" t="s">
        <v>7256</v>
      </c>
      <c r="C1714" s="56" t="s">
        <v>2734</v>
      </c>
      <c r="D1714" s="73" t="str">
        <f>IFERROR(VLOOKUP(C1714,Stock,3,FALSE),"")</f>
        <v>Honda Jazz 07-13 2nd Gen</v>
      </c>
      <c r="E1714" s="56">
        <v>1.0</v>
      </c>
      <c r="F1714" s="161">
        <v>1818000.0</v>
      </c>
      <c r="G1714" s="162">
        <f t="shared" si="33"/>
        <v>1818000</v>
      </c>
      <c r="H1714" s="194"/>
      <c r="I1714" s="161">
        <f t="shared" si="35"/>
        <v>1818000</v>
      </c>
      <c r="J1714" s="164">
        <f t="shared" si="30"/>
        <v>1818000</v>
      </c>
      <c r="K1714" s="56" t="s">
        <v>4472</v>
      </c>
      <c r="L1714" s="165" t="s">
        <v>7257</v>
      </c>
      <c r="M1714" s="73"/>
      <c r="N1714" s="171"/>
      <c r="O1714" s="169" t="s">
        <v>2958</v>
      </c>
      <c r="P1714" s="168" t="s">
        <v>3112</v>
      </c>
      <c r="Q1714" s="173"/>
      <c r="R1714" s="167">
        <v>1818000.0</v>
      </c>
      <c r="S1714" s="173"/>
      <c r="T1714" s="173"/>
      <c r="U1714" s="173"/>
      <c r="V1714" s="168" t="s">
        <v>4262</v>
      </c>
      <c r="W1714" s="169"/>
      <c r="X1714" s="171"/>
    </row>
    <row r="1715" ht="15.0" customHeight="1">
      <c r="A1715" s="127">
        <v>45731.0</v>
      </c>
      <c r="B1715" s="181" t="s">
        <v>7258</v>
      </c>
      <c r="C1715" s="56" t="s">
        <v>3837</v>
      </c>
      <c r="D1715" s="73" t="str">
        <f>IFERROR(VLOOKUP(C1715,Stock,3,FALSE),"")</f>
        <v>Toyota Yaris 13- 2nd Gen / Vios 14- 3rd Gen</v>
      </c>
      <c r="E1715" s="56">
        <v>1.0</v>
      </c>
      <c r="F1715" s="161">
        <v>1700000.0</v>
      </c>
      <c r="G1715" s="162">
        <f t="shared" si="33"/>
        <v>1700000</v>
      </c>
      <c r="H1715" s="194"/>
      <c r="I1715" s="161">
        <f t="shared" si="35"/>
        <v>1700000</v>
      </c>
      <c r="J1715" s="164">
        <f t="shared" si="30"/>
        <v>1700000</v>
      </c>
      <c r="K1715" s="56" t="s">
        <v>7259</v>
      </c>
      <c r="L1715" s="165" t="s">
        <v>7260</v>
      </c>
      <c r="M1715" s="73"/>
      <c r="N1715" s="169" t="s">
        <v>7261</v>
      </c>
      <c r="O1715" s="169" t="s">
        <v>2958</v>
      </c>
      <c r="P1715" s="168" t="s">
        <v>6113</v>
      </c>
      <c r="Q1715" s="173"/>
      <c r="R1715" s="167">
        <v>1700000.0</v>
      </c>
      <c r="S1715" s="173"/>
      <c r="T1715" s="173"/>
      <c r="U1715" s="173"/>
      <c r="V1715" s="168" t="s">
        <v>4262</v>
      </c>
      <c r="W1715" s="169"/>
      <c r="X1715" s="171"/>
    </row>
    <row r="1716" ht="15.0" customHeight="1">
      <c r="A1716" s="127">
        <v>45731.0</v>
      </c>
      <c r="B1716" s="181" t="s">
        <v>7262</v>
      </c>
      <c r="C1716" s="56" t="s">
        <v>3085</v>
      </c>
      <c r="D1716" s="73" t="str">
        <f>IFERROR(VLOOKUP(C1716,Stock,3,FALSE),"")</f>
        <v>Honda Jazz 07-13 2nd Gen</v>
      </c>
      <c r="E1716" s="56">
        <v>1.0</v>
      </c>
      <c r="F1716" s="161">
        <v>1300000.0</v>
      </c>
      <c r="G1716" s="162">
        <f t="shared" si="33"/>
        <v>1300000</v>
      </c>
      <c r="H1716" s="194"/>
      <c r="I1716" s="161">
        <f t="shared" si="35"/>
        <v>1300000</v>
      </c>
      <c r="J1716" s="164">
        <f t="shared" si="30"/>
        <v>1300000</v>
      </c>
      <c r="K1716" s="56" t="s">
        <v>7263</v>
      </c>
      <c r="L1716" s="165" t="s">
        <v>7264</v>
      </c>
      <c r="M1716" s="73"/>
      <c r="N1716" s="169" t="s">
        <v>7265</v>
      </c>
      <c r="O1716" s="169" t="s">
        <v>2958</v>
      </c>
      <c r="P1716" s="168" t="s">
        <v>3112</v>
      </c>
      <c r="Q1716" s="173"/>
      <c r="R1716" s="167">
        <v>1300000.0</v>
      </c>
      <c r="S1716" s="173"/>
      <c r="T1716" s="173"/>
      <c r="U1716" s="173"/>
      <c r="V1716" s="168" t="s">
        <v>4262</v>
      </c>
      <c r="W1716" s="169"/>
      <c r="X1716" s="171"/>
    </row>
    <row r="1717" ht="15.0" customHeight="1">
      <c r="A1717" s="127">
        <v>45731.0</v>
      </c>
      <c r="B1717" s="181" t="s">
        <v>7266</v>
      </c>
      <c r="C1717" s="56" t="s">
        <v>2549</v>
      </c>
      <c r="D1717" s="73" t="str">
        <f>IFERROR(VLOOKUP(C1717,Stock,3,FALSE),"")</f>
        <v>Toyota Avanza / Xenia 11-15 2nd Gen</v>
      </c>
      <c r="E1717" s="56">
        <v>1.0</v>
      </c>
      <c r="F1717" s="161">
        <v>1020000.0</v>
      </c>
      <c r="G1717" s="162">
        <f t="shared" si="33"/>
        <v>1020000</v>
      </c>
      <c r="H1717" s="194"/>
      <c r="I1717" s="161">
        <f t="shared" si="35"/>
        <v>1020000</v>
      </c>
      <c r="J1717" s="164">
        <f t="shared" si="30"/>
        <v>1020000</v>
      </c>
      <c r="K1717" s="131" t="s">
        <v>7267</v>
      </c>
      <c r="L1717" s="165" t="s">
        <v>7268</v>
      </c>
      <c r="M1717" s="73"/>
      <c r="N1717" s="169" t="s">
        <v>7269</v>
      </c>
      <c r="O1717" s="169" t="s">
        <v>2958</v>
      </c>
      <c r="P1717" s="168" t="s">
        <v>3112</v>
      </c>
      <c r="Q1717" s="167">
        <v>1020000.0</v>
      </c>
      <c r="R1717" s="173"/>
      <c r="S1717" s="173"/>
      <c r="T1717" s="173"/>
      <c r="U1717" s="173"/>
      <c r="V1717" s="168" t="s">
        <v>4262</v>
      </c>
      <c r="W1717" s="169"/>
      <c r="X1717" s="171"/>
    </row>
    <row r="1718" ht="15.0" customHeight="1">
      <c r="A1718" s="127">
        <v>45731.0</v>
      </c>
      <c r="B1718" s="181" t="s">
        <v>7270</v>
      </c>
      <c r="C1718" s="56" t="s">
        <v>2965</v>
      </c>
      <c r="D1718" s="73" t="str">
        <f>IFERROR(VLOOKUP(C1718,Stock,3,FALSE),"")</f>
        <v>Suzuki Ertiga 12-18 1st Gen MPV</v>
      </c>
      <c r="E1718" s="56">
        <v>1.0</v>
      </c>
      <c r="F1718" s="161">
        <v>700000.0</v>
      </c>
      <c r="G1718" s="162">
        <f t="shared" si="33"/>
        <v>700000</v>
      </c>
      <c r="H1718" s="194"/>
      <c r="I1718" s="161">
        <f t="shared" si="35"/>
        <v>700000</v>
      </c>
      <c r="J1718" s="164">
        <f t="shared" si="30"/>
        <v>700000</v>
      </c>
      <c r="K1718" s="197" t="s">
        <v>4225</v>
      </c>
      <c r="L1718" s="165" t="s">
        <v>7271</v>
      </c>
      <c r="M1718" s="73"/>
      <c r="N1718" s="171"/>
      <c r="O1718" s="169" t="s">
        <v>3213</v>
      </c>
      <c r="P1718" s="168" t="s">
        <v>3112</v>
      </c>
      <c r="Q1718" s="173"/>
      <c r="R1718" s="167">
        <v>700000.0</v>
      </c>
      <c r="S1718" s="173"/>
      <c r="T1718" s="173"/>
      <c r="U1718" s="173"/>
      <c r="V1718" s="168" t="s">
        <v>3799</v>
      </c>
      <c r="W1718" s="169"/>
      <c r="X1718" s="171"/>
    </row>
    <row r="1719" ht="15.0" customHeight="1">
      <c r="A1719" s="127">
        <v>45731.0</v>
      </c>
      <c r="B1719" s="181" t="s">
        <v>7270</v>
      </c>
      <c r="C1719" s="56" t="s">
        <v>3059</v>
      </c>
      <c r="D1719" s="73" t="str">
        <f>IFERROR(VLOOKUP(C1719,Stock,3,FALSE),"")</f>
        <v>Sealant Polyurethane XYG Tube</v>
      </c>
      <c r="E1719" s="56">
        <v>2.0</v>
      </c>
      <c r="F1719" s="161">
        <v>75000.0</v>
      </c>
      <c r="G1719" s="162">
        <f t="shared" si="33"/>
        <v>150000</v>
      </c>
      <c r="H1719" s="194"/>
      <c r="I1719" s="161">
        <f t="shared" si="35"/>
        <v>150000</v>
      </c>
      <c r="J1719" s="164">
        <f t="shared" si="30"/>
        <v>150000</v>
      </c>
      <c r="K1719" s="197" t="s">
        <v>4225</v>
      </c>
      <c r="L1719" s="165" t="s">
        <v>7271</v>
      </c>
      <c r="M1719" s="73"/>
      <c r="N1719" s="171"/>
      <c r="O1719" s="169" t="s">
        <v>3213</v>
      </c>
      <c r="P1719" s="168" t="s">
        <v>3112</v>
      </c>
      <c r="Q1719" s="173"/>
      <c r="R1719" s="167">
        <v>150000.0</v>
      </c>
      <c r="S1719" s="173"/>
      <c r="T1719" s="173"/>
      <c r="U1719" s="173"/>
      <c r="V1719" s="168" t="s">
        <v>3799</v>
      </c>
      <c r="W1719" s="169"/>
      <c r="X1719" s="171"/>
    </row>
    <row r="1720" ht="15.0" customHeight="1">
      <c r="A1720" s="127">
        <v>45731.0</v>
      </c>
      <c r="B1720" s="181" t="s">
        <v>7270</v>
      </c>
      <c r="C1720" s="56" t="s">
        <v>2934</v>
      </c>
      <c r="D1720" s="73" t="str">
        <f>IFERROR(VLOOKUP(C1720,Stock,3,FALSE),"")</f>
        <v>Peti Kayu</v>
      </c>
      <c r="E1720" s="56">
        <v>1.0</v>
      </c>
      <c r="F1720" s="161">
        <v>200000.0</v>
      </c>
      <c r="G1720" s="162">
        <f t="shared" si="33"/>
        <v>200000</v>
      </c>
      <c r="H1720" s="194"/>
      <c r="I1720" s="161">
        <f t="shared" si="35"/>
        <v>200000</v>
      </c>
      <c r="J1720" s="164">
        <f t="shared" si="30"/>
        <v>200000</v>
      </c>
      <c r="K1720" s="197" t="s">
        <v>4225</v>
      </c>
      <c r="L1720" s="165" t="s">
        <v>7271</v>
      </c>
      <c r="M1720" s="73"/>
      <c r="N1720" s="171"/>
      <c r="O1720" s="169" t="s">
        <v>3213</v>
      </c>
      <c r="P1720" s="168" t="s">
        <v>3112</v>
      </c>
      <c r="Q1720" s="173"/>
      <c r="R1720" s="167">
        <v>200000.0</v>
      </c>
      <c r="S1720" s="173"/>
      <c r="T1720" s="173"/>
      <c r="U1720" s="173"/>
      <c r="V1720" s="168" t="s">
        <v>3799</v>
      </c>
      <c r="W1720" s="169"/>
      <c r="X1720" s="171"/>
    </row>
    <row r="1721" ht="15.0" customHeight="1">
      <c r="A1721" s="127">
        <v>45731.0</v>
      </c>
      <c r="B1721" s="181" t="s">
        <v>7270</v>
      </c>
      <c r="C1721" s="56" t="s">
        <v>2954</v>
      </c>
      <c r="D1721" s="73" t="str">
        <f>IFERROR(VLOOKUP(C1721,Stock,3,FALSE),"")</f>
        <v>Transport</v>
      </c>
      <c r="E1721" s="56">
        <v>1.0</v>
      </c>
      <c r="F1721" s="161">
        <v>50000.0</v>
      </c>
      <c r="G1721" s="162">
        <f t="shared" si="33"/>
        <v>50000</v>
      </c>
      <c r="H1721" s="194"/>
      <c r="I1721" s="161">
        <f t="shared" si="35"/>
        <v>50000</v>
      </c>
      <c r="J1721" s="164">
        <f t="shared" si="30"/>
        <v>50000</v>
      </c>
      <c r="K1721" s="197" t="s">
        <v>4225</v>
      </c>
      <c r="L1721" s="165" t="s">
        <v>7271</v>
      </c>
      <c r="M1721" s="73"/>
      <c r="N1721" s="171"/>
      <c r="O1721" s="169" t="s">
        <v>3213</v>
      </c>
      <c r="P1721" s="168" t="s">
        <v>3112</v>
      </c>
      <c r="Q1721" s="173"/>
      <c r="R1721" s="167">
        <v>50000.0</v>
      </c>
      <c r="S1721" s="173"/>
      <c r="T1721" s="173"/>
      <c r="U1721" s="173"/>
      <c r="V1721" s="168" t="s">
        <v>4262</v>
      </c>
      <c r="W1721" s="169"/>
      <c r="X1721" s="171"/>
    </row>
    <row r="1722" ht="15.0" customHeight="1">
      <c r="A1722" s="127">
        <v>45731.0</v>
      </c>
      <c r="B1722" s="181" t="s">
        <v>7272</v>
      </c>
      <c r="C1722" s="56" t="s">
        <v>2692</v>
      </c>
      <c r="D1722" s="73" t="str">
        <f>IFERROR(VLOOKUP(C1722,Stock,3,FALSE),"")</f>
        <v>Suzuki Ertiga 18- 2nd Gen / XL7</v>
      </c>
      <c r="E1722" s="56">
        <v>1.0</v>
      </c>
      <c r="F1722" s="161">
        <v>1554000.0</v>
      </c>
      <c r="G1722" s="162">
        <f t="shared" si="33"/>
        <v>1554000</v>
      </c>
      <c r="H1722" s="194"/>
      <c r="I1722" s="161">
        <f t="shared" si="35"/>
        <v>1554000</v>
      </c>
      <c r="J1722" s="164">
        <f t="shared" si="30"/>
        <v>1554000</v>
      </c>
      <c r="K1722" s="56" t="s">
        <v>7273</v>
      </c>
      <c r="L1722" s="165" t="s">
        <v>7274</v>
      </c>
      <c r="M1722" s="73"/>
      <c r="N1722" s="171"/>
      <c r="O1722" s="169" t="s">
        <v>3213</v>
      </c>
      <c r="P1722" s="168" t="s">
        <v>3112</v>
      </c>
      <c r="Q1722" s="173"/>
      <c r="R1722" s="167">
        <v>1554000.0</v>
      </c>
      <c r="S1722" s="173"/>
      <c r="T1722" s="173"/>
      <c r="U1722" s="173"/>
      <c r="V1722" s="168" t="s">
        <v>4262</v>
      </c>
      <c r="W1722" s="169"/>
      <c r="X1722" s="171"/>
    </row>
    <row r="1723" ht="15.0" customHeight="1">
      <c r="A1723" s="127">
        <v>45731.0</v>
      </c>
      <c r="B1723" s="181" t="s">
        <v>7272</v>
      </c>
      <c r="C1723" s="56" t="s">
        <v>3313</v>
      </c>
      <c r="D1723" s="73" t="str">
        <f>IFERROR(VLOOKUP(C1723,Stock,3,FALSE),"")</f>
        <v>Toyota Avanza / Xenia 21- 4th Gen (Non sensor)</v>
      </c>
      <c r="E1723" s="56">
        <v>1.0</v>
      </c>
      <c r="F1723" s="161">
        <v>1688000.0</v>
      </c>
      <c r="G1723" s="162">
        <f t="shared" si="33"/>
        <v>1688000</v>
      </c>
      <c r="H1723" s="201">
        <v>97260.0</v>
      </c>
      <c r="I1723" s="161">
        <f t="shared" si="35"/>
        <v>1590740</v>
      </c>
      <c r="J1723" s="164">
        <f t="shared" si="30"/>
        <v>1590740</v>
      </c>
      <c r="K1723" s="56" t="s">
        <v>7273</v>
      </c>
      <c r="L1723" s="165" t="s">
        <v>7274</v>
      </c>
      <c r="M1723" s="73"/>
      <c r="N1723" s="171"/>
      <c r="O1723" s="169" t="s">
        <v>3213</v>
      </c>
      <c r="P1723" s="168" t="s">
        <v>3112</v>
      </c>
      <c r="Q1723" s="173"/>
      <c r="R1723" s="167">
        <v>1590740.0</v>
      </c>
      <c r="S1723" s="173"/>
      <c r="T1723" s="173"/>
      <c r="U1723" s="173"/>
      <c r="V1723" s="168" t="s">
        <v>4262</v>
      </c>
      <c r="W1723" s="169"/>
      <c r="X1723" s="171"/>
    </row>
    <row r="1724" ht="15.0" customHeight="1">
      <c r="A1724" s="127">
        <v>45731.0</v>
      </c>
      <c r="B1724" s="181" t="s">
        <v>7275</v>
      </c>
      <c r="C1724" s="56" t="s">
        <v>3127</v>
      </c>
      <c r="D1724" s="73" t="str">
        <f>IFERROR(VLOOKUP(C1724,Stock,3,FALSE),"")</f>
        <v>Toyota Avanza / Xenia 03-11 1st Gen</v>
      </c>
      <c r="E1724" s="56">
        <v>1.0</v>
      </c>
      <c r="F1724" s="161">
        <v>880000.0</v>
      </c>
      <c r="G1724" s="162">
        <f t="shared" si="33"/>
        <v>880000</v>
      </c>
      <c r="H1724" s="194"/>
      <c r="I1724" s="161">
        <f t="shared" si="35"/>
        <v>880000</v>
      </c>
      <c r="J1724" s="164">
        <f t="shared" si="30"/>
        <v>880000</v>
      </c>
      <c r="K1724" s="56" t="s">
        <v>7276</v>
      </c>
      <c r="L1724" s="165" t="s">
        <v>7277</v>
      </c>
      <c r="M1724" s="73"/>
      <c r="N1724" s="171"/>
      <c r="O1724" s="169" t="s">
        <v>2958</v>
      </c>
      <c r="P1724" s="168" t="s">
        <v>3112</v>
      </c>
      <c r="Q1724" s="173"/>
      <c r="R1724" s="167">
        <v>880000.0</v>
      </c>
      <c r="S1724" s="173"/>
      <c r="T1724" s="173"/>
      <c r="U1724" s="173"/>
      <c r="V1724" s="168" t="s">
        <v>4262</v>
      </c>
      <c r="W1724" s="169"/>
      <c r="X1724" s="171"/>
    </row>
    <row r="1725" ht="15.0" customHeight="1">
      <c r="A1725" s="127">
        <v>45732.0</v>
      </c>
      <c r="B1725" s="181" t="s">
        <v>7278</v>
      </c>
      <c r="C1725" s="56" t="s">
        <v>2703</v>
      </c>
      <c r="D1725" s="73" t="str">
        <f>IFERROR(VLOOKUP(C1725,Stock,3,FALSE),"")</f>
        <v>Toyota Hi-Ace 04-20 Commuter</v>
      </c>
      <c r="E1725" s="56">
        <v>1.0</v>
      </c>
      <c r="F1725" s="161">
        <v>1680000.0</v>
      </c>
      <c r="G1725" s="162">
        <f t="shared" si="33"/>
        <v>1680000</v>
      </c>
      <c r="H1725" s="194"/>
      <c r="I1725" s="161">
        <f t="shared" si="35"/>
        <v>1680000</v>
      </c>
      <c r="J1725" s="164">
        <f t="shared" si="30"/>
        <v>1680000</v>
      </c>
      <c r="K1725" s="56" t="s">
        <v>7279</v>
      </c>
      <c r="L1725" s="165" t="s">
        <v>7280</v>
      </c>
      <c r="M1725" s="313" t="s">
        <v>7281</v>
      </c>
      <c r="N1725" s="289" t="s">
        <v>7282</v>
      </c>
      <c r="O1725" s="169" t="s">
        <v>3858</v>
      </c>
      <c r="P1725" s="168" t="s">
        <v>3112</v>
      </c>
      <c r="Q1725" s="167">
        <v>1700000.0</v>
      </c>
      <c r="R1725" s="173"/>
      <c r="S1725" s="173"/>
      <c r="T1725" s="173"/>
      <c r="U1725" s="167">
        <v>20000.0</v>
      </c>
      <c r="V1725" s="168" t="s">
        <v>3799</v>
      </c>
      <c r="W1725" s="169"/>
      <c r="X1725" s="171"/>
    </row>
    <row r="1726" ht="15.0" customHeight="1">
      <c r="A1726" s="127">
        <v>45732.0</v>
      </c>
      <c r="B1726" s="181" t="s">
        <v>7283</v>
      </c>
      <c r="C1726" s="56" t="s">
        <v>3227</v>
      </c>
      <c r="D1726" s="73" t="str">
        <f>IFERROR(VLOOKUP(C1726,Stock,3,FALSE),"")</f>
        <v>Mitsubishi Strada Triton 08-15</v>
      </c>
      <c r="E1726" s="56">
        <v>1.0</v>
      </c>
      <c r="F1726" s="161">
        <v>1110000.0</v>
      </c>
      <c r="G1726" s="162">
        <f t="shared" si="33"/>
        <v>1110000</v>
      </c>
      <c r="H1726" s="194"/>
      <c r="I1726" s="161">
        <f t="shared" si="35"/>
        <v>1110000</v>
      </c>
      <c r="J1726" s="164">
        <f t="shared" si="30"/>
        <v>1110000</v>
      </c>
      <c r="K1726" s="56" t="s">
        <v>7284</v>
      </c>
      <c r="L1726" s="165" t="s">
        <v>7285</v>
      </c>
      <c r="M1726" s="313" t="s">
        <v>7286</v>
      </c>
      <c r="N1726" s="289" t="s">
        <v>7287</v>
      </c>
      <c r="O1726" s="169" t="s">
        <v>3037</v>
      </c>
      <c r="P1726" s="168" t="s">
        <v>3112</v>
      </c>
      <c r="Q1726" s="173"/>
      <c r="R1726" s="167">
        <v>1110000.0</v>
      </c>
      <c r="S1726" s="173"/>
      <c r="T1726" s="173"/>
      <c r="U1726" s="173"/>
      <c r="V1726" s="168" t="s">
        <v>3799</v>
      </c>
      <c r="W1726" s="169"/>
      <c r="X1726" s="171"/>
    </row>
    <row r="1727" ht="15.0" customHeight="1">
      <c r="A1727" s="127">
        <v>45732.0</v>
      </c>
      <c r="B1727" s="181" t="s">
        <v>7288</v>
      </c>
      <c r="C1727" s="56" t="s">
        <v>2709</v>
      </c>
      <c r="D1727" s="73" t="str">
        <f>IFERROR(VLOOKUP(C1727,Stock,3,FALSE),"")</f>
        <v>Isuzu Panther 91-99 1st Gen Kotak</v>
      </c>
      <c r="E1727" s="56">
        <v>1.0</v>
      </c>
      <c r="F1727" s="161">
        <v>985000.0</v>
      </c>
      <c r="G1727" s="162">
        <f t="shared" si="33"/>
        <v>985000</v>
      </c>
      <c r="H1727" s="194"/>
      <c r="I1727" s="161" t="s">
        <v>7289</v>
      </c>
      <c r="J1727" s="164" t="str">
        <f t="shared" si="30"/>
        <v>                                     </v>
      </c>
      <c r="K1727" s="56" t="s">
        <v>7290</v>
      </c>
      <c r="L1727" s="165" t="s">
        <v>7291</v>
      </c>
      <c r="M1727" s="73"/>
      <c r="N1727" s="171"/>
      <c r="O1727" s="169" t="s">
        <v>3213</v>
      </c>
      <c r="P1727" s="168" t="s">
        <v>3112</v>
      </c>
      <c r="Q1727" s="167">
        <v>1000000.0</v>
      </c>
      <c r="R1727" s="173"/>
      <c r="S1727" s="173"/>
      <c r="T1727" s="173"/>
      <c r="U1727" s="167">
        <v>15000.0</v>
      </c>
      <c r="V1727" s="168" t="s">
        <v>3799</v>
      </c>
      <c r="W1727" s="169"/>
      <c r="X1727" s="171"/>
    </row>
    <row r="1728" ht="15.0" customHeight="1">
      <c r="A1728" s="127">
        <v>45733.0</v>
      </c>
      <c r="B1728" s="181" t="s">
        <v>7292</v>
      </c>
      <c r="C1728" s="56" t="s">
        <v>3025</v>
      </c>
      <c r="D1728" s="73" t="str">
        <f>IFERROR(VLOOKUP(C1728,Stock,3,FALSE),"")</f>
        <v>Toyota Rush / Terios 06-17</v>
      </c>
      <c r="E1728" s="56">
        <v>1.0</v>
      </c>
      <c r="F1728" s="161">
        <v>1448000.0</v>
      </c>
      <c r="G1728" s="162">
        <f t="shared" si="33"/>
        <v>1448000</v>
      </c>
      <c r="H1728" s="194"/>
      <c r="I1728" s="161">
        <f t="shared" ref="I1728:I2299" si="36">G1728-H1728</f>
        <v>1448000</v>
      </c>
      <c r="J1728" s="164">
        <f t="shared" si="30"/>
        <v>1448000</v>
      </c>
      <c r="K1728" s="56" t="s">
        <v>3691</v>
      </c>
      <c r="L1728" s="165" t="s">
        <v>7293</v>
      </c>
      <c r="M1728" s="73"/>
      <c r="N1728" s="171"/>
      <c r="O1728" s="169" t="s">
        <v>2958</v>
      </c>
      <c r="P1728" s="168" t="s">
        <v>3112</v>
      </c>
      <c r="Q1728" s="173"/>
      <c r="R1728" s="167">
        <v>1448000.0</v>
      </c>
      <c r="S1728" s="173"/>
      <c r="T1728" s="173"/>
      <c r="U1728" s="173"/>
      <c r="V1728" s="168" t="s">
        <v>4262</v>
      </c>
      <c r="W1728" s="169"/>
      <c r="X1728" s="171"/>
    </row>
    <row r="1729" ht="15.0" customHeight="1">
      <c r="A1729" s="127">
        <v>45733.0</v>
      </c>
      <c r="B1729" s="181" t="s">
        <v>7292</v>
      </c>
      <c r="C1729" s="56" t="s">
        <v>2954</v>
      </c>
      <c r="D1729" s="73" t="str">
        <f>IFERROR(VLOOKUP(C1729,Stock,3,FALSE),"")</f>
        <v>Transport</v>
      </c>
      <c r="E1729" s="56">
        <v>1.0</v>
      </c>
      <c r="F1729" s="161">
        <v>50000.0</v>
      </c>
      <c r="G1729" s="162">
        <f t="shared" si="33"/>
        <v>50000</v>
      </c>
      <c r="H1729" s="194"/>
      <c r="I1729" s="161">
        <f t="shared" si="36"/>
        <v>50000</v>
      </c>
      <c r="J1729" s="164">
        <f t="shared" si="30"/>
        <v>50000</v>
      </c>
      <c r="K1729" s="131" t="s">
        <v>3691</v>
      </c>
      <c r="L1729" s="165" t="s">
        <v>7294</v>
      </c>
      <c r="M1729" s="73"/>
      <c r="N1729" s="171"/>
      <c r="O1729" s="169" t="s">
        <v>2958</v>
      </c>
      <c r="P1729" s="168" t="s">
        <v>3112</v>
      </c>
      <c r="Q1729" s="173"/>
      <c r="R1729" s="167">
        <v>50000.0</v>
      </c>
      <c r="S1729" s="173"/>
      <c r="T1729" s="173"/>
      <c r="U1729" s="173"/>
      <c r="V1729" s="168" t="s">
        <v>4262</v>
      </c>
      <c r="W1729" s="169"/>
      <c r="X1729" s="171"/>
    </row>
    <row r="1730" ht="15.0" customHeight="1">
      <c r="A1730" s="127">
        <v>45733.0</v>
      </c>
      <c r="B1730" s="181" t="s">
        <v>7295</v>
      </c>
      <c r="C1730" s="56" t="s">
        <v>2549</v>
      </c>
      <c r="D1730" s="73" t="str">
        <f>IFERROR(VLOOKUP(C1730,Stock,3,FALSE),"")</f>
        <v>Toyota Avanza / Xenia 11-15 2nd Gen</v>
      </c>
      <c r="E1730" s="56">
        <v>1.0</v>
      </c>
      <c r="F1730" s="161">
        <v>1020000.0</v>
      </c>
      <c r="G1730" s="162">
        <f t="shared" si="33"/>
        <v>1020000</v>
      </c>
      <c r="H1730" s="194"/>
      <c r="I1730" s="161">
        <f t="shared" si="36"/>
        <v>1020000</v>
      </c>
      <c r="J1730" s="164">
        <f t="shared" si="30"/>
        <v>1020000</v>
      </c>
      <c r="K1730" s="56" t="s">
        <v>7296</v>
      </c>
      <c r="L1730" s="165" t="s">
        <v>7297</v>
      </c>
      <c r="M1730" s="73"/>
      <c r="N1730" s="171"/>
      <c r="O1730" s="169" t="s">
        <v>2958</v>
      </c>
      <c r="P1730" s="168" t="s">
        <v>3112</v>
      </c>
      <c r="Q1730" s="167">
        <v>1020000.0</v>
      </c>
      <c r="R1730" s="173"/>
      <c r="S1730" s="173"/>
      <c r="T1730" s="173"/>
      <c r="U1730" s="173"/>
      <c r="V1730" s="168" t="s">
        <v>4262</v>
      </c>
      <c r="W1730" s="169"/>
      <c r="X1730" s="171"/>
    </row>
    <row r="1731" ht="15.0" customHeight="1">
      <c r="A1731" s="127">
        <v>45733.0</v>
      </c>
      <c r="B1731" s="181" t="s">
        <v>7295</v>
      </c>
      <c r="C1731" s="56" t="s">
        <v>3826</v>
      </c>
      <c r="D1731" s="73" t="str">
        <f>IFERROR(VLOOKUP(C1731,Stock,3,FALSE),"")</f>
        <v>List Kaca Depan Code 11</v>
      </c>
      <c r="E1731" s="56">
        <v>1.0</v>
      </c>
      <c r="F1731" s="161">
        <v>275000.0</v>
      </c>
      <c r="G1731" s="162">
        <f t="shared" si="33"/>
        <v>275000</v>
      </c>
      <c r="H1731" s="201">
        <v>195000.0</v>
      </c>
      <c r="I1731" s="161">
        <f t="shared" si="36"/>
        <v>80000</v>
      </c>
      <c r="J1731" s="164">
        <f t="shared" si="30"/>
        <v>80000</v>
      </c>
      <c r="K1731" s="56" t="s">
        <v>7296</v>
      </c>
      <c r="L1731" s="165" t="s">
        <v>7297</v>
      </c>
      <c r="M1731" s="73"/>
      <c r="N1731" s="171"/>
      <c r="O1731" s="169" t="s">
        <v>2958</v>
      </c>
      <c r="P1731" s="168" t="s">
        <v>3112</v>
      </c>
      <c r="Q1731" s="167">
        <v>80000.0</v>
      </c>
      <c r="R1731" s="173"/>
      <c r="S1731" s="173"/>
      <c r="T1731" s="173"/>
      <c r="U1731" s="173"/>
      <c r="V1731" s="168" t="s">
        <v>4262</v>
      </c>
      <c r="W1731" s="169"/>
      <c r="X1731" s="171"/>
    </row>
    <row r="1732" ht="15.0" customHeight="1">
      <c r="A1732" s="127">
        <v>45734.0</v>
      </c>
      <c r="B1732" s="181" t="s">
        <v>7298</v>
      </c>
      <c r="C1732" s="56" t="s">
        <v>7299</v>
      </c>
      <c r="D1732" s="73" t="str">
        <f>IFERROR(VLOOKUP(C1732,Stock,3,FALSE),"")</f>
        <v/>
      </c>
      <c r="E1732" s="56">
        <v>1.0</v>
      </c>
      <c r="F1732" s="161">
        <v>1800000.0</v>
      </c>
      <c r="G1732" s="162">
        <f t="shared" si="33"/>
        <v>1800000</v>
      </c>
      <c r="H1732" s="194"/>
      <c r="I1732" s="161">
        <f t="shared" si="36"/>
        <v>1800000</v>
      </c>
      <c r="J1732" s="164">
        <f t="shared" si="30"/>
        <v>1800000</v>
      </c>
      <c r="K1732" s="56" t="s">
        <v>7300</v>
      </c>
      <c r="L1732" s="165" t="s">
        <v>7301</v>
      </c>
      <c r="M1732" s="73"/>
      <c r="N1732" s="171"/>
      <c r="O1732" s="169" t="s">
        <v>2958</v>
      </c>
      <c r="P1732" s="168" t="s">
        <v>3112</v>
      </c>
      <c r="Q1732" s="173"/>
      <c r="R1732" s="167">
        <v>1800000.0</v>
      </c>
      <c r="S1732" s="173"/>
      <c r="T1732" s="173"/>
      <c r="U1732" s="173"/>
      <c r="V1732" s="168" t="s">
        <v>4262</v>
      </c>
      <c r="W1732" s="169"/>
      <c r="X1732" s="171"/>
    </row>
    <row r="1733" ht="15.0" customHeight="1">
      <c r="A1733" s="127">
        <v>45734.0</v>
      </c>
      <c r="B1733" s="181" t="s">
        <v>7298</v>
      </c>
      <c r="C1733" s="56" t="s">
        <v>2954</v>
      </c>
      <c r="D1733" s="73" t="str">
        <f>IFERROR(VLOOKUP(C1733,Stock,3,FALSE),"")</f>
        <v>Transport</v>
      </c>
      <c r="E1733" s="56">
        <v>1.0</v>
      </c>
      <c r="F1733" s="161">
        <v>100000.0</v>
      </c>
      <c r="G1733" s="162">
        <f t="shared" si="33"/>
        <v>100000</v>
      </c>
      <c r="H1733" s="194"/>
      <c r="I1733" s="161">
        <f t="shared" si="36"/>
        <v>100000</v>
      </c>
      <c r="J1733" s="164">
        <f t="shared" si="30"/>
        <v>100000</v>
      </c>
      <c r="K1733" s="56" t="s">
        <v>7300</v>
      </c>
      <c r="L1733" s="165" t="s">
        <v>7301</v>
      </c>
      <c r="M1733" s="73"/>
      <c r="N1733" s="171"/>
      <c r="O1733" s="169" t="s">
        <v>2958</v>
      </c>
      <c r="P1733" s="168" t="s">
        <v>3112</v>
      </c>
      <c r="Q1733" s="173"/>
      <c r="R1733" s="167">
        <v>100000.0</v>
      </c>
      <c r="S1733" s="173"/>
      <c r="T1733" s="173"/>
      <c r="U1733" s="173"/>
      <c r="V1733" s="168" t="s">
        <v>4262</v>
      </c>
      <c r="W1733" s="169"/>
      <c r="X1733" s="171"/>
    </row>
    <row r="1734" ht="15.0" customHeight="1">
      <c r="A1734" s="127">
        <v>45734.0</v>
      </c>
      <c r="B1734" s="181" t="s">
        <v>7302</v>
      </c>
      <c r="C1734" s="56" t="s">
        <v>2549</v>
      </c>
      <c r="D1734" s="73" t="str">
        <f>IFERROR(VLOOKUP(C1734,Stock,3,FALSE),"")</f>
        <v>Toyota Avanza / Xenia 11-15 2nd Gen</v>
      </c>
      <c r="E1734" s="56">
        <v>1.0</v>
      </c>
      <c r="F1734" s="161">
        <v>1020000.0</v>
      </c>
      <c r="G1734" s="162">
        <f t="shared" si="33"/>
        <v>1020000</v>
      </c>
      <c r="H1734" s="194"/>
      <c r="I1734" s="161">
        <f t="shared" si="36"/>
        <v>1020000</v>
      </c>
      <c r="J1734" s="164">
        <f t="shared" si="30"/>
        <v>1020000</v>
      </c>
      <c r="K1734" s="56" t="s">
        <v>7303</v>
      </c>
      <c r="L1734" s="165" t="s">
        <v>7304</v>
      </c>
      <c r="M1734" s="73"/>
      <c r="N1734" s="169" t="s">
        <v>7305</v>
      </c>
      <c r="O1734" s="169" t="s">
        <v>2958</v>
      </c>
      <c r="P1734" s="168" t="s">
        <v>3112</v>
      </c>
      <c r="Q1734" s="167">
        <v>1020000.0</v>
      </c>
      <c r="S1734" s="173"/>
      <c r="T1734" s="173"/>
      <c r="U1734" s="173"/>
      <c r="V1734" s="168" t="s">
        <v>4262</v>
      </c>
      <c r="W1734" s="169"/>
      <c r="X1734" s="171"/>
    </row>
    <row r="1735" ht="15.0" customHeight="1">
      <c r="A1735" s="127">
        <v>45734.0</v>
      </c>
      <c r="B1735" s="181" t="s">
        <v>7306</v>
      </c>
      <c r="C1735" s="56" t="s">
        <v>7307</v>
      </c>
      <c r="D1735" s="73" t="str">
        <f>IFERROR(VLOOKUP(C1735,Stock,3,FALSE),"")</f>
        <v>Toyota Fortuner 15-  2nd Gen (Toyota)</v>
      </c>
      <c r="E1735" s="56">
        <v>1.0</v>
      </c>
      <c r="F1735" s="161">
        <v>1647000.0</v>
      </c>
      <c r="G1735" s="162">
        <f t="shared" si="33"/>
        <v>1647000</v>
      </c>
      <c r="H1735" s="194"/>
      <c r="I1735" s="161">
        <f t="shared" si="36"/>
        <v>1647000</v>
      </c>
      <c r="J1735" s="164">
        <f t="shared" si="30"/>
        <v>1647000</v>
      </c>
      <c r="K1735" s="56" t="s">
        <v>7308</v>
      </c>
      <c r="L1735" s="165" t="s">
        <v>7309</v>
      </c>
      <c r="M1735" s="73"/>
      <c r="N1735" s="171"/>
      <c r="O1735" s="169" t="s">
        <v>2958</v>
      </c>
      <c r="P1735" s="168" t="s">
        <v>3112</v>
      </c>
      <c r="Q1735" s="173"/>
      <c r="R1735" s="167">
        <v>1647000.0</v>
      </c>
      <c r="S1735" s="173"/>
      <c r="T1735" s="173"/>
      <c r="U1735" s="173"/>
      <c r="V1735" s="168" t="s">
        <v>4262</v>
      </c>
      <c r="W1735" s="169"/>
      <c r="X1735" s="171"/>
    </row>
    <row r="1736" ht="15.0" customHeight="1">
      <c r="A1736" s="127">
        <v>45735.0</v>
      </c>
      <c r="B1736" s="181" t="s">
        <v>7310</v>
      </c>
      <c r="C1736" s="56" t="s">
        <v>3290</v>
      </c>
      <c r="D1736" s="73" t="str">
        <f>IFERROR(VLOOKUP(C1736,Stock,3,FALSE),"")</f>
        <v>Toyota Innova 04-15 1st Gen</v>
      </c>
      <c r="E1736" s="56">
        <v>1.0</v>
      </c>
      <c r="F1736" s="161">
        <v>1449000.0</v>
      </c>
      <c r="G1736" s="162">
        <f t="shared" si="33"/>
        <v>1449000</v>
      </c>
      <c r="H1736" s="194"/>
      <c r="I1736" s="161">
        <f t="shared" si="36"/>
        <v>1449000</v>
      </c>
      <c r="J1736" s="164">
        <f t="shared" si="30"/>
        <v>1449000</v>
      </c>
      <c r="K1736" s="56" t="s">
        <v>7311</v>
      </c>
      <c r="L1736" s="165" t="s">
        <v>7312</v>
      </c>
      <c r="M1736" s="73"/>
      <c r="N1736" s="289" t="s">
        <v>7313</v>
      </c>
      <c r="O1736" s="169" t="s">
        <v>2958</v>
      </c>
      <c r="P1736" s="168" t="s">
        <v>3112</v>
      </c>
      <c r="Q1736" s="167">
        <v>1450000.0</v>
      </c>
      <c r="R1736" s="173"/>
      <c r="S1736" s="173"/>
      <c r="T1736" s="173"/>
      <c r="U1736" s="167">
        <v>1000.0</v>
      </c>
      <c r="V1736" s="168" t="s">
        <v>3799</v>
      </c>
      <c r="W1736" s="169"/>
      <c r="X1736" s="171"/>
    </row>
    <row r="1737" ht="15.0" customHeight="1">
      <c r="A1737" s="127">
        <v>45735.0</v>
      </c>
      <c r="B1737" s="181" t="s">
        <v>7314</v>
      </c>
      <c r="C1737" s="251" t="s">
        <v>3149</v>
      </c>
      <c r="D1737" s="73" t="str">
        <f>IFERROR(VLOOKUP(C1737,Stock,3,FALSE),"")</f>
        <v>Honda CR-V 12-16 4th Gen [Rata]</v>
      </c>
      <c r="E1737" s="56">
        <v>1.0</v>
      </c>
      <c r="F1737" s="161">
        <v>1346000.0</v>
      </c>
      <c r="G1737" s="162">
        <f t="shared" si="33"/>
        <v>1346000</v>
      </c>
      <c r="H1737" s="194"/>
      <c r="I1737" s="161">
        <f t="shared" si="36"/>
        <v>1346000</v>
      </c>
      <c r="J1737" s="164">
        <f t="shared" si="30"/>
        <v>1346000</v>
      </c>
      <c r="K1737" s="56" t="s">
        <v>7315</v>
      </c>
      <c r="L1737" s="165" t="s">
        <v>7316</v>
      </c>
      <c r="M1737" s="73"/>
      <c r="N1737" s="171"/>
      <c r="O1737" s="169" t="s">
        <v>2958</v>
      </c>
      <c r="P1737" s="168" t="s">
        <v>2922</v>
      </c>
      <c r="Q1737" s="173"/>
      <c r="R1737" s="173"/>
      <c r="S1737" s="167">
        <v>1346000.0</v>
      </c>
      <c r="T1737" s="167">
        <v>116950.0</v>
      </c>
      <c r="U1737" s="173"/>
      <c r="V1737" s="168" t="s">
        <v>4262</v>
      </c>
      <c r="W1737" s="169"/>
      <c r="X1737" s="171"/>
    </row>
    <row r="1738" ht="15.0" customHeight="1">
      <c r="A1738" s="127">
        <v>45735.0</v>
      </c>
      <c r="B1738" s="181" t="s">
        <v>7314</v>
      </c>
      <c r="C1738" s="56" t="s">
        <v>2934</v>
      </c>
      <c r="D1738" s="73" t="str">
        <f>IFERROR(VLOOKUP(C1738,Stock,3,FALSE),"")</f>
        <v>Peti Kayu</v>
      </c>
      <c r="E1738" s="56">
        <v>1.0</v>
      </c>
      <c r="F1738" s="161">
        <v>200000.0</v>
      </c>
      <c r="G1738" s="162">
        <f t="shared" si="33"/>
        <v>200000</v>
      </c>
      <c r="H1738" s="194"/>
      <c r="I1738" s="161">
        <f t="shared" si="36"/>
        <v>200000</v>
      </c>
      <c r="J1738" s="164">
        <f t="shared" si="30"/>
        <v>200000</v>
      </c>
      <c r="K1738" s="56" t="s">
        <v>7315</v>
      </c>
      <c r="L1738" s="165" t="s">
        <v>7316</v>
      </c>
      <c r="M1738" s="73"/>
      <c r="N1738" s="171"/>
      <c r="O1738" s="169" t="s">
        <v>2958</v>
      </c>
      <c r="P1738" s="168" t="s">
        <v>2922</v>
      </c>
      <c r="Q1738" s="173"/>
      <c r="R1738" s="173"/>
      <c r="S1738" s="167">
        <v>200000.0</v>
      </c>
      <c r="T1738" s="173"/>
      <c r="U1738" s="173"/>
      <c r="V1738" s="168" t="s">
        <v>4262</v>
      </c>
      <c r="W1738" s="169"/>
      <c r="X1738" s="171"/>
    </row>
    <row r="1739" ht="15.0" customHeight="1">
      <c r="A1739" s="127">
        <v>45735.0</v>
      </c>
      <c r="B1739" s="181" t="s">
        <v>7314</v>
      </c>
      <c r="C1739" s="56" t="s">
        <v>2954</v>
      </c>
      <c r="D1739" s="73" t="str">
        <f>IFERROR(VLOOKUP(C1739,Stock,3,FALSE),"")</f>
        <v>Transport</v>
      </c>
      <c r="E1739" s="56">
        <v>1.0</v>
      </c>
      <c r="F1739" s="161">
        <v>50000.0</v>
      </c>
      <c r="G1739" s="162">
        <f t="shared" si="33"/>
        <v>50000</v>
      </c>
      <c r="H1739" s="194"/>
      <c r="I1739" s="161">
        <f t="shared" si="36"/>
        <v>50000</v>
      </c>
      <c r="J1739" s="164">
        <f t="shared" si="30"/>
        <v>50000</v>
      </c>
      <c r="K1739" s="56" t="s">
        <v>7315</v>
      </c>
      <c r="L1739" s="165" t="s">
        <v>7316</v>
      </c>
      <c r="M1739" s="73"/>
      <c r="N1739" s="171"/>
      <c r="O1739" s="169" t="s">
        <v>2958</v>
      </c>
      <c r="P1739" s="168" t="s">
        <v>2922</v>
      </c>
      <c r="Q1739" s="173"/>
      <c r="R1739" s="167">
        <v>50000.0</v>
      </c>
      <c r="S1739" s="173"/>
      <c r="T1739" s="173"/>
      <c r="U1739" s="173"/>
      <c r="V1739" s="168" t="s">
        <v>4262</v>
      </c>
      <c r="W1739" s="169"/>
      <c r="X1739" s="171"/>
    </row>
    <row r="1740" ht="15.0" customHeight="1">
      <c r="A1740" s="127">
        <v>45736.0</v>
      </c>
      <c r="B1740" s="181" t="s">
        <v>7317</v>
      </c>
      <c r="C1740" s="56" t="s">
        <v>5528</v>
      </c>
      <c r="D1740" s="73" t="str">
        <f>IFERROR(VLOOKUP(C1740,Stock,3,FALSE),"")</f>
        <v>Toyota Innova 15-22 2nd Gen (Toyota)</v>
      </c>
      <c r="E1740" s="56">
        <v>1.0</v>
      </c>
      <c r="F1740" s="161">
        <v>2988000.0</v>
      </c>
      <c r="G1740" s="162">
        <f t="shared" si="33"/>
        <v>2988000</v>
      </c>
      <c r="H1740" s="194"/>
      <c r="I1740" s="161">
        <f t="shared" si="36"/>
        <v>2988000</v>
      </c>
      <c r="J1740" s="164">
        <f t="shared" si="30"/>
        <v>2988000</v>
      </c>
      <c r="K1740" s="56" t="s">
        <v>7318</v>
      </c>
      <c r="L1740" s="165" t="s">
        <v>7319</v>
      </c>
      <c r="M1740" s="73"/>
      <c r="N1740" s="169" t="s">
        <v>7320</v>
      </c>
      <c r="O1740" s="169" t="s">
        <v>2958</v>
      </c>
      <c r="P1740" s="168" t="s">
        <v>3112</v>
      </c>
      <c r="Q1740" s="173"/>
      <c r="R1740" s="167">
        <v>2988000.0</v>
      </c>
      <c r="S1740" s="173"/>
      <c r="T1740" s="173"/>
      <c r="U1740" s="173"/>
      <c r="V1740" s="168" t="s">
        <v>3883</v>
      </c>
      <c r="W1740" s="169"/>
      <c r="X1740" s="171"/>
    </row>
    <row r="1741" ht="15.0" customHeight="1">
      <c r="A1741" s="127">
        <v>45736.0</v>
      </c>
      <c r="B1741" s="181" t="s">
        <v>7321</v>
      </c>
      <c r="C1741" s="56" t="s">
        <v>7322</v>
      </c>
      <c r="D1741" s="73" t="str">
        <f>IFERROR(VLOOKUP(C1741,Stock,3,FALSE),"")</f>
        <v>Isuzu D-Max 12-19 2nd Gen</v>
      </c>
      <c r="E1741" s="56">
        <v>1.0</v>
      </c>
      <c r="F1741" s="161">
        <v>1798000.0</v>
      </c>
      <c r="G1741" s="162">
        <f t="shared" si="33"/>
        <v>1798000</v>
      </c>
      <c r="H1741" s="194"/>
      <c r="I1741" s="161">
        <f t="shared" si="36"/>
        <v>1798000</v>
      </c>
      <c r="J1741" s="164">
        <f t="shared" si="30"/>
        <v>1798000</v>
      </c>
      <c r="K1741" s="56" t="s">
        <v>7323</v>
      </c>
      <c r="L1741" s="165" t="s">
        <v>7324</v>
      </c>
      <c r="M1741" s="73"/>
      <c r="N1741" s="171"/>
      <c r="O1741" s="169" t="s">
        <v>2958</v>
      </c>
      <c r="P1741" s="168" t="s">
        <v>3112</v>
      </c>
      <c r="Q1741" s="173"/>
      <c r="R1741" s="173"/>
      <c r="S1741" s="167">
        <v>1798000.0</v>
      </c>
      <c r="T1741" s="449">
        <v>150850.0</v>
      </c>
      <c r="U1741" s="173"/>
      <c r="V1741" s="168" t="s">
        <v>3883</v>
      </c>
      <c r="W1741" s="169"/>
      <c r="X1741" s="171"/>
    </row>
    <row r="1742" ht="15.0" customHeight="1">
      <c r="A1742" s="127">
        <v>45736.0</v>
      </c>
      <c r="B1742" s="181" t="s">
        <v>7321</v>
      </c>
      <c r="C1742" s="56" t="s">
        <v>2934</v>
      </c>
      <c r="D1742" s="73" t="str">
        <f>IFERROR(VLOOKUP(C1742,Stock,3,FALSE),"")</f>
        <v>Peti Kayu</v>
      </c>
      <c r="E1742" s="56">
        <v>1.0</v>
      </c>
      <c r="F1742" s="161">
        <v>200000.0</v>
      </c>
      <c r="G1742" s="162">
        <f t="shared" si="33"/>
        <v>200000</v>
      </c>
      <c r="H1742" s="194"/>
      <c r="I1742" s="161">
        <f t="shared" si="36"/>
        <v>200000</v>
      </c>
      <c r="J1742" s="164">
        <f t="shared" si="30"/>
        <v>200000</v>
      </c>
      <c r="K1742" s="56" t="s">
        <v>7323</v>
      </c>
      <c r="L1742" s="165" t="s">
        <v>7324</v>
      </c>
      <c r="M1742" s="73"/>
      <c r="N1742" s="171"/>
      <c r="O1742" s="169" t="s">
        <v>2958</v>
      </c>
      <c r="P1742" s="168" t="s">
        <v>3112</v>
      </c>
      <c r="Q1742" s="173"/>
      <c r="R1742" s="173"/>
      <c r="S1742" s="167">
        <v>200000.0</v>
      </c>
      <c r="T1742" s="173"/>
      <c r="U1742" s="173"/>
      <c r="V1742" s="168" t="s">
        <v>3883</v>
      </c>
      <c r="W1742" s="169"/>
      <c r="X1742" s="171"/>
    </row>
    <row r="1743" ht="15.0" customHeight="1">
      <c r="A1743" s="127">
        <v>45736.0</v>
      </c>
      <c r="B1743" s="181" t="s">
        <v>7325</v>
      </c>
      <c r="C1743" s="56" t="s">
        <v>3085</v>
      </c>
      <c r="D1743" s="73" t="str">
        <f>IFERROR(VLOOKUP(C1743,Stock,3,FALSE),"")</f>
        <v>Honda Jazz 07-13 2nd Gen</v>
      </c>
      <c r="E1743" s="56">
        <v>1.0</v>
      </c>
      <c r="F1743" s="161">
        <v>1087000.0</v>
      </c>
      <c r="G1743" s="162">
        <f t="shared" si="33"/>
        <v>1087000</v>
      </c>
      <c r="H1743" s="194"/>
      <c r="I1743" s="161">
        <f t="shared" si="36"/>
        <v>1087000</v>
      </c>
      <c r="J1743" s="164">
        <f t="shared" si="30"/>
        <v>1087000</v>
      </c>
      <c r="K1743" s="56" t="s">
        <v>7326</v>
      </c>
      <c r="L1743" s="165" t="s">
        <v>7327</v>
      </c>
      <c r="M1743" s="73"/>
      <c r="N1743" s="171"/>
      <c r="O1743" s="169" t="s">
        <v>2958</v>
      </c>
      <c r="P1743" s="168" t="s">
        <v>3112</v>
      </c>
      <c r="Q1743" s="173"/>
      <c r="R1743" s="167">
        <v>1087000.0</v>
      </c>
      <c r="S1743" s="173"/>
      <c r="T1743" s="173"/>
      <c r="U1743" s="173"/>
      <c r="V1743" s="168" t="s">
        <v>3883</v>
      </c>
      <c r="W1743" s="169"/>
      <c r="X1743" s="171"/>
    </row>
    <row r="1744" ht="15.0" customHeight="1">
      <c r="A1744" s="127">
        <v>45737.0</v>
      </c>
      <c r="B1744" s="181" t="s">
        <v>7328</v>
      </c>
      <c r="C1744" s="56" t="s">
        <v>2562</v>
      </c>
      <c r="D1744" s="73" t="str">
        <f>IFERROR(VLOOKUP(C1744,Stock,3,FALSE),"")</f>
        <v>Toyota Avanza / Xenia 15-21 3rd Gen</v>
      </c>
      <c r="E1744" s="56">
        <v>1.0</v>
      </c>
      <c r="F1744" s="161">
        <v>1050000.0</v>
      </c>
      <c r="G1744" s="162">
        <f t="shared" si="33"/>
        <v>1050000</v>
      </c>
      <c r="H1744" s="194"/>
      <c r="I1744" s="161">
        <f t="shared" si="36"/>
        <v>1050000</v>
      </c>
      <c r="J1744" s="164">
        <f t="shared" si="30"/>
        <v>1050000</v>
      </c>
      <c r="K1744" s="56" t="s">
        <v>4155</v>
      </c>
      <c r="L1744" s="165" t="s">
        <v>7329</v>
      </c>
      <c r="M1744" s="73"/>
      <c r="N1744" s="171"/>
      <c r="O1744" s="169" t="s">
        <v>2958</v>
      </c>
      <c r="P1744" s="168" t="s">
        <v>3112</v>
      </c>
      <c r="Q1744" s="173"/>
      <c r="R1744" s="167">
        <v>1050000.0</v>
      </c>
      <c r="S1744" s="173"/>
      <c r="T1744" s="173"/>
      <c r="U1744" s="173"/>
      <c r="V1744" s="168" t="s">
        <v>3799</v>
      </c>
      <c r="W1744" s="169"/>
      <c r="X1744" s="171"/>
    </row>
    <row r="1745" ht="15.0" customHeight="1">
      <c r="A1745" s="127">
        <v>45737.0</v>
      </c>
      <c r="B1745" s="181" t="s">
        <v>7330</v>
      </c>
      <c r="C1745" s="56" t="s">
        <v>7063</v>
      </c>
      <c r="D1745" s="73" t="str">
        <f>IFERROR(VLOOKUP(C1745,Stock,3,FALSE),"")</f>
        <v>Wuling Confero (Tanpa Spionnya)</v>
      </c>
      <c r="E1745" s="56">
        <v>1.0</v>
      </c>
      <c r="F1745" s="161">
        <v>1522000.0</v>
      </c>
      <c r="G1745" s="162">
        <f t="shared" si="33"/>
        <v>1522000</v>
      </c>
      <c r="H1745" s="194"/>
      <c r="I1745" s="161">
        <f t="shared" si="36"/>
        <v>1522000</v>
      </c>
      <c r="J1745" s="164">
        <f t="shared" si="30"/>
        <v>1522000</v>
      </c>
      <c r="K1745" s="56" t="s">
        <v>7331</v>
      </c>
      <c r="L1745" s="451" t="s">
        <v>7332</v>
      </c>
      <c r="M1745" s="73"/>
      <c r="N1745" s="289" t="s">
        <v>7333</v>
      </c>
      <c r="O1745" s="169" t="s">
        <v>2958</v>
      </c>
      <c r="P1745" s="168" t="s">
        <v>3112</v>
      </c>
      <c r="Q1745" s="167">
        <v>1522000.0</v>
      </c>
      <c r="R1745" s="173"/>
      <c r="S1745" s="173"/>
      <c r="T1745" s="173"/>
      <c r="U1745" s="173"/>
      <c r="V1745" s="168" t="s">
        <v>3799</v>
      </c>
      <c r="W1745" s="169"/>
      <c r="X1745" s="171"/>
    </row>
    <row r="1746" ht="15.0" customHeight="1">
      <c r="A1746" s="127">
        <v>45737.0</v>
      </c>
      <c r="B1746" s="181" t="s">
        <v>7334</v>
      </c>
      <c r="C1746" s="56" t="s">
        <v>3176</v>
      </c>
      <c r="D1746" s="73" t="str">
        <f>IFERROR(VLOOKUP(C1746,Stock,3,FALSE),"")</f>
        <v>Toyota Avanza / Xenia 11-15 2nd Gen / 15-21 3rd Gen</v>
      </c>
      <c r="E1746" s="56">
        <v>1.0</v>
      </c>
      <c r="F1746" s="161">
        <v>880000.0</v>
      </c>
      <c r="G1746" s="162">
        <f t="shared" si="33"/>
        <v>880000</v>
      </c>
      <c r="H1746" s="194"/>
      <c r="I1746" s="161">
        <f t="shared" si="36"/>
        <v>880000</v>
      </c>
      <c r="J1746" s="164">
        <f t="shared" si="30"/>
        <v>880000</v>
      </c>
      <c r="K1746" s="56" t="s">
        <v>7335</v>
      </c>
      <c r="L1746" s="165" t="s">
        <v>7336</v>
      </c>
      <c r="M1746" s="73"/>
      <c r="N1746" s="171"/>
      <c r="O1746" s="169" t="s">
        <v>2958</v>
      </c>
      <c r="P1746" s="168" t="s">
        <v>3112</v>
      </c>
      <c r="Q1746" s="173"/>
      <c r="R1746" s="167">
        <v>880000.0</v>
      </c>
      <c r="S1746" s="173"/>
      <c r="T1746" s="173"/>
      <c r="U1746" s="173"/>
      <c r="V1746" s="168" t="s">
        <v>4262</v>
      </c>
      <c r="W1746" s="169"/>
      <c r="X1746" s="171"/>
    </row>
    <row r="1747" ht="15.0" customHeight="1">
      <c r="A1747" s="127">
        <v>45737.0</v>
      </c>
      <c r="B1747" s="181" t="s">
        <v>7337</v>
      </c>
      <c r="C1747" s="56" t="s">
        <v>3543</v>
      </c>
      <c r="D1747" s="73" t="str">
        <f>IFERROR(VLOOKUP(C1747,Stock,3,FALSE),"")</f>
        <v>Daihatsu Gran Max Minibus/Van</v>
      </c>
      <c r="E1747" s="56">
        <v>1.0</v>
      </c>
      <c r="F1747" s="161">
        <v>799000.0</v>
      </c>
      <c r="G1747" s="162">
        <f t="shared" si="33"/>
        <v>799000</v>
      </c>
      <c r="H1747" s="194"/>
      <c r="I1747" s="161">
        <f t="shared" si="36"/>
        <v>799000</v>
      </c>
      <c r="J1747" s="164">
        <f t="shared" si="30"/>
        <v>799000</v>
      </c>
      <c r="K1747" s="56" t="s">
        <v>7338</v>
      </c>
      <c r="L1747" s="165" t="s">
        <v>7339</v>
      </c>
      <c r="M1747" s="73"/>
      <c r="N1747" s="289" t="s">
        <v>7340</v>
      </c>
      <c r="O1747" s="169" t="s">
        <v>2958</v>
      </c>
      <c r="P1747" s="168" t="s">
        <v>6113</v>
      </c>
      <c r="Q1747" s="167">
        <v>799000.0</v>
      </c>
      <c r="R1747" s="173"/>
      <c r="S1747" s="173"/>
      <c r="T1747" s="173"/>
      <c r="U1747" s="173"/>
      <c r="V1747" s="168" t="s">
        <v>4262</v>
      </c>
      <c r="W1747" s="169"/>
      <c r="X1747" s="171"/>
    </row>
    <row r="1748" ht="15.0" customHeight="1">
      <c r="A1748" s="127">
        <v>45737.0</v>
      </c>
      <c r="B1748" s="181" t="s">
        <v>7341</v>
      </c>
      <c r="C1748" s="56" t="s">
        <v>3045</v>
      </c>
      <c r="D1748" s="73" t="str">
        <f>IFERROR(VLOOKUP(C1748,Stock,3,FALSE),"")</f>
        <v>Pemasangan Kaca Mobil Depan</v>
      </c>
      <c r="E1748" s="56">
        <v>1.0</v>
      </c>
      <c r="F1748" s="161">
        <v>500000.0</v>
      </c>
      <c r="G1748" s="162">
        <f t="shared" si="33"/>
        <v>500000</v>
      </c>
      <c r="H1748" s="194"/>
      <c r="I1748" s="161">
        <f t="shared" si="36"/>
        <v>500000</v>
      </c>
      <c r="J1748" s="164">
        <f t="shared" si="30"/>
        <v>500000</v>
      </c>
      <c r="K1748" s="56" t="s">
        <v>7342</v>
      </c>
      <c r="L1748" s="165" t="s">
        <v>7343</v>
      </c>
      <c r="M1748" s="73"/>
      <c r="N1748" s="169" t="s">
        <v>7344</v>
      </c>
      <c r="O1748" s="169" t="s">
        <v>2958</v>
      </c>
      <c r="P1748" s="168" t="s">
        <v>3112</v>
      </c>
      <c r="Q1748" s="173"/>
      <c r="R1748" s="167">
        <v>500000.0</v>
      </c>
      <c r="S1748" s="173"/>
      <c r="T1748" s="173"/>
      <c r="U1748" s="173"/>
      <c r="V1748" s="168" t="s">
        <v>4262</v>
      </c>
      <c r="W1748" s="169"/>
      <c r="X1748" s="171"/>
    </row>
    <row r="1749" ht="15.0" customHeight="1">
      <c r="A1749" s="127">
        <v>45738.0</v>
      </c>
      <c r="B1749" s="181" t="s">
        <v>7345</v>
      </c>
      <c r="C1749" s="56" t="s">
        <v>3201</v>
      </c>
      <c r="D1749" s="73" t="str">
        <f>IFERROR(VLOOKUP(C1749,Stock,3,FALSE),"")</f>
        <v>Honda Freed 08-16 1st gen</v>
      </c>
      <c r="E1749" s="56">
        <v>1.0</v>
      </c>
      <c r="F1749" s="161">
        <v>1818000.0</v>
      </c>
      <c r="G1749" s="162">
        <f t="shared" si="33"/>
        <v>1818000</v>
      </c>
      <c r="H1749" s="194"/>
      <c r="I1749" s="161">
        <f t="shared" si="36"/>
        <v>1818000</v>
      </c>
      <c r="J1749" s="164">
        <f t="shared" si="30"/>
        <v>1818000</v>
      </c>
      <c r="K1749" s="56" t="s">
        <v>6038</v>
      </c>
      <c r="L1749" s="165" t="s">
        <v>7346</v>
      </c>
      <c r="M1749" s="73"/>
      <c r="N1749" s="169" t="s">
        <v>7347</v>
      </c>
      <c r="O1749" s="169" t="s">
        <v>2958</v>
      </c>
      <c r="P1749" s="168" t="s">
        <v>3112</v>
      </c>
      <c r="Q1749" s="173"/>
      <c r="R1749" s="167">
        <v>1818000.0</v>
      </c>
      <c r="S1749" s="173"/>
      <c r="T1749" s="173"/>
      <c r="U1749" s="173"/>
      <c r="V1749" s="168" t="s">
        <v>4262</v>
      </c>
      <c r="W1749" s="169"/>
      <c r="X1749" s="171"/>
    </row>
    <row r="1750" ht="15.0" customHeight="1">
      <c r="A1750" s="127">
        <v>45738.0</v>
      </c>
      <c r="B1750" s="181" t="s">
        <v>7348</v>
      </c>
      <c r="C1750" s="56" t="s">
        <v>7349</v>
      </c>
      <c r="D1750" s="73" t="str">
        <f>IFERROR(VLOOKUP(C1750,Stock,3,FALSE),"")</f>
        <v>Kia Rio 11-17 UB Hatchback</v>
      </c>
      <c r="E1750" s="56">
        <v>1.0</v>
      </c>
      <c r="F1750" s="161">
        <v>2334000.0</v>
      </c>
      <c r="G1750" s="162">
        <f t="shared" si="33"/>
        <v>2334000</v>
      </c>
      <c r="H1750" s="194"/>
      <c r="I1750" s="161">
        <f t="shared" si="36"/>
        <v>2334000</v>
      </c>
      <c r="J1750" s="164">
        <f t="shared" si="30"/>
        <v>2334000</v>
      </c>
      <c r="K1750" s="56" t="s">
        <v>7350</v>
      </c>
      <c r="L1750" s="165" t="s">
        <v>7351</v>
      </c>
      <c r="M1750" s="73"/>
      <c r="N1750" s="171"/>
      <c r="O1750" s="169" t="s">
        <v>3184</v>
      </c>
      <c r="P1750" s="168" t="s">
        <v>3112</v>
      </c>
      <c r="Q1750" s="173"/>
      <c r="R1750" s="167">
        <v>2334000.0</v>
      </c>
      <c r="S1750" s="173"/>
      <c r="T1750" s="173"/>
      <c r="U1750" s="173"/>
      <c r="V1750" s="168" t="s">
        <v>4262</v>
      </c>
      <c r="W1750" s="169"/>
      <c r="X1750" s="171"/>
    </row>
    <row r="1751" ht="15.0" customHeight="1">
      <c r="A1751" s="127">
        <v>45739.0</v>
      </c>
      <c r="B1751" s="181" t="s">
        <v>7352</v>
      </c>
      <c r="C1751" s="56" t="s">
        <v>3068</v>
      </c>
      <c r="D1751" s="73" t="str">
        <f>IFERROR(VLOOKUP(C1751,Stock,3,FALSE),"")</f>
        <v>Honda Brio 10- / Mobilio 11-</v>
      </c>
      <c r="E1751" s="56">
        <v>1.0</v>
      </c>
      <c r="F1751" s="161">
        <v>1442000.0</v>
      </c>
      <c r="G1751" s="162">
        <f t="shared" si="33"/>
        <v>1442000</v>
      </c>
      <c r="H1751" s="194"/>
      <c r="I1751" s="161">
        <f t="shared" si="36"/>
        <v>1442000</v>
      </c>
      <c r="J1751" s="164">
        <f t="shared" si="30"/>
        <v>1442000</v>
      </c>
      <c r="K1751" s="56" t="s">
        <v>7353</v>
      </c>
      <c r="L1751" s="165" t="s">
        <v>7354</v>
      </c>
      <c r="M1751" s="73"/>
      <c r="N1751" s="171"/>
      <c r="O1751" s="169" t="s">
        <v>2958</v>
      </c>
      <c r="P1751" s="168" t="s">
        <v>3112</v>
      </c>
      <c r="Q1751" s="173"/>
      <c r="R1751" s="167">
        <v>1442000.0</v>
      </c>
      <c r="S1751" s="173"/>
      <c r="T1751" s="173"/>
      <c r="U1751" s="173"/>
      <c r="V1751" s="168" t="s">
        <v>4262</v>
      </c>
      <c r="W1751" s="169"/>
      <c r="X1751" s="171"/>
    </row>
    <row r="1752" ht="15.0" customHeight="1">
      <c r="A1752" s="127">
        <v>45739.0</v>
      </c>
      <c r="B1752" s="181" t="s">
        <v>7355</v>
      </c>
      <c r="C1752" s="56" t="s">
        <v>3045</v>
      </c>
      <c r="D1752" s="73" t="str">
        <f>IFERROR(VLOOKUP(C1752,Stock,3,FALSE),"")</f>
        <v>Pemasangan Kaca Mobil Depan</v>
      </c>
      <c r="E1752" s="56">
        <v>1.0</v>
      </c>
      <c r="F1752" s="161">
        <v>250000.0</v>
      </c>
      <c r="G1752" s="162">
        <f t="shared" si="33"/>
        <v>250000</v>
      </c>
      <c r="H1752" s="194"/>
      <c r="I1752" s="161">
        <f t="shared" si="36"/>
        <v>250000</v>
      </c>
      <c r="J1752" s="164">
        <f t="shared" si="30"/>
        <v>250000</v>
      </c>
      <c r="K1752" s="56" t="s">
        <v>4472</v>
      </c>
      <c r="L1752" s="165" t="s">
        <v>7356</v>
      </c>
      <c r="M1752" s="73"/>
      <c r="N1752" s="171"/>
      <c r="O1752" s="169" t="s">
        <v>2958</v>
      </c>
      <c r="P1752" s="168" t="s">
        <v>6113</v>
      </c>
      <c r="Q1752" s="167">
        <v>250000.0</v>
      </c>
      <c r="R1752" s="173"/>
      <c r="S1752" s="173"/>
      <c r="T1752" s="173"/>
      <c r="U1752" s="173"/>
      <c r="V1752" s="168" t="s">
        <v>4262</v>
      </c>
      <c r="W1752" s="169"/>
      <c r="X1752" s="171"/>
    </row>
    <row r="1753" ht="15.0" customHeight="1">
      <c r="A1753" s="127">
        <v>45740.0</v>
      </c>
      <c r="B1753" s="181" t="s">
        <v>7357</v>
      </c>
      <c r="C1753" s="56" t="s">
        <v>2555</v>
      </c>
      <c r="D1753" s="73" t="str">
        <f>IFERROR(VLOOKUP(C1753,Stock,3,FALSE),"")</f>
        <v>Toyota Fortuner 15-  2nd Gen (Toyota)</v>
      </c>
      <c r="E1753" s="56">
        <v>1.0</v>
      </c>
      <c r="F1753" s="161">
        <v>2998000.0</v>
      </c>
      <c r="G1753" s="162">
        <f t="shared" si="33"/>
        <v>2998000</v>
      </c>
      <c r="H1753" s="194"/>
      <c r="I1753" s="161">
        <f t="shared" si="36"/>
        <v>2998000</v>
      </c>
      <c r="J1753" s="164">
        <f t="shared" si="30"/>
        <v>2998000</v>
      </c>
      <c r="K1753" s="56" t="s">
        <v>7358</v>
      </c>
      <c r="L1753" s="165" t="s">
        <v>7359</v>
      </c>
      <c r="M1753" s="73"/>
      <c r="N1753" s="171"/>
      <c r="O1753" s="169" t="s">
        <v>2958</v>
      </c>
      <c r="P1753" s="168" t="s">
        <v>3112</v>
      </c>
      <c r="Q1753" s="173"/>
      <c r="R1753" s="167">
        <v>2998000.0</v>
      </c>
      <c r="S1753" s="173"/>
      <c r="T1753" s="173"/>
      <c r="U1753" s="173"/>
      <c r="V1753" s="168" t="s">
        <v>4262</v>
      </c>
      <c r="W1753" s="169"/>
      <c r="X1753" s="171"/>
    </row>
    <row r="1754" ht="15.0" customHeight="1">
      <c r="A1754" s="127">
        <v>45740.0</v>
      </c>
      <c r="B1754" s="181" t="s">
        <v>7357</v>
      </c>
      <c r="C1754" s="56" t="s">
        <v>2954</v>
      </c>
      <c r="D1754" s="73" t="str">
        <f>IFERROR(VLOOKUP(C1754,Stock,3,FALSE),"")</f>
        <v>Transport</v>
      </c>
      <c r="E1754" s="56">
        <v>1.0</v>
      </c>
      <c r="F1754" s="161">
        <v>50000.0</v>
      </c>
      <c r="G1754" s="162">
        <f t="shared" si="33"/>
        <v>50000</v>
      </c>
      <c r="H1754" s="194"/>
      <c r="I1754" s="161">
        <f t="shared" si="36"/>
        <v>50000</v>
      </c>
      <c r="J1754" s="164">
        <f t="shared" si="30"/>
        <v>50000</v>
      </c>
      <c r="K1754" s="56" t="s">
        <v>7358</v>
      </c>
      <c r="L1754" s="165" t="s">
        <v>7359</v>
      </c>
      <c r="M1754" s="73"/>
      <c r="N1754" s="171"/>
      <c r="O1754" s="169" t="s">
        <v>2958</v>
      </c>
      <c r="P1754" s="168" t="s">
        <v>3112</v>
      </c>
      <c r="Q1754" s="173"/>
      <c r="R1754" s="167">
        <v>50000.0</v>
      </c>
      <c r="S1754" s="173"/>
      <c r="T1754" s="173"/>
      <c r="U1754" s="173"/>
      <c r="V1754" s="168" t="s">
        <v>4262</v>
      </c>
      <c r="W1754" s="169"/>
      <c r="X1754" s="171"/>
    </row>
    <row r="1755" ht="15.0" customHeight="1">
      <c r="A1755" s="127">
        <v>45740.0</v>
      </c>
      <c r="B1755" s="181" t="s">
        <v>7360</v>
      </c>
      <c r="C1755" s="56" t="s">
        <v>2562</v>
      </c>
      <c r="D1755" s="73" t="str">
        <f>IFERROR(VLOOKUP(C1755,Stock,3,FALSE),"")</f>
        <v>Toyota Avanza / Xenia 15-21 3rd Gen</v>
      </c>
      <c r="E1755" s="56">
        <v>1.0</v>
      </c>
      <c r="F1755" s="161">
        <v>1050000.0</v>
      </c>
      <c r="G1755" s="162">
        <f t="shared" si="33"/>
        <v>1050000</v>
      </c>
      <c r="H1755" s="194"/>
      <c r="I1755" s="161">
        <f t="shared" si="36"/>
        <v>1050000</v>
      </c>
      <c r="J1755" s="164">
        <f t="shared" si="30"/>
        <v>1050000</v>
      </c>
      <c r="K1755" s="56" t="s">
        <v>4093</v>
      </c>
      <c r="L1755" s="165" t="s">
        <v>7361</v>
      </c>
      <c r="M1755" s="73"/>
      <c r="N1755" s="171"/>
      <c r="O1755" s="169" t="s">
        <v>2958</v>
      </c>
      <c r="P1755" s="168" t="s">
        <v>3112</v>
      </c>
      <c r="Q1755" s="173"/>
      <c r="R1755" s="167">
        <v>1050000.0</v>
      </c>
      <c r="S1755" s="173"/>
      <c r="T1755" s="173"/>
      <c r="U1755" s="173"/>
      <c r="V1755" s="168" t="s">
        <v>4262</v>
      </c>
      <c r="W1755" s="169"/>
      <c r="X1755" s="171"/>
    </row>
    <row r="1756" ht="15.0" customHeight="1">
      <c r="A1756" s="127">
        <v>45740.0</v>
      </c>
      <c r="B1756" s="181" t="s">
        <v>7360</v>
      </c>
      <c r="C1756" s="56" t="s">
        <v>6424</v>
      </c>
      <c r="D1756" s="73" t="str">
        <f>IFERROR(VLOOKUP(C1756,Stock,3,FALSE),"")</f>
        <v>Automotive Film Standard - Black 40%                                </v>
      </c>
      <c r="E1756" s="56">
        <v>1.0</v>
      </c>
      <c r="F1756" s="161">
        <v>350000.0</v>
      </c>
      <c r="G1756" s="162">
        <f t="shared" si="33"/>
        <v>350000</v>
      </c>
      <c r="H1756" s="201">
        <v>150000.0</v>
      </c>
      <c r="I1756" s="161">
        <f t="shared" si="36"/>
        <v>200000</v>
      </c>
      <c r="J1756" s="164">
        <f t="shared" si="30"/>
        <v>200000</v>
      </c>
      <c r="K1756" s="56" t="s">
        <v>4093</v>
      </c>
      <c r="L1756" s="165" t="s">
        <v>7361</v>
      </c>
      <c r="M1756" s="73"/>
      <c r="N1756" s="171"/>
      <c r="O1756" s="169" t="s">
        <v>2958</v>
      </c>
      <c r="P1756" s="168" t="s">
        <v>3112</v>
      </c>
      <c r="Q1756" s="173"/>
      <c r="R1756" s="167">
        <v>200000.0</v>
      </c>
      <c r="S1756" s="173"/>
      <c r="T1756" s="173"/>
      <c r="U1756" s="173"/>
      <c r="V1756" s="168" t="s">
        <v>4262</v>
      </c>
      <c r="W1756" s="169"/>
      <c r="X1756" s="171"/>
    </row>
    <row r="1757" ht="15.0" customHeight="1">
      <c r="A1757" s="127">
        <v>45740.0</v>
      </c>
      <c r="B1757" s="181" t="s">
        <v>7362</v>
      </c>
      <c r="C1757" s="56" t="s">
        <v>4063</v>
      </c>
      <c r="D1757" s="73" t="str">
        <f>IFERROR(VLOOKUP(C1757,Stock,3,FALSE),"")</f>
        <v>Mitsubishi Xpander 17-21 / Livina 19- 2nd Gen (Mitsubishi)</v>
      </c>
      <c r="E1757" s="56">
        <v>1.0</v>
      </c>
      <c r="F1757" s="161">
        <v>1200000.0</v>
      </c>
      <c r="G1757" s="162">
        <f t="shared" si="33"/>
        <v>1200000</v>
      </c>
      <c r="H1757" s="194"/>
      <c r="I1757" s="161">
        <f t="shared" si="36"/>
        <v>1200000</v>
      </c>
      <c r="J1757" s="164">
        <f t="shared" si="30"/>
        <v>1200000</v>
      </c>
      <c r="K1757" s="56" t="s">
        <v>7363</v>
      </c>
      <c r="L1757" s="165" t="s">
        <v>7364</v>
      </c>
      <c r="M1757" s="73"/>
      <c r="N1757" s="171"/>
      <c r="O1757" s="169" t="s">
        <v>3037</v>
      </c>
      <c r="P1757" s="168" t="s">
        <v>3112</v>
      </c>
      <c r="Q1757" s="173"/>
      <c r="R1757" s="167">
        <v>1200000.0</v>
      </c>
      <c r="S1757" s="173"/>
      <c r="T1757" s="173"/>
      <c r="U1757" s="173"/>
      <c r="V1757" s="168" t="s">
        <v>4262</v>
      </c>
      <c r="W1757" s="169"/>
      <c r="X1757" s="171"/>
    </row>
    <row r="1758" ht="15.0" customHeight="1">
      <c r="A1758" s="127">
        <v>45740.0</v>
      </c>
      <c r="B1758" s="181" t="s">
        <v>7362</v>
      </c>
      <c r="C1758" s="56" t="s">
        <v>2954</v>
      </c>
      <c r="D1758" s="73" t="str">
        <f>IFERROR(VLOOKUP(C1758,Stock,3,FALSE),"")</f>
        <v>Transport</v>
      </c>
      <c r="E1758" s="56">
        <v>1.0</v>
      </c>
      <c r="F1758" s="161">
        <v>250000.0</v>
      </c>
      <c r="G1758" s="162">
        <f t="shared" si="33"/>
        <v>250000</v>
      </c>
      <c r="H1758" s="194"/>
      <c r="I1758" s="161">
        <f t="shared" si="36"/>
        <v>250000</v>
      </c>
      <c r="J1758" s="164">
        <f t="shared" si="30"/>
        <v>250000</v>
      </c>
      <c r="K1758" s="56" t="s">
        <v>7363</v>
      </c>
      <c r="L1758" s="165" t="s">
        <v>7364</v>
      </c>
      <c r="M1758" s="73"/>
      <c r="N1758" s="171"/>
      <c r="O1758" s="169" t="s">
        <v>3037</v>
      </c>
      <c r="P1758" s="168" t="s">
        <v>3112</v>
      </c>
      <c r="Q1758" s="173"/>
      <c r="R1758" s="167">
        <v>250000.0</v>
      </c>
      <c r="S1758" s="173"/>
      <c r="T1758" s="173"/>
      <c r="U1758" s="173"/>
      <c r="V1758" s="168" t="s">
        <v>4262</v>
      </c>
      <c r="W1758" s="169"/>
      <c r="X1758" s="171"/>
    </row>
    <row r="1759" ht="15.0" customHeight="1">
      <c r="A1759" s="127">
        <v>45740.0</v>
      </c>
      <c r="B1759" s="181" t="s">
        <v>7365</v>
      </c>
      <c r="C1759" s="56" t="s">
        <v>3104</v>
      </c>
      <c r="D1759" s="73" t="str">
        <f>IFERROR(VLOOKUP(C1759,Stock,3,FALSE),"")</f>
        <v>Toyota Innova 15- 2nd Gen</v>
      </c>
      <c r="E1759" s="56">
        <v>1.0</v>
      </c>
      <c r="F1759" s="161">
        <v>1319000.0</v>
      </c>
      <c r="G1759" s="162">
        <f t="shared" si="33"/>
        <v>1319000</v>
      </c>
      <c r="H1759" s="194"/>
      <c r="I1759" s="161">
        <f t="shared" si="36"/>
        <v>1319000</v>
      </c>
      <c r="J1759" s="164">
        <f t="shared" si="30"/>
        <v>1319000</v>
      </c>
      <c r="K1759" s="56" t="s">
        <v>7366</v>
      </c>
      <c r="L1759" s="165" t="s">
        <v>7367</v>
      </c>
      <c r="M1759" s="73"/>
      <c r="N1759" s="171"/>
      <c r="O1759" s="169" t="s">
        <v>2958</v>
      </c>
      <c r="P1759" s="168" t="s">
        <v>3112</v>
      </c>
      <c r="Q1759" s="167">
        <v>1319000.0</v>
      </c>
      <c r="R1759" s="173"/>
      <c r="S1759" s="173"/>
      <c r="T1759" s="173"/>
      <c r="U1759" s="173"/>
      <c r="V1759" s="168" t="s">
        <v>4262</v>
      </c>
      <c r="W1759" s="169"/>
      <c r="X1759" s="171"/>
    </row>
    <row r="1760" ht="15.0" customHeight="1">
      <c r="A1760" s="127">
        <v>45740.0</v>
      </c>
      <c r="B1760" s="181" t="s">
        <v>7368</v>
      </c>
      <c r="C1760" s="56" t="s">
        <v>2549</v>
      </c>
      <c r="D1760" s="73" t="str">
        <f>IFERROR(VLOOKUP(C1760,Stock,3,FALSE),"")</f>
        <v>Toyota Avanza / Xenia 11-15 2nd Gen</v>
      </c>
      <c r="E1760" s="56">
        <v>1.0</v>
      </c>
      <c r="F1760" s="161">
        <v>1020000.0</v>
      </c>
      <c r="G1760" s="162">
        <f t="shared" si="33"/>
        <v>1020000</v>
      </c>
      <c r="H1760" s="201">
        <v>20000.0</v>
      </c>
      <c r="I1760" s="161">
        <f t="shared" si="36"/>
        <v>1000000</v>
      </c>
      <c r="J1760" s="164">
        <f t="shared" si="30"/>
        <v>1000000</v>
      </c>
      <c r="K1760" s="56" t="s">
        <v>7369</v>
      </c>
      <c r="L1760" s="165" t="s">
        <v>7370</v>
      </c>
      <c r="M1760" s="73"/>
      <c r="N1760" s="171"/>
      <c r="O1760" s="169" t="s">
        <v>2958</v>
      </c>
      <c r="P1760" s="168" t="s">
        <v>3112</v>
      </c>
      <c r="Q1760" s="173"/>
      <c r="R1760" s="167">
        <v>1000000.0</v>
      </c>
      <c r="S1760" s="173"/>
      <c r="T1760" s="173"/>
      <c r="U1760" s="173"/>
      <c r="V1760" s="168" t="s">
        <v>4262</v>
      </c>
      <c r="W1760" s="169"/>
      <c r="X1760" s="171"/>
    </row>
    <row r="1761" ht="15.0" customHeight="1">
      <c r="A1761" s="452">
        <v>45740.0</v>
      </c>
      <c r="B1761" s="453" t="s">
        <v>7371</v>
      </c>
      <c r="C1761" s="454" t="s">
        <v>4340</v>
      </c>
      <c r="D1761" s="455" t="str">
        <f>IFERROR(VLOOKUP(C1761,Stock,3,FALSE),"")</f>
        <v/>
      </c>
      <c r="E1761" s="454">
        <v>1.0</v>
      </c>
      <c r="F1761" s="456">
        <v>380000.0</v>
      </c>
      <c r="G1761" s="457">
        <f t="shared" si="33"/>
        <v>380000</v>
      </c>
      <c r="H1761" s="458"/>
      <c r="I1761" s="456">
        <f t="shared" si="36"/>
        <v>380000</v>
      </c>
      <c r="J1761" s="459">
        <f t="shared" si="30"/>
        <v>380000</v>
      </c>
      <c r="K1761" s="454" t="s">
        <v>7372</v>
      </c>
      <c r="L1761" s="460" t="s">
        <v>7373</v>
      </c>
      <c r="M1761" s="455"/>
      <c r="N1761" s="422"/>
      <c r="O1761" s="317" t="s">
        <v>2958</v>
      </c>
      <c r="P1761" s="461" t="s">
        <v>3112</v>
      </c>
      <c r="Q1761" s="462"/>
      <c r="R1761" s="463">
        <v>380000.0</v>
      </c>
      <c r="S1761" s="462"/>
      <c r="T1761" s="462"/>
      <c r="U1761" s="462"/>
      <c r="V1761" s="461" t="s">
        <v>4262</v>
      </c>
      <c r="W1761" s="317"/>
      <c r="X1761" s="171"/>
    </row>
    <row r="1762" ht="15.0" customHeight="1">
      <c r="A1762" s="452">
        <v>45740.0</v>
      </c>
      <c r="B1762" s="453" t="s">
        <v>7371</v>
      </c>
      <c r="C1762" s="454" t="s">
        <v>4340</v>
      </c>
      <c r="D1762" s="455" t="str">
        <f>IFERROR(VLOOKUP(C1762,Stock,3,FALSE),"")</f>
        <v/>
      </c>
      <c r="E1762" s="454"/>
      <c r="F1762" s="456"/>
      <c r="G1762" s="457">
        <f t="shared" si="33"/>
        <v>0</v>
      </c>
      <c r="H1762" s="458"/>
      <c r="I1762" s="456">
        <f t="shared" si="36"/>
        <v>0</v>
      </c>
      <c r="J1762" s="459">
        <f t="shared" si="30"/>
        <v>0</v>
      </c>
      <c r="K1762" s="454" t="s">
        <v>7372</v>
      </c>
      <c r="L1762" s="460" t="s">
        <v>7373</v>
      </c>
      <c r="M1762" s="455"/>
      <c r="N1762" s="422"/>
      <c r="O1762" s="317" t="s">
        <v>2958</v>
      </c>
      <c r="P1762" s="461" t="s">
        <v>3112</v>
      </c>
      <c r="Q1762" s="462"/>
      <c r="R1762" s="462"/>
      <c r="S1762" s="462"/>
      <c r="T1762" s="462"/>
      <c r="U1762" s="462"/>
      <c r="V1762" s="461" t="s">
        <v>4262</v>
      </c>
      <c r="W1762" s="317"/>
      <c r="X1762" s="171"/>
    </row>
    <row r="1763" ht="15.0" customHeight="1">
      <c r="A1763" s="127">
        <v>45741.0</v>
      </c>
      <c r="B1763" s="181" t="s">
        <v>7374</v>
      </c>
      <c r="C1763" s="56" t="s">
        <v>4038</v>
      </c>
      <c r="D1763" s="73" t="str">
        <f>IFERROR(VLOOKUP(C1763,Stock,3,FALSE),"")</f>
        <v>Suzuki Carry New 19-</v>
      </c>
      <c r="E1763" s="56">
        <v>1.0</v>
      </c>
      <c r="F1763" s="161">
        <v>1200000.0</v>
      </c>
      <c r="G1763" s="162">
        <f t="shared" si="33"/>
        <v>1200000</v>
      </c>
      <c r="H1763" s="194"/>
      <c r="I1763" s="161">
        <f t="shared" si="36"/>
        <v>1200000</v>
      </c>
      <c r="J1763" s="164">
        <f t="shared" si="30"/>
        <v>1200000</v>
      </c>
      <c r="K1763" s="56" t="s">
        <v>7375</v>
      </c>
      <c r="L1763" s="165" t="s">
        <v>7376</v>
      </c>
      <c r="M1763" s="73"/>
      <c r="N1763" s="289" t="s">
        <v>7377</v>
      </c>
      <c r="O1763" s="169" t="s">
        <v>2958</v>
      </c>
      <c r="P1763" s="168" t="s">
        <v>3112</v>
      </c>
      <c r="Q1763" s="167">
        <v>1200000.0</v>
      </c>
      <c r="R1763" s="173"/>
      <c r="S1763" s="173"/>
      <c r="T1763" s="173"/>
      <c r="U1763" s="173"/>
      <c r="V1763" s="168" t="s">
        <v>3799</v>
      </c>
      <c r="W1763" s="169"/>
      <c r="X1763" s="171"/>
    </row>
    <row r="1764" ht="15.0" customHeight="1">
      <c r="A1764" s="127">
        <v>45741.0</v>
      </c>
      <c r="B1764" s="181" t="s">
        <v>7378</v>
      </c>
      <c r="C1764" s="56" t="s">
        <v>2694</v>
      </c>
      <c r="D1764" s="73" t="str">
        <f>IFERROR(VLOOKUP(C1764,Stock,3,FALSE),"")</f>
        <v>Honda CR-V 17-23 5th Gen</v>
      </c>
      <c r="E1764" s="56">
        <v>1.0</v>
      </c>
      <c r="F1764" s="161">
        <v>2182000.0</v>
      </c>
      <c r="G1764" s="162">
        <f t="shared" si="33"/>
        <v>2182000</v>
      </c>
      <c r="H1764" s="194"/>
      <c r="I1764" s="161">
        <f t="shared" si="36"/>
        <v>2182000</v>
      </c>
      <c r="J1764" s="164">
        <f t="shared" si="30"/>
        <v>2182000</v>
      </c>
      <c r="K1764" s="197" t="s">
        <v>7379</v>
      </c>
      <c r="L1764" s="165" t="s">
        <v>7380</v>
      </c>
      <c r="M1764" s="73"/>
      <c r="N1764" s="171"/>
      <c r="O1764" s="169" t="s">
        <v>2958</v>
      </c>
      <c r="P1764" s="168" t="s">
        <v>3112</v>
      </c>
      <c r="Q1764" s="173"/>
      <c r="R1764" s="167">
        <v>2182000.0</v>
      </c>
      <c r="S1764" s="173"/>
      <c r="T1764" s="173"/>
      <c r="U1764" s="173"/>
      <c r="V1764" s="168" t="s">
        <v>3799</v>
      </c>
      <c r="W1764" s="169"/>
      <c r="X1764" s="171"/>
    </row>
    <row r="1765" ht="15.0" customHeight="1">
      <c r="A1765" s="127">
        <v>45741.0</v>
      </c>
      <c r="B1765" s="181" t="s">
        <v>7378</v>
      </c>
      <c r="C1765" s="56" t="s">
        <v>2954</v>
      </c>
      <c r="D1765" s="73" t="str">
        <f>IFERROR(VLOOKUP(C1765,Stock,3,FALSE),"")</f>
        <v>Transport</v>
      </c>
      <c r="E1765" s="56">
        <v>1.0</v>
      </c>
      <c r="F1765" s="161">
        <v>100000.0</v>
      </c>
      <c r="G1765" s="162">
        <f t="shared" si="33"/>
        <v>100000</v>
      </c>
      <c r="H1765" s="194"/>
      <c r="I1765" s="161">
        <f t="shared" si="36"/>
        <v>100000</v>
      </c>
      <c r="J1765" s="164">
        <f t="shared" si="30"/>
        <v>100000</v>
      </c>
      <c r="K1765" s="197" t="s">
        <v>7379</v>
      </c>
      <c r="L1765" s="165" t="s">
        <v>7380</v>
      </c>
      <c r="M1765" s="73"/>
      <c r="N1765" s="171"/>
      <c r="O1765" s="169" t="s">
        <v>2958</v>
      </c>
      <c r="P1765" s="168" t="s">
        <v>3112</v>
      </c>
      <c r="Q1765" s="173"/>
      <c r="R1765" s="167">
        <v>100000.0</v>
      </c>
      <c r="S1765" s="173"/>
      <c r="T1765" s="173"/>
      <c r="U1765" s="173"/>
      <c r="V1765" s="168" t="s">
        <v>3799</v>
      </c>
      <c r="W1765" s="169"/>
      <c r="X1765" s="171"/>
    </row>
    <row r="1766" ht="15.0" customHeight="1">
      <c r="A1766" s="127">
        <v>45742.0</v>
      </c>
      <c r="B1766" s="181" t="s">
        <v>7381</v>
      </c>
      <c r="C1766" s="251" t="s">
        <v>3149</v>
      </c>
      <c r="D1766" s="73" t="str">
        <f>IFERROR(VLOOKUP(C1766,Stock,3,FALSE),"")</f>
        <v>Honda CR-V 12-16 4th Gen [Rata]</v>
      </c>
      <c r="E1766" s="56">
        <v>1.0</v>
      </c>
      <c r="F1766" s="161">
        <v>1346000.0</v>
      </c>
      <c r="G1766" s="162">
        <f t="shared" si="33"/>
        <v>1346000</v>
      </c>
      <c r="H1766" s="194"/>
      <c r="I1766" s="161">
        <f t="shared" si="36"/>
        <v>1346000</v>
      </c>
      <c r="J1766" s="164">
        <f t="shared" si="30"/>
        <v>1346000</v>
      </c>
      <c r="K1766" s="56" t="s">
        <v>7382</v>
      </c>
      <c r="L1766" s="165" t="s">
        <v>7383</v>
      </c>
      <c r="M1766" s="73"/>
      <c r="N1766" s="171"/>
      <c r="O1766" s="169" t="s">
        <v>4543</v>
      </c>
      <c r="P1766" s="168" t="s">
        <v>5077</v>
      </c>
      <c r="Q1766" s="173"/>
      <c r="R1766" s="173"/>
      <c r="S1766" s="167">
        <v>1346000.0</v>
      </c>
      <c r="T1766" s="449">
        <v>100950.0</v>
      </c>
      <c r="U1766" s="173"/>
      <c r="V1766" s="168" t="s">
        <v>3883</v>
      </c>
      <c r="W1766" s="169"/>
      <c r="X1766" s="171"/>
    </row>
    <row r="1767" ht="15.0" customHeight="1">
      <c r="A1767" s="127">
        <v>45742.0</v>
      </c>
      <c r="B1767" s="181" t="s">
        <v>7381</v>
      </c>
      <c r="C1767" s="56" t="s">
        <v>2934</v>
      </c>
      <c r="D1767" s="73" t="str">
        <f>IFERROR(VLOOKUP(C1767,Stock,3,FALSE),"")</f>
        <v>Peti Kayu</v>
      </c>
      <c r="E1767" s="56">
        <v>1.0</v>
      </c>
      <c r="F1767" s="161">
        <v>200000.0</v>
      </c>
      <c r="G1767" s="162">
        <f t="shared" si="33"/>
        <v>200000</v>
      </c>
      <c r="H1767" s="194"/>
      <c r="I1767" s="161">
        <f t="shared" si="36"/>
        <v>200000</v>
      </c>
      <c r="J1767" s="164">
        <f t="shared" si="30"/>
        <v>200000</v>
      </c>
      <c r="K1767" s="56" t="s">
        <v>7382</v>
      </c>
      <c r="L1767" s="165" t="s">
        <v>7383</v>
      </c>
      <c r="M1767" s="73"/>
      <c r="N1767" s="171"/>
      <c r="O1767" s="169" t="s">
        <v>4543</v>
      </c>
      <c r="P1767" s="168" t="s">
        <v>5077</v>
      </c>
      <c r="Q1767" s="173"/>
      <c r="R1767" s="167">
        <v>200000.0</v>
      </c>
      <c r="S1767" s="173"/>
      <c r="T1767" s="173"/>
      <c r="U1767" s="173"/>
      <c r="V1767" s="168" t="s">
        <v>3883</v>
      </c>
      <c r="W1767" s="169"/>
      <c r="X1767" s="171"/>
    </row>
    <row r="1768" ht="15.0" customHeight="1">
      <c r="A1768" s="127">
        <v>45742.0</v>
      </c>
      <c r="B1768" s="181" t="s">
        <v>7384</v>
      </c>
      <c r="C1768" s="56" t="s">
        <v>3549</v>
      </c>
      <c r="D1768" s="73" t="str">
        <f>IFERROR(VLOOKUP(C1768,Stock,3,FALSE),"")</f>
        <v>Toyota Fortuner 05-15 1st Gen</v>
      </c>
      <c r="E1768" s="56">
        <v>1.0</v>
      </c>
      <c r="F1768" s="161">
        <v>3633000.0</v>
      </c>
      <c r="G1768" s="162">
        <f t="shared" si="33"/>
        <v>3633000</v>
      </c>
      <c r="H1768" s="194"/>
      <c r="I1768" s="161">
        <f t="shared" si="36"/>
        <v>3633000</v>
      </c>
      <c r="J1768" s="164">
        <f t="shared" si="30"/>
        <v>3633000</v>
      </c>
      <c r="K1768" s="56" t="s">
        <v>7385</v>
      </c>
      <c r="L1768" s="165" t="s">
        <v>7386</v>
      </c>
      <c r="M1768" s="73"/>
      <c r="N1768" s="171"/>
      <c r="O1768" s="169" t="s">
        <v>3184</v>
      </c>
      <c r="P1768" s="168" t="s">
        <v>3112</v>
      </c>
      <c r="Q1768" s="167">
        <v>3633000.0</v>
      </c>
      <c r="R1768" s="173"/>
      <c r="S1768" s="173"/>
      <c r="T1768" s="173"/>
      <c r="U1768" s="173"/>
      <c r="V1768" s="168" t="s">
        <v>3883</v>
      </c>
      <c r="W1768" s="169"/>
      <c r="X1768" s="171"/>
    </row>
    <row r="1769" ht="15.0" customHeight="1">
      <c r="A1769" s="127">
        <v>45743.0</v>
      </c>
      <c r="B1769" s="181" t="s">
        <v>7387</v>
      </c>
      <c r="C1769" s="56" t="s">
        <v>2698</v>
      </c>
      <c r="D1769" s="73" t="str">
        <f>IFERROR(VLOOKUP(C1769,Stock,3,FALSE),"")</f>
        <v>Honda CR-V 17- 5th Gen</v>
      </c>
      <c r="E1769" s="56">
        <v>1.0</v>
      </c>
      <c r="F1769" s="161">
        <v>1952000.0</v>
      </c>
      <c r="G1769" s="162">
        <f t="shared" si="33"/>
        <v>1952000</v>
      </c>
      <c r="H1769" s="194"/>
      <c r="I1769" s="161">
        <f t="shared" si="36"/>
        <v>1952000</v>
      </c>
      <c r="J1769" s="164">
        <f t="shared" si="30"/>
        <v>1952000</v>
      </c>
      <c r="K1769" s="56" t="s">
        <v>7388</v>
      </c>
      <c r="L1769" s="165" t="s">
        <v>7389</v>
      </c>
      <c r="M1769" s="73"/>
      <c r="N1769" s="171"/>
      <c r="O1769" s="169" t="s">
        <v>2958</v>
      </c>
      <c r="P1769" s="168" t="s">
        <v>3645</v>
      </c>
      <c r="Q1769" s="173"/>
      <c r="R1769" s="167">
        <v>1952000.0</v>
      </c>
      <c r="S1769" s="173"/>
      <c r="T1769" s="173"/>
      <c r="U1769" s="173"/>
      <c r="V1769" s="168" t="s">
        <v>3883</v>
      </c>
      <c r="W1769" s="169"/>
      <c r="X1769" s="171"/>
    </row>
    <row r="1770" ht="15.0" customHeight="1">
      <c r="A1770" s="127">
        <v>45743.0</v>
      </c>
      <c r="B1770" s="181" t="s">
        <v>7387</v>
      </c>
      <c r="C1770" s="56" t="s">
        <v>2954</v>
      </c>
      <c r="D1770" s="73" t="str">
        <f>IFERROR(VLOOKUP(C1770,Stock,3,FALSE),"")</f>
        <v>Transport</v>
      </c>
      <c r="E1770" s="56">
        <v>1.0</v>
      </c>
      <c r="F1770" s="161">
        <v>50000.0</v>
      </c>
      <c r="G1770" s="162">
        <f t="shared" si="33"/>
        <v>50000</v>
      </c>
      <c r="H1770" s="194"/>
      <c r="I1770" s="161">
        <f t="shared" si="36"/>
        <v>50000</v>
      </c>
      <c r="J1770" s="164">
        <f t="shared" si="30"/>
        <v>50000</v>
      </c>
      <c r="K1770" s="56" t="s">
        <v>7388</v>
      </c>
      <c r="L1770" s="165" t="s">
        <v>7389</v>
      </c>
      <c r="M1770" s="73"/>
      <c r="N1770" s="171"/>
      <c r="O1770" s="169" t="s">
        <v>2958</v>
      </c>
      <c r="P1770" s="168" t="s">
        <v>3645</v>
      </c>
      <c r="Q1770" s="173"/>
      <c r="R1770" s="167">
        <v>50000.0</v>
      </c>
      <c r="S1770" s="173"/>
      <c r="T1770" s="173"/>
      <c r="U1770" s="173"/>
      <c r="V1770" s="168" t="s">
        <v>3883</v>
      </c>
      <c r="W1770" s="169"/>
      <c r="X1770" s="171"/>
    </row>
    <row r="1771" ht="15.0" customHeight="1">
      <c r="A1771" s="127">
        <v>45743.0</v>
      </c>
      <c r="B1771" s="181" t="s">
        <v>7390</v>
      </c>
      <c r="C1771" s="56" t="s">
        <v>3186</v>
      </c>
      <c r="D1771" s="73" t="str">
        <f>IFERROR(VLOOKUP(C1771,Stock,3,FALSE),"")</f>
        <v>Daihatsu Gran Max / Luxio 07-</v>
      </c>
      <c r="E1771" s="56">
        <v>1.0</v>
      </c>
      <c r="F1771" s="161">
        <v>880000.0</v>
      </c>
      <c r="G1771" s="162">
        <f t="shared" si="33"/>
        <v>880000</v>
      </c>
      <c r="H1771" s="194"/>
      <c r="I1771" s="161">
        <f t="shared" si="36"/>
        <v>880000</v>
      </c>
      <c r="J1771" s="164">
        <f t="shared" si="30"/>
        <v>880000</v>
      </c>
      <c r="K1771" s="56" t="s">
        <v>5783</v>
      </c>
      <c r="L1771" s="165" t="s">
        <v>7391</v>
      </c>
      <c r="M1771" s="73"/>
      <c r="N1771" s="171"/>
      <c r="O1771" s="169" t="s">
        <v>2958</v>
      </c>
      <c r="P1771" s="168" t="s">
        <v>3112</v>
      </c>
      <c r="Q1771" s="173"/>
      <c r="R1771" s="167">
        <v>880000.0</v>
      </c>
      <c r="S1771" s="173"/>
      <c r="T1771" s="173"/>
      <c r="U1771" s="173"/>
      <c r="V1771" s="168" t="s">
        <v>3883</v>
      </c>
      <c r="W1771" s="169"/>
      <c r="X1771" s="171"/>
    </row>
    <row r="1772" ht="15.0" customHeight="1">
      <c r="A1772" s="127">
        <v>45743.0</v>
      </c>
      <c r="B1772" s="181" t="s">
        <v>7390</v>
      </c>
      <c r="C1772" s="56" t="s">
        <v>2934</v>
      </c>
      <c r="D1772" s="73" t="str">
        <f>IFERROR(VLOOKUP(C1772,Stock,3,FALSE),"")</f>
        <v>Peti Kayu</v>
      </c>
      <c r="E1772" s="56">
        <v>1.0</v>
      </c>
      <c r="F1772" s="161">
        <v>200000.0</v>
      </c>
      <c r="G1772" s="162">
        <f t="shared" si="33"/>
        <v>200000</v>
      </c>
      <c r="H1772" s="194"/>
      <c r="I1772" s="161">
        <f t="shared" si="36"/>
        <v>200000</v>
      </c>
      <c r="J1772" s="164">
        <f t="shared" si="30"/>
        <v>200000</v>
      </c>
      <c r="K1772" s="56" t="s">
        <v>5783</v>
      </c>
      <c r="L1772" s="165" t="s">
        <v>7391</v>
      </c>
      <c r="M1772" s="73"/>
      <c r="N1772" s="171"/>
      <c r="O1772" s="169" t="s">
        <v>2958</v>
      </c>
      <c r="P1772" s="168" t="s">
        <v>3112</v>
      </c>
      <c r="Q1772" s="173"/>
      <c r="R1772" s="167">
        <v>200000.0</v>
      </c>
      <c r="S1772" s="173"/>
      <c r="T1772" s="173"/>
      <c r="U1772" s="173"/>
      <c r="V1772" s="168" t="s">
        <v>3883</v>
      </c>
      <c r="W1772" s="169"/>
      <c r="X1772" s="171"/>
    </row>
    <row r="1773" ht="15.0" customHeight="1">
      <c r="A1773" s="127">
        <v>45743.0</v>
      </c>
      <c r="B1773" s="181" t="s">
        <v>7390</v>
      </c>
      <c r="C1773" s="56" t="s">
        <v>2954</v>
      </c>
      <c r="D1773" s="73" t="str">
        <f>IFERROR(VLOOKUP(C1773,Stock,3,FALSE),"")</f>
        <v>Transport</v>
      </c>
      <c r="E1773" s="56">
        <v>1.0</v>
      </c>
      <c r="F1773" s="161">
        <v>70000.0</v>
      </c>
      <c r="G1773" s="162">
        <f t="shared" si="33"/>
        <v>70000</v>
      </c>
      <c r="H1773" s="194"/>
      <c r="I1773" s="161">
        <f t="shared" si="36"/>
        <v>70000</v>
      </c>
      <c r="J1773" s="164">
        <f t="shared" si="30"/>
        <v>70000</v>
      </c>
      <c r="K1773" s="131" t="s">
        <v>5783</v>
      </c>
      <c r="L1773" s="165" t="s">
        <v>7391</v>
      </c>
      <c r="M1773" s="73"/>
      <c r="N1773" s="171"/>
      <c r="O1773" s="169" t="s">
        <v>2958</v>
      </c>
      <c r="P1773" s="168" t="s">
        <v>3112</v>
      </c>
      <c r="Q1773" s="173"/>
      <c r="R1773" s="167">
        <v>70000.0</v>
      </c>
      <c r="S1773" s="173"/>
      <c r="T1773" s="173"/>
      <c r="U1773" s="173"/>
      <c r="V1773" s="168" t="s">
        <v>3883</v>
      </c>
      <c r="W1773" s="169"/>
      <c r="X1773" s="171"/>
    </row>
    <row r="1774" ht="15.0" customHeight="1">
      <c r="A1774" s="127">
        <v>45743.0</v>
      </c>
      <c r="B1774" s="181" t="s">
        <v>7392</v>
      </c>
      <c r="C1774" s="56" t="s">
        <v>7393</v>
      </c>
      <c r="D1774" s="73" t="str">
        <f>IFERROR(VLOOKUP(C1774,Stock,3,FALSE),"")</f>
        <v>Honda Mobilio 11-</v>
      </c>
      <c r="E1774" s="56">
        <v>1.0</v>
      </c>
      <c r="F1774" s="161">
        <v>1035000.0</v>
      </c>
      <c r="G1774" s="162">
        <f t="shared" si="33"/>
        <v>1035000</v>
      </c>
      <c r="H1774" s="194"/>
      <c r="I1774" s="161">
        <f t="shared" si="36"/>
        <v>1035000</v>
      </c>
      <c r="J1774" s="164">
        <f t="shared" si="30"/>
        <v>1035000</v>
      </c>
      <c r="K1774" s="56" t="s">
        <v>5387</v>
      </c>
      <c r="L1774" s="165" t="s">
        <v>7394</v>
      </c>
      <c r="M1774" s="73"/>
      <c r="N1774" s="171"/>
      <c r="O1774" s="169" t="s">
        <v>2958</v>
      </c>
      <c r="P1774" s="168" t="s">
        <v>3112</v>
      </c>
      <c r="Q1774" s="167">
        <v>1035000.0</v>
      </c>
      <c r="R1774" s="173"/>
      <c r="S1774" s="173"/>
      <c r="T1774" s="173"/>
      <c r="U1774" s="173"/>
      <c r="V1774" s="168" t="s">
        <v>3883</v>
      </c>
      <c r="W1774" s="169"/>
      <c r="X1774" s="171"/>
    </row>
    <row r="1775" ht="15.0" customHeight="1">
      <c r="A1775" s="127">
        <v>45744.0</v>
      </c>
      <c r="B1775" s="181" t="s">
        <v>7395</v>
      </c>
      <c r="C1775" s="56" t="s">
        <v>3290</v>
      </c>
      <c r="D1775" s="73" t="str">
        <f>IFERROR(VLOOKUP(C1775,Stock,3,FALSE),"")</f>
        <v>Toyota Innova 04-15 1st Gen</v>
      </c>
      <c r="E1775" s="56">
        <v>1.0</v>
      </c>
      <c r="F1775" s="161">
        <v>1449000.0</v>
      </c>
      <c r="G1775" s="162">
        <f t="shared" si="33"/>
        <v>1449000</v>
      </c>
      <c r="H1775" s="201"/>
      <c r="I1775" s="161">
        <f t="shared" si="36"/>
        <v>1449000</v>
      </c>
      <c r="J1775" s="164">
        <f t="shared" si="30"/>
        <v>1449000</v>
      </c>
      <c r="K1775" s="56" t="s">
        <v>7396</v>
      </c>
      <c r="L1775" s="165" t="s">
        <v>7397</v>
      </c>
      <c r="M1775" s="73"/>
      <c r="N1775" s="171"/>
      <c r="O1775" s="169" t="s">
        <v>3204</v>
      </c>
      <c r="P1775" s="168" t="s">
        <v>3112</v>
      </c>
      <c r="Q1775" s="173"/>
      <c r="R1775" s="167">
        <v>1449000.0</v>
      </c>
      <c r="S1775" s="173"/>
      <c r="T1775" s="173"/>
      <c r="U1775" s="173"/>
      <c r="V1775" s="168" t="s">
        <v>3883</v>
      </c>
      <c r="W1775" s="169"/>
      <c r="X1775" s="171"/>
    </row>
    <row r="1776" ht="15.0" customHeight="1">
      <c r="A1776" s="127">
        <v>45744.0</v>
      </c>
      <c r="B1776" s="181" t="s">
        <v>7395</v>
      </c>
      <c r="C1776" s="56" t="s">
        <v>2954</v>
      </c>
      <c r="D1776" s="73" t="str">
        <f>IFERROR(VLOOKUP(C1776,Stock,3,FALSE),"")</f>
        <v>Transport</v>
      </c>
      <c r="E1776" s="56">
        <v>1.0</v>
      </c>
      <c r="F1776" s="161">
        <v>150000.0</v>
      </c>
      <c r="G1776" s="162">
        <f t="shared" si="33"/>
        <v>150000</v>
      </c>
      <c r="H1776" s="194"/>
      <c r="I1776" s="161">
        <f t="shared" si="36"/>
        <v>150000</v>
      </c>
      <c r="J1776" s="164">
        <f t="shared" si="30"/>
        <v>150000</v>
      </c>
      <c r="K1776" s="56" t="s">
        <v>7398</v>
      </c>
      <c r="L1776" s="165" t="s">
        <v>7397</v>
      </c>
      <c r="M1776" s="73"/>
      <c r="N1776" s="171"/>
      <c r="O1776" s="169" t="s">
        <v>3204</v>
      </c>
      <c r="P1776" s="168" t="s">
        <v>3112</v>
      </c>
      <c r="Q1776" s="173"/>
      <c r="R1776" s="167">
        <v>150000.0</v>
      </c>
      <c r="S1776" s="173"/>
      <c r="T1776" s="173"/>
      <c r="U1776" s="173"/>
      <c r="V1776" s="168" t="s">
        <v>3883</v>
      </c>
      <c r="W1776" s="169"/>
      <c r="X1776" s="171"/>
    </row>
    <row r="1777" ht="15.0" customHeight="1">
      <c r="A1777" s="127">
        <v>45744.0</v>
      </c>
      <c r="B1777" s="181" t="s">
        <v>7395</v>
      </c>
      <c r="C1777" s="56" t="s">
        <v>3355</v>
      </c>
      <c r="D1777" s="73" t="str">
        <f>IFERROR(VLOOKUP(C1777,Stock,3,FALSE),"")</f>
        <v>List Kaca Depan INV</v>
      </c>
      <c r="E1777" s="56">
        <v>1.0</v>
      </c>
      <c r="F1777" s="161">
        <v>315000.0</v>
      </c>
      <c r="G1777" s="162">
        <f t="shared" si="33"/>
        <v>315000</v>
      </c>
      <c r="H1777" s="194"/>
      <c r="I1777" s="161">
        <f t="shared" si="36"/>
        <v>315000</v>
      </c>
      <c r="J1777" s="164">
        <f t="shared" si="30"/>
        <v>315000</v>
      </c>
      <c r="K1777" s="56" t="s">
        <v>7396</v>
      </c>
      <c r="L1777" s="165" t="s">
        <v>7397</v>
      </c>
      <c r="M1777" s="73"/>
      <c r="N1777" s="171"/>
      <c r="O1777" s="169" t="s">
        <v>3204</v>
      </c>
      <c r="P1777" s="168" t="s">
        <v>3112</v>
      </c>
      <c r="Q1777" s="173"/>
      <c r="R1777" s="167">
        <v>315000.0</v>
      </c>
      <c r="S1777" s="173"/>
      <c r="T1777" s="173"/>
      <c r="U1777" s="173"/>
      <c r="V1777" s="168" t="s">
        <v>3883</v>
      </c>
      <c r="W1777" s="169"/>
      <c r="X1777" s="171"/>
    </row>
    <row r="1778" ht="15.0" customHeight="1">
      <c r="A1778" s="127">
        <v>45744.0</v>
      </c>
      <c r="B1778" s="181" t="s">
        <v>7399</v>
      </c>
      <c r="C1778" s="56" t="s">
        <v>3201</v>
      </c>
      <c r="D1778" s="73" t="str">
        <f>IFERROR(VLOOKUP(C1778,Stock,3,FALSE),"")</f>
        <v>Honda Freed 08-16 1st gen</v>
      </c>
      <c r="E1778" s="56">
        <v>1.0</v>
      </c>
      <c r="F1778" s="161">
        <v>1818000.0</v>
      </c>
      <c r="G1778" s="162">
        <f t="shared" si="33"/>
        <v>1818000</v>
      </c>
      <c r="H1778" s="201">
        <v>1018000.0</v>
      </c>
      <c r="I1778" s="161">
        <f t="shared" si="36"/>
        <v>800000</v>
      </c>
      <c r="J1778" s="164">
        <f t="shared" si="30"/>
        <v>800000</v>
      </c>
      <c r="K1778" s="56" t="s">
        <v>7400</v>
      </c>
      <c r="L1778" s="165" t="s">
        <v>7346</v>
      </c>
      <c r="M1778" s="73"/>
      <c r="N1778" s="289" t="s">
        <v>7347</v>
      </c>
      <c r="O1778" s="169" t="s">
        <v>3037</v>
      </c>
      <c r="P1778" s="168" t="s">
        <v>3112</v>
      </c>
      <c r="Q1778" s="173"/>
      <c r="R1778" s="167">
        <v>800000.0</v>
      </c>
      <c r="S1778" s="173"/>
      <c r="T1778" s="173"/>
      <c r="U1778" s="173"/>
      <c r="V1778" s="168" t="s">
        <v>3883</v>
      </c>
      <c r="W1778" s="169"/>
      <c r="X1778" s="171"/>
    </row>
    <row r="1779" ht="15.0" customHeight="1">
      <c r="A1779" s="127">
        <v>45744.0</v>
      </c>
      <c r="B1779" s="181" t="s">
        <v>7401</v>
      </c>
      <c r="C1779" s="56" t="s">
        <v>3045</v>
      </c>
      <c r="D1779" s="73" t="str">
        <f>IFERROR(VLOOKUP(C1779,Stock,3,FALSE),"")</f>
        <v>Pemasangan Kaca Mobil Depan</v>
      </c>
      <c r="E1779" s="56">
        <v>1.0</v>
      </c>
      <c r="F1779" s="161">
        <v>450000.0</v>
      </c>
      <c r="G1779" s="162">
        <f t="shared" si="33"/>
        <v>450000</v>
      </c>
      <c r="H1779" s="194"/>
      <c r="I1779" s="161">
        <f t="shared" si="36"/>
        <v>450000</v>
      </c>
      <c r="J1779" s="164">
        <f t="shared" si="30"/>
        <v>450000</v>
      </c>
      <c r="K1779" s="56" t="s">
        <v>7402</v>
      </c>
      <c r="L1779" s="165" t="s">
        <v>7403</v>
      </c>
      <c r="M1779" s="73"/>
      <c r="N1779" s="171"/>
      <c r="O1779" s="169" t="s">
        <v>2958</v>
      </c>
      <c r="P1779" s="168" t="s">
        <v>3112</v>
      </c>
      <c r="Q1779" s="167">
        <v>450000.0</v>
      </c>
      <c r="R1779" s="173"/>
      <c r="S1779" s="173"/>
      <c r="T1779" s="173"/>
      <c r="U1779" s="173"/>
      <c r="V1779" s="168" t="s">
        <v>3883</v>
      </c>
      <c r="W1779" s="169"/>
      <c r="X1779" s="171"/>
    </row>
    <row r="1780" ht="15.0" customHeight="1">
      <c r="A1780" s="127">
        <v>45744.0</v>
      </c>
      <c r="B1780" s="181" t="s">
        <v>7404</v>
      </c>
      <c r="C1780" s="56" t="s">
        <v>7405</v>
      </c>
      <c r="D1780" s="73" t="str">
        <f>IFERROR(VLOOKUP(C1780,Stock,3,FALSE),"")</f>
        <v>Mitsubishi Pajero 16-</v>
      </c>
      <c r="E1780" s="56">
        <v>1.0</v>
      </c>
      <c r="F1780" s="161">
        <v>1928000.0</v>
      </c>
      <c r="G1780" s="162">
        <f t="shared" si="33"/>
        <v>1928000</v>
      </c>
      <c r="H1780" s="194"/>
      <c r="I1780" s="161">
        <f t="shared" si="36"/>
        <v>1928000</v>
      </c>
      <c r="J1780" s="164">
        <f t="shared" si="30"/>
        <v>1928000</v>
      </c>
      <c r="K1780" s="56" t="s">
        <v>4741</v>
      </c>
      <c r="L1780" s="165" t="s">
        <v>7406</v>
      </c>
      <c r="M1780" s="73"/>
      <c r="N1780" s="171"/>
      <c r="O1780" s="169" t="s">
        <v>2958</v>
      </c>
      <c r="P1780" s="168" t="s">
        <v>3112</v>
      </c>
      <c r="Q1780" s="173"/>
      <c r="R1780" s="167">
        <v>1928000.0</v>
      </c>
      <c r="S1780" s="173"/>
      <c r="T1780" s="173"/>
      <c r="U1780" s="173"/>
      <c r="V1780" s="168" t="s">
        <v>3883</v>
      </c>
      <c r="W1780" s="169"/>
      <c r="X1780" s="171"/>
    </row>
    <row r="1781" ht="15.0" customHeight="1">
      <c r="A1781" s="127">
        <v>45744.0</v>
      </c>
      <c r="B1781" s="181" t="s">
        <v>7404</v>
      </c>
      <c r="C1781" s="56" t="s">
        <v>2954</v>
      </c>
      <c r="D1781" s="73" t="str">
        <f>IFERROR(VLOOKUP(C1781,Stock,3,FALSE),"")</f>
        <v>Transport</v>
      </c>
      <c r="E1781" s="56">
        <v>1.0</v>
      </c>
      <c r="F1781" s="161">
        <v>130000.0</v>
      </c>
      <c r="G1781" s="162">
        <f t="shared" si="33"/>
        <v>130000</v>
      </c>
      <c r="H1781" s="194"/>
      <c r="I1781" s="161">
        <f t="shared" si="36"/>
        <v>130000</v>
      </c>
      <c r="J1781" s="164">
        <f t="shared" si="30"/>
        <v>130000</v>
      </c>
      <c r="K1781" s="56" t="s">
        <v>4741</v>
      </c>
      <c r="L1781" s="165" t="s">
        <v>7406</v>
      </c>
      <c r="M1781" s="73"/>
      <c r="N1781" s="171"/>
      <c r="O1781" s="169" t="s">
        <v>2958</v>
      </c>
      <c r="P1781" s="168" t="s">
        <v>3112</v>
      </c>
      <c r="Q1781" s="173"/>
      <c r="R1781" s="167">
        <v>130000.0</v>
      </c>
      <c r="S1781" s="173"/>
      <c r="T1781" s="173"/>
      <c r="U1781" s="173"/>
      <c r="V1781" s="168" t="s">
        <v>3883</v>
      </c>
      <c r="W1781" s="169"/>
      <c r="X1781" s="171"/>
    </row>
    <row r="1782" ht="15.0" customHeight="1">
      <c r="A1782" s="127">
        <v>45744.0</v>
      </c>
      <c r="B1782" s="181" t="s">
        <v>7407</v>
      </c>
      <c r="C1782" s="56" t="s">
        <v>7408</v>
      </c>
      <c r="D1782" s="73" t="str">
        <f>IFERROR(VLOOKUP(C1782,Stock,3,FALSE),"")</f>
        <v>Honda Brio 10-</v>
      </c>
      <c r="E1782" s="56">
        <v>1.0</v>
      </c>
      <c r="F1782" s="161">
        <v>615000.0</v>
      </c>
      <c r="G1782" s="162">
        <f t="shared" si="33"/>
        <v>615000</v>
      </c>
      <c r="H1782" s="194"/>
      <c r="I1782" s="161">
        <f t="shared" si="36"/>
        <v>615000</v>
      </c>
      <c r="J1782" s="164">
        <f t="shared" si="30"/>
        <v>615000</v>
      </c>
      <c r="K1782" s="56" t="s">
        <v>7409</v>
      </c>
      <c r="L1782" s="165" t="s">
        <v>7410</v>
      </c>
      <c r="M1782" s="73"/>
      <c r="N1782" s="171"/>
      <c r="O1782" s="169" t="s">
        <v>3710</v>
      </c>
      <c r="P1782" s="168" t="s">
        <v>3112</v>
      </c>
      <c r="Q1782" s="173"/>
      <c r="R1782" s="167">
        <v>615000.0</v>
      </c>
      <c r="S1782" s="173"/>
      <c r="T1782" s="173"/>
      <c r="U1782" s="173"/>
      <c r="V1782" s="168" t="s">
        <v>3883</v>
      </c>
      <c r="W1782" s="169"/>
      <c r="X1782" s="171"/>
    </row>
    <row r="1783" ht="15.0" customHeight="1">
      <c r="A1783" s="127">
        <v>45744.0</v>
      </c>
      <c r="B1783" s="181" t="s">
        <v>7411</v>
      </c>
      <c r="C1783" s="56" t="s">
        <v>4183</v>
      </c>
      <c r="D1783" s="73" t="str">
        <f>IFERROR(VLOOKUP(C1783,Stock,3,FALSE),"")</f>
        <v>Mitsubishi Xpander 17-21</v>
      </c>
      <c r="E1783" s="56">
        <v>1.0</v>
      </c>
      <c r="F1783" s="161">
        <v>750000.0</v>
      </c>
      <c r="G1783" s="162">
        <f t="shared" si="33"/>
        <v>750000</v>
      </c>
      <c r="H1783" s="194"/>
      <c r="I1783" s="161">
        <f t="shared" si="36"/>
        <v>750000</v>
      </c>
      <c r="J1783" s="164">
        <f t="shared" si="30"/>
        <v>750000</v>
      </c>
      <c r="K1783" s="56" t="s">
        <v>7412</v>
      </c>
      <c r="L1783" s="165" t="s">
        <v>7413</v>
      </c>
      <c r="M1783" s="73"/>
      <c r="N1783" s="171"/>
      <c r="O1783" s="169" t="s">
        <v>2958</v>
      </c>
      <c r="P1783" s="168" t="s">
        <v>3112</v>
      </c>
      <c r="Q1783" s="173"/>
      <c r="R1783" s="167">
        <v>750000.0</v>
      </c>
      <c r="S1783" s="173"/>
      <c r="T1783" s="173"/>
      <c r="U1783" s="173"/>
      <c r="V1783" s="168" t="s">
        <v>3883</v>
      </c>
      <c r="W1783" s="169"/>
      <c r="X1783" s="171"/>
    </row>
    <row r="1784" ht="15.0" customHeight="1">
      <c r="A1784" s="127">
        <v>45744.0</v>
      </c>
      <c r="B1784" s="181" t="s">
        <v>7414</v>
      </c>
      <c r="C1784" s="56" t="s">
        <v>2669</v>
      </c>
      <c r="D1784" s="73" t="str">
        <f>IFERROR(VLOOKUP(C1784,Stock,3,FALSE),"")</f>
        <v>Nissan Livina 07-18 L10/L11</v>
      </c>
      <c r="E1784" s="56">
        <v>1.0</v>
      </c>
      <c r="F1784" s="161">
        <v>1192000.0</v>
      </c>
      <c r="G1784" s="162">
        <f t="shared" si="33"/>
        <v>1192000</v>
      </c>
      <c r="H1784" s="194"/>
      <c r="I1784" s="161">
        <f t="shared" si="36"/>
        <v>1192000</v>
      </c>
      <c r="J1784" s="164">
        <f t="shared" si="30"/>
        <v>1192000</v>
      </c>
      <c r="K1784" s="56" t="s">
        <v>7415</v>
      </c>
      <c r="L1784" s="165" t="s">
        <v>7416</v>
      </c>
      <c r="M1784" s="73"/>
      <c r="N1784" s="171"/>
      <c r="O1784" s="169" t="s">
        <v>2958</v>
      </c>
      <c r="P1784" s="168" t="s">
        <v>3112</v>
      </c>
      <c r="Q1784" s="167">
        <v>292000.0</v>
      </c>
      <c r="R1784" s="167">
        <v>900000.0</v>
      </c>
      <c r="S1784" s="173"/>
      <c r="T1784" s="173"/>
      <c r="U1784" s="173"/>
      <c r="V1784" s="168" t="s">
        <v>3883</v>
      </c>
      <c r="W1784" s="169"/>
      <c r="X1784" s="171"/>
    </row>
    <row r="1785" ht="15.0" customHeight="1">
      <c r="A1785" s="127">
        <v>45754.0</v>
      </c>
      <c r="B1785" s="181" t="s">
        <v>7417</v>
      </c>
      <c r="C1785" s="56" t="s">
        <v>3313</v>
      </c>
      <c r="D1785" s="73" t="str">
        <f>IFERROR(VLOOKUP(C1785,Stock,3,FALSE),"")</f>
        <v>Toyota Avanza / Xenia 21- 4th Gen (Non sensor)</v>
      </c>
      <c r="E1785" s="56">
        <v>1.0</v>
      </c>
      <c r="F1785" s="161">
        <v>1500000.0</v>
      </c>
      <c r="G1785" s="162">
        <f t="shared" si="33"/>
        <v>1500000</v>
      </c>
      <c r="H1785" s="194"/>
      <c r="I1785" s="161">
        <f t="shared" si="36"/>
        <v>1500000</v>
      </c>
      <c r="J1785" s="164">
        <f t="shared" si="30"/>
        <v>1500000</v>
      </c>
      <c r="K1785" s="56" t="s">
        <v>5604</v>
      </c>
      <c r="L1785" s="165" t="s">
        <v>7418</v>
      </c>
      <c r="M1785" s="73"/>
      <c r="N1785" s="171"/>
      <c r="O1785" s="169" t="s">
        <v>2958</v>
      </c>
      <c r="P1785" s="168" t="s">
        <v>3112</v>
      </c>
      <c r="Q1785" s="173"/>
      <c r="R1785" s="167">
        <v>1500000.0</v>
      </c>
      <c r="S1785" s="173"/>
      <c r="T1785" s="173"/>
      <c r="U1785" s="173"/>
      <c r="V1785" s="168" t="s">
        <v>3883</v>
      </c>
      <c r="W1785" s="169"/>
      <c r="X1785" s="171"/>
    </row>
    <row r="1786" ht="15.0" customHeight="1">
      <c r="A1786" s="127">
        <v>45754.0</v>
      </c>
      <c r="B1786" s="181" t="s">
        <v>7419</v>
      </c>
      <c r="C1786" s="56" t="s">
        <v>4613</v>
      </c>
      <c r="D1786" s="73" t="str">
        <f>IFERROR(VLOOKUP(C1786,Stock,3,FALSE),"")</f>
        <v>Honda Freed 08-16 1st gen</v>
      </c>
      <c r="E1786" s="56">
        <v>1.0</v>
      </c>
      <c r="F1786" s="161">
        <v>1496000.0</v>
      </c>
      <c r="G1786" s="162">
        <f t="shared" si="33"/>
        <v>1496000</v>
      </c>
      <c r="H1786" s="194"/>
      <c r="I1786" s="161">
        <f t="shared" si="36"/>
        <v>1496000</v>
      </c>
      <c r="J1786" s="164">
        <f t="shared" si="30"/>
        <v>1496000</v>
      </c>
      <c r="K1786" s="56" t="s">
        <v>7420</v>
      </c>
      <c r="L1786" s="165" t="s">
        <v>7421</v>
      </c>
      <c r="M1786" s="73"/>
      <c r="N1786" s="169" t="s">
        <v>7422</v>
      </c>
      <c r="O1786" s="169" t="s">
        <v>2958</v>
      </c>
      <c r="P1786" s="168" t="s">
        <v>3112</v>
      </c>
      <c r="Q1786" s="173"/>
      <c r="R1786" s="167">
        <v>1496000.0</v>
      </c>
      <c r="S1786" s="173"/>
      <c r="T1786" s="173"/>
      <c r="U1786" s="173"/>
      <c r="V1786" s="168" t="s">
        <v>3883</v>
      </c>
      <c r="W1786" s="169"/>
      <c r="X1786" s="171"/>
    </row>
    <row r="1787" ht="15.0" customHeight="1">
      <c r="A1787" s="127">
        <v>45754.0</v>
      </c>
      <c r="B1787" s="181" t="s">
        <v>7423</v>
      </c>
      <c r="C1787" s="56" t="s">
        <v>3099</v>
      </c>
      <c r="D1787" s="73" t="str">
        <f>IFERROR(VLOOKUP(C1787,Stock,3,FALSE),"")</f>
        <v>Toyota Calya / Sigra 16-</v>
      </c>
      <c r="E1787" s="56">
        <v>1.0</v>
      </c>
      <c r="F1787" s="161">
        <v>1200000.0</v>
      </c>
      <c r="G1787" s="162">
        <f t="shared" si="33"/>
        <v>1200000</v>
      </c>
      <c r="H1787" s="194"/>
      <c r="I1787" s="161">
        <f t="shared" si="36"/>
        <v>1200000</v>
      </c>
      <c r="J1787" s="164">
        <f t="shared" si="30"/>
        <v>1200000</v>
      </c>
      <c r="K1787" s="56" t="s">
        <v>7424</v>
      </c>
      <c r="L1787" s="165" t="s">
        <v>7425</v>
      </c>
      <c r="M1787" s="73"/>
      <c r="N1787" s="169" t="s">
        <v>7426</v>
      </c>
      <c r="O1787" s="169" t="s">
        <v>2958</v>
      </c>
      <c r="P1787" s="168" t="s">
        <v>3112</v>
      </c>
      <c r="Q1787" s="173"/>
      <c r="R1787" s="167">
        <v>1200000.0</v>
      </c>
      <c r="S1787" s="173"/>
      <c r="T1787" s="173"/>
      <c r="U1787" s="173"/>
      <c r="V1787" s="168" t="s">
        <v>3883</v>
      </c>
      <c r="W1787" s="169"/>
      <c r="X1787" s="171"/>
    </row>
    <row r="1788" ht="15.0" customHeight="1">
      <c r="A1788" s="127">
        <v>45754.0</v>
      </c>
      <c r="B1788" s="181" t="s">
        <v>7427</v>
      </c>
      <c r="C1788" s="56" t="s">
        <v>4907</v>
      </c>
      <c r="D1788" s="73" t="str">
        <f>IFERROR(VLOOKUP(C1788,Stock,3,FALSE),"")</f>
        <v>Nissan Livina 07-12 L10 (Tanpa Lubang)</v>
      </c>
      <c r="E1788" s="56">
        <v>1.0</v>
      </c>
      <c r="F1788" s="161">
        <v>1229000.0</v>
      </c>
      <c r="G1788" s="162">
        <f t="shared" si="33"/>
        <v>1229000</v>
      </c>
      <c r="H1788" s="194"/>
      <c r="I1788" s="161">
        <f t="shared" si="36"/>
        <v>1229000</v>
      </c>
      <c r="J1788" s="164">
        <f t="shared" si="30"/>
        <v>1229000</v>
      </c>
      <c r="K1788" s="197" t="s">
        <v>7428</v>
      </c>
      <c r="L1788" s="165" t="s">
        <v>7429</v>
      </c>
      <c r="M1788" s="73"/>
      <c r="N1788" s="171"/>
      <c r="O1788" s="169" t="s">
        <v>2958</v>
      </c>
      <c r="P1788" s="168" t="s">
        <v>3112</v>
      </c>
      <c r="Q1788" s="173"/>
      <c r="R1788" s="167">
        <v>1229000.0</v>
      </c>
      <c r="S1788" s="173"/>
      <c r="T1788" s="173"/>
      <c r="U1788" s="173"/>
      <c r="V1788" s="168" t="s">
        <v>3883</v>
      </c>
      <c r="W1788" s="169"/>
      <c r="X1788" s="171"/>
    </row>
    <row r="1789" ht="15.0" customHeight="1">
      <c r="A1789" s="127">
        <v>45754.0</v>
      </c>
      <c r="B1789" s="181" t="s">
        <v>7427</v>
      </c>
      <c r="C1789" s="56" t="s">
        <v>2954</v>
      </c>
      <c r="D1789" s="73" t="str">
        <f>IFERROR(VLOOKUP(C1789,Stock,3,FALSE),"")</f>
        <v>Transport</v>
      </c>
      <c r="E1789" s="56">
        <v>1.0</v>
      </c>
      <c r="F1789" s="161">
        <v>50000.0</v>
      </c>
      <c r="G1789" s="162">
        <f t="shared" si="33"/>
        <v>50000</v>
      </c>
      <c r="H1789" s="194"/>
      <c r="I1789" s="161">
        <f t="shared" si="36"/>
        <v>50000</v>
      </c>
      <c r="J1789" s="164">
        <f t="shared" si="30"/>
        <v>50000</v>
      </c>
      <c r="K1789" s="197" t="s">
        <v>7428</v>
      </c>
      <c r="L1789" s="165" t="s">
        <v>7429</v>
      </c>
      <c r="M1789" s="73"/>
      <c r="N1789" s="171"/>
      <c r="O1789" s="169" t="s">
        <v>2958</v>
      </c>
      <c r="P1789" s="168" t="s">
        <v>3112</v>
      </c>
      <c r="Q1789" s="173"/>
      <c r="R1789" s="167">
        <v>50000.0</v>
      </c>
      <c r="S1789" s="173"/>
      <c r="T1789" s="173"/>
      <c r="U1789" s="173"/>
      <c r="V1789" s="168" t="s">
        <v>3883</v>
      </c>
      <c r="W1789" s="169"/>
      <c r="X1789" s="171"/>
    </row>
    <row r="1790" ht="15.0" customHeight="1">
      <c r="A1790" s="127">
        <v>45754.0</v>
      </c>
      <c r="B1790" s="181" t="s">
        <v>7430</v>
      </c>
      <c r="C1790" s="56" t="s">
        <v>2555</v>
      </c>
      <c r="D1790" s="73" t="str">
        <f>IFERROR(VLOOKUP(C1790,Stock,3,FALSE),"")</f>
        <v>Toyota Fortuner 15-  2nd Gen (Toyota)</v>
      </c>
      <c r="E1790" s="56">
        <v>1.0</v>
      </c>
      <c r="F1790" s="161">
        <v>2998000.0</v>
      </c>
      <c r="G1790" s="162">
        <f t="shared" si="33"/>
        <v>2998000</v>
      </c>
      <c r="H1790" s="194"/>
      <c r="I1790" s="161">
        <f t="shared" si="36"/>
        <v>2998000</v>
      </c>
      <c r="J1790" s="164">
        <f t="shared" si="30"/>
        <v>2998000</v>
      </c>
      <c r="K1790" s="56" t="s">
        <v>7431</v>
      </c>
      <c r="L1790" s="165" t="s">
        <v>7432</v>
      </c>
      <c r="M1790" s="73"/>
      <c r="N1790" s="171"/>
      <c r="O1790" s="169" t="s">
        <v>4072</v>
      </c>
      <c r="P1790" s="168" t="s">
        <v>3112</v>
      </c>
      <c r="Q1790" s="173"/>
      <c r="R1790" s="167">
        <v>2998000.0</v>
      </c>
      <c r="S1790" s="173"/>
      <c r="T1790" s="173"/>
      <c r="U1790" s="173"/>
      <c r="V1790" s="168" t="s">
        <v>3883</v>
      </c>
      <c r="W1790" s="169"/>
      <c r="X1790" s="171"/>
    </row>
    <row r="1791" ht="15.0" customHeight="1">
      <c r="A1791" s="127">
        <v>45754.0</v>
      </c>
      <c r="B1791" s="181" t="s">
        <v>7433</v>
      </c>
      <c r="C1791" s="56" t="s">
        <v>2677</v>
      </c>
      <c r="D1791" s="73" t="str">
        <f>IFERROR(VLOOKUP(C1791,Stock,3,FALSE),"")</f>
        <v>Suzuki Grand Escudo 00-05</v>
      </c>
      <c r="E1791" s="56">
        <v>1.0</v>
      </c>
      <c r="F1791" s="161">
        <v>1830000.0</v>
      </c>
      <c r="G1791" s="162">
        <f t="shared" si="33"/>
        <v>1830000</v>
      </c>
      <c r="H1791" s="201">
        <v>30000.0</v>
      </c>
      <c r="I1791" s="161">
        <f t="shared" si="36"/>
        <v>1800000</v>
      </c>
      <c r="J1791" s="164">
        <f t="shared" si="30"/>
        <v>1800000</v>
      </c>
      <c r="K1791" s="56" t="s">
        <v>7434</v>
      </c>
      <c r="L1791" s="165" t="s">
        <v>7435</v>
      </c>
      <c r="M1791" s="73"/>
      <c r="N1791" s="169" t="s">
        <v>7436</v>
      </c>
      <c r="O1791" s="169" t="s">
        <v>3204</v>
      </c>
      <c r="P1791" s="168" t="s">
        <v>3112</v>
      </c>
      <c r="Q1791" s="173"/>
      <c r="R1791" s="167">
        <v>1800000.0</v>
      </c>
      <c r="S1791" s="173"/>
      <c r="T1791" s="173"/>
      <c r="U1791" s="173"/>
      <c r="V1791" s="168" t="s">
        <v>3883</v>
      </c>
      <c r="W1791" s="169"/>
      <c r="X1791" s="171"/>
    </row>
    <row r="1792" ht="15.0" customHeight="1">
      <c r="A1792" s="127">
        <v>45754.0</v>
      </c>
      <c r="B1792" s="181" t="s">
        <v>7433</v>
      </c>
      <c r="C1792" s="56" t="s">
        <v>3083</v>
      </c>
      <c r="D1792" s="73" t="str">
        <f>IFERROR(VLOOKUP(C1792,Stock,3,FALSE),"")</f>
        <v>List Kaca Depan Code 04</v>
      </c>
      <c r="E1792" s="56">
        <v>1.0</v>
      </c>
      <c r="F1792" s="161">
        <v>275000.0</v>
      </c>
      <c r="G1792" s="162">
        <f t="shared" si="33"/>
        <v>275000</v>
      </c>
      <c r="H1792" s="194"/>
      <c r="I1792" s="161">
        <f t="shared" si="36"/>
        <v>275000</v>
      </c>
      <c r="J1792" s="164">
        <f t="shared" si="30"/>
        <v>275000</v>
      </c>
      <c r="K1792" s="56" t="s">
        <v>7434</v>
      </c>
      <c r="L1792" s="165" t="s">
        <v>7435</v>
      </c>
      <c r="M1792" s="73"/>
      <c r="N1792" s="289" t="s">
        <v>7436</v>
      </c>
      <c r="O1792" s="169" t="s">
        <v>3204</v>
      </c>
      <c r="P1792" s="168" t="s">
        <v>3112</v>
      </c>
      <c r="Q1792" s="173"/>
      <c r="R1792" s="167">
        <v>275000.0</v>
      </c>
      <c r="S1792" s="173"/>
      <c r="T1792" s="173"/>
      <c r="U1792" s="173"/>
      <c r="V1792" s="168" t="s">
        <v>3883</v>
      </c>
      <c r="W1792" s="169"/>
      <c r="X1792" s="171"/>
    </row>
    <row r="1793" ht="15.0" customHeight="1">
      <c r="A1793" s="127">
        <v>45754.0</v>
      </c>
      <c r="B1793" s="181" t="s">
        <v>7437</v>
      </c>
      <c r="C1793" s="56" t="s">
        <v>3451</v>
      </c>
      <c r="D1793" s="73" t="str">
        <f>IFERROR(VLOOKUP(C1793,Stock,3,FALSE),"")</f>
        <v>Toyota Rush / Terios 18-</v>
      </c>
      <c r="E1793" s="56">
        <v>1.0</v>
      </c>
      <c r="F1793" s="161">
        <v>1060000.0</v>
      </c>
      <c r="G1793" s="162">
        <f t="shared" si="33"/>
        <v>1060000</v>
      </c>
      <c r="H1793" s="194"/>
      <c r="I1793" s="161">
        <f t="shared" si="36"/>
        <v>1060000</v>
      </c>
      <c r="J1793" s="164">
        <f t="shared" si="30"/>
        <v>1060000</v>
      </c>
      <c r="K1793" s="56" t="s">
        <v>7438</v>
      </c>
      <c r="L1793" s="165" t="s">
        <v>7439</v>
      </c>
      <c r="M1793" s="73"/>
      <c r="N1793" s="171"/>
      <c r="O1793" s="169" t="s">
        <v>3204</v>
      </c>
      <c r="P1793" s="168" t="s">
        <v>3112</v>
      </c>
      <c r="Q1793" s="173"/>
      <c r="R1793" s="167">
        <v>1060000.0</v>
      </c>
      <c r="S1793" s="173"/>
      <c r="T1793" s="173"/>
      <c r="U1793" s="173"/>
      <c r="V1793" s="168" t="s">
        <v>3883</v>
      </c>
      <c r="W1793" s="169"/>
      <c r="X1793" s="171"/>
    </row>
    <row r="1794" ht="15.0" customHeight="1">
      <c r="A1794" s="127">
        <v>45755.0</v>
      </c>
      <c r="B1794" s="181" t="s">
        <v>7440</v>
      </c>
      <c r="C1794" s="56" t="s">
        <v>3391</v>
      </c>
      <c r="D1794" s="73" t="str">
        <f>IFERROR(VLOOKUP(C1794,Stock,3,FALSE),"")</f>
        <v>Toyota Fortuner 05-15 1st Gen</v>
      </c>
      <c r="E1794" s="56">
        <v>1.0</v>
      </c>
      <c r="F1794" s="161">
        <v>1492000.0</v>
      </c>
      <c r="G1794" s="162">
        <f t="shared" si="33"/>
        <v>1492000</v>
      </c>
      <c r="H1794" s="194"/>
      <c r="I1794" s="161">
        <f t="shared" si="36"/>
        <v>1492000</v>
      </c>
      <c r="J1794" s="164">
        <f t="shared" si="30"/>
        <v>1492000</v>
      </c>
      <c r="K1794" s="56" t="s">
        <v>7441</v>
      </c>
      <c r="L1794" s="165" t="s">
        <v>7442</v>
      </c>
      <c r="M1794" s="73"/>
      <c r="N1794" s="171"/>
      <c r="O1794" s="169" t="s">
        <v>2958</v>
      </c>
      <c r="P1794" s="168" t="s">
        <v>3112</v>
      </c>
      <c r="Q1794" s="167">
        <v>1492000.0</v>
      </c>
      <c r="R1794" s="167"/>
      <c r="S1794" s="173"/>
      <c r="T1794" s="173"/>
      <c r="U1794" s="173"/>
      <c r="V1794" s="168" t="s">
        <v>3799</v>
      </c>
      <c r="W1794" s="169"/>
      <c r="X1794" s="171"/>
    </row>
    <row r="1795" ht="15.0" customHeight="1">
      <c r="A1795" s="127">
        <v>45755.0</v>
      </c>
      <c r="B1795" s="181" t="s">
        <v>7443</v>
      </c>
      <c r="C1795" s="56" t="s">
        <v>3045</v>
      </c>
      <c r="D1795" s="73" t="str">
        <f>IFERROR(VLOOKUP(C1795,Stock,3,FALSE),"")</f>
        <v>Pemasangan Kaca Mobil Depan</v>
      </c>
      <c r="E1795" s="56">
        <v>1.0</v>
      </c>
      <c r="F1795" s="161">
        <v>450000.0</v>
      </c>
      <c r="G1795" s="162">
        <f t="shared" si="33"/>
        <v>450000</v>
      </c>
      <c r="H1795" s="194"/>
      <c r="I1795" s="161">
        <f t="shared" si="36"/>
        <v>450000</v>
      </c>
      <c r="J1795" s="164">
        <f t="shared" si="30"/>
        <v>450000</v>
      </c>
      <c r="K1795" s="56" t="s">
        <v>7444</v>
      </c>
      <c r="L1795" s="165" t="s">
        <v>7445</v>
      </c>
      <c r="M1795" s="73"/>
      <c r="N1795" s="169" t="s">
        <v>7446</v>
      </c>
      <c r="O1795" s="169" t="s">
        <v>2958</v>
      </c>
      <c r="P1795" s="168" t="s">
        <v>3112</v>
      </c>
      <c r="Q1795" s="173"/>
      <c r="R1795" s="167">
        <v>450000.0</v>
      </c>
      <c r="S1795" s="173"/>
      <c r="T1795" s="173"/>
      <c r="U1795" s="173"/>
      <c r="V1795" s="168" t="s">
        <v>3883</v>
      </c>
      <c r="W1795" s="169"/>
      <c r="X1795" s="171"/>
    </row>
    <row r="1796" ht="15.0" customHeight="1">
      <c r="A1796" s="127">
        <v>45755.0</v>
      </c>
      <c r="B1796" s="181" t="s">
        <v>7447</v>
      </c>
      <c r="C1796" s="56" t="s">
        <v>4005</v>
      </c>
      <c r="D1796" s="73" t="str">
        <f>IFERROR(VLOOKUP(C1796,Stock,3,FALSE),"")</f>
        <v>Toyota Fortuner 15- 2nd Gen</v>
      </c>
      <c r="E1796" s="56">
        <v>1.0</v>
      </c>
      <c r="F1796" s="161">
        <v>1800000.0</v>
      </c>
      <c r="G1796" s="162">
        <f t="shared" si="33"/>
        <v>1800000</v>
      </c>
      <c r="H1796" s="194"/>
      <c r="I1796" s="161">
        <f t="shared" si="36"/>
        <v>1800000</v>
      </c>
      <c r="J1796" s="164">
        <f t="shared" si="30"/>
        <v>1800000</v>
      </c>
      <c r="K1796" s="56" t="s">
        <v>7448</v>
      </c>
      <c r="L1796" s="165" t="s">
        <v>7449</v>
      </c>
      <c r="M1796" s="73"/>
      <c r="N1796" s="289" t="s">
        <v>7450</v>
      </c>
      <c r="O1796" s="169" t="s">
        <v>2958</v>
      </c>
      <c r="P1796" s="168" t="s">
        <v>6113</v>
      </c>
      <c r="Q1796" s="173"/>
      <c r="R1796" s="167">
        <v>1800000.0</v>
      </c>
      <c r="S1796" s="173"/>
      <c r="T1796" s="173"/>
      <c r="U1796" s="173"/>
      <c r="V1796" s="168" t="s">
        <v>3883</v>
      </c>
      <c r="W1796" s="169"/>
      <c r="X1796" s="171"/>
    </row>
    <row r="1797" ht="15.0" customHeight="1">
      <c r="A1797" s="127">
        <v>45755.0</v>
      </c>
      <c r="B1797" s="181" t="s">
        <v>7451</v>
      </c>
      <c r="C1797" s="56" t="s">
        <v>6043</v>
      </c>
      <c r="D1797" s="73" t="str">
        <f>IFERROR(VLOOKUP(C1797,Stock,3,FALSE),"")</f>
        <v>Suzuki Vitara 88-97 / Escudo / Sidekick</v>
      </c>
      <c r="E1797" s="56">
        <v>1.0</v>
      </c>
      <c r="F1797" s="161">
        <v>1299000.0</v>
      </c>
      <c r="G1797" s="162">
        <f t="shared" si="33"/>
        <v>1299000</v>
      </c>
      <c r="H1797" s="194"/>
      <c r="I1797" s="161">
        <f t="shared" si="36"/>
        <v>1299000</v>
      </c>
      <c r="J1797" s="164">
        <f t="shared" si="30"/>
        <v>1299000</v>
      </c>
      <c r="K1797" s="56" t="s">
        <v>7452</v>
      </c>
      <c r="L1797" s="165" t="s">
        <v>7453</v>
      </c>
      <c r="M1797" s="73"/>
      <c r="N1797" s="171"/>
      <c r="O1797" s="169" t="s">
        <v>3184</v>
      </c>
      <c r="P1797" s="168" t="s">
        <v>6113</v>
      </c>
      <c r="Q1797" s="167">
        <v>1299000.0</v>
      </c>
      <c r="R1797" s="173"/>
      <c r="S1797" s="173"/>
      <c r="T1797" s="173"/>
      <c r="U1797" s="173"/>
      <c r="V1797" s="168" t="s">
        <v>3883</v>
      </c>
      <c r="W1797" s="169"/>
      <c r="X1797" s="171"/>
    </row>
    <row r="1798" ht="15.0" customHeight="1">
      <c r="A1798" s="127">
        <v>45756.0</v>
      </c>
      <c r="B1798" s="181" t="s">
        <v>7454</v>
      </c>
      <c r="C1798" s="56" t="s">
        <v>2557</v>
      </c>
      <c r="D1798" s="73" t="str">
        <f>IFERROR(VLOOKUP(C1798,Stock,3,FALSE),"")</f>
        <v>Toyota Fortuner 05-15 1st Gen (Toyota)</v>
      </c>
      <c r="E1798" s="56">
        <v>1.0</v>
      </c>
      <c r="F1798" s="161">
        <v>2998000.0</v>
      </c>
      <c r="G1798" s="162">
        <f t="shared" si="33"/>
        <v>2998000</v>
      </c>
      <c r="H1798" s="194"/>
      <c r="I1798" s="161">
        <f t="shared" si="36"/>
        <v>2998000</v>
      </c>
      <c r="J1798" s="164">
        <f t="shared" si="30"/>
        <v>2998000</v>
      </c>
      <c r="K1798" s="56" t="s">
        <v>7455</v>
      </c>
      <c r="L1798" s="165" t="s">
        <v>7456</v>
      </c>
      <c r="M1798" s="73"/>
      <c r="N1798" s="171"/>
      <c r="O1798" s="169" t="s">
        <v>2958</v>
      </c>
      <c r="P1798" s="168" t="s">
        <v>3112</v>
      </c>
      <c r="Q1798" s="173"/>
      <c r="R1798" s="167">
        <v>2998000.0</v>
      </c>
      <c r="S1798" s="173"/>
      <c r="T1798" s="173"/>
      <c r="U1798" s="173"/>
      <c r="V1798" s="168" t="s">
        <v>3883</v>
      </c>
      <c r="W1798" s="169"/>
      <c r="X1798" s="171"/>
    </row>
    <row r="1799" ht="15.0" customHeight="1">
      <c r="A1799" s="127">
        <v>45756.0</v>
      </c>
      <c r="B1799" s="181" t="s">
        <v>7454</v>
      </c>
      <c r="C1799" s="56" t="s">
        <v>2954</v>
      </c>
      <c r="D1799" s="73" t="str">
        <f>IFERROR(VLOOKUP(C1799,Stock,3,FALSE),"")</f>
        <v>Transport</v>
      </c>
      <c r="E1799" s="56">
        <v>1.0</v>
      </c>
      <c r="F1799" s="161">
        <v>100000.0</v>
      </c>
      <c r="G1799" s="162">
        <f t="shared" si="33"/>
        <v>100000</v>
      </c>
      <c r="H1799" s="194"/>
      <c r="I1799" s="161">
        <f t="shared" si="36"/>
        <v>100000</v>
      </c>
      <c r="J1799" s="164">
        <f t="shared" si="30"/>
        <v>100000</v>
      </c>
      <c r="K1799" s="56" t="s">
        <v>7455</v>
      </c>
      <c r="L1799" s="165" t="s">
        <v>7456</v>
      </c>
      <c r="M1799" s="73"/>
      <c r="N1799" s="171"/>
      <c r="O1799" s="169" t="s">
        <v>2958</v>
      </c>
      <c r="P1799" s="168" t="s">
        <v>3112</v>
      </c>
      <c r="Q1799" s="173"/>
      <c r="R1799" s="167">
        <v>100000.0</v>
      </c>
      <c r="S1799" s="173"/>
      <c r="T1799" s="173"/>
      <c r="U1799" s="173"/>
      <c r="V1799" s="168" t="s">
        <v>3883</v>
      </c>
      <c r="W1799" s="169"/>
      <c r="X1799" s="171"/>
    </row>
    <row r="1800" ht="15.0" customHeight="1">
      <c r="A1800" s="127">
        <v>45756.0</v>
      </c>
      <c r="B1800" s="181" t="s">
        <v>7457</v>
      </c>
      <c r="C1800" s="56" t="s">
        <v>2671</v>
      </c>
      <c r="D1800" s="73" t="str">
        <f>IFERROR(VLOOKUP(C1800,Stock,3,FALSE),"")</f>
        <v>Isuzu D-Max 02-12 1st Gen</v>
      </c>
      <c r="E1800" s="56">
        <v>1.0</v>
      </c>
      <c r="F1800" s="161">
        <v>1728000.0</v>
      </c>
      <c r="G1800" s="162">
        <f t="shared" si="33"/>
        <v>1728000</v>
      </c>
      <c r="H1800" s="194"/>
      <c r="I1800" s="161">
        <f t="shared" si="36"/>
        <v>1728000</v>
      </c>
      <c r="J1800" s="164">
        <f t="shared" si="30"/>
        <v>1728000</v>
      </c>
      <c r="K1800" s="56" t="s">
        <v>7458</v>
      </c>
      <c r="L1800" s="165" t="s">
        <v>7459</v>
      </c>
      <c r="M1800" s="73"/>
      <c r="N1800" s="171"/>
      <c r="O1800" s="169" t="s">
        <v>2958</v>
      </c>
      <c r="P1800" s="168" t="s">
        <v>3112</v>
      </c>
      <c r="Q1800" s="173"/>
      <c r="R1800" s="161">
        <v>1728000.0</v>
      </c>
      <c r="S1800" s="173"/>
      <c r="T1800" s="173"/>
      <c r="U1800" s="173"/>
      <c r="V1800" s="168" t="s">
        <v>3883</v>
      </c>
      <c r="W1800" s="169"/>
      <c r="X1800" s="171"/>
    </row>
    <row r="1801" ht="15.0" customHeight="1">
      <c r="A1801" s="127">
        <v>45756.0</v>
      </c>
      <c r="B1801" s="181" t="s">
        <v>7457</v>
      </c>
      <c r="C1801" s="56" t="s">
        <v>5134</v>
      </c>
      <c r="D1801" s="73" t="str">
        <f>IFERROR(VLOOKUP(C1801,Stock,3,FALSE),"")</f>
        <v>Isuzu D-Max 02-12 1st Gen</v>
      </c>
      <c r="E1801" s="56">
        <v>1.0</v>
      </c>
      <c r="F1801" s="161">
        <v>1378000.0</v>
      </c>
      <c r="G1801" s="162">
        <f t="shared" si="33"/>
        <v>1378000</v>
      </c>
      <c r="H1801" s="201">
        <v>93180.0</v>
      </c>
      <c r="I1801" s="161">
        <f t="shared" si="36"/>
        <v>1284820</v>
      </c>
      <c r="J1801" s="164">
        <f t="shared" si="30"/>
        <v>1284820</v>
      </c>
      <c r="K1801" s="56" t="s">
        <v>7458</v>
      </c>
      <c r="L1801" s="165" t="s">
        <v>7459</v>
      </c>
      <c r="M1801" s="73"/>
      <c r="N1801" s="171"/>
      <c r="O1801" s="169" t="s">
        <v>2958</v>
      </c>
      <c r="P1801" s="168" t="s">
        <v>3112</v>
      </c>
      <c r="Q1801" s="173"/>
      <c r="R1801" s="161">
        <v>1378000.0</v>
      </c>
      <c r="S1801" s="173"/>
      <c r="T1801" s="173"/>
      <c r="U1801" s="173"/>
      <c r="V1801" s="168" t="s">
        <v>3883</v>
      </c>
      <c r="W1801" s="169"/>
      <c r="X1801" s="171"/>
    </row>
    <row r="1802" ht="15.0" customHeight="1">
      <c r="A1802" s="127">
        <v>45756.0</v>
      </c>
      <c r="B1802" s="181" t="s">
        <v>7457</v>
      </c>
      <c r="C1802" s="56" t="s">
        <v>2934</v>
      </c>
      <c r="D1802" s="73" t="str">
        <f>IFERROR(VLOOKUP(C1802,Stock,3,FALSE),"")</f>
        <v>Peti Kayu</v>
      </c>
      <c r="E1802" s="56">
        <v>1.0</v>
      </c>
      <c r="F1802" s="161">
        <v>200000.0</v>
      </c>
      <c r="G1802" s="162">
        <f t="shared" si="33"/>
        <v>200000</v>
      </c>
      <c r="H1802" s="194"/>
      <c r="I1802" s="161">
        <f t="shared" si="36"/>
        <v>200000</v>
      </c>
      <c r="J1802" s="164">
        <f t="shared" si="30"/>
        <v>200000</v>
      </c>
      <c r="K1802" s="56" t="s">
        <v>7458</v>
      </c>
      <c r="L1802" s="165" t="s">
        <v>7459</v>
      </c>
      <c r="M1802" s="73"/>
      <c r="N1802" s="171"/>
      <c r="O1802" s="169" t="s">
        <v>2958</v>
      </c>
      <c r="P1802" s="168" t="s">
        <v>3112</v>
      </c>
      <c r="Q1802" s="173"/>
      <c r="R1802" s="161">
        <v>200000.0</v>
      </c>
      <c r="S1802" s="173"/>
      <c r="T1802" s="173"/>
      <c r="U1802" s="173"/>
      <c r="V1802" s="168" t="s">
        <v>3883</v>
      </c>
      <c r="W1802" s="169"/>
      <c r="X1802" s="171"/>
    </row>
    <row r="1803" ht="15.0" customHeight="1">
      <c r="A1803" s="127">
        <v>45756.0</v>
      </c>
      <c r="B1803" s="181" t="s">
        <v>7457</v>
      </c>
      <c r="C1803" s="169" t="s">
        <v>2954</v>
      </c>
      <c r="D1803" s="73" t="str">
        <f>IFERROR(VLOOKUP(C1803,Stock,3,FALSE),"")</f>
        <v>Transport</v>
      </c>
      <c r="E1803" s="56">
        <v>1.0</v>
      </c>
      <c r="F1803" s="161">
        <v>70000.0</v>
      </c>
      <c r="G1803" s="162">
        <f t="shared" si="33"/>
        <v>70000</v>
      </c>
      <c r="H1803" s="194"/>
      <c r="I1803" s="161">
        <f t="shared" si="36"/>
        <v>70000</v>
      </c>
      <c r="J1803" s="164">
        <f t="shared" si="30"/>
        <v>70000</v>
      </c>
      <c r="K1803" s="56" t="s">
        <v>7458</v>
      </c>
      <c r="L1803" s="165" t="s">
        <v>7459</v>
      </c>
      <c r="M1803" s="73"/>
      <c r="N1803" s="171"/>
      <c r="O1803" s="169" t="s">
        <v>2958</v>
      </c>
      <c r="P1803" s="168" t="s">
        <v>3112</v>
      </c>
      <c r="Q1803" s="173"/>
      <c r="R1803" s="161">
        <v>70000.0</v>
      </c>
      <c r="S1803" s="173"/>
      <c r="T1803" s="173"/>
      <c r="U1803" s="173"/>
      <c r="V1803" s="168" t="s">
        <v>3883</v>
      </c>
      <c r="W1803" s="169"/>
      <c r="X1803" s="171"/>
    </row>
    <row r="1804" ht="15.0" customHeight="1">
      <c r="A1804" s="127">
        <v>45757.0</v>
      </c>
      <c r="B1804" s="181" t="s">
        <v>7460</v>
      </c>
      <c r="C1804" s="56" t="s">
        <v>7461</v>
      </c>
      <c r="D1804" s="73" t="str">
        <f>IFERROR(VLOOKUP(C1804,Stock,3,FALSE),"")</f>
        <v>Honda Stream 00-06 S7A/RN1</v>
      </c>
      <c r="E1804" s="56">
        <v>1.0</v>
      </c>
      <c r="F1804" s="161">
        <v>1035000.0</v>
      </c>
      <c r="G1804" s="162">
        <f t="shared" si="33"/>
        <v>1035000</v>
      </c>
      <c r="H1804" s="194"/>
      <c r="I1804" s="161">
        <f t="shared" si="36"/>
        <v>1035000</v>
      </c>
      <c r="J1804" s="164">
        <f t="shared" si="30"/>
        <v>1035000</v>
      </c>
      <c r="K1804" s="56" t="s">
        <v>7462</v>
      </c>
      <c r="L1804" s="165" t="s">
        <v>7463</v>
      </c>
      <c r="M1804" s="73"/>
      <c r="N1804" s="171"/>
      <c r="O1804" s="169" t="s">
        <v>7464</v>
      </c>
      <c r="P1804" s="168" t="s">
        <v>3112</v>
      </c>
      <c r="Q1804" s="173"/>
      <c r="R1804" s="167">
        <v>1035000.0</v>
      </c>
      <c r="S1804" s="173"/>
      <c r="T1804" s="173"/>
      <c r="U1804" s="173"/>
      <c r="V1804" s="168" t="s">
        <v>3883</v>
      </c>
      <c r="W1804" s="169"/>
      <c r="X1804" s="171"/>
    </row>
    <row r="1805" ht="15.0" customHeight="1">
      <c r="A1805" s="127">
        <v>45757.0</v>
      </c>
      <c r="B1805" s="181" t="s">
        <v>7460</v>
      </c>
      <c r="C1805" s="56" t="s">
        <v>2934</v>
      </c>
      <c r="D1805" s="73" t="str">
        <f>IFERROR(VLOOKUP(C1805,Stock,3,FALSE),"")</f>
        <v>Peti Kayu</v>
      </c>
      <c r="E1805" s="56">
        <v>1.0</v>
      </c>
      <c r="F1805" s="161">
        <v>120000.0</v>
      </c>
      <c r="G1805" s="162">
        <f t="shared" si="33"/>
        <v>120000</v>
      </c>
      <c r="H1805" s="194"/>
      <c r="I1805" s="161">
        <f t="shared" si="36"/>
        <v>120000</v>
      </c>
      <c r="J1805" s="164">
        <f t="shared" si="30"/>
        <v>120000</v>
      </c>
      <c r="K1805" s="56" t="s">
        <v>7462</v>
      </c>
      <c r="L1805" s="165" t="s">
        <v>7463</v>
      </c>
      <c r="M1805" s="73"/>
      <c r="N1805" s="171"/>
      <c r="O1805" s="169" t="s">
        <v>7464</v>
      </c>
      <c r="P1805" s="168" t="s">
        <v>3112</v>
      </c>
      <c r="Q1805" s="173"/>
      <c r="R1805" s="167">
        <v>120000.0</v>
      </c>
      <c r="S1805" s="173"/>
      <c r="T1805" s="173"/>
      <c r="U1805" s="173"/>
      <c r="V1805" s="168" t="s">
        <v>3883</v>
      </c>
      <c r="W1805" s="169"/>
      <c r="X1805" s="171"/>
    </row>
    <row r="1806" ht="15.0" customHeight="1">
      <c r="A1806" s="127">
        <v>45757.0</v>
      </c>
      <c r="B1806" s="181" t="s">
        <v>7465</v>
      </c>
      <c r="C1806" s="56" t="s">
        <v>6476</v>
      </c>
      <c r="D1806" s="73" t="str">
        <f>IFERROR(VLOOKUP(C1806,Stock,3,FALSE),"")</f>
        <v>Mitsubishi Outlander 10-21</v>
      </c>
      <c r="E1806" s="56">
        <v>1.0</v>
      </c>
      <c r="F1806" s="161">
        <v>1241000.0</v>
      </c>
      <c r="G1806" s="162">
        <f t="shared" si="33"/>
        <v>1241000</v>
      </c>
      <c r="H1806" s="194"/>
      <c r="I1806" s="161">
        <f t="shared" si="36"/>
        <v>1241000</v>
      </c>
      <c r="J1806" s="164">
        <f t="shared" si="30"/>
        <v>1241000</v>
      </c>
      <c r="K1806" s="56" t="s">
        <v>7466</v>
      </c>
      <c r="L1806" s="165" t="s">
        <v>7467</v>
      </c>
      <c r="M1806" s="73"/>
      <c r="N1806" s="171"/>
      <c r="O1806" s="169" t="s">
        <v>2958</v>
      </c>
      <c r="P1806" s="168" t="s">
        <v>7468</v>
      </c>
      <c r="Q1806" s="173"/>
      <c r="R1806" s="167">
        <v>1241000.0</v>
      </c>
      <c r="S1806" s="173"/>
      <c r="T1806" s="173"/>
      <c r="U1806" s="173"/>
      <c r="V1806" s="168" t="s">
        <v>3883</v>
      </c>
      <c r="W1806" s="169"/>
      <c r="X1806" s="171"/>
    </row>
    <row r="1807" ht="15.0" customHeight="1">
      <c r="A1807" s="127">
        <v>45757.0</v>
      </c>
      <c r="B1807" s="181" t="s">
        <v>7469</v>
      </c>
      <c r="C1807" s="56" t="s">
        <v>3186</v>
      </c>
      <c r="D1807" s="73" t="str">
        <f>IFERROR(VLOOKUP(C1807,Stock,3,FALSE),"")</f>
        <v>Daihatsu Gran Max / Luxio 07-</v>
      </c>
      <c r="E1807" s="56">
        <v>10.0</v>
      </c>
      <c r="F1807" s="161">
        <v>641250.0</v>
      </c>
      <c r="G1807" s="162">
        <f t="shared" si="33"/>
        <v>6412500</v>
      </c>
      <c r="H1807" s="194"/>
      <c r="I1807" s="161">
        <f t="shared" si="36"/>
        <v>6412500</v>
      </c>
      <c r="J1807" s="164">
        <f t="shared" si="30"/>
        <v>6412500</v>
      </c>
      <c r="K1807" s="56" t="s">
        <v>7470</v>
      </c>
      <c r="L1807" s="165" t="s">
        <v>6633</v>
      </c>
      <c r="M1807" s="73"/>
      <c r="N1807" s="171"/>
      <c r="O1807" s="169" t="s">
        <v>2958</v>
      </c>
      <c r="P1807" s="168" t="s">
        <v>3112</v>
      </c>
      <c r="Q1807" s="173"/>
      <c r="R1807" s="167">
        <v>6412500.0</v>
      </c>
      <c r="S1807" s="173"/>
      <c r="T1807" s="173"/>
      <c r="U1807" s="173"/>
      <c r="V1807" s="168" t="s">
        <v>3883</v>
      </c>
      <c r="W1807" s="169"/>
      <c r="X1807" s="171"/>
    </row>
    <row r="1808" ht="15.0" customHeight="1">
      <c r="A1808" s="127">
        <v>45757.0</v>
      </c>
      <c r="B1808" s="181" t="s">
        <v>7471</v>
      </c>
      <c r="C1808" s="56" t="s">
        <v>7472</v>
      </c>
      <c r="D1808" s="73" t="str">
        <f>IFERROR(VLOOKUP(C1808,Stock,3,FALSE),"")</f>
        <v>Toyota Agya/Ayla 23- 2nd Gen (Toyota/Daihatsu)</v>
      </c>
      <c r="E1808" s="56">
        <v>1.0</v>
      </c>
      <c r="F1808" s="161">
        <v>790000.0</v>
      </c>
      <c r="G1808" s="162">
        <f t="shared" si="33"/>
        <v>790000</v>
      </c>
      <c r="H1808" s="194"/>
      <c r="I1808" s="161">
        <f t="shared" si="36"/>
        <v>790000</v>
      </c>
      <c r="J1808" s="164">
        <f t="shared" si="30"/>
        <v>790000</v>
      </c>
      <c r="K1808" s="56" t="s">
        <v>7473</v>
      </c>
      <c r="L1808" s="165" t="s">
        <v>7474</v>
      </c>
      <c r="M1808" s="73"/>
      <c r="N1808" s="171"/>
      <c r="O1808" s="169" t="s">
        <v>2958</v>
      </c>
      <c r="P1808" s="168" t="s">
        <v>6113</v>
      </c>
      <c r="Q1808" s="173"/>
      <c r="R1808" s="167">
        <v>790000.0</v>
      </c>
      <c r="S1808" s="173"/>
      <c r="T1808" s="173"/>
      <c r="U1808" s="173"/>
      <c r="V1808" s="168" t="s">
        <v>3883</v>
      </c>
      <c r="W1808" s="169"/>
      <c r="X1808" s="171"/>
    </row>
    <row r="1809" ht="15.0" customHeight="1">
      <c r="A1809" s="127">
        <v>45757.0</v>
      </c>
      <c r="B1809" s="181" t="s">
        <v>7471</v>
      </c>
      <c r="C1809" s="56" t="s">
        <v>2934</v>
      </c>
      <c r="D1809" s="73" t="str">
        <f>IFERROR(VLOOKUP(C1809,Stock,3,FALSE),"")</f>
        <v>Peti Kayu</v>
      </c>
      <c r="E1809" s="56">
        <v>1.0</v>
      </c>
      <c r="F1809" s="161">
        <v>200000.0</v>
      </c>
      <c r="G1809" s="162">
        <f t="shared" si="33"/>
        <v>200000</v>
      </c>
      <c r="H1809" s="194"/>
      <c r="I1809" s="161">
        <f t="shared" si="36"/>
        <v>200000</v>
      </c>
      <c r="J1809" s="164">
        <f t="shared" si="30"/>
        <v>200000</v>
      </c>
      <c r="K1809" s="56" t="s">
        <v>7473</v>
      </c>
      <c r="L1809" s="165" t="s">
        <v>7474</v>
      </c>
      <c r="M1809" s="73"/>
      <c r="N1809" s="171"/>
      <c r="O1809" s="169" t="s">
        <v>2958</v>
      </c>
      <c r="P1809" s="168" t="s">
        <v>6113</v>
      </c>
      <c r="Q1809" s="173"/>
      <c r="R1809" s="167">
        <v>200000.0</v>
      </c>
      <c r="S1809" s="173"/>
      <c r="T1809" s="173"/>
      <c r="U1809" s="173"/>
      <c r="V1809" s="168" t="s">
        <v>3883</v>
      </c>
      <c r="W1809" s="169"/>
      <c r="X1809" s="171"/>
    </row>
    <row r="1810" ht="15.0" customHeight="1">
      <c r="A1810" s="127">
        <v>45757.0</v>
      </c>
      <c r="B1810" s="181" t="s">
        <v>7475</v>
      </c>
      <c r="C1810" s="56" t="s">
        <v>7476</v>
      </c>
      <c r="D1810" s="73" t="str">
        <f>IFERROR(VLOOKUP(C1810,Stock,3,FALSE),"")</f>
        <v>Nissan Serena 19- MKV C27</v>
      </c>
      <c r="E1810" s="56">
        <v>1.0</v>
      </c>
      <c r="F1810" s="161">
        <v>3077000.0</v>
      </c>
      <c r="G1810" s="162">
        <f t="shared" si="33"/>
        <v>3077000</v>
      </c>
      <c r="H1810" s="194"/>
      <c r="I1810" s="161">
        <f t="shared" si="36"/>
        <v>3077000</v>
      </c>
      <c r="J1810" s="164">
        <f t="shared" si="30"/>
        <v>3077000</v>
      </c>
      <c r="K1810" s="56" t="s">
        <v>7477</v>
      </c>
      <c r="L1810" s="165" t="s">
        <v>7478</v>
      </c>
      <c r="M1810" s="73"/>
      <c r="N1810" s="169" t="s">
        <v>7479</v>
      </c>
      <c r="O1810" s="169" t="s">
        <v>2958</v>
      </c>
      <c r="P1810" s="168" t="s">
        <v>3112</v>
      </c>
      <c r="Q1810" s="173"/>
      <c r="R1810" s="167">
        <v>3077000.0</v>
      </c>
      <c r="S1810" s="173"/>
      <c r="T1810" s="173"/>
      <c r="U1810" s="173"/>
      <c r="V1810" s="168" t="s">
        <v>3883</v>
      </c>
      <c r="W1810" s="169"/>
      <c r="X1810" s="171"/>
    </row>
    <row r="1811" ht="15.0" customHeight="1">
      <c r="A1811" s="127">
        <v>45757.0</v>
      </c>
      <c r="B1811" s="181" t="s">
        <v>7475</v>
      </c>
      <c r="C1811" s="56" t="s">
        <v>2934</v>
      </c>
      <c r="D1811" s="73" t="str">
        <f>IFERROR(VLOOKUP(C1811,Stock,3,FALSE),"")</f>
        <v>Peti Kayu</v>
      </c>
      <c r="E1811" s="56">
        <v>1.0</v>
      </c>
      <c r="F1811" s="161">
        <v>200000.0</v>
      </c>
      <c r="G1811" s="162">
        <f t="shared" si="33"/>
        <v>200000</v>
      </c>
      <c r="H1811" s="194"/>
      <c r="I1811" s="161">
        <f t="shared" si="36"/>
        <v>200000</v>
      </c>
      <c r="J1811" s="164">
        <f t="shared" si="30"/>
        <v>200000</v>
      </c>
      <c r="K1811" s="56" t="s">
        <v>7477</v>
      </c>
      <c r="L1811" s="165" t="s">
        <v>7478</v>
      </c>
      <c r="M1811" s="73"/>
      <c r="N1811" s="169" t="s">
        <v>7479</v>
      </c>
      <c r="O1811" s="169" t="s">
        <v>2958</v>
      </c>
      <c r="P1811" s="168" t="s">
        <v>3112</v>
      </c>
      <c r="Q1811" s="173"/>
      <c r="R1811" s="167">
        <v>200000.0</v>
      </c>
      <c r="S1811" s="173"/>
      <c r="T1811" s="173"/>
      <c r="U1811" s="173"/>
      <c r="V1811" s="168" t="s">
        <v>3883</v>
      </c>
      <c r="W1811" s="169"/>
      <c r="X1811" s="171"/>
    </row>
    <row r="1812" ht="15.0" customHeight="1">
      <c r="A1812" s="127">
        <v>45758.0</v>
      </c>
      <c r="B1812" s="181" t="s">
        <v>7480</v>
      </c>
      <c r="C1812" s="56" t="s">
        <v>2549</v>
      </c>
      <c r="D1812" s="73" t="str">
        <f>IFERROR(VLOOKUP(C1812,Stock,3,FALSE),"")</f>
        <v>Toyota Avanza / Xenia 11-15 2nd Gen</v>
      </c>
      <c r="E1812" s="56">
        <v>1.0</v>
      </c>
      <c r="F1812" s="161">
        <v>1050000.0</v>
      </c>
      <c r="G1812" s="162">
        <f t="shared" si="33"/>
        <v>1050000</v>
      </c>
      <c r="H1812" s="194"/>
      <c r="I1812" s="161">
        <f t="shared" si="36"/>
        <v>1050000</v>
      </c>
      <c r="J1812" s="164">
        <f t="shared" si="30"/>
        <v>1050000</v>
      </c>
      <c r="K1812" s="56" t="s">
        <v>7481</v>
      </c>
      <c r="L1812" s="165" t="s">
        <v>7482</v>
      </c>
      <c r="M1812" s="73"/>
      <c r="N1812" s="169" t="s">
        <v>7483</v>
      </c>
      <c r="O1812" s="169" t="s">
        <v>2958</v>
      </c>
      <c r="P1812" s="168" t="s">
        <v>3112</v>
      </c>
      <c r="Q1812" s="167">
        <v>1050000.0</v>
      </c>
      <c r="R1812" s="173"/>
      <c r="S1812" s="173"/>
      <c r="T1812" s="173"/>
      <c r="U1812" s="173"/>
      <c r="V1812" s="168" t="s">
        <v>3883</v>
      </c>
      <c r="W1812" s="169"/>
      <c r="X1812" s="171"/>
    </row>
    <row r="1813" ht="15.0" customHeight="1">
      <c r="A1813" s="127">
        <v>45758.0</v>
      </c>
      <c r="B1813" s="181" t="s">
        <v>7484</v>
      </c>
      <c r="C1813" s="56" t="s">
        <v>2718</v>
      </c>
      <c r="D1813" s="73" t="str">
        <f>IFERROR(VLOOKUP(C1813,Stock,3,FALSE),"")</f>
        <v>Isuzu Traga</v>
      </c>
      <c r="E1813" s="56">
        <v>1.0</v>
      </c>
      <c r="F1813" s="161">
        <v>1300000.0</v>
      </c>
      <c r="G1813" s="162">
        <f t="shared" si="33"/>
        <v>1300000</v>
      </c>
      <c r="H1813" s="194"/>
      <c r="I1813" s="161">
        <f t="shared" si="36"/>
        <v>1300000</v>
      </c>
      <c r="J1813" s="164">
        <f t="shared" si="30"/>
        <v>1300000</v>
      </c>
      <c r="K1813" s="56" t="s">
        <v>7485</v>
      </c>
      <c r="L1813" s="165" t="s">
        <v>7486</v>
      </c>
      <c r="M1813" s="73"/>
      <c r="N1813" s="169" t="s">
        <v>7487</v>
      </c>
      <c r="O1813" s="169" t="s">
        <v>2958</v>
      </c>
      <c r="P1813" s="168" t="s">
        <v>3112</v>
      </c>
      <c r="Q1813" s="167">
        <v>1300000.0</v>
      </c>
      <c r="R1813" s="173"/>
      <c r="S1813" s="173"/>
      <c r="T1813" s="173"/>
      <c r="U1813" s="173"/>
      <c r="V1813" s="168" t="s">
        <v>3883</v>
      </c>
      <c r="W1813" s="169"/>
      <c r="X1813" s="171"/>
    </row>
    <row r="1814" ht="15.0" customHeight="1">
      <c r="A1814" s="127">
        <v>45759.0</v>
      </c>
      <c r="B1814" s="181" t="s">
        <v>7488</v>
      </c>
      <c r="C1814" s="56" t="s">
        <v>3068</v>
      </c>
      <c r="D1814" s="73" t="str">
        <f>IFERROR(VLOOKUP(C1814,Stock,3,FALSE),"")</f>
        <v>Honda Brio 10- / Mobilio 11-</v>
      </c>
      <c r="E1814" s="56">
        <v>1.0</v>
      </c>
      <c r="F1814" s="161">
        <v>1442000.0</v>
      </c>
      <c r="G1814" s="162">
        <f t="shared" si="33"/>
        <v>1442000</v>
      </c>
      <c r="H1814" s="194"/>
      <c r="I1814" s="161">
        <f t="shared" si="36"/>
        <v>1442000</v>
      </c>
      <c r="J1814" s="164">
        <f t="shared" si="30"/>
        <v>1442000</v>
      </c>
      <c r="K1814" s="56" t="s">
        <v>7489</v>
      </c>
      <c r="L1814" s="165" t="s">
        <v>7490</v>
      </c>
      <c r="M1814" s="73"/>
      <c r="N1814" s="171"/>
      <c r="O1814" s="169" t="s">
        <v>2958</v>
      </c>
      <c r="P1814" s="168" t="s">
        <v>3112</v>
      </c>
      <c r="Q1814" s="173"/>
      <c r="R1814" s="167">
        <v>1442000.0</v>
      </c>
      <c r="S1814" s="173"/>
      <c r="T1814" s="173"/>
      <c r="U1814" s="173"/>
      <c r="V1814" s="168" t="s">
        <v>3883</v>
      </c>
      <c r="W1814" s="169"/>
      <c r="X1814" s="171"/>
    </row>
    <row r="1815" ht="15.0" customHeight="1">
      <c r="A1815" s="127">
        <v>45759.0</v>
      </c>
      <c r="B1815" s="181" t="s">
        <v>7491</v>
      </c>
      <c r="C1815" s="56" t="s">
        <v>2549</v>
      </c>
      <c r="D1815" s="73" t="str">
        <f>IFERROR(VLOOKUP(C1815,Stock,3,FALSE),"")</f>
        <v>Toyota Avanza / Xenia 11-15 2nd Gen</v>
      </c>
      <c r="E1815" s="56">
        <v>1.0</v>
      </c>
      <c r="F1815" s="161">
        <v>1050000.0</v>
      </c>
      <c r="G1815" s="162">
        <f t="shared" si="33"/>
        <v>1050000</v>
      </c>
      <c r="H1815" s="194"/>
      <c r="I1815" s="161">
        <f t="shared" si="36"/>
        <v>1050000</v>
      </c>
      <c r="J1815" s="164">
        <f t="shared" si="30"/>
        <v>1050000</v>
      </c>
      <c r="K1815" s="56" t="s">
        <v>7492</v>
      </c>
      <c r="L1815" s="165" t="s">
        <v>7490</v>
      </c>
      <c r="M1815" s="73"/>
      <c r="N1815" s="289" t="s">
        <v>7493</v>
      </c>
      <c r="O1815" s="169" t="s">
        <v>2958</v>
      </c>
      <c r="P1815" s="168" t="s">
        <v>3112</v>
      </c>
      <c r="Q1815" s="167">
        <v>1050000.0</v>
      </c>
      <c r="R1815" s="173"/>
      <c r="S1815" s="173"/>
      <c r="T1815" s="173"/>
      <c r="U1815" s="173"/>
      <c r="V1815" s="168" t="s">
        <v>3799</v>
      </c>
      <c r="W1815" s="169"/>
      <c r="X1815" s="171"/>
    </row>
    <row r="1816" ht="15.0" customHeight="1">
      <c r="A1816" s="127">
        <v>45759.0</v>
      </c>
      <c r="B1816" s="181" t="s">
        <v>7491</v>
      </c>
      <c r="C1816" s="56" t="s">
        <v>3826</v>
      </c>
      <c r="D1816" s="73" t="str">
        <f>IFERROR(VLOOKUP(C1816,Stock,3,FALSE),"")</f>
        <v>List Kaca Depan Code 11</v>
      </c>
      <c r="E1816" s="56">
        <v>1.0</v>
      </c>
      <c r="F1816" s="161">
        <v>275000.0</v>
      </c>
      <c r="G1816" s="162">
        <f t="shared" si="33"/>
        <v>275000</v>
      </c>
      <c r="H1816" s="194"/>
      <c r="I1816" s="161">
        <f t="shared" si="36"/>
        <v>275000</v>
      </c>
      <c r="J1816" s="164">
        <f t="shared" si="30"/>
        <v>275000</v>
      </c>
      <c r="K1816" s="56" t="s">
        <v>7492</v>
      </c>
      <c r="L1816" s="165" t="s">
        <v>7490</v>
      </c>
      <c r="M1816" s="73"/>
      <c r="N1816" s="169" t="s">
        <v>7493</v>
      </c>
      <c r="O1816" s="169" t="s">
        <v>2958</v>
      </c>
      <c r="P1816" s="168" t="s">
        <v>3112</v>
      </c>
      <c r="Q1816" s="167">
        <v>275000.0</v>
      </c>
      <c r="R1816" s="173"/>
      <c r="S1816" s="173"/>
      <c r="T1816" s="173"/>
      <c r="U1816" s="173"/>
      <c r="V1816" s="168" t="s">
        <v>3799</v>
      </c>
      <c r="W1816" s="169"/>
      <c r="X1816" s="171"/>
    </row>
    <row r="1817" ht="15.0" customHeight="1">
      <c r="A1817" s="127">
        <v>45759.0</v>
      </c>
      <c r="B1817" s="181" t="s">
        <v>7494</v>
      </c>
      <c r="C1817" s="56" t="s">
        <v>2732</v>
      </c>
      <c r="D1817" s="73" t="str">
        <f>IFERROR(VLOOKUP(C1817,Stock,3,FALSE),"")</f>
        <v>Honda Jazz 13- 3rd Gen</v>
      </c>
      <c r="E1817" s="56">
        <v>1.0</v>
      </c>
      <c r="F1817" s="161">
        <v>1257000.0</v>
      </c>
      <c r="G1817" s="162">
        <f t="shared" si="33"/>
        <v>1257000</v>
      </c>
      <c r="H1817" s="194"/>
      <c r="I1817" s="161">
        <f t="shared" si="36"/>
        <v>1257000</v>
      </c>
      <c r="J1817" s="164">
        <f t="shared" si="30"/>
        <v>1257000</v>
      </c>
      <c r="K1817" s="56" t="s">
        <v>7495</v>
      </c>
      <c r="L1817" s="165" t="s">
        <v>7496</v>
      </c>
      <c r="M1817" s="73"/>
      <c r="N1817" s="171"/>
      <c r="O1817" s="169" t="s">
        <v>3184</v>
      </c>
      <c r="P1817" s="168" t="s">
        <v>3112</v>
      </c>
      <c r="Q1817" s="173"/>
      <c r="R1817" s="167">
        <v>1257000.0</v>
      </c>
      <c r="S1817" s="173"/>
      <c r="T1817" s="173"/>
      <c r="U1817" s="173"/>
      <c r="V1817" s="168" t="s">
        <v>3883</v>
      </c>
      <c r="W1817" s="169"/>
      <c r="X1817" s="171"/>
    </row>
    <row r="1818" ht="15.0" customHeight="1">
      <c r="A1818" s="127">
        <v>45759.0</v>
      </c>
      <c r="B1818" s="181" t="s">
        <v>7494</v>
      </c>
      <c r="C1818" s="56" t="s">
        <v>2934</v>
      </c>
      <c r="D1818" s="73" t="str">
        <f>IFERROR(VLOOKUP(C1818,Stock,3,FALSE),"")</f>
        <v>Peti Kayu</v>
      </c>
      <c r="E1818" s="56">
        <v>1.0</v>
      </c>
      <c r="F1818" s="161">
        <v>200000.0</v>
      </c>
      <c r="G1818" s="162">
        <f t="shared" si="33"/>
        <v>200000</v>
      </c>
      <c r="H1818" s="194"/>
      <c r="I1818" s="161">
        <f t="shared" si="36"/>
        <v>200000</v>
      </c>
      <c r="J1818" s="164">
        <f t="shared" si="30"/>
        <v>200000</v>
      </c>
      <c r="K1818" s="56" t="s">
        <v>7495</v>
      </c>
      <c r="L1818" s="165" t="s">
        <v>7496</v>
      </c>
      <c r="M1818" s="73"/>
      <c r="N1818" s="171"/>
      <c r="O1818" s="169" t="s">
        <v>3184</v>
      </c>
      <c r="P1818" s="168" t="s">
        <v>3112</v>
      </c>
      <c r="Q1818" s="173"/>
      <c r="R1818" s="167">
        <v>200000.0</v>
      </c>
      <c r="S1818" s="173"/>
      <c r="T1818" s="173"/>
      <c r="U1818" s="173"/>
      <c r="V1818" s="168" t="s">
        <v>3883</v>
      </c>
      <c r="W1818" s="169"/>
      <c r="X1818" s="171"/>
    </row>
    <row r="1819" ht="15.0" customHeight="1">
      <c r="A1819" s="127">
        <v>45759.0</v>
      </c>
      <c r="B1819" s="181" t="s">
        <v>7497</v>
      </c>
      <c r="C1819" s="56" t="s">
        <v>3290</v>
      </c>
      <c r="D1819" s="73" t="str">
        <f>IFERROR(VLOOKUP(C1819,Stock,3,FALSE),"")</f>
        <v>Toyota Innova 04-15 1st Gen</v>
      </c>
      <c r="E1819" s="56">
        <v>1.0</v>
      </c>
      <c r="F1819" s="161">
        <v>1449000.0</v>
      </c>
      <c r="G1819" s="162">
        <f t="shared" si="33"/>
        <v>1449000</v>
      </c>
      <c r="H1819" s="194"/>
      <c r="I1819" s="161">
        <f t="shared" si="36"/>
        <v>1449000</v>
      </c>
      <c r="J1819" s="164">
        <f t="shared" si="30"/>
        <v>1449000</v>
      </c>
      <c r="K1819" s="56" t="s">
        <v>7498</v>
      </c>
      <c r="L1819" s="165" t="s">
        <v>7499</v>
      </c>
      <c r="M1819" s="73"/>
      <c r="N1819" s="289" t="s">
        <v>7500</v>
      </c>
      <c r="O1819" s="169" t="s">
        <v>3204</v>
      </c>
      <c r="P1819" s="168" t="s">
        <v>3112</v>
      </c>
      <c r="Q1819" s="173"/>
      <c r="R1819" s="167">
        <v>1449000.0</v>
      </c>
      <c r="S1819" s="173"/>
      <c r="T1819" s="173"/>
      <c r="U1819" s="173"/>
      <c r="V1819" s="168" t="s">
        <v>3799</v>
      </c>
      <c r="W1819" s="169"/>
      <c r="X1819" s="171"/>
    </row>
    <row r="1820" ht="15.0" customHeight="1">
      <c r="A1820" s="127">
        <v>45759.0</v>
      </c>
      <c r="B1820" s="181" t="s">
        <v>7501</v>
      </c>
      <c r="C1820" s="56" t="s">
        <v>2669</v>
      </c>
      <c r="D1820" s="73" t="str">
        <f>IFERROR(VLOOKUP(C1820,Stock,3,FALSE),"")</f>
        <v>Nissan Livina 07-18 L10/L11</v>
      </c>
      <c r="E1820" s="56">
        <v>1.0</v>
      </c>
      <c r="F1820" s="161">
        <v>1422000.0</v>
      </c>
      <c r="G1820" s="162">
        <f t="shared" si="33"/>
        <v>1422000</v>
      </c>
      <c r="H1820" s="194"/>
      <c r="I1820" s="161">
        <f t="shared" si="36"/>
        <v>1422000</v>
      </c>
      <c r="J1820" s="164">
        <f t="shared" si="30"/>
        <v>1422000</v>
      </c>
      <c r="K1820" s="56" t="s">
        <v>7502</v>
      </c>
      <c r="L1820" s="165" t="s">
        <v>7503</v>
      </c>
      <c r="M1820" s="73"/>
      <c r="N1820" s="289" t="s">
        <v>7504</v>
      </c>
      <c r="O1820" s="169" t="s">
        <v>2958</v>
      </c>
      <c r="P1820" s="168" t="s">
        <v>3112</v>
      </c>
      <c r="Q1820" s="173"/>
      <c r="R1820" s="167">
        <v>1422000.0</v>
      </c>
      <c r="S1820" s="173"/>
      <c r="T1820" s="173"/>
      <c r="U1820" s="173"/>
      <c r="V1820" s="168" t="s">
        <v>3799</v>
      </c>
      <c r="W1820" s="169"/>
      <c r="X1820" s="171"/>
    </row>
    <row r="1821" ht="15.0" customHeight="1">
      <c r="A1821" s="127">
        <v>45759.0</v>
      </c>
      <c r="B1821" s="181" t="s">
        <v>7501</v>
      </c>
      <c r="C1821" s="56" t="s">
        <v>3083</v>
      </c>
      <c r="D1821" s="73" t="str">
        <f>IFERROR(VLOOKUP(C1821,Stock,3,FALSE),"")</f>
        <v>List Kaca Depan Code 04</v>
      </c>
      <c r="E1821" s="56">
        <v>1.0</v>
      </c>
      <c r="F1821" s="161">
        <v>275000.0</v>
      </c>
      <c r="G1821" s="162">
        <f t="shared" si="33"/>
        <v>275000</v>
      </c>
      <c r="H1821" s="194"/>
      <c r="I1821" s="161">
        <f t="shared" si="36"/>
        <v>275000</v>
      </c>
      <c r="J1821" s="164">
        <f t="shared" si="30"/>
        <v>275000</v>
      </c>
      <c r="K1821" s="56" t="s">
        <v>7502</v>
      </c>
      <c r="L1821" s="451" t="s">
        <v>7505</v>
      </c>
      <c r="M1821" s="73"/>
      <c r="N1821" s="289" t="s">
        <v>7504</v>
      </c>
      <c r="O1821" s="169" t="s">
        <v>2958</v>
      </c>
      <c r="P1821" s="168" t="s">
        <v>3112</v>
      </c>
      <c r="Q1821" s="173"/>
      <c r="R1821" s="167">
        <v>275000.0</v>
      </c>
      <c r="S1821" s="173"/>
      <c r="T1821" s="173"/>
      <c r="U1821" s="173"/>
      <c r="V1821" s="168" t="s">
        <v>3799</v>
      </c>
      <c r="W1821" s="169"/>
      <c r="X1821" s="171"/>
    </row>
    <row r="1822" ht="15.0" customHeight="1">
      <c r="A1822" s="127">
        <v>45759.0</v>
      </c>
      <c r="B1822" s="181" t="s">
        <v>7506</v>
      </c>
      <c r="C1822" s="56" t="s">
        <v>4901</v>
      </c>
      <c r="D1822" s="73" t="str">
        <f>IFERROR(VLOOKUP(C1822,Stock,3,FALSE),"")</f>
        <v>Toyota Rush / Terios 18-</v>
      </c>
      <c r="E1822" s="56">
        <v>1.0</v>
      </c>
      <c r="F1822" s="161">
        <v>1352000.0</v>
      </c>
      <c r="G1822" s="162">
        <f t="shared" si="33"/>
        <v>1352000</v>
      </c>
      <c r="H1822" s="194"/>
      <c r="I1822" s="161">
        <f t="shared" si="36"/>
        <v>1352000</v>
      </c>
      <c r="J1822" s="164">
        <f t="shared" si="30"/>
        <v>1352000</v>
      </c>
      <c r="K1822" s="56" t="s">
        <v>7507</v>
      </c>
      <c r="L1822" s="165" t="s">
        <v>7508</v>
      </c>
      <c r="M1822" s="73"/>
      <c r="N1822" s="169" t="s">
        <v>7509</v>
      </c>
      <c r="O1822" s="169" t="s">
        <v>2958</v>
      </c>
      <c r="P1822" s="168" t="s">
        <v>3112</v>
      </c>
      <c r="Q1822" s="173"/>
      <c r="R1822" s="167">
        <v>1352000.0</v>
      </c>
      <c r="S1822" s="173"/>
      <c r="T1822" s="173"/>
      <c r="U1822" s="173"/>
      <c r="V1822" s="168" t="s">
        <v>3883</v>
      </c>
      <c r="W1822" s="169"/>
      <c r="X1822" s="171"/>
    </row>
    <row r="1823" ht="15.0" customHeight="1">
      <c r="A1823" s="127">
        <v>45760.0</v>
      </c>
      <c r="B1823" s="181" t="s">
        <v>7510</v>
      </c>
      <c r="C1823" s="56" t="s">
        <v>3622</v>
      </c>
      <c r="D1823" s="73" t="str">
        <f>IFERROR(VLOOKUP(C1823,Stock,3,FALSE),"")</f>
        <v>Mitsubishi Pajero 08-16</v>
      </c>
      <c r="E1823" s="56">
        <v>1.0</v>
      </c>
      <c r="F1823" s="161">
        <v>1800000.0</v>
      </c>
      <c r="G1823" s="162">
        <f t="shared" si="33"/>
        <v>1800000</v>
      </c>
      <c r="H1823" s="194"/>
      <c r="I1823" s="161">
        <f t="shared" si="36"/>
        <v>1800000</v>
      </c>
      <c r="J1823" s="164">
        <f t="shared" si="30"/>
        <v>1800000</v>
      </c>
      <c r="K1823" s="56" t="s">
        <v>7511</v>
      </c>
      <c r="L1823" s="165" t="s">
        <v>7512</v>
      </c>
      <c r="M1823" s="73"/>
      <c r="N1823" s="289" t="s">
        <v>7513</v>
      </c>
      <c r="O1823" s="169" t="s">
        <v>2958</v>
      </c>
      <c r="P1823" s="168" t="s">
        <v>3112</v>
      </c>
      <c r="Q1823" s="173"/>
      <c r="R1823" s="167">
        <v>1800000.0</v>
      </c>
      <c r="S1823" s="173"/>
      <c r="T1823" s="173"/>
      <c r="U1823" s="173"/>
      <c r="V1823" s="168" t="s">
        <v>3664</v>
      </c>
      <c r="W1823" s="169"/>
      <c r="X1823" s="171"/>
    </row>
    <row r="1824" ht="15.0" customHeight="1">
      <c r="A1824" s="127">
        <v>45760.0</v>
      </c>
      <c r="B1824" s="181" t="s">
        <v>7514</v>
      </c>
      <c r="C1824" s="56" t="s">
        <v>3176</v>
      </c>
      <c r="D1824" s="73" t="str">
        <f>IFERROR(VLOOKUP(C1824,Stock,3,FALSE),"")</f>
        <v>Toyota Avanza / Xenia 11-15 2nd Gen / 15-21 3rd Gen</v>
      </c>
      <c r="E1824" s="56">
        <v>1.0</v>
      </c>
      <c r="F1824" s="161">
        <v>880000.0</v>
      </c>
      <c r="G1824" s="162">
        <f t="shared" si="33"/>
        <v>880000</v>
      </c>
      <c r="H1824" s="194"/>
      <c r="I1824" s="161">
        <f t="shared" si="36"/>
        <v>880000</v>
      </c>
      <c r="J1824" s="164">
        <f t="shared" si="30"/>
        <v>880000</v>
      </c>
      <c r="K1824" s="56" t="s">
        <v>5670</v>
      </c>
      <c r="L1824" s="165" t="s">
        <v>7515</v>
      </c>
      <c r="M1824" s="73"/>
      <c r="N1824" s="289" t="s">
        <v>7516</v>
      </c>
      <c r="O1824" s="169" t="s">
        <v>3204</v>
      </c>
      <c r="P1824" s="168" t="s">
        <v>3112</v>
      </c>
      <c r="Q1824" s="173"/>
      <c r="R1824" s="167">
        <v>880000.0</v>
      </c>
      <c r="S1824" s="173"/>
      <c r="T1824" s="173"/>
      <c r="U1824" s="173"/>
      <c r="V1824" s="168" t="s">
        <v>3664</v>
      </c>
      <c r="W1824" s="169"/>
      <c r="X1824" s="171"/>
    </row>
    <row r="1825" ht="15.0" customHeight="1">
      <c r="A1825" s="127">
        <v>45761.0</v>
      </c>
      <c r="B1825" s="181" t="s">
        <v>7517</v>
      </c>
      <c r="C1825" s="56" t="s">
        <v>3045</v>
      </c>
      <c r="D1825" s="73" t="str">
        <f>IFERROR(VLOOKUP(C1825,Stock,3,FALSE),"")</f>
        <v>Pemasangan Kaca Mobil Depan</v>
      </c>
      <c r="E1825" s="56">
        <v>1.0</v>
      </c>
      <c r="F1825" s="161">
        <v>500000.0</v>
      </c>
      <c r="G1825" s="162">
        <f t="shared" si="33"/>
        <v>500000</v>
      </c>
      <c r="H1825" s="194"/>
      <c r="I1825" s="161">
        <f t="shared" si="36"/>
        <v>500000</v>
      </c>
      <c r="J1825" s="164">
        <f t="shared" si="30"/>
        <v>500000</v>
      </c>
      <c r="K1825" s="56" t="s">
        <v>7518</v>
      </c>
      <c r="L1825" s="165" t="s">
        <v>7519</v>
      </c>
      <c r="M1825" s="73"/>
      <c r="N1825" s="171"/>
      <c r="O1825" s="169" t="s">
        <v>2958</v>
      </c>
      <c r="P1825" s="168" t="s">
        <v>3112</v>
      </c>
      <c r="Q1825" s="173"/>
      <c r="R1825" s="167">
        <v>500000.0</v>
      </c>
      <c r="S1825" s="173"/>
      <c r="T1825" s="173"/>
      <c r="U1825" s="173"/>
      <c r="V1825" s="168" t="s">
        <v>3883</v>
      </c>
      <c r="W1825" s="169"/>
      <c r="X1825" s="171"/>
    </row>
    <row r="1826" ht="15.0" customHeight="1">
      <c r="A1826" s="127">
        <v>45761.0</v>
      </c>
      <c r="B1826" s="181" t="s">
        <v>7517</v>
      </c>
      <c r="C1826" s="56" t="s">
        <v>2954</v>
      </c>
      <c r="D1826" s="73" t="str">
        <f>IFERROR(VLOOKUP(C1826,Stock,3,FALSE),"")</f>
        <v>Transport</v>
      </c>
      <c r="E1826" s="56">
        <v>1.0</v>
      </c>
      <c r="F1826" s="161">
        <v>100000.0</v>
      </c>
      <c r="G1826" s="162">
        <f t="shared" si="33"/>
        <v>100000</v>
      </c>
      <c r="H1826" s="194"/>
      <c r="I1826" s="161">
        <f t="shared" si="36"/>
        <v>100000</v>
      </c>
      <c r="J1826" s="164">
        <f t="shared" si="30"/>
        <v>100000</v>
      </c>
      <c r="K1826" s="56" t="s">
        <v>7518</v>
      </c>
      <c r="L1826" s="165" t="s">
        <v>7519</v>
      </c>
      <c r="M1826" s="73"/>
      <c r="N1826" s="171"/>
      <c r="O1826" s="169" t="s">
        <v>2958</v>
      </c>
      <c r="P1826" s="168" t="s">
        <v>3112</v>
      </c>
      <c r="Q1826" s="173"/>
      <c r="R1826" s="167">
        <v>100000.0</v>
      </c>
      <c r="S1826" s="173"/>
      <c r="T1826" s="173"/>
      <c r="U1826" s="173"/>
      <c r="V1826" s="168" t="s">
        <v>3883</v>
      </c>
      <c r="W1826" s="169"/>
      <c r="X1826" s="171"/>
    </row>
    <row r="1827" ht="15.0" customHeight="1">
      <c r="A1827" s="127">
        <v>45761.0</v>
      </c>
      <c r="B1827" s="181" t="s">
        <v>7520</v>
      </c>
      <c r="C1827" s="56" t="s">
        <v>3025</v>
      </c>
      <c r="D1827" s="73" t="str">
        <f>IFERROR(VLOOKUP(C1827,Stock,3,FALSE),"")</f>
        <v>Toyota Rush / Terios 06-17</v>
      </c>
      <c r="E1827" s="56">
        <v>1.0</v>
      </c>
      <c r="F1827" s="161">
        <v>1448000.0</v>
      </c>
      <c r="G1827" s="162">
        <f t="shared" si="33"/>
        <v>1448000</v>
      </c>
      <c r="H1827" s="194"/>
      <c r="I1827" s="161">
        <f t="shared" si="36"/>
        <v>1448000</v>
      </c>
      <c r="J1827" s="164">
        <f t="shared" si="30"/>
        <v>1448000</v>
      </c>
      <c r="K1827" s="197" t="s">
        <v>7521</v>
      </c>
      <c r="L1827" s="165" t="s">
        <v>7522</v>
      </c>
      <c r="M1827" s="73"/>
      <c r="N1827" s="171"/>
      <c r="O1827" s="169" t="s">
        <v>3204</v>
      </c>
      <c r="P1827" s="168" t="s">
        <v>3112</v>
      </c>
      <c r="Q1827" s="173"/>
      <c r="R1827" s="167">
        <v>1448000.0</v>
      </c>
      <c r="S1827" s="173"/>
      <c r="T1827" s="173"/>
      <c r="U1827" s="173"/>
      <c r="V1827" s="168" t="s">
        <v>3883</v>
      </c>
      <c r="W1827" s="169"/>
      <c r="X1827" s="171"/>
    </row>
    <row r="1828" ht="15.0" customHeight="1">
      <c r="A1828" s="127">
        <v>45761.0</v>
      </c>
      <c r="B1828" s="181" t="s">
        <v>7520</v>
      </c>
      <c r="C1828" s="56" t="s">
        <v>2954</v>
      </c>
      <c r="D1828" s="73" t="str">
        <f>IFERROR(VLOOKUP(C1828,Stock,3,FALSE),"")</f>
        <v>Transport</v>
      </c>
      <c r="E1828" s="56">
        <v>1.0</v>
      </c>
      <c r="F1828" s="161">
        <v>150000.0</v>
      </c>
      <c r="G1828" s="162">
        <f t="shared" si="33"/>
        <v>150000</v>
      </c>
      <c r="H1828" s="194"/>
      <c r="I1828" s="161">
        <f t="shared" si="36"/>
        <v>150000</v>
      </c>
      <c r="J1828" s="164">
        <f t="shared" si="30"/>
        <v>150000</v>
      </c>
      <c r="K1828" s="197" t="s">
        <v>7521</v>
      </c>
      <c r="L1828" s="165" t="s">
        <v>7522</v>
      </c>
      <c r="M1828" s="73"/>
      <c r="N1828" s="171"/>
      <c r="O1828" s="169" t="s">
        <v>3204</v>
      </c>
      <c r="P1828" s="168" t="s">
        <v>3112</v>
      </c>
      <c r="Q1828" s="173"/>
      <c r="R1828" s="167">
        <v>150000.0</v>
      </c>
      <c r="S1828" s="173"/>
      <c r="T1828" s="173"/>
      <c r="U1828" s="173"/>
      <c r="V1828" s="168" t="s">
        <v>3883</v>
      </c>
      <c r="W1828" s="169"/>
      <c r="X1828" s="171"/>
    </row>
    <row r="1829" ht="15.0" customHeight="1">
      <c r="A1829" s="183">
        <v>45761.0</v>
      </c>
      <c r="B1829" s="185" t="s">
        <v>7523</v>
      </c>
      <c r="C1829" s="184" t="s">
        <v>2677</v>
      </c>
      <c r="D1829" s="186" t="str">
        <f>IFERROR(VLOOKUP(C1829,Stock,3,FALSE),"")</f>
        <v>Suzuki Grand Escudo 00-05</v>
      </c>
      <c r="E1829" s="184">
        <v>1.0</v>
      </c>
      <c r="F1829" s="187">
        <v>1001000.0</v>
      </c>
      <c r="G1829" s="188">
        <f t="shared" si="33"/>
        <v>1001000</v>
      </c>
      <c r="H1829" s="210"/>
      <c r="I1829" s="187">
        <f t="shared" si="36"/>
        <v>1001000</v>
      </c>
      <c r="J1829" s="189">
        <f t="shared" si="30"/>
        <v>1001000</v>
      </c>
      <c r="K1829" s="184" t="s">
        <v>7524</v>
      </c>
      <c r="L1829" s="186"/>
      <c r="M1829" s="186"/>
      <c r="N1829" s="212"/>
      <c r="O1829" s="193" t="s">
        <v>2958</v>
      </c>
      <c r="P1829" s="214"/>
      <c r="Q1829" s="213"/>
      <c r="R1829" s="213"/>
      <c r="S1829" s="213"/>
      <c r="T1829" s="213"/>
      <c r="U1829" s="213"/>
      <c r="V1829" s="192" t="s">
        <v>3883</v>
      </c>
      <c r="W1829" s="193"/>
      <c r="X1829" s="171"/>
    </row>
    <row r="1830" ht="15.0" customHeight="1">
      <c r="A1830" s="127">
        <v>45761.0</v>
      </c>
      <c r="B1830" s="181" t="s">
        <v>7525</v>
      </c>
      <c r="C1830" s="56" t="s">
        <v>3606</v>
      </c>
      <c r="D1830" s="73" t="str">
        <f>IFERROR(VLOOKUP(C1830,Stock,3,FALSE),"")</f>
        <v>Wuling Confero (Heater)</v>
      </c>
      <c r="E1830" s="56">
        <v>1.0</v>
      </c>
      <c r="F1830" s="161">
        <v>1350000.0</v>
      </c>
      <c r="G1830" s="162">
        <f t="shared" si="33"/>
        <v>1350000</v>
      </c>
      <c r="H1830" s="194"/>
      <c r="I1830" s="161">
        <f t="shared" si="36"/>
        <v>1350000</v>
      </c>
      <c r="J1830" s="164">
        <f t="shared" si="30"/>
        <v>1350000</v>
      </c>
      <c r="K1830" s="56" t="s">
        <v>7526</v>
      </c>
      <c r="L1830" s="165" t="s">
        <v>7527</v>
      </c>
      <c r="M1830" s="73"/>
      <c r="N1830" s="169" t="s">
        <v>7528</v>
      </c>
      <c r="O1830" s="169" t="s">
        <v>2958</v>
      </c>
      <c r="P1830" s="168" t="s">
        <v>3112</v>
      </c>
      <c r="Q1830" s="173"/>
      <c r="R1830" s="167">
        <v>1350000.0</v>
      </c>
      <c r="S1830" s="173"/>
      <c r="T1830" s="173"/>
      <c r="U1830" s="173"/>
      <c r="V1830" s="168" t="s">
        <v>3883</v>
      </c>
      <c r="W1830" s="169"/>
      <c r="X1830" s="171"/>
    </row>
    <row r="1831" ht="15.0" customHeight="1">
      <c r="A1831" s="127">
        <v>45761.0</v>
      </c>
      <c r="B1831" s="181" t="s">
        <v>7529</v>
      </c>
      <c r="C1831" s="56" t="s">
        <v>6895</v>
      </c>
      <c r="D1831" s="73" t="str">
        <f>IFERROR(VLOOKUP(C1831,Stock,3,FALSE),"")</f>
        <v>Toyota Avanza / Xenia 03-11 1st Gen</v>
      </c>
      <c r="E1831" s="56">
        <v>1.0</v>
      </c>
      <c r="F1831" s="161">
        <v>500000.0</v>
      </c>
      <c r="G1831" s="162">
        <f t="shared" si="33"/>
        <v>500000</v>
      </c>
      <c r="H1831" s="194"/>
      <c r="I1831" s="161">
        <f t="shared" si="36"/>
        <v>500000</v>
      </c>
      <c r="J1831" s="164">
        <f t="shared" si="30"/>
        <v>500000</v>
      </c>
      <c r="K1831" s="169" t="s">
        <v>7530</v>
      </c>
      <c r="L1831" s="165" t="s">
        <v>7531</v>
      </c>
      <c r="M1831" s="73"/>
      <c r="N1831" s="169" t="s">
        <v>7532</v>
      </c>
      <c r="O1831" s="169" t="s">
        <v>2958</v>
      </c>
      <c r="P1831" s="168" t="s">
        <v>3112</v>
      </c>
      <c r="Q1831" s="167">
        <v>500000.0</v>
      </c>
      <c r="R1831" s="173"/>
      <c r="S1831" s="173"/>
      <c r="T1831" s="173"/>
      <c r="U1831" s="173"/>
      <c r="V1831" s="168" t="s">
        <v>3883</v>
      </c>
      <c r="W1831" s="169"/>
      <c r="X1831" s="171"/>
    </row>
    <row r="1832" ht="15.0" customHeight="1">
      <c r="A1832" s="127">
        <v>45762.0</v>
      </c>
      <c r="B1832" s="181" t="s">
        <v>7533</v>
      </c>
      <c r="C1832" s="56" t="s">
        <v>3056</v>
      </c>
      <c r="D1832" s="73" t="str">
        <f>IFERROR(VLOOKUP(C1832,Stock,3,FALSE),"")</f>
        <v>Honda BR-V 16-</v>
      </c>
      <c r="E1832" s="56">
        <v>1.0</v>
      </c>
      <c r="F1832" s="161">
        <v>1533000.0</v>
      </c>
      <c r="G1832" s="162">
        <f t="shared" si="33"/>
        <v>1533000</v>
      </c>
      <c r="H1832" s="194"/>
      <c r="I1832" s="161">
        <f t="shared" si="36"/>
        <v>1533000</v>
      </c>
      <c r="J1832" s="164">
        <f t="shared" si="30"/>
        <v>1533000</v>
      </c>
      <c r="K1832" s="56" t="s">
        <v>7534</v>
      </c>
      <c r="L1832" s="165" t="s">
        <v>7535</v>
      </c>
      <c r="M1832" s="73"/>
      <c r="N1832" s="171"/>
      <c r="O1832" s="169" t="s">
        <v>2958</v>
      </c>
      <c r="P1832" s="168" t="s">
        <v>3112</v>
      </c>
      <c r="Q1832" s="173"/>
      <c r="R1832" s="167">
        <v>1533000.0</v>
      </c>
      <c r="S1832" s="173"/>
      <c r="T1832" s="173"/>
      <c r="U1832" s="173"/>
      <c r="V1832" s="168" t="s">
        <v>3799</v>
      </c>
      <c r="W1832" s="169"/>
      <c r="X1832" s="171"/>
    </row>
    <row r="1833" ht="15.0" customHeight="1">
      <c r="A1833" s="127">
        <v>45762.0</v>
      </c>
      <c r="B1833" s="181" t="s">
        <v>7533</v>
      </c>
      <c r="C1833" s="56" t="s">
        <v>2954</v>
      </c>
      <c r="D1833" s="73" t="str">
        <f>IFERROR(VLOOKUP(C1833,Stock,3,FALSE),"")</f>
        <v>Transport</v>
      </c>
      <c r="E1833" s="56">
        <v>1.0</v>
      </c>
      <c r="F1833" s="161">
        <v>50000.0</v>
      </c>
      <c r="G1833" s="162">
        <f t="shared" si="33"/>
        <v>50000</v>
      </c>
      <c r="H1833" s="194"/>
      <c r="I1833" s="161">
        <f t="shared" si="36"/>
        <v>50000</v>
      </c>
      <c r="J1833" s="164">
        <f t="shared" si="30"/>
        <v>50000</v>
      </c>
      <c r="K1833" s="56" t="s">
        <v>7534</v>
      </c>
      <c r="L1833" s="165" t="s">
        <v>7535</v>
      </c>
      <c r="M1833" s="73"/>
      <c r="N1833" s="171"/>
      <c r="O1833" s="169" t="s">
        <v>2958</v>
      </c>
      <c r="P1833" s="168" t="s">
        <v>3112</v>
      </c>
      <c r="Q1833" s="173"/>
      <c r="R1833" s="167">
        <v>50000.0</v>
      </c>
      <c r="S1833" s="173"/>
      <c r="T1833" s="173"/>
      <c r="U1833" s="173"/>
      <c r="V1833" s="168" t="s">
        <v>3799</v>
      </c>
      <c r="W1833" s="169"/>
      <c r="X1833" s="171"/>
    </row>
    <row r="1834" ht="15.0" customHeight="1">
      <c r="A1834" s="127">
        <v>45762.0</v>
      </c>
      <c r="B1834" s="181" t="s">
        <v>7536</v>
      </c>
      <c r="C1834" s="56" t="s">
        <v>4988</v>
      </c>
      <c r="D1834" s="73" t="str">
        <f>IFERROR(VLOOKUP(C1834,Stock,3,FALSE),"")</f>
        <v>Toyota Innova 15- 2nd Gen</v>
      </c>
      <c r="E1834" s="56">
        <v>1.0</v>
      </c>
      <c r="F1834" s="161">
        <v>1750000.0</v>
      </c>
      <c r="G1834" s="162">
        <f t="shared" si="33"/>
        <v>1750000</v>
      </c>
      <c r="H1834" s="194"/>
      <c r="I1834" s="161">
        <f t="shared" si="36"/>
        <v>1750000</v>
      </c>
      <c r="J1834" s="164">
        <f t="shared" si="30"/>
        <v>1750000</v>
      </c>
      <c r="K1834" s="56" t="s">
        <v>5172</v>
      </c>
      <c r="L1834" s="165" t="s">
        <v>7537</v>
      </c>
      <c r="M1834" s="73"/>
      <c r="N1834" s="169" t="s">
        <v>7538</v>
      </c>
      <c r="O1834" s="169" t="s">
        <v>2958</v>
      </c>
      <c r="P1834" s="168" t="s">
        <v>3112</v>
      </c>
      <c r="Q1834" s="173"/>
      <c r="R1834" s="167">
        <v>1750000.0</v>
      </c>
      <c r="S1834" s="173"/>
      <c r="T1834" s="173"/>
      <c r="U1834" s="173"/>
      <c r="V1834" s="168" t="s">
        <v>3883</v>
      </c>
      <c r="W1834" s="169"/>
      <c r="X1834" s="171"/>
    </row>
    <row r="1835" ht="15.0" customHeight="1">
      <c r="A1835" s="127">
        <v>45762.0</v>
      </c>
      <c r="B1835" s="181" t="s">
        <v>7539</v>
      </c>
      <c r="C1835" s="56" t="s">
        <v>7540</v>
      </c>
      <c r="D1835" s="73" t="str">
        <f>IFERROR(VLOOKUP(C1835,Stock,3,FALSE),"")</f>
        <v>T</v>
      </c>
      <c r="E1835" s="56">
        <v>1.0</v>
      </c>
      <c r="F1835" s="161">
        <v>816000.0</v>
      </c>
      <c r="G1835" s="162">
        <f t="shared" si="33"/>
        <v>816000</v>
      </c>
      <c r="H1835" s="194"/>
      <c r="I1835" s="161">
        <f t="shared" si="36"/>
        <v>816000</v>
      </c>
      <c r="J1835" s="164">
        <f t="shared" si="30"/>
        <v>816000</v>
      </c>
      <c r="K1835" s="56" t="s">
        <v>7541</v>
      </c>
      <c r="L1835" s="165" t="s">
        <v>7542</v>
      </c>
      <c r="M1835" s="73"/>
      <c r="N1835" s="171"/>
      <c r="O1835" s="169" t="s">
        <v>2958</v>
      </c>
      <c r="P1835" s="168" t="s">
        <v>3112</v>
      </c>
      <c r="Q1835" s="173"/>
      <c r="R1835" s="167">
        <v>816000.0</v>
      </c>
      <c r="S1835" s="173"/>
      <c r="T1835" s="173"/>
      <c r="U1835" s="173"/>
      <c r="V1835" s="168" t="s">
        <v>3883</v>
      </c>
      <c r="W1835" s="169"/>
      <c r="X1835" s="171"/>
    </row>
    <row r="1836" ht="15.0" customHeight="1">
      <c r="A1836" s="127">
        <v>45762.0</v>
      </c>
      <c r="B1836" s="181" t="s">
        <v>7539</v>
      </c>
      <c r="C1836" s="56" t="s">
        <v>2934</v>
      </c>
      <c r="D1836" s="73" t="str">
        <f>IFERROR(VLOOKUP(C1836,Stock,3,FALSE),"")</f>
        <v>Peti Kayu</v>
      </c>
      <c r="E1836" s="56">
        <v>1.0</v>
      </c>
      <c r="F1836" s="161">
        <v>120000.0</v>
      </c>
      <c r="G1836" s="162">
        <f t="shared" si="33"/>
        <v>120000</v>
      </c>
      <c r="H1836" s="194"/>
      <c r="I1836" s="161">
        <f t="shared" si="36"/>
        <v>120000</v>
      </c>
      <c r="J1836" s="164">
        <f t="shared" si="30"/>
        <v>120000</v>
      </c>
      <c r="K1836" s="56" t="s">
        <v>7541</v>
      </c>
      <c r="L1836" s="165" t="s">
        <v>7542</v>
      </c>
      <c r="M1836" s="73"/>
      <c r="N1836" s="171"/>
      <c r="O1836" s="169" t="s">
        <v>2958</v>
      </c>
      <c r="P1836" s="168" t="s">
        <v>3112</v>
      </c>
      <c r="Q1836" s="173"/>
      <c r="R1836" s="167">
        <v>120000.0</v>
      </c>
      <c r="S1836" s="173"/>
      <c r="T1836" s="173"/>
      <c r="U1836" s="173"/>
      <c r="V1836" s="168" t="s">
        <v>3883</v>
      </c>
      <c r="W1836" s="169"/>
      <c r="X1836" s="171"/>
    </row>
    <row r="1837" ht="15.0" customHeight="1">
      <c r="A1837" s="127">
        <v>45763.0</v>
      </c>
      <c r="B1837" s="181" t="s">
        <v>7543</v>
      </c>
      <c r="C1837" s="56" t="s">
        <v>2817</v>
      </c>
      <c r="D1837" s="73" t="str">
        <f>IFERROR(VLOOKUP(C1837,Stock,3,FALSE),"")</f>
        <v>Honda Jazz 01-07 1st Gen</v>
      </c>
      <c r="E1837" s="56">
        <v>1.0</v>
      </c>
      <c r="F1837" s="161">
        <v>640000.0</v>
      </c>
      <c r="G1837" s="162">
        <f t="shared" si="33"/>
        <v>640000</v>
      </c>
      <c r="H1837" s="194"/>
      <c r="I1837" s="161">
        <f t="shared" si="36"/>
        <v>640000</v>
      </c>
      <c r="J1837" s="164">
        <f t="shared" si="30"/>
        <v>640000</v>
      </c>
      <c r="K1837" s="131" t="s">
        <v>5658</v>
      </c>
      <c r="L1837" s="165" t="s">
        <v>7544</v>
      </c>
      <c r="M1837" s="73"/>
      <c r="N1837" s="171"/>
      <c r="O1837" s="169" t="s">
        <v>5220</v>
      </c>
      <c r="P1837" s="168" t="s">
        <v>3112</v>
      </c>
      <c r="Q1837" s="173"/>
      <c r="R1837" s="167">
        <v>640000.0</v>
      </c>
      <c r="S1837" s="173"/>
      <c r="T1837" s="173"/>
      <c r="U1837" s="173"/>
      <c r="V1837" s="168" t="s">
        <v>3883</v>
      </c>
      <c r="W1837" s="169"/>
      <c r="X1837" s="171"/>
    </row>
    <row r="1838" ht="15.0" customHeight="1">
      <c r="A1838" s="127">
        <v>45763.0</v>
      </c>
      <c r="B1838" s="181" t="s">
        <v>7543</v>
      </c>
      <c r="C1838" s="56" t="s">
        <v>2934</v>
      </c>
      <c r="D1838" s="73" t="str">
        <f>IFERROR(VLOOKUP(C1838,Stock,3,FALSE),"")</f>
        <v>Peti Kayu</v>
      </c>
      <c r="E1838" s="56">
        <v>1.0</v>
      </c>
      <c r="F1838" s="161">
        <v>120000.0</v>
      </c>
      <c r="G1838" s="162">
        <f t="shared" si="33"/>
        <v>120000</v>
      </c>
      <c r="H1838" s="194"/>
      <c r="I1838" s="161">
        <f t="shared" si="36"/>
        <v>120000</v>
      </c>
      <c r="J1838" s="164">
        <f t="shared" si="30"/>
        <v>120000</v>
      </c>
      <c r="K1838" s="56" t="s">
        <v>5658</v>
      </c>
      <c r="L1838" s="165" t="s">
        <v>7544</v>
      </c>
      <c r="M1838" s="73"/>
      <c r="N1838" s="171"/>
      <c r="O1838" s="169" t="s">
        <v>5220</v>
      </c>
      <c r="P1838" s="168" t="s">
        <v>3112</v>
      </c>
      <c r="Q1838" s="173"/>
      <c r="R1838" s="167">
        <v>120000.0</v>
      </c>
      <c r="S1838" s="173"/>
      <c r="T1838" s="173"/>
      <c r="U1838" s="173"/>
      <c r="V1838" s="168" t="s">
        <v>3883</v>
      </c>
      <c r="W1838" s="169"/>
      <c r="X1838" s="171"/>
    </row>
    <row r="1839" ht="15.0" customHeight="1">
      <c r="A1839" s="127">
        <v>45763.0</v>
      </c>
      <c r="B1839" s="181" t="s">
        <v>7545</v>
      </c>
      <c r="C1839" s="251" t="s">
        <v>3837</v>
      </c>
      <c r="D1839" s="73" t="str">
        <f>IFERROR(VLOOKUP(C1839,Stock,3,FALSE),"")</f>
        <v>Toyota Yaris 13- 2nd Gen / Vios 14- 3rd Gen</v>
      </c>
      <c r="E1839" s="56">
        <v>1.0</v>
      </c>
      <c r="F1839" s="161">
        <v>1469000.0</v>
      </c>
      <c r="G1839" s="162">
        <f t="shared" si="33"/>
        <v>1469000</v>
      </c>
      <c r="H1839" s="194"/>
      <c r="I1839" s="161">
        <f t="shared" si="36"/>
        <v>1469000</v>
      </c>
      <c r="J1839" s="164">
        <f t="shared" si="30"/>
        <v>1469000</v>
      </c>
      <c r="K1839" s="56" t="s">
        <v>7546</v>
      </c>
      <c r="L1839" s="165" t="s">
        <v>7547</v>
      </c>
      <c r="M1839" s="73"/>
      <c r="N1839" s="171"/>
      <c r="O1839" s="169" t="s">
        <v>5606</v>
      </c>
      <c r="P1839" s="168" t="s">
        <v>2922</v>
      </c>
      <c r="Q1839" s="173"/>
      <c r="R1839" s="173"/>
      <c r="S1839" s="167">
        <v>1469000.0</v>
      </c>
      <c r="T1839" s="449">
        <v>126175.0</v>
      </c>
      <c r="U1839" s="173"/>
      <c r="V1839" s="168" t="s">
        <v>3883</v>
      </c>
      <c r="W1839" s="169"/>
      <c r="X1839" s="171"/>
    </row>
    <row r="1840" ht="15.0" customHeight="1">
      <c r="A1840" s="127">
        <v>45763.0</v>
      </c>
      <c r="B1840" s="181" t="s">
        <v>7545</v>
      </c>
      <c r="C1840" s="56" t="s">
        <v>2934</v>
      </c>
      <c r="D1840" s="73" t="str">
        <f>IFERROR(VLOOKUP(C1840,Stock,3,FALSE),"")</f>
        <v>Peti Kayu</v>
      </c>
      <c r="E1840" s="56">
        <v>1.0</v>
      </c>
      <c r="F1840" s="161">
        <v>200000.0</v>
      </c>
      <c r="G1840" s="162">
        <f t="shared" si="33"/>
        <v>200000</v>
      </c>
      <c r="H1840" s="194"/>
      <c r="I1840" s="161">
        <f t="shared" si="36"/>
        <v>200000</v>
      </c>
      <c r="J1840" s="164">
        <f t="shared" si="30"/>
        <v>200000</v>
      </c>
      <c r="K1840" s="56" t="s">
        <v>7546</v>
      </c>
      <c r="L1840" s="165" t="s">
        <v>7547</v>
      </c>
      <c r="M1840" s="73"/>
      <c r="N1840" s="171"/>
      <c r="O1840" s="169" t="s">
        <v>5606</v>
      </c>
      <c r="P1840" s="168" t="s">
        <v>2922</v>
      </c>
      <c r="Q1840" s="173"/>
      <c r="R1840" s="173"/>
      <c r="S1840" s="167">
        <v>200000.0</v>
      </c>
      <c r="T1840" s="173"/>
      <c r="U1840" s="173"/>
      <c r="V1840" s="168" t="s">
        <v>3883</v>
      </c>
      <c r="W1840" s="169"/>
      <c r="X1840" s="171"/>
    </row>
    <row r="1841" ht="15.0" customHeight="1">
      <c r="A1841" s="127">
        <v>45764.0</v>
      </c>
      <c r="B1841" s="181" t="s">
        <v>7548</v>
      </c>
      <c r="C1841" s="56" t="s">
        <v>3045</v>
      </c>
      <c r="D1841" s="73" t="str">
        <f>IFERROR(VLOOKUP(C1841,Stock,3,FALSE),"")</f>
        <v>Pemasangan Kaca Mobil Depan</v>
      </c>
      <c r="E1841" s="56">
        <v>1.0</v>
      </c>
      <c r="F1841" s="161">
        <v>600000.0</v>
      </c>
      <c r="G1841" s="162">
        <f t="shared" si="33"/>
        <v>600000</v>
      </c>
      <c r="H1841" s="194"/>
      <c r="I1841" s="161">
        <f t="shared" si="36"/>
        <v>600000</v>
      </c>
      <c r="J1841" s="164">
        <f t="shared" si="30"/>
        <v>600000</v>
      </c>
      <c r="K1841" s="56" t="s">
        <v>7549</v>
      </c>
      <c r="L1841" s="165" t="s">
        <v>7550</v>
      </c>
      <c r="M1841" s="73"/>
      <c r="N1841" s="169"/>
      <c r="O1841" s="169" t="s">
        <v>2958</v>
      </c>
      <c r="P1841" s="168" t="s">
        <v>3112</v>
      </c>
      <c r="Q1841" s="173"/>
      <c r="R1841" s="167">
        <v>600000.0</v>
      </c>
      <c r="S1841" s="173"/>
      <c r="T1841" s="173"/>
      <c r="U1841" s="173"/>
      <c r="V1841" s="168" t="s">
        <v>3883</v>
      </c>
      <c r="W1841" s="169"/>
      <c r="X1841" s="171"/>
    </row>
    <row r="1842" ht="15.0" customHeight="1">
      <c r="A1842" s="127">
        <v>45764.0</v>
      </c>
      <c r="B1842" s="181" t="s">
        <v>7551</v>
      </c>
      <c r="C1842" s="56" t="s">
        <v>7552</v>
      </c>
      <c r="D1842" s="73" t="str">
        <f>IFERROR(VLOOKUP(C1842,Stock,3,FALSE),"")</f>
        <v>Toyota Raize / Daihatsu Rocky 20- (Toyota/Daihatsu)</v>
      </c>
      <c r="E1842" s="56">
        <v>1.0</v>
      </c>
      <c r="F1842" s="161">
        <v>2636000.0</v>
      </c>
      <c r="G1842" s="162">
        <f t="shared" si="33"/>
        <v>2636000</v>
      </c>
      <c r="H1842" s="194"/>
      <c r="I1842" s="161">
        <f t="shared" si="36"/>
        <v>2636000</v>
      </c>
      <c r="J1842" s="164">
        <f t="shared" si="30"/>
        <v>2636000</v>
      </c>
      <c r="K1842" s="56" t="s">
        <v>6260</v>
      </c>
      <c r="L1842" s="165" t="s">
        <v>7553</v>
      </c>
      <c r="M1842" s="73"/>
      <c r="N1842" s="169" t="s">
        <v>7554</v>
      </c>
      <c r="O1842" s="169" t="s">
        <v>2958</v>
      </c>
      <c r="P1842" s="168" t="s">
        <v>3112</v>
      </c>
      <c r="Q1842" s="173"/>
      <c r="R1842" s="167">
        <v>2636000.0</v>
      </c>
      <c r="S1842" s="173"/>
      <c r="T1842" s="173"/>
      <c r="U1842" s="173"/>
      <c r="V1842" s="168" t="s">
        <v>3883</v>
      </c>
      <c r="W1842" s="169"/>
      <c r="X1842" s="171"/>
    </row>
    <row r="1843" ht="15.0" customHeight="1">
      <c r="A1843" s="127">
        <v>45764.0</v>
      </c>
      <c r="B1843" s="181" t="s">
        <v>7555</v>
      </c>
      <c r="C1843" s="56" t="s">
        <v>2663</v>
      </c>
      <c r="D1843" s="73" t="str">
        <f>IFERROR(VLOOKUP(C1843,Stock,3,FALSE),"")</f>
        <v>Chevrolet Captiva 06-18 1st gen C100</v>
      </c>
      <c r="E1843" s="56">
        <v>1.0</v>
      </c>
      <c r="F1843" s="161">
        <v>2200000.0</v>
      </c>
      <c r="G1843" s="162">
        <f t="shared" si="33"/>
        <v>2200000</v>
      </c>
      <c r="H1843" s="201">
        <v>600000.0</v>
      </c>
      <c r="I1843" s="161">
        <f t="shared" si="36"/>
        <v>1600000</v>
      </c>
      <c r="J1843" s="164">
        <f t="shared" si="30"/>
        <v>1600000</v>
      </c>
      <c r="K1843" s="56" t="s">
        <v>7549</v>
      </c>
      <c r="L1843" s="165" t="s">
        <v>7550</v>
      </c>
      <c r="M1843" s="73"/>
      <c r="N1843" s="171"/>
      <c r="O1843" s="169" t="s">
        <v>2958</v>
      </c>
      <c r="P1843" s="168" t="s">
        <v>3112</v>
      </c>
      <c r="Q1843" s="173"/>
      <c r="R1843" s="167">
        <v>1600000.0</v>
      </c>
      <c r="S1843" s="173"/>
      <c r="T1843" s="173"/>
      <c r="U1843" s="173"/>
      <c r="V1843" s="168" t="s">
        <v>3883</v>
      </c>
      <c r="W1843" s="169"/>
      <c r="X1843" s="171"/>
    </row>
    <row r="1844" ht="15.0" customHeight="1">
      <c r="A1844" s="127">
        <v>45766.0</v>
      </c>
      <c r="B1844" s="181" t="s">
        <v>7556</v>
      </c>
      <c r="C1844" s="56" t="s">
        <v>2727</v>
      </c>
      <c r="D1844" s="73" t="str">
        <f>IFERROR(VLOOKUP(C1844,Stock,3,FALSE),"")</f>
        <v>Honda CR-V 17-23 5th Gen (Honda)</v>
      </c>
      <c r="E1844" s="56">
        <v>1.0</v>
      </c>
      <c r="F1844" s="161">
        <v>1702000.0</v>
      </c>
      <c r="G1844" s="162">
        <f t="shared" si="33"/>
        <v>1702000</v>
      </c>
      <c r="H1844" s="194"/>
      <c r="I1844" s="161">
        <f t="shared" si="36"/>
        <v>1702000</v>
      </c>
      <c r="J1844" s="164">
        <f t="shared" si="30"/>
        <v>1702000</v>
      </c>
      <c r="K1844" s="56" t="s">
        <v>7557</v>
      </c>
      <c r="L1844" s="165" t="s">
        <v>7558</v>
      </c>
      <c r="M1844" s="73"/>
      <c r="N1844" s="171"/>
      <c r="O1844" s="169" t="s">
        <v>7559</v>
      </c>
      <c r="P1844" s="168" t="s">
        <v>2922</v>
      </c>
      <c r="Q1844" s="173"/>
      <c r="R1844" s="173"/>
      <c r="S1844" s="167">
        <v>1702000.0</v>
      </c>
      <c r="T1844" s="449">
        <v>127650.0</v>
      </c>
      <c r="U1844" s="173"/>
      <c r="V1844" s="168" t="s">
        <v>3883</v>
      </c>
      <c r="W1844" s="169"/>
      <c r="X1844" s="171"/>
    </row>
    <row r="1845" ht="15.0" customHeight="1">
      <c r="A1845" s="127">
        <v>45766.0</v>
      </c>
      <c r="B1845" s="181" t="s">
        <v>7556</v>
      </c>
      <c r="C1845" s="56" t="s">
        <v>2934</v>
      </c>
      <c r="D1845" s="73" t="str">
        <f>IFERROR(VLOOKUP(C1845,Stock,3,FALSE),"")</f>
        <v>Peti Kayu</v>
      </c>
      <c r="E1845" s="56">
        <v>1.0</v>
      </c>
      <c r="F1845" s="161">
        <v>200000.0</v>
      </c>
      <c r="G1845" s="162">
        <f t="shared" si="33"/>
        <v>200000</v>
      </c>
      <c r="H1845" s="194"/>
      <c r="I1845" s="161">
        <f t="shared" si="36"/>
        <v>200000</v>
      </c>
      <c r="J1845" s="164">
        <f t="shared" si="30"/>
        <v>200000</v>
      </c>
      <c r="K1845" s="56" t="s">
        <v>7557</v>
      </c>
      <c r="L1845" s="165" t="s">
        <v>7558</v>
      </c>
      <c r="M1845" s="73"/>
      <c r="N1845" s="171"/>
      <c r="O1845" s="169" t="s">
        <v>7559</v>
      </c>
      <c r="P1845" s="168" t="s">
        <v>2922</v>
      </c>
      <c r="Q1845" s="173"/>
      <c r="R1845" s="167">
        <v>200000.0</v>
      </c>
      <c r="S1845" s="173"/>
      <c r="T1845" s="173"/>
      <c r="U1845" s="173"/>
      <c r="V1845" s="168" t="s">
        <v>3883</v>
      </c>
      <c r="W1845" s="169"/>
      <c r="X1845" s="171"/>
    </row>
    <row r="1846" ht="15.0" customHeight="1">
      <c r="A1846" s="127">
        <v>45766.0</v>
      </c>
      <c r="B1846" s="181" t="s">
        <v>7560</v>
      </c>
      <c r="C1846" s="56" t="s">
        <v>3186</v>
      </c>
      <c r="D1846" s="73" t="str">
        <f>IFERROR(VLOOKUP(C1846,Stock,3,FALSE),"")</f>
        <v>Daihatsu Gran Max / Luxio 07-</v>
      </c>
      <c r="E1846" s="56">
        <v>1.0</v>
      </c>
      <c r="F1846" s="161">
        <v>880000.0</v>
      </c>
      <c r="G1846" s="162">
        <f t="shared" si="33"/>
        <v>880000</v>
      </c>
      <c r="H1846" s="201">
        <v>80000.0</v>
      </c>
      <c r="I1846" s="161">
        <f t="shared" si="36"/>
        <v>800000</v>
      </c>
      <c r="J1846" s="164">
        <f t="shared" si="30"/>
        <v>800000</v>
      </c>
      <c r="K1846" s="56" t="s">
        <v>5011</v>
      </c>
      <c r="L1846" s="165" t="s">
        <v>3644</v>
      </c>
      <c r="M1846" s="73"/>
      <c r="N1846" s="171"/>
      <c r="O1846" s="169" t="s">
        <v>2958</v>
      </c>
      <c r="P1846" s="168" t="s">
        <v>3112</v>
      </c>
      <c r="Q1846" s="173"/>
      <c r="R1846" s="167">
        <v>800000.0</v>
      </c>
      <c r="S1846" s="173"/>
      <c r="T1846" s="173"/>
      <c r="U1846" s="173"/>
      <c r="V1846" s="168" t="s">
        <v>3883</v>
      </c>
      <c r="W1846" s="169"/>
      <c r="X1846" s="171"/>
    </row>
    <row r="1847" ht="15.0" customHeight="1">
      <c r="A1847" s="127">
        <v>45766.0</v>
      </c>
      <c r="B1847" s="181" t="s">
        <v>7561</v>
      </c>
      <c r="C1847" s="56" t="s">
        <v>3411</v>
      </c>
      <c r="D1847" s="73" t="str">
        <f>IFERROR(VLOOKUP(C1847,Stock,3,FALSE),"")</f>
        <v>Toyota Agya/Ayla 13-22 1st Gen</v>
      </c>
      <c r="E1847" s="56">
        <v>1.0</v>
      </c>
      <c r="F1847" s="161">
        <v>1050000.0</v>
      </c>
      <c r="G1847" s="162">
        <f t="shared" si="33"/>
        <v>1050000</v>
      </c>
      <c r="H1847" s="194"/>
      <c r="I1847" s="161">
        <f t="shared" si="36"/>
        <v>1050000</v>
      </c>
      <c r="J1847" s="164">
        <f t="shared" si="30"/>
        <v>1050000</v>
      </c>
      <c r="K1847" s="56" t="s">
        <v>7562</v>
      </c>
      <c r="L1847" s="165" t="s">
        <v>7563</v>
      </c>
      <c r="M1847" s="73"/>
      <c r="N1847" s="169" t="s">
        <v>7564</v>
      </c>
      <c r="O1847" s="169" t="s">
        <v>3213</v>
      </c>
      <c r="P1847" s="168" t="s">
        <v>3112</v>
      </c>
      <c r="Q1847" s="167">
        <v>1050000.0</v>
      </c>
      <c r="R1847" s="173"/>
      <c r="S1847" s="173"/>
      <c r="T1847" s="173"/>
      <c r="U1847" s="173"/>
      <c r="V1847" s="168" t="s">
        <v>3883</v>
      </c>
      <c r="W1847" s="169"/>
      <c r="X1847" s="171"/>
    </row>
    <row r="1848" ht="15.0" customHeight="1">
      <c r="A1848" s="127">
        <v>45766.0</v>
      </c>
      <c r="B1848" s="181" t="s">
        <v>7565</v>
      </c>
      <c r="C1848" s="56" t="s">
        <v>2562</v>
      </c>
      <c r="D1848" s="73" t="str">
        <f>IFERROR(VLOOKUP(C1848,Stock,3,FALSE),"")</f>
        <v>Toyota Avanza / Xenia 15-21 3rd Gen</v>
      </c>
      <c r="E1848" s="56">
        <v>1.0</v>
      </c>
      <c r="F1848" s="161">
        <v>1050000.0</v>
      </c>
      <c r="G1848" s="162">
        <f t="shared" si="33"/>
        <v>1050000</v>
      </c>
      <c r="H1848" s="194"/>
      <c r="I1848" s="161">
        <f t="shared" si="36"/>
        <v>1050000</v>
      </c>
      <c r="J1848" s="164">
        <f t="shared" si="30"/>
        <v>1050000</v>
      </c>
      <c r="K1848" s="56" t="s">
        <v>7566</v>
      </c>
      <c r="L1848" s="165" t="s">
        <v>7567</v>
      </c>
      <c r="M1848" s="73"/>
      <c r="N1848" s="171"/>
      <c r="O1848" s="169" t="s">
        <v>2958</v>
      </c>
      <c r="P1848" s="168" t="s">
        <v>3112</v>
      </c>
      <c r="Q1848" s="173"/>
      <c r="R1848" s="167">
        <v>1050000.0</v>
      </c>
      <c r="S1848" s="173"/>
      <c r="T1848" s="173"/>
      <c r="U1848" s="173"/>
      <c r="V1848" s="168" t="s">
        <v>3883</v>
      </c>
      <c r="W1848" s="169"/>
      <c r="X1848" s="171"/>
    </row>
    <row r="1849" ht="15.0" customHeight="1">
      <c r="A1849" s="127">
        <v>45766.0</v>
      </c>
      <c r="B1849" s="181" t="s">
        <v>7568</v>
      </c>
      <c r="C1849" s="56" t="s">
        <v>3041</v>
      </c>
      <c r="D1849" s="73" t="str">
        <f>IFERROR(VLOOKUP(C1849,Stock,3,FALSE),"")</f>
        <v>Honda Jazz 13- 3rd Gen (Honda)</v>
      </c>
      <c r="E1849" s="56">
        <v>1.0</v>
      </c>
      <c r="F1849" s="161">
        <v>2290000.0</v>
      </c>
      <c r="G1849" s="162">
        <f t="shared" si="33"/>
        <v>2290000</v>
      </c>
      <c r="H1849" s="194"/>
      <c r="I1849" s="161">
        <f t="shared" si="36"/>
        <v>2290000</v>
      </c>
      <c r="J1849" s="164">
        <f t="shared" si="30"/>
        <v>2290000</v>
      </c>
      <c r="K1849" s="56" t="s">
        <v>7569</v>
      </c>
      <c r="L1849" s="165" t="s">
        <v>7570</v>
      </c>
      <c r="M1849" s="73"/>
      <c r="N1849" s="171"/>
      <c r="O1849" s="169" t="s">
        <v>2958</v>
      </c>
      <c r="P1849" s="168" t="s">
        <v>3112</v>
      </c>
      <c r="Q1849" s="173"/>
      <c r="R1849" s="167">
        <v>2290000.0</v>
      </c>
      <c r="S1849" s="173"/>
      <c r="T1849" s="173"/>
      <c r="U1849" s="173"/>
      <c r="V1849" s="168" t="s">
        <v>3799</v>
      </c>
      <c r="W1849" s="169"/>
      <c r="X1849" s="171"/>
    </row>
    <row r="1850" ht="15.0" customHeight="1">
      <c r="A1850" s="127">
        <v>45767.0</v>
      </c>
      <c r="B1850" s="181" t="s">
        <v>7571</v>
      </c>
      <c r="C1850" s="56" t="s">
        <v>3186</v>
      </c>
      <c r="D1850" s="73" t="str">
        <f>IFERROR(VLOOKUP(C1850,Stock,3,FALSE),"")</f>
        <v>Daihatsu Gran Max / Luxio 07-</v>
      </c>
      <c r="E1850" s="56">
        <v>1.0</v>
      </c>
      <c r="F1850" s="161">
        <v>1050000.0</v>
      </c>
      <c r="G1850" s="162">
        <f t="shared" si="33"/>
        <v>1050000</v>
      </c>
      <c r="H1850" s="194"/>
      <c r="I1850" s="161">
        <f t="shared" si="36"/>
        <v>1050000</v>
      </c>
      <c r="J1850" s="164">
        <f t="shared" si="30"/>
        <v>1050000</v>
      </c>
      <c r="K1850" s="56" t="s">
        <v>7572</v>
      </c>
      <c r="L1850" s="165" t="s">
        <v>7573</v>
      </c>
      <c r="M1850" s="73"/>
      <c r="N1850" s="169" t="s">
        <v>7574</v>
      </c>
      <c r="O1850" s="169" t="s">
        <v>3213</v>
      </c>
      <c r="P1850" s="168" t="s">
        <v>3112</v>
      </c>
      <c r="Q1850" s="167">
        <v>1050000.0</v>
      </c>
      <c r="R1850" s="173"/>
      <c r="S1850" s="173"/>
      <c r="T1850" s="173"/>
      <c r="U1850" s="173"/>
      <c r="V1850" s="168" t="s">
        <v>3883</v>
      </c>
      <c r="W1850" s="169"/>
      <c r="X1850" s="171"/>
    </row>
    <row r="1851" ht="15.0" customHeight="1">
      <c r="A1851" s="127">
        <v>45767.0</v>
      </c>
      <c r="B1851" s="181" t="s">
        <v>7575</v>
      </c>
      <c r="C1851" s="56" t="s">
        <v>3745</v>
      </c>
      <c r="D1851" s="73" t="str">
        <f>IFERROR(VLOOKUP(C1851,Stock,3,FALSE),"")</f>
        <v>Honda Brio 10- / Mobilio 11-</v>
      </c>
      <c r="E1851" s="56">
        <v>1.0</v>
      </c>
      <c r="F1851" s="161">
        <v>1850000.0</v>
      </c>
      <c r="G1851" s="162">
        <f t="shared" si="33"/>
        <v>1850000</v>
      </c>
      <c r="H1851" s="194"/>
      <c r="I1851" s="161">
        <f t="shared" si="36"/>
        <v>1850000</v>
      </c>
      <c r="J1851" s="164">
        <f t="shared" si="30"/>
        <v>1850000</v>
      </c>
      <c r="K1851" s="56" t="s">
        <v>7576</v>
      </c>
      <c r="L1851" s="165" t="s">
        <v>7577</v>
      </c>
      <c r="M1851" s="73"/>
      <c r="N1851" s="171"/>
      <c r="O1851" s="169" t="s">
        <v>3037</v>
      </c>
      <c r="P1851" s="168" t="s">
        <v>3112</v>
      </c>
      <c r="Q1851" s="173"/>
      <c r="R1851" s="167">
        <v>1850000.0</v>
      </c>
      <c r="S1851" s="173"/>
      <c r="T1851" s="173"/>
      <c r="U1851" s="173"/>
      <c r="V1851" s="168" t="s">
        <v>3883</v>
      </c>
      <c r="W1851" s="169"/>
      <c r="X1851" s="171"/>
    </row>
    <row r="1852" ht="15.0" customHeight="1">
      <c r="A1852" s="127">
        <v>45767.0</v>
      </c>
      <c r="B1852" s="181" t="s">
        <v>7578</v>
      </c>
      <c r="C1852" s="56" t="s">
        <v>6887</v>
      </c>
      <c r="D1852" s="73" t="str">
        <f>IFERROR(VLOOKUP(C1852,Stock,3,FALSE),"")</f>
        <v>Toyota Agya/Ayla 13-22 1st Gen</v>
      </c>
      <c r="E1852" s="56">
        <v>1.0</v>
      </c>
      <c r="F1852" s="161">
        <v>500000.0</v>
      </c>
      <c r="G1852" s="162">
        <f t="shared" si="33"/>
        <v>500000</v>
      </c>
      <c r="H1852" s="194"/>
      <c r="I1852" s="161">
        <f t="shared" si="36"/>
        <v>500000</v>
      </c>
      <c r="J1852" s="164">
        <f t="shared" si="30"/>
        <v>500000</v>
      </c>
      <c r="K1852" s="56" t="s">
        <v>7579</v>
      </c>
      <c r="L1852" s="165" t="s">
        <v>7580</v>
      </c>
      <c r="M1852" s="73"/>
      <c r="N1852" s="169" t="s">
        <v>7581</v>
      </c>
      <c r="O1852" s="169" t="s">
        <v>2958</v>
      </c>
      <c r="P1852" s="168" t="s">
        <v>3112</v>
      </c>
      <c r="Q1852" s="167">
        <v>100000.0</v>
      </c>
      <c r="R1852" s="167">
        <v>400000.0</v>
      </c>
      <c r="S1852" s="173"/>
      <c r="T1852" s="173"/>
      <c r="U1852" s="173"/>
      <c r="V1852" s="168" t="s">
        <v>3883</v>
      </c>
      <c r="W1852" s="169"/>
      <c r="X1852" s="171"/>
    </row>
    <row r="1853" ht="15.0" customHeight="1">
      <c r="A1853" s="127">
        <v>45767.0</v>
      </c>
      <c r="B1853" s="181" t="s">
        <v>7582</v>
      </c>
      <c r="C1853" s="56" t="s">
        <v>6895</v>
      </c>
      <c r="D1853" s="73" t="str">
        <f>IFERROR(VLOOKUP(C1853,Stock,3,FALSE),"")</f>
        <v>Toyota Avanza / Xenia 03-11 1st Gen</v>
      </c>
      <c r="E1853" s="56">
        <v>1.0</v>
      </c>
      <c r="F1853" s="161">
        <v>500000.0</v>
      </c>
      <c r="G1853" s="162">
        <f t="shared" si="33"/>
        <v>500000</v>
      </c>
      <c r="H1853" s="194"/>
      <c r="I1853" s="161">
        <f t="shared" si="36"/>
        <v>500000</v>
      </c>
      <c r="J1853" s="164">
        <f t="shared" si="30"/>
        <v>500000</v>
      </c>
      <c r="K1853" s="56" t="s">
        <v>7583</v>
      </c>
      <c r="L1853" s="165" t="s">
        <v>7584</v>
      </c>
      <c r="M1853" s="73"/>
      <c r="N1853" s="171"/>
      <c r="O1853" s="169" t="s">
        <v>2958</v>
      </c>
      <c r="P1853" s="168" t="s">
        <v>3112</v>
      </c>
      <c r="Q1853" s="173"/>
      <c r="R1853" s="167">
        <v>500000.0</v>
      </c>
      <c r="S1853" s="173"/>
      <c r="T1853" s="173"/>
      <c r="U1853" s="173"/>
      <c r="V1853" s="168" t="s">
        <v>3883</v>
      </c>
      <c r="W1853" s="169"/>
      <c r="X1853" s="171"/>
    </row>
    <row r="1854" ht="15.0" customHeight="1">
      <c r="A1854" s="127">
        <v>45768.0</v>
      </c>
      <c r="B1854" s="181" t="s">
        <v>7585</v>
      </c>
      <c r="C1854" s="56" t="s">
        <v>3543</v>
      </c>
      <c r="D1854" s="73" t="str">
        <f>IFERROR(VLOOKUP(C1854,Stock,3,FALSE),"")</f>
        <v>Daihatsu Gran Max Minibus/Van</v>
      </c>
      <c r="E1854" s="56">
        <v>1.0</v>
      </c>
      <c r="F1854" s="161">
        <v>1350000.0</v>
      </c>
      <c r="G1854" s="162">
        <f t="shared" si="33"/>
        <v>1350000</v>
      </c>
      <c r="H1854" s="194"/>
      <c r="I1854" s="161">
        <f t="shared" si="36"/>
        <v>1350000</v>
      </c>
      <c r="J1854" s="164">
        <f t="shared" si="30"/>
        <v>1350000</v>
      </c>
      <c r="K1854" s="56" t="s">
        <v>7586</v>
      </c>
      <c r="L1854" s="165" t="s">
        <v>7587</v>
      </c>
      <c r="M1854" s="73"/>
      <c r="N1854" s="171"/>
      <c r="O1854" s="169" t="s">
        <v>2958</v>
      </c>
      <c r="P1854" s="168" t="s">
        <v>3112</v>
      </c>
      <c r="Q1854" s="173"/>
      <c r="R1854" s="167">
        <v>1350000.0</v>
      </c>
      <c r="S1854" s="173"/>
      <c r="T1854" s="173"/>
      <c r="U1854" s="173"/>
      <c r="V1854" s="168" t="s">
        <v>4262</v>
      </c>
      <c r="W1854" s="169"/>
      <c r="X1854" s="171"/>
    </row>
    <row r="1855" ht="15.0" customHeight="1">
      <c r="A1855" s="452">
        <v>45768.0</v>
      </c>
      <c r="B1855" s="453" t="s">
        <v>7588</v>
      </c>
      <c r="C1855" s="454" t="s">
        <v>3707</v>
      </c>
      <c r="D1855" s="455" t="str">
        <f>IFERROR(VLOOKUP(C1855,Stock,3,FALSE),"")</f>
        <v>Mitsubishi Pajero 16-</v>
      </c>
      <c r="E1855" s="454">
        <v>1.0</v>
      </c>
      <c r="F1855" s="456">
        <v>1330000.0</v>
      </c>
      <c r="G1855" s="457">
        <f t="shared" si="33"/>
        <v>1330000</v>
      </c>
      <c r="H1855" s="458"/>
      <c r="I1855" s="456">
        <f t="shared" si="36"/>
        <v>1330000</v>
      </c>
      <c r="J1855" s="459">
        <f t="shared" si="30"/>
        <v>1330000</v>
      </c>
      <c r="K1855" s="454" t="s">
        <v>7589</v>
      </c>
      <c r="L1855" s="460" t="s">
        <v>7590</v>
      </c>
      <c r="M1855" s="455"/>
      <c r="N1855" s="422"/>
      <c r="O1855" s="317" t="s">
        <v>2958</v>
      </c>
      <c r="P1855" s="461" t="s">
        <v>2922</v>
      </c>
      <c r="Q1855" s="462"/>
      <c r="R1855" s="462"/>
      <c r="S1855" s="463">
        <v>1330000.0</v>
      </c>
      <c r="T1855" s="464">
        <v>99750.0</v>
      </c>
      <c r="U1855" s="462"/>
      <c r="V1855" s="461" t="s">
        <v>3883</v>
      </c>
      <c r="W1855" s="317"/>
      <c r="X1855" s="171"/>
    </row>
    <row r="1856" ht="15.0" customHeight="1">
      <c r="A1856" s="127">
        <v>45768.0</v>
      </c>
      <c r="B1856" s="181" t="s">
        <v>7591</v>
      </c>
      <c r="C1856" s="56" t="s">
        <v>3378</v>
      </c>
      <c r="D1856" s="73" t="str">
        <f>IFERROR(VLOOKUP(C1856,Stock,3,FALSE),"")</f>
        <v>Isuzu Panther 00- 2nd Gen</v>
      </c>
      <c r="E1856" s="56">
        <v>1.0</v>
      </c>
      <c r="F1856" s="161">
        <v>1338000.0</v>
      </c>
      <c r="G1856" s="162">
        <f t="shared" si="33"/>
        <v>1338000</v>
      </c>
      <c r="H1856" s="194"/>
      <c r="I1856" s="161">
        <f t="shared" si="36"/>
        <v>1338000</v>
      </c>
      <c r="J1856" s="164">
        <f t="shared" si="30"/>
        <v>1338000</v>
      </c>
      <c r="K1856" s="56" t="s">
        <v>7592</v>
      </c>
      <c r="L1856" s="165" t="s">
        <v>7593</v>
      </c>
      <c r="M1856" s="73"/>
      <c r="N1856" s="169" t="s">
        <v>7594</v>
      </c>
      <c r="O1856" s="169" t="s">
        <v>2958</v>
      </c>
      <c r="P1856" s="168" t="s">
        <v>3645</v>
      </c>
      <c r="Q1856" s="167">
        <v>1338000.0</v>
      </c>
      <c r="R1856" s="173"/>
      <c r="S1856" s="173"/>
      <c r="T1856" s="173"/>
      <c r="U1856" s="173"/>
      <c r="V1856" s="168" t="s">
        <v>3883</v>
      </c>
      <c r="W1856" s="169"/>
      <c r="X1856" s="171"/>
    </row>
    <row r="1857" ht="15.0" customHeight="1">
      <c r="A1857" s="127">
        <v>45768.0</v>
      </c>
      <c r="B1857" s="181" t="s">
        <v>7595</v>
      </c>
      <c r="C1857" s="56" t="s">
        <v>5308</v>
      </c>
      <c r="D1857" s="73" t="str">
        <f>IFERROR(VLOOKUP(C1857,Stock,3,FALSE),"")</f>
        <v>Toyota Hilux Pickup 15- (Revo)</v>
      </c>
      <c r="E1857" s="56">
        <v>1.0</v>
      </c>
      <c r="F1857" s="161">
        <v>1340000.0</v>
      </c>
      <c r="G1857" s="162">
        <f t="shared" si="33"/>
        <v>1340000</v>
      </c>
      <c r="H1857" s="194"/>
      <c r="I1857" s="161">
        <f t="shared" si="36"/>
        <v>1340000</v>
      </c>
      <c r="J1857" s="164">
        <f t="shared" si="30"/>
        <v>1340000</v>
      </c>
      <c r="K1857" s="56" t="s">
        <v>7596</v>
      </c>
      <c r="L1857" s="165" t="s">
        <v>7597</v>
      </c>
      <c r="M1857" s="73"/>
      <c r="N1857" s="171"/>
      <c r="O1857" s="169" t="s">
        <v>7598</v>
      </c>
      <c r="P1857" s="168" t="s">
        <v>2922</v>
      </c>
      <c r="Q1857" s="173"/>
      <c r="R1857" s="167">
        <v>1340000.0</v>
      </c>
      <c r="S1857" s="173"/>
      <c r="T1857" s="173"/>
      <c r="U1857" s="173"/>
      <c r="V1857" s="168" t="s">
        <v>3883</v>
      </c>
      <c r="W1857" s="169"/>
      <c r="X1857" s="171"/>
    </row>
    <row r="1858" ht="15.0" customHeight="1">
      <c r="A1858" s="127">
        <v>45768.0</v>
      </c>
      <c r="B1858" s="181" t="s">
        <v>7595</v>
      </c>
      <c r="C1858" s="56" t="s">
        <v>7599</v>
      </c>
      <c r="D1858" s="73" t="str">
        <f>IFERROR(VLOOKUP(C1858,Stock,3,FALSE),"")</f>
        <v>Toyota Hilux Pickup 15- (Revo)</v>
      </c>
      <c r="E1858" s="56">
        <v>1.0</v>
      </c>
      <c r="F1858" s="161">
        <v>1270000.0</v>
      </c>
      <c r="G1858" s="162">
        <f t="shared" si="33"/>
        <v>1270000</v>
      </c>
      <c r="H1858" s="194"/>
      <c r="I1858" s="161">
        <f t="shared" si="36"/>
        <v>1270000</v>
      </c>
      <c r="J1858" s="164">
        <f t="shared" si="30"/>
        <v>1270000</v>
      </c>
      <c r="K1858" s="56" t="s">
        <v>7596</v>
      </c>
      <c r="L1858" s="165" t="s">
        <v>7597</v>
      </c>
      <c r="M1858" s="73"/>
      <c r="N1858" s="171"/>
      <c r="O1858" s="169" t="s">
        <v>7598</v>
      </c>
      <c r="P1858" s="168" t="s">
        <v>2922</v>
      </c>
      <c r="Q1858" s="173"/>
      <c r="R1858" s="167">
        <v>1270000.0</v>
      </c>
      <c r="S1858" s="173"/>
      <c r="T1858" s="173"/>
      <c r="U1858" s="173"/>
      <c r="V1858" s="168" t="s">
        <v>3883</v>
      </c>
      <c r="W1858" s="169"/>
      <c r="X1858" s="171"/>
    </row>
    <row r="1859" ht="15.0" customHeight="1">
      <c r="A1859" s="127">
        <v>45768.0</v>
      </c>
      <c r="B1859" s="181" t="s">
        <v>7595</v>
      </c>
      <c r="C1859" s="56" t="s">
        <v>2934</v>
      </c>
      <c r="D1859" s="73" t="str">
        <f>IFERROR(VLOOKUP(C1859,Stock,3,FALSE),"")</f>
        <v>Peti Kayu</v>
      </c>
      <c r="E1859" s="56">
        <v>1.0</v>
      </c>
      <c r="F1859" s="161">
        <v>200000.0</v>
      </c>
      <c r="G1859" s="162">
        <f t="shared" si="33"/>
        <v>200000</v>
      </c>
      <c r="H1859" s="194"/>
      <c r="I1859" s="161">
        <f t="shared" si="36"/>
        <v>200000</v>
      </c>
      <c r="J1859" s="164">
        <f t="shared" si="30"/>
        <v>200000</v>
      </c>
      <c r="K1859" s="56" t="s">
        <v>7596</v>
      </c>
      <c r="L1859" s="165" t="s">
        <v>7597</v>
      </c>
      <c r="M1859" s="73"/>
      <c r="N1859" s="171"/>
      <c r="O1859" s="169" t="s">
        <v>7598</v>
      </c>
      <c r="P1859" s="168" t="s">
        <v>2922</v>
      </c>
      <c r="Q1859" s="173"/>
      <c r="R1859" s="167">
        <v>200000.0</v>
      </c>
      <c r="S1859" s="173"/>
      <c r="T1859" s="173"/>
      <c r="U1859" s="173"/>
      <c r="V1859" s="168" t="s">
        <v>3883</v>
      </c>
      <c r="W1859" s="169"/>
      <c r="X1859" s="171"/>
    </row>
    <row r="1860" ht="15.0" customHeight="1">
      <c r="A1860" s="127">
        <v>45768.0</v>
      </c>
      <c r="B1860" s="181" t="s">
        <v>7595</v>
      </c>
      <c r="C1860" s="169" t="s">
        <v>2954</v>
      </c>
      <c r="D1860" s="73" t="str">
        <f>IFERROR(VLOOKUP(C1860,Stock,3,FALSE),"")</f>
        <v>Transport</v>
      </c>
      <c r="E1860" s="56">
        <v>1.0</v>
      </c>
      <c r="F1860" s="161">
        <v>100000.0</v>
      </c>
      <c r="G1860" s="162">
        <f t="shared" si="33"/>
        <v>100000</v>
      </c>
      <c r="H1860" s="194"/>
      <c r="I1860" s="161">
        <f t="shared" si="36"/>
        <v>100000</v>
      </c>
      <c r="J1860" s="164">
        <f t="shared" si="30"/>
        <v>100000</v>
      </c>
      <c r="K1860" s="56" t="s">
        <v>7596</v>
      </c>
      <c r="L1860" s="165" t="s">
        <v>7597</v>
      </c>
      <c r="M1860" s="73"/>
      <c r="N1860" s="171"/>
      <c r="O1860" s="169" t="s">
        <v>7598</v>
      </c>
      <c r="P1860" s="168" t="s">
        <v>2922</v>
      </c>
      <c r="Q1860" s="173"/>
      <c r="R1860" s="167">
        <v>100000.0</v>
      </c>
      <c r="S1860" s="173"/>
      <c r="T1860" s="173"/>
      <c r="U1860" s="173"/>
      <c r="V1860" s="168" t="s">
        <v>3883</v>
      </c>
      <c r="W1860" s="169"/>
      <c r="X1860" s="171"/>
    </row>
    <row r="1861" ht="15.0" customHeight="1">
      <c r="A1861" s="127">
        <v>45768.0</v>
      </c>
      <c r="B1861" s="181" t="s">
        <v>7600</v>
      </c>
      <c r="C1861" s="56" t="s">
        <v>2637</v>
      </c>
      <c r="D1861" s="73" t="str">
        <f>IFERROR(VLOOKUP(C1861,Stock,3,FALSE),"")</f>
        <v>Ford Everest 04-15 / Ranger 04-11 / Mazda BT-50</v>
      </c>
      <c r="E1861" s="56">
        <v>1.0</v>
      </c>
      <c r="F1861" s="161">
        <v>1261000.0</v>
      </c>
      <c r="G1861" s="162">
        <f t="shared" si="33"/>
        <v>1261000</v>
      </c>
      <c r="H1861" s="194"/>
      <c r="I1861" s="161">
        <f t="shared" si="36"/>
        <v>1261000</v>
      </c>
      <c r="J1861" s="164">
        <f t="shared" si="30"/>
        <v>1261000</v>
      </c>
      <c r="K1861" s="56" t="s">
        <v>7601</v>
      </c>
      <c r="L1861" s="165" t="s">
        <v>7602</v>
      </c>
      <c r="M1861" s="73"/>
      <c r="N1861" s="171"/>
      <c r="O1861" s="169" t="s">
        <v>7603</v>
      </c>
      <c r="P1861" s="168" t="s">
        <v>3112</v>
      </c>
      <c r="Q1861" s="173"/>
      <c r="R1861" s="167">
        <v>1261000.0</v>
      </c>
      <c r="S1861" s="173"/>
      <c r="T1861" s="173"/>
      <c r="U1861" s="173"/>
      <c r="V1861" s="168" t="s">
        <v>4262</v>
      </c>
      <c r="W1861" s="169"/>
      <c r="X1861" s="171"/>
    </row>
    <row r="1862" ht="15.0" customHeight="1">
      <c r="A1862" s="127">
        <v>45769.0</v>
      </c>
      <c r="B1862" s="181" t="s">
        <v>7604</v>
      </c>
      <c r="C1862" s="56" t="s">
        <v>6476</v>
      </c>
      <c r="D1862" s="73" t="str">
        <f>IFERROR(VLOOKUP(C1862,Stock,3,FALSE),"")</f>
        <v>Mitsubishi Outlander 10-21</v>
      </c>
      <c r="E1862" s="56">
        <v>1.0</v>
      </c>
      <c r="F1862" s="161">
        <v>1491000.0</v>
      </c>
      <c r="G1862" s="162">
        <f t="shared" si="33"/>
        <v>1491000</v>
      </c>
      <c r="H1862" s="194"/>
      <c r="I1862" s="161">
        <f t="shared" si="36"/>
        <v>1491000</v>
      </c>
      <c r="J1862" s="164">
        <f t="shared" si="30"/>
        <v>1491000</v>
      </c>
      <c r="K1862" s="56" t="s">
        <v>5366</v>
      </c>
      <c r="L1862" s="165" t="s">
        <v>7605</v>
      </c>
      <c r="M1862" s="73"/>
      <c r="N1862" s="289" t="s">
        <v>7606</v>
      </c>
      <c r="O1862" s="169" t="s">
        <v>3037</v>
      </c>
      <c r="P1862" s="168" t="s">
        <v>3112</v>
      </c>
      <c r="Q1862" s="167">
        <v>1500000.0</v>
      </c>
      <c r="R1862" s="173"/>
      <c r="S1862" s="173"/>
      <c r="T1862" s="173"/>
      <c r="U1862" s="167">
        <v>9000.0</v>
      </c>
      <c r="V1862" s="168" t="s">
        <v>3799</v>
      </c>
      <c r="W1862" s="169"/>
      <c r="X1862" s="171"/>
    </row>
    <row r="1863" ht="15.0" customHeight="1">
      <c r="A1863" s="127">
        <v>45769.0</v>
      </c>
      <c r="B1863" s="181" t="s">
        <v>7607</v>
      </c>
      <c r="C1863" s="56" t="s">
        <v>2617</v>
      </c>
      <c r="D1863" s="73" t="str">
        <f>IFERROR(VLOOKUP(C1863,Stock,3,FALSE),"")</f>
        <v>Mitsubishi Pajero 16- (Mitsubishi)</v>
      </c>
      <c r="E1863" s="56">
        <v>1.0</v>
      </c>
      <c r="F1863" s="161">
        <v>3299000.0</v>
      </c>
      <c r="G1863" s="162">
        <f t="shared" si="33"/>
        <v>3299000</v>
      </c>
      <c r="H1863" s="194"/>
      <c r="I1863" s="161">
        <f t="shared" si="36"/>
        <v>3299000</v>
      </c>
      <c r="J1863" s="164">
        <f t="shared" si="30"/>
        <v>3299000</v>
      </c>
      <c r="K1863" s="56" t="s">
        <v>7608</v>
      </c>
      <c r="L1863" s="165" t="s">
        <v>7609</v>
      </c>
      <c r="M1863" s="73"/>
      <c r="N1863" s="289" t="s">
        <v>7610</v>
      </c>
      <c r="O1863" s="169" t="s">
        <v>3037</v>
      </c>
      <c r="P1863" s="168" t="s">
        <v>3112</v>
      </c>
      <c r="Q1863" s="167">
        <v>3299000.0</v>
      </c>
      <c r="R1863" s="173"/>
      <c r="S1863" s="173"/>
      <c r="T1863" s="173"/>
      <c r="U1863" s="173"/>
      <c r="V1863" s="168" t="s">
        <v>3799</v>
      </c>
      <c r="W1863" s="169"/>
      <c r="X1863" s="171"/>
    </row>
    <row r="1864" ht="15.0" customHeight="1">
      <c r="A1864" s="127">
        <v>45769.0</v>
      </c>
      <c r="B1864" s="181" t="s">
        <v>7607</v>
      </c>
      <c r="C1864" s="56" t="s">
        <v>7611</v>
      </c>
      <c r="D1864" s="73" t="str">
        <f>IFERROR(VLOOKUP(C1864,Stock,3,FALSE),"")</f>
        <v>List Kaca Depan Mitsubishi Pajero 16- / Triton 16-</v>
      </c>
      <c r="E1864" s="56">
        <v>1.0</v>
      </c>
      <c r="F1864" s="161">
        <v>450000.0</v>
      </c>
      <c r="G1864" s="162">
        <f t="shared" si="33"/>
        <v>450000</v>
      </c>
      <c r="H1864" s="194"/>
      <c r="I1864" s="161">
        <f t="shared" si="36"/>
        <v>450000</v>
      </c>
      <c r="J1864" s="164">
        <f t="shared" si="30"/>
        <v>450000</v>
      </c>
      <c r="K1864" s="56" t="s">
        <v>7608</v>
      </c>
      <c r="L1864" s="165" t="s">
        <v>7609</v>
      </c>
      <c r="M1864" s="73"/>
      <c r="N1864" s="289" t="s">
        <v>7610</v>
      </c>
      <c r="O1864" s="169" t="s">
        <v>3037</v>
      </c>
      <c r="P1864" s="168" t="s">
        <v>3112</v>
      </c>
      <c r="Q1864" s="167">
        <v>450000.0</v>
      </c>
      <c r="R1864" s="173"/>
      <c r="S1864" s="173"/>
      <c r="T1864" s="173"/>
      <c r="U1864" s="173"/>
      <c r="V1864" s="168" t="s">
        <v>3799</v>
      </c>
      <c r="W1864" s="169"/>
      <c r="X1864" s="171"/>
    </row>
    <row r="1865" ht="15.0" customHeight="1">
      <c r="A1865" s="127">
        <v>45770.0</v>
      </c>
      <c r="B1865" s="181" t="s">
        <v>7612</v>
      </c>
      <c r="C1865" s="56" t="s">
        <v>2825</v>
      </c>
      <c r="D1865" s="73" t="str">
        <f>IFERROR(VLOOKUP(C1865,Stock,3,FALSE),"")</f>
        <v>Toyota Avanza / Xenia 21- 4th Gen</v>
      </c>
      <c r="E1865" s="56">
        <v>1.0</v>
      </c>
      <c r="F1865" s="161">
        <v>880000.0</v>
      </c>
      <c r="G1865" s="162">
        <f t="shared" si="33"/>
        <v>880000</v>
      </c>
      <c r="H1865" s="194"/>
      <c r="I1865" s="161">
        <f t="shared" si="36"/>
        <v>880000</v>
      </c>
      <c r="J1865" s="164">
        <f t="shared" si="30"/>
        <v>880000</v>
      </c>
      <c r="K1865" s="56" t="s">
        <v>6169</v>
      </c>
      <c r="L1865" s="165" t="s">
        <v>7613</v>
      </c>
      <c r="M1865" s="73"/>
      <c r="N1865" s="169" t="s">
        <v>7614</v>
      </c>
      <c r="O1865" s="169" t="s">
        <v>3213</v>
      </c>
      <c r="P1865" s="168" t="s">
        <v>3112</v>
      </c>
      <c r="Q1865" s="167">
        <v>880000.0</v>
      </c>
      <c r="R1865" s="167"/>
      <c r="S1865" s="173"/>
      <c r="T1865" s="173"/>
      <c r="U1865" s="173"/>
      <c r="V1865" s="168" t="s">
        <v>3799</v>
      </c>
      <c r="W1865" s="169"/>
      <c r="X1865" s="171"/>
    </row>
    <row r="1866" ht="15.0" customHeight="1">
      <c r="A1866" s="127">
        <v>45770.0</v>
      </c>
      <c r="B1866" s="181" t="s">
        <v>7615</v>
      </c>
      <c r="C1866" s="56" t="s">
        <v>3186</v>
      </c>
      <c r="D1866" s="73" t="str">
        <f>IFERROR(VLOOKUP(C1866,Stock,3,FALSE),"")</f>
        <v>Daihatsu Gran Max / Luxio 07-</v>
      </c>
      <c r="E1866" s="56">
        <v>1.0</v>
      </c>
      <c r="F1866" s="161">
        <v>1050000.0</v>
      </c>
      <c r="G1866" s="162">
        <f t="shared" si="33"/>
        <v>1050000</v>
      </c>
      <c r="H1866" s="194"/>
      <c r="I1866" s="161">
        <f t="shared" si="36"/>
        <v>1050000</v>
      </c>
      <c r="J1866" s="164">
        <f t="shared" si="30"/>
        <v>1050000</v>
      </c>
      <c r="K1866" s="131" t="s">
        <v>7616</v>
      </c>
      <c r="L1866" s="165" t="s">
        <v>7617</v>
      </c>
      <c r="M1866" s="73"/>
      <c r="N1866" s="169" t="s">
        <v>7618</v>
      </c>
      <c r="O1866" s="169" t="s">
        <v>2958</v>
      </c>
      <c r="P1866" s="168" t="s">
        <v>3112</v>
      </c>
      <c r="Q1866" s="173"/>
      <c r="R1866" s="167">
        <v>1050000.0</v>
      </c>
      <c r="S1866" s="173"/>
      <c r="T1866" s="173"/>
      <c r="U1866" s="173"/>
      <c r="V1866" s="168" t="s">
        <v>3883</v>
      </c>
      <c r="W1866" s="169"/>
      <c r="X1866" s="171"/>
    </row>
    <row r="1867" ht="15.0" customHeight="1">
      <c r="A1867" s="127">
        <v>45770.0</v>
      </c>
      <c r="B1867" s="181" t="s">
        <v>7619</v>
      </c>
      <c r="C1867" s="56" t="s">
        <v>3068</v>
      </c>
      <c r="D1867" s="73" t="str">
        <f>IFERROR(VLOOKUP(C1867,Stock,3,FALSE),"")</f>
        <v>Honda Brio 10- / Mobilio 11-</v>
      </c>
      <c r="E1867" s="56">
        <v>1.0</v>
      </c>
      <c r="F1867" s="161">
        <v>1542000.0</v>
      </c>
      <c r="G1867" s="162">
        <f t="shared" si="33"/>
        <v>1542000</v>
      </c>
      <c r="H1867" s="194"/>
      <c r="I1867" s="161">
        <f t="shared" si="36"/>
        <v>1542000</v>
      </c>
      <c r="J1867" s="164">
        <f t="shared" si="30"/>
        <v>1542000</v>
      </c>
      <c r="K1867" s="56" t="s">
        <v>7620</v>
      </c>
      <c r="L1867" s="165" t="s">
        <v>7621</v>
      </c>
      <c r="M1867" s="73"/>
      <c r="N1867" s="169" t="s">
        <v>7622</v>
      </c>
      <c r="O1867" s="169" t="s">
        <v>2958</v>
      </c>
      <c r="P1867" s="168" t="s">
        <v>3112</v>
      </c>
      <c r="Q1867" s="173"/>
      <c r="R1867" s="167">
        <v>1542000.0</v>
      </c>
      <c r="S1867" s="173"/>
      <c r="T1867" s="173"/>
      <c r="U1867" s="173"/>
      <c r="V1867" s="168" t="s">
        <v>3883</v>
      </c>
      <c r="W1867" s="169"/>
      <c r="X1867" s="171"/>
    </row>
    <row r="1868" ht="15.0" customHeight="1">
      <c r="A1868" s="127">
        <v>45770.0</v>
      </c>
      <c r="B1868" s="181" t="s">
        <v>7623</v>
      </c>
      <c r="C1868" s="56" t="s">
        <v>7624</v>
      </c>
      <c r="D1868" s="73" t="str">
        <f>IFERROR(VLOOKUP(C1868,Stock,3,FALSE),"")</f>
        <v>Toyota Raize / Daihatsu Rocky 20-</v>
      </c>
      <c r="E1868" s="56">
        <v>1.0</v>
      </c>
      <c r="F1868" s="161">
        <v>748000.0</v>
      </c>
      <c r="G1868" s="162">
        <f t="shared" si="33"/>
        <v>748000</v>
      </c>
      <c r="H1868" s="194"/>
      <c r="I1868" s="161">
        <f t="shared" si="36"/>
        <v>748000</v>
      </c>
      <c r="J1868" s="164">
        <f t="shared" si="30"/>
        <v>748000</v>
      </c>
      <c r="K1868" s="197" t="s">
        <v>7625</v>
      </c>
      <c r="L1868" s="165" t="s">
        <v>7626</v>
      </c>
      <c r="M1868" s="73"/>
      <c r="N1868" s="171"/>
      <c r="O1868" s="169" t="s">
        <v>4072</v>
      </c>
      <c r="P1868" s="168" t="s">
        <v>3112</v>
      </c>
      <c r="Q1868" s="173"/>
      <c r="R1868" s="167">
        <v>748000.0</v>
      </c>
      <c r="S1868" s="173"/>
      <c r="T1868" s="173"/>
      <c r="U1868" s="173"/>
      <c r="V1868" s="168" t="s">
        <v>3799</v>
      </c>
      <c r="W1868" s="169"/>
      <c r="X1868" s="171"/>
    </row>
    <row r="1869" ht="15.0" customHeight="1">
      <c r="A1869" s="127">
        <v>45770.0</v>
      </c>
      <c r="B1869" s="181" t="s">
        <v>7623</v>
      </c>
      <c r="C1869" s="56" t="s">
        <v>2954</v>
      </c>
      <c r="D1869" s="73" t="str">
        <f>IFERROR(VLOOKUP(C1869,Stock,3,FALSE),"")</f>
        <v>Transport</v>
      </c>
      <c r="E1869" s="56">
        <v>1.0</v>
      </c>
      <c r="F1869" s="161">
        <v>80000.0</v>
      </c>
      <c r="G1869" s="162">
        <f t="shared" si="33"/>
        <v>80000</v>
      </c>
      <c r="H1869" s="194"/>
      <c r="I1869" s="161">
        <f t="shared" si="36"/>
        <v>80000</v>
      </c>
      <c r="J1869" s="164">
        <f t="shared" si="30"/>
        <v>80000</v>
      </c>
      <c r="K1869" s="197" t="s">
        <v>7625</v>
      </c>
      <c r="L1869" s="165" t="s">
        <v>7626</v>
      </c>
      <c r="M1869" s="73"/>
      <c r="N1869" s="171"/>
      <c r="O1869" s="169" t="s">
        <v>4072</v>
      </c>
      <c r="P1869" s="168" t="s">
        <v>3112</v>
      </c>
      <c r="Q1869" s="173"/>
      <c r="R1869" s="167">
        <v>80000.0</v>
      </c>
      <c r="S1869" s="173"/>
      <c r="T1869" s="173"/>
      <c r="U1869" s="173"/>
      <c r="V1869" s="168" t="s">
        <v>3799</v>
      </c>
      <c r="W1869" s="169"/>
      <c r="X1869" s="171"/>
    </row>
    <row r="1870" ht="15.0" customHeight="1">
      <c r="A1870" s="127">
        <v>45770.0</v>
      </c>
      <c r="B1870" s="181" t="s">
        <v>7627</v>
      </c>
      <c r="C1870" s="56" t="s">
        <v>3513</v>
      </c>
      <c r="D1870" s="73" t="str">
        <f>IFERROR(VLOOKUP(C1870,Stock,3,FALSE),"")</f>
        <v>Lembur</v>
      </c>
      <c r="E1870" s="56">
        <v>1.0</v>
      </c>
      <c r="F1870" s="161">
        <v>100000.0</v>
      </c>
      <c r="G1870" s="162">
        <f t="shared" si="33"/>
        <v>100000</v>
      </c>
      <c r="H1870" s="194"/>
      <c r="I1870" s="161">
        <f t="shared" si="36"/>
        <v>100000</v>
      </c>
      <c r="J1870" s="164">
        <f t="shared" si="30"/>
        <v>100000</v>
      </c>
      <c r="K1870" s="56" t="s">
        <v>7628</v>
      </c>
      <c r="L1870" s="165" t="s">
        <v>7609</v>
      </c>
      <c r="M1870" s="73"/>
      <c r="N1870" s="171"/>
      <c r="O1870" s="169" t="s">
        <v>3037</v>
      </c>
      <c r="P1870" s="168" t="s">
        <v>3112</v>
      </c>
      <c r="Q1870" s="173"/>
      <c r="R1870" s="173"/>
      <c r="S1870" s="173"/>
      <c r="T1870" s="173"/>
      <c r="U1870" s="173"/>
      <c r="V1870" s="168" t="s">
        <v>3883</v>
      </c>
      <c r="W1870" s="169"/>
      <c r="X1870" s="171"/>
    </row>
    <row r="1871" ht="15.0" customHeight="1">
      <c r="A1871" s="127">
        <v>45771.0</v>
      </c>
      <c r="B1871" s="181" t="s">
        <v>7629</v>
      </c>
      <c r="C1871" s="56" t="s">
        <v>3451</v>
      </c>
      <c r="D1871" s="73" t="str">
        <f>IFERROR(VLOOKUP(C1871,Stock,3,FALSE),"")</f>
        <v>Toyota Rush / Terios 18-</v>
      </c>
      <c r="E1871" s="56">
        <v>1.0</v>
      </c>
      <c r="F1871" s="161">
        <v>1398000.0</v>
      </c>
      <c r="G1871" s="162">
        <f t="shared" si="33"/>
        <v>1398000</v>
      </c>
      <c r="H1871" s="194"/>
      <c r="I1871" s="161">
        <f t="shared" si="36"/>
        <v>1398000</v>
      </c>
      <c r="J1871" s="164">
        <f t="shared" si="30"/>
        <v>1398000</v>
      </c>
      <c r="K1871" s="56" t="s">
        <v>7630</v>
      </c>
      <c r="L1871" s="165" t="s">
        <v>7631</v>
      </c>
      <c r="M1871" s="73"/>
      <c r="N1871" s="171"/>
      <c r="O1871" s="169" t="s">
        <v>2958</v>
      </c>
      <c r="P1871" s="168" t="s">
        <v>3112</v>
      </c>
      <c r="Q1871" s="167">
        <v>1398000.0</v>
      </c>
      <c r="R1871" s="173"/>
      <c r="S1871" s="173"/>
      <c r="T1871" s="173"/>
      <c r="U1871" s="173"/>
      <c r="V1871" s="168" t="s">
        <v>3883</v>
      </c>
      <c r="W1871" s="169"/>
      <c r="X1871" s="171"/>
    </row>
    <row r="1872" ht="15.0" customHeight="1">
      <c r="A1872" s="127">
        <v>45771.0</v>
      </c>
      <c r="B1872" s="181" t="s">
        <v>7632</v>
      </c>
      <c r="C1872" s="251" t="s">
        <v>7633</v>
      </c>
      <c r="D1872" s="73" t="str">
        <f>IFERROR(VLOOKUP(C1872,Stock,3,FALSE),"")</f>
        <v>Renault Duster 10-18 SUV</v>
      </c>
      <c r="E1872" s="56">
        <v>1.0</v>
      </c>
      <c r="F1872" s="161">
        <v>2850000.0</v>
      </c>
      <c r="G1872" s="162">
        <f t="shared" si="33"/>
        <v>2850000</v>
      </c>
      <c r="H1872" s="194"/>
      <c r="I1872" s="161">
        <f t="shared" si="36"/>
        <v>2850000</v>
      </c>
      <c r="J1872" s="164">
        <f t="shared" si="30"/>
        <v>2850000</v>
      </c>
      <c r="K1872" s="56" t="s">
        <v>7634</v>
      </c>
      <c r="L1872" s="165" t="s">
        <v>7635</v>
      </c>
      <c r="M1872" s="73"/>
      <c r="N1872" s="171"/>
      <c r="O1872" s="169" t="s">
        <v>7636</v>
      </c>
      <c r="P1872" s="168" t="s">
        <v>2922</v>
      </c>
      <c r="Q1872" s="173"/>
      <c r="R1872" s="173"/>
      <c r="S1872" s="167">
        <v>2850000.0</v>
      </c>
      <c r="T1872" s="449">
        <v>229750.0</v>
      </c>
      <c r="U1872" s="173"/>
      <c r="V1872" s="168" t="s">
        <v>3883</v>
      </c>
      <c r="W1872" s="169"/>
      <c r="X1872" s="171"/>
    </row>
    <row r="1873" ht="15.0" customHeight="1">
      <c r="A1873" s="127">
        <v>45771.0</v>
      </c>
      <c r="B1873" s="181" t="s">
        <v>7632</v>
      </c>
      <c r="C1873" s="56" t="s">
        <v>2934</v>
      </c>
      <c r="D1873" s="73" t="str">
        <f>IFERROR(VLOOKUP(C1873,Stock,3,FALSE),"")</f>
        <v>Peti Kayu</v>
      </c>
      <c r="E1873" s="56">
        <v>1.0</v>
      </c>
      <c r="F1873" s="161">
        <v>200000.0</v>
      </c>
      <c r="G1873" s="162">
        <f t="shared" si="33"/>
        <v>200000</v>
      </c>
      <c r="H1873" s="194"/>
      <c r="I1873" s="161">
        <f t="shared" si="36"/>
        <v>200000</v>
      </c>
      <c r="J1873" s="164">
        <f t="shared" si="30"/>
        <v>200000</v>
      </c>
      <c r="K1873" s="56" t="s">
        <v>7634</v>
      </c>
      <c r="L1873" s="165" t="s">
        <v>7635</v>
      </c>
      <c r="M1873" s="73"/>
      <c r="N1873" s="171"/>
      <c r="O1873" s="169" t="s">
        <v>7636</v>
      </c>
      <c r="P1873" s="168" t="s">
        <v>2922</v>
      </c>
      <c r="Q1873" s="173"/>
      <c r="R1873" s="173"/>
      <c r="S1873" s="167">
        <v>200000.0</v>
      </c>
      <c r="T1873" s="167"/>
      <c r="U1873" s="173"/>
      <c r="V1873" s="168" t="s">
        <v>3883</v>
      </c>
      <c r="W1873" s="169"/>
      <c r="X1873" s="171"/>
    </row>
    <row r="1874" ht="15.0" customHeight="1">
      <c r="A1874" s="127">
        <v>45772.0</v>
      </c>
      <c r="B1874" s="181" t="s">
        <v>7637</v>
      </c>
      <c r="C1874" s="56" t="s">
        <v>2865</v>
      </c>
      <c r="D1874" s="73" t="str">
        <f>IFERROR(VLOOKUP(C1874,Stock,3,FALSE),"")</f>
        <v>Suzuki Ertiga 12-18 1st Gen MPV</v>
      </c>
      <c r="E1874" s="56">
        <v>1.0</v>
      </c>
      <c r="F1874" s="161">
        <v>570000.0</v>
      </c>
      <c r="G1874" s="162">
        <f t="shared" si="33"/>
        <v>570000</v>
      </c>
      <c r="H1874" s="194"/>
      <c r="I1874" s="161">
        <f t="shared" si="36"/>
        <v>570000</v>
      </c>
      <c r="J1874" s="164">
        <f t="shared" si="30"/>
        <v>570000</v>
      </c>
      <c r="K1874" s="56" t="s">
        <v>7638</v>
      </c>
      <c r="L1874" s="165" t="s">
        <v>7639</v>
      </c>
      <c r="M1874" s="73"/>
      <c r="N1874" s="171"/>
      <c r="O1874" s="169" t="s">
        <v>2958</v>
      </c>
      <c r="P1874" s="168" t="s">
        <v>3112</v>
      </c>
      <c r="Q1874" s="167">
        <v>570000.0</v>
      </c>
      <c r="R1874" s="173"/>
      <c r="S1874" s="173"/>
      <c r="T1874" s="173"/>
      <c r="U1874" s="173"/>
      <c r="V1874" s="168" t="s">
        <v>3883</v>
      </c>
      <c r="W1874" s="169"/>
      <c r="X1874" s="171"/>
    </row>
    <row r="1875" ht="15.0" customHeight="1">
      <c r="A1875" s="127">
        <v>45772.0</v>
      </c>
      <c r="B1875" s="181" t="s">
        <v>7640</v>
      </c>
      <c r="C1875" s="56" t="s">
        <v>3033</v>
      </c>
      <c r="D1875" s="73" t="str">
        <f>IFERROR(VLOOKUP(C1875,Stock,3,FALSE),"")</f>
        <v>Toyota Innova 04-15 1st Gen</v>
      </c>
      <c r="E1875" s="56">
        <v>1.0</v>
      </c>
      <c r="F1875" s="161">
        <v>1400000.0</v>
      </c>
      <c r="G1875" s="162">
        <f t="shared" si="33"/>
        <v>1400000</v>
      </c>
      <c r="H1875" s="194"/>
      <c r="I1875" s="161">
        <f t="shared" si="36"/>
        <v>1400000</v>
      </c>
      <c r="J1875" s="164">
        <f t="shared" si="30"/>
        <v>1400000</v>
      </c>
      <c r="K1875" s="56" t="s">
        <v>7641</v>
      </c>
      <c r="L1875" s="165" t="s">
        <v>7642</v>
      </c>
      <c r="M1875" s="73"/>
      <c r="N1875" s="171"/>
      <c r="O1875" s="169" t="s">
        <v>3037</v>
      </c>
      <c r="P1875" s="168" t="s">
        <v>3112</v>
      </c>
      <c r="Q1875" s="173"/>
      <c r="R1875" s="167">
        <v>1400000.0</v>
      </c>
      <c r="S1875" s="173"/>
      <c r="T1875" s="173"/>
      <c r="U1875" s="173"/>
      <c r="V1875" s="168" t="s">
        <v>3883</v>
      </c>
      <c r="W1875" s="169"/>
      <c r="X1875" s="171"/>
    </row>
    <row r="1876" ht="15.0" customHeight="1">
      <c r="A1876" s="127">
        <v>45773.0</v>
      </c>
      <c r="B1876" s="181" t="s">
        <v>7643</v>
      </c>
      <c r="C1876" s="251" t="s">
        <v>3964</v>
      </c>
      <c r="D1876" s="73" t="str">
        <f>IFERROR(VLOOKUP(C1876,Stock,3,FALSE),"")</f>
        <v>Nissan Terrano 95-06</v>
      </c>
      <c r="E1876" s="56">
        <v>1.0</v>
      </c>
      <c r="F1876" s="161">
        <v>1349000.0</v>
      </c>
      <c r="G1876" s="162">
        <f t="shared" si="33"/>
        <v>1349000</v>
      </c>
      <c r="H1876" s="194"/>
      <c r="I1876" s="161">
        <f t="shared" si="36"/>
        <v>1349000</v>
      </c>
      <c r="J1876" s="164">
        <f t="shared" si="30"/>
        <v>1349000</v>
      </c>
      <c r="K1876" s="56" t="s">
        <v>7644</v>
      </c>
      <c r="L1876" s="165" t="s">
        <v>7645</v>
      </c>
      <c r="M1876" s="73"/>
      <c r="N1876" s="171"/>
      <c r="O1876" s="169" t="s">
        <v>3016</v>
      </c>
      <c r="P1876" s="168" t="s">
        <v>2922</v>
      </c>
      <c r="Q1876" s="173"/>
      <c r="R1876" s="173"/>
      <c r="S1876" s="167">
        <v>1349000.0</v>
      </c>
      <c r="T1876" s="173"/>
      <c r="U1876" s="173"/>
      <c r="V1876" s="168" t="s">
        <v>3799</v>
      </c>
      <c r="W1876" s="169"/>
      <c r="X1876" s="171"/>
    </row>
    <row r="1877" ht="15.0" customHeight="1">
      <c r="A1877" s="127">
        <v>45773.0</v>
      </c>
      <c r="B1877" s="181" t="s">
        <v>7643</v>
      </c>
      <c r="C1877" s="56" t="s">
        <v>2934</v>
      </c>
      <c r="D1877" s="73" t="str">
        <f>IFERROR(VLOOKUP(C1877,Stock,3,FALSE),"")</f>
        <v>Peti Kayu</v>
      </c>
      <c r="E1877" s="56">
        <v>1.0</v>
      </c>
      <c r="F1877" s="161">
        <v>200000.0</v>
      </c>
      <c r="G1877" s="162">
        <f t="shared" si="33"/>
        <v>200000</v>
      </c>
      <c r="H1877" s="194"/>
      <c r="I1877" s="161">
        <f t="shared" si="36"/>
        <v>200000</v>
      </c>
      <c r="J1877" s="164">
        <f t="shared" si="30"/>
        <v>200000</v>
      </c>
      <c r="K1877" s="56" t="s">
        <v>7644</v>
      </c>
      <c r="L1877" s="165" t="s">
        <v>7645</v>
      </c>
      <c r="M1877" s="73"/>
      <c r="N1877" s="171"/>
      <c r="O1877" s="169" t="s">
        <v>3016</v>
      </c>
      <c r="P1877" s="168" t="s">
        <v>2922</v>
      </c>
      <c r="Q1877" s="173"/>
      <c r="R1877" s="167">
        <v>200000.0</v>
      </c>
      <c r="S1877" s="173"/>
      <c r="T1877" s="173"/>
      <c r="U1877" s="173"/>
      <c r="V1877" s="168" t="s">
        <v>3799</v>
      </c>
      <c r="W1877" s="169"/>
      <c r="X1877" s="171"/>
    </row>
    <row r="1878" ht="15.0" customHeight="1">
      <c r="A1878" s="127">
        <v>45773.0</v>
      </c>
      <c r="B1878" s="181" t="s">
        <v>7646</v>
      </c>
      <c r="C1878" s="56" t="s">
        <v>7063</v>
      </c>
      <c r="D1878" s="73" t="str">
        <f>IFERROR(VLOOKUP(C1878,Stock,3,FALSE),"")</f>
        <v>Wuling Confero (Tanpa Spionnya)</v>
      </c>
      <c r="E1878" s="56">
        <v>1.0</v>
      </c>
      <c r="F1878" s="161">
        <v>1522000.0</v>
      </c>
      <c r="G1878" s="162">
        <f t="shared" si="33"/>
        <v>1522000</v>
      </c>
      <c r="H1878" s="194"/>
      <c r="I1878" s="161">
        <f t="shared" si="36"/>
        <v>1522000</v>
      </c>
      <c r="J1878" s="164">
        <f t="shared" si="30"/>
        <v>1522000</v>
      </c>
      <c r="K1878" s="56" t="s">
        <v>7647</v>
      </c>
      <c r="L1878" s="165" t="s">
        <v>7648</v>
      </c>
      <c r="M1878" s="73"/>
      <c r="N1878" s="289" t="s">
        <v>7649</v>
      </c>
      <c r="O1878" s="169" t="s">
        <v>2958</v>
      </c>
      <c r="P1878" s="168" t="s">
        <v>3112</v>
      </c>
      <c r="Q1878" s="173"/>
      <c r="R1878" s="167">
        <v>1522000.0</v>
      </c>
      <c r="S1878" s="173"/>
      <c r="T1878" s="173"/>
      <c r="U1878" s="173"/>
      <c r="V1878" s="168" t="s">
        <v>3883</v>
      </c>
      <c r="W1878" s="169"/>
      <c r="X1878" s="171"/>
    </row>
    <row r="1879" ht="15.0" customHeight="1">
      <c r="A1879" s="127">
        <v>45773.0</v>
      </c>
      <c r="B1879" s="181" t="s">
        <v>7650</v>
      </c>
      <c r="C1879" s="56" t="s">
        <v>3378</v>
      </c>
      <c r="D1879" s="73" t="str">
        <f>IFERROR(VLOOKUP(C1879,Stock,3,FALSE),"")</f>
        <v>Isuzu Panther 00- 2nd Gen</v>
      </c>
      <c r="E1879" s="56">
        <v>1.0</v>
      </c>
      <c r="F1879" s="161">
        <v>1038000.0</v>
      </c>
      <c r="G1879" s="162">
        <f t="shared" si="33"/>
        <v>1038000</v>
      </c>
      <c r="H1879" s="194"/>
      <c r="I1879" s="161">
        <f t="shared" si="36"/>
        <v>1038000</v>
      </c>
      <c r="J1879" s="164">
        <f t="shared" si="30"/>
        <v>1038000</v>
      </c>
      <c r="K1879" s="56" t="s">
        <v>7651</v>
      </c>
      <c r="L1879" s="165" t="s">
        <v>7652</v>
      </c>
      <c r="M1879" s="73"/>
      <c r="N1879" s="171"/>
      <c r="O1879" s="169" t="s">
        <v>3204</v>
      </c>
      <c r="P1879" s="168" t="s">
        <v>3112</v>
      </c>
      <c r="Q1879" s="167">
        <v>1038000.0</v>
      </c>
      <c r="R1879" s="173"/>
      <c r="S1879" s="173"/>
      <c r="T1879" s="173"/>
      <c r="U1879" s="173"/>
      <c r="V1879" s="168" t="s">
        <v>3883</v>
      </c>
      <c r="W1879" s="169"/>
      <c r="X1879" s="171"/>
    </row>
    <row r="1880" ht="15.0" customHeight="1">
      <c r="A1880" s="127">
        <v>45773.0</v>
      </c>
      <c r="B1880" s="181" t="s">
        <v>7650</v>
      </c>
      <c r="C1880" s="56" t="s">
        <v>4027</v>
      </c>
      <c r="D1880" s="73" t="str">
        <f>IFERROR(VLOOKUP(C1880,Stock,3,FALSE),"")</f>
        <v>501 Sealant Application</v>
      </c>
      <c r="E1880" s="56">
        <v>2.0</v>
      </c>
      <c r="F1880" s="161">
        <v>95000.0</v>
      </c>
      <c r="G1880" s="162">
        <f t="shared" si="33"/>
        <v>190000</v>
      </c>
      <c r="H1880" s="194"/>
      <c r="I1880" s="161">
        <f t="shared" si="36"/>
        <v>190000</v>
      </c>
      <c r="J1880" s="164">
        <f t="shared" si="30"/>
        <v>190000</v>
      </c>
      <c r="K1880" s="56" t="s">
        <v>7651</v>
      </c>
      <c r="L1880" s="165" t="s">
        <v>7652</v>
      </c>
      <c r="M1880" s="73"/>
      <c r="N1880" s="171"/>
      <c r="O1880" s="169" t="s">
        <v>3204</v>
      </c>
      <c r="P1880" s="168" t="s">
        <v>3112</v>
      </c>
      <c r="Q1880" s="167">
        <v>190000.0</v>
      </c>
      <c r="R1880" s="173"/>
      <c r="S1880" s="173"/>
      <c r="T1880" s="173"/>
      <c r="U1880" s="173"/>
      <c r="V1880" s="168" t="s">
        <v>3883</v>
      </c>
      <c r="W1880" s="169"/>
      <c r="X1880" s="171"/>
    </row>
    <row r="1881" ht="15.0" customHeight="1">
      <c r="A1881" s="127">
        <v>45773.0</v>
      </c>
      <c r="B1881" s="181" t="s">
        <v>7653</v>
      </c>
      <c r="C1881" s="56" t="s">
        <v>3795</v>
      </c>
      <c r="D1881" s="73" t="str">
        <f>IFERROR(VLOOKUP(C1881,Stock,3,FALSE),"")</f>
        <v>Toyota Innova 04-15 1st Gen</v>
      </c>
      <c r="E1881" s="56">
        <v>1.0</v>
      </c>
      <c r="F1881" s="161">
        <v>1372000.0</v>
      </c>
      <c r="G1881" s="162">
        <f t="shared" si="33"/>
        <v>1372000</v>
      </c>
      <c r="H1881" s="194"/>
      <c r="I1881" s="161">
        <f t="shared" si="36"/>
        <v>1372000</v>
      </c>
      <c r="J1881" s="164">
        <f t="shared" si="30"/>
        <v>1372000</v>
      </c>
      <c r="K1881" s="56" t="s">
        <v>7654</v>
      </c>
      <c r="L1881" s="56" t="s">
        <v>7655</v>
      </c>
      <c r="M1881" s="73"/>
      <c r="N1881" s="171"/>
      <c r="O1881" s="169" t="s">
        <v>2958</v>
      </c>
      <c r="P1881" s="168" t="s">
        <v>3112</v>
      </c>
      <c r="Q1881" s="173"/>
      <c r="R1881" s="167">
        <v>1372000.0</v>
      </c>
      <c r="S1881" s="173"/>
      <c r="T1881" s="173"/>
      <c r="U1881" s="173"/>
      <c r="V1881" s="168" t="s">
        <v>3883</v>
      </c>
      <c r="W1881" s="169"/>
      <c r="X1881" s="171"/>
    </row>
    <row r="1882" ht="15.0" customHeight="1">
      <c r="A1882" s="127">
        <v>45773.0</v>
      </c>
      <c r="B1882" s="181" t="s">
        <v>7653</v>
      </c>
      <c r="C1882" s="56" t="s">
        <v>2954</v>
      </c>
      <c r="D1882" s="73" t="str">
        <f>IFERROR(VLOOKUP(C1882,Stock,3,FALSE),"")</f>
        <v>Transport</v>
      </c>
      <c r="E1882" s="56">
        <v>1.0</v>
      </c>
      <c r="F1882" s="161">
        <v>50000.0</v>
      </c>
      <c r="G1882" s="162">
        <f t="shared" si="33"/>
        <v>50000</v>
      </c>
      <c r="H1882" s="194"/>
      <c r="I1882" s="161">
        <f t="shared" si="36"/>
        <v>50000</v>
      </c>
      <c r="J1882" s="164">
        <f t="shared" si="30"/>
        <v>50000</v>
      </c>
      <c r="K1882" s="56" t="s">
        <v>7654</v>
      </c>
      <c r="L1882" s="56" t="s">
        <v>7655</v>
      </c>
      <c r="M1882" s="73"/>
      <c r="N1882" s="171"/>
      <c r="O1882" s="169" t="s">
        <v>2958</v>
      </c>
      <c r="P1882" s="168" t="s">
        <v>3112</v>
      </c>
      <c r="Q1882" s="173"/>
      <c r="R1882" s="167">
        <v>50000.0</v>
      </c>
      <c r="S1882" s="173"/>
      <c r="T1882" s="173"/>
      <c r="U1882" s="173"/>
      <c r="V1882" s="168" t="s">
        <v>3883</v>
      </c>
      <c r="W1882" s="169"/>
      <c r="X1882" s="171"/>
    </row>
    <row r="1883" ht="15.0" customHeight="1">
      <c r="A1883" s="127">
        <v>45773.0</v>
      </c>
      <c r="B1883" s="181" t="s">
        <v>7656</v>
      </c>
      <c r="C1883" s="251" t="s">
        <v>2721</v>
      </c>
      <c r="D1883" s="73" t="str">
        <f>IFERROR(VLOOKUP(C1883,Stock,3,FALSE),"")</f>
        <v>Toyota Dyna/Hino Dutro 00-</v>
      </c>
      <c r="E1883" s="56">
        <v>1.0</v>
      </c>
      <c r="F1883" s="161">
        <v>950000.0</v>
      </c>
      <c r="G1883" s="162">
        <f t="shared" si="33"/>
        <v>950000</v>
      </c>
      <c r="H1883" s="194"/>
      <c r="I1883" s="161">
        <f t="shared" si="36"/>
        <v>950000</v>
      </c>
      <c r="J1883" s="164">
        <f t="shared" si="30"/>
        <v>950000</v>
      </c>
      <c r="K1883" s="56" t="s">
        <v>7657</v>
      </c>
      <c r="L1883" s="165" t="s">
        <v>7658</v>
      </c>
      <c r="M1883" s="73"/>
      <c r="N1883" s="171"/>
      <c r="O1883" s="169" t="s">
        <v>3204</v>
      </c>
      <c r="P1883" s="168" t="s">
        <v>2922</v>
      </c>
      <c r="Q1883" s="173"/>
      <c r="R1883" s="173"/>
      <c r="S1883" s="167">
        <v>950000.0</v>
      </c>
      <c r="T1883" s="173"/>
      <c r="U1883" s="173"/>
      <c r="V1883" s="168" t="s">
        <v>3883</v>
      </c>
      <c r="W1883" s="169"/>
      <c r="X1883" s="171"/>
    </row>
    <row r="1884" ht="15.0" customHeight="1">
      <c r="A1884" s="127">
        <v>45773.0</v>
      </c>
      <c r="B1884" s="181" t="s">
        <v>7656</v>
      </c>
      <c r="C1884" s="56" t="s">
        <v>2934</v>
      </c>
      <c r="D1884" s="73" t="str">
        <f>IFERROR(VLOOKUP(C1884,Stock,3,FALSE),"")</f>
        <v>Peti Kayu</v>
      </c>
      <c r="E1884" s="56">
        <v>1.0</v>
      </c>
      <c r="F1884" s="161">
        <v>200000.0</v>
      </c>
      <c r="G1884" s="162">
        <f t="shared" si="33"/>
        <v>200000</v>
      </c>
      <c r="H1884" s="194"/>
      <c r="I1884" s="161">
        <f t="shared" si="36"/>
        <v>200000</v>
      </c>
      <c r="J1884" s="164">
        <f t="shared" si="30"/>
        <v>200000</v>
      </c>
      <c r="K1884" s="56" t="s">
        <v>7657</v>
      </c>
      <c r="L1884" s="165" t="s">
        <v>7658</v>
      </c>
      <c r="M1884" s="73"/>
      <c r="N1884" s="171"/>
      <c r="O1884" s="169" t="s">
        <v>3204</v>
      </c>
      <c r="P1884" s="168" t="s">
        <v>2922</v>
      </c>
      <c r="Q1884" s="173"/>
      <c r="R1884" s="167">
        <v>200000.0</v>
      </c>
      <c r="S1884" s="173"/>
      <c r="T1884" s="173"/>
      <c r="U1884" s="173"/>
      <c r="V1884" s="168" t="s">
        <v>3883</v>
      </c>
      <c r="W1884" s="169"/>
      <c r="X1884" s="171"/>
    </row>
    <row r="1885" ht="15.0" customHeight="1">
      <c r="A1885" s="127">
        <v>45773.0</v>
      </c>
      <c r="B1885" s="181" t="s">
        <v>7656</v>
      </c>
      <c r="C1885" s="56" t="s">
        <v>2954</v>
      </c>
      <c r="D1885" s="73" t="str">
        <f>IFERROR(VLOOKUP(C1885,Stock,3,FALSE),"")</f>
        <v>Transport</v>
      </c>
      <c r="E1885" s="56">
        <v>1.0</v>
      </c>
      <c r="F1885" s="161">
        <v>170000.0</v>
      </c>
      <c r="G1885" s="162">
        <f t="shared" si="33"/>
        <v>170000</v>
      </c>
      <c r="H1885" s="194"/>
      <c r="I1885" s="161">
        <f t="shared" si="36"/>
        <v>170000</v>
      </c>
      <c r="J1885" s="164">
        <f t="shared" si="30"/>
        <v>170000</v>
      </c>
      <c r="K1885" s="56" t="s">
        <v>7657</v>
      </c>
      <c r="L1885" s="165" t="s">
        <v>7658</v>
      </c>
      <c r="M1885" s="73"/>
      <c r="N1885" s="171"/>
      <c r="O1885" s="169" t="s">
        <v>3204</v>
      </c>
      <c r="P1885" s="168" t="s">
        <v>2922</v>
      </c>
      <c r="Q1885" s="173"/>
      <c r="R1885" s="167">
        <v>170000.0</v>
      </c>
      <c r="S1885" s="173"/>
      <c r="T1885" s="173"/>
      <c r="U1885" s="173"/>
      <c r="V1885" s="168" t="s">
        <v>3883</v>
      </c>
      <c r="W1885" s="169"/>
      <c r="X1885" s="171"/>
    </row>
    <row r="1886" ht="15.0" customHeight="1">
      <c r="A1886" s="127">
        <v>45774.0</v>
      </c>
      <c r="B1886" s="181" t="s">
        <v>7659</v>
      </c>
      <c r="C1886" s="251" t="s">
        <v>7660</v>
      </c>
      <c r="D1886" s="73" t="str">
        <f>IFERROR(VLOOKUP(C1886,Stock,3,FALSE),"")</f>
        <v>Suzuki Ertiga 12-18 1st Gen MPV</v>
      </c>
      <c r="E1886" s="56">
        <v>1.0</v>
      </c>
      <c r="F1886" s="161">
        <v>1360000.0</v>
      </c>
      <c r="G1886" s="162">
        <f t="shared" si="33"/>
        <v>1360000</v>
      </c>
      <c r="H1886" s="194"/>
      <c r="I1886" s="161">
        <f t="shared" si="36"/>
        <v>1360000</v>
      </c>
      <c r="J1886" s="164">
        <f t="shared" si="30"/>
        <v>1360000</v>
      </c>
      <c r="K1886" s="56" t="s">
        <v>7661</v>
      </c>
      <c r="L1886" s="165" t="s">
        <v>7662</v>
      </c>
      <c r="M1886" s="73"/>
      <c r="N1886" s="171"/>
      <c r="O1886" s="169" t="s">
        <v>3858</v>
      </c>
      <c r="P1886" s="168" t="s">
        <v>3645</v>
      </c>
      <c r="Q1886" s="167">
        <v>1400000.0</v>
      </c>
      <c r="R1886" s="173"/>
      <c r="S1886" s="173"/>
      <c r="T1886" s="173"/>
      <c r="U1886" s="167">
        <v>40000.0</v>
      </c>
      <c r="V1886" s="168" t="s">
        <v>3799</v>
      </c>
      <c r="W1886" s="169"/>
      <c r="X1886" s="171"/>
    </row>
    <row r="1887" ht="15.0" customHeight="1">
      <c r="A1887" s="127">
        <v>45775.0</v>
      </c>
      <c r="B1887" s="181" t="s">
        <v>7663</v>
      </c>
      <c r="C1887" s="56" t="s">
        <v>2729</v>
      </c>
      <c r="D1887" s="73" t="str">
        <f>IFERROR(VLOOKUP(C1887,Stock,3,FALSE),"")</f>
        <v>Honda HR-V 14-21 5D SUV</v>
      </c>
      <c r="E1887" s="56">
        <v>1.0</v>
      </c>
      <c r="F1887" s="161">
        <v>2056000.0</v>
      </c>
      <c r="G1887" s="162">
        <f t="shared" si="33"/>
        <v>2056000</v>
      </c>
      <c r="H1887" s="194"/>
      <c r="I1887" s="161">
        <f t="shared" si="36"/>
        <v>2056000</v>
      </c>
      <c r="J1887" s="164">
        <f t="shared" si="30"/>
        <v>2056000</v>
      </c>
      <c r="K1887" s="56" t="s">
        <v>7664</v>
      </c>
      <c r="L1887" s="165" t="s">
        <v>7665</v>
      </c>
      <c r="M1887" s="73"/>
      <c r="N1887" s="171"/>
      <c r="O1887" s="169" t="s">
        <v>2958</v>
      </c>
      <c r="P1887" s="168" t="s">
        <v>3112</v>
      </c>
      <c r="Q1887" s="173"/>
      <c r="R1887" s="167">
        <v>2056000.0</v>
      </c>
      <c r="S1887" s="173"/>
      <c r="T1887" s="173"/>
      <c r="U1887" s="173"/>
      <c r="V1887" s="168" t="s">
        <v>3883</v>
      </c>
      <c r="W1887" s="169"/>
      <c r="X1887" s="171"/>
    </row>
    <row r="1888" ht="15.0" customHeight="1">
      <c r="A1888" s="127">
        <v>45775.0</v>
      </c>
      <c r="B1888" s="181" t="s">
        <v>7666</v>
      </c>
      <c r="C1888" s="251" t="s">
        <v>4988</v>
      </c>
      <c r="D1888" s="73" t="str">
        <f>IFERROR(VLOOKUP(C1888,Stock,3,FALSE),"")</f>
        <v>Toyota Innova 15- 2nd Gen</v>
      </c>
      <c r="E1888" s="56">
        <v>1.0</v>
      </c>
      <c r="F1888" s="161">
        <v>1764000.0</v>
      </c>
      <c r="G1888" s="162">
        <f t="shared" si="33"/>
        <v>1764000</v>
      </c>
      <c r="H1888" s="201">
        <v>64000.0</v>
      </c>
      <c r="I1888" s="161">
        <f t="shared" si="36"/>
        <v>1700000</v>
      </c>
      <c r="J1888" s="164">
        <f t="shared" si="30"/>
        <v>1700000</v>
      </c>
      <c r="K1888" s="56" t="s">
        <v>6367</v>
      </c>
      <c r="L1888" s="165" t="s">
        <v>7176</v>
      </c>
      <c r="M1888" s="73"/>
      <c r="N1888" s="289" t="s">
        <v>7667</v>
      </c>
      <c r="O1888" s="169" t="s">
        <v>2958</v>
      </c>
      <c r="P1888" s="168" t="s">
        <v>3112</v>
      </c>
      <c r="Q1888" s="173"/>
      <c r="R1888" s="167">
        <v>1700000.0</v>
      </c>
      <c r="S1888" s="173"/>
      <c r="T1888" s="173"/>
      <c r="U1888" s="173"/>
      <c r="V1888" s="168" t="s">
        <v>3799</v>
      </c>
      <c r="W1888" s="169"/>
      <c r="X1888" s="171"/>
    </row>
    <row r="1889" ht="15.0" customHeight="1">
      <c r="A1889" s="127">
        <v>45776.0</v>
      </c>
      <c r="B1889" s="181" t="s">
        <v>7668</v>
      </c>
      <c r="C1889" s="251" t="s">
        <v>2866</v>
      </c>
      <c r="D1889" s="73" t="str">
        <f>IFERROR(VLOOKUP(C1889,Stock,3,FALSE),"")</f>
        <v>Mitsubishi Fuso 6D22 / Super Great FV100 96-</v>
      </c>
      <c r="E1889" s="56">
        <v>1.0</v>
      </c>
      <c r="F1889" s="161">
        <v>620000.0</v>
      </c>
      <c r="G1889" s="162">
        <f t="shared" si="33"/>
        <v>620000</v>
      </c>
      <c r="H1889" s="194"/>
      <c r="I1889" s="161">
        <f t="shared" si="36"/>
        <v>620000</v>
      </c>
      <c r="J1889" s="164">
        <f t="shared" si="30"/>
        <v>620000</v>
      </c>
      <c r="K1889" s="56" t="s">
        <v>7669</v>
      </c>
      <c r="L1889" s="165" t="s">
        <v>7670</v>
      </c>
      <c r="M1889" s="73"/>
      <c r="N1889" s="171"/>
      <c r="O1889" s="169" t="s">
        <v>2958</v>
      </c>
      <c r="P1889" s="168" t="s">
        <v>3112</v>
      </c>
      <c r="Q1889" s="173"/>
      <c r="R1889" s="167">
        <v>620000.0</v>
      </c>
      <c r="S1889" s="173"/>
      <c r="T1889" s="173"/>
      <c r="U1889" s="173"/>
      <c r="V1889" s="168" t="s">
        <v>3883</v>
      </c>
      <c r="W1889" s="169"/>
      <c r="X1889" s="171"/>
    </row>
    <row r="1890" ht="15.0" customHeight="1">
      <c r="A1890" s="127">
        <v>45776.0</v>
      </c>
      <c r="B1890" s="181" t="s">
        <v>7668</v>
      </c>
      <c r="C1890" s="56" t="s">
        <v>2934</v>
      </c>
      <c r="D1890" s="73" t="str">
        <f>IFERROR(VLOOKUP(C1890,Stock,3,FALSE),"")</f>
        <v>Peti Kayu</v>
      </c>
      <c r="E1890" s="56">
        <v>1.0</v>
      </c>
      <c r="F1890" s="161">
        <v>120000.0</v>
      </c>
      <c r="G1890" s="162">
        <f t="shared" si="33"/>
        <v>120000</v>
      </c>
      <c r="H1890" s="194"/>
      <c r="I1890" s="161">
        <f t="shared" si="36"/>
        <v>120000</v>
      </c>
      <c r="J1890" s="164">
        <f t="shared" si="30"/>
        <v>120000</v>
      </c>
      <c r="K1890" s="56" t="s">
        <v>7669</v>
      </c>
      <c r="L1890" s="165" t="s">
        <v>7670</v>
      </c>
      <c r="M1890" s="73"/>
      <c r="N1890" s="171"/>
      <c r="O1890" s="169" t="s">
        <v>2958</v>
      </c>
      <c r="P1890" s="168" t="s">
        <v>3112</v>
      </c>
      <c r="Q1890" s="173"/>
      <c r="R1890" s="167">
        <v>120000.0</v>
      </c>
      <c r="S1890" s="173"/>
      <c r="T1890" s="173"/>
      <c r="U1890" s="173"/>
      <c r="V1890" s="168" t="s">
        <v>3883</v>
      </c>
      <c r="W1890" s="169"/>
      <c r="X1890" s="171"/>
    </row>
    <row r="1891" ht="15.0" customHeight="1">
      <c r="A1891" s="127">
        <v>45777.0</v>
      </c>
      <c r="B1891" s="181" t="s">
        <v>7671</v>
      </c>
      <c r="C1891" s="56" t="s">
        <v>3290</v>
      </c>
      <c r="D1891" s="73" t="str">
        <f>IFERROR(VLOOKUP(C1891,Stock,3,FALSE),"")</f>
        <v>Toyota Innova 04-15 1st Gen</v>
      </c>
      <c r="E1891" s="56">
        <v>1.0</v>
      </c>
      <c r="F1891" s="161">
        <v>1449000.0</v>
      </c>
      <c r="G1891" s="162">
        <f t="shared" si="33"/>
        <v>1449000</v>
      </c>
      <c r="H1891" s="194"/>
      <c r="I1891" s="161">
        <f t="shared" si="36"/>
        <v>1449000</v>
      </c>
      <c r="J1891" s="164">
        <f t="shared" si="30"/>
        <v>1449000</v>
      </c>
      <c r="K1891" s="56" t="s">
        <v>7672</v>
      </c>
      <c r="L1891" s="165" t="s">
        <v>7673</v>
      </c>
      <c r="M1891" s="73"/>
      <c r="N1891" s="171"/>
      <c r="O1891" s="169" t="s">
        <v>2958</v>
      </c>
      <c r="P1891" s="168" t="s">
        <v>3112</v>
      </c>
      <c r="Q1891" s="173"/>
      <c r="R1891" s="167">
        <v>1449000.0</v>
      </c>
      <c r="S1891" s="173"/>
      <c r="T1891" s="173"/>
      <c r="U1891" s="173"/>
      <c r="V1891" s="168" t="s">
        <v>3883</v>
      </c>
      <c r="W1891" s="169"/>
      <c r="X1891" s="171"/>
    </row>
    <row r="1892" ht="15.0" customHeight="1">
      <c r="A1892" s="127">
        <v>45777.0</v>
      </c>
      <c r="B1892" s="181" t="s">
        <v>7674</v>
      </c>
      <c r="C1892" s="56" t="s">
        <v>3186</v>
      </c>
      <c r="D1892" s="73" t="str">
        <f>IFERROR(VLOOKUP(C1892,Stock,3,FALSE),"")</f>
        <v>Daihatsu Gran Max / Luxio 07-</v>
      </c>
      <c r="E1892" s="56">
        <v>1.0</v>
      </c>
      <c r="F1892" s="161">
        <v>1050000.0</v>
      </c>
      <c r="G1892" s="162">
        <f t="shared" si="33"/>
        <v>1050000</v>
      </c>
      <c r="H1892" s="194"/>
      <c r="I1892" s="161">
        <f t="shared" si="36"/>
        <v>1050000</v>
      </c>
      <c r="J1892" s="164">
        <f t="shared" si="30"/>
        <v>1050000</v>
      </c>
      <c r="K1892" s="56" t="s">
        <v>6172</v>
      </c>
      <c r="L1892" s="165" t="s">
        <v>7675</v>
      </c>
      <c r="M1892" s="73"/>
      <c r="N1892" s="169" t="s">
        <v>7676</v>
      </c>
      <c r="O1892" s="169" t="s">
        <v>2958</v>
      </c>
      <c r="P1892" s="168" t="s">
        <v>3112</v>
      </c>
      <c r="Q1892" s="173"/>
      <c r="R1892" s="167">
        <v>1050000.0</v>
      </c>
      <c r="S1892" s="173"/>
      <c r="T1892" s="173"/>
      <c r="U1892" s="173"/>
      <c r="V1892" s="168" t="s">
        <v>3883</v>
      </c>
      <c r="W1892" s="169"/>
      <c r="X1892" s="171"/>
    </row>
    <row r="1893" ht="15.0" customHeight="1">
      <c r="A1893" s="127">
        <v>45777.0</v>
      </c>
      <c r="B1893" s="181" t="s">
        <v>7677</v>
      </c>
      <c r="C1893" s="56" t="s">
        <v>7678</v>
      </c>
      <c r="D1893" s="73" t="str">
        <f>IFERROR(VLOOKUP(C1893,Stock,3,FALSE),"")</f>
        <v>Honda Jazz 01-07 1st Gen</v>
      </c>
      <c r="E1893" s="56">
        <v>1.0</v>
      </c>
      <c r="F1893" s="161">
        <v>1650000.0</v>
      </c>
      <c r="G1893" s="162">
        <f t="shared" si="33"/>
        <v>1650000</v>
      </c>
      <c r="H1893" s="194"/>
      <c r="I1893" s="161">
        <f t="shared" si="36"/>
        <v>1650000</v>
      </c>
      <c r="J1893" s="164">
        <f t="shared" si="30"/>
        <v>1650000</v>
      </c>
      <c r="K1893" s="56" t="s">
        <v>4377</v>
      </c>
      <c r="L1893" s="165" t="s">
        <v>7679</v>
      </c>
      <c r="M1893" s="73"/>
      <c r="N1893" s="169" t="s">
        <v>7680</v>
      </c>
      <c r="O1893" s="169" t="s">
        <v>2958</v>
      </c>
      <c r="P1893" s="168" t="s">
        <v>3112</v>
      </c>
      <c r="Q1893" s="167">
        <v>1350000.0</v>
      </c>
      <c r="R1893" s="167">
        <v>300000.0</v>
      </c>
      <c r="S1893" s="173"/>
      <c r="T1893" s="173"/>
      <c r="U1893" s="173"/>
      <c r="V1893" s="168" t="s">
        <v>3883</v>
      </c>
      <c r="W1893" s="169"/>
      <c r="X1893" s="171"/>
    </row>
    <row r="1894" ht="15.0" customHeight="1">
      <c r="A1894" s="127">
        <v>45779.0</v>
      </c>
      <c r="B1894" s="181" t="s">
        <v>7681</v>
      </c>
      <c r="C1894" s="251" t="s">
        <v>2562</v>
      </c>
      <c r="D1894" s="73" t="str">
        <f>IFERROR(VLOOKUP(C1894,Stock,3,FALSE),"")</f>
        <v>Toyota Avanza / Xenia 15-21 3rd Gen</v>
      </c>
      <c r="E1894" s="56">
        <v>1.0</v>
      </c>
      <c r="F1894" s="161">
        <v>1050000.0</v>
      </c>
      <c r="G1894" s="162">
        <f t="shared" si="33"/>
        <v>1050000</v>
      </c>
      <c r="H1894" s="194"/>
      <c r="I1894" s="161">
        <f t="shared" si="36"/>
        <v>1050000</v>
      </c>
      <c r="J1894" s="164">
        <f t="shared" si="30"/>
        <v>1050000</v>
      </c>
      <c r="K1894" s="56" t="s">
        <v>7338</v>
      </c>
      <c r="L1894" s="165" t="s">
        <v>7682</v>
      </c>
      <c r="M1894" s="73"/>
      <c r="N1894" s="171"/>
      <c r="O1894" s="169" t="s">
        <v>3204</v>
      </c>
      <c r="P1894" s="168" t="s">
        <v>3112</v>
      </c>
      <c r="Q1894" s="167">
        <v>1050000.0</v>
      </c>
      <c r="R1894" s="167"/>
      <c r="S1894" s="173"/>
      <c r="T1894" s="173"/>
      <c r="U1894" s="173"/>
      <c r="V1894" s="202"/>
      <c r="W1894" s="171"/>
      <c r="X1894" s="171"/>
    </row>
    <row r="1895" ht="15.0" customHeight="1">
      <c r="A1895" s="127">
        <v>45779.0</v>
      </c>
      <c r="B1895" s="181" t="s">
        <v>7681</v>
      </c>
      <c r="C1895" s="56" t="s">
        <v>2954</v>
      </c>
      <c r="D1895" s="73" t="str">
        <f>IFERROR(VLOOKUP(C1895,Stock,3,FALSE),"")</f>
        <v>Transport</v>
      </c>
      <c r="E1895" s="56">
        <v>1.0</v>
      </c>
      <c r="F1895" s="161">
        <v>150000.0</v>
      </c>
      <c r="G1895" s="162">
        <f t="shared" si="33"/>
        <v>150000</v>
      </c>
      <c r="H1895" s="194"/>
      <c r="I1895" s="161">
        <f t="shared" si="36"/>
        <v>150000</v>
      </c>
      <c r="J1895" s="164">
        <f t="shared" si="30"/>
        <v>150000</v>
      </c>
      <c r="K1895" s="56" t="s">
        <v>7338</v>
      </c>
      <c r="L1895" s="165" t="s">
        <v>7682</v>
      </c>
      <c r="M1895" s="73"/>
      <c r="N1895" s="171"/>
      <c r="O1895" s="169" t="s">
        <v>3204</v>
      </c>
      <c r="P1895" s="168" t="s">
        <v>3112</v>
      </c>
      <c r="Q1895" s="167">
        <v>150000.0</v>
      </c>
      <c r="R1895" s="167"/>
      <c r="S1895" s="173"/>
      <c r="T1895" s="173"/>
      <c r="U1895" s="173"/>
      <c r="V1895" s="202"/>
      <c r="W1895" s="171"/>
      <c r="X1895" s="171"/>
    </row>
    <row r="1896" ht="15.0" customHeight="1">
      <c r="A1896" s="127">
        <v>45779.0</v>
      </c>
      <c r="B1896" s="181" t="s">
        <v>7683</v>
      </c>
      <c r="C1896" s="251" t="s">
        <v>3837</v>
      </c>
      <c r="D1896" s="73" t="str">
        <f>IFERROR(VLOOKUP(C1896,Stock,3,FALSE),"")</f>
        <v>Toyota Yaris 13- 2nd Gen / Vios 14- 3rd Gen</v>
      </c>
      <c r="E1896" s="56">
        <v>1.0</v>
      </c>
      <c r="F1896" s="161">
        <v>1719000.0</v>
      </c>
      <c r="G1896" s="162">
        <f t="shared" si="33"/>
        <v>1719000</v>
      </c>
      <c r="H1896" s="194"/>
      <c r="I1896" s="161">
        <f t="shared" si="36"/>
        <v>1719000</v>
      </c>
      <c r="J1896" s="164">
        <f t="shared" si="30"/>
        <v>1719000</v>
      </c>
      <c r="K1896" s="56" t="s">
        <v>7684</v>
      </c>
      <c r="L1896" s="165" t="s">
        <v>7685</v>
      </c>
      <c r="M1896" s="73"/>
      <c r="N1896" s="169" t="s">
        <v>7686</v>
      </c>
      <c r="O1896" s="169" t="s">
        <v>2958</v>
      </c>
      <c r="P1896" s="168" t="s">
        <v>3112</v>
      </c>
      <c r="Q1896" s="173"/>
      <c r="R1896" s="167">
        <v>1719000.0</v>
      </c>
      <c r="S1896" s="173"/>
      <c r="T1896" s="173"/>
      <c r="U1896" s="173"/>
      <c r="V1896" s="168" t="s">
        <v>3883</v>
      </c>
      <c r="W1896" s="169"/>
      <c r="X1896" s="171"/>
    </row>
    <row r="1897" ht="15.0" customHeight="1">
      <c r="A1897" s="127">
        <v>45779.0</v>
      </c>
      <c r="B1897" s="181" t="s">
        <v>7687</v>
      </c>
      <c r="C1897" s="56" t="s">
        <v>2562</v>
      </c>
      <c r="D1897" s="73" t="str">
        <f>IFERROR(VLOOKUP(C1897,Stock,3,FALSE),"")</f>
        <v>Toyota Avanza / Xenia 15-21 3rd Gen</v>
      </c>
      <c r="E1897" s="56">
        <v>1.0</v>
      </c>
      <c r="F1897" s="161">
        <v>850000.0</v>
      </c>
      <c r="G1897" s="162">
        <f t="shared" si="33"/>
        <v>850000</v>
      </c>
      <c r="H1897" s="194"/>
      <c r="I1897" s="161">
        <f t="shared" si="36"/>
        <v>850000</v>
      </c>
      <c r="J1897" s="164">
        <f t="shared" si="30"/>
        <v>850000</v>
      </c>
      <c r="K1897" s="56" t="s">
        <v>7688</v>
      </c>
      <c r="L1897" s="165" t="s">
        <v>4473</v>
      </c>
      <c r="M1897" s="73"/>
      <c r="N1897" s="171"/>
      <c r="O1897" s="169" t="s">
        <v>2958</v>
      </c>
      <c r="P1897" s="168" t="s">
        <v>3112</v>
      </c>
      <c r="Q1897" s="173"/>
      <c r="R1897" s="167">
        <v>850000.0</v>
      </c>
      <c r="S1897" s="173"/>
      <c r="T1897" s="173"/>
      <c r="U1897" s="173"/>
      <c r="V1897" s="168" t="s">
        <v>3883</v>
      </c>
      <c r="W1897" s="169"/>
      <c r="X1897" s="171"/>
    </row>
    <row r="1898" ht="15.0" customHeight="1">
      <c r="A1898" s="127">
        <v>45779.0</v>
      </c>
      <c r="B1898" s="181" t="s">
        <v>7687</v>
      </c>
      <c r="C1898" s="56" t="s">
        <v>4775</v>
      </c>
      <c r="D1898" s="73" t="str">
        <f>IFERROR(VLOOKUP(C1898,Stock,3,FALSE),"")</f>
        <v>Toyota Avanza / Xenia 11-15 2nd Gen / 15-21 3rd Gen</v>
      </c>
      <c r="E1898" s="56">
        <v>1.0</v>
      </c>
      <c r="F1898" s="161">
        <v>650000.0</v>
      </c>
      <c r="G1898" s="162">
        <f t="shared" si="33"/>
        <v>650000</v>
      </c>
      <c r="H1898" s="194"/>
      <c r="I1898" s="161">
        <f t="shared" si="36"/>
        <v>650000</v>
      </c>
      <c r="J1898" s="164">
        <f t="shared" si="30"/>
        <v>650000</v>
      </c>
      <c r="K1898" s="56" t="s">
        <v>7688</v>
      </c>
      <c r="L1898" s="165" t="s">
        <v>4473</v>
      </c>
      <c r="M1898" s="73"/>
      <c r="N1898" s="171"/>
      <c r="O1898" s="169" t="s">
        <v>2958</v>
      </c>
      <c r="P1898" s="168" t="s">
        <v>3112</v>
      </c>
      <c r="Q1898" s="173"/>
      <c r="R1898" s="167">
        <v>650000.0</v>
      </c>
      <c r="S1898" s="173"/>
      <c r="T1898" s="173"/>
      <c r="U1898" s="173"/>
      <c r="V1898" s="168" t="s">
        <v>3883</v>
      </c>
      <c r="W1898" s="169"/>
      <c r="X1898" s="171"/>
    </row>
    <row r="1899" ht="15.0" customHeight="1">
      <c r="A1899" s="183">
        <v>45779.0</v>
      </c>
      <c r="B1899" s="185" t="s">
        <v>7689</v>
      </c>
      <c r="C1899" s="184" t="s">
        <v>2562</v>
      </c>
      <c r="D1899" s="186" t="str">
        <f>IFERROR(VLOOKUP(C1899,Stock,3,FALSE),"")</f>
        <v>Toyota Avanza / Xenia 15-21 3rd Gen</v>
      </c>
      <c r="E1899" s="184">
        <v>1.0</v>
      </c>
      <c r="F1899" s="187"/>
      <c r="G1899" s="188">
        <f t="shared" si="33"/>
        <v>0</v>
      </c>
      <c r="H1899" s="210"/>
      <c r="I1899" s="187">
        <f t="shared" si="36"/>
        <v>0</v>
      </c>
      <c r="J1899" s="189">
        <f t="shared" si="30"/>
        <v>0</v>
      </c>
      <c r="K1899" s="184" t="s">
        <v>5371</v>
      </c>
      <c r="L1899" s="186"/>
      <c r="M1899" s="186"/>
      <c r="N1899" s="212"/>
      <c r="O1899" s="193" t="s">
        <v>2958</v>
      </c>
      <c r="P1899" s="214"/>
      <c r="Q1899" s="213"/>
      <c r="R1899" s="213"/>
      <c r="S1899" s="213"/>
      <c r="T1899" s="213"/>
      <c r="U1899" s="213"/>
      <c r="V1899" s="214"/>
      <c r="W1899" s="212"/>
      <c r="X1899" s="212"/>
    </row>
    <row r="1900" ht="15.0" customHeight="1">
      <c r="A1900" s="127">
        <v>45779.0</v>
      </c>
      <c r="B1900" s="181" t="s">
        <v>7690</v>
      </c>
      <c r="C1900" s="56" t="s">
        <v>2565</v>
      </c>
      <c r="D1900" s="73" t="str">
        <f>IFERROR(VLOOKUP(C1900,Stock,3,FALSE),"")</f>
        <v>Toyota Avanza / Xenia 03-11 1st Gen</v>
      </c>
      <c r="E1900" s="56">
        <v>1.0</v>
      </c>
      <c r="F1900" s="161">
        <v>1050000.0</v>
      </c>
      <c r="G1900" s="162">
        <f t="shared" si="33"/>
        <v>1050000</v>
      </c>
      <c r="H1900" s="194"/>
      <c r="I1900" s="161">
        <f t="shared" si="36"/>
        <v>1050000</v>
      </c>
      <c r="J1900" s="164">
        <f t="shared" si="30"/>
        <v>1050000</v>
      </c>
      <c r="K1900" s="131" t="s">
        <v>7691</v>
      </c>
      <c r="L1900" s="165" t="s">
        <v>7692</v>
      </c>
      <c r="M1900" s="73"/>
      <c r="N1900" s="169"/>
      <c r="O1900" s="169" t="s">
        <v>3184</v>
      </c>
      <c r="P1900" s="168" t="s">
        <v>3112</v>
      </c>
      <c r="Q1900" s="167">
        <v>1050000.0</v>
      </c>
      <c r="R1900" s="173"/>
      <c r="S1900" s="173"/>
      <c r="T1900" s="173"/>
      <c r="U1900" s="173"/>
      <c r="V1900" s="168" t="s">
        <v>3883</v>
      </c>
      <c r="W1900" s="169"/>
      <c r="X1900" s="171"/>
    </row>
    <row r="1901" ht="15.0" customHeight="1">
      <c r="A1901" s="127">
        <v>45780.0</v>
      </c>
      <c r="B1901" s="181" t="s">
        <v>7693</v>
      </c>
      <c r="C1901" s="56" t="s">
        <v>3099</v>
      </c>
      <c r="D1901" s="73" t="str">
        <f>IFERROR(VLOOKUP(C1901,Stock,3,FALSE),"")</f>
        <v>Toyota Calya / Sigra 16-</v>
      </c>
      <c r="E1901" s="56">
        <v>1.0</v>
      </c>
      <c r="F1901" s="161">
        <v>1149000.0</v>
      </c>
      <c r="G1901" s="162">
        <f t="shared" si="33"/>
        <v>1149000</v>
      </c>
      <c r="H1901" s="194"/>
      <c r="I1901" s="161">
        <f t="shared" si="36"/>
        <v>1149000</v>
      </c>
      <c r="J1901" s="164">
        <f t="shared" si="30"/>
        <v>1149000</v>
      </c>
      <c r="K1901" s="56" t="s">
        <v>6372</v>
      </c>
      <c r="L1901" s="165" t="s">
        <v>7694</v>
      </c>
      <c r="M1901" s="73"/>
      <c r="N1901" s="171"/>
      <c r="O1901" s="169" t="s">
        <v>2958</v>
      </c>
      <c r="P1901" s="168" t="s">
        <v>3112</v>
      </c>
      <c r="Q1901" s="173"/>
      <c r="R1901" s="167">
        <v>1149000.0</v>
      </c>
      <c r="S1901" s="173"/>
      <c r="T1901" s="173"/>
      <c r="U1901" s="173"/>
      <c r="V1901" s="168" t="s">
        <v>3883</v>
      </c>
      <c r="W1901" s="169"/>
      <c r="X1901" s="171"/>
    </row>
    <row r="1902" ht="15.0" customHeight="1">
      <c r="A1902" s="127">
        <v>45780.0</v>
      </c>
      <c r="B1902" s="181" t="s">
        <v>7695</v>
      </c>
      <c r="C1902" s="56" t="s">
        <v>2586</v>
      </c>
      <c r="D1902" s="73" t="str">
        <f>IFERROR(VLOOKUP(C1902,Stock,3,FALSE),"")</f>
        <v>Toyota Altis 00-06 E120/130 9th Gen</v>
      </c>
      <c r="E1902" s="56">
        <v>1.0</v>
      </c>
      <c r="F1902" s="161">
        <v>1977000.0</v>
      </c>
      <c r="G1902" s="162">
        <f t="shared" si="33"/>
        <v>1977000</v>
      </c>
      <c r="H1902" s="194"/>
      <c r="I1902" s="161">
        <f t="shared" si="36"/>
        <v>1977000</v>
      </c>
      <c r="J1902" s="164">
        <f t="shared" si="30"/>
        <v>1977000</v>
      </c>
      <c r="K1902" s="56" t="s">
        <v>7696</v>
      </c>
      <c r="L1902" s="165" t="s">
        <v>7697</v>
      </c>
      <c r="M1902" s="73"/>
      <c r="N1902" s="171"/>
      <c r="O1902" s="169" t="s">
        <v>3184</v>
      </c>
      <c r="P1902" s="168" t="s">
        <v>3112</v>
      </c>
      <c r="Q1902" s="173"/>
      <c r="R1902" s="167">
        <v>1977000.0</v>
      </c>
      <c r="S1902" s="173"/>
      <c r="T1902" s="173"/>
      <c r="U1902" s="173"/>
      <c r="V1902" s="168" t="s">
        <v>3883</v>
      </c>
      <c r="W1902" s="169"/>
      <c r="X1902" s="171"/>
    </row>
    <row r="1903" ht="15.0" customHeight="1">
      <c r="A1903" s="127">
        <v>45780.0</v>
      </c>
      <c r="B1903" s="181" t="s">
        <v>7695</v>
      </c>
      <c r="C1903" s="56" t="s">
        <v>2934</v>
      </c>
      <c r="D1903" s="73" t="str">
        <f>IFERROR(VLOOKUP(C1903,Stock,3,FALSE),"")</f>
        <v>Peti Kayu</v>
      </c>
      <c r="E1903" s="56">
        <v>1.0</v>
      </c>
      <c r="F1903" s="161">
        <v>200000.0</v>
      </c>
      <c r="G1903" s="162">
        <f t="shared" si="33"/>
        <v>200000</v>
      </c>
      <c r="H1903" s="194"/>
      <c r="I1903" s="161">
        <f t="shared" si="36"/>
        <v>200000</v>
      </c>
      <c r="J1903" s="164">
        <f t="shared" si="30"/>
        <v>200000</v>
      </c>
      <c r="K1903" s="56" t="s">
        <v>7696</v>
      </c>
      <c r="L1903" s="165" t="s">
        <v>7697</v>
      </c>
      <c r="M1903" s="73"/>
      <c r="N1903" s="171"/>
      <c r="O1903" s="169" t="s">
        <v>3184</v>
      </c>
      <c r="P1903" s="168" t="s">
        <v>3112</v>
      </c>
      <c r="Q1903" s="173"/>
      <c r="R1903" s="167">
        <v>200000.0</v>
      </c>
      <c r="S1903" s="173"/>
      <c r="T1903" s="173"/>
      <c r="U1903" s="173"/>
      <c r="V1903" s="168" t="s">
        <v>3883</v>
      </c>
      <c r="W1903" s="169"/>
      <c r="X1903" s="171"/>
    </row>
    <row r="1904" ht="15.0" customHeight="1">
      <c r="A1904" s="127">
        <v>45780.0</v>
      </c>
      <c r="B1904" s="181" t="s">
        <v>7698</v>
      </c>
      <c r="C1904" s="56" t="s">
        <v>5613</v>
      </c>
      <c r="D1904" s="73" t="str">
        <f>IFERROR(VLOOKUP(C1904,Stock,3,FALSE),"")</f>
        <v>Suzuki Esteem 89-90</v>
      </c>
      <c r="E1904" s="56">
        <v>1.0</v>
      </c>
      <c r="F1904" s="161">
        <v>1410000.0</v>
      </c>
      <c r="G1904" s="162">
        <f t="shared" si="33"/>
        <v>1410000</v>
      </c>
      <c r="H1904" s="194"/>
      <c r="I1904" s="161">
        <f t="shared" si="36"/>
        <v>1410000</v>
      </c>
      <c r="J1904" s="164">
        <f t="shared" si="30"/>
        <v>1410000</v>
      </c>
      <c r="K1904" s="56" t="s">
        <v>7699</v>
      </c>
      <c r="L1904" s="165" t="s">
        <v>7700</v>
      </c>
      <c r="M1904" s="73"/>
      <c r="N1904" s="171"/>
      <c r="O1904" s="169" t="s">
        <v>3037</v>
      </c>
      <c r="P1904" s="168" t="s">
        <v>3112</v>
      </c>
      <c r="Q1904" s="167">
        <v>1410000.0</v>
      </c>
      <c r="R1904" s="173"/>
      <c r="S1904" s="173"/>
      <c r="T1904" s="173"/>
      <c r="U1904" s="173"/>
      <c r="V1904" s="168" t="s">
        <v>3799</v>
      </c>
      <c r="W1904" s="169"/>
      <c r="X1904" s="171"/>
    </row>
    <row r="1905" ht="15.0" customHeight="1">
      <c r="A1905" s="127">
        <v>45781.0</v>
      </c>
      <c r="B1905" s="181" t="s">
        <v>7701</v>
      </c>
      <c r="C1905" s="56" t="s">
        <v>5528</v>
      </c>
      <c r="D1905" s="73" t="str">
        <f>IFERROR(VLOOKUP(C1905,Stock,3,FALSE),"")</f>
        <v>Toyota Innova 15-22 2nd Gen (Toyota)</v>
      </c>
      <c r="E1905" s="56">
        <v>1.0</v>
      </c>
      <c r="F1905" s="161">
        <v>2988000.0</v>
      </c>
      <c r="G1905" s="162">
        <f t="shared" si="33"/>
        <v>2988000</v>
      </c>
      <c r="H1905" s="194"/>
      <c r="I1905" s="161">
        <f t="shared" si="36"/>
        <v>2988000</v>
      </c>
      <c r="J1905" s="164">
        <f t="shared" si="30"/>
        <v>2988000</v>
      </c>
      <c r="K1905" s="56" t="s">
        <v>4320</v>
      </c>
      <c r="L1905" s="165" t="s">
        <v>7702</v>
      </c>
      <c r="M1905" s="73"/>
      <c r="N1905" s="171"/>
      <c r="O1905" s="169" t="s">
        <v>2958</v>
      </c>
      <c r="P1905" s="168" t="s">
        <v>3112</v>
      </c>
      <c r="Q1905" s="173"/>
      <c r="R1905" s="167">
        <v>2988000.0</v>
      </c>
      <c r="S1905" s="173"/>
      <c r="T1905" s="173"/>
      <c r="U1905" s="173"/>
      <c r="V1905" s="168" t="s">
        <v>3883</v>
      </c>
      <c r="W1905" s="169"/>
      <c r="X1905" s="171"/>
    </row>
    <row r="1906" ht="15.0" customHeight="1">
      <c r="A1906" s="127">
        <v>45782.0</v>
      </c>
      <c r="B1906" s="181" t="s">
        <v>7703</v>
      </c>
      <c r="C1906" s="56" t="s">
        <v>2706</v>
      </c>
      <c r="D1906" s="73" t="str">
        <f>IFERROR(VLOOKUP(C1906,Stock,3,FALSE),"")</f>
        <v>Isuzu Elf 17- New NMR NLR</v>
      </c>
      <c r="E1906" s="56">
        <v>1.0</v>
      </c>
      <c r="F1906" s="161">
        <v>1400000.0</v>
      </c>
      <c r="G1906" s="162">
        <f t="shared" si="33"/>
        <v>1400000</v>
      </c>
      <c r="H1906" s="194"/>
      <c r="I1906" s="161">
        <f t="shared" si="36"/>
        <v>1400000</v>
      </c>
      <c r="J1906" s="164">
        <f t="shared" si="30"/>
        <v>1400000</v>
      </c>
      <c r="K1906" s="56" t="s">
        <v>7704</v>
      </c>
      <c r="L1906" s="165" t="s">
        <v>7705</v>
      </c>
      <c r="M1906" s="73"/>
      <c r="N1906" s="171"/>
      <c r="O1906" s="169" t="s">
        <v>2958</v>
      </c>
      <c r="P1906" s="168" t="s">
        <v>3112</v>
      </c>
      <c r="Q1906" s="173"/>
      <c r="R1906" s="167">
        <v>1400000.0</v>
      </c>
      <c r="S1906" s="173"/>
      <c r="T1906" s="173"/>
      <c r="U1906" s="173"/>
      <c r="V1906" s="168" t="s">
        <v>3883</v>
      </c>
      <c r="W1906" s="169"/>
      <c r="X1906" s="171"/>
    </row>
    <row r="1907" ht="15.0" customHeight="1">
      <c r="A1907" s="127">
        <v>45782.0</v>
      </c>
      <c r="B1907" s="181" t="s">
        <v>7706</v>
      </c>
      <c r="C1907" s="56" t="s">
        <v>2562</v>
      </c>
      <c r="D1907" s="73" t="str">
        <f>IFERROR(VLOOKUP(C1907,Stock,3,FALSE),"")</f>
        <v>Toyota Avanza / Xenia 15-21 3rd Gen</v>
      </c>
      <c r="E1907" s="56">
        <v>1.0</v>
      </c>
      <c r="F1907" s="161">
        <v>1050000.0</v>
      </c>
      <c r="G1907" s="162">
        <f t="shared" si="33"/>
        <v>1050000</v>
      </c>
      <c r="H1907" s="194"/>
      <c r="I1907" s="161">
        <f t="shared" si="36"/>
        <v>1050000</v>
      </c>
      <c r="J1907" s="164">
        <f t="shared" si="30"/>
        <v>1050000</v>
      </c>
      <c r="K1907" s="56" t="s">
        <v>7707</v>
      </c>
      <c r="L1907" s="165" t="s">
        <v>7708</v>
      </c>
      <c r="M1907" s="73"/>
      <c r="N1907" s="289" t="s">
        <v>7709</v>
      </c>
      <c r="O1907" s="169" t="s">
        <v>2958</v>
      </c>
      <c r="P1907" s="168" t="s">
        <v>3112</v>
      </c>
      <c r="Q1907" s="173"/>
      <c r="R1907" s="173"/>
      <c r="S1907" s="173"/>
      <c r="T1907" s="173"/>
      <c r="U1907" s="173"/>
      <c r="V1907" s="202"/>
      <c r="W1907" s="171"/>
      <c r="X1907" s="171"/>
    </row>
    <row r="1908" ht="15.0" customHeight="1">
      <c r="A1908" s="127">
        <v>45782.0</v>
      </c>
      <c r="B1908" s="181" t="s">
        <v>7706</v>
      </c>
      <c r="C1908" s="56" t="s">
        <v>3826</v>
      </c>
      <c r="D1908" s="73" t="str">
        <f>IFERROR(VLOOKUP(C1908,Stock,3,FALSE),"")</f>
        <v>List Kaca Depan Code 11</v>
      </c>
      <c r="E1908" s="56">
        <v>1.0</v>
      </c>
      <c r="F1908" s="161">
        <v>275000.0</v>
      </c>
      <c r="G1908" s="162">
        <f t="shared" si="33"/>
        <v>275000</v>
      </c>
      <c r="H1908" s="194"/>
      <c r="I1908" s="161">
        <f t="shared" si="36"/>
        <v>275000</v>
      </c>
      <c r="J1908" s="164">
        <f t="shared" si="30"/>
        <v>275000</v>
      </c>
      <c r="K1908" s="56" t="s">
        <v>7707</v>
      </c>
      <c r="L1908" s="165" t="s">
        <v>7708</v>
      </c>
      <c r="M1908" s="73"/>
      <c r="N1908" s="289" t="s">
        <v>7709</v>
      </c>
      <c r="O1908" s="169" t="s">
        <v>2958</v>
      </c>
      <c r="P1908" s="168" t="s">
        <v>3112</v>
      </c>
      <c r="Q1908" s="173"/>
      <c r="R1908" s="173"/>
      <c r="S1908" s="173"/>
      <c r="T1908" s="173"/>
      <c r="U1908" s="173"/>
      <c r="V1908" s="202"/>
      <c r="W1908" s="171"/>
      <c r="X1908" s="171"/>
    </row>
    <row r="1909" ht="15.0" customHeight="1">
      <c r="A1909" s="127">
        <v>45782.0</v>
      </c>
      <c r="B1909" s="181" t="s">
        <v>7710</v>
      </c>
      <c r="C1909" s="56" t="s">
        <v>2954</v>
      </c>
      <c r="D1909" s="73" t="str">
        <f>IFERROR(VLOOKUP(C1909,Stock,3,FALSE),"")</f>
        <v>Transport</v>
      </c>
      <c r="E1909" s="56">
        <v>1.0</v>
      </c>
      <c r="F1909" s="161">
        <v>70000.0</v>
      </c>
      <c r="G1909" s="162">
        <f t="shared" si="33"/>
        <v>70000</v>
      </c>
      <c r="H1909" s="194"/>
      <c r="I1909" s="161">
        <f t="shared" si="36"/>
        <v>70000</v>
      </c>
      <c r="J1909" s="164">
        <f t="shared" si="30"/>
        <v>70000</v>
      </c>
      <c r="K1909" s="56" t="s">
        <v>7651</v>
      </c>
      <c r="L1909" s="165" t="s">
        <v>7652</v>
      </c>
      <c r="M1909" s="73"/>
      <c r="N1909" s="171"/>
      <c r="O1909" s="169" t="s">
        <v>3204</v>
      </c>
      <c r="P1909" s="168" t="s">
        <v>3112</v>
      </c>
      <c r="Q1909" s="167">
        <v>70000.0</v>
      </c>
      <c r="R1909" s="173"/>
      <c r="S1909" s="173"/>
      <c r="T1909" s="173"/>
      <c r="U1909" s="173"/>
      <c r="V1909" s="168" t="s">
        <v>3883</v>
      </c>
      <c r="W1909" s="169"/>
      <c r="X1909" s="171"/>
    </row>
    <row r="1910" ht="15.0" customHeight="1">
      <c r="A1910" s="127">
        <v>45783.0</v>
      </c>
      <c r="B1910" s="181" t="s">
        <v>7711</v>
      </c>
      <c r="C1910" s="56" t="s">
        <v>2682</v>
      </c>
      <c r="D1910" s="73" t="str">
        <f>IFERROR(VLOOKUP(C1910,Stock,3,FALSE),"")</f>
        <v>Toyota Yaris 05-13 XP90 1st Gen</v>
      </c>
      <c r="E1910" s="56">
        <v>1.0</v>
      </c>
      <c r="F1910" s="161">
        <v>1550000.0</v>
      </c>
      <c r="G1910" s="162">
        <f t="shared" si="33"/>
        <v>1550000</v>
      </c>
      <c r="H1910" s="194"/>
      <c r="I1910" s="161">
        <f t="shared" si="36"/>
        <v>1550000</v>
      </c>
      <c r="J1910" s="164">
        <f t="shared" si="30"/>
        <v>1550000</v>
      </c>
      <c r="K1910" s="56" t="s">
        <v>7712</v>
      </c>
      <c r="L1910" s="165" t="s">
        <v>7713</v>
      </c>
      <c r="M1910" s="73"/>
      <c r="N1910" s="289" t="s">
        <v>7714</v>
      </c>
      <c r="O1910" s="169" t="s">
        <v>2958</v>
      </c>
      <c r="P1910" s="168" t="s">
        <v>3112</v>
      </c>
      <c r="Q1910" s="173"/>
      <c r="R1910" s="167">
        <v>1550000.0</v>
      </c>
      <c r="S1910" s="173"/>
      <c r="T1910" s="173"/>
      <c r="U1910" s="173"/>
      <c r="V1910" s="168" t="s">
        <v>3799</v>
      </c>
      <c r="W1910" s="169"/>
      <c r="X1910" s="171"/>
    </row>
    <row r="1911" ht="15.0" customHeight="1">
      <c r="A1911" s="127">
        <v>45783.0</v>
      </c>
      <c r="B1911" s="181" t="s">
        <v>7715</v>
      </c>
      <c r="C1911" s="56" t="s">
        <v>3085</v>
      </c>
      <c r="D1911" s="73" t="str">
        <f>IFERROR(VLOOKUP(C1911,Stock,3,FALSE),"")</f>
        <v>Honda Jazz 07-13 2nd Gen</v>
      </c>
      <c r="E1911" s="56">
        <v>1.0</v>
      </c>
      <c r="F1911" s="161">
        <v>1387000.0</v>
      </c>
      <c r="G1911" s="162">
        <f t="shared" si="33"/>
        <v>1387000</v>
      </c>
      <c r="H1911" s="194"/>
      <c r="I1911" s="161">
        <f t="shared" si="36"/>
        <v>1387000</v>
      </c>
      <c r="J1911" s="164">
        <f t="shared" si="30"/>
        <v>1387000</v>
      </c>
      <c r="K1911" s="56" t="s">
        <v>7716</v>
      </c>
      <c r="L1911" s="165" t="s">
        <v>7717</v>
      </c>
      <c r="M1911" s="73"/>
      <c r="N1911" s="171"/>
      <c r="O1911" s="169" t="s">
        <v>3204</v>
      </c>
      <c r="P1911" s="168" t="s">
        <v>3112</v>
      </c>
      <c r="Q1911" s="173"/>
      <c r="R1911" s="167">
        <v>1387000.0</v>
      </c>
      <c r="S1911" s="173"/>
      <c r="T1911" s="173"/>
      <c r="U1911" s="173"/>
      <c r="V1911" s="168" t="s">
        <v>3799</v>
      </c>
      <c r="W1911" s="169"/>
      <c r="X1911" s="171"/>
    </row>
    <row r="1912" ht="15.0" customHeight="1">
      <c r="A1912" s="127">
        <v>45783.0</v>
      </c>
      <c r="B1912" s="181" t="s">
        <v>7718</v>
      </c>
      <c r="C1912" s="56" t="s">
        <v>3513</v>
      </c>
      <c r="D1912" s="73" t="str">
        <f>IFERROR(VLOOKUP(C1912,Stock,3,FALSE),"")</f>
        <v>Lembur</v>
      </c>
      <c r="E1912" s="56">
        <v>1.0</v>
      </c>
      <c r="F1912" s="161">
        <v>75000.0</v>
      </c>
      <c r="G1912" s="162">
        <f t="shared" si="33"/>
        <v>75000</v>
      </c>
      <c r="H1912" s="194"/>
      <c r="I1912" s="161">
        <f t="shared" si="36"/>
        <v>75000</v>
      </c>
      <c r="J1912" s="164">
        <f t="shared" si="30"/>
        <v>75000</v>
      </c>
      <c r="K1912" s="56" t="s">
        <v>7716</v>
      </c>
      <c r="L1912" s="165" t="s">
        <v>7717</v>
      </c>
      <c r="M1912" s="73"/>
      <c r="N1912" s="171"/>
      <c r="O1912" s="169" t="s">
        <v>3204</v>
      </c>
      <c r="P1912" s="168" t="s">
        <v>3112</v>
      </c>
      <c r="Q1912" s="167">
        <v>75000.0</v>
      </c>
      <c r="R1912" s="173"/>
      <c r="S1912" s="173"/>
      <c r="T1912" s="173"/>
      <c r="U1912" s="173"/>
      <c r="V1912" s="168" t="s">
        <v>3799</v>
      </c>
      <c r="W1912" s="169"/>
      <c r="X1912" s="171"/>
    </row>
    <row r="1913" ht="15.0" customHeight="1">
      <c r="A1913" s="127">
        <v>45784.0</v>
      </c>
      <c r="B1913" s="181" t="s">
        <v>7719</v>
      </c>
      <c r="C1913" s="56" t="s">
        <v>3186</v>
      </c>
      <c r="D1913" s="73" t="str">
        <f>IFERROR(VLOOKUP(C1913,Stock,3,FALSE),"")</f>
        <v>Daihatsu Gran Max / Luxio 07-</v>
      </c>
      <c r="E1913" s="56">
        <v>1.0</v>
      </c>
      <c r="F1913" s="161">
        <v>880000.0</v>
      </c>
      <c r="G1913" s="162">
        <f t="shared" si="33"/>
        <v>880000</v>
      </c>
      <c r="H1913" s="194"/>
      <c r="I1913" s="161">
        <f t="shared" si="36"/>
        <v>880000</v>
      </c>
      <c r="J1913" s="164">
        <f t="shared" si="30"/>
        <v>880000</v>
      </c>
      <c r="K1913" s="131" t="s">
        <v>7720</v>
      </c>
      <c r="L1913" s="165" t="s">
        <v>7721</v>
      </c>
      <c r="M1913" s="73"/>
      <c r="N1913" s="171"/>
      <c r="O1913" s="169" t="s">
        <v>2958</v>
      </c>
      <c r="P1913" s="168" t="s">
        <v>3645</v>
      </c>
      <c r="Q1913" s="173"/>
      <c r="R1913" s="167">
        <v>880000.0</v>
      </c>
      <c r="S1913" s="173"/>
      <c r="T1913" s="173"/>
      <c r="U1913" s="173"/>
      <c r="V1913" s="168" t="s">
        <v>3883</v>
      </c>
      <c r="W1913" s="169"/>
      <c r="X1913" s="171"/>
    </row>
    <row r="1914" ht="15.0" customHeight="1">
      <c r="A1914" s="127">
        <v>45785.0</v>
      </c>
      <c r="B1914" s="181" t="s">
        <v>7722</v>
      </c>
      <c r="C1914" s="56" t="s">
        <v>4901</v>
      </c>
      <c r="D1914" s="73" t="str">
        <f>IFERROR(VLOOKUP(C1914,Stock,3,FALSE),"")</f>
        <v>Toyota Rush / Terios 18-</v>
      </c>
      <c r="E1914" s="56">
        <v>1.0</v>
      </c>
      <c r="F1914" s="161">
        <v>1352000.0</v>
      </c>
      <c r="G1914" s="162">
        <f t="shared" si="33"/>
        <v>1352000</v>
      </c>
      <c r="H1914" s="194"/>
      <c r="I1914" s="161">
        <f t="shared" si="36"/>
        <v>1352000</v>
      </c>
      <c r="J1914" s="164">
        <f t="shared" si="30"/>
        <v>1352000</v>
      </c>
      <c r="K1914" s="56" t="s">
        <v>7723</v>
      </c>
      <c r="L1914" s="165" t="s">
        <v>6714</v>
      </c>
      <c r="M1914" s="73"/>
      <c r="N1914" s="171"/>
      <c r="O1914" s="169" t="s">
        <v>2958</v>
      </c>
      <c r="P1914" s="168" t="s">
        <v>3112</v>
      </c>
      <c r="Q1914" s="173"/>
      <c r="R1914" s="167">
        <v>1352000.0</v>
      </c>
      <c r="S1914" s="173"/>
      <c r="T1914" s="173"/>
      <c r="U1914" s="173"/>
      <c r="V1914" s="168" t="s">
        <v>3883</v>
      </c>
      <c r="W1914" s="169"/>
      <c r="X1914" s="171"/>
    </row>
    <row r="1915" ht="15.0" customHeight="1">
      <c r="A1915" s="127">
        <v>45785.0</v>
      </c>
      <c r="B1915" s="181" t="s">
        <v>7724</v>
      </c>
      <c r="C1915" s="56" t="s">
        <v>4988</v>
      </c>
      <c r="D1915" s="73" t="str">
        <f>IFERROR(VLOOKUP(C1915,Stock,3,FALSE),"")</f>
        <v>Toyota Innova 15- 2nd Gen</v>
      </c>
      <c r="E1915" s="56">
        <v>1.0</v>
      </c>
      <c r="F1915" s="161">
        <v>1764000.0</v>
      </c>
      <c r="G1915" s="162">
        <f t="shared" si="33"/>
        <v>1764000</v>
      </c>
      <c r="H1915" s="194"/>
      <c r="I1915" s="161">
        <f t="shared" si="36"/>
        <v>1764000</v>
      </c>
      <c r="J1915" s="164">
        <f t="shared" si="30"/>
        <v>1764000</v>
      </c>
      <c r="K1915" s="56" t="s">
        <v>7725</v>
      </c>
      <c r="L1915" s="165" t="s">
        <v>7726</v>
      </c>
      <c r="M1915" s="73"/>
      <c r="N1915" s="169" t="s">
        <v>7727</v>
      </c>
      <c r="O1915" s="169" t="s">
        <v>2958</v>
      </c>
      <c r="P1915" s="168" t="s">
        <v>3112</v>
      </c>
      <c r="Q1915" s="167">
        <v>1764000.0</v>
      </c>
      <c r="R1915" s="173"/>
      <c r="S1915" s="173"/>
      <c r="T1915" s="173"/>
      <c r="U1915" s="173"/>
      <c r="V1915" s="168" t="s">
        <v>3883</v>
      </c>
      <c r="W1915" s="169"/>
      <c r="X1915" s="171"/>
    </row>
    <row r="1916" ht="15.0" customHeight="1">
      <c r="A1916" s="127">
        <v>45785.0</v>
      </c>
      <c r="B1916" s="181" t="s">
        <v>7728</v>
      </c>
      <c r="C1916" s="56" t="s">
        <v>3837</v>
      </c>
      <c r="D1916" s="73" t="str">
        <f>IFERROR(VLOOKUP(C1916,Stock,3,FALSE),"")</f>
        <v>Toyota Yaris 13- 2nd Gen / Vios 14- 3rd Gen</v>
      </c>
      <c r="E1916" s="56">
        <v>1.0</v>
      </c>
      <c r="F1916" s="161">
        <v>1619000.0</v>
      </c>
      <c r="G1916" s="162">
        <f t="shared" si="33"/>
        <v>1619000</v>
      </c>
      <c r="H1916" s="194"/>
      <c r="I1916" s="161">
        <f t="shared" si="36"/>
        <v>1619000</v>
      </c>
      <c r="J1916" s="164">
        <f t="shared" si="30"/>
        <v>1619000</v>
      </c>
      <c r="K1916" s="56" t="s">
        <v>7729</v>
      </c>
      <c r="L1916" s="165" t="s">
        <v>7730</v>
      </c>
      <c r="M1916" s="73"/>
      <c r="N1916" s="171"/>
      <c r="O1916" s="169" t="s">
        <v>2958</v>
      </c>
      <c r="P1916" s="168" t="s">
        <v>3112</v>
      </c>
      <c r="Q1916" s="167">
        <v>1619000.0</v>
      </c>
      <c r="R1916" s="173"/>
      <c r="S1916" s="173"/>
      <c r="T1916" s="173"/>
      <c r="U1916" s="173"/>
      <c r="V1916" s="168" t="s">
        <v>3883</v>
      </c>
      <c r="W1916" s="169"/>
      <c r="X1916" s="171"/>
    </row>
    <row r="1917" ht="15.0" customHeight="1">
      <c r="A1917" s="127">
        <v>45786.0</v>
      </c>
      <c r="B1917" s="181" t="s">
        <v>7731</v>
      </c>
      <c r="C1917" s="56" t="s">
        <v>7732</v>
      </c>
      <c r="D1917" s="73" t="str">
        <f>IFERROR(VLOOKUP(C1917,Stock,3,FALSE),"")</f>
        <v>Toyota Altis 06-13 E140 10th Gen</v>
      </c>
      <c r="E1917" s="56">
        <v>1.0</v>
      </c>
      <c r="F1917" s="161">
        <v>2400000.0</v>
      </c>
      <c r="G1917" s="162">
        <f t="shared" si="33"/>
        <v>2400000</v>
      </c>
      <c r="H1917" s="194"/>
      <c r="I1917" s="161">
        <f t="shared" si="36"/>
        <v>2400000</v>
      </c>
      <c r="J1917" s="164">
        <f t="shared" si="30"/>
        <v>2400000</v>
      </c>
      <c r="K1917" s="56" t="s">
        <v>7733</v>
      </c>
      <c r="L1917" s="165" t="s">
        <v>7734</v>
      </c>
      <c r="M1917" s="73"/>
      <c r="N1917" s="171"/>
      <c r="O1917" s="169" t="s">
        <v>3037</v>
      </c>
      <c r="P1917" s="168" t="s">
        <v>3112</v>
      </c>
      <c r="Q1917" s="173"/>
      <c r="R1917" s="167">
        <v>2400000.0</v>
      </c>
      <c r="S1917" s="173"/>
      <c r="T1917" s="173"/>
      <c r="U1917" s="173"/>
      <c r="V1917" s="168" t="s">
        <v>3799</v>
      </c>
      <c r="W1917" s="169"/>
      <c r="X1917" s="171"/>
    </row>
    <row r="1918" ht="15.0" customHeight="1">
      <c r="A1918" s="127">
        <v>45786.0</v>
      </c>
      <c r="B1918" s="181" t="s">
        <v>7735</v>
      </c>
      <c r="C1918" s="56" t="s">
        <v>3837</v>
      </c>
      <c r="D1918" s="73" t="str">
        <f>IFERROR(VLOOKUP(C1918,Stock,3,FALSE),"")</f>
        <v>Toyota Yaris 13- 2nd Gen / Vios 14- 3rd Gen</v>
      </c>
      <c r="E1918" s="56">
        <v>1.0</v>
      </c>
      <c r="F1918" s="161">
        <v>1469000.0</v>
      </c>
      <c r="G1918" s="162">
        <f t="shared" si="33"/>
        <v>1469000</v>
      </c>
      <c r="H1918" s="194"/>
      <c r="I1918" s="161">
        <f t="shared" si="36"/>
        <v>1469000</v>
      </c>
      <c r="J1918" s="164">
        <f t="shared" si="30"/>
        <v>1469000</v>
      </c>
      <c r="K1918" s="56" t="s">
        <v>7736</v>
      </c>
      <c r="L1918" s="165" t="s">
        <v>7737</v>
      </c>
      <c r="M1918" s="73"/>
      <c r="N1918" s="171"/>
      <c r="O1918" s="169" t="s">
        <v>2958</v>
      </c>
      <c r="P1918" s="168" t="s">
        <v>3112</v>
      </c>
      <c r="Q1918" s="173"/>
      <c r="R1918" s="167">
        <v>1469000.0</v>
      </c>
      <c r="S1918" s="173"/>
      <c r="T1918" s="173"/>
      <c r="U1918" s="173"/>
      <c r="V1918" s="168" t="s">
        <v>3883</v>
      </c>
      <c r="W1918" s="169"/>
      <c r="X1918" s="171"/>
    </row>
    <row r="1919" ht="15.0" customHeight="1">
      <c r="A1919" s="127">
        <v>45786.0</v>
      </c>
      <c r="B1919" s="181" t="s">
        <v>7738</v>
      </c>
      <c r="C1919" s="56" t="s">
        <v>7739</v>
      </c>
      <c r="D1919" s="73" t="str">
        <f>IFERROR(VLOOKUP(C1919,Stock,3,FALSE),"")</f>
        <v>Toyota Avanza / Xenia 03-11 1st Gen</v>
      </c>
      <c r="E1919" s="56">
        <v>1.0</v>
      </c>
      <c r="F1919" s="161">
        <v>820000.0</v>
      </c>
      <c r="G1919" s="162">
        <f t="shared" si="33"/>
        <v>820000</v>
      </c>
      <c r="H1919" s="194"/>
      <c r="I1919" s="161">
        <f t="shared" si="36"/>
        <v>820000</v>
      </c>
      <c r="J1919" s="164">
        <f t="shared" si="30"/>
        <v>820000</v>
      </c>
      <c r="K1919" s="56" t="s">
        <v>7740</v>
      </c>
      <c r="L1919" s="165" t="s">
        <v>7741</v>
      </c>
      <c r="M1919" s="73"/>
      <c r="N1919" s="169" t="s">
        <v>7742</v>
      </c>
      <c r="O1919" s="169" t="s">
        <v>2958</v>
      </c>
      <c r="P1919" s="168" t="s">
        <v>3112</v>
      </c>
      <c r="Q1919" s="173"/>
      <c r="R1919" s="167">
        <v>820000.0</v>
      </c>
      <c r="S1919" s="173"/>
      <c r="T1919" s="173"/>
      <c r="U1919" s="173"/>
      <c r="V1919" s="168" t="s">
        <v>3883</v>
      </c>
      <c r="W1919" s="169"/>
      <c r="X1919" s="171"/>
    </row>
    <row r="1920" ht="15.0" customHeight="1">
      <c r="A1920" s="127">
        <v>45786.0</v>
      </c>
      <c r="B1920" s="181" t="s">
        <v>7743</v>
      </c>
      <c r="C1920" s="251" t="s">
        <v>2565</v>
      </c>
      <c r="D1920" s="73" t="str">
        <f>IFERROR(VLOOKUP(C1920,Stock,3,FALSE),"")</f>
        <v>Toyota Avanza / Xenia 03-11 1st Gen</v>
      </c>
      <c r="E1920" s="56">
        <v>1.0</v>
      </c>
      <c r="F1920" s="161">
        <v>908000.0</v>
      </c>
      <c r="G1920" s="162">
        <f t="shared" si="33"/>
        <v>908000</v>
      </c>
      <c r="H1920" s="194"/>
      <c r="I1920" s="161">
        <f t="shared" si="36"/>
        <v>908000</v>
      </c>
      <c r="J1920" s="164">
        <f t="shared" si="30"/>
        <v>908000</v>
      </c>
      <c r="K1920" s="56" t="s">
        <v>7744</v>
      </c>
      <c r="L1920" s="165" t="s">
        <v>7745</v>
      </c>
      <c r="M1920" s="73"/>
      <c r="N1920" s="171"/>
      <c r="O1920" s="169" t="s">
        <v>2958</v>
      </c>
      <c r="P1920" s="168" t="s">
        <v>3112</v>
      </c>
      <c r="Q1920" s="173"/>
      <c r="R1920" s="173"/>
      <c r="S1920" s="167">
        <v>908000.0</v>
      </c>
      <c r="T1920" s="449">
        <v>179050.0</v>
      </c>
      <c r="U1920" s="173"/>
      <c r="V1920" s="168" t="s">
        <v>3883</v>
      </c>
      <c r="W1920" s="169"/>
      <c r="X1920" s="171"/>
    </row>
    <row r="1921" ht="15.0" customHeight="1">
      <c r="A1921" s="127">
        <v>45786.0</v>
      </c>
      <c r="B1921" s="181" t="s">
        <v>7743</v>
      </c>
      <c r="C1921" s="56" t="s">
        <v>3290</v>
      </c>
      <c r="D1921" s="73" t="str">
        <f>IFERROR(VLOOKUP(C1921,Stock,3,FALSE),"")</f>
        <v>Toyota Innova 04-15 1st Gen</v>
      </c>
      <c r="E1921" s="56">
        <v>1.0</v>
      </c>
      <c r="F1921" s="161">
        <v>1266000.0</v>
      </c>
      <c r="G1921" s="162">
        <f t="shared" si="33"/>
        <v>1266000</v>
      </c>
      <c r="H1921" s="194"/>
      <c r="I1921" s="161">
        <f t="shared" si="36"/>
        <v>1266000</v>
      </c>
      <c r="J1921" s="164">
        <f t="shared" si="30"/>
        <v>1266000</v>
      </c>
      <c r="K1921" s="56" t="s">
        <v>7744</v>
      </c>
      <c r="L1921" s="165" t="s">
        <v>7745</v>
      </c>
      <c r="M1921" s="73"/>
      <c r="N1921" s="171"/>
      <c r="O1921" s="169" t="s">
        <v>2958</v>
      </c>
      <c r="P1921" s="168" t="s">
        <v>3112</v>
      </c>
      <c r="Q1921" s="173"/>
      <c r="R1921" s="173"/>
      <c r="S1921" s="167">
        <v>1266000.0</v>
      </c>
      <c r="T1921" s="173"/>
      <c r="U1921" s="173"/>
      <c r="V1921" s="168" t="s">
        <v>3883</v>
      </c>
      <c r="W1921" s="169"/>
      <c r="X1921" s="171"/>
    </row>
    <row r="1922" ht="15.0" customHeight="1">
      <c r="A1922" s="127">
        <v>45786.0</v>
      </c>
      <c r="B1922" s="181" t="s">
        <v>7743</v>
      </c>
      <c r="C1922" s="56" t="s">
        <v>2934</v>
      </c>
      <c r="D1922" s="73" t="str">
        <f>IFERROR(VLOOKUP(C1922,Stock,3,FALSE),"")</f>
        <v>Peti Kayu</v>
      </c>
      <c r="E1922" s="56">
        <v>1.0</v>
      </c>
      <c r="F1922" s="161">
        <v>200000.0</v>
      </c>
      <c r="G1922" s="162">
        <f t="shared" si="33"/>
        <v>200000</v>
      </c>
      <c r="H1922" s="194"/>
      <c r="I1922" s="161">
        <f t="shared" si="36"/>
        <v>200000</v>
      </c>
      <c r="J1922" s="164">
        <f t="shared" si="30"/>
        <v>200000</v>
      </c>
      <c r="K1922" s="56" t="s">
        <v>7744</v>
      </c>
      <c r="L1922" s="165" t="s">
        <v>7745</v>
      </c>
      <c r="M1922" s="73"/>
      <c r="N1922" s="171"/>
      <c r="O1922" s="169" t="s">
        <v>2958</v>
      </c>
      <c r="P1922" s="168" t="s">
        <v>3112</v>
      </c>
      <c r="Q1922" s="173"/>
      <c r="R1922" s="173"/>
      <c r="S1922" s="167">
        <v>200000.0</v>
      </c>
      <c r="T1922" s="173"/>
      <c r="U1922" s="173"/>
      <c r="V1922" s="168" t="s">
        <v>3883</v>
      </c>
      <c r="W1922" s="169"/>
      <c r="X1922" s="171"/>
    </row>
    <row r="1923" ht="15.0" customHeight="1">
      <c r="A1923" s="127">
        <v>45786.0</v>
      </c>
      <c r="B1923" s="181" t="s">
        <v>7743</v>
      </c>
      <c r="C1923" s="56" t="s">
        <v>2954</v>
      </c>
      <c r="D1923" s="73" t="str">
        <f>IFERROR(VLOOKUP(C1923,Stock,3,FALSE),"")</f>
        <v>Transport</v>
      </c>
      <c r="E1923" s="56">
        <v>1.0</v>
      </c>
      <c r="F1923" s="161">
        <v>100000.0</v>
      </c>
      <c r="G1923" s="162">
        <f t="shared" si="33"/>
        <v>100000</v>
      </c>
      <c r="H1923" s="194"/>
      <c r="I1923" s="161">
        <f t="shared" si="36"/>
        <v>100000</v>
      </c>
      <c r="J1923" s="164">
        <f t="shared" si="30"/>
        <v>100000</v>
      </c>
      <c r="K1923" s="56" t="s">
        <v>7744</v>
      </c>
      <c r="L1923" s="165" t="s">
        <v>7745</v>
      </c>
      <c r="M1923" s="73"/>
      <c r="N1923" s="171"/>
      <c r="O1923" s="169" t="s">
        <v>2958</v>
      </c>
      <c r="P1923" s="168" t="s">
        <v>3112</v>
      </c>
      <c r="Q1923" s="173"/>
      <c r="R1923" s="167">
        <v>100000.0</v>
      </c>
      <c r="S1923" s="173"/>
      <c r="T1923" s="173"/>
      <c r="U1923" s="173"/>
      <c r="V1923" s="168" t="s">
        <v>3883</v>
      </c>
      <c r="W1923" s="169"/>
      <c r="X1923" s="171"/>
    </row>
    <row r="1924" ht="15.0" customHeight="1">
      <c r="A1924" s="127">
        <v>45787.0</v>
      </c>
      <c r="B1924" s="181" t="s">
        <v>7746</v>
      </c>
      <c r="C1924" s="56" t="s">
        <v>3104</v>
      </c>
      <c r="D1924" s="73" t="str">
        <f>IFERROR(VLOOKUP(C1924,Stock,3,FALSE),"")</f>
        <v>Toyota Innova 15- 2nd Gen</v>
      </c>
      <c r="E1924" s="56">
        <v>1.0</v>
      </c>
      <c r="F1924" s="161">
        <v>1319000.0</v>
      </c>
      <c r="G1924" s="162">
        <f t="shared" si="33"/>
        <v>1319000</v>
      </c>
      <c r="H1924" s="194"/>
      <c r="I1924" s="161">
        <f t="shared" si="36"/>
        <v>1319000</v>
      </c>
      <c r="J1924" s="164">
        <f t="shared" si="30"/>
        <v>1319000</v>
      </c>
      <c r="K1924" s="56" t="s">
        <v>7747</v>
      </c>
      <c r="L1924" s="165" t="s">
        <v>7748</v>
      </c>
      <c r="M1924" s="73"/>
      <c r="N1924" s="289" t="s">
        <v>7749</v>
      </c>
      <c r="O1924" s="169" t="s">
        <v>3037</v>
      </c>
      <c r="P1924" s="168" t="s">
        <v>3112</v>
      </c>
      <c r="Q1924" s="173"/>
      <c r="R1924" s="167">
        <v>1319000.0</v>
      </c>
      <c r="S1924" s="173"/>
      <c r="T1924" s="173"/>
      <c r="U1924" s="173"/>
      <c r="V1924" s="168" t="s">
        <v>3883</v>
      </c>
      <c r="W1924" s="169"/>
      <c r="X1924" s="171"/>
    </row>
    <row r="1925" ht="15.0" customHeight="1">
      <c r="A1925" s="127">
        <v>45787.0</v>
      </c>
      <c r="B1925" s="181" t="s">
        <v>7750</v>
      </c>
      <c r="C1925" s="56" t="s">
        <v>7751</v>
      </c>
      <c r="D1925" s="73" t="str">
        <f>IFERROR(VLOOKUP(C1925,Stock,3,FALSE),"")</f>
        <v>Nissan X-Trail 01-07 T30</v>
      </c>
      <c r="E1925" s="56">
        <v>1.0</v>
      </c>
      <c r="F1925" s="161">
        <v>1882000.0</v>
      </c>
      <c r="G1925" s="162">
        <f t="shared" si="33"/>
        <v>1882000</v>
      </c>
      <c r="H1925" s="194"/>
      <c r="I1925" s="161">
        <f t="shared" si="36"/>
        <v>1882000</v>
      </c>
      <c r="J1925" s="164">
        <f t="shared" si="30"/>
        <v>1882000</v>
      </c>
      <c r="K1925" s="131" t="s">
        <v>7752</v>
      </c>
      <c r="L1925" s="165" t="s">
        <v>7753</v>
      </c>
      <c r="M1925" s="73"/>
      <c r="N1925" s="171"/>
      <c r="O1925" s="169" t="s">
        <v>2958</v>
      </c>
      <c r="P1925" s="168" t="s">
        <v>3112</v>
      </c>
      <c r="Q1925" s="173"/>
      <c r="R1925" s="167">
        <v>1882000.0</v>
      </c>
      <c r="S1925" s="173"/>
      <c r="T1925" s="173"/>
      <c r="U1925" s="173"/>
      <c r="V1925" s="168" t="s">
        <v>3883</v>
      </c>
      <c r="W1925" s="169"/>
      <c r="X1925" s="171"/>
    </row>
    <row r="1926" ht="15.0" customHeight="1">
      <c r="A1926" s="127">
        <v>45787.0</v>
      </c>
      <c r="B1926" s="181" t="s">
        <v>7754</v>
      </c>
      <c r="C1926" s="56" t="s">
        <v>2703</v>
      </c>
      <c r="D1926" s="73" t="str">
        <f>IFERROR(VLOOKUP(C1926,Stock,3,FALSE),"")</f>
        <v>Toyota Hi-Ace 04-20 Commuter</v>
      </c>
      <c r="E1926" s="56">
        <v>1.0</v>
      </c>
      <c r="F1926" s="161">
        <v>1559000.0</v>
      </c>
      <c r="G1926" s="162">
        <f t="shared" si="33"/>
        <v>1559000</v>
      </c>
      <c r="H1926" s="194"/>
      <c r="I1926" s="161">
        <f t="shared" si="36"/>
        <v>1559000</v>
      </c>
      <c r="J1926" s="164">
        <f t="shared" si="30"/>
        <v>1559000</v>
      </c>
      <c r="K1926" s="56" t="s">
        <v>7038</v>
      </c>
      <c r="L1926" s="451" t="s">
        <v>7755</v>
      </c>
      <c r="M1926" s="73"/>
      <c r="N1926" s="171"/>
      <c r="O1926" s="169" t="s">
        <v>2958</v>
      </c>
      <c r="P1926" s="168" t="s">
        <v>3112</v>
      </c>
      <c r="Q1926" s="173"/>
      <c r="R1926" s="167">
        <v>1559000.0</v>
      </c>
      <c r="S1926" s="173"/>
      <c r="T1926" s="173"/>
      <c r="U1926" s="173"/>
      <c r="V1926" s="168" t="s">
        <v>3883</v>
      </c>
      <c r="W1926" s="169"/>
      <c r="X1926" s="171"/>
    </row>
    <row r="1927" ht="15.0" customHeight="1">
      <c r="A1927" s="127">
        <v>45787.0</v>
      </c>
      <c r="B1927" s="181" t="s">
        <v>7754</v>
      </c>
      <c r="C1927" s="56" t="s">
        <v>7756</v>
      </c>
      <c r="D1927" s="73" t="str">
        <f>IFERROR(VLOOKUP(C1927,Stock,3,FALSE),"")</f>
        <v>Toyota Hi-Ace 04-20 Commuter</v>
      </c>
      <c r="E1927" s="56">
        <v>1.0</v>
      </c>
      <c r="F1927" s="161">
        <v>918000.0</v>
      </c>
      <c r="G1927" s="162">
        <f t="shared" si="33"/>
        <v>918000</v>
      </c>
      <c r="H1927" s="194"/>
      <c r="I1927" s="161">
        <f t="shared" si="36"/>
        <v>918000</v>
      </c>
      <c r="J1927" s="164">
        <f t="shared" si="30"/>
        <v>918000</v>
      </c>
      <c r="K1927" s="56" t="s">
        <v>7038</v>
      </c>
      <c r="L1927" s="165" t="s">
        <v>7755</v>
      </c>
      <c r="M1927" s="73"/>
      <c r="N1927" s="171"/>
      <c r="O1927" s="169" t="s">
        <v>2958</v>
      </c>
      <c r="P1927" s="168" t="s">
        <v>3112</v>
      </c>
      <c r="Q1927" s="173"/>
      <c r="R1927" s="167">
        <v>918000.0</v>
      </c>
      <c r="S1927" s="173"/>
      <c r="T1927" s="173"/>
      <c r="U1927" s="173"/>
      <c r="V1927" s="168" t="s">
        <v>3883</v>
      </c>
      <c r="W1927" s="169"/>
      <c r="X1927" s="171"/>
    </row>
    <row r="1928" ht="15.0" customHeight="1">
      <c r="A1928" s="127">
        <v>45787.0</v>
      </c>
      <c r="B1928" s="181" t="s">
        <v>7754</v>
      </c>
      <c r="C1928" s="56" t="s">
        <v>7757</v>
      </c>
      <c r="D1928" s="73" t="str">
        <f>IFERROR(VLOOKUP(C1928,Stock,3,FALSE),"")</f>
        <v>Toyota Hi-Ace 04-20 Commuter</v>
      </c>
      <c r="E1928" s="56">
        <v>1.0</v>
      </c>
      <c r="F1928" s="161">
        <v>1160000.0</v>
      </c>
      <c r="G1928" s="162">
        <f t="shared" si="33"/>
        <v>1160000</v>
      </c>
      <c r="H1928" s="194"/>
      <c r="I1928" s="161">
        <f t="shared" si="36"/>
        <v>1160000</v>
      </c>
      <c r="J1928" s="164">
        <f t="shared" si="30"/>
        <v>1160000</v>
      </c>
      <c r="K1928" s="56" t="s">
        <v>7038</v>
      </c>
      <c r="L1928" s="165" t="s">
        <v>7755</v>
      </c>
      <c r="M1928" s="73"/>
      <c r="N1928" s="171"/>
      <c r="O1928" s="169" t="s">
        <v>2958</v>
      </c>
      <c r="P1928" s="168" t="s">
        <v>3112</v>
      </c>
      <c r="Q1928" s="173"/>
      <c r="R1928" s="167">
        <v>1160000.0</v>
      </c>
      <c r="S1928" s="173"/>
      <c r="T1928" s="173"/>
      <c r="U1928" s="173"/>
      <c r="V1928" s="168" t="s">
        <v>3883</v>
      </c>
      <c r="W1928" s="169"/>
      <c r="X1928" s="171"/>
    </row>
    <row r="1929" ht="15.0" customHeight="1">
      <c r="A1929" s="127">
        <v>45787.0</v>
      </c>
      <c r="B1929" s="181" t="s">
        <v>7754</v>
      </c>
      <c r="C1929" s="169" t="s">
        <v>2779</v>
      </c>
      <c r="D1929" s="73" t="str">
        <f>IFERROR(VLOOKUP(C1929,Stock,3,FALSE),"")</f>
        <v>Toyota Hi-Ace 04-20 Commuter With Frame</v>
      </c>
      <c r="E1929" s="56">
        <v>1.0</v>
      </c>
      <c r="F1929" s="161">
        <v>2595000.0</v>
      </c>
      <c r="G1929" s="162">
        <f t="shared" si="33"/>
        <v>2595000</v>
      </c>
      <c r="H1929" s="194"/>
      <c r="I1929" s="161">
        <f t="shared" si="36"/>
        <v>2595000</v>
      </c>
      <c r="J1929" s="164">
        <f t="shared" si="30"/>
        <v>2595000</v>
      </c>
      <c r="K1929" s="56" t="s">
        <v>7038</v>
      </c>
      <c r="L1929" s="165" t="s">
        <v>7755</v>
      </c>
      <c r="M1929" s="73"/>
      <c r="N1929" s="171"/>
      <c r="O1929" s="169" t="s">
        <v>2958</v>
      </c>
      <c r="P1929" s="168" t="s">
        <v>3112</v>
      </c>
      <c r="Q1929" s="173"/>
      <c r="R1929" s="167">
        <v>2595000.0</v>
      </c>
      <c r="S1929" s="173"/>
      <c r="T1929" s="173"/>
      <c r="U1929" s="173"/>
      <c r="V1929" s="168" t="s">
        <v>3883</v>
      </c>
      <c r="W1929" s="169"/>
      <c r="X1929" s="171"/>
    </row>
    <row r="1930" ht="15.0" customHeight="1">
      <c r="A1930" s="127">
        <v>45787.0</v>
      </c>
      <c r="B1930" s="181" t="s">
        <v>7758</v>
      </c>
      <c r="C1930" s="56" t="s">
        <v>2615</v>
      </c>
      <c r="D1930" s="73" t="str">
        <f>IFERROR(VLOOKUP(C1930,Stock,3,FALSE),"")</f>
        <v>Mazda 2 09-14 3rd Gen</v>
      </c>
      <c r="E1930" s="56">
        <v>1.0</v>
      </c>
      <c r="F1930" s="161">
        <v>1949000.0</v>
      </c>
      <c r="G1930" s="162">
        <f t="shared" si="33"/>
        <v>1949000</v>
      </c>
      <c r="H1930" s="194"/>
      <c r="I1930" s="161">
        <f t="shared" si="36"/>
        <v>1949000</v>
      </c>
      <c r="J1930" s="164">
        <f t="shared" si="30"/>
        <v>1949000</v>
      </c>
      <c r="K1930" s="197" t="s">
        <v>7759</v>
      </c>
      <c r="L1930" s="165" t="s">
        <v>7760</v>
      </c>
      <c r="M1930" s="73"/>
      <c r="N1930" s="289" t="s">
        <v>7761</v>
      </c>
      <c r="O1930" s="169" t="s">
        <v>2958</v>
      </c>
      <c r="P1930" s="168" t="s">
        <v>3112</v>
      </c>
      <c r="Q1930" s="173"/>
      <c r="R1930" s="167">
        <v>1949000.0</v>
      </c>
      <c r="S1930" s="173"/>
      <c r="T1930" s="173"/>
      <c r="U1930" s="173"/>
      <c r="V1930" s="168" t="s">
        <v>3883</v>
      </c>
      <c r="W1930" s="169"/>
      <c r="X1930" s="171"/>
    </row>
    <row r="1931" ht="15.0" customHeight="1">
      <c r="A1931" s="127">
        <v>45788.0</v>
      </c>
      <c r="B1931" s="181" t="s">
        <v>7762</v>
      </c>
      <c r="C1931" s="56" t="s">
        <v>4038</v>
      </c>
      <c r="D1931" s="73" t="str">
        <f>IFERROR(VLOOKUP(C1931,Stock,3,FALSE),"")</f>
        <v>Suzuki Carry New 19-</v>
      </c>
      <c r="E1931" s="56">
        <v>1.0</v>
      </c>
      <c r="F1931" s="161">
        <v>1200000.0</v>
      </c>
      <c r="G1931" s="162">
        <f t="shared" si="33"/>
        <v>1200000</v>
      </c>
      <c r="H1931" s="201">
        <v>100000.0</v>
      </c>
      <c r="I1931" s="161">
        <f t="shared" si="36"/>
        <v>1100000</v>
      </c>
      <c r="J1931" s="164">
        <f t="shared" si="30"/>
        <v>1100000</v>
      </c>
      <c r="K1931" s="228" t="s">
        <v>7763</v>
      </c>
      <c r="L1931" s="165" t="s">
        <v>7764</v>
      </c>
      <c r="M1931" s="73"/>
      <c r="N1931" s="289" t="s">
        <v>7765</v>
      </c>
      <c r="O1931" s="169" t="s">
        <v>2958</v>
      </c>
      <c r="P1931" s="168" t="s">
        <v>3112</v>
      </c>
      <c r="Q1931" s="167">
        <v>230000.0</v>
      </c>
      <c r="R1931" s="167">
        <v>870000.0</v>
      </c>
      <c r="S1931" s="173"/>
      <c r="T1931" s="173"/>
      <c r="U1931" s="173"/>
      <c r="V1931" s="168" t="s">
        <v>3799</v>
      </c>
      <c r="W1931" s="169"/>
      <c r="X1931" s="171"/>
    </row>
    <row r="1932" ht="15.0" customHeight="1">
      <c r="A1932" s="127">
        <v>45790.0</v>
      </c>
      <c r="B1932" s="181" t="s">
        <v>7766</v>
      </c>
      <c r="C1932" s="56" t="s">
        <v>7767</v>
      </c>
      <c r="D1932" s="73" t="str">
        <f>IFERROR(VLOOKUP(C1932,Stock,3,FALSE),"")</f>
        <v>Kia Picanto 04-11 1st Gen</v>
      </c>
      <c r="E1932" s="56">
        <v>1.0</v>
      </c>
      <c r="F1932" s="161">
        <v>2200000.0</v>
      </c>
      <c r="G1932" s="162">
        <f t="shared" si="33"/>
        <v>2200000</v>
      </c>
      <c r="H1932" s="194"/>
      <c r="I1932" s="161">
        <f t="shared" si="36"/>
        <v>2200000</v>
      </c>
      <c r="J1932" s="164">
        <f t="shared" si="30"/>
        <v>2200000</v>
      </c>
      <c r="K1932" s="56" t="s">
        <v>7768</v>
      </c>
      <c r="L1932" s="165" t="s">
        <v>7769</v>
      </c>
      <c r="M1932" s="73"/>
      <c r="N1932" s="171"/>
      <c r="O1932" s="169" t="s">
        <v>2958</v>
      </c>
      <c r="P1932" s="168" t="s">
        <v>3112</v>
      </c>
      <c r="Q1932" s="167">
        <v>2200000.0</v>
      </c>
      <c r="R1932" s="173"/>
      <c r="S1932" s="173"/>
      <c r="T1932" s="173"/>
      <c r="U1932" s="173"/>
      <c r="V1932" s="168" t="s">
        <v>3883</v>
      </c>
      <c r="W1932" s="169"/>
      <c r="X1932" s="171"/>
    </row>
    <row r="1933" ht="15.0" customHeight="1">
      <c r="A1933" s="127">
        <v>45790.0</v>
      </c>
      <c r="B1933" s="181" t="s">
        <v>7770</v>
      </c>
      <c r="C1933" s="56" t="s">
        <v>2936</v>
      </c>
      <c r="D1933" s="73" t="str">
        <f>IFERROR(VLOOKUP(C1933,Stock,3,FALSE),"")</f>
        <v>Toyota Calya / Sigra 16-</v>
      </c>
      <c r="E1933" s="56">
        <v>1.0</v>
      </c>
      <c r="F1933" s="161">
        <v>900000.0</v>
      </c>
      <c r="G1933" s="162">
        <f t="shared" si="33"/>
        <v>900000</v>
      </c>
      <c r="H1933" s="194"/>
      <c r="I1933" s="161">
        <f t="shared" si="36"/>
        <v>900000</v>
      </c>
      <c r="J1933" s="164">
        <f t="shared" si="30"/>
        <v>900000</v>
      </c>
      <c r="K1933" s="131" t="s">
        <v>7771</v>
      </c>
      <c r="L1933" s="165" t="s">
        <v>7772</v>
      </c>
      <c r="M1933" s="73"/>
      <c r="N1933" s="171"/>
      <c r="O1933" s="169" t="s">
        <v>2958</v>
      </c>
      <c r="P1933" s="168" t="s">
        <v>3112</v>
      </c>
      <c r="Q1933" s="173"/>
      <c r="R1933" s="167">
        <v>900000.0</v>
      </c>
      <c r="S1933" s="173"/>
      <c r="T1933" s="173"/>
      <c r="U1933" s="173"/>
      <c r="V1933" s="168" t="s">
        <v>3883</v>
      </c>
      <c r="W1933" s="169"/>
      <c r="X1933" s="171"/>
    </row>
    <row r="1934" ht="15.0" customHeight="1">
      <c r="A1934" s="127">
        <v>45790.0</v>
      </c>
      <c r="B1934" s="181" t="s">
        <v>7773</v>
      </c>
      <c r="C1934" s="56" t="s">
        <v>7774</v>
      </c>
      <c r="D1934" s="73" t="str">
        <f>IFERROR(VLOOKUP(C1934,Stock,3,FALSE),"")</f>
        <v>Mitsubishi Outlander 10-21</v>
      </c>
      <c r="E1934" s="56">
        <v>1.0</v>
      </c>
      <c r="F1934" s="161">
        <v>2138000.0</v>
      </c>
      <c r="G1934" s="162">
        <f t="shared" si="33"/>
        <v>2138000</v>
      </c>
      <c r="H1934" s="194"/>
      <c r="I1934" s="161">
        <f t="shared" si="36"/>
        <v>2138000</v>
      </c>
      <c r="J1934" s="164">
        <f t="shared" si="30"/>
        <v>2138000</v>
      </c>
      <c r="K1934" s="56" t="s">
        <v>7775</v>
      </c>
      <c r="L1934" s="165" t="s">
        <v>7776</v>
      </c>
      <c r="M1934" s="73"/>
      <c r="N1934" s="169" t="s">
        <v>7777</v>
      </c>
      <c r="O1934" s="169" t="s">
        <v>7778</v>
      </c>
      <c r="P1934" s="168" t="s">
        <v>3112</v>
      </c>
      <c r="Q1934" s="173"/>
      <c r="R1934" s="167">
        <v>2138000.0</v>
      </c>
      <c r="S1934" s="173"/>
      <c r="T1934" s="173"/>
      <c r="U1934" s="173"/>
      <c r="V1934" s="168" t="s">
        <v>3883</v>
      </c>
      <c r="W1934" s="169"/>
      <c r="X1934" s="171"/>
    </row>
    <row r="1935" ht="15.0" customHeight="1">
      <c r="A1935" s="127">
        <v>45791.0</v>
      </c>
      <c r="B1935" s="181" t="s">
        <v>7779</v>
      </c>
      <c r="C1935" s="56" t="s">
        <v>4895</v>
      </c>
      <c r="D1935" s="73" t="str">
        <f>IFERROR(VLOOKUP(C1935,Stock,3,FALSE),"")</f>
        <v>Toyota Voxy 17-</v>
      </c>
      <c r="E1935" s="56">
        <v>1.0</v>
      </c>
      <c r="F1935" s="161">
        <v>3726000.0</v>
      </c>
      <c r="G1935" s="162">
        <f t="shared" si="33"/>
        <v>3726000</v>
      </c>
      <c r="H1935" s="194"/>
      <c r="I1935" s="161">
        <f t="shared" si="36"/>
        <v>3726000</v>
      </c>
      <c r="J1935" s="164">
        <f t="shared" si="30"/>
        <v>3726000</v>
      </c>
      <c r="K1935" s="56" t="s">
        <v>7780</v>
      </c>
      <c r="L1935" s="165" t="s">
        <v>7781</v>
      </c>
      <c r="M1935" s="73"/>
      <c r="N1935" s="171"/>
      <c r="O1935" s="169" t="s">
        <v>2958</v>
      </c>
      <c r="P1935" s="168" t="s">
        <v>3112</v>
      </c>
      <c r="Q1935" s="173"/>
      <c r="R1935" s="167">
        <v>3726000.0</v>
      </c>
      <c r="S1935" s="173"/>
      <c r="T1935" s="173"/>
      <c r="U1935" s="173"/>
      <c r="V1935" s="168" t="s">
        <v>3883</v>
      </c>
      <c r="W1935" s="169"/>
      <c r="X1935" s="171"/>
    </row>
    <row r="1936" ht="15.0" customHeight="1">
      <c r="A1936" s="127">
        <v>45791.0</v>
      </c>
      <c r="B1936" s="181" t="s">
        <v>7782</v>
      </c>
      <c r="C1936" s="56" t="s">
        <v>2936</v>
      </c>
      <c r="D1936" s="73" t="str">
        <f>IFERROR(VLOOKUP(C1936,Stock,3,FALSE),"")</f>
        <v>Toyota Calya / Sigra 16-</v>
      </c>
      <c r="E1936" s="56">
        <v>1.0</v>
      </c>
      <c r="F1936" s="161">
        <v>718000.0</v>
      </c>
      <c r="G1936" s="162">
        <f t="shared" si="33"/>
        <v>718000</v>
      </c>
      <c r="H1936" s="194"/>
      <c r="I1936" s="161">
        <f t="shared" si="36"/>
        <v>718000</v>
      </c>
      <c r="J1936" s="164">
        <f t="shared" si="30"/>
        <v>718000</v>
      </c>
      <c r="K1936" s="56" t="s">
        <v>7783</v>
      </c>
      <c r="L1936" s="165" t="s">
        <v>7784</v>
      </c>
      <c r="M1936" s="73"/>
      <c r="N1936" s="171"/>
      <c r="O1936" s="169" t="s">
        <v>2958</v>
      </c>
      <c r="P1936" s="168" t="s">
        <v>3112</v>
      </c>
      <c r="Q1936" s="173"/>
      <c r="R1936" s="167">
        <v>718000.0</v>
      </c>
      <c r="S1936" s="173"/>
      <c r="T1936" s="173"/>
      <c r="U1936" s="173"/>
      <c r="V1936" s="168" t="s">
        <v>3883</v>
      </c>
      <c r="W1936" s="169"/>
      <c r="X1936" s="171"/>
    </row>
    <row r="1937" ht="15.0" customHeight="1">
      <c r="A1937" s="127">
        <v>45791.0</v>
      </c>
      <c r="B1937" s="181" t="s">
        <v>7782</v>
      </c>
      <c r="C1937" s="56" t="s">
        <v>4027</v>
      </c>
      <c r="D1937" s="73" t="str">
        <f>IFERROR(VLOOKUP(C1937,Stock,3,FALSE),"")</f>
        <v>501 Sealant Application</v>
      </c>
      <c r="E1937" s="56">
        <v>1.0</v>
      </c>
      <c r="F1937" s="161">
        <v>95000.0</v>
      </c>
      <c r="G1937" s="162">
        <f t="shared" si="33"/>
        <v>95000</v>
      </c>
      <c r="H1937" s="194"/>
      <c r="I1937" s="161">
        <f t="shared" si="36"/>
        <v>95000</v>
      </c>
      <c r="J1937" s="164">
        <f t="shared" si="30"/>
        <v>95000</v>
      </c>
      <c r="K1937" s="56" t="s">
        <v>7783</v>
      </c>
      <c r="L1937" s="165" t="s">
        <v>7784</v>
      </c>
      <c r="M1937" s="73"/>
      <c r="N1937" s="171"/>
      <c r="O1937" s="169" t="s">
        <v>2958</v>
      </c>
      <c r="P1937" s="168" t="s">
        <v>3112</v>
      </c>
      <c r="Q1937" s="173"/>
      <c r="R1937" s="167">
        <v>95000.0</v>
      </c>
      <c r="S1937" s="173"/>
      <c r="T1937" s="173"/>
      <c r="U1937" s="173"/>
      <c r="V1937" s="168" t="s">
        <v>3883</v>
      </c>
      <c r="W1937" s="169"/>
      <c r="X1937" s="171"/>
    </row>
    <row r="1938" ht="15.0" customHeight="1">
      <c r="A1938" s="127">
        <v>45791.0</v>
      </c>
      <c r="B1938" s="181" t="s">
        <v>7785</v>
      </c>
      <c r="C1938" s="56" t="s">
        <v>6022</v>
      </c>
      <c r="D1938" s="73" t="str">
        <f>IFERROR(VLOOKUP(C1938,Stock,3,FALSE),"")</f>
        <v>Suzuki Ertiga 18- 2nd Gen / XL7 (Suzuki)</v>
      </c>
      <c r="E1938" s="56">
        <v>1.0</v>
      </c>
      <c r="F1938" s="161">
        <v>1350000.0</v>
      </c>
      <c r="G1938" s="162">
        <f t="shared" si="33"/>
        <v>1350000</v>
      </c>
      <c r="H1938" s="194"/>
      <c r="I1938" s="161">
        <f t="shared" si="36"/>
        <v>1350000</v>
      </c>
      <c r="J1938" s="164">
        <f t="shared" si="30"/>
        <v>1350000</v>
      </c>
      <c r="K1938" s="56" t="s">
        <v>7786</v>
      </c>
      <c r="L1938" s="165" t="s">
        <v>7787</v>
      </c>
      <c r="M1938" s="73"/>
      <c r="N1938" s="169" t="s">
        <v>7788</v>
      </c>
      <c r="O1938" s="169" t="s">
        <v>3184</v>
      </c>
      <c r="P1938" s="168" t="s">
        <v>3112</v>
      </c>
      <c r="Q1938" s="167">
        <v>1350000.0</v>
      </c>
      <c r="R1938" s="173"/>
      <c r="S1938" s="173"/>
      <c r="T1938" s="173"/>
      <c r="U1938" s="173"/>
      <c r="V1938" s="168" t="s">
        <v>3883</v>
      </c>
      <c r="W1938" s="169"/>
      <c r="X1938" s="171"/>
    </row>
    <row r="1939" ht="15.0" customHeight="1">
      <c r="A1939" s="127">
        <v>45792.0</v>
      </c>
      <c r="B1939" s="181" t="s">
        <v>7789</v>
      </c>
      <c r="C1939" s="56" t="s">
        <v>3176</v>
      </c>
      <c r="D1939" s="73" t="str">
        <f>IFERROR(VLOOKUP(C1939,Stock,3,FALSE),"")</f>
        <v>Toyota Avanza / Xenia 11-15 2nd Gen / 15-21 3rd Gen</v>
      </c>
      <c r="E1939" s="56">
        <v>1.0</v>
      </c>
      <c r="F1939" s="161">
        <v>850000.0</v>
      </c>
      <c r="G1939" s="162">
        <f t="shared" si="33"/>
        <v>850000</v>
      </c>
      <c r="H1939" s="194"/>
      <c r="I1939" s="161">
        <f t="shared" si="36"/>
        <v>850000</v>
      </c>
      <c r="J1939" s="164">
        <f t="shared" si="30"/>
        <v>850000</v>
      </c>
      <c r="K1939" s="56" t="s">
        <v>7420</v>
      </c>
      <c r="L1939" s="165" t="s">
        <v>7790</v>
      </c>
      <c r="M1939" s="73"/>
      <c r="N1939" s="169" t="s">
        <v>7791</v>
      </c>
      <c r="O1939" s="169" t="s">
        <v>2958</v>
      </c>
      <c r="P1939" s="168" t="s">
        <v>3112</v>
      </c>
      <c r="Q1939" s="167">
        <v>850000.0</v>
      </c>
      <c r="R1939" s="173"/>
      <c r="S1939" s="173"/>
      <c r="T1939" s="173"/>
      <c r="U1939" s="173"/>
      <c r="V1939" s="168" t="s">
        <v>3883</v>
      </c>
      <c r="W1939" s="169"/>
      <c r="X1939" s="171"/>
    </row>
    <row r="1940" ht="15.0" customHeight="1">
      <c r="A1940" s="127">
        <v>45792.0</v>
      </c>
      <c r="B1940" s="181" t="s">
        <v>7792</v>
      </c>
      <c r="C1940" s="56" t="s">
        <v>3391</v>
      </c>
      <c r="D1940" s="73" t="str">
        <f>IFERROR(VLOOKUP(C1940,Stock,3,FALSE),"")</f>
        <v>Toyota Fortuner 05-15 1st Gen</v>
      </c>
      <c r="E1940" s="56">
        <v>1.0</v>
      </c>
      <c r="F1940" s="161">
        <v>1192000.0</v>
      </c>
      <c r="G1940" s="162">
        <f t="shared" si="33"/>
        <v>1192000</v>
      </c>
      <c r="H1940" s="194"/>
      <c r="I1940" s="161">
        <f t="shared" si="36"/>
        <v>1192000</v>
      </c>
      <c r="J1940" s="164">
        <f t="shared" si="30"/>
        <v>1192000</v>
      </c>
      <c r="K1940" s="56" t="s">
        <v>7736</v>
      </c>
      <c r="L1940" s="165" t="s">
        <v>7737</v>
      </c>
      <c r="M1940" s="73"/>
      <c r="N1940" s="171"/>
      <c r="O1940" s="169" t="s">
        <v>2958</v>
      </c>
      <c r="P1940" s="168" t="s">
        <v>3112</v>
      </c>
      <c r="Q1940" s="173"/>
      <c r="R1940" s="167">
        <v>1192000.0</v>
      </c>
      <c r="S1940" s="173"/>
      <c r="T1940" s="173"/>
      <c r="U1940" s="173"/>
      <c r="V1940" s="168" t="s">
        <v>3883</v>
      </c>
      <c r="W1940" s="169"/>
      <c r="X1940" s="171"/>
    </row>
    <row r="1941" ht="15.0" customHeight="1">
      <c r="A1941" s="452">
        <v>45792.0</v>
      </c>
      <c r="B1941" s="453" t="s">
        <v>7793</v>
      </c>
      <c r="C1941" s="454" t="s">
        <v>3186</v>
      </c>
      <c r="D1941" s="455" t="str">
        <f>IFERROR(VLOOKUP(C1941,Stock,3,FALSE),"")</f>
        <v>Daihatsu Gran Max / Luxio 07-</v>
      </c>
      <c r="E1941" s="454">
        <v>1.0</v>
      </c>
      <c r="F1941" s="456">
        <v>1050000.0</v>
      </c>
      <c r="G1941" s="457">
        <f t="shared" si="33"/>
        <v>1050000</v>
      </c>
      <c r="H1941" s="458"/>
      <c r="I1941" s="456">
        <f t="shared" si="36"/>
        <v>1050000</v>
      </c>
      <c r="J1941" s="459">
        <f t="shared" si="30"/>
        <v>1050000</v>
      </c>
      <c r="K1941" s="454" t="s">
        <v>7794</v>
      </c>
      <c r="L1941" s="460" t="s">
        <v>7795</v>
      </c>
      <c r="M1941" s="455"/>
      <c r="N1941" s="465" t="s">
        <v>4591</v>
      </c>
      <c r="O1941" s="317" t="s">
        <v>2958</v>
      </c>
      <c r="P1941" s="461" t="s">
        <v>3112</v>
      </c>
      <c r="Q1941" s="462"/>
      <c r="R1941" s="463">
        <v>1050000.0</v>
      </c>
      <c r="S1941" s="462"/>
      <c r="T1941" s="462"/>
      <c r="U1941" s="462"/>
      <c r="V1941" s="461" t="s">
        <v>3799</v>
      </c>
      <c r="W1941" s="317"/>
      <c r="X1941" s="171"/>
    </row>
    <row r="1942" ht="15.0" customHeight="1">
      <c r="A1942" s="452">
        <v>45792.0</v>
      </c>
      <c r="B1942" s="453" t="s">
        <v>7793</v>
      </c>
      <c r="C1942" s="454" t="s">
        <v>6830</v>
      </c>
      <c r="D1942" s="455" t="str">
        <f>IFERROR(VLOOKUP(C1942,Stock,3,FALSE),"")</f>
        <v>Daihatsu Gran Max / Zebra 2 (Pick Up)</v>
      </c>
      <c r="E1942" s="454">
        <v>0.0</v>
      </c>
      <c r="F1942" s="456">
        <v>480000.0</v>
      </c>
      <c r="G1942" s="457">
        <f t="shared" si="33"/>
        <v>0</v>
      </c>
      <c r="H1942" s="458"/>
      <c r="I1942" s="456">
        <f t="shared" si="36"/>
        <v>0</v>
      </c>
      <c r="J1942" s="459">
        <f t="shared" si="30"/>
        <v>0</v>
      </c>
      <c r="K1942" s="454" t="s">
        <v>7794</v>
      </c>
      <c r="L1942" s="460" t="s">
        <v>7795</v>
      </c>
      <c r="M1942" s="455"/>
      <c r="N1942" s="465" t="s">
        <v>4591</v>
      </c>
      <c r="O1942" s="317" t="s">
        <v>2958</v>
      </c>
      <c r="P1942" s="461" t="s">
        <v>3112</v>
      </c>
      <c r="Q1942" s="462"/>
      <c r="R1942" s="462"/>
      <c r="S1942" s="462"/>
      <c r="T1942" s="462"/>
      <c r="U1942" s="462"/>
      <c r="V1942" s="461" t="s">
        <v>3799</v>
      </c>
      <c r="W1942" s="317"/>
      <c r="X1942" s="171"/>
    </row>
    <row r="1943" ht="15.0" customHeight="1">
      <c r="A1943" s="452">
        <v>45792.0</v>
      </c>
      <c r="B1943" s="453" t="s">
        <v>7793</v>
      </c>
      <c r="C1943" s="454" t="s">
        <v>7796</v>
      </c>
      <c r="D1943" s="455" t="str">
        <f>IFERROR(VLOOKUP(C1943,Stock,3,FALSE),"")</f>
        <v>List Kaca Belakang PU Daihatsu Granmax</v>
      </c>
      <c r="E1943" s="454">
        <v>0.0</v>
      </c>
      <c r="F1943" s="456">
        <v>185000.0</v>
      </c>
      <c r="G1943" s="457">
        <f t="shared" si="33"/>
        <v>0</v>
      </c>
      <c r="H1943" s="458"/>
      <c r="I1943" s="456">
        <f t="shared" si="36"/>
        <v>0</v>
      </c>
      <c r="J1943" s="459">
        <f t="shared" si="30"/>
        <v>0</v>
      </c>
      <c r="K1943" s="454" t="s">
        <v>7794</v>
      </c>
      <c r="L1943" s="460" t="s">
        <v>7795</v>
      </c>
      <c r="M1943" s="455"/>
      <c r="N1943" s="465" t="s">
        <v>4591</v>
      </c>
      <c r="O1943" s="317" t="s">
        <v>2958</v>
      </c>
      <c r="P1943" s="461" t="s">
        <v>3112</v>
      </c>
      <c r="Q1943" s="462"/>
      <c r="R1943" s="462"/>
      <c r="S1943" s="462"/>
      <c r="T1943" s="462"/>
      <c r="U1943" s="462"/>
      <c r="V1943" s="461" t="s">
        <v>3799</v>
      </c>
      <c r="W1943" s="317"/>
      <c r="X1943" s="171"/>
    </row>
    <row r="1944" ht="15.0" customHeight="1">
      <c r="A1944" s="127">
        <v>45793.0</v>
      </c>
      <c r="B1944" s="181" t="s">
        <v>7797</v>
      </c>
      <c r="C1944" s="56" t="s">
        <v>7798</v>
      </c>
      <c r="D1944" s="73" t="str">
        <f>IFERROR(VLOOKUP(C1944,Stock,3,FALSE),"")</f>
        <v>Toyota Camry 06-11 XV40 4th Gen</v>
      </c>
      <c r="E1944" s="56">
        <v>1.0</v>
      </c>
      <c r="F1944" s="161">
        <v>3250000.0</v>
      </c>
      <c r="G1944" s="162">
        <f t="shared" si="33"/>
        <v>3250000</v>
      </c>
      <c r="H1944" s="194"/>
      <c r="I1944" s="161">
        <f t="shared" si="36"/>
        <v>3250000</v>
      </c>
      <c r="J1944" s="164">
        <f t="shared" si="30"/>
        <v>3250000</v>
      </c>
      <c r="K1944" s="56" t="s">
        <v>7799</v>
      </c>
      <c r="L1944" s="165" t="s">
        <v>7800</v>
      </c>
      <c r="M1944" s="73"/>
      <c r="N1944" s="169" t="s">
        <v>7801</v>
      </c>
      <c r="O1944" s="169" t="s">
        <v>3184</v>
      </c>
      <c r="P1944" s="168" t="s">
        <v>3112</v>
      </c>
      <c r="Q1944" s="167">
        <v>3250000.0</v>
      </c>
      <c r="R1944" s="167"/>
      <c r="S1944" s="173"/>
      <c r="T1944" s="173"/>
      <c r="U1944" s="173"/>
      <c r="V1944" s="168" t="s">
        <v>3883</v>
      </c>
      <c r="W1944" s="169"/>
      <c r="X1944" s="171"/>
    </row>
    <row r="1945" ht="15.0" customHeight="1">
      <c r="A1945" s="127">
        <v>45793.0</v>
      </c>
      <c r="B1945" s="181" t="s">
        <v>7802</v>
      </c>
      <c r="C1945" s="56" t="s">
        <v>2836</v>
      </c>
      <c r="D1945" s="73" t="str">
        <f>IFERROR(VLOOKUP(C1945,Stock,3,FALSE),"")</f>
        <v>Toyota Avanza / Xenia 21- 4th Gen</v>
      </c>
      <c r="E1945" s="56">
        <v>1.0</v>
      </c>
      <c r="F1945" s="161">
        <v>950000.0</v>
      </c>
      <c r="G1945" s="162">
        <f t="shared" si="33"/>
        <v>950000</v>
      </c>
      <c r="H1945" s="194"/>
      <c r="I1945" s="161">
        <f t="shared" si="36"/>
        <v>950000</v>
      </c>
      <c r="J1945" s="164">
        <f t="shared" si="30"/>
        <v>950000</v>
      </c>
      <c r="K1945" s="56" t="s">
        <v>7803</v>
      </c>
      <c r="L1945" s="165" t="s">
        <v>7804</v>
      </c>
      <c r="M1945" s="73"/>
      <c r="N1945" s="169" t="s">
        <v>7805</v>
      </c>
      <c r="O1945" s="169" t="s">
        <v>2958</v>
      </c>
      <c r="P1945" s="168" t="s">
        <v>3112</v>
      </c>
      <c r="Q1945" s="173"/>
      <c r="R1945" s="167">
        <v>950000.0</v>
      </c>
      <c r="S1945" s="173"/>
      <c r="T1945" s="173"/>
      <c r="U1945" s="173"/>
      <c r="V1945" s="168" t="s">
        <v>3883</v>
      </c>
      <c r="W1945" s="169"/>
      <c r="X1945" s="171"/>
    </row>
    <row r="1946" ht="15.0" customHeight="1">
      <c r="A1946" s="127">
        <v>45794.0</v>
      </c>
      <c r="B1946" s="181" t="s">
        <v>7806</v>
      </c>
      <c r="C1946" s="56" t="s">
        <v>7807</v>
      </c>
      <c r="D1946" s="73" t="str">
        <f>IFERROR(VLOOKUP(C1946,Stock,3,FALSE),"")</f>
        <v>Suzuki Ertiga 12-18 1st Gen MPV (Suzuki)</v>
      </c>
      <c r="E1946" s="56">
        <v>1.0</v>
      </c>
      <c r="F1946" s="161">
        <v>1800000.0</v>
      </c>
      <c r="G1946" s="162">
        <f t="shared" si="33"/>
        <v>1800000</v>
      </c>
      <c r="H1946" s="194"/>
      <c r="I1946" s="161">
        <f t="shared" si="36"/>
        <v>1800000</v>
      </c>
      <c r="J1946" s="164">
        <f t="shared" si="30"/>
        <v>1800000</v>
      </c>
      <c r="K1946" s="56" t="s">
        <v>7808</v>
      </c>
      <c r="L1946" s="165" t="s">
        <v>7809</v>
      </c>
      <c r="M1946" s="73"/>
      <c r="N1946" s="169" t="s">
        <v>7810</v>
      </c>
      <c r="O1946" s="169" t="s">
        <v>2958</v>
      </c>
      <c r="P1946" s="168" t="s">
        <v>3112</v>
      </c>
      <c r="Q1946" s="173"/>
      <c r="R1946" s="167">
        <v>1800000.0</v>
      </c>
      <c r="S1946" s="173"/>
      <c r="T1946" s="173"/>
      <c r="U1946" s="173"/>
      <c r="V1946" s="168" t="s">
        <v>3883</v>
      </c>
      <c r="W1946" s="169"/>
      <c r="X1946" s="171"/>
    </row>
    <row r="1947" ht="15.0" customHeight="1">
      <c r="A1947" s="127">
        <v>45794.0</v>
      </c>
      <c r="B1947" s="181" t="s">
        <v>7806</v>
      </c>
      <c r="C1947" s="56" t="s">
        <v>7811</v>
      </c>
      <c r="D1947" s="73" t="str">
        <f>IFERROR(VLOOKUP(C1947,Stock,3,FALSE),"")</f>
        <v>List Kaca Depan Ertiga 2012-2018 SGP</v>
      </c>
      <c r="E1947" s="56">
        <v>1.0</v>
      </c>
      <c r="F1947" s="161">
        <v>275000.0</v>
      </c>
      <c r="G1947" s="162">
        <f t="shared" si="33"/>
        <v>275000</v>
      </c>
      <c r="H1947" s="194"/>
      <c r="I1947" s="161">
        <f t="shared" si="36"/>
        <v>275000</v>
      </c>
      <c r="J1947" s="164">
        <f t="shared" si="30"/>
        <v>275000</v>
      </c>
      <c r="K1947" s="56" t="s">
        <v>7808</v>
      </c>
      <c r="L1947" s="165" t="s">
        <v>7809</v>
      </c>
      <c r="M1947" s="73"/>
      <c r="N1947" s="169" t="s">
        <v>7810</v>
      </c>
      <c r="O1947" s="169" t="s">
        <v>2958</v>
      </c>
      <c r="P1947" s="168" t="s">
        <v>3112</v>
      </c>
      <c r="Q1947" s="173"/>
      <c r="R1947" s="167">
        <v>275000.0</v>
      </c>
      <c r="S1947" s="173"/>
      <c r="T1947" s="173"/>
      <c r="U1947" s="173"/>
      <c r="V1947" s="168" t="s">
        <v>3883</v>
      </c>
      <c r="W1947" s="169"/>
      <c r="X1947" s="171"/>
    </row>
    <row r="1948" ht="15.0" customHeight="1">
      <c r="A1948" s="127">
        <v>45794.0</v>
      </c>
      <c r="B1948" s="181" t="s">
        <v>7812</v>
      </c>
      <c r="C1948" s="56" t="s">
        <v>4988</v>
      </c>
      <c r="D1948" s="73" t="str">
        <f>IFERROR(VLOOKUP(C1948,Stock,3,FALSE),"")</f>
        <v>Toyota Innova 15- 2nd Gen</v>
      </c>
      <c r="E1948" s="56">
        <v>1.0</v>
      </c>
      <c r="F1948" s="161">
        <v>1464000.0</v>
      </c>
      <c r="G1948" s="162">
        <f t="shared" si="33"/>
        <v>1464000</v>
      </c>
      <c r="H1948" s="194"/>
      <c r="I1948" s="161">
        <f t="shared" si="36"/>
        <v>1464000</v>
      </c>
      <c r="J1948" s="164">
        <f t="shared" si="30"/>
        <v>1464000</v>
      </c>
      <c r="K1948" s="56" t="s">
        <v>7813</v>
      </c>
      <c r="L1948" s="165" t="s">
        <v>7814</v>
      </c>
      <c r="M1948" s="73"/>
      <c r="N1948" s="171"/>
      <c r="O1948" s="169" t="s">
        <v>3184</v>
      </c>
      <c r="P1948" s="168" t="s">
        <v>3112</v>
      </c>
      <c r="Q1948" s="167">
        <v>64000.0</v>
      </c>
      <c r="R1948" s="167">
        <v>1400000.0</v>
      </c>
      <c r="S1948" s="173"/>
      <c r="T1948" s="173"/>
      <c r="U1948" s="173"/>
      <c r="V1948" s="168" t="s">
        <v>3883</v>
      </c>
      <c r="W1948" s="169"/>
      <c r="X1948" s="171"/>
    </row>
    <row r="1949" ht="15.0" customHeight="1">
      <c r="A1949" s="127">
        <v>45795.0</v>
      </c>
      <c r="B1949" s="181" t="s">
        <v>7815</v>
      </c>
      <c r="C1949" s="56" t="s">
        <v>2936</v>
      </c>
      <c r="D1949" s="73" t="str">
        <f>IFERROR(VLOOKUP(C1949,Stock,3,FALSE),"")</f>
        <v>Toyota Calya / Sigra 16-</v>
      </c>
      <c r="E1949" s="56">
        <v>1.0</v>
      </c>
      <c r="F1949" s="161">
        <v>850000.0</v>
      </c>
      <c r="G1949" s="162">
        <f t="shared" si="33"/>
        <v>850000</v>
      </c>
      <c r="H1949" s="194"/>
      <c r="I1949" s="161">
        <f t="shared" si="36"/>
        <v>850000</v>
      </c>
      <c r="J1949" s="164">
        <f t="shared" si="30"/>
        <v>850000</v>
      </c>
      <c r="K1949" s="56" t="s">
        <v>7816</v>
      </c>
      <c r="L1949" s="165" t="s">
        <v>7817</v>
      </c>
      <c r="M1949" s="73"/>
      <c r="N1949" s="171"/>
      <c r="O1949" s="169" t="s">
        <v>2958</v>
      </c>
      <c r="P1949" s="168" t="s">
        <v>3112</v>
      </c>
      <c r="Q1949" s="173"/>
      <c r="R1949" s="167">
        <v>850000.0</v>
      </c>
      <c r="S1949" s="173"/>
      <c r="T1949" s="173"/>
      <c r="U1949" s="173"/>
      <c r="V1949" s="168" t="s">
        <v>3883</v>
      </c>
      <c r="W1949" s="169"/>
      <c r="X1949" s="171"/>
    </row>
    <row r="1950" ht="15.0" customHeight="1">
      <c r="A1950" s="127">
        <v>45795.0</v>
      </c>
      <c r="B1950" s="181" t="s">
        <v>7818</v>
      </c>
      <c r="C1950" s="56" t="s">
        <v>5365</v>
      </c>
      <c r="D1950" s="73" t="str">
        <f>IFERROR(VLOOKUP(C1950,Stock,3,FALSE),"")</f>
        <v>Nissan Livina  07-12 L10 (Tanpa Lubang) Nissan</v>
      </c>
      <c r="E1950" s="56">
        <v>1.0</v>
      </c>
      <c r="F1950" s="161">
        <v>1620000.0</v>
      </c>
      <c r="G1950" s="162">
        <f t="shared" si="33"/>
        <v>1620000</v>
      </c>
      <c r="H1950" s="194"/>
      <c r="I1950" s="161">
        <f t="shared" si="36"/>
        <v>1620000</v>
      </c>
      <c r="J1950" s="164">
        <f t="shared" si="30"/>
        <v>1620000</v>
      </c>
      <c r="K1950" s="56" t="s">
        <v>7819</v>
      </c>
      <c r="L1950" s="165" t="s">
        <v>7820</v>
      </c>
      <c r="M1950" s="73"/>
      <c r="N1950" s="171"/>
      <c r="O1950" s="169" t="s">
        <v>2958</v>
      </c>
      <c r="P1950" s="168" t="s">
        <v>3112</v>
      </c>
      <c r="Q1950" s="173"/>
      <c r="R1950" s="167">
        <v>1620000.0</v>
      </c>
      <c r="S1950" s="173"/>
      <c r="T1950" s="173"/>
      <c r="U1950" s="173"/>
      <c r="V1950" s="168" t="s">
        <v>3883</v>
      </c>
      <c r="W1950" s="169"/>
      <c r="X1950" s="171"/>
    </row>
    <row r="1951" ht="15.0" customHeight="1">
      <c r="A1951" s="127">
        <v>45796.0</v>
      </c>
      <c r="B1951" s="181" t="s">
        <v>7821</v>
      </c>
      <c r="C1951" s="56" t="s">
        <v>4178</v>
      </c>
      <c r="D1951" s="73" t="str">
        <f>IFERROR(VLOOKUP(C1951,Stock,3,FALSE),"")</f>
        <v>Honda BR-V 16-</v>
      </c>
      <c r="E1951" s="56">
        <v>1.0</v>
      </c>
      <c r="F1951" s="161">
        <v>1533000.0</v>
      </c>
      <c r="G1951" s="162">
        <f t="shared" si="33"/>
        <v>1533000</v>
      </c>
      <c r="H1951" s="194"/>
      <c r="I1951" s="161">
        <f t="shared" si="36"/>
        <v>1533000</v>
      </c>
      <c r="J1951" s="164">
        <f t="shared" si="30"/>
        <v>1533000</v>
      </c>
      <c r="K1951" s="131" t="s">
        <v>7822</v>
      </c>
      <c r="L1951" s="165" t="s">
        <v>7823</v>
      </c>
      <c r="M1951" s="73"/>
      <c r="N1951" s="171"/>
      <c r="O1951" s="169" t="s">
        <v>2958</v>
      </c>
      <c r="P1951" s="168" t="s">
        <v>3112</v>
      </c>
      <c r="Q1951" s="173"/>
      <c r="R1951" s="167">
        <v>1533000.0</v>
      </c>
      <c r="S1951" s="173"/>
      <c r="T1951" s="173"/>
      <c r="U1951" s="173"/>
      <c r="V1951" s="168" t="s">
        <v>3883</v>
      </c>
      <c r="W1951" s="169"/>
      <c r="X1951" s="171"/>
    </row>
    <row r="1952" ht="15.0" customHeight="1">
      <c r="A1952" s="127">
        <v>45796.0</v>
      </c>
      <c r="B1952" s="181" t="s">
        <v>7821</v>
      </c>
      <c r="C1952" s="56" t="s">
        <v>2954</v>
      </c>
      <c r="D1952" s="73" t="str">
        <f>IFERROR(VLOOKUP(C1952,Stock,3,FALSE),"")</f>
        <v>Transport</v>
      </c>
      <c r="E1952" s="56">
        <v>1.0</v>
      </c>
      <c r="F1952" s="161">
        <v>75000.0</v>
      </c>
      <c r="G1952" s="162">
        <f t="shared" si="33"/>
        <v>75000</v>
      </c>
      <c r="H1952" s="194"/>
      <c r="I1952" s="161">
        <f t="shared" si="36"/>
        <v>75000</v>
      </c>
      <c r="J1952" s="164">
        <f t="shared" si="30"/>
        <v>75000</v>
      </c>
      <c r="K1952" s="56" t="s">
        <v>7822</v>
      </c>
      <c r="L1952" s="165" t="s">
        <v>7823</v>
      </c>
      <c r="M1952" s="73"/>
      <c r="N1952" s="171"/>
      <c r="O1952" s="169" t="s">
        <v>2958</v>
      </c>
      <c r="P1952" s="168" t="s">
        <v>3112</v>
      </c>
      <c r="Q1952" s="173"/>
      <c r="R1952" s="167">
        <v>75000.0</v>
      </c>
      <c r="S1952" s="173"/>
      <c r="T1952" s="173"/>
      <c r="U1952" s="173"/>
      <c r="V1952" s="168" t="s">
        <v>3883</v>
      </c>
      <c r="W1952" s="169"/>
      <c r="X1952" s="171"/>
    </row>
    <row r="1953" ht="15.0" customHeight="1">
      <c r="A1953" s="127">
        <v>45796.0</v>
      </c>
      <c r="B1953" s="181" t="s">
        <v>7824</v>
      </c>
      <c r="C1953" s="56" t="s">
        <v>3127</v>
      </c>
      <c r="D1953" s="73" t="str">
        <f>IFERROR(VLOOKUP(C1953,Stock,3,FALSE),"")</f>
        <v>Toyota Avanza / Xenia 03-11 1st Gen</v>
      </c>
      <c r="E1953" s="56">
        <v>1.0</v>
      </c>
      <c r="F1953" s="161">
        <v>900000.0</v>
      </c>
      <c r="G1953" s="162">
        <f t="shared" si="33"/>
        <v>900000</v>
      </c>
      <c r="H1953" s="194"/>
      <c r="I1953" s="161">
        <f t="shared" si="36"/>
        <v>900000</v>
      </c>
      <c r="J1953" s="164">
        <f t="shared" si="30"/>
        <v>900000</v>
      </c>
      <c r="K1953" s="307" t="s">
        <v>7825</v>
      </c>
      <c r="L1953" s="165" t="s">
        <v>7826</v>
      </c>
      <c r="M1953" s="73"/>
      <c r="N1953" s="171"/>
      <c r="O1953" s="169" t="s">
        <v>3204</v>
      </c>
      <c r="P1953" s="168" t="s">
        <v>3112</v>
      </c>
      <c r="Q1953" s="167">
        <v>900000.0</v>
      </c>
      <c r="R1953" s="167"/>
      <c r="S1953" s="173"/>
      <c r="T1953" s="173"/>
      <c r="U1953" s="173"/>
      <c r="V1953" s="168" t="s">
        <v>3883</v>
      </c>
      <c r="W1953" s="169"/>
      <c r="X1953" s="171"/>
    </row>
    <row r="1954" ht="15.0" customHeight="1">
      <c r="A1954" s="127">
        <v>45796.0</v>
      </c>
      <c r="B1954" s="181" t="s">
        <v>7824</v>
      </c>
      <c r="C1954" s="56" t="s">
        <v>2954</v>
      </c>
      <c r="D1954" s="73" t="str">
        <f>IFERROR(VLOOKUP(C1954,Stock,3,FALSE),"")</f>
        <v>Transport</v>
      </c>
      <c r="E1954" s="56">
        <v>1.0</v>
      </c>
      <c r="F1954" s="161">
        <v>200000.0</v>
      </c>
      <c r="G1954" s="162">
        <f t="shared" si="33"/>
        <v>200000</v>
      </c>
      <c r="H1954" s="194"/>
      <c r="I1954" s="161">
        <f t="shared" si="36"/>
        <v>200000</v>
      </c>
      <c r="J1954" s="164">
        <f t="shared" si="30"/>
        <v>200000</v>
      </c>
      <c r="K1954" s="56" t="s">
        <v>7825</v>
      </c>
      <c r="L1954" s="165" t="s">
        <v>7826</v>
      </c>
      <c r="M1954" s="73"/>
      <c r="N1954" s="171"/>
      <c r="O1954" s="169" t="s">
        <v>3204</v>
      </c>
      <c r="P1954" s="168" t="s">
        <v>3112</v>
      </c>
      <c r="Q1954" s="167">
        <v>200000.0</v>
      </c>
      <c r="R1954" s="173"/>
      <c r="S1954" s="173"/>
      <c r="T1954" s="173"/>
      <c r="U1954" s="173"/>
      <c r="V1954" s="168" t="s">
        <v>3883</v>
      </c>
      <c r="W1954" s="169"/>
      <c r="X1954" s="171"/>
    </row>
    <row r="1955" ht="15.0" customHeight="1">
      <c r="A1955" s="127">
        <v>45796.0</v>
      </c>
      <c r="B1955" s="181" t="s">
        <v>7827</v>
      </c>
      <c r="C1955" s="56" t="s">
        <v>2591</v>
      </c>
      <c r="D1955" s="73" t="str">
        <f>IFERROR(VLOOKUP(C1955,Stock,3,FALSE),"")</f>
        <v>Nissan Serena 10-19 MKIV C26</v>
      </c>
      <c r="E1955" s="56">
        <v>1.0</v>
      </c>
      <c r="F1955" s="161">
        <v>2754000.0</v>
      </c>
      <c r="G1955" s="162">
        <f t="shared" si="33"/>
        <v>2754000</v>
      </c>
      <c r="H1955" s="194"/>
      <c r="I1955" s="161">
        <f t="shared" si="36"/>
        <v>2754000</v>
      </c>
      <c r="J1955" s="164">
        <f t="shared" si="30"/>
        <v>2754000</v>
      </c>
      <c r="K1955" s="56" t="s">
        <v>7828</v>
      </c>
      <c r="L1955" s="165" t="s">
        <v>7829</v>
      </c>
      <c r="M1955" s="73"/>
      <c r="N1955" s="171"/>
      <c r="O1955" s="169" t="s">
        <v>2958</v>
      </c>
      <c r="P1955" s="168" t="s">
        <v>3112</v>
      </c>
      <c r="Q1955" s="167">
        <v>2754000.0</v>
      </c>
      <c r="R1955" s="173"/>
      <c r="S1955" s="173"/>
      <c r="T1955" s="173"/>
      <c r="U1955" s="173"/>
      <c r="V1955" s="168" t="s">
        <v>3883</v>
      </c>
      <c r="W1955" s="169"/>
      <c r="X1955" s="171"/>
    </row>
    <row r="1956" ht="15.0" customHeight="1">
      <c r="A1956" s="127">
        <v>45796.0</v>
      </c>
      <c r="B1956" s="181" t="s">
        <v>7827</v>
      </c>
      <c r="C1956" s="56" t="s">
        <v>2954</v>
      </c>
      <c r="D1956" s="73" t="str">
        <f>IFERROR(VLOOKUP(C1956,Stock,3,FALSE),"")</f>
        <v>Transport</v>
      </c>
      <c r="E1956" s="56">
        <v>1.0</v>
      </c>
      <c r="F1956" s="161">
        <v>50000.0</v>
      </c>
      <c r="G1956" s="162">
        <f t="shared" si="33"/>
        <v>50000</v>
      </c>
      <c r="H1956" s="194"/>
      <c r="I1956" s="161">
        <f t="shared" si="36"/>
        <v>50000</v>
      </c>
      <c r="J1956" s="164">
        <f t="shared" si="30"/>
        <v>50000</v>
      </c>
      <c r="K1956" s="56" t="s">
        <v>7828</v>
      </c>
      <c r="L1956" s="165" t="s">
        <v>7829</v>
      </c>
      <c r="M1956" s="73"/>
      <c r="N1956" s="171"/>
      <c r="O1956" s="169" t="s">
        <v>2958</v>
      </c>
      <c r="P1956" s="168" t="s">
        <v>3112</v>
      </c>
      <c r="Q1956" s="167">
        <v>50000.0</v>
      </c>
      <c r="R1956" s="173"/>
      <c r="S1956" s="173"/>
      <c r="T1956" s="173"/>
      <c r="U1956" s="173"/>
      <c r="V1956" s="168" t="s">
        <v>3883</v>
      </c>
      <c r="W1956" s="169"/>
      <c r="X1956" s="171"/>
    </row>
    <row r="1957" ht="15.0" customHeight="1">
      <c r="A1957" s="127">
        <v>45797.0</v>
      </c>
      <c r="B1957" s="181" t="s">
        <v>7830</v>
      </c>
      <c r="C1957" s="251" t="s">
        <v>3181</v>
      </c>
      <c r="D1957" s="73" t="str">
        <f>IFERROR(VLOOKUP(C1957,Stock,3,FALSE),"")</f>
        <v>Toyota Corolla Cross 21-</v>
      </c>
      <c r="E1957" s="56">
        <v>1.0</v>
      </c>
      <c r="F1957" s="161">
        <v>3200000.0</v>
      </c>
      <c r="G1957" s="162">
        <f t="shared" si="33"/>
        <v>3200000</v>
      </c>
      <c r="H1957" s="194"/>
      <c r="I1957" s="161">
        <f t="shared" si="36"/>
        <v>3200000</v>
      </c>
      <c r="J1957" s="164">
        <f t="shared" si="30"/>
        <v>3200000</v>
      </c>
      <c r="K1957" s="56" t="s">
        <v>7831</v>
      </c>
      <c r="L1957" s="165" t="s">
        <v>7832</v>
      </c>
      <c r="M1957" s="73"/>
      <c r="N1957" s="171"/>
      <c r="O1957" s="169" t="s">
        <v>7833</v>
      </c>
      <c r="P1957" s="168" t="s">
        <v>2922</v>
      </c>
      <c r="Q1957" s="173"/>
      <c r="R1957" s="173"/>
      <c r="S1957" s="167">
        <v>3200000.0</v>
      </c>
      <c r="T1957" s="449">
        <v>-263600.0</v>
      </c>
      <c r="U1957" s="173"/>
      <c r="V1957" s="168" t="s">
        <v>3799</v>
      </c>
      <c r="W1957" s="169"/>
      <c r="X1957" s="171"/>
    </row>
    <row r="1958" ht="15.0" customHeight="1">
      <c r="A1958" s="127">
        <v>45797.0</v>
      </c>
      <c r="B1958" s="181" t="s">
        <v>7830</v>
      </c>
      <c r="C1958" s="56" t="s">
        <v>4027</v>
      </c>
      <c r="D1958" s="73" t="str">
        <f>IFERROR(VLOOKUP(C1958,Stock,3,FALSE),"")</f>
        <v>501 Sealant Application</v>
      </c>
      <c r="E1958" s="56">
        <v>1.0</v>
      </c>
      <c r="F1958" s="161">
        <v>95000.0</v>
      </c>
      <c r="G1958" s="162">
        <f t="shared" si="33"/>
        <v>95000</v>
      </c>
      <c r="H1958" s="194"/>
      <c r="I1958" s="161">
        <f t="shared" si="36"/>
        <v>95000</v>
      </c>
      <c r="J1958" s="164">
        <f t="shared" si="30"/>
        <v>95000</v>
      </c>
      <c r="K1958" s="56" t="s">
        <v>7831</v>
      </c>
      <c r="L1958" s="165" t="s">
        <v>7832</v>
      </c>
      <c r="M1958" s="73"/>
      <c r="N1958" s="171"/>
      <c r="O1958" s="169" t="s">
        <v>7833</v>
      </c>
      <c r="P1958" s="168" t="s">
        <v>2922</v>
      </c>
      <c r="Q1958" s="173"/>
      <c r="R1958" s="173"/>
      <c r="S1958" s="167">
        <v>95000.0</v>
      </c>
      <c r="T1958" s="173"/>
      <c r="U1958" s="173"/>
      <c r="V1958" s="168" t="s">
        <v>3799</v>
      </c>
      <c r="W1958" s="169"/>
      <c r="X1958" s="171"/>
    </row>
    <row r="1959" ht="15.0" customHeight="1">
      <c r="A1959" s="127">
        <v>45797.0</v>
      </c>
      <c r="B1959" s="181" t="s">
        <v>7830</v>
      </c>
      <c r="C1959" s="56" t="s">
        <v>2934</v>
      </c>
      <c r="D1959" s="73" t="str">
        <f>IFERROR(VLOOKUP(C1959,Stock,3,FALSE),"")</f>
        <v>Peti Kayu</v>
      </c>
      <c r="E1959" s="56">
        <v>1.0</v>
      </c>
      <c r="F1959" s="161">
        <v>200000.0</v>
      </c>
      <c r="G1959" s="162">
        <f t="shared" si="33"/>
        <v>200000</v>
      </c>
      <c r="H1959" s="194"/>
      <c r="I1959" s="161">
        <f t="shared" si="36"/>
        <v>200000</v>
      </c>
      <c r="J1959" s="164">
        <f t="shared" si="30"/>
        <v>200000</v>
      </c>
      <c r="K1959" s="56" t="s">
        <v>7831</v>
      </c>
      <c r="L1959" s="165" t="s">
        <v>7832</v>
      </c>
      <c r="M1959" s="73"/>
      <c r="N1959" s="171"/>
      <c r="O1959" s="169" t="s">
        <v>7833</v>
      </c>
      <c r="P1959" s="168" t="s">
        <v>2922</v>
      </c>
      <c r="Q1959" s="173"/>
      <c r="R1959" s="173"/>
      <c r="S1959" s="167">
        <v>200000.0</v>
      </c>
      <c r="T1959" s="173"/>
      <c r="U1959" s="173"/>
      <c r="V1959" s="168" t="s">
        <v>3799</v>
      </c>
      <c r="W1959" s="169"/>
      <c r="X1959" s="171"/>
    </row>
    <row r="1960" ht="15.0" customHeight="1">
      <c r="A1960" s="127">
        <v>45798.0</v>
      </c>
      <c r="B1960" s="181" t="s">
        <v>7834</v>
      </c>
      <c r="C1960" s="56" t="s">
        <v>2936</v>
      </c>
      <c r="D1960" s="73" t="str">
        <f>IFERROR(VLOOKUP(C1960,Stock,3,FALSE),"")</f>
        <v>Toyota Calya / Sigra 16-</v>
      </c>
      <c r="E1960" s="56">
        <v>1.0</v>
      </c>
      <c r="F1960" s="161">
        <v>880000.0</v>
      </c>
      <c r="G1960" s="162">
        <f t="shared" si="33"/>
        <v>880000</v>
      </c>
      <c r="H1960" s="194"/>
      <c r="I1960" s="161">
        <f t="shared" si="36"/>
        <v>880000</v>
      </c>
      <c r="J1960" s="164">
        <f t="shared" si="30"/>
        <v>880000</v>
      </c>
      <c r="K1960" s="56" t="s">
        <v>7835</v>
      </c>
      <c r="L1960" s="165" t="s">
        <v>7836</v>
      </c>
      <c r="M1960" s="73"/>
      <c r="N1960" s="171"/>
      <c r="O1960" s="169" t="s">
        <v>2958</v>
      </c>
      <c r="P1960" s="168" t="s">
        <v>3112</v>
      </c>
      <c r="Q1960" s="167">
        <v>880000.0</v>
      </c>
      <c r="R1960" s="173"/>
      <c r="S1960" s="173"/>
      <c r="T1960" s="173"/>
      <c r="U1960" s="173"/>
      <c r="V1960" s="168" t="s">
        <v>3883</v>
      </c>
      <c r="W1960" s="169"/>
      <c r="X1960" s="171"/>
    </row>
    <row r="1961" ht="15.0" customHeight="1">
      <c r="A1961" s="127">
        <v>45799.0</v>
      </c>
      <c r="B1961" s="181" t="s">
        <v>7837</v>
      </c>
      <c r="C1961" s="56" t="s">
        <v>3411</v>
      </c>
      <c r="D1961" s="73" t="str">
        <f>IFERROR(VLOOKUP(C1961,Stock,3,FALSE),"")</f>
        <v>Toyota Agya/Ayla 13-22 1st Gen</v>
      </c>
      <c r="E1961" s="56">
        <v>1.0</v>
      </c>
      <c r="F1961" s="161">
        <v>1050000.0</v>
      </c>
      <c r="G1961" s="162">
        <f t="shared" si="33"/>
        <v>1050000</v>
      </c>
      <c r="H1961" s="194"/>
      <c r="I1961" s="161">
        <f t="shared" si="36"/>
        <v>1050000</v>
      </c>
      <c r="J1961" s="164">
        <f t="shared" si="30"/>
        <v>1050000</v>
      </c>
      <c r="K1961" s="56" t="s">
        <v>5604</v>
      </c>
      <c r="L1961" s="165" t="s">
        <v>7838</v>
      </c>
      <c r="M1961" s="73"/>
      <c r="N1961" s="171"/>
      <c r="O1961" s="169" t="s">
        <v>2958</v>
      </c>
      <c r="P1961" s="168" t="s">
        <v>3112</v>
      </c>
      <c r="Q1961" s="167">
        <v>1050000.0</v>
      </c>
      <c r="R1961" s="173"/>
      <c r="S1961" s="173"/>
      <c r="T1961" s="173"/>
      <c r="U1961" s="173"/>
      <c r="V1961" s="168" t="s">
        <v>3799</v>
      </c>
      <c r="W1961" s="169"/>
      <c r="X1961" s="171"/>
    </row>
    <row r="1962" ht="15.0" customHeight="1">
      <c r="A1962" s="127">
        <v>45799.0</v>
      </c>
      <c r="B1962" s="181" t="s">
        <v>7839</v>
      </c>
      <c r="C1962" s="56" t="s">
        <v>5528</v>
      </c>
      <c r="D1962" s="73" t="str">
        <f>IFERROR(VLOOKUP(C1962,Stock,3,FALSE),"")</f>
        <v>Toyota Innova 15-22 2nd Gen (Toyota)</v>
      </c>
      <c r="E1962" s="56">
        <v>1.0</v>
      </c>
      <c r="F1962" s="161">
        <v>2988000.0</v>
      </c>
      <c r="G1962" s="162">
        <f t="shared" si="33"/>
        <v>2988000</v>
      </c>
      <c r="H1962" s="194"/>
      <c r="I1962" s="161">
        <f t="shared" si="36"/>
        <v>2988000</v>
      </c>
      <c r="J1962" s="164">
        <f t="shared" si="30"/>
        <v>2988000</v>
      </c>
      <c r="K1962" s="56" t="s">
        <v>4827</v>
      </c>
      <c r="L1962" s="165" t="s">
        <v>7840</v>
      </c>
      <c r="M1962" s="73"/>
      <c r="N1962" s="171"/>
      <c r="O1962" s="169" t="s">
        <v>5956</v>
      </c>
      <c r="P1962" s="168" t="s">
        <v>3112</v>
      </c>
      <c r="Q1962" s="173"/>
      <c r="R1962" s="167">
        <v>2988000.0</v>
      </c>
      <c r="S1962" s="173"/>
      <c r="T1962" s="173"/>
      <c r="U1962" s="173"/>
      <c r="V1962" s="168" t="s">
        <v>3799</v>
      </c>
      <c r="W1962" s="169"/>
      <c r="X1962" s="171"/>
    </row>
    <row r="1963" ht="15.0" customHeight="1">
      <c r="A1963" s="127">
        <v>45799.0</v>
      </c>
      <c r="B1963" s="181" t="s">
        <v>7841</v>
      </c>
      <c r="C1963" s="56" t="s">
        <v>4988</v>
      </c>
      <c r="D1963" s="73" t="str">
        <f>IFERROR(VLOOKUP(C1963,Stock,3,FALSE),"")</f>
        <v>Toyota Innova 15- 2nd Gen</v>
      </c>
      <c r="E1963" s="56">
        <v>1.0</v>
      </c>
      <c r="F1963" s="161">
        <v>1764000.0</v>
      </c>
      <c r="G1963" s="162">
        <f t="shared" si="33"/>
        <v>1764000</v>
      </c>
      <c r="H1963" s="194"/>
      <c r="I1963" s="161">
        <f t="shared" si="36"/>
        <v>1764000</v>
      </c>
      <c r="J1963" s="164">
        <f t="shared" si="30"/>
        <v>1764000</v>
      </c>
      <c r="K1963" s="197" t="s">
        <v>7842</v>
      </c>
      <c r="L1963" s="165" t="s">
        <v>7843</v>
      </c>
      <c r="M1963" s="73"/>
      <c r="N1963" s="171"/>
      <c r="O1963" s="169" t="s">
        <v>3204</v>
      </c>
      <c r="P1963" s="168" t="s">
        <v>3112</v>
      </c>
      <c r="Q1963" s="173"/>
      <c r="R1963" s="167">
        <v>1764000.0</v>
      </c>
      <c r="S1963" s="173"/>
      <c r="T1963" s="173"/>
      <c r="U1963" s="173"/>
      <c r="V1963" s="168" t="s">
        <v>3799</v>
      </c>
      <c r="W1963" s="169"/>
      <c r="X1963" s="171"/>
    </row>
    <row r="1964" ht="15.0" customHeight="1">
      <c r="A1964" s="127">
        <v>45799.0</v>
      </c>
      <c r="B1964" s="181" t="s">
        <v>7844</v>
      </c>
      <c r="C1964" s="251" t="s">
        <v>2926</v>
      </c>
      <c r="D1964" s="73" t="str">
        <f>IFERROR(VLOOKUP(C1964,Stock,3,FALSE),"")</f>
        <v>Honda Jazz 01-07 1st Gen</v>
      </c>
      <c r="E1964" s="56">
        <v>1.0</v>
      </c>
      <c r="F1964" s="161">
        <v>1248000.0</v>
      </c>
      <c r="G1964" s="162">
        <f t="shared" si="33"/>
        <v>1248000</v>
      </c>
      <c r="H1964" s="194"/>
      <c r="I1964" s="161">
        <f t="shared" si="36"/>
        <v>1248000</v>
      </c>
      <c r="J1964" s="164">
        <f t="shared" si="30"/>
        <v>1248000</v>
      </c>
      <c r="K1964" s="56" t="s">
        <v>7845</v>
      </c>
      <c r="L1964" s="165" t="s">
        <v>7846</v>
      </c>
      <c r="M1964" s="73"/>
      <c r="N1964" s="171"/>
      <c r="O1964" s="169" t="s">
        <v>2958</v>
      </c>
      <c r="P1964" s="168" t="s">
        <v>7847</v>
      </c>
      <c r="Q1964" s="173"/>
      <c r="R1964" s="173"/>
      <c r="S1964" s="167">
        <v>1248000.0</v>
      </c>
      <c r="T1964" s="173"/>
      <c r="U1964" s="173"/>
      <c r="V1964" s="168" t="s">
        <v>3799</v>
      </c>
      <c r="W1964" s="169"/>
      <c r="X1964" s="171"/>
    </row>
    <row r="1965" ht="15.0" customHeight="1">
      <c r="A1965" s="127">
        <v>45799.0</v>
      </c>
      <c r="B1965" s="181" t="s">
        <v>7844</v>
      </c>
      <c r="C1965" s="56" t="s">
        <v>2934</v>
      </c>
      <c r="D1965" s="73" t="str">
        <f>IFERROR(VLOOKUP(C1965,Stock,3,FALSE),"")</f>
        <v>Peti Kayu</v>
      </c>
      <c r="E1965" s="56">
        <v>1.0</v>
      </c>
      <c r="F1965" s="161">
        <v>200000.0</v>
      </c>
      <c r="G1965" s="162">
        <f t="shared" si="33"/>
        <v>200000</v>
      </c>
      <c r="H1965" s="194"/>
      <c r="I1965" s="161">
        <f t="shared" si="36"/>
        <v>200000</v>
      </c>
      <c r="J1965" s="164">
        <f t="shared" si="30"/>
        <v>200000</v>
      </c>
      <c r="K1965" s="56" t="s">
        <v>7845</v>
      </c>
      <c r="L1965" s="165" t="s">
        <v>7846</v>
      </c>
      <c r="M1965" s="73"/>
      <c r="N1965" s="171"/>
      <c r="O1965" s="169" t="s">
        <v>2958</v>
      </c>
      <c r="P1965" s="168" t="s">
        <v>7847</v>
      </c>
      <c r="Q1965" s="173"/>
      <c r="R1965" s="167">
        <v>200000.0</v>
      </c>
      <c r="S1965" s="167"/>
      <c r="T1965" s="173"/>
      <c r="U1965" s="173"/>
      <c r="V1965" s="168" t="s">
        <v>3799</v>
      </c>
      <c r="W1965" s="169"/>
      <c r="X1965" s="171"/>
    </row>
    <row r="1966" ht="15.0" customHeight="1">
      <c r="A1966" s="127">
        <v>45799.0</v>
      </c>
      <c r="B1966" s="181" t="s">
        <v>7844</v>
      </c>
      <c r="C1966" s="56" t="s">
        <v>2954</v>
      </c>
      <c r="D1966" s="73" t="str">
        <f>IFERROR(VLOOKUP(C1966,Stock,3,FALSE),"")</f>
        <v>Transport</v>
      </c>
      <c r="E1966" s="56">
        <v>1.0</v>
      </c>
      <c r="F1966" s="161">
        <v>50000.0</v>
      </c>
      <c r="G1966" s="162">
        <f t="shared" si="33"/>
        <v>50000</v>
      </c>
      <c r="H1966" s="194"/>
      <c r="I1966" s="161">
        <f t="shared" si="36"/>
        <v>50000</v>
      </c>
      <c r="J1966" s="164">
        <f t="shared" si="30"/>
        <v>50000</v>
      </c>
      <c r="K1966" s="56" t="s">
        <v>7845</v>
      </c>
      <c r="L1966" s="165" t="s">
        <v>7846</v>
      </c>
      <c r="M1966" s="73"/>
      <c r="N1966" s="171"/>
      <c r="O1966" s="169" t="s">
        <v>2958</v>
      </c>
      <c r="P1966" s="168" t="s">
        <v>7847</v>
      </c>
      <c r="Q1966" s="173"/>
      <c r="R1966" s="167">
        <v>50000.0</v>
      </c>
      <c r="S1966" s="167"/>
      <c r="T1966" s="173"/>
      <c r="U1966" s="173"/>
      <c r="V1966" s="168" t="s">
        <v>3799</v>
      </c>
      <c r="W1966" s="169"/>
      <c r="X1966" s="171"/>
    </row>
    <row r="1967" ht="15.0" customHeight="1">
      <c r="A1967" s="127">
        <v>45800.0</v>
      </c>
      <c r="B1967" s="181" t="s">
        <v>7848</v>
      </c>
      <c r="C1967" s="56" t="s">
        <v>2936</v>
      </c>
      <c r="D1967" s="73" t="str">
        <f>IFERROR(VLOOKUP(C1967,Stock,3,FALSE),"")</f>
        <v>Toyota Calya / Sigra 16-</v>
      </c>
      <c r="E1967" s="56">
        <v>1.0</v>
      </c>
      <c r="F1967" s="161">
        <v>880000.0</v>
      </c>
      <c r="G1967" s="162">
        <f t="shared" si="33"/>
        <v>880000</v>
      </c>
      <c r="H1967" s="194"/>
      <c r="I1967" s="161">
        <f t="shared" si="36"/>
        <v>880000</v>
      </c>
      <c r="J1967" s="164">
        <f t="shared" si="30"/>
        <v>880000</v>
      </c>
      <c r="K1967" s="56" t="s">
        <v>7849</v>
      </c>
      <c r="L1967" s="165" t="s">
        <v>7850</v>
      </c>
      <c r="M1967" s="73"/>
      <c r="N1967" s="169" t="s">
        <v>7851</v>
      </c>
      <c r="O1967" s="169" t="s">
        <v>2958</v>
      </c>
      <c r="P1967" s="168" t="s">
        <v>3112</v>
      </c>
      <c r="Q1967" s="173"/>
      <c r="R1967" s="167">
        <v>880000.0</v>
      </c>
      <c r="S1967" s="173"/>
      <c r="T1967" s="173"/>
      <c r="U1967" s="173"/>
      <c r="V1967" s="168" t="s">
        <v>3883</v>
      </c>
      <c r="W1967" s="169"/>
      <c r="X1967" s="171"/>
    </row>
    <row r="1968" ht="15.0" customHeight="1">
      <c r="A1968" s="127">
        <v>45800.0</v>
      </c>
      <c r="B1968" s="181" t="s">
        <v>7852</v>
      </c>
      <c r="C1968" s="56" t="s">
        <v>2716</v>
      </c>
      <c r="D1968" s="73" t="str">
        <f>IFERROR(VLOOKUP(C1968,Stock,3,FALSE),"")</f>
        <v>Mitsubishi Canter FE700 01- (PS110,125)</v>
      </c>
      <c r="E1968" s="56">
        <v>1.0</v>
      </c>
      <c r="F1968" s="161">
        <v>899000.0</v>
      </c>
      <c r="G1968" s="162">
        <f t="shared" si="33"/>
        <v>899000</v>
      </c>
      <c r="H1968" s="194"/>
      <c r="I1968" s="161">
        <f t="shared" si="36"/>
        <v>899000</v>
      </c>
      <c r="J1968" s="164">
        <f t="shared" si="30"/>
        <v>899000</v>
      </c>
      <c r="K1968" s="56" t="s">
        <v>7601</v>
      </c>
      <c r="L1968" s="165" t="s">
        <v>7602</v>
      </c>
      <c r="M1968" s="73"/>
      <c r="N1968" s="171"/>
      <c r="O1968" s="169" t="s">
        <v>7603</v>
      </c>
      <c r="P1968" s="168" t="s">
        <v>3112</v>
      </c>
      <c r="Q1968" s="173"/>
      <c r="R1968" s="167">
        <v>899000.0</v>
      </c>
      <c r="S1968" s="173"/>
      <c r="T1968" s="173"/>
      <c r="U1968" s="173"/>
      <c r="V1968" s="168" t="s">
        <v>3883</v>
      </c>
      <c r="W1968" s="169"/>
      <c r="X1968" s="171"/>
    </row>
    <row r="1969" ht="15.0" customHeight="1">
      <c r="A1969" s="127">
        <v>45800.0</v>
      </c>
      <c r="B1969" s="181" t="s">
        <v>7853</v>
      </c>
      <c r="C1969" s="56" t="s">
        <v>3176</v>
      </c>
      <c r="D1969" s="73" t="str">
        <f>IFERROR(VLOOKUP(C1969,Stock,3,FALSE),"")</f>
        <v>Toyota Avanza / Xenia 11-15 2nd Gen / 15-21 3rd Gen</v>
      </c>
      <c r="E1969" s="56">
        <v>1.0</v>
      </c>
      <c r="F1969" s="161">
        <v>880000.0</v>
      </c>
      <c r="G1969" s="162">
        <f t="shared" si="33"/>
        <v>880000</v>
      </c>
      <c r="H1969" s="194"/>
      <c r="I1969" s="161">
        <f t="shared" si="36"/>
        <v>880000</v>
      </c>
      <c r="J1969" s="164">
        <f t="shared" si="30"/>
        <v>880000</v>
      </c>
      <c r="K1969" s="56" t="s">
        <v>7854</v>
      </c>
      <c r="L1969" s="165" t="s">
        <v>7855</v>
      </c>
      <c r="M1969" s="73"/>
      <c r="N1969" s="169" t="s">
        <v>7856</v>
      </c>
      <c r="O1969" s="169" t="s">
        <v>2958</v>
      </c>
      <c r="P1969" s="168" t="s">
        <v>3112</v>
      </c>
      <c r="Q1969" s="173"/>
      <c r="R1969" s="167">
        <v>880000.0</v>
      </c>
      <c r="S1969" s="173"/>
      <c r="T1969" s="173"/>
      <c r="U1969" s="173"/>
      <c r="V1969" s="168" t="s">
        <v>3883</v>
      </c>
      <c r="W1969" s="169"/>
      <c r="X1969" s="171"/>
    </row>
    <row r="1970" ht="15.0" customHeight="1">
      <c r="A1970" s="127">
        <v>45800.0</v>
      </c>
      <c r="B1970" s="181" t="s">
        <v>7857</v>
      </c>
      <c r="C1970" s="56" t="s">
        <v>2723</v>
      </c>
      <c r="D1970" s="73" t="str">
        <f>IFERROR(VLOOKUP(C1970,Stock,3,FALSE),"")</f>
        <v>Suzuki Carry New 19-</v>
      </c>
      <c r="E1970" s="56">
        <v>1.0</v>
      </c>
      <c r="F1970" s="161">
        <v>1200000.0</v>
      </c>
      <c r="G1970" s="162">
        <f t="shared" si="33"/>
        <v>1200000</v>
      </c>
      <c r="H1970" s="194"/>
      <c r="I1970" s="161">
        <f t="shared" si="36"/>
        <v>1200000</v>
      </c>
      <c r="J1970" s="164">
        <f t="shared" si="30"/>
        <v>1200000</v>
      </c>
      <c r="K1970" s="56" t="s">
        <v>7858</v>
      </c>
      <c r="L1970" s="165" t="s">
        <v>7859</v>
      </c>
      <c r="M1970" s="73"/>
      <c r="N1970" s="289" t="s">
        <v>7860</v>
      </c>
      <c r="O1970" s="169" t="s">
        <v>2958</v>
      </c>
      <c r="P1970" s="168" t="s">
        <v>3112</v>
      </c>
      <c r="Q1970" s="167">
        <v>1200000.0</v>
      </c>
      <c r="R1970" s="173"/>
      <c r="S1970" s="173"/>
      <c r="T1970" s="173"/>
      <c r="U1970" s="173"/>
      <c r="V1970" s="168" t="s">
        <v>3883</v>
      </c>
      <c r="W1970" s="169"/>
      <c r="X1970" s="171"/>
    </row>
    <row r="1971" ht="15.0" customHeight="1">
      <c r="A1971" s="127">
        <v>45800.0</v>
      </c>
      <c r="B1971" s="181" t="s">
        <v>7861</v>
      </c>
      <c r="C1971" s="56" t="s">
        <v>6738</v>
      </c>
      <c r="D1971" s="73" t="str">
        <f>IFERROR(VLOOKUP(C1971,Stock,3,FALSE),"")</f>
        <v>Honda Jazz 13- 3rd Gen</v>
      </c>
      <c r="E1971" s="56">
        <v>1.0</v>
      </c>
      <c r="F1971" s="161">
        <v>1300000.0</v>
      </c>
      <c r="G1971" s="162">
        <f t="shared" si="33"/>
        <v>1300000</v>
      </c>
      <c r="H1971" s="194"/>
      <c r="I1971" s="161">
        <f t="shared" si="36"/>
        <v>1300000</v>
      </c>
      <c r="J1971" s="164">
        <f t="shared" si="30"/>
        <v>1300000</v>
      </c>
      <c r="K1971" s="56" t="s">
        <v>7862</v>
      </c>
      <c r="L1971" s="165" t="s">
        <v>4413</v>
      </c>
      <c r="M1971" s="73"/>
      <c r="N1971" s="171"/>
      <c r="O1971" s="169" t="s">
        <v>2958</v>
      </c>
      <c r="P1971" s="168" t="s">
        <v>3112</v>
      </c>
      <c r="Q1971" s="173"/>
      <c r="R1971" s="167">
        <v>1300000.0</v>
      </c>
      <c r="S1971" s="173"/>
      <c r="T1971" s="173"/>
      <c r="U1971" s="173"/>
      <c r="V1971" s="168" t="s">
        <v>3799</v>
      </c>
      <c r="W1971" s="169"/>
      <c r="X1971" s="171"/>
    </row>
    <row r="1972" ht="15.0" customHeight="1">
      <c r="A1972" s="127">
        <v>45800.0</v>
      </c>
      <c r="B1972" s="181" t="s">
        <v>7861</v>
      </c>
      <c r="C1972" s="56" t="s">
        <v>2954</v>
      </c>
      <c r="D1972" s="73" t="str">
        <f>IFERROR(VLOOKUP(C1972,Stock,3,FALSE),"")</f>
        <v>Transport</v>
      </c>
      <c r="E1972" s="56">
        <v>1.0</v>
      </c>
      <c r="F1972" s="161">
        <v>30000.0</v>
      </c>
      <c r="G1972" s="162">
        <f t="shared" si="33"/>
        <v>30000</v>
      </c>
      <c r="H1972" s="194"/>
      <c r="I1972" s="161">
        <f t="shared" si="36"/>
        <v>30000</v>
      </c>
      <c r="J1972" s="164">
        <f t="shared" si="30"/>
        <v>30000</v>
      </c>
      <c r="K1972" s="56" t="s">
        <v>7862</v>
      </c>
      <c r="L1972" s="165" t="s">
        <v>4413</v>
      </c>
      <c r="M1972" s="73"/>
      <c r="N1972" s="171"/>
      <c r="O1972" s="169" t="s">
        <v>2958</v>
      </c>
      <c r="P1972" s="168" t="s">
        <v>3112</v>
      </c>
      <c r="Q1972" s="173"/>
      <c r="R1972" s="167">
        <v>30000.0</v>
      </c>
      <c r="S1972" s="173"/>
      <c r="T1972" s="173"/>
      <c r="U1972" s="173"/>
      <c r="V1972" s="168" t="s">
        <v>3799</v>
      </c>
      <c r="W1972" s="169"/>
      <c r="X1972" s="171"/>
    </row>
    <row r="1973" ht="15.0" customHeight="1">
      <c r="A1973" s="127">
        <v>45800.0</v>
      </c>
      <c r="B1973" s="181" t="s">
        <v>7863</v>
      </c>
      <c r="C1973" s="56" t="s">
        <v>3411</v>
      </c>
      <c r="D1973" s="73" t="str">
        <f>IFERROR(VLOOKUP(C1973,Stock,3,FALSE),"")</f>
        <v>Toyota Agya/Ayla 13-22 1st Gen</v>
      </c>
      <c r="E1973" s="56">
        <v>1.0</v>
      </c>
      <c r="F1973" s="161">
        <v>1050000.0</v>
      </c>
      <c r="G1973" s="162">
        <f t="shared" si="33"/>
        <v>1050000</v>
      </c>
      <c r="H1973" s="194"/>
      <c r="I1973" s="161">
        <f t="shared" si="36"/>
        <v>1050000</v>
      </c>
      <c r="J1973" s="164">
        <f t="shared" si="30"/>
        <v>1050000</v>
      </c>
      <c r="K1973" s="197" t="s">
        <v>7864</v>
      </c>
      <c r="L1973" s="165" t="s">
        <v>7865</v>
      </c>
      <c r="M1973" s="73"/>
      <c r="N1973" s="171"/>
      <c r="O1973" s="169" t="s">
        <v>6719</v>
      </c>
      <c r="P1973" s="168" t="s">
        <v>3112</v>
      </c>
      <c r="Q1973" s="167">
        <v>1050000.0</v>
      </c>
      <c r="R1973" s="173"/>
      <c r="S1973" s="173"/>
      <c r="T1973" s="173"/>
      <c r="U1973" s="173"/>
      <c r="V1973" s="168" t="s">
        <v>3799</v>
      </c>
      <c r="W1973" s="169"/>
      <c r="X1973" s="171"/>
    </row>
    <row r="1974" ht="15.0" customHeight="1">
      <c r="A1974" s="127">
        <v>45800.0</v>
      </c>
      <c r="B1974" s="181" t="s">
        <v>7863</v>
      </c>
      <c r="C1974" s="56" t="s">
        <v>3513</v>
      </c>
      <c r="D1974" s="73" t="str">
        <f>IFERROR(VLOOKUP(C1974,Stock,3,FALSE),"")</f>
        <v>Lembur</v>
      </c>
      <c r="E1974" s="56">
        <v>1.0</v>
      </c>
      <c r="F1974" s="161">
        <v>100000.0</v>
      </c>
      <c r="G1974" s="162">
        <f t="shared" si="33"/>
        <v>100000</v>
      </c>
      <c r="H1974" s="194"/>
      <c r="I1974" s="161">
        <f t="shared" si="36"/>
        <v>100000</v>
      </c>
      <c r="J1974" s="164">
        <f t="shared" si="30"/>
        <v>100000</v>
      </c>
      <c r="K1974" s="197" t="s">
        <v>7864</v>
      </c>
      <c r="L1974" s="165" t="s">
        <v>7865</v>
      </c>
      <c r="M1974" s="73"/>
      <c r="N1974" s="171"/>
      <c r="O1974" s="169" t="s">
        <v>6719</v>
      </c>
      <c r="P1974" s="168" t="s">
        <v>3112</v>
      </c>
      <c r="Q1974" s="167">
        <v>100000.0</v>
      </c>
      <c r="R1974" s="173"/>
      <c r="S1974" s="173"/>
      <c r="T1974" s="173"/>
      <c r="U1974" s="173"/>
      <c r="V1974" s="168" t="s">
        <v>3799</v>
      </c>
      <c r="W1974" s="169"/>
      <c r="X1974" s="171"/>
    </row>
    <row r="1975" ht="15.0" customHeight="1">
      <c r="A1975" s="127">
        <v>45801.0</v>
      </c>
      <c r="B1975" s="181" t="s">
        <v>7866</v>
      </c>
      <c r="C1975" s="56" t="s">
        <v>6553</v>
      </c>
      <c r="D1975" s="73" t="str">
        <f>IFERROR(VLOOKUP(C1975,Stock,3,FALSE),"")</f>
        <v>Hino Ranger Louhan 03- / Hino 500</v>
      </c>
      <c r="E1975" s="56">
        <v>1.0</v>
      </c>
      <c r="F1975" s="161">
        <v>2171000.0</v>
      </c>
      <c r="G1975" s="162">
        <f t="shared" si="33"/>
        <v>2171000</v>
      </c>
      <c r="H1975" s="194"/>
      <c r="I1975" s="161">
        <f t="shared" si="36"/>
        <v>2171000</v>
      </c>
      <c r="J1975" s="164">
        <f t="shared" si="30"/>
        <v>2171000</v>
      </c>
      <c r="K1975" s="56" t="s">
        <v>7867</v>
      </c>
      <c r="L1975" s="165" t="s">
        <v>7868</v>
      </c>
      <c r="M1975" s="73"/>
      <c r="N1975" s="171"/>
      <c r="O1975" s="169" t="s">
        <v>2958</v>
      </c>
      <c r="P1975" s="168" t="s">
        <v>3112</v>
      </c>
      <c r="Q1975" s="173"/>
      <c r="R1975" s="167">
        <v>2171000.0</v>
      </c>
      <c r="S1975" s="173"/>
      <c r="T1975" s="173"/>
      <c r="U1975" s="173"/>
      <c r="V1975" s="168" t="s">
        <v>3883</v>
      </c>
      <c r="W1975" s="169"/>
      <c r="X1975" s="171"/>
    </row>
    <row r="1976" ht="15.0" customHeight="1">
      <c r="A1976" s="127">
        <v>45801.0</v>
      </c>
      <c r="B1976" s="181" t="s">
        <v>7869</v>
      </c>
      <c r="C1976" s="56" t="s">
        <v>2734</v>
      </c>
      <c r="D1976" s="73" t="str">
        <f>IFERROR(VLOOKUP(C1976,Stock,3,FALSE),"")</f>
        <v>Honda Jazz 07-13 2nd Gen</v>
      </c>
      <c r="E1976" s="56">
        <v>1.0</v>
      </c>
      <c r="F1976" s="161">
        <v>1918000.0</v>
      </c>
      <c r="G1976" s="162">
        <f t="shared" si="33"/>
        <v>1918000</v>
      </c>
      <c r="H1976" s="194"/>
      <c r="I1976" s="161">
        <f t="shared" si="36"/>
        <v>1918000</v>
      </c>
      <c r="J1976" s="164">
        <f t="shared" si="30"/>
        <v>1918000</v>
      </c>
      <c r="K1976" s="56" t="s">
        <v>5366</v>
      </c>
      <c r="L1976" s="165" t="s">
        <v>7870</v>
      </c>
      <c r="M1976" s="73"/>
      <c r="N1976" s="171"/>
      <c r="O1976" s="169" t="s">
        <v>2958</v>
      </c>
      <c r="P1976" s="168" t="s">
        <v>3112</v>
      </c>
      <c r="Q1976" s="173"/>
      <c r="R1976" s="167">
        <v>1918000.0</v>
      </c>
      <c r="S1976" s="173"/>
      <c r="T1976" s="173"/>
      <c r="U1976" s="173"/>
      <c r="V1976" s="168" t="s">
        <v>3883</v>
      </c>
      <c r="W1976" s="169"/>
      <c r="X1976" s="171"/>
    </row>
    <row r="1977" ht="15.0" customHeight="1">
      <c r="A1977" s="127">
        <v>45801.0</v>
      </c>
      <c r="B1977" s="181" t="s">
        <v>7869</v>
      </c>
      <c r="C1977" s="56" t="s">
        <v>3355</v>
      </c>
      <c r="D1977" s="73" t="str">
        <f>IFERROR(VLOOKUP(C1977,Stock,3,FALSE),"")</f>
        <v>List Kaca Depan INV</v>
      </c>
      <c r="E1977" s="56">
        <v>1.0</v>
      </c>
      <c r="F1977" s="161">
        <v>315000.0</v>
      </c>
      <c r="G1977" s="162">
        <f t="shared" si="33"/>
        <v>315000</v>
      </c>
      <c r="H1977" s="194"/>
      <c r="I1977" s="161">
        <f t="shared" si="36"/>
        <v>315000</v>
      </c>
      <c r="J1977" s="164">
        <f t="shared" si="30"/>
        <v>315000</v>
      </c>
      <c r="K1977" s="56" t="s">
        <v>5366</v>
      </c>
      <c r="L1977" s="165" t="s">
        <v>7870</v>
      </c>
      <c r="M1977" s="73"/>
      <c r="N1977" s="171"/>
      <c r="O1977" s="169" t="s">
        <v>2958</v>
      </c>
      <c r="P1977" s="168" t="s">
        <v>3112</v>
      </c>
      <c r="Q1977" s="173"/>
      <c r="R1977" s="167">
        <v>315000.0</v>
      </c>
      <c r="S1977" s="173"/>
      <c r="T1977" s="173"/>
      <c r="U1977" s="173"/>
      <c r="V1977" s="168" t="s">
        <v>3883</v>
      </c>
      <c r="W1977" s="169"/>
      <c r="X1977" s="171"/>
    </row>
    <row r="1978" ht="15.0" customHeight="1">
      <c r="A1978" s="127">
        <v>45801.0</v>
      </c>
      <c r="B1978" s="181" t="s">
        <v>7871</v>
      </c>
      <c r="C1978" s="56" t="s">
        <v>3622</v>
      </c>
      <c r="D1978" s="73" t="str">
        <f>IFERROR(VLOOKUP(C1978,Stock,3,FALSE),"")</f>
        <v>Mitsubishi Pajero 08-16</v>
      </c>
      <c r="E1978" s="56">
        <v>1.0</v>
      </c>
      <c r="F1978" s="161">
        <v>1800000.0</v>
      </c>
      <c r="G1978" s="162">
        <f t="shared" si="33"/>
        <v>1800000</v>
      </c>
      <c r="H1978" s="201">
        <v>150000.0</v>
      </c>
      <c r="I1978" s="161">
        <f t="shared" si="36"/>
        <v>1650000</v>
      </c>
      <c r="J1978" s="164">
        <f t="shared" si="30"/>
        <v>1650000</v>
      </c>
      <c r="K1978" s="56" t="s">
        <v>7872</v>
      </c>
      <c r="L1978" s="165" t="s">
        <v>7873</v>
      </c>
      <c r="M1978" s="73"/>
      <c r="N1978" s="169" t="s">
        <v>7874</v>
      </c>
      <c r="O1978" s="169" t="s">
        <v>3204</v>
      </c>
      <c r="P1978" s="168" t="s">
        <v>3112</v>
      </c>
      <c r="Q1978" s="173"/>
      <c r="R1978" s="167">
        <v>1650000.0</v>
      </c>
      <c r="S1978" s="173"/>
      <c r="T1978" s="173"/>
      <c r="U1978" s="173"/>
      <c r="V1978" s="168" t="s">
        <v>3883</v>
      </c>
      <c r="W1978" s="169"/>
      <c r="X1978" s="171"/>
    </row>
    <row r="1979" ht="15.0" customHeight="1">
      <c r="A1979" s="183">
        <v>45801.0</v>
      </c>
      <c r="B1979" s="185" t="s">
        <v>7875</v>
      </c>
      <c r="C1979" s="184" t="s">
        <v>3056</v>
      </c>
      <c r="D1979" s="186" t="str">
        <f>IFERROR(VLOOKUP(C1979,Stock,3,FALSE),"")</f>
        <v>Honda BR-V 16-</v>
      </c>
      <c r="E1979" s="184">
        <v>1.0</v>
      </c>
      <c r="F1979" s="187">
        <v>829000.0</v>
      </c>
      <c r="G1979" s="188">
        <f t="shared" si="33"/>
        <v>829000</v>
      </c>
      <c r="H1979" s="210"/>
      <c r="I1979" s="187">
        <f t="shared" si="36"/>
        <v>829000</v>
      </c>
      <c r="J1979" s="189">
        <f t="shared" si="30"/>
        <v>829000</v>
      </c>
      <c r="K1979" s="184" t="s">
        <v>7876</v>
      </c>
      <c r="L1979" s="186"/>
      <c r="M1979" s="186"/>
      <c r="N1979" s="212"/>
      <c r="O1979" s="212"/>
      <c r="P1979" s="214"/>
      <c r="Q1979" s="213"/>
      <c r="R1979" s="213"/>
      <c r="S1979" s="213"/>
      <c r="T1979" s="213"/>
      <c r="U1979" s="213"/>
      <c r="V1979" s="192" t="s">
        <v>3883</v>
      </c>
      <c r="W1979" s="193"/>
      <c r="X1979" s="212"/>
    </row>
    <row r="1980" ht="15.0" customHeight="1">
      <c r="A1980" s="183">
        <v>45801.0</v>
      </c>
      <c r="B1980" s="185" t="s">
        <v>7877</v>
      </c>
      <c r="C1980" s="184" t="s">
        <v>2926</v>
      </c>
      <c r="D1980" s="186" t="str">
        <f>IFERROR(VLOOKUP(C1980,Stock,3,FALSE),"")</f>
        <v>Honda Jazz 01-07 1st Gen</v>
      </c>
      <c r="E1980" s="184">
        <v>1.0</v>
      </c>
      <c r="F1980" s="187">
        <v>535000.0</v>
      </c>
      <c r="G1980" s="188">
        <f t="shared" si="33"/>
        <v>535000</v>
      </c>
      <c r="H1980" s="210"/>
      <c r="I1980" s="187">
        <f t="shared" si="36"/>
        <v>535000</v>
      </c>
      <c r="J1980" s="189">
        <f t="shared" si="30"/>
        <v>535000</v>
      </c>
      <c r="K1980" s="184" t="s">
        <v>7878</v>
      </c>
      <c r="L1980" s="186"/>
      <c r="M1980" s="186"/>
      <c r="N1980" s="212"/>
      <c r="O1980" s="212"/>
      <c r="P1980" s="214"/>
      <c r="Q1980" s="213"/>
      <c r="R1980" s="213"/>
      <c r="S1980" s="213"/>
      <c r="T1980" s="213"/>
      <c r="U1980" s="213"/>
      <c r="V1980" s="192" t="s">
        <v>3883</v>
      </c>
      <c r="W1980" s="193"/>
      <c r="X1980" s="212"/>
    </row>
    <row r="1981" ht="15.0" customHeight="1">
      <c r="A1981" s="127">
        <v>45801.0</v>
      </c>
      <c r="B1981" s="181" t="s">
        <v>7879</v>
      </c>
      <c r="C1981" s="56" t="s">
        <v>2936</v>
      </c>
      <c r="D1981" s="73" t="str">
        <f>IFERROR(VLOOKUP(C1981,Stock,3,FALSE),"")</f>
        <v>Toyota Calya / Sigra 16-</v>
      </c>
      <c r="E1981" s="56">
        <v>1.0</v>
      </c>
      <c r="F1981" s="161">
        <v>850000.0</v>
      </c>
      <c r="G1981" s="162">
        <f t="shared" si="33"/>
        <v>850000</v>
      </c>
      <c r="H1981" s="194"/>
      <c r="I1981" s="161">
        <f t="shared" si="36"/>
        <v>850000</v>
      </c>
      <c r="J1981" s="164">
        <f t="shared" si="30"/>
        <v>850000</v>
      </c>
      <c r="K1981" s="56" t="s">
        <v>7880</v>
      </c>
      <c r="L1981" s="165" t="s">
        <v>7881</v>
      </c>
      <c r="M1981" s="73"/>
      <c r="N1981" s="289" t="s">
        <v>6659</v>
      </c>
      <c r="O1981" s="169" t="s">
        <v>2958</v>
      </c>
      <c r="P1981" s="168" t="s">
        <v>3112</v>
      </c>
      <c r="Q1981" s="167">
        <v>850000.0</v>
      </c>
      <c r="R1981" s="173"/>
      <c r="S1981" s="173"/>
      <c r="T1981" s="173"/>
      <c r="U1981" s="173"/>
      <c r="V1981" s="168" t="s">
        <v>3799</v>
      </c>
      <c r="W1981" s="169"/>
      <c r="X1981" s="171"/>
    </row>
    <row r="1982" ht="15.0" customHeight="1">
      <c r="A1982" s="127">
        <v>45802.0</v>
      </c>
      <c r="B1982" s="181" t="s">
        <v>7882</v>
      </c>
      <c r="C1982" s="56" t="s">
        <v>5493</v>
      </c>
      <c r="D1982" s="73" t="str">
        <f>IFERROR(VLOOKUP(C1982,Stock,3,FALSE),"")</f>
        <v>Toyota Calya / Sigra 16-</v>
      </c>
      <c r="E1982" s="56">
        <v>1.0</v>
      </c>
      <c r="F1982" s="161">
        <v>400000.0</v>
      </c>
      <c r="G1982" s="162">
        <f t="shared" si="33"/>
        <v>400000</v>
      </c>
      <c r="H1982" s="194"/>
      <c r="I1982" s="161">
        <f t="shared" si="36"/>
        <v>400000</v>
      </c>
      <c r="J1982" s="164">
        <f t="shared" si="30"/>
        <v>400000</v>
      </c>
      <c r="K1982" s="56" t="s">
        <v>7883</v>
      </c>
      <c r="L1982" s="165" t="s">
        <v>7884</v>
      </c>
      <c r="M1982" s="73"/>
      <c r="N1982" s="171"/>
      <c r="O1982" s="169" t="s">
        <v>2958</v>
      </c>
      <c r="P1982" s="168" t="s">
        <v>3112</v>
      </c>
      <c r="Q1982" s="167">
        <v>400000.0</v>
      </c>
      <c r="R1982" s="173"/>
      <c r="S1982" s="173"/>
      <c r="T1982" s="173"/>
      <c r="U1982" s="173"/>
      <c r="V1982" s="168" t="s">
        <v>3799</v>
      </c>
      <c r="W1982" s="169"/>
      <c r="X1982" s="171"/>
    </row>
    <row r="1983" ht="15.0" customHeight="1">
      <c r="A1983" s="127">
        <v>45803.0</v>
      </c>
      <c r="B1983" s="181" t="s">
        <v>7885</v>
      </c>
      <c r="C1983" s="56" t="s">
        <v>2685</v>
      </c>
      <c r="D1983" s="73" t="str">
        <f>IFERROR(VLOOKUP(C1983,Stock,3,FALSE),"")</f>
        <v>Honda Stream 04-06 S7A/RN1 (Spion)</v>
      </c>
      <c r="E1983" s="56">
        <v>1.0</v>
      </c>
      <c r="F1983" s="161">
        <v>2093000.0</v>
      </c>
      <c r="G1983" s="162">
        <f t="shared" si="33"/>
        <v>2093000</v>
      </c>
      <c r="H1983" s="194"/>
      <c r="I1983" s="161">
        <f t="shared" si="36"/>
        <v>2093000</v>
      </c>
      <c r="J1983" s="164">
        <f t="shared" si="30"/>
        <v>2093000</v>
      </c>
      <c r="K1983" s="56" t="s">
        <v>7886</v>
      </c>
      <c r="L1983" s="165" t="s">
        <v>7887</v>
      </c>
      <c r="M1983" s="73"/>
      <c r="N1983" s="289" t="s">
        <v>7888</v>
      </c>
      <c r="O1983" s="169" t="s">
        <v>2958</v>
      </c>
      <c r="P1983" s="168" t="s">
        <v>3112</v>
      </c>
      <c r="Q1983" s="173"/>
      <c r="R1983" s="167">
        <v>2093000.0</v>
      </c>
      <c r="S1983" s="173"/>
      <c r="T1983" s="173"/>
      <c r="U1983" s="173"/>
      <c r="V1983" s="168" t="s">
        <v>3883</v>
      </c>
      <c r="W1983" s="169"/>
      <c r="X1983" s="171"/>
    </row>
    <row r="1984" ht="15.0" customHeight="1">
      <c r="A1984" s="127">
        <v>45803.0</v>
      </c>
      <c r="B1984" s="181" t="s">
        <v>7889</v>
      </c>
      <c r="C1984" s="56" t="s">
        <v>3045</v>
      </c>
      <c r="D1984" s="73" t="str">
        <f>IFERROR(VLOOKUP(C1984,Stock,3,FALSE),"")</f>
        <v>Pemasangan Kaca Mobil Depan</v>
      </c>
      <c r="E1984" s="56">
        <v>1.0</v>
      </c>
      <c r="F1984" s="161">
        <v>600000.0</v>
      </c>
      <c r="G1984" s="162">
        <f t="shared" si="33"/>
        <v>600000</v>
      </c>
      <c r="H1984" s="194"/>
      <c r="I1984" s="161">
        <f t="shared" si="36"/>
        <v>600000</v>
      </c>
      <c r="J1984" s="164">
        <f t="shared" si="30"/>
        <v>600000</v>
      </c>
      <c r="K1984" s="56" t="s">
        <v>7890</v>
      </c>
      <c r="L1984" s="165" t="s">
        <v>7891</v>
      </c>
      <c r="M1984" s="73"/>
      <c r="N1984" s="169" t="s">
        <v>7892</v>
      </c>
      <c r="O1984" s="169" t="s">
        <v>2958</v>
      </c>
      <c r="P1984" s="168" t="s">
        <v>3112</v>
      </c>
      <c r="Q1984" s="173"/>
      <c r="R1984" s="167">
        <v>600000.0</v>
      </c>
      <c r="S1984" s="173"/>
      <c r="T1984" s="173"/>
      <c r="U1984" s="173"/>
      <c r="V1984" s="168" t="s">
        <v>3883</v>
      </c>
      <c r="W1984" s="169"/>
      <c r="X1984" s="171"/>
    </row>
    <row r="1985" ht="15.0" customHeight="1">
      <c r="A1985" s="127">
        <v>45803.0</v>
      </c>
      <c r="B1985" s="181" t="s">
        <v>7889</v>
      </c>
      <c r="C1985" s="56" t="s">
        <v>3083</v>
      </c>
      <c r="D1985" s="73" t="str">
        <f>IFERROR(VLOOKUP(C1985,Stock,3,FALSE),"")</f>
        <v>List Kaca Depan Code 04</v>
      </c>
      <c r="E1985" s="56">
        <v>1.0</v>
      </c>
      <c r="F1985" s="161">
        <v>275000.0</v>
      </c>
      <c r="G1985" s="162">
        <f t="shared" si="33"/>
        <v>275000</v>
      </c>
      <c r="H1985" s="194"/>
      <c r="I1985" s="161">
        <f t="shared" si="36"/>
        <v>275000</v>
      </c>
      <c r="J1985" s="164">
        <f t="shared" si="30"/>
        <v>275000</v>
      </c>
      <c r="K1985" s="56" t="s">
        <v>7890</v>
      </c>
      <c r="L1985" s="165" t="s">
        <v>7891</v>
      </c>
      <c r="M1985" s="73"/>
      <c r="N1985" s="169" t="s">
        <v>7892</v>
      </c>
      <c r="O1985" s="169" t="s">
        <v>2958</v>
      </c>
      <c r="P1985" s="168" t="s">
        <v>3112</v>
      </c>
      <c r="Q1985" s="173"/>
      <c r="R1985" s="167">
        <v>2750000.0</v>
      </c>
      <c r="S1985" s="173"/>
      <c r="T1985" s="173"/>
      <c r="U1985" s="173"/>
      <c r="V1985" s="168" t="s">
        <v>3883</v>
      </c>
      <c r="W1985" s="169"/>
      <c r="X1985" s="171"/>
    </row>
    <row r="1986" ht="15.0" customHeight="1">
      <c r="A1986" s="127">
        <v>45804.0</v>
      </c>
      <c r="B1986" s="181" t="s">
        <v>7893</v>
      </c>
      <c r="C1986" s="56" t="s">
        <v>2549</v>
      </c>
      <c r="D1986" s="73" t="str">
        <f>IFERROR(VLOOKUP(C1986,Stock,3,FALSE),"")</f>
        <v>Toyota Avanza / Xenia 11-15 2nd Gen</v>
      </c>
      <c r="E1986" s="56">
        <v>1.0</v>
      </c>
      <c r="F1986" s="161">
        <v>1050000.0</v>
      </c>
      <c r="G1986" s="162">
        <f t="shared" si="33"/>
        <v>1050000</v>
      </c>
      <c r="H1986" s="194"/>
      <c r="I1986" s="161">
        <f t="shared" si="36"/>
        <v>1050000</v>
      </c>
      <c r="J1986" s="164">
        <f t="shared" si="30"/>
        <v>1050000</v>
      </c>
      <c r="K1986" s="56" t="s">
        <v>7894</v>
      </c>
      <c r="L1986" s="165" t="s">
        <v>7895</v>
      </c>
      <c r="M1986" s="73"/>
      <c r="N1986" s="171"/>
      <c r="O1986" s="169" t="s">
        <v>2958</v>
      </c>
      <c r="P1986" s="168" t="s">
        <v>3112</v>
      </c>
      <c r="Q1986" s="173"/>
      <c r="R1986" s="167">
        <v>1050000.0</v>
      </c>
      <c r="S1986" s="173"/>
      <c r="T1986" s="173"/>
      <c r="U1986" s="173"/>
      <c r="V1986" s="168" t="s">
        <v>3883</v>
      </c>
      <c r="W1986" s="169"/>
      <c r="X1986" s="171"/>
    </row>
    <row r="1987" ht="15.0" customHeight="1">
      <c r="A1987" s="127">
        <v>45804.0</v>
      </c>
      <c r="B1987" s="181" t="s">
        <v>7893</v>
      </c>
      <c r="C1987" s="56" t="s">
        <v>2954</v>
      </c>
      <c r="D1987" s="73" t="str">
        <f>IFERROR(VLOOKUP(C1987,Stock,3,FALSE),"")</f>
        <v>Transport</v>
      </c>
      <c r="E1987" s="56">
        <v>1.0</v>
      </c>
      <c r="F1987" s="161">
        <v>30000.0</v>
      </c>
      <c r="G1987" s="162">
        <f t="shared" si="33"/>
        <v>30000</v>
      </c>
      <c r="H1987" s="194"/>
      <c r="I1987" s="161">
        <f t="shared" si="36"/>
        <v>30000</v>
      </c>
      <c r="J1987" s="164">
        <f t="shared" si="30"/>
        <v>30000</v>
      </c>
      <c r="K1987" s="56" t="s">
        <v>7894</v>
      </c>
      <c r="L1987" s="165" t="s">
        <v>7895</v>
      </c>
      <c r="M1987" s="73"/>
      <c r="N1987" s="171"/>
      <c r="O1987" s="169" t="s">
        <v>2958</v>
      </c>
      <c r="P1987" s="168" t="s">
        <v>3112</v>
      </c>
      <c r="Q1987" s="173"/>
      <c r="R1987" s="167">
        <v>30000.0</v>
      </c>
      <c r="S1987" s="173"/>
      <c r="T1987" s="173"/>
      <c r="U1987" s="173"/>
      <c r="V1987" s="168" t="s">
        <v>3883</v>
      </c>
      <c r="W1987" s="169"/>
      <c r="X1987" s="171"/>
    </row>
    <row r="1988" ht="15.0" customHeight="1">
      <c r="A1988" s="127">
        <v>45804.0</v>
      </c>
      <c r="B1988" s="181" t="s">
        <v>7896</v>
      </c>
      <c r="C1988" s="56" t="s">
        <v>7897</v>
      </c>
      <c r="D1988" s="73" t="str">
        <f>IFERROR(VLOOKUP(C1988,Stock,3,FALSE),"")</f>
        <v>Honda Jazz 07-13 2nd Gen</v>
      </c>
      <c r="E1988" s="56">
        <v>1.0</v>
      </c>
      <c r="F1988" s="161">
        <v>1769000.0</v>
      </c>
      <c r="G1988" s="162">
        <f t="shared" si="33"/>
        <v>1769000</v>
      </c>
      <c r="H1988" s="194"/>
      <c r="I1988" s="161">
        <f t="shared" si="36"/>
        <v>1769000</v>
      </c>
      <c r="J1988" s="164">
        <f t="shared" si="30"/>
        <v>1769000</v>
      </c>
      <c r="K1988" s="56" t="s">
        <v>7647</v>
      </c>
      <c r="L1988" s="165" t="s">
        <v>7898</v>
      </c>
      <c r="M1988" s="73"/>
      <c r="N1988" s="169" t="s">
        <v>7899</v>
      </c>
      <c r="O1988" s="169" t="s">
        <v>2958</v>
      </c>
      <c r="P1988" s="168" t="s">
        <v>3112</v>
      </c>
      <c r="Q1988" s="173"/>
      <c r="R1988" s="167">
        <v>1769000.0</v>
      </c>
      <c r="S1988" s="173"/>
      <c r="T1988" s="173"/>
      <c r="U1988" s="173"/>
      <c r="V1988" s="168" t="s">
        <v>3883</v>
      </c>
      <c r="W1988" s="169"/>
      <c r="X1988" s="171"/>
    </row>
    <row r="1989" ht="15.0" customHeight="1">
      <c r="A1989" s="127">
        <v>45804.0</v>
      </c>
      <c r="B1989" s="181" t="s">
        <v>7900</v>
      </c>
      <c r="C1989" s="56" t="s">
        <v>2716</v>
      </c>
      <c r="D1989" s="73" t="str">
        <f>IFERROR(VLOOKUP(C1989,Stock,3,FALSE),"")</f>
        <v>Mitsubishi Canter FE700 01- (PS110,125)</v>
      </c>
      <c r="E1989" s="56">
        <v>1.0</v>
      </c>
      <c r="F1989" s="161">
        <v>899000.0</v>
      </c>
      <c r="G1989" s="162">
        <f t="shared" si="33"/>
        <v>899000</v>
      </c>
      <c r="H1989" s="194"/>
      <c r="I1989" s="161">
        <f t="shared" si="36"/>
        <v>899000</v>
      </c>
      <c r="J1989" s="164">
        <f t="shared" si="30"/>
        <v>899000</v>
      </c>
      <c r="K1989" s="307" t="s">
        <v>7601</v>
      </c>
      <c r="L1989" s="165" t="s">
        <v>7602</v>
      </c>
      <c r="M1989" s="73"/>
      <c r="N1989" s="171"/>
      <c r="O1989" s="169" t="s">
        <v>7603</v>
      </c>
      <c r="P1989" s="168" t="s">
        <v>3112</v>
      </c>
      <c r="Q1989" s="173"/>
      <c r="R1989" s="167">
        <v>899000.0</v>
      </c>
      <c r="S1989" s="173"/>
      <c r="T1989" s="173"/>
      <c r="U1989" s="173"/>
      <c r="V1989" s="168" t="s">
        <v>3883</v>
      </c>
      <c r="W1989" s="169"/>
      <c r="X1989" s="171"/>
    </row>
    <row r="1990" ht="15.0" customHeight="1">
      <c r="A1990" s="127">
        <v>45804.0</v>
      </c>
      <c r="B1990" s="181" t="s">
        <v>7900</v>
      </c>
      <c r="C1990" s="56" t="s">
        <v>2934</v>
      </c>
      <c r="D1990" s="73" t="str">
        <f>IFERROR(VLOOKUP(C1990,Stock,3,FALSE),"")</f>
        <v>Peti Kayu</v>
      </c>
      <c r="E1990" s="56">
        <v>1.0</v>
      </c>
      <c r="F1990" s="161">
        <v>200000.0</v>
      </c>
      <c r="G1990" s="162">
        <f t="shared" si="33"/>
        <v>200000</v>
      </c>
      <c r="H1990" s="194"/>
      <c r="I1990" s="161">
        <f t="shared" si="36"/>
        <v>200000</v>
      </c>
      <c r="J1990" s="164">
        <f t="shared" si="30"/>
        <v>200000</v>
      </c>
      <c r="K1990" s="56" t="s">
        <v>7601</v>
      </c>
      <c r="L1990" s="165" t="s">
        <v>7602</v>
      </c>
      <c r="M1990" s="73"/>
      <c r="N1990" s="171"/>
      <c r="O1990" s="169" t="s">
        <v>7603</v>
      </c>
      <c r="P1990" s="168" t="s">
        <v>3112</v>
      </c>
      <c r="Q1990" s="173"/>
      <c r="R1990" s="167">
        <v>200000.0</v>
      </c>
      <c r="S1990" s="173"/>
      <c r="T1990" s="173"/>
      <c r="U1990" s="173"/>
      <c r="V1990" s="168" t="s">
        <v>3883</v>
      </c>
      <c r="W1990" s="169"/>
      <c r="X1990" s="171"/>
    </row>
    <row r="1991" ht="15.0" customHeight="1">
      <c r="A1991" s="127">
        <v>45804.0</v>
      </c>
      <c r="B1991" s="181" t="s">
        <v>7901</v>
      </c>
      <c r="C1991" s="56" t="s">
        <v>2926</v>
      </c>
      <c r="D1991" s="73" t="str">
        <f>IFERROR(VLOOKUP(C1991,Stock,3,FALSE),"")</f>
        <v>Honda Jazz 01-07 1st Gen</v>
      </c>
      <c r="E1991" s="56">
        <v>1.0</v>
      </c>
      <c r="F1991" s="161">
        <v>1574000.0</v>
      </c>
      <c r="G1991" s="162">
        <f t="shared" si="33"/>
        <v>1574000</v>
      </c>
      <c r="H1991" s="194"/>
      <c r="I1991" s="161">
        <f t="shared" si="36"/>
        <v>1574000</v>
      </c>
      <c r="J1991" s="164">
        <f t="shared" si="30"/>
        <v>1574000</v>
      </c>
      <c r="K1991" s="56" t="s">
        <v>7902</v>
      </c>
      <c r="L1991" s="165" t="s">
        <v>7903</v>
      </c>
      <c r="M1991" s="73"/>
      <c r="N1991" s="169" t="s">
        <v>7904</v>
      </c>
      <c r="O1991" s="169" t="s">
        <v>2958</v>
      </c>
      <c r="P1991" s="168" t="s">
        <v>3112</v>
      </c>
      <c r="Q1991" s="173"/>
      <c r="R1991" s="167">
        <v>1574000.0</v>
      </c>
      <c r="S1991" s="173"/>
      <c r="T1991" s="173"/>
      <c r="U1991" s="173"/>
      <c r="V1991" s="168" t="s">
        <v>3883</v>
      </c>
      <c r="W1991" s="169"/>
      <c r="X1991" s="171"/>
    </row>
    <row r="1992" ht="15.0" customHeight="1">
      <c r="A1992" s="127">
        <v>45804.0</v>
      </c>
      <c r="B1992" s="181" t="s">
        <v>7905</v>
      </c>
      <c r="C1992" s="56" t="s">
        <v>2729</v>
      </c>
      <c r="D1992" s="73" t="str">
        <f>IFERROR(VLOOKUP(C1992,Stock,3,FALSE),"")</f>
        <v>Honda HR-V 14-21 5D SUV</v>
      </c>
      <c r="E1992" s="56">
        <v>1.0</v>
      </c>
      <c r="F1992" s="161">
        <v>1956000.0</v>
      </c>
      <c r="G1992" s="162">
        <f t="shared" si="33"/>
        <v>1956000</v>
      </c>
      <c r="H1992" s="194"/>
      <c r="I1992" s="161">
        <f t="shared" si="36"/>
        <v>1956000</v>
      </c>
      <c r="J1992" s="164">
        <f t="shared" si="30"/>
        <v>1956000</v>
      </c>
      <c r="K1992" s="56" t="s">
        <v>7906</v>
      </c>
      <c r="L1992" s="165" t="s">
        <v>7907</v>
      </c>
      <c r="M1992" s="73"/>
      <c r="N1992" s="169" t="s">
        <v>7908</v>
      </c>
      <c r="O1992" s="169" t="s">
        <v>2958</v>
      </c>
      <c r="P1992" s="168" t="s">
        <v>3112</v>
      </c>
      <c r="Q1992" s="173"/>
      <c r="R1992" s="167">
        <v>2156000.0</v>
      </c>
      <c r="S1992" s="173"/>
      <c r="T1992" s="173"/>
      <c r="U1992" s="173"/>
      <c r="V1992" s="168" t="s">
        <v>3883</v>
      </c>
      <c r="W1992" s="169"/>
      <c r="X1992" s="171"/>
    </row>
    <row r="1993" ht="15.0" customHeight="1">
      <c r="A1993" s="127">
        <v>45804.0</v>
      </c>
      <c r="B1993" s="181" t="s">
        <v>7909</v>
      </c>
      <c r="C1993" s="56" t="s">
        <v>5598</v>
      </c>
      <c r="D1993" s="73" t="str">
        <f>IFERROR(VLOOKUP(C1993,Stock,3,FALSE),"")</f>
        <v>Toyota Avanza / Xenia 11-15 2nd Gen / 15-21 3rd Gen</v>
      </c>
      <c r="E1993" s="56">
        <v>1.0</v>
      </c>
      <c r="F1993" s="161">
        <v>550000.0</v>
      </c>
      <c r="G1993" s="162">
        <f t="shared" si="33"/>
        <v>550000</v>
      </c>
      <c r="H1993" s="201">
        <v>50000.0</v>
      </c>
      <c r="I1993" s="161">
        <f t="shared" si="36"/>
        <v>500000</v>
      </c>
      <c r="J1993" s="164">
        <f t="shared" si="30"/>
        <v>500000</v>
      </c>
      <c r="K1993" s="56" t="s">
        <v>7910</v>
      </c>
      <c r="L1993" s="165" t="s">
        <v>7911</v>
      </c>
      <c r="M1993" s="73"/>
      <c r="N1993" s="171"/>
      <c r="O1993" s="169" t="s">
        <v>2958</v>
      </c>
      <c r="P1993" s="168" t="s">
        <v>3112</v>
      </c>
      <c r="Q1993" s="173"/>
      <c r="R1993" s="167">
        <v>500000.0</v>
      </c>
      <c r="S1993" s="173"/>
      <c r="T1993" s="173"/>
      <c r="U1993" s="173"/>
      <c r="V1993" s="168" t="s">
        <v>3883</v>
      </c>
      <c r="W1993" s="169"/>
      <c r="X1993" s="171"/>
    </row>
    <row r="1994" ht="15.0" customHeight="1">
      <c r="A1994" s="127">
        <v>45805.0</v>
      </c>
      <c r="B1994" s="181" t="s">
        <v>7912</v>
      </c>
      <c r="C1994" s="56" t="s">
        <v>3186</v>
      </c>
      <c r="D1994" s="73" t="str">
        <f>IFERROR(VLOOKUP(C1994,Stock,3,FALSE),"")</f>
        <v>Daihatsu Gran Max / Luxio 07-</v>
      </c>
      <c r="E1994" s="56">
        <v>1.0</v>
      </c>
      <c r="F1994" s="161">
        <v>1050000.0</v>
      </c>
      <c r="G1994" s="162">
        <f t="shared" si="33"/>
        <v>1050000</v>
      </c>
      <c r="H1994" s="194"/>
      <c r="I1994" s="161">
        <f t="shared" si="36"/>
        <v>1050000</v>
      </c>
      <c r="J1994" s="164">
        <f t="shared" si="30"/>
        <v>1050000</v>
      </c>
      <c r="K1994" s="56" t="s">
        <v>7913</v>
      </c>
      <c r="L1994" s="165" t="s">
        <v>7914</v>
      </c>
      <c r="M1994" s="73"/>
      <c r="N1994" s="171"/>
      <c r="O1994" s="169" t="s">
        <v>3858</v>
      </c>
      <c r="P1994" s="168" t="s">
        <v>3112</v>
      </c>
      <c r="Q1994" s="167">
        <v>1050000.0</v>
      </c>
      <c r="R1994" s="173"/>
      <c r="S1994" s="173"/>
      <c r="T1994" s="173"/>
      <c r="U1994" s="173"/>
      <c r="V1994" s="168" t="s">
        <v>3883</v>
      </c>
      <c r="W1994" s="169"/>
      <c r="X1994" s="171"/>
    </row>
    <row r="1995" ht="15.0" customHeight="1">
      <c r="A1995" s="127">
        <v>45805.0</v>
      </c>
      <c r="B1995" s="181" t="s">
        <v>7915</v>
      </c>
      <c r="C1995" s="56" t="s">
        <v>3045</v>
      </c>
      <c r="D1995" s="73" t="str">
        <f>IFERROR(VLOOKUP(C1995,Stock,3,FALSE),"")</f>
        <v>Pemasangan Kaca Mobil Depan</v>
      </c>
      <c r="E1995" s="56">
        <v>1.0</v>
      </c>
      <c r="F1995" s="161">
        <v>550000.0</v>
      </c>
      <c r="G1995" s="162">
        <f t="shared" si="33"/>
        <v>550000</v>
      </c>
      <c r="H1995" s="194"/>
      <c r="I1995" s="161">
        <f t="shared" si="36"/>
        <v>550000</v>
      </c>
      <c r="J1995" s="164">
        <f t="shared" si="30"/>
        <v>550000</v>
      </c>
      <c r="K1995" s="56" t="s">
        <v>7916</v>
      </c>
      <c r="L1995" s="165" t="s">
        <v>7917</v>
      </c>
      <c r="M1995" s="73"/>
      <c r="N1995" s="171"/>
      <c r="O1995" s="169" t="s">
        <v>2958</v>
      </c>
      <c r="P1995" s="168" t="s">
        <v>3112</v>
      </c>
      <c r="Q1995" s="173"/>
      <c r="R1995" s="167">
        <v>100000.0</v>
      </c>
      <c r="S1995" s="173"/>
      <c r="T1995" s="173"/>
      <c r="U1995" s="173"/>
      <c r="V1995" s="168" t="s">
        <v>3883</v>
      </c>
      <c r="W1995" s="169"/>
      <c r="X1995" s="171"/>
    </row>
    <row r="1996" ht="15.0" customHeight="1">
      <c r="A1996" s="127">
        <v>45805.0</v>
      </c>
      <c r="B1996" s="181" t="s">
        <v>7915</v>
      </c>
      <c r="C1996" s="56" t="s">
        <v>2954</v>
      </c>
      <c r="D1996" s="73" t="str">
        <f>IFERROR(VLOOKUP(C1996,Stock,3,FALSE),"")</f>
        <v>Transport</v>
      </c>
      <c r="E1996" s="56">
        <v>1.0</v>
      </c>
      <c r="F1996" s="161">
        <v>100000.0</v>
      </c>
      <c r="G1996" s="162">
        <f t="shared" si="33"/>
        <v>100000</v>
      </c>
      <c r="H1996" s="194"/>
      <c r="I1996" s="161">
        <f t="shared" si="36"/>
        <v>100000</v>
      </c>
      <c r="J1996" s="164">
        <f t="shared" si="30"/>
        <v>100000</v>
      </c>
      <c r="K1996" s="56" t="s">
        <v>7916</v>
      </c>
      <c r="L1996" s="165" t="s">
        <v>7917</v>
      </c>
      <c r="M1996" s="73"/>
      <c r="N1996" s="171"/>
      <c r="O1996" s="169" t="s">
        <v>2958</v>
      </c>
      <c r="P1996" s="168" t="s">
        <v>3112</v>
      </c>
      <c r="Q1996" s="173"/>
      <c r="R1996" s="173"/>
      <c r="S1996" s="173"/>
      <c r="T1996" s="173"/>
      <c r="U1996" s="173"/>
      <c r="V1996" s="168" t="s">
        <v>3883</v>
      </c>
      <c r="W1996" s="169"/>
      <c r="X1996" s="171"/>
    </row>
    <row r="1997" ht="15.0" customHeight="1">
      <c r="A1997" s="127">
        <v>45807.0</v>
      </c>
      <c r="B1997" s="181" t="s">
        <v>7918</v>
      </c>
      <c r="C1997" s="56" t="s">
        <v>3582</v>
      </c>
      <c r="D1997" s="73" t="str">
        <f>IFERROR(VLOOKUP(C1997,Stock,3,FALSE),"")</f>
        <v>Honda CR-V 12-16 4th Gen</v>
      </c>
      <c r="E1997" s="56">
        <v>1.0</v>
      </c>
      <c r="F1997" s="161">
        <v>1999000.0</v>
      </c>
      <c r="G1997" s="162">
        <f t="shared" si="33"/>
        <v>1999000</v>
      </c>
      <c r="H1997" s="194"/>
      <c r="I1997" s="161">
        <f t="shared" si="36"/>
        <v>1999000</v>
      </c>
      <c r="J1997" s="164">
        <f t="shared" si="30"/>
        <v>1999000</v>
      </c>
      <c r="K1997" s="56" t="s">
        <v>7919</v>
      </c>
      <c r="L1997" s="165" t="s">
        <v>7920</v>
      </c>
      <c r="M1997" s="73"/>
      <c r="N1997" s="169" t="s">
        <v>7921</v>
      </c>
      <c r="O1997" s="169" t="s">
        <v>2958</v>
      </c>
      <c r="P1997" s="168" t="s">
        <v>3112</v>
      </c>
      <c r="Q1997" s="173"/>
      <c r="R1997" s="167">
        <v>1999000.0</v>
      </c>
      <c r="S1997" s="173"/>
      <c r="T1997" s="173"/>
      <c r="U1997" s="173"/>
      <c r="V1997" s="168" t="s">
        <v>3883</v>
      </c>
      <c r="W1997" s="169"/>
      <c r="X1997" s="171"/>
    </row>
    <row r="1998" ht="15.0" customHeight="1">
      <c r="A1998" s="127">
        <v>45807.0</v>
      </c>
      <c r="B1998" s="181" t="s">
        <v>7922</v>
      </c>
      <c r="C1998" s="56" t="s">
        <v>3235</v>
      </c>
      <c r="D1998" s="73" t="str">
        <f>IFERROR(VLOOKUP(C1998,Stock,3,FALSE),"")</f>
        <v>Toyota Vios 02-07 XP40 1st Gen</v>
      </c>
      <c r="E1998" s="56">
        <v>1.0</v>
      </c>
      <c r="F1998" s="161">
        <v>1455000.0</v>
      </c>
      <c r="G1998" s="162">
        <f t="shared" si="33"/>
        <v>1455000</v>
      </c>
      <c r="H1998" s="194"/>
      <c r="I1998" s="161">
        <f t="shared" si="36"/>
        <v>1455000</v>
      </c>
      <c r="J1998" s="164">
        <f t="shared" si="30"/>
        <v>1455000</v>
      </c>
      <c r="K1998" s="56" t="s">
        <v>7923</v>
      </c>
      <c r="L1998" s="165" t="s">
        <v>7924</v>
      </c>
      <c r="M1998" s="73"/>
      <c r="N1998" s="171"/>
      <c r="O1998" s="169" t="s">
        <v>2958</v>
      </c>
      <c r="P1998" s="168" t="s">
        <v>3112</v>
      </c>
      <c r="Q1998" s="173"/>
      <c r="R1998" s="167">
        <v>1455000.0</v>
      </c>
      <c r="S1998" s="173"/>
      <c r="T1998" s="173"/>
      <c r="U1998" s="173"/>
      <c r="V1998" s="168" t="s">
        <v>3883</v>
      </c>
      <c r="W1998" s="169"/>
      <c r="X1998" s="171"/>
    </row>
    <row r="1999" ht="15.0" customHeight="1">
      <c r="A1999" s="127">
        <v>45807.0</v>
      </c>
      <c r="B1999" s="181" t="s">
        <v>7925</v>
      </c>
      <c r="C1999" s="56" t="s">
        <v>2691</v>
      </c>
      <c r="D1999" s="73" t="str">
        <f>IFERROR(VLOOKUP(C1999,Stock,3,FALSE),"")</f>
        <v>Suzuki Ertiga 12-18 1st Gen MPV</v>
      </c>
      <c r="E1999" s="56">
        <v>1.0</v>
      </c>
      <c r="F1999" s="161">
        <v>1310000.0</v>
      </c>
      <c r="G1999" s="162">
        <f t="shared" si="33"/>
        <v>1310000</v>
      </c>
      <c r="H1999" s="194"/>
      <c r="I1999" s="161">
        <f t="shared" si="36"/>
        <v>1310000</v>
      </c>
      <c r="J1999" s="164">
        <f t="shared" si="30"/>
        <v>1310000</v>
      </c>
      <c r="K1999" s="56" t="s">
        <v>7926</v>
      </c>
      <c r="L1999" s="165" t="s">
        <v>7927</v>
      </c>
      <c r="M1999" s="73"/>
      <c r="N1999" s="169" t="s">
        <v>7928</v>
      </c>
      <c r="O1999" s="169" t="s">
        <v>3858</v>
      </c>
      <c r="P1999" s="168" t="s">
        <v>3112</v>
      </c>
      <c r="Q1999" s="167">
        <v>1310000.0</v>
      </c>
      <c r="R1999" s="173"/>
      <c r="S1999" s="173"/>
      <c r="T1999" s="173"/>
      <c r="U1999" s="173"/>
      <c r="V1999" s="168" t="s">
        <v>3883</v>
      </c>
      <c r="W1999" s="169"/>
      <c r="X1999" s="171"/>
    </row>
    <row r="2000" ht="15.0" customHeight="1">
      <c r="A2000" s="127">
        <v>45807.0</v>
      </c>
      <c r="B2000" s="181" t="s">
        <v>7929</v>
      </c>
      <c r="C2000" s="56" t="s">
        <v>5365</v>
      </c>
      <c r="D2000" s="73" t="str">
        <f>IFERROR(VLOOKUP(C2000,Stock,3,FALSE),"")</f>
        <v>Nissan Livina  07-12 L10 (Tanpa Lubang) Nissan</v>
      </c>
      <c r="E2000" s="56">
        <v>1.0</v>
      </c>
      <c r="F2000" s="161">
        <v>1620000.0</v>
      </c>
      <c r="G2000" s="162">
        <f t="shared" si="33"/>
        <v>1620000</v>
      </c>
      <c r="H2000" s="194"/>
      <c r="I2000" s="161">
        <f t="shared" si="36"/>
        <v>1620000</v>
      </c>
      <c r="J2000" s="164">
        <f t="shared" si="30"/>
        <v>1620000</v>
      </c>
      <c r="K2000" s="56" t="s">
        <v>7930</v>
      </c>
      <c r="L2000" s="165" t="s">
        <v>7931</v>
      </c>
      <c r="M2000" s="73"/>
      <c r="N2000" s="171"/>
      <c r="O2000" s="169" t="s">
        <v>2958</v>
      </c>
      <c r="P2000" s="168" t="s">
        <v>3112</v>
      </c>
      <c r="Q2000" s="173"/>
      <c r="R2000" s="167">
        <v>1620000.0</v>
      </c>
      <c r="S2000" s="173"/>
      <c r="T2000" s="173"/>
      <c r="U2000" s="173"/>
      <c r="V2000" s="168" t="s">
        <v>3883</v>
      </c>
      <c r="W2000" s="169"/>
      <c r="X2000" s="171"/>
    </row>
    <row r="2001" ht="15.0" customHeight="1">
      <c r="A2001" s="127">
        <v>45807.0</v>
      </c>
      <c r="B2001" s="181" t="s">
        <v>7932</v>
      </c>
      <c r="C2001" s="56" t="s">
        <v>4901</v>
      </c>
      <c r="D2001" s="73" t="str">
        <f>IFERROR(VLOOKUP(C2001,Stock,3,FALSE),"")</f>
        <v>Toyota Rush / Terios 18-</v>
      </c>
      <c r="E2001" s="56">
        <v>1.0</v>
      </c>
      <c r="F2001" s="161">
        <v>852000.0</v>
      </c>
      <c r="G2001" s="162">
        <f t="shared" si="33"/>
        <v>852000</v>
      </c>
      <c r="H2001" s="194"/>
      <c r="I2001" s="161">
        <f t="shared" si="36"/>
        <v>852000</v>
      </c>
      <c r="J2001" s="164">
        <f t="shared" si="30"/>
        <v>852000</v>
      </c>
      <c r="K2001" s="56" t="s">
        <v>4271</v>
      </c>
      <c r="L2001" s="165" t="s">
        <v>4001</v>
      </c>
      <c r="M2001" s="73"/>
      <c r="N2001" s="171"/>
      <c r="O2001" s="169" t="s">
        <v>3037</v>
      </c>
      <c r="P2001" s="168" t="s">
        <v>3112</v>
      </c>
      <c r="Q2001" s="167">
        <v>852000.0</v>
      </c>
      <c r="R2001" s="173"/>
      <c r="S2001" s="173"/>
      <c r="T2001" s="173"/>
      <c r="U2001" s="173"/>
      <c r="V2001" s="168" t="s">
        <v>3883</v>
      </c>
      <c r="W2001" s="169"/>
      <c r="X2001" s="171"/>
    </row>
    <row r="2002" ht="15.0" customHeight="1">
      <c r="A2002" s="127">
        <v>45807.0</v>
      </c>
      <c r="B2002" s="181" t="s">
        <v>7932</v>
      </c>
      <c r="C2002" s="56" t="s">
        <v>2954</v>
      </c>
      <c r="D2002" s="73" t="str">
        <f>IFERROR(VLOOKUP(C2002,Stock,3,FALSE),"")</f>
        <v>Transport</v>
      </c>
      <c r="E2002" s="56">
        <v>1.0</v>
      </c>
      <c r="F2002" s="161">
        <v>100000.0</v>
      </c>
      <c r="G2002" s="162">
        <f t="shared" si="33"/>
        <v>100000</v>
      </c>
      <c r="H2002" s="194"/>
      <c r="I2002" s="161">
        <f t="shared" si="36"/>
        <v>100000</v>
      </c>
      <c r="J2002" s="164">
        <f t="shared" si="30"/>
        <v>100000</v>
      </c>
      <c r="K2002" s="56" t="s">
        <v>4271</v>
      </c>
      <c r="L2002" s="165" t="s">
        <v>4001</v>
      </c>
      <c r="M2002" s="73"/>
      <c r="N2002" s="171"/>
      <c r="O2002" s="169" t="s">
        <v>3037</v>
      </c>
      <c r="P2002" s="168" t="s">
        <v>3112</v>
      </c>
      <c r="Q2002" s="167">
        <v>100000.0</v>
      </c>
      <c r="R2002" s="173"/>
      <c r="S2002" s="173"/>
      <c r="T2002" s="173"/>
      <c r="U2002" s="173"/>
      <c r="V2002" s="168" t="s">
        <v>3883</v>
      </c>
      <c r="W2002" s="169"/>
      <c r="X2002" s="171"/>
    </row>
    <row r="2003" ht="15.0" customHeight="1">
      <c r="A2003" s="127">
        <v>45808.0</v>
      </c>
      <c r="B2003" s="181" t="s">
        <v>7933</v>
      </c>
      <c r="C2003" s="56" t="s">
        <v>3186</v>
      </c>
      <c r="D2003" s="73" t="str">
        <f>IFERROR(VLOOKUP(C2003,Stock,3,FALSE),"")</f>
        <v>Daihatsu Gran Max / Luxio 07-</v>
      </c>
      <c r="E2003" s="56">
        <v>1.0</v>
      </c>
      <c r="F2003" s="161">
        <v>880000.0</v>
      </c>
      <c r="G2003" s="162">
        <f t="shared" si="33"/>
        <v>880000</v>
      </c>
      <c r="H2003" s="194"/>
      <c r="I2003" s="161">
        <f t="shared" si="36"/>
        <v>880000</v>
      </c>
      <c r="J2003" s="164">
        <f t="shared" si="30"/>
        <v>880000</v>
      </c>
      <c r="K2003" s="56" t="s">
        <v>4225</v>
      </c>
      <c r="L2003" s="165" t="s">
        <v>7271</v>
      </c>
      <c r="M2003" s="73"/>
      <c r="N2003" s="171"/>
      <c r="O2003" s="169" t="s">
        <v>3213</v>
      </c>
      <c r="P2003" s="168" t="s">
        <v>3112</v>
      </c>
      <c r="Q2003" s="173"/>
      <c r="R2003" s="167">
        <v>880000.0</v>
      </c>
      <c r="S2003" s="173"/>
      <c r="T2003" s="173"/>
      <c r="U2003" s="173"/>
      <c r="V2003" s="168" t="s">
        <v>3883</v>
      </c>
      <c r="W2003" s="169"/>
      <c r="X2003" s="171"/>
    </row>
    <row r="2004" ht="15.0" customHeight="1">
      <c r="A2004" s="127">
        <v>45808.0</v>
      </c>
      <c r="B2004" s="181" t="s">
        <v>7933</v>
      </c>
      <c r="C2004" s="56" t="s">
        <v>4027</v>
      </c>
      <c r="D2004" s="73" t="str">
        <f>IFERROR(VLOOKUP(C2004,Stock,3,FALSE),"")</f>
        <v>501 Sealant Application</v>
      </c>
      <c r="E2004" s="56">
        <v>2.0</v>
      </c>
      <c r="F2004" s="161">
        <v>95000.0</v>
      </c>
      <c r="G2004" s="162">
        <f t="shared" si="33"/>
        <v>190000</v>
      </c>
      <c r="H2004" s="194"/>
      <c r="I2004" s="161">
        <f t="shared" si="36"/>
        <v>190000</v>
      </c>
      <c r="J2004" s="164">
        <f t="shared" si="30"/>
        <v>190000</v>
      </c>
      <c r="K2004" s="56" t="s">
        <v>4225</v>
      </c>
      <c r="L2004" s="165" t="s">
        <v>7271</v>
      </c>
      <c r="M2004" s="73"/>
      <c r="N2004" s="171"/>
      <c r="O2004" s="169" t="s">
        <v>3213</v>
      </c>
      <c r="P2004" s="168" t="s">
        <v>3112</v>
      </c>
      <c r="Q2004" s="173"/>
      <c r="R2004" s="167">
        <v>190000.0</v>
      </c>
      <c r="S2004" s="173"/>
      <c r="T2004" s="173"/>
      <c r="U2004" s="173"/>
      <c r="V2004" s="168" t="s">
        <v>3883</v>
      </c>
      <c r="W2004" s="169"/>
      <c r="X2004" s="171"/>
    </row>
    <row r="2005" ht="15.0" customHeight="1">
      <c r="A2005" s="127">
        <v>45808.0</v>
      </c>
      <c r="B2005" s="181" t="s">
        <v>7933</v>
      </c>
      <c r="C2005" s="56" t="s">
        <v>2934</v>
      </c>
      <c r="D2005" s="73" t="str">
        <f>IFERROR(VLOOKUP(C2005,Stock,3,FALSE),"")</f>
        <v>Peti Kayu</v>
      </c>
      <c r="E2005" s="56">
        <v>1.0</v>
      </c>
      <c r="F2005" s="161">
        <v>200000.0</v>
      </c>
      <c r="G2005" s="162">
        <f t="shared" si="33"/>
        <v>200000</v>
      </c>
      <c r="H2005" s="194"/>
      <c r="I2005" s="161">
        <f t="shared" si="36"/>
        <v>200000</v>
      </c>
      <c r="J2005" s="164">
        <f t="shared" si="30"/>
        <v>200000</v>
      </c>
      <c r="K2005" s="56" t="s">
        <v>4225</v>
      </c>
      <c r="L2005" s="165" t="s">
        <v>7271</v>
      </c>
      <c r="M2005" s="73"/>
      <c r="N2005" s="171"/>
      <c r="O2005" s="169" t="s">
        <v>3213</v>
      </c>
      <c r="P2005" s="168" t="s">
        <v>3112</v>
      </c>
      <c r="Q2005" s="173"/>
      <c r="R2005" s="167">
        <v>200000.0</v>
      </c>
      <c r="S2005" s="173"/>
      <c r="T2005" s="173"/>
      <c r="U2005" s="173"/>
      <c r="V2005" s="168" t="s">
        <v>3883</v>
      </c>
      <c r="W2005" s="169"/>
      <c r="X2005" s="171"/>
    </row>
    <row r="2006" ht="15.0" customHeight="1">
      <c r="A2006" s="127">
        <v>45808.0</v>
      </c>
      <c r="B2006" s="181" t="s">
        <v>7934</v>
      </c>
      <c r="C2006" s="56" t="s">
        <v>7935</v>
      </c>
      <c r="D2006" s="73" t="str">
        <f>IFERROR(VLOOKUP(C2006,Stock,3,FALSE),"")</f>
        <v>Toyota Sienta 15-</v>
      </c>
      <c r="E2006" s="56">
        <v>1.0</v>
      </c>
      <c r="F2006" s="161">
        <v>845000.0</v>
      </c>
      <c r="G2006" s="162">
        <f t="shared" si="33"/>
        <v>845000</v>
      </c>
      <c r="H2006" s="194"/>
      <c r="I2006" s="161">
        <f t="shared" si="36"/>
        <v>845000</v>
      </c>
      <c r="J2006" s="164">
        <f t="shared" si="30"/>
        <v>845000</v>
      </c>
      <c r="K2006" s="56" t="s">
        <v>7936</v>
      </c>
      <c r="L2006" s="165" t="s">
        <v>7937</v>
      </c>
      <c r="M2006" s="73"/>
      <c r="N2006" s="171"/>
      <c r="O2006" s="169" t="s">
        <v>2958</v>
      </c>
      <c r="P2006" s="168" t="s">
        <v>3112</v>
      </c>
      <c r="Q2006" s="167">
        <v>676000.0</v>
      </c>
      <c r="R2006" s="167">
        <v>169000.0</v>
      </c>
      <c r="S2006" s="173"/>
      <c r="T2006" s="173"/>
      <c r="U2006" s="173"/>
      <c r="V2006" s="168" t="s">
        <v>3883</v>
      </c>
      <c r="W2006" s="169"/>
      <c r="X2006" s="169" t="s">
        <v>7938</v>
      </c>
    </row>
    <row r="2007" ht="15.0" customHeight="1">
      <c r="A2007" s="127">
        <v>45809.0</v>
      </c>
      <c r="B2007" s="181" t="s">
        <v>7939</v>
      </c>
      <c r="C2007" s="56" t="s">
        <v>2936</v>
      </c>
      <c r="D2007" s="73" t="str">
        <f>IFERROR(VLOOKUP(C2007,Stock,3,FALSE),"")</f>
        <v>Toyota Calya / Sigra 16-</v>
      </c>
      <c r="E2007" s="56">
        <v>1.0</v>
      </c>
      <c r="F2007" s="161">
        <v>880000.0</v>
      </c>
      <c r="G2007" s="162">
        <f t="shared" si="33"/>
        <v>880000</v>
      </c>
      <c r="H2007" s="194"/>
      <c r="I2007" s="161">
        <f t="shared" si="36"/>
        <v>880000</v>
      </c>
      <c r="J2007" s="164">
        <f t="shared" si="30"/>
        <v>880000</v>
      </c>
      <c r="K2007" s="56" t="s">
        <v>7940</v>
      </c>
      <c r="L2007" s="165" t="s">
        <v>7941</v>
      </c>
      <c r="M2007" s="73"/>
      <c r="N2007" s="171"/>
      <c r="O2007" s="169" t="s">
        <v>3213</v>
      </c>
      <c r="P2007" s="168" t="s">
        <v>3112</v>
      </c>
      <c r="Q2007" s="167">
        <v>880000.0</v>
      </c>
      <c r="R2007" s="173"/>
      <c r="S2007" s="173"/>
      <c r="T2007" s="173"/>
      <c r="U2007" s="173"/>
      <c r="V2007" s="168" t="s">
        <v>3883</v>
      </c>
      <c r="W2007" s="169"/>
      <c r="X2007" s="171"/>
    </row>
    <row r="2008" ht="15.0" customHeight="1">
      <c r="A2008" s="127">
        <v>45809.0</v>
      </c>
      <c r="B2008" s="181" t="s">
        <v>7942</v>
      </c>
      <c r="C2008" s="56" t="s">
        <v>5892</v>
      </c>
      <c r="D2008" s="73" t="str">
        <f>IFERROR(VLOOKUP(C2008,Stock,3,FALSE),"")</f>
        <v>Tata Superace 11-</v>
      </c>
      <c r="E2008" s="56">
        <v>1.0</v>
      </c>
      <c r="F2008" s="161">
        <v>1430000.0</v>
      </c>
      <c r="G2008" s="162">
        <f t="shared" si="33"/>
        <v>1430000</v>
      </c>
      <c r="H2008" s="201">
        <v>80000.0</v>
      </c>
      <c r="I2008" s="161">
        <f t="shared" si="36"/>
        <v>1350000</v>
      </c>
      <c r="J2008" s="164">
        <f t="shared" si="30"/>
        <v>1350000</v>
      </c>
      <c r="K2008" s="56" t="s">
        <v>5914</v>
      </c>
      <c r="L2008" s="165" t="s">
        <v>7943</v>
      </c>
      <c r="M2008" s="73"/>
      <c r="N2008" s="171"/>
      <c r="O2008" s="169" t="s">
        <v>2958</v>
      </c>
      <c r="P2008" s="168" t="s">
        <v>3112</v>
      </c>
      <c r="Q2008" s="173"/>
      <c r="R2008" s="167">
        <v>1350000.0</v>
      </c>
      <c r="S2008" s="173"/>
      <c r="T2008" s="173"/>
      <c r="U2008" s="173"/>
      <c r="V2008" s="168" t="s">
        <v>3883</v>
      </c>
      <c r="W2008" s="169"/>
      <c r="X2008" s="171"/>
    </row>
    <row r="2009" ht="15.0" customHeight="1">
      <c r="A2009" s="127">
        <v>45810.0</v>
      </c>
      <c r="B2009" s="181" t="s">
        <v>7944</v>
      </c>
      <c r="C2009" s="56" t="s">
        <v>3186</v>
      </c>
      <c r="D2009" s="73" t="str">
        <f>IFERROR(VLOOKUP(C2009,Stock,3,FALSE),"")</f>
        <v>Daihatsu Gran Max / Luxio 07-</v>
      </c>
      <c r="E2009" s="56">
        <v>1.0</v>
      </c>
      <c r="F2009" s="161">
        <v>1000000.0</v>
      </c>
      <c r="G2009" s="162">
        <f t="shared" si="33"/>
        <v>1000000</v>
      </c>
      <c r="H2009" s="194"/>
      <c r="I2009" s="161">
        <f t="shared" si="36"/>
        <v>1000000</v>
      </c>
      <c r="J2009" s="164">
        <f t="shared" si="30"/>
        <v>1000000</v>
      </c>
      <c r="K2009" s="56" t="s">
        <v>7945</v>
      </c>
      <c r="L2009" s="165" t="s">
        <v>7946</v>
      </c>
      <c r="M2009" s="73"/>
      <c r="N2009" s="171"/>
      <c r="O2009" s="169" t="s">
        <v>2958</v>
      </c>
      <c r="P2009" s="168" t="s">
        <v>3112</v>
      </c>
      <c r="Q2009" s="167">
        <v>1000000.0</v>
      </c>
      <c r="R2009" s="173"/>
      <c r="S2009" s="173"/>
      <c r="T2009" s="173"/>
      <c r="U2009" s="173"/>
      <c r="V2009" s="168" t="s">
        <v>3883</v>
      </c>
      <c r="W2009" s="169"/>
      <c r="X2009" s="171"/>
    </row>
    <row r="2010" ht="15.0" customHeight="1">
      <c r="A2010" s="127">
        <v>45810.0</v>
      </c>
      <c r="B2010" s="181" t="s">
        <v>7947</v>
      </c>
      <c r="C2010" s="56" t="s">
        <v>2665</v>
      </c>
      <c r="D2010" s="73" t="str">
        <f>IFERROR(VLOOKUP(C2010,Stock,3,FALSE),"")</f>
        <v>Chevrolet Spin 12-</v>
      </c>
      <c r="E2010" s="56">
        <v>1.0</v>
      </c>
      <c r="F2010" s="161">
        <v>1700000.0</v>
      </c>
      <c r="G2010" s="162">
        <f t="shared" si="33"/>
        <v>1700000</v>
      </c>
      <c r="H2010" s="194"/>
      <c r="I2010" s="161">
        <f t="shared" si="36"/>
        <v>1700000</v>
      </c>
      <c r="J2010" s="164">
        <f t="shared" si="30"/>
        <v>1700000</v>
      </c>
      <c r="K2010" s="56" t="s">
        <v>7948</v>
      </c>
      <c r="L2010" s="165" t="s">
        <v>7949</v>
      </c>
      <c r="M2010" s="73"/>
      <c r="N2010" s="171"/>
      <c r="O2010" s="169" t="s">
        <v>2958</v>
      </c>
      <c r="P2010" s="168" t="s">
        <v>3112</v>
      </c>
      <c r="Q2010" s="173"/>
      <c r="R2010" s="167">
        <v>1700000.0</v>
      </c>
      <c r="S2010" s="173"/>
      <c r="T2010" s="173"/>
      <c r="U2010" s="173"/>
      <c r="V2010" s="168" t="s">
        <v>3883</v>
      </c>
      <c r="W2010" s="169"/>
      <c r="X2010" s="171"/>
    </row>
    <row r="2011" ht="15.0" customHeight="1">
      <c r="A2011" s="127">
        <v>45811.0</v>
      </c>
      <c r="B2011" s="181" t="s">
        <v>7950</v>
      </c>
      <c r="C2011" s="56" t="s">
        <v>3186</v>
      </c>
      <c r="D2011" s="73" t="str">
        <f>IFERROR(VLOOKUP(C2011,Stock,3,FALSE),"")</f>
        <v>Daihatsu Gran Max / Luxio 07-</v>
      </c>
      <c r="E2011" s="56">
        <v>1.0</v>
      </c>
      <c r="F2011" s="161">
        <v>1050000.0</v>
      </c>
      <c r="G2011" s="162">
        <f t="shared" si="33"/>
        <v>1050000</v>
      </c>
      <c r="H2011" s="194"/>
      <c r="I2011" s="161">
        <f t="shared" si="36"/>
        <v>1050000</v>
      </c>
      <c r="J2011" s="164">
        <f t="shared" si="30"/>
        <v>1050000</v>
      </c>
      <c r="K2011" s="56" t="s">
        <v>7951</v>
      </c>
      <c r="L2011" s="165" t="s">
        <v>7952</v>
      </c>
      <c r="M2011" s="73"/>
      <c r="N2011" s="169" t="s">
        <v>7953</v>
      </c>
      <c r="O2011" s="169" t="s">
        <v>2958</v>
      </c>
      <c r="P2011" s="168" t="s">
        <v>3112</v>
      </c>
      <c r="Q2011" s="167">
        <v>1100000.0</v>
      </c>
      <c r="R2011" s="173"/>
      <c r="S2011" s="173"/>
      <c r="T2011" s="173"/>
      <c r="U2011" s="167">
        <v>50000.0</v>
      </c>
      <c r="V2011" s="168" t="s">
        <v>3799</v>
      </c>
      <c r="W2011" s="169"/>
      <c r="X2011" s="171"/>
    </row>
    <row r="2012" ht="15.0" customHeight="1">
      <c r="A2012" s="127">
        <v>45811.0</v>
      </c>
      <c r="B2012" s="181" t="s">
        <v>7954</v>
      </c>
      <c r="C2012" s="56" t="s">
        <v>7955</v>
      </c>
      <c r="D2012" s="73" t="str">
        <f>IFERROR(VLOOKUP(C2012,Stock,3,FALSE),"")</f>
        <v>Mers-Benz E-Class 09-16 W212 (2 Sensor/ □Δ)</v>
      </c>
      <c r="E2012" s="56">
        <v>1.0</v>
      </c>
      <c r="F2012" s="161">
        <v>4732000.0</v>
      </c>
      <c r="G2012" s="162">
        <f t="shared" si="33"/>
        <v>4732000</v>
      </c>
      <c r="H2012" s="201">
        <v>132000.0</v>
      </c>
      <c r="I2012" s="161">
        <f t="shared" si="36"/>
        <v>4600000</v>
      </c>
      <c r="J2012" s="164">
        <f t="shared" si="30"/>
        <v>4600000</v>
      </c>
      <c r="K2012" s="56" t="s">
        <v>7956</v>
      </c>
      <c r="L2012" s="165" t="s">
        <v>7957</v>
      </c>
      <c r="M2012" s="73"/>
      <c r="N2012" s="289" t="s">
        <v>7958</v>
      </c>
      <c r="O2012" s="169" t="s">
        <v>2958</v>
      </c>
      <c r="P2012" s="168" t="s">
        <v>3112</v>
      </c>
      <c r="Q2012" s="173"/>
      <c r="R2012" s="167">
        <v>4600000.0</v>
      </c>
      <c r="S2012" s="173"/>
      <c r="T2012" s="173"/>
      <c r="U2012" s="173"/>
      <c r="V2012" s="168" t="s">
        <v>3799</v>
      </c>
      <c r="W2012" s="169"/>
      <c r="X2012" s="171"/>
    </row>
    <row r="2013" ht="15.0" customHeight="1">
      <c r="A2013" s="127">
        <v>45811.0</v>
      </c>
      <c r="B2013" s="181" t="s">
        <v>7959</v>
      </c>
      <c r="C2013" s="56" t="s">
        <v>2565</v>
      </c>
      <c r="D2013" s="73" t="str">
        <f>IFERROR(VLOOKUP(C2013,Stock,3,FALSE),"")</f>
        <v>Toyota Avanza / Xenia 03-11 1st Gen</v>
      </c>
      <c r="E2013" s="56">
        <v>1.0</v>
      </c>
      <c r="F2013" s="161">
        <v>1050000.0</v>
      </c>
      <c r="G2013" s="162">
        <f t="shared" si="33"/>
        <v>1050000</v>
      </c>
      <c r="H2013" s="194"/>
      <c r="I2013" s="161">
        <f t="shared" si="36"/>
        <v>1050000</v>
      </c>
      <c r="J2013" s="164">
        <f t="shared" si="30"/>
        <v>1050000</v>
      </c>
      <c r="K2013" s="56" t="s">
        <v>7960</v>
      </c>
      <c r="L2013" s="165" t="s">
        <v>7957</v>
      </c>
      <c r="M2013" s="73"/>
      <c r="N2013" s="289" t="s">
        <v>7961</v>
      </c>
      <c r="O2013" s="169" t="s">
        <v>2968</v>
      </c>
      <c r="P2013" s="168" t="s">
        <v>3011</v>
      </c>
      <c r="Q2013" s="167">
        <v>1100000.0</v>
      </c>
      <c r="R2013" s="173"/>
      <c r="S2013" s="173"/>
      <c r="T2013" s="173"/>
      <c r="U2013" s="167">
        <v>50000.0</v>
      </c>
      <c r="V2013" s="168" t="s">
        <v>3799</v>
      </c>
      <c r="W2013" s="169"/>
      <c r="X2013" s="171"/>
    </row>
    <row r="2014" ht="15.0" customHeight="1">
      <c r="A2014" s="127">
        <v>45811.0</v>
      </c>
      <c r="B2014" s="181" t="s">
        <v>7962</v>
      </c>
      <c r="C2014" s="56" t="s">
        <v>2828</v>
      </c>
      <c r="D2014" s="73" t="str">
        <f>IFERROR(VLOOKUP(C2014,Stock,3,FALSE),"")</f>
        <v>Mitsubishi L300</v>
      </c>
      <c r="E2014" s="56">
        <v>1.0</v>
      </c>
      <c r="F2014" s="161">
        <v>450000.0</v>
      </c>
      <c r="G2014" s="162">
        <f t="shared" si="33"/>
        <v>450000</v>
      </c>
      <c r="H2014" s="194"/>
      <c r="I2014" s="161">
        <f t="shared" si="36"/>
        <v>450000</v>
      </c>
      <c r="J2014" s="164">
        <f t="shared" si="30"/>
        <v>450000</v>
      </c>
      <c r="K2014" s="56" t="s">
        <v>7963</v>
      </c>
      <c r="L2014" s="165" t="s">
        <v>7964</v>
      </c>
      <c r="M2014" s="73"/>
      <c r="N2014" s="171"/>
      <c r="O2014" s="169" t="s">
        <v>2958</v>
      </c>
      <c r="P2014" s="168" t="s">
        <v>3112</v>
      </c>
      <c r="Q2014" s="173"/>
      <c r="R2014" s="167">
        <v>450000.0</v>
      </c>
      <c r="S2014" s="173"/>
      <c r="T2014" s="173"/>
      <c r="U2014" s="173"/>
      <c r="V2014" s="168" t="s">
        <v>3799</v>
      </c>
      <c r="W2014" s="169"/>
      <c r="X2014" s="171"/>
    </row>
    <row r="2015" ht="15.0" customHeight="1">
      <c r="A2015" s="127">
        <v>45811.0</v>
      </c>
      <c r="B2015" s="181" t="s">
        <v>7965</v>
      </c>
      <c r="C2015" s="56" t="s">
        <v>2723</v>
      </c>
      <c r="D2015" s="73" t="str">
        <f>IFERROR(VLOOKUP(C2015,Stock,3,FALSE),"")</f>
        <v>Suzuki Carry New 19-</v>
      </c>
      <c r="E2015" s="56">
        <v>1.0</v>
      </c>
      <c r="F2015" s="161">
        <v>940000.0</v>
      </c>
      <c r="G2015" s="162">
        <f t="shared" si="33"/>
        <v>940000</v>
      </c>
      <c r="H2015" s="194"/>
      <c r="I2015" s="161">
        <f t="shared" si="36"/>
        <v>940000</v>
      </c>
      <c r="J2015" s="164">
        <f t="shared" si="30"/>
        <v>940000</v>
      </c>
      <c r="K2015" s="56" t="s">
        <v>7966</v>
      </c>
      <c r="L2015" s="165" t="s">
        <v>7964</v>
      </c>
      <c r="M2015" s="73"/>
      <c r="N2015" s="171"/>
      <c r="O2015" s="169" t="s">
        <v>3204</v>
      </c>
      <c r="P2015" s="168" t="s">
        <v>3112</v>
      </c>
      <c r="Q2015" s="173"/>
      <c r="R2015" s="167">
        <v>940000.0</v>
      </c>
      <c r="S2015" s="173"/>
      <c r="T2015" s="173"/>
      <c r="U2015" s="173"/>
      <c r="V2015" s="168" t="s">
        <v>3883</v>
      </c>
      <c r="W2015" s="169"/>
      <c r="X2015" s="171"/>
    </row>
    <row r="2016" ht="15.0" customHeight="1">
      <c r="A2016" s="127">
        <v>45812.0</v>
      </c>
      <c r="B2016" s="181" t="s">
        <v>7967</v>
      </c>
      <c r="C2016" s="56" t="s">
        <v>7968</v>
      </c>
      <c r="D2016" s="73" t="str">
        <f>IFERROR(VLOOKUP(C2016,Stock,3,FALSE),"")</f>
        <v>Toyota Innova 22- Zenyx 3rd Gen (Toyota)</v>
      </c>
      <c r="E2016" s="56">
        <v>1.0</v>
      </c>
      <c r="F2016" s="161">
        <v>1222000.0</v>
      </c>
      <c r="G2016" s="162">
        <f t="shared" si="33"/>
        <v>1222000</v>
      </c>
      <c r="H2016" s="194"/>
      <c r="I2016" s="161">
        <f t="shared" si="36"/>
        <v>1222000</v>
      </c>
      <c r="J2016" s="164">
        <f t="shared" si="30"/>
        <v>1222000</v>
      </c>
      <c r="K2016" s="56" t="s">
        <v>7969</v>
      </c>
      <c r="L2016" s="165" t="s">
        <v>7970</v>
      </c>
      <c r="M2016" s="73"/>
      <c r="N2016" s="171"/>
      <c r="O2016" s="169" t="s">
        <v>4961</v>
      </c>
      <c r="P2016" s="168" t="s">
        <v>3112</v>
      </c>
      <c r="Q2016" s="173"/>
      <c r="R2016" s="167">
        <v>1222000.0</v>
      </c>
      <c r="S2016" s="173"/>
      <c r="T2016" s="173"/>
      <c r="U2016" s="173"/>
      <c r="V2016" s="168" t="s">
        <v>3883</v>
      </c>
      <c r="W2016" s="169"/>
      <c r="X2016" s="171"/>
    </row>
    <row r="2017" ht="15.0" customHeight="1">
      <c r="A2017" s="127">
        <v>45812.0</v>
      </c>
      <c r="B2017" s="181" t="s">
        <v>7967</v>
      </c>
      <c r="C2017" s="56" t="s">
        <v>2934</v>
      </c>
      <c r="D2017" s="73" t="str">
        <f>IFERROR(VLOOKUP(C2017,Stock,3,FALSE),"")</f>
        <v>Peti Kayu</v>
      </c>
      <c r="E2017" s="56">
        <v>1.0</v>
      </c>
      <c r="F2017" s="161">
        <v>200000.0</v>
      </c>
      <c r="G2017" s="162">
        <f t="shared" si="33"/>
        <v>200000</v>
      </c>
      <c r="H2017" s="194"/>
      <c r="I2017" s="161">
        <f t="shared" si="36"/>
        <v>200000</v>
      </c>
      <c r="J2017" s="164">
        <f t="shared" si="30"/>
        <v>200000</v>
      </c>
      <c r="K2017" s="56" t="s">
        <v>7969</v>
      </c>
      <c r="L2017" s="165" t="s">
        <v>7970</v>
      </c>
      <c r="M2017" s="73"/>
      <c r="N2017" s="171"/>
      <c r="O2017" s="169" t="s">
        <v>4961</v>
      </c>
      <c r="P2017" s="168" t="s">
        <v>3112</v>
      </c>
      <c r="Q2017" s="173"/>
      <c r="R2017" s="167">
        <v>200000.0</v>
      </c>
      <c r="S2017" s="173"/>
      <c r="T2017" s="173"/>
      <c r="U2017" s="173"/>
      <c r="V2017" s="168" t="s">
        <v>3883</v>
      </c>
      <c r="W2017" s="169"/>
      <c r="X2017" s="171"/>
    </row>
    <row r="2018" ht="15.0" customHeight="1">
      <c r="A2018" s="127">
        <v>45812.0</v>
      </c>
      <c r="B2018" s="181" t="s">
        <v>7971</v>
      </c>
      <c r="C2018" s="56" t="s">
        <v>3025</v>
      </c>
      <c r="D2018" s="73" t="str">
        <f>IFERROR(VLOOKUP(C2018,Stock,3,FALSE),"")</f>
        <v>Toyota Rush / Terios 06-17</v>
      </c>
      <c r="E2018" s="56">
        <v>1.0</v>
      </c>
      <c r="F2018" s="161">
        <v>1398000.0</v>
      </c>
      <c r="G2018" s="162">
        <f t="shared" si="33"/>
        <v>1398000</v>
      </c>
      <c r="H2018" s="194"/>
      <c r="I2018" s="161">
        <f t="shared" si="36"/>
        <v>1398000</v>
      </c>
      <c r="J2018" s="164">
        <f t="shared" si="30"/>
        <v>1398000</v>
      </c>
      <c r="K2018" s="56" t="s">
        <v>7972</v>
      </c>
      <c r="L2018" s="165" t="s">
        <v>7973</v>
      </c>
      <c r="M2018" s="73"/>
      <c r="N2018" s="169" t="s">
        <v>7974</v>
      </c>
      <c r="O2018" s="169" t="s">
        <v>3858</v>
      </c>
      <c r="P2018" s="168" t="s">
        <v>3112</v>
      </c>
      <c r="Q2018" s="167">
        <v>1398000.0</v>
      </c>
      <c r="R2018" s="173"/>
      <c r="S2018" s="173"/>
      <c r="T2018" s="173"/>
      <c r="U2018" s="173"/>
      <c r="V2018" s="168" t="s">
        <v>3883</v>
      </c>
      <c r="W2018" s="169"/>
      <c r="X2018" s="171"/>
    </row>
    <row r="2019" ht="15.0" customHeight="1">
      <c r="A2019" s="127">
        <v>45812.0</v>
      </c>
      <c r="B2019" s="181" t="s">
        <v>7975</v>
      </c>
      <c r="C2019" s="56" t="s">
        <v>3493</v>
      </c>
      <c r="D2019" s="73" t="str">
        <f>IFERROR(VLOOKUP(C2019,Stock,3,FALSE),"")</f>
        <v>Nissan Livina 07-18 L10/L11</v>
      </c>
      <c r="E2019" s="56">
        <v>1.0</v>
      </c>
      <c r="F2019" s="161">
        <v>1442000.0</v>
      </c>
      <c r="G2019" s="162">
        <f t="shared" si="33"/>
        <v>1442000</v>
      </c>
      <c r="H2019" s="194"/>
      <c r="I2019" s="161">
        <f t="shared" si="36"/>
        <v>1442000</v>
      </c>
      <c r="J2019" s="164">
        <f t="shared" si="30"/>
        <v>1442000</v>
      </c>
      <c r="K2019" s="56" t="s">
        <v>7976</v>
      </c>
      <c r="L2019" s="165" t="s">
        <v>7977</v>
      </c>
      <c r="M2019" s="73"/>
      <c r="N2019" s="171"/>
      <c r="O2019" s="169" t="s">
        <v>2958</v>
      </c>
      <c r="P2019" s="168" t="s">
        <v>3112</v>
      </c>
      <c r="Q2019" s="173"/>
      <c r="R2019" s="167">
        <v>1442000.0</v>
      </c>
      <c r="S2019" s="173"/>
      <c r="T2019" s="173"/>
      <c r="U2019" s="173"/>
      <c r="V2019" s="168" t="s">
        <v>3883</v>
      </c>
      <c r="W2019" s="169"/>
      <c r="X2019" s="171"/>
    </row>
    <row r="2020" ht="15.0" customHeight="1">
      <c r="A2020" s="127">
        <v>45812.0</v>
      </c>
      <c r="B2020" s="181" t="s">
        <v>7978</v>
      </c>
      <c r="C2020" s="56" t="s">
        <v>2734</v>
      </c>
      <c r="D2020" s="73" t="str">
        <f>IFERROR(VLOOKUP(C2020,Stock,3,FALSE),"")</f>
        <v>Honda Jazz 07-13 2nd Gen</v>
      </c>
      <c r="E2020" s="56">
        <v>1.0</v>
      </c>
      <c r="F2020" s="161">
        <v>1768000.0</v>
      </c>
      <c r="G2020" s="162">
        <f t="shared" si="33"/>
        <v>1768000</v>
      </c>
      <c r="H2020" s="194"/>
      <c r="I2020" s="161">
        <f t="shared" si="36"/>
        <v>1768000</v>
      </c>
      <c r="J2020" s="164">
        <f t="shared" si="30"/>
        <v>1768000</v>
      </c>
      <c r="K2020" s="56" t="s">
        <v>7979</v>
      </c>
      <c r="L2020" s="165" t="s">
        <v>7980</v>
      </c>
      <c r="M2020" s="73"/>
      <c r="N2020" s="171"/>
      <c r="O2020" s="169" t="s">
        <v>3500</v>
      </c>
      <c r="P2020" s="168" t="s">
        <v>3112</v>
      </c>
      <c r="Q2020" s="173"/>
      <c r="R2020" s="167">
        <v>1768000.0</v>
      </c>
      <c r="S2020" s="173"/>
      <c r="T2020" s="173"/>
      <c r="U2020" s="173"/>
      <c r="V2020" s="168" t="s">
        <v>3883</v>
      </c>
      <c r="W2020" s="169"/>
      <c r="X2020" s="171"/>
    </row>
    <row r="2021" ht="15.0" customHeight="1">
      <c r="A2021" s="127">
        <v>45812.0</v>
      </c>
      <c r="B2021" s="181" t="s">
        <v>7981</v>
      </c>
      <c r="C2021" s="56" t="s">
        <v>2693</v>
      </c>
      <c r="D2021" s="73" t="str">
        <f>IFERROR(VLOOKUP(C2021,Stock,3,FALSE),"")</f>
        <v>Nissan X-Trail 01-07 T30</v>
      </c>
      <c r="E2021" s="56">
        <v>1.0</v>
      </c>
      <c r="F2021" s="161">
        <v>1880000.0</v>
      </c>
      <c r="G2021" s="162">
        <f t="shared" si="33"/>
        <v>1880000</v>
      </c>
      <c r="H2021" s="194"/>
      <c r="I2021" s="161">
        <f t="shared" si="36"/>
        <v>1880000</v>
      </c>
      <c r="J2021" s="164">
        <f t="shared" si="30"/>
        <v>1880000</v>
      </c>
      <c r="K2021" s="56" t="s">
        <v>7982</v>
      </c>
      <c r="L2021" s="165" t="s">
        <v>7983</v>
      </c>
      <c r="M2021" s="73"/>
      <c r="N2021" s="289" t="s">
        <v>7984</v>
      </c>
      <c r="O2021" s="169" t="s">
        <v>2958</v>
      </c>
      <c r="P2021" s="168" t="s">
        <v>3112</v>
      </c>
      <c r="Q2021" s="173"/>
      <c r="R2021" s="167">
        <v>1880000.0</v>
      </c>
      <c r="S2021" s="173"/>
      <c r="T2021" s="173"/>
      <c r="U2021" s="173"/>
      <c r="V2021" s="168" t="s">
        <v>3799</v>
      </c>
      <c r="W2021" s="169"/>
      <c r="X2021" s="171"/>
    </row>
    <row r="2022" ht="15.0" customHeight="1">
      <c r="A2022" s="127">
        <v>45813.0</v>
      </c>
      <c r="B2022" s="181" t="s">
        <v>7985</v>
      </c>
      <c r="C2022" s="56" t="s">
        <v>3186</v>
      </c>
      <c r="D2022" s="73" t="str">
        <f>IFERROR(VLOOKUP(C2022,Stock,3,FALSE),"")</f>
        <v>Daihatsu Gran Max / Luxio 07-</v>
      </c>
      <c r="E2022" s="56">
        <v>1.0</v>
      </c>
      <c r="F2022" s="161">
        <v>1050000.0</v>
      </c>
      <c r="G2022" s="162">
        <f t="shared" si="33"/>
        <v>1050000</v>
      </c>
      <c r="H2022" s="194"/>
      <c r="I2022" s="161">
        <f t="shared" si="36"/>
        <v>1050000</v>
      </c>
      <c r="J2022" s="164">
        <f t="shared" si="30"/>
        <v>1050000</v>
      </c>
      <c r="K2022" s="56" t="s">
        <v>7986</v>
      </c>
      <c r="L2022" s="165" t="s">
        <v>7987</v>
      </c>
      <c r="M2022" s="73"/>
      <c r="N2022" s="289" t="s">
        <v>7988</v>
      </c>
      <c r="O2022" s="169" t="s">
        <v>2958</v>
      </c>
      <c r="P2022" s="168" t="s">
        <v>3112</v>
      </c>
      <c r="Q2022" s="173"/>
      <c r="R2022" s="167">
        <v>1050000.0</v>
      </c>
      <c r="S2022" s="173"/>
      <c r="T2022" s="173"/>
      <c r="U2022" s="173"/>
      <c r="V2022" s="168" t="s">
        <v>3883</v>
      </c>
      <c r="W2022" s="169"/>
      <c r="X2022" s="171"/>
    </row>
    <row r="2023" ht="15.0" customHeight="1">
      <c r="A2023" s="127">
        <v>45813.0</v>
      </c>
      <c r="B2023" s="181" t="s">
        <v>7985</v>
      </c>
      <c r="C2023" s="56" t="s">
        <v>3083</v>
      </c>
      <c r="D2023" s="73" t="str">
        <f>IFERROR(VLOOKUP(C2023,Stock,3,FALSE),"")</f>
        <v>List Kaca Depan Code 04</v>
      </c>
      <c r="E2023" s="56">
        <v>1.0</v>
      </c>
      <c r="F2023" s="161">
        <v>275000.0</v>
      </c>
      <c r="G2023" s="162">
        <f t="shared" si="33"/>
        <v>275000</v>
      </c>
      <c r="H2023" s="194"/>
      <c r="I2023" s="161">
        <f t="shared" si="36"/>
        <v>275000</v>
      </c>
      <c r="J2023" s="164">
        <f t="shared" si="30"/>
        <v>275000</v>
      </c>
      <c r="K2023" s="131" t="s">
        <v>7986</v>
      </c>
      <c r="L2023" s="165" t="s">
        <v>7987</v>
      </c>
      <c r="M2023" s="73"/>
      <c r="N2023" s="169" t="s">
        <v>7988</v>
      </c>
      <c r="O2023" s="169" t="s">
        <v>2958</v>
      </c>
      <c r="P2023" s="168" t="s">
        <v>3112</v>
      </c>
      <c r="Q2023" s="173"/>
      <c r="R2023" s="167">
        <v>275000.0</v>
      </c>
      <c r="S2023" s="173"/>
      <c r="T2023" s="173"/>
      <c r="U2023" s="173"/>
      <c r="V2023" s="168" t="s">
        <v>3883</v>
      </c>
      <c r="W2023" s="169"/>
      <c r="X2023" s="171"/>
    </row>
    <row r="2024" ht="15.0" customHeight="1">
      <c r="A2024" s="127">
        <v>45813.0</v>
      </c>
      <c r="B2024" s="181" t="s">
        <v>7989</v>
      </c>
      <c r="C2024" s="56" t="s">
        <v>2919</v>
      </c>
      <c r="D2024" s="73" t="str">
        <f>IFERROR(VLOOKUP(C2024,Stock,3,FALSE),"")</f>
        <v>Toyota Innova 04-15 1st Gen</v>
      </c>
      <c r="E2024" s="56">
        <v>1.0</v>
      </c>
      <c r="F2024" s="161">
        <v>2640000.0</v>
      </c>
      <c r="G2024" s="162">
        <f t="shared" si="33"/>
        <v>2640000</v>
      </c>
      <c r="H2024" s="194"/>
      <c r="I2024" s="161">
        <f t="shared" si="36"/>
        <v>2640000</v>
      </c>
      <c r="J2024" s="164">
        <f t="shared" si="30"/>
        <v>2640000</v>
      </c>
      <c r="K2024" s="56" t="s">
        <v>7990</v>
      </c>
      <c r="L2024" s="165" t="s">
        <v>7991</v>
      </c>
      <c r="M2024" s="73"/>
      <c r="N2024" s="169" t="s">
        <v>7992</v>
      </c>
      <c r="O2024" s="169" t="s">
        <v>3213</v>
      </c>
      <c r="P2024" s="168" t="s">
        <v>3112</v>
      </c>
      <c r="Q2024" s="173"/>
      <c r="R2024" s="167">
        <v>2640000.0</v>
      </c>
      <c r="S2024" s="173"/>
      <c r="T2024" s="173"/>
      <c r="U2024" s="173"/>
      <c r="V2024" s="168" t="s">
        <v>3883</v>
      </c>
      <c r="W2024" s="169"/>
      <c r="X2024" s="171"/>
    </row>
    <row r="2025" ht="15.0" customHeight="1">
      <c r="A2025" s="127">
        <v>45813.0</v>
      </c>
      <c r="B2025" s="181" t="s">
        <v>7989</v>
      </c>
      <c r="C2025" s="56" t="s">
        <v>3355</v>
      </c>
      <c r="D2025" s="73" t="str">
        <f>IFERROR(VLOOKUP(C2025,Stock,3,FALSE),"")</f>
        <v>List Kaca Depan INV</v>
      </c>
      <c r="E2025" s="56">
        <v>1.0</v>
      </c>
      <c r="F2025" s="161">
        <v>315000.0</v>
      </c>
      <c r="G2025" s="162">
        <f t="shared" si="33"/>
        <v>315000</v>
      </c>
      <c r="H2025" s="194"/>
      <c r="I2025" s="161">
        <f t="shared" si="36"/>
        <v>315000</v>
      </c>
      <c r="J2025" s="164">
        <f t="shared" si="30"/>
        <v>315000</v>
      </c>
      <c r="K2025" s="56" t="s">
        <v>7990</v>
      </c>
      <c r="L2025" s="165" t="s">
        <v>7991</v>
      </c>
      <c r="M2025" s="73"/>
      <c r="N2025" s="169" t="s">
        <v>7992</v>
      </c>
      <c r="O2025" s="169" t="s">
        <v>3213</v>
      </c>
      <c r="P2025" s="168" t="s">
        <v>3112</v>
      </c>
      <c r="Q2025" s="173"/>
      <c r="R2025" s="167">
        <v>315000.0</v>
      </c>
      <c r="S2025" s="173"/>
      <c r="T2025" s="173"/>
      <c r="U2025" s="173"/>
      <c r="V2025" s="168" t="s">
        <v>3883</v>
      </c>
      <c r="W2025" s="169"/>
      <c r="X2025" s="171"/>
    </row>
    <row r="2026" ht="15.0" customHeight="1">
      <c r="A2026" s="127">
        <v>45813.0</v>
      </c>
      <c r="B2026" s="181" t="s">
        <v>7993</v>
      </c>
      <c r="C2026" s="56" t="s">
        <v>7994</v>
      </c>
      <c r="D2026" s="73" t="str">
        <f>IFERROR(VLOOKUP(C2026,Stock,3,FALSE),"")</f>
        <v>Nissan Livina   07-18 L10/L11</v>
      </c>
      <c r="E2026" s="56">
        <v>1.0</v>
      </c>
      <c r="F2026" s="161">
        <v>665000.0</v>
      </c>
      <c r="G2026" s="162">
        <f t="shared" si="33"/>
        <v>665000</v>
      </c>
      <c r="H2026" s="194"/>
      <c r="I2026" s="161">
        <f t="shared" si="36"/>
        <v>665000</v>
      </c>
      <c r="J2026" s="164">
        <f t="shared" si="30"/>
        <v>665000</v>
      </c>
      <c r="K2026" s="56" t="s">
        <v>4741</v>
      </c>
      <c r="L2026" s="165" t="s">
        <v>7995</v>
      </c>
      <c r="M2026" s="73"/>
      <c r="N2026" s="169"/>
      <c r="O2026" s="169" t="s">
        <v>2958</v>
      </c>
      <c r="P2026" s="168" t="s">
        <v>3112</v>
      </c>
      <c r="Q2026" s="167">
        <v>665000.0</v>
      </c>
      <c r="R2026" s="173"/>
      <c r="S2026" s="173"/>
      <c r="T2026" s="173"/>
      <c r="U2026" s="173"/>
      <c r="V2026" s="168" t="s">
        <v>3799</v>
      </c>
      <c r="W2026" s="169"/>
      <c r="X2026" s="171"/>
    </row>
    <row r="2027" ht="15.0" customHeight="1">
      <c r="A2027" s="127">
        <v>45813.0</v>
      </c>
      <c r="B2027" s="181" t="s">
        <v>7996</v>
      </c>
      <c r="C2027" s="56" t="s">
        <v>2718</v>
      </c>
      <c r="D2027" s="73" t="str">
        <f>IFERROR(VLOOKUP(C2027,Stock,3,FALSE),"")</f>
        <v>Isuzu Traga</v>
      </c>
      <c r="E2027" s="56">
        <v>1.0</v>
      </c>
      <c r="F2027" s="161">
        <v>1300000.0</v>
      </c>
      <c r="G2027" s="162">
        <f t="shared" si="33"/>
        <v>1300000</v>
      </c>
      <c r="H2027" s="194"/>
      <c r="I2027" s="161">
        <f t="shared" si="36"/>
        <v>1300000</v>
      </c>
      <c r="J2027" s="164">
        <f t="shared" si="30"/>
        <v>1300000</v>
      </c>
      <c r="K2027" s="56" t="s">
        <v>5011</v>
      </c>
      <c r="L2027" s="165" t="s">
        <v>3644</v>
      </c>
      <c r="M2027" s="73"/>
      <c r="N2027" s="171"/>
      <c r="O2027" s="169" t="s">
        <v>2958</v>
      </c>
      <c r="P2027" s="168" t="s">
        <v>3112</v>
      </c>
      <c r="Q2027" s="173"/>
      <c r="R2027" s="167">
        <v>1300000.0</v>
      </c>
      <c r="S2027" s="173"/>
      <c r="T2027" s="173"/>
      <c r="U2027" s="173"/>
      <c r="V2027" s="168" t="s">
        <v>3883</v>
      </c>
      <c r="W2027" s="169"/>
      <c r="X2027" s="171"/>
    </row>
    <row r="2028" ht="15.0" customHeight="1">
      <c r="A2028" s="127">
        <v>45813.0</v>
      </c>
      <c r="B2028" s="181" t="s">
        <v>7996</v>
      </c>
      <c r="C2028" s="56" t="s">
        <v>5528</v>
      </c>
      <c r="D2028" s="73" t="str">
        <f>IFERROR(VLOOKUP(C2028,Stock,3,FALSE),"")</f>
        <v>Toyota Innova 15-22 2nd Gen (Toyota)</v>
      </c>
      <c r="E2028" s="56">
        <v>1.0</v>
      </c>
      <c r="F2028" s="161">
        <v>2988000.0</v>
      </c>
      <c r="G2028" s="162">
        <f t="shared" si="33"/>
        <v>2988000</v>
      </c>
      <c r="H2028" s="194"/>
      <c r="I2028" s="161">
        <f t="shared" si="36"/>
        <v>2988000</v>
      </c>
      <c r="J2028" s="164">
        <f t="shared" si="30"/>
        <v>2988000</v>
      </c>
      <c r="K2028" s="56" t="s">
        <v>5011</v>
      </c>
      <c r="L2028" s="165" t="s">
        <v>3644</v>
      </c>
      <c r="M2028" s="73"/>
      <c r="N2028" s="171"/>
      <c r="O2028" s="169" t="s">
        <v>2958</v>
      </c>
      <c r="P2028" s="168" t="s">
        <v>3112</v>
      </c>
      <c r="Q2028" s="173"/>
      <c r="R2028" s="167">
        <v>2988000.0</v>
      </c>
      <c r="S2028" s="173"/>
      <c r="T2028" s="173"/>
      <c r="U2028" s="173"/>
      <c r="V2028" s="168" t="s">
        <v>3883</v>
      </c>
      <c r="W2028" s="169"/>
      <c r="X2028" s="171"/>
    </row>
    <row r="2029" ht="15.0" customHeight="1">
      <c r="A2029" s="127">
        <v>45813.0</v>
      </c>
      <c r="B2029" s="181" t="s">
        <v>7996</v>
      </c>
      <c r="C2029" s="56" t="s">
        <v>7997</v>
      </c>
      <c r="D2029" s="73" t="str">
        <f>IFERROR(VLOOKUP(C2029,Stock,3,FALSE),"")</f>
        <v>Isuzu Traga (Isuzu)</v>
      </c>
      <c r="E2029" s="56">
        <v>1.0</v>
      </c>
      <c r="F2029" s="161">
        <v>685000.0</v>
      </c>
      <c r="G2029" s="162">
        <f t="shared" si="33"/>
        <v>685000</v>
      </c>
      <c r="H2029" s="194"/>
      <c r="I2029" s="161">
        <f t="shared" si="36"/>
        <v>685000</v>
      </c>
      <c r="J2029" s="164">
        <f t="shared" si="30"/>
        <v>685000</v>
      </c>
      <c r="K2029" s="56" t="s">
        <v>5011</v>
      </c>
      <c r="L2029" s="165" t="s">
        <v>3644</v>
      </c>
      <c r="M2029" s="73"/>
      <c r="N2029" s="171"/>
      <c r="O2029" s="169" t="s">
        <v>2958</v>
      </c>
      <c r="P2029" s="168" t="s">
        <v>3112</v>
      </c>
      <c r="Q2029" s="173"/>
      <c r="R2029" s="167">
        <v>685000.0</v>
      </c>
      <c r="S2029" s="173"/>
      <c r="T2029" s="173"/>
      <c r="U2029" s="173"/>
      <c r="V2029" s="168" t="s">
        <v>3883</v>
      </c>
      <c r="W2029" s="169"/>
      <c r="X2029" s="171"/>
    </row>
    <row r="2030" ht="15.0" customHeight="1">
      <c r="A2030" s="127">
        <v>45815.0</v>
      </c>
      <c r="B2030" s="181" t="s">
        <v>7998</v>
      </c>
      <c r="C2030" s="56" t="s">
        <v>3622</v>
      </c>
      <c r="D2030" s="73" t="str">
        <f>IFERROR(VLOOKUP(C2030,Stock,3,FALSE),"")</f>
        <v>Mitsubishi Pajero 08-16</v>
      </c>
      <c r="E2030" s="56">
        <v>1.0</v>
      </c>
      <c r="F2030" s="161">
        <v>1151000.0</v>
      </c>
      <c r="G2030" s="162">
        <f t="shared" si="33"/>
        <v>1151000</v>
      </c>
      <c r="H2030" s="201">
        <v>41000.0</v>
      </c>
      <c r="I2030" s="161">
        <f t="shared" si="36"/>
        <v>1110000</v>
      </c>
      <c r="J2030" s="164">
        <f t="shared" si="30"/>
        <v>1110000</v>
      </c>
      <c r="K2030" s="56" t="s">
        <v>7999</v>
      </c>
      <c r="L2030" s="165" t="s">
        <v>8000</v>
      </c>
      <c r="M2030" s="73"/>
      <c r="N2030" s="171"/>
      <c r="O2030" s="169" t="s">
        <v>2958</v>
      </c>
      <c r="P2030" s="168" t="s">
        <v>3112</v>
      </c>
      <c r="Q2030" s="173"/>
      <c r="R2030" s="167">
        <v>1110000.0</v>
      </c>
      <c r="S2030" s="173"/>
      <c r="T2030" s="173"/>
      <c r="U2030" s="173"/>
      <c r="V2030" s="168" t="s">
        <v>3883</v>
      </c>
      <c r="W2030" s="169"/>
      <c r="X2030" s="171"/>
    </row>
    <row r="2031" ht="15.0" customHeight="1">
      <c r="A2031" s="127">
        <v>45815.0</v>
      </c>
      <c r="B2031" s="181" t="s">
        <v>7998</v>
      </c>
      <c r="C2031" s="56" t="s">
        <v>4027</v>
      </c>
      <c r="D2031" s="73" t="str">
        <f>IFERROR(VLOOKUP(C2031,Stock,3,FALSE),"")</f>
        <v>501 Sealant Application</v>
      </c>
      <c r="E2031" s="56">
        <v>2.0</v>
      </c>
      <c r="F2031" s="161">
        <v>95000.0</v>
      </c>
      <c r="G2031" s="162">
        <f t="shared" si="33"/>
        <v>190000</v>
      </c>
      <c r="H2031" s="194"/>
      <c r="I2031" s="161">
        <f t="shared" si="36"/>
        <v>190000</v>
      </c>
      <c r="J2031" s="164">
        <f t="shared" si="30"/>
        <v>190000</v>
      </c>
      <c r="K2031" s="56" t="s">
        <v>7999</v>
      </c>
      <c r="L2031" s="165" t="s">
        <v>8000</v>
      </c>
      <c r="M2031" s="73"/>
      <c r="N2031" s="171"/>
      <c r="O2031" s="169" t="s">
        <v>2958</v>
      </c>
      <c r="P2031" s="168" t="s">
        <v>3112</v>
      </c>
      <c r="Q2031" s="173"/>
      <c r="R2031" s="167">
        <v>190000.0</v>
      </c>
      <c r="S2031" s="173"/>
      <c r="T2031" s="173"/>
      <c r="U2031" s="173"/>
      <c r="V2031" s="168" t="s">
        <v>3883</v>
      </c>
      <c r="W2031" s="169"/>
      <c r="X2031" s="171"/>
    </row>
    <row r="2032" ht="15.0" customHeight="1">
      <c r="A2032" s="127">
        <v>45815.0</v>
      </c>
      <c r="B2032" s="181" t="s">
        <v>7998</v>
      </c>
      <c r="C2032" s="56" t="s">
        <v>2934</v>
      </c>
      <c r="D2032" s="73" t="str">
        <f>IFERROR(VLOOKUP(C2032,Stock,3,FALSE),"")</f>
        <v>Peti Kayu</v>
      </c>
      <c r="E2032" s="56">
        <v>1.0</v>
      </c>
      <c r="F2032" s="161">
        <v>200000.0</v>
      </c>
      <c r="G2032" s="162">
        <f t="shared" si="33"/>
        <v>200000</v>
      </c>
      <c r="H2032" s="194"/>
      <c r="I2032" s="161">
        <f t="shared" si="36"/>
        <v>200000</v>
      </c>
      <c r="J2032" s="164">
        <f t="shared" si="30"/>
        <v>200000</v>
      </c>
      <c r="K2032" s="131" t="s">
        <v>7999</v>
      </c>
      <c r="L2032" s="165" t="s">
        <v>8000</v>
      </c>
      <c r="M2032" s="73"/>
      <c r="N2032" s="171"/>
      <c r="O2032" s="169" t="s">
        <v>2958</v>
      </c>
      <c r="P2032" s="168" t="s">
        <v>3112</v>
      </c>
      <c r="Q2032" s="173"/>
      <c r="R2032" s="167">
        <v>200000.0</v>
      </c>
      <c r="S2032" s="173"/>
      <c r="T2032" s="173"/>
      <c r="U2032" s="173"/>
      <c r="V2032" s="168" t="s">
        <v>3883</v>
      </c>
      <c r="W2032" s="169"/>
      <c r="X2032" s="171"/>
    </row>
    <row r="2033" ht="15.0" customHeight="1">
      <c r="A2033" s="127">
        <v>45815.0</v>
      </c>
      <c r="B2033" s="181" t="s">
        <v>8001</v>
      </c>
      <c r="C2033" s="56" t="s">
        <v>2954</v>
      </c>
      <c r="D2033" s="73" t="str">
        <f>IFERROR(VLOOKUP(C2033,Stock,3,FALSE),"")</f>
        <v>Transport</v>
      </c>
      <c r="E2033" s="56">
        <v>1.0</v>
      </c>
      <c r="F2033" s="161">
        <v>100000.0</v>
      </c>
      <c r="G2033" s="162">
        <f t="shared" si="33"/>
        <v>100000</v>
      </c>
      <c r="H2033" s="194"/>
      <c r="I2033" s="161">
        <f t="shared" si="36"/>
        <v>100000</v>
      </c>
      <c r="J2033" s="164">
        <f t="shared" si="30"/>
        <v>100000</v>
      </c>
      <c r="K2033" s="56" t="s">
        <v>7999</v>
      </c>
      <c r="L2033" s="165" t="s">
        <v>8000</v>
      </c>
      <c r="M2033" s="73"/>
      <c r="N2033" s="171"/>
      <c r="O2033" s="169" t="s">
        <v>2958</v>
      </c>
      <c r="P2033" s="168" t="s">
        <v>3112</v>
      </c>
      <c r="Q2033" s="173"/>
      <c r="R2033" s="167">
        <v>100000.0</v>
      </c>
      <c r="S2033" s="173"/>
      <c r="T2033" s="173"/>
      <c r="U2033" s="173"/>
      <c r="V2033" s="168" t="s">
        <v>3883</v>
      </c>
      <c r="W2033" s="169"/>
      <c r="X2033" s="171"/>
    </row>
    <row r="2034" ht="15.0" customHeight="1">
      <c r="A2034" s="127">
        <v>45815.0</v>
      </c>
      <c r="B2034" s="181" t="s">
        <v>8002</v>
      </c>
      <c r="C2034" s="56" t="s">
        <v>6797</v>
      </c>
      <c r="D2034" s="73" t="str">
        <f>IFERROR(VLOOKUP(C2034,Stock,3,FALSE),"")</f>
        <v>Toyota Calya / Sigra 16-</v>
      </c>
      <c r="E2034" s="56">
        <v>1.0</v>
      </c>
      <c r="F2034" s="161">
        <v>400000.0</v>
      </c>
      <c r="G2034" s="162">
        <f t="shared" si="33"/>
        <v>400000</v>
      </c>
      <c r="H2034" s="194"/>
      <c r="I2034" s="161">
        <f t="shared" si="36"/>
        <v>400000</v>
      </c>
      <c r="J2034" s="164">
        <f t="shared" si="30"/>
        <v>400000</v>
      </c>
      <c r="K2034" s="56" t="s">
        <v>5689</v>
      </c>
      <c r="L2034" s="165" t="s">
        <v>8003</v>
      </c>
      <c r="M2034" s="73"/>
      <c r="N2034" s="171"/>
      <c r="O2034" s="169" t="s">
        <v>3037</v>
      </c>
      <c r="P2034" s="168" t="s">
        <v>3112</v>
      </c>
      <c r="Q2034" s="167">
        <v>400000.0</v>
      </c>
      <c r="R2034" s="173"/>
      <c r="S2034" s="173"/>
      <c r="T2034" s="173"/>
      <c r="U2034" s="173"/>
      <c r="V2034" s="168" t="s">
        <v>3883</v>
      </c>
      <c r="W2034" s="169"/>
      <c r="X2034" s="171"/>
    </row>
    <row r="2035" ht="15.0" customHeight="1">
      <c r="A2035" s="127">
        <v>45815.0</v>
      </c>
      <c r="B2035" s="181" t="s">
        <v>8004</v>
      </c>
      <c r="C2035" s="56" t="s">
        <v>3313</v>
      </c>
      <c r="D2035" s="73" t="str">
        <f>IFERROR(VLOOKUP(C2035,Stock,3,FALSE),"")</f>
        <v>Toyota Avanza / Xenia 21- 4th Gen (Non sensor)</v>
      </c>
      <c r="E2035" s="56">
        <v>1.0</v>
      </c>
      <c r="F2035" s="161">
        <v>1540000.0</v>
      </c>
      <c r="G2035" s="162">
        <f t="shared" si="33"/>
        <v>1540000</v>
      </c>
      <c r="H2035" s="194"/>
      <c r="I2035" s="161">
        <f t="shared" si="36"/>
        <v>1540000</v>
      </c>
      <c r="J2035" s="164">
        <f t="shared" si="30"/>
        <v>1540000</v>
      </c>
      <c r="K2035" s="56" t="s">
        <v>7441</v>
      </c>
      <c r="L2035" s="165" t="s">
        <v>7442</v>
      </c>
      <c r="M2035" s="73"/>
      <c r="N2035" s="169" t="s">
        <v>8005</v>
      </c>
      <c r="O2035" s="169" t="s">
        <v>2958</v>
      </c>
      <c r="P2035" s="168" t="s">
        <v>3112</v>
      </c>
      <c r="Q2035" s="167">
        <v>1540000.0</v>
      </c>
      <c r="R2035" s="173"/>
      <c r="S2035" s="173"/>
      <c r="T2035" s="173"/>
      <c r="U2035" s="173"/>
      <c r="V2035" s="168" t="s">
        <v>3883</v>
      </c>
      <c r="W2035" s="169"/>
      <c r="X2035" s="171"/>
    </row>
    <row r="2036" ht="15.0" customHeight="1">
      <c r="A2036" s="127">
        <v>45816.0</v>
      </c>
      <c r="B2036" s="181" t="s">
        <v>8006</v>
      </c>
      <c r="C2036" s="56" t="s">
        <v>8007</v>
      </c>
      <c r="D2036" s="73" t="str">
        <f>IFERROR(VLOOKUP(C2036,Stock,3,FALSE),"")</f>
        <v>Honda Accord 03-07 7th Gen CM5,6,7</v>
      </c>
      <c r="E2036" s="56">
        <v>1.0</v>
      </c>
      <c r="F2036" s="161">
        <v>2233000.0</v>
      </c>
      <c r="G2036" s="162">
        <f t="shared" si="33"/>
        <v>2233000</v>
      </c>
      <c r="H2036" s="201">
        <v>33000.0</v>
      </c>
      <c r="I2036" s="161">
        <f t="shared" si="36"/>
        <v>2200000</v>
      </c>
      <c r="J2036" s="164">
        <f t="shared" si="30"/>
        <v>2200000</v>
      </c>
      <c r="K2036" s="56" t="s">
        <v>8008</v>
      </c>
      <c r="L2036" s="165" t="s">
        <v>8009</v>
      </c>
      <c r="M2036" s="73"/>
      <c r="N2036" s="289" t="s">
        <v>8010</v>
      </c>
      <c r="O2036" s="169" t="s">
        <v>4072</v>
      </c>
      <c r="P2036" s="168" t="s">
        <v>3112</v>
      </c>
      <c r="Q2036" s="167">
        <v>200000.0</v>
      </c>
      <c r="R2036" s="167">
        <v>2000000.0</v>
      </c>
      <c r="S2036" s="173"/>
      <c r="T2036" s="173"/>
      <c r="U2036" s="173"/>
      <c r="V2036" s="168" t="s">
        <v>3799</v>
      </c>
      <c r="W2036" s="169"/>
      <c r="X2036" s="171"/>
    </row>
    <row r="2037" ht="15.0" customHeight="1">
      <c r="A2037" s="127">
        <v>45817.0</v>
      </c>
      <c r="B2037" s="181" t="s">
        <v>8011</v>
      </c>
      <c r="C2037" s="56" t="s">
        <v>2562</v>
      </c>
      <c r="D2037" s="73" t="str">
        <f>IFERROR(VLOOKUP(C2037,Stock,3,FALSE),"")</f>
        <v>Toyota Avanza / Xenia 15-21 3rd Gen</v>
      </c>
      <c r="E2037" s="56">
        <v>1.0</v>
      </c>
      <c r="F2037" s="161">
        <v>1050000.0</v>
      </c>
      <c r="G2037" s="162">
        <f t="shared" si="33"/>
        <v>1050000</v>
      </c>
      <c r="H2037" s="194"/>
      <c r="I2037" s="161">
        <f t="shared" si="36"/>
        <v>1050000</v>
      </c>
      <c r="J2037" s="164">
        <f t="shared" si="30"/>
        <v>1050000</v>
      </c>
      <c r="K2037" s="56" t="s">
        <v>5089</v>
      </c>
      <c r="L2037" s="165" t="s">
        <v>4315</v>
      </c>
      <c r="M2037" s="73"/>
      <c r="N2037" s="171"/>
      <c r="O2037" s="169" t="s">
        <v>3204</v>
      </c>
      <c r="P2037" s="168" t="s">
        <v>3112</v>
      </c>
      <c r="Q2037" s="173"/>
      <c r="R2037" s="167">
        <v>1050000.0</v>
      </c>
      <c r="S2037" s="173"/>
      <c r="T2037" s="173"/>
      <c r="U2037" s="173"/>
      <c r="V2037" s="168" t="s">
        <v>3799</v>
      </c>
      <c r="W2037" s="169"/>
      <c r="X2037" s="171"/>
    </row>
    <row r="2038" ht="15.0" customHeight="1">
      <c r="A2038" s="127">
        <v>45817.0</v>
      </c>
      <c r="B2038" s="181" t="s">
        <v>8011</v>
      </c>
      <c r="C2038" s="56" t="s">
        <v>2954</v>
      </c>
      <c r="D2038" s="73" t="str">
        <f>IFERROR(VLOOKUP(C2038,Stock,3,FALSE),"")</f>
        <v>Transport</v>
      </c>
      <c r="E2038" s="56">
        <v>1.0</v>
      </c>
      <c r="F2038" s="161">
        <v>100000.0</v>
      </c>
      <c r="G2038" s="162">
        <f t="shared" si="33"/>
        <v>100000</v>
      </c>
      <c r="H2038" s="194"/>
      <c r="I2038" s="161">
        <f t="shared" si="36"/>
        <v>100000</v>
      </c>
      <c r="J2038" s="164">
        <f t="shared" si="30"/>
        <v>100000</v>
      </c>
      <c r="K2038" s="56" t="s">
        <v>5089</v>
      </c>
      <c r="L2038" s="165" t="s">
        <v>4315</v>
      </c>
      <c r="M2038" s="73"/>
      <c r="N2038" s="171"/>
      <c r="O2038" s="169" t="s">
        <v>3204</v>
      </c>
      <c r="P2038" s="168" t="s">
        <v>3112</v>
      </c>
      <c r="Q2038" s="173"/>
      <c r="R2038" s="167">
        <v>100000.0</v>
      </c>
      <c r="S2038" s="173"/>
      <c r="T2038" s="173"/>
      <c r="U2038" s="173"/>
      <c r="V2038" s="168" t="s">
        <v>3799</v>
      </c>
      <c r="W2038" s="169"/>
      <c r="X2038" s="171"/>
    </row>
    <row r="2039" ht="15.0" customHeight="1">
      <c r="A2039" s="127">
        <v>45817.0</v>
      </c>
      <c r="B2039" s="181" t="s">
        <v>8011</v>
      </c>
      <c r="C2039" s="56" t="s">
        <v>3826</v>
      </c>
      <c r="D2039" s="73" t="str">
        <f>IFERROR(VLOOKUP(C2039,Stock,3,FALSE),"")</f>
        <v>List Kaca Depan Code 11</v>
      </c>
      <c r="E2039" s="56">
        <v>1.0</v>
      </c>
      <c r="F2039" s="161">
        <v>275000.0</v>
      </c>
      <c r="G2039" s="162">
        <f t="shared" si="33"/>
        <v>275000</v>
      </c>
      <c r="H2039" s="194"/>
      <c r="I2039" s="161">
        <f t="shared" si="36"/>
        <v>275000</v>
      </c>
      <c r="J2039" s="164">
        <f t="shared" si="30"/>
        <v>275000</v>
      </c>
      <c r="K2039" s="56" t="s">
        <v>5089</v>
      </c>
      <c r="L2039" s="165" t="s">
        <v>4315</v>
      </c>
      <c r="M2039" s="73"/>
      <c r="N2039" s="171"/>
      <c r="O2039" s="169" t="s">
        <v>3204</v>
      </c>
      <c r="P2039" s="168" t="s">
        <v>3112</v>
      </c>
      <c r="Q2039" s="167"/>
      <c r="R2039" s="167">
        <v>275000.0</v>
      </c>
      <c r="S2039" s="173"/>
      <c r="T2039" s="173"/>
      <c r="U2039" s="173"/>
      <c r="V2039" s="168" t="s">
        <v>3883</v>
      </c>
      <c r="W2039" s="169"/>
      <c r="X2039" s="171"/>
    </row>
    <row r="2040" ht="15.0" customHeight="1">
      <c r="A2040" s="127">
        <v>45817.0</v>
      </c>
      <c r="B2040" s="181" t="s">
        <v>8012</v>
      </c>
      <c r="C2040" s="56" t="s">
        <v>2631</v>
      </c>
      <c r="D2040" s="73" t="str">
        <f>IFERROR(VLOOKUP(C2040,Stock,3,FALSE),"")</f>
        <v>Suzuki Baleno 15-21</v>
      </c>
      <c r="E2040" s="56">
        <v>1.0</v>
      </c>
      <c r="F2040" s="161">
        <v>1518000.0</v>
      </c>
      <c r="G2040" s="162">
        <f t="shared" si="33"/>
        <v>1518000</v>
      </c>
      <c r="H2040" s="194"/>
      <c r="I2040" s="161">
        <f t="shared" si="36"/>
        <v>1518000</v>
      </c>
      <c r="J2040" s="164">
        <f t="shared" si="30"/>
        <v>1518000</v>
      </c>
      <c r="K2040" s="56" t="s">
        <v>8013</v>
      </c>
      <c r="L2040" s="165" t="s">
        <v>8014</v>
      </c>
      <c r="M2040" s="73"/>
      <c r="N2040" s="171"/>
      <c r="O2040" s="169" t="s">
        <v>3204</v>
      </c>
      <c r="P2040" s="168" t="s">
        <v>3112</v>
      </c>
      <c r="Q2040" s="167">
        <v>1518000.0</v>
      </c>
      <c r="R2040" s="173"/>
      <c r="S2040" s="173"/>
      <c r="T2040" s="173"/>
      <c r="U2040" s="173"/>
      <c r="V2040" s="168" t="s">
        <v>3883</v>
      </c>
      <c r="W2040" s="169"/>
      <c r="X2040" s="171"/>
    </row>
    <row r="2041" ht="15.0" customHeight="1">
      <c r="A2041" s="127">
        <v>45818.0</v>
      </c>
      <c r="B2041" s="181" t="s">
        <v>8015</v>
      </c>
      <c r="C2041" s="56" t="s">
        <v>8016</v>
      </c>
      <c r="D2041" s="73" t="str">
        <f>IFERROR(VLOOKUP(C2041,Stock,3,FALSE),"")</f>
        <v>Isuzu Traga (Isuzu)</v>
      </c>
      <c r="E2041" s="56">
        <v>1.0</v>
      </c>
      <c r="F2041" s="161">
        <v>1600000.0</v>
      </c>
      <c r="G2041" s="162">
        <f t="shared" si="33"/>
        <v>1600000</v>
      </c>
      <c r="H2041" s="194"/>
      <c r="I2041" s="161">
        <f t="shared" si="36"/>
        <v>1600000</v>
      </c>
      <c r="J2041" s="164">
        <f t="shared" si="30"/>
        <v>1600000</v>
      </c>
      <c r="K2041" s="56" t="s">
        <v>8017</v>
      </c>
      <c r="L2041" s="165" t="s">
        <v>8018</v>
      </c>
      <c r="M2041" s="73"/>
      <c r="N2041" s="289" t="s">
        <v>8019</v>
      </c>
      <c r="O2041" s="169" t="s">
        <v>2958</v>
      </c>
      <c r="P2041" s="168" t="s">
        <v>3112</v>
      </c>
      <c r="Q2041" s="167">
        <v>1600000.0</v>
      </c>
      <c r="R2041" s="173"/>
      <c r="S2041" s="173"/>
      <c r="T2041" s="173"/>
      <c r="U2041" s="173"/>
      <c r="V2041" s="168" t="s">
        <v>3883</v>
      </c>
      <c r="W2041" s="169"/>
      <c r="X2041" s="171"/>
    </row>
    <row r="2042" ht="15.0" customHeight="1">
      <c r="A2042" s="127">
        <v>45818.0</v>
      </c>
      <c r="B2042" s="181" t="s">
        <v>8020</v>
      </c>
      <c r="C2042" s="56" t="s">
        <v>2562</v>
      </c>
      <c r="D2042" s="73" t="str">
        <f>IFERROR(VLOOKUP(C2042,Stock,3,FALSE),"")</f>
        <v>Toyota Avanza / Xenia 15-21 3rd Gen</v>
      </c>
      <c r="E2042" s="56">
        <v>1.0</v>
      </c>
      <c r="F2042" s="161">
        <v>880000.0</v>
      </c>
      <c r="G2042" s="162">
        <f t="shared" si="33"/>
        <v>880000</v>
      </c>
      <c r="H2042" s="194"/>
      <c r="I2042" s="161">
        <f t="shared" si="36"/>
        <v>880000</v>
      </c>
      <c r="J2042" s="164">
        <f t="shared" si="30"/>
        <v>880000</v>
      </c>
      <c r="K2042" s="56" t="s">
        <v>8021</v>
      </c>
      <c r="L2042" s="165" t="s">
        <v>8022</v>
      </c>
      <c r="M2042" s="73"/>
      <c r="N2042" s="171"/>
      <c r="O2042" s="169" t="s">
        <v>2958</v>
      </c>
      <c r="P2042" s="168" t="s">
        <v>3112</v>
      </c>
      <c r="Q2042" s="173"/>
      <c r="R2042" s="167">
        <v>880000.0</v>
      </c>
      <c r="S2042" s="173"/>
      <c r="T2042" s="173"/>
      <c r="U2042" s="173"/>
      <c r="V2042" s="168" t="s">
        <v>3883</v>
      </c>
      <c r="W2042" s="169"/>
      <c r="X2042" s="171"/>
    </row>
    <row r="2043" ht="15.0" customHeight="1">
      <c r="A2043" s="127">
        <v>45818.0</v>
      </c>
      <c r="B2043" s="181" t="s">
        <v>8020</v>
      </c>
      <c r="C2043" s="56" t="s">
        <v>2934</v>
      </c>
      <c r="D2043" s="73" t="str">
        <f>IFERROR(VLOOKUP(C2043,Stock,3,FALSE),"")</f>
        <v>Peti Kayu</v>
      </c>
      <c r="E2043" s="56">
        <v>1.0</v>
      </c>
      <c r="F2043" s="161">
        <v>200000.0</v>
      </c>
      <c r="G2043" s="162">
        <f t="shared" si="33"/>
        <v>200000</v>
      </c>
      <c r="H2043" s="194"/>
      <c r="I2043" s="161">
        <f t="shared" si="36"/>
        <v>200000</v>
      </c>
      <c r="J2043" s="164">
        <f t="shared" si="30"/>
        <v>200000</v>
      </c>
      <c r="K2043" s="56" t="s">
        <v>8021</v>
      </c>
      <c r="L2043" s="165" t="s">
        <v>8022</v>
      </c>
      <c r="M2043" s="73"/>
      <c r="N2043" s="171"/>
      <c r="O2043" s="169" t="s">
        <v>2958</v>
      </c>
      <c r="P2043" s="168" t="s">
        <v>3112</v>
      </c>
      <c r="Q2043" s="173"/>
      <c r="R2043" s="167">
        <v>200000.0</v>
      </c>
      <c r="S2043" s="173"/>
      <c r="T2043" s="173"/>
      <c r="U2043" s="173"/>
      <c r="V2043" s="168" t="s">
        <v>3883</v>
      </c>
      <c r="W2043" s="169"/>
      <c r="X2043" s="171"/>
    </row>
    <row r="2044" ht="15.0" customHeight="1">
      <c r="A2044" s="127">
        <v>45818.0</v>
      </c>
      <c r="B2044" s="181" t="s">
        <v>8020</v>
      </c>
      <c r="C2044" s="56" t="s">
        <v>2954</v>
      </c>
      <c r="D2044" s="73" t="str">
        <f>IFERROR(VLOOKUP(C2044,Stock,3,FALSE),"")</f>
        <v>Transport</v>
      </c>
      <c r="E2044" s="56">
        <v>1.0</v>
      </c>
      <c r="F2044" s="161">
        <v>50000.0</v>
      </c>
      <c r="G2044" s="162">
        <f t="shared" si="33"/>
        <v>50000</v>
      </c>
      <c r="H2044" s="194"/>
      <c r="I2044" s="161">
        <f t="shared" si="36"/>
        <v>50000</v>
      </c>
      <c r="J2044" s="164">
        <f t="shared" si="30"/>
        <v>50000</v>
      </c>
      <c r="K2044" s="56" t="s">
        <v>8021</v>
      </c>
      <c r="L2044" s="165" t="s">
        <v>8022</v>
      </c>
      <c r="M2044" s="73"/>
      <c r="N2044" s="171"/>
      <c r="O2044" s="169" t="s">
        <v>2958</v>
      </c>
      <c r="P2044" s="168" t="s">
        <v>3112</v>
      </c>
      <c r="Q2044" s="173"/>
      <c r="R2044" s="167">
        <v>50000.0</v>
      </c>
      <c r="S2044" s="173"/>
      <c r="T2044" s="173"/>
      <c r="U2044" s="173"/>
      <c r="V2044" s="168" t="s">
        <v>3883</v>
      </c>
      <c r="W2044" s="169"/>
      <c r="X2044" s="171"/>
    </row>
    <row r="2045" ht="15.0" customHeight="1">
      <c r="A2045" s="127">
        <v>45818.0</v>
      </c>
      <c r="B2045" s="181" t="s">
        <v>8023</v>
      </c>
      <c r="C2045" s="56" t="s">
        <v>3622</v>
      </c>
      <c r="D2045" s="73" t="str">
        <f>IFERROR(VLOOKUP(C2045,Stock,3,FALSE),"")</f>
        <v>Mitsubishi Pajero 08-16</v>
      </c>
      <c r="E2045" s="56">
        <v>1.0</v>
      </c>
      <c r="F2045" s="161">
        <v>1800000.0</v>
      </c>
      <c r="G2045" s="162">
        <f t="shared" si="33"/>
        <v>1800000</v>
      </c>
      <c r="H2045" s="201">
        <v>200000.0</v>
      </c>
      <c r="I2045" s="161">
        <f t="shared" si="36"/>
        <v>1600000</v>
      </c>
      <c r="J2045" s="164">
        <f t="shared" si="30"/>
        <v>1600000</v>
      </c>
      <c r="K2045" s="56" t="s">
        <v>8024</v>
      </c>
      <c r="L2045" s="165" t="s">
        <v>8025</v>
      </c>
      <c r="M2045" s="73"/>
      <c r="N2045" s="169" t="s">
        <v>8026</v>
      </c>
      <c r="O2045" s="169" t="s">
        <v>3037</v>
      </c>
      <c r="P2045" s="168" t="s">
        <v>3112</v>
      </c>
      <c r="Q2045" s="173"/>
      <c r="R2045" s="167">
        <v>1600000.0</v>
      </c>
      <c r="S2045" s="173"/>
      <c r="T2045" s="173"/>
      <c r="U2045" s="173"/>
      <c r="V2045" s="168" t="s">
        <v>3883</v>
      </c>
      <c r="W2045" s="169"/>
      <c r="X2045" s="171"/>
    </row>
    <row r="2046" ht="15.0" customHeight="1">
      <c r="A2046" s="127">
        <v>45819.0</v>
      </c>
      <c r="B2046" s="181" t="s">
        <v>8027</v>
      </c>
      <c r="C2046" s="251" t="s">
        <v>4901</v>
      </c>
      <c r="D2046" s="73" t="str">
        <f>IFERROR(VLOOKUP(C2046,Stock,3,FALSE),"")</f>
        <v>Toyota Rush / Terios 18-</v>
      </c>
      <c r="E2046" s="56">
        <v>1.0</v>
      </c>
      <c r="F2046" s="161">
        <v>902000.0</v>
      </c>
      <c r="G2046" s="162">
        <f t="shared" si="33"/>
        <v>902000</v>
      </c>
      <c r="H2046" s="194"/>
      <c r="I2046" s="161">
        <f t="shared" si="36"/>
        <v>902000</v>
      </c>
      <c r="J2046" s="164">
        <f t="shared" si="30"/>
        <v>902000</v>
      </c>
      <c r="K2046" s="56" t="s">
        <v>8028</v>
      </c>
      <c r="L2046" s="165" t="s">
        <v>8029</v>
      </c>
      <c r="M2046" s="73"/>
      <c r="N2046" s="171"/>
      <c r="O2046" s="169" t="s">
        <v>2958</v>
      </c>
      <c r="P2046" s="168" t="s">
        <v>2922</v>
      </c>
      <c r="Q2046" s="173"/>
      <c r="R2046" s="173"/>
      <c r="S2046" s="167">
        <v>902000.0</v>
      </c>
      <c r="T2046" s="449">
        <v>67650.0</v>
      </c>
      <c r="U2046" s="173"/>
      <c r="V2046" s="168" t="s">
        <v>3883</v>
      </c>
      <c r="W2046" s="169"/>
      <c r="X2046" s="171"/>
    </row>
    <row r="2047" ht="15.0" customHeight="1">
      <c r="A2047" s="127">
        <v>45819.0</v>
      </c>
      <c r="B2047" s="181" t="s">
        <v>8027</v>
      </c>
      <c r="C2047" s="56" t="s">
        <v>2934</v>
      </c>
      <c r="D2047" s="73" t="str">
        <f>IFERROR(VLOOKUP(C2047,Stock,3,FALSE),"")</f>
        <v>Peti Kayu</v>
      </c>
      <c r="E2047" s="56">
        <v>1.0</v>
      </c>
      <c r="F2047" s="161">
        <v>200000.0</v>
      </c>
      <c r="G2047" s="162">
        <f t="shared" si="33"/>
        <v>200000</v>
      </c>
      <c r="H2047" s="194"/>
      <c r="I2047" s="161">
        <f t="shared" si="36"/>
        <v>200000</v>
      </c>
      <c r="J2047" s="164">
        <f t="shared" si="30"/>
        <v>200000</v>
      </c>
      <c r="K2047" s="56" t="s">
        <v>8028</v>
      </c>
      <c r="L2047" s="165" t="s">
        <v>8029</v>
      </c>
      <c r="M2047" s="73"/>
      <c r="N2047" s="171"/>
      <c r="O2047" s="169" t="s">
        <v>2958</v>
      </c>
      <c r="P2047" s="168" t="s">
        <v>2922</v>
      </c>
      <c r="Q2047" s="173"/>
      <c r="R2047" s="167">
        <v>200000.0</v>
      </c>
      <c r="S2047" s="173"/>
      <c r="T2047" s="173"/>
      <c r="U2047" s="173"/>
      <c r="V2047" s="168" t="s">
        <v>3883</v>
      </c>
      <c r="W2047" s="169"/>
      <c r="X2047" s="466">
        <v>45819.0</v>
      </c>
    </row>
    <row r="2048" ht="15.0" customHeight="1">
      <c r="A2048" s="127">
        <v>45820.0</v>
      </c>
      <c r="B2048" s="181" t="s">
        <v>8030</v>
      </c>
      <c r="C2048" s="56" t="s">
        <v>2691</v>
      </c>
      <c r="D2048" s="73" t="str">
        <f>IFERROR(VLOOKUP(C2048,Stock,3,FALSE),"")</f>
        <v>Suzuki Ertiga 12-18 1st Gen MPV</v>
      </c>
      <c r="E2048" s="56">
        <v>1.0</v>
      </c>
      <c r="F2048" s="161">
        <v>1360000.0</v>
      </c>
      <c r="G2048" s="162">
        <f t="shared" si="33"/>
        <v>1360000</v>
      </c>
      <c r="H2048" s="194"/>
      <c r="I2048" s="161">
        <f t="shared" si="36"/>
        <v>1360000</v>
      </c>
      <c r="J2048" s="164">
        <f t="shared" si="30"/>
        <v>1360000</v>
      </c>
      <c r="K2048" s="56" t="s">
        <v>8031</v>
      </c>
      <c r="L2048" s="165" t="s">
        <v>8032</v>
      </c>
      <c r="M2048" s="73"/>
      <c r="N2048" s="289" t="s">
        <v>8033</v>
      </c>
      <c r="O2048" s="169" t="s">
        <v>3037</v>
      </c>
      <c r="P2048" s="168" t="s">
        <v>3112</v>
      </c>
      <c r="Q2048" s="167">
        <v>1360000.0</v>
      </c>
      <c r="R2048" s="173"/>
      <c r="S2048" s="173"/>
      <c r="T2048" s="173"/>
      <c r="U2048" s="173"/>
      <c r="V2048" s="168" t="s">
        <v>3883</v>
      </c>
      <c r="W2048" s="169"/>
      <c r="X2048" s="466">
        <v>45820.0</v>
      </c>
    </row>
    <row r="2049" ht="15.0" customHeight="1">
      <c r="A2049" s="127">
        <v>45820.0</v>
      </c>
      <c r="B2049" s="181" t="s">
        <v>8030</v>
      </c>
      <c r="C2049" s="56" t="s">
        <v>7811</v>
      </c>
      <c r="D2049" s="73" t="str">
        <f>IFERROR(VLOOKUP(C2049,Stock,3,FALSE),"")</f>
        <v>List Kaca Depan Ertiga 2012-2018 SGP</v>
      </c>
      <c r="E2049" s="56">
        <v>1.0</v>
      </c>
      <c r="F2049" s="161">
        <v>315000.0</v>
      </c>
      <c r="G2049" s="162">
        <f t="shared" si="33"/>
        <v>315000</v>
      </c>
      <c r="H2049" s="194"/>
      <c r="I2049" s="161">
        <f t="shared" si="36"/>
        <v>315000</v>
      </c>
      <c r="J2049" s="164">
        <f t="shared" si="30"/>
        <v>315000</v>
      </c>
      <c r="K2049" s="56" t="s">
        <v>8031</v>
      </c>
      <c r="L2049" s="165" t="s">
        <v>8032</v>
      </c>
      <c r="M2049" s="73"/>
      <c r="N2049" s="289" t="s">
        <v>8033</v>
      </c>
      <c r="O2049" s="169" t="s">
        <v>3037</v>
      </c>
      <c r="P2049" s="168" t="s">
        <v>3112</v>
      </c>
      <c r="Q2049" s="167">
        <v>315000.0</v>
      </c>
      <c r="R2049" s="173"/>
      <c r="S2049" s="173"/>
      <c r="T2049" s="173"/>
      <c r="U2049" s="173"/>
      <c r="V2049" s="168" t="s">
        <v>3883</v>
      </c>
      <c r="W2049" s="169"/>
      <c r="X2049" s="466">
        <v>45820.0</v>
      </c>
    </row>
    <row r="2050" ht="15.0" customHeight="1">
      <c r="A2050" s="127">
        <v>45820.0</v>
      </c>
      <c r="B2050" s="181" t="s">
        <v>8034</v>
      </c>
      <c r="C2050" s="56" t="s">
        <v>2965</v>
      </c>
      <c r="D2050" s="73" t="str">
        <f>IFERROR(VLOOKUP(C2050,Stock,3,FALSE),"")</f>
        <v>Suzuki Ertiga 12-18 1st Gen MPV</v>
      </c>
      <c r="E2050" s="56">
        <v>1.0</v>
      </c>
      <c r="F2050" s="161">
        <v>950000.0</v>
      </c>
      <c r="G2050" s="162">
        <f t="shared" si="33"/>
        <v>950000</v>
      </c>
      <c r="H2050" s="194"/>
      <c r="I2050" s="161">
        <f t="shared" si="36"/>
        <v>950000</v>
      </c>
      <c r="J2050" s="164">
        <f t="shared" si="30"/>
        <v>950000</v>
      </c>
      <c r="K2050" s="307" t="s">
        <v>8035</v>
      </c>
      <c r="L2050" s="165" t="s">
        <v>8036</v>
      </c>
      <c r="M2050" s="73"/>
      <c r="N2050" s="171"/>
      <c r="O2050" s="169" t="s">
        <v>2958</v>
      </c>
      <c r="P2050" s="168" t="s">
        <v>3112</v>
      </c>
      <c r="Q2050" s="173"/>
      <c r="R2050" s="167">
        <v>950000.0</v>
      </c>
      <c r="S2050" s="173"/>
      <c r="T2050" s="173"/>
      <c r="U2050" s="173"/>
      <c r="V2050" s="168" t="s">
        <v>3883</v>
      </c>
      <c r="W2050" s="169"/>
      <c r="X2050" s="466">
        <v>45820.0</v>
      </c>
    </row>
    <row r="2051" ht="15.0" customHeight="1">
      <c r="A2051" s="127">
        <v>45820.0</v>
      </c>
      <c r="B2051" s="181" t="s">
        <v>8034</v>
      </c>
      <c r="C2051" s="56" t="s">
        <v>2954</v>
      </c>
      <c r="D2051" s="73" t="str">
        <f>IFERROR(VLOOKUP(C2051,Stock,3,FALSE),"")</f>
        <v>Transport</v>
      </c>
      <c r="E2051" s="56">
        <v>1.0</v>
      </c>
      <c r="F2051" s="161">
        <v>75000.0</v>
      </c>
      <c r="G2051" s="162">
        <f t="shared" si="33"/>
        <v>75000</v>
      </c>
      <c r="H2051" s="194"/>
      <c r="I2051" s="161">
        <f t="shared" si="36"/>
        <v>75000</v>
      </c>
      <c r="J2051" s="164">
        <f t="shared" si="30"/>
        <v>75000</v>
      </c>
      <c r="K2051" s="307" t="s">
        <v>8035</v>
      </c>
      <c r="L2051" s="165" t="s">
        <v>8036</v>
      </c>
      <c r="M2051" s="73"/>
      <c r="N2051" s="171"/>
      <c r="O2051" s="169" t="s">
        <v>2958</v>
      </c>
      <c r="P2051" s="168" t="s">
        <v>3112</v>
      </c>
      <c r="Q2051" s="173"/>
      <c r="R2051" s="167">
        <v>75000.0</v>
      </c>
      <c r="S2051" s="173"/>
      <c r="T2051" s="173"/>
      <c r="U2051" s="173"/>
      <c r="V2051" s="168" t="s">
        <v>3883</v>
      </c>
      <c r="W2051" s="169"/>
      <c r="X2051" s="466">
        <v>45820.0</v>
      </c>
    </row>
    <row r="2052" ht="15.0" customHeight="1">
      <c r="A2052" s="127">
        <v>45821.0</v>
      </c>
      <c r="B2052" s="181" t="s">
        <v>8037</v>
      </c>
      <c r="C2052" s="56" t="s">
        <v>3045</v>
      </c>
      <c r="D2052" s="73" t="str">
        <f>IFERROR(VLOOKUP(C2052,Stock,3,FALSE),"")</f>
        <v>Pemasangan Kaca Mobil Depan</v>
      </c>
      <c r="E2052" s="56">
        <v>1.0</v>
      </c>
      <c r="F2052" s="161">
        <v>400000.0</v>
      </c>
      <c r="G2052" s="162">
        <f t="shared" si="33"/>
        <v>400000</v>
      </c>
      <c r="H2052" s="194"/>
      <c r="I2052" s="161">
        <f t="shared" si="36"/>
        <v>400000</v>
      </c>
      <c r="J2052" s="164">
        <f t="shared" si="30"/>
        <v>400000</v>
      </c>
      <c r="K2052" s="56" t="s">
        <v>8038</v>
      </c>
      <c r="L2052" s="165" t="s">
        <v>8039</v>
      </c>
      <c r="M2052" s="73"/>
      <c r="N2052" s="171"/>
      <c r="O2052" s="169" t="s">
        <v>2958</v>
      </c>
      <c r="P2052" s="168" t="s">
        <v>3112</v>
      </c>
      <c r="Q2052" s="167">
        <v>400000.0</v>
      </c>
      <c r="R2052" s="167"/>
      <c r="S2052" s="173"/>
      <c r="T2052" s="173"/>
      <c r="U2052" s="173"/>
      <c r="V2052" s="168" t="s">
        <v>3799</v>
      </c>
      <c r="W2052" s="169"/>
      <c r="X2052" s="169" t="s">
        <v>8040</v>
      </c>
    </row>
    <row r="2053" ht="15.0" customHeight="1">
      <c r="A2053" s="127">
        <v>45821.0</v>
      </c>
      <c r="B2053" s="181" t="s">
        <v>8037</v>
      </c>
      <c r="C2053" s="56" t="s">
        <v>3045</v>
      </c>
      <c r="D2053" s="73" t="str">
        <f>IFERROR(VLOOKUP(C2053,Stock,3,FALSE),"")</f>
        <v>Pemasangan Kaca Mobil Depan</v>
      </c>
      <c r="E2053" s="56">
        <v>1.0</v>
      </c>
      <c r="F2053" s="161">
        <v>400000.0</v>
      </c>
      <c r="G2053" s="162">
        <f t="shared" si="33"/>
        <v>400000</v>
      </c>
      <c r="H2053" s="194"/>
      <c r="I2053" s="161">
        <f t="shared" si="36"/>
        <v>400000</v>
      </c>
      <c r="J2053" s="164">
        <f t="shared" si="30"/>
        <v>400000</v>
      </c>
      <c r="K2053" s="56" t="s">
        <v>8038</v>
      </c>
      <c r="L2053" s="165" t="s">
        <v>8039</v>
      </c>
      <c r="M2053" s="73"/>
      <c r="N2053" s="171"/>
      <c r="O2053" s="169" t="s">
        <v>2958</v>
      </c>
      <c r="P2053" s="168" t="s">
        <v>3112</v>
      </c>
      <c r="Q2053" s="167">
        <v>400000.0</v>
      </c>
      <c r="R2053" s="173"/>
      <c r="S2053" s="173"/>
      <c r="T2053" s="173"/>
      <c r="U2053" s="173"/>
      <c r="V2053" s="168" t="s">
        <v>3799</v>
      </c>
      <c r="W2053" s="169"/>
      <c r="X2053" s="169" t="s">
        <v>8040</v>
      </c>
    </row>
    <row r="2054" ht="15.0" customHeight="1">
      <c r="A2054" s="127">
        <v>45821.0</v>
      </c>
      <c r="B2054" s="181" t="s">
        <v>8037</v>
      </c>
      <c r="C2054" s="56" t="s">
        <v>2954</v>
      </c>
      <c r="D2054" s="73" t="str">
        <f>IFERROR(VLOOKUP(C2054,Stock,3,FALSE),"")</f>
        <v>Transport</v>
      </c>
      <c r="E2054" s="56">
        <v>1.0</v>
      </c>
      <c r="F2054" s="161">
        <v>100000.0</v>
      </c>
      <c r="G2054" s="162">
        <f t="shared" si="33"/>
        <v>100000</v>
      </c>
      <c r="H2054" s="194"/>
      <c r="I2054" s="161">
        <f t="shared" si="36"/>
        <v>100000</v>
      </c>
      <c r="J2054" s="164">
        <f t="shared" si="30"/>
        <v>100000</v>
      </c>
      <c r="K2054" s="56" t="s">
        <v>8038</v>
      </c>
      <c r="L2054" s="165" t="s">
        <v>8039</v>
      </c>
      <c r="M2054" s="73"/>
      <c r="N2054" s="171"/>
      <c r="O2054" s="169" t="s">
        <v>2958</v>
      </c>
      <c r="P2054" s="168" t="s">
        <v>3112</v>
      </c>
      <c r="Q2054" s="173"/>
      <c r="R2054" s="167">
        <v>100000.0</v>
      </c>
      <c r="S2054" s="173"/>
      <c r="T2054" s="173"/>
      <c r="U2054" s="173"/>
      <c r="V2054" s="168" t="s">
        <v>3799</v>
      </c>
      <c r="W2054" s="169"/>
      <c r="X2054" s="169" t="s">
        <v>8041</v>
      </c>
    </row>
    <row r="2055" ht="15.0" customHeight="1">
      <c r="A2055" s="127">
        <v>45821.0</v>
      </c>
      <c r="B2055" s="181" t="s">
        <v>8042</v>
      </c>
      <c r="C2055" s="56" t="s">
        <v>8043</v>
      </c>
      <c r="D2055" s="73" t="str">
        <f>IFERROR(VLOOKUP(C2055,Stock,3,FALSE),"")</f>
        <v>Toyota Innova 04-15 1st Gen (Toyota)</v>
      </c>
      <c r="E2055" s="56">
        <v>1.0</v>
      </c>
      <c r="F2055" s="161">
        <v>668000.0</v>
      </c>
      <c r="G2055" s="162">
        <f t="shared" si="33"/>
        <v>668000</v>
      </c>
      <c r="H2055" s="194"/>
      <c r="I2055" s="161">
        <f t="shared" si="36"/>
        <v>668000</v>
      </c>
      <c r="J2055" s="164">
        <f t="shared" si="30"/>
        <v>668000</v>
      </c>
      <c r="K2055" s="56" t="s">
        <v>8044</v>
      </c>
      <c r="L2055" s="165" t="s">
        <v>8045</v>
      </c>
      <c r="M2055" s="73"/>
      <c r="N2055" s="289" t="s">
        <v>8046</v>
      </c>
      <c r="O2055" s="169" t="s">
        <v>2958</v>
      </c>
      <c r="P2055" s="168" t="s">
        <v>3112</v>
      </c>
      <c r="Q2055" s="173"/>
      <c r="R2055" s="167">
        <v>668000.0</v>
      </c>
      <c r="S2055" s="173"/>
      <c r="T2055" s="173"/>
      <c r="U2055" s="173"/>
      <c r="V2055" s="168" t="s">
        <v>3883</v>
      </c>
      <c r="W2055" s="169"/>
      <c r="X2055" s="169" t="s">
        <v>8047</v>
      </c>
    </row>
    <row r="2056" ht="15.0" customHeight="1">
      <c r="A2056" s="127">
        <v>45821.0</v>
      </c>
      <c r="B2056" s="181" t="s">
        <v>8048</v>
      </c>
      <c r="C2056" s="56" t="s">
        <v>2832</v>
      </c>
      <c r="D2056" s="73" t="str">
        <f>IFERROR(VLOOKUP(C2056,Stock,3,FALSE),"")</f>
        <v>Toyota Fortuner 15-  2nd Gen</v>
      </c>
      <c r="E2056" s="56">
        <v>1.0</v>
      </c>
      <c r="F2056" s="161">
        <v>1040000.0</v>
      </c>
      <c r="G2056" s="162">
        <f t="shared" si="33"/>
        <v>1040000</v>
      </c>
      <c r="H2056" s="194"/>
      <c r="I2056" s="161">
        <f t="shared" si="36"/>
        <v>1040000</v>
      </c>
      <c r="J2056" s="164">
        <f t="shared" si="30"/>
        <v>1040000</v>
      </c>
      <c r="K2056" s="56" t="s">
        <v>8049</v>
      </c>
      <c r="L2056" s="165" t="s">
        <v>8050</v>
      </c>
      <c r="M2056" s="73"/>
      <c r="N2056" s="171"/>
      <c r="O2056" s="169" t="s">
        <v>2958</v>
      </c>
      <c r="P2056" s="168" t="s">
        <v>3112</v>
      </c>
      <c r="Q2056" s="173"/>
      <c r="R2056" s="167">
        <v>1040000.0</v>
      </c>
      <c r="S2056" s="173"/>
      <c r="T2056" s="173"/>
      <c r="U2056" s="173"/>
      <c r="V2056" s="168" t="s">
        <v>3883</v>
      </c>
      <c r="W2056" s="169"/>
      <c r="X2056" s="169" t="s">
        <v>8051</v>
      </c>
    </row>
    <row r="2057" ht="15.0" customHeight="1">
      <c r="A2057" s="127">
        <v>45822.0</v>
      </c>
      <c r="B2057" s="181" t="s">
        <v>8052</v>
      </c>
      <c r="C2057" s="56" t="s">
        <v>2695</v>
      </c>
      <c r="D2057" s="73" t="str">
        <f>IFERROR(VLOOKUP(C2057,Stock,3,FALSE),"")</f>
        <v>Honda Accord 93-98 SV4 5th Gen (Cielo)</v>
      </c>
      <c r="E2057" s="56">
        <v>1.0</v>
      </c>
      <c r="F2057" s="161">
        <v>1803000.0</v>
      </c>
      <c r="G2057" s="162">
        <f t="shared" si="33"/>
        <v>1803000</v>
      </c>
      <c r="H2057" s="194"/>
      <c r="I2057" s="161">
        <f t="shared" si="36"/>
        <v>1803000</v>
      </c>
      <c r="J2057" s="164">
        <f t="shared" si="30"/>
        <v>1803000</v>
      </c>
      <c r="K2057" s="56" t="s">
        <v>8053</v>
      </c>
      <c r="L2057" s="165" t="s">
        <v>8054</v>
      </c>
      <c r="M2057" s="73"/>
      <c r="N2057" s="169" t="s">
        <v>8055</v>
      </c>
      <c r="O2057" s="169" t="s">
        <v>2958</v>
      </c>
      <c r="P2057" s="168" t="s">
        <v>3112</v>
      </c>
      <c r="Q2057" s="173"/>
      <c r="R2057" s="167">
        <v>1803000.0</v>
      </c>
      <c r="S2057" s="173"/>
      <c r="T2057" s="173"/>
      <c r="U2057" s="173"/>
      <c r="V2057" s="168" t="s">
        <v>3883</v>
      </c>
      <c r="W2057" s="169"/>
      <c r="X2057" s="169" t="s">
        <v>8056</v>
      </c>
    </row>
    <row r="2058" ht="15.0" customHeight="1">
      <c r="A2058" s="127">
        <v>45823.0</v>
      </c>
      <c r="B2058" s="181" t="s">
        <v>8057</v>
      </c>
      <c r="C2058" s="56" t="s">
        <v>5598</v>
      </c>
      <c r="D2058" s="73" t="str">
        <f>IFERROR(VLOOKUP(C2058,Stock,3,FALSE),"")</f>
        <v>Toyota Avanza / Xenia 11-15 2nd Gen / 15-21 3rd Gen</v>
      </c>
      <c r="E2058" s="56">
        <v>1.0</v>
      </c>
      <c r="F2058" s="161">
        <v>550000.0</v>
      </c>
      <c r="G2058" s="162">
        <f t="shared" si="33"/>
        <v>550000</v>
      </c>
      <c r="H2058" s="194"/>
      <c r="I2058" s="161">
        <f t="shared" si="36"/>
        <v>550000</v>
      </c>
      <c r="J2058" s="164">
        <f t="shared" si="30"/>
        <v>550000</v>
      </c>
      <c r="K2058" s="56" t="s">
        <v>5990</v>
      </c>
      <c r="L2058" s="165" t="s">
        <v>8058</v>
      </c>
      <c r="M2058" s="73"/>
      <c r="N2058" s="171"/>
      <c r="O2058" s="329" t="s">
        <v>3037</v>
      </c>
      <c r="P2058" s="168" t="s">
        <v>3112</v>
      </c>
      <c r="Q2058" s="167">
        <v>550000.0</v>
      </c>
      <c r="R2058" s="173"/>
      <c r="S2058" s="173"/>
      <c r="T2058" s="173"/>
      <c r="U2058" s="173"/>
      <c r="V2058" s="168" t="s">
        <v>3883</v>
      </c>
      <c r="W2058" s="169"/>
      <c r="X2058" s="169" t="s">
        <v>8059</v>
      </c>
    </row>
    <row r="2059" ht="15.0" customHeight="1">
      <c r="A2059" s="127">
        <v>45824.0</v>
      </c>
      <c r="B2059" s="181" t="s">
        <v>8060</v>
      </c>
      <c r="C2059" s="56" t="s">
        <v>2997</v>
      </c>
      <c r="D2059" s="73" t="str">
        <f>IFERROR(VLOOKUP(C2059,Stock,3,FALSE),"")</f>
        <v>Honda City 02-08 4th Gen Idsi GD8</v>
      </c>
      <c r="E2059" s="56">
        <v>1.0</v>
      </c>
      <c r="F2059" s="161">
        <v>2021000.0</v>
      </c>
      <c r="G2059" s="162">
        <f t="shared" si="33"/>
        <v>2021000</v>
      </c>
      <c r="H2059" s="194"/>
      <c r="I2059" s="161">
        <f t="shared" si="36"/>
        <v>2021000</v>
      </c>
      <c r="J2059" s="164">
        <f t="shared" si="30"/>
        <v>2021000</v>
      </c>
      <c r="K2059" s="56" t="s">
        <v>8061</v>
      </c>
      <c r="L2059" s="165" t="s">
        <v>8062</v>
      </c>
      <c r="M2059" s="73"/>
      <c r="N2059" s="169" t="s">
        <v>8063</v>
      </c>
      <c r="O2059" s="169" t="s">
        <v>5956</v>
      </c>
      <c r="P2059" s="168" t="s">
        <v>3112</v>
      </c>
      <c r="Q2059" s="173"/>
      <c r="R2059" s="167">
        <v>2021000.0</v>
      </c>
      <c r="S2059" s="173"/>
      <c r="T2059" s="173"/>
      <c r="U2059" s="173"/>
      <c r="V2059" s="168" t="s">
        <v>3883</v>
      </c>
      <c r="W2059" s="169"/>
      <c r="X2059" s="169" t="s">
        <v>8064</v>
      </c>
    </row>
    <row r="2060" ht="15.0" customHeight="1">
      <c r="A2060" s="127">
        <v>45824.0</v>
      </c>
      <c r="B2060" s="181" t="s">
        <v>8065</v>
      </c>
      <c r="C2060" s="56" t="s">
        <v>8066</v>
      </c>
      <c r="D2060" s="73" t="str">
        <f>IFERROR(VLOOKUP(C2060,Stock,3,FALSE),"")</f>
        <v>Honda Brio 10-</v>
      </c>
      <c r="E2060" s="56">
        <v>1.0</v>
      </c>
      <c r="F2060" s="161">
        <v>550000.0</v>
      </c>
      <c r="G2060" s="162">
        <f t="shared" si="33"/>
        <v>550000</v>
      </c>
      <c r="H2060" s="194"/>
      <c r="I2060" s="161">
        <f t="shared" si="36"/>
        <v>550000</v>
      </c>
      <c r="J2060" s="164">
        <f t="shared" si="30"/>
        <v>550000</v>
      </c>
      <c r="K2060" s="56" t="s">
        <v>8067</v>
      </c>
      <c r="L2060" s="165" t="s">
        <v>8068</v>
      </c>
      <c r="M2060" s="73"/>
      <c r="N2060" s="171"/>
      <c r="O2060" s="169" t="s">
        <v>2958</v>
      </c>
      <c r="P2060" s="168" t="s">
        <v>3112</v>
      </c>
      <c r="Q2060" s="167">
        <v>550000.0</v>
      </c>
      <c r="R2060" s="173"/>
      <c r="S2060" s="173"/>
      <c r="T2060" s="173"/>
      <c r="U2060" s="173"/>
      <c r="V2060" s="168" t="s">
        <v>3883</v>
      </c>
      <c r="W2060" s="169"/>
      <c r="X2060" s="169" t="s">
        <v>8040</v>
      </c>
    </row>
    <row r="2061" ht="15.0" customHeight="1">
      <c r="A2061" s="127">
        <v>45826.0</v>
      </c>
      <c r="B2061" s="181" t="s">
        <v>8069</v>
      </c>
      <c r="C2061" s="56" t="s">
        <v>8070</v>
      </c>
      <c r="D2061" s="73" t="str">
        <f>IFERROR(VLOOKUP(C2061,Stock,3,FALSE),"")</f>
        <v>Honda City 08-13 5th Gen (All New) RS</v>
      </c>
      <c r="E2061" s="56">
        <v>1.0</v>
      </c>
      <c r="F2061" s="161">
        <v>1625000.0</v>
      </c>
      <c r="G2061" s="162">
        <f t="shared" si="33"/>
        <v>1625000</v>
      </c>
      <c r="H2061" s="201">
        <v>25000.0</v>
      </c>
      <c r="I2061" s="161">
        <f t="shared" si="36"/>
        <v>1600000</v>
      </c>
      <c r="J2061" s="164">
        <f t="shared" si="30"/>
        <v>1600000</v>
      </c>
      <c r="K2061" s="56" t="s">
        <v>4240</v>
      </c>
      <c r="L2061" s="165" t="s">
        <v>8071</v>
      </c>
      <c r="M2061" s="73"/>
      <c r="N2061" s="289" t="s">
        <v>8072</v>
      </c>
      <c r="O2061" s="169" t="s">
        <v>2958</v>
      </c>
      <c r="P2061" s="168" t="s">
        <v>3112</v>
      </c>
      <c r="Q2061" s="173"/>
      <c r="R2061" s="167">
        <v>1600000.0</v>
      </c>
      <c r="S2061" s="173"/>
      <c r="T2061" s="173"/>
      <c r="U2061" s="173"/>
      <c r="V2061" s="168" t="s">
        <v>3799</v>
      </c>
      <c r="W2061" s="169"/>
      <c r="X2061" s="169" t="s">
        <v>8073</v>
      </c>
    </row>
    <row r="2062" ht="15.0" customHeight="1">
      <c r="A2062" s="127">
        <v>45826.0</v>
      </c>
      <c r="B2062" s="181" t="s">
        <v>8074</v>
      </c>
      <c r="C2062" s="56" t="s">
        <v>2692</v>
      </c>
      <c r="D2062" s="73" t="str">
        <f>IFERROR(VLOOKUP(C2062,Stock,3,FALSE),"")</f>
        <v>Suzuki Ertiga 18- 2nd Gen / XL7</v>
      </c>
      <c r="E2062" s="56">
        <v>1.0</v>
      </c>
      <c r="F2062" s="161">
        <v>1554000.0</v>
      </c>
      <c r="G2062" s="162">
        <f t="shared" si="33"/>
        <v>1554000</v>
      </c>
      <c r="H2062" s="194"/>
      <c r="I2062" s="161">
        <f t="shared" si="36"/>
        <v>1554000</v>
      </c>
      <c r="J2062" s="164">
        <f t="shared" si="30"/>
        <v>1554000</v>
      </c>
      <c r="K2062" s="56" t="s">
        <v>8075</v>
      </c>
      <c r="L2062" s="165" t="s">
        <v>8076</v>
      </c>
      <c r="M2062" s="73"/>
      <c r="N2062" s="169" t="s">
        <v>8077</v>
      </c>
      <c r="O2062" s="169" t="s">
        <v>2958</v>
      </c>
      <c r="P2062" s="168" t="s">
        <v>3112</v>
      </c>
      <c r="Q2062" s="173"/>
      <c r="R2062" s="167">
        <v>1554000.0</v>
      </c>
      <c r="S2062" s="173"/>
      <c r="T2062" s="173"/>
      <c r="U2062" s="173"/>
      <c r="V2062" s="168" t="s">
        <v>3883</v>
      </c>
      <c r="W2062" s="169"/>
      <c r="X2062" s="169" t="s">
        <v>8078</v>
      </c>
    </row>
    <row r="2063" ht="15.0" customHeight="1">
      <c r="A2063" s="127">
        <v>45826.0</v>
      </c>
      <c r="B2063" s="181" t="s">
        <v>8079</v>
      </c>
      <c r="C2063" s="56" t="s">
        <v>7472</v>
      </c>
      <c r="D2063" s="73" t="str">
        <f>IFERROR(VLOOKUP(C2063,Stock,3,FALSE),"")</f>
        <v>Toyota Agya/Ayla 23- 2nd Gen (Toyota/Daihatsu)</v>
      </c>
      <c r="E2063" s="56">
        <v>1.0</v>
      </c>
      <c r="F2063" s="161">
        <v>790000.0</v>
      </c>
      <c r="G2063" s="162">
        <f t="shared" si="33"/>
        <v>790000</v>
      </c>
      <c r="H2063" s="194"/>
      <c r="I2063" s="161">
        <f t="shared" si="36"/>
        <v>790000</v>
      </c>
      <c r="J2063" s="164">
        <f t="shared" si="30"/>
        <v>790000</v>
      </c>
      <c r="K2063" s="56" t="s">
        <v>8080</v>
      </c>
      <c r="L2063" s="165" t="s">
        <v>8081</v>
      </c>
      <c r="M2063" s="73"/>
      <c r="N2063" s="171"/>
      <c r="O2063" s="169" t="s">
        <v>3626</v>
      </c>
      <c r="P2063" s="168" t="s">
        <v>3112</v>
      </c>
      <c r="Q2063" s="173"/>
      <c r="R2063" s="167">
        <v>790000.0</v>
      </c>
      <c r="S2063" s="173"/>
      <c r="T2063" s="173"/>
      <c r="U2063" s="173"/>
      <c r="V2063" s="168" t="s">
        <v>3883</v>
      </c>
      <c r="W2063" s="169"/>
      <c r="X2063" s="169" t="s">
        <v>8082</v>
      </c>
    </row>
    <row r="2064" ht="15.0" customHeight="1">
      <c r="A2064" s="127">
        <v>45826.0</v>
      </c>
      <c r="B2064" s="181" t="s">
        <v>8079</v>
      </c>
      <c r="C2064" s="56" t="s">
        <v>4027</v>
      </c>
      <c r="D2064" s="73" t="str">
        <f>IFERROR(VLOOKUP(C2064,Stock,3,FALSE),"")</f>
        <v>501 Sealant Application</v>
      </c>
      <c r="E2064" s="56">
        <v>2.0</v>
      </c>
      <c r="F2064" s="161">
        <v>95000.0</v>
      </c>
      <c r="G2064" s="162">
        <f t="shared" si="33"/>
        <v>190000</v>
      </c>
      <c r="H2064" s="194"/>
      <c r="I2064" s="161">
        <f t="shared" si="36"/>
        <v>190000</v>
      </c>
      <c r="J2064" s="164">
        <f t="shared" si="30"/>
        <v>190000</v>
      </c>
      <c r="K2064" s="56" t="s">
        <v>8080</v>
      </c>
      <c r="L2064" s="165" t="s">
        <v>8081</v>
      </c>
      <c r="M2064" s="73"/>
      <c r="N2064" s="171"/>
      <c r="O2064" s="169" t="s">
        <v>3626</v>
      </c>
      <c r="P2064" s="168" t="s">
        <v>3112</v>
      </c>
      <c r="Q2064" s="173"/>
      <c r="R2064" s="167">
        <v>190000.0</v>
      </c>
      <c r="S2064" s="173"/>
      <c r="T2064" s="173"/>
      <c r="U2064" s="173"/>
      <c r="V2064" s="168" t="s">
        <v>3883</v>
      </c>
      <c r="W2064" s="169"/>
      <c r="X2064" s="169" t="s">
        <v>8082</v>
      </c>
    </row>
    <row r="2065" ht="15.0" customHeight="1">
      <c r="A2065" s="127">
        <v>45826.0</v>
      </c>
      <c r="B2065" s="181" t="s">
        <v>8079</v>
      </c>
      <c r="C2065" s="56" t="s">
        <v>2934</v>
      </c>
      <c r="D2065" s="73" t="str">
        <f>IFERROR(VLOOKUP(C2065,Stock,3,FALSE),"")</f>
        <v>Peti Kayu</v>
      </c>
      <c r="E2065" s="56">
        <v>1.0</v>
      </c>
      <c r="F2065" s="161">
        <v>200000.0</v>
      </c>
      <c r="G2065" s="162">
        <f t="shared" si="33"/>
        <v>200000</v>
      </c>
      <c r="H2065" s="194"/>
      <c r="I2065" s="161">
        <f t="shared" si="36"/>
        <v>200000</v>
      </c>
      <c r="J2065" s="164">
        <f t="shared" si="30"/>
        <v>200000</v>
      </c>
      <c r="K2065" s="56" t="s">
        <v>8080</v>
      </c>
      <c r="L2065" s="165" t="s">
        <v>8081</v>
      </c>
      <c r="M2065" s="73"/>
      <c r="N2065" s="171"/>
      <c r="O2065" s="169" t="s">
        <v>3626</v>
      </c>
      <c r="P2065" s="168" t="s">
        <v>3112</v>
      </c>
      <c r="Q2065" s="173"/>
      <c r="R2065" s="167">
        <v>200000.0</v>
      </c>
      <c r="S2065" s="173"/>
      <c r="T2065" s="173"/>
      <c r="U2065" s="173"/>
      <c r="V2065" s="168" t="s">
        <v>3883</v>
      </c>
      <c r="W2065" s="169"/>
      <c r="X2065" s="169" t="s">
        <v>8082</v>
      </c>
    </row>
    <row r="2066" ht="15.0" customHeight="1">
      <c r="A2066" s="127">
        <v>45827.0</v>
      </c>
      <c r="B2066" s="181" t="s">
        <v>8083</v>
      </c>
      <c r="C2066" s="56" t="s">
        <v>2549</v>
      </c>
      <c r="D2066" s="73" t="str">
        <f>IFERROR(VLOOKUP(C2066,Stock,3,FALSE),"")</f>
        <v>Toyota Avanza / Xenia 11-15 2nd Gen</v>
      </c>
      <c r="E2066" s="56">
        <v>1.0</v>
      </c>
      <c r="F2066" s="161">
        <v>1050000.0</v>
      </c>
      <c r="G2066" s="162">
        <f t="shared" si="33"/>
        <v>1050000</v>
      </c>
      <c r="H2066" s="194"/>
      <c r="I2066" s="161">
        <f t="shared" si="36"/>
        <v>1050000</v>
      </c>
      <c r="J2066" s="164">
        <f t="shared" si="30"/>
        <v>1050000</v>
      </c>
      <c r="K2066" s="56" t="s">
        <v>8084</v>
      </c>
      <c r="L2066" s="165" t="s">
        <v>8085</v>
      </c>
      <c r="M2066" s="73"/>
      <c r="N2066" s="171"/>
      <c r="O2066" s="169" t="s">
        <v>2958</v>
      </c>
      <c r="P2066" s="168" t="s">
        <v>3112</v>
      </c>
      <c r="Q2066" s="173"/>
      <c r="R2066" s="167">
        <v>1050000.0</v>
      </c>
      <c r="S2066" s="173"/>
      <c r="T2066" s="173"/>
      <c r="U2066" s="173"/>
      <c r="V2066" s="168" t="s">
        <v>3883</v>
      </c>
      <c r="W2066" s="169"/>
      <c r="X2066" s="169" t="s">
        <v>8086</v>
      </c>
    </row>
    <row r="2067" ht="15.0" customHeight="1">
      <c r="A2067" s="127">
        <v>45827.0</v>
      </c>
      <c r="B2067" s="181" t="s">
        <v>8083</v>
      </c>
      <c r="C2067" s="56" t="s">
        <v>3826</v>
      </c>
      <c r="D2067" s="73" t="str">
        <f>IFERROR(VLOOKUP(C2067,Stock,3,FALSE),"")</f>
        <v>List Kaca Depan Code 11</v>
      </c>
      <c r="E2067" s="56">
        <v>1.0</v>
      </c>
      <c r="F2067" s="161">
        <v>275000.0</v>
      </c>
      <c r="G2067" s="162">
        <f t="shared" si="33"/>
        <v>275000</v>
      </c>
      <c r="H2067" s="194"/>
      <c r="I2067" s="161">
        <f t="shared" si="36"/>
        <v>275000</v>
      </c>
      <c r="J2067" s="164">
        <f t="shared" si="30"/>
        <v>275000</v>
      </c>
      <c r="K2067" s="307" t="s">
        <v>8084</v>
      </c>
      <c r="L2067" s="165" t="s">
        <v>8087</v>
      </c>
      <c r="M2067" s="73"/>
      <c r="N2067" s="171"/>
      <c r="O2067" s="169" t="s">
        <v>2958</v>
      </c>
      <c r="P2067" s="168" t="s">
        <v>3112</v>
      </c>
      <c r="Q2067" s="173"/>
      <c r="R2067" s="167">
        <v>275000.0</v>
      </c>
      <c r="S2067" s="173"/>
      <c r="T2067" s="173"/>
      <c r="U2067" s="173"/>
      <c r="V2067" s="168" t="s">
        <v>3883</v>
      </c>
      <c r="W2067" s="169"/>
      <c r="X2067" s="169" t="s">
        <v>8086</v>
      </c>
    </row>
    <row r="2068" ht="15.0" customHeight="1">
      <c r="A2068" s="127">
        <v>45827.0</v>
      </c>
      <c r="B2068" s="181" t="s">
        <v>8088</v>
      </c>
      <c r="C2068" s="56" t="s">
        <v>3501</v>
      </c>
      <c r="D2068" s="73" t="str">
        <f>IFERROR(VLOOKUP(C2068,Stock,3,FALSE),"")</f>
        <v>Honda CR-V 02-06 2nd Gen</v>
      </c>
      <c r="E2068" s="56">
        <v>1.0</v>
      </c>
      <c r="F2068" s="161">
        <v>1800000.0</v>
      </c>
      <c r="G2068" s="162">
        <f t="shared" si="33"/>
        <v>1800000</v>
      </c>
      <c r="H2068" s="194"/>
      <c r="I2068" s="161">
        <f t="shared" si="36"/>
        <v>1800000</v>
      </c>
      <c r="J2068" s="164">
        <f t="shared" si="30"/>
        <v>1800000</v>
      </c>
      <c r="K2068" s="56" t="s">
        <v>8089</v>
      </c>
      <c r="L2068" s="165" t="s">
        <v>8090</v>
      </c>
      <c r="M2068" s="73"/>
      <c r="N2068" s="171"/>
      <c r="O2068" s="169" t="s">
        <v>8091</v>
      </c>
      <c r="P2068" s="168" t="s">
        <v>3112</v>
      </c>
      <c r="Q2068" s="173"/>
      <c r="R2068" s="167">
        <v>1800000.0</v>
      </c>
      <c r="S2068" s="173"/>
      <c r="T2068" s="173"/>
      <c r="U2068" s="173"/>
      <c r="V2068" s="168" t="s">
        <v>3883</v>
      </c>
      <c r="W2068" s="169"/>
      <c r="X2068" s="169" t="s">
        <v>8092</v>
      </c>
    </row>
    <row r="2069" ht="15.0" customHeight="1">
      <c r="A2069" s="127">
        <v>45827.0</v>
      </c>
      <c r="B2069" s="181" t="s">
        <v>8088</v>
      </c>
      <c r="C2069" s="56" t="s">
        <v>2934</v>
      </c>
      <c r="D2069" s="73" t="str">
        <f>IFERROR(VLOOKUP(C2069,Stock,3,FALSE),"")</f>
        <v>Peti Kayu</v>
      </c>
      <c r="E2069" s="56">
        <v>1.0</v>
      </c>
      <c r="F2069" s="161">
        <v>250000.0</v>
      </c>
      <c r="G2069" s="162">
        <f t="shared" si="33"/>
        <v>250000</v>
      </c>
      <c r="H2069" s="194"/>
      <c r="I2069" s="161">
        <f t="shared" si="36"/>
        <v>250000</v>
      </c>
      <c r="J2069" s="164">
        <f t="shared" si="30"/>
        <v>250000</v>
      </c>
      <c r="K2069" s="56" t="s">
        <v>8089</v>
      </c>
      <c r="L2069" s="165" t="s">
        <v>8090</v>
      </c>
      <c r="M2069" s="73"/>
      <c r="N2069" s="171"/>
      <c r="O2069" s="169" t="s">
        <v>8091</v>
      </c>
      <c r="P2069" s="168" t="s">
        <v>3112</v>
      </c>
      <c r="Q2069" s="173"/>
      <c r="R2069" s="167">
        <v>250000.0</v>
      </c>
      <c r="S2069" s="173"/>
      <c r="T2069" s="173"/>
      <c r="U2069" s="173"/>
      <c r="V2069" s="168" t="s">
        <v>3883</v>
      </c>
      <c r="W2069" s="169"/>
      <c r="X2069" s="169" t="s">
        <v>8092</v>
      </c>
    </row>
    <row r="2070" ht="15.0" customHeight="1">
      <c r="A2070" s="127">
        <v>45828.0</v>
      </c>
      <c r="B2070" s="181" t="s">
        <v>8093</v>
      </c>
      <c r="C2070" s="56" t="s">
        <v>3366</v>
      </c>
      <c r="D2070" s="73" t="str">
        <f>IFERROR(VLOOKUP(C2070,Stock,3,FALSE),"")</f>
        <v>Toyota Hi-Ace 04-20 Commuter (Clear)</v>
      </c>
      <c r="E2070" s="56">
        <v>1.0</v>
      </c>
      <c r="F2070" s="161">
        <v>2537000.0</v>
      </c>
      <c r="G2070" s="162">
        <f t="shared" si="33"/>
        <v>2537000</v>
      </c>
      <c r="H2070" s="194"/>
      <c r="I2070" s="161">
        <f t="shared" si="36"/>
        <v>2537000</v>
      </c>
      <c r="J2070" s="164">
        <f t="shared" si="30"/>
        <v>2537000</v>
      </c>
      <c r="K2070" s="56" t="s">
        <v>6243</v>
      </c>
      <c r="L2070" s="165" t="s">
        <v>8094</v>
      </c>
      <c r="M2070" s="73"/>
      <c r="N2070" s="169" t="s">
        <v>8095</v>
      </c>
      <c r="O2070" s="169" t="s">
        <v>3213</v>
      </c>
      <c r="P2070" s="168" t="s">
        <v>3112</v>
      </c>
      <c r="Q2070" s="173"/>
      <c r="R2070" s="167">
        <v>2537000.0</v>
      </c>
      <c r="S2070" s="173"/>
      <c r="T2070" s="173"/>
      <c r="U2070" s="173"/>
      <c r="V2070" s="168" t="s">
        <v>3799</v>
      </c>
      <c r="W2070" s="169"/>
      <c r="X2070" s="169" t="s">
        <v>8096</v>
      </c>
    </row>
    <row r="2071" ht="15.0" customHeight="1">
      <c r="A2071" s="127">
        <v>45828.0</v>
      </c>
      <c r="B2071" s="181" t="s">
        <v>8097</v>
      </c>
      <c r="C2071" s="56" t="s">
        <v>3186</v>
      </c>
      <c r="D2071" s="73" t="str">
        <f>IFERROR(VLOOKUP(C2071,Stock,3,FALSE),"")</f>
        <v>Daihatsu Gran Max / Luxio 07-</v>
      </c>
      <c r="E2071" s="56">
        <v>1.0</v>
      </c>
      <c r="F2071" s="161">
        <v>1050000.0</v>
      </c>
      <c r="G2071" s="162">
        <f t="shared" si="33"/>
        <v>1050000</v>
      </c>
      <c r="H2071" s="201">
        <v>50000.0</v>
      </c>
      <c r="I2071" s="161">
        <f t="shared" si="36"/>
        <v>1000000</v>
      </c>
      <c r="J2071" s="164">
        <f t="shared" si="30"/>
        <v>1000000</v>
      </c>
      <c r="K2071" s="56" t="s">
        <v>8098</v>
      </c>
      <c r="L2071" s="165" t="s">
        <v>8094</v>
      </c>
      <c r="M2071" s="73"/>
      <c r="N2071" s="289" t="s">
        <v>8099</v>
      </c>
      <c r="O2071" s="169" t="s">
        <v>2958</v>
      </c>
      <c r="P2071" s="168" t="s">
        <v>3112</v>
      </c>
      <c r="Q2071" s="173"/>
      <c r="R2071" s="167">
        <v>1000000.0</v>
      </c>
      <c r="S2071" s="173"/>
      <c r="T2071" s="173"/>
      <c r="U2071" s="173"/>
      <c r="V2071" s="168" t="s">
        <v>3799</v>
      </c>
      <c r="W2071" s="169"/>
      <c r="X2071" s="169" t="s">
        <v>8100</v>
      </c>
    </row>
    <row r="2072" ht="15.0" customHeight="1">
      <c r="A2072" s="127">
        <v>45828.0</v>
      </c>
      <c r="B2072" s="181" t="s">
        <v>8101</v>
      </c>
      <c r="C2072" s="56" t="s">
        <v>3186</v>
      </c>
      <c r="D2072" s="73" t="str">
        <f>IFERROR(VLOOKUP(C2072,Stock,3,FALSE),"")</f>
        <v>Daihatsu Gran Max / Luxio 07-</v>
      </c>
      <c r="E2072" s="56">
        <v>1.0</v>
      </c>
      <c r="F2072" s="161">
        <v>1000000.0</v>
      </c>
      <c r="G2072" s="162">
        <f t="shared" si="33"/>
        <v>1000000</v>
      </c>
      <c r="H2072" s="194"/>
      <c r="I2072" s="161">
        <f t="shared" si="36"/>
        <v>1000000</v>
      </c>
      <c r="J2072" s="164">
        <f t="shared" si="30"/>
        <v>1000000</v>
      </c>
      <c r="K2072" s="56" t="s">
        <v>5366</v>
      </c>
      <c r="L2072" s="165" t="s">
        <v>8102</v>
      </c>
      <c r="M2072" s="73"/>
      <c r="N2072" s="171"/>
      <c r="O2072" s="169" t="s">
        <v>2958</v>
      </c>
      <c r="P2072" s="168" t="s">
        <v>3112</v>
      </c>
      <c r="Q2072" s="173"/>
      <c r="R2072" s="167">
        <v>1000000.0</v>
      </c>
      <c r="S2072" s="173"/>
      <c r="T2072" s="173"/>
      <c r="U2072" s="173"/>
      <c r="V2072" s="168" t="s">
        <v>3883</v>
      </c>
      <c r="W2072" s="169"/>
      <c r="X2072" s="169" t="s">
        <v>8103</v>
      </c>
    </row>
    <row r="2073" ht="15.0" customHeight="1">
      <c r="A2073" s="127">
        <v>45828.0</v>
      </c>
      <c r="B2073" s="181" t="s">
        <v>8101</v>
      </c>
      <c r="C2073" s="56" t="s">
        <v>3083</v>
      </c>
      <c r="D2073" s="73" t="str">
        <f>IFERROR(VLOOKUP(C2073,Stock,3,FALSE),"")</f>
        <v>List Kaca Depan Code 04</v>
      </c>
      <c r="E2073" s="56">
        <v>1.0</v>
      </c>
      <c r="F2073" s="161">
        <v>275000.0</v>
      </c>
      <c r="G2073" s="162">
        <f t="shared" si="33"/>
        <v>275000</v>
      </c>
      <c r="H2073" s="194"/>
      <c r="I2073" s="161">
        <f t="shared" si="36"/>
        <v>275000</v>
      </c>
      <c r="J2073" s="164">
        <f t="shared" si="30"/>
        <v>275000</v>
      </c>
      <c r="K2073" s="56" t="s">
        <v>5366</v>
      </c>
      <c r="L2073" s="165" t="s">
        <v>8102</v>
      </c>
      <c r="M2073" s="73"/>
      <c r="N2073" s="171"/>
      <c r="O2073" s="169" t="s">
        <v>2958</v>
      </c>
      <c r="P2073" s="168" t="s">
        <v>3112</v>
      </c>
      <c r="Q2073" s="173"/>
      <c r="R2073" s="167">
        <v>275000.0</v>
      </c>
      <c r="S2073" s="173"/>
      <c r="T2073" s="173"/>
      <c r="U2073" s="173"/>
      <c r="V2073" s="168" t="s">
        <v>3883</v>
      </c>
      <c r="W2073" s="169"/>
      <c r="X2073" s="169" t="s">
        <v>8103</v>
      </c>
    </row>
    <row r="2074" ht="15.0" customHeight="1">
      <c r="A2074" s="127">
        <v>45829.0</v>
      </c>
      <c r="B2074" s="181" t="s">
        <v>8104</v>
      </c>
      <c r="C2074" s="56" t="s">
        <v>5683</v>
      </c>
      <c r="D2074" s="73" t="str">
        <f>IFERROR(VLOOKUP(C2074,Stock,3,FALSE),"")</f>
        <v>Wuling Cortez</v>
      </c>
      <c r="E2074" s="56">
        <v>1.0</v>
      </c>
      <c r="F2074" s="161">
        <v>2187000.0</v>
      </c>
      <c r="G2074" s="162">
        <f t="shared" si="33"/>
        <v>2187000</v>
      </c>
      <c r="H2074" s="201">
        <v>37000.0</v>
      </c>
      <c r="I2074" s="161">
        <f t="shared" si="36"/>
        <v>2150000</v>
      </c>
      <c r="J2074" s="164">
        <f t="shared" si="30"/>
        <v>2150000</v>
      </c>
      <c r="K2074" s="56" t="s">
        <v>8105</v>
      </c>
      <c r="L2074" s="165" t="s">
        <v>8106</v>
      </c>
      <c r="M2074" s="73"/>
      <c r="N2074" s="171"/>
      <c r="O2074" s="169" t="s">
        <v>2958</v>
      </c>
      <c r="P2074" s="168" t="s">
        <v>3112</v>
      </c>
      <c r="Q2074" s="173"/>
      <c r="R2074" s="167">
        <v>2150000.0</v>
      </c>
      <c r="S2074" s="173"/>
      <c r="T2074" s="173"/>
      <c r="U2074" s="173"/>
      <c r="V2074" s="168" t="s">
        <v>3883</v>
      </c>
      <c r="W2074" s="169"/>
      <c r="X2074" s="169" t="s">
        <v>8107</v>
      </c>
    </row>
    <row r="2075" ht="15.0" customHeight="1">
      <c r="A2075" s="127">
        <v>45829.0</v>
      </c>
      <c r="B2075" s="181" t="s">
        <v>8104</v>
      </c>
      <c r="C2075" s="56" t="s">
        <v>2954</v>
      </c>
      <c r="D2075" s="73" t="str">
        <f>IFERROR(VLOOKUP(C2075,Stock,3,FALSE),"")</f>
        <v>Transport</v>
      </c>
      <c r="E2075" s="56">
        <v>1.0</v>
      </c>
      <c r="F2075" s="161">
        <v>150000.0</v>
      </c>
      <c r="G2075" s="162">
        <f t="shared" si="33"/>
        <v>150000</v>
      </c>
      <c r="H2075" s="194"/>
      <c r="I2075" s="161">
        <f t="shared" si="36"/>
        <v>150000</v>
      </c>
      <c r="J2075" s="164">
        <f t="shared" si="30"/>
        <v>150000</v>
      </c>
      <c r="K2075" s="56" t="s">
        <v>8105</v>
      </c>
      <c r="L2075" s="165" t="s">
        <v>8106</v>
      </c>
      <c r="M2075" s="73"/>
      <c r="N2075" s="171"/>
      <c r="O2075" s="169" t="s">
        <v>2958</v>
      </c>
      <c r="P2075" s="168" t="s">
        <v>3112</v>
      </c>
      <c r="Q2075" s="173"/>
      <c r="R2075" s="167">
        <v>150000.0</v>
      </c>
      <c r="S2075" s="173"/>
      <c r="T2075" s="173"/>
      <c r="U2075" s="173"/>
      <c r="V2075" s="168" t="s">
        <v>3883</v>
      </c>
      <c r="W2075" s="169"/>
      <c r="X2075" s="169" t="s">
        <v>8107</v>
      </c>
    </row>
    <row r="2076" ht="15.0" customHeight="1">
      <c r="A2076" s="127">
        <v>45829.0</v>
      </c>
      <c r="B2076" s="181" t="s">
        <v>8108</v>
      </c>
      <c r="C2076" s="56" t="s">
        <v>2665</v>
      </c>
      <c r="D2076" s="73" t="str">
        <f>IFERROR(VLOOKUP(C2076,Stock,3,FALSE),"")</f>
        <v>Chevrolet Spin 12-</v>
      </c>
      <c r="E2076" s="56">
        <v>1.0</v>
      </c>
      <c r="F2076" s="161">
        <v>1700000.0</v>
      </c>
      <c r="G2076" s="162">
        <f t="shared" si="33"/>
        <v>1700000</v>
      </c>
      <c r="H2076" s="194"/>
      <c r="I2076" s="161">
        <f t="shared" si="36"/>
        <v>1700000</v>
      </c>
      <c r="J2076" s="164">
        <f t="shared" si="30"/>
        <v>1700000</v>
      </c>
      <c r="K2076" s="56" t="s">
        <v>8109</v>
      </c>
      <c r="L2076" s="165" t="s">
        <v>8110</v>
      </c>
      <c r="M2076" s="73"/>
      <c r="N2076" s="169" t="s">
        <v>8111</v>
      </c>
      <c r="O2076" s="169" t="s">
        <v>3204</v>
      </c>
      <c r="P2076" s="168" t="s">
        <v>3112</v>
      </c>
      <c r="Q2076" s="173"/>
      <c r="R2076" s="167">
        <v>1700000.0</v>
      </c>
      <c r="S2076" s="173"/>
      <c r="T2076" s="173"/>
      <c r="U2076" s="173"/>
      <c r="V2076" s="168" t="s">
        <v>3883</v>
      </c>
      <c r="W2076" s="169"/>
      <c r="X2076" s="169" t="s">
        <v>8112</v>
      </c>
    </row>
    <row r="2077" ht="15.0" customHeight="1">
      <c r="A2077" s="127">
        <v>45829.0</v>
      </c>
      <c r="B2077" s="181" t="s">
        <v>8113</v>
      </c>
      <c r="C2077" s="56" t="s">
        <v>3622</v>
      </c>
      <c r="D2077" s="73" t="str">
        <f>IFERROR(VLOOKUP(C2077,Stock,3,FALSE),"")</f>
        <v>Mitsubishi Pajero 08-16</v>
      </c>
      <c r="E2077" s="56">
        <v>1.0</v>
      </c>
      <c r="F2077" s="161">
        <v>1248000.0</v>
      </c>
      <c r="G2077" s="162">
        <f t="shared" si="33"/>
        <v>1248000</v>
      </c>
      <c r="H2077" s="194"/>
      <c r="I2077" s="161">
        <f t="shared" si="36"/>
        <v>1248000</v>
      </c>
      <c r="J2077" s="164">
        <f t="shared" si="30"/>
        <v>1248000</v>
      </c>
      <c r="K2077" s="197" t="s">
        <v>8114</v>
      </c>
      <c r="L2077" s="165" t="s">
        <v>8115</v>
      </c>
      <c r="M2077" s="73"/>
      <c r="N2077" s="171"/>
      <c r="O2077" s="169" t="s">
        <v>8116</v>
      </c>
      <c r="P2077" s="168" t="s">
        <v>8117</v>
      </c>
      <c r="Q2077" s="173"/>
      <c r="R2077" s="173"/>
      <c r="S2077" s="167">
        <v>1248000.0</v>
      </c>
      <c r="T2077" s="173"/>
      <c r="U2077" s="173"/>
      <c r="V2077" s="168" t="s">
        <v>3799</v>
      </c>
      <c r="W2077" s="169"/>
      <c r="X2077" s="171"/>
    </row>
    <row r="2078" ht="15.0" customHeight="1">
      <c r="A2078" s="127">
        <v>45829.0</v>
      </c>
      <c r="B2078" s="181" t="s">
        <v>8113</v>
      </c>
      <c r="C2078" s="56" t="s">
        <v>3707</v>
      </c>
      <c r="D2078" s="73" t="str">
        <f>IFERROR(VLOOKUP(C2078,Stock,3,FALSE),"")</f>
        <v>Mitsubishi Pajero 16-</v>
      </c>
      <c r="E2078" s="56">
        <v>1.0</v>
      </c>
      <c r="F2078" s="161">
        <v>1248000.0</v>
      </c>
      <c r="G2078" s="162">
        <f t="shared" si="33"/>
        <v>1248000</v>
      </c>
      <c r="H2078" s="194"/>
      <c r="I2078" s="161">
        <f t="shared" si="36"/>
        <v>1248000</v>
      </c>
      <c r="J2078" s="164">
        <f t="shared" si="30"/>
        <v>1248000</v>
      </c>
      <c r="K2078" s="197" t="s">
        <v>8114</v>
      </c>
      <c r="L2078" s="165" t="s">
        <v>8115</v>
      </c>
      <c r="M2078" s="73"/>
      <c r="N2078" s="171"/>
      <c r="O2078" s="169" t="s">
        <v>8116</v>
      </c>
      <c r="P2078" s="168" t="s">
        <v>8117</v>
      </c>
      <c r="Q2078" s="173"/>
      <c r="R2078" s="173"/>
      <c r="S2078" s="167">
        <v>1248000.0</v>
      </c>
      <c r="T2078" s="173"/>
      <c r="U2078" s="173"/>
      <c r="V2078" s="168" t="s">
        <v>3799</v>
      </c>
      <c r="W2078" s="169"/>
      <c r="X2078" s="171"/>
    </row>
    <row r="2079" ht="15.0" customHeight="1">
      <c r="A2079" s="127">
        <v>45829.0</v>
      </c>
      <c r="B2079" s="181" t="s">
        <v>8113</v>
      </c>
      <c r="C2079" s="56" t="s">
        <v>2934</v>
      </c>
      <c r="D2079" s="73" t="str">
        <f>IFERROR(VLOOKUP(C2079,Stock,3,FALSE),"")</f>
        <v>Peti Kayu</v>
      </c>
      <c r="E2079" s="56">
        <v>1.0</v>
      </c>
      <c r="F2079" s="161">
        <v>200000.0</v>
      </c>
      <c r="G2079" s="162">
        <f t="shared" si="33"/>
        <v>200000</v>
      </c>
      <c r="H2079" s="194"/>
      <c r="I2079" s="161">
        <f t="shared" si="36"/>
        <v>200000</v>
      </c>
      <c r="J2079" s="164">
        <f t="shared" si="30"/>
        <v>200000</v>
      </c>
      <c r="K2079" s="197" t="s">
        <v>8114</v>
      </c>
      <c r="L2079" s="165" t="s">
        <v>8115</v>
      </c>
      <c r="M2079" s="73"/>
      <c r="N2079" s="171"/>
      <c r="O2079" s="169" t="s">
        <v>8116</v>
      </c>
      <c r="P2079" s="168" t="s">
        <v>8117</v>
      </c>
      <c r="Q2079" s="173"/>
      <c r="R2079" s="173"/>
      <c r="S2079" s="167">
        <v>200000.0</v>
      </c>
      <c r="T2079" s="173"/>
      <c r="U2079" s="173"/>
      <c r="V2079" s="168" t="s">
        <v>3799</v>
      </c>
      <c r="W2079" s="169"/>
      <c r="X2079" s="171"/>
    </row>
    <row r="2080" ht="15.0" customHeight="1">
      <c r="A2080" s="127">
        <v>45829.0</v>
      </c>
      <c r="B2080" s="181" t="s">
        <v>8113</v>
      </c>
      <c r="C2080" s="169" t="s">
        <v>2954</v>
      </c>
      <c r="D2080" s="73" t="str">
        <f>IFERROR(VLOOKUP(C2080,Stock,3,FALSE),"")</f>
        <v>Transport</v>
      </c>
      <c r="E2080" s="56">
        <v>1.0</v>
      </c>
      <c r="F2080" s="161">
        <v>75000.0</v>
      </c>
      <c r="G2080" s="162">
        <f t="shared" si="33"/>
        <v>75000</v>
      </c>
      <c r="H2080" s="194"/>
      <c r="I2080" s="161">
        <f t="shared" si="36"/>
        <v>75000</v>
      </c>
      <c r="J2080" s="164">
        <f t="shared" si="30"/>
        <v>75000</v>
      </c>
      <c r="K2080" s="197" t="s">
        <v>8114</v>
      </c>
      <c r="L2080" s="165" t="s">
        <v>8115</v>
      </c>
      <c r="M2080" s="73"/>
      <c r="N2080" s="171"/>
      <c r="O2080" s="169" t="s">
        <v>8116</v>
      </c>
      <c r="P2080" s="168" t="s">
        <v>8117</v>
      </c>
      <c r="Q2080" s="173"/>
      <c r="R2080" s="167">
        <v>75000.0</v>
      </c>
      <c r="S2080" s="173"/>
      <c r="T2080" s="173"/>
      <c r="U2080" s="173"/>
      <c r="V2080" s="168" t="s">
        <v>3799</v>
      </c>
      <c r="W2080" s="169"/>
      <c r="X2080" s="169" t="s">
        <v>8118</v>
      </c>
    </row>
    <row r="2081" ht="15.0" customHeight="1">
      <c r="A2081" s="127">
        <v>45829.0</v>
      </c>
      <c r="B2081" s="181" t="s">
        <v>8119</v>
      </c>
      <c r="C2081" s="56" t="s">
        <v>2690</v>
      </c>
      <c r="D2081" s="73" t="str">
        <f>IFERROR(VLOOKUP(C2081,Stock,3,FALSE),"")</f>
        <v>Suzuki APV 03- Pickup/ Van</v>
      </c>
      <c r="E2081" s="56">
        <v>1.0</v>
      </c>
      <c r="F2081" s="161">
        <v>1244000.0</v>
      </c>
      <c r="G2081" s="162">
        <f t="shared" si="33"/>
        <v>1244000</v>
      </c>
      <c r="H2081" s="194"/>
      <c r="I2081" s="161">
        <f t="shared" si="36"/>
        <v>1244000</v>
      </c>
      <c r="J2081" s="164">
        <f t="shared" si="30"/>
        <v>1244000</v>
      </c>
      <c r="K2081" s="56" t="s">
        <v>8120</v>
      </c>
      <c r="L2081" s="165" t="s">
        <v>8121</v>
      </c>
      <c r="M2081" s="73"/>
      <c r="N2081" s="169" t="s">
        <v>8122</v>
      </c>
      <c r="O2081" s="169" t="s">
        <v>2958</v>
      </c>
      <c r="P2081" s="168" t="s">
        <v>3112</v>
      </c>
      <c r="Q2081" s="173"/>
      <c r="R2081" s="167">
        <v>1244000.0</v>
      </c>
      <c r="S2081" s="173"/>
      <c r="T2081" s="173"/>
      <c r="U2081" s="173"/>
      <c r="V2081" s="168" t="s">
        <v>3883</v>
      </c>
      <c r="W2081" s="169"/>
      <c r="X2081" s="169" t="s">
        <v>8103</v>
      </c>
    </row>
    <row r="2082" ht="15.0" customHeight="1">
      <c r="A2082" s="127">
        <v>45829.0</v>
      </c>
      <c r="B2082" s="181" t="s">
        <v>8119</v>
      </c>
      <c r="C2082" s="56" t="s">
        <v>3083</v>
      </c>
      <c r="D2082" s="73" t="str">
        <f>IFERROR(VLOOKUP(C2082,Stock,3,FALSE),"")</f>
        <v>List Kaca Depan Code 04</v>
      </c>
      <c r="E2082" s="56">
        <v>1.0</v>
      </c>
      <c r="F2082" s="161">
        <v>275000.0</v>
      </c>
      <c r="G2082" s="162">
        <f t="shared" si="33"/>
        <v>275000</v>
      </c>
      <c r="H2082" s="194"/>
      <c r="I2082" s="161">
        <f t="shared" si="36"/>
        <v>275000</v>
      </c>
      <c r="J2082" s="164">
        <f t="shared" si="30"/>
        <v>275000</v>
      </c>
      <c r="K2082" s="56" t="s">
        <v>8120</v>
      </c>
      <c r="L2082" s="165" t="s">
        <v>8121</v>
      </c>
      <c r="M2082" s="73"/>
      <c r="N2082" s="169" t="s">
        <v>8122</v>
      </c>
      <c r="O2082" s="169" t="s">
        <v>2958</v>
      </c>
      <c r="P2082" s="168" t="s">
        <v>3112</v>
      </c>
      <c r="Q2082" s="173"/>
      <c r="R2082" s="167">
        <v>275000.0</v>
      </c>
      <c r="S2082" s="173"/>
      <c r="T2082" s="173"/>
      <c r="U2082" s="173"/>
      <c r="V2082" s="168" t="s">
        <v>3883</v>
      </c>
      <c r="W2082" s="169"/>
      <c r="X2082" s="169" t="s">
        <v>8103</v>
      </c>
    </row>
    <row r="2083" ht="15.0" customHeight="1">
      <c r="A2083" s="127">
        <v>45829.0</v>
      </c>
      <c r="B2083" s="181" t="s">
        <v>8123</v>
      </c>
      <c r="C2083" s="56" t="s">
        <v>3795</v>
      </c>
      <c r="D2083" s="73" t="str">
        <f>IFERROR(VLOOKUP(C2083,Stock,3,FALSE),"")</f>
        <v>Toyota Innova 04-15 1st Gen</v>
      </c>
      <c r="E2083" s="56">
        <v>1.0</v>
      </c>
      <c r="F2083" s="161">
        <v>1122000.0</v>
      </c>
      <c r="G2083" s="162">
        <f t="shared" si="33"/>
        <v>1122000</v>
      </c>
      <c r="H2083" s="194"/>
      <c r="I2083" s="161">
        <f t="shared" si="36"/>
        <v>1122000</v>
      </c>
      <c r="J2083" s="164">
        <f t="shared" si="30"/>
        <v>1122000</v>
      </c>
      <c r="K2083" s="56" t="s">
        <v>8124</v>
      </c>
      <c r="L2083" s="165" t="s">
        <v>8125</v>
      </c>
      <c r="M2083" s="73"/>
      <c r="N2083" s="171"/>
      <c r="O2083" s="169" t="s">
        <v>3213</v>
      </c>
      <c r="P2083" s="168" t="s">
        <v>3112</v>
      </c>
      <c r="Q2083" s="173"/>
      <c r="R2083" s="167">
        <v>1122000.0</v>
      </c>
      <c r="S2083" s="173"/>
      <c r="T2083" s="173"/>
      <c r="U2083" s="173"/>
      <c r="V2083" s="168" t="s">
        <v>3883</v>
      </c>
      <c r="W2083" s="169"/>
      <c r="X2083" s="169" t="s">
        <v>8126</v>
      </c>
    </row>
    <row r="2084" ht="15.0" customHeight="1">
      <c r="A2084" s="127">
        <v>45829.0</v>
      </c>
      <c r="B2084" s="181" t="s">
        <v>8123</v>
      </c>
      <c r="C2084" s="56" t="s">
        <v>4027</v>
      </c>
      <c r="D2084" s="73" t="str">
        <f>IFERROR(VLOOKUP(C2084,Stock,3,FALSE),"")</f>
        <v>501 Sealant Application</v>
      </c>
      <c r="E2084" s="56">
        <v>2.0</v>
      </c>
      <c r="F2084" s="161">
        <v>95000.0</v>
      </c>
      <c r="G2084" s="162">
        <f t="shared" si="33"/>
        <v>190000</v>
      </c>
      <c r="H2084" s="194"/>
      <c r="I2084" s="161">
        <f t="shared" si="36"/>
        <v>190000</v>
      </c>
      <c r="J2084" s="164">
        <f t="shared" si="30"/>
        <v>190000</v>
      </c>
      <c r="K2084" s="56" t="s">
        <v>8124</v>
      </c>
      <c r="L2084" s="165" t="s">
        <v>8125</v>
      </c>
      <c r="M2084" s="73"/>
      <c r="N2084" s="171"/>
      <c r="O2084" s="169" t="s">
        <v>3213</v>
      </c>
      <c r="P2084" s="168" t="s">
        <v>3112</v>
      </c>
      <c r="Q2084" s="173"/>
      <c r="R2084" s="167">
        <v>190000.0</v>
      </c>
      <c r="S2084" s="173"/>
      <c r="T2084" s="173"/>
      <c r="U2084" s="173"/>
      <c r="V2084" s="168" t="s">
        <v>3883</v>
      </c>
      <c r="W2084" s="169"/>
      <c r="X2084" s="169" t="s">
        <v>8126</v>
      </c>
    </row>
    <row r="2085" ht="15.0" customHeight="1">
      <c r="A2085" s="127">
        <v>45830.0</v>
      </c>
      <c r="B2085" s="181" t="s">
        <v>8127</v>
      </c>
      <c r="C2085" s="56" t="s">
        <v>3099</v>
      </c>
      <c r="D2085" s="73" t="str">
        <f>IFERROR(VLOOKUP(C2085,Stock,3,FALSE),"")</f>
        <v>Toyota Calya / Sigra 16-</v>
      </c>
      <c r="E2085" s="56">
        <v>1.0</v>
      </c>
      <c r="F2085" s="161">
        <v>1149000.0</v>
      </c>
      <c r="G2085" s="162">
        <f t="shared" si="33"/>
        <v>1149000</v>
      </c>
      <c r="H2085" s="194"/>
      <c r="I2085" s="161">
        <f t="shared" si="36"/>
        <v>1149000</v>
      </c>
      <c r="J2085" s="164">
        <f t="shared" si="30"/>
        <v>1149000</v>
      </c>
      <c r="K2085" s="56" t="s">
        <v>8128</v>
      </c>
      <c r="L2085" s="165" t="s">
        <v>8129</v>
      </c>
      <c r="M2085" s="73"/>
      <c r="N2085" s="289" t="s">
        <v>8130</v>
      </c>
      <c r="O2085" s="169" t="s">
        <v>3213</v>
      </c>
      <c r="P2085" s="168" t="s">
        <v>4281</v>
      </c>
      <c r="Q2085" s="167">
        <v>1150000.0</v>
      </c>
      <c r="R2085" s="173"/>
      <c r="S2085" s="173"/>
      <c r="T2085" s="173"/>
      <c r="U2085" s="167"/>
      <c r="V2085" s="168" t="s">
        <v>3799</v>
      </c>
      <c r="W2085" s="169"/>
      <c r="X2085" s="169" t="s">
        <v>8131</v>
      </c>
    </row>
    <row r="2086" ht="15.0" customHeight="1">
      <c r="A2086" s="127">
        <v>45831.0</v>
      </c>
      <c r="B2086" s="181" t="s">
        <v>8132</v>
      </c>
      <c r="C2086" s="56" t="s">
        <v>3186</v>
      </c>
      <c r="D2086" s="73" t="str">
        <f>IFERROR(VLOOKUP(C2086,Stock,3,FALSE),"")</f>
        <v>Daihatsu Gran Max / Luxio 07-</v>
      </c>
      <c r="E2086" s="56">
        <v>1.0</v>
      </c>
      <c r="F2086" s="161">
        <v>1050000.0</v>
      </c>
      <c r="G2086" s="162">
        <f t="shared" si="33"/>
        <v>1050000</v>
      </c>
      <c r="H2086" s="194"/>
      <c r="I2086" s="161">
        <f t="shared" si="36"/>
        <v>1050000</v>
      </c>
      <c r="J2086" s="164">
        <f t="shared" si="30"/>
        <v>1050000</v>
      </c>
      <c r="K2086" s="56" t="s">
        <v>8133</v>
      </c>
      <c r="L2086" s="165" t="s">
        <v>8134</v>
      </c>
      <c r="M2086" s="73"/>
      <c r="N2086" s="169" t="s">
        <v>8135</v>
      </c>
      <c r="O2086" s="169" t="s">
        <v>2958</v>
      </c>
      <c r="P2086" s="168" t="s">
        <v>3112</v>
      </c>
      <c r="Q2086" s="173"/>
      <c r="R2086" s="167">
        <v>1050000.0</v>
      </c>
      <c r="S2086" s="173"/>
      <c r="T2086" s="173"/>
      <c r="U2086" s="173"/>
      <c r="V2086" s="168" t="s">
        <v>3883</v>
      </c>
      <c r="W2086" s="169"/>
      <c r="X2086" s="169" t="s">
        <v>8136</v>
      </c>
    </row>
    <row r="2087" ht="15.0" customHeight="1">
      <c r="A2087" s="127">
        <v>45831.0</v>
      </c>
      <c r="B2087" s="181" t="s">
        <v>8137</v>
      </c>
      <c r="C2087" s="56" t="s">
        <v>2706</v>
      </c>
      <c r="D2087" s="73" t="str">
        <f>IFERROR(VLOOKUP(C2087,Stock,3,FALSE),"")</f>
        <v>Isuzu Elf 17- New NMR NLR</v>
      </c>
      <c r="E2087" s="56">
        <v>1.0</v>
      </c>
      <c r="F2087" s="161">
        <v>1114000.0</v>
      </c>
      <c r="G2087" s="162">
        <f t="shared" si="33"/>
        <v>1114000</v>
      </c>
      <c r="H2087" s="194"/>
      <c r="I2087" s="161">
        <f t="shared" si="36"/>
        <v>1114000</v>
      </c>
      <c r="J2087" s="164">
        <f t="shared" si="30"/>
        <v>1114000</v>
      </c>
      <c r="K2087" s="197" t="s">
        <v>8138</v>
      </c>
      <c r="L2087" s="165" t="s">
        <v>8139</v>
      </c>
      <c r="M2087" s="73"/>
      <c r="N2087" s="171"/>
      <c r="O2087" s="169" t="s">
        <v>2958</v>
      </c>
      <c r="P2087" s="168" t="s">
        <v>3645</v>
      </c>
      <c r="Q2087" s="173"/>
      <c r="R2087" s="167">
        <v>1114000.0</v>
      </c>
      <c r="S2087" s="173"/>
      <c r="T2087" s="173"/>
      <c r="U2087" s="173"/>
      <c r="V2087" s="168" t="s">
        <v>3799</v>
      </c>
      <c r="W2087" s="169"/>
      <c r="X2087" s="169" t="s">
        <v>8140</v>
      </c>
    </row>
    <row r="2088" ht="15.0" customHeight="1">
      <c r="A2088" s="127">
        <v>45831.0</v>
      </c>
      <c r="B2088" s="181" t="s">
        <v>8137</v>
      </c>
      <c r="C2088" s="56" t="s">
        <v>4027</v>
      </c>
      <c r="D2088" s="73" t="str">
        <f>IFERROR(VLOOKUP(C2088,Stock,3,FALSE),"")</f>
        <v>501 Sealant Application</v>
      </c>
      <c r="E2088" s="56">
        <v>2.0</v>
      </c>
      <c r="F2088" s="161">
        <v>95000.0</v>
      </c>
      <c r="G2088" s="162">
        <f t="shared" si="33"/>
        <v>190000</v>
      </c>
      <c r="H2088" s="194"/>
      <c r="I2088" s="161">
        <f t="shared" si="36"/>
        <v>190000</v>
      </c>
      <c r="J2088" s="164">
        <f t="shared" si="30"/>
        <v>190000</v>
      </c>
      <c r="K2088" s="197" t="s">
        <v>8138</v>
      </c>
      <c r="L2088" s="165" t="s">
        <v>8139</v>
      </c>
      <c r="M2088" s="73"/>
      <c r="N2088" s="171"/>
      <c r="O2088" s="169" t="s">
        <v>2958</v>
      </c>
      <c r="P2088" s="168" t="s">
        <v>3645</v>
      </c>
      <c r="Q2088" s="173"/>
      <c r="R2088" s="167">
        <v>190000.0</v>
      </c>
      <c r="S2088" s="173"/>
      <c r="T2088" s="173"/>
      <c r="U2088" s="173"/>
      <c r="V2088" s="168" t="s">
        <v>3799</v>
      </c>
      <c r="W2088" s="169"/>
      <c r="X2088" s="169" t="s">
        <v>8140</v>
      </c>
    </row>
    <row r="2089" ht="15.0" customHeight="1">
      <c r="A2089" s="127">
        <v>45831.0</v>
      </c>
      <c r="B2089" s="181" t="s">
        <v>8141</v>
      </c>
      <c r="C2089" s="56" t="s">
        <v>3360</v>
      </c>
      <c r="D2089" s="73" t="str">
        <f>IFERROR(VLOOKUP(C2089,Stock,3,FALSE),"")</f>
        <v>Mitsubishi Xpander 17-</v>
      </c>
      <c r="E2089" s="56">
        <v>1.0</v>
      </c>
      <c r="F2089" s="161">
        <v>1800000.0</v>
      </c>
      <c r="G2089" s="162">
        <f t="shared" si="33"/>
        <v>1800000</v>
      </c>
      <c r="H2089" s="194"/>
      <c r="I2089" s="161">
        <f t="shared" si="36"/>
        <v>1800000</v>
      </c>
      <c r="J2089" s="164">
        <f t="shared" si="30"/>
        <v>1800000</v>
      </c>
      <c r="K2089" s="56" t="s">
        <v>8142</v>
      </c>
      <c r="L2089" s="165" t="s">
        <v>8143</v>
      </c>
      <c r="M2089" s="73"/>
      <c r="N2089" s="169" t="s">
        <v>8144</v>
      </c>
      <c r="O2089" s="169" t="s">
        <v>2958</v>
      </c>
      <c r="P2089" s="168" t="s">
        <v>3645</v>
      </c>
      <c r="Q2089" s="173"/>
      <c r="R2089" s="167">
        <v>1800000.0</v>
      </c>
      <c r="S2089" s="173"/>
      <c r="T2089" s="173"/>
      <c r="U2089" s="173"/>
      <c r="V2089" s="168" t="s">
        <v>3883</v>
      </c>
      <c r="W2089" s="169"/>
      <c r="X2089" s="169" t="s">
        <v>8145</v>
      </c>
    </row>
    <row r="2090" ht="15.0" customHeight="1">
      <c r="A2090" s="127">
        <v>45831.0</v>
      </c>
      <c r="B2090" s="181" t="s">
        <v>8146</v>
      </c>
      <c r="C2090" s="56" t="s">
        <v>4526</v>
      </c>
      <c r="D2090" s="73" t="str">
        <f>IFERROR(VLOOKUP(C2090,Stock,3,FALSE),"")</f>
        <v>Toyota Hi-Ace 04-20 Commuter</v>
      </c>
      <c r="E2090" s="56">
        <v>1.0</v>
      </c>
      <c r="F2090" s="161">
        <v>1210000.0</v>
      </c>
      <c r="G2090" s="162">
        <f t="shared" si="33"/>
        <v>1210000</v>
      </c>
      <c r="H2090" s="194"/>
      <c r="I2090" s="161">
        <f t="shared" si="36"/>
        <v>1210000</v>
      </c>
      <c r="J2090" s="164">
        <f t="shared" si="30"/>
        <v>1210000</v>
      </c>
      <c r="K2090" s="56" t="s">
        <v>6140</v>
      </c>
      <c r="L2090" s="165" t="s">
        <v>8147</v>
      </c>
      <c r="M2090" s="73"/>
      <c r="N2090" s="171"/>
      <c r="O2090" s="169" t="s">
        <v>2958</v>
      </c>
      <c r="P2090" s="168" t="s">
        <v>3645</v>
      </c>
      <c r="Q2090" s="173"/>
      <c r="R2090" s="167">
        <v>1210000.0</v>
      </c>
      <c r="S2090" s="173"/>
      <c r="T2090" s="173"/>
      <c r="U2090" s="173"/>
      <c r="V2090" s="168" t="s">
        <v>3799</v>
      </c>
      <c r="W2090" s="169"/>
      <c r="X2090" s="169" t="s">
        <v>8148</v>
      </c>
    </row>
    <row r="2091" ht="15.0" customHeight="1">
      <c r="A2091" s="127">
        <v>45831.0</v>
      </c>
      <c r="B2091" s="181" t="s">
        <v>8149</v>
      </c>
      <c r="C2091" s="56" t="s">
        <v>8150</v>
      </c>
      <c r="D2091" s="73" t="str">
        <f>IFERROR(VLOOKUP(C2091,Stock,3,FALSE),"")</f>
        <v>Suzuki Ertiga 18- 2nd Gen / XL7 (Suzuki)</v>
      </c>
      <c r="E2091" s="56">
        <v>1.0</v>
      </c>
      <c r="F2091" s="161">
        <v>1885000.0</v>
      </c>
      <c r="G2091" s="162">
        <f t="shared" si="33"/>
        <v>1885000</v>
      </c>
      <c r="H2091" s="201">
        <v>100000.0</v>
      </c>
      <c r="I2091" s="161">
        <f t="shared" si="36"/>
        <v>1785000</v>
      </c>
      <c r="J2091" s="164">
        <f t="shared" si="30"/>
        <v>1785000</v>
      </c>
      <c r="K2091" s="56" t="s">
        <v>5882</v>
      </c>
      <c r="L2091" s="165" t="s">
        <v>8151</v>
      </c>
      <c r="M2091" s="73"/>
      <c r="N2091" s="289" t="s">
        <v>8152</v>
      </c>
      <c r="O2091" s="169" t="s">
        <v>2958</v>
      </c>
      <c r="P2091" s="168" t="s">
        <v>3112</v>
      </c>
      <c r="Q2091" s="167">
        <v>1785000.0</v>
      </c>
      <c r="R2091" s="173"/>
      <c r="S2091" s="173"/>
      <c r="T2091" s="173"/>
      <c r="U2091" s="173"/>
      <c r="V2091" s="168" t="s">
        <v>3799</v>
      </c>
      <c r="W2091" s="169"/>
      <c r="X2091" s="169" t="s">
        <v>8040</v>
      </c>
    </row>
    <row r="2092" ht="15.0" customHeight="1">
      <c r="A2092" s="127">
        <v>45831.0</v>
      </c>
      <c r="B2092" s="181" t="s">
        <v>8153</v>
      </c>
      <c r="C2092" s="56" t="s">
        <v>6553</v>
      </c>
      <c r="D2092" s="73" t="str">
        <f>IFERROR(VLOOKUP(C2092,Stock,3,FALSE),"")</f>
        <v>Hino Ranger Louhan 03- / Hino 500</v>
      </c>
      <c r="E2092" s="56">
        <v>1.0</v>
      </c>
      <c r="F2092" s="161">
        <v>2171000.0</v>
      </c>
      <c r="G2092" s="162">
        <f t="shared" si="33"/>
        <v>2171000</v>
      </c>
      <c r="H2092" s="201">
        <v>100000.0</v>
      </c>
      <c r="I2092" s="161">
        <f t="shared" si="36"/>
        <v>2071000</v>
      </c>
      <c r="J2092" s="164">
        <f t="shared" si="30"/>
        <v>2071000</v>
      </c>
      <c r="K2092" s="197" t="s">
        <v>8075</v>
      </c>
      <c r="L2092" s="165" t="s">
        <v>8154</v>
      </c>
      <c r="M2092" s="73"/>
      <c r="N2092" s="171"/>
      <c r="O2092" s="169" t="s">
        <v>3037</v>
      </c>
      <c r="P2092" s="168" t="s">
        <v>3645</v>
      </c>
      <c r="Q2092" s="173"/>
      <c r="R2092" s="167">
        <v>2071000.0</v>
      </c>
      <c r="S2092" s="173"/>
      <c r="T2092" s="173"/>
      <c r="U2092" s="173"/>
      <c r="V2092" s="168" t="s">
        <v>3799</v>
      </c>
      <c r="W2092" s="169"/>
      <c r="X2092" s="169" t="s">
        <v>8155</v>
      </c>
    </row>
    <row r="2093" ht="15.0" customHeight="1">
      <c r="A2093" s="127">
        <v>45831.0</v>
      </c>
      <c r="B2093" s="181" t="s">
        <v>8153</v>
      </c>
      <c r="C2093" s="56" t="s">
        <v>2954</v>
      </c>
      <c r="D2093" s="73" t="str">
        <f>IFERROR(VLOOKUP(C2093,Stock,3,FALSE),"")</f>
        <v>Transport</v>
      </c>
      <c r="E2093" s="56">
        <v>1.0</v>
      </c>
      <c r="F2093" s="161">
        <v>200000.0</v>
      </c>
      <c r="G2093" s="162">
        <f t="shared" si="33"/>
        <v>200000</v>
      </c>
      <c r="H2093" s="194"/>
      <c r="I2093" s="161">
        <f t="shared" si="36"/>
        <v>200000</v>
      </c>
      <c r="J2093" s="164">
        <f t="shared" si="30"/>
        <v>200000</v>
      </c>
      <c r="K2093" s="197" t="s">
        <v>8075</v>
      </c>
      <c r="L2093" s="165" t="s">
        <v>8154</v>
      </c>
      <c r="M2093" s="73"/>
      <c r="N2093" s="171"/>
      <c r="O2093" s="169" t="s">
        <v>3037</v>
      </c>
      <c r="P2093" s="168" t="s">
        <v>3645</v>
      </c>
      <c r="Q2093" s="173"/>
      <c r="R2093" s="167">
        <v>200000.0</v>
      </c>
      <c r="S2093" s="173"/>
      <c r="T2093" s="173"/>
      <c r="U2093" s="173"/>
      <c r="V2093" s="168" t="s">
        <v>3799</v>
      </c>
      <c r="W2093" s="169"/>
      <c r="X2093" s="169" t="s">
        <v>8155</v>
      </c>
    </row>
    <row r="2094" ht="15.0" customHeight="1">
      <c r="A2094" s="127">
        <v>45831.0</v>
      </c>
      <c r="B2094" s="181" t="s">
        <v>8156</v>
      </c>
      <c r="C2094" s="56" t="s">
        <v>2779</v>
      </c>
      <c r="D2094" s="73" t="str">
        <f>IFERROR(VLOOKUP(C2094,Stock,3,FALSE),"")</f>
        <v>Toyota Hi-Ace 04-20 Commuter With Frame</v>
      </c>
      <c r="E2094" s="56">
        <v>1.0</v>
      </c>
      <c r="F2094" s="161">
        <v>2945000.0</v>
      </c>
      <c r="G2094" s="162">
        <f t="shared" si="33"/>
        <v>2945000</v>
      </c>
      <c r="H2094" s="194"/>
      <c r="I2094" s="161">
        <f t="shared" si="36"/>
        <v>2945000</v>
      </c>
      <c r="J2094" s="164">
        <f t="shared" si="30"/>
        <v>2945000</v>
      </c>
      <c r="K2094" s="56" t="s">
        <v>8157</v>
      </c>
      <c r="L2094" s="165" t="s">
        <v>8158</v>
      </c>
      <c r="M2094" s="73"/>
      <c r="N2094" s="171"/>
      <c r="O2094" s="169" t="s">
        <v>2958</v>
      </c>
      <c r="P2094" s="168" t="s">
        <v>3112</v>
      </c>
      <c r="Q2094" s="173"/>
      <c r="R2094" s="167">
        <v>2945000.0</v>
      </c>
      <c r="S2094" s="173"/>
      <c r="T2094" s="173"/>
      <c r="U2094" s="173"/>
      <c r="V2094" s="168" t="s">
        <v>3883</v>
      </c>
      <c r="W2094" s="169"/>
      <c r="X2094" s="169" t="s">
        <v>8159</v>
      </c>
    </row>
    <row r="2095" ht="15.0" customHeight="1">
      <c r="A2095" s="127">
        <v>45832.0</v>
      </c>
      <c r="B2095" s="181" t="s">
        <v>8160</v>
      </c>
      <c r="C2095" s="56" t="s">
        <v>5528</v>
      </c>
      <c r="D2095" s="73" t="str">
        <f>IFERROR(VLOOKUP(C2095,Stock,3,FALSE),"")</f>
        <v>Toyota Innova 15-22 2nd Gen (Toyota)</v>
      </c>
      <c r="E2095" s="56">
        <v>1.0</v>
      </c>
      <c r="F2095" s="161">
        <v>2988000.0</v>
      </c>
      <c r="G2095" s="162">
        <f t="shared" si="33"/>
        <v>2988000</v>
      </c>
      <c r="H2095" s="194"/>
      <c r="I2095" s="161">
        <f t="shared" si="36"/>
        <v>2988000</v>
      </c>
      <c r="J2095" s="164">
        <f t="shared" si="30"/>
        <v>2988000</v>
      </c>
      <c r="K2095" s="56" t="s">
        <v>5011</v>
      </c>
      <c r="L2095" s="165" t="s">
        <v>3644</v>
      </c>
      <c r="M2095" s="73"/>
      <c r="N2095" s="171"/>
      <c r="O2095" s="169" t="s">
        <v>2958</v>
      </c>
      <c r="P2095" s="168" t="s">
        <v>3112</v>
      </c>
      <c r="Q2095" s="173"/>
      <c r="R2095" s="167">
        <v>2988000.0</v>
      </c>
      <c r="S2095" s="173"/>
      <c r="T2095" s="173"/>
      <c r="U2095" s="173"/>
      <c r="V2095" s="168" t="s">
        <v>3883</v>
      </c>
      <c r="W2095" s="169"/>
      <c r="X2095" s="169" t="s">
        <v>8161</v>
      </c>
    </row>
    <row r="2096" ht="15.0" customHeight="1">
      <c r="A2096" s="127">
        <v>45832.0</v>
      </c>
      <c r="B2096" s="181" t="s">
        <v>8162</v>
      </c>
      <c r="C2096" s="56" t="s">
        <v>2565</v>
      </c>
      <c r="D2096" s="73" t="str">
        <f>IFERROR(VLOOKUP(C2096,Stock,3,FALSE),"")</f>
        <v>Toyota Avanza / Xenia 03-11 1st Gen</v>
      </c>
      <c r="E2096" s="56">
        <v>1.0</v>
      </c>
      <c r="F2096" s="161">
        <v>1050000.0</v>
      </c>
      <c r="G2096" s="162">
        <f t="shared" si="33"/>
        <v>1050000</v>
      </c>
      <c r="H2096" s="194"/>
      <c r="I2096" s="161">
        <f t="shared" si="36"/>
        <v>1050000</v>
      </c>
      <c r="J2096" s="164">
        <f t="shared" si="30"/>
        <v>1050000</v>
      </c>
      <c r="K2096" s="56" t="s">
        <v>8163</v>
      </c>
      <c r="L2096" s="165" t="s">
        <v>8164</v>
      </c>
      <c r="M2096" s="73"/>
      <c r="N2096" s="169" t="s">
        <v>8165</v>
      </c>
      <c r="O2096" s="169" t="s">
        <v>2958</v>
      </c>
      <c r="P2096" s="168" t="s">
        <v>3112</v>
      </c>
      <c r="Q2096" s="167">
        <v>1050000.0</v>
      </c>
      <c r="R2096" s="173"/>
      <c r="S2096" s="173"/>
      <c r="T2096" s="173"/>
      <c r="U2096" s="173"/>
      <c r="V2096" s="168" t="s">
        <v>3883</v>
      </c>
      <c r="W2096" s="169"/>
      <c r="X2096" s="169" t="s">
        <v>8040</v>
      </c>
    </row>
    <row r="2097" ht="15.0" customHeight="1">
      <c r="A2097" s="127">
        <v>45832.0</v>
      </c>
      <c r="B2097" s="181" t="s">
        <v>8162</v>
      </c>
      <c r="C2097" s="56" t="s">
        <v>3083</v>
      </c>
      <c r="D2097" s="73" t="str">
        <f>IFERROR(VLOOKUP(C2097,Stock,3,FALSE),"")</f>
        <v>List Kaca Depan Code 04</v>
      </c>
      <c r="E2097" s="56">
        <v>1.0</v>
      </c>
      <c r="F2097" s="161">
        <v>275000.0</v>
      </c>
      <c r="G2097" s="162">
        <f t="shared" si="33"/>
        <v>275000</v>
      </c>
      <c r="H2097" s="194"/>
      <c r="I2097" s="161">
        <f t="shared" si="36"/>
        <v>275000</v>
      </c>
      <c r="J2097" s="164">
        <f t="shared" si="30"/>
        <v>275000</v>
      </c>
      <c r="K2097" s="56" t="s">
        <v>8163</v>
      </c>
      <c r="L2097" s="165" t="s">
        <v>8164</v>
      </c>
      <c r="M2097" s="73"/>
      <c r="N2097" s="169" t="s">
        <v>8165</v>
      </c>
      <c r="O2097" s="169" t="s">
        <v>2958</v>
      </c>
      <c r="P2097" s="168" t="s">
        <v>3112</v>
      </c>
      <c r="Q2097" s="167">
        <v>275000.0</v>
      </c>
      <c r="R2097" s="173"/>
      <c r="S2097" s="173"/>
      <c r="T2097" s="173"/>
      <c r="U2097" s="173"/>
      <c r="V2097" s="168" t="s">
        <v>3883</v>
      </c>
      <c r="W2097" s="169"/>
      <c r="X2097" s="169" t="s">
        <v>8040</v>
      </c>
    </row>
    <row r="2098" ht="15.0" customHeight="1">
      <c r="A2098" s="127">
        <v>45832.0</v>
      </c>
      <c r="B2098" s="181" t="s">
        <v>8166</v>
      </c>
      <c r="C2098" s="56" t="s">
        <v>6686</v>
      </c>
      <c r="D2098" s="73" t="str">
        <f>IFERROR(VLOOKUP(C2098,Stock,3,FALSE),"")</f>
        <v>Daihatsu Gran Max / Luxio 07-</v>
      </c>
      <c r="E2098" s="56">
        <v>1.0</v>
      </c>
      <c r="F2098" s="161">
        <v>370000.0</v>
      </c>
      <c r="G2098" s="162">
        <f t="shared" si="33"/>
        <v>370000</v>
      </c>
      <c r="H2098" s="194"/>
      <c r="I2098" s="161">
        <f t="shared" si="36"/>
        <v>370000</v>
      </c>
      <c r="J2098" s="164">
        <f t="shared" si="30"/>
        <v>370000</v>
      </c>
      <c r="K2098" s="56" t="s">
        <v>8167</v>
      </c>
      <c r="L2098" s="165" t="s">
        <v>8168</v>
      </c>
      <c r="M2098" s="73"/>
      <c r="N2098" s="171"/>
      <c r="O2098" s="169" t="s">
        <v>2958</v>
      </c>
      <c r="P2098" s="168" t="s">
        <v>3112</v>
      </c>
      <c r="Q2098" s="167">
        <v>370000.0</v>
      </c>
      <c r="R2098" s="173"/>
      <c r="S2098" s="173"/>
      <c r="T2098" s="173"/>
      <c r="U2098" s="173"/>
      <c r="V2098" s="168" t="s">
        <v>3883</v>
      </c>
      <c r="W2098" s="169"/>
      <c r="X2098" s="169" t="s">
        <v>8040</v>
      </c>
    </row>
    <row r="2099" ht="15.0" customHeight="1">
      <c r="A2099" s="127">
        <v>45832.0</v>
      </c>
      <c r="B2099" s="181" t="s">
        <v>8169</v>
      </c>
      <c r="C2099" s="56" t="s">
        <v>3099</v>
      </c>
      <c r="D2099" s="73" t="str">
        <f>IFERROR(VLOOKUP(C2099,Stock,3,FALSE),"")</f>
        <v>Toyota Calya / Sigra 16-</v>
      </c>
      <c r="E2099" s="56">
        <v>1.0</v>
      </c>
      <c r="F2099" s="161">
        <v>1149000.0</v>
      </c>
      <c r="G2099" s="162">
        <f t="shared" si="33"/>
        <v>1149000</v>
      </c>
      <c r="H2099" s="194"/>
      <c r="I2099" s="161">
        <f t="shared" si="36"/>
        <v>1149000</v>
      </c>
      <c r="J2099" s="164">
        <f t="shared" si="30"/>
        <v>1149000</v>
      </c>
      <c r="K2099" s="56" t="s">
        <v>8170</v>
      </c>
      <c r="L2099" s="165" t="s">
        <v>8171</v>
      </c>
      <c r="M2099" s="73"/>
      <c r="N2099" s="289" t="s">
        <v>8172</v>
      </c>
      <c r="O2099" s="169" t="s">
        <v>2958</v>
      </c>
      <c r="P2099" s="168" t="s">
        <v>3112</v>
      </c>
      <c r="Q2099" s="173"/>
      <c r="R2099" s="167">
        <v>1149000.0</v>
      </c>
      <c r="S2099" s="173"/>
      <c r="T2099" s="173"/>
      <c r="U2099" s="173"/>
      <c r="V2099" s="168" t="s">
        <v>3799</v>
      </c>
      <c r="W2099" s="169"/>
      <c r="X2099" s="169" t="s">
        <v>8173</v>
      </c>
    </row>
    <row r="2100" ht="15.0" customHeight="1">
      <c r="A2100" s="127">
        <v>45832.0</v>
      </c>
      <c r="B2100" s="181" t="s">
        <v>8174</v>
      </c>
      <c r="C2100" s="56" t="s">
        <v>8175</v>
      </c>
      <c r="D2100" s="73" t="str">
        <f>IFERROR(VLOOKUP(C2100,Stock,3,FALSE),"")</f>
        <v>Hyundai Trajet 00-08</v>
      </c>
      <c r="E2100" s="56">
        <v>1.0</v>
      </c>
      <c r="F2100" s="161">
        <v>1550000.0</v>
      </c>
      <c r="G2100" s="162">
        <f t="shared" si="33"/>
        <v>1550000</v>
      </c>
      <c r="H2100" s="194"/>
      <c r="I2100" s="161">
        <f t="shared" si="36"/>
        <v>1550000</v>
      </c>
      <c r="J2100" s="164">
        <f t="shared" si="30"/>
        <v>1550000</v>
      </c>
      <c r="K2100" s="197" t="s">
        <v>8176</v>
      </c>
      <c r="L2100" s="165" t="s">
        <v>8177</v>
      </c>
      <c r="M2100" s="73"/>
      <c r="N2100" s="171"/>
      <c r="O2100" s="169" t="s">
        <v>2958</v>
      </c>
      <c r="P2100" s="168" t="s">
        <v>4281</v>
      </c>
      <c r="Q2100" s="167">
        <v>1450000.0</v>
      </c>
      <c r="R2100" s="167">
        <v>100000.0</v>
      </c>
      <c r="S2100" s="173"/>
      <c r="T2100" s="173"/>
      <c r="U2100" s="173"/>
      <c r="V2100" s="168" t="s">
        <v>3799</v>
      </c>
      <c r="W2100" s="169"/>
      <c r="X2100" s="169" t="s">
        <v>8040</v>
      </c>
    </row>
    <row r="2101" ht="15.0" customHeight="1">
      <c r="A2101" s="127">
        <v>45832.0</v>
      </c>
      <c r="B2101" s="181" t="s">
        <v>8174</v>
      </c>
      <c r="C2101" s="56" t="s">
        <v>3513</v>
      </c>
      <c r="D2101" s="73" t="str">
        <f>IFERROR(VLOOKUP(C2101,Stock,3,FALSE),"")</f>
        <v>Lembur</v>
      </c>
      <c r="E2101" s="56">
        <v>1.0</v>
      </c>
      <c r="F2101" s="161">
        <v>100000.0</v>
      </c>
      <c r="G2101" s="162">
        <f t="shared" si="33"/>
        <v>100000</v>
      </c>
      <c r="H2101" s="194"/>
      <c r="I2101" s="161">
        <f t="shared" si="36"/>
        <v>100000</v>
      </c>
      <c r="J2101" s="164">
        <f t="shared" si="30"/>
        <v>100000</v>
      </c>
      <c r="K2101" s="197" t="s">
        <v>8176</v>
      </c>
      <c r="L2101" s="165" t="s">
        <v>8177</v>
      </c>
      <c r="M2101" s="73"/>
      <c r="N2101" s="171"/>
      <c r="O2101" s="169" t="s">
        <v>2958</v>
      </c>
      <c r="P2101" s="168" t="s">
        <v>4281</v>
      </c>
      <c r="Q2101" s="167">
        <v>100000.0</v>
      </c>
      <c r="R2101" s="173"/>
      <c r="S2101" s="173"/>
      <c r="T2101" s="173"/>
      <c r="U2101" s="173"/>
      <c r="V2101" s="168" t="s">
        <v>3799</v>
      </c>
      <c r="W2101" s="169"/>
      <c r="X2101" s="169" t="s">
        <v>8178</v>
      </c>
    </row>
    <row r="2102" ht="15.0" customHeight="1">
      <c r="A2102" s="127">
        <v>45833.0</v>
      </c>
      <c r="B2102" s="181" t="s">
        <v>8179</v>
      </c>
      <c r="C2102" s="56" t="s">
        <v>3201</v>
      </c>
      <c r="D2102" s="73" t="str">
        <f>IFERROR(VLOOKUP(C2102,Stock,3,FALSE),"")</f>
        <v>Honda Freed 08-16 1st gen</v>
      </c>
      <c r="E2102" s="56">
        <v>1.0</v>
      </c>
      <c r="F2102" s="161">
        <v>1518000.0</v>
      </c>
      <c r="G2102" s="162">
        <f t="shared" si="33"/>
        <v>1518000</v>
      </c>
      <c r="H2102" s="194"/>
      <c r="I2102" s="161">
        <f t="shared" si="36"/>
        <v>1518000</v>
      </c>
      <c r="J2102" s="164">
        <f t="shared" si="30"/>
        <v>1518000</v>
      </c>
      <c r="K2102" s="131" t="s">
        <v>8180</v>
      </c>
      <c r="L2102" s="165" t="s">
        <v>8181</v>
      </c>
      <c r="M2102" s="73"/>
      <c r="N2102" s="171"/>
      <c r="O2102" s="169" t="s">
        <v>2958</v>
      </c>
      <c r="P2102" s="168" t="s">
        <v>3112</v>
      </c>
      <c r="Q2102" s="173"/>
      <c r="R2102" s="167">
        <v>1518000.0</v>
      </c>
      <c r="S2102" s="173"/>
      <c r="T2102" s="173"/>
      <c r="U2102" s="173"/>
      <c r="V2102" s="168" t="s">
        <v>3883</v>
      </c>
      <c r="W2102" s="169"/>
      <c r="X2102" s="169" t="s">
        <v>8182</v>
      </c>
    </row>
    <row r="2103" ht="15.0" customHeight="1">
      <c r="A2103" s="127">
        <v>45833.0</v>
      </c>
      <c r="B2103" s="181" t="s">
        <v>8179</v>
      </c>
      <c r="C2103" s="56" t="s">
        <v>2934</v>
      </c>
      <c r="D2103" s="73" t="str">
        <f>IFERROR(VLOOKUP(C2103,Stock,3,FALSE),"")</f>
        <v>Peti Kayu</v>
      </c>
      <c r="E2103" s="56">
        <v>1.0</v>
      </c>
      <c r="F2103" s="161">
        <v>200000.0</v>
      </c>
      <c r="G2103" s="162">
        <f t="shared" si="33"/>
        <v>200000</v>
      </c>
      <c r="H2103" s="194"/>
      <c r="I2103" s="161">
        <f t="shared" si="36"/>
        <v>200000</v>
      </c>
      <c r="J2103" s="164">
        <f t="shared" si="30"/>
        <v>200000</v>
      </c>
      <c r="K2103" s="131" t="s">
        <v>8180</v>
      </c>
      <c r="L2103" s="165" t="s">
        <v>8181</v>
      </c>
      <c r="M2103" s="73"/>
      <c r="N2103" s="171"/>
      <c r="O2103" s="169" t="s">
        <v>2958</v>
      </c>
      <c r="P2103" s="168" t="s">
        <v>3112</v>
      </c>
      <c r="Q2103" s="173"/>
      <c r="R2103" s="167">
        <v>200000.0</v>
      </c>
      <c r="S2103" s="173"/>
      <c r="T2103" s="173"/>
      <c r="U2103" s="173"/>
      <c r="V2103" s="168" t="s">
        <v>3883</v>
      </c>
      <c r="W2103" s="169"/>
      <c r="X2103" s="169" t="s">
        <v>8182</v>
      </c>
    </row>
    <row r="2104" ht="15.0" customHeight="1">
      <c r="A2104" s="127">
        <v>45833.0</v>
      </c>
      <c r="B2104" s="181" t="s">
        <v>8179</v>
      </c>
      <c r="C2104" s="169" t="s">
        <v>2954</v>
      </c>
      <c r="D2104" s="73" t="str">
        <f>IFERROR(VLOOKUP(C2104,Stock,3,FALSE),"")</f>
        <v>Transport</v>
      </c>
      <c r="E2104" s="56">
        <v>1.0</v>
      </c>
      <c r="F2104" s="161">
        <v>70000.0</v>
      </c>
      <c r="G2104" s="162">
        <f t="shared" si="33"/>
        <v>70000</v>
      </c>
      <c r="H2104" s="194"/>
      <c r="I2104" s="161">
        <f t="shared" si="36"/>
        <v>70000</v>
      </c>
      <c r="J2104" s="164">
        <f t="shared" si="30"/>
        <v>70000</v>
      </c>
      <c r="K2104" s="131" t="s">
        <v>8180</v>
      </c>
      <c r="L2104" s="165" t="s">
        <v>8181</v>
      </c>
      <c r="M2104" s="73"/>
      <c r="N2104" s="171"/>
      <c r="O2104" s="169" t="s">
        <v>2958</v>
      </c>
      <c r="P2104" s="168" t="s">
        <v>3112</v>
      </c>
      <c r="Q2104" s="173"/>
      <c r="R2104" s="167">
        <v>70000.0</v>
      </c>
      <c r="S2104" s="173"/>
      <c r="T2104" s="173"/>
      <c r="U2104" s="173"/>
      <c r="V2104" s="168" t="s">
        <v>3883</v>
      </c>
      <c r="W2104" s="169"/>
      <c r="X2104" s="169" t="s">
        <v>8182</v>
      </c>
    </row>
    <row r="2105" ht="15.0" customHeight="1">
      <c r="A2105" s="127">
        <v>45833.0</v>
      </c>
      <c r="B2105" s="181" t="s">
        <v>8183</v>
      </c>
      <c r="C2105" s="56" t="s">
        <v>3360</v>
      </c>
      <c r="D2105" s="73" t="str">
        <f>IFERROR(VLOOKUP(C2105,Stock,3,FALSE),"")</f>
        <v>Mitsubishi Xpander 17-</v>
      </c>
      <c r="E2105" s="56">
        <v>1.0</v>
      </c>
      <c r="F2105" s="161">
        <v>1750000.0</v>
      </c>
      <c r="G2105" s="162">
        <f t="shared" si="33"/>
        <v>1750000</v>
      </c>
      <c r="H2105" s="194"/>
      <c r="I2105" s="161">
        <f t="shared" si="36"/>
        <v>1750000</v>
      </c>
      <c r="J2105" s="164">
        <f t="shared" si="30"/>
        <v>1750000</v>
      </c>
      <c r="K2105" s="131" t="s">
        <v>8184</v>
      </c>
      <c r="L2105" s="165" t="s">
        <v>8185</v>
      </c>
      <c r="M2105" s="73"/>
      <c r="N2105" s="289" t="s">
        <v>8186</v>
      </c>
      <c r="O2105" s="169" t="s">
        <v>3213</v>
      </c>
      <c r="P2105" s="168" t="s">
        <v>3112</v>
      </c>
      <c r="Q2105" s="167">
        <v>1750000.0</v>
      </c>
      <c r="R2105" s="173"/>
      <c r="S2105" s="173"/>
      <c r="T2105" s="173"/>
      <c r="U2105" s="173"/>
      <c r="V2105" s="168" t="s">
        <v>3883</v>
      </c>
      <c r="W2105" s="169"/>
      <c r="X2105" s="169" t="s">
        <v>8040</v>
      </c>
    </row>
    <row r="2106" ht="15.0" customHeight="1">
      <c r="A2106" s="127">
        <v>45833.0</v>
      </c>
      <c r="B2106" s="181" t="s">
        <v>8187</v>
      </c>
      <c r="C2106" s="56" t="s">
        <v>3127</v>
      </c>
      <c r="D2106" s="73" t="str">
        <f>IFERROR(VLOOKUP(C2106,Stock,3,FALSE),"")</f>
        <v>Toyota Avanza / Xenia 03-11 1st Gen</v>
      </c>
      <c r="E2106" s="56">
        <v>1.0</v>
      </c>
      <c r="F2106" s="161">
        <v>880000.0</v>
      </c>
      <c r="G2106" s="162">
        <f t="shared" si="33"/>
        <v>880000</v>
      </c>
      <c r="H2106" s="201">
        <v>30000.0</v>
      </c>
      <c r="I2106" s="161">
        <f t="shared" si="36"/>
        <v>850000</v>
      </c>
      <c r="J2106" s="164">
        <f t="shared" si="30"/>
        <v>850000</v>
      </c>
      <c r="K2106" s="131" t="s">
        <v>8188</v>
      </c>
      <c r="L2106" s="451" t="s">
        <v>8189</v>
      </c>
      <c r="M2106" s="73"/>
      <c r="N2106" s="169" t="s">
        <v>8190</v>
      </c>
      <c r="O2106" s="169" t="s">
        <v>2958</v>
      </c>
      <c r="P2106" s="168" t="s">
        <v>3112</v>
      </c>
      <c r="Q2106" s="167">
        <v>850000.0</v>
      </c>
      <c r="R2106" s="173"/>
      <c r="S2106" s="173"/>
      <c r="T2106" s="173"/>
      <c r="U2106" s="173"/>
      <c r="V2106" s="168" t="s">
        <v>3883</v>
      </c>
      <c r="W2106" s="169"/>
      <c r="X2106" s="169" t="s">
        <v>8040</v>
      </c>
    </row>
    <row r="2107" ht="15.0" customHeight="1">
      <c r="A2107" s="127">
        <v>45834.0</v>
      </c>
      <c r="B2107" s="181" t="s">
        <v>8191</v>
      </c>
      <c r="C2107" s="56" t="s">
        <v>7173</v>
      </c>
      <c r="D2107" s="73" t="str">
        <f>IFERROR(VLOOKUP(C2107,Stock,3,FALSE),"")</f>
        <v>Toyota Calya / Sigra 16-</v>
      </c>
      <c r="E2107" s="56">
        <v>1.0</v>
      </c>
      <c r="F2107" s="161">
        <v>500000.0</v>
      </c>
      <c r="G2107" s="162">
        <f t="shared" si="33"/>
        <v>500000</v>
      </c>
      <c r="H2107" s="201">
        <v>50000.0</v>
      </c>
      <c r="I2107" s="161">
        <f t="shared" si="36"/>
        <v>450000</v>
      </c>
      <c r="J2107" s="164">
        <f t="shared" si="30"/>
        <v>450000</v>
      </c>
      <c r="K2107" s="131" t="s">
        <v>6884</v>
      </c>
      <c r="L2107" s="451" t="s">
        <v>8192</v>
      </c>
      <c r="M2107" s="73"/>
      <c r="N2107" s="169" t="s">
        <v>8193</v>
      </c>
      <c r="O2107" s="169" t="s">
        <v>2958</v>
      </c>
      <c r="P2107" s="168" t="s">
        <v>3112</v>
      </c>
      <c r="Q2107" s="173"/>
      <c r="R2107" s="167">
        <v>450000.0</v>
      </c>
      <c r="S2107" s="173"/>
      <c r="T2107" s="173"/>
      <c r="U2107" s="173"/>
      <c r="V2107" s="168" t="s">
        <v>3883</v>
      </c>
      <c r="W2107" s="169"/>
      <c r="X2107" s="169" t="s">
        <v>8194</v>
      </c>
    </row>
    <row r="2108" ht="15.0" customHeight="1">
      <c r="A2108" s="127">
        <v>45834.0</v>
      </c>
      <c r="B2108" s="181" t="s">
        <v>8195</v>
      </c>
      <c r="C2108" s="56" t="s">
        <v>6227</v>
      </c>
      <c r="D2108" s="73" t="str">
        <f>IFERROR(VLOOKUP(C2108,Stock,3,FALSE),"")</f>
        <v>Toyota Fortuner 15-  2nd Gen</v>
      </c>
      <c r="E2108" s="56">
        <v>1.0</v>
      </c>
      <c r="F2108" s="161">
        <v>890000.0</v>
      </c>
      <c r="G2108" s="162">
        <f t="shared" si="33"/>
        <v>890000</v>
      </c>
      <c r="H2108" s="194"/>
      <c r="I2108" s="161">
        <f t="shared" si="36"/>
        <v>890000</v>
      </c>
      <c r="J2108" s="164">
        <f t="shared" si="30"/>
        <v>890000</v>
      </c>
      <c r="K2108" s="56" t="s">
        <v>8196</v>
      </c>
      <c r="L2108" s="165" t="s">
        <v>8197</v>
      </c>
      <c r="M2108" s="73"/>
      <c r="N2108" s="171"/>
      <c r="O2108" s="169" t="s">
        <v>2958</v>
      </c>
      <c r="P2108" s="168" t="s">
        <v>3112</v>
      </c>
      <c r="Q2108" s="173"/>
      <c r="R2108" s="167">
        <v>890000.0</v>
      </c>
      <c r="S2108" s="173"/>
      <c r="T2108" s="173"/>
      <c r="U2108" s="173"/>
      <c r="V2108" s="168" t="s">
        <v>3883</v>
      </c>
      <c r="W2108" s="169"/>
      <c r="X2108" s="169" t="s">
        <v>8198</v>
      </c>
    </row>
    <row r="2109" ht="15.0" customHeight="1">
      <c r="A2109" s="127">
        <v>45834.0</v>
      </c>
      <c r="B2109" s="181" t="s">
        <v>8199</v>
      </c>
      <c r="C2109" s="56" t="s">
        <v>3186</v>
      </c>
      <c r="D2109" s="73" t="str">
        <f>IFERROR(VLOOKUP(C2109,Stock,3,FALSE),"")</f>
        <v>Daihatsu Gran Max / Luxio 07-</v>
      </c>
      <c r="E2109" s="56">
        <v>1.0</v>
      </c>
      <c r="F2109" s="161">
        <v>1050000.0</v>
      </c>
      <c r="G2109" s="162">
        <f t="shared" si="33"/>
        <v>1050000</v>
      </c>
      <c r="H2109" s="194"/>
      <c r="I2109" s="161">
        <f t="shared" si="36"/>
        <v>1050000</v>
      </c>
      <c r="J2109" s="164">
        <f t="shared" si="30"/>
        <v>1050000</v>
      </c>
      <c r="K2109" s="56" t="s">
        <v>8200</v>
      </c>
      <c r="L2109" s="165" t="s">
        <v>8201</v>
      </c>
      <c r="M2109" s="73"/>
      <c r="N2109" s="171"/>
      <c r="O2109" s="169" t="s">
        <v>2958</v>
      </c>
      <c r="P2109" s="168" t="s">
        <v>3112</v>
      </c>
      <c r="Q2109" s="167">
        <v>1050000.0</v>
      </c>
      <c r="R2109" s="173"/>
      <c r="S2109" s="173"/>
      <c r="T2109" s="173"/>
      <c r="U2109" s="173"/>
      <c r="V2109" s="168" t="s">
        <v>3883</v>
      </c>
      <c r="W2109" s="169"/>
      <c r="X2109" s="169" t="s">
        <v>8040</v>
      </c>
    </row>
    <row r="2110" ht="15.0" customHeight="1">
      <c r="A2110" s="127">
        <v>45834.0</v>
      </c>
      <c r="B2110" s="181" t="s">
        <v>8202</v>
      </c>
      <c r="C2110" s="56" t="s">
        <v>3391</v>
      </c>
      <c r="D2110" s="73" t="str">
        <f>IFERROR(VLOOKUP(C2110,Stock,3,FALSE),"")</f>
        <v>Toyota Fortuner 05-15 1st Gen</v>
      </c>
      <c r="E2110" s="56">
        <v>1.0</v>
      </c>
      <c r="F2110" s="161">
        <v>1235000.0</v>
      </c>
      <c r="G2110" s="162">
        <f t="shared" si="33"/>
        <v>1235000</v>
      </c>
      <c r="H2110" s="194"/>
      <c r="I2110" s="161">
        <f t="shared" si="36"/>
        <v>1235000</v>
      </c>
      <c r="J2110" s="164">
        <f t="shared" si="30"/>
        <v>1235000</v>
      </c>
      <c r="K2110" s="197" t="s">
        <v>8203</v>
      </c>
      <c r="L2110" s="165" t="s">
        <v>8204</v>
      </c>
      <c r="M2110" s="73"/>
      <c r="N2110" s="171"/>
      <c r="O2110" s="169" t="s">
        <v>8205</v>
      </c>
      <c r="P2110" s="168" t="s">
        <v>8117</v>
      </c>
      <c r="Q2110" s="173"/>
      <c r="R2110" s="173"/>
      <c r="S2110" s="167">
        <v>1235000.0</v>
      </c>
      <c r="T2110" s="173"/>
      <c r="U2110" s="173"/>
      <c r="V2110" s="168" t="s">
        <v>3799</v>
      </c>
      <c r="W2110" s="169"/>
      <c r="X2110" s="171"/>
    </row>
    <row r="2111" ht="15.0" customHeight="1">
      <c r="A2111" s="127">
        <v>45834.0</v>
      </c>
      <c r="B2111" s="181" t="s">
        <v>8202</v>
      </c>
      <c r="C2111" s="56" t="s">
        <v>2934</v>
      </c>
      <c r="D2111" s="73" t="str">
        <f>IFERROR(VLOOKUP(C2111,Stock,3,FALSE),"")</f>
        <v>Peti Kayu</v>
      </c>
      <c r="E2111" s="56">
        <v>1.0</v>
      </c>
      <c r="F2111" s="161">
        <v>200000.0</v>
      </c>
      <c r="G2111" s="162">
        <f t="shared" si="33"/>
        <v>200000</v>
      </c>
      <c r="H2111" s="194"/>
      <c r="I2111" s="161">
        <f t="shared" si="36"/>
        <v>200000</v>
      </c>
      <c r="J2111" s="164">
        <f t="shared" si="30"/>
        <v>200000</v>
      </c>
      <c r="K2111" s="197" t="s">
        <v>8203</v>
      </c>
      <c r="L2111" s="165" t="s">
        <v>8204</v>
      </c>
      <c r="M2111" s="73"/>
      <c r="N2111" s="171"/>
      <c r="O2111" s="169" t="s">
        <v>8205</v>
      </c>
      <c r="P2111" s="168" t="s">
        <v>8117</v>
      </c>
      <c r="Q2111" s="173"/>
      <c r="R2111" s="173"/>
      <c r="S2111" s="167">
        <v>200000.0</v>
      </c>
      <c r="T2111" s="173"/>
      <c r="U2111" s="173"/>
      <c r="V2111" s="168" t="s">
        <v>3799</v>
      </c>
      <c r="W2111" s="169"/>
      <c r="X2111" s="171"/>
    </row>
    <row r="2112" ht="15.0" customHeight="1">
      <c r="A2112" s="127">
        <v>45834.0</v>
      </c>
      <c r="B2112" s="181" t="s">
        <v>8202</v>
      </c>
      <c r="C2112" s="56" t="s">
        <v>2954</v>
      </c>
      <c r="D2112" s="73" t="str">
        <f>IFERROR(VLOOKUP(C2112,Stock,3,FALSE),"")</f>
        <v>Transport</v>
      </c>
      <c r="E2112" s="56">
        <v>1.0</v>
      </c>
      <c r="F2112" s="161">
        <v>70000.0</v>
      </c>
      <c r="G2112" s="162">
        <f t="shared" si="33"/>
        <v>70000</v>
      </c>
      <c r="H2112" s="194"/>
      <c r="I2112" s="161">
        <f t="shared" si="36"/>
        <v>70000</v>
      </c>
      <c r="J2112" s="164">
        <f t="shared" si="30"/>
        <v>70000</v>
      </c>
      <c r="K2112" s="197" t="s">
        <v>8203</v>
      </c>
      <c r="L2112" s="165" t="s">
        <v>8204</v>
      </c>
      <c r="M2112" s="73"/>
      <c r="N2112" s="171"/>
      <c r="O2112" s="169" t="s">
        <v>8205</v>
      </c>
      <c r="P2112" s="168" t="s">
        <v>8117</v>
      </c>
      <c r="Q2112" s="173"/>
      <c r="R2112" s="167">
        <v>70000.0</v>
      </c>
      <c r="S2112" s="173"/>
      <c r="T2112" s="173"/>
      <c r="U2112" s="173"/>
      <c r="V2112" s="168" t="s">
        <v>3799</v>
      </c>
      <c r="W2112" s="169"/>
      <c r="X2112" s="169" t="s">
        <v>8206</v>
      </c>
    </row>
    <row r="2113" ht="15.0" customHeight="1">
      <c r="A2113" s="127">
        <v>45835.0</v>
      </c>
      <c r="B2113" s="181" t="s">
        <v>8207</v>
      </c>
      <c r="C2113" s="56" t="s">
        <v>3033</v>
      </c>
      <c r="D2113" s="73" t="str">
        <f>IFERROR(VLOOKUP(C2113,Stock,3,FALSE),"")</f>
        <v>Toyota Innova 04-15 1st Gen</v>
      </c>
      <c r="E2113" s="56">
        <v>1.0</v>
      </c>
      <c r="F2113" s="161">
        <v>1322000.0</v>
      </c>
      <c r="G2113" s="162">
        <f t="shared" si="33"/>
        <v>1322000</v>
      </c>
      <c r="H2113" s="194"/>
      <c r="I2113" s="161">
        <f t="shared" si="36"/>
        <v>1322000</v>
      </c>
      <c r="J2113" s="164">
        <f t="shared" si="30"/>
        <v>1322000</v>
      </c>
      <c r="K2113" s="56" t="s">
        <v>8208</v>
      </c>
      <c r="L2113" s="165" t="s">
        <v>8209</v>
      </c>
      <c r="M2113" s="73"/>
      <c r="N2113" s="169" t="s">
        <v>8210</v>
      </c>
      <c r="O2113" s="169" t="s">
        <v>3037</v>
      </c>
      <c r="P2113" s="168" t="s">
        <v>3112</v>
      </c>
      <c r="Q2113" s="167">
        <v>1322000.0</v>
      </c>
      <c r="R2113" s="173"/>
      <c r="S2113" s="173"/>
      <c r="T2113" s="173"/>
      <c r="U2113" s="173"/>
      <c r="V2113" s="168" t="s">
        <v>4778</v>
      </c>
      <c r="W2113" s="169"/>
      <c r="X2113" s="169" t="s">
        <v>8040</v>
      </c>
    </row>
    <row r="2114" ht="15.0" customHeight="1">
      <c r="A2114" s="127">
        <v>45836.0</v>
      </c>
      <c r="B2114" s="181" t="s">
        <v>8211</v>
      </c>
      <c r="C2114" s="56" t="s">
        <v>8212</v>
      </c>
      <c r="D2114" s="73" t="str">
        <f>IFERROR(VLOOKUP(C2114,Stock,3,FALSE),"")</f>
        <v>Hyundai Getz 02-11</v>
      </c>
      <c r="E2114" s="56">
        <v>1.0</v>
      </c>
      <c r="F2114" s="161">
        <v>2347000.0</v>
      </c>
      <c r="G2114" s="162">
        <f t="shared" si="33"/>
        <v>2347000</v>
      </c>
      <c r="H2114" s="194"/>
      <c r="I2114" s="161">
        <f t="shared" si="36"/>
        <v>2347000</v>
      </c>
      <c r="J2114" s="164">
        <f t="shared" si="30"/>
        <v>2347000</v>
      </c>
      <c r="K2114" s="56" t="s">
        <v>8213</v>
      </c>
      <c r="L2114" s="165" t="s">
        <v>8214</v>
      </c>
      <c r="M2114" s="73"/>
      <c r="N2114" s="169" t="s">
        <v>8215</v>
      </c>
      <c r="O2114" s="169" t="s">
        <v>2958</v>
      </c>
      <c r="P2114" s="168" t="s">
        <v>3112</v>
      </c>
      <c r="Q2114" s="173"/>
      <c r="R2114" s="167">
        <v>2347000.0</v>
      </c>
      <c r="S2114" s="173"/>
      <c r="T2114" s="173"/>
      <c r="U2114" s="173"/>
      <c r="V2114" s="168" t="s">
        <v>3883</v>
      </c>
      <c r="W2114" s="169"/>
      <c r="X2114" s="169" t="s">
        <v>8216</v>
      </c>
    </row>
    <row r="2115" ht="15.0" customHeight="1">
      <c r="A2115" s="127">
        <v>45836.0</v>
      </c>
      <c r="B2115" s="181" t="s">
        <v>8217</v>
      </c>
      <c r="C2115" s="56" t="s">
        <v>8218</v>
      </c>
      <c r="D2115" s="73" t="str">
        <f>IFERROR(VLOOKUP(C2115,Stock,3,FALSE),"")</f>
        <v>Toyota Vios 07-13 XP90 2nd Gen (Limo)</v>
      </c>
      <c r="E2115" s="56">
        <v>1.0</v>
      </c>
      <c r="F2115" s="161">
        <v>1392000.0</v>
      </c>
      <c r="G2115" s="162">
        <f t="shared" si="33"/>
        <v>1392000</v>
      </c>
      <c r="H2115" s="194"/>
      <c r="I2115" s="161">
        <f t="shared" si="36"/>
        <v>1392000</v>
      </c>
      <c r="J2115" s="164">
        <f t="shared" si="30"/>
        <v>1392000</v>
      </c>
      <c r="K2115" s="56" t="s">
        <v>8219</v>
      </c>
      <c r="L2115" s="165" t="s">
        <v>8220</v>
      </c>
      <c r="M2115" s="73"/>
      <c r="N2115" s="289" t="s">
        <v>8221</v>
      </c>
      <c r="O2115" s="169" t="s">
        <v>2958</v>
      </c>
      <c r="P2115" s="168" t="s">
        <v>3112</v>
      </c>
      <c r="Q2115" s="173"/>
      <c r="R2115" s="167">
        <v>1392000.0</v>
      </c>
      <c r="S2115" s="173"/>
      <c r="T2115" s="173"/>
      <c r="U2115" s="173"/>
      <c r="V2115" s="168" t="s">
        <v>3883</v>
      </c>
      <c r="W2115" s="169"/>
      <c r="X2115" s="169" t="s">
        <v>8222</v>
      </c>
    </row>
    <row r="2116" ht="15.0" customHeight="1">
      <c r="A2116" s="127">
        <v>45836.0</v>
      </c>
      <c r="B2116" s="181" t="s">
        <v>8223</v>
      </c>
      <c r="C2116" s="56" t="s">
        <v>8224</v>
      </c>
      <c r="D2116" s="73" t="str">
        <f>IFERROR(VLOOKUP(C2116,Stock,3,FALSE),"")</f>
        <v>Toyota Calya /  Sigra 16- (Toyota/Daihatsu)</v>
      </c>
      <c r="E2116" s="56">
        <v>1.0</v>
      </c>
      <c r="F2116" s="161">
        <v>1149000.0</v>
      </c>
      <c r="G2116" s="162">
        <f t="shared" si="33"/>
        <v>1149000</v>
      </c>
      <c r="H2116" s="194"/>
      <c r="I2116" s="161">
        <f t="shared" si="36"/>
        <v>1149000</v>
      </c>
      <c r="J2116" s="164">
        <f t="shared" si="30"/>
        <v>1149000</v>
      </c>
      <c r="K2116" s="197" t="s">
        <v>8225</v>
      </c>
      <c r="L2116" s="165" t="s">
        <v>8226</v>
      </c>
      <c r="M2116" s="73"/>
      <c r="N2116" s="289" t="s">
        <v>8227</v>
      </c>
      <c r="O2116" s="169" t="s">
        <v>2958</v>
      </c>
      <c r="P2116" s="168" t="s">
        <v>3112</v>
      </c>
      <c r="Q2116" s="173"/>
      <c r="R2116" s="167">
        <v>1149000.0</v>
      </c>
      <c r="S2116" s="173"/>
      <c r="T2116" s="173"/>
      <c r="U2116" s="173"/>
      <c r="V2116" s="168" t="s">
        <v>3799</v>
      </c>
      <c r="W2116" s="169"/>
      <c r="X2116" s="169" t="s">
        <v>8228</v>
      </c>
    </row>
    <row r="2117" ht="15.0" customHeight="1">
      <c r="A2117" s="127">
        <v>45836.0</v>
      </c>
      <c r="B2117" s="181" t="s">
        <v>8229</v>
      </c>
      <c r="C2117" s="56" t="s">
        <v>2565</v>
      </c>
      <c r="D2117" s="73" t="str">
        <f>IFERROR(VLOOKUP(C2117,Stock,3,FALSE),"")</f>
        <v>Toyota Avanza / Xenia 03-11 1st Gen</v>
      </c>
      <c r="E2117" s="56">
        <v>1.0</v>
      </c>
      <c r="F2117" s="161">
        <v>1050000.0</v>
      </c>
      <c r="G2117" s="162">
        <f t="shared" si="33"/>
        <v>1050000</v>
      </c>
      <c r="H2117" s="194"/>
      <c r="I2117" s="161">
        <f t="shared" si="36"/>
        <v>1050000</v>
      </c>
      <c r="J2117" s="164">
        <f t="shared" si="30"/>
        <v>1050000</v>
      </c>
      <c r="K2117" s="56" t="s">
        <v>8230</v>
      </c>
      <c r="L2117" s="165" t="s">
        <v>8231</v>
      </c>
      <c r="M2117" s="73"/>
      <c r="N2117" s="289" t="s">
        <v>8232</v>
      </c>
      <c r="O2117" s="169" t="s">
        <v>2958</v>
      </c>
      <c r="P2117" s="168" t="s">
        <v>3112</v>
      </c>
      <c r="Q2117" s="167">
        <v>1050000.0</v>
      </c>
      <c r="S2117" s="173"/>
      <c r="T2117" s="173"/>
      <c r="U2117" s="173"/>
      <c r="V2117" s="168" t="s">
        <v>3799</v>
      </c>
      <c r="W2117" s="169"/>
      <c r="X2117" s="169" t="s">
        <v>8040</v>
      </c>
    </row>
    <row r="2118" ht="15.0" customHeight="1">
      <c r="A2118" s="127">
        <v>45836.0</v>
      </c>
      <c r="B2118" s="181" t="s">
        <v>8229</v>
      </c>
      <c r="C2118" s="56" t="s">
        <v>3083</v>
      </c>
      <c r="D2118" s="73" t="str">
        <f>IFERROR(VLOOKUP(C2118,Stock,3,FALSE),"")</f>
        <v>List Kaca Depan Code 04</v>
      </c>
      <c r="E2118" s="56">
        <v>1.0</v>
      </c>
      <c r="F2118" s="161">
        <v>275000.0</v>
      </c>
      <c r="G2118" s="162">
        <f t="shared" si="33"/>
        <v>275000</v>
      </c>
      <c r="H2118" s="194"/>
      <c r="I2118" s="161">
        <f t="shared" si="36"/>
        <v>275000</v>
      </c>
      <c r="J2118" s="164">
        <f t="shared" si="30"/>
        <v>275000</v>
      </c>
      <c r="K2118" s="56" t="s">
        <v>8230</v>
      </c>
      <c r="L2118" s="165" t="s">
        <v>8231</v>
      </c>
      <c r="M2118" s="73"/>
      <c r="N2118" s="289" t="s">
        <v>8232</v>
      </c>
      <c r="O2118" s="169" t="s">
        <v>2958</v>
      </c>
      <c r="P2118" s="168" t="s">
        <v>3112</v>
      </c>
      <c r="Q2118" s="167">
        <v>275000.0</v>
      </c>
      <c r="S2118" s="173"/>
      <c r="T2118" s="173"/>
      <c r="U2118" s="173"/>
      <c r="V2118" s="168" t="s">
        <v>3799</v>
      </c>
      <c r="W2118" s="169"/>
      <c r="X2118" s="169" t="s">
        <v>8040</v>
      </c>
    </row>
    <row r="2119" ht="15.0" customHeight="1">
      <c r="A2119" s="127">
        <v>45838.0</v>
      </c>
      <c r="B2119" s="181" t="s">
        <v>8233</v>
      </c>
      <c r="C2119" s="56" t="s">
        <v>4988</v>
      </c>
      <c r="D2119" s="73" t="str">
        <f>IFERROR(VLOOKUP(C2119,Stock,3,FALSE),"")</f>
        <v>Toyota Innova 15- 2nd Gen</v>
      </c>
      <c r="E2119" s="56">
        <v>1.0</v>
      </c>
      <c r="F2119" s="161">
        <v>1464000.0</v>
      </c>
      <c r="G2119" s="162">
        <f t="shared" si="33"/>
        <v>1464000</v>
      </c>
      <c r="H2119" s="194"/>
      <c r="I2119" s="161">
        <f t="shared" si="36"/>
        <v>1464000</v>
      </c>
      <c r="J2119" s="164">
        <f t="shared" si="30"/>
        <v>1464000</v>
      </c>
      <c r="K2119" s="131" t="s">
        <v>6332</v>
      </c>
      <c r="L2119" s="165" t="s">
        <v>4473</v>
      </c>
      <c r="M2119" s="73"/>
      <c r="N2119" s="171"/>
      <c r="O2119" s="169" t="s">
        <v>2958</v>
      </c>
      <c r="P2119" s="168" t="s">
        <v>3112</v>
      </c>
      <c r="Q2119" s="173"/>
      <c r="R2119" s="167">
        <v>1464000.0</v>
      </c>
      <c r="S2119" s="173"/>
      <c r="T2119" s="173"/>
      <c r="U2119" s="173"/>
      <c r="V2119" s="168" t="s">
        <v>3883</v>
      </c>
      <c r="W2119" s="169"/>
      <c r="X2119" s="169" t="s">
        <v>8234</v>
      </c>
    </row>
    <row r="2120" ht="15.0" customHeight="1">
      <c r="A2120" s="127">
        <v>45839.0</v>
      </c>
      <c r="B2120" s="181" t="s">
        <v>8235</v>
      </c>
      <c r="C2120" s="56" t="s">
        <v>2703</v>
      </c>
      <c r="D2120" s="73" t="str">
        <f>IFERROR(VLOOKUP(C2120,Stock,3,FALSE),"")</f>
        <v>Toyota Hi-Ace 04-20 Commuter</v>
      </c>
      <c r="E2120" s="56">
        <v>1.0</v>
      </c>
      <c r="F2120" s="161">
        <v>1680000.0</v>
      </c>
      <c r="G2120" s="162">
        <f t="shared" si="33"/>
        <v>1680000</v>
      </c>
      <c r="H2120" s="194"/>
      <c r="I2120" s="161">
        <f t="shared" si="36"/>
        <v>1680000</v>
      </c>
      <c r="J2120" s="164">
        <f t="shared" si="30"/>
        <v>1680000</v>
      </c>
      <c r="K2120" s="56" t="s">
        <v>8236</v>
      </c>
      <c r="L2120" s="165" t="s">
        <v>8237</v>
      </c>
      <c r="M2120" s="73"/>
      <c r="N2120" s="171"/>
      <c r="O2120" s="169" t="s">
        <v>3204</v>
      </c>
      <c r="P2120" s="168" t="s">
        <v>3112</v>
      </c>
      <c r="Q2120" s="173"/>
      <c r="R2120" s="167">
        <v>100000.0</v>
      </c>
      <c r="S2120" s="173"/>
      <c r="T2120" s="173"/>
      <c r="U2120" s="173"/>
      <c r="V2120" s="168" t="s">
        <v>3883</v>
      </c>
      <c r="W2120" s="169"/>
      <c r="X2120" s="169" t="s">
        <v>8238</v>
      </c>
    </row>
    <row r="2121" ht="15.0" customHeight="1">
      <c r="A2121" s="127">
        <v>45839.0</v>
      </c>
      <c r="B2121" s="181" t="s">
        <v>8235</v>
      </c>
      <c r="C2121" s="56" t="s">
        <v>3342</v>
      </c>
      <c r="D2121" s="73" t="str">
        <f>IFERROR(VLOOKUP(C2121,Stock,3,FALSE),"")</f>
        <v>Toyota Hi-Ace 04-20 Commuter (Hitam)</v>
      </c>
      <c r="E2121" s="56">
        <v>1.0</v>
      </c>
      <c r="F2121" s="161">
        <v>2902000.0</v>
      </c>
      <c r="G2121" s="162">
        <f t="shared" si="33"/>
        <v>2902000</v>
      </c>
      <c r="H2121" s="201">
        <v>182000.0</v>
      </c>
      <c r="I2121" s="161">
        <f t="shared" si="36"/>
        <v>2720000</v>
      </c>
      <c r="J2121" s="164">
        <f t="shared" si="30"/>
        <v>2720000</v>
      </c>
      <c r="K2121" s="56" t="s">
        <v>8236</v>
      </c>
      <c r="L2121" s="165" t="s">
        <v>8237</v>
      </c>
      <c r="M2121" s="73"/>
      <c r="N2121" s="171"/>
      <c r="O2121" s="169" t="s">
        <v>3204</v>
      </c>
      <c r="P2121" s="168" t="s">
        <v>3112</v>
      </c>
      <c r="Q2121" s="173"/>
      <c r="R2121" s="167">
        <v>4600000.0</v>
      </c>
      <c r="S2121" s="173"/>
      <c r="T2121" s="173"/>
      <c r="U2121" s="173"/>
      <c r="V2121" s="168" t="s">
        <v>3883</v>
      </c>
      <c r="W2121" s="169"/>
      <c r="X2121" s="169" t="s">
        <v>8239</v>
      </c>
    </row>
    <row r="2122" ht="15.0" customHeight="1">
      <c r="A2122" s="127">
        <v>45839.0</v>
      </c>
      <c r="B2122" s="181" t="s">
        <v>8235</v>
      </c>
      <c r="C2122" s="56" t="s">
        <v>2954</v>
      </c>
      <c r="D2122" s="73" t="str">
        <f>IFERROR(VLOOKUP(C2122,Stock,3,FALSE),"")</f>
        <v>Transport</v>
      </c>
      <c r="E2122" s="56">
        <v>1.0</v>
      </c>
      <c r="F2122" s="161">
        <v>300000.0</v>
      </c>
      <c r="G2122" s="162">
        <f t="shared" si="33"/>
        <v>300000</v>
      </c>
      <c r="H2122" s="194"/>
      <c r="I2122" s="161">
        <f t="shared" si="36"/>
        <v>300000</v>
      </c>
      <c r="J2122" s="164">
        <f t="shared" si="30"/>
        <v>300000</v>
      </c>
      <c r="K2122" s="56" t="s">
        <v>8236</v>
      </c>
      <c r="L2122" s="165" t="s">
        <v>8237</v>
      </c>
      <c r="M2122" s="73"/>
      <c r="N2122" s="171"/>
      <c r="O2122" s="169" t="s">
        <v>3204</v>
      </c>
      <c r="P2122" s="168" t="s">
        <v>3112</v>
      </c>
      <c r="Q2122" s="173"/>
      <c r="R2122" s="167"/>
      <c r="S2122" s="173"/>
      <c r="T2122" s="173"/>
      <c r="U2122" s="173"/>
      <c r="V2122" s="168" t="s">
        <v>3883</v>
      </c>
      <c r="W2122" s="169"/>
      <c r="X2122" s="169" t="s">
        <v>8239</v>
      </c>
    </row>
    <row r="2123" ht="15.0" customHeight="1">
      <c r="A2123" s="127">
        <v>45839.0</v>
      </c>
      <c r="B2123" s="181" t="s">
        <v>8240</v>
      </c>
      <c r="C2123" s="56" t="s">
        <v>8241</v>
      </c>
      <c r="D2123" s="73" t="str">
        <f>IFERROR(VLOOKUP(C2123,Stock,3,FALSE),"")</f>
        <v>Mitsubishi Pajero 16- / Strada Triton 08-15 (Mitsubishi)</v>
      </c>
      <c r="E2123" s="56">
        <v>1.0</v>
      </c>
      <c r="F2123" s="161">
        <v>828000.0</v>
      </c>
      <c r="G2123" s="162">
        <f t="shared" si="33"/>
        <v>828000</v>
      </c>
      <c r="H2123" s="201">
        <v>41400.0</v>
      </c>
      <c r="I2123" s="161">
        <f t="shared" si="36"/>
        <v>786600</v>
      </c>
      <c r="J2123" s="164">
        <f t="shared" si="30"/>
        <v>786600</v>
      </c>
      <c r="K2123" s="56" t="s">
        <v>8242</v>
      </c>
      <c r="L2123" s="165" t="s">
        <v>8243</v>
      </c>
      <c r="M2123" s="73"/>
      <c r="N2123" s="171"/>
      <c r="O2123" s="169" t="s">
        <v>2958</v>
      </c>
      <c r="P2123" s="168" t="s">
        <v>3112</v>
      </c>
      <c r="Q2123" s="173"/>
      <c r="R2123" s="167">
        <v>786600.0</v>
      </c>
      <c r="S2123" s="173"/>
      <c r="T2123" s="173"/>
      <c r="U2123" s="173"/>
      <c r="V2123" s="168" t="s">
        <v>3883</v>
      </c>
      <c r="W2123" s="169"/>
      <c r="X2123" s="169" t="s">
        <v>8244</v>
      </c>
    </row>
    <row r="2124" ht="15.0" customHeight="1">
      <c r="A2124" s="127">
        <v>45839.0</v>
      </c>
      <c r="B2124" s="181" t="s">
        <v>8245</v>
      </c>
      <c r="C2124" s="56" t="s">
        <v>4997</v>
      </c>
      <c r="D2124" s="73" t="str">
        <f>IFERROR(VLOOKUP(C2124,Stock,3,FALSE),"")</f>
        <v>Hyundai Stargazer 22-</v>
      </c>
      <c r="E2124" s="56">
        <v>1.0</v>
      </c>
      <c r="F2124" s="161">
        <v>1639000.0</v>
      </c>
      <c r="G2124" s="162">
        <f t="shared" si="33"/>
        <v>1639000</v>
      </c>
      <c r="H2124" s="194"/>
      <c r="I2124" s="161">
        <f t="shared" si="36"/>
        <v>1639000</v>
      </c>
      <c r="J2124" s="164">
        <f t="shared" si="30"/>
        <v>1639000</v>
      </c>
      <c r="K2124" s="56" t="s">
        <v>8246</v>
      </c>
      <c r="L2124" s="165" t="s">
        <v>8247</v>
      </c>
      <c r="M2124" s="73"/>
      <c r="N2124" s="169" t="s">
        <v>8248</v>
      </c>
      <c r="O2124" s="169" t="s">
        <v>3710</v>
      </c>
      <c r="P2124" s="168" t="s">
        <v>3112</v>
      </c>
      <c r="Q2124" s="173"/>
      <c r="R2124" s="167">
        <v>1639000.0</v>
      </c>
      <c r="S2124" s="173"/>
      <c r="T2124" s="173"/>
      <c r="U2124" s="173"/>
      <c r="V2124" s="168" t="s">
        <v>3883</v>
      </c>
      <c r="W2124" s="169"/>
      <c r="X2124" s="169" t="s">
        <v>8249</v>
      </c>
    </row>
    <row r="2125" ht="15.0" customHeight="1">
      <c r="A2125" s="127">
        <v>45839.0</v>
      </c>
      <c r="B2125" s="181" t="s">
        <v>8250</v>
      </c>
      <c r="C2125" s="56" t="s">
        <v>6918</v>
      </c>
      <c r="D2125" s="73" t="str">
        <f>IFERROR(VLOOKUP(C2125,Stock,3,FALSE),"")</f>
        <v>Wuling Almaz</v>
      </c>
      <c r="E2125" s="56">
        <v>1.0</v>
      </c>
      <c r="F2125" s="161">
        <v>2198000.0</v>
      </c>
      <c r="G2125" s="162">
        <f t="shared" si="33"/>
        <v>2198000</v>
      </c>
      <c r="H2125" s="194"/>
      <c r="I2125" s="161">
        <f t="shared" si="36"/>
        <v>2198000</v>
      </c>
      <c r="J2125" s="164">
        <f t="shared" si="30"/>
        <v>2198000</v>
      </c>
      <c r="K2125" s="56" t="s">
        <v>8251</v>
      </c>
      <c r="L2125" s="165" t="s">
        <v>8252</v>
      </c>
      <c r="M2125" s="73"/>
      <c r="N2125" s="169" t="s">
        <v>8253</v>
      </c>
      <c r="O2125" s="169" t="s">
        <v>2958</v>
      </c>
      <c r="P2125" s="168" t="s">
        <v>3112</v>
      </c>
      <c r="Q2125" s="173"/>
      <c r="R2125" s="167">
        <v>2198000.0</v>
      </c>
      <c r="S2125" s="173"/>
      <c r="T2125" s="173"/>
      <c r="U2125" s="173"/>
      <c r="V2125" s="168" t="s">
        <v>3883</v>
      </c>
      <c r="W2125" s="169"/>
      <c r="X2125" s="169" t="s">
        <v>8254</v>
      </c>
    </row>
    <row r="2126" ht="15.0" customHeight="1">
      <c r="A2126" s="127">
        <v>45839.0</v>
      </c>
      <c r="B2126" s="181" t="s">
        <v>8255</v>
      </c>
      <c r="C2126" s="56" t="s">
        <v>4942</v>
      </c>
      <c r="D2126" s="73" t="str">
        <f>IFERROR(VLOOKUP(C2126,Stock,3,FALSE),"")</f>
        <v>Mazda Biante 08- (Hitam)</v>
      </c>
      <c r="E2126" s="56">
        <v>1.0</v>
      </c>
      <c r="F2126" s="161">
        <v>3443000.0</v>
      </c>
      <c r="G2126" s="162">
        <f t="shared" si="33"/>
        <v>3443000</v>
      </c>
      <c r="H2126" s="201">
        <v>100000.0</v>
      </c>
      <c r="I2126" s="161">
        <f t="shared" si="36"/>
        <v>3343000</v>
      </c>
      <c r="J2126" s="164">
        <f t="shared" si="30"/>
        <v>3343000</v>
      </c>
      <c r="K2126" s="131" t="s">
        <v>8256</v>
      </c>
      <c r="L2126" s="165" t="s">
        <v>8247</v>
      </c>
      <c r="M2126" s="73"/>
      <c r="N2126" s="169" t="s">
        <v>8257</v>
      </c>
      <c r="O2126" s="169" t="s">
        <v>3858</v>
      </c>
      <c r="P2126" s="168" t="s">
        <v>3112</v>
      </c>
      <c r="Q2126" s="173"/>
      <c r="R2126" s="167">
        <v>3343000.0</v>
      </c>
      <c r="S2126" s="173"/>
      <c r="T2126" s="173"/>
      <c r="U2126" s="173"/>
      <c r="V2126" s="168" t="s">
        <v>3883</v>
      </c>
      <c r="W2126" s="169"/>
      <c r="X2126" s="169" t="s">
        <v>8258</v>
      </c>
    </row>
    <row r="2127" ht="15.0" customHeight="1">
      <c r="A2127" s="127">
        <v>45840.0</v>
      </c>
      <c r="B2127" s="181" t="s">
        <v>8259</v>
      </c>
      <c r="C2127" s="56" t="s">
        <v>4027</v>
      </c>
      <c r="D2127" s="73" t="str">
        <f>IFERROR(VLOOKUP(C2127,Stock,3,FALSE),"")</f>
        <v>501 Sealant Application</v>
      </c>
      <c r="E2127" s="56">
        <v>1.0</v>
      </c>
      <c r="F2127" s="161">
        <v>95000.0</v>
      </c>
      <c r="G2127" s="162">
        <f t="shared" si="33"/>
        <v>95000</v>
      </c>
      <c r="H2127" s="194"/>
      <c r="I2127" s="161">
        <f t="shared" si="36"/>
        <v>95000</v>
      </c>
      <c r="J2127" s="164">
        <f t="shared" si="30"/>
        <v>95000</v>
      </c>
      <c r="K2127" s="56" t="s">
        <v>8260</v>
      </c>
      <c r="L2127" s="165" t="s">
        <v>8261</v>
      </c>
      <c r="M2127" s="73"/>
      <c r="N2127" s="171"/>
      <c r="O2127" s="169" t="s">
        <v>2958</v>
      </c>
      <c r="P2127" s="168" t="s">
        <v>3112</v>
      </c>
      <c r="Q2127" s="173"/>
      <c r="R2127" s="167">
        <v>95000.0</v>
      </c>
      <c r="S2127" s="173"/>
      <c r="T2127" s="173"/>
      <c r="U2127" s="173"/>
      <c r="V2127" s="168" t="s">
        <v>3883</v>
      </c>
      <c r="W2127" s="169"/>
      <c r="X2127" s="171"/>
    </row>
    <row r="2128" ht="15.0" customHeight="1">
      <c r="A2128" s="127">
        <v>45840.0</v>
      </c>
      <c r="B2128" s="181" t="s">
        <v>8262</v>
      </c>
      <c r="C2128" s="56" t="s">
        <v>3360</v>
      </c>
      <c r="D2128" s="73" t="str">
        <f>IFERROR(VLOOKUP(C2128,Stock,3,FALSE),"")</f>
        <v>Mitsubishi Xpander 17-</v>
      </c>
      <c r="E2128" s="56">
        <v>1.0</v>
      </c>
      <c r="F2128" s="161">
        <v>1800000.0</v>
      </c>
      <c r="G2128" s="162">
        <f t="shared" si="33"/>
        <v>1800000</v>
      </c>
      <c r="H2128" s="201">
        <v>100000.0</v>
      </c>
      <c r="I2128" s="161">
        <f t="shared" si="36"/>
        <v>1700000</v>
      </c>
      <c r="J2128" s="164">
        <f t="shared" si="30"/>
        <v>1700000</v>
      </c>
      <c r="K2128" s="131" t="s">
        <v>8263</v>
      </c>
      <c r="L2128" s="165" t="s">
        <v>8264</v>
      </c>
      <c r="M2128" s="73"/>
      <c r="N2128" s="169" t="s">
        <v>8265</v>
      </c>
      <c r="O2128" s="169" t="s">
        <v>2958</v>
      </c>
      <c r="P2128" s="168" t="s">
        <v>3112</v>
      </c>
      <c r="Q2128" s="173"/>
      <c r="R2128" s="167">
        <v>1700000.0</v>
      </c>
      <c r="S2128" s="173"/>
      <c r="T2128" s="173"/>
      <c r="U2128" s="173"/>
      <c r="V2128" s="168" t="s">
        <v>3883</v>
      </c>
      <c r="W2128" s="169"/>
      <c r="X2128" s="169" t="s">
        <v>8266</v>
      </c>
    </row>
    <row r="2129" ht="15.0" customHeight="1">
      <c r="A2129" s="127">
        <v>45840.0</v>
      </c>
      <c r="B2129" s="181" t="s">
        <v>8267</v>
      </c>
      <c r="C2129" s="56" t="s">
        <v>2565</v>
      </c>
      <c r="D2129" s="73" t="str">
        <f>IFERROR(VLOOKUP(C2129,Stock,3,FALSE),"")</f>
        <v>Toyota Avanza / Xenia 03-11 1st Gen</v>
      </c>
      <c r="E2129" s="56">
        <v>1.0</v>
      </c>
      <c r="F2129" s="161">
        <v>800000.0</v>
      </c>
      <c r="G2129" s="162">
        <f t="shared" si="33"/>
        <v>800000</v>
      </c>
      <c r="H2129" s="194"/>
      <c r="I2129" s="161">
        <f t="shared" si="36"/>
        <v>800000</v>
      </c>
      <c r="J2129" s="164">
        <f t="shared" si="30"/>
        <v>800000</v>
      </c>
      <c r="K2129" s="307" t="s">
        <v>8268</v>
      </c>
      <c r="L2129" s="165" t="s">
        <v>8269</v>
      </c>
      <c r="M2129" s="73"/>
      <c r="N2129" s="171"/>
      <c r="O2129" s="169" t="s">
        <v>2958</v>
      </c>
      <c r="P2129" s="168" t="s">
        <v>3112</v>
      </c>
      <c r="Q2129" s="167">
        <v>800000.0</v>
      </c>
      <c r="R2129" s="167"/>
      <c r="S2129" s="173"/>
      <c r="T2129" s="173"/>
      <c r="U2129" s="173"/>
      <c r="V2129" s="168" t="s">
        <v>3883</v>
      </c>
      <c r="W2129" s="169"/>
      <c r="X2129" s="169" t="s">
        <v>8040</v>
      </c>
    </row>
    <row r="2130" ht="15.0" customHeight="1">
      <c r="A2130" s="127">
        <v>45840.0</v>
      </c>
      <c r="B2130" s="181" t="s">
        <v>8267</v>
      </c>
      <c r="C2130" s="56" t="s">
        <v>3127</v>
      </c>
      <c r="D2130" s="73" t="str">
        <f>IFERROR(VLOOKUP(C2130,Stock,3,FALSE),"")</f>
        <v>Toyota Avanza / Xenia 03-11 1st Gen</v>
      </c>
      <c r="E2130" s="56">
        <v>1.0</v>
      </c>
      <c r="F2130" s="161">
        <v>650000.0</v>
      </c>
      <c r="G2130" s="162">
        <f t="shared" si="33"/>
        <v>650000</v>
      </c>
      <c r="H2130" s="194"/>
      <c r="I2130" s="161">
        <f t="shared" si="36"/>
        <v>650000</v>
      </c>
      <c r="J2130" s="164">
        <f t="shared" si="30"/>
        <v>650000</v>
      </c>
      <c r="K2130" s="307" t="s">
        <v>8268</v>
      </c>
      <c r="L2130" s="165" t="s">
        <v>8269</v>
      </c>
      <c r="M2130" s="73"/>
      <c r="N2130" s="171"/>
      <c r="O2130" s="169" t="s">
        <v>2958</v>
      </c>
      <c r="P2130" s="168" t="s">
        <v>3112</v>
      </c>
      <c r="Q2130" s="167">
        <v>650000.0</v>
      </c>
      <c r="R2130" s="167"/>
      <c r="S2130" s="173"/>
      <c r="T2130" s="173"/>
      <c r="U2130" s="173"/>
      <c r="V2130" s="168" t="s">
        <v>3883</v>
      </c>
      <c r="W2130" s="169"/>
      <c r="X2130" s="169" t="s">
        <v>8040</v>
      </c>
    </row>
    <row r="2131" ht="15.0" customHeight="1">
      <c r="A2131" s="127">
        <v>45840.0</v>
      </c>
      <c r="B2131" s="181" t="s">
        <v>8267</v>
      </c>
      <c r="C2131" s="56" t="s">
        <v>3083</v>
      </c>
      <c r="D2131" s="73" t="str">
        <f>IFERROR(VLOOKUP(C2131,Stock,3,FALSE),"")</f>
        <v>List Kaca Depan Code 04</v>
      </c>
      <c r="E2131" s="56">
        <v>1.0</v>
      </c>
      <c r="F2131" s="161">
        <v>275000.0</v>
      </c>
      <c r="G2131" s="162">
        <f t="shared" si="33"/>
        <v>275000</v>
      </c>
      <c r="H2131" s="194"/>
      <c r="I2131" s="161">
        <f t="shared" si="36"/>
        <v>275000</v>
      </c>
      <c r="J2131" s="164">
        <f t="shared" si="30"/>
        <v>275000</v>
      </c>
      <c r="K2131" s="307" t="s">
        <v>8268</v>
      </c>
      <c r="L2131" s="165" t="s">
        <v>8269</v>
      </c>
      <c r="M2131" s="73"/>
      <c r="N2131" s="171"/>
      <c r="O2131" s="169" t="s">
        <v>2958</v>
      </c>
      <c r="P2131" s="168" t="s">
        <v>3112</v>
      </c>
      <c r="Q2131" s="167">
        <v>275000.0</v>
      </c>
      <c r="R2131" s="167"/>
      <c r="S2131" s="173"/>
      <c r="T2131" s="173"/>
      <c r="U2131" s="173"/>
      <c r="V2131" s="168" t="s">
        <v>3883</v>
      </c>
      <c r="W2131" s="169"/>
      <c r="X2131" s="169" t="s">
        <v>8040</v>
      </c>
    </row>
    <row r="2132" ht="15.0" customHeight="1">
      <c r="A2132" s="127">
        <v>45840.0</v>
      </c>
      <c r="B2132" s="181" t="s">
        <v>8267</v>
      </c>
      <c r="C2132" s="56" t="s">
        <v>4027</v>
      </c>
      <c r="D2132" s="73" t="str">
        <f>IFERROR(VLOOKUP(C2132,Stock,3,FALSE),"")</f>
        <v>501 Sealant Application</v>
      </c>
      <c r="E2132" s="56">
        <v>3.0</v>
      </c>
      <c r="F2132" s="161">
        <v>95000.0</v>
      </c>
      <c r="G2132" s="162">
        <f t="shared" si="33"/>
        <v>285000</v>
      </c>
      <c r="H2132" s="194"/>
      <c r="I2132" s="161">
        <f t="shared" si="36"/>
        <v>285000</v>
      </c>
      <c r="J2132" s="164">
        <f t="shared" si="30"/>
        <v>285000</v>
      </c>
      <c r="K2132" s="307" t="s">
        <v>8268</v>
      </c>
      <c r="L2132" s="165" t="s">
        <v>8269</v>
      </c>
      <c r="M2132" s="73"/>
      <c r="N2132" s="171"/>
      <c r="O2132" s="169" t="s">
        <v>2958</v>
      </c>
      <c r="P2132" s="168" t="s">
        <v>3112</v>
      </c>
      <c r="Q2132" s="167">
        <v>285000.0</v>
      </c>
      <c r="R2132" s="167"/>
      <c r="S2132" s="173"/>
      <c r="T2132" s="173"/>
      <c r="U2132" s="173"/>
      <c r="V2132" s="168" t="s">
        <v>3883</v>
      </c>
      <c r="W2132" s="169"/>
      <c r="X2132" s="169" t="s">
        <v>8040</v>
      </c>
    </row>
    <row r="2133" ht="15.0" customHeight="1">
      <c r="A2133" s="127">
        <v>45840.0</v>
      </c>
      <c r="B2133" s="181" t="s">
        <v>8267</v>
      </c>
      <c r="C2133" s="304" t="s">
        <v>2954</v>
      </c>
      <c r="D2133" s="73" t="str">
        <f>IFERROR(VLOOKUP(C2133,Stock,3,FALSE),"")</f>
        <v>Transport</v>
      </c>
      <c r="E2133" s="56">
        <v>1.0</v>
      </c>
      <c r="F2133" s="161">
        <v>75000.0</v>
      </c>
      <c r="G2133" s="162">
        <f t="shared" si="33"/>
        <v>75000</v>
      </c>
      <c r="H2133" s="194"/>
      <c r="I2133" s="161">
        <f t="shared" si="36"/>
        <v>75000</v>
      </c>
      <c r="J2133" s="164">
        <f t="shared" si="30"/>
        <v>75000</v>
      </c>
      <c r="K2133" s="307" t="s">
        <v>8268</v>
      </c>
      <c r="L2133" s="165" t="s">
        <v>8269</v>
      </c>
      <c r="M2133" s="73"/>
      <c r="N2133" s="171"/>
      <c r="O2133" s="169" t="s">
        <v>2958</v>
      </c>
      <c r="P2133" s="168" t="s">
        <v>3112</v>
      </c>
      <c r="Q2133" s="167">
        <v>75000.0</v>
      </c>
      <c r="R2133" s="167"/>
      <c r="S2133" s="173"/>
      <c r="T2133" s="173"/>
      <c r="U2133" s="173"/>
      <c r="V2133" s="168" t="s">
        <v>3883</v>
      </c>
      <c r="W2133" s="169"/>
      <c r="X2133" s="169" t="s">
        <v>8040</v>
      </c>
    </row>
    <row r="2134" ht="15.0" customHeight="1">
      <c r="A2134" s="127">
        <v>45840.0</v>
      </c>
      <c r="B2134" s="181" t="s">
        <v>8267</v>
      </c>
      <c r="C2134" s="56" t="s">
        <v>2934</v>
      </c>
      <c r="D2134" s="73" t="str">
        <f>IFERROR(VLOOKUP(C2134,Stock,3,FALSE),"")</f>
        <v>Peti Kayu</v>
      </c>
      <c r="E2134" s="56">
        <v>1.0</v>
      </c>
      <c r="F2134" s="161">
        <v>200000.0</v>
      </c>
      <c r="G2134" s="162">
        <f t="shared" si="33"/>
        <v>200000</v>
      </c>
      <c r="H2134" s="201"/>
      <c r="I2134" s="161">
        <f t="shared" si="36"/>
        <v>200000</v>
      </c>
      <c r="J2134" s="164">
        <f t="shared" si="30"/>
        <v>200000</v>
      </c>
      <c r="K2134" s="307" t="s">
        <v>8268</v>
      </c>
      <c r="L2134" s="165" t="s">
        <v>8269</v>
      </c>
      <c r="M2134" s="73"/>
      <c r="N2134" s="169"/>
      <c r="O2134" s="169" t="s">
        <v>2958</v>
      </c>
      <c r="P2134" s="168" t="s">
        <v>3112</v>
      </c>
      <c r="Q2134" s="167">
        <v>200000.0</v>
      </c>
      <c r="R2134" s="167"/>
      <c r="S2134" s="173"/>
      <c r="T2134" s="173"/>
      <c r="U2134" s="173"/>
      <c r="V2134" s="168" t="s">
        <v>3883</v>
      </c>
      <c r="W2134" s="169"/>
      <c r="X2134" s="169" t="s">
        <v>8040</v>
      </c>
    </row>
    <row r="2135" ht="15.0" customHeight="1">
      <c r="A2135" s="127">
        <v>45840.0</v>
      </c>
      <c r="B2135" s="181" t="s">
        <v>8270</v>
      </c>
      <c r="C2135" s="56" t="s">
        <v>8271</v>
      </c>
      <c r="D2135" s="73" t="str">
        <f>IFERROR(VLOOKUP(C2135,Stock,3,FALSE),"")</f>
        <v>Honda BR-V 16-21 (Honda)</v>
      </c>
      <c r="E2135" s="56">
        <v>1.0</v>
      </c>
      <c r="F2135" s="161">
        <v>2160000.0</v>
      </c>
      <c r="G2135" s="162">
        <f t="shared" si="33"/>
        <v>2160000</v>
      </c>
      <c r="H2135" s="201">
        <v>160000.0</v>
      </c>
      <c r="I2135" s="161">
        <f t="shared" si="36"/>
        <v>2000000</v>
      </c>
      <c r="J2135" s="164">
        <f t="shared" si="30"/>
        <v>2000000</v>
      </c>
      <c r="K2135" s="56" t="s">
        <v>8272</v>
      </c>
      <c r="L2135" s="165" t="s">
        <v>8273</v>
      </c>
      <c r="M2135" s="73"/>
      <c r="N2135" s="169" t="s">
        <v>8274</v>
      </c>
      <c r="O2135" s="169" t="s">
        <v>2958</v>
      </c>
      <c r="P2135" s="168" t="s">
        <v>3112</v>
      </c>
      <c r="Q2135" s="173"/>
      <c r="R2135" s="167">
        <v>2000000.0</v>
      </c>
      <c r="S2135" s="173"/>
      <c r="T2135" s="173"/>
      <c r="U2135" s="173"/>
      <c r="V2135" s="168" t="s">
        <v>3883</v>
      </c>
      <c r="W2135" s="169"/>
      <c r="X2135" s="169" t="s">
        <v>8275</v>
      </c>
    </row>
    <row r="2136" ht="15.0" customHeight="1">
      <c r="A2136" s="423">
        <v>45841.0</v>
      </c>
      <c r="B2136" s="424" t="s">
        <v>8276</v>
      </c>
      <c r="C2136" s="90" t="s">
        <v>2729</v>
      </c>
      <c r="D2136" s="425" t="str">
        <f>IFERROR(VLOOKUP(C2136,Stock,3,FALSE),"")</f>
        <v>Honda HR-V 14-21 5D SUV</v>
      </c>
      <c r="E2136" s="90">
        <v>1.0</v>
      </c>
      <c r="F2136" s="426">
        <v>1548000.0</v>
      </c>
      <c r="G2136" s="427">
        <f t="shared" si="33"/>
        <v>1548000</v>
      </c>
      <c r="H2136" s="428"/>
      <c r="I2136" s="426">
        <f t="shared" si="36"/>
        <v>1548000</v>
      </c>
      <c r="J2136" s="429">
        <f t="shared" si="30"/>
        <v>1548000</v>
      </c>
      <c r="K2136" s="467" t="s">
        <v>8277</v>
      </c>
      <c r="L2136" s="431" t="s">
        <v>8278</v>
      </c>
      <c r="M2136" s="425"/>
      <c r="N2136" s="432"/>
      <c r="O2136" s="433" t="s">
        <v>5956</v>
      </c>
      <c r="P2136" s="434" t="s">
        <v>8117</v>
      </c>
      <c r="Q2136" s="435"/>
      <c r="R2136" s="435"/>
      <c r="S2136" s="247">
        <v>1548000.0</v>
      </c>
      <c r="T2136" s="435"/>
      <c r="U2136" s="435"/>
      <c r="V2136" s="434" t="s">
        <v>3883</v>
      </c>
      <c r="W2136" s="433"/>
      <c r="X2136" s="432"/>
    </row>
    <row r="2137" ht="15.0" customHeight="1">
      <c r="A2137" s="423">
        <v>45841.0</v>
      </c>
      <c r="B2137" s="424" t="s">
        <v>8279</v>
      </c>
      <c r="C2137" s="468" t="s">
        <v>2934</v>
      </c>
      <c r="D2137" s="425" t="str">
        <f>IFERROR(VLOOKUP(C2137,Stock,3,FALSE),"")</f>
        <v>Peti Kayu</v>
      </c>
      <c r="E2137" s="90">
        <v>1.0</v>
      </c>
      <c r="F2137" s="426">
        <v>200000.0</v>
      </c>
      <c r="G2137" s="427">
        <f t="shared" si="33"/>
        <v>200000</v>
      </c>
      <c r="H2137" s="428"/>
      <c r="I2137" s="426">
        <f t="shared" si="36"/>
        <v>200000</v>
      </c>
      <c r="J2137" s="429">
        <f t="shared" si="30"/>
        <v>200000</v>
      </c>
      <c r="K2137" s="467" t="s">
        <v>8277</v>
      </c>
      <c r="L2137" s="431" t="s">
        <v>8278</v>
      </c>
      <c r="M2137" s="425"/>
      <c r="N2137" s="432"/>
      <c r="O2137" s="433" t="s">
        <v>5956</v>
      </c>
      <c r="P2137" s="434" t="s">
        <v>8117</v>
      </c>
      <c r="Q2137" s="435"/>
      <c r="R2137" s="435"/>
      <c r="S2137" s="247">
        <v>200000.0</v>
      </c>
      <c r="T2137" s="435"/>
      <c r="U2137" s="435"/>
      <c r="V2137" s="434" t="s">
        <v>3883</v>
      </c>
      <c r="W2137" s="433"/>
      <c r="X2137" s="432"/>
    </row>
    <row r="2138" ht="15.0" customHeight="1">
      <c r="A2138" s="127">
        <v>45841.0</v>
      </c>
      <c r="B2138" s="181" t="s">
        <v>8280</v>
      </c>
      <c r="C2138" s="56" t="s">
        <v>3366</v>
      </c>
      <c r="D2138" s="73" t="str">
        <f>IFERROR(VLOOKUP(C2138,Stock,3,FALSE),"")</f>
        <v>Toyota Hi-Ace 04-20 Commuter (Clear)</v>
      </c>
      <c r="E2138" s="56">
        <v>1.0</v>
      </c>
      <c r="F2138" s="161">
        <v>2537000.0</v>
      </c>
      <c r="G2138" s="162">
        <f t="shared" si="33"/>
        <v>2537000</v>
      </c>
      <c r="H2138" s="194"/>
      <c r="I2138" s="161">
        <f t="shared" si="36"/>
        <v>2537000</v>
      </c>
      <c r="J2138" s="164">
        <f t="shared" si="30"/>
        <v>2537000</v>
      </c>
      <c r="K2138" s="56" t="s">
        <v>8281</v>
      </c>
      <c r="L2138" s="165" t="s">
        <v>8282</v>
      </c>
      <c r="M2138" s="73"/>
      <c r="N2138" s="171"/>
      <c r="O2138" s="169" t="s">
        <v>2958</v>
      </c>
      <c r="P2138" s="168" t="s">
        <v>3112</v>
      </c>
      <c r="Q2138" s="173"/>
      <c r="R2138" s="167">
        <v>2537000.0</v>
      </c>
      <c r="S2138" s="173"/>
      <c r="T2138" s="173"/>
      <c r="U2138" s="173"/>
      <c r="V2138" s="168" t="s">
        <v>3883</v>
      </c>
      <c r="W2138" s="169"/>
      <c r="X2138" s="169" t="s">
        <v>8283</v>
      </c>
    </row>
    <row r="2139" ht="15.0" customHeight="1">
      <c r="A2139" s="127">
        <v>45841.0</v>
      </c>
      <c r="B2139" s="181" t="s">
        <v>8280</v>
      </c>
      <c r="C2139" s="304" t="s">
        <v>2954</v>
      </c>
      <c r="D2139" s="73" t="str">
        <f>IFERROR(VLOOKUP(C2139,Stock,3,FALSE),"")</f>
        <v>Transport</v>
      </c>
      <c r="E2139" s="56">
        <v>1.0</v>
      </c>
      <c r="F2139" s="161">
        <v>30000.0</v>
      </c>
      <c r="G2139" s="162">
        <f t="shared" si="33"/>
        <v>30000</v>
      </c>
      <c r="H2139" s="194"/>
      <c r="I2139" s="161">
        <f t="shared" si="36"/>
        <v>30000</v>
      </c>
      <c r="J2139" s="164">
        <f t="shared" si="30"/>
        <v>30000</v>
      </c>
      <c r="K2139" s="56" t="s">
        <v>8284</v>
      </c>
      <c r="L2139" s="165" t="s">
        <v>8282</v>
      </c>
      <c r="M2139" s="73"/>
      <c r="N2139" s="171"/>
      <c r="O2139" s="169" t="s">
        <v>2958</v>
      </c>
      <c r="P2139" s="168" t="s">
        <v>3112</v>
      </c>
      <c r="Q2139" s="173"/>
      <c r="R2139" s="167">
        <v>30000.0</v>
      </c>
      <c r="S2139" s="173"/>
      <c r="T2139" s="173"/>
      <c r="U2139" s="173"/>
      <c r="V2139" s="168" t="s">
        <v>3883</v>
      </c>
      <c r="W2139" s="169"/>
      <c r="X2139" s="169" t="s">
        <v>8283</v>
      </c>
    </row>
    <row r="2140" ht="15.0" customHeight="1">
      <c r="A2140" s="127">
        <v>45841.0</v>
      </c>
      <c r="B2140" s="181" t="s">
        <v>8285</v>
      </c>
      <c r="C2140" s="56" t="s">
        <v>5365</v>
      </c>
      <c r="D2140" s="73" t="str">
        <f>IFERROR(VLOOKUP(C2140,Stock,3,FALSE),"")</f>
        <v>Nissan Livina  07-12 L10 (Tanpa Lubang) Nissan</v>
      </c>
      <c r="E2140" s="56">
        <v>1.0</v>
      </c>
      <c r="F2140" s="161">
        <v>1718000.0</v>
      </c>
      <c r="G2140" s="162">
        <f t="shared" si="33"/>
        <v>1718000</v>
      </c>
      <c r="H2140" s="194"/>
      <c r="I2140" s="161">
        <f t="shared" si="36"/>
        <v>1718000</v>
      </c>
      <c r="J2140" s="164">
        <f t="shared" si="30"/>
        <v>1718000</v>
      </c>
      <c r="K2140" s="56" t="s">
        <v>8286</v>
      </c>
      <c r="L2140" s="165" t="s">
        <v>8287</v>
      </c>
      <c r="M2140" s="73"/>
      <c r="N2140" s="171"/>
      <c r="O2140" s="169" t="s">
        <v>2958</v>
      </c>
      <c r="P2140" s="168" t="s">
        <v>4281</v>
      </c>
      <c r="Q2140" s="173"/>
      <c r="R2140" s="167">
        <v>1718000.0</v>
      </c>
      <c r="S2140" s="173"/>
      <c r="T2140" s="173"/>
      <c r="U2140" s="173"/>
      <c r="V2140" s="168" t="s">
        <v>3883</v>
      </c>
      <c r="W2140" s="169"/>
      <c r="X2140" s="169" t="s">
        <v>8288</v>
      </c>
    </row>
    <row r="2141" ht="15.0" customHeight="1">
      <c r="A2141" s="127">
        <v>45841.0</v>
      </c>
      <c r="B2141" s="181" t="s">
        <v>8285</v>
      </c>
      <c r="C2141" s="469" t="s">
        <v>2934</v>
      </c>
      <c r="D2141" s="73" t="str">
        <f>IFERROR(VLOOKUP(C2141,Stock,3,FALSE),"")</f>
        <v>Peti Kayu</v>
      </c>
      <c r="E2141" s="56">
        <v>1.0</v>
      </c>
      <c r="F2141" s="161">
        <v>200000.0</v>
      </c>
      <c r="G2141" s="162">
        <f t="shared" si="33"/>
        <v>200000</v>
      </c>
      <c r="H2141" s="194"/>
      <c r="I2141" s="161">
        <f t="shared" si="36"/>
        <v>200000</v>
      </c>
      <c r="J2141" s="164">
        <f t="shared" si="30"/>
        <v>200000</v>
      </c>
      <c r="K2141" s="56" t="s">
        <v>8286</v>
      </c>
      <c r="L2141" s="165" t="s">
        <v>8287</v>
      </c>
      <c r="M2141" s="73"/>
      <c r="N2141" s="171"/>
      <c r="O2141" s="169" t="s">
        <v>2958</v>
      </c>
      <c r="P2141" s="168" t="s">
        <v>4281</v>
      </c>
      <c r="Q2141" s="173"/>
      <c r="R2141" s="167">
        <v>20000.0</v>
      </c>
      <c r="S2141" s="173"/>
      <c r="T2141" s="173"/>
      <c r="U2141" s="173"/>
      <c r="V2141" s="168" t="s">
        <v>3883</v>
      </c>
      <c r="W2141" s="169"/>
      <c r="X2141" s="169" t="s">
        <v>8288</v>
      </c>
    </row>
    <row r="2142" ht="15.0" customHeight="1">
      <c r="A2142" s="127">
        <v>45842.0</v>
      </c>
      <c r="B2142" s="181" t="s">
        <v>8289</v>
      </c>
      <c r="C2142" s="56" t="s">
        <v>2997</v>
      </c>
      <c r="D2142" s="73" t="str">
        <f>IFERROR(VLOOKUP(C2142,Stock,3,FALSE),"")</f>
        <v>Honda City 02-08 4th Gen Idsi GD8</v>
      </c>
      <c r="E2142" s="56">
        <v>1.0</v>
      </c>
      <c r="F2142" s="161">
        <v>2021000.0</v>
      </c>
      <c r="G2142" s="162">
        <f t="shared" si="33"/>
        <v>2021000</v>
      </c>
      <c r="H2142" s="194"/>
      <c r="I2142" s="161">
        <f t="shared" si="36"/>
        <v>2021000</v>
      </c>
      <c r="J2142" s="164">
        <f t="shared" si="30"/>
        <v>2021000</v>
      </c>
      <c r="K2142" s="56" t="s">
        <v>7691</v>
      </c>
      <c r="L2142" s="165" t="s">
        <v>8290</v>
      </c>
      <c r="M2142" s="73"/>
      <c r="N2142" s="171"/>
      <c r="O2142" s="169" t="s">
        <v>3204</v>
      </c>
      <c r="P2142" s="168" t="s">
        <v>3112</v>
      </c>
      <c r="Q2142" s="173"/>
      <c r="R2142" s="167">
        <v>2021000.0</v>
      </c>
      <c r="S2142" s="173"/>
      <c r="T2142" s="173"/>
      <c r="U2142" s="173"/>
      <c r="V2142" s="168" t="s">
        <v>3883</v>
      </c>
      <c r="W2142" s="169"/>
      <c r="X2142" s="169" t="s">
        <v>8291</v>
      </c>
    </row>
    <row r="2143" ht="15.0" customHeight="1">
      <c r="A2143" s="127">
        <v>45842.0</v>
      </c>
      <c r="B2143" s="181" t="s">
        <v>8292</v>
      </c>
      <c r="C2143" s="56" t="s">
        <v>2703</v>
      </c>
      <c r="D2143" s="73" t="str">
        <f>IFERROR(VLOOKUP(C2143,Stock,3,FALSE),"")</f>
        <v>Toyota Hi-Ace 04-20 Commuter</v>
      </c>
      <c r="E2143" s="56">
        <v>3.0</v>
      </c>
      <c r="F2143" s="161">
        <v>1429000.0</v>
      </c>
      <c r="G2143" s="162">
        <f t="shared" si="33"/>
        <v>4287000</v>
      </c>
      <c r="H2143" s="194"/>
      <c r="I2143" s="161">
        <f t="shared" si="36"/>
        <v>4287000</v>
      </c>
      <c r="J2143" s="164">
        <f t="shared" si="30"/>
        <v>4287000</v>
      </c>
      <c r="K2143" s="56" t="s">
        <v>8293</v>
      </c>
      <c r="L2143" s="165" t="s">
        <v>8294</v>
      </c>
      <c r="M2143" s="73"/>
      <c r="N2143" s="171"/>
      <c r="O2143" s="169" t="s">
        <v>2958</v>
      </c>
      <c r="P2143" s="168" t="s">
        <v>4281</v>
      </c>
      <c r="Q2143" s="173"/>
      <c r="R2143" s="167">
        <v>4287000.0</v>
      </c>
      <c r="S2143" s="173"/>
      <c r="T2143" s="173"/>
      <c r="U2143" s="173"/>
      <c r="V2143" s="168" t="s">
        <v>3883</v>
      </c>
      <c r="W2143" s="169"/>
      <c r="X2143" s="169" t="s">
        <v>8295</v>
      </c>
    </row>
    <row r="2144" ht="15.0" customHeight="1">
      <c r="A2144" s="127">
        <v>45842.0</v>
      </c>
      <c r="B2144" s="181" t="s">
        <v>8292</v>
      </c>
      <c r="C2144" s="56" t="s">
        <v>2934</v>
      </c>
      <c r="D2144" s="73" t="str">
        <f>IFERROR(VLOOKUP(C2144,Stock,3,FALSE),"")</f>
        <v>Peti Kayu</v>
      </c>
      <c r="E2144" s="56">
        <v>1.0</v>
      </c>
      <c r="F2144" s="161">
        <v>200000.0</v>
      </c>
      <c r="G2144" s="162">
        <f t="shared" si="33"/>
        <v>200000</v>
      </c>
      <c r="H2144" s="194"/>
      <c r="I2144" s="161">
        <f t="shared" si="36"/>
        <v>200000</v>
      </c>
      <c r="J2144" s="164">
        <f t="shared" si="30"/>
        <v>200000</v>
      </c>
      <c r="K2144" s="56" t="s">
        <v>8293</v>
      </c>
      <c r="L2144" s="165" t="s">
        <v>8294</v>
      </c>
      <c r="M2144" s="73"/>
      <c r="N2144" s="171"/>
      <c r="O2144" s="169" t="s">
        <v>2958</v>
      </c>
      <c r="P2144" s="168" t="s">
        <v>4281</v>
      </c>
      <c r="Q2144" s="173"/>
      <c r="R2144" s="167">
        <v>200000.0</v>
      </c>
      <c r="S2144" s="173"/>
      <c r="T2144" s="173"/>
      <c r="U2144" s="173"/>
      <c r="V2144" s="168" t="s">
        <v>3883</v>
      </c>
      <c r="W2144" s="169"/>
      <c r="X2144" s="169" t="s">
        <v>8295</v>
      </c>
    </row>
    <row r="2145" ht="15.0" customHeight="1">
      <c r="A2145" s="127">
        <v>45842.0</v>
      </c>
      <c r="B2145" s="181" t="s">
        <v>8292</v>
      </c>
      <c r="C2145" s="304" t="s">
        <v>2954</v>
      </c>
      <c r="D2145" s="73" t="str">
        <f>IFERROR(VLOOKUP(C2145,Stock,3,FALSE),"")</f>
        <v>Transport</v>
      </c>
      <c r="E2145" s="56">
        <v>1.0</v>
      </c>
      <c r="F2145" s="161">
        <v>100000.0</v>
      </c>
      <c r="G2145" s="162">
        <f t="shared" si="33"/>
        <v>100000</v>
      </c>
      <c r="H2145" s="194"/>
      <c r="I2145" s="161">
        <f t="shared" si="36"/>
        <v>100000</v>
      </c>
      <c r="J2145" s="164">
        <f t="shared" si="30"/>
        <v>100000</v>
      </c>
      <c r="K2145" s="56" t="s">
        <v>8293</v>
      </c>
      <c r="L2145" s="165" t="s">
        <v>8294</v>
      </c>
      <c r="M2145" s="73"/>
      <c r="N2145" s="171"/>
      <c r="O2145" s="169" t="s">
        <v>2958</v>
      </c>
      <c r="P2145" s="168" t="s">
        <v>4281</v>
      </c>
      <c r="Q2145" s="173"/>
      <c r="R2145" s="167">
        <v>100000.0</v>
      </c>
      <c r="S2145" s="173"/>
      <c r="T2145" s="173"/>
      <c r="U2145" s="173"/>
      <c r="V2145" s="168" t="s">
        <v>3883</v>
      </c>
      <c r="W2145" s="169"/>
      <c r="X2145" s="169" t="s">
        <v>8295</v>
      </c>
    </row>
    <row r="2146" ht="15.0" customHeight="1">
      <c r="A2146" s="127">
        <v>45842.0</v>
      </c>
      <c r="B2146" s="181" t="s">
        <v>8292</v>
      </c>
      <c r="C2146" s="56" t="s">
        <v>4027</v>
      </c>
      <c r="D2146" s="73" t="str">
        <f>IFERROR(VLOOKUP(C2146,Stock,3,FALSE),"")</f>
        <v>501 Sealant Application</v>
      </c>
      <c r="E2146" s="56">
        <v>2.0</v>
      </c>
      <c r="F2146" s="161">
        <v>95000.0</v>
      </c>
      <c r="G2146" s="162">
        <f t="shared" si="33"/>
        <v>190000</v>
      </c>
      <c r="H2146" s="194"/>
      <c r="I2146" s="161">
        <f t="shared" si="36"/>
        <v>190000</v>
      </c>
      <c r="J2146" s="164">
        <f t="shared" si="30"/>
        <v>190000</v>
      </c>
      <c r="K2146" s="56" t="s">
        <v>8293</v>
      </c>
      <c r="L2146" s="165" t="s">
        <v>8294</v>
      </c>
      <c r="M2146" s="73"/>
      <c r="N2146" s="171"/>
      <c r="O2146" s="169" t="s">
        <v>2958</v>
      </c>
      <c r="P2146" s="168" t="s">
        <v>4281</v>
      </c>
      <c r="Q2146" s="173"/>
      <c r="R2146" s="167">
        <v>190000.0</v>
      </c>
      <c r="S2146" s="173"/>
      <c r="T2146" s="173"/>
      <c r="U2146" s="173"/>
      <c r="V2146" s="168" t="s">
        <v>3883</v>
      </c>
      <c r="W2146" s="169"/>
      <c r="X2146" s="169" t="s">
        <v>8295</v>
      </c>
    </row>
    <row r="2147" ht="15.0" customHeight="1">
      <c r="A2147" s="127">
        <v>45842.0</v>
      </c>
      <c r="B2147" s="181" t="s">
        <v>8296</v>
      </c>
      <c r="C2147" s="56" t="s">
        <v>2703</v>
      </c>
      <c r="D2147" s="73" t="str">
        <f>IFERROR(VLOOKUP(C2147,Stock,3,FALSE),"")</f>
        <v>Toyota Hi-Ace 04-20 Commuter</v>
      </c>
      <c r="E2147" s="56">
        <v>1.0</v>
      </c>
      <c r="F2147" s="161">
        <v>1679000.0</v>
      </c>
      <c r="G2147" s="162">
        <f t="shared" si="33"/>
        <v>1679000</v>
      </c>
      <c r="H2147" s="194"/>
      <c r="I2147" s="161">
        <f t="shared" si="36"/>
        <v>1679000</v>
      </c>
      <c r="J2147" s="164">
        <f t="shared" si="30"/>
        <v>1679000</v>
      </c>
      <c r="K2147" s="131" t="s">
        <v>8297</v>
      </c>
      <c r="L2147" s="165" t="s">
        <v>8298</v>
      </c>
      <c r="M2147" s="73"/>
      <c r="N2147" s="171"/>
      <c r="O2147" s="169" t="s">
        <v>3500</v>
      </c>
      <c r="P2147" s="168" t="s">
        <v>4281</v>
      </c>
      <c r="Q2147" s="167">
        <v>1679000.0</v>
      </c>
      <c r="R2147" s="173"/>
      <c r="S2147" s="173"/>
      <c r="T2147" s="173"/>
      <c r="U2147" s="173"/>
      <c r="V2147" s="168" t="s">
        <v>3883</v>
      </c>
      <c r="W2147" s="169"/>
      <c r="X2147" s="169" t="s">
        <v>8040</v>
      </c>
    </row>
    <row r="2148" ht="15.0" customHeight="1">
      <c r="A2148" s="127">
        <v>45842.0</v>
      </c>
      <c r="B2148" s="181" t="s">
        <v>8299</v>
      </c>
      <c r="C2148" s="56" t="s">
        <v>4005</v>
      </c>
      <c r="D2148" s="73" t="str">
        <f>IFERROR(VLOOKUP(C2148,Stock,3,FALSE),"")</f>
        <v>Toyota Fortuner 15- 2nd Gen</v>
      </c>
      <c r="E2148" s="56">
        <v>1.0</v>
      </c>
      <c r="F2148" s="161">
        <v>1800000.0</v>
      </c>
      <c r="G2148" s="162">
        <f t="shared" si="33"/>
        <v>1800000</v>
      </c>
      <c r="H2148" s="194"/>
      <c r="I2148" s="161">
        <f t="shared" si="36"/>
        <v>1800000</v>
      </c>
      <c r="J2148" s="164">
        <f t="shared" si="30"/>
        <v>1800000</v>
      </c>
      <c r="K2148" s="56" t="s">
        <v>8300</v>
      </c>
      <c r="L2148" s="165" t="s">
        <v>8301</v>
      </c>
      <c r="M2148" s="73"/>
      <c r="N2148" s="169" t="s">
        <v>8302</v>
      </c>
      <c r="O2148" s="169" t="s">
        <v>2958</v>
      </c>
      <c r="P2148" s="168" t="s">
        <v>6113</v>
      </c>
      <c r="Q2148" s="173"/>
      <c r="R2148" s="167">
        <v>1800000.0</v>
      </c>
      <c r="S2148" s="173"/>
      <c r="T2148" s="173"/>
      <c r="U2148" s="173"/>
      <c r="V2148" s="168" t="s">
        <v>3883</v>
      </c>
      <c r="W2148" s="169"/>
      <c r="X2148" s="169" t="s">
        <v>8303</v>
      </c>
    </row>
    <row r="2149" ht="15.0" customHeight="1">
      <c r="A2149" s="127">
        <v>45842.0</v>
      </c>
      <c r="B2149" s="181" t="s">
        <v>8304</v>
      </c>
      <c r="C2149" s="56" t="s">
        <v>3056</v>
      </c>
      <c r="D2149" s="73" t="str">
        <f>IFERROR(VLOOKUP(C2149,Stock,3,FALSE),"")</f>
        <v>Honda BR-V 16-</v>
      </c>
      <c r="E2149" s="56">
        <v>1.0</v>
      </c>
      <c r="F2149" s="161">
        <v>1533000.0</v>
      </c>
      <c r="G2149" s="162">
        <f t="shared" si="33"/>
        <v>1533000</v>
      </c>
      <c r="H2149" s="194"/>
      <c r="I2149" s="161">
        <f t="shared" si="36"/>
        <v>1533000</v>
      </c>
      <c r="J2149" s="164">
        <f t="shared" si="30"/>
        <v>1533000</v>
      </c>
      <c r="K2149" s="56" t="s">
        <v>5049</v>
      </c>
      <c r="L2149" s="165" t="s">
        <v>8305</v>
      </c>
      <c r="M2149" s="73"/>
      <c r="N2149" s="169" t="s">
        <v>8306</v>
      </c>
      <c r="O2149" s="169" t="s">
        <v>2968</v>
      </c>
      <c r="P2149" s="168" t="s">
        <v>6113</v>
      </c>
      <c r="Q2149" s="173"/>
      <c r="R2149" s="167">
        <v>1533000.0</v>
      </c>
      <c r="S2149" s="173"/>
      <c r="T2149" s="173"/>
      <c r="U2149" s="173"/>
      <c r="V2149" s="168" t="s">
        <v>3883</v>
      </c>
      <c r="W2149" s="169"/>
      <c r="X2149" s="169" t="s">
        <v>8307</v>
      </c>
    </row>
    <row r="2150" ht="15.0" customHeight="1">
      <c r="A2150" s="127">
        <v>45842.0</v>
      </c>
      <c r="B2150" s="181" t="s">
        <v>8308</v>
      </c>
      <c r="C2150" s="56" t="s">
        <v>5528</v>
      </c>
      <c r="D2150" s="73" t="str">
        <f>IFERROR(VLOOKUP(C2150,Stock,3,FALSE),"")</f>
        <v>Toyota Innova 15-22 2nd Gen (Toyota)</v>
      </c>
      <c r="E2150" s="56">
        <v>1.0</v>
      </c>
      <c r="F2150" s="161">
        <v>2988000.0</v>
      </c>
      <c r="G2150" s="162">
        <f t="shared" si="33"/>
        <v>2988000</v>
      </c>
      <c r="H2150" s="194"/>
      <c r="I2150" s="161">
        <f t="shared" si="36"/>
        <v>2988000</v>
      </c>
      <c r="J2150" s="164">
        <f t="shared" si="30"/>
        <v>2988000</v>
      </c>
      <c r="K2150" s="56" t="s">
        <v>8309</v>
      </c>
      <c r="L2150" s="165" t="s">
        <v>8310</v>
      </c>
      <c r="M2150" s="73"/>
      <c r="N2150" s="169" t="s">
        <v>8311</v>
      </c>
      <c r="O2150" s="169" t="s">
        <v>3500</v>
      </c>
      <c r="P2150" s="168" t="s">
        <v>3112</v>
      </c>
      <c r="Q2150" s="173"/>
      <c r="R2150" s="167">
        <v>2988000.0</v>
      </c>
      <c r="S2150" s="173"/>
      <c r="T2150" s="173"/>
      <c r="U2150" s="173"/>
      <c r="V2150" s="168" t="s">
        <v>3883</v>
      </c>
      <c r="W2150" s="169"/>
      <c r="X2150" s="169" t="s">
        <v>8312</v>
      </c>
    </row>
    <row r="2151" ht="15.0" customHeight="1">
      <c r="A2151" s="127">
        <v>45843.0</v>
      </c>
      <c r="B2151" s="181" t="s">
        <v>8313</v>
      </c>
      <c r="C2151" s="56" t="s">
        <v>3391</v>
      </c>
      <c r="D2151" s="73" t="str">
        <f>IFERROR(VLOOKUP(C2151,Stock,3,FALSE),"")</f>
        <v>Toyota Fortuner 05-15 1st Gen</v>
      </c>
      <c r="E2151" s="56">
        <v>1.0</v>
      </c>
      <c r="F2151" s="161">
        <v>1192000.0</v>
      </c>
      <c r="G2151" s="162">
        <f t="shared" si="33"/>
        <v>1192000</v>
      </c>
      <c r="H2151" s="194"/>
      <c r="I2151" s="161">
        <f t="shared" si="36"/>
        <v>1192000</v>
      </c>
      <c r="J2151" s="164">
        <f t="shared" si="30"/>
        <v>1192000</v>
      </c>
      <c r="K2151" s="56" t="s">
        <v>8089</v>
      </c>
      <c r="L2151" s="165" t="s">
        <v>8310</v>
      </c>
      <c r="M2151" s="73"/>
      <c r="N2151" s="171"/>
      <c r="O2151" s="169" t="s">
        <v>8091</v>
      </c>
      <c r="P2151" s="168" t="s">
        <v>3112</v>
      </c>
      <c r="Q2151" s="173"/>
      <c r="R2151" s="167">
        <v>1192000.0</v>
      </c>
      <c r="S2151" s="173"/>
      <c r="T2151" s="173"/>
      <c r="U2151" s="173"/>
      <c r="V2151" s="168" t="s">
        <v>3883</v>
      </c>
      <c r="W2151" s="169"/>
      <c r="X2151" s="169" t="s">
        <v>8092</v>
      </c>
    </row>
    <row r="2152" ht="15.0" customHeight="1">
      <c r="A2152" s="127">
        <v>45843.0</v>
      </c>
      <c r="B2152" s="181" t="s">
        <v>8313</v>
      </c>
      <c r="C2152" s="56" t="s">
        <v>2934</v>
      </c>
      <c r="D2152" s="73" t="str">
        <f>IFERROR(VLOOKUP(C2152,Stock,3,FALSE),"")</f>
        <v>Peti Kayu</v>
      </c>
      <c r="E2152" s="56">
        <v>1.0</v>
      </c>
      <c r="F2152" s="161">
        <v>250000.0</v>
      </c>
      <c r="G2152" s="162">
        <f t="shared" si="33"/>
        <v>250000</v>
      </c>
      <c r="H2152" s="194"/>
      <c r="I2152" s="161">
        <f t="shared" si="36"/>
        <v>250000</v>
      </c>
      <c r="J2152" s="164">
        <f t="shared" si="30"/>
        <v>250000</v>
      </c>
      <c r="K2152" s="56" t="s">
        <v>8089</v>
      </c>
      <c r="L2152" s="165" t="s">
        <v>8310</v>
      </c>
      <c r="M2152" s="73"/>
      <c r="N2152" s="171"/>
      <c r="O2152" s="169" t="s">
        <v>8091</v>
      </c>
      <c r="P2152" s="168" t="s">
        <v>3112</v>
      </c>
      <c r="Q2152" s="173"/>
      <c r="R2152" s="167">
        <v>250000.0</v>
      </c>
      <c r="S2152" s="173"/>
      <c r="T2152" s="173"/>
      <c r="U2152" s="173"/>
      <c r="V2152" s="168" t="s">
        <v>3883</v>
      </c>
      <c r="W2152" s="169"/>
      <c r="X2152" s="169" t="s">
        <v>8092</v>
      </c>
    </row>
    <row r="2153" ht="15.0" customHeight="1">
      <c r="A2153" s="127">
        <v>45843.0</v>
      </c>
      <c r="B2153" s="181" t="s">
        <v>8314</v>
      </c>
      <c r="C2153" s="56" t="s">
        <v>3795</v>
      </c>
      <c r="D2153" s="73" t="str">
        <f>IFERROR(VLOOKUP(C2153,Stock,3,FALSE),"")</f>
        <v>Toyota Innova 04-15 1st Gen</v>
      </c>
      <c r="E2153" s="56">
        <v>1.0</v>
      </c>
      <c r="F2153" s="161">
        <v>1299000.0</v>
      </c>
      <c r="G2153" s="162">
        <f t="shared" si="33"/>
        <v>1299000</v>
      </c>
      <c r="H2153" s="194"/>
      <c r="I2153" s="161">
        <f t="shared" si="36"/>
        <v>1299000</v>
      </c>
      <c r="J2153" s="164">
        <f t="shared" si="30"/>
        <v>1299000</v>
      </c>
      <c r="K2153" s="56" t="s">
        <v>8315</v>
      </c>
      <c r="L2153" s="165" t="s">
        <v>8316</v>
      </c>
      <c r="M2153" s="73"/>
      <c r="N2153" s="171"/>
      <c r="O2153" s="169" t="s">
        <v>2958</v>
      </c>
      <c r="P2153" s="168" t="s">
        <v>4281</v>
      </c>
      <c r="Q2153" s="167">
        <v>1299000.0</v>
      </c>
      <c r="R2153" s="173"/>
      <c r="S2153" s="173"/>
      <c r="T2153" s="173"/>
      <c r="U2153" s="173"/>
      <c r="V2153" s="168" t="s">
        <v>3883</v>
      </c>
      <c r="W2153" s="169"/>
      <c r="X2153" s="169" t="s">
        <v>8040</v>
      </c>
    </row>
    <row r="2154" ht="15.0" customHeight="1">
      <c r="A2154" s="127">
        <v>45843.0</v>
      </c>
      <c r="B2154" s="181" t="s">
        <v>8317</v>
      </c>
      <c r="C2154" s="56" t="s">
        <v>2709</v>
      </c>
      <c r="D2154" s="73" t="str">
        <f>IFERROR(VLOOKUP(C2154,Stock,3,FALSE),"")</f>
        <v>Isuzu Panther 91-99 1st Gen Kotak</v>
      </c>
      <c r="E2154" s="56">
        <v>1.0</v>
      </c>
      <c r="F2154" s="161">
        <v>1288000.0</v>
      </c>
      <c r="G2154" s="162">
        <f t="shared" si="33"/>
        <v>1288000</v>
      </c>
      <c r="H2154" s="194"/>
      <c r="I2154" s="161">
        <f t="shared" si="36"/>
        <v>1288000</v>
      </c>
      <c r="J2154" s="164">
        <f t="shared" si="30"/>
        <v>1288000</v>
      </c>
      <c r="K2154" s="56" t="s">
        <v>8318</v>
      </c>
      <c r="L2154" s="165" t="s">
        <v>8319</v>
      </c>
      <c r="M2154" s="73"/>
      <c r="N2154" s="169" t="s">
        <v>8320</v>
      </c>
      <c r="O2154" s="169" t="s">
        <v>2958</v>
      </c>
      <c r="P2154" s="168" t="s">
        <v>3645</v>
      </c>
      <c r="Q2154" s="167">
        <v>788000.0</v>
      </c>
      <c r="R2154" s="167">
        <v>500000.0</v>
      </c>
      <c r="S2154" s="173"/>
      <c r="T2154" s="173"/>
      <c r="U2154" s="173"/>
      <c r="V2154" s="168" t="s">
        <v>3883</v>
      </c>
      <c r="W2154" s="169"/>
      <c r="X2154" s="169" t="s">
        <v>8321</v>
      </c>
    </row>
    <row r="2155" ht="15.0" customHeight="1">
      <c r="A2155" s="127">
        <v>45843.0</v>
      </c>
      <c r="B2155" s="181" t="s">
        <v>8322</v>
      </c>
      <c r="C2155" s="56" t="s">
        <v>8323</v>
      </c>
      <c r="D2155" s="73" t="str">
        <f>IFERROR(VLOOKUP(C2155,Stock,3,FALSE),"")</f>
        <v>Honda CR-V 02-06 2nd Gen</v>
      </c>
      <c r="E2155" s="56">
        <v>1.0</v>
      </c>
      <c r="F2155" s="161">
        <v>2085000.0</v>
      </c>
      <c r="G2155" s="162">
        <f t="shared" si="33"/>
        <v>2085000</v>
      </c>
      <c r="H2155" s="194"/>
      <c r="I2155" s="161">
        <f t="shared" si="36"/>
        <v>2085000</v>
      </c>
      <c r="J2155" s="164">
        <f t="shared" si="30"/>
        <v>2085000</v>
      </c>
      <c r="K2155" s="56" t="s">
        <v>8324</v>
      </c>
      <c r="L2155" s="165" t="s">
        <v>8325</v>
      </c>
      <c r="M2155" s="73"/>
      <c r="N2155" s="171"/>
      <c r="O2155" s="169" t="s">
        <v>2958</v>
      </c>
      <c r="P2155" s="168" t="s">
        <v>3645</v>
      </c>
      <c r="Q2155" s="167">
        <v>100000.0</v>
      </c>
      <c r="R2155" s="167">
        <v>1985000.0</v>
      </c>
      <c r="S2155" s="173"/>
      <c r="T2155" s="173"/>
      <c r="U2155" s="173"/>
      <c r="V2155" s="168" t="s">
        <v>3883</v>
      </c>
      <c r="W2155" s="169"/>
      <c r="X2155" s="169" t="s">
        <v>8326</v>
      </c>
    </row>
    <row r="2156" ht="15.0" customHeight="1">
      <c r="A2156" s="127">
        <v>45844.0</v>
      </c>
      <c r="B2156" s="181" t="s">
        <v>8327</v>
      </c>
      <c r="C2156" s="56" t="s">
        <v>3313</v>
      </c>
      <c r="D2156" s="73" t="str">
        <f>IFERROR(VLOOKUP(C2156,Stock,3,FALSE),"")</f>
        <v>Toyota Avanza / Xenia 21- 4th Gen (Non sensor)</v>
      </c>
      <c r="E2156" s="56">
        <v>1.0</v>
      </c>
      <c r="F2156" s="161">
        <v>1449000.0</v>
      </c>
      <c r="G2156" s="162">
        <f t="shared" si="33"/>
        <v>1449000</v>
      </c>
      <c r="H2156" s="194"/>
      <c r="I2156" s="161">
        <f t="shared" si="36"/>
        <v>1449000</v>
      </c>
      <c r="J2156" s="164">
        <f t="shared" si="30"/>
        <v>1449000</v>
      </c>
      <c r="K2156" s="56" t="s">
        <v>8328</v>
      </c>
      <c r="L2156" s="165" t="s">
        <v>8329</v>
      </c>
      <c r="M2156" s="73"/>
      <c r="N2156" s="169" t="s">
        <v>8330</v>
      </c>
      <c r="O2156" s="169" t="s">
        <v>2958</v>
      </c>
      <c r="P2156" s="168" t="s">
        <v>3112</v>
      </c>
      <c r="Q2156" s="167"/>
      <c r="R2156" s="167">
        <v>1449000.0</v>
      </c>
      <c r="S2156" s="173"/>
      <c r="T2156" s="173"/>
      <c r="U2156" s="173"/>
      <c r="V2156" s="168" t="s">
        <v>4281</v>
      </c>
      <c r="W2156" s="169"/>
      <c r="X2156" s="169" t="s">
        <v>8331</v>
      </c>
    </row>
    <row r="2157" ht="15.0" customHeight="1">
      <c r="A2157" s="127">
        <v>45844.0</v>
      </c>
      <c r="B2157" s="181" t="s">
        <v>8332</v>
      </c>
      <c r="C2157" s="56" t="s">
        <v>3045</v>
      </c>
      <c r="D2157" s="73" t="str">
        <f>IFERROR(VLOOKUP(C2157,Stock,3,FALSE),"")</f>
        <v>Pemasangan Kaca Mobil Depan</v>
      </c>
      <c r="E2157" s="56">
        <v>1.0</v>
      </c>
      <c r="F2157" s="161">
        <v>450000.0</v>
      </c>
      <c r="G2157" s="162">
        <f t="shared" si="33"/>
        <v>450000</v>
      </c>
      <c r="H2157" s="194"/>
      <c r="I2157" s="161">
        <f t="shared" si="36"/>
        <v>450000</v>
      </c>
      <c r="J2157" s="164">
        <f t="shared" si="30"/>
        <v>450000</v>
      </c>
      <c r="K2157" s="56" t="s">
        <v>4916</v>
      </c>
      <c r="L2157" s="165" t="s">
        <v>4917</v>
      </c>
      <c r="M2157" s="73"/>
      <c r="N2157" s="169" t="s">
        <v>4918</v>
      </c>
      <c r="O2157" s="169" t="s">
        <v>2958</v>
      </c>
      <c r="P2157" s="168" t="s">
        <v>3112</v>
      </c>
      <c r="Q2157" s="167">
        <v>450000.0</v>
      </c>
      <c r="R2157" s="167"/>
      <c r="S2157" s="173"/>
      <c r="T2157" s="173"/>
      <c r="U2157" s="173"/>
      <c r="V2157" s="168" t="s">
        <v>4281</v>
      </c>
      <c r="W2157" s="169"/>
      <c r="X2157" s="169" t="s">
        <v>8040</v>
      </c>
    </row>
    <row r="2158" ht="15.0" customHeight="1">
      <c r="A2158" s="127">
        <v>45844.0</v>
      </c>
      <c r="B2158" s="181" t="s">
        <v>8332</v>
      </c>
      <c r="C2158" s="56" t="s">
        <v>2954</v>
      </c>
      <c r="D2158" s="73" t="str">
        <f>IFERROR(VLOOKUP(C2158,Stock,3,FALSE),"")</f>
        <v>Transport</v>
      </c>
      <c r="E2158" s="56">
        <v>1.0</v>
      </c>
      <c r="F2158" s="161">
        <v>50000.0</v>
      </c>
      <c r="G2158" s="162">
        <f t="shared" si="33"/>
        <v>50000</v>
      </c>
      <c r="H2158" s="194"/>
      <c r="I2158" s="161">
        <f t="shared" si="36"/>
        <v>50000</v>
      </c>
      <c r="J2158" s="164">
        <f t="shared" si="30"/>
        <v>50000</v>
      </c>
      <c r="K2158" s="56" t="s">
        <v>4916</v>
      </c>
      <c r="L2158" s="165" t="s">
        <v>4917</v>
      </c>
      <c r="M2158" s="73"/>
      <c r="N2158" s="169" t="s">
        <v>4918</v>
      </c>
      <c r="O2158" s="169" t="s">
        <v>2958</v>
      </c>
      <c r="P2158" s="168" t="s">
        <v>3112</v>
      </c>
      <c r="Q2158" s="167"/>
      <c r="R2158" s="167">
        <v>50000.0</v>
      </c>
      <c r="S2158" s="173"/>
      <c r="T2158" s="173"/>
      <c r="U2158" s="173"/>
      <c r="V2158" s="168" t="s">
        <v>4281</v>
      </c>
      <c r="W2158" s="169"/>
      <c r="X2158" s="169" t="s">
        <v>8333</v>
      </c>
    </row>
    <row r="2159" ht="15.0" customHeight="1">
      <c r="A2159" s="127">
        <v>45844.0</v>
      </c>
      <c r="B2159" s="181" t="s">
        <v>8334</v>
      </c>
      <c r="C2159" s="56" t="s">
        <v>2936</v>
      </c>
      <c r="D2159" s="73" t="str">
        <f>IFERROR(VLOOKUP(C2159,Stock,3,FALSE),"")</f>
        <v>Toyota Calya / Sigra 16-</v>
      </c>
      <c r="E2159" s="56">
        <v>1.0</v>
      </c>
      <c r="F2159" s="161">
        <v>849000.0</v>
      </c>
      <c r="G2159" s="162">
        <f t="shared" si="33"/>
        <v>849000</v>
      </c>
      <c r="H2159" s="194"/>
      <c r="I2159" s="161">
        <f t="shared" si="36"/>
        <v>849000</v>
      </c>
      <c r="J2159" s="164">
        <f t="shared" si="30"/>
        <v>849000</v>
      </c>
      <c r="K2159" s="56" t="s">
        <v>8335</v>
      </c>
      <c r="L2159" s="165" t="s">
        <v>8336</v>
      </c>
      <c r="M2159" s="73"/>
      <c r="N2159" s="169" t="s">
        <v>8337</v>
      </c>
      <c r="O2159" s="169" t="s">
        <v>2958</v>
      </c>
      <c r="P2159" s="168" t="s">
        <v>3112</v>
      </c>
      <c r="Q2159" s="167">
        <v>850000.0</v>
      </c>
      <c r="R2159" s="173"/>
      <c r="S2159" s="173"/>
      <c r="T2159" s="173"/>
      <c r="U2159" s="173"/>
      <c r="V2159" s="168" t="s">
        <v>4281</v>
      </c>
      <c r="W2159" s="169"/>
      <c r="X2159" s="169" t="s">
        <v>8040</v>
      </c>
    </row>
    <row r="2160" ht="15.0" customHeight="1">
      <c r="A2160" s="127">
        <v>45844.0</v>
      </c>
      <c r="B2160" s="181" t="s">
        <v>8338</v>
      </c>
      <c r="C2160" s="56" t="s">
        <v>2965</v>
      </c>
      <c r="D2160" s="73" t="str">
        <f>IFERROR(VLOOKUP(C2160,Stock,3,FALSE),"")</f>
        <v>Suzuki Ertiga 12-18 1st Gen MPV</v>
      </c>
      <c r="E2160" s="56">
        <v>1.0</v>
      </c>
      <c r="F2160" s="161">
        <v>831000.0</v>
      </c>
      <c r="G2160" s="162">
        <f t="shared" si="33"/>
        <v>831000</v>
      </c>
      <c r="H2160" s="194"/>
      <c r="I2160" s="161">
        <f t="shared" si="36"/>
        <v>831000</v>
      </c>
      <c r="J2160" s="164">
        <f t="shared" si="30"/>
        <v>831000</v>
      </c>
      <c r="K2160" s="56" t="s">
        <v>8339</v>
      </c>
      <c r="L2160" s="165" t="s">
        <v>8340</v>
      </c>
      <c r="M2160" s="73"/>
      <c r="N2160" s="169" t="s">
        <v>8341</v>
      </c>
      <c r="O2160" s="171"/>
      <c r="P2160" s="168" t="s">
        <v>3112</v>
      </c>
      <c r="Q2160" s="173"/>
      <c r="R2160" s="167">
        <v>831000.0</v>
      </c>
      <c r="S2160" s="173"/>
      <c r="T2160" s="173"/>
      <c r="U2160" s="173"/>
      <c r="V2160" s="168" t="s">
        <v>4281</v>
      </c>
      <c r="W2160" s="169"/>
      <c r="X2160" s="169" t="s">
        <v>8342</v>
      </c>
    </row>
    <row r="2161" ht="15.0" customHeight="1">
      <c r="A2161" s="127">
        <v>45844.0</v>
      </c>
      <c r="B2161" s="181" t="s">
        <v>8343</v>
      </c>
      <c r="C2161" s="56" t="s">
        <v>3745</v>
      </c>
      <c r="D2161" s="73" t="str">
        <f>IFERROR(VLOOKUP(C2161,Stock,3,FALSE),"")</f>
        <v>Honda Brio 10- / Mobilio 11-</v>
      </c>
      <c r="E2161" s="56">
        <v>1.0</v>
      </c>
      <c r="F2161" s="161">
        <v>1850000.0</v>
      </c>
      <c r="G2161" s="162">
        <f t="shared" si="33"/>
        <v>1850000</v>
      </c>
      <c r="H2161" s="194"/>
      <c r="I2161" s="161">
        <f t="shared" si="36"/>
        <v>1850000</v>
      </c>
      <c r="J2161" s="164">
        <f t="shared" si="30"/>
        <v>1850000</v>
      </c>
      <c r="K2161" s="56" t="s">
        <v>8344</v>
      </c>
      <c r="L2161" s="165" t="s">
        <v>8345</v>
      </c>
      <c r="M2161" s="73"/>
      <c r="N2161" s="169" t="s">
        <v>8346</v>
      </c>
      <c r="O2161" s="169" t="s">
        <v>3213</v>
      </c>
      <c r="P2161" s="168" t="s">
        <v>3112</v>
      </c>
      <c r="Q2161" s="173"/>
      <c r="R2161" s="167">
        <v>1850000.0</v>
      </c>
      <c r="S2161" s="173"/>
      <c r="T2161" s="173"/>
      <c r="U2161" s="173"/>
      <c r="V2161" s="168" t="s">
        <v>4281</v>
      </c>
      <c r="W2161" s="169"/>
      <c r="X2161" s="169" t="s">
        <v>8347</v>
      </c>
    </row>
    <row r="2162" ht="15.0" customHeight="1">
      <c r="A2162" s="127">
        <v>45844.0</v>
      </c>
      <c r="B2162" s="181" t="s">
        <v>8348</v>
      </c>
      <c r="C2162" s="56" t="s">
        <v>3176</v>
      </c>
      <c r="D2162" s="73" t="str">
        <f>IFERROR(VLOOKUP(C2162,Stock,3,FALSE),"")</f>
        <v>Toyota Avanza / Xenia 11-15 2nd Gen / 15-21 3rd Gen</v>
      </c>
      <c r="E2162" s="56">
        <v>1.0</v>
      </c>
      <c r="F2162" s="161">
        <v>839000.0</v>
      </c>
      <c r="G2162" s="162">
        <f t="shared" si="33"/>
        <v>839000</v>
      </c>
      <c r="H2162" s="194"/>
      <c r="I2162" s="161">
        <f t="shared" si="36"/>
        <v>839000</v>
      </c>
      <c r="J2162" s="164">
        <f t="shared" si="30"/>
        <v>839000</v>
      </c>
      <c r="K2162" s="56" t="s">
        <v>4916</v>
      </c>
      <c r="L2162" s="165" t="s">
        <v>8349</v>
      </c>
      <c r="M2162" s="73"/>
      <c r="N2162" s="169" t="s">
        <v>8350</v>
      </c>
      <c r="O2162" s="169" t="s">
        <v>2958</v>
      </c>
      <c r="P2162" s="168" t="s">
        <v>3112</v>
      </c>
      <c r="Q2162" s="173"/>
      <c r="R2162" s="167">
        <v>839000.0</v>
      </c>
      <c r="S2162" s="173"/>
      <c r="T2162" s="173"/>
      <c r="U2162" s="173"/>
      <c r="V2162" s="168" t="s">
        <v>3883</v>
      </c>
      <c r="W2162" s="169"/>
      <c r="X2162" s="169" t="s">
        <v>8351</v>
      </c>
    </row>
    <row r="2163" ht="15.0" customHeight="1">
      <c r="A2163" s="127">
        <v>45845.0</v>
      </c>
      <c r="B2163" s="181" t="s">
        <v>8352</v>
      </c>
      <c r="C2163" s="56" t="s">
        <v>4365</v>
      </c>
      <c r="D2163" s="73" t="str">
        <f>IFERROR(VLOOKUP(C2163,Stock,3,FALSE),"")</f>
        <v>Wuling Almaz (Orisinil)</v>
      </c>
      <c r="E2163" s="56">
        <v>1.0</v>
      </c>
      <c r="F2163" s="161">
        <v>3696000.0</v>
      </c>
      <c r="G2163" s="162">
        <f t="shared" si="33"/>
        <v>3696000</v>
      </c>
      <c r="H2163" s="201">
        <v>100000.0</v>
      </c>
      <c r="I2163" s="161">
        <f t="shared" si="36"/>
        <v>3596000</v>
      </c>
      <c r="J2163" s="164">
        <f t="shared" si="30"/>
        <v>3596000</v>
      </c>
      <c r="K2163" s="56" t="s">
        <v>8353</v>
      </c>
      <c r="L2163" s="165" t="s">
        <v>8354</v>
      </c>
      <c r="M2163" s="73"/>
      <c r="N2163" s="131"/>
      <c r="O2163" s="169" t="s">
        <v>2958</v>
      </c>
      <c r="P2163" s="168" t="s">
        <v>3112</v>
      </c>
      <c r="Q2163" s="173"/>
      <c r="R2163" s="167">
        <v>3596000.0</v>
      </c>
      <c r="S2163" s="173"/>
      <c r="T2163" s="173"/>
      <c r="U2163" s="173"/>
      <c r="V2163" s="168" t="s">
        <v>3883</v>
      </c>
      <c r="W2163" s="169"/>
      <c r="X2163" s="169" t="s">
        <v>8355</v>
      </c>
    </row>
    <row r="2164" ht="15.0" customHeight="1">
      <c r="A2164" s="127">
        <v>45845.0</v>
      </c>
      <c r="B2164" s="181" t="s">
        <v>8352</v>
      </c>
      <c r="C2164" s="56" t="s">
        <v>2954</v>
      </c>
      <c r="D2164" s="73" t="str">
        <f>IFERROR(VLOOKUP(C2164,Stock,3,FALSE),"")</f>
        <v>Transport</v>
      </c>
      <c r="E2164" s="56">
        <v>1.0</v>
      </c>
      <c r="F2164" s="161">
        <v>100000.0</v>
      </c>
      <c r="G2164" s="162">
        <f t="shared" si="33"/>
        <v>100000</v>
      </c>
      <c r="H2164" s="194"/>
      <c r="I2164" s="161">
        <f t="shared" si="36"/>
        <v>100000</v>
      </c>
      <c r="J2164" s="164">
        <f t="shared" si="30"/>
        <v>100000</v>
      </c>
      <c r="K2164" s="56" t="s">
        <v>8353</v>
      </c>
      <c r="L2164" s="165" t="s">
        <v>8354</v>
      </c>
      <c r="M2164" s="73"/>
      <c r="N2164" s="131"/>
      <c r="O2164" s="169" t="s">
        <v>2958</v>
      </c>
      <c r="P2164" s="168" t="s">
        <v>3112</v>
      </c>
      <c r="Q2164" s="173"/>
      <c r="R2164" s="167">
        <v>100000.0</v>
      </c>
      <c r="S2164" s="173"/>
      <c r="T2164" s="173"/>
      <c r="U2164" s="173"/>
      <c r="V2164" s="168" t="s">
        <v>3883</v>
      </c>
      <c r="W2164" s="169"/>
      <c r="X2164" s="169" t="s">
        <v>8355</v>
      </c>
    </row>
    <row r="2165" ht="15.0" customHeight="1">
      <c r="A2165" s="183">
        <v>45845.0</v>
      </c>
      <c r="B2165" s="185" t="s">
        <v>8356</v>
      </c>
      <c r="C2165" s="184" t="s">
        <v>5528</v>
      </c>
      <c r="D2165" s="186" t="str">
        <f>IFERROR(VLOOKUP(C2165,Stock,3,FALSE),"")</f>
        <v>Toyota Innova 15-22 2nd Gen (Toyota)</v>
      </c>
      <c r="E2165" s="184">
        <v>1.0</v>
      </c>
      <c r="F2165" s="187">
        <v>1674000.0</v>
      </c>
      <c r="G2165" s="188">
        <f t="shared" si="33"/>
        <v>1674000</v>
      </c>
      <c r="H2165" s="210"/>
      <c r="I2165" s="187">
        <f t="shared" si="36"/>
        <v>1674000</v>
      </c>
      <c r="J2165" s="189">
        <f t="shared" si="30"/>
        <v>1674000</v>
      </c>
      <c r="K2165" s="184" t="s">
        <v>8357</v>
      </c>
      <c r="L2165" s="184" t="s">
        <v>8358</v>
      </c>
      <c r="M2165" s="186"/>
      <c r="N2165" s="212"/>
      <c r="O2165" s="212"/>
      <c r="P2165" s="214"/>
      <c r="Q2165" s="213"/>
      <c r="R2165" s="213"/>
      <c r="S2165" s="213"/>
      <c r="T2165" s="213"/>
      <c r="U2165" s="213"/>
      <c r="V2165" s="192" t="s">
        <v>3883</v>
      </c>
      <c r="W2165" s="193"/>
      <c r="X2165" s="171"/>
    </row>
    <row r="2166" ht="15.0" customHeight="1">
      <c r="A2166" s="183">
        <v>45845.0</v>
      </c>
      <c r="B2166" s="185" t="s">
        <v>8359</v>
      </c>
      <c r="C2166" s="184" t="s">
        <v>5528</v>
      </c>
      <c r="D2166" s="186" t="str">
        <f>IFERROR(VLOOKUP(C2166,Stock,3,FALSE),"")</f>
        <v>Toyota Innova 15-22 2nd Gen (Toyota)</v>
      </c>
      <c r="E2166" s="184">
        <v>1.0</v>
      </c>
      <c r="F2166" s="187">
        <v>1674000.0</v>
      </c>
      <c r="G2166" s="188">
        <f t="shared" si="33"/>
        <v>1674000</v>
      </c>
      <c r="H2166" s="210"/>
      <c r="I2166" s="187">
        <f t="shared" si="36"/>
        <v>1674000</v>
      </c>
      <c r="J2166" s="189">
        <f t="shared" si="30"/>
        <v>1674000</v>
      </c>
      <c r="K2166" s="184" t="s">
        <v>8360</v>
      </c>
      <c r="L2166" s="184" t="s">
        <v>8358</v>
      </c>
      <c r="M2166" s="186"/>
      <c r="N2166" s="212"/>
      <c r="O2166" s="212"/>
      <c r="P2166" s="214"/>
      <c r="Q2166" s="213"/>
      <c r="R2166" s="213"/>
      <c r="S2166" s="213"/>
      <c r="T2166" s="213"/>
      <c r="U2166" s="213"/>
      <c r="V2166" s="192" t="s">
        <v>3883</v>
      </c>
      <c r="W2166" s="193"/>
      <c r="X2166" s="171"/>
    </row>
    <row r="2167" ht="15.0" customHeight="1">
      <c r="A2167" s="127">
        <v>45845.0</v>
      </c>
      <c r="B2167" s="181" t="s">
        <v>8361</v>
      </c>
      <c r="C2167" s="56" t="s">
        <v>2814</v>
      </c>
      <c r="D2167" s="73" t="str">
        <f>IFERROR(VLOOKUP(C2167,Stock,3,FALSE),"")</f>
        <v>Toyota Kijang 02-04 Kapsul Lem Efi (7K) Long</v>
      </c>
      <c r="E2167" s="56">
        <v>1.0</v>
      </c>
      <c r="F2167" s="161">
        <v>652000.0</v>
      </c>
      <c r="G2167" s="162">
        <f t="shared" si="33"/>
        <v>652000</v>
      </c>
      <c r="H2167" s="194"/>
      <c r="I2167" s="161">
        <f t="shared" si="36"/>
        <v>652000</v>
      </c>
      <c r="J2167" s="164">
        <f t="shared" si="30"/>
        <v>652000</v>
      </c>
      <c r="K2167" s="56" t="s">
        <v>8362</v>
      </c>
      <c r="L2167" s="165" t="s">
        <v>8363</v>
      </c>
      <c r="M2167" s="73"/>
      <c r="N2167" s="171"/>
      <c r="O2167" s="169" t="s">
        <v>3184</v>
      </c>
      <c r="P2167" s="168" t="s">
        <v>4778</v>
      </c>
      <c r="Q2167" s="167">
        <v>652000.0</v>
      </c>
      <c r="R2167" s="173"/>
      <c r="S2167" s="173"/>
      <c r="T2167" s="173"/>
      <c r="U2167" s="173"/>
      <c r="V2167" s="168" t="s">
        <v>3883</v>
      </c>
      <c r="W2167" s="169"/>
      <c r="X2167" s="169" t="s">
        <v>8040</v>
      </c>
    </row>
    <row r="2168" ht="15.0" customHeight="1">
      <c r="A2168" s="127">
        <v>45845.0</v>
      </c>
      <c r="B2168" s="181" t="s">
        <v>8364</v>
      </c>
      <c r="C2168" s="56" t="s">
        <v>2824</v>
      </c>
      <c r="D2168" s="73" t="str">
        <f>IFERROR(VLOOKUP(C2168,Stock,3,FALSE),"")</f>
        <v>Nissan UD Quester</v>
      </c>
      <c r="E2168" s="56">
        <v>1.0</v>
      </c>
      <c r="F2168" s="161">
        <v>815000.0</v>
      </c>
      <c r="G2168" s="162">
        <f t="shared" si="33"/>
        <v>815000</v>
      </c>
      <c r="H2168" s="194"/>
      <c r="I2168" s="161">
        <f t="shared" si="36"/>
        <v>815000</v>
      </c>
      <c r="J2168" s="164">
        <f t="shared" si="30"/>
        <v>815000</v>
      </c>
      <c r="K2168" s="56" t="s">
        <v>2939</v>
      </c>
      <c r="L2168" s="165" t="s">
        <v>8365</v>
      </c>
      <c r="M2168" s="73"/>
      <c r="N2168" s="171"/>
      <c r="O2168" s="169" t="s">
        <v>2958</v>
      </c>
      <c r="P2168" s="168" t="s">
        <v>4778</v>
      </c>
      <c r="Q2168" s="167">
        <v>815000.0</v>
      </c>
      <c r="R2168" s="173"/>
      <c r="S2168" s="173"/>
      <c r="T2168" s="173"/>
      <c r="U2168" s="173"/>
      <c r="V2168" s="168" t="s">
        <v>3883</v>
      </c>
      <c r="W2168" s="169"/>
      <c r="X2168" s="169" t="s">
        <v>8040</v>
      </c>
    </row>
    <row r="2169" ht="15.0" customHeight="1">
      <c r="A2169" s="127">
        <v>45846.0</v>
      </c>
      <c r="B2169" s="181" t="s">
        <v>8366</v>
      </c>
      <c r="C2169" s="56" t="s">
        <v>4988</v>
      </c>
      <c r="D2169" s="73" t="str">
        <f>IFERROR(VLOOKUP(C2169,Stock,3,FALSE),"")</f>
        <v>Toyota Innova 15- 2nd Gen</v>
      </c>
      <c r="E2169" s="56">
        <v>1.0</v>
      </c>
      <c r="F2169" s="161">
        <v>1700000.0</v>
      </c>
      <c r="G2169" s="162">
        <f t="shared" si="33"/>
        <v>1700000</v>
      </c>
      <c r="H2169" s="194"/>
      <c r="I2169" s="161">
        <f t="shared" si="36"/>
        <v>1700000</v>
      </c>
      <c r="J2169" s="164">
        <f t="shared" si="30"/>
        <v>1700000</v>
      </c>
      <c r="K2169" s="56" t="s">
        <v>8367</v>
      </c>
      <c r="L2169" s="165" t="s">
        <v>8368</v>
      </c>
      <c r="M2169" s="73"/>
      <c r="N2169" s="171"/>
      <c r="O2169" s="169" t="s">
        <v>2958</v>
      </c>
      <c r="P2169" s="168" t="s">
        <v>3112</v>
      </c>
      <c r="Q2169" s="173"/>
      <c r="R2169" s="167">
        <v>1700000.0</v>
      </c>
      <c r="S2169" s="173"/>
      <c r="T2169" s="173"/>
      <c r="U2169" s="173"/>
      <c r="V2169" s="168" t="s">
        <v>3883</v>
      </c>
      <c r="W2169" s="169"/>
      <c r="X2169" s="169" t="s">
        <v>8369</v>
      </c>
    </row>
    <row r="2170" ht="15.0" customHeight="1">
      <c r="A2170" s="127">
        <v>45846.0</v>
      </c>
      <c r="B2170" s="181" t="s">
        <v>8370</v>
      </c>
      <c r="C2170" s="56" t="s">
        <v>3045</v>
      </c>
      <c r="D2170" s="73" t="str">
        <f>IFERROR(VLOOKUP(C2170,Stock,3,FALSE),"")</f>
        <v>Pemasangan Kaca Mobil Depan</v>
      </c>
      <c r="E2170" s="56">
        <v>1.0</v>
      </c>
      <c r="F2170" s="161">
        <v>600000.0</v>
      </c>
      <c r="G2170" s="162">
        <f t="shared" si="33"/>
        <v>600000</v>
      </c>
      <c r="H2170" s="194"/>
      <c r="I2170" s="161">
        <f t="shared" si="36"/>
        <v>600000</v>
      </c>
      <c r="J2170" s="164">
        <f t="shared" si="30"/>
        <v>600000</v>
      </c>
      <c r="K2170" s="56" t="s">
        <v>8371</v>
      </c>
      <c r="L2170" s="165" t="s">
        <v>8372</v>
      </c>
      <c r="M2170" s="73"/>
      <c r="N2170" s="171"/>
      <c r="O2170" s="169" t="s">
        <v>2958</v>
      </c>
      <c r="P2170" s="168" t="s">
        <v>3112</v>
      </c>
      <c r="Q2170" s="173"/>
      <c r="R2170" s="167">
        <v>600000.0</v>
      </c>
      <c r="S2170" s="173"/>
      <c r="T2170" s="173"/>
      <c r="U2170" s="173"/>
      <c r="V2170" s="168" t="s">
        <v>3883</v>
      </c>
      <c r="W2170" s="169"/>
      <c r="X2170" s="169" t="s">
        <v>8373</v>
      </c>
    </row>
    <row r="2171" ht="15.0" customHeight="1">
      <c r="A2171" s="127">
        <v>45846.0</v>
      </c>
      <c r="B2171" s="181" t="s">
        <v>8370</v>
      </c>
      <c r="C2171" s="56" t="s">
        <v>3826</v>
      </c>
      <c r="D2171" s="73" t="str">
        <f>IFERROR(VLOOKUP(C2171,Stock,3,FALSE),"")</f>
        <v>List Kaca Depan Code 11</v>
      </c>
      <c r="E2171" s="56">
        <v>1.0</v>
      </c>
      <c r="F2171" s="161">
        <v>275000.0</v>
      </c>
      <c r="G2171" s="162">
        <f t="shared" si="33"/>
        <v>275000</v>
      </c>
      <c r="H2171" s="194"/>
      <c r="I2171" s="161">
        <f t="shared" si="36"/>
        <v>275000</v>
      </c>
      <c r="J2171" s="164">
        <f t="shared" si="30"/>
        <v>275000</v>
      </c>
      <c r="K2171" s="56" t="s">
        <v>8371</v>
      </c>
      <c r="L2171" s="165" t="s">
        <v>8372</v>
      </c>
      <c r="M2171" s="73"/>
      <c r="N2171" s="171"/>
      <c r="O2171" s="169" t="s">
        <v>2958</v>
      </c>
      <c r="P2171" s="168" t="s">
        <v>3112</v>
      </c>
      <c r="Q2171" s="173"/>
      <c r="R2171" s="167">
        <v>275000.0</v>
      </c>
      <c r="S2171" s="173"/>
      <c r="T2171" s="173"/>
      <c r="U2171" s="173"/>
      <c r="V2171" s="168" t="s">
        <v>3883</v>
      </c>
      <c r="W2171" s="169"/>
      <c r="X2171" s="169" t="s">
        <v>8373</v>
      </c>
    </row>
    <row r="2172" ht="15.0" customHeight="1">
      <c r="A2172" s="127">
        <v>45846.0</v>
      </c>
      <c r="B2172" s="181" t="s">
        <v>8374</v>
      </c>
      <c r="C2172" s="56" t="s">
        <v>2674</v>
      </c>
      <c r="D2172" s="73" t="str">
        <f>IFERROR(VLOOKUP(C2172,Stock,3,FALSE),"")</f>
        <v>Nissan Evalia 10- X11M</v>
      </c>
      <c r="E2172" s="56">
        <v>1.0</v>
      </c>
      <c r="F2172" s="161">
        <v>1548000.0</v>
      </c>
      <c r="G2172" s="162">
        <f t="shared" si="33"/>
        <v>1548000</v>
      </c>
      <c r="H2172" s="194"/>
      <c r="I2172" s="161">
        <f t="shared" si="36"/>
        <v>1548000</v>
      </c>
      <c r="J2172" s="164">
        <f t="shared" si="30"/>
        <v>1548000</v>
      </c>
      <c r="K2172" s="56" t="s">
        <v>8375</v>
      </c>
      <c r="L2172" s="165" t="s">
        <v>8376</v>
      </c>
      <c r="M2172" s="73"/>
      <c r="N2172" s="171"/>
      <c r="O2172" s="169" t="s">
        <v>2958</v>
      </c>
      <c r="P2172" s="168" t="s">
        <v>3112</v>
      </c>
      <c r="Q2172" s="173"/>
      <c r="R2172" s="167">
        <v>1548000.0</v>
      </c>
      <c r="S2172" s="173"/>
      <c r="T2172" s="173"/>
      <c r="U2172" s="173"/>
      <c r="V2172" s="168" t="s">
        <v>3883</v>
      </c>
      <c r="W2172" s="169"/>
      <c r="X2172" s="169" t="s">
        <v>8377</v>
      </c>
    </row>
    <row r="2173" ht="15.0" customHeight="1">
      <c r="A2173" s="127">
        <v>45846.0</v>
      </c>
      <c r="B2173" s="181" t="s">
        <v>8378</v>
      </c>
      <c r="C2173" s="56" t="s">
        <v>4782</v>
      </c>
      <c r="D2173" s="73" t="str">
        <f>IFERROR(VLOOKUP(C2173,Stock,3,FALSE),"")</f>
        <v>Mitsubishi Pajero 08-16</v>
      </c>
      <c r="E2173" s="56">
        <v>1.0</v>
      </c>
      <c r="F2173" s="161">
        <v>1455000.0</v>
      </c>
      <c r="G2173" s="162">
        <f t="shared" si="33"/>
        <v>1455000</v>
      </c>
      <c r="H2173" s="194"/>
      <c r="I2173" s="161">
        <f t="shared" si="36"/>
        <v>1455000</v>
      </c>
      <c r="J2173" s="164">
        <f t="shared" si="30"/>
        <v>1455000</v>
      </c>
      <c r="K2173" s="56" t="s">
        <v>8379</v>
      </c>
      <c r="L2173" s="165" t="s">
        <v>8380</v>
      </c>
      <c r="M2173" s="73"/>
      <c r="N2173" s="171"/>
      <c r="O2173" s="169" t="s">
        <v>2958</v>
      </c>
      <c r="P2173" s="168" t="s">
        <v>3112</v>
      </c>
      <c r="Q2173" s="167">
        <v>1455000.0</v>
      </c>
      <c r="R2173" s="173"/>
      <c r="S2173" s="173"/>
      <c r="T2173" s="173"/>
      <c r="U2173" s="173"/>
      <c r="V2173" s="168" t="s">
        <v>3883</v>
      </c>
      <c r="W2173" s="169"/>
      <c r="X2173" s="169" t="s">
        <v>8040</v>
      </c>
    </row>
    <row r="2174" ht="15.0" customHeight="1">
      <c r="A2174" s="127">
        <v>45846.0</v>
      </c>
      <c r="B2174" s="181" t="s">
        <v>8381</v>
      </c>
      <c r="C2174" s="56" t="s">
        <v>3368</v>
      </c>
      <c r="D2174" s="73" t="str">
        <f>IFERROR(VLOOKUP(C2174,Stock,3,FALSE),"")</f>
        <v>Toyota Hi-Ace 04-20 Commuter</v>
      </c>
      <c r="E2174" s="56">
        <v>1.0</v>
      </c>
      <c r="F2174" s="161">
        <v>487000.0</v>
      </c>
      <c r="G2174" s="162">
        <f t="shared" si="33"/>
        <v>487000</v>
      </c>
      <c r="H2174" s="194"/>
      <c r="I2174" s="161">
        <f t="shared" si="36"/>
        <v>487000</v>
      </c>
      <c r="J2174" s="164">
        <f t="shared" si="30"/>
        <v>487000</v>
      </c>
      <c r="K2174" s="56" t="s">
        <v>5011</v>
      </c>
      <c r="L2174" s="165" t="s">
        <v>3644</v>
      </c>
      <c r="M2174" s="73"/>
      <c r="N2174" s="171"/>
      <c r="O2174" s="169" t="s">
        <v>2958</v>
      </c>
      <c r="P2174" s="168" t="s">
        <v>3112</v>
      </c>
      <c r="Q2174" s="173"/>
      <c r="R2174" s="167">
        <v>487000.0</v>
      </c>
      <c r="S2174" s="173"/>
      <c r="T2174" s="173"/>
      <c r="U2174" s="173"/>
      <c r="V2174" s="168" t="s">
        <v>3883</v>
      </c>
      <c r="W2174" s="169"/>
      <c r="X2174" s="169" t="s">
        <v>8161</v>
      </c>
    </row>
    <row r="2175" ht="15.0" customHeight="1">
      <c r="A2175" s="127">
        <v>45847.0</v>
      </c>
      <c r="B2175" s="181" t="s">
        <v>8382</v>
      </c>
      <c r="C2175" s="56" t="s">
        <v>2661</v>
      </c>
      <c r="D2175" s="73" t="str">
        <f>IFERROR(VLOOKUP(C2175,Stock,3,FALSE),"")</f>
        <v>Isuzu Panther 00- 2nd Gen (Isuzu)</v>
      </c>
      <c r="E2175" s="56">
        <v>1.0</v>
      </c>
      <c r="F2175" s="161">
        <v>1599000.0</v>
      </c>
      <c r="G2175" s="162">
        <f t="shared" si="33"/>
        <v>1599000</v>
      </c>
      <c r="H2175" s="201">
        <v>100000.0</v>
      </c>
      <c r="I2175" s="161">
        <f t="shared" si="36"/>
        <v>1499000</v>
      </c>
      <c r="J2175" s="164">
        <f t="shared" si="30"/>
        <v>1499000</v>
      </c>
      <c r="K2175" s="56" t="s">
        <v>8383</v>
      </c>
      <c r="L2175" s="165" t="s">
        <v>8384</v>
      </c>
      <c r="M2175" s="73"/>
      <c r="N2175" s="169" t="s">
        <v>8385</v>
      </c>
      <c r="O2175" s="169" t="s">
        <v>2958</v>
      </c>
      <c r="P2175" s="168" t="s">
        <v>3112</v>
      </c>
      <c r="Q2175" s="167">
        <v>1499000.0</v>
      </c>
      <c r="R2175" s="173"/>
      <c r="S2175" s="173"/>
      <c r="T2175" s="173"/>
      <c r="U2175" s="173"/>
      <c r="V2175" s="168" t="s">
        <v>3883</v>
      </c>
      <c r="W2175" s="169"/>
      <c r="X2175" s="169" t="s">
        <v>8040</v>
      </c>
    </row>
    <row r="2176" ht="15.0" customHeight="1">
      <c r="A2176" s="127">
        <v>45847.0</v>
      </c>
      <c r="B2176" s="181" t="s">
        <v>8386</v>
      </c>
      <c r="C2176" s="56" t="s">
        <v>3045</v>
      </c>
      <c r="D2176" s="73" t="str">
        <f>IFERROR(VLOOKUP(C2176,Stock,3,FALSE),"")</f>
        <v>Pemasangan Kaca Mobil Depan</v>
      </c>
      <c r="E2176" s="56">
        <v>1.0</v>
      </c>
      <c r="F2176" s="161">
        <v>550000.0</v>
      </c>
      <c r="G2176" s="162">
        <f t="shared" si="33"/>
        <v>550000</v>
      </c>
      <c r="H2176" s="201">
        <v>100000.0</v>
      </c>
      <c r="I2176" s="161">
        <f t="shared" si="36"/>
        <v>450000</v>
      </c>
      <c r="J2176" s="164">
        <f t="shared" si="30"/>
        <v>450000</v>
      </c>
      <c r="K2176" s="56" t="s">
        <v>8387</v>
      </c>
      <c r="L2176" s="165" t="s">
        <v>8388</v>
      </c>
      <c r="M2176" s="73"/>
      <c r="N2176" s="169" t="s">
        <v>8389</v>
      </c>
      <c r="O2176" s="169" t="s">
        <v>2958</v>
      </c>
      <c r="P2176" s="168" t="s">
        <v>3112</v>
      </c>
      <c r="Q2176" s="173"/>
      <c r="R2176" s="167">
        <v>450000.0</v>
      </c>
      <c r="S2176" s="173"/>
      <c r="T2176" s="173"/>
      <c r="U2176" s="173"/>
      <c r="V2176" s="168" t="s">
        <v>3883</v>
      </c>
      <c r="W2176" s="169"/>
      <c r="X2176" s="169" t="s">
        <v>8390</v>
      </c>
    </row>
    <row r="2177" ht="15.0" customHeight="1">
      <c r="A2177" s="127">
        <v>45847.0</v>
      </c>
      <c r="B2177" s="181" t="s">
        <v>8391</v>
      </c>
      <c r="C2177" s="56" t="s">
        <v>4063</v>
      </c>
      <c r="D2177" s="73" t="str">
        <f>IFERROR(VLOOKUP(C2177,Stock,3,FALSE),"")</f>
        <v>Mitsubishi Xpander 17-21 / Livina 19- 2nd Gen (Mitsubishi)</v>
      </c>
      <c r="E2177" s="56">
        <v>1.0</v>
      </c>
      <c r="F2177" s="161">
        <v>1199000.0</v>
      </c>
      <c r="G2177" s="162">
        <f t="shared" si="33"/>
        <v>1199000</v>
      </c>
      <c r="H2177" s="194"/>
      <c r="I2177" s="161">
        <f t="shared" si="36"/>
        <v>1199000</v>
      </c>
      <c r="J2177" s="164">
        <f t="shared" si="30"/>
        <v>1199000</v>
      </c>
      <c r="K2177" s="56" t="s">
        <v>4077</v>
      </c>
      <c r="L2177" s="165" t="s">
        <v>8392</v>
      </c>
      <c r="M2177" s="73"/>
      <c r="N2177" s="169" t="s">
        <v>8393</v>
      </c>
      <c r="O2177" s="169" t="s">
        <v>2958</v>
      </c>
      <c r="P2177" s="168" t="s">
        <v>3112</v>
      </c>
      <c r="Q2177" s="167">
        <v>1199000.0</v>
      </c>
      <c r="R2177" s="173"/>
      <c r="S2177" s="173"/>
      <c r="T2177" s="173"/>
      <c r="U2177" s="173"/>
      <c r="V2177" s="168" t="s">
        <v>3883</v>
      </c>
      <c r="W2177" s="169"/>
      <c r="X2177" s="169" t="s">
        <v>8040</v>
      </c>
    </row>
    <row r="2178" ht="15.0" customHeight="1">
      <c r="A2178" s="127">
        <v>45847.0</v>
      </c>
      <c r="B2178" s="181" t="s">
        <v>8394</v>
      </c>
      <c r="C2178" s="56" t="s">
        <v>8395</v>
      </c>
      <c r="D2178" s="73" t="str">
        <f>IFERROR(VLOOKUP(C2178,Stock,3,FALSE),"")</f>
        <v>Chevrolet Spin 12-</v>
      </c>
      <c r="E2178" s="56">
        <v>1.0</v>
      </c>
      <c r="F2178" s="161">
        <v>1229000.0</v>
      </c>
      <c r="G2178" s="162">
        <f t="shared" si="33"/>
        <v>1229000</v>
      </c>
      <c r="H2178" s="194"/>
      <c r="I2178" s="161">
        <f t="shared" si="36"/>
        <v>1229000</v>
      </c>
      <c r="J2178" s="164">
        <f t="shared" si="30"/>
        <v>1229000</v>
      </c>
      <c r="K2178" s="56" t="s">
        <v>6243</v>
      </c>
      <c r="L2178" s="165" t="s">
        <v>8396</v>
      </c>
      <c r="M2178" s="73"/>
      <c r="N2178" s="171"/>
      <c r="O2178" s="169" t="s">
        <v>2958</v>
      </c>
      <c r="P2178" s="168" t="s">
        <v>3112</v>
      </c>
      <c r="Q2178" s="173"/>
      <c r="R2178" s="167">
        <v>1229000.0</v>
      </c>
      <c r="S2178" s="173"/>
      <c r="T2178" s="173"/>
      <c r="U2178" s="173"/>
      <c r="V2178" s="168" t="s">
        <v>3883</v>
      </c>
      <c r="W2178" s="169"/>
      <c r="X2178" s="169" t="s">
        <v>8397</v>
      </c>
    </row>
    <row r="2179" ht="15.0" customHeight="1">
      <c r="A2179" s="127">
        <v>45847.0</v>
      </c>
      <c r="B2179" s="181" t="s">
        <v>8398</v>
      </c>
      <c r="C2179" s="56" t="s">
        <v>3707</v>
      </c>
      <c r="D2179" s="73" t="str">
        <f>IFERROR(VLOOKUP(C2179,Stock,3,FALSE),"")</f>
        <v>Mitsubishi Pajero 16-</v>
      </c>
      <c r="E2179" s="56">
        <v>1.0</v>
      </c>
      <c r="F2179" s="161">
        <v>1330000.0</v>
      </c>
      <c r="G2179" s="162">
        <f t="shared" si="33"/>
        <v>1330000</v>
      </c>
      <c r="H2179" s="194"/>
      <c r="I2179" s="161">
        <f t="shared" si="36"/>
        <v>1330000</v>
      </c>
      <c r="J2179" s="164">
        <f t="shared" si="30"/>
        <v>1330000</v>
      </c>
      <c r="K2179" s="56" t="s">
        <v>6332</v>
      </c>
      <c r="L2179" s="165" t="s">
        <v>4473</v>
      </c>
      <c r="M2179" s="73"/>
      <c r="N2179" s="171"/>
      <c r="O2179" s="169" t="s">
        <v>2958</v>
      </c>
      <c r="P2179" s="168" t="s">
        <v>3112</v>
      </c>
      <c r="Q2179" s="173"/>
      <c r="R2179" s="167">
        <v>1330000.0</v>
      </c>
      <c r="S2179" s="173"/>
      <c r="T2179" s="173"/>
      <c r="U2179" s="173"/>
      <c r="V2179" s="168" t="s">
        <v>3883</v>
      </c>
      <c r="W2179" s="169"/>
      <c r="X2179" s="169" t="s">
        <v>8399</v>
      </c>
    </row>
    <row r="2180" ht="15.0" customHeight="1">
      <c r="A2180" s="127">
        <v>45847.0</v>
      </c>
      <c r="B2180" s="181" t="s">
        <v>8400</v>
      </c>
      <c r="C2180" s="56" t="s">
        <v>3898</v>
      </c>
      <c r="D2180" s="73" t="str">
        <f>IFERROR(VLOOKUP(C2180,Stock,3,FALSE),"")</f>
        <v>Suzuki Ertiga 18- 2nd Gen / XL7</v>
      </c>
      <c r="E2180" s="56">
        <v>1.0</v>
      </c>
      <c r="F2180" s="161">
        <v>872000.0</v>
      </c>
      <c r="G2180" s="162">
        <f t="shared" si="33"/>
        <v>872000</v>
      </c>
      <c r="H2180" s="194"/>
      <c r="I2180" s="161">
        <f t="shared" si="36"/>
        <v>872000</v>
      </c>
      <c r="J2180" s="164">
        <f t="shared" si="30"/>
        <v>872000</v>
      </c>
      <c r="K2180" s="56" t="s">
        <v>8401</v>
      </c>
      <c r="L2180" s="165" t="s">
        <v>8402</v>
      </c>
      <c r="M2180" s="73"/>
      <c r="N2180" s="171"/>
      <c r="O2180" s="169" t="s">
        <v>2958</v>
      </c>
      <c r="P2180" s="168" t="s">
        <v>3112</v>
      </c>
      <c r="Q2180" s="167">
        <v>872000.0</v>
      </c>
      <c r="R2180" s="167"/>
      <c r="S2180" s="173"/>
      <c r="T2180" s="173"/>
      <c r="U2180" s="173"/>
      <c r="V2180" s="168" t="s">
        <v>3883</v>
      </c>
      <c r="W2180" s="169"/>
      <c r="X2180" s="169" t="s">
        <v>8040</v>
      </c>
    </row>
    <row r="2181" ht="15.0" customHeight="1">
      <c r="A2181" s="423">
        <v>45847.0</v>
      </c>
      <c r="B2181" s="424" t="s">
        <v>8403</v>
      </c>
      <c r="C2181" s="90" t="s">
        <v>2691</v>
      </c>
      <c r="D2181" s="425" t="str">
        <f>IFERROR(VLOOKUP(C2181,Stock,3,FALSE),"")</f>
        <v>Suzuki Ertiga 12-18 1st Gen MPV</v>
      </c>
      <c r="E2181" s="90">
        <v>1.0</v>
      </c>
      <c r="F2181" s="426">
        <v>1119080.0</v>
      </c>
      <c r="G2181" s="427">
        <f t="shared" si="33"/>
        <v>1119080</v>
      </c>
      <c r="H2181" s="428"/>
      <c r="I2181" s="426">
        <f t="shared" si="36"/>
        <v>1119080</v>
      </c>
      <c r="J2181" s="429">
        <f t="shared" si="30"/>
        <v>1119080</v>
      </c>
      <c r="K2181" s="467" t="s">
        <v>8404</v>
      </c>
      <c r="L2181" s="431" t="s">
        <v>8405</v>
      </c>
      <c r="M2181" s="425"/>
      <c r="N2181" s="432"/>
      <c r="O2181" s="433" t="s">
        <v>8406</v>
      </c>
      <c r="P2181" s="434" t="s">
        <v>5077</v>
      </c>
      <c r="Q2181" s="435"/>
      <c r="R2181" s="435"/>
      <c r="S2181" s="247">
        <v>1119080.0</v>
      </c>
      <c r="T2181" s="435"/>
      <c r="U2181" s="435"/>
      <c r="V2181" s="434" t="s">
        <v>3883</v>
      </c>
      <c r="W2181" s="433"/>
      <c r="X2181" s="432"/>
    </row>
    <row r="2182" ht="15.0" customHeight="1">
      <c r="A2182" s="423">
        <v>45847.0</v>
      </c>
      <c r="B2182" s="424" t="s">
        <v>8403</v>
      </c>
      <c r="C2182" s="90" t="s">
        <v>2934</v>
      </c>
      <c r="D2182" s="425" t="str">
        <f>IFERROR(VLOOKUP(C2182,Stock,3,FALSE),"")</f>
        <v>Peti Kayu</v>
      </c>
      <c r="E2182" s="90">
        <v>1.0</v>
      </c>
      <c r="F2182" s="426">
        <v>215920.0</v>
      </c>
      <c r="G2182" s="427">
        <f t="shared" si="33"/>
        <v>215920</v>
      </c>
      <c r="H2182" s="428"/>
      <c r="I2182" s="426">
        <f t="shared" si="36"/>
        <v>215920</v>
      </c>
      <c r="J2182" s="429">
        <f t="shared" si="30"/>
        <v>215920</v>
      </c>
      <c r="K2182" s="467" t="s">
        <v>8404</v>
      </c>
      <c r="L2182" s="431" t="s">
        <v>8405</v>
      </c>
      <c r="M2182" s="425"/>
      <c r="N2182" s="432"/>
      <c r="O2182" s="433" t="s">
        <v>8406</v>
      </c>
      <c r="P2182" s="434" t="s">
        <v>5077</v>
      </c>
      <c r="Q2182" s="435"/>
      <c r="R2182" s="435"/>
      <c r="S2182" s="247">
        <v>215920.0</v>
      </c>
      <c r="T2182" s="435"/>
      <c r="U2182" s="435"/>
      <c r="V2182" s="434" t="s">
        <v>3883</v>
      </c>
      <c r="W2182" s="433"/>
      <c r="X2182" s="432"/>
    </row>
    <row r="2183" ht="15.0" customHeight="1">
      <c r="A2183" s="127">
        <v>45847.0</v>
      </c>
      <c r="B2183" s="181" t="s">
        <v>8407</v>
      </c>
      <c r="C2183" s="56" t="s">
        <v>2718</v>
      </c>
      <c r="D2183" s="73" t="str">
        <f>IFERROR(VLOOKUP(C2183,Stock,3,FALSE),"")</f>
        <v>Isuzu Traga</v>
      </c>
      <c r="E2183" s="56">
        <v>1.0</v>
      </c>
      <c r="F2183" s="161">
        <v>1300000.0</v>
      </c>
      <c r="G2183" s="162">
        <f t="shared" si="33"/>
        <v>1300000</v>
      </c>
      <c r="H2183" s="194"/>
      <c r="I2183" s="161">
        <f t="shared" si="36"/>
        <v>1300000</v>
      </c>
      <c r="J2183" s="164">
        <f t="shared" si="30"/>
        <v>1300000</v>
      </c>
      <c r="K2183" s="56" t="s">
        <v>8408</v>
      </c>
      <c r="L2183" s="165" t="s">
        <v>8409</v>
      </c>
      <c r="M2183" s="73"/>
      <c r="N2183" s="171"/>
      <c r="O2183" s="169" t="s">
        <v>2958</v>
      </c>
      <c r="P2183" s="168" t="s">
        <v>3112</v>
      </c>
      <c r="Q2183" s="167">
        <v>1100000.0</v>
      </c>
      <c r="R2183" s="167">
        <v>300000.0</v>
      </c>
      <c r="S2183" s="173"/>
      <c r="T2183" s="173"/>
      <c r="U2183" s="173"/>
      <c r="V2183" s="168" t="s">
        <v>3883</v>
      </c>
      <c r="W2183" s="169"/>
      <c r="X2183" s="169" t="s">
        <v>8410</v>
      </c>
    </row>
    <row r="2184" ht="15.0" customHeight="1">
      <c r="A2184" s="127">
        <v>45847.0</v>
      </c>
      <c r="B2184" s="181" t="s">
        <v>8407</v>
      </c>
      <c r="C2184" s="56" t="s">
        <v>3513</v>
      </c>
      <c r="D2184" s="73" t="str">
        <f>IFERROR(VLOOKUP(C2184,Stock,3,FALSE),"")</f>
        <v>Lembur</v>
      </c>
      <c r="E2184" s="56">
        <v>1.0</v>
      </c>
      <c r="F2184" s="161">
        <v>100000.0</v>
      </c>
      <c r="G2184" s="162">
        <f t="shared" si="33"/>
        <v>100000</v>
      </c>
      <c r="H2184" s="194"/>
      <c r="I2184" s="161">
        <f t="shared" si="36"/>
        <v>100000</v>
      </c>
      <c r="J2184" s="164">
        <f t="shared" si="30"/>
        <v>100000</v>
      </c>
      <c r="K2184" s="56" t="s">
        <v>8408</v>
      </c>
      <c r="L2184" s="165" t="s">
        <v>8409</v>
      </c>
      <c r="M2184" s="73"/>
      <c r="N2184" s="171"/>
      <c r="O2184" s="169" t="s">
        <v>2958</v>
      </c>
      <c r="P2184" s="168" t="s">
        <v>3112</v>
      </c>
      <c r="Q2184" s="173"/>
      <c r="R2184" s="173"/>
      <c r="S2184" s="173"/>
      <c r="T2184" s="173"/>
      <c r="U2184" s="173"/>
      <c r="V2184" s="168" t="s">
        <v>3883</v>
      </c>
      <c r="W2184" s="169"/>
      <c r="X2184" s="169" t="s">
        <v>8410</v>
      </c>
    </row>
    <row r="2185" ht="15.0" customHeight="1">
      <c r="A2185" s="127">
        <v>45848.0</v>
      </c>
      <c r="B2185" s="181" t="s">
        <v>8411</v>
      </c>
      <c r="C2185" s="56" t="s">
        <v>3045</v>
      </c>
      <c r="D2185" s="73" t="str">
        <f>IFERROR(VLOOKUP(C2185,Stock,3,FALSE),"")</f>
        <v>Pemasangan Kaca Mobil Depan</v>
      </c>
      <c r="E2185" s="56">
        <v>1.0</v>
      </c>
      <c r="F2185" s="161">
        <v>550000.0</v>
      </c>
      <c r="G2185" s="162">
        <f t="shared" si="33"/>
        <v>550000</v>
      </c>
      <c r="H2185" s="194"/>
      <c r="I2185" s="161">
        <f t="shared" si="36"/>
        <v>550000</v>
      </c>
      <c r="J2185" s="164">
        <f t="shared" si="30"/>
        <v>550000</v>
      </c>
      <c r="K2185" s="131" t="s">
        <v>4472</v>
      </c>
      <c r="L2185" s="421" t="s">
        <v>8412</v>
      </c>
      <c r="M2185" s="73"/>
      <c r="N2185" s="171"/>
      <c r="O2185" s="169" t="s">
        <v>2958</v>
      </c>
      <c r="P2185" s="168" t="s">
        <v>3112</v>
      </c>
      <c r="Q2185" s="167">
        <v>550000.0</v>
      </c>
      <c r="R2185" s="173"/>
      <c r="S2185" s="173"/>
      <c r="T2185" s="173"/>
      <c r="U2185" s="173"/>
      <c r="V2185" s="168" t="s">
        <v>3883</v>
      </c>
      <c r="W2185" s="169"/>
      <c r="X2185" s="171"/>
    </row>
    <row r="2186" ht="15.0" customHeight="1">
      <c r="A2186" s="127">
        <v>45848.0</v>
      </c>
      <c r="B2186" s="181" t="s">
        <v>8413</v>
      </c>
      <c r="C2186" s="56" t="s">
        <v>4183</v>
      </c>
      <c r="D2186" s="73" t="str">
        <f>IFERROR(VLOOKUP(C2186,Stock,3,FALSE),"")</f>
        <v>Mitsubishi Xpander 17-21</v>
      </c>
      <c r="E2186" s="56">
        <v>1.0</v>
      </c>
      <c r="F2186" s="161">
        <v>885000.0</v>
      </c>
      <c r="G2186" s="162">
        <f t="shared" si="33"/>
        <v>885000</v>
      </c>
      <c r="H2186" s="194"/>
      <c r="I2186" s="161">
        <f t="shared" si="36"/>
        <v>885000</v>
      </c>
      <c r="J2186" s="164">
        <f t="shared" si="30"/>
        <v>885000</v>
      </c>
      <c r="K2186" s="56" t="s">
        <v>8414</v>
      </c>
      <c r="L2186" s="165" t="s">
        <v>8415</v>
      </c>
      <c r="M2186" s="73"/>
      <c r="N2186" s="169" t="s">
        <v>8416</v>
      </c>
      <c r="O2186" s="169" t="s">
        <v>2958</v>
      </c>
      <c r="P2186" s="168" t="s">
        <v>3112</v>
      </c>
      <c r="Q2186" s="173"/>
      <c r="R2186" s="167">
        <v>885000.0</v>
      </c>
      <c r="S2186" s="173"/>
      <c r="T2186" s="173"/>
      <c r="U2186" s="173"/>
      <c r="V2186" s="168" t="s">
        <v>3883</v>
      </c>
      <c r="W2186" s="169"/>
      <c r="X2186" s="169" t="s">
        <v>8417</v>
      </c>
    </row>
    <row r="2187" ht="15.0" customHeight="1">
      <c r="A2187" s="423">
        <v>45848.0</v>
      </c>
      <c r="B2187" s="424" t="s">
        <v>8418</v>
      </c>
      <c r="C2187" s="90" t="s">
        <v>4027</v>
      </c>
      <c r="D2187" s="425" t="str">
        <f>IFERROR(VLOOKUP(C2187,Stock,3,FALSE),"")</f>
        <v>501 Sealant Application</v>
      </c>
      <c r="E2187" s="90">
        <v>20.0</v>
      </c>
      <c r="F2187" s="426">
        <v>71275.0</v>
      </c>
      <c r="G2187" s="427">
        <f t="shared" si="33"/>
        <v>1425500</v>
      </c>
      <c r="H2187" s="428"/>
      <c r="I2187" s="426">
        <f t="shared" si="36"/>
        <v>1425500</v>
      </c>
      <c r="J2187" s="429">
        <f t="shared" si="30"/>
        <v>1425500</v>
      </c>
      <c r="K2187" s="467" t="s">
        <v>8419</v>
      </c>
      <c r="L2187" s="90" t="s">
        <v>2939</v>
      </c>
      <c r="M2187" s="425"/>
      <c r="N2187" s="432"/>
      <c r="O2187" s="433" t="s">
        <v>2958</v>
      </c>
      <c r="P2187" s="434" t="s">
        <v>2922</v>
      </c>
      <c r="Q2187" s="435"/>
      <c r="R2187" s="435"/>
      <c r="S2187" s="247">
        <v>1425500.0</v>
      </c>
      <c r="T2187" s="435"/>
      <c r="U2187" s="435"/>
      <c r="V2187" s="434" t="s">
        <v>3883</v>
      </c>
      <c r="W2187" s="433"/>
      <c r="X2187" s="432"/>
    </row>
    <row r="2188" ht="15.0" customHeight="1">
      <c r="A2188" s="423">
        <v>45848.0</v>
      </c>
      <c r="B2188" s="424" t="s">
        <v>8418</v>
      </c>
      <c r="C2188" s="90" t="s">
        <v>3059</v>
      </c>
      <c r="D2188" s="425" t="str">
        <f>IFERROR(VLOOKUP(C2188,Stock,3,FALSE),"")</f>
        <v>Sealant Polyurethane XYG Tube</v>
      </c>
      <c r="E2188" s="90">
        <v>20.0</v>
      </c>
      <c r="F2188" s="426">
        <v>71275.0</v>
      </c>
      <c r="G2188" s="427">
        <f t="shared" si="33"/>
        <v>1425500</v>
      </c>
      <c r="H2188" s="428"/>
      <c r="I2188" s="426">
        <f t="shared" si="36"/>
        <v>1425500</v>
      </c>
      <c r="J2188" s="429">
        <f t="shared" si="30"/>
        <v>1425500</v>
      </c>
      <c r="K2188" s="467" t="s">
        <v>8419</v>
      </c>
      <c r="L2188" s="90" t="s">
        <v>2939</v>
      </c>
      <c r="M2188" s="425"/>
      <c r="N2188" s="432"/>
      <c r="O2188" s="433" t="s">
        <v>2958</v>
      </c>
      <c r="P2188" s="434" t="s">
        <v>2922</v>
      </c>
      <c r="Q2188" s="435"/>
      <c r="R2188" s="435"/>
      <c r="S2188" s="247">
        <v>1425500.0</v>
      </c>
      <c r="T2188" s="435"/>
      <c r="U2188" s="435"/>
      <c r="V2188" s="434" t="s">
        <v>3883</v>
      </c>
      <c r="W2188" s="433"/>
      <c r="X2188" s="432"/>
    </row>
    <row r="2189" ht="15.0" customHeight="1">
      <c r="A2189" s="127">
        <v>45848.0</v>
      </c>
      <c r="B2189" s="181" t="s">
        <v>8420</v>
      </c>
      <c r="C2189" s="56" t="s">
        <v>2665</v>
      </c>
      <c r="D2189" s="73" t="str">
        <f>IFERROR(VLOOKUP(C2189,Stock,3,FALSE),"")</f>
        <v>Chevrolet Spin 12-</v>
      </c>
      <c r="E2189" s="56">
        <v>1.0</v>
      </c>
      <c r="F2189" s="161">
        <v>1500000.0</v>
      </c>
      <c r="G2189" s="162">
        <f t="shared" si="33"/>
        <v>1500000</v>
      </c>
      <c r="H2189" s="201">
        <v>225000.0</v>
      </c>
      <c r="I2189" s="161">
        <f t="shared" si="36"/>
        <v>1275000</v>
      </c>
      <c r="J2189" s="164">
        <f t="shared" si="30"/>
        <v>1275000</v>
      </c>
      <c r="K2189" s="56" t="s">
        <v>8421</v>
      </c>
      <c r="L2189" s="165" t="s">
        <v>8422</v>
      </c>
      <c r="M2189" s="73"/>
      <c r="N2189" s="171"/>
      <c r="O2189" s="169" t="s">
        <v>2958</v>
      </c>
      <c r="P2189" s="168" t="s">
        <v>3112</v>
      </c>
      <c r="Q2189" s="173"/>
      <c r="R2189" s="167">
        <v>1275000.0</v>
      </c>
      <c r="S2189" s="173"/>
      <c r="T2189" s="173"/>
      <c r="U2189" s="173"/>
      <c r="V2189" s="168" t="s">
        <v>3883</v>
      </c>
      <c r="W2189" s="169"/>
      <c r="X2189" s="169" t="s">
        <v>8423</v>
      </c>
    </row>
    <row r="2190" ht="15.0" customHeight="1">
      <c r="A2190" s="127">
        <v>45849.0</v>
      </c>
      <c r="B2190" s="181" t="s">
        <v>8424</v>
      </c>
      <c r="C2190" s="56" t="s">
        <v>5635</v>
      </c>
      <c r="D2190" s="73" t="str">
        <f>IFERROR(VLOOKUP(C2190,Stock,3,FALSE),"")</f>
        <v>Honda HR-V 14-21 5D SUV</v>
      </c>
      <c r="E2190" s="56">
        <v>1.0</v>
      </c>
      <c r="F2190" s="161">
        <v>1365000.0</v>
      </c>
      <c r="G2190" s="162">
        <f t="shared" si="33"/>
        <v>1365000</v>
      </c>
      <c r="H2190" s="194"/>
      <c r="I2190" s="161">
        <f t="shared" si="36"/>
        <v>1365000</v>
      </c>
      <c r="J2190" s="164">
        <f t="shared" si="30"/>
        <v>1365000</v>
      </c>
      <c r="K2190" s="56" t="s">
        <v>8425</v>
      </c>
      <c r="L2190" s="165" t="s">
        <v>8426</v>
      </c>
      <c r="M2190" s="73"/>
      <c r="N2190" s="169" t="s">
        <v>8427</v>
      </c>
      <c r="O2190" s="169" t="s">
        <v>2958</v>
      </c>
      <c r="P2190" s="168" t="s">
        <v>3112</v>
      </c>
      <c r="Q2190" s="167">
        <v>1365000.0</v>
      </c>
      <c r="R2190" s="173"/>
      <c r="S2190" s="173"/>
      <c r="T2190" s="173"/>
      <c r="U2190" s="173"/>
      <c r="V2190" s="168" t="s">
        <v>3883</v>
      </c>
      <c r="W2190" s="169"/>
      <c r="X2190" s="169" t="s">
        <v>8040</v>
      </c>
    </row>
    <row r="2191" ht="15.0" customHeight="1">
      <c r="A2191" s="127">
        <v>45849.0</v>
      </c>
      <c r="B2191" s="181" t="s">
        <v>8428</v>
      </c>
      <c r="C2191" s="56" t="s">
        <v>2826</v>
      </c>
      <c r="D2191" s="73" t="str">
        <f>IFERROR(VLOOKUP(C2191,Stock,3,FALSE),"")</f>
        <v>Toyota Kijang 02-04 Kapsul Lem Efi </v>
      </c>
      <c r="E2191" s="56">
        <v>1.0</v>
      </c>
      <c r="F2191" s="161">
        <v>715000.0</v>
      </c>
      <c r="G2191" s="162">
        <f t="shared" si="33"/>
        <v>715000</v>
      </c>
      <c r="H2191" s="194"/>
      <c r="I2191" s="161">
        <f t="shared" si="36"/>
        <v>715000</v>
      </c>
      <c r="J2191" s="164">
        <f t="shared" si="30"/>
        <v>715000</v>
      </c>
      <c r="K2191" s="307" t="s">
        <v>8429</v>
      </c>
      <c r="L2191" s="165" t="s">
        <v>8430</v>
      </c>
      <c r="M2191" s="73"/>
      <c r="N2191" s="171"/>
      <c r="O2191" s="169" t="s">
        <v>2958</v>
      </c>
      <c r="P2191" s="168" t="s">
        <v>3112</v>
      </c>
      <c r="Q2191" s="173"/>
      <c r="R2191" s="167">
        <v>715000.0</v>
      </c>
      <c r="S2191" s="173"/>
      <c r="T2191" s="173"/>
      <c r="U2191" s="173"/>
      <c r="V2191" s="168" t="s">
        <v>3883</v>
      </c>
      <c r="W2191" s="169"/>
      <c r="X2191" s="169" t="s">
        <v>8431</v>
      </c>
    </row>
    <row r="2192" ht="15.0" customHeight="1">
      <c r="A2192" s="127">
        <v>45849.0</v>
      </c>
      <c r="B2192" s="181" t="s">
        <v>8428</v>
      </c>
      <c r="C2192" s="56" t="s">
        <v>2934</v>
      </c>
      <c r="D2192" s="73" t="str">
        <f>IFERROR(VLOOKUP(C2192,Stock,3,FALSE),"")</f>
        <v>Peti Kayu</v>
      </c>
      <c r="E2192" s="56">
        <v>1.0</v>
      </c>
      <c r="F2192" s="161">
        <v>200000.0</v>
      </c>
      <c r="G2192" s="162">
        <f t="shared" si="33"/>
        <v>200000</v>
      </c>
      <c r="H2192" s="194"/>
      <c r="I2192" s="161">
        <f t="shared" si="36"/>
        <v>200000</v>
      </c>
      <c r="J2192" s="164">
        <f t="shared" si="30"/>
        <v>200000</v>
      </c>
      <c r="K2192" s="307" t="s">
        <v>8429</v>
      </c>
      <c r="L2192" s="165" t="s">
        <v>8430</v>
      </c>
      <c r="M2192" s="73"/>
      <c r="N2192" s="171"/>
      <c r="O2192" s="169" t="s">
        <v>2958</v>
      </c>
      <c r="P2192" s="168" t="s">
        <v>3112</v>
      </c>
      <c r="Q2192" s="173"/>
      <c r="R2192" s="167">
        <v>200000.0</v>
      </c>
      <c r="S2192" s="173"/>
      <c r="T2192" s="173"/>
      <c r="U2192" s="173"/>
      <c r="V2192" s="168" t="s">
        <v>3883</v>
      </c>
      <c r="W2192" s="169"/>
      <c r="X2192" s="169" t="s">
        <v>8431</v>
      </c>
    </row>
    <row r="2193" ht="15.0" customHeight="1">
      <c r="A2193" s="127">
        <v>45849.0</v>
      </c>
      <c r="B2193" s="181" t="s">
        <v>8432</v>
      </c>
      <c r="C2193" s="56" t="s">
        <v>4219</v>
      </c>
      <c r="D2193" s="73" t="str">
        <f>IFERROR(VLOOKUP(C2193,Stock,3,FALSE),"")</f>
        <v>Mitsubishi Pajero 08-16</v>
      </c>
      <c r="E2193" s="56">
        <v>1.0</v>
      </c>
      <c r="F2193" s="161">
        <v>695000.0</v>
      </c>
      <c r="G2193" s="162">
        <f t="shared" si="33"/>
        <v>695000</v>
      </c>
      <c r="H2193" s="194"/>
      <c r="I2193" s="161">
        <f t="shared" si="36"/>
        <v>695000</v>
      </c>
      <c r="J2193" s="164">
        <f t="shared" si="30"/>
        <v>695000</v>
      </c>
      <c r="K2193" s="56" t="s">
        <v>8433</v>
      </c>
      <c r="L2193" s="165" t="s">
        <v>8434</v>
      </c>
      <c r="M2193" s="73"/>
      <c r="N2193" s="171"/>
      <c r="O2193" s="169" t="s">
        <v>2958</v>
      </c>
      <c r="P2193" s="168" t="s">
        <v>3112</v>
      </c>
      <c r="Q2193" s="173"/>
      <c r="R2193" s="167">
        <v>695000.0</v>
      </c>
      <c r="S2193" s="173"/>
      <c r="T2193" s="173"/>
      <c r="U2193" s="173"/>
      <c r="V2193" s="168" t="s">
        <v>4262</v>
      </c>
      <c r="W2193" s="169"/>
      <c r="X2193" s="169" t="s">
        <v>8435</v>
      </c>
    </row>
    <row r="2194" ht="15.0" customHeight="1">
      <c r="A2194" s="127">
        <v>45849.0</v>
      </c>
      <c r="B2194" s="181" t="s">
        <v>8436</v>
      </c>
      <c r="C2194" s="56" t="s">
        <v>2723</v>
      </c>
      <c r="D2194" s="73" t="str">
        <f>IFERROR(VLOOKUP(C2194,Stock,3,FALSE),"")</f>
        <v>Suzuki Carry New 19-</v>
      </c>
      <c r="E2194" s="56">
        <v>1.0</v>
      </c>
      <c r="F2194" s="161">
        <v>1190000.0</v>
      </c>
      <c r="G2194" s="162">
        <f t="shared" si="33"/>
        <v>1190000</v>
      </c>
      <c r="H2194" s="194"/>
      <c r="I2194" s="161">
        <f t="shared" si="36"/>
        <v>1190000</v>
      </c>
      <c r="J2194" s="164">
        <f t="shared" si="30"/>
        <v>1190000</v>
      </c>
      <c r="K2194" s="56" t="s">
        <v>7284</v>
      </c>
      <c r="L2194" s="165" t="s">
        <v>8437</v>
      </c>
      <c r="M2194" s="73"/>
      <c r="N2194" s="169" t="s">
        <v>8438</v>
      </c>
      <c r="O2194" s="169" t="s">
        <v>2958</v>
      </c>
      <c r="P2194" s="168" t="s">
        <v>3112</v>
      </c>
      <c r="Q2194" s="167">
        <v>1190000.0</v>
      </c>
      <c r="R2194" s="173"/>
      <c r="S2194" s="173"/>
      <c r="T2194" s="173"/>
      <c r="U2194" s="173"/>
      <c r="V2194" s="168" t="s">
        <v>3883</v>
      </c>
      <c r="W2194" s="169"/>
      <c r="X2194" s="169" t="s">
        <v>8040</v>
      </c>
    </row>
    <row r="2195" ht="15.0" customHeight="1">
      <c r="A2195" s="127">
        <v>45850.0</v>
      </c>
      <c r="B2195" s="181" t="s">
        <v>8439</v>
      </c>
      <c r="C2195" s="56" t="s">
        <v>8440</v>
      </c>
      <c r="D2195" s="73" t="str">
        <f>IFERROR(VLOOKUP(C2195,Stock,3,FALSE),"")</f>
        <v>Mazda CX-5  17- 2nd Gen KF (1 Sensor/ □ ) (Mazda)</v>
      </c>
      <c r="E2195" s="56">
        <v>1.0</v>
      </c>
      <c r="F2195" s="161">
        <v>5200000.0</v>
      </c>
      <c r="G2195" s="162">
        <f t="shared" si="33"/>
        <v>5200000</v>
      </c>
      <c r="H2195" s="194"/>
      <c r="I2195" s="161">
        <f t="shared" si="36"/>
        <v>5200000</v>
      </c>
      <c r="J2195" s="164">
        <f t="shared" si="30"/>
        <v>5200000</v>
      </c>
      <c r="K2195" s="56" t="s">
        <v>8441</v>
      </c>
      <c r="L2195" s="165" t="s">
        <v>8442</v>
      </c>
      <c r="M2195" s="73"/>
      <c r="N2195" s="169" t="s">
        <v>8443</v>
      </c>
      <c r="O2195" s="169" t="s">
        <v>2958</v>
      </c>
      <c r="P2195" s="168" t="s">
        <v>3112</v>
      </c>
      <c r="Q2195" s="173"/>
      <c r="R2195" s="167">
        <v>5200000.0</v>
      </c>
      <c r="S2195" s="173"/>
      <c r="T2195" s="173"/>
      <c r="U2195" s="173"/>
      <c r="V2195" s="168" t="s">
        <v>3883</v>
      </c>
      <c r="W2195" s="169"/>
      <c r="X2195" s="169" t="s">
        <v>8444</v>
      </c>
    </row>
    <row r="2196" ht="15.0" customHeight="1">
      <c r="A2196" s="127">
        <v>45850.0</v>
      </c>
      <c r="B2196" s="181" t="s">
        <v>8445</v>
      </c>
      <c r="C2196" s="56" t="s">
        <v>3451</v>
      </c>
      <c r="D2196" s="73" t="str">
        <f>IFERROR(VLOOKUP(C2196,Stock,3,FALSE),"")</f>
        <v>Toyota Rush / Terios 18-</v>
      </c>
      <c r="E2196" s="56">
        <v>1.0</v>
      </c>
      <c r="F2196" s="161">
        <v>1259000.0</v>
      </c>
      <c r="G2196" s="162">
        <f t="shared" si="33"/>
        <v>1259000</v>
      </c>
      <c r="H2196" s="194"/>
      <c r="I2196" s="161">
        <f t="shared" si="36"/>
        <v>1259000</v>
      </c>
      <c r="J2196" s="164">
        <f t="shared" si="30"/>
        <v>1259000</v>
      </c>
      <c r="K2196" s="56" t="s">
        <v>8446</v>
      </c>
      <c r="L2196" s="165" t="s">
        <v>8447</v>
      </c>
      <c r="M2196" s="73"/>
      <c r="N2196" s="169" t="s">
        <v>8448</v>
      </c>
      <c r="O2196" s="169" t="s">
        <v>2958</v>
      </c>
      <c r="P2196" s="168" t="s">
        <v>3112</v>
      </c>
      <c r="Q2196" s="167">
        <v>1259000.0</v>
      </c>
      <c r="R2196" s="173"/>
      <c r="S2196" s="173"/>
      <c r="T2196" s="173"/>
      <c r="U2196" s="173"/>
      <c r="V2196" s="168" t="s">
        <v>3883</v>
      </c>
      <c r="W2196" s="169"/>
      <c r="X2196" s="169" t="s">
        <v>8449</v>
      </c>
    </row>
    <row r="2197" ht="15.0" customHeight="1">
      <c r="A2197" s="127">
        <v>45851.0</v>
      </c>
      <c r="B2197" s="181" t="s">
        <v>8450</v>
      </c>
      <c r="C2197" s="56" t="s">
        <v>3068</v>
      </c>
      <c r="D2197" s="73" t="str">
        <f>IFERROR(VLOOKUP(C2197,Stock,3,FALSE),"")</f>
        <v>Honda Brio 10- / Mobilio 11-</v>
      </c>
      <c r="E2197" s="56">
        <v>1.0</v>
      </c>
      <c r="F2197" s="161">
        <v>1442000.0</v>
      </c>
      <c r="G2197" s="162">
        <f t="shared" si="33"/>
        <v>1442000</v>
      </c>
      <c r="H2197" s="201">
        <v>50000.0</v>
      </c>
      <c r="I2197" s="161">
        <f t="shared" si="36"/>
        <v>1392000</v>
      </c>
      <c r="J2197" s="164">
        <f t="shared" si="30"/>
        <v>1392000</v>
      </c>
      <c r="K2197" s="56" t="s">
        <v>8451</v>
      </c>
      <c r="L2197" s="165" t="s">
        <v>8452</v>
      </c>
      <c r="M2197" s="73"/>
      <c r="N2197" s="169" t="s">
        <v>8453</v>
      </c>
      <c r="O2197" s="169" t="s">
        <v>2958</v>
      </c>
      <c r="P2197" s="168" t="s">
        <v>3112</v>
      </c>
      <c r="Q2197" s="173"/>
      <c r="R2197" s="167">
        <v>1392000.0</v>
      </c>
      <c r="S2197" s="173"/>
      <c r="T2197" s="173"/>
      <c r="U2197" s="173"/>
      <c r="V2197" s="168" t="s">
        <v>3883</v>
      </c>
      <c r="W2197" s="169"/>
      <c r="X2197" s="169" t="s">
        <v>8454</v>
      </c>
    </row>
    <row r="2198" ht="15.0" customHeight="1">
      <c r="A2198" s="127">
        <v>45851.0</v>
      </c>
      <c r="B2198" s="181" t="s">
        <v>8455</v>
      </c>
      <c r="C2198" s="56" t="s">
        <v>2549</v>
      </c>
      <c r="D2198" s="73" t="str">
        <f>IFERROR(VLOOKUP(C2198,Stock,3,FALSE),"")</f>
        <v>Toyota Avanza / Xenia 11-15 2nd Gen</v>
      </c>
      <c r="E2198" s="56">
        <v>1.0</v>
      </c>
      <c r="F2198" s="161">
        <v>1000000.0</v>
      </c>
      <c r="G2198" s="162">
        <f t="shared" si="33"/>
        <v>1000000</v>
      </c>
      <c r="H2198" s="194"/>
      <c r="I2198" s="161">
        <f t="shared" si="36"/>
        <v>1000000</v>
      </c>
      <c r="J2198" s="164">
        <f t="shared" si="30"/>
        <v>1000000</v>
      </c>
      <c r="K2198" s="307" t="s">
        <v>8456</v>
      </c>
      <c r="L2198" s="165" t="s">
        <v>8457</v>
      </c>
      <c r="M2198" s="73"/>
      <c r="N2198" s="169" t="s">
        <v>8458</v>
      </c>
      <c r="O2198" s="169" t="s">
        <v>2958</v>
      </c>
      <c r="P2198" s="168" t="s">
        <v>3112</v>
      </c>
      <c r="Q2198" s="173"/>
      <c r="R2198" s="167">
        <v>1000000.0</v>
      </c>
      <c r="S2198" s="173"/>
      <c r="T2198" s="173"/>
      <c r="U2198" s="173"/>
      <c r="V2198" s="168" t="s">
        <v>3883</v>
      </c>
      <c r="W2198" s="169"/>
      <c r="X2198" s="169" t="s">
        <v>8459</v>
      </c>
    </row>
    <row r="2199" ht="15.0" customHeight="1">
      <c r="A2199" s="127">
        <v>45851.0</v>
      </c>
      <c r="B2199" s="181" t="s">
        <v>8455</v>
      </c>
      <c r="C2199" s="56" t="s">
        <v>8460</v>
      </c>
      <c r="D2199" s="73" t="str">
        <f>IFERROR(VLOOKUP(C2199,Stock,3,FALSE),"")</f>
        <v>Toyota Avanza / Xenia 11-15 2nd Gen / 15-21 3rd Gen</v>
      </c>
      <c r="E2199" s="56">
        <v>1.0</v>
      </c>
      <c r="F2199" s="161">
        <v>839000.0</v>
      </c>
      <c r="G2199" s="162">
        <f t="shared" si="33"/>
        <v>839000</v>
      </c>
      <c r="H2199" s="194"/>
      <c r="I2199" s="161">
        <f t="shared" si="36"/>
        <v>839000</v>
      </c>
      <c r="J2199" s="164">
        <f t="shared" si="30"/>
        <v>839000</v>
      </c>
      <c r="K2199" s="307" t="s">
        <v>8456</v>
      </c>
      <c r="L2199" s="165" t="s">
        <v>8457</v>
      </c>
      <c r="M2199" s="73"/>
      <c r="N2199" s="169" t="s">
        <v>8458</v>
      </c>
      <c r="O2199" s="169" t="s">
        <v>2958</v>
      </c>
      <c r="P2199" s="168" t="s">
        <v>3112</v>
      </c>
      <c r="Q2199" s="173"/>
      <c r="R2199" s="167">
        <v>839000.0</v>
      </c>
      <c r="S2199" s="173"/>
      <c r="T2199" s="173"/>
      <c r="U2199" s="173"/>
      <c r="V2199" s="168" t="s">
        <v>3883</v>
      </c>
      <c r="W2199" s="169"/>
      <c r="X2199" s="169" t="s">
        <v>8459</v>
      </c>
    </row>
    <row r="2200" ht="15.0" customHeight="1">
      <c r="A2200" s="127">
        <v>45852.0</v>
      </c>
      <c r="B2200" s="181" t="s">
        <v>8461</v>
      </c>
      <c r="C2200" s="56" t="s">
        <v>3360</v>
      </c>
      <c r="D2200" s="73" t="str">
        <f>IFERROR(VLOOKUP(C2200,Stock,3,FALSE),"")</f>
        <v>Mitsubishi Xpander 17-</v>
      </c>
      <c r="E2200" s="56">
        <v>1.0</v>
      </c>
      <c r="F2200" s="161">
        <v>1629000.0</v>
      </c>
      <c r="G2200" s="162">
        <f t="shared" si="33"/>
        <v>1629000</v>
      </c>
      <c r="H2200" s="194"/>
      <c r="I2200" s="161">
        <f t="shared" si="36"/>
        <v>1629000</v>
      </c>
      <c r="J2200" s="164">
        <f t="shared" si="30"/>
        <v>1629000</v>
      </c>
      <c r="K2200" s="56" t="s">
        <v>8462</v>
      </c>
      <c r="L2200" s="165" t="s">
        <v>8463</v>
      </c>
      <c r="M2200" s="73"/>
      <c r="N2200" s="171"/>
      <c r="O2200" s="169" t="s">
        <v>2958</v>
      </c>
      <c r="P2200" s="168" t="s">
        <v>3112</v>
      </c>
      <c r="Q2200" s="167">
        <v>1679000.0</v>
      </c>
      <c r="R2200" s="167"/>
      <c r="S2200" s="173"/>
      <c r="T2200" s="173"/>
      <c r="U2200" s="173"/>
      <c r="V2200" s="168" t="s">
        <v>3883</v>
      </c>
      <c r="W2200" s="169"/>
      <c r="X2200" s="169" t="s">
        <v>8040</v>
      </c>
    </row>
    <row r="2201" ht="15.0" customHeight="1">
      <c r="A2201" s="127">
        <v>45852.0</v>
      </c>
      <c r="B2201" s="181" t="s">
        <v>8461</v>
      </c>
      <c r="C2201" s="56" t="s">
        <v>2954</v>
      </c>
      <c r="D2201" s="73" t="str">
        <f>IFERROR(VLOOKUP(C2201,Stock,3,FALSE),"")</f>
        <v>Transport</v>
      </c>
      <c r="E2201" s="56">
        <v>1.0</v>
      </c>
      <c r="F2201" s="161">
        <v>80000.0</v>
      </c>
      <c r="G2201" s="162">
        <f t="shared" si="33"/>
        <v>80000</v>
      </c>
      <c r="H2201" s="194"/>
      <c r="I2201" s="161">
        <f t="shared" si="36"/>
        <v>80000</v>
      </c>
      <c r="J2201" s="164">
        <f t="shared" si="30"/>
        <v>80000</v>
      </c>
      <c r="K2201" s="56" t="s">
        <v>8462</v>
      </c>
      <c r="L2201" s="165" t="s">
        <v>8463</v>
      </c>
      <c r="M2201" s="73"/>
      <c r="N2201" s="171"/>
      <c r="O2201" s="169" t="s">
        <v>2958</v>
      </c>
      <c r="P2201" s="168" t="s">
        <v>3112</v>
      </c>
      <c r="Q2201" s="167"/>
      <c r="R2201" s="167">
        <v>30000.0</v>
      </c>
      <c r="S2201" s="173"/>
      <c r="T2201" s="173"/>
      <c r="U2201" s="173"/>
      <c r="V2201" s="168" t="s">
        <v>3883</v>
      </c>
      <c r="W2201" s="169"/>
      <c r="X2201" s="169" t="s">
        <v>8464</v>
      </c>
    </row>
    <row r="2202" ht="15.0" customHeight="1">
      <c r="A2202" s="127">
        <v>45852.0</v>
      </c>
      <c r="B2202" s="181" t="s">
        <v>8465</v>
      </c>
      <c r="C2202" s="56" t="s">
        <v>3186</v>
      </c>
      <c r="D2202" s="73" t="str">
        <f>IFERROR(VLOOKUP(C2202,Stock,3,FALSE),"")</f>
        <v>Daihatsu Gran Max / Luxio 07-</v>
      </c>
      <c r="E2202" s="56">
        <v>1.0</v>
      </c>
      <c r="F2202" s="161">
        <v>1000000.0</v>
      </c>
      <c r="G2202" s="162">
        <f t="shared" si="33"/>
        <v>1000000</v>
      </c>
      <c r="H2202" s="194"/>
      <c r="I2202" s="161">
        <f t="shared" si="36"/>
        <v>1000000</v>
      </c>
      <c r="J2202" s="164">
        <f t="shared" si="30"/>
        <v>1000000</v>
      </c>
      <c r="K2202" s="56" t="s">
        <v>8466</v>
      </c>
      <c r="L2202" s="165" t="s">
        <v>8467</v>
      </c>
      <c r="M2202" s="73"/>
      <c r="N2202" s="171"/>
      <c r="O2202" s="169" t="s">
        <v>2958</v>
      </c>
      <c r="P2202" s="168" t="s">
        <v>3112</v>
      </c>
      <c r="Q2202" s="173"/>
      <c r="R2202" s="167">
        <v>1000000.0</v>
      </c>
      <c r="S2202" s="173"/>
      <c r="T2202" s="173"/>
      <c r="U2202" s="173"/>
      <c r="V2202" s="168" t="s">
        <v>3883</v>
      </c>
      <c r="W2202" s="169"/>
      <c r="X2202" s="169" t="s">
        <v>8468</v>
      </c>
    </row>
    <row r="2203" ht="15.0" customHeight="1">
      <c r="A2203" s="127">
        <v>45852.0</v>
      </c>
      <c r="B2203" s="181" t="s">
        <v>8465</v>
      </c>
      <c r="C2203" s="56" t="s">
        <v>2954</v>
      </c>
      <c r="D2203" s="73" t="str">
        <f>IFERROR(VLOOKUP(C2203,Stock,3,FALSE),"")</f>
        <v>Transport</v>
      </c>
      <c r="E2203" s="56">
        <v>1.0</v>
      </c>
      <c r="F2203" s="161">
        <v>50000.0</v>
      </c>
      <c r="G2203" s="162">
        <f t="shared" si="33"/>
        <v>50000</v>
      </c>
      <c r="H2203" s="194"/>
      <c r="I2203" s="161">
        <f t="shared" si="36"/>
        <v>50000</v>
      </c>
      <c r="J2203" s="164">
        <f t="shared" si="30"/>
        <v>50000</v>
      </c>
      <c r="K2203" s="56" t="s">
        <v>8466</v>
      </c>
      <c r="L2203" s="165" t="s">
        <v>8467</v>
      </c>
      <c r="M2203" s="73"/>
      <c r="N2203" s="171"/>
      <c r="O2203" s="169" t="s">
        <v>2958</v>
      </c>
      <c r="P2203" s="168" t="s">
        <v>3112</v>
      </c>
      <c r="Q2203" s="173"/>
      <c r="R2203" s="167">
        <v>50000.0</v>
      </c>
      <c r="S2203" s="173"/>
      <c r="T2203" s="173"/>
      <c r="U2203" s="173"/>
      <c r="V2203" s="168" t="s">
        <v>3883</v>
      </c>
      <c r="W2203" s="169"/>
      <c r="X2203" s="169" t="s">
        <v>8468</v>
      </c>
    </row>
    <row r="2204" ht="15.0" customHeight="1">
      <c r="A2204" s="127">
        <v>45852.0</v>
      </c>
      <c r="B2204" s="181" t="s">
        <v>8469</v>
      </c>
      <c r="C2204" s="56" t="s">
        <v>6755</v>
      </c>
      <c r="D2204" s="73" t="str">
        <f>IFERROR(VLOOKUP(C2204,Stock,3,FALSE),"")</f>
        <v>Mitsubishi Kuda 99-06</v>
      </c>
      <c r="E2204" s="56">
        <v>1.0</v>
      </c>
      <c r="F2204" s="161">
        <v>1300000.0</v>
      </c>
      <c r="G2204" s="162">
        <f t="shared" si="33"/>
        <v>1300000</v>
      </c>
      <c r="H2204" s="194"/>
      <c r="I2204" s="161">
        <f t="shared" si="36"/>
        <v>1300000</v>
      </c>
      <c r="J2204" s="164">
        <f t="shared" si="30"/>
        <v>1300000</v>
      </c>
      <c r="K2204" s="56" t="s">
        <v>8470</v>
      </c>
      <c r="L2204" s="165" t="s">
        <v>8471</v>
      </c>
      <c r="M2204" s="73"/>
      <c r="N2204" s="171"/>
      <c r="O2204" s="169" t="s">
        <v>3927</v>
      </c>
      <c r="P2204" s="168" t="s">
        <v>3112</v>
      </c>
      <c r="Q2204" s="173"/>
      <c r="R2204" s="167">
        <v>1300000.0</v>
      </c>
      <c r="S2204" s="173"/>
      <c r="T2204" s="173"/>
      <c r="U2204" s="173"/>
      <c r="V2204" s="168" t="s">
        <v>3883</v>
      </c>
      <c r="W2204" s="169"/>
      <c r="X2204" s="169" t="s">
        <v>8472</v>
      </c>
    </row>
    <row r="2205" ht="15.0" customHeight="1">
      <c r="A2205" s="127">
        <v>45852.0</v>
      </c>
      <c r="B2205" s="181" t="s">
        <v>8469</v>
      </c>
      <c r="C2205" s="56" t="s">
        <v>2954</v>
      </c>
      <c r="D2205" s="73" t="str">
        <f>IFERROR(VLOOKUP(C2205,Stock,3,FALSE),"")</f>
        <v>Transport</v>
      </c>
      <c r="E2205" s="56">
        <v>1.0</v>
      </c>
      <c r="F2205" s="161">
        <v>50000.0</v>
      </c>
      <c r="G2205" s="162">
        <f t="shared" si="33"/>
        <v>50000</v>
      </c>
      <c r="H2205" s="194"/>
      <c r="I2205" s="161">
        <f t="shared" si="36"/>
        <v>50000</v>
      </c>
      <c r="J2205" s="164">
        <f t="shared" si="30"/>
        <v>50000</v>
      </c>
      <c r="K2205" s="56" t="s">
        <v>8470</v>
      </c>
      <c r="L2205" s="165" t="s">
        <v>8471</v>
      </c>
      <c r="M2205" s="73"/>
      <c r="N2205" s="171"/>
      <c r="O2205" s="169" t="s">
        <v>3927</v>
      </c>
      <c r="P2205" s="168" t="s">
        <v>3112</v>
      </c>
      <c r="Q2205" s="173"/>
      <c r="R2205" s="167">
        <v>50000.0</v>
      </c>
      <c r="S2205" s="173"/>
      <c r="T2205" s="173"/>
      <c r="U2205" s="173"/>
      <c r="V2205" s="168" t="s">
        <v>3883</v>
      </c>
      <c r="W2205" s="169"/>
      <c r="X2205" s="169" t="s">
        <v>8472</v>
      </c>
    </row>
    <row r="2206" ht="15.0" customHeight="1">
      <c r="A2206" s="127">
        <v>45852.0</v>
      </c>
      <c r="B2206" s="181" t="s">
        <v>8469</v>
      </c>
      <c r="C2206" s="56" t="s">
        <v>2934</v>
      </c>
      <c r="D2206" s="73" t="str">
        <f>IFERROR(VLOOKUP(C2206,Stock,3,FALSE),"")</f>
        <v>Peti Kayu</v>
      </c>
      <c r="E2206" s="56">
        <v>1.0</v>
      </c>
      <c r="F2206" s="161">
        <v>200000.0</v>
      </c>
      <c r="G2206" s="162">
        <f t="shared" si="33"/>
        <v>200000</v>
      </c>
      <c r="H2206" s="194"/>
      <c r="I2206" s="161">
        <f t="shared" si="36"/>
        <v>200000</v>
      </c>
      <c r="J2206" s="164">
        <f t="shared" si="30"/>
        <v>200000</v>
      </c>
      <c r="K2206" s="56" t="s">
        <v>8470</v>
      </c>
      <c r="L2206" s="165" t="s">
        <v>8471</v>
      </c>
      <c r="M2206" s="73"/>
      <c r="N2206" s="171"/>
      <c r="O2206" s="169" t="s">
        <v>3927</v>
      </c>
      <c r="P2206" s="168" t="s">
        <v>3112</v>
      </c>
      <c r="Q2206" s="173"/>
      <c r="R2206" s="167">
        <v>200000.0</v>
      </c>
      <c r="S2206" s="173"/>
      <c r="T2206" s="173"/>
      <c r="U2206" s="173"/>
      <c r="V2206" s="168" t="s">
        <v>3883</v>
      </c>
      <c r="W2206" s="169"/>
      <c r="X2206" s="169" t="s">
        <v>8472</v>
      </c>
    </row>
    <row r="2207" ht="15.0" customHeight="1">
      <c r="A2207" s="127">
        <v>45852.0</v>
      </c>
      <c r="B2207" s="181" t="s">
        <v>8473</v>
      </c>
      <c r="C2207" s="56" t="s">
        <v>2549</v>
      </c>
      <c r="D2207" s="73" t="str">
        <f>IFERROR(VLOOKUP(C2207,Stock,3,FALSE),"")</f>
        <v>Toyota Avanza / Xenia 11-15 2nd Gen</v>
      </c>
      <c r="E2207" s="56">
        <v>1.0</v>
      </c>
      <c r="F2207" s="161">
        <v>1049000.0</v>
      </c>
      <c r="G2207" s="162">
        <f t="shared" si="33"/>
        <v>1049000</v>
      </c>
      <c r="H2207" s="194"/>
      <c r="I2207" s="161">
        <f t="shared" si="36"/>
        <v>1049000</v>
      </c>
      <c r="J2207" s="164">
        <f t="shared" si="30"/>
        <v>1049000</v>
      </c>
      <c r="K2207" s="56" t="s">
        <v>8474</v>
      </c>
      <c r="L2207" s="165" t="s">
        <v>8475</v>
      </c>
      <c r="M2207" s="73"/>
      <c r="N2207" s="171"/>
      <c r="O2207" s="169" t="s">
        <v>2958</v>
      </c>
      <c r="P2207" s="168" t="s">
        <v>3112</v>
      </c>
      <c r="Q2207" s="167">
        <v>1049000.0</v>
      </c>
      <c r="R2207" s="173"/>
      <c r="S2207" s="173"/>
      <c r="T2207" s="173"/>
      <c r="U2207" s="173"/>
      <c r="V2207" s="168" t="s">
        <v>3883</v>
      </c>
      <c r="W2207" s="169"/>
      <c r="X2207" s="169" t="s">
        <v>8040</v>
      </c>
    </row>
    <row r="2208" ht="15.0" customHeight="1">
      <c r="A2208" s="423">
        <v>45853.0</v>
      </c>
      <c r="B2208" s="424" t="s">
        <v>8476</v>
      </c>
      <c r="C2208" s="90" t="s">
        <v>5892</v>
      </c>
      <c r="D2208" s="425" t="str">
        <f>IFERROR(VLOOKUP(C2208,Stock,3,FALSE),"")</f>
        <v>Tata Superace 11-</v>
      </c>
      <c r="E2208" s="90">
        <v>1.0</v>
      </c>
      <c r="F2208" s="426">
        <v>1169500.0</v>
      </c>
      <c r="G2208" s="427">
        <f t="shared" si="33"/>
        <v>1169500</v>
      </c>
      <c r="H2208" s="428"/>
      <c r="I2208" s="426">
        <f t="shared" si="36"/>
        <v>1169500</v>
      </c>
      <c r="J2208" s="429">
        <f t="shared" si="30"/>
        <v>1169500</v>
      </c>
      <c r="K2208" s="90" t="s">
        <v>8477</v>
      </c>
      <c r="L2208" s="90" t="s">
        <v>8478</v>
      </c>
      <c r="M2208" s="425"/>
      <c r="N2208" s="432"/>
      <c r="O2208" s="433" t="s">
        <v>4280</v>
      </c>
      <c r="P2208" s="434" t="s">
        <v>2922</v>
      </c>
      <c r="Q2208" s="435"/>
      <c r="R2208" s="435"/>
      <c r="S2208" s="247">
        <v>1169500.0</v>
      </c>
      <c r="T2208" s="435"/>
      <c r="U2208" s="435"/>
      <c r="V2208" s="434" t="s">
        <v>3883</v>
      </c>
      <c r="W2208" s="433"/>
      <c r="X2208" s="432"/>
    </row>
    <row r="2209" ht="15.0" customHeight="1">
      <c r="A2209" s="127">
        <v>45853.0</v>
      </c>
      <c r="B2209" s="181" t="s">
        <v>8476</v>
      </c>
      <c r="C2209" s="56" t="s">
        <v>2934</v>
      </c>
      <c r="D2209" s="73" t="str">
        <f>IFERROR(VLOOKUP(C2209,Stock,3,FALSE),"")</f>
        <v>Peti Kayu</v>
      </c>
      <c r="E2209" s="56">
        <v>1.0</v>
      </c>
      <c r="F2209" s="161">
        <v>200000.0</v>
      </c>
      <c r="G2209" s="162">
        <f t="shared" si="33"/>
        <v>200000</v>
      </c>
      <c r="H2209" s="194"/>
      <c r="I2209" s="161">
        <f t="shared" si="36"/>
        <v>200000</v>
      </c>
      <c r="J2209" s="164">
        <f t="shared" si="30"/>
        <v>200000</v>
      </c>
      <c r="K2209" s="56" t="s">
        <v>8477</v>
      </c>
      <c r="L2209" s="56" t="s">
        <v>8478</v>
      </c>
      <c r="M2209" s="73"/>
      <c r="N2209" s="171"/>
      <c r="O2209" s="169" t="s">
        <v>4280</v>
      </c>
      <c r="P2209" s="168" t="s">
        <v>2922</v>
      </c>
      <c r="Q2209" s="173"/>
      <c r="R2209" s="167">
        <v>200000.0</v>
      </c>
      <c r="S2209" s="173"/>
      <c r="T2209" s="173"/>
      <c r="U2209" s="173"/>
      <c r="V2209" s="168" t="s">
        <v>3883</v>
      </c>
      <c r="W2209" s="169"/>
      <c r="X2209" s="169" t="s">
        <v>8479</v>
      </c>
    </row>
    <row r="2210" ht="15.0" customHeight="1">
      <c r="A2210" s="127">
        <v>45853.0</v>
      </c>
      <c r="B2210" s="181" t="s">
        <v>8480</v>
      </c>
      <c r="C2210" s="56" t="s">
        <v>2546</v>
      </c>
      <c r="D2210" s="73" t="str">
        <f>IFERROR(VLOOKUP(C2210,Stock,3,FALSE),"")</f>
        <v>Wuling Confero (Tanpa Spionnya)</v>
      </c>
      <c r="E2210" s="56">
        <v>1.0</v>
      </c>
      <c r="F2210" s="161">
        <v>1522000.0</v>
      </c>
      <c r="G2210" s="162">
        <f t="shared" si="33"/>
        <v>1522000</v>
      </c>
      <c r="H2210" s="194"/>
      <c r="I2210" s="161">
        <f t="shared" si="36"/>
        <v>1522000</v>
      </c>
      <c r="J2210" s="164">
        <f t="shared" si="30"/>
        <v>1522000</v>
      </c>
      <c r="K2210" s="56" t="s">
        <v>8481</v>
      </c>
      <c r="L2210" s="165" t="s">
        <v>7065</v>
      </c>
      <c r="M2210" s="73"/>
      <c r="N2210" s="169" t="s">
        <v>8482</v>
      </c>
      <c r="O2210" s="169" t="s">
        <v>4072</v>
      </c>
      <c r="P2210" s="168" t="s">
        <v>3112</v>
      </c>
      <c r="Q2210" s="167">
        <v>1522000.0</v>
      </c>
      <c r="R2210" s="173"/>
      <c r="S2210" s="173"/>
      <c r="T2210" s="173"/>
      <c r="U2210" s="173"/>
      <c r="V2210" s="168" t="s">
        <v>3883</v>
      </c>
      <c r="W2210" s="169"/>
      <c r="X2210" s="169" t="s">
        <v>8483</v>
      </c>
    </row>
    <row r="2211" ht="15.0" customHeight="1">
      <c r="A2211" s="127">
        <v>45853.0</v>
      </c>
      <c r="B2211" s="181" t="s">
        <v>8484</v>
      </c>
      <c r="C2211" s="56" t="s">
        <v>3745</v>
      </c>
      <c r="D2211" s="73" t="str">
        <f>IFERROR(VLOOKUP(C2211,Stock,3,FALSE),"")</f>
        <v>Honda Brio 10- / Mobilio 11-</v>
      </c>
      <c r="E2211" s="56">
        <v>1.0</v>
      </c>
      <c r="F2211" s="161">
        <v>1850000.0</v>
      </c>
      <c r="G2211" s="162">
        <f t="shared" si="33"/>
        <v>1850000</v>
      </c>
      <c r="H2211" s="201">
        <v>185000.0</v>
      </c>
      <c r="I2211" s="161">
        <f t="shared" si="36"/>
        <v>1665000</v>
      </c>
      <c r="J2211" s="164">
        <f t="shared" si="30"/>
        <v>1665000</v>
      </c>
      <c r="K2211" s="56" t="s">
        <v>8485</v>
      </c>
      <c r="L2211" s="165" t="s">
        <v>8486</v>
      </c>
      <c r="M2211" s="73"/>
      <c r="N2211" s="169" t="s">
        <v>8487</v>
      </c>
      <c r="O2211" s="169" t="s">
        <v>2958</v>
      </c>
      <c r="P2211" s="168" t="s">
        <v>3112</v>
      </c>
      <c r="Q2211" s="167">
        <v>1500000.0</v>
      </c>
      <c r="R2211" s="167">
        <v>165000.0</v>
      </c>
      <c r="S2211" s="173"/>
      <c r="T2211" s="173"/>
      <c r="U2211" s="173"/>
      <c r="V2211" s="168" t="s">
        <v>3883</v>
      </c>
      <c r="W2211" s="169"/>
      <c r="X2211" s="169" t="s">
        <v>8488</v>
      </c>
    </row>
    <row r="2212" ht="15.0" customHeight="1">
      <c r="A2212" s="127">
        <v>45853.0</v>
      </c>
      <c r="B2212" s="181" t="s">
        <v>8489</v>
      </c>
      <c r="C2212" s="56" t="s">
        <v>8490</v>
      </c>
      <c r="D2212" s="73" t="str">
        <f>IFERROR(VLOOKUP(C2212,Stock,3,FALSE),"")</f>
        <v>Honda City 14-18 GM6</v>
      </c>
      <c r="E2212" s="56">
        <v>1.0</v>
      </c>
      <c r="F2212" s="161">
        <v>1865000.0</v>
      </c>
      <c r="G2212" s="162">
        <f t="shared" si="33"/>
        <v>1865000</v>
      </c>
      <c r="H2212" s="194"/>
      <c r="I2212" s="161">
        <f t="shared" si="36"/>
        <v>1865000</v>
      </c>
      <c r="J2212" s="164">
        <f t="shared" si="30"/>
        <v>1865000</v>
      </c>
      <c r="K2212" s="56" t="s">
        <v>4271</v>
      </c>
      <c r="L2212" s="165" t="s">
        <v>4001</v>
      </c>
      <c r="M2212" s="73"/>
      <c r="N2212" s="171"/>
      <c r="O2212" s="169" t="s">
        <v>2958</v>
      </c>
      <c r="P2212" s="168" t="s">
        <v>3112</v>
      </c>
      <c r="Q2212" s="167">
        <v>1865000.0</v>
      </c>
      <c r="R2212" s="173"/>
      <c r="S2212" s="173"/>
      <c r="T2212" s="173"/>
      <c r="U2212" s="173"/>
      <c r="V2212" s="168" t="s">
        <v>3883</v>
      </c>
      <c r="W2212" s="169"/>
      <c r="X2212" s="169" t="s">
        <v>8483</v>
      </c>
    </row>
    <row r="2213" ht="15.0" customHeight="1">
      <c r="A2213" s="127">
        <v>45853.0</v>
      </c>
      <c r="B2213" s="181" t="s">
        <v>8489</v>
      </c>
      <c r="C2213" s="56" t="s">
        <v>2954</v>
      </c>
      <c r="D2213" s="73" t="str">
        <f>IFERROR(VLOOKUP(C2213,Stock,3,FALSE),"")</f>
        <v>Transport</v>
      </c>
      <c r="E2213" s="56">
        <v>1.0</v>
      </c>
      <c r="F2213" s="161">
        <v>100000.0</v>
      </c>
      <c r="G2213" s="162">
        <f t="shared" si="33"/>
        <v>100000</v>
      </c>
      <c r="H2213" s="194"/>
      <c r="I2213" s="161">
        <f t="shared" si="36"/>
        <v>100000</v>
      </c>
      <c r="J2213" s="164">
        <f t="shared" si="30"/>
        <v>100000</v>
      </c>
      <c r="K2213" s="56" t="s">
        <v>4271</v>
      </c>
      <c r="L2213" s="165" t="s">
        <v>4001</v>
      </c>
      <c r="M2213" s="73"/>
      <c r="N2213" s="171"/>
      <c r="O2213" s="169" t="s">
        <v>2958</v>
      </c>
      <c r="P2213" s="168" t="s">
        <v>3112</v>
      </c>
      <c r="Q2213" s="167">
        <v>100000.0</v>
      </c>
      <c r="R2213" s="173"/>
      <c r="S2213" s="173"/>
      <c r="T2213" s="173"/>
      <c r="U2213" s="173"/>
      <c r="V2213" s="168" t="s">
        <v>3883</v>
      </c>
      <c r="W2213" s="169"/>
      <c r="X2213" s="169" t="s">
        <v>8483</v>
      </c>
    </row>
    <row r="2214" ht="15.0" customHeight="1">
      <c r="A2214" s="127">
        <v>45853.0</v>
      </c>
      <c r="B2214" s="181" t="s">
        <v>8491</v>
      </c>
      <c r="C2214" s="56" t="s">
        <v>8323</v>
      </c>
      <c r="D2214" s="73" t="str">
        <f>IFERROR(VLOOKUP(C2214,Stock,3,FALSE),"")</f>
        <v>Honda CR-V 02-06 2nd Gen</v>
      </c>
      <c r="E2214" s="56">
        <v>1.0</v>
      </c>
      <c r="F2214" s="161">
        <v>2085000.0</v>
      </c>
      <c r="G2214" s="162">
        <f t="shared" si="33"/>
        <v>2085000</v>
      </c>
      <c r="H2214" s="194"/>
      <c r="I2214" s="161">
        <f t="shared" si="36"/>
        <v>2085000</v>
      </c>
      <c r="J2214" s="164">
        <f t="shared" si="30"/>
        <v>2085000</v>
      </c>
      <c r="K2214" s="56" t="s">
        <v>6440</v>
      </c>
      <c r="L2214" s="165" t="s">
        <v>8492</v>
      </c>
      <c r="M2214" s="73"/>
      <c r="N2214" s="169" t="s">
        <v>8493</v>
      </c>
      <c r="O2214" s="169" t="s">
        <v>2958</v>
      </c>
      <c r="P2214" s="168" t="s">
        <v>3112</v>
      </c>
      <c r="Q2214" s="167">
        <v>2085000.0</v>
      </c>
      <c r="R2214" s="173"/>
      <c r="S2214" s="173"/>
      <c r="T2214" s="173"/>
      <c r="U2214" s="173"/>
      <c r="V2214" s="168" t="s">
        <v>3883</v>
      </c>
      <c r="W2214" s="169"/>
      <c r="X2214" s="169" t="s">
        <v>8483</v>
      </c>
    </row>
    <row r="2215" ht="15.0" customHeight="1">
      <c r="A2215" s="127">
        <v>45854.0</v>
      </c>
      <c r="B2215" s="181" t="s">
        <v>8494</v>
      </c>
      <c r="C2215" s="56" t="s">
        <v>6156</v>
      </c>
      <c r="D2215" s="73" t="str">
        <f>IFERROR(VLOOKUP(C2215,Stock,3,FALSE),"")</f>
        <v>Toyota Voxy 17- (Hitam)</v>
      </c>
      <c r="E2215" s="56">
        <v>1.0</v>
      </c>
      <c r="F2215" s="161">
        <v>3067000.0</v>
      </c>
      <c r="G2215" s="162">
        <f t="shared" si="33"/>
        <v>3067000</v>
      </c>
      <c r="H2215" s="194"/>
      <c r="I2215" s="161">
        <f t="shared" si="36"/>
        <v>3067000</v>
      </c>
      <c r="J2215" s="164">
        <f t="shared" si="30"/>
        <v>3067000</v>
      </c>
      <c r="K2215" s="56" t="s">
        <v>8495</v>
      </c>
      <c r="L2215" s="165" t="s">
        <v>8496</v>
      </c>
      <c r="M2215" s="73"/>
      <c r="N2215" s="169" t="s">
        <v>8497</v>
      </c>
      <c r="O2215" s="169" t="s">
        <v>2958</v>
      </c>
      <c r="P2215" s="168" t="s">
        <v>3112</v>
      </c>
      <c r="Q2215" s="173"/>
      <c r="R2215" s="167">
        <v>3067000.0</v>
      </c>
      <c r="S2215" s="173"/>
      <c r="T2215" s="173"/>
      <c r="U2215" s="173"/>
      <c r="V2215" s="168" t="s">
        <v>3883</v>
      </c>
      <c r="W2215" s="169"/>
      <c r="X2215" s="169" t="s">
        <v>8498</v>
      </c>
    </row>
    <row r="2216" ht="15.0" customHeight="1">
      <c r="A2216" s="127">
        <v>45854.0</v>
      </c>
      <c r="B2216" s="181" t="s">
        <v>8499</v>
      </c>
      <c r="C2216" s="56" t="s">
        <v>2546</v>
      </c>
      <c r="D2216" s="73" t="str">
        <f>IFERROR(VLOOKUP(C2216,Stock,3,FALSE),"")</f>
        <v>Wuling Confero (Tanpa Spionnya)</v>
      </c>
      <c r="E2216" s="56">
        <v>1.0</v>
      </c>
      <c r="F2216" s="161">
        <v>1522000.0</v>
      </c>
      <c r="G2216" s="162">
        <f t="shared" si="33"/>
        <v>1522000</v>
      </c>
      <c r="H2216" s="194"/>
      <c r="I2216" s="161">
        <f t="shared" si="36"/>
        <v>1522000</v>
      </c>
      <c r="J2216" s="164">
        <f t="shared" si="30"/>
        <v>1522000</v>
      </c>
      <c r="K2216" s="56" t="s">
        <v>8500</v>
      </c>
      <c r="L2216" s="165" t="s">
        <v>8501</v>
      </c>
      <c r="M2216" s="73"/>
      <c r="N2216" s="169" t="s">
        <v>8502</v>
      </c>
      <c r="O2216" s="169" t="s">
        <v>2958</v>
      </c>
      <c r="P2216" s="168" t="s">
        <v>3112</v>
      </c>
      <c r="Q2216" s="167">
        <v>1522000.0</v>
      </c>
      <c r="R2216" s="173"/>
      <c r="S2216" s="173"/>
      <c r="T2216" s="173"/>
      <c r="U2216" s="173"/>
      <c r="V2216" s="168" t="s">
        <v>3883</v>
      </c>
      <c r="W2216" s="169"/>
      <c r="X2216" s="169" t="s">
        <v>8483</v>
      </c>
    </row>
    <row r="2217" ht="15.0" customHeight="1">
      <c r="A2217" s="127">
        <v>45854.0</v>
      </c>
      <c r="B2217" s="181" t="s">
        <v>8503</v>
      </c>
      <c r="C2217" s="56" t="s">
        <v>3127</v>
      </c>
      <c r="D2217" s="73" t="str">
        <f>IFERROR(VLOOKUP(C2217,Stock,3,FALSE),"")</f>
        <v>Toyota Avanza / Xenia 03-11 1st Gen</v>
      </c>
      <c r="E2217" s="56">
        <v>1.0</v>
      </c>
      <c r="F2217" s="161">
        <v>839000.0</v>
      </c>
      <c r="G2217" s="162">
        <f t="shared" si="33"/>
        <v>839000</v>
      </c>
      <c r="H2217" s="194"/>
      <c r="I2217" s="161">
        <f t="shared" si="36"/>
        <v>839000</v>
      </c>
      <c r="J2217" s="164">
        <f t="shared" si="30"/>
        <v>839000</v>
      </c>
      <c r="K2217" s="56" t="s">
        <v>8504</v>
      </c>
      <c r="L2217" s="165" t="s">
        <v>8505</v>
      </c>
      <c r="M2217" s="73"/>
      <c r="N2217" s="169" t="s">
        <v>8506</v>
      </c>
      <c r="O2217" s="169" t="s">
        <v>2958</v>
      </c>
      <c r="P2217" s="168" t="s">
        <v>3112</v>
      </c>
      <c r="Q2217" s="173"/>
      <c r="R2217" s="167">
        <v>839000.0</v>
      </c>
      <c r="S2217" s="173"/>
      <c r="T2217" s="173"/>
      <c r="U2217" s="173"/>
      <c r="V2217" s="168" t="s">
        <v>3883</v>
      </c>
      <c r="W2217" s="169"/>
      <c r="X2217" s="169" t="s">
        <v>8507</v>
      </c>
    </row>
    <row r="2218" ht="15.0" customHeight="1">
      <c r="A2218" s="127">
        <v>45854.0</v>
      </c>
      <c r="B2218" s="181" t="s">
        <v>8503</v>
      </c>
      <c r="C2218" s="56" t="s">
        <v>3513</v>
      </c>
      <c r="D2218" s="73" t="str">
        <f>IFERROR(VLOOKUP(C2218,Stock,3,FALSE),"")</f>
        <v>Lembur</v>
      </c>
      <c r="E2218" s="56">
        <v>1.0</v>
      </c>
      <c r="F2218" s="161">
        <v>75000.0</v>
      </c>
      <c r="G2218" s="162">
        <f t="shared" si="33"/>
        <v>75000</v>
      </c>
      <c r="H2218" s="194"/>
      <c r="I2218" s="161">
        <f t="shared" si="36"/>
        <v>75000</v>
      </c>
      <c r="J2218" s="164">
        <f t="shared" si="30"/>
        <v>75000</v>
      </c>
      <c r="K2218" s="56" t="s">
        <v>8504</v>
      </c>
      <c r="L2218" s="165" t="s">
        <v>8505</v>
      </c>
      <c r="M2218" s="73"/>
      <c r="N2218" s="169" t="s">
        <v>8506</v>
      </c>
      <c r="O2218" s="169" t="s">
        <v>2958</v>
      </c>
      <c r="P2218" s="168" t="s">
        <v>3112</v>
      </c>
      <c r="Q2218" s="173"/>
      <c r="R2218" s="167">
        <v>75000.0</v>
      </c>
      <c r="S2218" s="173"/>
      <c r="T2218" s="173"/>
      <c r="U2218" s="173"/>
      <c r="V2218" s="168" t="s">
        <v>3883</v>
      </c>
      <c r="W2218" s="169"/>
      <c r="X2218" s="169" t="s">
        <v>8507</v>
      </c>
    </row>
    <row r="2219" ht="15.0" customHeight="1">
      <c r="A2219" s="127">
        <v>45855.0</v>
      </c>
      <c r="B2219" s="181" t="s">
        <v>8508</v>
      </c>
      <c r="C2219" s="56" t="s">
        <v>8460</v>
      </c>
      <c r="D2219" s="73" t="str">
        <f>IFERROR(VLOOKUP(C2219,Stock,3,FALSE),"")</f>
        <v>Toyota Avanza / Xenia 11-15 2nd Gen / 15-21 3rd Gen</v>
      </c>
      <c r="E2219" s="56">
        <v>1.0</v>
      </c>
      <c r="F2219" s="161">
        <v>839000.0</v>
      </c>
      <c r="G2219" s="162">
        <f t="shared" si="33"/>
        <v>839000</v>
      </c>
      <c r="H2219" s="194"/>
      <c r="I2219" s="161">
        <f t="shared" si="36"/>
        <v>839000</v>
      </c>
      <c r="J2219" s="164">
        <f t="shared" si="30"/>
        <v>839000</v>
      </c>
      <c r="K2219" s="56" t="s">
        <v>8509</v>
      </c>
      <c r="L2219" s="165" t="s">
        <v>7391</v>
      </c>
      <c r="M2219" s="73"/>
      <c r="N2219" s="171"/>
      <c r="O2219" s="169" t="s">
        <v>3204</v>
      </c>
      <c r="P2219" s="168" t="s">
        <v>3112</v>
      </c>
      <c r="Q2219" s="173"/>
      <c r="R2219" s="167">
        <v>839000.0</v>
      </c>
      <c r="S2219" s="173"/>
      <c r="T2219" s="173"/>
      <c r="U2219" s="173"/>
      <c r="V2219" s="168" t="s">
        <v>3883</v>
      </c>
      <c r="W2219" s="169"/>
      <c r="X2219" s="171"/>
    </row>
    <row r="2220" ht="15.0" customHeight="1">
      <c r="A2220" s="127">
        <v>45855.0</v>
      </c>
      <c r="B2220" s="181" t="s">
        <v>8508</v>
      </c>
      <c r="C2220" s="56" t="s">
        <v>2954</v>
      </c>
      <c r="D2220" s="73" t="str">
        <f>IFERROR(VLOOKUP(C2220,Stock,3,FALSE),"")</f>
        <v>Transport</v>
      </c>
      <c r="E2220" s="56">
        <v>1.0</v>
      </c>
      <c r="F2220" s="161">
        <v>120000.0</v>
      </c>
      <c r="G2220" s="162">
        <f t="shared" si="33"/>
        <v>120000</v>
      </c>
      <c r="H2220" s="194"/>
      <c r="I2220" s="161">
        <f t="shared" si="36"/>
        <v>120000</v>
      </c>
      <c r="J2220" s="164">
        <f t="shared" si="30"/>
        <v>120000</v>
      </c>
      <c r="K2220" s="56" t="s">
        <v>8509</v>
      </c>
      <c r="L2220" s="165" t="s">
        <v>7391</v>
      </c>
      <c r="M2220" s="73"/>
      <c r="N2220" s="171"/>
      <c r="O2220" s="169" t="s">
        <v>3204</v>
      </c>
      <c r="P2220" s="168" t="s">
        <v>3112</v>
      </c>
      <c r="Q2220" s="173"/>
      <c r="R2220" s="167">
        <v>120000.0</v>
      </c>
      <c r="S2220" s="173"/>
      <c r="T2220" s="173"/>
      <c r="U2220" s="173"/>
      <c r="V2220" s="168" t="s">
        <v>3883</v>
      </c>
      <c r="W2220" s="169"/>
      <c r="X2220" s="171"/>
    </row>
    <row r="2221" ht="15.0" customHeight="1">
      <c r="A2221" s="127">
        <v>45855.0</v>
      </c>
      <c r="B2221" s="181" t="s">
        <v>8510</v>
      </c>
      <c r="C2221" s="56" t="s">
        <v>5528</v>
      </c>
      <c r="D2221" s="73" t="str">
        <f>IFERROR(VLOOKUP(C2221,Stock,3,FALSE),"")</f>
        <v>Toyota Innova 15-22 2nd Gen (Toyota)</v>
      </c>
      <c r="E2221" s="56">
        <v>1.0</v>
      </c>
      <c r="F2221" s="161">
        <v>2988000.0</v>
      </c>
      <c r="G2221" s="162">
        <f t="shared" si="33"/>
        <v>2988000</v>
      </c>
      <c r="H2221" s="201">
        <v>298800.0</v>
      </c>
      <c r="I2221" s="161">
        <f t="shared" si="36"/>
        <v>2689200</v>
      </c>
      <c r="J2221" s="164">
        <f t="shared" si="30"/>
        <v>2689200</v>
      </c>
      <c r="K2221" s="56" t="s">
        <v>4831</v>
      </c>
      <c r="L2221" s="165" t="s">
        <v>5242</v>
      </c>
      <c r="M2221" s="73"/>
      <c r="N2221" s="171"/>
      <c r="O2221" s="169" t="s">
        <v>2958</v>
      </c>
      <c r="P2221" s="168" t="s">
        <v>3112</v>
      </c>
      <c r="Q2221" s="173"/>
      <c r="R2221" s="167">
        <v>2689200.0</v>
      </c>
      <c r="S2221" s="173"/>
      <c r="T2221" s="173"/>
      <c r="U2221" s="173"/>
      <c r="V2221" s="168" t="s">
        <v>3883</v>
      </c>
      <c r="W2221" s="169"/>
      <c r="X2221" s="169" t="s">
        <v>8511</v>
      </c>
    </row>
    <row r="2222" ht="15.0" customHeight="1">
      <c r="A2222" s="423">
        <v>45855.0</v>
      </c>
      <c r="B2222" s="424" t="s">
        <v>8512</v>
      </c>
      <c r="C2222" s="90" t="s">
        <v>4005</v>
      </c>
      <c r="D2222" s="425" t="str">
        <f>IFERROR(VLOOKUP(C2222,Stock,3,FALSE),"")</f>
        <v>Toyota Fortuner 15- 2nd Gen</v>
      </c>
      <c r="E2222" s="90">
        <v>1.0</v>
      </c>
      <c r="F2222" s="426">
        <v>1520000.0</v>
      </c>
      <c r="G2222" s="427">
        <f t="shared" si="33"/>
        <v>1520000</v>
      </c>
      <c r="H2222" s="428"/>
      <c r="I2222" s="426">
        <f t="shared" si="36"/>
        <v>1520000</v>
      </c>
      <c r="J2222" s="429">
        <f t="shared" si="30"/>
        <v>1520000</v>
      </c>
      <c r="K2222" s="90" t="s">
        <v>8513</v>
      </c>
      <c r="L2222" s="90" t="s">
        <v>8514</v>
      </c>
      <c r="M2222" s="425"/>
      <c r="N2222" s="432"/>
      <c r="O2222" s="433" t="s">
        <v>2958</v>
      </c>
      <c r="P2222" s="434" t="s">
        <v>2922</v>
      </c>
      <c r="Q2222" s="435"/>
      <c r="R2222" s="435"/>
      <c r="S2222" s="247">
        <v>1520000.0</v>
      </c>
      <c r="T2222" s="435"/>
      <c r="U2222" s="435"/>
      <c r="V2222" s="434" t="s">
        <v>3883</v>
      </c>
      <c r="W2222" s="433"/>
      <c r="X2222" s="432"/>
    </row>
    <row r="2223" ht="15.0" customHeight="1">
      <c r="A2223" s="127">
        <v>45855.0</v>
      </c>
      <c r="B2223" s="181" t="s">
        <v>8512</v>
      </c>
      <c r="C2223" s="56" t="s">
        <v>2954</v>
      </c>
      <c r="D2223" s="73" t="str">
        <f>IFERROR(VLOOKUP(C2223,Stock,3,FALSE),"")</f>
        <v>Transport</v>
      </c>
      <c r="E2223" s="56">
        <v>1.0</v>
      </c>
      <c r="F2223" s="161">
        <v>80000.0</v>
      </c>
      <c r="G2223" s="162">
        <f t="shared" si="33"/>
        <v>80000</v>
      </c>
      <c r="H2223" s="194"/>
      <c r="I2223" s="161">
        <f t="shared" si="36"/>
        <v>80000</v>
      </c>
      <c r="J2223" s="164">
        <f t="shared" si="30"/>
        <v>80000</v>
      </c>
      <c r="K2223" s="56" t="s">
        <v>8513</v>
      </c>
      <c r="L2223" s="56" t="s">
        <v>8514</v>
      </c>
      <c r="M2223" s="73"/>
      <c r="N2223" s="171"/>
      <c r="O2223" s="169" t="s">
        <v>2958</v>
      </c>
      <c r="P2223" s="168" t="s">
        <v>2922</v>
      </c>
      <c r="Q2223" s="167">
        <v>80000.0</v>
      </c>
      <c r="R2223" s="173"/>
      <c r="S2223" s="173"/>
      <c r="T2223" s="173"/>
      <c r="U2223" s="173"/>
      <c r="V2223" s="168" t="s">
        <v>3883</v>
      </c>
      <c r="W2223" s="169"/>
      <c r="X2223" s="171"/>
    </row>
    <row r="2224" ht="15.0" customHeight="1">
      <c r="A2224" s="423">
        <v>45855.0</v>
      </c>
      <c r="B2224" s="424" t="s">
        <v>8515</v>
      </c>
      <c r="C2224" s="90" t="s">
        <v>3622</v>
      </c>
      <c r="D2224" s="425" t="str">
        <f>IFERROR(VLOOKUP(C2224,Stock,3,FALSE),"")</f>
        <v>Mitsubishi Pajero 08-16</v>
      </c>
      <c r="E2224" s="90">
        <v>1.0</v>
      </c>
      <c r="F2224" s="426">
        <v>1272600.0</v>
      </c>
      <c r="G2224" s="427">
        <f t="shared" si="33"/>
        <v>1272600</v>
      </c>
      <c r="H2224" s="428"/>
      <c r="I2224" s="426">
        <f t="shared" si="36"/>
        <v>1272600</v>
      </c>
      <c r="J2224" s="429">
        <f t="shared" si="30"/>
        <v>1272600</v>
      </c>
      <c r="K2224" s="90" t="s">
        <v>8516</v>
      </c>
      <c r="L2224" s="431" t="s">
        <v>8517</v>
      </c>
      <c r="M2224" s="425"/>
      <c r="N2224" s="432"/>
      <c r="O2224" s="433" t="s">
        <v>4072</v>
      </c>
      <c r="P2224" s="434" t="s">
        <v>2922</v>
      </c>
      <c r="Q2224" s="435"/>
      <c r="R2224" s="435"/>
      <c r="S2224" s="247">
        <v>1272600.0</v>
      </c>
      <c r="T2224" s="435"/>
      <c r="U2224" s="435"/>
      <c r="V2224" s="434" t="s">
        <v>3883</v>
      </c>
      <c r="W2224" s="433"/>
      <c r="X2224" s="432"/>
    </row>
    <row r="2225" ht="15.0" customHeight="1">
      <c r="A2225" s="127">
        <v>45855.0</v>
      </c>
      <c r="B2225" s="181" t="s">
        <v>8515</v>
      </c>
      <c r="C2225" s="56" t="s">
        <v>3045</v>
      </c>
      <c r="D2225" s="73" t="str">
        <f>IFERROR(VLOOKUP(C2225,Stock,3,FALSE),"")</f>
        <v>Pemasangan Kaca Mobil Depan</v>
      </c>
      <c r="E2225" s="56">
        <v>1.0</v>
      </c>
      <c r="F2225" s="161">
        <v>200000.0</v>
      </c>
      <c r="G2225" s="162">
        <f t="shared" si="33"/>
        <v>200000</v>
      </c>
      <c r="H2225" s="194"/>
      <c r="I2225" s="161">
        <f t="shared" si="36"/>
        <v>200000</v>
      </c>
      <c r="J2225" s="164">
        <f t="shared" si="30"/>
        <v>200000</v>
      </c>
      <c r="K2225" s="310" t="s">
        <v>8516</v>
      </c>
      <c r="L2225" s="165" t="s">
        <v>8517</v>
      </c>
      <c r="M2225" s="73"/>
      <c r="N2225" s="171"/>
      <c r="O2225" s="169" t="s">
        <v>4072</v>
      </c>
      <c r="P2225" s="168" t="s">
        <v>2922</v>
      </c>
      <c r="Q2225" s="167">
        <v>200000.0</v>
      </c>
      <c r="R2225" s="173"/>
      <c r="S2225" s="173"/>
      <c r="T2225" s="173"/>
      <c r="U2225" s="173"/>
      <c r="V2225" s="168" t="s">
        <v>3883</v>
      </c>
      <c r="W2225" s="169"/>
      <c r="X2225" s="169" t="s">
        <v>8483</v>
      </c>
    </row>
    <row r="2226" ht="15.0" customHeight="1">
      <c r="A2226" s="127">
        <v>45855.0</v>
      </c>
      <c r="B2226" s="181" t="s">
        <v>8518</v>
      </c>
      <c r="C2226" s="56" t="s">
        <v>5365</v>
      </c>
      <c r="D2226" s="73" t="str">
        <f>IFERROR(VLOOKUP(C2226,Stock,3,FALSE),"")</f>
        <v>Nissan Livina  07-12 L10 (Tanpa Lubang) Nissan</v>
      </c>
      <c r="E2226" s="56">
        <v>1.0</v>
      </c>
      <c r="F2226" s="161">
        <v>1620000.0</v>
      </c>
      <c r="G2226" s="162">
        <f t="shared" si="33"/>
        <v>1620000</v>
      </c>
      <c r="H2226" s="201">
        <v>162000.0</v>
      </c>
      <c r="I2226" s="161">
        <f t="shared" si="36"/>
        <v>1458000</v>
      </c>
      <c r="J2226" s="164">
        <f t="shared" si="30"/>
        <v>1458000</v>
      </c>
      <c r="K2226" s="56" t="s">
        <v>8519</v>
      </c>
      <c r="L2226" s="165" t="s">
        <v>5503</v>
      </c>
      <c r="M2226" s="73"/>
      <c r="N2226" s="169" t="s">
        <v>8520</v>
      </c>
      <c r="O2226" s="169" t="s">
        <v>2958</v>
      </c>
      <c r="P2226" s="168" t="s">
        <v>3112</v>
      </c>
      <c r="Q2226" s="173"/>
      <c r="R2226" s="167">
        <v>1485000.0</v>
      </c>
      <c r="S2226" s="173"/>
      <c r="T2226" s="173"/>
      <c r="U2226" s="173"/>
      <c r="V2226" s="168" t="s">
        <v>3883</v>
      </c>
      <c r="W2226" s="169"/>
      <c r="X2226" s="169" t="s">
        <v>8521</v>
      </c>
    </row>
    <row r="2227" ht="15.0" customHeight="1">
      <c r="A2227" s="127">
        <v>45855.0</v>
      </c>
      <c r="B2227" s="181" t="s">
        <v>8522</v>
      </c>
      <c r="C2227" s="56" t="s">
        <v>8523</v>
      </c>
      <c r="D2227" s="73" t="str">
        <f>IFERROR(VLOOKUP(C2227,Stock,3,FALSE),"")</f>
        <v>Suzuki Wagon R 12- (Suzuki)</v>
      </c>
      <c r="E2227" s="56">
        <v>1.0</v>
      </c>
      <c r="F2227" s="161">
        <v>1150000.0</v>
      </c>
      <c r="G2227" s="162">
        <f t="shared" si="33"/>
        <v>1150000</v>
      </c>
      <c r="H2227" s="194"/>
      <c r="I2227" s="161">
        <f t="shared" si="36"/>
        <v>1150000</v>
      </c>
      <c r="J2227" s="164">
        <f t="shared" si="30"/>
        <v>1150000</v>
      </c>
      <c r="K2227" s="56" t="s">
        <v>8524</v>
      </c>
      <c r="L2227" s="165" t="s">
        <v>8525</v>
      </c>
      <c r="M2227" s="73"/>
      <c r="N2227" s="171"/>
      <c r="O2227" s="169" t="s">
        <v>3213</v>
      </c>
      <c r="P2227" s="168" t="s">
        <v>3112</v>
      </c>
      <c r="Q2227" s="173"/>
      <c r="R2227" s="167">
        <v>1150000.0</v>
      </c>
      <c r="S2227" s="173"/>
      <c r="T2227" s="173"/>
      <c r="U2227" s="173"/>
      <c r="V2227" s="168" t="s">
        <v>3883</v>
      </c>
      <c r="W2227" s="169"/>
      <c r="X2227" s="169" t="s">
        <v>8526</v>
      </c>
    </row>
    <row r="2228" ht="15.0" customHeight="1">
      <c r="A2228" s="127">
        <v>45855.0</v>
      </c>
      <c r="B2228" s="181" t="s">
        <v>8527</v>
      </c>
      <c r="C2228" s="56" t="s">
        <v>2744</v>
      </c>
      <c r="D2228" s="73" t="str">
        <f>IFERROR(VLOOKUP(C2228,Stock,3,FALSE),"")</f>
        <v>Toyota Fortuner 05-15 1st Gen (Hitam)</v>
      </c>
      <c r="E2228" s="56">
        <v>1.0</v>
      </c>
      <c r="F2228" s="161">
        <v>2199000.0</v>
      </c>
      <c r="G2228" s="162">
        <f t="shared" si="33"/>
        <v>2199000</v>
      </c>
      <c r="H2228" s="194"/>
      <c r="I2228" s="161">
        <f t="shared" si="36"/>
        <v>2199000</v>
      </c>
      <c r="J2228" s="164">
        <f t="shared" si="30"/>
        <v>2199000</v>
      </c>
      <c r="K2228" s="56" t="s">
        <v>8528</v>
      </c>
      <c r="L2228" s="165" t="s">
        <v>8529</v>
      </c>
      <c r="M2228" s="73"/>
      <c r="N2228" s="169" t="s">
        <v>8530</v>
      </c>
      <c r="O2228" s="169" t="s">
        <v>2958</v>
      </c>
      <c r="P2228" s="168" t="s">
        <v>3112</v>
      </c>
      <c r="Q2228" s="173"/>
      <c r="R2228" s="167">
        <v>2199000.0</v>
      </c>
      <c r="S2228" s="173"/>
      <c r="T2228" s="173"/>
      <c r="U2228" s="173"/>
      <c r="V2228" s="168" t="s">
        <v>3883</v>
      </c>
      <c r="W2228" s="169"/>
      <c r="X2228" s="169" t="s">
        <v>8531</v>
      </c>
    </row>
    <row r="2229" ht="15.0" customHeight="1">
      <c r="A2229" s="127">
        <v>45855.0</v>
      </c>
      <c r="B2229" s="181" t="s">
        <v>8527</v>
      </c>
      <c r="C2229" s="56" t="s">
        <v>8532</v>
      </c>
      <c r="D2229" s="73" t="str">
        <f>IFERROR(VLOOKUP(C2229,Stock,3,FALSE),"")</f>
        <v>Toyota Fortuner 05-15 1st Gen (Hitam)</v>
      </c>
      <c r="E2229" s="56">
        <v>1.0</v>
      </c>
      <c r="F2229" s="161">
        <v>1131000.0</v>
      </c>
      <c r="G2229" s="162">
        <f t="shared" si="33"/>
        <v>1131000</v>
      </c>
      <c r="H2229" s="194"/>
      <c r="I2229" s="161">
        <f t="shared" si="36"/>
        <v>1131000</v>
      </c>
      <c r="J2229" s="164">
        <f t="shared" si="30"/>
        <v>1131000</v>
      </c>
      <c r="K2229" s="56" t="s">
        <v>8528</v>
      </c>
      <c r="L2229" s="165" t="s">
        <v>8529</v>
      </c>
      <c r="M2229" s="73"/>
      <c r="N2229" s="169" t="s">
        <v>8530</v>
      </c>
      <c r="O2229" s="169" t="s">
        <v>2958</v>
      </c>
      <c r="P2229" s="168" t="s">
        <v>3112</v>
      </c>
      <c r="Q2229" s="173"/>
      <c r="R2229" s="167">
        <v>1131000.0</v>
      </c>
      <c r="S2229" s="173"/>
      <c r="T2229" s="173"/>
      <c r="U2229" s="173"/>
      <c r="V2229" s="168" t="s">
        <v>3883</v>
      </c>
      <c r="W2229" s="169"/>
      <c r="X2229" s="169" t="s">
        <v>8531</v>
      </c>
    </row>
    <row r="2230" ht="15.0" customHeight="1">
      <c r="A2230" s="127">
        <v>45856.0</v>
      </c>
      <c r="B2230" s="181" t="s">
        <v>8533</v>
      </c>
      <c r="C2230" s="56" t="s">
        <v>8460</v>
      </c>
      <c r="D2230" s="73" t="str">
        <f>IFERROR(VLOOKUP(C2230,Stock,3,FALSE),"")</f>
        <v>Toyota Avanza / Xenia 11-15 2nd Gen / 15-21 3rd Gen</v>
      </c>
      <c r="E2230" s="56">
        <v>1.0</v>
      </c>
      <c r="F2230" s="161">
        <v>839000.0</v>
      </c>
      <c r="G2230" s="162">
        <f t="shared" si="33"/>
        <v>839000</v>
      </c>
      <c r="H2230" s="194"/>
      <c r="I2230" s="161">
        <f t="shared" si="36"/>
        <v>839000</v>
      </c>
      <c r="J2230" s="164">
        <f t="shared" si="30"/>
        <v>839000</v>
      </c>
      <c r="K2230" s="56" t="s">
        <v>8534</v>
      </c>
      <c r="L2230" s="165" t="s">
        <v>8535</v>
      </c>
      <c r="M2230" s="73"/>
      <c r="N2230" s="171"/>
      <c r="O2230" s="169" t="s">
        <v>2958</v>
      </c>
      <c r="P2230" s="168" t="s">
        <v>3112</v>
      </c>
      <c r="Q2230" s="167">
        <v>839000.0</v>
      </c>
      <c r="R2230" s="173"/>
      <c r="S2230" s="173"/>
      <c r="T2230" s="173"/>
      <c r="U2230" s="173"/>
      <c r="V2230" s="168" t="s">
        <v>3883</v>
      </c>
      <c r="W2230" s="169"/>
      <c r="X2230" s="169" t="s">
        <v>8483</v>
      </c>
    </row>
    <row r="2231" ht="15.0" customHeight="1">
      <c r="A2231" s="127">
        <v>45856.0</v>
      </c>
      <c r="B2231" s="181" t="s">
        <v>8533</v>
      </c>
      <c r="C2231" s="56" t="s">
        <v>2954</v>
      </c>
      <c r="D2231" s="73" t="str">
        <f>IFERROR(VLOOKUP(C2231,Stock,3,FALSE),"")</f>
        <v>Transport</v>
      </c>
      <c r="E2231" s="56">
        <v>1.0</v>
      </c>
      <c r="F2231" s="161">
        <v>80000.0</v>
      </c>
      <c r="G2231" s="162">
        <f t="shared" si="33"/>
        <v>80000</v>
      </c>
      <c r="H2231" s="194"/>
      <c r="I2231" s="161">
        <f t="shared" si="36"/>
        <v>80000</v>
      </c>
      <c r="J2231" s="164">
        <f t="shared" si="30"/>
        <v>80000</v>
      </c>
      <c r="K2231" s="56" t="s">
        <v>8534</v>
      </c>
      <c r="L2231" s="165" t="s">
        <v>8535</v>
      </c>
      <c r="M2231" s="73"/>
      <c r="N2231" s="171"/>
      <c r="O2231" s="169" t="s">
        <v>2958</v>
      </c>
      <c r="P2231" s="168" t="s">
        <v>3112</v>
      </c>
      <c r="Q2231" s="167">
        <v>80000.0</v>
      </c>
      <c r="R2231" s="173"/>
      <c r="S2231" s="173"/>
      <c r="T2231" s="173"/>
      <c r="U2231" s="173"/>
      <c r="V2231" s="168" t="s">
        <v>3883</v>
      </c>
      <c r="W2231" s="169"/>
      <c r="X2231" s="169" t="s">
        <v>8483</v>
      </c>
    </row>
    <row r="2232" ht="15.0" customHeight="1">
      <c r="A2232" s="127">
        <v>45856.0</v>
      </c>
      <c r="B2232" s="181" t="s">
        <v>8536</v>
      </c>
      <c r="C2232" s="56" t="s">
        <v>3186</v>
      </c>
      <c r="D2232" s="73" t="str">
        <f>IFERROR(VLOOKUP(C2232,Stock,3,FALSE),"")</f>
        <v>Daihatsu Gran Max / Luxio 07-</v>
      </c>
      <c r="E2232" s="56">
        <v>1.0</v>
      </c>
      <c r="F2232" s="161">
        <v>1000000.0</v>
      </c>
      <c r="G2232" s="162">
        <f t="shared" si="33"/>
        <v>1000000</v>
      </c>
      <c r="H2232" s="194"/>
      <c r="I2232" s="161">
        <f t="shared" si="36"/>
        <v>1000000</v>
      </c>
      <c r="J2232" s="164">
        <f t="shared" si="30"/>
        <v>1000000</v>
      </c>
      <c r="K2232" s="56" t="s">
        <v>6255</v>
      </c>
      <c r="L2232" s="165" t="s">
        <v>8537</v>
      </c>
      <c r="M2232" s="73"/>
      <c r="N2232" s="169" t="s">
        <v>8538</v>
      </c>
      <c r="O2232" s="169" t="s">
        <v>2958</v>
      </c>
      <c r="P2232" s="168" t="s">
        <v>3112</v>
      </c>
      <c r="Q2232" s="173"/>
      <c r="R2232" s="167">
        <v>1000000.0</v>
      </c>
      <c r="S2232" s="173"/>
      <c r="T2232" s="173"/>
      <c r="U2232" s="173"/>
      <c r="V2232" s="168" t="s">
        <v>3883</v>
      </c>
      <c r="W2232" s="169"/>
      <c r="X2232" s="169" t="s">
        <v>8539</v>
      </c>
    </row>
    <row r="2233" ht="15.0" customHeight="1">
      <c r="A2233" s="127">
        <v>45856.0</v>
      </c>
      <c r="B2233" s="181" t="s">
        <v>8536</v>
      </c>
      <c r="C2233" s="56" t="s">
        <v>3083</v>
      </c>
      <c r="D2233" s="73" t="str">
        <f>IFERROR(VLOOKUP(C2233,Stock,3,FALSE),"")</f>
        <v>List Kaca Depan Code 04</v>
      </c>
      <c r="E2233" s="56">
        <v>1.0</v>
      </c>
      <c r="F2233" s="161">
        <v>275000.0</v>
      </c>
      <c r="G2233" s="162">
        <f t="shared" si="33"/>
        <v>275000</v>
      </c>
      <c r="H2233" s="194"/>
      <c r="I2233" s="161">
        <f t="shared" si="36"/>
        <v>275000</v>
      </c>
      <c r="J2233" s="164">
        <f t="shared" si="30"/>
        <v>275000</v>
      </c>
      <c r="K2233" s="56" t="s">
        <v>6255</v>
      </c>
      <c r="L2233" s="165" t="s">
        <v>8537</v>
      </c>
      <c r="M2233" s="73"/>
      <c r="N2233" s="169" t="s">
        <v>8538</v>
      </c>
      <c r="O2233" s="169" t="s">
        <v>2958</v>
      </c>
      <c r="P2233" s="168" t="s">
        <v>3112</v>
      </c>
      <c r="Q2233" s="173"/>
      <c r="R2233" s="167">
        <v>275000.0</v>
      </c>
      <c r="S2233" s="173"/>
      <c r="T2233" s="173"/>
      <c r="U2233" s="173"/>
      <c r="V2233" s="168" t="s">
        <v>3883</v>
      </c>
      <c r="W2233" s="169"/>
      <c r="X2233" s="169" t="s">
        <v>8539</v>
      </c>
    </row>
    <row r="2234" ht="15.0" customHeight="1">
      <c r="A2234" s="127">
        <v>45856.0</v>
      </c>
      <c r="B2234" s="181" t="s">
        <v>8540</v>
      </c>
      <c r="C2234" s="56" t="s">
        <v>2562</v>
      </c>
      <c r="D2234" s="73" t="str">
        <f>IFERROR(VLOOKUP(C2234,Stock,3,FALSE),"")</f>
        <v>Toyota Avanza / Xenia 15-21 3rd Gen</v>
      </c>
      <c r="E2234" s="56">
        <v>1.0</v>
      </c>
      <c r="F2234" s="161">
        <v>1000000.0</v>
      </c>
      <c r="G2234" s="162">
        <f t="shared" si="33"/>
        <v>1000000</v>
      </c>
      <c r="H2234" s="194"/>
      <c r="I2234" s="161">
        <f t="shared" si="36"/>
        <v>1000000</v>
      </c>
      <c r="J2234" s="164">
        <f t="shared" si="30"/>
        <v>1000000</v>
      </c>
      <c r="K2234" s="56" t="s">
        <v>8541</v>
      </c>
      <c r="L2234" s="165" t="s">
        <v>8542</v>
      </c>
      <c r="M2234" s="73"/>
      <c r="N2234" s="169" t="s">
        <v>8543</v>
      </c>
      <c r="O2234" s="169" t="s">
        <v>2958</v>
      </c>
      <c r="P2234" s="168" t="s">
        <v>3112</v>
      </c>
      <c r="Q2234" s="173"/>
      <c r="R2234" s="167">
        <v>1000000.0</v>
      </c>
      <c r="S2234" s="173"/>
      <c r="T2234" s="173"/>
      <c r="U2234" s="173"/>
      <c r="V2234" s="168" t="s">
        <v>3883</v>
      </c>
      <c r="W2234" s="169"/>
      <c r="X2234" s="169" t="s">
        <v>8544</v>
      </c>
    </row>
    <row r="2235" ht="15.0" customHeight="1">
      <c r="A2235" s="127">
        <v>45856.0</v>
      </c>
      <c r="B2235" s="181" t="s">
        <v>8540</v>
      </c>
      <c r="C2235" s="56" t="s">
        <v>3826</v>
      </c>
      <c r="D2235" s="73" t="str">
        <f>IFERROR(VLOOKUP(C2235,Stock,3,FALSE),"")</f>
        <v>List Kaca Depan Code 11</v>
      </c>
      <c r="E2235" s="56">
        <v>1.0</v>
      </c>
      <c r="F2235" s="161">
        <v>275000.0</v>
      </c>
      <c r="G2235" s="162">
        <f t="shared" si="33"/>
        <v>275000</v>
      </c>
      <c r="H2235" s="194"/>
      <c r="I2235" s="161">
        <f t="shared" si="36"/>
        <v>275000</v>
      </c>
      <c r="J2235" s="164">
        <f t="shared" si="30"/>
        <v>275000</v>
      </c>
      <c r="K2235" s="131" t="s">
        <v>8541</v>
      </c>
      <c r="L2235" s="165" t="s">
        <v>8542</v>
      </c>
      <c r="M2235" s="73"/>
      <c r="N2235" s="169" t="s">
        <v>8543</v>
      </c>
      <c r="O2235" s="169" t="s">
        <v>2958</v>
      </c>
      <c r="P2235" s="168" t="s">
        <v>3112</v>
      </c>
      <c r="Q2235" s="173"/>
      <c r="R2235" s="167">
        <v>275000.0</v>
      </c>
      <c r="S2235" s="173"/>
      <c r="T2235" s="173"/>
      <c r="U2235" s="173"/>
      <c r="V2235" s="168" t="s">
        <v>3883</v>
      </c>
      <c r="W2235" s="169"/>
      <c r="X2235" s="169" t="s">
        <v>8544</v>
      </c>
    </row>
    <row r="2236" ht="15.0" customHeight="1">
      <c r="A2236" s="127">
        <v>45857.0</v>
      </c>
      <c r="B2236" s="181" t="s">
        <v>8545</v>
      </c>
      <c r="C2236" s="56" t="s">
        <v>3313</v>
      </c>
      <c r="D2236" s="73" t="str">
        <f>IFERROR(VLOOKUP(C2236,Stock,3,FALSE),"")</f>
        <v>Toyota Avanza / Xenia 21- 4th Gen (Non sensor)</v>
      </c>
      <c r="E2236" s="56">
        <v>1.0</v>
      </c>
      <c r="F2236" s="161">
        <v>1449000.0</v>
      </c>
      <c r="G2236" s="162">
        <f t="shared" si="33"/>
        <v>1449000</v>
      </c>
      <c r="H2236" s="194"/>
      <c r="I2236" s="161">
        <f t="shared" si="36"/>
        <v>1449000</v>
      </c>
      <c r="J2236" s="164">
        <f t="shared" si="30"/>
        <v>1449000</v>
      </c>
      <c r="K2236" s="56" t="s">
        <v>8546</v>
      </c>
      <c r="L2236" s="165" t="s">
        <v>8547</v>
      </c>
      <c r="M2236" s="73"/>
      <c r="N2236" s="169" t="s">
        <v>8548</v>
      </c>
      <c r="O2236" s="169" t="s">
        <v>2958</v>
      </c>
      <c r="P2236" s="168" t="s">
        <v>3112</v>
      </c>
      <c r="Q2236" s="167">
        <v>1449000.0</v>
      </c>
      <c r="R2236" s="173"/>
      <c r="S2236" s="173"/>
      <c r="T2236" s="173"/>
      <c r="U2236" s="173"/>
      <c r="V2236" s="168" t="s">
        <v>3883</v>
      </c>
      <c r="W2236" s="169"/>
      <c r="X2236" s="169" t="s">
        <v>8040</v>
      </c>
    </row>
    <row r="2237" ht="15.0" customHeight="1">
      <c r="A2237" s="127">
        <v>45857.0</v>
      </c>
      <c r="B2237" s="181" t="s">
        <v>8549</v>
      </c>
      <c r="C2237" s="56" t="s">
        <v>3360</v>
      </c>
      <c r="D2237" s="73" t="str">
        <f>IFERROR(VLOOKUP(C2237,Stock,3,FALSE),"")</f>
        <v>Mitsubishi Xpander 17-</v>
      </c>
      <c r="E2237" s="56">
        <v>1.0</v>
      </c>
      <c r="F2237" s="161">
        <v>1800000.0</v>
      </c>
      <c r="G2237" s="162">
        <f t="shared" si="33"/>
        <v>1800000</v>
      </c>
      <c r="H2237" s="201">
        <v>200000.0</v>
      </c>
      <c r="I2237" s="161">
        <f t="shared" si="36"/>
        <v>1600000</v>
      </c>
      <c r="J2237" s="164">
        <f t="shared" si="30"/>
        <v>1600000</v>
      </c>
      <c r="K2237" s="56" t="s">
        <v>8550</v>
      </c>
      <c r="L2237" s="165" t="s">
        <v>8551</v>
      </c>
      <c r="M2237" s="73"/>
      <c r="N2237" s="169" t="s">
        <v>8552</v>
      </c>
      <c r="O2237" s="169" t="s">
        <v>2958</v>
      </c>
      <c r="P2237" s="168" t="s">
        <v>3112</v>
      </c>
      <c r="Q2237" s="167">
        <v>1600000.0</v>
      </c>
      <c r="R2237" s="173"/>
      <c r="S2237" s="173"/>
      <c r="T2237" s="173"/>
      <c r="U2237" s="173"/>
      <c r="V2237" s="168" t="s">
        <v>3883</v>
      </c>
      <c r="W2237" s="169"/>
      <c r="X2237" s="169" t="s">
        <v>8040</v>
      </c>
    </row>
    <row r="2238" ht="15.0" customHeight="1">
      <c r="A2238" s="127">
        <v>45859.0</v>
      </c>
      <c r="B2238" s="181" t="s">
        <v>8553</v>
      </c>
      <c r="C2238" s="56" t="s">
        <v>2819</v>
      </c>
      <c r="D2238" s="73" t="str">
        <f>IFERROR(VLOOKUP(C2238,Stock,3,FALSE),"")</f>
        <v>Toyota Rush / Terios 06-17</v>
      </c>
      <c r="E2238" s="56">
        <v>1.0</v>
      </c>
      <c r="F2238" s="161">
        <v>550000.0</v>
      </c>
      <c r="G2238" s="162">
        <f t="shared" si="33"/>
        <v>550000</v>
      </c>
      <c r="H2238" s="194"/>
      <c r="I2238" s="161">
        <f t="shared" si="36"/>
        <v>550000</v>
      </c>
      <c r="J2238" s="164">
        <f t="shared" si="30"/>
        <v>550000</v>
      </c>
      <c r="K2238" s="56" t="s">
        <v>8554</v>
      </c>
      <c r="L2238" s="165" t="s">
        <v>8555</v>
      </c>
      <c r="M2238" s="73"/>
      <c r="N2238" s="171"/>
      <c r="O2238" s="169" t="s">
        <v>3037</v>
      </c>
      <c r="P2238" s="168" t="s">
        <v>3112</v>
      </c>
      <c r="Q2238" s="167">
        <v>550000.0</v>
      </c>
      <c r="R2238" s="173"/>
      <c r="S2238" s="173"/>
      <c r="T2238" s="173"/>
      <c r="U2238" s="173"/>
      <c r="V2238" s="168" t="s">
        <v>3883</v>
      </c>
      <c r="W2238" s="169"/>
      <c r="X2238" s="169" t="s">
        <v>8556</v>
      </c>
    </row>
    <row r="2239" ht="15.0" customHeight="1">
      <c r="A2239" s="127">
        <v>45859.0</v>
      </c>
      <c r="B2239" s="181" t="s">
        <v>8553</v>
      </c>
      <c r="C2239" s="56" t="s">
        <v>2954</v>
      </c>
      <c r="D2239" s="73" t="str">
        <f>IFERROR(VLOOKUP(C2239,Stock,3,FALSE),"")</f>
        <v>Transport</v>
      </c>
      <c r="E2239" s="56">
        <v>1.0</v>
      </c>
      <c r="F2239" s="161">
        <v>150000.0</v>
      </c>
      <c r="G2239" s="162">
        <f t="shared" si="33"/>
        <v>150000</v>
      </c>
      <c r="H2239" s="194"/>
      <c r="I2239" s="161">
        <f t="shared" si="36"/>
        <v>150000</v>
      </c>
      <c r="J2239" s="164">
        <f t="shared" si="30"/>
        <v>150000</v>
      </c>
      <c r="K2239" s="56" t="s">
        <v>8554</v>
      </c>
      <c r="L2239" s="165" t="s">
        <v>8555</v>
      </c>
      <c r="M2239" s="73"/>
      <c r="N2239" s="171"/>
      <c r="O2239" s="169" t="s">
        <v>3037</v>
      </c>
      <c r="P2239" s="168" t="s">
        <v>3112</v>
      </c>
      <c r="Q2239" s="167">
        <v>120000.0</v>
      </c>
      <c r="R2239" s="167">
        <v>30000.0</v>
      </c>
      <c r="S2239" s="173"/>
      <c r="T2239" s="173"/>
      <c r="U2239" s="173"/>
      <c r="V2239" s="168" t="s">
        <v>3883</v>
      </c>
      <c r="W2239" s="169"/>
      <c r="X2239" s="169" t="s">
        <v>8040</v>
      </c>
    </row>
    <row r="2240" ht="15.0" customHeight="1">
      <c r="A2240" s="127">
        <v>45859.0</v>
      </c>
      <c r="B2240" s="181" t="s">
        <v>8557</v>
      </c>
      <c r="C2240" s="56" t="s">
        <v>3201</v>
      </c>
      <c r="D2240" s="73" t="str">
        <f>IFERROR(VLOOKUP(C2240,Stock,3,FALSE),"")</f>
        <v>Honda Freed 08-16 1st gen</v>
      </c>
      <c r="E2240" s="56">
        <v>1.0</v>
      </c>
      <c r="F2240" s="161">
        <v>1668000.0</v>
      </c>
      <c r="G2240" s="162">
        <f t="shared" si="33"/>
        <v>1668000</v>
      </c>
      <c r="H2240" s="194"/>
      <c r="I2240" s="161">
        <f t="shared" si="36"/>
        <v>1668000</v>
      </c>
      <c r="J2240" s="164">
        <f t="shared" si="30"/>
        <v>1668000</v>
      </c>
      <c r="K2240" s="56" t="s">
        <v>8558</v>
      </c>
      <c r="L2240" s="165" t="s">
        <v>8559</v>
      </c>
      <c r="M2240" s="73"/>
      <c r="N2240" s="169" t="s">
        <v>8560</v>
      </c>
      <c r="O2240" s="169" t="s">
        <v>2958</v>
      </c>
      <c r="P2240" s="168" t="s">
        <v>3112</v>
      </c>
      <c r="Q2240" s="167">
        <v>1668000.0</v>
      </c>
      <c r="R2240" s="173"/>
      <c r="S2240" s="173"/>
      <c r="T2240" s="173"/>
      <c r="U2240" s="173"/>
      <c r="V2240" s="168" t="s">
        <v>3883</v>
      </c>
      <c r="W2240" s="169"/>
      <c r="X2240" s="169" t="s">
        <v>8040</v>
      </c>
    </row>
    <row r="2241" ht="15.0" customHeight="1">
      <c r="A2241" s="127">
        <v>45859.0</v>
      </c>
      <c r="B2241" s="181" t="s">
        <v>8561</v>
      </c>
      <c r="C2241" s="56" t="s">
        <v>2714</v>
      </c>
      <c r="D2241" s="73" t="str">
        <f>IFERROR(VLOOKUP(C2241,Stock,3,FALSE),"")</f>
        <v>Mitsubishi Canter FE700 01- (PS110,125)</v>
      </c>
      <c r="E2241" s="56">
        <v>1.0</v>
      </c>
      <c r="F2241" s="161">
        <v>1100000.0</v>
      </c>
      <c r="G2241" s="162">
        <f t="shared" si="33"/>
        <v>1100000</v>
      </c>
      <c r="H2241" s="194"/>
      <c r="I2241" s="161">
        <f t="shared" si="36"/>
        <v>1100000</v>
      </c>
      <c r="J2241" s="164">
        <f t="shared" si="30"/>
        <v>1100000</v>
      </c>
      <c r="K2241" s="56" t="s">
        <v>8562</v>
      </c>
      <c r="L2241" s="165" t="s">
        <v>8563</v>
      </c>
      <c r="M2241" s="73"/>
      <c r="N2241" s="171"/>
      <c r="O2241" s="169" t="s">
        <v>2958</v>
      </c>
      <c r="P2241" s="168" t="s">
        <v>3112</v>
      </c>
      <c r="Q2241" s="173"/>
      <c r="R2241" s="167">
        <v>1100000.0</v>
      </c>
      <c r="S2241" s="173"/>
      <c r="T2241" s="173"/>
      <c r="U2241" s="173"/>
      <c r="V2241" s="168" t="s">
        <v>3883</v>
      </c>
      <c r="W2241" s="169"/>
      <c r="X2241" s="169" t="s">
        <v>8564</v>
      </c>
    </row>
    <row r="2242" ht="15.0" customHeight="1">
      <c r="A2242" s="127">
        <v>45859.0</v>
      </c>
      <c r="B2242" s="181" t="s">
        <v>8565</v>
      </c>
      <c r="C2242" s="56" t="s">
        <v>4782</v>
      </c>
      <c r="D2242" s="73" t="str">
        <f>IFERROR(VLOOKUP(C2242,Stock,3,FALSE),"")</f>
        <v>Mitsubishi Pajero 08-16</v>
      </c>
      <c r="E2242" s="56">
        <v>1.0</v>
      </c>
      <c r="F2242" s="161">
        <v>1655000.0</v>
      </c>
      <c r="G2242" s="162">
        <f t="shared" si="33"/>
        <v>1655000</v>
      </c>
      <c r="H2242" s="194"/>
      <c r="I2242" s="161">
        <f t="shared" si="36"/>
        <v>1655000</v>
      </c>
      <c r="J2242" s="164">
        <f t="shared" si="30"/>
        <v>1655000</v>
      </c>
      <c r="K2242" s="56" t="s">
        <v>8196</v>
      </c>
      <c r="L2242" s="165" t="s">
        <v>8197</v>
      </c>
      <c r="M2242" s="73"/>
      <c r="N2242" s="169" t="s">
        <v>8566</v>
      </c>
      <c r="O2242" s="169" t="s">
        <v>2958</v>
      </c>
      <c r="P2242" s="168" t="s">
        <v>3112</v>
      </c>
      <c r="Q2242" s="173"/>
      <c r="R2242" s="167">
        <v>1655000.0</v>
      </c>
      <c r="S2242" s="173"/>
      <c r="T2242" s="173"/>
      <c r="U2242" s="173"/>
      <c r="V2242" s="168" t="s">
        <v>3883</v>
      </c>
      <c r="W2242" s="169"/>
      <c r="X2242" s="169" t="s">
        <v>8198</v>
      </c>
    </row>
    <row r="2243" ht="15.0" customHeight="1">
      <c r="A2243" s="423">
        <v>45860.0</v>
      </c>
      <c r="B2243" s="424" t="s">
        <v>8567</v>
      </c>
      <c r="C2243" s="90" t="s">
        <v>8490</v>
      </c>
      <c r="D2243" s="425" t="str">
        <f>IFERROR(VLOOKUP(C2243,Stock,3,FALSE),"")</f>
        <v>Honda City 14-18 GM6</v>
      </c>
      <c r="E2243" s="90">
        <v>1.0</v>
      </c>
      <c r="F2243" s="470">
        <v>1954800.0</v>
      </c>
      <c r="G2243" s="427">
        <f t="shared" si="33"/>
        <v>1954800</v>
      </c>
      <c r="H2243" s="428"/>
      <c r="I2243" s="426">
        <f t="shared" si="36"/>
        <v>1954800</v>
      </c>
      <c r="J2243" s="429">
        <f t="shared" si="30"/>
        <v>1954800</v>
      </c>
      <c r="K2243" s="90" t="s">
        <v>8568</v>
      </c>
      <c r="L2243" s="431" t="s">
        <v>8569</v>
      </c>
      <c r="M2243" s="425"/>
      <c r="N2243" s="432"/>
      <c r="O2243" s="433" t="s">
        <v>3037</v>
      </c>
      <c r="P2243" s="434" t="s">
        <v>3112</v>
      </c>
      <c r="Q2243" s="435"/>
      <c r="R2243" s="435"/>
      <c r="S2243" s="247">
        <v>1954800.0</v>
      </c>
      <c r="T2243" s="435"/>
      <c r="U2243" s="435"/>
      <c r="V2243" s="434" t="s">
        <v>3883</v>
      </c>
      <c r="W2243" s="433"/>
      <c r="X2243" s="432"/>
    </row>
    <row r="2244" ht="15.0" customHeight="1">
      <c r="A2244" s="127">
        <v>45860.0</v>
      </c>
      <c r="B2244" s="181" t="s">
        <v>8570</v>
      </c>
      <c r="C2244" s="471" t="s">
        <v>3223</v>
      </c>
      <c r="D2244" s="73" t="str">
        <f>IFERROR(VLOOKUP(C2244,Stock,3,FALSE),"")</f>
        <v>Mitsubishi Strada Triton 08-15</v>
      </c>
      <c r="E2244" s="56">
        <v>1.0</v>
      </c>
      <c r="F2244" s="161">
        <v>1280000.0</v>
      </c>
      <c r="G2244" s="162">
        <f t="shared" si="33"/>
        <v>1280000</v>
      </c>
      <c r="H2244" s="201">
        <v>129000.0</v>
      </c>
      <c r="I2244" s="161">
        <f t="shared" si="36"/>
        <v>1151000</v>
      </c>
      <c r="J2244" s="164">
        <f t="shared" si="30"/>
        <v>1151000</v>
      </c>
      <c r="K2244" s="56" t="s">
        <v>8571</v>
      </c>
      <c r="L2244" s="165" t="s">
        <v>7459</v>
      </c>
      <c r="M2244" s="73"/>
      <c r="N2244" s="171"/>
      <c r="O2244" s="169" t="s">
        <v>6130</v>
      </c>
      <c r="P2244" s="168" t="s">
        <v>3112</v>
      </c>
      <c r="Q2244" s="173"/>
      <c r="R2244" s="167">
        <v>1280000.0</v>
      </c>
      <c r="S2244" s="173"/>
      <c r="T2244" s="173"/>
      <c r="U2244" s="173"/>
      <c r="V2244" s="168" t="s">
        <v>3883</v>
      </c>
      <c r="W2244" s="169"/>
      <c r="X2244" s="169" t="s">
        <v>8572</v>
      </c>
    </row>
    <row r="2245" ht="15.0" customHeight="1">
      <c r="A2245" s="127">
        <v>45860.0</v>
      </c>
      <c r="B2245" s="181" t="s">
        <v>8570</v>
      </c>
      <c r="C2245" s="56" t="s">
        <v>2934</v>
      </c>
      <c r="D2245" s="73" t="str">
        <f>IFERROR(VLOOKUP(C2245,Stock,3,FALSE),"")</f>
        <v>Peti Kayu</v>
      </c>
      <c r="E2245" s="56">
        <v>1.0</v>
      </c>
      <c r="F2245" s="161">
        <v>200000.0</v>
      </c>
      <c r="G2245" s="162">
        <f t="shared" si="33"/>
        <v>200000</v>
      </c>
      <c r="H2245" s="194"/>
      <c r="I2245" s="161">
        <f t="shared" si="36"/>
        <v>200000</v>
      </c>
      <c r="J2245" s="164">
        <f t="shared" si="30"/>
        <v>200000</v>
      </c>
      <c r="K2245" s="56" t="s">
        <v>8571</v>
      </c>
      <c r="L2245" s="165" t="s">
        <v>7459</v>
      </c>
      <c r="M2245" s="73"/>
      <c r="N2245" s="171"/>
      <c r="O2245" s="169" t="s">
        <v>6130</v>
      </c>
      <c r="P2245" s="168" t="s">
        <v>3112</v>
      </c>
      <c r="Q2245" s="173"/>
      <c r="R2245" s="167">
        <v>200000.0</v>
      </c>
      <c r="S2245" s="173"/>
      <c r="T2245" s="173"/>
      <c r="U2245" s="173"/>
      <c r="V2245" s="168" t="s">
        <v>3883</v>
      </c>
      <c r="W2245" s="169"/>
      <c r="X2245" s="169" t="s">
        <v>8572</v>
      </c>
    </row>
    <row r="2246" ht="15.0" customHeight="1">
      <c r="A2246" s="127">
        <v>45860.0</v>
      </c>
      <c r="B2246" s="181" t="s">
        <v>8570</v>
      </c>
      <c r="C2246" s="56" t="s">
        <v>2954</v>
      </c>
      <c r="D2246" s="73" t="str">
        <f>IFERROR(VLOOKUP(C2246,Stock,3,FALSE),"")</f>
        <v>Transport</v>
      </c>
      <c r="E2246" s="56">
        <v>1.0</v>
      </c>
      <c r="F2246" s="161">
        <v>70000.0</v>
      </c>
      <c r="G2246" s="162">
        <f t="shared" si="33"/>
        <v>70000</v>
      </c>
      <c r="H2246" s="194"/>
      <c r="I2246" s="161">
        <f t="shared" si="36"/>
        <v>70000</v>
      </c>
      <c r="J2246" s="164">
        <f t="shared" si="30"/>
        <v>70000</v>
      </c>
      <c r="K2246" s="56" t="s">
        <v>8571</v>
      </c>
      <c r="L2246" s="165" t="s">
        <v>7459</v>
      </c>
      <c r="M2246" s="73"/>
      <c r="N2246" s="171"/>
      <c r="O2246" s="169" t="s">
        <v>6130</v>
      </c>
      <c r="P2246" s="168" t="s">
        <v>3112</v>
      </c>
      <c r="Q2246" s="173"/>
      <c r="R2246" s="167">
        <v>70000.0</v>
      </c>
      <c r="S2246" s="173"/>
      <c r="T2246" s="173"/>
      <c r="U2246" s="173"/>
      <c r="V2246" s="168" t="s">
        <v>3883</v>
      </c>
      <c r="W2246" s="169"/>
      <c r="X2246" s="169" t="s">
        <v>8572</v>
      </c>
    </row>
    <row r="2247" ht="15.0" customHeight="1">
      <c r="A2247" s="127">
        <v>45860.0</v>
      </c>
      <c r="B2247" s="181" t="s">
        <v>8573</v>
      </c>
      <c r="C2247" s="56" t="s">
        <v>3360</v>
      </c>
      <c r="D2247" s="73" t="str">
        <f>IFERROR(VLOOKUP(C2247,Stock,3,FALSE),"")</f>
        <v>Mitsubishi Xpander 17-</v>
      </c>
      <c r="E2247" s="56">
        <v>1.0</v>
      </c>
      <c r="F2247" s="161">
        <v>1444000.0</v>
      </c>
      <c r="G2247" s="162">
        <f t="shared" si="33"/>
        <v>1444000</v>
      </c>
      <c r="H2247" s="194"/>
      <c r="I2247" s="161">
        <f t="shared" si="36"/>
        <v>1444000</v>
      </c>
      <c r="J2247" s="164">
        <f t="shared" si="30"/>
        <v>1444000</v>
      </c>
      <c r="K2247" s="56" t="s">
        <v>4472</v>
      </c>
      <c r="L2247" s="165" t="s">
        <v>4473</v>
      </c>
      <c r="M2247" s="73"/>
      <c r="N2247" s="171"/>
      <c r="O2247" s="169" t="s">
        <v>2958</v>
      </c>
      <c r="P2247" s="168" t="s">
        <v>3112</v>
      </c>
      <c r="Q2247" s="173"/>
      <c r="R2247" s="167">
        <v>1444000.0</v>
      </c>
      <c r="S2247" s="173"/>
      <c r="T2247" s="173"/>
      <c r="U2247" s="173"/>
      <c r="V2247" s="168" t="s">
        <v>3883</v>
      </c>
      <c r="W2247" s="169"/>
      <c r="X2247" s="169" t="s">
        <v>8574</v>
      </c>
    </row>
    <row r="2248" ht="15.0" customHeight="1">
      <c r="A2248" s="423">
        <v>45860.0</v>
      </c>
      <c r="B2248" s="424" t="s">
        <v>8575</v>
      </c>
      <c r="C2248" s="90" t="s">
        <v>2706</v>
      </c>
      <c r="D2248" s="425" t="str">
        <f>IFERROR(VLOOKUP(C2248,Stock,3,FALSE),"")</f>
        <v>Isuzu Elf 17- New NMR NLR</v>
      </c>
      <c r="E2248" s="90">
        <v>1.0</v>
      </c>
      <c r="F2248" s="426">
        <v>1039780.0</v>
      </c>
      <c r="G2248" s="427">
        <f t="shared" si="33"/>
        <v>1039780</v>
      </c>
      <c r="H2248" s="428"/>
      <c r="I2248" s="426">
        <f t="shared" si="36"/>
        <v>1039780</v>
      </c>
      <c r="J2248" s="429">
        <f t="shared" si="30"/>
        <v>1039780</v>
      </c>
      <c r="K2248" s="90" t="s">
        <v>8576</v>
      </c>
      <c r="L2248" s="431" t="s">
        <v>8577</v>
      </c>
      <c r="M2248" s="425"/>
      <c r="N2248" s="432"/>
      <c r="O2248" s="472" t="s">
        <v>4961</v>
      </c>
      <c r="P2248" s="434" t="s">
        <v>3112</v>
      </c>
      <c r="Q2248" s="435"/>
      <c r="R2248" s="435"/>
      <c r="S2248" s="473">
        <v>1039780.0</v>
      </c>
      <c r="T2248" s="435"/>
      <c r="U2248" s="435"/>
      <c r="V2248" s="434" t="s">
        <v>3883</v>
      </c>
      <c r="W2248" s="433"/>
      <c r="X2248" s="432"/>
    </row>
    <row r="2249" ht="15.0" customHeight="1">
      <c r="A2249" s="423">
        <v>45860.0</v>
      </c>
      <c r="B2249" s="424" t="s">
        <v>8578</v>
      </c>
      <c r="C2249" s="90" t="s">
        <v>2934</v>
      </c>
      <c r="D2249" s="425" t="str">
        <f>IFERROR(VLOOKUP(C2249,Stock,3,FALSE),"")</f>
        <v>Peti Kayu</v>
      </c>
      <c r="E2249" s="90">
        <v>1.0</v>
      </c>
      <c r="F2249" s="426">
        <v>200000.0</v>
      </c>
      <c r="G2249" s="427">
        <f t="shared" si="33"/>
        <v>200000</v>
      </c>
      <c r="H2249" s="428"/>
      <c r="I2249" s="426">
        <f t="shared" si="36"/>
        <v>200000</v>
      </c>
      <c r="J2249" s="429">
        <f t="shared" si="30"/>
        <v>200000</v>
      </c>
      <c r="K2249" s="90" t="s">
        <v>8576</v>
      </c>
      <c r="L2249" s="431" t="s">
        <v>8577</v>
      </c>
      <c r="M2249" s="425"/>
      <c r="N2249" s="432"/>
      <c r="O2249" s="472" t="s">
        <v>4961</v>
      </c>
      <c r="P2249" s="434" t="s">
        <v>3112</v>
      </c>
      <c r="Q2249" s="435"/>
      <c r="R2249" s="435"/>
      <c r="S2249" s="473">
        <v>200000.0</v>
      </c>
      <c r="T2249" s="435"/>
      <c r="U2249" s="435"/>
      <c r="V2249" s="434" t="s">
        <v>3883</v>
      </c>
      <c r="W2249" s="433"/>
      <c r="X2249" s="432"/>
    </row>
    <row r="2250" ht="15.0" customHeight="1">
      <c r="A2250" s="423">
        <v>45860.0</v>
      </c>
      <c r="B2250" s="424" t="s">
        <v>8579</v>
      </c>
      <c r="C2250" s="90" t="s">
        <v>4027</v>
      </c>
      <c r="D2250" s="425" t="str">
        <f>IFERROR(VLOOKUP(C2250,Stock,3,FALSE),"")</f>
        <v>501 Sealant Application</v>
      </c>
      <c r="E2250" s="90">
        <v>4.0</v>
      </c>
      <c r="F2250" s="426">
        <v>95000.0</v>
      </c>
      <c r="G2250" s="427">
        <f t="shared" si="33"/>
        <v>380000</v>
      </c>
      <c r="H2250" s="428"/>
      <c r="I2250" s="426">
        <f t="shared" si="36"/>
        <v>380000</v>
      </c>
      <c r="J2250" s="429">
        <f t="shared" si="30"/>
        <v>380000</v>
      </c>
      <c r="K2250" s="90" t="s">
        <v>8576</v>
      </c>
      <c r="L2250" s="431" t="s">
        <v>8577</v>
      </c>
      <c r="M2250" s="425"/>
      <c r="N2250" s="432"/>
      <c r="O2250" s="472" t="s">
        <v>4961</v>
      </c>
      <c r="P2250" s="434" t="s">
        <v>3112</v>
      </c>
      <c r="Q2250" s="435"/>
      <c r="R2250" s="435"/>
      <c r="S2250" s="473">
        <v>95000.0</v>
      </c>
      <c r="T2250" s="435"/>
      <c r="U2250" s="435"/>
      <c r="V2250" s="434" t="s">
        <v>3883</v>
      </c>
      <c r="W2250" s="433"/>
      <c r="X2250" s="432"/>
    </row>
    <row r="2251" ht="15.0" customHeight="1">
      <c r="A2251" s="127">
        <v>45860.0</v>
      </c>
      <c r="B2251" s="181" t="s">
        <v>8580</v>
      </c>
      <c r="C2251" s="56" t="s">
        <v>8581</v>
      </c>
      <c r="D2251" s="73" t="str">
        <f>IFERROR(VLOOKUP(C2251,Stock,3,FALSE),"")</f>
        <v>Honda City 19- GN (Honda)</v>
      </c>
      <c r="E2251" s="56">
        <v>1.0</v>
      </c>
      <c r="F2251" s="161">
        <v>4489000.0</v>
      </c>
      <c r="G2251" s="162">
        <f t="shared" si="33"/>
        <v>4489000</v>
      </c>
      <c r="H2251" s="194"/>
      <c r="I2251" s="161">
        <f t="shared" si="36"/>
        <v>4489000</v>
      </c>
      <c r="J2251" s="164">
        <f t="shared" si="30"/>
        <v>4489000</v>
      </c>
      <c r="K2251" s="56" t="s">
        <v>8582</v>
      </c>
      <c r="L2251" s="165" t="s">
        <v>8583</v>
      </c>
      <c r="M2251" s="73"/>
      <c r="N2251" s="171"/>
      <c r="O2251" s="169" t="s">
        <v>2958</v>
      </c>
      <c r="P2251" s="168" t="s">
        <v>3112</v>
      </c>
      <c r="Q2251" s="173"/>
      <c r="R2251" s="167">
        <v>4489000.0</v>
      </c>
      <c r="S2251" s="173"/>
      <c r="T2251" s="173"/>
      <c r="U2251" s="173"/>
      <c r="V2251" s="168" t="s">
        <v>3883</v>
      </c>
      <c r="W2251" s="169"/>
      <c r="X2251" s="317" t="s">
        <v>8584</v>
      </c>
    </row>
    <row r="2252" ht="15.0" customHeight="1">
      <c r="A2252" s="127">
        <v>45860.0</v>
      </c>
      <c r="B2252" s="181" t="s">
        <v>8580</v>
      </c>
      <c r="C2252" s="56" t="s">
        <v>8585</v>
      </c>
      <c r="D2252" s="73" t="str">
        <f>IFERROR(VLOOKUP(C2252,Stock,3,FALSE),"")</f>
        <v>Honda City 19- GN (Honda)</v>
      </c>
      <c r="E2252" s="56">
        <v>1.0</v>
      </c>
      <c r="F2252" s="161">
        <v>1879000.0</v>
      </c>
      <c r="G2252" s="162">
        <f t="shared" si="33"/>
        <v>1879000</v>
      </c>
      <c r="H2252" s="194"/>
      <c r="I2252" s="161">
        <f t="shared" si="36"/>
        <v>1879000</v>
      </c>
      <c r="J2252" s="164">
        <f t="shared" si="30"/>
        <v>1879000</v>
      </c>
      <c r="K2252" s="56" t="s">
        <v>8582</v>
      </c>
      <c r="L2252" s="165" t="s">
        <v>8583</v>
      </c>
      <c r="M2252" s="73"/>
      <c r="N2252" s="171"/>
      <c r="O2252" s="169" t="s">
        <v>2958</v>
      </c>
      <c r="P2252" s="168" t="s">
        <v>3112</v>
      </c>
      <c r="Q2252" s="173"/>
      <c r="R2252" s="167">
        <v>1879000.0</v>
      </c>
      <c r="S2252" s="173"/>
      <c r="T2252" s="173"/>
      <c r="U2252" s="173"/>
      <c r="V2252" s="168" t="s">
        <v>3883</v>
      </c>
      <c r="W2252" s="169"/>
      <c r="X2252" s="171"/>
    </row>
    <row r="2253" ht="15.0" customHeight="1">
      <c r="A2253" s="127">
        <v>45861.0</v>
      </c>
      <c r="B2253" s="181" t="s">
        <v>8586</v>
      </c>
      <c r="C2253" s="56" t="s">
        <v>2702</v>
      </c>
      <c r="D2253" s="73" t="str">
        <f>IFERROR(VLOOKUP(C2253,Stock,3,FALSE),"")</f>
        <v>Toyota Sienta 15-</v>
      </c>
      <c r="E2253" s="56">
        <v>1.0</v>
      </c>
      <c r="F2253" s="161">
        <v>1529000.0</v>
      </c>
      <c r="G2253" s="162">
        <f t="shared" si="33"/>
        <v>1529000</v>
      </c>
      <c r="H2253" s="194"/>
      <c r="I2253" s="161">
        <f t="shared" si="36"/>
        <v>1529000</v>
      </c>
      <c r="J2253" s="164">
        <f t="shared" si="30"/>
        <v>1529000</v>
      </c>
      <c r="K2253" s="131" t="s">
        <v>8587</v>
      </c>
      <c r="L2253" s="165" t="s">
        <v>8588</v>
      </c>
      <c r="M2253" s="73"/>
      <c r="N2253" s="171"/>
      <c r="O2253" s="169" t="s">
        <v>2958</v>
      </c>
      <c r="P2253" s="168" t="s">
        <v>3112</v>
      </c>
      <c r="Q2253" s="173"/>
      <c r="R2253" s="167">
        <v>1529000.0</v>
      </c>
      <c r="S2253" s="173"/>
      <c r="T2253" s="173"/>
      <c r="U2253" s="173"/>
      <c r="V2253" s="168" t="s">
        <v>3883</v>
      </c>
      <c r="W2253" s="169"/>
      <c r="X2253" s="169" t="s">
        <v>8589</v>
      </c>
    </row>
    <row r="2254" ht="15.0" customHeight="1">
      <c r="A2254" s="127">
        <v>45861.0</v>
      </c>
      <c r="B2254" s="181" t="s">
        <v>8590</v>
      </c>
      <c r="C2254" s="56" t="s">
        <v>8591</v>
      </c>
      <c r="D2254" s="73" t="str">
        <f>IFERROR(VLOOKUP(C2254,Stock,3,FALSE),"")</f>
        <v>Mini Cooper Hatch. F55/F56/F57 14- 3D/5D/Cab. RS2 ( O /\ )</v>
      </c>
      <c r="E2254" s="56">
        <v>1.0</v>
      </c>
      <c r="F2254" s="161">
        <v>6549000.0</v>
      </c>
      <c r="G2254" s="162">
        <f t="shared" si="33"/>
        <v>6549000</v>
      </c>
      <c r="H2254" s="194"/>
      <c r="I2254" s="161">
        <f t="shared" si="36"/>
        <v>6549000</v>
      </c>
      <c r="J2254" s="164">
        <f t="shared" si="30"/>
        <v>6549000</v>
      </c>
      <c r="K2254" s="56" t="s">
        <v>8592</v>
      </c>
      <c r="L2254" s="165" t="s">
        <v>8593</v>
      </c>
      <c r="M2254" s="73"/>
      <c r="N2254" s="171"/>
      <c r="O2254" s="169" t="s">
        <v>2958</v>
      </c>
      <c r="P2254" s="168" t="s">
        <v>3112</v>
      </c>
      <c r="Q2254" s="173"/>
      <c r="R2254" s="167">
        <v>6549000.0</v>
      </c>
      <c r="S2254" s="173"/>
      <c r="T2254" s="173"/>
      <c r="U2254" s="173"/>
      <c r="V2254" s="168" t="s">
        <v>3883</v>
      </c>
      <c r="W2254" s="169"/>
      <c r="X2254" s="169" t="s">
        <v>8594</v>
      </c>
    </row>
    <row r="2255" ht="15.0" customHeight="1">
      <c r="A2255" s="127">
        <v>45862.0</v>
      </c>
      <c r="B2255" s="181" t="s">
        <v>8595</v>
      </c>
      <c r="C2255" s="56" t="s">
        <v>8460</v>
      </c>
      <c r="D2255" s="73" t="str">
        <f>IFERROR(VLOOKUP(C2255,Stock,3,FALSE),"")</f>
        <v>Toyota Avanza / Xenia 11-15 2nd Gen / 15-21 3rd Gen</v>
      </c>
      <c r="E2255" s="56">
        <v>1.0</v>
      </c>
      <c r="F2255" s="161">
        <v>650000.0</v>
      </c>
      <c r="G2255" s="162">
        <f t="shared" si="33"/>
        <v>650000</v>
      </c>
      <c r="H2255" s="194"/>
      <c r="I2255" s="161">
        <f t="shared" si="36"/>
        <v>650000</v>
      </c>
      <c r="J2255" s="164">
        <f t="shared" si="30"/>
        <v>650000</v>
      </c>
      <c r="K2255" s="56" t="s">
        <v>6108</v>
      </c>
      <c r="L2255" s="165" t="s">
        <v>8596</v>
      </c>
      <c r="M2255" s="73"/>
      <c r="N2255" s="171"/>
      <c r="O2255" s="169" t="s">
        <v>2958</v>
      </c>
      <c r="P2255" s="168" t="s">
        <v>3112</v>
      </c>
      <c r="Q2255" s="167">
        <v>650000.0</v>
      </c>
      <c r="R2255" s="173"/>
      <c r="S2255" s="173"/>
      <c r="T2255" s="173"/>
      <c r="U2255" s="173"/>
      <c r="V2255" s="168" t="s">
        <v>3883</v>
      </c>
      <c r="W2255" s="169"/>
      <c r="X2255" s="169" t="s">
        <v>8040</v>
      </c>
    </row>
    <row r="2256" ht="15.0" customHeight="1">
      <c r="A2256" s="423">
        <v>45862.0</v>
      </c>
      <c r="B2256" s="424" t="s">
        <v>8597</v>
      </c>
      <c r="C2256" s="90" t="s">
        <v>3104</v>
      </c>
      <c r="D2256" s="425" t="str">
        <f>IFERROR(VLOOKUP(C2256,Stock,3,FALSE),"")</f>
        <v>Toyota Innova 15- 2nd Gen</v>
      </c>
      <c r="E2256" s="90">
        <v>1.0</v>
      </c>
      <c r="F2256" s="426">
        <v>1121560.0</v>
      </c>
      <c r="G2256" s="427">
        <f t="shared" si="33"/>
        <v>1121560</v>
      </c>
      <c r="H2256" s="428"/>
      <c r="I2256" s="426">
        <f t="shared" si="36"/>
        <v>1121560</v>
      </c>
      <c r="J2256" s="429">
        <f t="shared" si="30"/>
        <v>1121560</v>
      </c>
      <c r="K2256" s="90" t="s">
        <v>8598</v>
      </c>
      <c r="L2256" s="431" t="s">
        <v>8517</v>
      </c>
      <c r="M2256" s="425"/>
      <c r="N2256" s="432"/>
      <c r="O2256" s="433" t="s">
        <v>4072</v>
      </c>
      <c r="P2256" s="434" t="s">
        <v>3112</v>
      </c>
      <c r="Q2256" s="435"/>
      <c r="R2256" s="435"/>
      <c r="S2256" s="247">
        <v>1121560.0</v>
      </c>
      <c r="T2256" s="435"/>
      <c r="U2256" s="435"/>
      <c r="V2256" s="434" t="s">
        <v>3883</v>
      </c>
      <c r="W2256" s="433"/>
      <c r="X2256" s="432"/>
    </row>
    <row r="2257" ht="15.0" customHeight="1">
      <c r="A2257" s="127">
        <v>45862.0</v>
      </c>
      <c r="B2257" s="181" t="s">
        <v>8597</v>
      </c>
      <c r="C2257" s="56" t="s">
        <v>3273</v>
      </c>
      <c r="D2257" s="73" t="str">
        <f>IFERROR(VLOOKUP(C2257,Stock,3,FALSE),"")</f>
        <v>Pemasangan Kaca Mobil Belakang</v>
      </c>
      <c r="E2257" s="56">
        <v>1.0</v>
      </c>
      <c r="F2257" s="161">
        <v>200000.0</v>
      </c>
      <c r="G2257" s="162">
        <f t="shared" si="33"/>
        <v>200000</v>
      </c>
      <c r="H2257" s="194"/>
      <c r="I2257" s="161">
        <f t="shared" si="36"/>
        <v>200000</v>
      </c>
      <c r="J2257" s="164">
        <f t="shared" si="30"/>
        <v>200000</v>
      </c>
      <c r="K2257" s="56" t="s">
        <v>8598</v>
      </c>
      <c r="L2257" s="165" t="s">
        <v>8517</v>
      </c>
      <c r="M2257" s="73"/>
      <c r="N2257" s="171"/>
      <c r="O2257" s="329" t="s">
        <v>4072</v>
      </c>
      <c r="P2257" s="168" t="s">
        <v>3112</v>
      </c>
      <c r="Q2257" s="173"/>
      <c r="R2257" s="167">
        <v>200000.0</v>
      </c>
      <c r="S2257" s="173"/>
      <c r="T2257" s="173"/>
      <c r="U2257" s="173"/>
      <c r="V2257" s="168" t="s">
        <v>3883</v>
      </c>
      <c r="W2257" s="169"/>
      <c r="X2257" s="169" t="s">
        <v>8599</v>
      </c>
    </row>
    <row r="2258" ht="15.0" customHeight="1">
      <c r="A2258" s="127">
        <v>45862.0</v>
      </c>
      <c r="B2258" s="181" t="s">
        <v>8600</v>
      </c>
      <c r="C2258" s="56" t="s">
        <v>2549</v>
      </c>
      <c r="D2258" s="73" t="str">
        <f>IFERROR(VLOOKUP(C2258,Stock,3,FALSE),"")</f>
        <v>Toyota Avanza / Xenia 11-15 2nd Gen</v>
      </c>
      <c r="E2258" s="56">
        <v>1.0</v>
      </c>
      <c r="F2258" s="161">
        <v>1000000.0</v>
      </c>
      <c r="G2258" s="162">
        <f t="shared" si="33"/>
        <v>1000000</v>
      </c>
      <c r="H2258" s="194"/>
      <c r="I2258" s="161">
        <f t="shared" si="36"/>
        <v>1000000</v>
      </c>
      <c r="J2258" s="164">
        <f t="shared" si="30"/>
        <v>1000000</v>
      </c>
      <c r="K2258" s="307" t="s">
        <v>8601</v>
      </c>
      <c r="L2258" s="165" t="s">
        <v>8602</v>
      </c>
      <c r="M2258" s="73"/>
      <c r="N2258" s="171"/>
      <c r="O2258" s="169" t="s">
        <v>2958</v>
      </c>
      <c r="P2258" s="168" t="s">
        <v>3112</v>
      </c>
      <c r="Q2258" s="167">
        <v>1000000.0</v>
      </c>
      <c r="R2258" s="173"/>
      <c r="S2258" s="173"/>
      <c r="T2258" s="173"/>
      <c r="U2258" s="173"/>
      <c r="V2258" s="168" t="s">
        <v>3883</v>
      </c>
      <c r="W2258" s="169"/>
      <c r="X2258" s="169" t="s">
        <v>8040</v>
      </c>
    </row>
    <row r="2259" ht="15.0" customHeight="1">
      <c r="A2259" s="127">
        <v>45862.0</v>
      </c>
      <c r="B2259" s="181" t="s">
        <v>8600</v>
      </c>
      <c r="C2259" s="56" t="s">
        <v>3826</v>
      </c>
      <c r="D2259" s="73" t="str">
        <f>IFERROR(VLOOKUP(C2259,Stock,3,FALSE),"")</f>
        <v>List Kaca Depan Code 11</v>
      </c>
      <c r="E2259" s="56">
        <v>1.0</v>
      </c>
      <c r="F2259" s="161">
        <v>275000.0</v>
      </c>
      <c r="G2259" s="162">
        <f t="shared" si="33"/>
        <v>275000</v>
      </c>
      <c r="H2259" s="194"/>
      <c r="I2259" s="161">
        <f t="shared" si="36"/>
        <v>275000</v>
      </c>
      <c r="J2259" s="164">
        <f t="shared" si="30"/>
        <v>275000</v>
      </c>
      <c r="K2259" s="307" t="s">
        <v>8601</v>
      </c>
      <c r="L2259" s="165" t="s">
        <v>8602</v>
      </c>
      <c r="M2259" s="73"/>
      <c r="N2259" s="171"/>
      <c r="O2259" s="169" t="s">
        <v>2958</v>
      </c>
      <c r="P2259" s="168" t="s">
        <v>3112</v>
      </c>
      <c r="Q2259" s="167">
        <v>275000.0</v>
      </c>
      <c r="R2259" s="173"/>
      <c r="S2259" s="173"/>
      <c r="T2259" s="173"/>
      <c r="U2259" s="173"/>
      <c r="V2259" s="168" t="s">
        <v>3883</v>
      </c>
      <c r="W2259" s="169"/>
      <c r="X2259" s="169" t="s">
        <v>8040</v>
      </c>
    </row>
    <row r="2260" ht="15.0" customHeight="1">
      <c r="A2260" s="127">
        <v>45862.0</v>
      </c>
      <c r="B2260" s="181" t="s">
        <v>8603</v>
      </c>
      <c r="C2260" s="56" t="s">
        <v>2665</v>
      </c>
      <c r="D2260" s="73" t="str">
        <f>IFERROR(VLOOKUP(C2260,Stock,3,FALSE),"")</f>
        <v>Chevrolet Spin 12-</v>
      </c>
      <c r="E2260" s="56">
        <v>1.0</v>
      </c>
      <c r="F2260" s="161">
        <v>1650000.0</v>
      </c>
      <c r="G2260" s="162">
        <f t="shared" si="33"/>
        <v>1650000</v>
      </c>
      <c r="H2260" s="194"/>
      <c r="I2260" s="161">
        <f t="shared" si="36"/>
        <v>1650000</v>
      </c>
      <c r="J2260" s="164">
        <f t="shared" si="30"/>
        <v>1650000</v>
      </c>
      <c r="K2260" s="56" t="s">
        <v>8604</v>
      </c>
      <c r="L2260" s="165" t="s">
        <v>8605</v>
      </c>
      <c r="M2260" s="73"/>
      <c r="N2260" s="169" t="s">
        <v>8606</v>
      </c>
      <c r="O2260" s="169" t="s">
        <v>4280</v>
      </c>
      <c r="P2260" s="168" t="s">
        <v>3112</v>
      </c>
      <c r="Q2260" s="167">
        <v>650000.0</v>
      </c>
      <c r="R2260" s="167">
        <v>1000000.0</v>
      </c>
      <c r="S2260" s="173"/>
      <c r="T2260" s="173"/>
      <c r="U2260" s="173"/>
      <c r="V2260" s="168" t="s">
        <v>3883</v>
      </c>
      <c r="W2260" s="169"/>
      <c r="X2260" s="317" t="s">
        <v>8607</v>
      </c>
    </row>
    <row r="2261" ht="15.0" customHeight="1">
      <c r="A2261" s="127">
        <v>45862.0</v>
      </c>
      <c r="B2261" s="181" t="s">
        <v>8603</v>
      </c>
      <c r="C2261" s="56" t="s">
        <v>2934</v>
      </c>
      <c r="D2261" s="73" t="str">
        <f>IFERROR(VLOOKUP(C2261,Stock,3,FALSE),"")</f>
        <v>Peti Kayu</v>
      </c>
      <c r="E2261" s="56">
        <v>1.0</v>
      </c>
      <c r="F2261" s="161">
        <v>200000.0</v>
      </c>
      <c r="G2261" s="162">
        <f t="shared" si="33"/>
        <v>200000</v>
      </c>
      <c r="H2261" s="194"/>
      <c r="I2261" s="161">
        <f t="shared" si="36"/>
        <v>200000</v>
      </c>
      <c r="J2261" s="164">
        <f t="shared" si="30"/>
        <v>200000</v>
      </c>
      <c r="K2261" s="56" t="s">
        <v>8604</v>
      </c>
      <c r="L2261" s="165" t="s">
        <v>8605</v>
      </c>
      <c r="M2261" s="73"/>
      <c r="N2261" s="169" t="s">
        <v>8606</v>
      </c>
      <c r="O2261" s="169" t="s">
        <v>4280</v>
      </c>
      <c r="P2261" s="168" t="s">
        <v>3112</v>
      </c>
      <c r="Q2261" s="167">
        <v>200000.0</v>
      </c>
      <c r="R2261" s="167"/>
      <c r="S2261" s="173"/>
      <c r="T2261" s="173"/>
      <c r="U2261" s="173"/>
      <c r="V2261" s="168" t="s">
        <v>3883</v>
      </c>
      <c r="W2261" s="169"/>
      <c r="X2261" s="171"/>
    </row>
    <row r="2262" ht="15.0" customHeight="1">
      <c r="A2262" s="127">
        <v>45863.0</v>
      </c>
      <c r="B2262" s="181" t="s">
        <v>8608</v>
      </c>
      <c r="C2262" s="56" t="s">
        <v>3068</v>
      </c>
      <c r="D2262" s="73" t="str">
        <f>IFERROR(VLOOKUP(C2262,Stock,3,FALSE),"")</f>
        <v>Honda Brio 10- / Mobilio 11-</v>
      </c>
      <c r="E2262" s="56">
        <v>1.0</v>
      </c>
      <c r="F2262" s="161">
        <v>1442000.0</v>
      </c>
      <c r="G2262" s="162">
        <f t="shared" si="33"/>
        <v>1442000</v>
      </c>
      <c r="H2262" s="201">
        <v>216300.0</v>
      </c>
      <c r="I2262" s="161">
        <f t="shared" si="36"/>
        <v>1225700</v>
      </c>
      <c r="J2262" s="164">
        <f t="shared" si="30"/>
        <v>1225700</v>
      </c>
      <c r="K2262" s="56" t="s">
        <v>8609</v>
      </c>
      <c r="L2262" s="165" t="s">
        <v>8610</v>
      </c>
      <c r="M2262" s="73"/>
      <c r="N2262" s="169" t="s">
        <v>8611</v>
      </c>
      <c r="O2262" s="169" t="s">
        <v>2958</v>
      </c>
      <c r="P2262" s="168" t="s">
        <v>3112</v>
      </c>
      <c r="Q2262" s="167">
        <v>1225700.0</v>
      </c>
      <c r="R2262" s="173"/>
      <c r="S2262" s="173"/>
      <c r="T2262" s="173"/>
      <c r="U2262" s="173"/>
      <c r="V2262" s="168" t="s">
        <v>3883</v>
      </c>
      <c r="W2262" s="169"/>
      <c r="X2262" s="169" t="s">
        <v>8040</v>
      </c>
    </row>
    <row r="2263" ht="15.0" customHeight="1">
      <c r="A2263" s="127">
        <v>45863.0</v>
      </c>
      <c r="B2263" s="181" t="s">
        <v>8612</v>
      </c>
      <c r="C2263" s="56" t="s">
        <v>6576</v>
      </c>
      <c r="D2263" s="73" t="str">
        <f>IFERROR(VLOOKUP(C2263,Stock,3,FALSE),"")</f>
        <v>Subaru XV 12- / WRX 15-</v>
      </c>
      <c r="E2263" s="56">
        <v>1.0</v>
      </c>
      <c r="F2263" s="161">
        <v>3968000.0</v>
      </c>
      <c r="G2263" s="162">
        <f t="shared" si="33"/>
        <v>3968000</v>
      </c>
      <c r="H2263" s="194"/>
      <c r="I2263" s="161">
        <f t="shared" si="36"/>
        <v>3968000</v>
      </c>
      <c r="J2263" s="164">
        <f t="shared" si="30"/>
        <v>3968000</v>
      </c>
      <c r="K2263" s="307" t="s">
        <v>8613</v>
      </c>
      <c r="L2263" s="165" t="s">
        <v>8614</v>
      </c>
      <c r="M2263" s="73"/>
      <c r="N2263" s="169" t="s">
        <v>8615</v>
      </c>
      <c r="O2263" s="169" t="s">
        <v>2958</v>
      </c>
      <c r="P2263" s="168" t="s">
        <v>3112</v>
      </c>
      <c r="Q2263" s="173"/>
      <c r="R2263" s="167">
        <v>3968000.0</v>
      </c>
      <c r="S2263" s="173"/>
      <c r="T2263" s="173"/>
      <c r="U2263" s="173"/>
      <c r="V2263" s="168" t="s">
        <v>3883</v>
      </c>
      <c r="W2263" s="169"/>
      <c r="X2263" s="169" t="s">
        <v>8616</v>
      </c>
    </row>
    <row r="2264" ht="15.0" customHeight="1">
      <c r="A2264" s="127">
        <v>45863.0</v>
      </c>
      <c r="B2264" s="181" t="s">
        <v>8612</v>
      </c>
      <c r="C2264" s="56" t="s">
        <v>3045</v>
      </c>
      <c r="D2264" s="73" t="str">
        <f>IFERROR(VLOOKUP(C2264,Stock,3,FALSE),"")</f>
        <v>Pemasangan Kaca Mobil Depan</v>
      </c>
      <c r="E2264" s="56">
        <v>1.0</v>
      </c>
      <c r="F2264" s="161">
        <v>200000.0</v>
      </c>
      <c r="G2264" s="162">
        <f t="shared" si="33"/>
        <v>200000</v>
      </c>
      <c r="H2264" s="194"/>
      <c r="I2264" s="161">
        <f t="shared" si="36"/>
        <v>200000</v>
      </c>
      <c r="J2264" s="164">
        <f t="shared" si="30"/>
        <v>200000</v>
      </c>
      <c r="K2264" s="307" t="s">
        <v>8613</v>
      </c>
      <c r="L2264" s="165" t="s">
        <v>8614</v>
      </c>
      <c r="M2264" s="73"/>
      <c r="N2264" s="169" t="s">
        <v>8615</v>
      </c>
      <c r="O2264" s="169" t="s">
        <v>2958</v>
      </c>
      <c r="P2264" s="168" t="s">
        <v>3112</v>
      </c>
      <c r="Q2264" s="173"/>
      <c r="R2264" s="167">
        <v>200000.0</v>
      </c>
      <c r="S2264" s="173"/>
      <c r="T2264" s="173"/>
      <c r="U2264" s="173"/>
      <c r="V2264" s="168" t="s">
        <v>3883</v>
      </c>
      <c r="W2264" s="169"/>
      <c r="X2264" s="169" t="s">
        <v>8616</v>
      </c>
    </row>
    <row r="2265" ht="15.0" customHeight="1">
      <c r="A2265" s="127">
        <v>45864.0</v>
      </c>
      <c r="B2265" s="181" t="s">
        <v>8617</v>
      </c>
      <c r="C2265" s="56" t="s">
        <v>2721</v>
      </c>
      <c r="D2265" s="73" t="str">
        <f>IFERROR(VLOOKUP(C2265,Stock,3,FALSE),"")</f>
        <v>Toyota Dyna/Hino Dutro 00-</v>
      </c>
      <c r="E2265" s="56">
        <v>1.0</v>
      </c>
      <c r="F2265" s="161">
        <v>1200000.0</v>
      </c>
      <c r="G2265" s="162">
        <f t="shared" si="33"/>
        <v>1200000</v>
      </c>
      <c r="H2265" s="194"/>
      <c r="I2265" s="161">
        <f t="shared" si="36"/>
        <v>1200000</v>
      </c>
      <c r="J2265" s="164">
        <f t="shared" si="30"/>
        <v>1200000</v>
      </c>
      <c r="K2265" s="307" t="s">
        <v>8618</v>
      </c>
      <c r="L2265" s="165" t="s">
        <v>8619</v>
      </c>
      <c r="M2265" s="73"/>
      <c r="N2265" s="171"/>
      <c r="O2265" s="169" t="s">
        <v>3037</v>
      </c>
      <c r="P2265" s="168" t="s">
        <v>3112</v>
      </c>
      <c r="Q2265" s="173"/>
      <c r="R2265" s="167">
        <v>1200000.0</v>
      </c>
      <c r="S2265" s="173"/>
      <c r="T2265" s="173"/>
      <c r="U2265" s="173"/>
      <c r="V2265" s="168" t="s">
        <v>3883</v>
      </c>
      <c r="W2265" s="169"/>
      <c r="X2265" s="169" t="s">
        <v>8620</v>
      </c>
    </row>
    <row r="2266" ht="15.0" customHeight="1">
      <c r="A2266" s="127">
        <v>45864.0</v>
      </c>
      <c r="B2266" s="181" t="s">
        <v>8617</v>
      </c>
      <c r="C2266" s="56" t="s">
        <v>2820</v>
      </c>
      <c r="D2266" s="73" t="str">
        <f>IFERROR(VLOOKUP(C2266,Stock,3,FALSE),"")</f>
        <v>Toyota Dyna/Hino Dutro 00-</v>
      </c>
      <c r="E2266" s="56">
        <v>1.0</v>
      </c>
      <c r="F2266" s="161">
        <v>685000.0</v>
      </c>
      <c r="G2266" s="162">
        <f t="shared" si="33"/>
        <v>685000</v>
      </c>
      <c r="H2266" s="194"/>
      <c r="I2266" s="161">
        <f t="shared" si="36"/>
        <v>685000</v>
      </c>
      <c r="J2266" s="164">
        <f t="shared" si="30"/>
        <v>685000</v>
      </c>
      <c r="K2266" s="56" t="s">
        <v>8618</v>
      </c>
      <c r="L2266" s="165" t="s">
        <v>8619</v>
      </c>
      <c r="M2266" s="73"/>
      <c r="N2266" s="171"/>
      <c r="O2266" s="169" t="s">
        <v>3037</v>
      </c>
      <c r="P2266" s="168" t="s">
        <v>3112</v>
      </c>
      <c r="Q2266" s="173"/>
      <c r="R2266" s="167">
        <v>685000.0</v>
      </c>
      <c r="S2266" s="173"/>
      <c r="T2266" s="173"/>
      <c r="U2266" s="173"/>
      <c r="V2266" s="168" t="s">
        <v>3883</v>
      </c>
      <c r="W2266" s="169"/>
      <c r="X2266" s="169" t="s">
        <v>8620</v>
      </c>
    </row>
    <row r="2267" ht="15.0" customHeight="1">
      <c r="A2267" s="127">
        <v>45864.0</v>
      </c>
      <c r="B2267" s="181" t="s">
        <v>8617</v>
      </c>
      <c r="C2267" s="56" t="s">
        <v>2954</v>
      </c>
      <c r="D2267" s="73" t="str">
        <f>IFERROR(VLOOKUP(C2267,Stock,3,FALSE),"")</f>
        <v>Transport</v>
      </c>
      <c r="E2267" s="56">
        <v>1.0</v>
      </c>
      <c r="F2267" s="161">
        <v>150000.0</v>
      </c>
      <c r="G2267" s="162">
        <f t="shared" si="33"/>
        <v>150000</v>
      </c>
      <c r="H2267" s="194"/>
      <c r="I2267" s="161">
        <f t="shared" si="36"/>
        <v>150000</v>
      </c>
      <c r="J2267" s="164">
        <f t="shared" si="30"/>
        <v>150000</v>
      </c>
      <c r="K2267" s="56" t="s">
        <v>8618</v>
      </c>
      <c r="L2267" s="165" t="s">
        <v>8619</v>
      </c>
      <c r="M2267" s="73"/>
      <c r="N2267" s="171"/>
      <c r="O2267" s="169" t="s">
        <v>3037</v>
      </c>
      <c r="P2267" s="168" t="s">
        <v>3112</v>
      </c>
      <c r="Q2267" s="173"/>
      <c r="R2267" s="167">
        <v>150000.0</v>
      </c>
      <c r="S2267" s="173"/>
      <c r="T2267" s="173"/>
      <c r="U2267" s="173"/>
      <c r="V2267" s="168" t="s">
        <v>3883</v>
      </c>
      <c r="W2267" s="169"/>
      <c r="X2267" s="169" t="s">
        <v>8621</v>
      </c>
    </row>
    <row r="2268" ht="15.0" customHeight="1">
      <c r="A2268" s="127">
        <v>45864.0</v>
      </c>
      <c r="B2268" s="181" t="s">
        <v>8622</v>
      </c>
      <c r="C2268" s="56" t="s">
        <v>8623</v>
      </c>
      <c r="D2268" s="73" t="str">
        <f>IFERROR(VLOOKUP(C2268,Stock,3,FALSE),"")</f>
        <v>Daihatsu Gran Max / Luxio 07-</v>
      </c>
      <c r="E2268" s="56">
        <v>1.0</v>
      </c>
      <c r="F2268" s="161">
        <v>1000000.0</v>
      </c>
      <c r="G2268" s="162">
        <f t="shared" si="33"/>
        <v>1000000</v>
      </c>
      <c r="H2268" s="194"/>
      <c r="I2268" s="161">
        <f t="shared" si="36"/>
        <v>1000000</v>
      </c>
      <c r="J2268" s="164">
        <f t="shared" si="30"/>
        <v>1000000</v>
      </c>
      <c r="K2268" s="56" t="s">
        <v>8624</v>
      </c>
      <c r="L2268" s="165" t="s">
        <v>8625</v>
      </c>
      <c r="M2268" s="73"/>
      <c r="N2268" s="169" t="s">
        <v>8626</v>
      </c>
      <c r="O2268" s="169" t="s">
        <v>3037</v>
      </c>
      <c r="P2268" s="168" t="s">
        <v>3112</v>
      </c>
      <c r="Q2268" s="167">
        <v>1000000.0</v>
      </c>
      <c r="R2268" s="173"/>
      <c r="S2268" s="173"/>
      <c r="T2268" s="173"/>
      <c r="U2268" s="173"/>
      <c r="V2268" s="168" t="s">
        <v>3883</v>
      </c>
      <c r="W2268" s="169"/>
      <c r="X2268" s="169" t="s">
        <v>8040</v>
      </c>
    </row>
    <row r="2269" ht="15.0" customHeight="1">
      <c r="A2269" s="127">
        <v>45864.0</v>
      </c>
      <c r="B2269" s="181" t="s">
        <v>8622</v>
      </c>
      <c r="C2269" s="56" t="s">
        <v>3083</v>
      </c>
      <c r="D2269" s="73" t="str">
        <f>IFERROR(VLOOKUP(C2269,Stock,3,FALSE),"")</f>
        <v>List Kaca Depan Code 04</v>
      </c>
      <c r="E2269" s="56">
        <v>1.0</v>
      </c>
      <c r="F2269" s="161">
        <v>275000.0</v>
      </c>
      <c r="G2269" s="162">
        <f t="shared" si="33"/>
        <v>275000</v>
      </c>
      <c r="H2269" s="194"/>
      <c r="I2269" s="161">
        <f t="shared" si="36"/>
        <v>275000</v>
      </c>
      <c r="J2269" s="164">
        <f t="shared" si="30"/>
        <v>275000</v>
      </c>
      <c r="K2269" s="56" t="s">
        <v>8624</v>
      </c>
      <c r="L2269" s="165" t="s">
        <v>8625</v>
      </c>
      <c r="M2269" s="73"/>
      <c r="N2269" s="169" t="s">
        <v>8626</v>
      </c>
      <c r="O2269" s="169" t="s">
        <v>3037</v>
      </c>
      <c r="P2269" s="168" t="s">
        <v>3112</v>
      </c>
      <c r="Q2269" s="167">
        <v>275000.0</v>
      </c>
      <c r="R2269" s="173"/>
      <c r="S2269" s="173"/>
      <c r="T2269" s="173"/>
      <c r="U2269" s="173"/>
      <c r="V2269" s="168" t="s">
        <v>3883</v>
      </c>
      <c r="W2269" s="169"/>
      <c r="X2269" s="169" t="s">
        <v>8040</v>
      </c>
    </row>
    <row r="2270" ht="15.0" customHeight="1">
      <c r="A2270" s="127">
        <v>45865.0</v>
      </c>
      <c r="B2270" s="181" t="s">
        <v>8627</v>
      </c>
      <c r="C2270" s="56" t="s">
        <v>2631</v>
      </c>
      <c r="D2270" s="73" t="str">
        <f>IFERROR(VLOOKUP(C2270,Stock,3,FALSE),"")</f>
        <v>Suzuki Baleno 15-21</v>
      </c>
      <c r="E2270" s="56">
        <v>1.0</v>
      </c>
      <c r="F2270" s="161">
        <v>1418000.0</v>
      </c>
      <c r="G2270" s="162">
        <f t="shared" si="33"/>
        <v>1418000</v>
      </c>
      <c r="H2270" s="194"/>
      <c r="I2270" s="161">
        <f t="shared" si="36"/>
        <v>1418000</v>
      </c>
      <c r="J2270" s="164">
        <f t="shared" si="30"/>
        <v>1418000</v>
      </c>
      <c r="K2270" s="56" t="s">
        <v>8628</v>
      </c>
      <c r="L2270" s="165" t="s">
        <v>8629</v>
      </c>
      <c r="M2270" s="73"/>
      <c r="N2270" s="169" t="s">
        <v>8630</v>
      </c>
      <c r="O2270" s="169" t="s">
        <v>2958</v>
      </c>
      <c r="P2270" s="168" t="s">
        <v>3112</v>
      </c>
      <c r="Q2270" s="173"/>
      <c r="R2270" s="167">
        <v>1418000.0</v>
      </c>
      <c r="S2270" s="173"/>
      <c r="T2270" s="173"/>
      <c r="U2270" s="173"/>
      <c r="V2270" s="168" t="s">
        <v>3883</v>
      </c>
      <c r="W2270" s="169"/>
      <c r="X2270" s="169" t="s">
        <v>8631</v>
      </c>
    </row>
    <row r="2271" ht="15.0" customHeight="1">
      <c r="A2271" s="127">
        <v>45865.0</v>
      </c>
      <c r="B2271" s="181" t="s">
        <v>8632</v>
      </c>
      <c r="C2271" s="56" t="s">
        <v>8633</v>
      </c>
      <c r="D2271" s="73" t="str">
        <f>IFERROR(VLOOKUP(C2271,Stock,3,FALSE),"")</f>
        <v>Honda City 08-13 5th Gen (All New) RS</v>
      </c>
      <c r="E2271" s="56">
        <v>1.0</v>
      </c>
      <c r="F2271" s="161">
        <v>1870000.0</v>
      </c>
      <c r="G2271" s="162">
        <f t="shared" si="33"/>
        <v>1870000</v>
      </c>
      <c r="H2271" s="194"/>
      <c r="I2271" s="161">
        <f t="shared" si="36"/>
        <v>1870000</v>
      </c>
      <c r="J2271" s="164">
        <f t="shared" si="30"/>
        <v>1870000</v>
      </c>
      <c r="K2271" s="56" t="s">
        <v>8634</v>
      </c>
      <c r="L2271" s="165" t="s">
        <v>8635</v>
      </c>
      <c r="M2271" s="73"/>
      <c r="N2271" s="169" t="s">
        <v>8636</v>
      </c>
      <c r="O2271" s="169" t="s">
        <v>2958</v>
      </c>
      <c r="P2271" s="168" t="s">
        <v>3112</v>
      </c>
      <c r="Q2271" s="167">
        <v>1870000.0</v>
      </c>
      <c r="R2271" s="173"/>
      <c r="S2271" s="173"/>
      <c r="T2271" s="173"/>
      <c r="U2271" s="173"/>
      <c r="V2271" s="168" t="s">
        <v>3883</v>
      </c>
      <c r="W2271" s="169"/>
      <c r="X2271" s="169" t="s">
        <v>8040</v>
      </c>
    </row>
    <row r="2272" ht="15.0" customHeight="1">
      <c r="A2272" s="127">
        <v>45865.0</v>
      </c>
      <c r="B2272" s="181" t="s">
        <v>8637</v>
      </c>
      <c r="C2272" s="56" t="s">
        <v>3045</v>
      </c>
      <c r="D2272" s="73" t="str">
        <f>IFERROR(VLOOKUP(C2272,Stock,3,FALSE),"")</f>
        <v>Pemasangan Kaca Mobil Depan</v>
      </c>
      <c r="E2272" s="56">
        <v>1.0</v>
      </c>
      <c r="F2272" s="161">
        <v>600000.0</v>
      </c>
      <c r="G2272" s="162">
        <f t="shared" si="33"/>
        <v>600000</v>
      </c>
      <c r="H2272" s="194"/>
      <c r="I2272" s="161">
        <f t="shared" si="36"/>
        <v>600000</v>
      </c>
      <c r="J2272" s="164">
        <f t="shared" si="30"/>
        <v>600000</v>
      </c>
      <c r="K2272" s="56" t="s">
        <v>8638</v>
      </c>
      <c r="L2272" s="165" t="s">
        <v>8639</v>
      </c>
      <c r="M2272" s="73"/>
      <c r="N2272" s="169" t="s">
        <v>8640</v>
      </c>
      <c r="O2272" s="169" t="s">
        <v>2958</v>
      </c>
      <c r="P2272" s="168" t="s">
        <v>3112</v>
      </c>
      <c r="Q2272" s="167">
        <v>395700.0</v>
      </c>
      <c r="R2272" s="167">
        <v>204300.0</v>
      </c>
      <c r="S2272" s="173"/>
      <c r="T2272" s="173"/>
      <c r="U2272" s="173"/>
      <c r="V2272" s="168" t="s">
        <v>3883</v>
      </c>
      <c r="W2272" s="169"/>
      <c r="X2272" s="169" t="s">
        <v>8641</v>
      </c>
    </row>
    <row r="2273" ht="15.0" customHeight="1">
      <c r="A2273" s="127">
        <v>45865.0</v>
      </c>
      <c r="B2273" s="181" t="s">
        <v>8637</v>
      </c>
      <c r="C2273" s="56" t="s">
        <v>8642</v>
      </c>
      <c r="D2273" s="255" t="str">
        <f>IFERROR(VLOOKUP(C2273,Stock,3,FALSE),"")</f>
        <v/>
      </c>
      <c r="E2273" s="56">
        <v>1.0</v>
      </c>
      <c r="F2273" s="161">
        <v>681000.0</v>
      </c>
      <c r="G2273" s="162">
        <f t="shared" si="33"/>
        <v>681000</v>
      </c>
      <c r="H2273" s="194"/>
      <c r="I2273" s="161">
        <f t="shared" si="36"/>
        <v>681000</v>
      </c>
      <c r="J2273" s="164">
        <f t="shared" si="30"/>
        <v>681000</v>
      </c>
      <c r="K2273" s="56" t="s">
        <v>8638</v>
      </c>
      <c r="L2273" s="165" t="s">
        <v>8639</v>
      </c>
      <c r="M2273" s="73"/>
      <c r="N2273" s="169" t="s">
        <v>8640</v>
      </c>
      <c r="O2273" s="169" t="s">
        <v>2958</v>
      </c>
      <c r="P2273" s="168" t="s">
        <v>3112</v>
      </c>
      <c r="Q2273" s="167">
        <v>681000.0</v>
      </c>
      <c r="R2273" s="173"/>
      <c r="S2273" s="173"/>
      <c r="T2273" s="173"/>
      <c r="U2273" s="173"/>
      <c r="V2273" s="168" t="s">
        <v>3883</v>
      </c>
      <c r="W2273" s="169"/>
      <c r="X2273" s="169" t="s">
        <v>8040</v>
      </c>
    </row>
    <row r="2274" ht="15.0" customHeight="1">
      <c r="A2274" s="127">
        <v>45865.0</v>
      </c>
      <c r="B2274" s="181" t="s">
        <v>8643</v>
      </c>
      <c r="C2274" s="56" t="s">
        <v>4154</v>
      </c>
      <c r="D2274" s="73" t="str">
        <f>IFERROR(VLOOKUP(C2274,Stock,3,FALSE),"")</f>
        <v>Honda CR-V 07-11 3rd Gen</v>
      </c>
      <c r="E2274" s="56">
        <v>1.0</v>
      </c>
      <c r="F2274" s="161">
        <v>1752000.0</v>
      </c>
      <c r="G2274" s="162">
        <f t="shared" si="33"/>
        <v>1752000</v>
      </c>
      <c r="H2274" s="194"/>
      <c r="I2274" s="161">
        <f t="shared" si="36"/>
        <v>1752000</v>
      </c>
      <c r="J2274" s="164">
        <f t="shared" si="30"/>
        <v>1752000</v>
      </c>
      <c r="K2274" s="56" t="s">
        <v>8644</v>
      </c>
      <c r="L2274" s="165" t="s">
        <v>8645</v>
      </c>
      <c r="M2274" s="73"/>
      <c r="N2274" s="169" t="s">
        <v>8646</v>
      </c>
      <c r="O2274" s="169" t="s">
        <v>2958</v>
      </c>
      <c r="P2274" s="168" t="s">
        <v>3112</v>
      </c>
      <c r="Q2274" s="173"/>
      <c r="R2274" s="167">
        <v>1752000.0</v>
      </c>
      <c r="S2274" s="173"/>
      <c r="T2274" s="173"/>
      <c r="U2274" s="173"/>
      <c r="V2274" s="168" t="s">
        <v>3883</v>
      </c>
      <c r="W2274" s="169"/>
      <c r="X2274" s="169" t="s">
        <v>8647</v>
      </c>
    </row>
    <row r="2275" ht="15.0" customHeight="1">
      <c r="A2275" s="127">
        <v>45865.0</v>
      </c>
      <c r="B2275" s="181" t="s">
        <v>8648</v>
      </c>
      <c r="C2275" s="56" t="s">
        <v>3745</v>
      </c>
      <c r="D2275" s="73" t="str">
        <f>IFERROR(VLOOKUP(C2275,Stock,3,FALSE),"")</f>
        <v>Honda Brio 10- / Mobilio 11-</v>
      </c>
      <c r="E2275" s="56">
        <v>1.0</v>
      </c>
      <c r="F2275" s="161">
        <v>1772000.0</v>
      </c>
      <c r="G2275" s="162">
        <f t="shared" si="33"/>
        <v>1772000</v>
      </c>
      <c r="H2275" s="194"/>
      <c r="I2275" s="161">
        <f t="shared" si="36"/>
        <v>1772000</v>
      </c>
      <c r="J2275" s="164">
        <f t="shared" si="30"/>
        <v>1772000</v>
      </c>
      <c r="K2275" s="56" t="s">
        <v>8649</v>
      </c>
      <c r="L2275" s="165" t="s">
        <v>8650</v>
      </c>
      <c r="M2275" s="73"/>
      <c r="N2275" s="169" t="s">
        <v>8651</v>
      </c>
      <c r="O2275" s="169" t="s">
        <v>2958</v>
      </c>
      <c r="P2275" s="168" t="s">
        <v>3112</v>
      </c>
      <c r="Q2275" s="173"/>
      <c r="R2275" s="167">
        <v>1772000.0</v>
      </c>
      <c r="S2275" s="173"/>
      <c r="T2275" s="173"/>
      <c r="U2275" s="173"/>
      <c r="V2275" s="168" t="s">
        <v>3883</v>
      </c>
      <c r="W2275" s="169"/>
      <c r="X2275" s="169" t="s">
        <v>8652</v>
      </c>
    </row>
    <row r="2276" ht="15.0" customHeight="1">
      <c r="A2276" s="127">
        <v>45865.0</v>
      </c>
      <c r="B2276" s="181" t="s">
        <v>8653</v>
      </c>
      <c r="C2276" s="56" t="s">
        <v>2549</v>
      </c>
      <c r="D2276" s="73" t="str">
        <f>IFERROR(VLOOKUP(C2276,Stock,3,FALSE),"")</f>
        <v>Toyota Avanza / Xenia 11-15 2nd Gen</v>
      </c>
      <c r="E2276" s="56">
        <v>1.0</v>
      </c>
      <c r="F2276" s="161">
        <v>1020000.0</v>
      </c>
      <c r="G2276" s="162">
        <f t="shared" si="33"/>
        <v>1020000</v>
      </c>
      <c r="H2276" s="194"/>
      <c r="I2276" s="161">
        <f t="shared" si="36"/>
        <v>1020000</v>
      </c>
      <c r="J2276" s="164">
        <f t="shared" si="30"/>
        <v>1020000</v>
      </c>
      <c r="K2276" s="56" t="s">
        <v>4016</v>
      </c>
      <c r="L2276" s="165" t="s">
        <v>8654</v>
      </c>
      <c r="M2276" s="73"/>
      <c r="N2276" s="169" t="s">
        <v>8655</v>
      </c>
      <c r="O2276" s="169" t="s">
        <v>2958</v>
      </c>
      <c r="P2276" s="168" t="s">
        <v>3112</v>
      </c>
      <c r="Q2276" s="167">
        <v>1020000.0</v>
      </c>
      <c r="R2276" s="173"/>
      <c r="S2276" s="173"/>
      <c r="T2276" s="173"/>
      <c r="U2276" s="173"/>
      <c r="V2276" s="168" t="s">
        <v>3883</v>
      </c>
      <c r="W2276" s="169"/>
      <c r="X2276" s="169" t="s">
        <v>8040</v>
      </c>
    </row>
    <row r="2277" ht="15.0" customHeight="1">
      <c r="A2277" s="127">
        <v>45866.0</v>
      </c>
      <c r="B2277" s="181" t="s">
        <v>8656</v>
      </c>
      <c r="C2277" s="56" t="s">
        <v>2690</v>
      </c>
      <c r="D2277" s="73" t="str">
        <f>IFERROR(VLOOKUP(C2277,Stock,3,FALSE),"")</f>
        <v>Suzuki APV 03- Pickup/ Van</v>
      </c>
      <c r="E2277" s="56">
        <v>1.0</v>
      </c>
      <c r="F2277" s="161">
        <v>922000.0</v>
      </c>
      <c r="G2277" s="162">
        <f t="shared" si="33"/>
        <v>922000</v>
      </c>
      <c r="H2277" s="194"/>
      <c r="I2277" s="161">
        <f t="shared" si="36"/>
        <v>922000</v>
      </c>
      <c r="J2277" s="164">
        <f t="shared" si="30"/>
        <v>922000</v>
      </c>
      <c r="K2277" s="56" t="s">
        <v>8657</v>
      </c>
      <c r="L2277" s="165" t="s">
        <v>8658</v>
      </c>
      <c r="M2277" s="73"/>
      <c r="N2277" s="171"/>
      <c r="O2277" s="169" t="s">
        <v>5220</v>
      </c>
      <c r="P2277" s="168" t="s">
        <v>3112</v>
      </c>
      <c r="Q2277" s="173"/>
      <c r="R2277" s="167">
        <v>922000.0</v>
      </c>
      <c r="S2277" s="173"/>
      <c r="T2277" s="173"/>
      <c r="U2277" s="173"/>
      <c r="V2277" s="168" t="s">
        <v>3883</v>
      </c>
      <c r="W2277" s="169"/>
      <c r="X2277" s="169" t="s">
        <v>8659</v>
      </c>
    </row>
    <row r="2278" ht="15.0" customHeight="1">
      <c r="A2278" s="127">
        <v>45866.0</v>
      </c>
      <c r="B2278" s="181" t="s">
        <v>8656</v>
      </c>
      <c r="C2278" s="56" t="s">
        <v>2934</v>
      </c>
      <c r="D2278" s="73" t="str">
        <f>IFERROR(VLOOKUP(C2278,Stock,3,FALSE),"")</f>
        <v>Peti Kayu</v>
      </c>
      <c r="E2278" s="56">
        <v>1.0</v>
      </c>
      <c r="F2278" s="161">
        <v>200000.0</v>
      </c>
      <c r="G2278" s="162">
        <f t="shared" si="33"/>
        <v>200000</v>
      </c>
      <c r="H2278" s="194"/>
      <c r="I2278" s="161">
        <f t="shared" si="36"/>
        <v>200000</v>
      </c>
      <c r="J2278" s="164">
        <f t="shared" si="30"/>
        <v>200000</v>
      </c>
      <c r="K2278" s="56" t="s">
        <v>8657</v>
      </c>
      <c r="L2278" s="165" t="s">
        <v>8658</v>
      </c>
      <c r="M2278" s="73"/>
      <c r="N2278" s="171"/>
      <c r="O2278" s="169" t="s">
        <v>5220</v>
      </c>
      <c r="P2278" s="168" t="s">
        <v>3112</v>
      </c>
      <c r="Q2278" s="173"/>
      <c r="R2278" s="167">
        <v>200000.0</v>
      </c>
      <c r="S2278" s="173"/>
      <c r="T2278" s="173"/>
      <c r="U2278" s="173"/>
      <c r="V2278" s="168" t="s">
        <v>3883</v>
      </c>
      <c r="W2278" s="169"/>
      <c r="X2278" s="169" t="s">
        <v>8659</v>
      </c>
    </row>
    <row r="2279" ht="15.0" customHeight="1">
      <c r="A2279" s="127">
        <v>45866.0</v>
      </c>
      <c r="B2279" s="181" t="s">
        <v>8656</v>
      </c>
      <c r="C2279" s="469" t="s">
        <v>3083</v>
      </c>
      <c r="D2279" s="73" t="str">
        <f>IFERROR(VLOOKUP(C2279,Stock,3,FALSE),"")</f>
        <v>List Kaca Depan Code 04</v>
      </c>
      <c r="E2279" s="56">
        <v>1.0</v>
      </c>
      <c r="F2279" s="161">
        <v>275000.0</v>
      </c>
      <c r="G2279" s="162">
        <f t="shared" si="33"/>
        <v>275000</v>
      </c>
      <c r="H2279" s="194"/>
      <c r="I2279" s="161">
        <f t="shared" si="36"/>
        <v>275000</v>
      </c>
      <c r="J2279" s="164">
        <f t="shared" si="30"/>
        <v>275000</v>
      </c>
      <c r="K2279" s="56" t="s">
        <v>8657</v>
      </c>
      <c r="L2279" s="165" t="s">
        <v>8658</v>
      </c>
      <c r="M2279" s="73"/>
      <c r="N2279" s="171"/>
      <c r="O2279" s="169" t="s">
        <v>5220</v>
      </c>
      <c r="P2279" s="168" t="s">
        <v>3112</v>
      </c>
      <c r="Q2279" s="173"/>
      <c r="R2279" s="167">
        <v>275000.0</v>
      </c>
      <c r="S2279" s="173"/>
      <c r="T2279" s="173"/>
      <c r="U2279" s="173"/>
      <c r="V2279" s="168" t="s">
        <v>3883</v>
      </c>
      <c r="W2279" s="169"/>
      <c r="X2279" s="169" t="s">
        <v>8659</v>
      </c>
    </row>
    <row r="2280" ht="15.0" customHeight="1">
      <c r="A2280" s="127">
        <v>45866.0</v>
      </c>
      <c r="B2280" s="181" t="s">
        <v>8656</v>
      </c>
      <c r="C2280" s="6" t="s">
        <v>4027</v>
      </c>
      <c r="D2280" s="73" t="str">
        <f>IFERROR(VLOOKUP(C2280,Stock,3,FALSE),"")</f>
        <v>501 Sealant Application</v>
      </c>
      <c r="E2280" s="56">
        <v>2.0</v>
      </c>
      <c r="F2280" s="161">
        <v>75000.0</v>
      </c>
      <c r="G2280" s="162">
        <f t="shared" si="33"/>
        <v>150000</v>
      </c>
      <c r="H2280" s="194"/>
      <c r="I2280" s="161">
        <f t="shared" si="36"/>
        <v>150000</v>
      </c>
      <c r="J2280" s="164">
        <f t="shared" si="30"/>
        <v>150000</v>
      </c>
      <c r="K2280" s="56" t="s">
        <v>8657</v>
      </c>
      <c r="L2280" s="165" t="s">
        <v>8658</v>
      </c>
      <c r="M2280" s="73"/>
      <c r="N2280" s="171"/>
      <c r="O2280" s="169" t="s">
        <v>5220</v>
      </c>
      <c r="P2280" s="168" t="s">
        <v>3112</v>
      </c>
      <c r="Q2280" s="173"/>
      <c r="R2280" s="167">
        <v>150000.0</v>
      </c>
      <c r="S2280" s="173"/>
      <c r="T2280" s="173"/>
      <c r="U2280" s="173"/>
      <c r="V2280" s="168" t="s">
        <v>3883</v>
      </c>
      <c r="W2280" s="169"/>
      <c r="X2280" s="169" t="s">
        <v>8659</v>
      </c>
    </row>
    <row r="2281" ht="15.0" customHeight="1">
      <c r="A2281" s="127">
        <v>45866.0</v>
      </c>
      <c r="B2281" s="181" t="s">
        <v>8656</v>
      </c>
      <c r="C2281" s="474" t="s">
        <v>2954</v>
      </c>
      <c r="D2281" s="73" t="str">
        <f>IFERROR(VLOOKUP(C2281,Stock,3,FALSE),"")</f>
        <v>Transport</v>
      </c>
      <c r="E2281" s="56">
        <v>1.0</v>
      </c>
      <c r="F2281" s="161">
        <v>45000.0</v>
      </c>
      <c r="G2281" s="162">
        <f t="shared" si="33"/>
        <v>45000</v>
      </c>
      <c r="H2281" s="194"/>
      <c r="I2281" s="161">
        <f t="shared" si="36"/>
        <v>45000</v>
      </c>
      <c r="J2281" s="164">
        <f t="shared" si="30"/>
        <v>45000</v>
      </c>
      <c r="K2281" s="56" t="s">
        <v>8657</v>
      </c>
      <c r="L2281" s="165" t="s">
        <v>8658</v>
      </c>
      <c r="M2281" s="73"/>
      <c r="N2281" s="171"/>
      <c r="O2281" s="169" t="s">
        <v>5220</v>
      </c>
      <c r="P2281" s="168" t="s">
        <v>3112</v>
      </c>
      <c r="Q2281" s="173"/>
      <c r="R2281" s="167">
        <v>45000.0</v>
      </c>
      <c r="S2281" s="173"/>
      <c r="T2281" s="173"/>
      <c r="U2281" s="173"/>
      <c r="V2281" s="168" t="s">
        <v>3883</v>
      </c>
      <c r="W2281" s="169"/>
      <c r="X2281" s="169" t="s">
        <v>8659</v>
      </c>
    </row>
    <row r="2282" ht="15.0" customHeight="1">
      <c r="A2282" s="127">
        <v>45866.0</v>
      </c>
      <c r="B2282" s="181" t="s">
        <v>8660</v>
      </c>
      <c r="C2282" s="56" t="s">
        <v>2825</v>
      </c>
      <c r="D2282" s="73" t="str">
        <f>IFERROR(VLOOKUP(C2282,Stock,3,FALSE),"")</f>
        <v>Toyota Avanza / Xenia 21- 4th Gen</v>
      </c>
      <c r="E2282" s="56">
        <v>1.0</v>
      </c>
      <c r="F2282" s="161">
        <v>950000.0</v>
      </c>
      <c r="G2282" s="162">
        <f t="shared" si="33"/>
        <v>950000</v>
      </c>
      <c r="H2282" s="194"/>
      <c r="I2282" s="161">
        <f t="shared" si="36"/>
        <v>950000</v>
      </c>
      <c r="J2282" s="164">
        <f t="shared" si="30"/>
        <v>950000</v>
      </c>
      <c r="K2282" s="307" t="s">
        <v>8661</v>
      </c>
      <c r="L2282" s="165" t="s">
        <v>8662</v>
      </c>
      <c r="M2282" s="73"/>
      <c r="N2282" s="169" t="s">
        <v>8663</v>
      </c>
      <c r="O2282" s="169" t="s">
        <v>3037</v>
      </c>
      <c r="P2282" s="168" t="s">
        <v>3112</v>
      </c>
      <c r="Q2282" s="167">
        <v>950000.0</v>
      </c>
      <c r="R2282" s="173"/>
      <c r="S2282" s="173"/>
      <c r="T2282" s="173"/>
      <c r="U2282" s="173"/>
      <c r="V2282" s="168" t="s">
        <v>3883</v>
      </c>
      <c r="W2282" s="169"/>
      <c r="X2282" s="169" t="s">
        <v>8040</v>
      </c>
    </row>
    <row r="2283" ht="15.0" customHeight="1">
      <c r="A2283" s="127">
        <v>45866.0</v>
      </c>
      <c r="B2283" s="181" t="s">
        <v>8664</v>
      </c>
      <c r="C2283" s="56" t="s">
        <v>2691</v>
      </c>
      <c r="D2283" s="73" t="str">
        <f>IFERROR(VLOOKUP(C2283,Stock,3,FALSE),"")</f>
        <v>Suzuki Ertiga 12-18 1st Gen MPV</v>
      </c>
      <c r="E2283" s="56">
        <v>1.0</v>
      </c>
      <c r="F2283" s="161">
        <v>1300000.0</v>
      </c>
      <c r="G2283" s="162">
        <f t="shared" si="33"/>
        <v>1300000</v>
      </c>
      <c r="H2283" s="201">
        <v>50000.0</v>
      </c>
      <c r="I2283" s="161">
        <f t="shared" si="36"/>
        <v>1250000</v>
      </c>
      <c r="J2283" s="164">
        <f t="shared" si="30"/>
        <v>1250000</v>
      </c>
      <c r="K2283" s="56" t="s">
        <v>8665</v>
      </c>
      <c r="L2283" s="165" t="s">
        <v>8666</v>
      </c>
      <c r="M2283" s="73"/>
      <c r="N2283" s="169" t="s">
        <v>8667</v>
      </c>
      <c r="O2283" s="169" t="s">
        <v>3775</v>
      </c>
      <c r="P2283" s="168" t="s">
        <v>3112</v>
      </c>
      <c r="Q2283" s="173"/>
      <c r="R2283" s="167">
        <v>1250000.0</v>
      </c>
      <c r="S2283" s="173"/>
      <c r="T2283" s="173"/>
      <c r="U2283" s="173"/>
      <c r="V2283" s="168" t="s">
        <v>3883</v>
      </c>
      <c r="W2283" s="169"/>
      <c r="X2283" s="169" t="s">
        <v>8668</v>
      </c>
    </row>
    <row r="2284" ht="15.0" customHeight="1">
      <c r="A2284" s="127">
        <v>45866.0</v>
      </c>
      <c r="B2284" s="181" t="s">
        <v>8669</v>
      </c>
      <c r="C2284" s="56" t="s">
        <v>8670</v>
      </c>
      <c r="D2284" s="73" t="str">
        <f>IFERROR(VLOOKUP(C2284,Stock,3,FALSE),"")</f>
        <v>Suzuki Splash 09-16 (Suzuki)</v>
      </c>
      <c r="E2284" s="56">
        <v>1.0</v>
      </c>
      <c r="F2284" s="161">
        <v>3332000.0</v>
      </c>
      <c r="G2284" s="162">
        <f t="shared" si="33"/>
        <v>3332000</v>
      </c>
      <c r="H2284" s="194"/>
      <c r="I2284" s="161">
        <f t="shared" si="36"/>
        <v>3332000</v>
      </c>
      <c r="J2284" s="164">
        <f t="shared" si="30"/>
        <v>3332000</v>
      </c>
      <c r="K2284" s="56" t="s">
        <v>8671</v>
      </c>
      <c r="L2284" s="165" t="s">
        <v>8672</v>
      </c>
      <c r="M2284" s="73"/>
      <c r="N2284" s="169" t="s">
        <v>8667</v>
      </c>
      <c r="O2284" s="169" t="s">
        <v>2958</v>
      </c>
      <c r="P2284" s="168" t="s">
        <v>3112</v>
      </c>
      <c r="Q2284" s="173"/>
      <c r="R2284" s="167">
        <v>3332000.0</v>
      </c>
      <c r="S2284" s="173"/>
      <c r="T2284" s="173"/>
      <c r="U2284" s="173"/>
      <c r="V2284" s="168" t="s">
        <v>3883</v>
      </c>
      <c r="W2284" s="169"/>
      <c r="X2284" s="169" t="s">
        <v>8673</v>
      </c>
    </row>
    <row r="2285" ht="15.0" customHeight="1">
      <c r="A2285" s="423">
        <v>45866.0</v>
      </c>
      <c r="B2285" s="424" t="s">
        <v>8674</v>
      </c>
      <c r="C2285" s="90" t="s">
        <v>2703</v>
      </c>
      <c r="D2285" s="425" t="str">
        <f>IFERROR(VLOOKUP(C2285,Stock,3,FALSE),"")</f>
        <v>Toyota Hi-Ace 04-20 Commuter</v>
      </c>
      <c r="E2285" s="90">
        <v>1.0</v>
      </c>
      <c r="F2285" s="426">
        <v>1467126.0</v>
      </c>
      <c r="G2285" s="427">
        <f t="shared" si="33"/>
        <v>1467126</v>
      </c>
      <c r="H2285" s="428"/>
      <c r="I2285" s="426">
        <f t="shared" si="36"/>
        <v>1467126</v>
      </c>
      <c r="J2285" s="429">
        <f t="shared" si="30"/>
        <v>1467126</v>
      </c>
      <c r="K2285" s="90" t="s">
        <v>4741</v>
      </c>
      <c r="L2285" s="431" t="s">
        <v>8675</v>
      </c>
      <c r="M2285" s="425"/>
      <c r="N2285" s="432"/>
      <c r="O2285" s="433" t="s">
        <v>3710</v>
      </c>
      <c r="P2285" s="434" t="s">
        <v>2922</v>
      </c>
      <c r="Q2285" s="435"/>
      <c r="R2285" s="435"/>
      <c r="S2285" s="247">
        <v>1467126.0</v>
      </c>
      <c r="T2285" s="435"/>
      <c r="U2285" s="435"/>
      <c r="V2285" s="434" t="s">
        <v>3883</v>
      </c>
      <c r="W2285" s="433"/>
      <c r="X2285" s="432"/>
    </row>
    <row r="2286" ht="15.0" customHeight="1">
      <c r="A2286" s="423">
        <v>45866.0</v>
      </c>
      <c r="B2286" s="424" t="s">
        <v>8674</v>
      </c>
      <c r="C2286" s="90" t="s">
        <v>2934</v>
      </c>
      <c r="D2286" s="425" t="str">
        <f>IFERROR(VLOOKUP(C2286,Stock,3,FALSE),"")</f>
        <v>Peti Kayu</v>
      </c>
      <c r="E2286" s="90">
        <v>1.0</v>
      </c>
      <c r="F2286" s="426">
        <v>188213.0</v>
      </c>
      <c r="G2286" s="427">
        <f t="shared" si="33"/>
        <v>188213</v>
      </c>
      <c r="H2286" s="428"/>
      <c r="I2286" s="426">
        <f t="shared" si="36"/>
        <v>188213</v>
      </c>
      <c r="J2286" s="429">
        <f t="shared" si="30"/>
        <v>188213</v>
      </c>
      <c r="K2286" s="90" t="s">
        <v>4741</v>
      </c>
      <c r="L2286" s="431" t="s">
        <v>8675</v>
      </c>
      <c r="M2286" s="425"/>
      <c r="N2286" s="432"/>
      <c r="O2286" s="433" t="s">
        <v>3710</v>
      </c>
      <c r="P2286" s="434" t="s">
        <v>2922</v>
      </c>
      <c r="Q2286" s="435"/>
      <c r="R2286" s="435"/>
      <c r="S2286" s="247">
        <v>188213.0</v>
      </c>
      <c r="T2286" s="435"/>
      <c r="U2286" s="435"/>
      <c r="V2286" s="434" t="s">
        <v>3883</v>
      </c>
      <c r="W2286" s="433"/>
      <c r="X2286" s="432"/>
    </row>
    <row r="2287" ht="15.0" customHeight="1">
      <c r="A2287" s="127">
        <v>45867.0</v>
      </c>
      <c r="B2287" s="181" t="s">
        <v>8676</v>
      </c>
      <c r="C2287" s="56" t="s">
        <v>5458</v>
      </c>
      <c r="D2287" s="73" t="str">
        <f>IFERROR(VLOOKUP(C2287,Stock,3,FALSE),"")</f>
        <v>Isuzu Panther 00- 2nd Gen (Sealant)</v>
      </c>
      <c r="E2287" s="56">
        <v>1.0</v>
      </c>
      <c r="F2287" s="161">
        <v>900000.0</v>
      </c>
      <c r="G2287" s="162">
        <f t="shared" si="33"/>
        <v>900000</v>
      </c>
      <c r="H2287" s="194"/>
      <c r="I2287" s="161">
        <f t="shared" si="36"/>
        <v>900000</v>
      </c>
      <c r="J2287" s="164">
        <f t="shared" si="30"/>
        <v>900000</v>
      </c>
      <c r="K2287" s="56" t="s">
        <v>8677</v>
      </c>
      <c r="L2287" s="165" t="s">
        <v>8678</v>
      </c>
      <c r="M2287" s="73"/>
      <c r="N2287" s="289" t="s">
        <v>8679</v>
      </c>
      <c r="O2287" s="169" t="s">
        <v>2958</v>
      </c>
      <c r="P2287" s="168" t="s">
        <v>3112</v>
      </c>
      <c r="Q2287" s="167">
        <v>900000.0</v>
      </c>
      <c r="R2287" s="173"/>
      <c r="S2287" s="173"/>
      <c r="T2287" s="173"/>
      <c r="U2287" s="173"/>
      <c r="V2287" s="168" t="s">
        <v>3883</v>
      </c>
      <c r="W2287" s="169"/>
      <c r="X2287" s="169" t="s">
        <v>8483</v>
      </c>
    </row>
    <row r="2288" ht="15.0" customHeight="1">
      <c r="A2288" s="127">
        <v>45867.0</v>
      </c>
      <c r="B2288" s="181" t="s">
        <v>8680</v>
      </c>
      <c r="C2288" s="56" t="s">
        <v>2703</v>
      </c>
      <c r="D2288" s="73" t="str">
        <f>IFERROR(VLOOKUP(C2288,Stock,3,FALSE),"")</f>
        <v>Toyota Hi-Ace 04-20 Commuter</v>
      </c>
      <c r="E2288" s="56">
        <v>1.0</v>
      </c>
      <c r="F2288" s="161">
        <v>1680000.0</v>
      </c>
      <c r="G2288" s="162">
        <f t="shared" si="33"/>
        <v>1680000</v>
      </c>
      <c r="H2288" s="201">
        <v>80000.0</v>
      </c>
      <c r="I2288" s="161">
        <f t="shared" si="36"/>
        <v>1600000</v>
      </c>
      <c r="J2288" s="164">
        <f t="shared" si="30"/>
        <v>1600000</v>
      </c>
      <c r="K2288" s="56" t="s">
        <v>5373</v>
      </c>
      <c r="L2288" s="165" t="s">
        <v>8681</v>
      </c>
      <c r="M2288" s="73"/>
      <c r="N2288" s="169" t="s">
        <v>8682</v>
      </c>
      <c r="O2288" s="169" t="s">
        <v>2958</v>
      </c>
      <c r="P2288" s="168" t="s">
        <v>3112</v>
      </c>
      <c r="Q2288" s="173"/>
      <c r="R2288" s="167">
        <v>1600000.0</v>
      </c>
      <c r="S2288" s="173"/>
      <c r="T2288" s="173"/>
      <c r="U2288" s="173"/>
      <c r="V2288" s="168" t="s">
        <v>3883</v>
      </c>
      <c r="W2288" s="169"/>
      <c r="X2288" s="169" t="s">
        <v>8683</v>
      </c>
    </row>
    <row r="2289" ht="15.0" customHeight="1">
      <c r="A2289" s="127">
        <v>45868.0</v>
      </c>
      <c r="B2289" s="181" t="s">
        <v>8684</v>
      </c>
      <c r="C2289" s="56" t="s">
        <v>6984</v>
      </c>
      <c r="D2289" s="73" t="str">
        <f>IFERROR(VLOOKUP(C2289,Stock,3,FALSE),"")</f>
        <v>Mitsubishi Mirage 12-</v>
      </c>
      <c r="E2289" s="56">
        <v>1.0</v>
      </c>
      <c r="F2289" s="161">
        <v>1900000.0</v>
      </c>
      <c r="G2289" s="162">
        <f t="shared" si="33"/>
        <v>1900000</v>
      </c>
      <c r="H2289" s="194"/>
      <c r="I2289" s="161">
        <f t="shared" si="36"/>
        <v>1900000</v>
      </c>
      <c r="J2289" s="164">
        <f t="shared" si="30"/>
        <v>1900000</v>
      </c>
      <c r="K2289" s="56" t="s">
        <v>8685</v>
      </c>
      <c r="L2289" s="165" t="s">
        <v>8686</v>
      </c>
      <c r="M2289" s="73"/>
      <c r="N2289" s="171"/>
      <c r="O2289" s="169" t="s">
        <v>2958</v>
      </c>
      <c r="P2289" s="168" t="s">
        <v>3112</v>
      </c>
      <c r="Q2289" s="173"/>
      <c r="R2289" s="167">
        <v>1900000.0</v>
      </c>
      <c r="S2289" s="173"/>
      <c r="T2289" s="173"/>
      <c r="U2289" s="173"/>
      <c r="V2289" s="168" t="s">
        <v>3883</v>
      </c>
      <c r="W2289" s="169"/>
      <c r="X2289" s="169" t="s">
        <v>8687</v>
      </c>
    </row>
    <row r="2290" ht="15.0" customHeight="1">
      <c r="A2290" s="127">
        <v>45868.0</v>
      </c>
      <c r="B2290" s="181" t="s">
        <v>8684</v>
      </c>
      <c r="C2290" s="56" t="s">
        <v>2954</v>
      </c>
      <c r="D2290" s="73" t="str">
        <f>IFERROR(VLOOKUP(C2290,Stock,3,FALSE),"")</f>
        <v>Transport</v>
      </c>
      <c r="E2290" s="56">
        <v>1.0</v>
      </c>
      <c r="F2290" s="161">
        <v>100000.0</v>
      </c>
      <c r="G2290" s="162">
        <f t="shared" si="33"/>
        <v>100000</v>
      </c>
      <c r="H2290" s="194"/>
      <c r="I2290" s="161">
        <f t="shared" si="36"/>
        <v>100000</v>
      </c>
      <c r="J2290" s="164">
        <f t="shared" si="30"/>
        <v>100000</v>
      </c>
      <c r="K2290" s="56" t="s">
        <v>8685</v>
      </c>
      <c r="L2290" s="165" t="s">
        <v>8686</v>
      </c>
      <c r="M2290" s="73"/>
      <c r="N2290" s="171"/>
      <c r="O2290" s="169" t="s">
        <v>2958</v>
      </c>
      <c r="P2290" s="168" t="s">
        <v>3112</v>
      </c>
      <c r="Q2290" s="173"/>
      <c r="R2290" s="167">
        <v>100000.0</v>
      </c>
      <c r="S2290" s="173"/>
      <c r="T2290" s="173"/>
      <c r="U2290" s="173"/>
      <c r="V2290" s="168" t="s">
        <v>3883</v>
      </c>
      <c r="W2290" s="169"/>
      <c r="X2290" s="169" t="s">
        <v>8687</v>
      </c>
    </row>
    <row r="2291" ht="15.0" customHeight="1">
      <c r="A2291" s="127">
        <v>45868.0</v>
      </c>
      <c r="B2291" s="475" t="s">
        <v>8688</v>
      </c>
      <c r="C2291" s="56" t="s">
        <v>6889</v>
      </c>
      <c r="D2291" s="73" t="str">
        <f>IFERROR(VLOOKUP(C2291,Stock,3,FALSE),"")</f>
        <v>Toyota Avanza / Xenia 21- 4th Gen</v>
      </c>
      <c r="E2291" s="56">
        <v>1.0</v>
      </c>
      <c r="F2291" s="161">
        <v>550000.0</v>
      </c>
      <c r="G2291" s="162">
        <f t="shared" si="33"/>
        <v>550000</v>
      </c>
      <c r="H2291" s="194"/>
      <c r="I2291" s="161">
        <f t="shared" si="36"/>
        <v>550000</v>
      </c>
      <c r="J2291" s="164">
        <f t="shared" si="30"/>
        <v>550000</v>
      </c>
      <c r="K2291" s="56" t="s">
        <v>5011</v>
      </c>
      <c r="L2291" s="165" t="s">
        <v>8689</v>
      </c>
      <c r="M2291" s="73"/>
      <c r="N2291" s="171"/>
      <c r="O2291" s="169" t="s">
        <v>2958</v>
      </c>
      <c r="P2291" s="168" t="s">
        <v>3112</v>
      </c>
      <c r="Q2291" s="167">
        <v>550000.0</v>
      </c>
      <c r="R2291" s="173"/>
      <c r="S2291" s="173"/>
      <c r="T2291" s="173"/>
      <c r="U2291" s="173"/>
      <c r="V2291" s="168" t="s">
        <v>3883</v>
      </c>
      <c r="W2291" s="169"/>
      <c r="X2291" s="169" t="s">
        <v>8040</v>
      </c>
    </row>
    <row r="2292" ht="15.0" customHeight="1">
      <c r="A2292" s="127">
        <v>45868.0</v>
      </c>
      <c r="B2292" s="475" t="s">
        <v>8690</v>
      </c>
      <c r="C2292" s="56" t="s">
        <v>5429</v>
      </c>
      <c r="D2292" s="73" t="str">
        <f>IFERROR(VLOOKUP(C2292,Stock,3,FALSE),"")</f>
        <v>Toyota Innova 04-15 1st Gen (Toyota)</v>
      </c>
      <c r="E2292" s="56">
        <v>1.0</v>
      </c>
      <c r="F2292" s="161">
        <v>2250000.0</v>
      </c>
      <c r="G2292" s="162">
        <f t="shared" si="33"/>
        <v>2250000</v>
      </c>
      <c r="H2292" s="194"/>
      <c r="I2292" s="161">
        <f t="shared" si="36"/>
        <v>2250000</v>
      </c>
      <c r="J2292" s="164">
        <f t="shared" si="30"/>
        <v>2250000</v>
      </c>
      <c r="K2292" s="56" t="s">
        <v>8691</v>
      </c>
      <c r="L2292" s="165" t="s">
        <v>8692</v>
      </c>
      <c r="M2292" s="73"/>
      <c r="N2292" s="169" t="s">
        <v>8693</v>
      </c>
      <c r="O2292" s="169" t="s">
        <v>2958</v>
      </c>
      <c r="P2292" s="168" t="s">
        <v>3112</v>
      </c>
      <c r="Q2292" s="173"/>
      <c r="R2292" s="167">
        <v>2250000.0</v>
      </c>
      <c r="S2292" s="173"/>
      <c r="T2292" s="173"/>
      <c r="U2292" s="173"/>
      <c r="V2292" s="168" t="s">
        <v>3883</v>
      </c>
      <c r="W2292" s="169"/>
      <c r="X2292" s="169" t="s">
        <v>8694</v>
      </c>
    </row>
    <row r="2293" ht="15.0" customHeight="1">
      <c r="A2293" s="127">
        <v>45869.0</v>
      </c>
      <c r="B2293" s="475" t="s">
        <v>8695</v>
      </c>
      <c r="C2293" s="56" t="s">
        <v>3013</v>
      </c>
      <c r="D2293" s="73" t="str">
        <f>IFERROR(VLOOKUP(C2293,Stock,3,FALSE),"")</f>
        <v>Honda BR-V 16-</v>
      </c>
      <c r="E2293" s="56">
        <v>1.0</v>
      </c>
      <c r="F2293" s="161">
        <v>1349000.0</v>
      </c>
      <c r="G2293" s="162">
        <f t="shared" si="33"/>
        <v>1349000</v>
      </c>
      <c r="H2293" s="194"/>
      <c r="I2293" s="161">
        <f t="shared" si="36"/>
        <v>1349000</v>
      </c>
      <c r="J2293" s="164">
        <f t="shared" si="30"/>
        <v>1349000</v>
      </c>
      <c r="K2293" s="56" t="s">
        <v>8696</v>
      </c>
      <c r="L2293" s="165" t="s">
        <v>8697</v>
      </c>
      <c r="M2293" s="73"/>
      <c r="N2293" s="171"/>
      <c r="O2293" s="169" t="s">
        <v>3204</v>
      </c>
      <c r="P2293" s="168" t="s">
        <v>3112</v>
      </c>
      <c r="Q2293" s="173"/>
      <c r="R2293" s="167">
        <v>1349000.0</v>
      </c>
      <c r="S2293" s="173"/>
      <c r="T2293" s="173"/>
      <c r="U2293" s="173"/>
      <c r="V2293" s="168" t="s">
        <v>3883</v>
      </c>
      <c r="W2293" s="169"/>
      <c r="X2293" s="169" t="s">
        <v>8698</v>
      </c>
    </row>
    <row r="2294" ht="15.0" customHeight="1">
      <c r="A2294" s="127">
        <v>45869.0</v>
      </c>
      <c r="B2294" s="475" t="s">
        <v>8695</v>
      </c>
      <c r="C2294" s="56" t="s">
        <v>2954</v>
      </c>
      <c r="D2294" s="73" t="str">
        <f>IFERROR(VLOOKUP(C2294,Stock,3,FALSE),"")</f>
        <v>Transport</v>
      </c>
      <c r="E2294" s="56">
        <v>1.0</v>
      </c>
      <c r="F2294" s="161">
        <v>80000.0</v>
      </c>
      <c r="G2294" s="162">
        <f t="shared" si="33"/>
        <v>80000</v>
      </c>
      <c r="H2294" s="194"/>
      <c r="I2294" s="161">
        <f t="shared" si="36"/>
        <v>80000</v>
      </c>
      <c r="J2294" s="164">
        <f t="shared" si="30"/>
        <v>80000</v>
      </c>
      <c r="K2294" s="56" t="s">
        <v>8696</v>
      </c>
      <c r="L2294" s="165" t="s">
        <v>8697</v>
      </c>
      <c r="M2294" s="73"/>
      <c r="N2294" s="171"/>
      <c r="O2294" s="169" t="s">
        <v>3204</v>
      </c>
      <c r="P2294" s="168" t="s">
        <v>3112</v>
      </c>
      <c r="Q2294" s="173"/>
      <c r="R2294" s="167">
        <v>80000.0</v>
      </c>
      <c r="S2294" s="173"/>
      <c r="T2294" s="173"/>
      <c r="U2294" s="173"/>
      <c r="V2294" s="168" t="s">
        <v>3883</v>
      </c>
      <c r="W2294" s="169"/>
      <c r="X2294" s="169" t="s">
        <v>8698</v>
      </c>
    </row>
    <row r="2295" ht="15.0" customHeight="1">
      <c r="A2295" s="127">
        <v>45869.0</v>
      </c>
      <c r="B2295" s="475" t="s">
        <v>8699</v>
      </c>
      <c r="C2295" s="56" t="s">
        <v>2617</v>
      </c>
      <c r="D2295" s="73" t="str">
        <f>IFERROR(VLOOKUP(C2295,Stock,3,FALSE),"")</f>
        <v>Mitsubishi Pajero 16- (Mitsubishi)</v>
      </c>
      <c r="E2295" s="56">
        <v>1.0</v>
      </c>
      <c r="F2295" s="161">
        <v>2988000.0</v>
      </c>
      <c r="G2295" s="162">
        <f t="shared" si="33"/>
        <v>2988000</v>
      </c>
      <c r="H2295" s="201">
        <v>149400.0</v>
      </c>
      <c r="I2295" s="161">
        <f t="shared" si="36"/>
        <v>2838600</v>
      </c>
      <c r="J2295" s="164">
        <f t="shared" si="30"/>
        <v>2838600</v>
      </c>
      <c r="K2295" s="56" t="s">
        <v>8700</v>
      </c>
      <c r="L2295" s="165" t="s">
        <v>8701</v>
      </c>
      <c r="M2295" s="73"/>
      <c r="N2295" s="171"/>
      <c r="O2295" s="169" t="s">
        <v>2958</v>
      </c>
      <c r="P2295" s="168" t="s">
        <v>3112</v>
      </c>
      <c r="Q2295" s="173"/>
      <c r="R2295" s="167">
        <v>2838600.0</v>
      </c>
      <c r="S2295" s="173"/>
      <c r="T2295" s="173"/>
      <c r="U2295" s="173"/>
      <c r="V2295" s="168" t="s">
        <v>3883</v>
      </c>
      <c r="W2295" s="169"/>
      <c r="X2295" s="169" t="s">
        <v>8702</v>
      </c>
    </row>
    <row r="2296" ht="15.0" customHeight="1">
      <c r="A2296" s="127">
        <v>45869.0</v>
      </c>
      <c r="B2296" s="475" t="s">
        <v>8699</v>
      </c>
      <c r="C2296" s="56" t="s">
        <v>2934</v>
      </c>
      <c r="D2296" s="73" t="str">
        <f>IFERROR(VLOOKUP(C2296,Stock,3,FALSE),"")</f>
        <v>Peti Kayu</v>
      </c>
      <c r="E2296" s="56">
        <v>1.0</v>
      </c>
      <c r="F2296" s="161">
        <v>200000.0</v>
      </c>
      <c r="G2296" s="162">
        <f t="shared" si="33"/>
        <v>200000</v>
      </c>
      <c r="H2296" s="194"/>
      <c r="I2296" s="161">
        <f t="shared" si="36"/>
        <v>200000</v>
      </c>
      <c r="J2296" s="164">
        <f t="shared" si="30"/>
        <v>200000</v>
      </c>
      <c r="K2296" s="56" t="s">
        <v>8700</v>
      </c>
      <c r="L2296" s="165" t="s">
        <v>8701</v>
      </c>
      <c r="M2296" s="73"/>
      <c r="N2296" s="171"/>
      <c r="O2296" s="169" t="s">
        <v>2958</v>
      </c>
      <c r="P2296" s="168" t="s">
        <v>3112</v>
      </c>
      <c r="Q2296" s="173"/>
      <c r="R2296" s="167">
        <v>200000.0</v>
      </c>
      <c r="S2296" s="173"/>
      <c r="T2296" s="173"/>
      <c r="U2296" s="173"/>
      <c r="V2296" s="168" t="s">
        <v>3883</v>
      </c>
      <c r="W2296" s="169"/>
      <c r="X2296" s="169" t="s">
        <v>8702</v>
      </c>
    </row>
    <row r="2297" ht="15.0" customHeight="1">
      <c r="A2297" s="127">
        <v>45869.0</v>
      </c>
      <c r="B2297" s="475" t="s">
        <v>8703</v>
      </c>
      <c r="C2297" s="56" t="s">
        <v>3837</v>
      </c>
      <c r="D2297" s="73" t="str">
        <f>IFERROR(VLOOKUP(C2297,Stock,3,FALSE),"")</f>
        <v>Toyota Yaris 13- 2nd Gen / Vios 14- 3rd Gen</v>
      </c>
      <c r="E2297" s="56">
        <v>1.0</v>
      </c>
      <c r="F2297" s="161">
        <v>1619000.0</v>
      </c>
      <c r="G2297" s="162">
        <f t="shared" si="33"/>
        <v>1619000</v>
      </c>
      <c r="H2297" s="194"/>
      <c r="I2297" s="161">
        <f t="shared" si="36"/>
        <v>1619000</v>
      </c>
      <c r="J2297" s="164">
        <f t="shared" si="30"/>
        <v>1619000</v>
      </c>
      <c r="K2297" s="307" t="s">
        <v>4016</v>
      </c>
      <c r="L2297" s="165" t="s">
        <v>8704</v>
      </c>
      <c r="M2297" s="73"/>
      <c r="N2297" s="169" t="s">
        <v>8705</v>
      </c>
      <c r="O2297" s="169" t="s">
        <v>2958</v>
      </c>
      <c r="P2297" s="168" t="s">
        <v>3112</v>
      </c>
      <c r="Q2297" s="173"/>
      <c r="R2297" s="167">
        <v>1619000.0</v>
      </c>
      <c r="S2297" s="173"/>
      <c r="T2297" s="173"/>
      <c r="U2297" s="173"/>
      <c r="V2297" s="168" t="s">
        <v>3883</v>
      </c>
      <c r="W2297" s="169"/>
      <c r="X2297" s="169" t="s">
        <v>8706</v>
      </c>
    </row>
    <row r="2298" ht="15.0" customHeight="1">
      <c r="A2298" s="127">
        <v>45870.0</v>
      </c>
      <c r="B2298" s="475" t="s">
        <v>8707</v>
      </c>
      <c r="C2298" s="56" t="s">
        <v>8708</v>
      </c>
      <c r="D2298" s="73" t="str">
        <f>IFERROR(VLOOKUP(C2298,Stock,3,FALSE),"")</f>
        <v>Honda Civic 05-11 8th Gen (Civic Batman FD) (Honda)</v>
      </c>
      <c r="E2298" s="56">
        <v>1.0</v>
      </c>
      <c r="F2298" s="161">
        <v>1185000.0</v>
      </c>
      <c r="G2298" s="162">
        <f t="shared" si="33"/>
        <v>1185000</v>
      </c>
      <c r="H2298" s="194"/>
      <c r="I2298" s="161">
        <f t="shared" si="36"/>
        <v>1185000</v>
      </c>
      <c r="J2298" s="164">
        <f t="shared" si="30"/>
        <v>1185000</v>
      </c>
      <c r="K2298" s="56" t="s">
        <v>8709</v>
      </c>
      <c r="L2298" s="165" t="s">
        <v>8710</v>
      </c>
      <c r="M2298" s="73"/>
      <c r="N2298" s="171"/>
      <c r="O2298" s="169" t="s">
        <v>2958</v>
      </c>
      <c r="P2298" s="168" t="s">
        <v>3112</v>
      </c>
      <c r="Q2298" s="173"/>
      <c r="R2298" s="167">
        <v>1185000.0</v>
      </c>
      <c r="S2298" s="173"/>
      <c r="T2298" s="173"/>
      <c r="U2298" s="173"/>
      <c r="V2298" s="168" t="s">
        <v>3883</v>
      </c>
      <c r="W2298" s="169"/>
      <c r="X2298" s="171"/>
    </row>
    <row r="2299" ht="15.0" customHeight="1">
      <c r="A2299" s="127">
        <v>45871.0</v>
      </c>
      <c r="B2299" s="475" t="s">
        <v>8711</v>
      </c>
      <c r="C2299" s="56" t="s">
        <v>4613</v>
      </c>
      <c r="D2299" s="73" t="str">
        <f>IFERROR(VLOOKUP(C2299,Stock,3,FALSE),"")</f>
        <v>Honda Freed 08-16 1st gen</v>
      </c>
      <c r="E2299" s="56">
        <v>1.0</v>
      </c>
      <c r="F2299" s="161">
        <v>1446000.0</v>
      </c>
      <c r="G2299" s="162">
        <f t="shared" si="33"/>
        <v>1446000</v>
      </c>
      <c r="H2299" s="194"/>
      <c r="I2299" s="161">
        <f t="shared" si="36"/>
        <v>1446000</v>
      </c>
      <c r="J2299" s="164">
        <f t="shared" si="30"/>
        <v>1446000</v>
      </c>
      <c r="K2299" s="56" t="s">
        <v>8284</v>
      </c>
      <c r="L2299" s="165" t="s">
        <v>8712</v>
      </c>
      <c r="M2299" s="73"/>
      <c r="N2299" s="169" t="s">
        <v>8713</v>
      </c>
      <c r="O2299" s="169" t="s">
        <v>2958</v>
      </c>
      <c r="P2299" s="168" t="s">
        <v>3112</v>
      </c>
      <c r="Q2299" s="173"/>
      <c r="R2299" s="167">
        <v>1446000.0</v>
      </c>
      <c r="S2299" s="173"/>
      <c r="T2299" s="173"/>
      <c r="U2299" s="173"/>
      <c r="V2299" s="168" t="s">
        <v>3883</v>
      </c>
      <c r="W2299" s="169"/>
      <c r="X2299" s="171"/>
    </row>
    <row r="2300" ht="15.0" customHeight="1">
      <c r="A2300" s="127">
        <v>45871.0</v>
      </c>
      <c r="B2300" s="475" t="s">
        <v>8714</v>
      </c>
      <c r="C2300" s="475" t="s">
        <v>4340</v>
      </c>
      <c r="D2300" s="73"/>
      <c r="E2300" s="56"/>
      <c r="F2300" s="161"/>
      <c r="G2300" s="162"/>
      <c r="H2300" s="194"/>
      <c r="I2300" s="161"/>
      <c r="J2300" s="164"/>
      <c r="K2300" s="56" t="s">
        <v>8715</v>
      </c>
      <c r="L2300" s="165" t="s">
        <v>8716</v>
      </c>
      <c r="M2300" s="73"/>
      <c r="N2300" s="171"/>
      <c r="O2300" s="169" t="s">
        <v>4961</v>
      </c>
      <c r="P2300" s="168" t="s">
        <v>3112</v>
      </c>
      <c r="Q2300" s="173"/>
      <c r="R2300" s="167">
        <v>1160000.0</v>
      </c>
      <c r="S2300" s="173"/>
      <c r="T2300" s="173"/>
      <c r="U2300" s="173"/>
      <c r="V2300" s="168" t="s">
        <v>3883</v>
      </c>
      <c r="W2300" s="169"/>
      <c r="X2300" s="171"/>
    </row>
    <row r="2301" ht="15.0" customHeight="1">
      <c r="A2301" s="127">
        <v>45871.0</v>
      </c>
      <c r="B2301" s="475" t="s">
        <v>8717</v>
      </c>
      <c r="C2301" s="56" t="s">
        <v>3168</v>
      </c>
      <c r="D2301" s="73" t="str">
        <f>IFERROR(VLOOKUP(C2301,Stock,3,FALSE),"")</f>
        <v>Toyota Agya/Ayla</v>
      </c>
      <c r="E2301" s="56">
        <v>1.0</v>
      </c>
      <c r="F2301" s="161">
        <v>600000.0</v>
      </c>
      <c r="G2301" s="162">
        <f t="shared" ref="G2301:G2331" si="37">E2301*F2301</f>
        <v>600000</v>
      </c>
      <c r="H2301" s="194"/>
      <c r="I2301" s="161">
        <f t="shared" ref="I2301:I2331" si="38">G2301-H2301</f>
        <v>600000</v>
      </c>
      <c r="J2301" s="164">
        <f t="shared" ref="J2301:J2331" si="39">I2301</f>
        <v>600000</v>
      </c>
      <c r="K2301" s="56" t="s">
        <v>8718</v>
      </c>
      <c r="L2301" s="56" t="s">
        <v>8719</v>
      </c>
      <c r="M2301" s="73"/>
      <c r="N2301" s="171"/>
      <c r="O2301" s="169" t="s">
        <v>2958</v>
      </c>
      <c r="P2301" s="168" t="s">
        <v>3112</v>
      </c>
      <c r="Q2301" s="167">
        <v>600000.0</v>
      </c>
      <c r="R2301" s="173"/>
      <c r="S2301" s="173"/>
      <c r="T2301" s="173"/>
      <c r="U2301" s="173"/>
      <c r="V2301" s="168" t="s">
        <v>3883</v>
      </c>
      <c r="W2301" s="169"/>
      <c r="X2301" s="171"/>
    </row>
    <row r="2302" ht="15.0" customHeight="1">
      <c r="A2302" s="127">
        <v>45871.0</v>
      </c>
      <c r="B2302" s="475" t="s">
        <v>8717</v>
      </c>
      <c r="C2302" s="56" t="s">
        <v>4027</v>
      </c>
      <c r="D2302" s="73" t="str">
        <f>IFERROR(VLOOKUP(C2302,Stock,3,FALSE),"")</f>
        <v>501 Sealant Application</v>
      </c>
      <c r="E2302" s="56">
        <v>2.0</v>
      </c>
      <c r="F2302" s="161">
        <v>75000.0</v>
      </c>
      <c r="G2302" s="162">
        <f t="shared" si="37"/>
        <v>150000</v>
      </c>
      <c r="H2302" s="194"/>
      <c r="I2302" s="161">
        <f t="shared" si="38"/>
        <v>150000</v>
      </c>
      <c r="J2302" s="164">
        <f t="shared" si="39"/>
        <v>150000</v>
      </c>
      <c r="K2302" s="56" t="s">
        <v>8718</v>
      </c>
      <c r="L2302" s="56" t="s">
        <v>8719</v>
      </c>
      <c r="M2302" s="73"/>
      <c r="N2302" s="171"/>
      <c r="O2302" s="169" t="s">
        <v>2958</v>
      </c>
      <c r="P2302" s="168" t="s">
        <v>3112</v>
      </c>
      <c r="Q2302" s="167">
        <v>150000.0</v>
      </c>
      <c r="R2302" s="173"/>
      <c r="S2302" s="173"/>
      <c r="T2302" s="173"/>
      <c r="U2302" s="173"/>
      <c r="V2302" s="168" t="s">
        <v>3883</v>
      </c>
      <c r="W2302" s="169"/>
      <c r="X2302" s="171"/>
    </row>
    <row r="2303" ht="15.0" customHeight="1">
      <c r="A2303" s="127">
        <v>45872.0</v>
      </c>
      <c r="B2303" s="475" t="s">
        <v>8720</v>
      </c>
      <c r="C2303" s="56" t="s">
        <v>2546</v>
      </c>
      <c r="D2303" s="73" t="str">
        <f>IFERROR(VLOOKUP(C2303,Stock,3,FALSE),"")</f>
        <v>Wuling Confero (Tanpa Spionnya)</v>
      </c>
      <c r="E2303" s="56">
        <v>1.0</v>
      </c>
      <c r="F2303" s="161">
        <v>1450000.0</v>
      </c>
      <c r="G2303" s="162">
        <f t="shared" si="37"/>
        <v>1450000</v>
      </c>
      <c r="H2303" s="194"/>
      <c r="I2303" s="161">
        <f t="shared" si="38"/>
        <v>1450000</v>
      </c>
      <c r="J2303" s="164">
        <f t="shared" si="39"/>
        <v>1450000</v>
      </c>
      <c r="K2303" s="56" t="s">
        <v>8721</v>
      </c>
      <c r="L2303" s="165" t="s">
        <v>8722</v>
      </c>
      <c r="M2303" s="73"/>
      <c r="N2303" s="171"/>
      <c r="O2303" s="169" t="s">
        <v>2958</v>
      </c>
      <c r="P2303" s="168" t="s">
        <v>3112</v>
      </c>
      <c r="Q2303" s="173"/>
      <c r="R2303" s="167">
        <v>1450000.0</v>
      </c>
      <c r="S2303" s="173"/>
      <c r="T2303" s="173"/>
      <c r="U2303" s="173"/>
      <c r="V2303" s="168" t="s">
        <v>3883</v>
      </c>
      <c r="W2303" s="169"/>
      <c r="X2303" s="171"/>
    </row>
    <row r="2304" ht="15.0" customHeight="1">
      <c r="A2304" s="127">
        <v>45872.0</v>
      </c>
      <c r="B2304" s="475" t="s">
        <v>8723</v>
      </c>
      <c r="C2304" s="56" t="s">
        <v>3368</v>
      </c>
      <c r="D2304" s="73" t="str">
        <f>IFERROR(VLOOKUP(C2304,Stock,3,FALSE),"")</f>
        <v>Toyota Hi-Ace 04-20 Commuter</v>
      </c>
      <c r="E2304" s="56">
        <v>1.0</v>
      </c>
      <c r="F2304" s="161">
        <v>787000.0</v>
      </c>
      <c r="G2304" s="162">
        <f t="shared" si="37"/>
        <v>787000</v>
      </c>
      <c r="H2304" s="194"/>
      <c r="I2304" s="161">
        <f t="shared" si="38"/>
        <v>787000</v>
      </c>
      <c r="J2304" s="164">
        <f t="shared" si="39"/>
        <v>787000</v>
      </c>
      <c r="K2304" s="307" t="s">
        <v>8724</v>
      </c>
      <c r="L2304" s="165" t="s">
        <v>8725</v>
      </c>
      <c r="M2304" s="73"/>
      <c r="N2304" s="171"/>
      <c r="O2304" s="169" t="s">
        <v>2958</v>
      </c>
      <c r="P2304" s="168" t="s">
        <v>3112</v>
      </c>
      <c r="Q2304" s="173"/>
      <c r="R2304" s="167">
        <v>787000.0</v>
      </c>
      <c r="S2304" s="173"/>
      <c r="T2304" s="173"/>
      <c r="U2304" s="173"/>
      <c r="V2304" s="168" t="s">
        <v>3883</v>
      </c>
      <c r="W2304" s="169"/>
      <c r="X2304" s="171"/>
    </row>
    <row r="2305" ht="15.0" customHeight="1">
      <c r="A2305" s="127">
        <v>45872.0</v>
      </c>
      <c r="B2305" s="475" t="s">
        <v>8726</v>
      </c>
      <c r="C2305" s="56" t="s">
        <v>8623</v>
      </c>
      <c r="D2305" s="73" t="str">
        <f>IFERROR(VLOOKUP(C2305,Stock,3,FALSE),"")</f>
        <v>Daihatsu Gran Max / Luxio 07-</v>
      </c>
      <c r="E2305" s="56">
        <v>1.0</v>
      </c>
      <c r="F2305" s="161">
        <v>1049000.0</v>
      </c>
      <c r="G2305" s="162">
        <f t="shared" si="37"/>
        <v>1049000</v>
      </c>
      <c r="H2305" s="194"/>
      <c r="I2305" s="161">
        <f t="shared" si="38"/>
        <v>1049000</v>
      </c>
      <c r="J2305" s="164">
        <f t="shared" si="39"/>
        <v>1049000</v>
      </c>
      <c r="K2305" s="73"/>
      <c r="L2305" s="165" t="s">
        <v>8727</v>
      </c>
      <c r="M2305" s="73"/>
      <c r="N2305" s="171"/>
      <c r="O2305" s="169" t="s">
        <v>2958</v>
      </c>
      <c r="P2305" s="168" t="s">
        <v>3112</v>
      </c>
      <c r="Q2305" s="173"/>
      <c r="R2305" s="167">
        <v>1049000.0</v>
      </c>
      <c r="S2305" s="173"/>
      <c r="T2305" s="173"/>
      <c r="U2305" s="173"/>
      <c r="V2305" s="168" t="s">
        <v>3883</v>
      </c>
      <c r="W2305" s="169"/>
      <c r="X2305" s="171"/>
    </row>
    <row r="2306" ht="15.0" customHeight="1">
      <c r="A2306" s="127">
        <v>45873.0</v>
      </c>
      <c r="B2306" s="475" t="s">
        <v>8728</v>
      </c>
      <c r="C2306" s="56" t="s">
        <v>2562</v>
      </c>
      <c r="D2306" s="73" t="str">
        <f>IFERROR(VLOOKUP(C2306,Stock,3,FALSE),"")</f>
        <v>Toyota Avanza / Xenia 15-21 3rd Gen</v>
      </c>
      <c r="E2306" s="56">
        <v>1.0</v>
      </c>
      <c r="F2306" s="161">
        <v>1049000.0</v>
      </c>
      <c r="G2306" s="162">
        <f t="shared" si="37"/>
        <v>1049000</v>
      </c>
      <c r="H2306" s="194"/>
      <c r="I2306" s="161">
        <f t="shared" si="38"/>
        <v>1049000</v>
      </c>
      <c r="J2306" s="164">
        <f t="shared" si="39"/>
        <v>1049000</v>
      </c>
      <c r="K2306" s="56" t="s">
        <v>8729</v>
      </c>
      <c r="L2306" s="165" t="s">
        <v>8727</v>
      </c>
      <c r="M2306" s="73"/>
      <c r="N2306" s="169" t="s">
        <v>8730</v>
      </c>
      <c r="O2306" s="169" t="s">
        <v>2958</v>
      </c>
      <c r="P2306" s="168" t="s">
        <v>3112</v>
      </c>
      <c r="Q2306" s="173"/>
      <c r="R2306" s="167">
        <v>1049000.0</v>
      </c>
      <c r="S2306" s="173"/>
      <c r="T2306" s="173"/>
      <c r="U2306" s="173"/>
      <c r="V2306" s="168" t="s">
        <v>3883</v>
      </c>
      <c r="W2306" s="169"/>
      <c r="X2306" s="171"/>
    </row>
    <row r="2307" ht="15.0" customHeight="1">
      <c r="A2307" s="127">
        <v>45873.0</v>
      </c>
      <c r="B2307" s="475" t="s">
        <v>8728</v>
      </c>
      <c r="C2307" s="56" t="s">
        <v>3826</v>
      </c>
      <c r="D2307" s="73" t="str">
        <f>IFERROR(VLOOKUP(C2307,Stock,3,FALSE),"")</f>
        <v>List Kaca Depan Code 11</v>
      </c>
      <c r="E2307" s="56">
        <v>1.0</v>
      </c>
      <c r="F2307" s="161">
        <v>275000.0</v>
      </c>
      <c r="G2307" s="162">
        <f t="shared" si="37"/>
        <v>275000</v>
      </c>
      <c r="H2307" s="194"/>
      <c r="I2307" s="161">
        <f t="shared" si="38"/>
        <v>275000</v>
      </c>
      <c r="J2307" s="164">
        <f t="shared" si="39"/>
        <v>275000</v>
      </c>
      <c r="K2307" s="56" t="s">
        <v>8729</v>
      </c>
      <c r="L2307" s="165" t="s">
        <v>8727</v>
      </c>
      <c r="M2307" s="73"/>
      <c r="N2307" s="169" t="s">
        <v>8730</v>
      </c>
      <c r="O2307" s="169" t="s">
        <v>2958</v>
      </c>
      <c r="P2307" s="168" t="s">
        <v>3112</v>
      </c>
      <c r="Q2307" s="173"/>
      <c r="R2307" s="167">
        <v>275000.0</v>
      </c>
      <c r="S2307" s="173"/>
      <c r="T2307" s="173"/>
      <c r="U2307" s="173"/>
      <c r="V2307" s="168" t="s">
        <v>3883</v>
      </c>
      <c r="W2307" s="169"/>
      <c r="X2307" s="171"/>
    </row>
    <row r="2308" ht="15.0" customHeight="1">
      <c r="A2308" s="127">
        <v>45873.0</v>
      </c>
      <c r="B2308" s="475" t="s">
        <v>8731</v>
      </c>
      <c r="C2308" s="56" t="s">
        <v>4005</v>
      </c>
      <c r="D2308" s="73" t="str">
        <f>IFERROR(VLOOKUP(C2308,Stock,3,FALSE),"")</f>
        <v>Toyota Fortuner 15- 2nd Gen</v>
      </c>
      <c r="E2308" s="56">
        <v>1.0</v>
      </c>
      <c r="F2308" s="161">
        <v>1800000.0</v>
      </c>
      <c r="G2308" s="162">
        <f t="shared" si="37"/>
        <v>1800000</v>
      </c>
      <c r="H2308" s="201">
        <v>146750.0</v>
      </c>
      <c r="I2308" s="161">
        <f t="shared" si="38"/>
        <v>1653250</v>
      </c>
      <c r="J2308" s="164">
        <f t="shared" si="39"/>
        <v>1653250</v>
      </c>
      <c r="K2308" s="56" t="s">
        <v>8732</v>
      </c>
      <c r="L2308" s="165" t="s">
        <v>7449</v>
      </c>
      <c r="M2308" s="73"/>
      <c r="N2308" s="171"/>
      <c r="O2308" s="169" t="s">
        <v>2958</v>
      </c>
      <c r="P2308" s="168" t="s">
        <v>3112</v>
      </c>
      <c r="Q2308" s="173"/>
      <c r="R2308" s="167">
        <v>1653250.0</v>
      </c>
      <c r="S2308" s="173"/>
      <c r="T2308" s="173"/>
      <c r="U2308" s="173"/>
      <c r="V2308" s="168" t="s">
        <v>3883</v>
      </c>
      <c r="W2308" s="169"/>
      <c r="X2308" s="171"/>
    </row>
    <row r="2309" ht="15.0" customHeight="1">
      <c r="A2309" s="127">
        <v>45873.0</v>
      </c>
      <c r="B2309" s="475" t="s">
        <v>8731</v>
      </c>
      <c r="C2309" s="56" t="s">
        <v>6716</v>
      </c>
      <c r="D2309" s="73" t="str">
        <f>IFERROR(VLOOKUP(C2309,Stock,3,FALSE),"")</f>
        <v>Toyota Fortuner 15- 2nd Gen</v>
      </c>
      <c r="E2309" s="56">
        <v>1.0</v>
      </c>
      <c r="F2309" s="161">
        <v>1135000.0</v>
      </c>
      <c r="G2309" s="162">
        <f t="shared" si="37"/>
        <v>1135000</v>
      </c>
      <c r="H2309" s="194"/>
      <c r="I2309" s="161">
        <f t="shared" si="38"/>
        <v>1135000</v>
      </c>
      <c r="J2309" s="164">
        <f t="shared" si="39"/>
        <v>1135000</v>
      </c>
      <c r="K2309" s="56" t="s">
        <v>8732</v>
      </c>
      <c r="L2309" s="165" t="s">
        <v>7449</v>
      </c>
      <c r="M2309" s="73"/>
      <c r="N2309" s="171"/>
      <c r="O2309" s="169" t="s">
        <v>2958</v>
      </c>
      <c r="P2309" s="168" t="s">
        <v>3112</v>
      </c>
      <c r="Q2309" s="173"/>
      <c r="R2309" s="167">
        <v>1135000.0</v>
      </c>
      <c r="S2309" s="173"/>
      <c r="T2309" s="173"/>
      <c r="U2309" s="173"/>
      <c r="V2309" s="168" t="s">
        <v>3883</v>
      </c>
      <c r="W2309" s="169"/>
      <c r="X2309" s="171"/>
    </row>
    <row r="2310" ht="15.0" customHeight="1">
      <c r="A2310" s="127">
        <v>45873.0</v>
      </c>
      <c r="B2310" s="475" t="s">
        <v>8733</v>
      </c>
      <c r="C2310" s="56" t="s">
        <v>4063</v>
      </c>
      <c r="D2310" s="73" t="str">
        <f>IFERROR(VLOOKUP(C2310,Stock,3,FALSE),"")</f>
        <v>Mitsubishi Xpander 17-21 / Livina 19- 2nd Gen (Mitsubishi)</v>
      </c>
      <c r="E2310" s="56">
        <v>1.0</v>
      </c>
      <c r="F2310" s="161">
        <v>1199000.0</v>
      </c>
      <c r="G2310" s="162">
        <f t="shared" si="37"/>
        <v>1199000</v>
      </c>
      <c r="H2310" s="194"/>
      <c r="I2310" s="161">
        <f t="shared" si="38"/>
        <v>1199000</v>
      </c>
      <c r="J2310" s="164">
        <f t="shared" si="39"/>
        <v>1199000</v>
      </c>
      <c r="K2310" s="56" t="s">
        <v>8734</v>
      </c>
      <c r="L2310" s="165" t="s">
        <v>8735</v>
      </c>
      <c r="M2310" s="73"/>
      <c r="N2310" s="169" t="s">
        <v>8736</v>
      </c>
      <c r="O2310" s="169" t="s">
        <v>2958</v>
      </c>
      <c r="P2310" s="168" t="s">
        <v>3112</v>
      </c>
      <c r="Q2310" s="173"/>
      <c r="R2310" s="167">
        <v>1199000.0</v>
      </c>
      <c r="S2310" s="173"/>
      <c r="T2310" s="173"/>
      <c r="U2310" s="173"/>
      <c r="V2310" s="168" t="s">
        <v>3883</v>
      </c>
      <c r="W2310" s="169"/>
      <c r="X2310" s="171"/>
    </row>
    <row r="2311" ht="15.0" customHeight="1">
      <c r="A2311" s="127">
        <v>45873.0</v>
      </c>
      <c r="B2311" s="475" t="s">
        <v>8737</v>
      </c>
      <c r="C2311" s="56" t="s">
        <v>8738</v>
      </c>
      <c r="D2311" s="73" t="str">
        <f>IFERROR(VLOOKUP(C2311,Stock,3,FALSE),"")</f>
        <v>Honda Mobilio 14- (Honda)</v>
      </c>
      <c r="E2311" s="56">
        <v>1.0</v>
      </c>
      <c r="F2311" s="161">
        <v>1450000.0</v>
      </c>
      <c r="G2311" s="162">
        <f t="shared" si="37"/>
        <v>1450000</v>
      </c>
      <c r="H2311" s="194"/>
      <c r="I2311" s="161">
        <f t="shared" si="38"/>
        <v>1450000</v>
      </c>
      <c r="J2311" s="164">
        <f t="shared" si="39"/>
        <v>1450000</v>
      </c>
      <c r="K2311" s="56" t="s">
        <v>5674</v>
      </c>
      <c r="L2311" s="165" t="s">
        <v>8739</v>
      </c>
      <c r="M2311" s="73"/>
      <c r="N2311" s="171"/>
      <c r="O2311" s="169" t="s">
        <v>2958</v>
      </c>
      <c r="P2311" s="168" t="s">
        <v>3112</v>
      </c>
      <c r="Q2311" s="173"/>
      <c r="R2311" s="167">
        <v>1450000.0</v>
      </c>
      <c r="S2311" s="173"/>
      <c r="T2311" s="173"/>
      <c r="U2311" s="173"/>
      <c r="V2311" s="168" t="s">
        <v>3883</v>
      </c>
      <c r="W2311" s="169"/>
      <c r="X2311" s="171"/>
    </row>
    <row r="2312" ht="15.0" customHeight="1">
      <c r="A2312" s="127">
        <v>45874.0</v>
      </c>
      <c r="B2312" s="475" t="s">
        <v>8740</v>
      </c>
      <c r="C2312" s="56" t="s">
        <v>2777</v>
      </c>
      <c r="D2312" s="73" t="str">
        <f>IFERROR(VLOOKUP(C2312,Stock,3,FALSE),"")</f>
        <v>Isuzu Giga Long (PS240,285) FVR34 (Lebar 215cm)</v>
      </c>
      <c r="E2312" s="56">
        <v>1.0</v>
      </c>
      <c r="F2312" s="161">
        <v>2150000.0</v>
      </c>
      <c r="G2312" s="162">
        <f t="shared" si="37"/>
        <v>2150000</v>
      </c>
      <c r="H2312" s="194"/>
      <c r="I2312" s="161">
        <f t="shared" si="38"/>
        <v>2150000</v>
      </c>
      <c r="J2312" s="164">
        <f t="shared" si="39"/>
        <v>2150000</v>
      </c>
      <c r="K2312" s="307" t="s">
        <v>8741</v>
      </c>
      <c r="L2312" s="165" t="s">
        <v>8742</v>
      </c>
      <c r="M2312" s="73"/>
      <c r="N2312" s="171"/>
      <c r="O2312" s="169" t="s">
        <v>2958</v>
      </c>
      <c r="P2312" s="168" t="s">
        <v>3112</v>
      </c>
      <c r="Q2312" s="167">
        <v>2120000.0</v>
      </c>
      <c r="R2312" s="167">
        <v>30000.0</v>
      </c>
      <c r="S2312" s="173"/>
      <c r="T2312" s="173"/>
      <c r="U2312" s="173"/>
      <c r="V2312" s="168" t="s">
        <v>3883</v>
      </c>
      <c r="W2312" s="169"/>
      <c r="X2312" s="171"/>
    </row>
    <row r="2313" ht="15.0" customHeight="1">
      <c r="A2313" s="127">
        <v>45874.0</v>
      </c>
      <c r="B2313" s="475" t="s">
        <v>8740</v>
      </c>
      <c r="C2313" s="56" t="s">
        <v>2954</v>
      </c>
      <c r="D2313" s="73" t="str">
        <f>IFERROR(VLOOKUP(C2313,Stock,3,FALSE),"")</f>
        <v>Transport</v>
      </c>
      <c r="E2313" s="56">
        <v>1.0</v>
      </c>
      <c r="F2313" s="161">
        <v>100000.0</v>
      </c>
      <c r="G2313" s="162">
        <f t="shared" si="37"/>
        <v>100000</v>
      </c>
      <c r="H2313" s="194"/>
      <c r="I2313" s="161">
        <f t="shared" si="38"/>
        <v>100000</v>
      </c>
      <c r="J2313" s="164">
        <f t="shared" si="39"/>
        <v>100000</v>
      </c>
      <c r="K2313" s="56" t="s">
        <v>8741</v>
      </c>
      <c r="L2313" s="165" t="s">
        <v>8742</v>
      </c>
      <c r="M2313" s="73"/>
      <c r="N2313" s="171"/>
      <c r="O2313" s="169" t="s">
        <v>2958</v>
      </c>
      <c r="P2313" s="168" t="s">
        <v>3112</v>
      </c>
      <c r="Q2313" s="167">
        <v>100000.0</v>
      </c>
      <c r="R2313" s="173"/>
      <c r="S2313" s="173"/>
      <c r="T2313" s="173"/>
      <c r="U2313" s="173"/>
      <c r="V2313" s="168" t="s">
        <v>3883</v>
      </c>
      <c r="W2313" s="169"/>
      <c r="X2313" s="171"/>
    </row>
    <row r="2314" ht="15.0" customHeight="1">
      <c r="A2314" s="127">
        <v>45874.0</v>
      </c>
      <c r="B2314" s="475" t="s">
        <v>8743</v>
      </c>
      <c r="C2314" s="56" t="s">
        <v>3745</v>
      </c>
      <c r="D2314" s="73" t="str">
        <f>IFERROR(VLOOKUP(C2314,Stock,3,FALSE),"")</f>
        <v>Honda Brio 10- / Mobilio 11-</v>
      </c>
      <c r="E2314" s="56">
        <v>1.0</v>
      </c>
      <c r="F2314" s="161">
        <v>1772000.0</v>
      </c>
      <c r="G2314" s="162">
        <f t="shared" si="37"/>
        <v>1772000</v>
      </c>
      <c r="H2314" s="194"/>
      <c r="I2314" s="161">
        <f t="shared" si="38"/>
        <v>1772000</v>
      </c>
      <c r="J2314" s="164">
        <f t="shared" si="39"/>
        <v>1772000</v>
      </c>
      <c r="K2314" s="56" t="s">
        <v>8744</v>
      </c>
      <c r="L2314" s="165" t="s">
        <v>8745</v>
      </c>
      <c r="M2314" s="73"/>
      <c r="N2314" s="171"/>
      <c r="O2314" s="169" t="s">
        <v>2958</v>
      </c>
      <c r="P2314" s="168" t="s">
        <v>3112</v>
      </c>
      <c r="Q2314" s="173"/>
      <c r="R2314" s="167">
        <v>1772000.0</v>
      </c>
      <c r="S2314" s="173"/>
      <c r="T2314" s="173"/>
      <c r="U2314" s="173"/>
      <c r="V2314" s="168" t="s">
        <v>3883</v>
      </c>
      <c r="W2314" s="169"/>
      <c r="X2314" s="171"/>
    </row>
    <row r="2315" ht="15.0" customHeight="1">
      <c r="A2315" s="127">
        <v>45874.0</v>
      </c>
      <c r="B2315" s="475" t="s">
        <v>8746</v>
      </c>
      <c r="C2315" s="56" t="s">
        <v>4988</v>
      </c>
      <c r="D2315" s="73" t="str">
        <f>IFERROR(VLOOKUP(C2315,Stock,3,FALSE),"")</f>
        <v>Toyota Innova 15- 2nd Gen</v>
      </c>
      <c r="E2315" s="56">
        <v>1.0</v>
      </c>
      <c r="F2315" s="161">
        <v>1764000.0</v>
      </c>
      <c r="G2315" s="162">
        <f t="shared" si="37"/>
        <v>1764000</v>
      </c>
      <c r="H2315" s="201">
        <v>100000.0</v>
      </c>
      <c r="I2315" s="161">
        <f t="shared" si="38"/>
        <v>1664000</v>
      </c>
      <c r="J2315" s="164">
        <f t="shared" si="39"/>
        <v>1664000</v>
      </c>
      <c r="K2315" s="56" t="s">
        <v>8747</v>
      </c>
      <c r="L2315" s="165" t="s">
        <v>5242</v>
      </c>
      <c r="M2315" s="73"/>
      <c r="N2315" s="169" t="s">
        <v>8748</v>
      </c>
      <c r="O2315" s="169" t="s">
        <v>2958</v>
      </c>
      <c r="P2315" s="168" t="s">
        <v>3112</v>
      </c>
      <c r="Q2315" s="167">
        <v>1664000.0</v>
      </c>
      <c r="R2315" s="173"/>
      <c r="S2315" s="173"/>
      <c r="T2315" s="173"/>
      <c r="U2315" s="173"/>
      <c r="V2315" s="168" t="s">
        <v>3883</v>
      </c>
      <c r="W2315" s="169"/>
      <c r="X2315" s="171"/>
    </row>
    <row r="2316" ht="15.0" customHeight="1">
      <c r="A2316" s="127">
        <v>45874.0</v>
      </c>
      <c r="B2316" s="476" t="s">
        <v>8749</v>
      </c>
      <c r="C2316" s="56" t="s">
        <v>3849</v>
      </c>
      <c r="D2316" s="73" t="str">
        <f>IFERROR(VLOOKUP(C2316,Stock,3,FALSE),"")</f>
        <v>Hyundai Palisade 20- 1st Gen (tahun 23-)</v>
      </c>
      <c r="E2316" s="56">
        <v>1.0</v>
      </c>
      <c r="F2316" s="162"/>
      <c r="G2316" s="162">
        <f t="shared" si="37"/>
        <v>0</v>
      </c>
      <c r="H2316" s="194"/>
      <c r="I2316" s="161">
        <f t="shared" si="38"/>
        <v>0</v>
      </c>
      <c r="J2316" s="164">
        <f t="shared" si="39"/>
        <v>0</v>
      </c>
      <c r="K2316" s="56" t="s">
        <v>8750</v>
      </c>
      <c r="L2316" s="165" t="s">
        <v>8751</v>
      </c>
      <c r="M2316" s="73"/>
      <c r="N2316" s="171"/>
      <c r="O2316" s="169" t="s">
        <v>8752</v>
      </c>
      <c r="P2316" s="168" t="s">
        <v>8753</v>
      </c>
      <c r="Q2316" s="173"/>
      <c r="R2316" s="173"/>
      <c r="S2316" s="173"/>
      <c r="T2316" s="173"/>
      <c r="U2316" s="173"/>
      <c r="V2316" s="168" t="s">
        <v>3883</v>
      </c>
      <c r="W2316" s="169"/>
      <c r="X2316" s="171"/>
    </row>
    <row r="2317" ht="15.0" customHeight="1">
      <c r="A2317" s="127">
        <v>45875.0</v>
      </c>
      <c r="B2317" s="475" t="s">
        <v>8754</v>
      </c>
      <c r="C2317" s="56" t="s">
        <v>7476</v>
      </c>
      <c r="D2317" s="73" t="str">
        <f>IFERROR(VLOOKUP(C2317,Stock,3,FALSE),"")</f>
        <v>Nissan Serena 19- MKV C27</v>
      </c>
      <c r="E2317" s="56">
        <v>1.0</v>
      </c>
      <c r="F2317" s="161">
        <v>2615450.0</v>
      </c>
      <c r="G2317" s="162">
        <f t="shared" si="37"/>
        <v>2615450</v>
      </c>
      <c r="H2317" s="194"/>
      <c r="I2317" s="161">
        <f t="shared" si="38"/>
        <v>2615450</v>
      </c>
      <c r="J2317" s="164">
        <f t="shared" si="39"/>
        <v>2615450</v>
      </c>
      <c r="K2317" s="56" t="s">
        <v>7477</v>
      </c>
      <c r="L2317" s="165" t="s">
        <v>7478</v>
      </c>
      <c r="M2317" s="73"/>
      <c r="N2317" s="171"/>
      <c r="O2317" s="169" t="s">
        <v>2958</v>
      </c>
      <c r="P2317" s="168" t="s">
        <v>3112</v>
      </c>
      <c r="Q2317" s="173"/>
      <c r="R2317" s="167">
        <v>2615450.0</v>
      </c>
      <c r="S2317" s="173"/>
      <c r="T2317" s="173"/>
      <c r="U2317" s="173"/>
      <c r="V2317" s="168" t="s">
        <v>3883</v>
      </c>
      <c r="W2317" s="169"/>
      <c r="X2317" s="171"/>
    </row>
    <row r="2318" ht="15.0" customHeight="1">
      <c r="A2318" s="127">
        <v>45875.0</v>
      </c>
      <c r="B2318" s="475" t="s">
        <v>8755</v>
      </c>
      <c r="C2318" s="56" t="s">
        <v>2742</v>
      </c>
      <c r="D2318" s="73" t="str">
        <f>IFERROR(VLOOKUP(C2318,Stock,3,FALSE),"")</f>
        <v>Toyota Alphard 02-08 ANH10 1st Gen (Hitam)</v>
      </c>
      <c r="E2318" s="56">
        <v>1.0</v>
      </c>
      <c r="F2318" s="161">
        <v>3224000.0</v>
      </c>
      <c r="G2318" s="162">
        <f t="shared" si="37"/>
        <v>3224000</v>
      </c>
      <c r="H2318" s="194"/>
      <c r="I2318" s="161">
        <f t="shared" si="38"/>
        <v>3224000</v>
      </c>
      <c r="J2318" s="164">
        <f t="shared" si="39"/>
        <v>3224000</v>
      </c>
      <c r="K2318" s="56" t="s">
        <v>8756</v>
      </c>
      <c r="L2318" s="165" t="s">
        <v>8757</v>
      </c>
      <c r="M2318" s="73"/>
      <c r="N2318" s="169" t="s">
        <v>8758</v>
      </c>
      <c r="O2318" s="169" t="s">
        <v>2958</v>
      </c>
      <c r="P2318" s="168" t="s">
        <v>3112</v>
      </c>
      <c r="Q2318" s="173"/>
      <c r="R2318" s="167">
        <v>3224000.0</v>
      </c>
      <c r="S2318" s="173"/>
      <c r="T2318" s="173"/>
      <c r="U2318" s="173"/>
      <c r="V2318" s="168" t="s">
        <v>3883</v>
      </c>
      <c r="W2318" s="169"/>
      <c r="X2318" s="171"/>
    </row>
    <row r="2319" ht="15.0" customHeight="1">
      <c r="A2319" s="127">
        <v>45875.0</v>
      </c>
      <c r="B2319" s="475" t="s">
        <v>8759</v>
      </c>
      <c r="C2319" s="56" t="s">
        <v>2960</v>
      </c>
      <c r="D2319" s="73" t="str">
        <f>IFERROR(VLOOKUP(C2319,Stock,3,FALSE),"")</f>
        <v>Toyota Alphard 08-15 ANH20 2nd Gen (Hitam)</v>
      </c>
      <c r="E2319" s="56">
        <v>1.0</v>
      </c>
      <c r="F2319" s="161">
        <v>2845000.0</v>
      </c>
      <c r="G2319" s="162">
        <f t="shared" si="37"/>
        <v>2845000</v>
      </c>
      <c r="H2319" s="194"/>
      <c r="I2319" s="161">
        <f t="shared" si="38"/>
        <v>2845000</v>
      </c>
      <c r="J2319" s="164">
        <f t="shared" si="39"/>
        <v>2845000</v>
      </c>
      <c r="K2319" s="56" t="s">
        <v>8732</v>
      </c>
      <c r="L2319" s="165" t="s">
        <v>8760</v>
      </c>
      <c r="M2319" s="73"/>
      <c r="N2319" s="169" t="s">
        <v>8761</v>
      </c>
      <c r="O2319" s="169" t="s">
        <v>2958</v>
      </c>
      <c r="P2319" s="168" t="s">
        <v>3112</v>
      </c>
      <c r="Q2319" s="173"/>
      <c r="R2319" s="167">
        <v>2845000.0</v>
      </c>
      <c r="S2319" s="173"/>
      <c r="T2319" s="173"/>
      <c r="U2319" s="173"/>
      <c r="V2319" s="168" t="s">
        <v>3883</v>
      </c>
      <c r="W2319" s="169"/>
      <c r="X2319" s="171"/>
    </row>
    <row r="2320" ht="15.0" customHeight="1">
      <c r="A2320" s="127">
        <v>45875.0</v>
      </c>
      <c r="B2320" s="475" t="s">
        <v>8762</v>
      </c>
      <c r="C2320" s="56" t="s">
        <v>8763</v>
      </c>
      <c r="D2320" s="73" t="str">
        <f>IFERROR(VLOOKUP(C2320,Stock,3,FALSE),"")</f>
        <v>Honda Civic  96-00 SO4/SO6 (Ferio) (Honda)</v>
      </c>
      <c r="E2320" s="56">
        <v>1.0</v>
      </c>
      <c r="F2320" s="161">
        <v>1900000.0</v>
      </c>
      <c r="G2320" s="162">
        <f t="shared" si="37"/>
        <v>1900000</v>
      </c>
      <c r="H2320" s="194"/>
      <c r="I2320" s="161">
        <f t="shared" si="38"/>
        <v>1900000</v>
      </c>
      <c r="J2320" s="164">
        <f t="shared" si="39"/>
        <v>1900000</v>
      </c>
      <c r="K2320" s="56" t="s">
        <v>8764</v>
      </c>
      <c r="L2320" s="165" t="s">
        <v>8765</v>
      </c>
      <c r="M2320" s="73"/>
      <c r="N2320" s="169" t="s">
        <v>8766</v>
      </c>
      <c r="O2320" s="169" t="s">
        <v>3184</v>
      </c>
      <c r="P2320" s="168" t="s">
        <v>3112</v>
      </c>
      <c r="Q2320" s="173"/>
      <c r="R2320" s="167">
        <v>1900000.0</v>
      </c>
      <c r="S2320" s="173"/>
      <c r="T2320" s="173"/>
      <c r="U2320" s="173"/>
      <c r="V2320" s="168" t="s">
        <v>3883</v>
      </c>
      <c r="W2320" s="169"/>
      <c r="X2320" s="171"/>
    </row>
    <row r="2321" ht="15.0" customHeight="1">
      <c r="A2321" s="127">
        <v>45876.0</v>
      </c>
      <c r="B2321" s="475" t="s">
        <v>8767</v>
      </c>
      <c r="C2321" s="56" t="s">
        <v>8768</v>
      </c>
      <c r="D2321" s="73" t="str">
        <f>IFERROR(VLOOKUP(C2321,Stock,3,FALSE),"")</f>
        <v>Mitsubishi Strada Triton 16-</v>
      </c>
      <c r="E2321" s="56">
        <v>1.0</v>
      </c>
      <c r="F2321" s="161">
        <v>1050000.0</v>
      </c>
      <c r="G2321" s="162">
        <f t="shared" si="37"/>
        <v>1050000</v>
      </c>
      <c r="H2321" s="194"/>
      <c r="I2321" s="161">
        <f t="shared" si="38"/>
        <v>1050000</v>
      </c>
      <c r="J2321" s="164">
        <f t="shared" si="39"/>
        <v>1050000</v>
      </c>
      <c r="K2321" s="56" t="s">
        <v>8769</v>
      </c>
      <c r="L2321" s="165" t="s">
        <v>8770</v>
      </c>
      <c r="M2321" s="73"/>
      <c r="N2321" s="171"/>
      <c r="O2321" s="169" t="s">
        <v>2958</v>
      </c>
      <c r="P2321" s="168" t="s">
        <v>8771</v>
      </c>
      <c r="Q2321" s="173"/>
      <c r="R2321" s="167">
        <v>1050000.0</v>
      </c>
      <c r="S2321" s="173"/>
      <c r="T2321" s="173"/>
      <c r="U2321" s="173"/>
      <c r="V2321" s="168" t="s">
        <v>3883</v>
      </c>
      <c r="W2321" s="169"/>
      <c r="X2321" s="171"/>
    </row>
    <row r="2322" ht="15.0" customHeight="1">
      <c r="A2322" s="183">
        <v>45876.0</v>
      </c>
      <c r="B2322" s="477" t="s">
        <v>8772</v>
      </c>
      <c r="C2322" s="184" t="s">
        <v>3013</v>
      </c>
      <c r="D2322" s="186" t="str">
        <f>IFERROR(VLOOKUP(C2322,Stock,3,FALSE),"")</f>
        <v>Honda BR-V 16-</v>
      </c>
      <c r="E2322" s="184">
        <v>1.0</v>
      </c>
      <c r="F2322" s="187">
        <v>584000.0</v>
      </c>
      <c r="G2322" s="188">
        <f t="shared" si="37"/>
        <v>584000</v>
      </c>
      <c r="H2322" s="210"/>
      <c r="I2322" s="187">
        <f t="shared" si="38"/>
        <v>584000</v>
      </c>
      <c r="J2322" s="189">
        <f t="shared" si="39"/>
        <v>584000</v>
      </c>
      <c r="K2322" s="184" t="s">
        <v>8773</v>
      </c>
      <c r="L2322" s="186"/>
      <c r="M2322" s="186"/>
      <c r="N2322" s="212"/>
      <c r="O2322" s="212"/>
      <c r="P2322" s="214"/>
      <c r="Q2322" s="213"/>
      <c r="R2322" s="213"/>
      <c r="S2322" s="213"/>
      <c r="T2322" s="213"/>
      <c r="U2322" s="213"/>
      <c r="V2322" s="168" t="s">
        <v>3883</v>
      </c>
      <c r="W2322" s="169"/>
      <c r="X2322" s="171"/>
    </row>
    <row r="2323" ht="15.0" customHeight="1">
      <c r="A2323" s="127">
        <v>45878.0</v>
      </c>
      <c r="B2323" s="181" t="s">
        <v>8774</v>
      </c>
      <c r="C2323" s="56" t="s">
        <v>2780</v>
      </c>
      <c r="D2323" s="73" t="str">
        <f>IFERROR(VLOOKUP(C2323,Stock,3,FALSE),"")</f>
        <v>Toyota Hi-Ace 04-20 Commuter With Frame</v>
      </c>
      <c r="E2323" s="56">
        <v>1.0</v>
      </c>
      <c r="F2323" s="161">
        <v>2695000.0</v>
      </c>
      <c r="G2323" s="162">
        <f t="shared" si="37"/>
        <v>2695000</v>
      </c>
      <c r="H2323" s="201">
        <v>195000.0</v>
      </c>
      <c r="I2323" s="161">
        <f t="shared" si="38"/>
        <v>2500000</v>
      </c>
      <c r="J2323" s="164">
        <f t="shared" si="39"/>
        <v>2500000</v>
      </c>
      <c r="K2323" s="56" t="s">
        <v>4077</v>
      </c>
      <c r="L2323" s="165" t="s">
        <v>8775</v>
      </c>
      <c r="M2323" s="73"/>
      <c r="N2323" s="171"/>
      <c r="O2323" s="169" t="s">
        <v>2958</v>
      </c>
      <c r="P2323" s="168" t="s">
        <v>3112</v>
      </c>
      <c r="Q2323" s="173"/>
      <c r="R2323" s="167">
        <v>2500000.0</v>
      </c>
      <c r="S2323" s="173"/>
      <c r="T2323" s="173"/>
      <c r="U2323" s="173"/>
      <c r="V2323" s="168" t="s">
        <v>3883</v>
      </c>
      <c r="W2323" s="169"/>
      <c r="X2323" s="171"/>
    </row>
    <row r="2324" ht="15.0" customHeight="1">
      <c r="A2324" s="127">
        <v>45878.0</v>
      </c>
      <c r="B2324" s="181" t="s">
        <v>8774</v>
      </c>
      <c r="C2324" s="56" t="s">
        <v>2934</v>
      </c>
      <c r="D2324" s="73" t="str">
        <f>IFERROR(VLOOKUP(C2324,Stock,3,FALSE),"")</f>
        <v>Peti Kayu</v>
      </c>
      <c r="E2324" s="56">
        <v>1.0</v>
      </c>
      <c r="F2324" s="161">
        <v>150000.0</v>
      </c>
      <c r="G2324" s="162">
        <f t="shared" si="37"/>
        <v>150000</v>
      </c>
      <c r="H2324" s="201">
        <v>50000.0</v>
      </c>
      <c r="I2324" s="161">
        <f t="shared" si="38"/>
        <v>100000</v>
      </c>
      <c r="J2324" s="164">
        <f t="shared" si="39"/>
        <v>100000</v>
      </c>
      <c r="K2324" s="56" t="s">
        <v>4077</v>
      </c>
      <c r="L2324" s="165" t="s">
        <v>8775</v>
      </c>
      <c r="M2324" s="73"/>
      <c r="N2324" s="171"/>
      <c r="O2324" s="169" t="s">
        <v>2958</v>
      </c>
      <c r="P2324" s="168" t="s">
        <v>3112</v>
      </c>
      <c r="Q2324" s="173"/>
      <c r="R2324" s="167">
        <v>100000.0</v>
      </c>
      <c r="S2324" s="173"/>
      <c r="T2324" s="173"/>
      <c r="U2324" s="173"/>
      <c r="V2324" s="168" t="s">
        <v>3883</v>
      </c>
      <c r="W2324" s="169"/>
      <c r="X2324" s="171"/>
    </row>
    <row r="2325" ht="15.0" customHeight="1">
      <c r="A2325" s="127">
        <v>45878.0</v>
      </c>
      <c r="B2325" s="181" t="s">
        <v>8776</v>
      </c>
      <c r="C2325" s="56" t="s">
        <v>3707</v>
      </c>
      <c r="D2325" s="73" t="str">
        <f>IFERROR(VLOOKUP(C2325,Stock,3,FALSE),"")</f>
        <v>Mitsubishi Pajero 16-</v>
      </c>
      <c r="E2325" s="56">
        <v>1.0</v>
      </c>
      <c r="F2325" s="161">
        <v>1550000.0</v>
      </c>
      <c r="G2325" s="162">
        <f t="shared" si="37"/>
        <v>1550000</v>
      </c>
      <c r="H2325" s="194"/>
      <c r="I2325" s="161">
        <f t="shared" si="38"/>
        <v>1550000</v>
      </c>
      <c r="J2325" s="164">
        <f t="shared" si="39"/>
        <v>1550000</v>
      </c>
      <c r="K2325" s="56" t="s">
        <v>8777</v>
      </c>
      <c r="L2325" s="165" t="s">
        <v>8778</v>
      </c>
      <c r="M2325" s="73"/>
      <c r="N2325" s="171"/>
      <c r="O2325" s="169" t="s">
        <v>2958</v>
      </c>
      <c r="P2325" s="168" t="s">
        <v>3112</v>
      </c>
      <c r="Q2325" s="173"/>
      <c r="R2325" s="167">
        <v>1550000.0</v>
      </c>
      <c r="S2325" s="173"/>
      <c r="T2325" s="173"/>
      <c r="U2325" s="173"/>
      <c r="V2325" s="168" t="s">
        <v>3883</v>
      </c>
      <c r="W2325" s="169"/>
      <c r="X2325" s="171"/>
    </row>
    <row r="2326" ht="15.0" customHeight="1">
      <c r="A2326" s="127">
        <v>45878.0</v>
      </c>
      <c r="B2326" s="181" t="s">
        <v>8779</v>
      </c>
      <c r="C2326" s="56" t="s">
        <v>8780</v>
      </c>
      <c r="D2326" s="73" t="str">
        <f>IFERROR(VLOOKUP(C2326,Stock,3,FALSE),"")</f>
        <v>Mitsubishi Pajero Montero/Shogun 99-05 V60/V70</v>
      </c>
      <c r="E2326" s="56">
        <v>1.0</v>
      </c>
      <c r="F2326" s="161">
        <v>1900000.0</v>
      </c>
      <c r="G2326" s="162">
        <f t="shared" si="37"/>
        <v>1900000</v>
      </c>
      <c r="H2326" s="194"/>
      <c r="I2326" s="161">
        <f t="shared" si="38"/>
        <v>1900000</v>
      </c>
      <c r="J2326" s="164">
        <f t="shared" si="39"/>
        <v>1900000</v>
      </c>
      <c r="K2326" s="56" t="s">
        <v>5911</v>
      </c>
      <c r="L2326" s="165" t="s">
        <v>8781</v>
      </c>
      <c r="M2326" s="73"/>
      <c r="N2326" s="171"/>
      <c r="O2326" s="169" t="s">
        <v>2958</v>
      </c>
      <c r="P2326" s="168" t="s">
        <v>3112</v>
      </c>
      <c r="Q2326" s="173"/>
      <c r="R2326" s="167">
        <v>400000.0</v>
      </c>
      <c r="S2326" s="173"/>
      <c r="T2326" s="173"/>
      <c r="U2326" s="173"/>
      <c r="V2326" s="168" t="s">
        <v>3883</v>
      </c>
      <c r="W2326" s="169"/>
      <c r="X2326" s="171"/>
    </row>
    <row r="2327" ht="15.0" customHeight="1">
      <c r="A2327" s="127">
        <v>45878.0</v>
      </c>
      <c r="B2327" s="181" t="s">
        <v>8779</v>
      </c>
      <c r="C2327" s="56" t="s">
        <v>2934</v>
      </c>
      <c r="D2327" s="73" t="str">
        <f>IFERROR(VLOOKUP(C2327,Stock,3,FALSE),"")</f>
        <v>Peti Kayu</v>
      </c>
      <c r="E2327" s="56">
        <v>1.0</v>
      </c>
      <c r="F2327" s="161">
        <v>200000.0</v>
      </c>
      <c r="G2327" s="162">
        <f t="shared" si="37"/>
        <v>200000</v>
      </c>
      <c r="H2327" s="194"/>
      <c r="I2327" s="161">
        <f t="shared" si="38"/>
        <v>200000</v>
      </c>
      <c r="J2327" s="164">
        <f t="shared" si="39"/>
        <v>200000</v>
      </c>
      <c r="K2327" s="56" t="s">
        <v>5911</v>
      </c>
      <c r="L2327" s="165" t="s">
        <v>8781</v>
      </c>
      <c r="M2327" s="73"/>
      <c r="N2327" s="171"/>
      <c r="O2327" s="169" t="s">
        <v>2958</v>
      </c>
      <c r="P2327" s="168" t="s">
        <v>3112</v>
      </c>
      <c r="Q2327" s="173"/>
      <c r="R2327" s="167">
        <v>1700000.0</v>
      </c>
      <c r="S2327" s="173"/>
      <c r="T2327" s="173"/>
      <c r="U2327" s="173"/>
      <c r="V2327" s="168" t="s">
        <v>3883</v>
      </c>
      <c r="W2327" s="169"/>
      <c r="X2327" s="171"/>
    </row>
    <row r="2328" ht="15.0" customHeight="1">
      <c r="A2328" s="127">
        <v>45878.0</v>
      </c>
      <c r="B2328" s="181" t="s">
        <v>8782</v>
      </c>
      <c r="C2328" s="56" t="s">
        <v>2718</v>
      </c>
      <c r="D2328" s="73" t="str">
        <f>IFERROR(VLOOKUP(C2328,Stock,3,FALSE),"")</f>
        <v>Isuzu Traga</v>
      </c>
      <c r="E2328" s="56">
        <v>1.0</v>
      </c>
      <c r="F2328" s="161">
        <v>970000.0</v>
      </c>
      <c r="G2328" s="162">
        <f t="shared" si="37"/>
        <v>970000</v>
      </c>
      <c r="H2328" s="194"/>
      <c r="I2328" s="161">
        <f t="shared" si="38"/>
        <v>970000</v>
      </c>
      <c r="J2328" s="164">
        <f t="shared" si="39"/>
        <v>970000</v>
      </c>
      <c r="K2328" s="56" t="s">
        <v>8777</v>
      </c>
      <c r="L2328" s="165" t="s">
        <v>8778</v>
      </c>
      <c r="M2328" s="73"/>
      <c r="N2328" s="171"/>
      <c r="O2328" s="169" t="s">
        <v>2958</v>
      </c>
      <c r="P2328" s="168" t="s">
        <v>3112</v>
      </c>
      <c r="Q2328" s="173"/>
      <c r="R2328" s="167">
        <v>970000.0</v>
      </c>
      <c r="S2328" s="173"/>
      <c r="T2328" s="173"/>
      <c r="U2328" s="173"/>
      <c r="V2328" s="168" t="s">
        <v>3883</v>
      </c>
      <c r="W2328" s="169"/>
      <c r="X2328" s="171"/>
    </row>
    <row r="2329" ht="15.0" customHeight="1">
      <c r="A2329" s="127">
        <v>45879.0</v>
      </c>
      <c r="B2329" s="181" t="s">
        <v>8783</v>
      </c>
      <c r="C2329" s="56" t="s">
        <v>8784</v>
      </c>
      <c r="D2329" s="73" t="str">
        <f>IFERROR(VLOOKUP(C2329,Stock,3,FALSE),"")</f>
        <v>Toyota Hilux Pickup 05-15</v>
      </c>
      <c r="E2329" s="56">
        <v>1.0</v>
      </c>
      <c r="F2329" s="161">
        <v>1192000.0</v>
      </c>
      <c r="G2329" s="162">
        <f t="shared" si="37"/>
        <v>1192000</v>
      </c>
      <c r="H2329" s="194"/>
      <c r="I2329" s="161">
        <f t="shared" si="38"/>
        <v>1192000</v>
      </c>
      <c r="J2329" s="164">
        <f t="shared" si="39"/>
        <v>1192000</v>
      </c>
      <c r="K2329" s="56" t="s">
        <v>8785</v>
      </c>
      <c r="L2329" s="165" t="s">
        <v>8786</v>
      </c>
      <c r="M2329" s="73"/>
      <c r="N2329" s="171"/>
      <c r="O2329" s="169" t="s">
        <v>2958</v>
      </c>
      <c r="P2329" s="168" t="s">
        <v>3112</v>
      </c>
      <c r="Q2329" s="173"/>
      <c r="R2329" s="167">
        <v>1192000.0</v>
      </c>
      <c r="S2329" s="173"/>
      <c r="T2329" s="173"/>
      <c r="U2329" s="173"/>
      <c r="V2329" s="168" t="s">
        <v>3883</v>
      </c>
      <c r="W2329" s="169"/>
      <c r="X2329" s="171"/>
    </row>
    <row r="2330" ht="15.0" customHeight="1">
      <c r="A2330" s="127">
        <v>45879.0</v>
      </c>
      <c r="B2330" s="181" t="s">
        <v>8783</v>
      </c>
      <c r="C2330" s="56" t="s">
        <v>3050</v>
      </c>
      <c r="D2330" s="73" t="str">
        <f>IFERROR(VLOOKUP(C2330,Stock,3,FALSE),"")</f>
        <v>Toyota Hilux Pickup 05-15</v>
      </c>
      <c r="E2330" s="56">
        <v>1.0</v>
      </c>
      <c r="F2330" s="161">
        <v>745000.0</v>
      </c>
      <c r="G2330" s="162">
        <f t="shared" si="37"/>
        <v>745000</v>
      </c>
      <c r="H2330" s="194"/>
      <c r="I2330" s="161">
        <f t="shared" si="38"/>
        <v>745000</v>
      </c>
      <c r="J2330" s="164">
        <f t="shared" si="39"/>
        <v>745000</v>
      </c>
      <c r="K2330" s="56" t="s">
        <v>8785</v>
      </c>
      <c r="L2330" s="165" t="s">
        <v>8786</v>
      </c>
      <c r="M2330" s="73"/>
      <c r="N2330" s="171"/>
      <c r="O2330" s="169" t="s">
        <v>2958</v>
      </c>
      <c r="P2330" s="168" t="s">
        <v>3112</v>
      </c>
      <c r="Q2330" s="173"/>
      <c r="R2330" s="167">
        <v>745000.0</v>
      </c>
      <c r="S2330" s="173"/>
      <c r="T2330" s="173"/>
      <c r="U2330" s="173"/>
      <c r="V2330" s="168" t="s">
        <v>3883</v>
      </c>
      <c r="W2330" s="169"/>
      <c r="X2330" s="171"/>
    </row>
    <row r="2331" ht="15.0" customHeight="1">
      <c r="A2331" s="127">
        <v>45879.0</v>
      </c>
      <c r="B2331" s="181" t="s">
        <v>8783</v>
      </c>
      <c r="C2331" s="56" t="s">
        <v>8787</v>
      </c>
      <c r="D2331" s="73" t="str">
        <f>IFERROR(VLOOKUP(C2331,Stock,3,FALSE),"")</f>
        <v>Toyota Fortuner 05-15 1st Gen (Toyota)</v>
      </c>
      <c r="E2331" s="56">
        <v>1.0</v>
      </c>
      <c r="F2331" s="161">
        <v>695500.0</v>
      </c>
      <c r="G2331" s="162">
        <f t="shared" si="37"/>
        <v>695500</v>
      </c>
      <c r="H2331" s="194"/>
      <c r="I2331" s="161">
        <f t="shared" si="38"/>
        <v>695500</v>
      </c>
      <c r="J2331" s="164">
        <f t="shared" si="39"/>
        <v>695500</v>
      </c>
      <c r="K2331" s="56" t="s">
        <v>8785</v>
      </c>
      <c r="L2331" s="165" t="s">
        <v>8786</v>
      </c>
      <c r="M2331" s="73"/>
      <c r="N2331" s="171"/>
      <c r="O2331" s="169" t="s">
        <v>2958</v>
      </c>
      <c r="P2331" s="168" t="s">
        <v>3112</v>
      </c>
      <c r="Q2331" s="173"/>
      <c r="R2331" s="167">
        <v>695500.0</v>
      </c>
      <c r="S2331" s="173"/>
      <c r="T2331" s="173"/>
      <c r="U2331" s="173"/>
      <c r="V2331" s="168" t="s">
        <v>3883</v>
      </c>
      <c r="W2331" s="169"/>
      <c r="X2331" s="171"/>
    </row>
    <row r="2332" ht="15.0" customHeight="1">
      <c r="A2332" s="127">
        <v>45879.0</v>
      </c>
      <c r="B2332" s="181" t="s">
        <v>8783</v>
      </c>
      <c r="C2332" s="56" t="s">
        <v>8788</v>
      </c>
      <c r="D2332" s="73" t="str">
        <f>IFERROR(VLOOKUP(C2332,Stock,3,FALSE),"")</f>
        <v>Toyota Hilux Pickup 05-15 Single Cabin (Toyota)</v>
      </c>
      <c r="E2332" s="56">
        <v>1.0</v>
      </c>
      <c r="F2332" s="161"/>
      <c r="G2332" s="162"/>
      <c r="H2332" s="194"/>
      <c r="I2332" s="161"/>
      <c r="J2332" s="164"/>
      <c r="K2332" s="56"/>
      <c r="L2332" s="56"/>
      <c r="M2332" s="73"/>
      <c r="N2332" s="171"/>
      <c r="O2332" s="169"/>
      <c r="P2332" s="168"/>
      <c r="Q2332" s="173"/>
      <c r="R2332" s="167"/>
      <c r="S2332" s="173"/>
      <c r="T2332" s="173"/>
      <c r="U2332" s="173"/>
      <c r="V2332" s="168"/>
      <c r="W2332" s="169"/>
      <c r="X2332" s="171"/>
    </row>
    <row r="2333" ht="15.0" customHeight="1">
      <c r="A2333" s="127">
        <v>45879.0</v>
      </c>
      <c r="B2333" s="181" t="s">
        <v>8783</v>
      </c>
      <c r="C2333" s="169" t="s">
        <v>2934</v>
      </c>
      <c r="D2333" s="73" t="str">
        <f>IFERROR(VLOOKUP(C2333,Stock,3,FALSE),"")</f>
        <v>Peti Kayu</v>
      </c>
      <c r="E2333" s="56">
        <v>1.0</v>
      </c>
      <c r="F2333" s="161">
        <v>200000.0</v>
      </c>
      <c r="G2333" s="162">
        <f t="shared" ref="G2333:G3174" si="40">E2333*F2333</f>
        <v>200000</v>
      </c>
      <c r="H2333" s="201">
        <v>200000.0</v>
      </c>
      <c r="I2333" s="161">
        <f t="shared" ref="I2333:I3387" si="41">G2333-H2333</f>
        <v>0</v>
      </c>
      <c r="J2333" s="164">
        <f t="shared" ref="J2333:J3387" si="42">I2333</f>
        <v>0</v>
      </c>
      <c r="K2333" s="56" t="s">
        <v>8785</v>
      </c>
      <c r="L2333" s="165" t="s">
        <v>8786</v>
      </c>
      <c r="M2333" s="73"/>
      <c r="N2333" s="171"/>
      <c r="O2333" s="169" t="s">
        <v>2958</v>
      </c>
      <c r="P2333" s="168" t="s">
        <v>3112</v>
      </c>
      <c r="Q2333" s="173"/>
      <c r="R2333" s="173"/>
      <c r="S2333" s="173"/>
      <c r="T2333" s="173"/>
      <c r="U2333" s="173"/>
      <c r="V2333" s="168" t="s">
        <v>3883</v>
      </c>
      <c r="W2333" s="169"/>
      <c r="X2333" s="171"/>
    </row>
    <row r="2334" ht="15.0" customHeight="1">
      <c r="A2334" s="127">
        <v>45879.0</v>
      </c>
      <c r="B2334" s="181" t="s">
        <v>8783</v>
      </c>
      <c r="C2334" s="304" t="s">
        <v>4027</v>
      </c>
      <c r="D2334" s="73" t="str">
        <f>IFERROR(VLOOKUP(C2334,Stock,3,FALSE),"")</f>
        <v>501 Sealant Application</v>
      </c>
      <c r="E2334" s="56">
        <v>5.0</v>
      </c>
      <c r="F2334" s="161">
        <v>95000.0</v>
      </c>
      <c r="G2334" s="162">
        <f t="shared" si="40"/>
        <v>475000</v>
      </c>
      <c r="H2334" s="194"/>
      <c r="I2334" s="161">
        <f t="shared" si="41"/>
        <v>475000</v>
      </c>
      <c r="J2334" s="164">
        <f t="shared" si="42"/>
        <v>475000</v>
      </c>
      <c r="K2334" s="56" t="s">
        <v>8785</v>
      </c>
      <c r="L2334" s="165" t="s">
        <v>8786</v>
      </c>
      <c r="M2334" s="73"/>
      <c r="N2334" s="171"/>
      <c r="O2334" s="169" t="s">
        <v>2958</v>
      </c>
      <c r="P2334" s="168" t="s">
        <v>3112</v>
      </c>
      <c r="Q2334" s="173"/>
      <c r="R2334" s="167">
        <v>475000.0</v>
      </c>
      <c r="S2334" s="173"/>
      <c r="T2334" s="173"/>
      <c r="U2334" s="173"/>
      <c r="V2334" s="168" t="s">
        <v>3883</v>
      </c>
      <c r="W2334" s="169"/>
      <c r="X2334" s="171"/>
    </row>
    <row r="2335" ht="15.0" customHeight="1">
      <c r="A2335" s="127">
        <v>45879.0</v>
      </c>
      <c r="B2335" s="181" t="s">
        <v>8789</v>
      </c>
      <c r="C2335" s="56" t="s">
        <v>4988</v>
      </c>
      <c r="D2335" s="73" t="str">
        <f>IFERROR(VLOOKUP(C2335,Stock,3,FALSE),"")</f>
        <v>Toyota Innova 15- 2nd Gen</v>
      </c>
      <c r="E2335" s="56">
        <v>1.0</v>
      </c>
      <c r="F2335" s="161">
        <v>1764000.0</v>
      </c>
      <c r="G2335" s="162">
        <f t="shared" si="40"/>
        <v>1764000</v>
      </c>
      <c r="H2335" s="194"/>
      <c r="I2335" s="161">
        <f t="shared" si="41"/>
        <v>1764000</v>
      </c>
      <c r="J2335" s="164">
        <f t="shared" si="42"/>
        <v>1764000</v>
      </c>
      <c r="K2335" s="56" t="s">
        <v>8790</v>
      </c>
      <c r="L2335" s="165" t="s">
        <v>8791</v>
      </c>
      <c r="M2335" s="73"/>
      <c r="N2335" s="169" t="s">
        <v>8792</v>
      </c>
      <c r="O2335" s="169" t="s">
        <v>2958</v>
      </c>
      <c r="P2335" s="168" t="s">
        <v>3112</v>
      </c>
      <c r="Q2335" s="173"/>
      <c r="R2335" s="167">
        <v>1764000.0</v>
      </c>
      <c r="S2335" s="173"/>
      <c r="T2335" s="173"/>
      <c r="U2335" s="173"/>
      <c r="V2335" s="168" t="s">
        <v>3883</v>
      </c>
      <c r="W2335" s="169"/>
      <c r="X2335" s="171"/>
    </row>
    <row r="2336" ht="15.0" customHeight="1">
      <c r="A2336" s="127">
        <v>45879.0</v>
      </c>
      <c r="B2336" s="181" t="s">
        <v>8793</v>
      </c>
      <c r="C2336" s="56" t="s">
        <v>2565</v>
      </c>
      <c r="D2336" s="73" t="str">
        <f>IFERROR(VLOOKUP(C2336,Stock,3,FALSE),"")</f>
        <v>Toyota Avanza / Xenia 03-11 1st Gen</v>
      </c>
      <c r="E2336" s="56">
        <v>1.0</v>
      </c>
      <c r="F2336" s="161">
        <v>1000000.0</v>
      </c>
      <c r="G2336" s="162">
        <f t="shared" si="40"/>
        <v>1000000</v>
      </c>
      <c r="H2336" s="194"/>
      <c r="I2336" s="161">
        <f t="shared" si="41"/>
        <v>1000000</v>
      </c>
      <c r="J2336" s="164">
        <f t="shared" si="42"/>
        <v>1000000</v>
      </c>
      <c r="K2336" s="56" t="s">
        <v>8794</v>
      </c>
      <c r="L2336" s="165" t="s">
        <v>8795</v>
      </c>
      <c r="M2336" s="73"/>
      <c r="N2336" s="169" t="s">
        <v>8796</v>
      </c>
      <c r="O2336" s="169" t="s">
        <v>3037</v>
      </c>
      <c r="P2336" s="168" t="s">
        <v>3112</v>
      </c>
      <c r="Q2336" s="167">
        <v>1000000.0</v>
      </c>
      <c r="R2336" s="173"/>
      <c r="S2336" s="173"/>
      <c r="T2336" s="173"/>
      <c r="U2336" s="173"/>
      <c r="V2336" s="168" t="s">
        <v>3883</v>
      </c>
      <c r="W2336" s="169"/>
      <c r="X2336" s="171"/>
    </row>
    <row r="2337" ht="15.0" customHeight="1">
      <c r="A2337" s="127">
        <v>45880.0</v>
      </c>
      <c r="B2337" s="181" t="s">
        <v>8797</v>
      </c>
      <c r="C2337" s="56" t="s">
        <v>2637</v>
      </c>
      <c r="D2337" s="73" t="str">
        <f>IFERROR(VLOOKUP(C2337,Stock,3,FALSE),"")</f>
        <v>Ford Everest 04-15 / Ranger 04-11 / Mazda BT-50</v>
      </c>
      <c r="E2337" s="56">
        <v>1.0</v>
      </c>
      <c r="F2337" s="161">
        <v>1411000.0</v>
      </c>
      <c r="G2337" s="162">
        <f t="shared" si="40"/>
        <v>1411000</v>
      </c>
      <c r="H2337" s="194"/>
      <c r="I2337" s="161">
        <f t="shared" si="41"/>
        <v>1411000</v>
      </c>
      <c r="J2337" s="164">
        <f t="shared" si="42"/>
        <v>1411000</v>
      </c>
      <c r="K2337" s="56" t="s">
        <v>4366</v>
      </c>
      <c r="L2337" s="165" t="s">
        <v>8798</v>
      </c>
      <c r="M2337" s="73"/>
      <c r="N2337" s="171"/>
      <c r="O2337" s="169" t="s">
        <v>3037</v>
      </c>
      <c r="P2337" s="168" t="s">
        <v>3112</v>
      </c>
      <c r="Q2337" s="173"/>
      <c r="R2337" s="167">
        <v>1411000.0</v>
      </c>
      <c r="S2337" s="173"/>
      <c r="T2337" s="173"/>
      <c r="U2337" s="173"/>
      <c r="V2337" s="168" t="s">
        <v>3883</v>
      </c>
      <c r="W2337" s="169"/>
      <c r="X2337" s="171"/>
    </row>
    <row r="2338" ht="15.0" customHeight="1">
      <c r="A2338" s="127">
        <v>45880.0</v>
      </c>
      <c r="B2338" s="181" t="s">
        <v>8799</v>
      </c>
      <c r="C2338" s="56" t="s">
        <v>2712</v>
      </c>
      <c r="D2338" s="73" t="str">
        <f>IFERROR(VLOOKUP(C2338,Stock,3,FALSE),"")</f>
        <v>Mitsubishi L300</v>
      </c>
      <c r="E2338" s="56">
        <v>1.0</v>
      </c>
      <c r="F2338" s="161">
        <v>1080000.0</v>
      </c>
      <c r="G2338" s="162">
        <f t="shared" si="40"/>
        <v>1080000</v>
      </c>
      <c r="H2338" s="201">
        <v>80000.0</v>
      </c>
      <c r="I2338" s="161">
        <f t="shared" si="41"/>
        <v>1000000</v>
      </c>
      <c r="J2338" s="164">
        <f t="shared" si="42"/>
        <v>1000000</v>
      </c>
      <c r="K2338" s="56" t="s">
        <v>8800</v>
      </c>
      <c r="L2338" s="165" t="s">
        <v>8801</v>
      </c>
      <c r="M2338" s="73"/>
      <c r="N2338" s="171"/>
      <c r="O2338" s="169" t="s">
        <v>2958</v>
      </c>
      <c r="P2338" s="168" t="s">
        <v>3112</v>
      </c>
      <c r="Q2338" s="173"/>
      <c r="R2338" s="167">
        <v>1000000.0</v>
      </c>
      <c r="S2338" s="173"/>
      <c r="T2338" s="173"/>
      <c r="U2338" s="173"/>
      <c r="V2338" s="168" t="s">
        <v>3883</v>
      </c>
      <c r="W2338" s="169"/>
      <c r="X2338" s="171"/>
    </row>
    <row r="2339" ht="15.0" customHeight="1">
      <c r="A2339" s="127">
        <v>45881.0</v>
      </c>
      <c r="B2339" s="181" t="s">
        <v>8802</v>
      </c>
      <c r="C2339" s="56" t="s">
        <v>3290</v>
      </c>
      <c r="D2339" s="73" t="str">
        <f>IFERROR(VLOOKUP(C2339,Stock,3,FALSE),"")</f>
        <v>Toyota Innova 04-15 1st Gen</v>
      </c>
      <c r="E2339" s="56">
        <v>1.0</v>
      </c>
      <c r="F2339" s="161">
        <v>1449000.0</v>
      </c>
      <c r="G2339" s="162">
        <f t="shared" si="40"/>
        <v>1449000</v>
      </c>
      <c r="H2339" s="194"/>
      <c r="I2339" s="161">
        <f t="shared" si="41"/>
        <v>1449000</v>
      </c>
      <c r="J2339" s="164">
        <f t="shared" si="42"/>
        <v>1449000</v>
      </c>
      <c r="K2339" s="56" t="s">
        <v>4503</v>
      </c>
      <c r="L2339" s="165" t="s">
        <v>8803</v>
      </c>
      <c r="M2339" s="73"/>
      <c r="N2339" s="171"/>
      <c r="O2339" s="169" t="s">
        <v>2958</v>
      </c>
      <c r="P2339" s="168" t="s">
        <v>3112</v>
      </c>
      <c r="Q2339" s="167">
        <v>1449000.0</v>
      </c>
      <c r="R2339" s="173"/>
      <c r="S2339" s="173"/>
      <c r="T2339" s="173"/>
      <c r="U2339" s="173"/>
      <c r="V2339" s="168" t="s">
        <v>3883</v>
      </c>
      <c r="W2339" s="169"/>
      <c r="X2339" s="171"/>
    </row>
    <row r="2340" ht="15.0" customHeight="1">
      <c r="A2340" s="127">
        <v>45881.0</v>
      </c>
      <c r="B2340" s="181" t="s">
        <v>8802</v>
      </c>
      <c r="C2340" s="56" t="s">
        <v>3355</v>
      </c>
      <c r="D2340" s="73" t="str">
        <f>IFERROR(VLOOKUP(C2340,Stock,3,FALSE),"")</f>
        <v>List Kaca Depan INV</v>
      </c>
      <c r="E2340" s="56">
        <v>1.0</v>
      </c>
      <c r="F2340" s="161">
        <v>315000.0</v>
      </c>
      <c r="G2340" s="162">
        <f t="shared" si="40"/>
        <v>315000</v>
      </c>
      <c r="H2340" s="194"/>
      <c r="I2340" s="161">
        <f t="shared" si="41"/>
        <v>315000</v>
      </c>
      <c r="J2340" s="164">
        <f t="shared" si="42"/>
        <v>315000</v>
      </c>
      <c r="K2340" s="56" t="s">
        <v>4503</v>
      </c>
      <c r="L2340" s="165" t="s">
        <v>8803</v>
      </c>
      <c r="M2340" s="73"/>
      <c r="N2340" s="171"/>
      <c r="O2340" s="169" t="s">
        <v>2958</v>
      </c>
      <c r="P2340" s="168" t="s">
        <v>3112</v>
      </c>
      <c r="Q2340" s="167">
        <v>315000.0</v>
      </c>
      <c r="R2340" s="173"/>
      <c r="S2340" s="173"/>
      <c r="T2340" s="173"/>
      <c r="U2340" s="173"/>
      <c r="V2340" s="168" t="s">
        <v>3883</v>
      </c>
      <c r="W2340" s="169"/>
      <c r="X2340" s="171"/>
    </row>
    <row r="2341" ht="15.0" customHeight="1">
      <c r="A2341" s="127">
        <v>45881.0</v>
      </c>
      <c r="B2341" s="181" t="s">
        <v>8804</v>
      </c>
      <c r="C2341" s="56" t="s">
        <v>8805</v>
      </c>
      <c r="D2341" s="73" t="str">
        <f>IFERROR(VLOOKUP(C2341,Stock,3,FALSE),"")</f>
        <v>Ford Ranger 11- T6 /Mazda BT50 Sing/Doub Cabin</v>
      </c>
      <c r="E2341" s="56">
        <v>1.0</v>
      </c>
      <c r="F2341" s="161">
        <v>1739000.0</v>
      </c>
      <c r="G2341" s="162">
        <f t="shared" si="40"/>
        <v>1739000</v>
      </c>
      <c r="H2341" s="194"/>
      <c r="I2341" s="161">
        <f t="shared" si="41"/>
        <v>1739000</v>
      </c>
      <c r="J2341" s="164">
        <f t="shared" si="42"/>
        <v>1739000</v>
      </c>
      <c r="K2341" s="56" t="s">
        <v>8806</v>
      </c>
      <c r="L2341" s="165" t="s">
        <v>8807</v>
      </c>
      <c r="M2341" s="73"/>
      <c r="N2341" s="169" t="s">
        <v>8808</v>
      </c>
      <c r="O2341" s="169" t="s">
        <v>5220</v>
      </c>
      <c r="P2341" s="168" t="s">
        <v>3112</v>
      </c>
      <c r="Q2341" s="173"/>
      <c r="R2341" s="167">
        <v>1739000.0</v>
      </c>
      <c r="S2341" s="173"/>
      <c r="T2341" s="173"/>
      <c r="U2341" s="173"/>
      <c r="V2341" s="168" t="s">
        <v>3883</v>
      </c>
      <c r="W2341" s="169"/>
      <c r="X2341" s="171"/>
    </row>
    <row r="2342" ht="15.0" customHeight="1">
      <c r="A2342" s="127">
        <v>45881.0</v>
      </c>
      <c r="B2342" s="181" t="s">
        <v>8809</v>
      </c>
      <c r="C2342" s="56" t="s">
        <v>2746</v>
      </c>
      <c r="D2342" s="73" t="str">
        <f>IFERROR(VLOOKUP(C2342,Stock,3,FALSE),"")</f>
        <v>Toyota Fortuner 05-15 1st Gen </v>
      </c>
      <c r="E2342" s="56">
        <v>1.0</v>
      </c>
      <c r="F2342" s="161">
        <v>1767000.0</v>
      </c>
      <c r="G2342" s="162">
        <f t="shared" si="40"/>
        <v>1767000</v>
      </c>
      <c r="H2342" s="194"/>
      <c r="I2342" s="161">
        <f t="shared" si="41"/>
        <v>1767000</v>
      </c>
      <c r="J2342" s="164">
        <f t="shared" si="42"/>
        <v>1767000</v>
      </c>
      <c r="K2342" s="56" t="s">
        <v>7736</v>
      </c>
      <c r="L2342" s="165" t="s">
        <v>7737</v>
      </c>
      <c r="M2342" s="73"/>
      <c r="N2342" s="171"/>
      <c r="O2342" s="169" t="s">
        <v>2958</v>
      </c>
      <c r="P2342" s="168" t="s">
        <v>3112</v>
      </c>
      <c r="Q2342" s="173"/>
      <c r="R2342" s="167">
        <v>1767000.0</v>
      </c>
      <c r="S2342" s="173"/>
      <c r="T2342" s="173"/>
      <c r="U2342" s="173"/>
      <c r="V2342" s="168" t="s">
        <v>3883</v>
      </c>
      <c r="W2342" s="169"/>
      <c r="X2342" s="171"/>
    </row>
    <row r="2343" ht="15.0" customHeight="1">
      <c r="A2343" s="127">
        <v>45882.0</v>
      </c>
      <c r="B2343" s="181" t="s">
        <v>8810</v>
      </c>
      <c r="C2343" s="56" t="s">
        <v>5554</v>
      </c>
      <c r="D2343" s="73" t="str">
        <f>IFERROR(VLOOKUP(C2343,Stock,3,FALSE),"")</f>
        <v>Mers-Benz E-Class  09-16  W212 (2 Sensor/ □Δ) Trapes.</v>
      </c>
      <c r="E2343" s="56">
        <v>1.0</v>
      </c>
      <c r="F2343" s="161">
        <v>4532000.0</v>
      </c>
      <c r="G2343" s="162">
        <f t="shared" si="40"/>
        <v>4532000</v>
      </c>
      <c r="H2343" s="194"/>
      <c r="I2343" s="161">
        <f t="shared" si="41"/>
        <v>4532000</v>
      </c>
      <c r="J2343" s="164">
        <f t="shared" si="42"/>
        <v>4532000</v>
      </c>
      <c r="K2343" s="56" t="s">
        <v>8811</v>
      </c>
      <c r="L2343" s="165" t="s">
        <v>8812</v>
      </c>
      <c r="M2343" s="73"/>
      <c r="N2343" s="171"/>
      <c r="O2343" s="169" t="s">
        <v>2958</v>
      </c>
      <c r="P2343" s="168" t="s">
        <v>3112</v>
      </c>
      <c r="Q2343" s="173"/>
      <c r="R2343" s="167">
        <v>4532000.0</v>
      </c>
      <c r="S2343" s="173"/>
      <c r="T2343" s="173"/>
      <c r="U2343" s="173"/>
      <c r="V2343" s="168" t="s">
        <v>3883</v>
      </c>
      <c r="W2343" s="169"/>
      <c r="X2343" s="171"/>
    </row>
    <row r="2344" ht="15.0" customHeight="1">
      <c r="A2344" s="127">
        <v>45882.0</v>
      </c>
      <c r="B2344" s="181" t="s">
        <v>8813</v>
      </c>
      <c r="C2344" s="56" t="s">
        <v>3745</v>
      </c>
      <c r="D2344" s="73" t="str">
        <f>IFERROR(VLOOKUP(C2344,Stock,3,FALSE),"")</f>
        <v>Honda Brio 10- / Mobilio 11-</v>
      </c>
      <c r="E2344" s="56">
        <v>1.0</v>
      </c>
      <c r="F2344" s="161">
        <v>1772000.0</v>
      </c>
      <c r="G2344" s="162">
        <f t="shared" si="40"/>
        <v>1772000</v>
      </c>
      <c r="H2344" s="194"/>
      <c r="I2344" s="161">
        <f t="shared" si="41"/>
        <v>1772000</v>
      </c>
      <c r="J2344" s="164">
        <f t="shared" si="42"/>
        <v>1772000</v>
      </c>
      <c r="K2344" s="56" t="s">
        <v>8814</v>
      </c>
      <c r="L2344" s="165" t="s">
        <v>8815</v>
      </c>
      <c r="M2344" s="73"/>
      <c r="N2344" s="169" t="s">
        <v>8816</v>
      </c>
      <c r="O2344" s="169" t="s">
        <v>2958</v>
      </c>
      <c r="P2344" s="168" t="s">
        <v>3112</v>
      </c>
      <c r="Q2344" s="173"/>
      <c r="R2344" s="167">
        <v>1772000.0</v>
      </c>
      <c r="S2344" s="173"/>
      <c r="T2344" s="173"/>
      <c r="U2344" s="173"/>
      <c r="V2344" s="168" t="s">
        <v>3883</v>
      </c>
      <c r="W2344" s="169"/>
      <c r="X2344" s="171"/>
    </row>
    <row r="2345" ht="15.0" customHeight="1">
      <c r="A2345" s="127">
        <v>45883.0</v>
      </c>
      <c r="B2345" s="181" t="s">
        <v>8817</v>
      </c>
      <c r="C2345" s="56" t="s">
        <v>3201</v>
      </c>
      <c r="D2345" s="73" t="str">
        <f>IFERROR(VLOOKUP(C2345,Stock,3,FALSE),"")</f>
        <v>Honda Freed 08-16 1st gen</v>
      </c>
      <c r="E2345" s="56">
        <v>1.0</v>
      </c>
      <c r="F2345" s="161">
        <v>1718000.0</v>
      </c>
      <c r="G2345" s="162">
        <f t="shared" si="40"/>
        <v>1718000</v>
      </c>
      <c r="H2345" s="194"/>
      <c r="I2345" s="161">
        <f t="shared" si="41"/>
        <v>1718000</v>
      </c>
      <c r="J2345" s="164">
        <f t="shared" si="42"/>
        <v>1718000</v>
      </c>
      <c r="K2345" s="56" t="s">
        <v>8818</v>
      </c>
      <c r="L2345" s="165" t="s">
        <v>8819</v>
      </c>
      <c r="M2345" s="73"/>
      <c r="N2345" s="169" t="s">
        <v>8820</v>
      </c>
      <c r="O2345" s="169" t="s">
        <v>2958</v>
      </c>
      <c r="P2345" s="168" t="s">
        <v>3112</v>
      </c>
      <c r="Q2345" s="167">
        <v>1718000.0</v>
      </c>
      <c r="R2345" s="173"/>
      <c r="S2345" s="173"/>
      <c r="T2345" s="173"/>
      <c r="U2345" s="173"/>
      <c r="V2345" s="168" t="s">
        <v>3883</v>
      </c>
      <c r="W2345" s="169"/>
      <c r="X2345" s="171"/>
    </row>
    <row r="2346" ht="15.0" customHeight="1">
      <c r="A2346" s="127">
        <v>45883.0</v>
      </c>
      <c r="B2346" s="181" t="s">
        <v>8821</v>
      </c>
      <c r="C2346" s="56" t="s">
        <v>4782</v>
      </c>
      <c r="D2346" s="73" t="str">
        <f>IFERROR(VLOOKUP(C2346,Stock,3,FALSE),"")</f>
        <v>Mitsubishi Pajero 08-16</v>
      </c>
      <c r="E2346" s="56">
        <v>1.0</v>
      </c>
      <c r="F2346" s="161">
        <v>1655000.0</v>
      </c>
      <c r="G2346" s="162">
        <f t="shared" si="40"/>
        <v>1655000</v>
      </c>
      <c r="H2346" s="194"/>
      <c r="I2346" s="161">
        <f t="shared" si="41"/>
        <v>1655000</v>
      </c>
      <c r="J2346" s="164">
        <f t="shared" si="42"/>
        <v>1655000</v>
      </c>
      <c r="K2346" s="56" t="s">
        <v>8822</v>
      </c>
      <c r="L2346" s="165" t="s">
        <v>8823</v>
      </c>
      <c r="M2346" s="73"/>
      <c r="N2346" s="169" t="s">
        <v>8824</v>
      </c>
      <c r="O2346" s="169" t="s">
        <v>2958</v>
      </c>
      <c r="P2346" s="168" t="s">
        <v>3112</v>
      </c>
      <c r="Q2346" s="173"/>
      <c r="R2346" s="167">
        <v>1655000.0</v>
      </c>
      <c r="S2346" s="173"/>
      <c r="T2346" s="173"/>
      <c r="U2346" s="173"/>
      <c r="V2346" s="168" t="s">
        <v>3883</v>
      </c>
      <c r="W2346" s="169"/>
      <c r="X2346" s="171"/>
    </row>
    <row r="2347" ht="15.0" customHeight="1">
      <c r="A2347" s="127">
        <v>45883.0</v>
      </c>
      <c r="B2347" s="181" t="s">
        <v>8825</v>
      </c>
      <c r="C2347" s="56" t="s">
        <v>2720</v>
      </c>
      <c r="D2347" s="73" t="str">
        <f>IFERROR(VLOOKUP(C2347,Stock,3,FALSE),"")</f>
        <v>Mitsubishi Canter FE300 85- (PS100,120,135 kabin kecil)</v>
      </c>
      <c r="E2347" s="56">
        <v>1.0</v>
      </c>
      <c r="F2347" s="161">
        <v>1195000.0</v>
      </c>
      <c r="G2347" s="162">
        <f t="shared" si="40"/>
        <v>1195000</v>
      </c>
      <c r="H2347" s="194"/>
      <c r="I2347" s="161">
        <f t="shared" si="41"/>
        <v>1195000</v>
      </c>
      <c r="J2347" s="164">
        <f t="shared" si="42"/>
        <v>1195000</v>
      </c>
      <c r="K2347" s="56" t="s">
        <v>4019</v>
      </c>
      <c r="L2347" s="165" t="s">
        <v>8826</v>
      </c>
      <c r="M2347" s="73"/>
      <c r="N2347" s="171"/>
      <c r="O2347" s="169" t="s">
        <v>2958</v>
      </c>
      <c r="P2347" s="168" t="s">
        <v>3112</v>
      </c>
      <c r="Q2347" s="173"/>
      <c r="R2347" s="167">
        <v>1195000.0</v>
      </c>
      <c r="S2347" s="173"/>
      <c r="T2347" s="173"/>
      <c r="U2347" s="173"/>
      <c r="V2347" s="168" t="s">
        <v>3883</v>
      </c>
      <c r="W2347" s="169"/>
      <c r="X2347" s="171"/>
    </row>
    <row r="2348" ht="15.0" customHeight="1">
      <c r="A2348" s="127">
        <v>45883.0</v>
      </c>
      <c r="B2348" s="181" t="s">
        <v>8825</v>
      </c>
      <c r="C2348" s="56" t="s">
        <v>2954</v>
      </c>
      <c r="D2348" s="73" t="str">
        <f>IFERROR(VLOOKUP(C2348,Stock,3,FALSE),"")</f>
        <v>Transport</v>
      </c>
      <c r="E2348" s="56">
        <v>1.0</v>
      </c>
      <c r="F2348" s="161">
        <v>50000.0</v>
      </c>
      <c r="G2348" s="162">
        <f t="shared" si="40"/>
        <v>50000</v>
      </c>
      <c r="H2348" s="194"/>
      <c r="I2348" s="161">
        <f t="shared" si="41"/>
        <v>50000</v>
      </c>
      <c r="J2348" s="164">
        <f t="shared" si="42"/>
        <v>50000</v>
      </c>
      <c r="K2348" s="56" t="s">
        <v>4019</v>
      </c>
      <c r="L2348" s="165" t="s">
        <v>8826</v>
      </c>
      <c r="M2348" s="73"/>
      <c r="N2348" s="171"/>
      <c r="O2348" s="169" t="s">
        <v>2958</v>
      </c>
      <c r="P2348" s="168" t="s">
        <v>3112</v>
      </c>
      <c r="Q2348" s="173"/>
      <c r="R2348" s="167">
        <v>50000.0</v>
      </c>
      <c r="S2348" s="173"/>
      <c r="T2348" s="173"/>
      <c r="U2348" s="173"/>
      <c r="V2348" s="168" t="s">
        <v>3883</v>
      </c>
      <c r="W2348" s="169"/>
      <c r="X2348" s="171"/>
    </row>
    <row r="2349" ht="15.0" customHeight="1">
      <c r="A2349" s="127">
        <v>45883.0</v>
      </c>
      <c r="B2349" s="181" t="s">
        <v>8827</v>
      </c>
      <c r="C2349" s="56" t="s">
        <v>2712</v>
      </c>
      <c r="D2349" s="73" t="str">
        <f>IFERROR(VLOOKUP(C2349,Stock,3,FALSE),"")</f>
        <v>Mitsubishi L300</v>
      </c>
      <c r="E2349" s="56">
        <v>1.0</v>
      </c>
      <c r="F2349" s="161">
        <v>1100000.0</v>
      </c>
      <c r="G2349" s="162">
        <f t="shared" si="40"/>
        <v>1100000</v>
      </c>
      <c r="H2349" s="194"/>
      <c r="I2349" s="161">
        <f t="shared" si="41"/>
        <v>1100000</v>
      </c>
      <c r="J2349" s="164">
        <f t="shared" si="42"/>
        <v>1100000</v>
      </c>
      <c r="K2349" s="56" t="s">
        <v>8828</v>
      </c>
      <c r="L2349" s="165" t="s">
        <v>8829</v>
      </c>
      <c r="M2349" s="73"/>
      <c r="N2349" s="171"/>
      <c r="O2349" s="169" t="s">
        <v>2958</v>
      </c>
      <c r="P2349" s="168" t="s">
        <v>3112</v>
      </c>
      <c r="Q2349" s="167">
        <v>1100000.0</v>
      </c>
      <c r="R2349" s="167"/>
      <c r="S2349" s="173"/>
      <c r="T2349" s="173"/>
      <c r="U2349" s="173"/>
      <c r="V2349" s="168" t="s">
        <v>3883</v>
      </c>
      <c r="W2349" s="169"/>
      <c r="X2349" s="171"/>
    </row>
    <row r="2350" ht="15.0" customHeight="1">
      <c r="A2350" s="127">
        <v>45883.0</v>
      </c>
      <c r="B2350" s="181" t="s">
        <v>8827</v>
      </c>
      <c r="C2350" s="56" t="s">
        <v>2954</v>
      </c>
      <c r="D2350" s="73" t="str">
        <f>IFERROR(VLOOKUP(C2350,Stock,3,FALSE),"")</f>
        <v>Transport</v>
      </c>
      <c r="E2350" s="56">
        <v>1.0</v>
      </c>
      <c r="F2350" s="161">
        <v>80000.0</v>
      </c>
      <c r="G2350" s="162">
        <f t="shared" si="40"/>
        <v>80000</v>
      </c>
      <c r="H2350" s="194"/>
      <c r="I2350" s="161">
        <f t="shared" si="41"/>
        <v>80000</v>
      </c>
      <c r="J2350" s="164">
        <f t="shared" si="42"/>
        <v>80000</v>
      </c>
      <c r="K2350" s="56" t="s">
        <v>8828</v>
      </c>
      <c r="L2350" s="165" t="s">
        <v>8829</v>
      </c>
      <c r="M2350" s="73"/>
      <c r="N2350" s="171"/>
      <c r="O2350" s="169" t="s">
        <v>2958</v>
      </c>
      <c r="P2350" s="168" t="s">
        <v>3112</v>
      </c>
      <c r="Q2350" s="167">
        <v>50000.0</v>
      </c>
      <c r="R2350" s="167">
        <v>30000.0</v>
      </c>
      <c r="S2350" s="173"/>
      <c r="T2350" s="173"/>
      <c r="U2350" s="173"/>
      <c r="V2350" s="168" t="s">
        <v>3883</v>
      </c>
      <c r="W2350" s="169"/>
      <c r="X2350" s="171"/>
    </row>
    <row r="2351" ht="15.0" customHeight="1">
      <c r="A2351" s="127">
        <v>45883.0</v>
      </c>
      <c r="B2351" s="181" t="s">
        <v>8830</v>
      </c>
      <c r="C2351" s="56" t="s">
        <v>4613</v>
      </c>
      <c r="D2351" s="73" t="str">
        <f>IFERROR(VLOOKUP(C2351,Stock,3,FALSE),"")</f>
        <v>Honda Freed 08-16 1st gen</v>
      </c>
      <c r="E2351" s="56">
        <v>1.0</v>
      </c>
      <c r="F2351" s="161">
        <v>1449000.0</v>
      </c>
      <c r="G2351" s="162">
        <f t="shared" si="40"/>
        <v>1449000</v>
      </c>
      <c r="H2351" s="194"/>
      <c r="I2351" s="161">
        <f t="shared" si="41"/>
        <v>1449000</v>
      </c>
      <c r="J2351" s="164">
        <f t="shared" si="42"/>
        <v>1449000</v>
      </c>
      <c r="K2351" s="56" t="s">
        <v>8831</v>
      </c>
      <c r="L2351" s="165" t="s">
        <v>8832</v>
      </c>
      <c r="M2351" s="73"/>
      <c r="N2351" s="171"/>
      <c r="O2351" s="169" t="s">
        <v>2958</v>
      </c>
      <c r="P2351" s="168" t="s">
        <v>3112</v>
      </c>
      <c r="Q2351" s="167">
        <v>1449000.0</v>
      </c>
      <c r="R2351" s="173"/>
      <c r="S2351" s="173"/>
      <c r="T2351" s="173"/>
      <c r="U2351" s="173"/>
      <c r="V2351" s="168" t="s">
        <v>3883</v>
      </c>
      <c r="W2351" s="169"/>
      <c r="X2351" s="171"/>
    </row>
    <row r="2352" ht="15.0" customHeight="1">
      <c r="A2352" s="127">
        <v>45884.0</v>
      </c>
      <c r="B2352" s="181" t="s">
        <v>8833</v>
      </c>
      <c r="C2352" s="56" t="s">
        <v>8834</v>
      </c>
      <c r="D2352" s="73" t="str">
        <f>IFERROR(VLOOKUP(C2352,Stock,3,FALSE),"")</f>
        <v>Nissan Elgrand 02-10 E51 2nd Gen</v>
      </c>
      <c r="E2352" s="56">
        <v>1.0</v>
      </c>
      <c r="F2352" s="161">
        <v>3312000.0</v>
      </c>
      <c r="G2352" s="162">
        <f t="shared" si="40"/>
        <v>3312000</v>
      </c>
      <c r="H2352" s="194"/>
      <c r="I2352" s="161">
        <f t="shared" si="41"/>
        <v>3312000</v>
      </c>
      <c r="J2352" s="164">
        <f t="shared" si="42"/>
        <v>3312000</v>
      </c>
      <c r="K2352" s="56" t="s">
        <v>8835</v>
      </c>
      <c r="L2352" s="165" t="s">
        <v>8836</v>
      </c>
      <c r="M2352" s="73"/>
      <c r="N2352" s="171"/>
      <c r="O2352" s="169" t="s">
        <v>2958</v>
      </c>
      <c r="P2352" s="168" t="s">
        <v>3112</v>
      </c>
      <c r="Q2352" s="173"/>
      <c r="R2352" s="167">
        <v>3312000.0</v>
      </c>
      <c r="S2352" s="173"/>
      <c r="T2352" s="173"/>
      <c r="U2352" s="173"/>
      <c r="V2352" s="168" t="s">
        <v>3883</v>
      </c>
      <c r="W2352" s="169"/>
      <c r="X2352" s="171"/>
    </row>
    <row r="2353" ht="15.0" customHeight="1">
      <c r="A2353" s="127">
        <v>45884.0</v>
      </c>
      <c r="B2353" s="181" t="s">
        <v>8833</v>
      </c>
      <c r="C2353" s="304" t="s">
        <v>4027</v>
      </c>
      <c r="D2353" s="73" t="str">
        <f>IFERROR(VLOOKUP(C2353,Stock,3,FALSE),"")</f>
        <v>501 Sealant Application</v>
      </c>
      <c r="E2353" s="56">
        <v>1.0</v>
      </c>
      <c r="F2353" s="161">
        <v>75000.0</v>
      </c>
      <c r="G2353" s="162">
        <f t="shared" si="40"/>
        <v>75000</v>
      </c>
      <c r="H2353" s="194"/>
      <c r="I2353" s="161">
        <f t="shared" si="41"/>
        <v>75000</v>
      </c>
      <c r="J2353" s="164">
        <f t="shared" si="42"/>
        <v>75000</v>
      </c>
      <c r="K2353" s="56" t="s">
        <v>8835</v>
      </c>
      <c r="L2353" s="165" t="s">
        <v>8836</v>
      </c>
      <c r="M2353" s="73"/>
      <c r="N2353" s="171"/>
      <c r="O2353" s="169" t="s">
        <v>2958</v>
      </c>
      <c r="P2353" s="168" t="s">
        <v>3112</v>
      </c>
      <c r="Q2353" s="173"/>
      <c r="R2353" s="167">
        <v>75000.0</v>
      </c>
      <c r="S2353" s="173"/>
      <c r="T2353" s="173"/>
      <c r="U2353" s="173"/>
      <c r="V2353" s="168" t="s">
        <v>3883</v>
      </c>
      <c r="W2353" s="169"/>
      <c r="X2353" s="171"/>
    </row>
    <row r="2354" ht="15.0" customHeight="1">
      <c r="A2354" s="127">
        <v>45884.0</v>
      </c>
      <c r="B2354" s="181" t="s">
        <v>8833</v>
      </c>
      <c r="C2354" s="56" t="s">
        <v>2934</v>
      </c>
      <c r="D2354" s="73" t="str">
        <f>IFERROR(VLOOKUP(C2354,Stock,3,FALSE),"")</f>
        <v>Peti Kayu</v>
      </c>
      <c r="E2354" s="56">
        <v>1.0</v>
      </c>
      <c r="F2354" s="161">
        <v>200000.0</v>
      </c>
      <c r="G2354" s="162">
        <f t="shared" si="40"/>
        <v>200000</v>
      </c>
      <c r="H2354" s="194"/>
      <c r="I2354" s="161">
        <f t="shared" si="41"/>
        <v>200000</v>
      </c>
      <c r="J2354" s="164">
        <f t="shared" si="42"/>
        <v>200000</v>
      </c>
      <c r="K2354" s="56" t="s">
        <v>8835</v>
      </c>
      <c r="L2354" s="165" t="s">
        <v>8836</v>
      </c>
      <c r="M2354" s="73"/>
      <c r="N2354" s="171"/>
      <c r="O2354" s="169" t="s">
        <v>2958</v>
      </c>
      <c r="P2354" s="168" t="s">
        <v>3112</v>
      </c>
      <c r="Q2354" s="173"/>
      <c r="R2354" s="167">
        <v>200000.0</v>
      </c>
      <c r="S2354" s="173"/>
      <c r="T2354" s="173"/>
      <c r="U2354" s="173"/>
      <c r="V2354" s="168" t="s">
        <v>3883</v>
      </c>
      <c r="W2354" s="169"/>
      <c r="X2354" s="171"/>
    </row>
    <row r="2355" ht="15.0" customHeight="1">
      <c r="A2355" s="127">
        <v>45884.0</v>
      </c>
      <c r="B2355" s="181" t="s">
        <v>8837</v>
      </c>
      <c r="C2355" s="56" t="s">
        <v>3451</v>
      </c>
      <c r="D2355" s="73" t="str">
        <f>IFERROR(VLOOKUP(C2355,Stock,3,FALSE),"")</f>
        <v>Toyota Rush / Terios 18-</v>
      </c>
      <c r="E2355" s="56">
        <v>1.0</v>
      </c>
      <c r="F2355" s="161">
        <v>1260000.0</v>
      </c>
      <c r="G2355" s="162">
        <f t="shared" si="40"/>
        <v>1260000</v>
      </c>
      <c r="H2355" s="194"/>
      <c r="I2355" s="161">
        <f t="shared" si="41"/>
        <v>1260000</v>
      </c>
      <c r="J2355" s="164">
        <f t="shared" si="42"/>
        <v>1260000</v>
      </c>
      <c r="K2355" s="56" t="s">
        <v>8838</v>
      </c>
      <c r="L2355" s="165" t="s">
        <v>8839</v>
      </c>
      <c r="M2355" s="73"/>
      <c r="N2355" s="171"/>
      <c r="O2355" s="169" t="s">
        <v>2958</v>
      </c>
      <c r="P2355" s="168" t="s">
        <v>3112</v>
      </c>
      <c r="Q2355" s="173"/>
      <c r="R2355" s="167">
        <v>1260000.0</v>
      </c>
      <c r="S2355" s="173"/>
      <c r="T2355" s="173"/>
      <c r="U2355" s="173"/>
      <c r="V2355" s="168" t="s">
        <v>3883</v>
      </c>
      <c r="W2355" s="169"/>
      <c r="X2355" s="171"/>
    </row>
    <row r="2356" ht="15.0" customHeight="1">
      <c r="A2356" s="127">
        <v>45884.0</v>
      </c>
      <c r="B2356" s="181" t="s">
        <v>8837</v>
      </c>
      <c r="C2356" s="56" t="s">
        <v>2954</v>
      </c>
      <c r="D2356" s="73" t="str">
        <f>IFERROR(VLOOKUP(C2356,Stock,3,FALSE),"")</f>
        <v>Transport</v>
      </c>
      <c r="E2356" s="56">
        <v>1.0</v>
      </c>
      <c r="F2356" s="161">
        <v>75000.0</v>
      </c>
      <c r="G2356" s="162">
        <f t="shared" si="40"/>
        <v>75000</v>
      </c>
      <c r="H2356" s="194"/>
      <c r="I2356" s="161">
        <f t="shared" si="41"/>
        <v>75000</v>
      </c>
      <c r="J2356" s="164">
        <f t="shared" si="42"/>
        <v>75000</v>
      </c>
      <c r="K2356" s="56" t="s">
        <v>8838</v>
      </c>
      <c r="L2356" s="165" t="s">
        <v>8839</v>
      </c>
      <c r="M2356" s="73"/>
      <c r="N2356" s="171"/>
      <c r="O2356" s="169" t="s">
        <v>2958</v>
      </c>
      <c r="P2356" s="168" t="s">
        <v>3112</v>
      </c>
      <c r="Q2356" s="173"/>
      <c r="R2356" s="167">
        <v>75000.0</v>
      </c>
      <c r="S2356" s="173"/>
      <c r="T2356" s="173"/>
      <c r="U2356" s="173"/>
      <c r="V2356" s="168" t="s">
        <v>3883</v>
      </c>
      <c r="W2356" s="169"/>
      <c r="X2356" s="171"/>
    </row>
    <row r="2357" ht="15.0" customHeight="1">
      <c r="A2357" s="127">
        <v>45884.0</v>
      </c>
      <c r="B2357" s="475" t="s">
        <v>8840</v>
      </c>
      <c r="C2357" s="56" t="s">
        <v>2562</v>
      </c>
      <c r="D2357" s="73" t="str">
        <f>IFERROR(VLOOKUP(C2357,Stock,3,FALSE),"")</f>
        <v>Toyota Avanza / Xenia 15-21 3rd Gen</v>
      </c>
      <c r="E2357" s="56">
        <v>1.0</v>
      </c>
      <c r="F2357" s="161">
        <v>1020000.0</v>
      </c>
      <c r="G2357" s="162">
        <f t="shared" si="40"/>
        <v>1020000</v>
      </c>
      <c r="H2357" s="194"/>
      <c r="I2357" s="161">
        <f t="shared" si="41"/>
        <v>1020000</v>
      </c>
      <c r="J2357" s="164">
        <f t="shared" si="42"/>
        <v>1020000</v>
      </c>
      <c r="K2357" s="56" t="s">
        <v>8841</v>
      </c>
      <c r="L2357" s="165" t="s">
        <v>8842</v>
      </c>
      <c r="M2357" s="73"/>
      <c r="N2357" s="171"/>
      <c r="O2357" s="169" t="s">
        <v>2958</v>
      </c>
      <c r="P2357" s="168" t="s">
        <v>3112</v>
      </c>
      <c r="Q2357" s="167">
        <v>20000.0</v>
      </c>
      <c r="R2357" s="167">
        <v>1000000.0</v>
      </c>
      <c r="S2357" s="173"/>
      <c r="T2357" s="173"/>
      <c r="U2357" s="173"/>
      <c r="V2357" s="168" t="s">
        <v>3883</v>
      </c>
      <c r="W2357" s="169"/>
      <c r="X2357" s="171"/>
    </row>
    <row r="2358" ht="15.0" customHeight="1">
      <c r="A2358" s="127">
        <v>45885.0</v>
      </c>
      <c r="B2358" s="475" t="s">
        <v>8843</v>
      </c>
      <c r="C2358" s="56" t="s">
        <v>4005</v>
      </c>
      <c r="D2358" s="73" t="str">
        <f>IFERROR(VLOOKUP(C2358,Stock,3,FALSE),"")</f>
        <v>Toyota Fortuner 15- 2nd Gen</v>
      </c>
      <c r="E2358" s="56">
        <v>1.0</v>
      </c>
      <c r="F2358" s="161">
        <v>1800000.0</v>
      </c>
      <c r="G2358" s="162">
        <f t="shared" si="40"/>
        <v>1800000</v>
      </c>
      <c r="H2358" s="201">
        <v>100000.0</v>
      </c>
      <c r="I2358" s="161">
        <f t="shared" si="41"/>
        <v>1700000</v>
      </c>
      <c r="J2358" s="164">
        <f t="shared" si="42"/>
        <v>1700000</v>
      </c>
      <c r="K2358" s="56" t="s">
        <v>8844</v>
      </c>
      <c r="L2358" s="165" t="s">
        <v>4397</v>
      </c>
      <c r="M2358" s="73"/>
      <c r="N2358" s="171"/>
      <c r="O2358" s="169" t="s">
        <v>2958</v>
      </c>
      <c r="P2358" s="168" t="s">
        <v>3112</v>
      </c>
      <c r="Q2358" s="173"/>
      <c r="R2358" s="167">
        <v>1700000.0</v>
      </c>
      <c r="S2358" s="173"/>
      <c r="T2358" s="173"/>
      <c r="U2358" s="173"/>
      <c r="V2358" s="168" t="s">
        <v>3883</v>
      </c>
      <c r="W2358" s="169"/>
      <c r="X2358" s="171"/>
    </row>
    <row r="2359" ht="15.0" customHeight="1">
      <c r="A2359" s="127">
        <v>45885.0</v>
      </c>
      <c r="B2359" s="475" t="s">
        <v>8845</v>
      </c>
      <c r="C2359" s="56" t="s">
        <v>2670</v>
      </c>
      <c r="D2359" s="73" t="str">
        <f>IFERROR(VLOOKUP(C2359,Stock,3,FALSE),"")</f>
        <v>Honda City 02-08 4th Gen Idsi GD8</v>
      </c>
      <c r="E2359" s="56">
        <v>1.0</v>
      </c>
      <c r="F2359" s="161">
        <v>1971000.0</v>
      </c>
      <c r="G2359" s="162">
        <f t="shared" si="40"/>
        <v>1971000</v>
      </c>
      <c r="H2359" s="194"/>
      <c r="I2359" s="161">
        <f t="shared" si="41"/>
        <v>1971000</v>
      </c>
      <c r="J2359" s="164">
        <f t="shared" si="42"/>
        <v>1971000</v>
      </c>
      <c r="K2359" s="56" t="s">
        <v>8846</v>
      </c>
      <c r="L2359" s="165" t="s">
        <v>8847</v>
      </c>
      <c r="M2359" s="73"/>
      <c r="N2359" s="169" t="s">
        <v>8848</v>
      </c>
      <c r="O2359" s="169" t="s">
        <v>2958</v>
      </c>
      <c r="P2359" s="168" t="s">
        <v>3112</v>
      </c>
      <c r="Q2359" s="167">
        <v>1971000.0</v>
      </c>
      <c r="R2359" s="173"/>
      <c r="S2359" s="173"/>
      <c r="T2359" s="173"/>
      <c r="U2359" s="173"/>
      <c r="V2359" s="168" t="s">
        <v>3883</v>
      </c>
      <c r="W2359" s="169"/>
      <c r="X2359" s="171"/>
    </row>
    <row r="2360" ht="15.0" customHeight="1">
      <c r="A2360" s="127">
        <v>45885.0</v>
      </c>
      <c r="B2360" s="475" t="s">
        <v>8845</v>
      </c>
      <c r="C2360" s="56" t="s">
        <v>3355</v>
      </c>
      <c r="D2360" s="73" t="str">
        <f>IFERROR(VLOOKUP(C2360,Stock,3,FALSE),"")</f>
        <v>List Kaca Depan INV</v>
      </c>
      <c r="E2360" s="56">
        <v>1.0</v>
      </c>
      <c r="F2360" s="161">
        <v>315000.0</v>
      </c>
      <c r="G2360" s="162">
        <f t="shared" si="40"/>
        <v>315000</v>
      </c>
      <c r="H2360" s="194"/>
      <c r="I2360" s="161">
        <f t="shared" si="41"/>
        <v>315000</v>
      </c>
      <c r="J2360" s="164">
        <f t="shared" si="42"/>
        <v>315000</v>
      </c>
      <c r="K2360" s="56" t="s">
        <v>8846</v>
      </c>
      <c r="L2360" s="165" t="s">
        <v>8847</v>
      </c>
      <c r="M2360" s="73"/>
      <c r="N2360" s="169" t="s">
        <v>8848</v>
      </c>
      <c r="O2360" s="169" t="s">
        <v>2958</v>
      </c>
      <c r="P2360" s="168" t="s">
        <v>3112</v>
      </c>
      <c r="Q2360" s="167">
        <v>315000.0</v>
      </c>
      <c r="R2360" s="173"/>
      <c r="S2360" s="173"/>
      <c r="T2360" s="173"/>
      <c r="U2360" s="173"/>
      <c r="V2360" s="168" t="s">
        <v>3883</v>
      </c>
      <c r="W2360" s="169"/>
      <c r="X2360" s="171"/>
    </row>
    <row r="2361" ht="15.0" customHeight="1">
      <c r="A2361" s="127">
        <v>45885.0</v>
      </c>
      <c r="B2361" s="475" t="s">
        <v>8849</v>
      </c>
      <c r="C2361" s="56" t="s">
        <v>3201</v>
      </c>
      <c r="D2361" s="73" t="str">
        <f>IFERROR(VLOOKUP(C2361,Stock,3,FALSE),"")</f>
        <v>Honda Freed 08-16 1st gen</v>
      </c>
      <c r="E2361" s="56">
        <v>1.0</v>
      </c>
      <c r="F2361" s="161">
        <v>1718000.0</v>
      </c>
      <c r="G2361" s="162">
        <f t="shared" si="40"/>
        <v>1718000</v>
      </c>
      <c r="H2361" s="194"/>
      <c r="I2361" s="161">
        <f t="shared" si="41"/>
        <v>1718000</v>
      </c>
      <c r="J2361" s="164">
        <f t="shared" si="42"/>
        <v>1718000</v>
      </c>
      <c r="K2361" s="56" t="s">
        <v>8850</v>
      </c>
      <c r="L2361" s="165" t="s">
        <v>4397</v>
      </c>
      <c r="M2361" s="73"/>
      <c r="N2361" s="171"/>
      <c r="O2361" s="169" t="s">
        <v>3037</v>
      </c>
      <c r="P2361" s="168" t="s">
        <v>3112</v>
      </c>
      <c r="Q2361" s="167">
        <v>1718000.0</v>
      </c>
      <c r="R2361" s="173"/>
      <c r="S2361" s="173"/>
      <c r="T2361" s="173"/>
      <c r="U2361" s="173"/>
      <c r="V2361" s="168" t="s">
        <v>3883</v>
      </c>
      <c r="W2361" s="169"/>
      <c r="X2361" s="171"/>
    </row>
    <row r="2362" ht="15.0" customHeight="1">
      <c r="A2362" s="127">
        <v>45885.0</v>
      </c>
      <c r="B2362" s="475" t="s">
        <v>8851</v>
      </c>
      <c r="C2362" s="304" t="s">
        <v>4027</v>
      </c>
      <c r="D2362" s="73" t="str">
        <f>IFERROR(VLOOKUP(C2362,Stock,3,FALSE),"")</f>
        <v>501 Sealant Application</v>
      </c>
      <c r="E2362" s="56">
        <v>2.0</v>
      </c>
      <c r="F2362" s="56"/>
      <c r="G2362" s="162">
        <f t="shared" si="40"/>
        <v>0</v>
      </c>
      <c r="H2362" s="194"/>
      <c r="I2362" s="161">
        <f t="shared" si="41"/>
        <v>0</v>
      </c>
      <c r="J2362" s="164">
        <f t="shared" si="42"/>
        <v>0</v>
      </c>
      <c r="K2362" s="56" t="s">
        <v>4019</v>
      </c>
      <c r="L2362" s="165" t="s">
        <v>8826</v>
      </c>
      <c r="M2362" s="73"/>
      <c r="N2362" s="171"/>
      <c r="O2362" s="169" t="s">
        <v>2958</v>
      </c>
      <c r="P2362" s="168" t="s">
        <v>3112</v>
      </c>
      <c r="Q2362" s="173"/>
      <c r="R2362" s="173"/>
      <c r="S2362" s="173"/>
      <c r="T2362" s="173"/>
      <c r="U2362" s="173"/>
      <c r="V2362" s="168" t="s">
        <v>3883</v>
      </c>
      <c r="W2362" s="169"/>
      <c r="X2362" s="171"/>
    </row>
    <row r="2363" ht="15.0" customHeight="1">
      <c r="A2363" s="127">
        <v>45887.0</v>
      </c>
      <c r="B2363" s="475" t="s">
        <v>8852</v>
      </c>
      <c r="C2363" s="56" t="s">
        <v>3290</v>
      </c>
      <c r="D2363" s="73" t="str">
        <f>IFERROR(VLOOKUP(C2363,Stock,3,FALSE),"")</f>
        <v>Toyota Innova 04-15 1st Gen</v>
      </c>
      <c r="E2363" s="56">
        <v>1.0</v>
      </c>
      <c r="F2363" s="161">
        <v>1449000.0</v>
      </c>
      <c r="G2363" s="162">
        <f t="shared" si="40"/>
        <v>1449000</v>
      </c>
      <c r="H2363" s="194"/>
      <c r="I2363" s="161">
        <f t="shared" si="41"/>
        <v>1449000</v>
      </c>
      <c r="J2363" s="164">
        <f t="shared" si="42"/>
        <v>1449000</v>
      </c>
      <c r="K2363" s="56" t="s">
        <v>8853</v>
      </c>
      <c r="L2363" s="165" t="s">
        <v>8854</v>
      </c>
      <c r="M2363" s="73"/>
      <c r="N2363" s="169" t="s">
        <v>8855</v>
      </c>
      <c r="O2363" s="169" t="s">
        <v>3927</v>
      </c>
      <c r="P2363" s="168" t="s">
        <v>3112</v>
      </c>
      <c r="Q2363" s="173"/>
      <c r="R2363" s="167">
        <v>1449000.0</v>
      </c>
      <c r="S2363" s="167" t="s">
        <v>8856</v>
      </c>
      <c r="T2363" s="173"/>
      <c r="U2363" s="173"/>
      <c r="V2363" s="168" t="s">
        <v>3883</v>
      </c>
      <c r="W2363" s="169"/>
      <c r="X2363" s="171"/>
    </row>
    <row r="2364" ht="15.0" customHeight="1">
      <c r="A2364" s="127">
        <v>45887.0</v>
      </c>
      <c r="B2364" s="475" t="s">
        <v>8857</v>
      </c>
      <c r="C2364" s="56" t="s">
        <v>3186</v>
      </c>
      <c r="D2364" s="73" t="str">
        <f>IFERROR(VLOOKUP(C2364,Stock,3,FALSE),"")</f>
        <v>Daihatsu Gran Max / Luxio 07-</v>
      </c>
      <c r="E2364" s="56">
        <v>1.0</v>
      </c>
      <c r="F2364" s="161">
        <v>1000000.0</v>
      </c>
      <c r="G2364" s="162">
        <f t="shared" si="40"/>
        <v>1000000</v>
      </c>
      <c r="H2364" s="194"/>
      <c r="I2364" s="161">
        <f t="shared" si="41"/>
        <v>1000000</v>
      </c>
      <c r="J2364" s="164">
        <f t="shared" si="42"/>
        <v>1000000</v>
      </c>
      <c r="K2364" s="56" t="s">
        <v>8858</v>
      </c>
      <c r="L2364" s="165" t="s">
        <v>8859</v>
      </c>
      <c r="M2364" s="73"/>
      <c r="N2364" s="169" t="s">
        <v>8860</v>
      </c>
      <c r="O2364" s="169" t="s">
        <v>2958</v>
      </c>
      <c r="P2364" s="168" t="s">
        <v>3112</v>
      </c>
      <c r="Q2364" s="167">
        <v>1000000.0</v>
      </c>
      <c r="R2364" s="173"/>
      <c r="S2364" s="173"/>
      <c r="T2364" s="173"/>
      <c r="U2364" s="173"/>
      <c r="V2364" s="168" t="s">
        <v>3883</v>
      </c>
      <c r="W2364" s="169"/>
      <c r="X2364" s="171"/>
    </row>
    <row r="2365" ht="15.0" customHeight="1">
      <c r="A2365" s="127">
        <v>45887.0</v>
      </c>
      <c r="B2365" s="475" t="s">
        <v>8861</v>
      </c>
      <c r="C2365" s="56" t="s">
        <v>3104</v>
      </c>
      <c r="D2365" s="73" t="str">
        <f>IFERROR(VLOOKUP(C2365,Stock,3,FALSE),"")</f>
        <v>Toyota Innova 15- 2nd Gen</v>
      </c>
      <c r="E2365" s="56">
        <v>1.0</v>
      </c>
      <c r="F2365" s="161">
        <v>1319000.0</v>
      </c>
      <c r="G2365" s="162">
        <f t="shared" si="40"/>
        <v>1319000</v>
      </c>
      <c r="H2365" s="194"/>
      <c r="I2365" s="161">
        <f t="shared" si="41"/>
        <v>1319000</v>
      </c>
      <c r="J2365" s="164">
        <f t="shared" si="42"/>
        <v>1319000</v>
      </c>
      <c r="K2365" s="56" t="s">
        <v>8862</v>
      </c>
      <c r="L2365" s="165" t="s">
        <v>8863</v>
      </c>
      <c r="M2365" s="73"/>
      <c r="N2365" s="169" t="s">
        <v>8864</v>
      </c>
      <c r="O2365" s="169" t="s">
        <v>2958</v>
      </c>
      <c r="P2365" s="168" t="s">
        <v>3112</v>
      </c>
      <c r="Q2365" s="173"/>
      <c r="R2365" s="167">
        <v>1319000.0</v>
      </c>
      <c r="S2365" s="173"/>
      <c r="T2365" s="173"/>
      <c r="U2365" s="173"/>
      <c r="V2365" s="168" t="s">
        <v>3883</v>
      </c>
      <c r="W2365" s="169"/>
      <c r="X2365" s="171"/>
    </row>
    <row r="2366" ht="15.0" customHeight="1">
      <c r="A2366" s="127">
        <v>45887.0</v>
      </c>
      <c r="B2366" s="475" t="s">
        <v>8865</v>
      </c>
      <c r="C2366" s="56" t="s">
        <v>3099</v>
      </c>
      <c r="D2366" s="73" t="str">
        <f>IFERROR(VLOOKUP(C2366,Stock,3,FALSE),"")</f>
        <v>Toyota Calya / Sigra 16-</v>
      </c>
      <c r="E2366" s="56">
        <v>1.0</v>
      </c>
      <c r="F2366" s="161">
        <v>1149000.0</v>
      </c>
      <c r="G2366" s="162">
        <f t="shared" si="40"/>
        <v>1149000</v>
      </c>
      <c r="H2366" s="194"/>
      <c r="I2366" s="161">
        <f t="shared" si="41"/>
        <v>1149000</v>
      </c>
      <c r="J2366" s="164">
        <f t="shared" si="42"/>
        <v>1149000</v>
      </c>
      <c r="K2366" s="56" t="s">
        <v>8866</v>
      </c>
      <c r="L2366" s="165" t="s">
        <v>8867</v>
      </c>
      <c r="M2366" s="73"/>
      <c r="N2366" s="169" t="s">
        <v>8868</v>
      </c>
      <c r="O2366" s="169" t="s">
        <v>2958</v>
      </c>
      <c r="P2366" s="478"/>
      <c r="Q2366" s="173"/>
      <c r="R2366" s="167">
        <v>1149000.0</v>
      </c>
      <c r="S2366" s="173"/>
      <c r="T2366" s="173"/>
      <c r="U2366" s="173"/>
      <c r="V2366" s="168" t="s">
        <v>3883</v>
      </c>
      <c r="W2366" s="169"/>
      <c r="X2366" s="171"/>
    </row>
    <row r="2367" ht="15.0" customHeight="1">
      <c r="A2367" s="127">
        <v>45887.0</v>
      </c>
      <c r="B2367" s="475" t="s">
        <v>8869</v>
      </c>
      <c r="C2367" s="56" t="s">
        <v>8870</v>
      </c>
      <c r="D2367" s="73" t="str">
        <f>IFERROR(VLOOKUP(C2367,Stock,3,FALSE),"")</f>
        <v>Toyota Alphard 15-17 ANH30 3rd Gen (Sensor atas keramik)</v>
      </c>
      <c r="E2367" s="56">
        <v>1.0</v>
      </c>
      <c r="F2367" s="161">
        <v>3500000.0</v>
      </c>
      <c r="G2367" s="162">
        <f t="shared" si="40"/>
        <v>3500000</v>
      </c>
      <c r="H2367" s="194"/>
      <c r="I2367" s="161">
        <f t="shared" si="41"/>
        <v>3500000</v>
      </c>
      <c r="J2367" s="164">
        <f t="shared" si="42"/>
        <v>3500000</v>
      </c>
      <c r="K2367" s="56" t="s">
        <v>6654</v>
      </c>
      <c r="L2367" s="165" t="s">
        <v>8871</v>
      </c>
      <c r="M2367" s="73"/>
      <c r="N2367" s="169" t="s">
        <v>8872</v>
      </c>
      <c r="O2367" s="169" t="s">
        <v>2958</v>
      </c>
      <c r="P2367" s="168" t="s">
        <v>3112</v>
      </c>
      <c r="Q2367" s="173"/>
      <c r="R2367" s="167">
        <v>3500000.0</v>
      </c>
      <c r="S2367" s="173"/>
      <c r="T2367" s="173"/>
      <c r="U2367" s="173"/>
      <c r="V2367" s="168" t="s">
        <v>3883</v>
      </c>
      <c r="W2367" s="169"/>
      <c r="X2367" s="171"/>
    </row>
    <row r="2368" ht="15.0" customHeight="1">
      <c r="A2368" s="127">
        <v>45887.0</v>
      </c>
      <c r="B2368" s="475" t="s">
        <v>8873</v>
      </c>
      <c r="C2368" s="56" t="s">
        <v>8874</v>
      </c>
      <c r="D2368" s="73" t="str">
        <f>IFERROR(VLOOKUP(C2368,Stock,3,FALSE),"")</f>
        <v>Mazda CX-5 17- 2nd Gen KF (2 Sensor/ □Δ )</v>
      </c>
      <c r="E2368" s="56">
        <v>1.0</v>
      </c>
      <c r="F2368" s="161">
        <v>5351000.0</v>
      </c>
      <c r="G2368" s="162">
        <f t="shared" si="40"/>
        <v>5351000</v>
      </c>
      <c r="H2368" s="194"/>
      <c r="I2368" s="161">
        <f t="shared" si="41"/>
        <v>5351000</v>
      </c>
      <c r="J2368" s="164">
        <f t="shared" si="42"/>
        <v>5351000</v>
      </c>
      <c r="K2368" s="56" t="s">
        <v>8875</v>
      </c>
      <c r="L2368" s="165" t="s">
        <v>8876</v>
      </c>
      <c r="M2368" s="73"/>
      <c r="N2368" s="171"/>
      <c r="O2368" s="169" t="s">
        <v>2958</v>
      </c>
      <c r="P2368" s="168" t="s">
        <v>3112</v>
      </c>
      <c r="Q2368" s="173"/>
      <c r="R2368" s="167">
        <v>5351000.0</v>
      </c>
      <c r="S2368" s="173"/>
      <c r="T2368" s="173"/>
      <c r="U2368" s="173"/>
      <c r="V2368" s="168" t="s">
        <v>3883</v>
      </c>
      <c r="W2368" s="169"/>
      <c r="X2368" s="171"/>
    </row>
    <row r="2369" ht="15.0" customHeight="1">
      <c r="A2369" s="127">
        <v>45888.0</v>
      </c>
      <c r="B2369" s="181" t="s">
        <v>8877</v>
      </c>
      <c r="C2369" s="56" t="s">
        <v>3426</v>
      </c>
      <c r="D2369" s="73" t="str">
        <f>IFERROR(VLOOKUP(C2369,Stock,3,FALSE),"")</f>
        <v>Toyota Rush / Terios 06-17</v>
      </c>
      <c r="E2369" s="56">
        <v>1.0</v>
      </c>
      <c r="F2369" s="161">
        <v>1005000.0</v>
      </c>
      <c r="G2369" s="162">
        <f t="shared" si="40"/>
        <v>1005000</v>
      </c>
      <c r="H2369" s="194"/>
      <c r="I2369" s="161">
        <f t="shared" si="41"/>
        <v>1005000</v>
      </c>
      <c r="J2369" s="164">
        <f t="shared" si="42"/>
        <v>1005000</v>
      </c>
      <c r="K2369" s="56" t="s">
        <v>8878</v>
      </c>
      <c r="L2369" s="165" t="s">
        <v>8879</v>
      </c>
      <c r="M2369" s="73"/>
      <c r="N2369" s="171"/>
      <c r="O2369" s="169" t="s">
        <v>2958</v>
      </c>
      <c r="P2369" s="168" t="s">
        <v>3112</v>
      </c>
      <c r="Q2369" s="173"/>
      <c r="R2369" s="167">
        <v>1005000.0</v>
      </c>
      <c r="S2369" s="173"/>
      <c r="T2369" s="173"/>
      <c r="U2369" s="173"/>
      <c r="V2369" s="168" t="s">
        <v>3883</v>
      </c>
      <c r="W2369" s="169"/>
      <c r="X2369" s="171"/>
    </row>
    <row r="2370" ht="15.0" customHeight="1">
      <c r="A2370" s="127">
        <v>45888.0</v>
      </c>
      <c r="B2370" s="181" t="s">
        <v>8877</v>
      </c>
      <c r="C2370" s="304" t="s">
        <v>2954</v>
      </c>
      <c r="D2370" s="73" t="str">
        <f>IFERROR(VLOOKUP(C2370,Stock,3,FALSE),"")</f>
        <v>Transport</v>
      </c>
      <c r="E2370" s="56">
        <v>1.0</v>
      </c>
      <c r="F2370" s="161">
        <v>100000.0</v>
      </c>
      <c r="G2370" s="162">
        <f t="shared" si="40"/>
        <v>100000</v>
      </c>
      <c r="H2370" s="194"/>
      <c r="I2370" s="161">
        <f t="shared" si="41"/>
        <v>100000</v>
      </c>
      <c r="J2370" s="164">
        <f t="shared" si="42"/>
        <v>100000</v>
      </c>
      <c r="K2370" s="56" t="s">
        <v>8878</v>
      </c>
      <c r="L2370" s="165" t="s">
        <v>8879</v>
      </c>
      <c r="M2370" s="73"/>
      <c r="N2370" s="171"/>
      <c r="O2370" s="169" t="s">
        <v>2958</v>
      </c>
      <c r="P2370" s="168" t="s">
        <v>3112</v>
      </c>
      <c r="Q2370" s="173"/>
      <c r="R2370" s="167">
        <v>100000.0</v>
      </c>
      <c r="S2370" s="173"/>
      <c r="T2370" s="173"/>
      <c r="U2370" s="173"/>
      <c r="V2370" s="168" t="s">
        <v>3883</v>
      </c>
      <c r="W2370" s="169"/>
      <c r="X2370" s="171"/>
    </row>
    <row r="2371" ht="15.0" customHeight="1">
      <c r="A2371" s="127">
        <v>45888.0</v>
      </c>
      <c r="B2371" s="181" t="s">
        <v>8880</v>
      </c>
      <c r="C2371" s="56" t="s">
        <v>3290</v>
      </c>
      <c r="D2371" s="73" t="str">
        <f>IFERROR(VLOOKUP(C2371,Stock,3,FALSE),"")</f>
        <v>Toyota Innova 04-15 1st Gen</v>
      </c>
      <c r="E2371" s="56">
        <v>1.0</v>
      </c>
      <c r="F2371" s="161">
        <v>1449000.0</v>
      </c>
      <c r="G2371" s="162">
        <f t="shared" si="40"/>
        <v>1449000</v>
      </c>
      <c r="H2371" s="194"/>
      <c r="I2371" s="161">
        <f t="shared" si="41"/>
        <v>1449000</v>
      </c>
      <c r="J2371" s="164">
        <f t="shared" si="42"/>
        <v>1449000</v>
      </c>
      <c r="K2371" s="56" t="s">
        <v>8881</v>
      </c>
      <c r="L2371" s="165" t="s">
        <v>8882</v>
      </c>
      <c r="M2371" s="73"/>
      <c r="N2371" s="171"/>
      <c r="O2371" s="169" t="s">
        <v>2958</v>
      </c>
      <c r="P2371" s="168" t="s">
        <v>3112</v>
      </c>
      <c r="Q2371" s="173"/>
      <c r="R2371" s="167">
        <v>1449000.0</v>
      </c>
      <c r="S2371" s="173"/>
      <c r="T2371" s="173"/>
      <c r="U2371" s="173"/>
      <c r="V2371" s="168" t="s">
        <v>3883</v>
      </c>
      <c r="W2371" s="169"/>
      <c r="X2371" s="171"/>
    </row>
    <row r="2372" ht="15.0" customHeight="1">
      <c r="A2372" s="127">
        <v>45888.0</v>
      </c>
      <c r="B2372" s="181" t="s">
        <v>8880</v>
      </c>
      <c r="C2372" s="56" t="s">
        <v>3355</v>
      </c>
      <c r="D2372" s="73" t="str">
        <f>IFERROR(VLOOKUP(C2372,Stock,3,FALSE),"")</f>
        <v>List Kaca Depan INV</v>
      </c>
      <c r="E2372" s="56">
        <v>1.0</v>
      </c>
      <c r="F2372" s="161">
        <v>315000.0</v>
      </c>
      <c r="G2372" s="162">
        <f t="shared" si="40"/>
        <v>315000</v>
      </c>
      <c r="H2372" s="194"/>
      <c r="I2372" s="161">
        <f t="shared" si="41"/>
        <v>315000</v>
      </c>
      <c r="J2372" s="164">
        <f t="shared" si="42"/>
        <v>315000</v>
      </c>
      <c r="K2372" s="56" t="s">
        <v>8881</v>
      </c>
      <c r="L2372" s="165" t="s">
        <v>8882</v>
      </c>
      <c r="M2372" s="73"/>
      <c r="N2372" s="171"/>
      <c r="O2372" s="169" t="s">
        <v>2958</v>
      </c>
      <c r="P2372" s="168" t="s">
        <v>3112</v>
      </c>
      <c r="Q2372" s="173"/>
      <c r="R2372" s="167">
        <v>315000.0</v>
      </c>
      <c r="S2372" s="173"/>
      <c r="T2372" s="173"/>
      <c r="U2372" s="173"/>
      <c r="V2372" s="168" t="s">
        <v>3883</v>
      </c>
      <c r="W2372" s="169"/>
      <c r="X2372" s="171"/>
    </row>
    <row r="2373" ht="15.0" customHeight="1">
      <c r="A2373" s="127">
        <v>45889.0</v>
      </c>
      <c r="B2373" s="181" t="s">
        <v>8883</v>
      </c>
      <c r="C2373" s="56" t="s">
        <v>2714</v>
      </c>
      <c r="D2373" s="73" t="str">
        <f>IFERROR(VLOOKUP(C2373,Stock,3,FALSE),"")</f>
        <v>Mitsubishi Canter FE700 01- (PS110,125)</v>
      </c>
      <c r="E2373" s="56">
        <v>1.0</v>
      </c>
      <c r="F2373" s="161">
        <v>1194000.0</v>
      </c>
      <c r="G2373" s="162">
        <f t="shared" si="40"/>
        <v>1194000</v>
      </c>
      <c r="H2373" s="194"/>
      <c r="I2373" s="161">
        <f t="shared" si="41"/>
        <v>1194000</v>
      </c>
      <c r="J2373" s="164">
        <f t="shared" si="42"/>
        <v>1194000</v>
      </c>
      <c r="K2373" s="56" t="s">
        <v>8884</v>
      </c>
      <c r="L2373" s="165" t="s">
        <v>8885</v>
      </c>
      <c r="M2373" s="73"/>
      <c r="N2373" s="171"/>
      <c r="O2373" s="169" t="s">
        <v>2958</v>
      </c>
      <c r="P2373" s="168" t="s">
        <v>3112</v>
      </c>
      <c r="Q2373" s="167">
        <v>1194000.0</v>
      </c>
      <c r="R2373" s="173"/>
      <c r="S2373" s="173"/>
      <c r="T2373" s="173"/>
      <c r="U2373" s="173"/>
      <c r="V2373" s="168" t="s">
        <v>3883</v>
      </c>
      <c r="W2373" s="169"/>
      <c r="X2373" s="171"/>
    </row>
    <row r="2374" ht="15.0" customHeight="1">
      <c r="A2374" s="127">
        <v>45889.0</v>
      </c>
      <c r="B2374" s="181" t="s">
        <v>8883</v>
      </c>
      <c r="C2374" s="304" t="s">
        <v>2954</v>
      </c>
      <c r="D2374" s="73" t="str">
        <f>IFERROR(VLOOKUP(C2374,Stock,3,FALSE),"")</f>
        <v>Transport</v>
      </c>
      <c r="E2374" s="56">
        <v>1.0</v>
      </c>
      <c r="F2374" s="161">
        <v>100000.0</v>
      </c>
      <c r="G2374" s="162">
        <f t="shared" si="40"/>
        <v>100000</v>
      </c>
      <c r="H2374" s="194"/>
      <c r="I2374" s="161">
        <f t="shared" si="41"/>
        <v>100000</v>
      </c>
      <c r="J2374" s="164">
        <f t="shared" si="42"/>
        <v>100000</v>
      </c>
      <c r="K2374" s="56" t="s">
        <v>8884</v>
      </c>
      <c r="L2374" s="165" t="s">
        <v>8885</v>
      </c>
      <c r="M2374" s="73"/>
      <c r="N2374" s="171"/>
      <c r="O2374" s="169" t="s">
        <v>2958</v>
      </c>
      <c r="P2374" s="168" t="s">
        <v>3112</v>
      </c>
      <c r="Q2374" s="167">
        <v>100000.0</v>
      </c>
      <c r="R2374" s="173"/>
      <c r="S2374" s="173"/>
      <c r="T2374" s="173"/>
      <c r="U2374" s="173"/>
      <c r="V2374" s="168" t="s">
        <v>3883</v>
      </c>
      <c r="W2374" s="169"/>
      <c r="X2374" s="171"/>
    </row>
    <row r="2375" ht="15.0" customHeight="1">
      <c r="A2375" s="183">
        <v>45889.0</v>
      </c>
      <c r="B2375" s="185" t="s">
        <v>8886</v>
      </c>
      <c r="C2375" s="184" t="s">
        <v>3745</v>
      </c>
      <c r="D2375" s="186" t="str">
        <f>IFERROR(VLOOKUP(C2375,Stock,3,FALSE),"")</f>
        <v>Honda Brio 10- / Mobilio 11-</v>
      </c>
      <c r="E2375" s="184">
        <v>3.0</v>
      </c>
      <c r="F2375" s="188"/>
      <c r="G2375" s="188">
        <f t="shared" si="40"/>
        <v>0</v>
      </c>
      <c r="H2375" s="210"/>
      <c r="I2375" s="187">
        <f t="shared" si="41"/>
        <v>0</v>
      </c>
      <c r="J2375" s="189">
        <f t="shared" si="42"/>
        <v>0</v>
      </c>
      <c r="K2375" s="184" t="s">
        <v>8887</v>
      </c>
      <c r="L2375" s="186"/>
      <c r="M2375" s="186"/>
      <c r="N2375" s="212"/>
      <c r="O2375" s="212"/>
      <c r="P2375" s="192" t="s">
        <v>3112</v>
      </c>
      <c r="Q2375" s="213"/>
      <c r="R2375" s="213"/>
      <c r="S2375" s="213"/>
      <c r="T2375" s="213"/>
      <c r="U2375" s="213"/>
      <c r="V2375" s="168" t="s">
        <v>3883</v>
      </c>
      <c r="W2375" s="169"/>
      <c r="X2375" s="171"/>
    </row>
    <row r="2376" ht="15.0" customHeight="1">
      <c r="A2376" s="127">
        <v>45889.0</v>
      </c>
      <c r="B2376" s="181" t="s">
        <v>8888</v>
      </c>
      <c r="C2376" s="56" t="s">
        <v>2698</v>
      </c>
      <c r="D2376" s="73" t="str">
        <f>IFERROR(VLOOKUP(C2376,Stock,3,FALSE),"")</f>
        <v>Honda CR-V 17- 5th Gen</v>
      </c>
      <c r="E2376" s="56">
        <v>1.0</v>
      </c>
      <c r="F2376" s="161">
        <v>1702000.0</v>
      </c>
      <c r="G2376" s="162">
        <f t="shared" si="40"/>
        <v>1702000</v>
      </c>
      <c r="H2376" s="194"/>
      <c r="I2376" s="161">
        <f t="shared" si="41"/>
        <v>1702000</v>
      </c>
      <c r="J2376" s="164">
        <f t="shared" si="42"/>
        <v>1702000</v>
      </c>
      <c r="K2376" s="56" t="s">
        <v>8889</v>
      </c>
      <c r="L2376" s="165" t="s">
        <v>8890</v>
      </c>
      <c r="M2376" s="73"/>
      <c r="N2376" s="171"/>
      <c r="O2376" s="169" t="s">
        <v>2958</v>
      </c>
      <c r="P2376" s="168" t="s">
        <v>2922</v>
      </c>
      <c r="Q2376" s="173"/>
      <c r="R2376" s="167">
        <v>1702000.0</v>
      </c>
      <c r="S2376" s="173"/>
      <c r="T2376" s="173"/>
      <c r="U2376" s="173"/>
      <c r="V2376" s="168" t="s">
        <v>3883</v>
      </c>
      <c r="W2376" s="169"/>
      <c r="X2376" s="171"/>
    </row>
    <row r="2377" ht="15.0" customHeight="1">
      <c r="A2377" s="127">
        <v>45889.0</v>
      </c>
      <c r="B2377" s="181" t="s">
        <v>8888</v>
      </c>
      <c r="C2377" s="304" t="s">
        <v>3045</v>
      </c>
      <c r="D2377" s="73" t="str">
        <f>IFERROR(VLOOKUP(C2377,Stock,3,FALSE),"")</f>
        <v>Pemasangan Kaca Mobil Depan</v>
      </c>
      <c r="E2377" s="56">
        <v>1.0</v>
      </c>
      <c r="F2377" s="161">
        <v>300000.0</v>
      </c>
      <c r="G2377" s="162">
        <f t="shared" si="40"/>
        <v>300000</v>
      </c>
      <c r="H2377" s="194"/>
      <c r="I2377" s="161">
        <f t="shared" si="41"/>
        <v>300000</v>
      </c>
      <c r="J2377" s="164">
        <f t="shared" si="42"/>
        <v>300000</v>
      </c>
      <c r="K2377" s="56" t="s">
        <v>8889</v>
      </c>
      <c r="L2377" s="165" t="s">
        <v>8890</v>
      </c>
      <c r="M2377" s="73"/>
      <c r="N2377" s="171"/>
      <c r="O2377" s="169" t="s">
        <v>2958</v>
      </c>
      <c r="P2377" s="168" t="s">
        <v>2922</v>
      </c>
      <c r="Q2377" s="173"/>
      <c r="R2377" s="167">
        <v>300000.0</v>
      </c>
      <c r="S2377" s="173"/>
      <c r="T2377" s="173"/>
      <c r="U2377" s="173"/>
      <c r="V2377" s="168" t="s">
        <v>3883</v>
      </c>
      <c r="W2377" s="169"/>
      <c r="X2377" s="171"/>
    </row>
    <row r="2378" ht="15.0" customHeight="1">
      <c r="A2378" s="127">
        <v>45890.0</v>
      </c>
      <c r="B2378" s="181" t="s">
        <v>8891</v>
      </c>
      <c r="C2378" s="56" t="s">
        <v>3493</v>
      </c>
      <c r="D2378" s="73" t="str">
        <f>IFERROR(VLOOKUP(C2378,Stock,3,FALSE),"")</f>
        <v>Nissan Livina 07-18 L10/L11</v>
      </c>
      <c r="E2378" s="56">
        <v>1.0</v>
      </c>
      <c r="F2378" s="161">
        <v>1442000.0</v>
      </c>
      <c r="G2378" s="162">
        <f t="shared" si="40"/>
        <v>1442000</v>
      </c>
      <c r="H2378" s="194"/>
      <c r="I2378" s="161">
        <f t="shared" si="41"/>
        <v>1442000</v>
      </c>
      <c r="J2378" s="164">
        <f t="shared" si="42"/>
        <v>1442000</v>
      </c>
      <c r="K2378" s="56" t="s">
        <v>8892</v>
      </c>
      <c r="L2378" s="165" t="s">
        <v>8893</v>
      </c>
      <c r="M2378" s="73"/>
      <c r="N2378" s="171"/>
      <c r="O2378" s="169" t="s">
        <v>2958</v>
      </c>
      <c r="P2378" s="168" t="s">
        <v>3112</v>
      </c>
      <c r="Q2378" s="173"/>
      <c r="R2378" s="167">
        <v>1442000.0</v>
      </c>
      <c r="S2378" s="173"/>
      <c r="T2378" s="173"/>
      <c r="U2378" s="173"/>
      <c r="V2378" s="168" t="s">
        <v>3883</v>
      </c>
      <c r="W2378" s="169"/>
      <c r="X2378" s="171"/>
    </row>
    <row r="2379" ht="15.0" customHeight="1">
      <c r="A2379" s="127">
        <v>45890.0</v>
      </c>
      <c r="B2379" s="181" t="s">
        <v>8891</v>
      </c>
      <c r="C2379" s="304" t="s">
        <v>3083</v>
      </c>
      <c r="D2379" s="73" t="str">
        <f>IFERROR(VLOOKUP(C2379,Stock,3,FALSE),"")</f>
        <v>List Kaca Depan Code 04</v>
      </c>
      <c r="E2379" s="56">
        <v>1.0</v>
      </c>
      <c r="F2379" s="161">
        <v>275000.0</v>
      </c>
      <c r="G2379" s="162">
        <f t="shared" si="40"/>
        <v>275000</v>
      </c>
      <c r="H2379" s="194"/>
      <c r="I2379" s="161">
        <f t="shared" si="41"/>
        <v>275000</v>
      </c>
      <c r="J2379" s="164">
        <f t="shared" si="42"/>
        <v>275000</v>
      </c>
      <c r="K2379" s="56" t="s">
        <v>8892</v>
      </c>
      <c r="L2379" s="165" t="s">
        <v>8893</v>
      </c>
      <c r="M2379" s="73"/>
      <c r="N2379" s="171"/>
      <c r="O2379" s="169" t="s">
        <v>2958</v>
      </c>
      <c r="P2379" s="168" t="s">
        <v>3112</v>
      </c>
      <c r="Q2379" s="173"/>
      <c r="R2379" s="167">
        <v>275000.0</v>
      </c>
      <c r="S2379" s="173"/>
      <c r="T2379" s="173"/>
      <c r="U2379" s="173"/>
      <c r="V2379" s="168" t="s">
        <v>3883</v>
      </c>
      <c r="W2379" s="169"/>
      <c r="X2379" s="171"/>
    </row>
    <row r="2380" ht="15.0" customHeight="1">
      <c r="A2380" s="127">
        <v>45890.0</v>
      </c>
      <c r="B2380" s="475" t="s">
        <v>8894</v>
      </c>
      <c r="C2380" s="56" t="s">
        <v>3186</v>
      </c>
      <c r="D2380" s="73" t="str">
        <f>IFERROR(VLOOKUP(C2380,Stock,3,FALSE),"")</f>
        <v>Daihatsu Gran Max / Luxio 07-</v>
      </c>
      <c r="E2380" s="56">
        <v>1.0</v>
      </c>
      <c r="F2380" s="161">
        <v>1000000.0</v>
      </c>
      <c r="G2380" s="162">
        <f t="shared" si="40"/>
        <v>1000000</v>
      </c>
      <c r="H2380" s="194"/>
      <c r="I2380" s="161">
        <f t="shared" si="41"/>
        <v>1000000</v>
      </c>
      <c r="J2380" s="164">
        <f t="shared" si="42"/>
        <v>1000000</v>
      </c>
      <c r="K2380" s="56" t="s">
        <v>8895</v>
      </c>
      <c r="L2380" s="165" t="s">
        <v>8896</v>
      </c>
      <c r="M2380" s="73"/>
      <c r="N2380" s="169" t="s">
        <v>8897</v>
      </c>
      <c r="O2380" s="169" t="s">
        <v>2958</v>
      </c>
      <c r="P2380" s="168" t="s">
        <v>3112</v>
      </c>
      <c r="Q2380" s="173"/>
      <c r="R2380" s="167">
        <v>1000000.0</v>
      </c>
      <c r="S2380" s="173"/>
      <c r="T2380" s="173"/>
      <c r="U2380" s="173"/>
      <c r="V2380" s="168" t="s">
        <v>3883</v>
      </c>
      <c r="W2380" s="169"/>
      <c r="X2380" s="171"/>
    </row>
    <row r="2381" ht="15.0" customHeight="1">
      <c r="A2381" s="127">
        <v>45890.0</v>
      </c>
      <c r="B2381" s="475" t="s">
        <v>8898</v>
      </c>
      <c r="C2381" s="56" t="s">
        <v>8899</v>
      </c>
      <c r="D2381" s="73" t="str">
        <f>IFERROR(VLOOKUP(C2381,Stock,3,FALSE),"")</f>
        <v>Mazda MX-5/Miata/Roadster 2D NC 05-15</v>
      </c>
      <c r="E2381" s="56"/>
      <c r="F2381" s="161"/>
      <c r="G2381" s="162">
        <f t="shared" si="40"/>
        <v>0</v>
      </c>
      <c r="H2381" s="194"/>
      <c r="I2381" s="161">
        <f t="shared" si="41"/>
        <v>0</v>
      </c>
      <c r="J2381" s="164">
        <f t="shared" si="42"/>
        <v>0</v>
      </c>
      <c r="K2381" s="56" t="s">
        <v>8900</v>
      </c>
      <c r="L2381" s="165" t="s">
        <v>8901</v>
      </c>
      <c r="M2381" s="73"/>
      <c r="N2381" s="171"/>
      <c r="O2381" s="169" t="s">
        <v>8902</v>
      </c>
      <c r="P2381" s="168" t="s">
        <v>3112</v>
      </c>
      <c r="Q2381" s="173"/>
      <c r="R2381" s="167"/>
      <c r="S2381" s="173"/>
      <c r="T2381" s="173"/>
      <c r="U2381" s="173"/>
      <c r="V2381" s="168" t="s">
        <v>3883</v>
      </c>
      <c r="W2381" s="169"/>
      <c r="X2381" s="169" t="s">
        <v>6175</v>
      </c>
    </row>
    <row r="2382" ht="15.0" customHeight="1">
      <c r="A2382" s="127">
        <v>45891.0</v>
      </c>
      <c r="B2382" s="475" t="s">
        <v>8903</v>
      </c>
      <c r="C2382" s="56" t="s">
        <v>2779</v>
      </c>
      <c r="D2382" s="73" t="str">
        <f>IFERROR(VLOOKUP(C2382,Stock,3,FALSE),"")</f>
        <v>Toyota Hi-Ace 04-20 Commuter With Frame</v>
      </c>
      <c r="E2382" s="56">
        <v>1.0</v>
      </c>
      <c r="F2382" s="161">
        <v>2695000.0</v>
      </c>
      <c r="G2382" s="162">
        <f t="shared" si="40"/>
        <v>2695000</v>
      </c>
      <c r="H2382" s="194"/>
      <c r="I2382" s="161">
        <f t="shared" si="41"/>
        <v>2695000</v>
      </c>
      <c r="J2382" s="164">
        <f t="shared" si="42"/>
        <v>2695000</v>
      </c>
      <c r="K2382" s="56" t="s">
        <v>8715</v>
      </c>
      <c r="L2382" s="165" t="s">
        <v>8716</v>
      </c>
      <c r="M2382" s="73"/>
      <c r="N2382" s="171"/>
      <c r="O2382" s="169" t="s">
        <v>4961</v>
      </c>
      <c r="P2382" s="168" t="s">
        <v>3112</v>
      </c>
      <c r="Q2382" s="173"/>
      <c r="R2382" s="167">
        <v>2695000.0</v>
      </c>
      <c r="S2382" s="173"/>
      <c r="T2382" s="173"/>
      <c r="U2382" s="173"/>
      <c r="V2382" s="168" t="s">
        <v>3883</v>
      </c>
      <c r="W2382" s="169"/>
      <c r="X2382" s="171"/>
    </row>
    <row r="2383" ht="15.0" customHeight="1">
      <c r="A2383" s="127">
        <v>45891.0</v>
      </c>
      <c r="B2383" s="475" t="s">
        <v>8903</v>
      </c>
      <c r="C2383" s="56" t="s">
        <v>8904</v>
      </c>
      <c r="D2383" s="73" t="str">
        <f>IFERROR(VLOOKUP(C2383,Stock,3,FALSE),"")</f>
        <v>Toyota Hi-Ace 04-20 Commuter</v>
      </c>
      <c r="E2383" s="56">
        <v>1.0</v>
      </c>
      <c r="F2383" s="161">
        <v>537000.0</v>
      </c>
      <c r="G2383" s="162">
        <f t="shared" si="40"/>
        <v>537000</v>
      </c>
      <c r="H2383" s="194"/>
      <c r="I2383" s="161">
        <f t="shared" si="41"/>
        <v>537000</v>
      </c>
      <c r="J2383" s="164">
        <f t="shared" si="42"/>
        <v>537000</v>
      </c>
      <c r="K2383" s="56" t="s">
        <v>8715</v>
      </c>
      <c r="L2383" s="165" t="s">
        <v>8716</v>
      </c>
      <c r="M2383" s="73"/>
      <c r="N2383" s="171"/>
      <c r="O2383" s="169" t="s">
        <v>4961</v>
      </c>
      <c r="P2383" s="168" t="s">
        <v>3112</v>
      </c>
      <c r="Q2383" s="173"/>
      <c r="R2383" s="167">
        <v>537000.0</v>
      </c>
      <c r="S2383" s="173"/>
      <c r="T2383" s="173"/>
      <c r="U2383" s="173"/>
      <c r="V2383" s="168" t="s">
        <v>3883</v>
      </c>
      <c r="W2383" s="169"/>
      <c r="X2383" s="171"/>
    </row>
    <row r="2384" ht="15.0" customHeight="1">
      <c r="A2384" s="127">
        <v>45891.0</v>
      </c>
      <c r="B2384" s="475" t="s">
        <v>8903</v>
      </c>
      <c r="C2384" s="56" t="s">
        <v>2934</v>
      </c>
      <c r="D2384" s="73" t="str">
        <f>IFERROR(VLOOKUP(C2384,Stock,3,FALSE),"")</f>
        <v>Peti Kayu</v>
      </c>
      <c r="E2384" s="56">
        <v>1.0</v>
      </c>
      <c r="F2384" s="161">
        <v>150000.0</v>
      </c>
      <c r="G2384" s="162">
        <f t="shared" si="40"/>
        <v>150000</v>
      </c>
      <c r="H2384" s="194"/>
      <c r="I2384" s="161">
        <f t="shared" si="41"/>
        <v>150000</v>
      </c>
      <c r="J2384" s="164">
        <f t="shared" si="42"/>
        <v>150000</v>
      </c>
      <c r="K2384" s="56" t="s">
        <v>8715</v>
      </c>
      <c r="L2384" s="165" t="s">
        <v>8716</v>
      </c>
      <c r="M2384" s="73"/>
      <c r="N2384" s="171"/>
      <c r="O2384" s="169" t="s">
        <v>4961</v>
      </c>
      <c r="P2384" s="168" t="s">
        <v>3112</v>
      </c>
      <c r="Q2384" s="173"/>
      <c r="R2384" s="167">
        <v>150000.0</v>
      </c>
      <c r="S2384" s="173"/>
      <c r="T2384" s="173"/>
      <c r="U2384" s="173"/>
      <c r="V2384" s="168" t="s">
        <v>3883</v>
      </c>
      <c r="W2384" s="169"/>
      <c r="X2384" s="171"/>
    </row>
    <row r="2385" ht="15.0" customHeight="1">
      <c r="A2385" s="127">
        <v>45891.0</v>
      </c>
      <c r="B2385" s="475" t="s">
        <v>8905</v>
      </c>
      <c r="C2385" s="56" t="s">
        <v>8906</v>
      </c>
      <c r="D2385" s="73" t="str">
        <f>IFERROR(VLOOKUP(C2385,Stock,3,FALSE),"")</f>
        <v>Honda Accord 03-07 7th Gen CM5,6,7 (Honda)</v>
      </c>
      <c r="E2385" s="56">
        <v>1.0</v>
      </c>
      <c r="F2385" s="161">
        <v>1775000.0</v>
      </c>
      <c r="G2385" s="162">
        <f t="shared" si="40"/>
        <v>1775000</v>
      </c>
      <c r="H2385" s="194"/>
      <c r="I2385" s="161">
        <f t="shared" si="41"/>
        <v>1775000</v>
      </c>
      <c r="J2385" s="164">
        <f t="shared" si="42"/>
        <v>1775000</v>
      </c>
      <c r="K2385" s="56" t="s">
        <v>8907</v>
      </c>
      <c r="L2385" s="165" t="s">
        <v>8908</v>
      </c>
      <c r="M2385" s="73"/>
      <c r="N2385" s="171"/>
      <c r="O2385" s="169" t="s">
        <v>2958</v>
      </c>
      <c r="P2385" s="168" t="s">
        <v>3112</v>
      </c>
      <c r="Q2385" s="173"/>
      <c r="R2385" s="167">
        <v>1775000.0</v>
      </c>
      <c r="S2385" s="173"/>
      <c r="T2385" s="173"/>
      <c r="U2385" s="173"/>
      <c r="V2385" s="168" t="s">
        <v>3883</v>
      </c>
      <c r="W2385" s="169"/>
      <c r="X2385" s="171"/>
    </row>
    <row r="2386" ht="15.0" customHeight="1">
      <c r="A2386" s="127">
        <v>45891.0</v>
      </c>
      <c r="B2386" s="475" t="s">
        <v>8905</v>
      </c>
      <c r="C2386" s="56" t="s">
        <v>2954</v>
      </c>
      <c r="D2386" s="73" t="str">
        <f>IFERROR(VLOOKUP(C2386,Stock,3,FALSE),"")</f>
        <v>Transport</v>
      </c>
      <c r="E2386" s="56">
        <v>1.0</v>
      </c>
      <c r="F2386" s="161">
        <v>80000.0</v>
      </c>
      <c r="G2386" s="162">
        <f t="shared" si="40"/>
        <v>80000</v>
      </c>
      <c r="H2386" s="194"/>
      <c r="I2386" s="161">
        <f t="shared" si="41"/>
        <v>80000</v>
      </c>
      <c r="J2386" s="164">
        <f t="shared" si="42"/>
        <v>80000</v>
      </c>
      <c r="K2386" s="56" t="s">
        <v>8907</v>
      </c>
      <c r="L2386" s="165" t="s">
        <v>8908</v>
      </c>
      <c r="M2386" s="73"/>
      <c r="N2386" s="171"/>
      <c r="O2386" s="169" t="s">
        <v>2958</v>
      </c>
      <c r="P2386" s="168" t="s">
        <v>3112</v>
      </c>
      <c r="Q2386" s="173"/>
      <c r="R2386" s="167">
        <v>80000.0</v>
      </c>
      <c r="S2386" s="173"/>
      <c r="T2386" s="173"/>
      <c r="U2386" s="173"/>
      <c r="V2386" s="168" t="s">
        <v>3883</v>
      </c>
      <c r="W2386" s="169"/>
      <c r="X2386" s="171"/>
    </row>
    <row r="2387" ht="15.0" customHeight="1">
      <c r="A2387" s="127">
        <v>45891.0</v>
      </c>
      <c r="B2387" s="475" t="s">
        <v>8909</v>
      </c>
      <c r="C2387" s="56" t="s">
        <v>2657</v>
      </c>
      <c r="D2387" s="73" t="str">
        <f>IFERROR(VLOOKUP(C2387,Stock,3,FALSE),"")</f>
        <v>Kia Picanto 11-16 2nd Gen</v>
      </c>
      <c r="E2387" s="56">
        <v>1.0</v>
      </c>
      <c r="F2387" s="161">
        <v>1587000.0</v>
      </c>
      <c r="G2387" s="162">
        <f t="shared" si="40"/>
        <v>1587000</v>
      </c>
      <c r="H2387" s="194"/>
      <c r="I2387" s="161">
        <f t="shared" si="41"/>
        <v>1587000</v>
      </c>
      <c r="J2387" s="164">
        <f t="shared" si="42"/>
        <v>1587000</v>
      </c>
      <c r="K2387" s="56" t="s">
        <v>8910</v>
      </c>
      <c r="L2387" s="165" t="s">
        <v>8911</v>
      </c>
      <c r="M2387" s="73"/>
      <c r="N2387" s="169" t="s">
        <v>8912</v>
      </c>
      <c r="O2387" s="169" t="s">
        <v>2958</v>
      </c>
      <c r="P2387" s="168" t="s">
        <v>3112</v>
      </c>
      <c r="Q2387" s="173"/>
      <c r="R2387" s="167">
        <v>1587000.0</v>
      </c>
      <c r="S2387" s="173"/>
      <c r="T2387" s="173"/>
      <c r="U2387" s="173"/>
      <c r="V2387" s="168" t="s">
        <v>3883</v>
      </c>
      <c r="W2387" s="169"/>
      <c r="X2387" s="171"/>
    </row>
    <row r="2388" ht="15.0" customHeight="1">
      <c r="A2388" s="127">
        <v>45891.0</v>
      </c>
      <c r="B2388" s="475" t="s">
        <v>8913</v>
      </c>
      <c r="C2388" s="56" t="s">
        <v>8914</v>
      </c>
      <c r="D2388" s="73" t="str">
        <f>IFERROR(VLOOKUP(C2388,Stock,3,FALSE),"")</f>
        <v>Isuzu D-Max 19- 3rd Gen</v>
      </c>
      <c r="E2388" s="56">
        <v>1.0</v>
      </c>
      <c r="F2388" s="161">
        <v>1799000.0</v>
      </c>
      <c r="G2388" s="162">
        <f t="shared" si="40"/>
        <v>1799000</v>
      </c>
      <c r="H2388" s="194"/>
      <c r="I2388" s="161">
        <f t="shared" si="41"/>
        <v>1799000</v>
      </c>
      <c r="J2388" s="164">
        <f t="shared" si="42"/>
        <v>1799000</v>
      </c>
      <c r="K2388" s="56" t="s">
        <v>8915</v>
      </c>
      <c r="L2388" s="165" t="s">
        <v>8916</v>
      </c>
      <c r="M2388" s="73"/>
      <c r="N2388" s="171"/>
      <c r="O2388" s="169" t="s">
        <v>2958</v>
      </c>
      <c r="P2388" s="168" t="s">
        <v>3112</v>
      </c>
      <c r="Q2388" s="173"/>
      <c r="R2388" s="167">
        <v>1799000.0</v>
      </c>
      <c r="S2388" s="173"/>
      <c r="T2388" s="173"/>
      <c r="U2388" s="173"/>
      <c r="V2388" s="168" t="s">
        <v>3883</v>
      </c>
      <c r="W2388" s="169"/>
      <c r="X2388" s="171"/>
    </row>
    <row r="2389" ht="15.0" customHeight="1">
      <c r="A2389" s="127">
        <v>45891.0</v>
      </c>
      <c r="B2389" s="475" t="s">
        <v>8917</v>
      </c>
      <c r="C2389" s="56" t="s">
        <v>2777</v>
      </c>
      <c r="D2389" s="73" t="str">
        <f>IFERROR(VLOOKUP(C2389,Stock,3,FALSE),"")</f>
        <v>Isuzu Giga Long (PS240,285) FVR34 (Lebar 215cm)</v>
      </c>
      <c r="E2389" s="56">
        <v>1.0</v>
      </c>
      <c r="F2389" s="161">
        <v>2248000.0</v>
      </c>
      <c r="G2389" s="162">
        <f t="shared" si="40"/>
        <v>2248000</v>
      </c>
      <c r="H2389" s="194"/>
      <c r="I2389" s="161">
        <f t="shared" si="41"/>
        <v>2248000</v>
      </c>
      <c r="J2389" s="164">
        <f t="shared" si="42"/>
        <v>2248000</v>
      </c>
      <c r="K2389" s="56" t="s">
        <v>7919</v>
      </c>
      <c r="L2389" s="165" t="s">
        <v>8918</v>
      </c>
      <c r="M2389" s="73"/>
      <c r="N2389" s="171"/>
      <c r="O2389" s="169" t="s">
        <v>2958</v>
      </c>
      <c r="P2389" s="168" t="s">
        <v>3112</v>
      </c>
      <c r="Q2389" s="173"/>
      <c r="R2389" s="167">
        <v>2248000.0</v>
      </c>
      <c r="S2389" s="173"/>
      <c r="T2389" s="173"/>
      <c r="U2389" s="173"/>
      <c r="V2389" s="168" t="s">
        <v>3883</v>
      </c>
      <c r="W2389" s="169"/>
      <c r="X2389" s="171"/>
    </row>
    <row r="2390" ht="15.0" customHeight="1">
      <c r="A2390" s="127">
        <v>45893.0</v>
      </c>
      <c r="B2390" s="475" t="s">
        <v>8919</v>
      </c>
      <c r="C2390" s="56" t="s">
        <v>2544</v>
      </c>
      <c r="D2390" s="73" t="str">
        <f>IFERROR(VLOOKUP(C2390,Stock,3,FALSE),"")</f>
        <v>Nissan Juke 11-</v>
      </c>
      <c r="E2390" s="56">
        <v>1.0</v>
      </c>
      <c r="F2390" s="161">
        <v>1932000.0</v>
      </c>
      <c r="G2390" s="162">
        <f t="shared" si="40"/>
        <v>1932000</v>
      </c>
      <c r="H2390" s="194"/>
      <c r="I2390" s="161">
        <f t="shared" si="41"/>
        <v>1932000</v>
      </c>
      <c r="J2390" s="164">
        <f t="shared" si="42"/>
        <v>1932000</v>
      </c>
      <c r="K2390" s="56" t="s">
        <v>8920</v>
      </c>
      <c r="L2390" s="165" t="s">
        <v>8921</v>
      </c>
      <c r="M2390" s="73"/>
      <c r="N2390" s="169" t="s">
        <v>8922</v>
      </c>
      <c r="O2390" s="169" t="s">
        <v>3213</v>
      </c>
      <c r="P2390" s="168" t="s">
        <v>3112</v>
      </c>
      <c r="Q2390" s="167">
        <v>1900000.0</v>
      </c>
      <c r="R2390" s="167">
        <v>32000.0</v>
      </c>
      <c r="S2390" s="173"/>
      <c r="T2390" s="173"/>
      <c r="U2390" s="173"/>
      <c r="V2390" s="168" t="s">
        <v>3883</v>
      </c>
      <c r="W2390" s="169"/>
      <c r="X2390" s="171"/>
    </row>
    <row r="2391" ht="15.0" customHeight="1">
      <c r="A2391" s="127">
        <v>45894.0</v>
      </c>
      <c r="B2391" s="475" t="s">
        <v>8923</v>
      </c>
      <c r="C2391" s="56" t="s">
        <v>3493</v>
      </c>
      <c r="D2391" s="73" t="str">
        <f>IFERROR(VLOOKUP(C2391,Stock,3,FALSE),"")</f>
        <v>Nissan Livina 07-18 L10/L11</v>
      </c>
      <c r="E2391" s="56">
        <v>1.0</v>
      </c>
      <c r="F2391" s="161">
        <v>1442000.0</v>
      </c>
      <c r="G2391" s="162">
        <f t="shared" si="40"/>
        <v>1442000</v>
      </c>
      <c r="H2391" s="194"/>
      <c r="I2391" s="161">
        <f t="shared" si="41"/>
        <v>1442000</v>
      </c>
      <c r="J2391" s="164">
        <f t="shared" si="42"/>
        <v>1442000</v>
      </c>
      <c r="K2391" s="56" t="s">
        <v>8924</v>
      </c>
      <c r="L2391" s="165" t="s">
        <v>8925</v>
      </c>
      <c r="M2391" s="73"/>
      <c r="N2391" s="171"/>
      <c r="O2391" s="169" t="s">
        <v>3213</v>
      </c>
      <c r="P2391" s="168" t="s">
        <v>3112</v>
      </c>
      <c r="Q2391" s="167">
        <v>1412000.0</v>
      </c>
      <c r="R2391" s="167">
        <v>30000.0</v>
      </c>
      <c r="S2391" s="173"/>
      <c r="T2391" s="173"/>
      <c r="U2391" s="173"/>
      <c r="V2391" s="168" t="s">
        <v>3883</v>
      </c>
      <c r="W2391" s="169"/>
      <c r="X2391" s="171"/>
    </row>
    <row r="2392" ht="15.0" customHeight="1">
      <c r="A2392" s="127">
        <v>45894.0</v>
      </c>
      <c r="B2392" s="475" t="s">
        <v>8923</v>
      </c>
      <c r="C2392" s="56" t="s">
        <v>2954</v>
      </c>
      <c r="D2392" s="73" t="str">
        <f>IFERROR(VLOOKUP(C2392,Stock,3,FALSE),"")</f>
        <v>Transport</v>
      </c>
      <c r="E2392" s="56">
        <v>1.0</v>
      </c>
      <c r="F2392" s="161">
        <v>300000.0</v>
      </c>
      <c r="G2392" s="162">
        <f t="shared" si="40"/>
        <v>300000</v>
      </c>
      <c r="H2392" s="194"/>
      <c r="I2392" s="161">
        <f t="shared" si="41"/>
        <v>300000</v>
      </c>
      <c r="J2392" s="164">
        <f t="shared" si="42"/>
        <v>300000</v>
      </c>
      <c r="K2392" s="56" t="s">
        <v>8924</v>
      </c>
      <c r="L2392" s="165" t="s">
        <v>8925</v>
      </c>
      <c r="M2392" s="73"/>
      <c r="N2392" s="171"/>
      <c r="O2392" s="169" t="s">
        <v>3213</v>
      </c>
      <c r="P2392" s="168" t="s">
        <v>3112</v>
      </c>
      <c r="Q2392" s="167">
        <v>300000.0</v>
      </c>
      <c r="R2392" s="173"/>
      <c r="S2392" s="173"/>
      <c r="T2392" s="173"/>
      <c r="U2392" s="173"/>
      <c r="V2392" s="168" t="s">
        <v>3883</v>
      </c>
      <c r="W2392" s="169"/>
      <c r="X2392" s="171"/>
    </row>
    <row r="2393" ht="15.0" customHeight="1">
      <c r="A2393" s="127">
        <v>45894.0</v>
      </c>
      <c r="B2393" s="475" t="s">
        <v>8923</v>
      </c>
      <c r="C2393" s="56" t="s">
        <v>3083</v>
      </c>
      <c r="D2393" s="73" t="str">
        <f>IFERROR(VLOOKUP(C2393,Stock,3,FALSE),"")</f>
        <v>List Kaca Depan Code 04</v>
      </c>
      <c r="E2393" s="56">
        <v>1.0</v>
      </c>
      <c r="F2393" s="161">
        <v>275000.0</v>
      </c>
      <c r="G2393" s="162">
        <f t="shared" si="40"/>
        <v>275000</v>
      </c>
      <c r="H2393" s="194"/>
      <c r="I2393" s="161">
        <f t="shared" si="41"/>
        <v>275000</v>
      </c>
      <c r="J2393" s="164">
        <f t="shared" si="42"/>
        <v>275000</v>
      </c>
      <c r="K2393" s="56" t="s">
        <v>8924</v>
      </c>
      <c r="L2393" s="165" t="s">
        <v>8925</v>
      </c>
      <c r="M2393" s="73"/>
      <c r="N2393" s="171"/>
      <c r="O2393" s="169" t="s">
        <v>3213</v>
      </c>
      <c r="P2393" s="168" t="s">
        <v>3112</v>
      </c>
      <c r="Q2393" s="167">
        <v>275000.0</v>
      </c>
      <c r="R2393" s="173"/>
      <c r="S2393" s="173"/>
      <c r="T2393" s="173"/>
      <c r="U2393" s="173"/>
      <c r="V2393" s="168" t="s">
        <v>3883</v>
      </c>
      <c r="W2393" s="169"/>
      <c r="X2393" s="171"/>
    </row>
    <row r="2394" ht="15.0" customHeight="1">
      <c r="A2394" s="127">
        <v>45894.0</v>
      </c>
      <c r="B2394" s="475" t="s">
        <v>8926</v>
      </c>
      <c r="C2394" s="56" t="s">
        <v>3099</v>
      </c>
      <c r="D2394" s="73" t="str">
        <f>IFERROR(VLOOKUP(C2394,Stock,3,FALSE),"")</f>
        <v>Toyota Calya / Sigra 16-</v>
      </c>
      <c r="E2394" s="56">
        <v>1.0</v>
      </c>
      <c r="F2394" s="161">
        <v>1170000.0</v>
      </c>
      <c r="G2394" s="162">
        <f t="shared" si="40"/>
        <v>1170000</v>
      </c>
      <c r="H2394" s="194"/>
      <c r="I2394" s="161">
        <f t="shared" si="41"/>
        <v>1170000</v>
      </c>
      <c r="J2394" s="164">
        <f t="shared" si="42"/>
        <v>1170000</v>
      </c>
      <c r="K2394" s="56" t="s">
        <v>8927</v>
      </c>
      <c r="L2394" s="165" t="s">
        <v>8928</v>
      </c>
      <c r="M2394" s="73"/>
      <c r="N2394" s="171"/>
      <c r="O2394" s="169" t="s">
        <v>3213</v>
      </c>
      <c r="P2394" s="168" t="s">
        <v>3112</v>
      </c>
      <c r="Q2394" s="167">
        <v>1170000.0</v>
      </c>
      <c r="R2394" s="173"/>
      <c r="S2394" s="173"/>
      <c r="T2394" s="173"/>
      <c r="U2394" s="173"/>
      <c r="V2394" s="168" t="s">
        <v>3883</v>
      </c>
      <c r="W2394" s="169"/>
      <c r="X2394" s="171"/>
    </row>
    <row r="2395" ht="15.0" customHeight="1">
      <c r="A2395" s="127">
        <v>45894.0</v>
      </c>
      <c r="B2395" s="475" t="s">
        <v>8929</v>
      </c>
      <c r="C2395" s="56" t="s">
        <v>3366</v>
      </c>
      <c r="D2395" s="73" t="str">
        <f>IFERROR(VLOOKUP(C2395,Stock,3,FALSE),"")</f>
        <v>Toyota Hi-Ace 04-20 Commuter (Clear)</v>
      </c>
      <c r="E2395" s="56">
        <v>1.0</v>
      </c>
      <c r="F2395" s="161">
        <v>2330000.0</v>
      </c>
      <c r="G2395" s="162">
        <f t="shared" si="40"/>
        <v>2330000</v>
      </c>
      <c r="H2395" s="194"/>
      <c r="I2395" s="161">
        <f t="shared" si="41"/>
        <v>2330000</v>
      </c>
      <c r="J2395" s="164">
        <f t="shared" si="42"/>
        <v>2330000</v>
      </c>
      <c r="K2395" s="56" t="s">
        <v>8930</v>
      </c>
      <c r="L2395" s="165" t="s">
        <v>8931</v>
      </c>
      <c r="M2395" s="73"/>
      <c r="N2395" s="171"/>
      <c r="O2395" s="169" t="s">
        <v>2958</v>
      </c>
      <c r="P2395" s="168" t="s">
        <v>3112</v>
      </c>
      <c r="Q2395" s="173"/>
      <c r="R2395" s="167">
        <v>2330000.0</v>
      </c>
      <c r="S2395" s="173"/>
      <c r="T2395" s="173"/>
      <c r="U2395" s="173"/>
      <c r="V2395" s="168" t="s">
        <v>3883</v>
      </c>
      <c r="W2395" s="169"/>
      <c r="X2395" s="171"/>
    </row>
    <row r="2396" ht="15.0" customHeight="1">
      <c r="A2396" s="127">
        <v>45894.0</v>
      </c>
      <c r="B2396" s="181" t="s">
        <v>8932</v>
      </c>
      <c r="C2396" s="56" t="s">
        <v>6829</v>
      </c>
      <c r="D2396" s="73" t="str">
        <f>IFERROR(VLOOKUP(C2396,Stock,3,FALSE),"")</f>
        <v>Toyota Avanza / Xenia 21- 4th Gen ( Sensor)</v>
      </c>
      <c r="E2396" s="56">
        <v>2.0</v>
      </c>
      <c r="F2396" s="162"/>
      <c r="G2396" s="162">
        <f t="shared" si="40"/>
        <v>0</v>
      </c>
      <c r="H2396" s="194"/>
      <c r="I2396" s="161">
        <f t="shared" si="41"/>
        <v>0</v>
      </c>
      <c r="J2396" s="164">
        <f t="shared" si="42"/>
        <v>0</v>
      </c>
      <c r="K2396" s="56" t="s">
        <v>8750</v>
      </c>
      <c r="L2396" s="73"/>
      <c r="M2396" s="73"/>
      <c r="N2396" s="171"/>
      <c r="O2396" s="171"/>
      <c r="P2396" s="168"/>
      <c r="Q2396" s="173"/>
      <c r="R2396" s="173"/>
      <c r="S2396" s="173"/>
      <c r="T2396" s="173"/>
      <c r="U2396" s="173"/>
      <c r="V2396" s="168" t="s">
        <v>3883</v>
      </c>
      <c r="W2396" s="169"/>
      <c r="X2396" s="171"/>
    </row>
    <row r="2397" ht="15.0" customHeight="1">
      <c r="A2397" s="127">
        <v>45894.0</v>
      </c>
      <c r="B2397" s="181" t="s">
        <v>8932</v>
      </c>
      <c r="C2397" s="56" t="s">
        <v>2847</v>
      </c>
      <c r="D2397" s="73" t="str">
        <f>IFERROR(VLOOKUP(C2397,Stock,3,FALSE),"")</f>
        <v>Honda BR-V 22-</v>
      </c>
      <c r="E2397" s="56">
        <v>5.0</v>
      </c>
      <c r="F2397" s="162"/>
      <c r="G2397" s="162">
        <f t="shared" si="40"/>
        <v>0</v>
      </c>
      <c r="H2397" s="194"/>
      <c r="I2397" s="161">
        <f t="shared" si="41"/>
        <v>0</v>
      </c>
      <c r="J2397" s="164">
        <f t="shared" si="42"/>
        <v>0</v>
      </c>
      <c r="K2397" s="56" t="s">
        <v>8750</v>
      </c>
      <c r="L2397" s="73"/>
      <c r="M2397" s="73"/>
      <c r="N2397" s="171"/>
      <c r="O2397" s="171"/>
      <c r="P2397" s="168"/>
      <c r="Q2397" s="173"/>
      <c r="R2397" s="173"/>
      <c r="S2397" s="173"/>
      <c r="T2397" s="173"/>
      <c r="U2397" s="173"/>
      <c r="V2397" s="168" t="s">
        <v>3883</v>
      </c>
      <c r="W2397" s="169"/>
      <c r="X2397" s="171"/>
    </row>
    <row r="2398" ht="15.0" customHeight="1">
      <c r="A2398" s="127">
        <v>45894.0</v>
      </c>
      <c r="B2398" s="181" t="s">
        <v>8932</v>
      </c>
      <c r="C2398" s="56" t="s">
        <v>2661</v>
      </c>
      <c r="D2398" s="73" t="str">
        <f>IFERROR(VLOOKUP(C2398,Stock,3,FALSE),"")</f>
        <v>Isuzu Panther 00- 2nd Gen (Isuzu)</v>
      </c>
      <c r="E2398" s="56">
        <v>3.0</v>
      </c>
      <c r="F2398" s="162"/>
      <c r="G2398" s="162">
        <f t="shared" si="40"/>
        <v>0</v>
      </c>
      <c r="H2398" s="194"/>
      <c r="I2398" s="161">
        <f t="shared" si="41"/>
        <v>0</v>
      </c>
      <c r="J2398" s="164">
        <f t="shared" si="42"/>
        <v>0</v>
      </c>
      <c r="K2398" s="56" t="s">
        <v>8750</v>
      </c>
      <c r="L2398" s="73"/>
      <c r="M2398" s="73"/>
      <c r="N2398" s="171"/>
      <c r="O2398" s="171"/>
      <c r="P2398" s="168"/>
      <c r="Q2398" s="173"/>
      <c r="R2398" s="173"/>
      <c r="S2398" s="173"/>
      <c r="T2398" s="173"/>
      <c r="U2398" s="173"/>
      <c r="V2398" s="168" t="s">
        <v>3883</v>
      </c>
      <c r="W2398" s="169"/>
      <c r="X2398" s="171"/>
    </row>
    <row r="2399" ht="15.0" customHeight="1">
      <c r="A2399" s="127">
        <v>45894.0</v>
      </c>
      <c r="B2399" s="181" t="s">
        <v>8932</v>
      </c>
      <c r="C2399" s="56" t="s">
        <v>2686</v>
      </c>
      <c r="D2399" s="73" t="str">
        <f>IFERROR(VLOOKUP(C2399,Stock,3,FALSE),"")</f>
        <v>Wuling Cortez</v>
      </c>
      <c r="E2399" s="56">
        <v>2.0</v>
      </c>
      <c r="F2399" s="162"/>
      <c r="G2399" s="162">
        <f t="shared" si="40"/>
        <v>0</v>
      </c>
      <c r="H2399" s="194"/>
      <c r="I2399" s="161">
        <f t="shared" si="41"/>
        <v>0</v>
      </c>
      <c r="J2399" s="164">
        <f t="shared" si="42"/>
        <v>0</v>
      </c>
      <c r="K2399" s="56" t="s">
        <v>8750</v>
      </c>
      <c r="L2399" s="73"/>
      <c r="M2399" s="73"/>
      <c r="N2399" s="171"/>
      <c r="O2399" s="171"/>
      <c r="P2399" s="168"/>
      <c r="Q2399" s="173"/>
      <c r="R2399" s="173"/>
      <c r="S2399" s="173"/>
      <c r="T2399" s="173"/>
      <c r="U2399" s="173"/>
      <c r="V2399" s="168" t="s">
        <v>3883</v>
      </c>
      <c r="W2399" s="169"/>
      <c r="X2399" s="171"/>
    </row>
    <row r="2400" ht="15.0" customHeight="1">
      <c r="A2400" s="127">
        <v>45894.0</v>
      </c>
      <c r="B2400" s="181" t="s">
        <v>8932</v>
      </c>
      <c r="C2400" s="56" t="s">
        <v>4365</v>
      </c>
      <c r="D2400" s="73" t="str">
        <f>IFERROR(VLOOKUP(C2400,Stock,3,FALSE),"")</f>
        <v>Wuling Almaz (Orisinil)</v>
      </c>
      <c r="E2400" s="56">
        <v>2.0</v>
      </c>
      <c r="F2400" s="162"/>
      <c r="G2400" s="162">
        <f t="shared" si="40"/>
        <v>0</v>
      </c>
      <c r="H2400" s="194"/>
      <c r="I2400" s="161">
        <f t="shared" si="41"/>
        <v>0</v>
      </c>
      <c r="J2400" s="164">
        <f t="shared" si="42"/>
        <v>0</v>
      </c>
      <c r="K2400" s="56" t="s">
        <v>8750</v>
      </c>
      <c r="L2400" s="73"/>
      <c r="M2400" s="73"/>
      <c r="N2400" s="171"/>
      <c r="O2400" s="171"/>
      <c r="P2400" s="168"/>
      <c r="Q2400" s="173"/>
      <c r="R2400" s="173"/>
      <c r="S2400" s="173"/>
      <c r="T2400" s="173"/>
      <c r="U2400" s="173"/>
      <c r="V2400" s="168" t="s">
        <v>3883</v>
      </c>
      <c r="W2400" s="169"/>
      <c r="X2400" s="171"/>
    </row>
    <row r="2401" ht="15.0" customHeight="1">
      <c r="A2401" s="127">
        <v>45894.0</v>
      </c>
      <c r="B2401" s="181" t="s">
        <v>8933</v>
      </c>
      <c r="C2401" s="56" t="s">
        <v>2825</v>
      </c>
      <c r="D2401" s="73" t="str">
        <f>IFERROR(VLOOKUP(C2401,Stock,3,FALSE),"")</f>
        <v>Toyota Avanza / Xenia 21- 4th Gen</v>
      </c>
      <c r="E2401" s="56">
        <v>1.0</v>
      </c>
      <c r="F2401" s="162"/>
      <c r="G2401" s="162">
        <f t="shared" si="40"/>
        <v>0</v>
      </c>
      <c r="H2401" s="194"/>
      <c r="I2401" s="161">
        <f t="shared" si="41"/>
        <v>0</v>
      </c>
      <c r="J2401" s="164">
        <f t="shared" si="42"/>
        <v>0</v>
      </c>
      <c r="K2401" s="56" t="s">
        <v>8750</v>
      </c>
      <c r="L2401" s="73"/>
      <c r="M2401" s="73"/>
      <c r="N2401" s="171"/>
      <c r="O2401" s="171"/>
      <c r="P2401" s="168"/>
      <c r="Q2401" s="173"/>
      <c r="R2401" s="173"/>
      <c r="S2401" s="173"/>
      <c r="T2401" s="173"/>
      <c r="U2401" s="173"/>
      <c r="V2401" s="168" t="s">
        <v>3883</v>
      </c>
      <c r="W2401" s="169"/>
      <c r="X2401" s="171"/>
    </row>
    <row r="2402" ht="15.0" customHeight="1">
      <c r="A2402" s="127">
        <v>45894.0</v>
      </c>
      <c r="B2402" s="181" t="s">
        <v>8933</v>
      </c>
      <c r="C2402" s="56" t="s">
        <v>2836</v>
      </c>
      <c r="D2402" s="73" t="str">
        <f>IFERROR(VLOOKUP(C2402,Stock,3,FALSE),"")</f>
        <v>Toyota Avanza / Xenia 21- 4th Gen</v>
      </c>
      <c r="E2402" s="56">
        <v>3.0</v>
      </c>
      <c r="F2402" s="162"/>
      <c r="G2402" s="162">
        <f t="shared" si="40"/>
        <v>0</v>
      </c>
      <c r="H2402" s="194"/>
      <c r="I2402" s="161">
        <f t="shared" si="41"/>
        <v>0</v>
      </c>
      <c r="J2402" s="164">
        <f t="shared" si="42"/>
        <v>0</v>
      </c>
      <c r="K2402" s="56" t="s">
        <v>8750</v>
      </c>
      <c r="L2402" s="73"/>
      <c r="M2402" s="73"/>
      <c r="N2402" s="171"/>
      <c r="O2402" s="171"/>
      <c r="P2402" s="168"/>
      <c r="Q2402" s="173"/>
      <c r="R2402" s="173"/>
      <c r="S2402" s="173"/>
      <c r="T2402" s="173"/>
      <c r="U2402" s="173"/>
      <c r="V2402" s="168" t="s">
        <v>3883</v>
      </c>
      <c r="W2402" s="169"/>
      <c r="X2402" s="171"/>
    </row>
    <row r="2403" ht="15.0" customHeight="1">
      <c r="A2403" s="127">
        <v>45894.0</v>
      </c>
      <c r="B2403" s="181" t="s">
        <v>8933</v>
      </c>
      <c r="C2403" s="56" t="s">
        <v>2826</v>
      </c>
      <c r="D2403" s="73" t="str">
        <f>IFERROR(VLOOKUP(C2403,Stock,3,FALSE),"")</f>
        <v>Toyota Kijang 02-04 Kapsul Lem Efi </v>
      </c>
      <c r="E2403" s="56">
        <v>3.0</v>
      </c>
      <c r="F2403" s="162"/>
      <c r="G2403" s="162">
        <f t="shared" si="40"/>
        <v>0</v>
      </c>
      <c r="H2403" s="194"/>
      <c r="I2403" s="161">
        <f t="shared" si="41"/>
        <v>0</v>
      </c>
      <c r="J2403" s="164">
        <f t="shared" si="42"/>
        <v>0</v>
      </c>
      <c r="K2403" s="56" t="s">
        <v>8750</v>
      </c>
      <c r="L2403" s="73"/>
      <c r="M2403" s="73"/>
      <c r="N2403" s="171"/>
      <c r="O2403" s="171"/>
      <c r="P2403" s="168"/>
      <c r="Q2403" s="173"/>
      <c r="R2403" s="173"/>
      <c r="S2403" s="173"/>
      <c r="T2403" s="173"/>
      <c r="U2403" s="173"/>
      <c r="V2403" s="168" t="s">
        <v>3883</v>
      </c>
      <c r="W2403" s="169"/>
      <c r="X2403" s="171"/>
    </row>
    <row r="2404" ht="15.0" customHeight="1">
      <c r="A2404" s="127">
        <v>45894.0</v>
      </c>
      <c r="B2404" s="181" t="s">
        <v>8933</v>
      </c>
      <c r="C2404" s="56" t="s">
        <v>5458</v>
      </c>
      <c r="D2404" s="73" t="str">
        <f>IFERROR(VLOOKUP(C2404,Stock,3,FALSE),"")</f>
        <v>Isuzu Panther 00- 2nd Gen (Sealant)</v>
      </c>
      <c r="E2404" s="56">
        <v>4.0</v>
      </c>
      <c r="F2404" s="162"/>
      <c r="G2404" s="162">
        <f t="shared" si="40"/>
        <v>0</v>
      </c>
      <c r="H2404" s="194"/>
      <c r="I2404" s="161">
        <f t="shared" si="41"/>
        <v>0</v>
      </c>
      <c r="J2404" s="164">
        <f t="shared" si="42"/>
        <v>0</v>
      </c>
      <c r="K2404" s="56" t="s">
        <v>8750</v>
      </c>
      <c r="L2404" s="73"/>
      <c r="M2404" s="73"/>
      <c r="N2404" s="171"/>
      <c r="O2404" s="171"/>
      <c r="P2404" s="168"/>
      <c r="Q2404" s="173"/>
      <c r="R2404" s="173"/>
      <c r="S2404" s="173"/>
      <c r="T2404" s="173"/>
      <c r="U2404" s="173"/>
      <c r="V2404" s="168" t="s">
        <v>3883</v>
      </c>
      <c r="W2404" s="169"/>
      <c r="X2404" s="171"/>
    </row>
    <row r="2405" ht="15.0" customHeight="1">
      <c r="A2405" s="127">
        <v>45894.0</v>
      </c>
      <c r="B2405" s="181" t="s">
        <v>8934</v>
      </c>
      <c r="C2405" s="56" t="s">
        <v>2863</v>
      </c>
      <c r="D2405" s="73" t="str">
        <f>IFERROR(VLOOKUP(C2405,Stock,3,FALSE),"")</f>
        <v>Mitsubishi Canter FE300 85- (PS100,120,135 kabin kecil)</v>
      </c>
      <c r="E2405" s="56">
        <v>2.0</v>
      </c>
      <c r="F2405" s="162"/>
      <c r="G2405" s="162">
        <f t="shared" si="40"/>
        <v>0</v>
      </c>
      <c r="H2405" s="194"/>
      <c r="I2405" s="161">
        <f t="shared" si="41"/>
        <v>0</v>
      </c>
      <c r="J2405" s="164">
        <f t="shared" si="42"/>
        <v>0</v>
      </c>
      <c r="K2405" s="56" t="s">
        <v>8750</v>
      </c>
      <c r="L2405" s="73"/>
      <c r="M2405" s="73"/>
      <c r="N2405" s="171"/>
      <c r="O2405" s="171"/>
      <c r="P2405" s="168"/>
      <c r="Q2405" s="173"/>
      <c r="R2405" s="173"/>
      <c r="S2405" s="173"/>
      <c r="T2405" s="173"/>
      <c r="U2405" s="173"/>
      <c r="V2405" s="168" t="s">
        <v>3883</v>
      </c>
      <c r="W2405" s="169"/>
      <c r="X2405" s="171"/>
    </row>
    <row r="2406" ht="15.0" customHeight="1">
      <c r="A2406" s="127">
        <v>45894.0</v>
      </c>
      <c r="B2406" s="181" t="s">
        <v>8934</v>
      </c>
      <c r="C2406" s="56" t="s">
        <v>6892</v>
      </c>
      <c r="D2406" s="73" t="str">
        <f>IFERROR(VLOOKUP(C2406,Stock,3,FALSE),"")</f>
        <v>Isuzu Elf  93- NKR NHR </v>
      </c>
      <c r="E2406" s="56">
        <v>2.0</v>
      </c>
      <c r="F2406" s="162"/>
      <c r="G2406" s="162">
        <f t="shared" si="40"/>
        <v>0</v>
      </c>
      <c r="H2406" s="194"/>
      <c r="I2406" s="161">
        <f t="shared" si="41"/>
        <v>0</v>
      </c>
      <c r="J2406" s="164">
        <f t="shared" si="42"/>
        <v>0</v>
      </c>
      <c r="K2406" s="56" t="s">
        <v>8750</v>
      </c>
      <c r="L2406" s="73"/>
      <c r="M2406" s="73"/>
      <c r="N2406" s="171"/>
      <c r="O2406" s="171"/>
      <c r="P2406" s="168"/>
      <c r="Q2406" s="173"/>
      <c r="R2406" s="173"/>
      <c r="S2406" s="173"/>
      <c r="T2406" s="173"/>
      <c r="U2406" s="173"/>
      <c r="V2406" s="168" t="s">
        <v>3883</v>
      </c>
      <c r="W2406" s="169"/>
      <c r="X2406" s="171"/>
    </row>
    <row r="2407" ht="15.0" customHeight="1">
      <c r="A2407" s="127">
        <v>45894.0</v>
      </c>
      <c r="B2407" s="181" t="s">
        <v>8934</v>
      </c>
      <c r="C2407" s="56" t="s">
        <v>6894</v>
      </c>
      <c r="D2407" s="73" t="str">
        <f>IFERROR(VLOOKUP(C2407,Stock,3,FALSE),"")</f>
        <v>Mitsubishi Canter FE700 01- (PS110,125)</v>
      </c>
      <c r="E2407" s="56">
        <v>2.0</v>
      </c>
      <c r="F2407" s="162"/>
      <c r="G2407" s="162">
        <f t="shared" si="40"/>
        <v>0</v>
      </c>
      <c r="H2407" s="194"/>
      <c r="I2407" s="161">
        <f t="shared" si="41"/>
        <v>0</v>
      </c>
      <c r="J2407" s="164">
        <f t="shared" si="42"/>
        <v>0</v>
      </c>
      <c r="K2407" s="56" t="s">
        <v>8750</v>
      </c>
      <c r="L2407" s="73"/>
      <c r="M2407" s="73"/>
      <c r="N2407" s="171"/>
      <c r="O2407" s="171"/>
      <c r="P2407" s="168"/>
      <c r="Q2407" s="173"/>
      <c r="R2407" s="173"/>
      <c r="S2407" s="173"/>
      <c r="T2407" s="173"/>
      <c r="U2407" s="173"/>
      <c r="V2407" s="168" t="s">
        <v>3883</v>
      </c>
      <c r="W2407" s="169"/>
      <c r="X2407" s="171"/>
    </row>
    <row r="2408" ht="15.0" customHeight="1">
      <c r="A2408" s="127">
        <v>45894.0</v>
      </c>
      <c r="B2408" s="181" t="s">
        <v>8934</v>
      </c>
      <c r="C2408" s="56" t="s">
        <v>8935</v>
      </c>
      <c r="D2408" s="73" t="str">
        <f>IFERROR(VLOOKUP(C2408,Stock,3,FALSE),"")</f>
        <v>Mitsubishi Canter FE300 85- (PS100,120,135 kabin kecil)</v>
      </c>
      <c r="E2408" s="56">
        <v>4.0</v>
      </c>
      <c r="F2408" s="162"/>
      <c r="G2408" s="162">
        <f t="shared" si="40"/>
        <v>0</v>
      </c>
      <c r="H2408" s="194"/>
      <c r="I2408" s="161">
        <f t="shared" si="41"/>
        <v>0</v>
      </c>
      <c r="J2408" s="164">
        <f t="shared" si="42"/>
        <v>0</v>
      </c>
      <c r="K2408" s="56" t="s">
        <v>8750</v>
      </c>
      <c r="L2408" s="73"/>
      <c r="M2408" s="73"/>
      <c r="N2408" s="171"/>
      <c r="O2408" s="171"/>
      <c r="P2408" s="168"/>
      <c r="Q2408" s="173"/>
      <c r="R2408" s="173"/>
      <c r="S2408" s="173"/>
      <c r="T2408" s="173"/>
      <c r="U2408" s="173"/>
      <c r="V2408" s="168" t="s">
        <v>3883</v>
      </c>
      <c r="W2408" s="169"/>
      <c r="X2408" s="171"/>
    </row>
    <row r="2409" ht="15.0" customHeight="1">
      <c r="A2409" s="127">
        <v>45894.0</v>
      </c>
      <c r="B2409" s="181" t="s">
        <v>8934</v>
      </c>
      <c r="C2409" s="56" t="s">
        <v>2821</v>
      </c>
      <c r="D2409" s="73" t="str">
        <f>IFERROR(VLOOKUP(C2409,Stock,3,FALSE),"")</f>
        <v>Isuzu Elf 17- New NMR NLR / Isuzu Giga </v>
      </c>
      <c r="E2409" s="56">
        <v>1.0</v>
      </c>
      <c r="F2409" s="162"/>
      <c r="G2409" s="162">
        <f t="shared" si="40"/>
        <v>0</v>
      </c>
      <c r="H2409" s="194"/>
      <c r="I2409" s="161">
        <f t="shared" si="41"/>
        <v>0</v>
      </c>
      <c r="J2409" s="164">
        <f t="shared" si="42"/>
        <v>0</v>
      </c>
      <c r="K2409" s="56" t="s">
        <v>8750</v>
      </c>
      <c r="L2409" s="73"/>
      <c r="M2409" s="73"/>
      <c r="N2409" s="171"/>
      <c r="O2409" s="171"/>
      <c r="P2409" s="168"/>
      <c r="Q2409" s="173"/>
      <c r="R2409" s="173"/>
      <c r="S2409" s="173"/>
      <c r="T2409" s="173"/>
      <c r="U2409" s="173"/>
      <c r="V2409" s="168" t="s">
        <v>3883</v>
      </c>
      <c r="W2409" s="169"/>
      <c r="X2409" s="171"/>
    </row>
    <row r="2410" ht="15.0" customHeight="1">
      <c r="A2410" s="127">
        <v>45894.0</v>
      </c>
      <c r="B2410" s="181" t="s">
        <v>8934</v>
      </c>
      <c r="C2410" s="56" t="s">
        <v>2856</v>
      </c>
      <c r="D2410" s="73" t="str">
        <f>IFERROR(VLOOKUP(C2410,Stock,3,FALSE),"")</f>
        <v>Isuzu Elf 17- New NMR NLR / Isuzu Giga </v>
      </c>
      <c r="E2410" s="56">
        <v>2.0</v>
      </c>
      <c r="F2410" s="162"/>
      <c r="G2410" s="162">
        <f t="shared" si="40"/>
        <v>0</v>
      </c>
      <c r="H2410" s="194"/>
      <c r="I2410" s="161">
        <f t="shared" si="41"/>
        <v>0</v>
      </c>
      <c r="J2410" s="164">
        <f t="shared" si="42"/>
        <v>0</v>
      </c>
      <c r="K2410" s="56" t="s">
        <v>8750</v>
      </c>
      <c r="L2410" s="73"/>
      <c r="M2410" s="73"/>
      <c r="N2410" s="171"/>
      <c r="O2410" s="171"/>
      <c r="P2410" s="168"/>
      <c r="Q2410" s="173"/>
      <c r="R2410" s="173"/>
      <c r="S2410" s="173"/>
      <c r="T2410" s="173"/>
      <c r="U2410" s="173"/>
      <c r="V2410" s="168" t="s">
        <v>3883</v>
      </c>
      <c r="W2410" s="169"/>
      <c r="X2410" s="171"/>
    </row>
    <row r="2411" ht="15.0" customHeight="1">
      <c r="A2411" s="127">
        <v>45894.0</v>
      </c>
      <c r="B2411" s="181" t="s">
        <v>8934</v>
      </c>
      <c r="C2411" s="56" t="s">
        <v>2855</v>
      </c>
      <c r="D2411" s="73" t="str">
        <f>IFERROR(VLOOKUP(C2411,Stock,3,FALSE),"")</f>
        <v>Toyota Dyna/Hino Dutro 00-</v>
      </c>
      <c r="E2411" s="56">
        <v>2.0</v>
      </c>
      <c r="F2411" s="162"/>
      <c r="G2411" s="162">
        <f t="shared" si="40"/>
        <v>0</v>
      </c>
      <c r="H2411" s="194"/>
      <c r="I2411" s="161">
        <f t="shared" si="41"/>
        <v>0</v>
      </c>
      <c r="J2411" s="164">
        <f t="shared" si="42"/>
        <v>0</v>
      </c>
      <c r="K2411" s="56" t="s">
        <v>8750</v>
      </c>
      <c r="L2411" s="73"/>
      <c r="M2411" s="73"/>
      <c r="N2411" s="171"/>
      <c r="O2411" s="171"/>
      <c r="P2411" s="168"/>
      <c r="Q2411" s="173"/>
      <c r="R2411" s="173"/>
      <c r="S2411" s="173"/>
      <c r="T2411" s="173"/>
      <c r="U2411" s="173"/>
      <c r="V2411" s="168" t="s">
        <v>3883</v>
      </c>
      <c r="W2411" s="169"/>
      <c r="X2411" s="171"/>
    </row>
    <row r="2412" ht="15.0" customHeight="1">
      <c r="A2412" s="127">
        <v>45894.0</v>
      </c>
      <c r="B2412" s="181" t="s">
        <v>8936</v>
      </c>
      <c r="C2412" s="56" t="s">
        <v>2865</v>
      </c>
      <c r="D2412" s="73" t="str">
        <f>IFERROR(VLOOKUP(C2412,Stock,3,FALSE),"")</f>
        <v>Suzuki Ertiga 12-18 1st Gen MPV</v>
      </c>
      <c r="E2412" s="56">
        <v>3.0</v>
      </c>
      <c r="F2412" s="162"/>
      <c r="G2412" s="162">
        <f t="shared" si="40"/>
        <v>0</v>
      </c>
      <c r="H2412" s="194"/>
      <c r="I2412" s="161">
        <f t="shared" si="41"/>
        <v>0</v>
      </c>
      <c r="J2412" s="164">
        <f t="shared" si="42"/>
        <v>0</v>
      </c>
      <c r="K2412" s="56" t="s">
        <v>8750</v>
      </c>
      <c r="L2412" s="73"/>
      <c r="M2412" s="73"/>
      <c r="N2412" s="171"/>
      <c r="O2412" s="171"/>
      <c r="P2412" s="168"/>
      <c r="Q2412" s="173"/>
      <c r="R2412" s="173"/>
      <c r="S2412" s="173"/>
      <c r="T2412" s="173"/>
      <c r="U2412" s="173"/>
      <c r="V2412" s="168" t="s">
        <v>3883</v>
      </c>
      <c r="W2412" s="169"/>
      <c r="X2412" s="171"/>
    </row>
    <row r="2413" ht="15.0" customHeight="1">
      <c r="A2413" s="127">
        <v>45894.0</v>
      </c>
      <c r="B2413" s="181" t="s">
        <v>8936</v>
      </c>
      <c r="C2413" s="56" t="s">
        <v>3541</v>
      </c>
      <c r="D2413" s="73" t="str">
        <f>IFERROR(VLOOKUP(C2413,Stock,3,FALSE),"")</f>
        <v>Daihatsu Gran Max</v>
      </c>
      <c r="E2413" s="56">
        <v>3.0</v>
      </c>
      <c r="F2413" s="162"/>
      <c r="G2413" s="162">
        <f t="shared" si="40"/>
        <v>0</v>
      </c>
      <c r="H2413" s="194"/>
      <c r="I2413" s="161">
        <f t="shared" si="41"/>
        <v>0</v>
      </c>
      <c r="J2413" s="164">
        <f t="shared" si="42"/>
        <v>0</v>
      </c>
      <c r="K2413" s="56" t="s">
        <v>8750</v>
      </c>
      <c r="L2413" s="73"/>
      <c r="M2413" s="73"/>
      <c r="N2413" s="171"/>
      <c r="O2413" s="171"/>
      <c r="P2413" s="168"/>
      <c r="Q2413" s="173"/>
      <c r="R2413" s="173"/>
      <c r="S2413" s="173"/>
      <c r="T2413" s="173"/>
      <c r="U2413" s="173"/>
      <c r="V2413" s="168" t="s">
        <v>3883</v>
      </c>
      <c r="W2413" s="169"/>
      <c r="X2413" s="171"/>
    </row>
    <row r="2414" ht="15.0" customHeight="1">
      <c r="A2414" s="127">
        <v>45894.0</v>
      </c>
      <c r="B2414" s="181" t="s">
        <v>8936</v>
      </c>
      <c r="C2414" s="56" t="s">
        <v>3542</v>
      </c>
      <c r="D2414" s="73" t="str">
        <f>IFERROR(VLOOKUP(C2414,Stock,3,FALSE),"")</f>
        <v>Daihatsu Gran Max</v>
      </c>
      <c r="E2414" s="56">
        <v>3.0</v>
      </c>
      <c r="F2414" s="162"/>
      <c r="G2414" s="162">
        <f t="shared" si="40"/>
        <v>0</v>
      </c>
      <c r="H2414" s="194"/>
      <c r="I2414" s="161">
        <f t="shared" si="41"/>
        <v>0</v>
      </c>
      <c r="J2414" s="164">
        <f t="shared" si="42"/>
        <v>0</v>
      </c>
      <c r="K2414" s="56" t="s">
        <v>8750</v>
      </c>
      <c r="L2414" s="73"/>
      <c r="M2414" s="73"/>
      <c r="N2414" s="171"/>
      <c r="O2414" s="171"/>
      <c r="P2414" s="168"/>
      <c r="Q2414" s="173"/>
      <c r="R2414" s="173"/>
      <c r="S2414" s="173"/>
      <c r="T2414" s="173"/>
      <c r="U2414" s="173"/>
      <c r="V2414" s="168" t="s">
        <v>3883</v>
      </c>
      <c r="W2414" s="169"/>
      <c r="X2414" s="171"/>
    </row>
    <row r="2415" ht="15.0" customHeight="1">
      <c r="A2415" s="127">
        <v>45894.0</v>
      </c>
      <c r="B2415" s="181" t="s">
        <v>8936</v>
      </c>
      <c r="C2415" s="56" t="s">
        <v>7994</v>
      </c>
      <c r="D2415" s="73" t="str">
        <f>IFERROR(VLOOKUP(C2415,Stock,3,FALSE),"")</f>
        <v>Nissan Livina   07-18 L10/L11</v>
      </c>
      <c r="E2415" s="56">
        <v>3.0</v>
      </c>
      <c r="F2415" s="162"/>
      <c r="G2415" s="162">
        <f t="shared" si="40"/>
        <v>0</v>
      </c>
      <c r="H2415" s="194"/>
      <c r="I2415" s="161">
        <f t="shared" si="41"/>
        <v>0</v>
      </c>
      <c r="J2415" s="164">
        <f t="shared" si="42"/>
        <v>0</v>
      </c>
      <c r="K2415" s="56" t="s">
        <v>8750</v>
      </c>
      <c r="L2415" s="73"/>
      <c r="M2415" s="73"/>
      <c r="N2415" s="171"/>
      <c r="O2415" s="171"/>
      <c r="P2415" s="168"/>
      <c r="Q2415" s="173"/>
      <c r="R2415" s="173"/>
      <c r="S2415" s="173"/>
      <c r="T2415" s="173"/>
      <c r="U2415" s="173"/>
      <c r="V2415" s="168" t="s">
        <v>3883</v>
      </c>
      <c r="W2415" s="169"/>
      <c r="X2415" s="171"/>
    </row>
    <row r="2416" ht="15.0" customHeight="1">
      <c r="A2416" s="127">
        <v>45894.0</v>
      </c>
      <c r="B2416" s="181" t="s">
        <v>8936</v>
      </c>
      <c r="C2416" s="56" t="s">
        <v>5598</v>
      </c>
      <c r="D2416" s="73" t="str">
        <f>IFERROR(VLOOKUP(C2416,Stock,3,FALSE),"")</f>
        <v>Toyota Avanza / Xenia 11-15 2nd Gen / 15-21 3rd Gen</v>
      </c>
      <c r="E2416" s="56">
        <v>3.0</v>
      </c>
      <c r="F2416" s="162"/>
      <c r="G2416" s="162">
        <f t="shared" si="40"/>
        <v>0</v>
      </c>
      <c r="H2416" s="194"/>
      <c r="I2416" s="161">
        <f t="shared" si="41"/>
        <v>0</v>
      </c>
      <c r="J2416" s="164">
        <f t="shared" si="42"/>
        <v>0</v>
      </c>
      <c r="K2416" s="56" t="s">
        <v>8750</v>
      </c>
      <c r="L2416" s="73"/>
      <c r="M2416" s="73"/>
      <c r="N2416" s="171"/>
      <c r="O2416" s="171"/>
      <c r="P2416" s="168"/>
      <c r="Q2416" s="173"/>
      <c r="R2416" s="173"/>
      <c r="S2416" s="173"/>
      <c r="T2416" s="173"/>
      <c r="U2416" s="173"/>
      <c r="V2416" s="168" t="s">
        <v>3883</v>
      </c>
      <c r="W2416" s="169"/>
      <c r="X2416" s="171"/>
    </row>
    <row r="2417" ht="15.0" customHeight="1">
      <c r="A2417" s="127">
        <v>45894.0</v>
      </c>
      <c r="B2417" s="181" t="s">
        <v>8936</v>
      </c>
      <c r="C2417" s="56" t="s">
        <v>6895</v>
      </c>
      <c r="D2417" s="73" t="str">
        <f>IFERROR(VLOOKUP(C2417,Stock,3,FALSE),"")</f>
        <v>Toyota Avanza / Xenia 03-11 1st Gen</v>
      </c>
      <c r="E2417" s="56">
        <v>3.0</v>
      </c>
      <c r="F2417" s="162"/>
      <c r="G2417" s="162">
        <f t="shared" si="40"/>
        <v>0</v>
      </c>
      <c r="H2417" s="194"/>
      <c r="I2417" s="161">
        <f t="shared" si="41"/>
        <v>0</v>
      </c>
      <c r="J2417" s="164">
        <f t="shared" si="42"/>
        <v>0</v>
      </c>
      <c r="K2417" s="56" t="s">
        <v>8750</v>
      </c>
      <c r="L2417" s="73"/>
      <c r="M2417" s="73"/>
      <c r="N2417" s="171"/>
      <c r="O2417" s="171"/>
      <c r="P2417" s="168"/>
      <c r="Q2417" s="173"/>
      <c r="R2417" s="173"/>
      <c r="S2417" s="173"/>
      <c r="T2417" s="173"/>
      <c r="U2417" s="173"/>
      <c r="V2417" s="168" t="s">
        <v>3883</v>
      </c>
      <c r="W2417" s="169"/>
      <c r="X2417" s="171"/>
    </row>
    <row r="2418" ht="15.0" customHeight="1">
      <c r="A2418" s="127">
        <v>45894.0</v>
      </c>
      <c r="B2418" s="181" t="s">
        <v>8936</v>
      </c>
      <c r="C2418" s="56" t="s">
        <v>6890</v>
      </c>
      <c r="D2418" s="73" t="str">
        <f>IFERROR(VLOOKUP(C2418,Stock,3,FALSE),"")</f>
        <v>Toyota Rush / Terios 06-17</v>
      </c>
      <c r="E2418" s="56">
        <v>1.0</v>
      </c>
      <c r="F2418" s="162"/>
      <c r="G2418" s="162">
        <f t="shared" si="40"/>
        <v>0</v>
      </c>
      <c r="H2418" s="194"/>
      <c r="I2418" s="161">
        <f t="shared" si="41"/>
        <v>0</v>
      </c>
      <c r="J2418" s="164">
        <f t="shared" si="42"/>
        <v>0</v>
      </c>
      <c r="K2418" s="56" t="s">
        <v>8750</v>
      </c>
      <c r="L2418" s="73"/>
      <c r="M2418" s="73"/>
      <c r="N2418" s="171"/>
      <c r="O2418" s="171"/>
      <c r="P2418" s="168"/>
      <c r="Q2418" s="173"/>
      <c r="R2418" s="173"/>
      <c r="S2418" s="173"/>
      <c r="T2418" s="173"/>
      <c r="U2418" s="173"/>
      <c r="V2418" s="168" t="s">
        <v>3883</v>
      </c>
      <c r="W2418" s="169"/>
      <c r="X2418" s="171"/>
    </row>
    <row r="2419" ht="15.0" customHeight="1">
      <c r="A2419" s="127">
        <v>45894.0</v>
      </c>
      <c r="B2419" s="181" t="s">
        <v>8936</v>
      </c>
      <c r="C2419" s="56" t="s">
        <v>8937</v>
      </c>
      <c r="D2419" s="73" t="str">
        <f>IFERROR(VLOOKUP(C2419,Stock,3,FALSE),"")</f>
        <v>Toyota Avanza / Xenia 21- 4th Gen</v>
      </c>
      <c r="E2419" s="56">
        <v>4.0</v>
      </c>
      <c r="F2419" s="162"/>
      <c r="G2419" s="162">
        <f t="shared" si="40"/>
        <v>0</v>
      </c>
      <c r="H2419" s="194"/>
      <c r="I2419" s="161">
        <f t="shared" si="41"/>
        <v>0</v>
      </c>
      <c r="J2419" s="164">
        <f t="shared" si="42"/>
        <v>0</v>
      </c>
      <c r="K2419" s="56" t="s">
        <v>8750</v>
      </c>
      <c r="L2419" s="73"/>
      <c r="M2419" s="73"/>
      <c r="N2419" s="171"/>
      <c r="O2419" s="171"/>
      <c r="P2419" s="168"/>
      <c r="Q2419" s="173"/>
      <c r="R2419" s="173"/>
      <c r="S2419" s="173"/>
      <c r="T2419" s="173"/>
      <c r="U2419" s="173"/>
      <c r="V2419" s="168" t="s">
        <v>3883</v>
      </c>
      <c r="W2419" s="169"/>
      <c r="X2419" s="171"/>
    </row>
    <row r="2420" ht="15.0" customHeight="1">
      <c r="A2420" s="127">
        <v>45894.0</v>
      </c>
      <c r="B2420" s="181" t="s">
        <v>8936</v>
      </c>
      <c r="C2420" s="56" t="s">
        <v>8938</v>
      </c>
      <c r="D2420" s="73" t="str">
        <f>IFERROR(VLOOKUP(C2420,Stock,3,FALSE),"")</f>
        <v/>
      </c>
      <c r="E2420" s="56">
        <v>4.0</v>
      </c>
      <c r="F2420" s="162"/>
      <c r="G2420" s="162">
        <f t="shared" si="40"/>
        <v>0</v>
      </c>
      <c r="H2420" s="194"/>
      <c r="I2420" s="161">
        <f t="shared" si="41"/>
        <v>0</v>
      </c>
      <c r="J2420" s="164">
        <f t="shared" si="42"/>
        <v>0</v>
      </c>
      <c r="K2420" s="56" t="s">
        <v>8750</v>
      </c>
      <c r="L2420" s="73"/>
      <c r="M2420" s="73"/>
      <c r="N2420" s="171"/>
      <c r="O2420" s="171"/>
      <c r="P2420" s="168"/>
      <c r="Q2420" s="173"/>
      <c r="R2420" s="173"/>
      <c r="S2420" s="173"/>
      <c r="T2420" s="173"/>
      <c r="U2420" s="173"/>
      <c r="V2420" s="168" t="s">
        <v>3883</v>
      </c>
      <c r="W2420" s="169"/>
      <c r="X2420" s="171"/>
    </row>
    <row r="2421" ht="15.0" customHeight="1">
      <c r="A2421" s="127">
        <v>45894.0</v>
      </c>
      <c r="B2421" s="181" t="s">
        <v>8936</v>
      </c>
      <c r="C2421" s="56" t="s">
        <v>6686</v>
      </c>
      <c r="D2421" s="73" t="str">
        <f>IFERROR(VLOOKUP(C2421,Stock,3,FALSE),"")</f>
        <v>Daihatsu Gran Max / Luxio 07-</v>
      </c>
      <c r="E2421" s="56">
        <v>4.0</v>
      </c>
      <c r="F2421" s="162"/>
      <c r="G2421" s="162">
        <f t="shared" si="40"/>
        <v>0</v>
      </c>
      <c r="H2421" s="194"/>
      <c r="I2421" s="161">
        <f t="shared" si="41"/>
        <v>0</v>
      </c>
      <c r="J2421" s="164">
        <f t="shared" si="42"/>
        <v>0</v>
      </c>
      <c r="K2421" s="56" t="s">
        <v>8750</v>
      </c>
      <c r="L2421" s="73"/>
      <c r="M2421" s="73"/>
      <c r="N2421" s="171"/>
      <c r="O2421" s="171"/>
      <c r="P2421" s="168"/>
      <c r="Q2421" s="173"/>
      <c r="R2421" s="173"/>
      <c r="S2421" s="173"/>
      <c r="T2421" s="173"/>
      <c r="U2421" s="173"/>
      <c r="V2421" s="168" t="s">
        <v>3883</v>
      </c>
      <c r="W2421" s="169"/>
      <c r="X2421" s="171"/>
    </row>
    <row r="2422" ht="15.0" customHeight="1">
      <c r="A2422" s="127">
        <v>45894.0</v>
      </c>
      <c r="B2422" s="181" t="s">
        <v>8936</v>
      </c>
      <c r="C2422" s="56" t="s">
        <v>4149</v>
      </c>
      <c r="D2422" s="73" t="str">
        <f>IFERROR(VLOOKUP(C2422,Stock,3,FALSE),"")</f>
        <v>Toyota Avanza / Xenia 11-15 2nd Gen</v>
      </c>
      <c r="E2422" s="56">
        <v>4.0</v>
      </c>
      <c r="F2422" s="162"/>
      <c r="G2422" s="162">
        <f t="shared" si="40"/>
        <v>0</v>
      </c>
      <c r="H2422" s="194"/>
      <c r="I2422" s="161">
        <f t="shared" si="41"/>
        <v>0</v>
      </c>
      <c r="J2422" s="164">
        <f t="shared" si="42"/>
        <v>0</v>
      </c>
      <c r="K2422" s="56" t="s">
        <v>8750</v>
      </c>
      <c r="L2422" s="73"/>
      <c r="M2422" s="73"/>
      <c r="N2422" s="171"/>
      <c r="O2422" s="171"/>
      <c r="P2422" s="168"/>
      <c r="Q2422" s="173"/>
      <c r="R2422" s="173"/>
      <c r="S2422" s="173"/>
      <c r="T2422" s="173"/>
      <c r="U2422" s="173"/>
      <c r="V2422" s="168" t="s">
        <v>3883</v>
      </c>
      <c r="W2422" s="169"/>
      <c r="X2422" s="171"/>
    </row>
    <row r="2423" ht="15.0" customHeight="1">
      <c r="A2423" s="127">
        <v>45894.0</v>
      </c>
      <c r="B2423" s="181" t="s">
        <v>8936</v>
      </c>
      <c r="C2423" s="56" t="s">
        <v>8939</v>
      </c>
      <c r="D2423" s="73" t="str">
        <f>IFERROR(VLOOKUP(C2423,Stock,3,FALSE),"")</f>
        <v>Toyota Avanza / Xenia 21- 4th Gen</v>
      </c>
      <c r="E2423" s="56">
        <v>4.0</v>
      </c>
      <c r="F2423" s="162"/>
      <c r="G2423" s="162">
        <f t="shared" si="40"/>
        <v>0</v>
      </c>
      <c r="H2423" s="194"/>
      <c r="I2423" s="161">
        <f t="shared" si="41"/>
        <v>0</v>
      </c>
      <c r="J2423" s="164">
        <f t="shared" si="42"/>
        <v>0</v>
      </c>
      <c r="K2423" s="56" t="s">
        <v>8750</v>
      </c>
      <c r="L2423" s="73"/>
      <c r="M2423" s="73"/>
      <c r="N2423" s="171"/>
      <c r="O2423" s="171"/>
      <c r="P2423" s="168"/>
      <c r="Q2423" s="173"/>
      <c r="R2423" s="173"/>
      <c r="S2423" s="173"/>
      <c r="T2423" s="173"/>
      <c r="U2423" s="173"/>
      <c r="V2423" s="168" t="s">
        <v>3883</v>
      </c>
      <c r="W2423" s="169"/>
      <c r="X2423" s="171"/>
    </row>
    <row r="2424" ht="15.0" customHeight="1">
      <c r="A2424" s="127">
        <v>45894.0</v>
      </c>
      <c r="B2424" s="181" t="s">
        <v>8936</v>
      </c>
      <c r="C2424" s="56" t="s">
        <v>6687</v>
      </c>
      <c r="D2424" s="73" t="str">
        <f>IFERROR(VLOOKUP(C2424,Stock,3,FALSE),"")</f>
        <v>Daihatsu Gran Max / Luxio 07-</v>
      </c>
      <c r="E2424" s="56">
        <v>4.0</v>
      </c>
      <c r="F2424" s="162"/>
      <c r="G2424" s="162">
        <f t="shared" si="40"/>
        <v>0</v>
      </c>
      <c r="H2424" s="194"/>
      <c r="I2424" s="161">
        <f t="shared" si="41"/>
        <v>0</v>
      </c>
      <c r="J2424" s="164">
        <f t="shared" si="42"/>
        <v>0</v>
      </c>
      <c r="K2424" s="56" t="s">
        <v>8750</v>
      </c>
      <c r="L2424" s="73"/>
      <c r="M2424" s="73"/>
      <c r="N2424" s="171"/>
      <c r="O2424" s="171"/>
      <c r="P2424" s="168"/>
      <c r="Q2424" s="173"/>
      <c r="R2424" s="173"/>
      <c r="S2424" s="173"/>
      <c r="T2424" s="173"/>
      <c r="U2424" s="173"/>
      <c r="V2424" s="168" t="s">
        <v>3883</v>
      </c>
      <c r="W2424" s="169"/>
      <c r="X2424" s="171"/>
    </row>
    <row r="2425" ht="15.0" customHeight="1">
      <c r="A2425" s="127">
        <v>45894.0</v>
      </c>
      <c r="B2425" s="181" t="s">
        <v>8936</v>
      </c>
      <c r="C2425" s="56" t="s">
        <v>6227</v>
      </c>
      <c r="D2425" s="73" t="str">
        <f>IFERROR(VLOOKUP(C2425,Stock,3,FALSE),"")</f>
        <v>Toyota Fortuner 15-  2nd Gen</v>
      </c>
      <c r="E2425" s="56">
        <v>4.0</v>
      </c>
      <c r="F2425" s="162"/>
      <c r="G2425" s="162">
        <f t="shared" si="40"/>
        <v>0</v>
      </c>
      <c r="H2425" s="194"/>
      <c r="I2425" s="161">
        <f t="shared" si="41"/>
        <v>0</v>
      </c>
      <c r="J2425" s="164">
        <f t="shared" si="42"/>
        <v>0</v>
      </c>
      <c r="K2425" s="56" t="s">
        <v>8750</v>
      </c>
      <c r="L2425" s="73"/>
      <c r="M2425" s="73"/>
      <c r="N2425" s="171"/>
      <c r="O2425" s="171"/>
      <c r="P2425" s="168"/>
      <c r="Q2425" s="173"/>
      <c r="R2425" s="173"/>
      <c r="S2425" s="173"/>
      <c r="T2425" s="173"/>
      <c r="U2425" s="173"/>
      <c r="V2425" s="168" t="s">
        <v>3883</v>
      </c>
      <c r="W2425" s="169"/>
      <c r="X2425" s="171"/>
    </row>
    <row r="2426" ht="15.0" customHeight="1">
      <c r="A2426" s="127">
        <v>45894.0</v>
      </c>
      <c r="B2426" s="181" t="s">
        <v>8936</v>
      </c>
      <c r="C2426" s="56" t="s">
        <v>8940</v>
      </c>
      <c r="D2426" s="73" t="str">
        <f>IFERROR(VLOOKUP(C2426,Stock,3,FALSE),"")</f>
        <v>Toyota Rush / Terios 18-</v>
      </c>
      <c r="E2426" s="56">
        <v>3.0</v>
      </c>
      <c r="F2426" s="162"/>
      <c r="G2426" s="162">
        <f t="shared" si="40"/>
        <v>0</v>
      </c>
      <c r="H2426" s="194"/>
      <c r="I2426" s="161">
        <f t="shared" si="41"/>
        <v>0</v>
      </c>
      <c r="J2426" s="164">
        <f t="shared" si="42"/>
        <v>0</v>
      </c>
      <c r="K2426" s="56" t="s">
        <v>8750</v>
      </c>
      <c r="L2426" s="73"/>
      <c r="M2426" s="73"/>
      <c r="N2426" s="171"/>
      <c r="O2426" s="171"/>
      <c r="P2426" s="168"/>
      <c r="Q2426" s="173"/>
      <c r="R2426" s="173"/>
      <c r="S2426" s="173"/>
      <c r="T2426" s="173"/>
      <c r="U2426" s="173"/>
      <c r="V2426" s="168" t="s">
        <v>3883</v>
      </c>
      <c r="W2426" s="169"/>
      <c r="X2426" s="171"/>
    </row>
    <row r="2427" ht="15.0" customHeight="1">
      <c r="A2427" s="127">
        <v>45894.0</v>
      </c>
      <c r="B2427" s="181" t="s">
        <v>8936</v>
      </c>
      <c r="C2427" s="56" t="s">
        <v>6824</v>
      </c>
      <c r="D2427" s="73" t="str">
        <f>IFERROR(VLOOKUP(C2427,Stock,3,FALSE),"")</f>
        <v>Toyota Innova 04-15 1st Gen</v>
      </c>
      <c r="E2427" s="56">
        <v>1.0</v>
      </c>
      <c r="F2427" s="162"/>
      <c r="G2427" s="162">
        <f t="shared" si="40"/>
        <v>0</v>
      </c>
      <c r="H2427" s="194"/>
      <c r="I2427" s="161">
        <f t="shared" si="41"/>
        <v>0</v>
      </c>
      <c r="J2427" s="164">
        <f t="shared" si="42"/>
        <v>0</v>
      </c>
      <c r="K2427" s="56" t="s">
        <v>8750</v>
      </c>
      <c r="L2427" s="73"/>
      <c r="M2427" s="73"/>
      <c r="N2427" s="171"/>
      <c r="O2427" s="171"/>
      <c r="P2427" s="168"/>
      <c r="Q2427" s="173"/>
      <c r="R2427" s="173"/>
      <c r="S2427" s="173"/>
      <c r="T2427" s="173"/>
      <c r="U2427" s="173"/>
      <c r="V2427" s="168" t="s">
        <v>3883</v>
      </c>
      <c r="W2427" s="169"/>
      <c r="X2427" s="171"/>
    </row>
    <row r="2428" ht="15.0" customHeight="1">
      <c r="A2428" s="127">
        <v>45894.0</v>
      </c>
      <c r="B2428" s="181" t="s">
        <v>8936</v>
      </c>
      <c r="C2428" s="56" t="s">
        <v>4354</v>
      </c>
      <c r="D2428" s="73" t="str">
        <f>IFERROR(VLOOKUP(C2428,Stock,3,FALSE),"")</f>
        <v>Toyota Innova 04-15 1st Gen</v>
      </c>
      <c r="E2428" s="56">
        <v>1.0</v>
      </c>
      <c r="F2428" s="162"/>
      <c r="G2428" s="162">
        <f t="shared" si="40"/>
        <v>0</v>
      </c>
      <c r="H2428" s="194"/>
      <c r="I2428" s="161">
        <f t="shared" si="41"/>
        <v>0</v>
      </c>
      <c r="J2428" s="164">
        <f t="shared" si="42"/>
        <v>0</v>
      </c>
      <c r="K2428" s="56" t="s">
        <v>8750</v>
      </c>
      <c r="L2428" s="73"/>
      <c r="M2428" s="73"/>
      <c r="N2428" s="171"/>
      <c r="O2428" s="171"/>
      <c r="P2428" s="168"/>
      <c r="Q2428" s="173"/>
      <c r="R2428" s="173"/>
      <c r="S2428" s="173"/>
      <c r="T2428" s="173"/>
      <c r="U2428" s="173"/>
      <c r="V2428" s="168" t="s">
        <v>3883</v>
      </c>
      <c r="W2428" s="169"/>
      <c r="X2428" s="171"/>
    </row>
    <row r="2429" ht="15.0" customHeight="1">
      <c r="A2429" s="127">
        <v>45894.0</v>
      </c>
      <c r="B2429" s="181" t="s">
        <v>8936</v>
      </c>
      <c r="C2429" s="56" t="s">
        <v>5821</v>
      </c>
      <c r="D2429" s="73" t="str">
        <f>IFERROR(VLOOKUP(C2429,Stock,3,FALSE),"")</f>
        <v>Toyota Agya/Ayla 13-22 1st Gen</v>
      </c>
      <c r="E2429" s="56">
        <v>3.0</v>
      </c>
      <c r="F2429" s="162"/>
      <c r="G2429" s="162">
        <f t="shared" si="40"/>
        <v>0</v>
      </c>
      <c r="H2429" s="194"/>
      <c r="I2429" s="161">
        <f t="shared" si="41"/>
        <v>0</v>
      </c>
      <c r="J2429" s="164">
        <f t="shared" si="42"/>
        <v>0</v>
      </c>
      <c r="K2429" s="56" t="s">
        <v>8750</v>
      </c>
      <c r="L2429" s="73"/>
      <c r="M2429" s="73"/>
      <c r="N2429" s="171"/>
      <c r="O2429" s="171"/>
      <c r="P2429" s="168"/>
      <c r="Q2429" s="173"/>
      <c r="R2429" s="173"/>
      <c r="S2429" s="173"/>
      <c r="T2429" s="173"/>
      <c r="U2429" s="173"/>
      <c r="V2429" s="168" t="s">
        <v>3883</v>
      </c>
      <c r="W2429" s="169"/>
      <c r="X2429" s="171"/>
    </row>
    <row r="2430" ht="15.0" customHeight="1">
      <c r="A2430" s="127">
        <v>45894.0</v>
      </c>
      <c r="B2430" s="181" t="s">
        <v>8936</v>
      </c>
      <c r="C2430" s="56" t="s">
        <v>6033</v>
      </c>
      <c r="D2430" s="73" t="str">
        <f>IFERROR(VLOOKUP(C2430,Stock,3,FALSE),"")</f>
        <v>Mitsubishi Kuda 99-06</v>
      </c>
      <c r="E2430" s="56">
        <v>1.0</v>
      </c>
      <c r="F2430" s="162"/>
      <c r="G2430" s="162">
        <f t="shared" si="40"/>
        <v>0</v>
      </c>
      <c r="H2430" s="194"/>
      <c r="I2430" s="161">
        <f t="shared" si="41"/>
        <v>0</v>
      </c>
      <c r="J2430" s="164">
        <f t="shared" si="42"/>
        <v>0</v>
      </c>
      <c r="K2430" s="56" t="s">
        <v>8750</v>
      </c>
      <c r="L2430" s="73"/>
      <c r="M2430" s="73"/>
      <c r="N2430" s="171"/>
      <c r="O2430" s="171"/>
      <c r="P2430" s="168"/>
      <c r="Q2430" s="173"/>
      <c r="R2430" s="173"/>
      <c r="S2430" s="173"/>
      <c r="T2430" s="173"/>
      <c r="U2430" s="173"/>
      <c r="V2430" s="168" t="s">
        <v>3883</v>
      </c>
      <c r="W2430" s="169"/>
      <c r="X2430" s="171"/>
    </row>
    <row r="2431" ht="15.0" customHeight="1">
      <c r="A2431" s="127">
        <v>45894.0</v>
      </c>
      <c r="B2431" s="181" t="s">
        <v>8936</v>
      </c>
      <c r="C2431" s="56" t="s">
        <v>5263</v>
      </c>
      <c r="D2431" s="73" t="str">
        <f>IFERROR(VLOOKUP(C2431,Stock,3,FALSE),"")</f>
        <v>Suzuki Carry (1000cc)</v>
      </c>
      <c r="E2431" s="56">
        <v>1.0</v>
      </c>
      <c r="F2431" s="162"/>
      <c r="G2431" s="162">
        <f t="shared" si="40"/>
        <v>0</v>
      </c>
      <c r="H2431" s="194"/>
      <c r="I2431" s="161">
        <f t="shared" si="41"/>
        <v>0</v>
      </c>
      <c r="J2431" s="164">
        <f t="shared" si="42"/>
        <v>0</v>
      </c>
      <c r="K2431" s="56" t="s">
        <v>8750</v>
      </c>
      <c r="L2431" s="73"/>
      <c r="M2431" s="73"/>
      <c r="N2431" s="171"/>
      <c r="O2431" s="171"/>
      <c r="P2431" s="168"/>
      <c r="Q2431" s="173"/>
      <c r="R2431" s="173"/>
      <c r="S2431" s="173"/>
      <c r="T2431" s="173"/>
      <c r="U2431" s="173"/>
      <c r="V2431" s="168" t="s">
        <v>3883</v>
      </c>
      <c r="W2431" s="169"/>
      <c r="X2431" s="171"/>
    </row>
    <row r="2432" ht="15.0" customHeight="1">
      <c r="A2432" s="127">
        <v>45894.0</v>
      </c>
      <c r="B2432" s="181" t="s">
        <v>8941</v>
      </c>
      <c r="C2432" s="56" t="s">
        <v>2729</v>
      </c>
      <c r="D2432" s="73" t="str">
        <f>IFERROR(VLOOKUP(C2432,Stock,3,FALSE),"")</f>
        <v>Honda HR-V 14-21 5D SUV</v>
      </c>
      <c r="E2432" s="56">
        <v>1.0</v>
      </c>
      <c r="F2432" s="161">
        <v>1548000.0</v>
      </c>
      <c r="G2432" s="162">
        <f t="shared" si="40"/>
        <v>1548000</v>
      </c>
      <c r="H2432" s="194"/>
      <c r="I2432" s="161">
        <f t="shared" si="41"/>
        <v>1548000</v>
      </c>
      <c r="J2432" s="164">
        <f t="shared" si="42"/>
        <v>1548000</v>
      </c>
      <c r="K2432" s="56" t="s">
        <v>8942</v>
      </c>
      <c r="L2432" s="165" t="s">
        <v>8943</v>
      </c>
      <c r="M2432" s="73"/>
      <c r="N2432" s="171"/>
      <c r="O2432" s="169" t="s">
        <v>2958</v>
      </c>
      <c r="P2432" s="168" t="s">
        <v>3112</v>
      </c>
      <c r="Q2432" s="167">
        <v>21800.0</v>
      </c>
      <c r="R2432" s="167">
        <v>1526200.0</v>
      </c>
      <c r="S2432" s="173"/>
      <c r="T2432" s="173"/>
      <c r="U2432" s="173"/>
      <c r="V2432" s="168" t="s">
        <v>3883</v>
      </c>
      <c r="W2432" s="169"/>
      <c r="X2432" s="171"/>
    </row>
    <row r="2433" ht="15.0" customHeight="1">
      <c r="A2433" s="127">
        <v>45894.0</v>
      </c>
      <c r="B2433" s="181" t="s">
        <v>8944</v>
      </c>
      <c r="C2433" s="56" t="s">
        <v>3745</v>
      </c>
      <c r="D2433" s="73" t="str">
        <f>IFERROR(VLOOKUP(C2433,Stock,3,FALSE),"")</f>
        <v>Honda Brio 10- / Mobilio 11-</v>
      </c>
      <c r="E2433" s="56">
        <v>1.0</v>
      </c>
      <c r="F2433" s="161">
        <v>1772000.0</v>
      </c>
      <c r="G2433" s="162">
        <f t="shared" si="40"/>
        <v>1772000</v>
      </c>
      <c r="H2433" s="194"/>
      <c r="I2433" s="161">
        <f t="shared" si="41"/>
        <v>1772000</v>
      </c>
      <c r="J2433" s="164">
        <f t="shared" si="42"/>
        <v>1772000</v>
      </c>
      <c r="K2433" s="56" t="s">
        <v>8945</v>
      </c>
      <c r="L2433" s="165" t="s">
        <v>8946</v>
      </c>
      <c r="M2433" s="73"/>
      <c r="N2433" s="169" t="s">
        <v>8947</v>
      </c>
      <c r="O2433" s="169" t="s">
        <v>2958</v>
      </c>
      <c r="P2433" s="168" t="s">
        <v>3112</v>
      </c>
      <c r="Q2433" s="173"/>
      <c r="R2433" s="167">
        <v>1772000.0</v>
      </c>
      <c r="S2433" s="173"/>
      <c r="T2433" s="173"/>
      <c r="U2433" s="173"/>
      <c r="V2433" s="168" t="s">
        <v>3883</v>
      </c>
      <c r="W2433" s="169"/>
      <c r="X2433" s="171"/>
    </row>
    <row r="2434" ht="15.0" customHeight="1">
      <c r="A2434" s="127">
        <v>45895.0</v>
      </c>
      <c r="B2434" s="181" t="s">
        <v>8948</v>
      </c>
      <c r="C2434" s="56" t="s">
        <v>2662</v>
      </c>
      <c r="D2434" s="73" t="str">
        <f>IFERROR(VLOOKUP(C2434,Stock,3,FALSE),"")</f>
        <v>Wuling Almaz (Sensor)</v>
      </c>
      <c r="E2434" s="56">
        <v>1.0</v>
      </c>
      <c r="F2434" s="161">
        <v>2789000.0</v>
      </c>
      <c r="G2434" s="162">
        <f t="shared" si="40"/>
        <v>2789000</v>
      </c>
      <c r="H2434" s="194"/>
      <c r="I2434" s="161">
        <f t="shared" si="41"/>
        <v>2789000</v>
      </c>
      <c r="J2434" s="164">
        <f t="shared" si="42"/>
        <v>2789000</v>
      </c>
      <c r="K2434" s="56" t="s">
        <v>8949</v>
      </c>
      <c r="L2434" s="165" t="s">
        <v>8950</v>
      </c>
      <c r="M2434" s="73"/>
      <c r="N2434" s="171"/>
      <c r="O2434" s="169" t="s">
        <v>5220</v>
      </c>
      <c r="P2434" s="168" t="s">
        <v>3112</v>
      </c>
      <c r="Q2434" s="173"/>
      <c r="R2434" s="167">
        <v>2789000.0</v>
      </c>
      <c r="S2434" s="173"/>
      <c r="T2434" s="173"/>
      <c r="U2434" s="173"/>
      <c r="V2434" s="168" t="s">
        <v>3883</v>
      </c>
      <c r="W2434" s="169"/>
      <c r="X2434" s="171"/>
    </row>
    <row r="2435" ht="15.0" customHeight="1">
      <c r="A2435" s="127">
        <v>45895.0</v>
      </c>
      <c r="B2435" s="181" t="s">
        <v>8948</v>
      </c>
      <c r="C2435" s="56" t="s">
        <v>2934</v>
      </c>
      <c r="D2435" s="73" t="str">
        <f>IFERROR(VLOOKUP(C2435,Stock,3,FALSE),"")</f>
        <v>Peti Kayu</v>
      </c>
      <c r="E2435" s="56">
        <v>1.0</v>
      </c>
      <c r="F2435" s="161">
        <v>200000.0</v>
      </c>
      <c r="G2435" s="162">
        <f t="shared" si="40"/>
        <v>200000</v>
      </c>
      <c r="H2435" s="194"/>
      <c r="I2435" s="161">
        <f t="shared" si="41"/>
        <v>200000</v>
      </c>
      <c r="J2435" s="164">
        <f t="shared" si="42"/>
        <v>200000</v>
      </c>
      <c r="K2435" s="56" t="s">
        <v>8949</v>
      </c>
      <c r="L2435" s="165" t="s">
        <v>8950</v>
      </c>
      <c r="M2435" s="73"/>
      <c r="N2435" s="171"/>
      <c r="O2435" s="169" t="s">
        <v>5220</v>
      </c>
      <c r="P2435" s="168" t="s">
        <v>3112</v>
      </c>
      <c r="Q2435" s="173"/>
      <c r="R2435" s="167">
        <v>200000.0</v>
      </c>
      <c r="S2435" s="173"/>
      <c r="T2435" s="173"/>
      <c r="U2435" s="173"/>
      <c r="V2435" s="168" t="s">
        <v>3883</v>
      </c>
      <c r="W2435" s="169"/>
      <c r="X2435" s="171"/>
    </row>
    <row r="2436" ht="15.0" customHeight="1">
      <c r="A2436" s="127">
        <v>45895.0</v>
      </c>
      <c r="B2436" s="181" t="s">
        <v>8948</v>
      </c>
      <c r="C2436" s="56" t="s">
        <v>2954</v>
      </c>
      <c r="D2436" s="73" t="str">
        <f>IFERROR(VLOOKUP(C2436,Stock,3,FALSE),"")</f>
        <v>Transport</v>
      </c>
      <c r="E2436" s="56">
        <v>1.0</v>
      </c>
      <c r="F2436" s="161">
        <v>70000.0</v>
      </c>
      <c r="G2436" s="162">
        <f t="shared" si="40"/>
        <v>70000</v>
      </c>
      <c r="H2436" s="194"/>
      <c r="I2436" s="161">
        <f t="shared" si="41"/>
        <v>70000</v>
      </c>
      <c r="J2436" s="164">
        <f t="shared" si="42"/>
        <v>70000</v>
      </c>
      <c r="K2436" s="56" t="s">
        <v>8949</v>
      </c>
      <c r="L2436" s="165" t="s">
        <v>8950</v>
      </c>
      <c r="M2436" s="73"/>
      <c r="N2436" s="171"/>
      <c r="O2436" s="169" t="s">
        <v>5220</v>
      </c>
      <c r="P2436" s="168" t="s">
        <v>3112</v>
      </c>
      <c r="Q2436" s="173"/>
      <c r="R2436" s="167">
        <v>70000.0</v>
      </c>
      <c r="S2436" s="173"/>
      <c r="T2436" s="173"/>
      <c r="U2436" s="173"/>
      <c r="V2436" s="168" t="s">
        <v>3883</v>
      </c>
      <c r="W2436" s="169"/>
      <c r="X2436" s="171"/>
    </row>
    <row r="2437" ht="15.0" customHeight="1">
      <c r="A2437" s="127">
        <v>45895.0</v>
      </c>
      <c r="B2437" s="181" t="s">
        <v>8951</v>
      </c>
      <c r="C2437" s="475" t="s">
        <v>4782</v>
      </c>
      <c r="D2437" s="73" t="str">
        <f>IFERROR(VLOOKUP(C2437,Stock,3,FALSE),"")</f>
        <v>Mitsubishi Pajero 08-16</v>
      </c>
      <c r="E2437" s="56">
        <v>1.0</v>
      </c>
      <c r="F2437" s="161">
        <v>1505000.0</v>
      </c>
      <c r="G2437" s="162">
        <f t="shared" si="40"/>
        <v>1505000</v>
      </c>
      <c r="H2437" s="194"/>
      <c r="I2437" s="161">
        <f t="shared" si="41"/>
        <v>1505000</v>
      </c>
      <c r="J2437" s="164">
        <f t="shared" si="42"/>
        <v>1505000</v>
      </c>
      <c r="K2437" s="56" t="s">
        <v>5646</v>
      </c>
      <c r="L2437" s="165" t="s">
        <v>5242</v>
      </c>
      <c r="M2437" s="73"/>
      <c r="N2437" s="171"/>
      <c r="O2437" s="169" t="s">
        <v>2958</v>
      </c>
      <c r="P2437" s="168" t="s">
        <v>3112</v>
      </c>
      <c r="Q2437" s="167">
        <v>1505000.0</v>
      </c>
      <c r="R2437" s="173"/>
      <c r="S2437" s="173"/>
      <c r="T2437" s="173"/>
      <c r="U2437" s="173"/>
      <c r="V2437" s="202"/>
      <c r="W2437" s="171"/>
      <c r="X2437" s="171"/>
    </row>
    <row r="2438" ht="15.0" customHeight="1">
      <c r="A2438" s="127">
        <v>45895.0</v>
      </c>
      <c r="B2438" s="181" t="s">
        <v>8952</v>
      </c>
      <c r="C2438" s="56" t="s">
        <v>3025</v>
      </c>
      <c r="D2438" s="73" t="str">
        <f>IFERROR(VLOOKUP(C2438,Stock,3,FALSE),"")</f>
        <v>Toyota Rush / Terios 06-17</v>
      </c>
      <c r="E2438" s="56">
        <v>1.0</v>
      </c>
      <c r="F2438" s="161">
        <v>1398000.0</v>
      </c>
      <c r="G2438" s="162">
        <f t="shared" si="40"/>
        <v>1398000</v>
      </c>
      <c r="H2438" s="194"/>
      <c r="I2438" s="161">
        <f t="shared" si="41"/>
        <v>1398000</v>
      </c>
      <c r="J2438" s="164">
        <f t="shared" si="42"/>
        <v>1398000</v>
      </c>
      <c r="K2438" s="56" t="s">
        <v>7572</v>
      </c>
      <c r="L2438" s="165" t="s">
        <v>8953</v>
      </c>
      <c r="M2438" s="73"/>
      <c r="N2438" s="171"/>
      <c r="O2438" s="169" t="s">
        <v>2958</v>
      </c>
      <c r="P2438" s="168" t="s">
        <v>3112</v>
      </c>
      <c r="Q2438" s="173"/>
      <c r="R2438" s="167">
        <v>1398000.0</v>
      </c>
      <c r="S2438" s="173"/>
      <c r="T2438" s="173"/>
      <c r="U2438" s="173"/>
      <c r="V2438" s="202"/>
      <c r="W2438" s="171"/>
      <c r="X2438" s="171"/>
    </row>
    <row r="2439" ht="15.0" customHeight="1">
      <c r="A2439" s="127">
        <v>45896.0</v>
      </c>
      <c r="B2439" s="181" t="s">
        <v>8954</v>
      </c>
      <c r="C2439" s="475" t="s">
        <v>2919</v>
      </c>
      <c r="D2439" s="73" t="str">
        <f>IFERROR(VLOOKUP(C2439,Stock,3,FALSE),"")</f>
        <v>Toyota Innova 04-15 1st Gen</v>
      </c>
      <c r="E2439" s="56">
        <v>1.0</v>
      </c>
      <c r="F2439" s="161">
        <v>2640000.0</v>
      </c>
      <c r="G2439" s="162">
        <f t="shared" si="40"/>
        <v>2640000</v>
      </c>
      <c r="H2439" s="194"/>
      <c r="I2439" s="161">
        <f t="shared" si="41"/>
        <v>2640000</v>
      </c>
      <c r="J2439" s="164">
        <f t="shared" si="42"/>
        <v>2640000</v>
      </c>
      <c r="K2439" s="56" t="s">
        <v>8955</v>
      </c>
      <c r="L2439" s="165" t="s">
        <v>8956</v>
      </c>
      <c r="M2439" s="73"/>
      <c r="N2439" s="169" t="s">
        <v>8957</v>
      </c>
      <c r="O2439" s="169" t="s">
        <v>2958</v>
      </c>
      <c r="P2439" s="168" t="s">
        <v>3112</v>
      </c>
      <c r="Q2439" s="173"/>
      <c r="R2439" s="167">
        <v>2640000.0</v>
      </c>
      <c r="S2439" s="173"/>
      <c r="T2439" s="173"/>
      <c r="U2439" s="173"/>
      <c r="V2439" s="202"/>
      <c r="W2439" s="171"/>
      <c r="X2439" s="171"/>
    </row>
    <row r="2440" ht="15.0" customHeight="1">
      <c r="A2440" s="127">
        <v>45896.0</v>
      </c>
      <c r="B2440" s="181" t="s">
        <v>8954</v>
      </c>
      <c r="C2440" s="56" t="s">
        <v>3355</v>
      </c>
      <c r="D2440" s="73" t="str">
        <f>IFERROR(VLOOKUP(C2440,Stock,3,FALSE),"")</f>
        <v>List Kaca Depan INV</v>
      </c>
      <c r="E2440" s="56">
        <v>1.0</v>
      </c>
      <c r="F2440" s="161">
        <v>315000.0</v>
      </c>
      <c r="G2440" s="162">
        <f t="shared" si="40"/>
        <v>315000</v>
      </c>
      <c r="H2440" s="194"/>
      <c r="I2440" s="161">
        <f t="shared" si="41"/>
        <v>315000</v>
      </c>
      <c r="J2440" s="164">
        <f t="shared" si="42"/>
        <v>315000</v>
      </c>
      <c r="K2440" s="56" t="s">
        <v>8955</v>
      </c>
      <c r="L2440" s="165" t="s">
        <v>8956</v>
      </c>
      <c r="M2440" s="73"/>
      <c r="N2440" s="169" t="s">
        <v>8957</v>
      </c>
      <c r="O2440" s="169" t="s">
        <v>2958</v>
      </c>
      <c r="P2440" s="168" t="s">
        <v>3112</v>
      </c>
      <c r="Q2440" s="173"/>
      <c r="R2440" s="167">
        <v>315000.0</v>
      </c>
      <c r="S2440" s="173"/>
      <c r="T2440" s="173"/>
      <c r="U2440" s="173"/>
      <c r="V2440" s="202"/>
      <c r="W2440" s="171"/>
      <c r="X2440" s="171"/>
    </row>
    <row r="2441" ht="15.0" customHeight="1">
      <c r="A2441" s="127">
        <v>45897.0</v>
      </c>
      <c r="B2441" s="181" t="s">
        <v>8958</v>
      </c>
      <c r="C2441" s="475" t="s">
        <v>3543</v>
      </c>
      <c r="D2441" s="73" t="str">
        <f>IFERROR(VLOOKUP(C2441,Stock,3,FALSE),"")</f>
        <v>Daihatsu Gran Max Minibus/Van</v>
      </c>
      <c r="E2441" s="56">
        <v>1.0</v>
      </c>
      <c r="F2441" s="161">
        <v>800000.0</v>
      </c>
      <c r="G2441" s="162">
        <f t="shared" si="40"/>
        <v>800000</v>
      </c>
      <c r="H2441" s="194"/>
      <c r="I2441" s="161">
        <f t="shared" si="41"/>
        <v>800000</v>
      </c>
      <c r="J2441" s="164">
        <f t="shared" si="42"/>
        <v>800000</v>
      </c>
      <c r="K2441" s="56" t="s">
        <v>8959</v>
      </c>
      <c r="L2441" s="165" t="s">
        <v>8960</v>
      </c>
      <c r="M2441" s="73"/>
      <c r="N2441" s="171"/>
      <c r="O2441" s="169" t="s">
        <v>3204</v>
      </c>
      <c r="P2441" s="168" t="s">
        <v>3112</v>
      </c>
      <c r="Q2441" s="167">
        <v>800000.0</v>
      </c>
      <c r="R2441" s="173"/>
      <c r="S2441" s="173"/>
      <c r="T2441" s="173"/>
      <c r="U2441" s="173"/>
      <c r="V2441" s="202"/>
      <c r="W2441" s="171"/>
      <c r="X2441" s="171"/>
    </row>
    <row r="2442" ht="15.0" customHeight="1">
      <c r="A2442" s="127">
        <v>45897.0</v>
      </c>
      <c r="B2442" s="181" t="s">
        <v>8961</v>
      </c>
      <c r="C2442" s="56" t="s">
        <v>3398</v>
      </c>
      <c r="D2442" s="56" t="s">
        <v>8962</v>
      </c>
      <c r="E2442" s="56">
        <v>1.0</v>
      </c>
      <c r="F2442" s="161">
        <v>150000.0</v>
      </c>
      <c r="G2442" s="162">
        <f t="shared" si="40"/>
        <v>150000</v>
      </c>
      <c r="H2442" s="194"/>
      <c r="I2442" s="161">
        <f t="shared" si="41"/>
        <v>150000</v>
      </c>
      <c r="J2442" s="164">
        <f t="shared" si="42"/>
        <v>150000</v>
      </c>
      <c r="K2442" s="56" t="s">
        <v>8963</v>
      </c>
      <c r="L2442" s="165" t="s">
        <v>8964</v>
      </c>
      <c r="M2442" s="73"/>
      <c r="N2442" s="171"/>
      <c r="O2442" s="169" t="s">
        <v>2958</v>
      </c>
      <c r="P2442" s="168" t="s">
        <v>3112</v>
      </c>
      <c r="Q2442" s="167">
        <v>150000.0</v>
      </c>
      <c r="R2442" s="173"/>
      <c r="S2442" s="173"/>
      <c r="T2442" s="173"/>
      <c r="U2442" s="173"/>
      <c r="V2442" s="202"/>
      <c r="W2442" s="171"/>
      <c r="X2442" s="171"/>
    </row>
    <row r="2443" ht="15.0" customHeight="1">
      <c r="A2443" s="56" t="s">
        <v>1484</v>
      </c>
      <c r="B2443" s="181" t="s">
        <v>8965</v>
      </c>
      <c r="C2443" s="475" t="s">
        <v>3391</v>
      </c>
      <c r="D2443" s="73" t="str">
        <f>IFERROR(VLOOKUP(C2443,Stock,3,FALSE),"")</f>
        <v>Toyota Fortuner 05-15 1st Gen</v>
      </c>
      <c r="E2443" s="56">
        <v>1.0</v>
      </c>
      <c r="F2443" s="161">
        <v>1492000.0</v>
      </c>
      <c r="G2443" s="162">
        <f t="shared" si="40"/>
        <v>1492000</v>
      </c>
      <c r="H2443" s="194"/>
      <c r="I2443" s="161">
        <f t="shared" si="41"/>
        <v>1492000</v>
      </c>
      <c r="J2443" s="164">
        <f t="shared" si="42"/>
        <v>1492000</v>
      </c>
      <c r="K2443" s="56" t="s">
        <v>8628</v>
      </c>
      <c r="L2443" s="165" t="s">
        <v>8966</v>
      </c>
      <c r="M2443" s="73"/>
      <c r="N2443" s="171"/>
      <c r="O2443" s="169" t="s">
        <v>3081</v>
      </c>
      <c r="P2443" s="168" t="s">
        <v>3112</v>
      </c>
      <c r="Q2443" s="173"/>
      <c r="R2443" s="167">
        <v>1492000.0</v>
      </c>
      <c r="S2443" s="173"/>
      <c r="T2443" s="173"/>
      <c r="U2443" s="173"/>
      <c r="V2443" s="202"/>
      <c r="W2443" s="171"/>
      <c r="X2443" s="171"/>
    </row>
    <row r="2444" ht="15.0" customHeight="1">
      <c r="A2444" s="127">
        <v>45898.0</v>
      </c>
      <c r="B2444" s="181" t="s">
        <v>8967</v>
      </c>
      <c r="C2444" s="475" t="s">
        <v>3745</v>
      </c>
      <c r="D2444" s="73" t="str">
        <f>IFERROR(VLOOKUP(C2444,Stock,3,FALSE),"")</f>
        <v>Honda Brio 10- / Mobilio 11-</v>
      </c>
      <c r="E2444" s="56">
        <v>1.0</v>
      </c>
      <c r="F2444" s="161">
        <v>1772000.0</v>
      </c>
      <c r="G2444" s="162">
        <f t="shared" si="40"/>
        <v>1772000</v>
      </c>
      <c r="H2444" s="194"/>
      <c r="I2444" s="161">
        <f t="shared" si="41"/>
        <v>1772000</v>
      </c>
      <c r="J2444" s="164">
        <f t="shared" si="42"/>
        <v>1772000</v>
      </c>
      <c r="K2444" s="56" t="s">
        <v>8968</v>
      </c>
      <c r="L2444" s="165" t="s">
        <v>8969</v>
      </c>
      <c r="M2444" s="73"/>
      <c r="N2444" s="169" t="s">
        <v>8970</v>
      </c>
      <c r="O2444" s="169" t="s">
        <v>2958</v>
      </c>
      <c r="P2444" s="168" t="s">
        <v>3112</v>
      </c>
      <c r="Q2444" s="173"/>
      <c r="R2444" s="167">
        <v>1772000.0</v>
      </c>
      <c r="S2444" s="173"/>
      <c r="T2444" s="173"/>
      <c r="U2444" s="173"/>
      <c r="V2444" s="202"/>
      <c r="W2444" s="171"/>
      <c r="X2444" s="171"/>
    </row>
    <row r="2445" ht="15.0" customHeight="1">
      <c r="A2445" s="127">
        <v>45898.0</v>
      </c>
      <c r="B2445" s="181" t="s">
        <v>8971</v>
      </c>
      <c r="C2445" s="475" t="s">
        <v>4365</v>
      </c>
      <c r="D2445" s="73" t="str">
        <f>IFERROR(VLOOKUP(C2445,Stock,3,FALSE),"")</f>
        <v>Wuling Almaz (Orisinil)</v>
      </c>
      <c r="E2445" s="56">
        <v>1.0</v>
      </c>
      <c r="F2445" s="161">
        <v>3696000.0</v>
      </c>
      <c r="G2445" s="162">
        <f t="shared" si="40"/>
        <v>3696000</v>
      </c>
      <c r="H2445" s="194"/>
      <c r="I2445" s="161">
        <f t="shared" si="41"/>
        <v>3696000</v>
      </c>
      <c r="J2445" s="164">
        <f t="shared" si="42"/>
        <v>3696000</v>
      </c>
      <c r="K2445" s="307" t="s">
        <v>8972</v>
      </c>
      <c r="L2445" s="165" t="s">
        <v>4315</v>
      </c>
      <c r="M2445" s="73"/>
      <c r="N2445" s="171"/>
      <c r="O2445" s="169" t="s">
        <v>2958</v>
      </c>
      <c r="P2445" s="168" t="s">
        <v>3112</v>
      </c>
      <c r="Q2445" s="173"/>
      <c r="R2445" s="167">
        <v>3696000.0</v>
      </c>
      <c r="S2445" s="173"/>
      <c r="T2445" s="173"/>
      <c r="U2445" s="173"/>
      <c r="V2445" s="202"/>
      <c r="W2445" s="171"/>
      <c r="X2445" s="171"/>
    </row>
    <row r="2446" ht="15.0" customHeight="1">
      <c r="A2446" s="127">
        <v>45898.0</v>
      </c>
      <c r="B2446" s="181" t="s">
        <v>8971</v>
      </c>
      <c r="C2446" s="56" t="s">
        <v>2954</v>
      </c>
      <c r="D2446" s="73" t="str">
        <f>IFERROR(VLOOKUP(C2446,Stock,3,FALSE),"")</f>
        <v>Transport</v>
      </c>
      <c r="E2446" s="56">
        <v>1.0</v>
      </c>
      <c r="F2446" s="161">
        <v>100000.0</v>
      </c>
      <c r="G2446" s="162">
        <f t="shared" si="40"/>
        <v>100000</v>
      </c>
      <c r="H2446" s="201">
        <v>100000.0</v>
      </c>
      <c r="I2446" s="161">
        <f t="shared" si="41"/>
        <v>0</v>
      </c>
      <c r="J2446" s="164">
        <f t="shared" si="42"/>
        <v>0</v>
      </c>
      <c r="K2446" s="307" t="s">
        <v>8972</v>
      </c>
      <c r="L2446" s="165" t="s">
        <v>4315</v>
      </c>
      <c r="M2446" s="73"/>
      <c r="N2446" s="171"/>
      <c r="O2446" s="169" t="s">
        <v>2958</v>
      </c>
      <c r="P2446" s="168" t="s">
        <v>3112</v>
      </c>
      <c r="Q2446" s="173"/>
      <c r="R2446" s="173"/>
      <c r="S2446" s="173"/>
      <c r="T2446" s="173"/>
      <c r="U2446" s="173"/>
      <c r="V2446" s="202"/>
      <c r="W2446" s="171"/>
      <c r="X2446" s="171"/>
    </row>
    <row r="2447" ht="15.0" customHeight="1">
      <c r="A2447" s="127">
        <v>45898.0</v>
      </c>
      <c r="B2447" s="181" t="s">
        <v>8973</v>
      </c>
      <c r="C2447" s="56" t="s">
        <v>3068</v>
      </c>
      <c r="D2447" s="73" t="str">
        <f>IFERROR(VLOOKUP(C2447,Stock,3,FALSE),"")</f>
        <v>Honda Brio 10- / Mobilio 11-</v>
      </c>
      <c r="E2447" s="56">
        <v>1.0</v>
      </c>
      <c r="F2447" s="161">
        <v>1350000.0</v>
      </c>
      <c r="G2447" s="162">
        <f t="shared" si="40"/>
        <v>1350000</v>
      </c>
      <c r="H2447" s="194"/>
      <c r="I2447" s="161">
        <f t="shared" si="41"/>
        <v>1350000</v>
      </c>
      <c r="J2447" s="164">
        <f t="shared" si="42"/>
        <v>1350000</v>
      </c>
      <c r="K2447" s="56" t="s">
        <v>8974</v>
      </c>
      <c r="L2447" s="165" t="s">
        <v>8975</v>
      </c>
      <c r="M2447" s="73"/>
      <c r="N2447" s="169" t="s">
        <v>8976</v>
      </c>
      <c r="O2447" s="169" t="s">
        <v>2958</v>
      </c>
      <c r="P2447" s="168" t="s">
        <v>3112</v>
      </c>
      <c r="Q2447" s="167">
        <v>350000.0</v>
      </c>
      <c r="R2447" s="167">
        <v>1000000.0</v>
      </c>
      <c r="S2447" s="173"/>
      <c r="T2447" s="173"/>
      <c r="U2447" s="173"/>
      <c r="V2447" s="202"/>
      <c r="W2447" s="171"/>
      <c r="X2447" s="171"/>
    </row>
    <row r="2448" ht="15.0" customHeight="1">
      <c r="A2448" s="127">
        <v>45898.0</v>
      </c>
      <c r="B2448" s="181" t="s">
        <v>8977</v>
      </c>
      <c r="C2448" s="475" t="s">
        <v>2721</v>
      </c>
      <c r="D2448" s="73" t="str">
        <f>IFERROR(VLOOKUP(C2448,Stock,3,FALSE),"")</f>
        <v>Toyota Dyna/Hino Dutro 00-</v>
      </c>
      <c r="E2448" s="56">
        <v>1.0</v>
      </c>
      <c r="F2448" s="161">
        <v>1250000.0</v>
      </c>
      <c r="G2448" s="162">
        <f t="shared" si="40"/>
        <v>1250000</v>
      </c>
      <c r="H2448" s="194"/>
      <c r="I2448" s="161">
        <f t="shared" si="41"/>
        <v>1250000</v>
      </c>
      <c r="J2448" s="164">
        <f t="shared" si="42"/>
        <v>1250000</v>
      </c>
      <c r="K2448" s="56" t="s">
        <v>8978</v>
      </c>
      <c r="L2448" s="165" t="s">
        <v>8979</v>
      </c>
      <c r="M2448" s="73"/>
      <c r="N2448" s="171"/>
      <c r="O2448" s="169" t="s">
        <v>2958</v>
      </c>
      <c r="P2448" s="168" t="s">
        <v>3112</v>
      </c>
      <c r="Q2448" s="167">
        <v>1250000.0</v>
      </c>
      <c r="R2448" s="167"/>
      <c r="S2448" s="173"/>
      <c r="T2448" s="173"/>
      <c r="U2448" s="173"/>
      <c r="V2448" s="202"/>
      <c r="W2448" s="171"/>
      <c r="X2448" s="171"/>
    </row>
    <row r="2449" ht="15.0" customHeight="1">
      <c r="A2449" s="127">
        <v>45898.0</v>
      </c>
      <c r="B2449" s="181" t="s">
        <v>8977</v>
      </c>
      <c r="C2449" s="56" t="s">
        <v>2954</v>
      </c>
      <c r="D2449" s="73" t="str">
        <f>IFERROR(VLOOKUP(C2449,Stock,3,FALSE),"")</f>
        <v>Transport</v>
      </c>
      <c r="E2449" s="56">
        <v>1.0</v>
      </c>
      <c r="F2449" s="161">
        <v>50000.0</v>
      </c>
      <c r="G2449" s="162">
        <f t="shared" si="40"/>
        <v>50000</v>
      </c>
      <c r="H2449" s="194"/>
      <c r="I2449" s="161">
        <f t="shared" si="41"/>
        <v>50000</v>
      </c>
      <c r="J2449" s="164">
        <f t="shared" si="42"/>
        <v>50000</v>
      </c>
      <c r="K2449" s="56" t="s">
        <v>8978</v>
      </c>
      <c r="L2449" s="165" t="s">
        <v>8979</v>
      </c>
      <c r="M2449" s="73"/>
      <c r="N2449" s="171"/>
      <c r="O2449" s="169" t="s">
        <v>2958</v>
      </c>
      <c r="P2449" s="168" t="s">
        <v>3112</v>
      </c>
      <c r="Q2449" s="167">
        <v>20000.0</v>
      </c>
      <c r="R2449" s="167">
        <v>30000.0</v>
      </c>
      <c r="S2449" s="173"/>
      <c r="T2449" s="173"/>
      <c r="U2449" s="173"/>
      <c r="V2449" s="202"/>
      <c r="W2449" s="171"/>
      <c r="X2449" s="171"/>
    </row>
    <row r="2450" ht="15.0" customHeight="1">
      <c r="A2450" s="127">
        <v>45899.0</v>
      </c>
      <c r="B2450" s="181" t="s">
        <v>8980</v>
      </c>
      <c r="C2450" s="56" t="s">
        <v>5528</v>
      </c>
      <c r="D2450" s="73" t="str">
        <f>IFERROR(VLOOKUP(C2450,Stock,3,FALSE),"")</f>
        <v>Toyota Innova 15-22 2nd Gen (Toyota)</v>
      </c>
      <c r="E2450" s="56">
        <v>1.0</v>
      </c>
      <c r="F2450" s="161">
        <v>2988000.0</v>
      </c>
      <c r="G2450" s="162">
        <f t="shared" si="40"/>
        <v>2988000</v>
      </c>
      <c r="H2450" s="194"/>
      <c r="I2450" s="161">
        <f t="shared" si="41"/>
        <v>2988000</v>
      </c>
      <c r="J2450" s="164">
        <f t="shared" si="42"/>
        <v>2988000</v>
      </c>
      <c r="K2450" s="56" t="s">
        <v>8981</v>
      </c>
      <c r="L2450" s="165" t="s">
        <v>8982</v>
      </c>
      <c r="M2450" s="73"/>
      <c r="N2450" s="171"/>
      <c r="O2450" s="169" t="s">
        <v>2958</v>
      </c>
      <c r="P2450" s="168" t="s">
        <v>3112</v>
      </c>
      <c r="Q2450" s="173"/>
      <c r="R2450" s="167">
        <v>2988000.0</v>
      </c>
      <c r="S2450" s="173"/>
      <c r="T2450" s="173"/>
      <c r="U2450" s="173"/>
      <c r="V2450" s="202"/>
      <c r="W2450" s="171"/>
      <c r="X2450" s="171"/>
    </row>
    <row r="2451" ht="15.0" customHeight="1">
      <c r="A2451" s="127">
        <v>45899.0</v>
      </c>
      <c r="B2451" s="181" t="s">
        <v>8980</v>
      </c>
      <c r="C2451" s="56" t="s">
        <v>2954</v>
      </c>
      <c r="D2451" s="73" t="str">
        <f>IFERROR(VLOOKUP(C2451,Stock,3,FALSE),"")</f>
        <v>Transport</v>
      </c>
      <c r="E2451" s="56">
        <v>1.0</v>
      </c>
      <c r="F2451" s="161">
        <v>50000.0</v>
      </c>
      <c r="G2451" s="162">
        <f t="shared" si="40"/>
        <v>50000</v>
      </c>
      <c r="H2451" s="194"/>
      <c r="I2451" s="161">
        <f t="shared" si="41"/>
        <v>50000</v>
      </c>
      <c r="J2451" s="164">
        <f t="shared" si="42"/>
        <v>50000</v>
      </c>
      <c r="K2451" s="56" t="s">
        <v>8981</v>
      </c>
      <c r="L2451" s="165" t="s">
        <v>8982</v>
      </c>
      <c r="M2451" s="73"/>
      <c r="N2451" s="171"/>
      <c r="O2451" s="169" t="s">
        <v>2958</v>
      </c>
      <c r="P2451" s="168" t="s">
        <v>3112</v>
      </c>
      <c r="Q2451" s="173"/>
      <c r="R2451" s="167">
        <v>50000.0</v>
      </c>
      <c r="S2451" s="173"/>
      <c r="T2451" s="173"/>
      <c r="U2451" s="173"/>
      <c r="V2451" s="202"/>
      <c r="W2451" s="171"/>
      <c r="X2451" s="171"/>
    </row>
    <row r="2452" ht="15.0" customHeight="1">
      <c r="A2452" s="127">
        <v>45899.0</v>
      </c>
      <c r="B2452" s="181" t="s">
        <v>8983</v>
      </c>
      <c r="C2452" s="475" t="s">
        <v>2721</v>
      </c>
      <c r="D2452" s="73" t="str">
        <f>IFERROR(VLOOKUP(C2452,Stock,3,FALSE),"")</f>
        <v>Toyota Dyna/Hino Dutro 00-</v>
      </c>
      <c r="E2452" s="56">
        <v>1.0</v>
      </c>
      <c r="F2452" s="161">
        <v>1250000.0</v>
      </c>
      <c r="G2452" s="162">
        <f t="shared" si="40"/>
        <v>1250000</v>
      </c>
      <c r="H2452" s="201">
        <v>200000.0</v>
      </c>
      <c r="I2452" s="161">
        <f t="shared" si="41"/>
        <v>1050000</v>
      </c>
      <c r="J2452" s="164">
        <f t="shared" si="42"/>
        <v>1050000</v>
      </c>
      <c r="K2452" s="56" t="s">
        <v>8978</v>
      </c>
      <c r="L2452" s="165" t="s">
        <v>8979</v>
      </c>
      <c r="M2452" s="73"/>
      <c r="N2452" s="171"/>
      <c r="O2452" s="169" t="s">
        <v>2958</v>
      </c>
      <c r="P2452" s="168" t="s">
        <v>3112</v>
      </c>
      <c r="Q2452" s="173"/>
      <c r="R2452" s="167">
        <v>1050000.0</v>
      </c>
      <c r="S2452" s="173"/>
      <c r="T2452" s="173"/>
      <c r="U2452" s="173"/>
      <c r="V2452" s="202"/>
      <c r="W2452" s="171"/>
      <c r="X2452" s="171"/>
    </row>
    <row r="2453" ht="15.0" customHeight="1">
      <c r="A2453" s="127">
        <v>45899.0</v>
      </c>
      <c r="B2453" s="181" t="s">
        <v>8984</v>
      </c>
      <c r="C2453" s="475" t="s">
        <v>8623</v>
      </c>
      <c r="D2453" s="73" t="str">
        <f>IFERROR(VLOOKUP(C2453,Stock,3,FALSE),"")</f>
        <v>Daihatsu Gran Max / Luxio 07-</v>
      </c>
      <c r="E2453" s="56">
        <v>1.0</v>
      </c>
      <c r="F2453" s="161">
        <v>1000000.0</v>
      </c>
      <c r="G2453" s="162">
        <f t="shared" si="40"/>
        <v>1000000</v>
      </c>
      <c r="H2453" s="194"/>
      <c r="I2453" s="161">
        <f t="shared" si="41"/>
        <v>1000000</v>
      </c>
      <c r="J2453" s="164">
        <f t="shared" si="42"/>
        <v>1000000</v>
      </c>
      <c r="K2453" s="56" t="s">
        <v>7385</v>
      </c>
      <c r="L2453" s="165" t="s">
        <v>8985</v>
      </c>
      <c r="M2453" s="73"/>
      <c r="N2453" s="171"/>
      <c r="O2453" s="169" t="s">
        <v>2958</v>
      </c>
      <c r="P2453" s="168" t="s">
        <v>3112</v>
      </c>
      <c r="Q2453" s="173"/>
      <c r="R2453" s="167">
        <v>1000000.0</v>
      </c>
      <c r="S2453" s="173"/>
      <c r="T2453" s="173"/>
      <c r="U2453" s="173"/>
      <c r="V2453" s="202"/>
      <c r="W2453" s="171"/>
      <c r="X2453" s="171"/>
    </row>
    <row r="2454" ht="15.0" customHeight="1">
      <c r="A2454" s="127">
        <v>45899.0</v>
      </c>
      <c r="B2454" s="181" t="s">
        <v>8986</v>
      </c>
      <c r="C2454" s="475" t="s">
        <v>4355</v>
      </c>
      <c r="D2454" s="73" t="str">
        <f>IFERROR(VLOOKUP(C2454,Stock,3,FALSE),"")</f>
        <v>Toyota Innova 04-15 1st Gen</v>
      </c>
      <c r="E2454" s="56">
        <v>1.0</v>
      </c>
      <c r="F2454" s="161">
        <v>550000.0</v>
      </c>
      <c r="G2454" s="162">
        <f t="shared" si="40"/>
        <v>550000</v>
      </c>
      <c r="H2454" s="194"/>
      <c r="I2454" s="161">
        <f t="shared" si="41"/>
        <v>550000</v>
      </c>
      <c r="J2454" s="164">
        <f t="shared" si="42"/>
        <v>550000</v>
      </c>
      <c r="K2454" s="307" t="s">
        <v>8987</v>
      </c>
      <c r="L2454" s="165" t="s">
        <v>8988</v>
      </c>
      <c r="M2454" s="73"/>
      <c r="N2454" s="171"/>
      <c r="O2454" s="169" t="s">
        <v>2958</v>
      </c>
      <c r="P2454" s="168" t="s">
        <v>3112</v>
      </c>
      <c r="Q2454" s="173"/>
      <c r="R2454" s="167">
        <v>550000.0</v>
      </c>
      <c r="S2454" s="173"/>
      <c r="T2454" s="173"/>
      <c r="U2454" s="173"/>
      <c r="V2454" s="202"/>
      <c r="W2454" s="171"/>
      <c r="X2454" s="171"/>
    </row>
    <row r="2455" ht="15.0" customHeight="1">
      <c r="A2455" s="127">
        <v>45900.0</v>
      </c>
      <c r="B2455" s="181" t="s">
        <v>8989</v>
      </c>
      <c r="C2455" s="56" t="s">
        <v>2919</v>
      </c>
      <c r="D2455" s="73" t="str">
        <f>IFERROR(VLOOKUP(C2455,Stock,3,FALSE),"")</f>
        <v>Toyota Innova 04-15 1st Gen</v>
      </c>
      <c r="E2455" s="56">
        <v>1.0</v>
      </c>
      <c r="F2455" s="161">
        <v>2000000.0</v>
      </c>
      <c r="G2455" s="162">
        <f t="shared" si="40"/>
        <v>2000000</v>
      </c>
      <c r="H2455" s="194"/>
      <c r="I2455" s="161">
        <f t="shared" si="41"/>
        <v>2000000</v>
      </c>
      <c r="J2455" s="164">
        <f t="shared" si="42"/>
        <v>2000000</v>
      </c>
      <c r="K2455" s="56" t="s">
        <v>8990</v>
      </c>
      <c r="L2455" s="165" t="s">
        <v>8991</v>
      </c>
      <c r="M2455" s="73"/>
      <c r="N2455" s="171"/>
      <c r="O2455" s="169" t="s">
        <v>2958</v>
      </c>
      <c r="P2455" s="168" t="s">
        <v>3112</v>
      </c>
      <c r="Q2455" s="173"/>
      <c r="R2455" s="167">
        <v>2000000.0</v>
      </c>
      <c r="S2455" s="173"/>
      <c r="T2455" s="173"/>
      <c r="U2455" s="173"/>
      <c r="V2455" s="202"/>
      <c r="W2455" s="171"/>
      <c r="X2455" s="171"/>
    </row>
    <row r="2456" ht="15.0" customHeight="1">
      <c r="A2456" s="127">
        <v>45900.0</v>
      </c>
      <c r="B2456" s="181" t="s">
        <v>8992</v>
      </c>
      <c r="C2456" s="475" t="s">
        <v>8460</v>
      </c>
      <c r="D2456" s="73" t="str">
        <f>IFERROR(VLOOKUP(C2456,Stock,3,FALSE),"")</f>
        <v>Toyota Avanza / Xenia 11-15 2nd Gen / 15-21 3rd Gen</v>
      </c>
      <c r="E2456" s="56">
        <v>1.0</v>
      </c>
      <c r="F2456" s="161">
        <v>880000.0</v>
      </c>
      <c r="G2456" s="162">
        <f t="shared" si="40"/>
        <v>880000</v>
      </c>
      <c r="H2456" s="194"/>
      <c r="I2456" s="161">
        <f t="shared" si="41"/>
        <v>880000</v>
      </c>
      <c r="J2456" s="164">
        <f t="shared" si="42"/>
        <v>880000</v>
      </c>
      <c r="K2456" s="56" t="s">
        <v>8993</v>
      </c>
      <c r="L2456" s="165" t="s">
        <v>8994</v>
      </c>
      <c r="M2456" s="73"/>
      <c r="N2456" s="171"/>
      <c r="O2456" s="169" t="s">
        <v>2958</v>
      </c>
      <c r="P2456" s="168" t="s">
        <v>3112</v>
      </c>
      <c r="Q2456" s="167">
        <v>850000.0</v>
      </c>
      <c r="R2456" s="167">
        <v>30000.0</v>
      </c>
      <c r="S2456" s="173"/>
      <c r="T2456" s="173"/>
      <c r="U2456" s="173"/>
      <c r="V2456" s="202"/>
      <c r="W2456" s="171"/>
      <c r="X2456" s="171"/>
    </row>
    <row r="2457" ht="15.0" customHeight="1">
      <c r="A2457" s="127">
        <v>45900.0</v>
      </c>
      <c r="B2457" s="181" t="s">
        <v>8992</v>
      </c>
      <c r="C2457" s="56" t="s">
        <v>3513</v>
      </c>
      <c r="D2457" s="73" t="str">
        <f>IFERROR(VLOOKUP(C2457,Stock,3,FALSE),"")</f>
        <v>Lembur</v>
      </c>
      <c r="E2457" s="56">
        <v>1.0</v>
      </c>
      <c r="F2457" s="161">
        <v>100000.0</v>
      </c>
      <c r="G2457" s="162">
        <f t="shared" si="40"/>
        <v>100000</v>
      </c>
      <c r="H2457" s="194"/>
      <c r="I2457" s="161">
        <f t="shared" si="41"/>
        <v>100000</v>
      </c>
      <c r="J2457" s="164">
        <f t="shared" si="42"/>
        <v>100000</v>
      </c>
      <c r="K2457" s="56" t="s">
        <v>8993</v>
      </c>
      <c r="L2457" s="165" t="s">
        <v>8994</v>
      </c>
      <c r="M2457" s="73"/>
      <c r="N2457" s="171"/>
      <c r="O2457" s="169" t="s">
        <v>2958</v>
      </c>
      <c r="P2457" s="168" t="s">
        <v>3112</v>
      </c>
      <c r="Q2457" s="167">
        <v>100000.0</v>
      </c>
      <c r="R2457" s="173"/>
      <c r="S2457" s="173"/>
      <c r="T2457" s="173"/>
      <c r="U2457" s="173"/>
      <c r="V2457" s="202"/>
      <c r="W2457" s="171"/>
      <c r="X2457" s="171"/>
    </row>
    <row r="2458" ht="15.0" customHeight="1">
      <c r="A2458" s="127">
        <v>45901.0</v>
      </c>
      <c r="B2458" s="475" t="s">
        <v>8995</v>
      </c>
      <c r="C2458" s="56" t="s">
        <v>2779</v>
      </c>
      <c r="D2458" s="73" t="str">
        <f>IFERROR(VLOOKUP(C2458,Stock,3,FALSE),"")</f>
        <v>Toyota Hi-Ace 04-20 Commuter With Frame</v>
      </c>
      <c r="E2458" s="56">
        <v>1.0</v>
      </c>
      <c r="F2458" s="161">
        <v>2795000.0</v>
      </c>
      <c r="G2458" s="162">
        <f t="shared" si="40"/>
        <v>2795000</v>
      </c>
      <c r="H2458" s="194"/>
      <c r="I2458" s="161">
        <f t="shared" si="41"/>
        <v>2795000</v>
      </c>
      <c r="J2458" s="164">
        <f t="shared" si="42"/>
        <v>2795000</v>
      </c>
      <c r="K2458" s="56" t="s">
        <v>8996</v>
      </c>
      <c r="L2458" s="165" t="s">
        <v>8997</v>
      </c>
      <c r="M2458" s="73"/>
      <c r="N2458" s="171"/>
      <c r="O2458" s="169" t="s">
        <v>2958</v>
      </c>
      <c r="P2458" s="168" t="s">
        <v>3112</v>
      </c>
      <c r="Q2458" s="173"/>
      <c r="R2458" s="167">
        <v>2795000.0</v>
      </c>
      <c r="S2458" s="173"/>
      <c r="T2458" s="173"/>
      <c r="U2458" s="173"/>
      <c r="V2458" s="202"/>
      <c r="W2458" s="171"/>
      <c r="X2458" s="171"/>
    </row>
    <row r="2459" ht="15.0" customHeight="1">
      <c r="A2459" s="127">
        <v>45901.0</v>
      </c>
      <c r="B2459" s="475" t="s">
        <v>8998</v>
      </c>
      <c r="C2459" s="56" t="s">
        <v>5587</v>
      </c>
      <c r="D2459" s="73" t="str">
        <f>IFERROR(VLOOKUP(C2459,Stock,3,FALSE),"")</f>
        <v>Honda CR-V 02-04 2nd Gen (Spion Jepit)</v>
      </c>
      <c r="E2459" s="56">
        <v>1.0</v>
      </c>
      <c r="F2459" s="161">
        <v>1782000.0</v>
      </c>
      <c r="G2459" s="162">
        <f t="shared" si="40"/>
        <v>1782000</v>
      </c>
      <c r="H2459" s="194"/>
      <c r="I2459" s="161">
        <f t="shared" si="41"/>
        <v>1782000</v>
      </c>
      <c r="J2459" s="164">
        <f t="shared" si="42"/>
        <v>1782000</v>
      </c>
      <c r="K2459" s="56" t="s">
        <v>8999</v>
      </c>
      <c r="L2459" s="165" t="s">
        <v>9000</v>
      </c>
      <c r="M2459" s="73"/>
      <c r="N2459" s="171"/>
      <c r="O2459" s="169" t="s">
        <v>2958</v>
      </c>
      <c r="P2459" s="168" t="s">
        <v>3112</v>
      </c>
      <c r="Q2459" s="173"/>
      <c r="R2459" s="167">
        <v>1782000.0</v>
      </c>
      <c r="S2459" s="173"/>
      <c r="T2459" s="173"/>
      <c r="U2459" s="173"/>
      <c r="V2459" s="202"/>
      <c r="W2459" s="171"/>
      <c r="X2459" s="171"/>
    </row>
    <row r="2460" ht="15.0" customHeight="1">
      <c r="A2460" s="127">
        <v>45902.0</v>
      </c>
      <c r="B2460" s="475" t="s">
        <v>9001</v>
      </c>
      <c r="C2460" s="475" t="s">
        <v>2546</v>
      </c>
      <c r="D2460" s="73" t="str">
        <f>IFERROR(VLOOKUP(C2460,Stock,3,FALSE),"")</f>
        <v>Wuling Confero (Tanpa Spionnya)</v>
      </c>
      <c r="E2460" s="56">
        <v>1.0</v>
      </c>
      <c r="F2460" s="161">
        <v>1399000.0</v>
      </c>
      <c r="G2460" s="162">
        <f t="shared" si="40"/>
        <v>1399000</v>
      </c>
      <c r="H2460" s="194"/>
      <c r="I2460" s="161">
        <f t="shared" si="41"/>
        <v>1399000</v>
      </c>
      <c r="J2460" s="164">
        <f t="shared" si="42"/>
        <v>1399000</v>
      </c>
      <c r="K2460" s="56" t="s">
        <v>8858</v>
      </c>
      <c r="L2460" s="165" t="s">
        <v>9002</v>
      </c>
      <c r="M2460" s="73"/>
      <c r="N2460" s="169" t="s">
        <v>9003</v>
      </c>
      <c r="O2460" s="169" t="s">
        <v>2958</v>
      </c>
      <c r="P2460" s="168" t="s">
        <v>3112</v>
      </c>
      <c r="Q2460" s="173"/>
      <c r="R2460" s="167">
        <v>1399000.0</v>
      </c>
      <c r="S2460" s="173"/>
      <c r="T2460" s="173"/>
      <c r="U2460" s="173"/>
      <c r="V2460" s="202"/>
      <c r="W2460" s="171"/>
      <c r="X2460" s="171"/>
    </row>
    <row r="2461" ht="15.0" customHeight="1">
      <c r="A2461" s="127">
        <v>45902.0</v>
      </c>
      <c r="B2461" s="475" t="s">
        <v>9004</v>
      </c>
      <c r="C2461" s="475" t="s">
        <v>3168</v>
      </c>
      <c r="D2461" s="73" t="str">
        <f>IFERROR(VLOOKUP(C2461,Stock,3,FALSE),"")</f>
        <v>Toyota Agya/Ayla</v>
      </c>
      <c r="E2461" s="56">
        <v>1.0</v>
      </c>
      <c r="F2461" s="161">
        <v>850000.0</v>
      </c>
      <c r="G2461" s="162">
        <f t="shared" si="40"/>
        <v>850000</v>
      </c>
      <c r="H2461" s="194"/>
      <c r="I2461" s="161">
        <f t="shared" si="41"/>
        <v>850000</v>
      </c>
      <c r="J2461" s="164">
        <f t="shared" si="42"/>
        <v>850000</v>
      </c>
      <c r="K2461" s="56" t="s">
        <v>9005</v>
      </c>
      <c r="L2461" s="165" t="s">
        <v>9006</v>
      </c>
      <c r="M2461" s="73"/>
      <c r="N2461" s="171"/>
      <c r="O2461" s="169" t="s">
        <v>2958</v>
      </c>
      <c r="P2461" s="168" t="s">
        <v>3112</v>
      </c>
      <c r="Q2461" s="173"/>
      <c r="R2461" s="167">
        <v>850000.0</v>
      </c>
      <c r="S2461" s="173"/>
      <c r="T2461" s="173"/>
      <c r="U2461" s="173"/>
      <c r="V2461" s="202"/>
      <c r="W2461" s="171"/>
      <c r="X2461" s="171"/>
    </row>
    <row r="2462" ht="15.0" customHeight="1">
      <c r="A2462" s="127">
        <v>45902.0</v>
      </c>
      <c r="B2462" s="475" t="s">
        <v>9007</v>
      </c>
      <c r="C2462" s="475" t="s">
        <v>6751</v>
      </c>
      <c r="D2462" s="73" t="str">
        <f>IFERROR(VLOOKUP(C2462,Stock,3,FALSE),"")</f>
        <v>Kia Pregio Van 95-</v>
      </c>
      <c r="E2462" s="56">
        <v>1.0</v>
      </c>
      <c r="F2462" s="161">
        <v>1700000.0</v>
      </c>
      <c r="G2462" s="162">
        <f t="shared" si="40"/>
        <v>1700000</v>
      </c>
      <c r="H2462" s="194"/>
      <c r="I2462" s="161">
        <f t="shared" si="41"/>
        <v>1700000</v>
      </c>
      <c r="J2462" s="164">
        <f t="shared" si="42"/>
        <v>1700000</v>
      </c>
      <c r="K2462" s="307" t="s">
        <v>8236</v>
      </c>
      <c r="L2462" s="165" t="s">
        <v>8237</v>
      </c>
      <c r="M2462" s="73"/>
      <c r="N2462" s="171"/>
      <c r="O2462" s="169" t="s">
        <v>2958</v>
      </c>
      <c r="P2462" s="168" t="s">
        <v>3112</v>
      </c>
      <c r="Q2462" s="173"/>
      <c r="R2462" s="167">
        <v>1700000.0</v>
      </c>
      <c r="S2462" s="173"/>
      <c r="T2462" s="173"/>
      <c r="U2462" s="173"/>
      <c r="V2462" s="202"/>
      <c r="W2462" s="171"/>
      <c r="X2462" s="171"/>
    </row>
    <row r="2463" ht="15.0" customHeight="1">
      <c r="A2463" s="127">
        <v>45902.0</v>
      </c>
      <c r="B2463" s="475" t="s">
        <v>9007</v>
      </c>
      <c r="C2463" s="56" t="s">
        <v>2954</v>
      </c>
      <c r="D2463" s="73" t="str">
        <f>IFERROR(VLOOKUP(C2463,Stock,3,FALSE),"")</f>
        <v>Transport</v>
      </c>
      <c r="E2463" s="56">
        <v>1.0</v>
      </c>
      <c r="F2463" s="161">
        <v>300000.0</v>
      </c>
      <c r="G2463" s="162">
        <f t="shared" si="40"/>
        <v>300000</v>
      </c>
      <c r="H2463" s="194"/>
      <c r="I2463" s="161">
        <f t="shared" si="41"/>
        <v>300000</v>
      </c>
      <c r="J2463" s="164">
        <f t="shared" si="42"/>
        <v>300000</v>
      </c>
      <c r="K2463" s="307" t="s">
        <v>8236</v>
      </c>
      <c r="L2463" s="165" t="s">
        <v>8237</v>
      </c>
      <c r="M2463" s="73"/>
      <c r="N2463" s="171"/>
      <c r="O2463" s="169" t="s">
        <v>2958</v>
      </c>
      <c r="P2463" s="168" t="s">
        <v>3112</v>
      </c>
      <c r="Q2463" s="173"/>
      <c r="R2463" s="167">
        <v>300000.0</v>
      </c>
      <c r="S2463" s="173"/>
      <c r="T2463" s="173"/>
      <c r="U2463" s="173"/>
      <c r="V2463" s="202"/>
      <c r="W2463" s="171"/>
      <c r="X2463" s="171"/>
    </row>
    <row r="2464" ht="15.0" customHeight="1">
      <c r="A2464" s="127">
        <v>45903.0</v>
      </c>
      <c r="B2464" s="475" t="s">
        <v>9008</v>
      </c>
      <c r="C2464" s="475" t="s">
        <v>2643</v>
      </c>
      <c r="D2464" s="73" t="str">
        <f>IFERROR(VLOOKUP(C2464,Stock,3,FALSE),"")</f>
        <v>Toyota Vios 07-13 XP90 2nd Gen</v>
      </c>
      <c r="E2464" s="56">
        <v>1.0</v>
      </c>
      <c r="F2464" s="161">
        <v>1433000.0</v>
      </c>
      <c r="G2464" s="162">
        <f t="shared" si="40"/>
        <v>1433000</v>
      </c>
      <c r="H2464" s="194"/>
      <c r="I2464" s="161">
        <f t="shared" si="41"/>
        <v>1433000</v>
      </c>
      <c r="J2464" s="164">
        <f t="shared" si="42"/>
        <v>1433000</v>
      </c>
      <c r="K2464" s="56" t="s">
        <v>9009</v>
      </c>
      <c r="L2464" s="165" t="s">
        <v>9010</v>
      </c>
      <c r="M2464" s="73"/>
      <c r="N2464" s="169" t="s">
        <v>9011</v>
      </c>
      <c r="O2464" s="169" t="s">
        <v>3204</v>
      </c>
      <c r="P2464" s="168" t="s">
        <v>3112</v>
      </c>
      <c r="Q2464" s="173"/>
      <c r="R2464" s="167">
        <v>1433000.0</v>
      </c>
      <c r="S2464" s="173"/>
      <c r="T2464" s="173"/>
      <c r="U2464" s="173"/>
      <c r="V2464" s="202"/>
      <c r="W2464" s="171"/>
      <c r="X2464" s="171"/>
    </row>
    <row r="2465" ht="15.0" customHeight="1">
      <c r="A2465" s="127">
        <v>45903.0</v>
      </c>
      <c r="B2465" s="475" t="s">
        <v>9008</v>
      </c>
      <c r="C2465" s="56" t="s">
        <v>3020</v>
      </c>
      <c r="D2465" s="73" t="str">
        <f>IFERROR(VLOOKUP(C2465,Stock,3,FALSE),"")</f>
        <v>Toyota Vios 07-13 XP90 2nd Gen</v>
      </c>
      <c r="E2465" s="56">
        <v>1.0</v>
      </c>
      <c r="F2465" s="161">
        <v>1654000.0</v>
      </c>
      <c r="G2465" s="162">
        <f t="shared" si="40"/>
        <v>1654000</v>
      </c>
      <c r="H2465" s="194"/>
      <c r="I2465" s="161">
        <f t="shared" si="41"/>
        <v>1654000</v>
      </c>
      <c r="J2465" s="164">
        <f t="shared" si="42"/>
        <v>1654000</v>
      </c>
      <c r="K2465" s="56" t="s">
        <v>9009</v>
      </c>
      <c r="L2465" s="165" t="s">
        <v>9010</v>
      </c>
      <c r="M2465" s="73"/>
      <c r="N2465" s="169" t="s">
        <v>9011</v>
      </c>
      <c r="O2465" s="169" t="s">
        <v>3204</v>
      </c>
      <c r="P2465" s="168" t="s">
        <v>3112</v>
      </c>
      <c r="Q2465" s="173"/>
      <c r="R2465" s="167">
        <v>1654000.0</v>
      </c>
      <c r="S2465" s="173"/>
      <c r="T2465" s="173"/>
      <c r="U2465" s="173"/>
      <c r="V2465" s="202"/>
      <c r="W2465" s="171"/>
      <c r="X2465" s="171"/>
    </row>
    <row r="2466" ht="15.0" customHeight="1">
      <c r="A2466" s="127">
        <v>45903.0</v>
      </c>
      <c r="B2466" s="475" t="s">
        <v>9012</v>
      </c>
      <c r="C2466" s="56" t="s">
        <v>3033</v>
      </c>
      <c r="D2466" s="73" t="str">
        <f>IFERROR(VLOOKUP(C2466,Stock,3,FALSE),"")</f>
        <v>Toyota Innova 04-15 1st Gen</v>
      </c>
      <c r="E2466" s="56">
        <v>1.0</v>
      </c>
      <c r="F2466" s="161">
        <v>1350000.0</v>
      </c>
      <c r="G2466" s="162">
        <f t="shared" si="40"/>
        <v>1350000</v>
      </c>
      <c r="H2466" s="194"/>
      <c r="I2466" s="161">
        <f t="shared" si="41"/>
        <v>1350000</v>
      </c>
      <c r="J2466" s="164">
        <f t="shared" si="42"/>
        <v>1350000</v>
      </c>
      <c r="K2466" s="56" t="s">
        <v>9013</v>
      </c>
      <c r="L2466" s="165" t="s">
        <v>9014</v>
      </c>
      <c r="M2466" s="73"/>
      <c r="N2466" s="169" t="s">
        <v>9015</v>
      </c>
      <c r="O2466" s="169" t="s">
        <v>2958</v>
      </c>
      <c r="P2466" s="168" t="s">
        <v>3112</v>
      </c>
      <c r="Q2466" s="173"/>
      <c r="R2466" s="167">
        <v>1350000.0</v>
      </c>
      <c r="S2466" s="173"/>
      <c r="T2466" s="173"/>
      <c r="U2466" s="173"/>
      <c r="V2466" s="202"/>
      <c r="W2466" s="171"/>
      <c r="X2466" s="171"/>
    </row>
    <row r="2467" ht="15.0" customHeight="1">
      <c r="A2467" s="127">
        <v>45903.0</v>
      </c>
      <c r="B2467" s="475" t="s">
        <v>9016</v>
      </c>
      <c r="C2467" s="475" t="s">
        <v>5528</v>
      </c>
      <c r="D2467" s="73" t="str">
        <f>IFERROR(VLOOKUP(C2467,Stock,3,FALSE),"")</f>
        <v>Toyota Innova 15-22 2nd Gen (Toyota)</v>
      </c>
      <c r="E2467" s="56">
        <v>1.0</v>
      </c>
      <c r="F2467" s="161">
        <v>2988000.0</v>
      </c>
      <c r="G2467" s="162">
        <f t="shared" si="40"/>
        <v>2988000</v>
      </c>
      <c r="H2467" s="194"/>
      <c r="I2467" s="161">
        <f t="shared" si="41"/>
        <v>2988000</v>
      </c>
      <c r="J2467" s="164">
        <f t="shared" si="42"/>
        <v>2988000</v>
      </c>
      <c r="K2467" s="56" t="s">
        <v>9017</v>
      </c>
      <c r="L2467" s="165" t="s">
        <v>7941</v>
      </c>
      <c r="M2467" s="73"/>
      <c r="N2467" s="169" t="s">
        <v>9018</v>
      </c>
      <c r="O2467" s="169" t="s">
        <v>3213</v>
      </c>
      <c r="P2467" s="168" t="s">
        <v>3112</v>
      </c>
      <c r="Q2467" s="167">
        <v>2988000.0</v>
      </c>
      <c r="R2467" s="173"/>
      <c r="S2467" s="173"/>
      <c r="T2467" s="173"/>
      <c r="U2467" s="173"/>
      <c r="V2467" s="202"/>
      <c r="W2467" s="171"/>
      <c r="X2467" s="171"/>
    </row>
    <row r="2468" ht="15.0" customHeight="1">
      <c r="A2468" s="127">
        <v>45904.0</v>
      </c>
      <c r="B2468" s="475" t="s">
        <v>9019</v>
      </c>
      <c r="C2468" s="475" t="s">
        <v>2663</v>
      </c>
      <c r="D2468" s="73" t="str">
        <f>IFERROR(VLOOKUP(C2468,Stock,3,FALSE),"")</f>
        <v>Chevrolet Captiva 06-18 1st gen C100</v>
      </c>
      <c r="E2468" s="56">
        <v>1.0</v>
      </c>
      <c r="F2468" s="161">
        <v>2113000.0</v>
      </c>
      <c r="G2468" s="162">
        <f t="shared" si="40"/>
        <v>2113000</v>
      </c>
      <c r="H2468" s="194"/>
      <c r="I2468" s="161">
        <f t="shared" si="41"/>
        <v>2113000</v>
      </c>
      <c r="J2468" s="164">
        <f t="shared" si="42"/>
        <v>2113000</v>
      </c>
      <c r="K2468" s="56" t="s">
        <v>9020</v>
      </c>
      <c r="L2468" s="165" t="s">
        <v>9021</v>
      </c>
      <c r="M2468" s="73"/>
      <c r="N2468" s="169" t="s">
        <v>9022</v>
      </c>
      <c r="O2468" s="169" t="s">
        <v>2958</v>
      </c>
      <c r="P2468" s="168" t="s">
        <v>3112</v>
      </c>
      <c r="Q2468" s="167">
        <v>2113000.0</v>
      </c>
      <c r="R2468" s="173"/>
      <c r="S2468" s="173"/>
      <c r="T2468" s="173"/>
      <c r="U2468" s="173"/>
      <c r="V2468" s="202"/>
      <c r="W2468" s="171"/>
      <c r="X2468" s="171"/>
    </row>
    <row r="2469" ht="15.0" customHeight="1">
      <c r="A2469" s="127">
        <v>45904.0</v>
      </c>
      <c r="B2469" s="475" t="s">
        <v>9023</v>
      </c>
      <c r="C2469" s="475" t="s">
        <v>3186</v>
      </c>
      <c r="D2469" s="73" t="str">
        <f>IFERROR(VLOOKUP(C2469,Stock,3,FALSE),"")</f>
        <v>Daihatsu Gran Max / Luxio 07-</v>
      </c>
      <c r="E2469" s="56">
        <v>1.0</v>
      </c>
      <c r="F2469" s="161">
        <v>1050000.0</v>
      </c>
      <c r="G2469" s="162">
        <f t="shared" si="40"/>
        <v>1050000</v>
      </c>
      <c r="H2469" s="194"/>
      <c r="I2469" s="161">
        <f t="shared" si="41"/>
        <v>1050000</v>
      </c>
      <c r="J2469" s="164">
        <f t="shared" si="42"/>
        <v>1050000</v>
      </c>
      <c r="K2469" s="56" t="s">
        <v>5990</v>
      </c>
      <c r="L2469" s="165" t="s">
        <v>9024</v>
      </c>
      <c r="M2469" s="73"/>
      <c r="N2469" s="169" t="s">
        <v>9025</v>
      </c>
      <c r="O2469" s="169" t="s">
        <v>2958</v>
      </c>
      <c r="P2469" s="168" t="s">
        <v>3112</v>
      </c>
      <c r="Q2469" s="173"/>
      <c r="R2469" s="167">
        <v>1050000.0</v>
      </c>
      <c r="S2469" s="173"/>
      <c r="T2469" s="173"/>
      <c r="U2469" s="173"/>
      <c r="V2469" s="202"/>
      <c r="W2469" s="171"/>
      <c r="X2469" s="171"/>
    </row>
    <row r="2470" ht="15.0" customHeight="1">
      <c r="A2470" s="127">
        <v>45904.0</v>
      </c>
      <c r="B2470" s="475" t="s">
        <v>9026</v>
      </c>
      <c r="C2470" s="56" t="s">
        <v>9027</v>
      </c>
      <c r="D2470" s="73" t="str">
        <f>IFERROR(VLOOKUP(C2470,Stock,3,FALSE),"")</f>
        <v>Toyota Camry 11-17 XV50 5th Gen</v>
      </c>
      <c r="E2470" s="56">
        <v>1.0</v>
      </c>
      <c r="F2470" s="161">
        <v>2055000.0</v>
      </c>
      <c r="G2470" s="162">
        <f t="shared" si="40"/>
        <v>2055000</v>
      </c>
      <c r="H2470" s="194"/>
      <c r="I2470" s="161">
        <f t="shared" si="41"/>
        <v>2055000</v>
      </c>
      <c r="J2470" s="164">
        <f t="shared" si="42"/>
        <v>2055000</v>
      </c>
      <c r="K2470" s="56" t="s">
        <v>9028</v>
      </c>
      <c r="L2470" s="165" t="s">
        <v>9029</v>
      </c>
      <c r="M2470" s="73"/>
      <c r="N2470" s="171"/>
      <c r="O2470" s="169" t="s">
        <v>2958</v>
      </c>
      <c r="P2470" s="168" t="s">
        <v>3112</v>
      </c>
      <c r="Q2470" s="173"/>
      <c r="R2470" s="167">
        <v>2055000.0</v>
      </c>
      <c r="S2470" s="173"/>
      <c r="T2470" s="173"/>
      <c r="U2470" s="173"/>
      <c r="V2470" s="202"/>
      <c r="W2470" s="171"/>
      <c r="X2470" s="171"/>
    </row>
    <row r="2471" ht="15.0" customHeight="1">
      <c r="A2471" s="127">
        <v>45904.0</v>
      </c>
      <c r="B2471" s="475" t="s">
        <v>9026</v>
      </c>
      <c r="C2471" s="56" t="s">
        <v>3045</v>
      </c>
      <c r="D2471" s="73" t="str">
        <f>IFERROR(VLOOKUP(C2471,Stock,3,FALSE),"")</f>
        <v>Pemasangan Kaca Mobil Depan</v>
      </c>
      <c r="E2471" s="56">
        <v>1.0</v>
      </c>
      <c r="F2471" s="161">
        <v>250000.0</v>
      </c>
      <c r="G2471" s="162">
        <f t="shared" si="40"/>
        <v>250000</v>
      </c>
      <c r="H2471" s="194"/>
      <c r="I2471" s="161">
        <f t="shared" si="41"/>
        <v>250000</v>
      </c>
      <c r="J2471" s="164">
        <f t="shared" si="42"/>
        <v>250000</v>
      </c>
      <c r="K2471" s="56" t="s">
        <v>9028</v>
      </c>
      <c r="L2471" s="165" t="s">
        <v>9029</v>
      </c>
      <c r="M2471" s="73"/>
      <c r="N2471" s="171"/>
      <c r="O2471" s="169" t="s">
        <v>2958</v>
      </c>
      <c r="P2471" s="168" t="s">
        <v>3112</v>
      </c>
      <c r="Q2471" s="173"/>
      <c r="R2471" s="167">
        <v>250000.0</v>
      </c>
      <c r="S2471" s="173"/>
      <c r="T2471" s="173"/>
      <c r="U2471" s="173"/>
      <c r="V2471" s="202"/>
      <c r="W2471" s="171"/>
      <c r="X2471" s="171"/>
    </row>
    <row r="2472" ht="15.0" customHeight="1">
      <c r="A2472" s="127">
        <v>45904.0</v>
      </c>
      <c r="B2472" s="475" t="s">
        <v>9030</v>
      </c>
      <c r="C2472" s="475" t="s">
        <v>3025</v>
      </c>
      <c r="D2472" s="73" t="str">
        <f>IFERROR(VLOOKUP(C2472,Stock,3,FALSE),"")</f>
        <v>Toyota Rush / Terios 06-17</v>
      </c>
      <c r="E2472" s="56">
        <v>1.0</v>
      </c>
      <c r="F2472" s="161">
        <v>1148000.0</v>
      </c>
      <c r="G2472" s="162">
        <f t="shared" si="40"/>
        <v>1148000</v>
      </c>
      <c r="H2472" s="194"/>
      <c r="I2472" s="161">
        <f t="shared" si="41"/>
        <v>1148000</v>
      </c>
      <c r="J2472" s="164">
        <f t="shared" si="42"/>
        <v>1148000</v>
      </c>
      <c r="K2472" s="56" t="s">
        <v>9031</v>
      </c>
      <c r="L2472" s="165" t="s">
        <v>9032</v>
      </c>
      <c r="M2472" s="73"/>
      <c r="N2472" s="171"/>
      <c r="O2472" s="169" t="s">
        <v>2958</v>
      </c>
      <c r="P2472" s="168" t="s">
        <v>3112</v>
      </c>
      <c r="Q2472" s="173"/>
      <c r="R2472" s="167">
        <v>1148000.0</v>
      </c>
      <c r="S2472" s="173"/>
      <c r="T2472" s="173"/>
      <c r="U2472" s="173"/>
      <c r="V2472" s="202"/>
      <c r="W2472" s="171"/>
      <c r="X2472" s="171"/>
    </row>
    <row r="2473" ht="15.0" customHeight="1">
      <c r="A2473" s="127">
        <v>45904.0</v>
      </c>
      <c r="B2473" s="475" t="s">
        <v>9030</v>
      </c>
      <c r="C2473" s="56" t="s">
        <v>2954</v>
      </c>
      <c r="D2473" s="73" t="str">
        <f>IFERROR(VLOOKUP(C2473,Stock,3,FALSE),"")</f>
        <v>Transport</v>
      </c>
      <c r="E2473" s="56">
        <v>1.0</v>
      </c>
      <c r="F2473" s="161">
        <v>80000.0</v>
      </c>
      <c r="G2473" s="162">
        <f t="shared" si="40"/>
        <v>80000</v>
      </c>
      <c r="H2473" s="194"/>
      <c r="I2473" s="161">
        <f t="shared" si="41"/>
        <v>80000</v>
      </c>
      <c r="J2473" s="164">
        <f t="shared" si="42"/>
        <v>80000</v>
      </c>
      <c r="K2473" s="56" t="s">
        <v>9031</v>
      </c>
      <c r="L2473" s="165" t="s">
        <v>9032</v>
      </c>
      <c r="M2473" s="73"/>
      <c r="N2473" s="171"/>
      <c r="O2473" s="169" t="s">
        <v>2958</v>
      </c>
      <c r="P2473" s="168" t="s">
        <v>3112</v>
      </c>
      <c r="Q2473" s="173"/>
      <c r="R2473" s="167">
        <v>80000.0</v>
      </c>
      <c r="S2473" s="173"/>
      <c r="T2473" s="173"/>
      <c r="U2473" s="173"/>
      <c r="V2473" s="202"/>
      <c r="W2473" s="171"/>
      <c r="X2473" s="171"/>
    </row>
    <row r="2474" ht="15.0" customHeight="1">
      <c r="A2474" s="127">
        <v>45905.0</v>
      </c>
      <c r="B2474" s="475" t="s">
        <v>9033</v>
      </c>
      <c r="C2474" s="475" t="s">
        <v>2565</v>
      </c>
      <c r="D2474" s="73" t="str">
        <f>IFERROR(VLOOKUP(C2474,Stock,3,FALSE),"")</f>
        <v>Toyota Avanza / Xenia 03-11 1st Gen</v>
      </c>
      <c r="E2474" s="56">
        <v>1.0</v>
      </c>
      <c r="F2474" s="161">
        <v>1000000.0</v>
      </c>
      <c r="G2474" s="162">
        <f t="shared" si="40"/>
        <v>1000000</v>
      </c>
      <c r="H2474" s="194"/>
      <c r="I2474" s="161">
        <f t="shared" si="41"/>
        <v>1000000</v>
      </c>
      <c r="J2474" s="164">
        <f t="shared" si="42"/>
        <v>1000000</v>
      </c>
      <c r="K2474" s="56" t="s">
        <v>7444</v>
      </c>
      <c r="L2474" s="165" t="s">
        <v>9034</v>
      </c>
      <c r="M2474" s="73"/>
      <c r="N2474" s="171"/>
      <c r="O2474" s="169" t="s">
        <v>2958</v>
      </c>
      <c r="P2474" s="168" t="s">
        <v>3112</v>
      </c>
      <c r="Q2474" s="167">
        <v>1000000.0</v>
      </c>
      <c r="R2474" s="173"/>
      <c r="S2474" s="173"/>
      <c r="T2474" s="173"/>
      <c r="U2474" s="173"/>
      <c r="V2474" s="202"/>
      <c r="W2474" s="171"/>
      <c r="X2474" s="171"/>
    </row>
    <row r="2475" ht="15.0" customHeight="1">
      <c r="A2475" s="127">
        <v>45905.0</v>
      </c>
      <c r="B2475" s="475" t="s">
        <v>9033</v>
      </c>
      <c r="C2475" s="56" t="s">
        <v>3513</v>
      </c>
      <c r="D2475" s="73" t="str">
        <f>IFERROR(VLOOKUP(C2475,Stock,3,FALSE),"")</f>
        <v>Lembur</v>
      </c>
      <c r="E2475" s="56">
        <v>1.0</v>
      </c>
      <c r="F2475" s="161">
        <v>100000.0</v>
      </c>
      <c r="G2475" s="162">
        <f t="shared" si="40"/>
        <v>100000</v>
      </c>
      <c r="H2475" s="194"/>
      <c r="I2475" s="161">
        <f t="shared" si="41"/>
        <v>100000</v>
      </c>
      <c r="J2475" s="164">
        <f t="shared" si="42"/>
        <v>100000</v>
      </c>
      <c r="K2475" s="56" t="s">
        <v>7444</v>
      </c>
      <c r="L2475" s="165" t="s">
        <v>9034</v>
      </c>
      <c r="M2475" s="73"/>
      <c r="N2475" s="171"/>
      <c r="O2475" s="169" t="s">
        <v>2958</v>
      </c>
      <c r="P2475" s="168" t="s">
        <v>3112</v>
      </c>
      <c r="Q2475" s="167">
        <v>100000.0</v>
      </c>
      <c r="R2475" s="173"/>
      <c r="S2475" s="173"/>
      <c r="T2475" s="173"/>
      <c r="U2475" s="173"/>
      <c r="V2475" s="202"/>
      <c r="W2475" s="171"/>
      <c r="X2475" s="171"/>
    </row>
    <row r="2476" ht="15.0" customHeight="1">
      <c r="A2476" s="127">
        <v>45905.0</v>
      </c>
      <c r="B2476" s="475" t="s">
        <v>9035</v>
      </c>
      <c r="C2476" s="475" t="s">
        <v>2562</v>
      </c>
      <c r="D2476" s="73" t="str">
        <f>IFERROR(VLOOKUP(C2476,Stock,3,FALSE),"")</f>
        <v>Toyota Avanza / Xenia 15-21 3rd Gen</v>
      </c>
      <c r="E2476" s="56">
        <v>1.0</v>
      </c>
      <c r="F2476" s="161">
        <v>840000.0</v>
      </c>
      <c r="G2476" s="162">
        <f t="shared" si="40"/>
        <v>840000</v>
      </c>
      <c r="H2476" s="194"/>
      <c r="I2476" s="161">
        <f t="shared" si="41"/>
        <v>840000</v>
      </c>
      <c r="J2476" s="164">
        <f t="shared" si="42"/>
        <v>840000</v>
      </c>
      <c r="K2476" s="56" t="s">
        <v>9036</v>
      </c>
      <c r="L2476" s="165" t="s">
        <v>9037</v>
      </c>
      <c r="M2476" s="73"/>
      <c r="N2476" s="171"/>
      <c r="O2476" s="169" t="s">
        <v>2958</v>
      </c>
      <c r="P2476" s="168" t="s">
        <v>3112</v>
      </c>
      <c r="Q2476" s="167">
        <v>840000.0</v>
      </c>
      <c r="R2476" s="173"/>
      <c r="S2476" s="173"/>
      <c r="T2476" s="173"/>
      <c r="U2476" s="173"/>
      <c r="V2476" s="202"/>
      <c r="W2476" s="171"/>
      <c r="X2476" s="171"/>
    </row>
    <row r="2477" ht="15.0" customHeight="1">
      <c r="A2477" s="127">
        <v>45906.0</v>
      </c>
      <c r="B2477" s="475" t="s">
        <v>9038</v>
      </c>
      <c r="C2477" s="56" t="s">
        <v>4997</v>
      </c>
      <c r="D2477" s="73" t="str">
        <f>IFERROR(VLOOKUP(C2477,Stock,3,FALSE),"")</f>
        <v>Hyundai Stargazer 22-</v>
      </c>
      <c r="E2477" s="56">
        <v>1.0</v>
      </c>
      <c r="F2477" s="161">
        <v>1699000.0</v>
      </c>
      <c r="G2477" s="162">
        <f t="shared" si="40"/>
        <v>1699000</v>
      </c>
      <c r="H2477" s="194"/>
      <c r="I2477" s="161">
        <f t="shared" si="41"/>
        <v>1699000</v>
      </c>
      <c r="J2477" s="164">
        <f t="shared" si="42"/>
        <v>1699000</v>
      </c>
      <c r="K2477" s="56" t="s">
        <v>9039</v>
      </c>
      <c r="L2477" s="165" t="s">
        <v>9040</v>
      </c>
      <c r="M2477" s="73"/>
      <c r="N2477" s="169" t="s">
        <v>9041</v>
      </c>
      <c r="O2477" s="169" t="s">
        <v>2958</v>
      </c>
      <c r="P2477" s="168" t="s">
        <v>3112</v>
      </c>
      <c r="Q2477" s="173"/>
      <c r="R2477" s="167">
        <v>1699000.0</v>
      </c>
      <c r="S2477" s="173"/>
      <c r="T2477" s="173"/>
      <c r="U2477" s="173"/>
      <c r="V2477" s="202"/>
      <c r="W2477" s="171"/>
      <c r="X2477" s="171"/>
    </row>
    <row r="2478" ht="15.0" customHeight="1">
      <c r="A2478" s="127">
        <v>45906.0</v>
      </c>
      <c r="B2478" s="475" t="s">
        <v>9042</v>
      </c>
      <c r="C2478" s="475" t="s">
        <v>3099</v>
      </c>
      <c r="D2478" s="73" t="str">
        <f>IFERROR(VLOOKUP(C2478,Stock,3,FALSE),"")</f>
        <v>Toyota Calya / Sigra 16-</v>
      </c>
      <c r="E2478" s="56">
        <v>1.0</v>
      </c>
      <c r="F2478" s="161">
        <v>1170000.0</v>
      </c>
      <c r="G2478" s="162">
        <f t="shared" si="40"/>
        <v>1170000</v>
      </c>
      <c r="H2478" s="194"/>
      <c r="I2478" s="161">
        <f t="shared" si="41"/>
        <v>1170000</v>
      </c>
      <c r="J2478" s="164">
        <f t="shared" si="42"/>
        <v>1170000</v>
      </c>
      <c r="K2478" s="56" t="s">
        <v>4691</v>
      </c>
      <c r="L2478" s="165" t="s">
        <v>9043</v>
      </c>
      <c r="M2478" s="73"/>
      <c r="N2478" s="289" t="s">
        <v>9044</v>
      </c>
      <c r="O2478" s="169" t="s">
        <v>2958</v>
      </c>
      <c r="P2478" s="168" t="s">
        <v>3112</v>
      </c>
      <c r="Q2478" s="173"/>
      <c r="R2478" s="167">
        <v>1170000.0</v>
      </c>
      <c r="S2478" s="173"/>
      <c r="T2478" s="173"/>
      <c r="U2478" s="173"/>
      <c r="V2478" s="202"/>
      <c r="W2478" s="171"/>
      <c r="X2478" s="171"/>
    </row>
    <row r="2479" ht="15.0" customHeight="1">
      <c r="A2479" s="127">
        <v>45906.0</v>
      </c>
      <c r="B2479" s="475" t="s">
        <v>9045</v>
      </c>
      <c r="C2479" s="56" t="s">
        <v>3574</v>
      </c>
      <c r="D2479" s="73" t="str">
        <f>IFERROR(VLOOKUP(C2479,Stock,3,FALSE),"")</f>
        <v>Toyota Rush / Terios 06-17</v>
      </c>
      <c r="E2479" s="56">
        <v>1.0</v>
      </c>
      <c r="F2479" s="161">
        <v>949000.0</v>
      </c>
      <c r="G2479" s="162">
        <f t="shared" si="40"/>
        <v>949000</v>
      </c>
      <c r="H2479" s="194"/>
      <c r="I2479" s="161">
        <f t="shared" si="41"/>
        <v>949000</v>
      </c>
      <c r="J2479" s="164">
        <f t="shared" si="42"/>
        <v>949000</v>
      </c>
      <c r="K2479" s="307" t="s">
        <v>9046</v>
      </c>
      <c r="L2479" s="165" t="s">
        <v>9047</v>
      </c>
      <c r="M2479" s="73"/>
      <c r="N2479" s="171"/>
      <c r="O2479" s="169" t="s">
        <v>2958</v>
      </c>
      <c r="P2479" s="168" t="s">
        <v>3112</v>
      </c>
      <c r="Q2479" s="167">
        <v>949000.0</v>
      </c>
      <c r="R2479" s="173"/>
      <c r="S2479" s="173"/>
      <c r="T2479" s="173"/>
      <c r="U2479" s="173"/>
      <c r="V2479" s="202"/>
      <c r="W2479" s="171"/>
      <c r="X2479" s="171"/>
    </row>
    <row r="2480" ht="15.0" customHeight="1">
      <c r="A2480" s="127">
        <v>45906.0</v>
      </c>
      <c r="B2480" s="475" t="s">
        <v>9048</v>
      </c>
      <c r="C2480" s="56" t="s">
        <v>4907</v>
      </c>
      <c r="D2480" s="73" t="str">
        <f>IFERROR(VLOOKUP(C2480,Stock,3,FALSE),"")</f>
        <v>Nissan Livina 07-12 L10 (Tanpa Lubang)</v>
      </c>
      <c r="E2480" s="56">
        <v>1.0</v>
      </c>
      <c r="F2480" s="161">
        <v>1150000.0</v>
      </c>
      <c r="G2480" s="162">
        <f t="shared" si="40"/>
        <v>1150000</v>
      </c>
      <c r="H2480" s="194"/>
      <c r="I2480" s="161">
        <f t="shared" si="41"/>
        <v>1150000</v>
      </c>
      <c r="J2480" s="164">
        <f t="shared" si="42"/>
        <v>1150000</v>
      </c>
      <c r="K2480" s="56" t="s">
        <v>5679</v>
      </c>
      <c r="L2480" s="165" t="s">
        <v>9049</v>
      </c>
      <c r="M2480" s="73"/>
      <c r="N2480" s="171"/>
      <c r="O2480" s="169" t="s">
        <v>2958</v>
      </c>
      <c r="P2480" s="168" t="s">
        <v>3112</v>
      </c>
      <c r="Q2480" s="167">
        <v>1150000.0</v>
      </c>
      <c r="R2480" s="173"/>
      <c r="S2480" s="173"/>
      <c r="T2480" s="173"/>
      <c r="U2480" s="173"/>
      <c r="V2480" s="202"/>
      <c r="W2480" s="171"/>
      <c r="X2480" s="171"/>
    </row>
    <row r="2481" ht="15.0" customHeight="1">
      <c r="A2481" s="127">
        <v>45906.0</v>
      </c>
      <c r="B2481" s="181" t="s">
        <v>9050</v>
      </c>
      <c r="C2481" s="56" t="s">
        <v>2926</v>
      </c>
      <c r="D2481" s="73" t="str">
        <f>IFERROR(VLOOKUP(C2481,Stock,3,FALSE),"")</f>
        <v>Honda Jazz 01-07 1st Gen</v>
      </c>
      <c r="E2481" s="56">
        <v>1.0</v>
      </c>
      <c r="F2481" s="161">
        <v>1524000.0</v>
      </c>
      <c r="G2481" s="162">
        <f t="shared" si="40"/>
        <v>1524000</v>
      </c>
      <c r="H2481" s="194"/>
      <c r="I2481" s="161">
        <f t="shared" si="41"/>
        <v>1524000</v>
      </c>
      <c r="J2481" s="164">
        <f t="shared" si="42"/>
        <v>1524000</v>
      </c>
      <c r="K2481" s="56" t="s">
        <v>9051</v>
      </c>
      <c r="L2481" s="165" t="s">
        <v>9052</v>
      </c>
      <c r="M2481" s="73"/>
      <c r="N2481" s="171"/>
      <c r="O2481" s="169" t="s">
        <v>2958</v>
      </c>
      <c r="P2481" s="168" t="s">
        <v>3112</v>
      </c>
      <c r="Q2481" s="167">
        <v>1524000.0</v>
      </c>
      <c r="R2481" s="173"/>
      <c r="S2481" s="173"/>
      <c r="T2481" s="173"/>
      <c r="U2481" s="173"/>
      <c r="V2481" s="202"/>
      <c r="W2481" s="171"/>
      <c r="X2481" s="171"/>
    </row>
    <row r="2482" ht="15.0" customHeight="1">
      <c r="A2482" s="127">
        <v>45906.0</v>
      </c>
      <c r="B2482" s="181" t="s">
        <v>9053</v>
      </c>
      <c r="C2482" s="475" t="s">
        <v>3290</v>
      </c>
      <c r="D2482" s="73" t="str">
        <f>IFERROR(VLOOKUP(C2482,Stock,3,FALSE),"")</f>
        <v>Toyota Innova 04-15 1st Gen</v>
      </c>
      <c r="E2482" s="56">
        <v>1.0</v>
      </c>
      <c r="F2482" s="161">
        <v>1449000.0</v>
      </c>
      <c r="G2482" s="162">
        <f t="shared" si="40"/>
        <v>1449000</v>
      </c>
      <c r="H2482" s="194"/>
      <c r="I2482" s="161">
        <f t="shared" si="41"/>
        <v>1449000</v>
      </c>
      <c r="J2482" s="164">
        <f t="shared" si="42"/>
        <v>1449000</v>
      </c>
      <c r="K2482" s="56" t="s">
        <v>4993</v>
      </c>
      <c r="L2482" s="165" t="s">
        <v>9054</v>
      </c>
      <c r="M2482" s="73"/>
      <c r="N2482" s="171"/>
      <c r="O2482" s="169" t="s">
        <v>2958</v>
      </c>
      <c r="P2482" s="168" t="s">
        <v>3112</v>
      </c>
      <c r="Q2482" s="167">
        <v>1449000.0</v>
      </c>
      <c r="R2482" s="173"/>
      <c r="S2482" s="173"/>
      <c r="T2482" s="173"/>
      <c r="U2482" s="173"/>
      <c r="V2482" s="202"/>
      <c r="W2482" s="171"/>
      <c r="X2482" s="171"/>
    </row>
    <row r="2483" ht="15.0" customHeight="1">
      <c r="A2483" s="127">
        <v>45906.0</v>
      </c>
      <c r="B2483" s="181" t="s">
        <v>9053</v>
      </c>
      <c r="C2483" s="56" t="s">
        <v>3355</v>
      </c>
      <c r="D2483" s="73" t="str">
        <f>IFERROR(VLOOKUP(C2483,Stock,3,FALSE),"")</f>
        <v>List Kaca Depan INV</v>
      </c>
      <c r="E2483" s="56">
        <v>1.0</v>
      </c>
      <c r="F2483" s="161">
        <v>315000.0</v>
      </c>
      <c r="G2483" s="162">
        <f t="shared" si="40"/>
        <v>315000</v>
      </c>
      <c r="H2483" s="194"/>
      <c r="I2483" s="161">
        <f t="shared" si="41"/>
        <v>315000</v>
      </c>
      <c r="J2483" s="164">
        <f t="shared" si="42"/>
        <v>315000</v>
      </c>
      <c r="K2483" s="56" t="s">
        <v>4993</v>
      </c>
      <c r="L2483" s="165" t="s">
        <v>9054</v>
      </c>
      <c r="M2483" s="73"/>
      <c r="N2483" s="171"/>
      <c r="O2483" s="169" t="s">
        <v>2958</v>
      </c>
      <c r="P2483" s="168" t="s">
        <v>3112</v>
      </c>
      <c r="Q2483" s="167">
        <v>315000.0</v>
      </c>
      <c r="R2483" s="173"/>
      <c r="S2483" s="173"/>
      <c r="T2483" s="173"/>
      <c r="U2483" s="173"/>
      <c r="V2483" s="202"/>
      <c r="W2483" s="171"/>
      <c r="X2483" s="171"/>
    </row>
    <row r="2484" ht="15.0" customHeight="1">
      <c r="A2484" s="127">
        <v>45906.0</v>
      </c>
      <c r="B2484" s="181" t="s">
        <v>9055</v>
      </c>
      <c r="C2484" s="475" t="s">
        <v>2562</v>
      </c>
      <c r="D2484" s="73" t="str">
        <f>IFERROR(VLOOKUP(C2484,Stock,3,FALSE),"")</f>
        <v>Toyota Avanza / Xenia 15-21 3rd Gen</v>
      </c>
      <c r="E2484" s="56">
        <v>1.0</v>
      </c>
      <c r="F2484" s="161">
        <v>1020000.0</v>
      </c>
      <c r="G2484" s="162">
        <f t="shared" si="40"/>
        <v>1020000</v>
      </c>
      <c r="H2484" s="194"/>
      <c r="I2484" s="161">
        <f t="shared" si="41"/>
        <v>1020000</v>
      </c>
      <c r="J2484" s="164">
        <f t="shared" si="42"/>
        <v>1020000</v>
      </c>
      <c r="K2484" s="56" t="s">
        <v>9056</v>
      </c>
      <c r="L2484" s="165" t="s">
        <v>9057</v>
      </c>
      <c r="M2484" s="73"/>
      <c r="N2484" s="169" t="s">
        <v>9058</v>
      </c>
      <c r="O2484" s="169" t="s">
        <v>2958</v>
      </c>
      <c r="P2484" s="168" t="s">
        <v>3112</v>
      </c>
      <c r="Q2484" s="167">
        <v>1020000.0</v>
      </c>
      <c r="R2484" s="173"/>
      <c r="S2484" s="173"/>
      <c r="T2484" s="173"/>
      <c r="U2484" s="173"/>
      <c r="V2484" s="202"/>
      <c r="W2484" s="171"/>
      <c r="X2484" s="171"/>
    </row>
    <row r="2485" ht="15.0" customHeight="1">
      <c r="A2485" s="127">
        <v>45906.0</v>
      </c>
      <c r="B2485" s="181" t="s">
        <v>9059</v>
      </c>
      <c r="C2485" s="475" t="s">
        <v>2729</v>
      </c>
      <c r="D2485" s="73" t="str">
        <f>IFERROR(VLOOKUP(C2485,Stock,3,FALSE),"")</f>
        <v>Honda HR-V 14-21 5D SUV</v>
      </c>
      <c r="E2485" s="56">
        <v>1.0</v>
      </c>
      <c r="F2485" s="161">
        <v>1956000.0</v>
      </c>
      <c r="G2485" s="162">
        <f t="shared" si="40"/>
        <v>1956000</v>
      </c>
      <c r="H2485" s="194"/>
      <c r="I2485" s="161">
        <f t="shared" si="41"/>
        <v>1956000</v>
      </c>
      <c r="J2485" s="164">
        <f t="shared" si="42"/>
        <v>1956000</v>
      </c>
      <c r="K2485" s="56" t="s">
        <v>9060</v>
      </c>
      <c r="L2485" s="165" t="s">
        <v>9061</v>
      </c>
      <c r="M2485" s="73"/>
      <c r="N2485" s="169" t="s">
        <v>9062</v>
      </c>
      <c r="O2485" s="169" t="s">
        <v>2958</v>
      </c>
      <c r="P2485" s="168" t="s">
        <v>3112</v>
      </c>
      <c r="Q2485" s="173"/>
      <c r="R2485" s="167">
        <v>1956000.0</v>
      </c>
      <c r="S2485" s="173"/>
      <c r="T2485" s="173"/>
      <c r="U2485" s="173"/>
      <c r="V2485" s="202"/>
      <c r="W2485" s="171"/>
      <c r="X2485" s="171"/>
    </row>
    <row r="2486" ht="15.0" customHeight="1">
      <c r="A2486" s="127">
        <v>45906.0</v>
      </c>
      <c r="B2486" s="181" t="s">
        <v>9063</v>
      </c>
      <c r="C2486" s="56" t="s">
        <v>4775</v>
      </c>
      <c r="D2486" s="73" t="str">
        <f>IFERROR(VLOOKUP(C2486,Stock,3,FALSE),"")</f>
        <v>Toyota Avanza / Xenia 11-15 2nd Gen / 15-21 3rd Gen</v>
      </c>
      <c r="E2486" s="56">
        <v>1.0</v>
      </c>
      <c r="F2486" s="161">
        <v>880000.0</v>
      </c>
      <c r="G2486" s="162">
        <f t="shared" si="40"/>
        <v>880000</v>
      </c>
      <c r="H2486" s="194"/>
      <c r="I2486" s="161">
        <f t="shared" si="41"/>
        <v>880000</v>
      </c>
      <c r="J2486" s="164">
        <f t="shared" si="42"/>
        <v>880000</v>
      </c>
      <c r="K2486" s="56" t="s">
        <v>8315</v>
      </c>
      <c r="L2486" s="165" t="s">
        <v>9064</v>
      </c>
      <c r="M2486" s="73"/>
      <c r="N2486" s="169" t="s">
        <v>9065</v>
      </c>
      <c r="O2486" s="169" t="s">
        <v>2958</v>
      </c>
      <c r="P2486" s="168" t="s">
        <v>3112</v>
      </c>
      <c r="Q2486" s="173"/>
      <c r="R2486" s="167">
        <v>880000.0</v>
      </c>
      <c r="S2486" s="173"/>
      <c r="T2486" s="173"/>
      <c r="U2486" s="173"/>
      <c r="V2486" s="202"/>
      <c r="W2486" s="171"/>
      <c r="X2486" s="171"/>
    </row>
    <row r="2487" ht="15.0" customHeight="1">
      <c r="A2487" s="127">
        <v>45906.0</v>
      </c>
      <c r="B2487" s="181" t="s">
        <v>9066</v>
      </c>
      <c r="C2487" s="475" t="s">
        <v>6738</v>
      </c>
      <c r="D2487" s="73" t="str">
        <f>IFERROR(VLOOKUP(C2487,Stock,3,FALSE),"")</f>
        <v>Honda Jazz 13- 3rd Gen</v>
      </c>
      <c r="E2487" s="56">
        <v>1.0</v>
      </c>
      <c r="F2487" s="161">
        <v>1333000.0</v>
      </c>
      <c r="G2487" s="162">
        <f t="shared" si="40"/>
        <v>1333000</v>
      </c>
      <c r="H2487" s="194"/>
      <c r="I2487" s="161">
        <f t="shared" si="41"/>
        <v>1333000</v>
      </c>
      <c r="J2487" s="164">
        <f t="shared" si="42"/>
        <v>1333000</v>
      </c>
      <c r="K2487" s="56" t="s">
        <v>9067</v>
      </c>
      <c r="L2487" s="165" t="s">
        <v>9068</v>
      </c>
      <c r="M2487" s="73"/>
      <c r="N2487" s="169" t="s">
        <v>9069</v>
      </c>
      <c r="O2487" s="169" t="s">
        <v>2958</v>
      </c>
      <c r="P2487" s="168" t="s">
        <v>3112</v>
      </c>
      <c r="Q2487" s="173"/>
      <c r="R2487" s="167">
        <v>1333000.0</v>
      </c>
      <c r="S2487" s="173"/>
      <c r="T2487" s="173"/>
      <c r="U2487" s="173"/>
      <c r="V2487" s="202"/>
      <c r="W2487" s="171"/>
      <c r="X2487" s="171"/>
    </row>
    <row r="2488" ht="15.0" customHeight="1">
      <c r="A2488" s="127">
        <v>45906.0</v>
      </c>
      <c r="B2488" s="181" t="s">
        <v>9066</v>
      </c>
      <c r="C2488" s="56" t="s">
        <v>3513</v>
      </c>
      <c r="D2488" s="73" t="str">
        <f>IFERROR(VLOOKUP(C2488,Stock,3,FALSE),"")</f>
        <v>Lembur</v>
      </c>
      <c r="E2488" s="56">
        <v>1.0</v>
      </c>
      <c r="F2488" s="161">
        <v>100000.0</v>
      </c>
      <c r="G2488" s="162">
        <f t="shared" si="40"/>
        <v>100000</v>
      </c>
      <c r="H2488" s="194"/>
      <c r="I2488" s="161">
        <f t="shared" si="41"/>
        <v>100000</v>
      </c>
      <c r="J2488" s="164">
        <f t="shared" si="42"/>
        <v>100000</v>
      </c>
      <c r="K2488" s="56" t="s">
        <v>9067</v>
      </c>
      <c r="L2488" s="165" t="s">
        <v>9068</v>
      </c>
      <c r="M2488" s="73"/>
      <c r="N2488" s="169" t="s">
        <v>9069</v>
      </c>
      <c r="O2488" s="169" t="s">
        <v>2958</v>
      </c>
      <c r="P2488" s="168" t="s">
        <v>3112</v>
      </c>
      <c r="Q2488" s="173"/>
      <c r="R2488" s="167">
        <v>100000.0</v>
      </c>
      <c r="S2488" s="173"/>
      <c r="T2488" s="173"/>
      <c r="U2488" s="173"/>
      <c r="V2488" s="202"/>
      <c r="W2488" s="171"/>
      <c r="X2488" s="171"/>
    </row>
    <row r="2489" ht="15.0" customHeight="1">
      <c r="A2489" s="127">
        <v>45907.0</v>
      </c>
      <c r="B2489" s="181" t="s">
        <v>9070</v>
      </c>
      <c r="C2489" s="475" t="s">
        <v>4901</v>
      </c>
      <c r="D2489" s="73" t="str">
        <f>IFERROR(VLOOKUP(C2489,Stock,3,FALSE),"")</f>
        <v>Toyota Rush / Terios 18-</v>
      </c>
      <c r="E2489" s="56">
        <v>1.0</v>
      </c>
      <c r="F2489" s="161">
        <v>1350000.0</v>
      </c>
      <c r="G2489" s="162">
        <f t="shared" si="40"/>
        <v>1350000</v>
      </c>
      <c r="H2489" s="201">
        <v>100000.0</v>
      </c>
      <c r="I2489" s="161">
        <f t="shared" si="41"/>
        <v>1250000</v>
      </c>
      <c r="J2489" s="164">
        <f t="shared" si="42"/>
        <v>1250000</v>
      </c>
      <c r="K2489" s="56" t="s">
        <v>5011</v>
      </c>
      <c r="L2489" s="165" t="s">
        <v>9071</v>
      </c>
      <c r="M2489" s="73"/>
      <c r="N2489" s="169" t="s">
        <v>9072</v>
      </c>
      <c r="O2489" s="169" t="s">
        <v>3204</v>
      </c>
      <c r="P2489" s="168" t="s">
        <v>3112</v>
      </c>
      <c r="Q2489" s="167">
        <v>1250000.0</v>
      </c>
      <c r="R2489" s="173"/>
      <c r="S2489" s="173"/>
      <c r="T2489" s="173"/>
      <c r="U2489" s="173"/>
      <c r="V2489" s="202"/>
      <c r="W2489" s="171"/>
      <c r="X2489" s="171"/>
    </row>
    <row r="2490" ht="15.0" customHeight="1">
      <c r="A2490" s="127">
        <v>45907.0</v>
      </c>
      <c r="B2490" s="181" t="s">
        <v>9073</v>
      </c>
      <c r="C2490" s="56" t="s">
        <v>2819</v>
      </c>
      <c r="D2490" s="73" t="str">
        <f>IFERROR(VLOOKUP(C2490,Stock,3,FALSE),"")</f>
        <v>Toyota Rush / Terios 06-17</v>
      </c>
      <c r="E2490" s="56">
        <v>1.0</v>
      </c>
      <c r="F2490" s="161">
        <v>650000.0</v>
      </c>
      <c r="G2490" s="162">
        <f t="shared" si="40"/>
        <v>650000</v>
      </c>
      <c r="H2490" s="194"/>
      <c r="I2490" s="161">
        <f t="shared" si="41"/>
        <v>650000</v>
      </c>
      <c r="J2490" s="164">
        <f t="shared" si="42"/>
        <v>650000</v>
      </c>
      <c r="K2490" s="56" t="s">
        <v>9074</v>
      </c>
      <c r="L2490" s="165" t="s">
        <v>9075</v>
      </c>
      <c r="M2490" s="73"/>
      <c r="N2490" s="171"/>
      <c r="O2490" s="169" t="s">
        <v>3037</v>
      </c>
      <c r="P2490" s="168" t="s">
        <v>3112</v>
      </c>
      <c r="Q2490" s="167">
        <v>650000.0</v>
      </c>
      <c r="R2490" s="173"/>
      <c r="S2490" s="173"/>
      <c r="T2490" s="173"/>
      <c r="U2490" s="173"/>
      <c r="V2490" s="202"/>
      <c r="W2490" s="171"/>
      <c r="X2490" s="171"/>
    </row>
    <row r="2491" ht="15.0" customHeight="1">
      <c r="A2491" s="127">
        <v>45908.0</v>
      </c>
      <c r="B2491" s="181" t="s">
        <v>9076</v>
      </c>
      <c r="C2491" s="475" t="s">
        <v>3451</v>
      </c>
      <c r="D2491" s="73" t="str">
        <f>IFERROR(VLOOKUP(C2491,Stock,3,FALSE),"")</f>
        <v>Toyota Rush / Terios 18-</v>
      </c>
      <c r="E2491" s="56">
        <v>1.0</v>
      </c>
      <c r="F2491" s="161">
        <v>1360000.0</v>
      </c>
      <c r="G2491" s="162">
        <f t="shared" si="40"/>
        <v>1360000</v>
      </c>
      <c r="H2491" s="201">
        <v>100000.0</v>
      </c>
      <c r="I2491" s="161">
        <f t="shared" si="41"/>
        <v>1260000</v>
      </c>
      <c r="J2491" s="164">
        <f t="shared" si="42"/>
        <v>1260000</v>
      </c>
      <c r="K2491" s="56" t="s">
        <v>9077</v>
      </c>
      <c r="L2491" s="165" t="s">
        <v>9078</v>
      </c>
      <c r="M2491" s="73"/>
      <c r="N2491" s="171"/>
      <c r="O2491" s="169" t="s">
        <v>2958</v>
      </c>
      <c r="P2491" s="168" t="s">
        <v>3112</v>
      </c>
      <c r="Q2491" s="173"/>
      <c r="R2491" s="167">
        <v>1260000.0</v>
      </c>
      <c r="S2491" s="173"/>
      <c r="T2491" s="173"/>
      <c r="U2491" s="173"/>
      <c r="V2491" s="202"/>
      <c r="W2491" s="171"/>
      <c r="X2491" s="171"/>
    </row>
    <row r="2492" ht="15.0" customHeight="1">
      <c r="A2492" s="127">
        <v>45908.0</v>
      </c>
      <c r="B2492" s="181" t="s">
        <v>9079</v>
      </c>
      <c r="C2492" s="56" t="s">
        <v>3068</v>
      </c>
      <c r="D2492" s="73" t="str">
        <f>IFERROR(VLOOKUP(C2492,Stock,3,FALSE),"")</f>
        <v>Honda Brio 10- / Mobilio 11-</v>
      </c>
      <c r="E2492" s="56">
        <v>1.0</v>
      </c>
      <c r="F2492" s="161">
        <v>1300000.0</v>
      </c>
      <c r="G2492" s="162">
        <f t="shared" si="40"/>
        <v>1300000</v>
      </c>
      <c r="H2492" s="194"/>
      <c r="I2492" s="161">
        <f t="shared" si="41"/>
        <v>1300000</v>
      </c>
      <c r="J2492" s="164">
        <f t="shared" si="42"/>
        <v>1300000</v>
      </c>
      <c r="K2492" s="56" t="s">
        <v>9080</v>
      </c>
      <c r="L2492" s="165" t="s">
        <v>9081</v>
      </c>
      <c r="M2492" s="73"/>
      <c r="N2492" s="171"/>
      <c r="O2492" s="169" t="s">
        <v>2958</v>
      </c>
      <c r="P2492" s="168" t="s">
        <v>3112</v>
      </c>
      <c r="Q2492" s="173"/>
      <c r="R2492" s="167">
        <v>1300000.0</v>
      </c>
      <c r="S2492" s="173"/>
      <c r="T2492" s="173"/>
      <c r="U2492" s="173"/>
      <c r="V2492" s="202"/>
      <c r="W2492" s="171"/>
      <c r="X2492" s="171"/>
    </row>
    <row r="2493" ht="15.0" customHeight="1">
      <c r="A2493" s="127">
        <v>45909.0</v>
      </c>
      <c r="B2493" s="181" t="s">
        <v>9082</v>
      </c>
      <c r="C2493" s="475" t="s">
        <v>3085</v>
      </c>
      <c r="D2493" s="73" t="str">
        <f>IFERROR(VLOOKUP(C2493,Stock,3,FALSE),"")</f>
        <v>Honda Jazz 07-13 2nd Gen</v>
      </c>
      <c r="E2493" s="56">
        <v>1.0</v>
      </c>
      <c r="F2493" s="161">
        <v>1287000.0</v>
      </c>
      <c r="G2493" s="162">
        <f t="shared" si="40"/>
        <v>1287000</v>
      </c>
      <c r="H2493" s="194"/>
      <c r="I2493" s="161">
        <f t="shared" si="41"/>
        <v>1287000</v>
      </c>
      <c r="J2493" s="164">
        <f t="shared" si="42"/>
        <v>1287000</v>
      </c>
      <c r="K2493" s="56" t="s">
        <v>9083</v>
      </c>
      <c r="L2493" s="165" t="s">
        <v>9084</v>
      </c>
      <c r="M2493" s="73"/>
      <c r="N2493" s="169" t="s">
        <v>9085</v>
      </c>
      <c r="O2493" s="169" t="s">
        <v>2958</v>
      </c>
      <c r="P2493" s="168" t="s">
        <v>3112</v>
      </c>
      <c r="Q2493" s="167">
        <v>1287000.0</v>
      </c>
      <c r="R2493" s="173"/>
      <c r="S2493" s="173"/>
      <c r="T2493" s="173"/>
      <c r="U2493" s="173"/>
      <c r="V2493" s="202"/>
      <c r="W2493" s="171"/>
      <c r="X2493" s="171"/>
    </row>
    <row r="2494" ht="15.0" customHeight="1">
      <c r="A2494" s="127">
        <v>45909.0</v>
      </c>
      <c r="B2494" s="181" t="s">
        <v>9086</v>
      </c>
      <c r="C2494" s="56" t="s">
        <v>2661</v>
      </c>
      <c r="D2494" s="73" t="str">
        <f>IFERROR(VLOOKUP(C2494,Stock,3,FALSE),"")</f>
        <v>Isuzu Panther 00- 2nd Gen (Isuzu)</v>
      </c>
      <c r="E2494" s="56">
        <v>1.0</v>
      </c>
      <c r="F2494" s="161">
        <v>1599000.0</v>
      </c>
      <c r="G2494" s="162">
        <f t="shared" si="40"/>
        <v>1599000</v>
      </c>
      <c r="H2494" s="194"/>
      <c r="I2494" s="161">
        <f t="shared" si="41"/>
        <v>1599000</v>
      </c>
      <c r="J2494" s="164">
        <f t="shared" si="42"/>
        <v>1599000</v>
      </c>
      <c r="K2494" s="56" t="s">
        <v>8884</v>
      </c>
      <c r="L2494" s="165" t="s">
        <v>9087</v>
      </c>
      <c r="M2494" s="73"/>
      <c r="N2494" s="169" t="s">
        <v>3213</v>
      </c>
      <c r="O2494" s="169" t="s">
        <v>2958</v>
      </c>
      <c r="P2494" s="168" t="s">
        <v>3112</v>
      </c>
      <c r="Q2494" s="167">
        <v>1599000.0</v>
      </c>
      <c r="R2494" s="173"/>
      <c r="S2494" s="173"/>
      <c r="T2494" s="173"/>
      <c r="U2494" s="173"/>
      <c r="V2494" s="202"/>
      <c r="W2494" s="171"/>
      <c r="X2494" s="171"/>
    </row>
    <row r="2495" ht="15.0" customHeight="1">
      <c r="A2495" s="127">
        <v>45910.0</v>
      </c>
      <c r="B2495" s="181" t="s">
        <v>9088</v>
      </c>
      <c r="C2495" s="56" t="s">
        <v>2723</v>
      </c>
      <c r="D2495" s="73" t="str">
        <f>IFERROR(VLOOKUP(C2495,Stock,3,FALSE),"")</f>
        <v>Suzuki Carry New 19-</v>
      </c>
      <c r="E2495" s="56">
        <v>1.0</v>
      </c>
      <c r="F2495" s="161">
        <v>1190000.0</v>
      </c>
      <c r="G2495" s="162">
        <f t="shared" si="40"/>
        <v>1190000</v>
      </c>
      <c r="H2495" s="194"/>
      <c r="I2495" s="161">
        <f t="shared" si="41"/>
        <v>1190000</v>
      </c>
      <c r="J2495" s="164">
        <f t="shared" si="42"/>
        <v>1190000</v>
      </c>
      <c r="K2495" s="307" t="s">
        <v>9089</v>
      </c>
      <c r="L2495" s="165" t="s">
        <v>9090</v>
      </c>
      <c r="M2495" s="73"/>
      <c r="N2495" s="169" t="s">
        <v>9091</v>
      </c>
      <c r="O2495" s="169" t="s">
        <v>2958</v>
      </c>
      <c r="P2495" s="168" t="s">
        <v>3112</v>
      </c>
      <c r="Q2495" s="173"/>
      <c r="R2495" s="167">
        <v>1190000.0</v>
      </c>
      <c r="S2495" s="173"/>
      <c r="T2495" s="173"/>
      <c r="U2495" s="173"/>
      <c r="V2495" s="202"/>
      <c r="W2495" s="171"/>
      <c r="X2495" s="171"/>
    </row>
    <row r="2496" ht="15.0" customHeight="1">
      <c r="A2496" s="127">
        <v>45910.0</v>
      </c>
      <c r="B2496" s="181" t="s">
        <v>9092</v>
      </c>
      <c r="C2496" s="56" t="s">
        <v>3045</v>
      </c>
      <c r="D2496" s="73" t="str">
        <f>IFERROR(VLOOKUP(C2496,Stock,3,FALSE),"")</f>
        <v>Pemasangan Kaca Mobil Depan</v>
      </c>
      <c r="E2496" s="56">
        <v>1.0</v>
      </c>
      <c r="F2496" s="161">
        <v>600000.0</v>
      </c>
      <c r="G2496" s="162">
        <f t="shared" si="40"/>
        <v>600000</v>
      </c>
      <c r="H2496" s="194"/>
      <c r="I2496" s="161">
        <f t="shared" si="41"/>
        <v>600000</v>
      </c>
      <c r="J2496" s="164">
        <f t="shared" si="42"/>
        <v>600000</v>
      </c>
      <c r="K2496" s="56" t="s">
        <v>9093</v>
      </c>
      <c r="L2496" s="165" t="s">
        <v>9094</v>
      </c>
      <c r="M2496" s="73"/>
      <c r="N2496" s="171"/>
      <c r="O2496" s="169" t="s">
        <v>2958</v>
      </c>
      <c r="P2496" s="168" t="s">
        <v>3112</v>
      </c>
      <c r="Q2496" s="167">
        <v>600000.0</v>
      </c>
      <c r="R2496" s="173"/>
      <c r="S2496" s="173"/>
      <c r="T2496" s="173"/>
      <c r="U2496" s="173"/>
      <c r="V2496" s="202"/>
      <c r="W2496" s="171"/>
      <c r="X2496" s="171"/>
    </row>
    <row r="2497" ht="15.0" customHeight="1">
      <c r="A2497" s="127">
        <v>45910.0</v>
      </c>
      <c r="B2497" s="181" t="s">
        <v>9092</v>
      </c>
      <c r="C2497" s="56" t="s">
        <v>2954</v>
      </c>
      <c r="D2497" s="73" t="str">
        <f>IFERROR(VLOOKUP(C2497,Stock,3,FALSE),"")</f>
        <v>Transport</v>
      </c>
      <c r="E2497" s="56">
        <v>1.0</v>
      </c>
      <c r="F2497" s="161">
        <v>50000.0</v>
      </c>
      <c r="G2497" s="162">
        <f t="shared" si="40"/>
        <v>50000</v>
      </c>
      <c r="H2497" s="194"/>
      <c r="I2497" s="161">
        <f t="shared" si="41"/>
        <v>50000</v>
      </c>
      <c r="J2497" s="164">
        <f t="shared" si="42"/>
        <v>50000</v>
      </c>
      <c r="K2497" s="56" t="s">
        <v>9093</v>
      </c>
      <c r="L2497" s="165" t="s">
        <v>9094</v>
      </c>
      <c r="M2497" s="73"/>
      <c r="N2497" s="171"/>
      <c r="O2497" s="169" t="s">
        <v>2958</v>
      </c>
      <c r="P2497" s="168" t="s">
        <v>3112</v>
      </c>
      <c r="Q2497" s="167">
        <v>20000.0</v>
      </c>
      <c r="R2497" s="167">
        <v>30000.0</v>
      </c>
      <c r="S2497" s="173"/>
      <c r="T2497" s="173"/>
      <c r="U2497" s="173"/>
      <c r="V2497" s="202"/>
      <c r="W2497" s="171"/>
      <c r="X2497" s="171"/>
    </row>
    <row r="2498" ht="15.0" customHeight="1">
      <c r="A2498" s="127">
        <v>45910.0</v>
      </c>
      <c r="B2498" s="181" t="s">
        <v>9095</v>
      </c>
      <c r="C2498" s="475" t="s">
        <v>3099</v>
      </c>
      <c r="D2498" s="73" t="str">
        <f>IFERROR(VLOOKUP(C2498,Stock,3,FALSE),"")</f>
        <v>Toyota Calya / Sigra 16-</v>
      </c>
      <c r="E2498" s="56">
        <v>1.0</v>
      </c>
      <c r="F2498" s="161">
        <v>1150000.0</v>
      </c>
      <c r="G2498" s="162">
        <f t="shared" si="40"/>
        <v>1150000</v>
      </c>
      <c r="H2498" s="194"/>
      <c r="I2498" s="161">
        <f t="shared" si="41"/>
        <v>1150000</v>
      </c>
      <c r="J2498" s="164">
        <f t="shared" si="42"/>
        <v>1150000</v>
      </c>
      <c r="K2498" s="56" t="s">
        <v>9096</v>
      </c>
      <c r="L2498" s="165" t="s">
        <v>9097</v>
      </c>
      <c r="M2498" s="73"/>
      <c r="N2498" s="171"/>
      <c r="O2498" s="169" t="s">
        <v>2958</v>
      </c>
      <c r="P2498" s="168" t="s">
        <v>3112</v>
      </c>
      <c r="Q2498" s="173"/>
      <c r="R2498" s="167">
        <v>1150000.0</v>
      </c>
      <c r="S2498" s="173"/>
      <c r="T2498" s="173"/>
      <c r="U2498" s="173"/>
      <c r="V2498" s="202"/>
      <c r="W2498" s="171"/>
      <c r="X2498" s="171"/>
    </row>
    <row r="2499" ht="15.0" customHeight="1">
      <c r="A2499" s="127">
        <v>45910.0</v>
      </c>
      <c r="B2499" s="181" t="s">
        <v>9098</v>
      </c>
      <c r="C2499" s="475" t="s">
        <v>2704</v>
      </c>
      <c r="D2499" s="73" t="str">
        <f>IFERROR(VLOOKUP(C2499,Stock,3,FALSE),"")</f>
        <v>Toyota Hi-Ace 19- Premio</v>
      </c>
      <c r="E2499" s="56">
        <v>1.0</v>
      </c>
      <c r="F2499" s="161">
        <v>1644000.0</v>
      </c>
      <c r="G2499" s="162">
        <f t="shared" si="40"/>
        <v>1644000</v>
      </c>
      <c r="H2499" s="194"/>
      <c r="I2499" s="161">
        <f t="shared" si="41"/>
        <v>1644000</v>
      </c>
      <c r="J2499" s="164">
        <f t="shared" si="42"/>
        <v>1644000</v>
      </c>
      <c r="K2499" s="56" t="s">
        <v>9099</v>
      </c>
      <c r="L2499" s="165" t="s">
        <v>9100</v>
      </c>
      <c r="M2499" s="73"/>
      <c r="N2499" s="171"/>
      <c r="O2499" s="329" t="s">
        <v>9101</v>
      </c>
      <c r="P2499" s="168" t="s">
        <v>3112</v>
      </c>
      <c r="Q2499" s="173"/>
      <c r="R2499" s="167">
        <v>1644000.0</v>
      </c>
      <c r="S2499" s="173"/>
      <c r="T2499" s="173"/>
      <c r="U2499" s="173"/>
      <c r="V2499" s="202"/>
      <c r="W2499" s="171"/>
      <c r="X2499" s="171"/>
    </row>
    <row r="2500" ht="15.0" customHeight="1">
      <c r="A2500" s="127">
        <v>45910.0</v>
      </c>
      <c r="B2500" s="181" t="s">
        <v>9098</v>
      </c>
      <c r="C2500" s="56" t="s">
        <v>2934</v>
      </c>
      <c r="D2500" s="73" t="str">
        <f>IFERROR(VLOOKUP(C2500,Stock,3,FALSE),"")</f>
        <v>Peti Kayu</v>
      </c>
      <c r="E2500" s="56">
        <v>1.0</v>
      </c>
      <c r="F2500" s="161">
        <v>200000.0</v>
      </c>
      <c r="G2500" s="162">
        <f t="shared" si="40"/>
        <v>200000</v>
      </c>
      <c r="H2500" s="194"/>
      <c r="I2500" s="161">
        <f t="shared" si="41"/>
        <v>200000</v>
      </c>
      <c r="J2500" s="164">
        <f t="shared" si="42"/>
        <v>200000</v>
      </c>
      <c r="K2500" s="56" t="s">
        <v>9099</v>
      </c>
      <c r="L2500" s="165" t="s">
        <v>9100</v>
      </c>
      <c r="M2500" s="73"/>
      <c r="N2500" s="171"/>
      <c r="O2500" s="329" t="s">
        <v>9101</v>
      </c>
      <c r="P2500" s="168" t="s">
        <v>3112</v>
      </c>
      <c r="Q2500" s="173"/>
      <c r="R2500" s="167">
        <v>200000.0</v>
      </c>
      <c r="S2500" s="173"/>
      <c r="T2500" s="173"/>
      <c r="U2500" s="173"/>
      <c r="V2500" s="202"/>
      <c r="W2500" s="171"/>
      <c r="X2500" s="171"/>
    </row>
    <row r="2501" ht="15.0" customHeight="1">
      <c r="A2501" s="127">
        <v>45911.0</v>
      </c>
      <c r="B2501" s="181" t="s">
        <v>9102</v>
      </c>
      <c r="C2501" s="475" t="s">
        <v>7127</v>
      </c>
      <c r="D2501" s="73" t="str">
        <f>IFERROR(VLOOKUP(C2501,Stock,3,FALSE),"")</f>
        <v>Toyota Rush / Terios 18-</v>
      </c>
      <c r="E2501" s="56">
        <v>1.0</v>
      </c>
      <c r="F2501" s="161">
        <v>760000.0</v>
      </c>
      <c r="G2501" s="162">
        <f t="shared" si="40"/>
        <v>760000</v>
      </c>
      <c r="H2501" s="194"/>
      <c r="I2501" s="161">
        <f t="shared" si="41"/>
        <v>760000</v>
      </c>
      <c r="J2501" s="164">
        <f t="shared" si="42"/>
        <v>760000</v>
      </c>
      <c r="K2501" s="56" t="s">
        <v>9103</v>
      </c>
      <c r="L2501" s="165" t="s">
        <v>9104</v>
      </c>
      <c r="M2501" s="73"/>
      <c r="N2501" s="171"/>
      <c r="O2501" s="169" t="s">
        <v>2958</v>
      </c>
      <c r="P2501" s="168" t="s">
        <v>3112</v>
      </c>
      <c r="Q2501" s="173"/>
      <c r="R2501" s="167">
        <v>760000.0</v>
      </c>
      <c r="S2501" s="173"/>
      <c r="T2501" s="173"/>
      <c r="U2501" s="173"/>
      <c r="V2501" s="202"/>
      <c r="W2501" s="171"/>
      <c r="X2501" s="171"/>
    </row>
    <row r="2502" ht="15.0" customHeight="1">
      <c r="A2502" s="127">
        <v>45911.0</v>
      </c>
      <c r="B2502" s="181" t="s">
        <v>9105</v>
      </c>
      <c r="C2502" s="56" t="s">
        <v>9106</v>
      </c>
      <c r="D2502" s="73" t="str">
        <f>IFERROR(VLOOKUP(C2502,Stock,3,FALSE),"")</f>
        <v>Wuling Confero</v>
      </c>
      <c r="E2502" s="56">
        <v>1.0</v>
      </c>
      <c r="F2502" s="161">
        <v>1462000.0</v>
      </c>
      <c r="G2502" s="162">
        <f t="shared" si="40"/>
        <v>1462000</v>
      </c>
      <c r="H2502" s="194"/>
      <c r="I2502" s="161">
        <f t="shared" si="41"/>
        <v>1462000</v>
      </c>
      <c r="J2502" s="164">
        <f t="shared" si="42"/>
        <v>1462000</v>
      </c>
      <c r="K2502" s="307" t="s">
        <v>9107</v>
      </c>
      <c r="L2502" s="165" t="s">
        <v>9108</v>
      </c>
      <c r="M2502" s="73"/>
      <c r="N2502" s="289" t="s">
        <v>9109</v>
      </c>
      <c r="O2502" s="169" t="s">
        <v>2958</v>
      </c>
      <c r="P2502" s="168" t="s">
        <v>3112</v>
      </c>
      <c r="Q2502" s="173"/>
      <c r="R2502" s="167">
        <v>1462000.0</v>
      </c>
      <c r="S2502" s="173"/>
      <c r="T2502" s="173"/>
      <c r="U2502" s="173"/>
      <c r="V2502" s="202"/>
      <c r="W2502" s="171"/>
      <c r="X2502" s="171"/>
    </row>
    <row r="2503" ht="15.0" customHeight="1">
      <c r="A2503" s="127">
        <v>45911.0</v>
      </c>
      <c r="B2503" s="181" t="s">
        <v>9110</v>
      </c>
      <c r="C2503" s="56" t="s">
        <v>3411</v>
      </c>
      <c r="D2503" s="73" t="str">
        <f>IFERROR(VLOOKUP(C2503,Stock,3,FALSE),"")</f>
        <v>Toyota Agya/Ayla 13-22 1st Gen</v>
      </c>
      <c r="E2503" s="56">
        <v>1.0</v>
      </c>
      <c r="F2503" s="161">
        <v>1030000.0</v>
      </c>
      <c r="G2503" s="162">
        <f t="shared" si="40"/>
        <v>1030000</v>
      </c>
      <c r="H2503" s="194"/>
      <c r="I2503" s="161">
        <f t="shared" si="41"/>
        <v>1030000</v>
      </c>
      <c r="J2503" s="164">
        <f t="shared" si="42"/>
        <v>1030000</v>
      </c>
      <c r="K2503" s="56" t="s">
        <v>9111</v>
      </c>
      <c r="L2503" s="165" t="s">
        <v>9112</v>
      </c>
      <c r="M2503" s="73"/>
      <c r="N2503" s="289" t="s">
        <v>9113</v>
      </c>
      <c r="O2503" s="169" t="s">
        <v>2958</v>
      </c>
      <c r="P2503" s="168" t="s">
        <v>3112</v>
      </c>
      <c r="Q2503" s="173"/>
      <c r="R2503" s="167">
        <v>1030000.0</v>
      </c>
      <c r="S2503" s="173"/>
      <c r="T2503" s="173"/>
      <c r="U2503" s="173"/>
      <c r="V2503" s="202"/>
      <c r="W2503" s="171"/>
      <c r="X2503" s="171"/>
    </row>
    <row r="2504" ht="15.0" customHeight="1">
      <c r="A2504" s="127">
        <v>45911.0</v>
      </c>
      <c r="B2504" s="181" t="s">
        <v>9110</v>
      </c>
      <c r="C2504" s="56" t="s">
        <v>3826</v>
      </c>
      <c r="D2504" s="73" t="str">
        <f>IFERROR(VLOOKUP(C2504,Stock,3,FALSE),"")</f>
        <v>List Kaca Depan Code 11</v>
      </c>
      <c r="E2504" s="56">
        <v>1.0</v>
      </c>
      <c r="F2504" s="161">
        <v>275000.0</v>
      </c>
      <c r="G2504" s="162">
        <f t="shared" si="40"/>
        <v>275000</v>
      </c>
      <c r="H2504" s="194"/>
      <c r="I2504" s="161">
        <f t="shared" si="41"/>
        <v>275000</v>
      </c>
      <c r="J2504" s="164">
        <f t="shared" si="42"/>
        <v>275000</v>
      </c>
      <c r="K2504" s="56" t="s">
        <v>9111</v>
      </c>
      <c r="L2504" s="165" t="s">
        <v>9112</v>
      </c>
      <c r="M2504" s="73"/>
      <c r="N2504" s="289" t="s">
        <v>9113</v>
      </c>
      <c r="O2504" s="169" t="s">
        <v>2958</v>
      </c>
      <c r="P2504" s="168" t="s">
        <v>3112</v>
      </c>
      <c r="Q2504" s="173"/>
      <c r="R2504" s="167">
        <v>275000.0</v>
      </c>
      <c r="S2504" s="173"/>
      <c r="T2504" s="173"/>
      <c r="U2504" s="173"/>
      <c r="V2504" s="202"/>
      <c r="W2504" s="171"/>
      <c r="X2504" s="171"/>
    </row>
    <row r="2505" ht="15.0" customHeight="1">
      <c r="A2505" s="127">
        <v>45911.0</v>
      </c>
      <c r="B2505" s="181" t="s">
        <v>9114</v>
      </c>
      <c r="C2505" s="475" t="s">
        <v>2703</v>
      </c>
      <c r="D2505" s="73" t="str">
        <f>IFERROR(VLOOKUP(C2505,Stock,3,FALSE),"")</f>
        <v>Toyota Hi-Ace 04-20 Commuter</v>
      </c>
      <c r="E2505" s="56">
        <v>1.0</v>
      </c>
      <c r="F2505" s="161">
        <v>1680000.0</v>
      </c>
      <c r="G2505" s="162">
        <f t="shared" si="40"/>
        <v>1680000</v>
      </c>
      <c r="H2505" s="194"/>
      <c r="I2505" s="161">
        <f t="shared" si="41"/>
        <v>1680000</v>
      </c>
      <c r="J2505" s="164">
        <f t="shared" si="42"/>
        <v>1680000</v>
      </c>
      <c r="K2505" s="56" t="s">
        <v>4472</v>
      </c>
      <c r="L2505" s="165" t="s">
        <v>9115</v>
      </c>
      <c r="M2505" s="73"/>
      <c r="N2505" s="169" t="s">
        <v>9116</v>
      </c>
      <c r="O2505" s="169" t="s">
        <v>2958</v>
      </c>
      <c r="P2505" s="168" t="s">
        <v>3112</v>
      </c>
      <c r="Q2505" s="173"/>
      <c r="R2505" s="167">
        <v>1680000.0</v>
      </c>
      <c r="S2505" s="173"/>
      <c r="T2505" s="173"/>
      <c r="U2505" s="173"/>
      <c r="V2505" s="202"/>
      <c r="W2505" s="171"/>
      <c r="X2505" s="171"/>
    </row>
    <row r="2506" ht="15.0" customHeight="1">
      <c r="A2506" s="127">
        <v>45912.0</v>
      </c>
      <c r="B2506" s="181" t="s">
        <v>9117</v>
      </c>
      <c r="C2506" s="475" t="s">
        <v>3360</v>
      </c>
      <c r="D2506" s="73" t="str">
        <f>IFERROR(VLOOKUP(C2506,Stock,3,FALSE),"")</f>
        <v>Mitsubishi Xpander 17-</v>
      </c>
      <c r="E2506" s="56">
        <v>1.0</v>
      </c>
      <c r="F2506" s="161">
        <v>1644000.0</v>
      </c>
      <c r="G2506" s="162">
        <f t="shared" si="40"/>
        <v>1644000</v>
      </c>
      <c r="H2506" s="194"/>
      <c r="I2506" s="161">
        <f t="shared" si="41"/>
        <v>1644000</v>
      </c>
      <c r="J2506" s="164">
        <f t="shared" si="42"/>
        <v>1644000</v>
      </c>
      <c r="K2506" s="56" t="s">
        <v>7641</v>
      </c>
      <c r="L2506" s="165" t="s">
        <v>9118</v>
      </c>
      <c r="M2506" s="73"/>
      <c r="N2506" s="169" t="s">
        <v>9119</v>
      </c>
      <c r="O2506" s="169" t="s">
        <v>2958</v>
      </c>
      <c r="P2506" s="168" t="s">
        <v>3112</v>
      </c>
      <c r="Q2506" s="167">
        <v>1644000.0</v>
      </c>
      <c r="R2506" s="173"/>
      <c r="S2506" s="173"/>
      <c r="T2506" s="173"/>
      <c r="U2506" s="173"/>
      <c r="V2506" s="202"/>
      <c r="W2506" s="171"/>
      <c r="X2506" s="171"/>
    </row>
    <row r="2507" ht="15.0" customHeight="1">
      <c r="A2507" s="127">
        <v>45912.0</v>
      </c>
      <c r="B2507" s="181" t="s">
        <v>9120</v>
      </c>
      <c r="C2507" s="475" t="s">
        <v>9027</v>
      </c>
      <c r="D2507" s="73" t="str">
        <f>IFERROR(VLOOKUP(C2507,Stock,3,FALSE),"")</f>
        <v>Toyota Camry 11-17 XV50 5th Gen</v>
      </c>
      <c r="E2507" s="56">
        <v>1.0</v>
      </c>
      <c r="F2507" s="161">
        <v>2305000.0</v>
      </c>
      <c r="G2507" s="162">
        <f t="shared" si="40"/>
        <v>2305000</v>
      </c>
      <c r="H2507" s="194"/>
      <c r="I2507" s="161">
        <f t="shared" si="41"/>
        <v>2305000</v>
      </c>
      <c r="J2507" s="164">
        <f t="shared" si="42"/>
        <v>2305000</v>
      </c>
      <c r="K2507" s="56" t="s">
        <v>9121</v>
      </c>
      <c r="L2507" s="165" t="s">
        <v>9122</v>
      </c>
      <c r="M2507" s="73"/>
      <c r="N2507" s="171"/>
      <c r="O2507" s="169" t="s">
        <v>2958</v>
      </c>
      <c r="P2507" s="168" t="s">
        <v>6113</v>
      </c>
      <c r="Q2507" s="173"/>
      <c r="R2507" s="167">
        <v>2305000.0</v>
      </c>
      <c r="S2507" s="173"/>
      <c r="T2507" s="173"/>
      <c r="U2507" s="173"/>
      <c r="V2507" s="202"/>
      <c r="W2507" s="171"/>
      <c r="X2507" s="171"/>
    </row>
    <row r="2508" ht="15.0" customHeight="1">
      <c r="A2508" s="127">
        <v>45912.0</v>
      </c>
      <c r="B2508" s="181" t="s">
        <v>9120</v>
      </c>
      <c r="C2508" s="56" t="s">
        <v>2934</v>
      </c>
      <c r="D2508" s="73" t="str">
        <f>IFERROR(VLOOKUP(C2508,Stock,3,FALSE),"")</f>
        <v>Peti Kayu</v>
      </c>
      <c r="E2508" s="56">
        <v>1.0</v>
      </c>
      <c r="F2508" s="161">
        <v>200000.0</v>
      </c>
      <c r="G2508" s="162">
        <f t="shared" si="40"/>
        <v>200000</v>
      </c>
      <c r="H2508" s="194"/>
      <c r="I2508" s="161">
        <f t="shared" si="41"/>
        <v>200000</v>
      </c>
      <c r="J2508" s="164">
        <f t="shared" si="42"/>
        <v>200000</v>
      </c>
      <c r="K2508" s="56" t="s">
        <v>9121</v>
      </c>
      <c r="L2508" s="165" t="s">
        <v>9122</v>
      </c>
      <c r="M2508" s="73"/>
      <c r="N2508" s="171"/>
      <c r="O2508" s="169" t="s">
        <v>2958</v>
      </c>
      <c r="P2508" s="168" t="s">
        <v>6113</v>
      </c>
      <c r="Q2508" s="173"/>
      <c r="R2508" s="167">
        <v>200000.0</v>
      </c>
      <c r="S2508" s="173"/>
      <c r="T2508" s="173"/>
      <c r="U2508" s="173"/>
      <c r="V2508" s="202"/>
      <c r="W2508" s="171"/>
      <c r="X2508" s="171"/>
    </row>
    <row r="2509" ht="15.0" customHeight="1">
      <c r="A2509" s="127">
        <v>45913.0</v>
      </c>
      <c r="B2509" s="181" t="s">
        <v>9123</v>
      </c>
      <c r="C2509" s="475" t="s">
        <v>2565</v>
      </c>
      <c r="D2509" s="73" t="str">
        <f>IFERROR(VLOOKUP(C2509,Stock,3,FALSE),"")</f>
        <v>Toyota Avanza / Xenia 03-11 1st Gen</v>
      </c>
      <c r="E2509" s="56">
        <v>1.0</v>
      </c>
      <c r="F2509" s="161">
        <v>1040000.0</v>
      </c>
      <c r="G2509" s="162">
        <f t="shared" si="40"/>
        <v>1040000</v>
      </c>
      <c r="H2509" s="194"/>
      <c r="I2509" s="161">
        <f t="shared" si="41"/>
        <v>1040000</v>
      </c>
      <c r="J2509" s="164">
        <f t="shared" si="42"/>
        <v>1040000</v>
      </c>
      <c r="K2509" s="56" t="s">
        <v>9124</v>
      </c>
      <c r="L2509" s="165" t="s">
        <v>5768</v>
      </c>
      <c r="M2509" s="73"/>
      <c r="N2509" s="171"/>
      <c r="O2509" s="169" t="s">
        <v>2958</v>
      </c>
      <c r="P2509" s="168" t="s">
        <v>3112</v>
      </c>
      <c r="Q2509" s="173"/>
      <c r="R2509" s="167">
        <v>1040000.0</v>
      </c>
      <c r="S2509" s="173"/>
      <c r="T2509" s="173"/>
      <c r="U2509" s="173"/>
      <c r="V2509" s="202"/>
      <c r="W2509" s="171"/>
      <c r="X2509" s="171"/>
    </row>
    <row r="2510" ht="15.0" customHeight="1">
      <c r="A2510" s="127">
        <v>45913.0</v>
      </c>
      <c r="B2510" s="181" t="s">
        <v>9123</v>
      </c>
      <c r="C2510" s="56" t="s">
        <v>3083</v>
      </c>
      <c r="D2510" s="73" t="str">
        <f>IFERROR(VLOOKUP(C2510,Stock,3,FALSE),"")</f>
        <v>List Kaca Depan Code 04</v>
      </c>
      <c r="E2510" s="56">
        <v>1.0</v>
      </c>
      <c r="F2510" s="161">
        <v>275000.0</v>
      </c>
      <c r="G2510" s="162">
        <f t="shared" si="40"/>
        <v>275000</v>
      </c>
      <c r="H2510" s="194"/>
      <c r="I2510" s="161">
        <f t="shared" si="41"/>
        <v>275000</v>
      </c>
      <c r="J2510" s="164">
        <f t="shared" si="42"/>
        <v>275000</v>
      </c>
      <c r="K2510" s="56" t="s">
        <v>9124</v>
      </c>
      <c r="L2510" s="165" t="s">
        <v>5768</v>
      </c>
      <c r="M2510" s="73"/>
      <c r="N2510" s="171"/>
      <c r="O2510" s="169" t="s">
        <v>2958</v>
      </c>
      <c r="P2510" s="168" t="s">
        <v>3112</v>
      </c>
      <c r="Q2510" s="173"/>
      <c r="R2510" s="167">
        <v>275000.0</v>
      </c>
      <c r="S2510" s="173"/>
      <c r="T2510" s="173"/>
      <c r="U2510" s="173"/>
      <c r="V2510" s="202"/>
      <c r="W2510" s="171"/>
      <c r="X2510" s="171"/>
    </row>
    <row r="2511" ht="15.0" customHeight="1">
      <c r="A2511" s="127">
        <v>45913.0</v>
      </c>
      <c r="B2511" s="181" t="s">
        <v>9125</v>
      </c>
      <c r="C2511" s="475" t="s">
        <v>6896</v>
      </c>
      <c r="D2511" s="73" t="str">
        <f>IFERROR(VLOOKUP(C2511,Stock,3,FALSE),"")</f>
        <v>Toyota Innova 04-15 1st Gen</v>
      </c>
      <c r="E2511" s="56">
        <v>1.0</v>
      </c>
      <c r="F2511" s="161">
        <v>550000.0</v>
      </c>
      <c r="G2511" s="162">
        <f t="shared" si="40"/>
        <v>550000</v>
      </c>
      <c r="H2511" s="194"/>
      <c r="I2511" s="161">
        <f t="shared" si="41"/>
        <v>550000</v>
      </c>
      <c r="J2511" s="164">
        <f t="shared" si="42"/>
        <v>550000</v>
      </c>
      <c r="K2511" s="56" t="s">
        <v>9126</v>
      </c>
      <c r="L2511" s="165" t="s">
        <v>9127</v>
      </c>
      <c r="M2511" s="73"/>
      <c r="N2511" s="171"/>
      <c r="O2511" s="169" t="s">
        <v>2958</v>
      </c>
      <c r="P2511" s="168" t="s">
        <v>3112</v>
      </c>
      <c r="Q2511" s="167">
        <v>550000.0</v>
      </c>
      <c r="R2511" s="173"/>
      <c r="S2511" s="173"/>
      <c r="T2511" s="173"/>
      <c r="U2511" s="173"/>
      <c r="V2511" s="202"/>
      <c r="W2511" s="171"/>
      <c r="X2511" s="171"/>
    </row>
    <row r="2512" ht="15.0" customHeight="1">
      <c r="A2512" s="127">
        <v>45913.0</v>
      </c>
      <c r="B2512" s="181" t="s">
        <v>9125</v>
      </c>
      <c r="C2512" s="56" t="s">
        <v>2934</v>
      </c>
      <c r="D2512" s="73" t="str">
        <f>IFERROR(VLOOKUP(C2512,Stock,3,FALSE),"")</f>
        <v>Peti Kayu</v>
      </c>
      <c r="E2512" s="56">
        <v>1.0</v>
      </c>
      <c r="F2512" s="161">
        <v>120000.0</v>
      </c>
      <c r="G2512" s="162">
        <f t="shared" si="40"/>
        <v>120000</v>
      </c>
      <c r="H2512" s="194"/>
      <c r="I2512" s="161">
        <f t="shared" si="41"/>
        <v>120000</v>
      </c>
      <c r="J2512" s="164">
        <f t="shared" si="42"/>
        <v>120000</v>
      </c>
      <c r="K2512" s="56" t="s">
        <v>9126</v>
      </c>
      <c r="L2512" s="165" t="s">
        <v>9127</v>
      </c>
      <c r="M2512" s="73"/>
      <c r="N2512" s="171"/>
      <c r="O2512" s="169" t="s">
        <v>2958</v>
      </c>
      <c r="P2512" s="168" t="s">
        <v>3112</v>
      </c>
      <c r="Q2512" s="167">
        <v>120000.0</v>
      </c>
      <c r="R2512" s="173"/>
      <c r="S2512" s="173"/>
      <c r="T2512" s="173"/>
      <c r="U2512" s="173"/>
      <c r="V2512" s="202"/>
      <c r="W2512" s="171"/>
      <c r="X2512" s="171"/>
    </row>
    <row r="2513" ht="15.0" customHeight="1">
      <c r="A2513" s="127">
        <v>45914.0</v>
      </c>
      <c r="B2513" s="181" t="s">
        <v>9128</v>
      </c>
      <c r="C2513" s="56" t="s">
        <v>2549</v>
      </c>
      <c r="D2513" s="73" t="str">
        <f>IFERROR(VLOOKUP(C2513,Stock,3,FALSE),"")</f>
        <v>Toyota Avanza / Xenia 11-15 2nd Gen</v>
      </c>
      <c r="E2513" s="56">
        <v>1.0</v>
      </c>
      <c r="F2513" s="161">
        <v>1050000.0</v>
      </c>
      <c r="G2513" s="162">
        <f t="shared" si="40"/>
        <v>1050000</v>
      </c>
      <c r="H2513" s="194"/>
      <c r="I2513" s="161">
        <f t="shared" si="41"/>
        <v>1050000</v>
      </c>
      <c r="J2513" s="164">
        <f t="shared" si="42"/>
        <v>1050000</v>
      </c>
      <c r="K2513" s="56" t="s">
        <v>9129</v>
      </c>
      <c r="L2513" s="165" t="s">
        <v>9130</v>
      </c>
      <c r="M2513" s="73"/>
      <c r="N2513" s="171"/>
      <c r="O2513" s="169" t="s">
        <v>2958</v>
      </c>
      <c r="P2513" s="168" t="s">
        <v>3112</v>
      </c>
      <c r="Q2513" s="173"/>
      <c r="R2513" s="167">
        <v>1050000.0</v>
      </c>
      <c r="S2513" s="173"/>
      <c r="T2513" s="173"/>
      <c r="U2513" s="173"/>
      <c r="V2513" s="202"/>
      <c r="W2513" s="171"/>
      <c r="X2513" s="171"/>
    </row>
    <row r="2514" ht="15.0" customHeight="1">
      <c r="A2514" s="127">
        <v>45915.0</v>
      </c>
      <c r="B2514" s="181" t="s">
        <v>9131</v>
      </c>
      <c r="C2514" s="475" t="s">
        <v>3366</v>
      </c>
      <c r="D2514" s="73" t="str">
        <f>IFERROR(VLOOKUP(C2514,Stock,3,FALSE),"")</f>
        <v>Toyota Hi-Ace 04-20 Commuter (Clear)</v>
      </c>
      <c r="E2514" s="56">
        <v>1.0</v>
      </c>
      <c r="F2514" s="161">
        <v>2652000.0</v>
      </c>
      <c r="G2514" s="162">
        <f t="shared" si="40"/>
        <v>2652000</v>
      </c>
      <c r="H2514" s="194"/>
      <c r="I2514" s="161">
        <f t="shared" si="41"/>
        <v>2652000</v>
      </c>
      <c r="J2514" s="164">
        <f t="shared" si="42"/>
        <v>2652000</v>
      </c>
      <c r="K2514" s="56" t="s">
        <v>9132</v>
      </c>
      <c r="L2514" s="165" t="s">
        <v>9133</v>
      </c>
      <c r="M2514" s="73"/>
      <c r="N2514" s="171"/>
      <c r="O2514" s="169" t="s">
        <v>3696</v>
      </c>
      <c r="P2514" s="168" t="s">
        <v>3112</v>
      </c>
      <c r="Q2514" s="173"/>
      <c r="R2514" s="167">
        <v>2652000.0</v>
      </c>
      <c r="S2514" s="173"/>
      <c r="T2514" s="173"/>
      <c r="U2514" s="173"/>
      <c r="V2514" s="202"/>
      <c r="W2514" s="171"/>
      <c r="X2514" s="171"/>
    </row>
    <row r="2515" ht="15.0" customHeight="1">
      <c r="A2515" s="127">
        <v>45915.0</v>
      </c>
      <c r="B2515" s="181" t="s">
        <v>9131</v>
      </c>
      <c r="C2515" s="56" t="s">
        <v>2934</v>
      </c>
      <c r="D2515" s="73" t="str">
        <f>IFERROR(VLOOKUP(C2515,Stock,3,FALSE),"")</f>
        <v>Peti Kayu</v>
      </c>
      <c r="E2515" s="56">
        <v>1.0</v>
      </c>
      <c r="F2515" s="161">
        <v>200000.0</v>
      </c>
      <c r="G2515" s="162">
        <f t="shared" si="40"/>
        <v>200000</v>
      </c>
      <c r="H2515" s="194"/>
      <c r="I2515" s="161">
        <f t="shared" si="41"/>
        <v>200000</v>
      </c>
      <c r="J2515" s="164">
        <f t="shared" si="42"/>
        <v>200000</v>
      </c>
      <c r="K2515" s="56" t="s">
        <v>9132</v>
      </c>
      <c r="L2515" s="165" t="s">
        <v>9133</v>
      </c>
      <c r="M2515" s="73"/>
      <c r="N2515" s="171"/>
      <c r="O2515" s="169" t="s">
        <v>3696</v>
      </c>
      <c r="P2515" s="168" t="s">
        <v>3112</v>
      </c>
      <c r="Q2515" s="173"/>
      <c r="R2515" s="167">
        <v>200000.0</v>
      </c>
      <c r="S2515" s="173"/>
      <c r="T2515" s="173"/>
      <c r="U2515" s="173"/>
      <c r="V2515" s="202"/>
      <c r="W2515" s="171"/>
      <c r="X2515" s="171"/>
    </row>
    <row r="2516" ht="15.0" customHeight="1">
      <c r="A2516" s="127">
        <v>45915.0</v>
      </c>
      <c r="B2516" s="181" t="s">
        <v>9134</v>
      </c>
      <c r="C2516" s="475" t="s">
        <v>2609</v>
      </c>
      <c r="D2516" s="73" t="str">
        <f>IFERROR(VLOOKUP(C2516,Stock,3,FALSE),"")</f>
        <v>Mazda 2 14- Skyactiv 4th Gen (3 Sensor/ /\8 )</v>
      </c>
      <c r="E2516" s="56">
        <v>1.0</v>
      </c>
      <c r="F2516" s="161">
        <v>3699000.0</v>
      </c>
      <c r="G2516" s="162">
        <f t="shared" si="40"/>
        <v>3699000</v>
      </c>
      <c r="H2516" s="194"/>
      <c r="I2516" s="161">
        <f t="shared" si="41"/>
        <v>3699000</v>
      </c>
      <c r="J2516" s="164">
        <f t="shared" si="42"/>
        <v>3699000</v>
      </c>
      <c r="K2516" s="56" t="s">
        <v>9135</v>
      </c>
      <c r="L2516" s="165" t="s">
        <v>9136</v>
      </c>
      <c r="M2516" s="73"/>
      <c r="N2516" s="169" t="s">
        <v>9137</v>
      </c>
      <c r="O2516" s="169" t="s">
        <v>2958</v>
      </c>
      <c r="P2516" s="168" t="s">
        <v>3112</v>
      </c>
      <c r="Q2516" s="173"/>
      <c r="R2516" s="167">
        <v>3699000.0</v>
      </c>
      <c r="S2516" s="173"/>
      <c r="T2516" s="173"/>
      <c r="U2516" s="173"/>
      <c r="V2516" s="202"/>
      <c r="W2516" s="171"/>
      <c r="X2516" s="171"/>
    </row>
    <row r="2517" ht="15.0" customHeight="1">
      <c r="A2517" s="127">
        <v>45916.0</v>
      </c>
      <c r="B2517" s="181" t="s">
        <v>9138</v>
      </c>
      <c r="C2517" s="475" t="s">
        <v>2692</v>
      </c>
      <c r="D2517" s="73" t="str">
        <f>IFERROR(VLOOKUP(C2517,Stock,3,FALSE),"")</f>
        <v>Suzuki Ertiga 18- 2nd Gen / XL7</v>
      </c>
      <c r="E2517" s="56">
        <v>1.0</v>
      </c>
      <c r="F2517" s="161">
        <v>1554000.0</v>
      </c>
      <c r="G2517" s="162">
        <f t="shared" si="40"/>
        <v>1554000</v>
      </c>
      <c r="H2517" s="201">
        <v>54000.0</v>
      </c>
      <c r="I2517" s="161">
        <f t="shared" si="41"/>
        <v>1500000</v>
      </c>
      <c r="J2517" s="164">
        <f t="shared" si="42"/>
        <v>1500000</v>
      </c>
      <c r="K2517" s="56" t="s">
        <v>9139</v>
      </c>
      <c r="L2517" s="165" t="s">
        <v>9140</v>
      </c>
      <c r="M2517" s="73"/>
      <c r="N2517" s="171"/>
      <c r="O2517" s="169" t="s">
        <v>2958</v>
      </c>
      <c r="P2517" s="168" t="s">
        <v>3112</v>
      </c>
      <c r="Q2517" s="173"/>
      <c r="R2517" s="167">
        <v>1500000.0</v>
      </c>
      <c r="S2517" s="173"/>
      <c r="T2517" s="173"/>
      <c r="U2517" s="173"/>
      <c r="V2517" s="202"/>
      <c r="W2517" s="171"/>
      <c r="X2517" s="171"/>
    </row>
    <row r="2518" ht="15.0" customHeight="1">
      <c r="A2518" s="127">
        <v>45916.0</v>
      </c>
      <c r="B2518" s="181" t="s">
        <v>9141</v>
      </c>
      <c r="C2518" s="475" t="s">
        <v>9142</v>
      </c>
      <c r="D2518" s="73" t="str">
        <f>IFERROR(VLOOKUP(C2518,Stock,3,FALSE),"")</f>
        <v>Honda BR-V 22- 2nd Gen / WR-V 23- (Honda)</v>
      </c>
      <c r="E2518" s="56">
        <v>1.0</v>
      </c>
      <c r="F2518" s="161">
        <v>2678000.0</v>
      </c>
      <c r="G2518" s="162">
        <f t="shared" si="40"/>
        <v>2678000</v>
      </c>
      <c r="H2518" s="194"/>
      <c r="I2518" s="161">
        <f t="shared" si="41"/>
        <v>2678000</v>
      </c>
      <c r="J2518" s="164">
        <f t="shared" si="42"/>
        <v>2678000</v>
      </c>
      <c r="K2518" s="56" t="s">
        <v>9143</v>
      </c>
      <c r="L2518" s="165" t="s">
        <v>9144</v>
      </c>
      <c r="M2518" s="73"/>
      <c r="N2518" s="171"/>
      <c r="O2518" s="169" t="s">
        <v>2958</v>
      </c>
      <c r="P2518" s="168" t="s">
        <v>3112</v>
      </c>
      <c r="Q2518" s="173"/>
      <c r="R2518" s="167">
        <v>2678000.0</v>
      </c>
      <c r="S2518" s="173"/>
      <c r="T2518" s="173"/>
      <c r="U2518" s="173"/>
      <c r="V2518" s="202"/>
      <c r="W2518" s="171"/>
      <c r="X2518" s="171"/>
    </row>
    <row r="2519" ht="15.0" customHeight="1">
      <c r="A2519" s="127">
        <v>45916.0</v>
      </c>
      <c r="B2519" s="181" t="s">
        <v>9141</v>
      </c>
      <c r="C2519" s="56" t="s">
        <v>2954</v>
      </c>
      <c r="D2519" s="73" t="str">
        <f>IFERROR(VLOOKUP(C2519,Stock,3,FALSE),"")</f>
        <v>Transport</v>
      </c>
      <c r="E2519" s="56">
        <v>1.0</v>
      </c>
      <c r="F2519" s="161">
        <v>50000.0</v>
      </c>
      <c r="G2519" s="162">
        <f t="shared" si="40"/>
        <v>50000</v>
      </c>
      <c r="H2519" s="194"/>
      <c r="I2519" s="161">
        <f t="shared" si="41"/>
        <v>50000</v>
      </c>
      <c r="J2519" s="164">
        <f t="shared" si="42"/>
        <v>50000</v>
      </c>
      <c r="K2519" s="56" t="s">
        <v>9143</v>
      </c>
      <c r="L2519" s="165" t="s">
        <v>9144</v>
      </c>
      <c r="M2519" s="73"/>
      <c r="N2519" s="171"/>
      <c r="O2519" s="169" t="s">
        <v>2958</v>
      </c>
      <c r="P2519" s="168" t="s">
        <v>3112</v>
      </c>
      <c r="Q2519" s="173"/>
      <c r="R2519" s="167">
        <v>50000.0</v>
      </c>
      <c r="S2519" s="173"/>
      <c r="T2519" s="173"/>
      <c r="U2519" s="173"/>
      <c r="V2519" s="202"/>
      <c r="W2519" s="171"/>
      <c r="X2519" s="171"/>
    </row>
    <row r="2520" ht="15.0" customHeight="1">
      <c r="A2520" s="127">
        <v>45917.0</v>
      </c>
      <c r="B2520" s="181" t="s">
        <v>9145</v>
      </c>
      <c r="C2520" s="475" t="s">
        <v>3186</v>
      </c>
      <c r="D2520" s="73" t="str">
        <f>IFERROR(VLOOKUP(C2520,Stock,3,FALSE),"")</f>
        <v>Daihatsu Gran Max / Luxio 07-</v>
      </c>
      <c r="E2520" s="56">
        <v>1.0</v>
      </c>
      <c r="F2520" s="161">
        <v>1000000.0</v>
      </c>
      <c r="G2520" s="162">
        <f t="shared" si="40"/>
        <v>1000000</v>
      </c>
      <c r="H2520" s="194"/>
      <c r="I2520" s="161">
        <f t="shared" si="41"/>
        <v>1000000</v>
      </c>
      <c r="J2520" s="164">
        <f t="shared" si="42"/>
        <v>1000000</v>
      </c>
      <c r="K2520" s="56" t="s">
        <v>9146</v>
      </c>
      <c r="L2520" s="165" t="s">
        <v>9147</v>
      </c>
      <c r="M2520" s="73"/>
      <c r="N2520" s="169" t="s">
        <v>9148</v>
      </c>
      <c r="O2520" s="169" t="s">
        <v>5549</v>
      </c>
      <c r="P2520" s="168" t="s">
        <v>3112</v>
      </c>
      <c r="Q2520" s="167">
        <v>1000000.0</v>
      </c>
      <c r="R2520" s="173"/>
      <c r="S2520" s="173"/>
      <c r="T2520" s="173"/>
      <c r="U2520" s="173"/>
      <c r="V2520" s="202"/>
      <c r="W2520" s="171"/>
      <c r="X2520" s="171"/>
    </row>
    <row r="2521" ht="15.0" customHeight="1">
      <c r="A2521" s="127">
        <v>45917.0</v>
      </c>
      <c r="B2521" s="181" t="s">
        <v>9149</v>
      </c>
      <c r="C2521" s="56" t="s">
        <v>3127</v>
      </c>
      <c r="D2521" s="73" t="str">
        <f>IFERROR(VLOOKUP(C2521,Stock,3,FALSE),"")</f>
        <v>Toyota Avanza / Xenia 03-11 1st Gen</v>
      </c>
      <c r="E2521" s="56">
        <v>1.0</v>
      </c>
      <c r="F2521" s="161">
        <v>845000.0</v>
      </c>
      <c r="G2521" s="162">
        <f t="shared" si="40"/>
        <v>845000</v>
      </c>
      <c r="H2521" s="194"/>
      <c r="I2521" s="161">
        <f t="shared" si="41"/>
        <v>845000</v>
      </c>
      <c r="J2521" s="164">
        <f t="shared" si="42"/>
        <v>845000</v>
      </c>
      <c r="K2521" s="56" t="s">
        <v>9150</v>
      </c>
      <c r="L2521" s="165" t="s">
        <v>9151</v>
      </c>
      <c r="M2521" s="73"/>
      <c r="N2521" s="171"/>
      <c r="O2521" s="169" t="s">
        <v>2958</v>
      </c>
      <c r="P2521" s="168" t="s">
        <v>3112</v>
      </c>
      <c r="Q2521" s="167">
        <v>845000.0</v>
      </c>
      <c r="R2521" s="173"/>
      <c r="S2521" s="173"/>
      <c r="T2521" s="173"/>
      <c r="U2521" s="173"/>
      <c r="V2521" s="202"/>
      <c r="W2521" s="171"/>
      <c r="X2521" s="171"/>
    </row>
    <row r="2522" ht="15.0" customHeight="1">
      <c r="A2522" s="127">
        <v>45917.0</v>
      </c>
      <c r="B2522" s="181" t="s">
        <v>9152</v>
      </c>
      <c r="C2522" s="56" t="s">
        <v>3201</v>
      </c>
      <c r="D2522" s="73" t="str">
        <f>IFERROR(VLOOKUP(C2522,Stock,3,FALSE),"")</f>
        <v>Honda Freed 08-16 1st gen</v>
      </c>
      <c r="E2522" s="56">
        <v>1.0</v>
      </c>
      <c r="F2522" s="161">
        <v>1518000.0</v>
      </c>
      <c r="G2522" s="162">
        <f t="shared" si="40"/>
        <v>1518000</v>
      </c>
      <c r="H2522" s="194"/>
      <c r="I2522" s="161">
        <f t="shared" si="41"/>
        <v>1518000</v>
      </c>
      <c r="J2522" s="164">
        <f t="shared" si="42"/>
        <v>1518000</v>
      </c>
      <c r="K2522" s="56" t="s">
        <v>9153</v>
      </c>
      <c r="L2522" s="165" t="s">
        <v>8290</v>
      </c>
      <c r="M2522" s="73"/>
      <c r="N2522" s="171"/>
      <c r="O2522" s="169" t="s">
        <v>2958</v>
      </c>
      <c r="P2522" s="168" t="s">
        <v>3112</v>
      </c>
      <c r="Q2522" s="167">
        <v>1518000.0</v>
      </c>
      <c r="R2522" s="167">
        <v>1518000.0</v>
      </c>
      <c r="S2522" s="173"/>
      <c r="T2522" s="173"/>
      <c r="U2522" s="173"/>
      <c r="V2522" s="202"/>
      <c r="W2522" s="171"/>
      <c r="X2522" s="171"/>
    </row>
    <row r="2523" ht="15.0" customHeight="1">
      <c r="A2523" s="127">
        <v>45917.0</v>
      </c>
      <c r="B2523" s="181" t="s">
        <v>9152</v>
      </c>
      <c r="C2523" s="56" t="s">
        <v>4613</v>
      </c>
      <c r="D2523" s="73" t="str">
        <f>IFERROR(VLOOKUP(C2523,Stock,3,FALSE),"")</f>
        <v>Honda Freed 08-16 1st gen</v>
      </c>
      <c r="E2523" s="56">
        <v>1.0</v>
      </c>
      <c r="F2523" s="161">
        <v>1296000.0</v>
      </c>
      <c r="G2523" s="162">
        <f t="shared" si="40"/>
        <v>1296000</v>
      </c>
      <c r="H2523" s="194"/>
      <c r="I2523" s="161">
        <f t="shared" si="41"/>
        <v>1296000</v>
      </c>
      <c r="J2523" s="164">
        <f t="shared" si="42"/>
        <v>1296000</v>
      </c>
      <c r="K2523" s="56" t="s">
        <v>9153</v>
      </c>
      <c r="L2523" s="165" t="s">
        <v>8290</v>
      </c>
      <c r="M2523" s="73"/>
      <c r="N2523" s="171"/>
      <c r="O2523" s="169" t="s">
        <v>2958</v>
      </c>
      <c r="P2523" s="168" t="s">
        <v>3112</v>
      </c>
      <c r="Q2523" s="167">
        <v>1296000.0</v>
      </c>
      <c r="R2523" s="173"/>
      <c r="S2523" s="173"/>
      <c r="T2523" s="173"/>
      <c r="U2523" s="173"/>
      <c r="V2523" s="202"/>
      <c r="W2523" s="171"/>
      <c r="X2523" s="171"/>
    </row>
    <row r="2524" ht="15.0" customHeight="1">
      <c r="A2524" s="127">
        <v>45918.0</v>
      </c>
      <c r="B2524" s="181" t="s">
        <v>9154</v>
      </c>
      <c r="C2524" s="475" t="s">
        <v>4901</v>
      </c>
      <c r="D2524" s="73" t="str">
        <f>IFERROR(VLOOKUP(C2524,Stock,3,FALSE),"")</f>
        <v>Toyota Rush / Terios 18-</v>
      </c>
      <c r="E2524" s="56">
        <v>1.0</v>
      </c>
      <c r="F2524" s="161">
        <v>1052000.0</v>
      </c>
      <c r="G2524" s="162">
        <f t="shared" si="40"/>
        <v>1052000</v>
      </c>
      <c r="H2524" s="194"/>
      <c r="I2524" s="161">
        <f t="shared" si="41"/>
        <v>1052000</v>
      </c>
      <c r="J2524" s="164">
        <f t="shared" si="42"/>
        <v>1052000</v>
      </c>
      <c r="K2524" s="56" t="s">
        <v>9155</v>
      </c>
      <c r="L2524" s="165" t="s">
        <v>9156</v>
      </c>
      <c r="M2524" s="73"/>
      <c r="N2524" s="171"/>
      <c r="O2524" s="169" t="s">
        <v>2958</v>
      </c>
      <c r="P2524" s="168" t="s">
        <v>3112</v>
      </c>
      <c r="Q2524" s="167">
        <v>1052000.0</v>
      </c>
      <c r="R2524" s="173"/>
      <c r="S2524" s="173"/>
      <c r="T2524" s="173"/>
      <c r="U2524" s="173"/>
      <c r="V2524" s="202"/>
      <c r="W2524" s="171"/>
      <c r="X2524" s="171"/>
    </row>
    <row r="2525" ht="15.0" customHeight="1">
      <c r="A2525" s="127">
        <v>45918.0</v>
      </c>
      <c r="B2525" s="181" t="s">
        <v>9157</v>
      </c>
      <c r="C2525" s="475" t="s">
        <v>2780</v>
      </c>
      <c r="D2525" s="73" t="str">
        <f>IFERROR(VLOOKUP(C2525,Stock,3,FALSE),"")</f>
        <v>Toyota Hi-Ace 04-20 Commuter With Frame</v>
      </c>
      <c r="E2525" s="56">
        <v>1.0</v>
      </c>
      <c r="F2525" s="161">
        <v>2500000.0</v>
      </c>
      <c r="G2525" s="162">
        <f t="shared" si="40"/>
        <v>2500000</v>
      </c>
      <c r="H2525" s="194"/>
      <c r="I2525" s="161">
        <f t="shared" si="41"/>
        <v>2500000</v>
      </c>
      <c r="J2525" s="164">
        <f t="shared" si="42"/>
        <v>2500000</v>
      </c>
      <c r="K2525" s="56" t="s">
        <v>4077</v>
      </c>
      <c r="L2525" s="165" t="s">
        <v>8775</v>
      </c>
      <c r="M2525" s="73"/>
      <c r="N2525" s="171"/>
      <c r="O2525" s="169" t="s">
        <v>2958</v>
      </c>
      <c r="P2525" s="168" t="s">
        <v>3112</v>
      </c>
      <c r="Q2525" s="173"/>
      <c r="R2525" s="167">
        <v>2500000.0</v>
      </c>
      <c r="S2525" s="173"/>
      <c r="T2525" s="173"/>
      <c r="U2525" s="173"/>
      <c r="V2525" s="202"/>
      <c r="W2525" s="171"/>
      <c r="X2525" s="171"/>
    </row>
    <row r="2526" ht="15.0" customHeight="1">
      <c r="A2526" s="127">
        <v>45918.0</v>
      </c>
      <c r="B2526" s="181" t="s">
        <v>9157</v>
      </c>
      <c r="C2526" s="56" t="s">
        <v>9158</v>
      </c>
      <c r="D2526" s="73" t="str">
        <f>IFERROR(VLOOKUP(C2526,Stock,3,FALSE),"")</f>
        <v>Honda BR-V 16-21 (Honda)</v>
      </c>
      <c r="E2526" s="56">
        <v>1.0</v>
      </c>
      <c r="F2526" s="161">
        <v>1400000.0</v>
      </c>
      <c r="G2526" s="162">
        <f t="shared" si="40"/>
        <v>1400000</v>
      </c>
      <c r="H2526" s="194"/>
      <c r="I2526" s="161">
        <f t="shared" si="41"/>
        <v>1400000</v>
      </c>
      <c r="J2526" s="164">
        <f t="shared" si="42"/>
        <v>1400000</v>
      </c>
      <c r="K2526" s="56" t="s">
        <v>4077</v>
      </c>
      <c r="L2526" s="165" t="s">
        <v>8775</v>
      </c>
      <c r="M2526" s="73"/>
      <c r="N2526" s="171"/>
      <c r="O2526" s="169" t="s">
        <v>2958</v>
      </c>
      <c r="P2526" s="168" t="s">
        <v>3112</v>
      </c>
      <c r="Q2526" s="173"/>
      <c r="R2526" s="167">
        <v>1400000.0</v>
      </c>
      <c r="S2526" s="173"/>
      <c r="T2526" s="173"/>
      <c r="U2526" s="173"/>
      <c r="V2526" s="202"/>
      <c r="W2526" s="171"/>
      <c r="X2526" s="171"/>
    </row>
    <row r="2527" ht="15.0" customHeight="1">
      <c r="A2527" s="127">
        <v>45919.0</v>
      </c>
      <c r="B2527" s="181" t="s">
        <v>9159</v>
      </c>
      <c r="C2527" s="475" t="s">
        <v>2814</v>
      </c>
      <c r="D2527" s="73" t="str">
        <f>IFERROR(VLOOKUP(C2527,Stock,3,FALSE),"")</f>
        <v>Toyota Kijang 02-04 Kapsul Lem Efi (7K) Long</v>
      </c>
      <c r="E2527" s="56">
        <v>1.0</v>
      </c>
      <c r="F2527" s="161">
        <v>552000.0</v>
      </c>
      <c r="G2527" s="162">
        <f t="shared" si="40"/>
        <v>552000</v>
      </c>
      <c r="H2527" s="194"/>
      <c r="I2527" s="161">
        <f t="shared" si="41"/>
        <v>552000</v>
      </c>
      <c r="J2527" s="164">
        <f t="shared" si="42"/>
        <v>552000</v>
      </c>
      <c r="K2527" s="56" t="s">
        <v>9160</v>
      </c>
      <c r="L2527" s="165" t="s">
        <v>9161</v>
      </c>
      <c r="M2527" s="73"/>
      <c r="N2527" s="171"/>
      <c r="O2527" s="169" t="s">
        <v>2958</v>
      </c>
      <c r="P2527" s="168" t="s">
        <v>3112</v>
      </c>
      <c r="Q2527" s="167">
        <v>552000.0</v>
      </c>
      <c r="R2527" s="173"/>
      <c r="S2527" s="173"/>
      <c r="T2527" s="173"/>
      <c r="U2527" s="173"/>
      <c r="V2527" s="202"/>
      <c r="W2527" s="171"/>
      <c r="X2527" s="171"/>
    </row>
    <row r="2528" ht="15.0" customHeight="1">
      <c r="A2528" s="127">
        <v>45919.0</v>
      </c>
      <c r="B2528" s="181" t="s">
        <v>9162</v>
      </c>
      <c r="C2528" s="475" t="s">
        <v>3186</v>
      </c>
      <c r="D2528" s="73" t="str">
        <f>IFERROR(VLOOKUP(C2528,Stock,3,FALSE),"")</f>
        <v>Daihatsu Gran Max / Luxio 07-</v>
      </c>
      <c r="E2528" s="56">
        <v>1.0</v>
      </c>
      <c r="F2528" s="161">
        <v>850000.0</v>
      </c>
      <c r="G2528" s="162">
        <f t="shared" si="40"/>
        <v>850000</v>
      </c>
      <c r="H2528" s="194"/>
      <c r="I2528" s="161">
        <f t="shared" si="41"/>
        <v>850000</v>
      </c>
      <c r="J2528" s="164">
        <f t="shared" si="42"/>
        <v>850000</v>
      </c>
      <c r="K2528" s="307" t="s">
        <v>9163</v>
      </c>
      <c r="L2528" s="165" t="s">
        <v>9164</v>
      </c>
      <c r="M2528" s="73"/>
      <c r="N2528" s="171"/>
      <c r="O2528" s="169" t="s">
        <v>2958</v>
      </c>
      <c r="P2528" s="168" t="s">
        <v>3112</v>
      </c>
      <c r="Q2528" s="173"/>
      <c r="R2528" s="167">
        <v>850000.0</v>
      </c>
      <c r="S2528" s="173"/>
      <c r="T2528" s="173"/>
      <c r="U2528" s="173"/>
      <c r="V2528" s="202"/>
      <c r="W2528" s="171"/>
      <c r="X2528" s="171"/>
    </row>
    <row r="2529" ht="15.0" customHeight="1">
      <c r="A2529" s="127">
        <v>45919.0</v>
      </c>
      <c r="B2529" s="181" t="s">
        <v>9165</v>
      </c>
      <c r="C2529" s="475" t="s">
        <v>3186</v>
      </c>
      <c r="D2529" s="73" t="str">
        <f>IFERROR(VLOOKUP(C2529,Stock,3,FALSE),"")</f>
        <v>Daihatsu Gran Max / Luxio 07-</v>
      </c>
      <c r="E2529" s="56">
        <v>1.0</v>
      </c>
      <c r="F2529" s="161">
        <v>845000.0</v>
      </c>
      <c r="G2529" s="162">
        <f t="shared" si="40"/>
        <v>845000</v>
      </c>
      <c r="H2529" s="194"/>
      <c r="I2529" s="161">
        <f t="shared" si="41"/>
        <v>845000</v>
      </c>
      <c r="J2529" s="164">
        <f t="shared" si="42"/>
        <v>845000</v>
      </c>
      <c r="K2529" s="56" t="s">
        <v>6332</v>
      </c>
      <c r="L2529" s="165" t="s">
        <v>4473</v>
      </c>
      <c r="M2529" s="73"/>
      <c r="N2529" s="171"/>
      <c r="O2529" s="169" t="s">
        <v>2958</v>
      </c>
      <c r="P2529" s="168" t="s">
        <v>3112</v>
      </c>
      <c r="Q2529" s="173"/>
      <c r="R2529" s="167">
        <v>845000.0</v>
      </c>
      <c r="S2529" s="173"/>
      <c r="T2529" s="173"/>
      <c r="U2529" s="173"/>
      <c r="V2529" s="202"/>
      <c r="W2529" s="171"/>
      <c r="X2529" s="171"/>
    </row>
    <row r="2530" ht="15.0" customHeight="1">
      <c r="A2530" s="127">
        <v>45920.0</v>
      </c>
      <c r="B2530" s="181" t="s">
        <v>9166</v>
      </c>
      <c r="C2530" s="56" t="s">
        <v>9167</v>
      </c>
      <c r="D2530" s="73" t="str">
        <f>IFERROR(VLOOKUP(C2530,Stock,3,FALSE),"")</f>
        <v>Toyota Avanza / Xenia 11-15 2nd Gen / 15-21 3rd Gen</v>
      </c>
      <c r="E2530" s="56">
        <v>1.0</v>
      </c>
      <c r="F2530" s="161">
        <v>650000.0</v>
      </c>
      <c r="G2530" s="162">
        <f t="shared" si="40"/>
        <v>650000</v>
      </c>
      <c r="H2530" s="194"/>
      <c r="I2530" s="161">
        <f t="shared" si="41"/>
        <v>650000</v>
      </c>
      <c r="J2530" s="164">
        <f t="shared" si="42"/>
        <v>650000</v>
      </c>
      <c r="K2530" s="56" t="s">
        <v>9168</v>
      </c>
      <c r="L2530" s="165" t="s">
        <v>8402</v>
      </c>
      <c r="M2530" s="73"/>
      <c r="N2530" s="171"/>
      <c r="O2530" s="169" t="s">
        <v>2958</v>
      </c>
      <c r="P2530" s="168" t="s">
        <v>3112</v>
      </c>
      <c r="Q2530" s="167">
        <v>650000.0</v>
      </c>
      <c r="R2530" s="173"/>
      <c r="S2530" s="173"/>
      <c r="T2530" s="173"/>
      <c r="U2530" s="173"/>
      <c r="V2530" s="202"/>
      <c r="W2530" s="171"/>
      <c r="X2530" s="171"/>
    </row>
    <row r="2531" ht="15.0" customHeight="1">
      <c r="A2531" s="127">
        <v>45920.0</v>
      </c>
      <c r="B2531" s="181" t="s">
        <v>9169</v>
      </c>
      <c r="C2531" s="475" t="s">
        <v>3068</v>
      </c>
      <c r="D2531" s="73" t="str">
        <f>IFERROR(VLOOKUP(C2531,Stock,3,FALSE),"")</f>
        <v>Honda Brio 10- / Mobilio 11-</v>
      </c>
      <c r="E2531" s="56">
        <v>1.0</v>
      </c>
      <c r="F2531" s="161">
        <v>1300000.0</v>
      </c>
      <c r="G2531" s="162">
        <f t="shared" si="40"/>
        <v>1300000</v>
      </c>
      <c r="H2531" s="194"/>
      <c r="I2531" s="161">
        <f t="shared" si="41"/>
        <v>1300000</v>
      </c>
      <c r="J2531" s="164">
        <f t="shared" si="42"/>
        <v>1300000</v>
      </c>
      <c r="K2531" s="56" t="s">
        <v>9170</v>
      </c>
      <c r="L2531" s="165" t="s">
        <v>9171</v>
      </c>
      <c r="M2531" s="73"/>
      <c r="N2531" s="169" t="s">
        <v>9172</v>
      </c>
      <c r="O2531" s="169" t="s">
        <v>2958</v>
      </c>
      <c r="P2531" s="168" t="s">
        <v>3112</v>
      </c>
      <c r="Q2531" s="167">
        <v>1300000.0</v>
      </c>
      <c r="R2531" s="173"/>
      <c r="S2531" s="173"/>
      <c r="T2531" s="173"/>
      <c r="U2531" s="173"/>
      <c r="V2531" s="202"/>
      <c r="W2531" s="171"/>
      <c r="X2531" s="171"/>
    </row>
    <row r="2532" ht="15.0" customHeight="1">
      <c r="A2532" s="127">
        <v>45920.0</v>
      </c>
      <c r="B2532" s="181" t="s">
        <v>9173</v>
      </c>
      <c r="C2532" s="475" t="s">
        <v>7897</v>
      </c>
      <c r="D2532" s="73" t="str">
        <f>IFERROR(VLOOKUP(C2532,Stock,3,FALSE),"")</f>
        <v>Honda Jazz 07-13 2nd Gen</v>
      </c>
      <c r="E2532" s="56">
        <v>1.0</v>
      </c>
      <c r="F2532" s="161">
        <v>1699000.0</v>
      </c>
      <c r="G2532" s="162">
        <f t="shared" si="40"/>
        <v>1699000</v>
      </c>
      <c r="H2532" s="194"/>
      <c r="I2532" s="161">
        <f t="shared" si="41"/>
        <v>1699000</v>
      </c>
      <c r="J2532" s="164">
        <f t="shared" si="42"/>
        <v>1699000</v>
      </c>
      <c r="K2532" s="56" t="s">
        <v>9174</v>
      </c>
      <c r="L2532" s="165" t="s">
        <v>9175</v>
      </c>
      <c r="M2532" s="73"/>
      <c r="N2532" s="169" t="s">
        <v>9176</v>
      </c>
      <c r="O2532" s="169" t="s">
        <v>2958</v>
      </c>
      <c r="P2532" s="168" t="s">
        <v>3112</v>
      </c>
      <c r="Q2532" s="173"/>
      <c r="R2532" s="167">
        <v>1699000.0</v>
      </c>
      <c r="S2532" s="173"/>
      <c r="T2532" s="173"/>
      <c r="U2532" s="173"/>
      <c r="V2532" s="202"/>
      <c r="W2532" s="171"/>
      <c r="X2532" s="171"/>
    </row>
    <row r="2533" ht="15.0" customHeight="1">
      <c r="A2533" s="127">
        <v>45921.0</v>
      </c>
      <c r="B2533" s="181" t="s">
        <v>9177</v>
      </c>
      <c r="C2533" s="475" t="s">
        <v>3290</v>
      </c>
      <c r="D2533" s="73" t="str">
        <f>IFERROR(VLOOKUP(C2533,Stock,3,FALSE),"")</f>
        <v>Toyota Innova 04-15 1st Gen</v>
      </c>
      <c r="E2533" s="56">
        <v>1.0</v>
      </c>
      <c r="F2533" s="161">
        <v>1116000.0</v>
      </c>
      <c r="G2533" s="162">
        <f t="shared" si="40"/>
        <v>1116000</v>
      </c>
      <c r="H2533" s="194"/>
      <c r="I2533" s="161">
        <f t="shared" si="41"/>
        <v>1116000</v>
      </c>
      <c r="J2533" s="164">
        <f t="shared" si="42"/>
        <v>1116000</v>
      </c>
      <c r="K2533" s="56" t="s">
        <v>9178</v>
      </c>
      <c r="L2533" s="165" t="s">
        <v>9179</v>
      </c>
      <c r="M2533" s="73"/>
      <c r="N2533" s="171"/>
      <c r="O2533" s="169" t="s">
        <v>2958</v>
      </c>
      <c r="P2533" s="168" t="s">
        <v>3112</v>
      </c>
      <c r="Q2533" s="173"/>
      <c r="R2533" s="167">
        <v>1116000.0</v>
      </c>
      <c r="S2533" s="173"/>
      <c r="T2533" s="173"/>
      <c r="U2533" s="173"/>
      <c r="V2533" s="202"/>
      <c r="W2533" s="171"/>
      <c r="X2533" s="171"/>
    </row>
    <row r="2534" ht="15.0" customHeight="1">
      <c r="A2534" s="127">
        <v>45921.0</v>
      </c>
      <c r="B2534" s="181" t="s">
        <v>9177</v>
      </c>
      <c r="C2534" s="56" t="s">
        <v>4027</v>
      </c>
      <c r="D2534" s="73" t="str">
        <f>IFERROR(VLOOKUP(C2534,Stock,3,FALSE),"")</f>
        <v>501 Sealant Application</v>
      </c>
      <c r="E2534" s="56">
        <v>2.0</v>
      </c>
      <c r="F2534" s="161">
        <v>75000.0</v>
      </c>
      <c r="G2534" s="162">
        <f t="shared" si="40"/>
        <v>150000</v>
      </c>
      <c r="H2534" s="194"/>
      <c r="I2534" s="161">
        <f t="shared" si="41"/>
        <v>150000</v>
      </c>
      <c r="J2534" s="164">
        <f t="shared" si="42"/>
        <v>150000</v>
      </c>
      <c r="K2534" s="56" t="s">
        <v>9178</v>
      </c>
      <c r="L2534" s="165" t="s">
        <v>9179</v>
      </c>
      <c r="M2534" s="73"/>
      <c r="N2534" s="171"/>
      <c r="O2534" s="169" t="s">
        <v>2958</v>
      </c>
      <c r="P2534" s="168" t="s">
        <v>3112</v>
      </c>
      <c r="Q2534" s="173"/>
      <c r="R2534" s="167">
        <v>150000.0</v>
      </c>
      <c r="S2534" s="173"/>
      <c r="T2534" s="173"/>
      <c r="U2534" s="173"/>
      <c r="V2534" s="202"/>
      <c r="W2534" s="171"/>
      <c r="X2534" s="171"/>
    </row>
    <row r="2535" ht="15.0" customHeight="1">
      <c r="A2535" s="127">
        <v>45922.0</v>
      </c>
      <c r="B2535" s="181" t="s">
        <v>9180</v>
      </c>
      <c r="C2535" s="56" t="s">
        <v>3934</v>
      </c>
      <c r="D2535" s="73" t="str">
        <f>IFERROR(VLOOKUP(C2535,Stock,3,FALSE),"")</f>
        <v>Toyota Avanza / Xenia 11-15 2nd Gen / 15-21 3rd Gen</v>
      </c>
      <c r="E2535" s="56">
        <v>1.0</v>
      </c>
      <c r="F2535" s="161">
        <v>467525.0</v>
      </c>
      <c r="G2535" s="162">
        <f t="shared" si="40"/>
        <v>467525</v>
      </c>
      <c r="H2535" s="194"/>
      <c r="I2535" s="161">
        <f t="shared" si="41"/>
        <v>467525</v>
      </c>
      <c r="J2535" s="164">
        <f t="shared" si="42"/>
        <v>467525</v>
      </c>
      <c r="K2535" s="56" t="s">
        <v>9181</v>
      </c>
      <c r="L2535" s="73"/>
      <c r="M2535" s="73"/>
      <c r="N2535" s="171"/>
      <c r="O2535" s="169" t="s">
        <v>2958</v>
      </c>
      <c r="P2535" s="168" t="s">
        <v>6981</v>
      </c>
      <c r="Q2535" s="173"/>
      <c r="R2535" s="173"/>
      <c r="S2535" s="167">
        <v>467525.0</v>
      </c>
      <c r="T2535" s="167">
        <v>101375.0</v>
      </c>
      <c r="U2535" s="173"/>
      <c r="V2535" s="202"/>
      <c r="W2535" s="171"/>
      <c r="X2535" s="171"/>
    </row>
    <row r="2536" ht="15.0" customHeight="1">
      <c r="A2536" s="127">
        <v>45922.0</v>
      </c>
      <c r="B2536" s="181" t="s">
        <v>9182</v>
      </c>
      <c r="C2536" s="56" t="s">
        <v>2721</v>
      </c>
      <c r="D2536" s="73" t="str">
        <f>IFERROR(VLOOKUP(C2536,Stock,3,FALSE),"")</f>
        <v>Toyota Dyna/Hino Dutro 00-</v>
      </c>
      <c r="E2536" s="56">
        <v>1.0</v>
      </c>
      <c r="F2536" s="161">
        <v>1150000.0</v>
      </c>
      <c r="G2536" s="162">
        <f t="shared" si="40"/>
        <v>1150000</v>
      </c>
      <c r="H2536" s="194"/>
      <c r="I2536" s="161">
        <f t="shared" si="41"/>
        <v>1150000</v>
      </c>
      <c r="J2536" s="164">
        <f t="shared" si="42"/>
        <v>1150000</v>
      </c>
      <c r="K2536" s="56" t="s">
        <v>9183</v>
      </c>
      <c r="L2536" s="165" t="s">
        <v>9184</v>
      </c>
      <c r="M2536" s="73"/>
      <c r="N2536" s="171"/>
      <c r="O2536" s="169" t="s">
        <v>2958</v>
      </c>
      <c r="P2536" s="168" t="s">
        <v>3112</v>
      </c>
      <c r="Q2536" s="167">
        <v>1150000.0</v>
      </c>
      <c r="R2536" s="173"/>
      <c r="S2536" s="173"/>
      <c r="T2536" s="173"/>
      <c r="U2536" s="173"/>
      <c r="V2536" s="202"/>
      <c r="W2536" s="171"/>
      <c r="X2536" s="171"/>
    </row>
    <row r="2537" ht="15.0" customHeight="1">
      <c r="A2537" s="127">
        <v>45922.0</v>
      </c>
      <c r="B2537" s="181" t="s">
        <v>9185</v>
      </c>
      <c r="C2537" s="475" t="s">
        <v>2729</v>
      </c>
      <c r="D2537" s="73" t="str">
        <f>IFERROR(VLOOKUP(C2537,Stock,3,FALSE),"")</f>
        <v>Honda HR-V 14-21 5D SUV</v>
      </c>
      <c r="E2537" s="56">
        <v>1.0</v>
      </c>
      <c r="F2537" s="161">
        <v>1706000.0</v>
      </c>
      <c r="G2537" s="162">
        <f t="shared" si="40"/>
        <v>1706000</v>
      </c>
      <c r="H2537" s="194"/>
      <c r="I2537" s="161">
        <f t="shared" si="41"/>
        <v>1706000</v>
      </c>
      <c r="J2537" s="164">
        <f t="shared" si="42"/>
        <v>1706000</v>
      </c>
      <c r="K2537" s="56" t="s">
        <v>9186</v>
      </c>
      <c r="L2537" s="165" t="s">
        <v>7784</v>
      </c>
      <c r="M2537" s="73"/>
      <c r="N2537" s="171"/>
      <c r="O2537" s="169" t="s">
        <v>2958</v>
      </c>
      <c r="P2537" s="168" t="s">
        <v>3112</v>
      </c>
      <c r="Q2537" s="173"/>
      <c r="R2537" s="167">
        <v>1706000.0</v>
      </c>
      <c r="S2537" s="173"/>
      <c r="T2537" s="173"/>
      <c r="U2537" s="173"/>
      <c r="V2537" s="202"/>
      <c r="W2537" s="171"/>
      <c r="X2537" s="171"/>
    </row>
    <row r="2538" ht="15.0" customHeight="1">
      <c r="A2538" s="127">
        <v>45922.0</v>
      </c>
      <c r="B2538" s="181" t="s">
        <v>9185</v>
      </c>
      <c r="C2538" s="56" t="s">
        <v>2934</v>
      </c>
      <c r="D2538" s="73" t="str">
        <f>IFERROR(VLOOKUP(C2538,Stock,3,FALSE),"")</f>
        <v>Peti Kayu</v>
      </c>
      <c r="E2538" s="56">
        <v>1.0</v>
      </c>
      <c r="F2538" s="161">
        <v>200000.0</v>
      </c>
      <c r="G2538" s="162">
        <f t="shared" si="40"/>
        <v>200000</v>
      </c>
      <c r="H2538" s="194"/>
      <c r="I2538" s="161">
        <f t="shared" si="41"/>
        <v>200000</v>
      </c>
      <c r="J2538" s="164">
        <f t="shared" si="42"/>
        <v>200000</v>
      </c>
      <c r="K2538" s="56" t="s">
        <v>9186</v>
      </c>
      <c r="L2538" s="165" t="s">
        <v>7784</v>
      </c>
      <c r="M2538" s="73"/>
      <c r="N2538" s="171"/>
      <c r="O2538" s="169" t="s">
        <v>2958</v>
      </c>
      <c r="P2538" s="168" t="s">
        <v>3112</v>
      </c>
      <c r="Q2538" s="173"/>
      <c r="R2538" s="167">
        <v>200000.0</v>
      </c>
      <c r="S2538" s="173"/>
      <c r="T2538" s="173"/>
      <c r="U2538" s="173"/>
      <c r="V2538" s="202"/>
      <c r="W2538" s="171"/>
      <c r="X2538" s="171"/>
    </row>
    <row r="2539" ht="15.0" customHeight="1">
      <c r="A2539" s="127">
        <v>45922.0</v>
      </c>
      <c r="B2539" s="181" t="s">
        <v>9185</v>
      </c>
      <c r="C2539" s="56" t="s">
        <v>2954</v>
      </c>
      <c r="D2539" s="73" t="str">
        <f>IFERROR(VLOOKUP(C2539,Stock,3,FALSE),"")</f>
        <v>Transport</v>
      </c>
      <c r="E2539" s="56">
        <v>1.0</v>
      </c>
      <c r="F2539" s="161">
        <v>70000.0</v>
      </c>
      <c r="G2539" s="162">
        <f t="shared" si="40"/>
        <v>70000</v>
      </c>
      <c r="H2539" s="194"/>
      <c r="I2539" s="161">
        <f t="shared" si="41"/>
        <v>70000</v>
      </c>
      <c r="J2539" s="164">
        <f t="shared" si="42"/>
        <v>70000</v>
      </c>
      <c r="K2539" s="56" t="s">
        <v>9186</v>
      </c>
      <c r="L2539" s="165" t="s">
        <v>7784</v>
      </c>
      <c r="M2539" s="73"/>
      <c r="N2539" s="171"/>
      <c r="O2539" s="169" t="s">
        <v>2958</v>
      </c>
      <c r="P2539" s="168" t="s">
        <v>3112</v>
      </c>
      <c r="Q2539" s="173"/>
      <c r="R2539" s="167">
        <v>70000.0</v>
      </c>
      <c r="S2539" s="173"/>
      <c r="T2539" s="173"/>
      <c r="U2539" s="173"/>
      <c r="V2539" s="202"/>
      <c r="W2539" s="171"/>
      <c r="X2539" s="171"/>
    </row>
    <row r="2540" ht="15.0" customHeight="1">
      <c r="A2540" s="452">
        <v>45922.0</v>
      </c>
      <c r="B2540" s="479" t="s">
        <v>9187</v>
      </c>
      <c r="C2540" s="454" t="s">
        <v>9188</v>
      </c>
      <c r="D2540" s="455" t="str">
        <f>IFERROR(VLOOKUP(C2540,Stock,3,FALSE),"")</f>
        <v>Mazda CX-5  17- 2nd Gen KF (2 Sensor/ □Δ ) (Mazda)</v>
      </c>
      <c r="E2540" s="454">
        <v>1.0</v>
      </c>
      <c r="F2540" s="457"/>
      <c r="G2540" s="457">
        <f t="shared" si="40"/>
        <v>0</v>
      </c>
      <c r="H2540" s="458"/>
      <c r="I2540" s="456">
        <f t="shared" si="41"/>
        <v>0</v>
      </c>
      <c r="J2540" s="459">
        <f t="shared" si="42"/>
        <v>0</v>
      </c>
      <c r="K2540" s="454" t="s">
        <v>9189</v>
      </c>
      <c r="L2540" s="460" t="s">
        <v>9190</v>
      </c>
      <c r="M2540" s="455"/>
      <c r="N2540" s="422"/>
      <c r="O2540" s="317"/>
      <c r="P2540" s="422"/>
      <c r="Q2540" s="462"/>
      <c r="R2540" s="462"/>
      <c r="S2540" s="462"/>
      <c r="T2540" s="462"/>
      <c r="U2540" s="462"/>
      <c r="V2540" s="202"/>
      <c r="W2540" s="171"/>
      <c r="X2540" s="171"/>
    </row>
    <row r="2541" ht="15.0" customHeight="1">
      <c r="A2541" s="127">
        <v>45923.0</v>
      </c>
      <c r="B2541" s="181" t="s">
        <v>9191</v>
      </c>
      <c r="C2541" s="475" t="s">
        <v>2691</v>
      </c>
      <c r="D2541" s="73" t="str">
        <f>IFERROR(VLOOKUP(C2541,Stock,3,FALSE),"")</f>
        <v>Suzuki Ertiga 12-18 1st Gen MPV</v>
      </c>
      <c r="E2541" s="56">
        <v>1.0</v>
      </c>
      <c r="F2541" s="161">
        <v>1290000.0</v>
      </c>
      <c r="G2541" s="162">
        <f t="shared" si="40"/>
        <v>1290000</v>
      </c>
      <c r="H2541" s="194"/>
      <c r="I2541" s="161">
        <f t="shared" si="41"/>
        <v>1290000</v>
      </c>
      <c r="J2541" s="164">
        <f t="shared" si="42"/>
        <v>1290000</v>
      </c>
      <c r="K2541" s="56" t="s">
        <v>9192</v>
      </c>
      <c r="L2541" s="165" t="s">
        <v>9193</v>
      </c>
      <c r="M2541" s="73"/>
      <c r="N2541" s="169" t="s">
        <v>9194</v>
      </c>
      <c r="O2541" s="169" t="s">
        <v>2958</v>
      </c>
      <c r="P2541" s="168" t="s">
        <v>3112</v>
      </c>
      <c r="Q2541" s="173"/>
      <c r="R2541" s="167">
        <v>1290000.0</v>
      </c>
      <c r="S2541" s="173"/>
      <c r="T2541" s="173"/>
      <c r="U2541" s="173"/>
      <c r="V2541" s="202"/>
      <c r="W2541" s="171"/>
      <c r="X2541" s="171"/>
    </row>
    <row r="2542" ht="15.0" customHeight="1">
      <c r="A2542" s="127">
        <v>45923.0</v>
      </c>
      <c r="B2542" s="181" t="s">
        <v>9195</v>
      </c>
      <c r="C2542" s="475" t="s">
        <v>3186</v>
      </c>
      <c r="D2542" s="73" t="str">
        <f>IFERROR(VLOOKUP(C2542,Stock,3,FALSE),"")</f>
        <v>Daihatsu Gran Max / Luxio 07-</v>
      </c>
      <c r="E2542" s="56">
        <v>1.0</v>
      </c>
      <c r="F2542" s="161">
        <v>1000000.0</v>
      </c>
      <c r="G2542" s="162">
        <f t="shared" si="40"/>
        <v>1000000</v>
      </c>
      <c r="H2542" s="194"/>
      <c r="I2542" s="161">
        <f t="shared" si="41"/>
        <v>1000000</v>
      </c>
      <c r="J2542" s="164">
        <f t="shared" si="42"/>
        <v>1000000</v>
      </c>
      <c r="K2542" s="56" t="s">
        <v>9196</v>
      </c>
      <c r="L2542" s="165" t="s">
        <v>9197</v>
      </c>
      <c r="M2542" s="73"/>
      <c r="N2542" s="169" t="s">
        <v>9198</v>
      </c>
      <c r="O2542" s="169" t="s">
        <v>2958</v>
      </c>
      <c r="P2542" s="168" t="s">
        <v>3112</v>
      </c>
      <c r="Q2542" s="167">
        <v>1000000.0</v>
      </c>
      <c r="S2542" s="173"/>
      <c r="T2542" s="173"/>
      <c r="U2542" s="173"/>
      <c r="V2542" s="202"/>
      <c r="W2542" s="171"/>
      <c r="X2542" s="171"/>
    </row>
    <row r="2543" ht="15.0" customHeight="1">
      <c r="A2543" s="127">
        <v>45923.0</v>
      </c>
      <c r="B2543" s="181" t="s">
        <v>9199</v>
      </c>
      <c r="C2543" s="475" t="s">
        <v>9200</v>
      </c>
      <c r="D2543" s="73" t="str">
        <f>IFERROR(VLOOKUP(C2543,Stock,3,FALSE),"")</f>
        <v>Suzuki Wagon R 12- (Suzuki)</v>
      </c>
      <c r="E2543" s="56">
        <v>1.0</v>
      </c>
      <c r="F2543" s="161">
        <v>430000.0</v>
      </c>
      <c r="G2543" s="162">
        <f t="shared" si="40"/>
        <v>430000</v>
      </c>
      <c r="H2543" s="194"/>
      <c r="I2543" s="161">
        <f t="shared" si="41"/>
        <v>430000</v>
      </c>
      <c r="J2543" s="164">
        <f t="shared" si="42"/>
        <v>430000</v>
      </c>
      <c r="K2543" s="56" t="s">
        <v>9201</v>
      </c>
      <c r="L2543" s="165" t="s">
        <v>9202</v>
      </c>
      <c r="M2543" s="73"/>
      <c r="N2543" s="171"/>
      <c r="O2543" s="169" t="s">
        <v>2968</v>
      </c>
      <c r="P2543" s="168" t="s">
        <v>3112</v>
      </c>
      <c r="Q2543" s="167">
        <v>430000.0</v>
      </c>
      <c r="R2543" s="173"/>
      <c r="S2543" s="173"/>
      <c r="T2543" s="173"/>
      <c r="U2543" s="173"/>
      <c r="V2543" s="202"/>
      <c r="W2543" s="171"/>
      <c r="X2543" s="171"/>
    </row>
    <row r="2544" ht="15.0" customHeight="1">
      <c r="A2544" s="127">
        <v>45923.0</v>
      </c>
      <c r="B2544" s="181" t="s">
        <v>9203</v>
      </c>
      <c r="C2544" s="475" t="s">
        <v>3201</v>
      </c>
      <c r="D2544" s="73" t="str">
        <f>IFERROR(VLOOKUP(C2544,Stock,3,FALSE),"")</f>
        <v>Honda Freed 08-16 1st gen</v>
      </c>
      <c r="E2544" s="56">
        <v>1.0</v>
      </c>
      <c r="F2544" s="161">
        <v>1668000.0</v>
      </c>
      <c r="G2544" s="162">
        <f t="shared" si="40"/>
        <v>1668000</v>
      </c>
      <c r="H2544" s="194"/>
      <c r="I2544" s="161">
        <f t="shared" si="41"/>
        <v>1668000</v>
      </c>
      <c r="J2544" s="164">
        <f t="shared" si="42"/>
        <v>1668000</v>
      </c>
      <c r="K2544" s="56" t="s">
        <v>9204</v>
      </c>
      <c r="L2544" s="165" t="s">
        <v>9205</v>
      </c>
      <c r="M2544" s="73"/>
      <c r="N2544" s="171"/>
      <c r="O2544" s="169" t="s">
        <v>2958</v>
      </c>
      <c r="P2544" s="168" t="s">
        <v>3112</v>
      </c>
      <c r="Q2544" s="173"/>
      <c r="R2544" s="167">
        <v>1668000.0</v>
      </c>
      <c r="S2544" s="173"/>
      <c r="T2544" s="173"/>
      <c r="U2544" s="173"/>
      <c r="V2544" s="202"/>
      <c r="W2544" s="171"/>
      <c r="X2544" s="171"/>
    </row>
    <row r="2545" ht="15.0" customHeight="1">
      <c r="A2545" s="127">
        <v>45923.0</v>
      </c>
      <c r="B2545" s="181" t="s">
        <v>9206</v>
      </c>
      <c r="C2545" s="56" t="s">
        <v>3186</v>
      </c>
      <c r="D2545" s="73" t="str">
        <f>IFERROR(VLOOKUP(C2545,Stock,3,FALSE),"")</f>
        <v>Daihatsu Gran Max / Luxio 07-</v>
      </c>
      <c r="E2545" s="56">
        <v>1.0</v>
      </c>
      <c r="F2545" s="161">
        <v>1050000.0</v>
      </c>
      <c r="G2545" s="162">
        <f t="shared" si="40"/>
        <v>1050000</v>
      </c>
      <c r="H2545" s="194"/>
      <c r="I2545" s="161">
        <f t="shared" si="41"/>
        <v>1050000</v>
      </c>
      <c r="J2545" s="164">
        <f t="shared" si="42"/>
        <v>1050000</v>
      </c>
      <c r="K2545" s="56" t="s">
        <v>9207</v>
      </c>
      <c r="L2545" s="165" t="s">
        <v>9208</v>
      </c>
      <c r="M2545" s="73"/>
      <c r="N2545" s="169" t="s">
        <v>9209</v>
      </c>
      <c r="O2545" s="169" t="s">
        <v>2958</v>
      </c>
      <c r="P2545" s="168" t="s">
        <v>3112</v>
      </c>
      <c r="Q2545" s="173"/>
      <c r="R2545" s="167">
        <v>1050000.0</v>
      </c>
      <c r="S2545" s="173"/>
      <c r="T2545" s="173"/>
      <c r="U2545" s="173"/>
      <c r="V2545" s="202"/>
      <c r="W2545" s="171"/>
      <c r="X2545" s="171"/>
    </row>
    <row r="2546" ht="15.0" customHeight="1">
      <c r="A2546" s="127">
        <v>45924.0</v>
      </c>
      <c r="B2546" s="181" t="s">
        <v>9210</v>
      </c>
      <c r="C2546" s="56" t="s">
        <v>9211</v>
      </c>
      <c r="D2546" s="73" t="str">
        <f>IFERROR(VLOOKUP(C2546,Stock,3,FALSE),"")</f>
        <v>Toyota Alphard 15-17 ANH30 3rd Gen (Hitam)</v>
      </c>
      <c r="E2546" s="56">
        <v>1.0</v>
      </c>
      <c r="F2546" s="161">
        <v>2870000.0</v>
      </c>
      <c r="G2546" s="162">
        <f t="shared" si="40"/>
        <v>2870000</v>
      </c>
      <c r="H2546" s="201">
        <v>50000.0</v>
      </c>
      <c r="I2546" s="161">
        <f t="shared" si="41"/>
        <v>2820000</v>
      </c>
      <c r="J2546" s="164">
        <f t="shared" si="42"/>
        <v>2820000</v>
      </c>
      <c r="K2546" s="56" t="s">
        <v>9212</v>
      </c>
      <c r="L2546" s="165" t="s">
        <v>9213</v>
      </c>
      <c r="M2546" s="73"/>
      <c r="N2546" s="169" t="s">
        <v>9214</v>
      </c>
      <c r="O2546" s="169" t="s">
        <v>2958</v>
      </c>
      <c r="P2546" s="168" t="s">
        <v>3112</v>
      </c>
      <c r="Q2546" s="167">
        <v>2820000.0</v>
      </c>
      <c r="R2546" s="173"/>
      <c r="S2546" s="173"/>
      <c r="T2546" s="173"/>
      <c r="U2546" s="173"/>
      <c r="V2546" s="202"/>
      <c r="W2546" s="171"/>
      <c r="X2546" s="171"/>
    </row>
    <row r="2547" ht="15.0" customHeight="1">
      <c r="A2547" s="127">
        <v>45924.0</v>
      </c>
      <c r="B2547" s="181" t="s">
        <v>9215</v>
      </c>
      <c r="C2547" s="475" t="s">
        <v>3837</v>
      </c>
      <c r="D2547" s="73" t="str">
        <f>IFERROR(VLOOKUP(C2547,Stock,3,FALSE),"")</f>
        <v>Toyota Yaris 13- 2nd Gen / Vios 14- 3rd Gen</v>
      </c>
      <c r="E2547" s="56">
        <v>1.0</v>
      </c>
      <c r="F2547" s="161">
        <v>1619000.0</v>
      </c>
      <c r="G2547" s="162">
        <f t="shared" si="40"/>
        <v>1619000</v>
      </c>
      <c r="H2547" s="194"/>
      <c r="I2547" s="161">
        <f t="shared" si="41"/>
        <v>1619000</v>
      </c>
      <c r="J2547" s="164">
        <f t="shared" si="42"/>
        <v>1619000</v>
      </c>
      <c r="K2547" s="56" t="s">
        <v>9216</v>
      </c>
      <c r="L2547" s="165" t="s">
        <v>9217</v>
      </c>
      <c r="M2547" s="73"/>
      <c r="N2547" s="169" t="s">
        <v>9218</v>
      </c>
      <c r="O2547" s="169" t="s">
        <v>2958</v>
      </c>
      <c r="P2547" s="168" t="s">
        <v>3112</v>
      </c>
      <c r="Q2547" s="173"/>
      <c r="R2547" s="167">
        <v>1619000.0</v>
      </c>
      <c r="S2547" s="173"/>
      <c r="T2547" s="173"/>
      <c r="U2547" s="173"/>
      <c r="V2547" s="202"/>
      <c r="W2547" s="171"/>
      <c r="X2547" s="171"/>
    </row>
    <row r="2548" ht="15.0" customHeight="1">
      <c r="A2548" s="127">
        <v>45925.0</v>
      </c>
      <c r="B2548" s="181" t="s">
        <v>9219</v>
      </c>
      <c r="C2548" s="475" t="s">
        <v>4988</v>
      </c>
      <c r="D2548" s="73" t="str">
        <f>IFERROR(VLOOKUP(C2548,Stock,3,FALSE),"")</f>
        <v>Toyota Innova 15- 2nd Gen</v>
      </c>
      <c r="E2548" s="56">
        <v>1.0</v>
      </c>
      <c r="F2548" s="161">
        <v>1464000.0</v>
      </c>
      <c r="G2548" s="162">
        <f t="shared" si="40"/>
        <v>1464000</v>
      </c>
      <c r="H2548" s="194"/>
      <c r="I2548" s="161">
        <f t="shared" si="41"/>
        <v>1464000</v>
      </c>
      <c r="J2548" s="164">
        <f t="shared" si="42"/>
        <v>1464000</v>
      </c>
      <c r="K2548" s="56" t="s">
        <v>4271</v>
      </c>
      <c r="L2548" s="165" t="s">
        <v>4001</v>
      </c>
      <c r="M2548" s="73"/>
      <c r="N2548" s="171"/>
      <c r="O2548" s="169" t="s">
        <v>2958</v>
      </c>
      <c r="P2548" s="168" t="s">
        <v>3112</v>
      </c>
      <c r="Q2548" s="167">
        <v>1464000.0</v>
      </c>
      <c r="R2548" s="173"/>
      <c r="S2548" s="173"/>
      <c r="T2548" s="173"/>
      <c r="U2548" s="173"/>
      <c r="V2548" s="202"/>
      <c r="W2548" s="171"/>
      <c r="X2548" s="171"/>
    </row>
    <row r="2549" ht="15.0" customHeight="1">
      <c r="A2549" s="127">
        <v>45925.0</v>
      </c>
      <c r="B2549" s="181" t="s">
        <v>9219</v>
      </c>
      <c r="C2549" s="56" t="s">
        <v>2954</v>
      </c>
      <c r="D2549" s="73" t="str">
        <f>IFERROR(VLOOKUP(C2549,Stock,3,FALSE),"")</f>
        <v>Transport</v>
      </c>
      <c r="E2549" s="56">
        <v>1.0</v>
      </c>
      <c r="F2549" s="161">
        <v>100000.0</v>
      </c>
      <c r="G2549" s="162">
        <f t="shared" si="40"/>
        <v>100000</v>
      </c>
      <c r="H2549" s="194"/>
      <c r="I2549" s="161">
        <f t="shared" si="41"/>
        <v>100000</v>
      </c>
      <c r="J2549" s="164">
        <f t="shared" si="42"/>
        <v>100000</v>
      </c>
      <c r="K2549" s="56" t="s">
        <v>4271</v>
      </c>
      <c r="L2549" s="165" t="s">
        <v>4001</v>
      </c>
      <c r="M2549" s="73"/>
      <c r="N2549" s="171"/>
      <c r="O2549" s="169" t="s">
        <v>2958</v>
      </c>
      <c r="P2549" s="168" t="s">
        <v>3112</v>
      </c>
      <c r="Q2549" s="167">
        <v>100000.0</v>
      </c>
      <c r="R2549" s="173"/>
      <c r="S2549" s="173"/>
      <c r="T2549" s="173"/>
      <c r="U2549" s="173"/>
      <c r="V2549" s="202"/>
      <c r="W2549" s="171"/>
      <c r="X2549" s="171"/>
    </row>
    <row r="2550" ht="15.0" customHeight="1">
      <c r="A2550" s="127">
        <v>45925.0</v>
      </c>
      <c r="B2550" s="181" t="s">
        <v>9220</v>
      </c>
      <c r="C2550" s="475" t="s">
        <v>3451</v>
      </c>
      <c r="D2550" s="73" t="str">
        <f>IFERROR(VLOOKUP(C2550,Stock,3,FALSE),"")</f>
        <v>Toyota Rush / Terios 18-</v>
      </c>
      <c r="E2550" s="56">
        <v>1.0</v>
      </c>
      <c r="F2550" s="161">
        <v>1300000.0</v>
      </c>
      <c r="G2550" s="162">
        <f t="shared" si="40"/>
        <v>1300000</v>
      </c>
      <c r="H2550" s="194"/>
      <c r="I2550" s="161">
        <f t="shared" si="41"/>
        <v>1300000</v>
      </c>
      <c r="J2550" s="164">
        <f t="shared" si="42"/>
        <v>1300000</v>
      </c>
      <c r="K2550" s="56" t="s">
        <v>9221</v>
      </c>
      <c r="L2550" s="165" t="s">
        <v>9222</v>
      </c>
      <c r="M2550" s="73"/>
      <c r="N2550" s="169" t="s">
        <v>9223</v>
      </c>
      <c r="O2550" s="169" t="s">
        <v>2958</v>
      </c>
      <c r="P2550" s="168" t="s">
        <v>3112</v>
      </c>
      <c r="Q2550" s="173"/>
      <c r="R2550" s="167">
        <v>1300000.0</v>
      </c>
      <c r="S2550" s="173"/>
      <c r="T2550" s="173"/>
      <c r="U2550" s="173"/>
      <c r="V2550" s="202"/>
      <c r="W2550" s="171"/>
      <c r="X2550" s="171"/>
    </row>
    <row r="2551" ht="15.0" customHeight="1">
      <c r="A2551" s="127">
        <v>45925.0</v>
      </c>
      <c r="B2551" s="181" t="s">
        <v>9224</v>
      </c>
      <c r="C2551" s="56" t="s">
        <v>3924</v>
      </c>
      <c r="D2551" s="73" t="str">
        <f>IFERROR(VLOOKUP(C2551,Stock,3,FALSE),"")</f>
        <v>Nissan X-Trail 07-13 T31</v>
      </c>
      <c r="E2551" s="56">
        <v>1.0</v>
      </c>
      <c r="F2551" s="161">
        <v>1944000.0</v>
      </c>
      <c r="G2551" s="162">
        <f t="shared" si="40"/>
        <v>1944000</v>
      </c>
      <c r="H2551" s="194"/>
      <c r="I2551" s="161">
        <f t="shared" si="41"/>
        <v>1944000</v>
      </c>
      <c r="J2551" s="164">
        <f t="shared" si="42"/>
        <v>1944000</v>
      </c>
      <c r="K2551" s="56" t="s">
        <v>9225</v>
      </c>
      <c r="L2551" s="165" t="s">
        <v>9226</v>
      </c>
      <c r="M2551" s="73"/>
      <c r="N2551" s="169" t="s">
        <v>9227</v>
      </c>
      <c r="O2551" s="169" t="s">
        <v>3213</v>
      </c>
      <c r="P2551" s="168" t="s">
        <v>3112</v>
      </c>
      <c r="Q2551" s="167">
        <v>1944000.0</v>
      </c>
      <c r="R2551" s="173"/>
      <c r="S2551" s="173"/>
      <c r="T2551" s="173"/>
      <c r="U2551" s="173"/>
      <c r="V2551" s="202"/>
      <c r="W2551" s="171"/>
      <c r="X2551" s="171"/>
    </row>
    <row r="2552" ht="15.0" customHeight="1">
      <c r="A2552" s="127">
        <v>45925.0</v>
      </c>
      <c r="B2552" s="181" t="s">
        <v>9228</v>
      </c>
      <c r="C2552" s="475" t="s">
        <v>3127</v>
      </c>
      <c r="D2552" s="73" t="str">
        <f>IFERROR(VLOOKUP(C2552,Stock,3,FALSE),"")</f>
        <v>Toyota Avanza / Xenia 03-11 1st Gen</v>
      </c>
      <c r="E2552" s="56">
        <v>1.0</v>
      </c>
      <c r="F2552" s="161">
        <v>841000.0</v>
      </c>
      <c r="G2552" s="162">
        <f t="shared" si="40"/>
        <v>841000</v>
      </c>
      <c r="H2552" s="194"/>
      <c r="I2552" s="161">
        <f t="shared" si="41"/>
        <v>841000</v>
      </c>
      <c r="J2552" s="164">
        <f t="shared" si="42"/>
        <v>841000</v>
      </c>
      <c r="K2552" s="56" t="s">
        <v>9229</v>
      </c>
      <c r="L2552" s="165" t="s">
        <v>9230</v>
      </c>
      <c r="M2552" s="73"/>
      <c r="N2552" s="171"/>
      <c r="O2552" s="169" t="s">
        <v>2958</v>
      </c>
      <c r="P2552" s="168" t="s">
        <v>3112</v>
      </c>
      <c r="Q2552" s="173"/>
      <c r="R2552" s="167">
        <v>30000.0</v>
      </c>
      <c r="S2552" s="173"/>
      <c r="T2552" s="173"/>
      <c r="U2552" s="173"/>
      <c r="V2552" s="202"/>
      <c r="W2552" s="171"/>
      <c r="X2552" s="171"/>
    </row>
    <row r="2553" ht="15.0" customHeight="1">
      <c r="A2553" s="127">
        <v>45925.0</v>
      </c>
      <c r="B2553" s="181" t="s">
        <v>9228</v>
      </c>
      <c r="C2553" s="56" t="s">
        <v>2954</v>
      </c>
      <c r="D2553" s="73" t="str">
        <f>IFERROR(VLOOKUP(C2553,Stock,3,FALSE),"")</f>
        <v>Transport</v>
      </c>
      <c r="E2553" s="56">
        <v>1.0</v>
      </c>
      <c r="F2553" s="161">
        <v>70000.0</v>
      </c>
      <c r="G2553" s="162">
        <f t="shared" si="40"/>
        <v>70000</v>
      </c>
      <c r="H2553" s="194"/>
      <c r="I2553" s="161">
        <f t="shared" si="41"/>
        <v>70000</v>
      </c>
      <c r="J2553" s="164">
        <f t="shared" si="42"/>
        <v>70000</v>
      </c>
      <c r="K2553" s="56" t="s">
        <v>9229</v>
      </c>
      <c r="L2553" s="165" t="s">
        <v>9230</v>
      </c>
      <c r="M2553" s="73"/>
      <c r="N2553" s="171"/>
      <c r="O2553" s="169" t="s">
        <v>2958</v>
      </c>
      <c r="P2553" s="168" t="s">
        <v>3112</v>
      </c>
      <c r="Q2553" s="173"/>
      <c r="R2553" s="173"/>
      <c r="S2553" s="173"/>
      <c r="T2553" s="173"/>
      <c r="U2553" s="173"/>
      <c r="V2553" s="202"/>
      <c r="W2553" s="171"/>
      <c r="X2553" s="171"/>
    </row>
    <row r="2554" ht="15.0" customHeight="1">
      <c r="A2554" s="127">
        <v>45925.0</v>
      </c>
      <c r="B2554" s="181" t="s">
        <v>9231</v>
      </c>
      <c r="C2554" s="475" t="s">
        <v>2746</v>
      </c>
      <c r="D2554" s="73" t="str">
        <f>IFERROR(VLOOKUP(C2554,Stock,3,FALSE),"")</f>
        <v>Toyota Fortuner 05-15 1st Gen </v>
      </c>
      <c r="E2554" s="56">
        <v>1.0</v>
      </c>
      <c r="F2554" s="161">
        <v>2199000.0</v>
      </c>
      <c r="G2554" s="162">
        <f t="shared" si="40"/>
        <v>2199000</v>
      </c>
      <c r="H2554" s="194"/>
      <c r="I2554" s="161">
        <f t="shared" si="41"/>
        <v>2199000</v>
      </c>
      <c r="J2554" s="164">
        <f t="shared" si="42"/>
        <v>2199000</v>
      </c>
      <c r="K2554" s="56" t="s">
        <v>4109</v>
      </c>
      <c r="L2554" s="165" t="s">
        <v>9232</v>
      </c>
      <c r="M2554" s="73"/>
      <c r="N2554" s="171"/>
      <c r="O2554" s="169" t="s">
        <v>2958</v>
      </c>
      <c r="P2554" s="168" t="s">
        <v>3112</v>
      </c>
      <c r="R2554" s="167">
        <v>2199000.0</v>
      </c>
      <c r="S2554" s="173"/>
      <c r="T2554" s="173"/>
      <c r="U2554" s="173"/>
      <c r="V2554" s="202"/>
      <c r="W2554" s="171"/>
      <c r="X2554" s="171"/>
    </row>
    <row r="2555" ht="15.0" customHeight="1">
      <c r="A2555" s="127">
        <v>45925.0</v>
      </c>
      <c r="B2555" s="181" t="s">
        <v>9233</v>
      </c>
      <c r="C2555" s="56" t="s">
        <v>5793</v>
      </c>
      <c r="D2555" s="73" t="str">
        <f>IFERROR(VLOOKUP(C2555,Stock,3,FALSE),"")</f>
        <v>BMW 3 Series 12-18 F30/F35</v>
      </c>
      <c r="E2555" s="56">
        <v>1.0</v>
      </c>
      <c r="F2555" s="161">
        <v>2391180.0</v>
      </c>
      <c r="G2555" s="162">
        <f t="shared" si="40"/>
        <v>2391180</v>
      </c>
      <c r="H2555" s="194"/>
      <c r="I2555" s="161">
        <f t="shared" si="41"/>
        <v>2391180</v>
      </c>
      <c r="J2555" s="164">
        <f t="shared" si="42"/>
        <v>2391180</v>
      </c>
      <c r="K2555" s="56" t="s">
        <v>9234</v>
      </c>
      <c r="L2555" s="165" t="s">
        <v>9235</v>
      </c>
      <c r="M2555" s="73"/>
      <c r="N2555" s="171"/>
      <c r="O2555" s="169" t="s">
        <v>3204</v>
      </c>
      <c r="P2555" s="168" t="s">
        <v>3112</v>
      </c>
      <c r="Q2555" s="173"/>
      <c r="R2555" s="173"/>
      <c r="S2555" s="167">
        <v>2391180.0</v>
      </c>
      <c r="T2555" s="167">
        <v>128830.0</v>
      </c>
      <c r="U2555" s="173"/>
      <c r="V2555" s="202"/>
      <c r="W2555" s="171"/>
      <c r="X2555" s="171"/>
    </row>
    <row r="2556" ht="15.0" customHeight="1">
      <c r="A2556" s="127">
        <v>45926.0</v>
      </c>
      <c r="B2556" s="181" t="s">
        <v>9236</v>
      </c>
      <c r="C2556" s="475" t="s">
        <v>2552</v>
      </c>
      <c r="D2556" s="73" t="str">
        <f>IFERROR(VLOOKUP(C2556,Stock,3,FALSE),"")</f>
        <v>Toyota Kijang 02-04 Kapsul Lem Efi</v>
      </c>
      <c r="E2556" s="56">
        <v>1.0</v>
      </c>
      <c r="F2556" s="161">
        <v>1178000.0</v>
      </c>
      <c r="G2556" s="162">
        <f t="shared" si="40"/>
        <v>1178000</v>
      </c>
      <c r="H2556" s="194"/>
      <c r="I2556" s="161">
        <f t="shared" si="41"/>
        <v>1178000</v>
      </c>
      <c r="J2556" s="164">
        <f t="shared" si="42"/>
        <v>1178000</v>
      </c>
      <c r="K2556" s="56" t="s">
        <v>9237</v>
      </c>
      <c r="L2556" s="165" t="s">
        <v>9238</v>
      </c>
      <c r="M2556" s="73"/>
      <c r="N2556" s="171"/>
      <c r="O2556" s="169" t="s">
        <v>2952</v>
      </c>
      <c r="P2556" s="168" t="s">
        <v>3112</v>
      </c>
      <c r="Q2556" s="173"/>
      <c r="R2556" s="167">
        <v>1178000.0</v>
      </c>
      <c r="S2556" s="173"/>
      <c r="T2556" s="173"/>
      <c r="U2556" s="173"/>
      <c r="V2556" s="202"/>
      <c r="W2556" s="171"/>
      <c r="X2556" s="171"/>
    </row>
    <row r="2557" ht="15.0" customHeight="1">
      <c r="A2557" s="127">
        <v>45926.0</v>
      </c>
      <c r="B2557" s="181" t="s">
        <v>9236</v>
      </c>
      <c r="C2557" s="56" t="s">
        <v>2954</v>
      </c>
      <c r="D2557" s="73" t="str">
        <f>IFERROR(VLOOKUP(C2557,Stock,3,FALSE),"")</f>
        <v>Transport</v>
      </c>
      <c r="E2557" s="56">
        <v>1.0</v>
      </c>
      <c r="F2557" s="161">
        <v>70000.0</v>
      </c>
      <c r="G2557" s="162">
        <f t="shared" si="40"/>
        <v>70000</v>
      </c>
      <c r="H2557" s="194"/>
      <c r="I2557" s="161">
        <f t="shared" si="41"/>
        <v>70000</v>
      </c>
      <c r="J2557" s="164">
        <f t="shared" si="42"/>
        <v>70000</v>
      </c>
      <c r="K2557" s="56" t="s">
        <v>9237</v>
      </c>
      <c r="L2557" s="165" t="s">
        <v>9238</v>
      </c>
      <c r="M2557" s="73"/>
      <c r="N2557" s="171"/>
      <c r="O2557" s="169" t="s">
        <v>2952</v>
      </c>
      <c r="P2557" s="168" t="s">
        <v>3112</v>
      </c>
      <c r="Q2557" s="173"/>
      <c r="R2557" s="167">
        <v>70000.0</v>
      </c>
      <c r="S2557" s="173"/>
      <c r="T2557" s="173"/>
      <c r="U2557" s="173"/>
      <c r="V2557" s="202"/>
      <c r="W2557" s="171"/>
      <c r="X2557" s="171"/>
    </row>
    <row r="2558" ht="15.0" customHeight="1">
      <c r="A2558" s="127">
        <v>45926.0</v>
      </c>
      <c r="B2558" s="181" t="s">
        <v>9236</v>
      </c>
      <c r="C2558" s="56" t="s">
        <v>2934</v>
      </c>
      <c r="D2558" s="73" t="str">
        <f>IFERROR(VLOOKUP(C2558,Stock,3,FALSE),"")</f>
        <v>Peti Kayu</v>
      </c>
      <c r="E2558" s="56">
        <v>1.0</v>
      </c>
      <c r="F2558" s="161">
        <v>200000.0</v>
      </c>
      <c r="G2558" s="162">
        <f t="shared" si="40"/>
        <v>200000</v>
      </c>
      <c r="H2558" s="194"/>
      <c r="I2558" s="161">
        <f t="shared" si="41"/>
        <v>200000</v>
      </c>
      <c r="J2558" s="164">
        <f t="shared" si="42"/>
        <v>200000</v>
      </c>
      <c r="K2558" s="56" t="s">
        <v>9237</v>
      </c>
      <c r="L2558" s="165" t="s">
        <v>9239</v>
      </c>
      <c r="M2558" s="73"/>
      <c r="N2558" s="171"/>
      <c r="O2558" s="169" t="s">
        <v>2952</v>
      </c>
      <c r="P2558" s="168" t="s">
        <v>3112</v>
      </c>
      <c r="Q2558" s="173"/>
      <c r="R2558" s="167">
        <v>200000.0</v>
      </c>
      <c r="S2558" s="173"/>
      <c r="T2558" s="173"/>
      <c r="U2558" s="173"/>
      <c r="V2558" s="202"/>
      <c r="W2558" s="171"/>
      <c r="X2558" s="171"/>
    </row>
    <row r="2559" ht="15.0" customHeight="1">
      <c r="A2559" s="127">
        <v>45926.0</v>
      </c>
      <c r="B2559" s="181" t="s">
        <v>9236</v>
      </c>
      <c r="C2559" s="56" t="s">
        <v>4027</v>
      </c>
      <c r="D2559" s="73" t="str">
        <f>IFERROR(VLOOKUP(C2559,Stock,3,FALSE),"")</f>
        <v>501 Sealant Application</v>
      </c>
      <c r="E2559" s="56">
        <v>2.0</v>
      </c>
      <c r="F2559" s="161">
        <v>95000.0</v>
      </c>
      <c r="G2559" s="162">
        <f t="shared" si="40"/>
        <v>190000</v>
      </c>
      <c r="H2559" s="194"/>
      <c r="I2559" s="161">
        <f t="shared" si="41"/>
        <v>190000</v>
      </c>
      <c r="J2559" s="164">
        <f t="shared" si="42"/>
        <v>190000</v>
      </c>
      <c r="K2559" s="56" t="s">
        <v>9237</v>
      </c>
      <c r="L2559" s="165" t="s">
        <v>9239</v>
      </c>
      <c r="M2559" s="73"/>
      <c r="N2559" s="171"/>
      <c r="O2559" s="169" t="s">
        <v>2952</v>
      </c>
      <c r="P2559" s="168" t="s">
        <v>3112</v>
      </c>
      <c r="Q2559" s="173"/>
      <c r="R2559" s="167">
        <v>190000.0</v>
      </c>
      <c r="S2559" s="173"/>
      <c r="T2559" s="173"/>
      <c r="U2559" s="173"/>
      <c r="V2559" s="202"/>
      <c r="W2559" s="171"/>
      <c r="X2559" s="171"/>
    </row>
    <row r="2560" ht="15.0" customHeight="1">
      <c r="A2560" s="127">
        <v>45926.0</v>
      </c>
      <c r="B2560" s="181" t="s">
        <v>9240</v>
      </c>
      <c r="C2560" s="56" t="s">
        <v>3025</v>
      </c>
      <c r="D2560" s="73" t="str">
        <f>IFERROR(VLOOKUP(C2560,Stock,3,FALSE),"")</f>
        <v>Toyota Rush / Terios 06-17</v>
      </c>
      <c r="E2560" s="56">
        <v>1.0</v>
      </c>
      <c r="F2560" s="161">
        <v>1448000.0</v>
      </c>
      <c r="G2560" s="162">
        <f t="shared" si="40"/>
        <v>1448000</v>
      </c>
      <c r="H2560" s="201">
        <v>48000.0</v>
      </c>
      <c r="I2560" s="161">
        <f t="shared" si="41"/>
        <v>1400000</v>
      </c>
      <c r="J2560" s="164">
        <f t="shared" si="42"/>
        <v>1400000</v>
      </c>
      <c r="K2560" s="56" t="s">
        <v>9241</v>
      </c>
      <c r="L2560" s="165" t="s">
        <v>9242</v>
      </c>
      <c r="M2560" s="73"/>
      <c r="N2560" s="171"/>
      <c r="O2560" s="169" t="s">
        <v>2958</v>
      </c>
      <c r="P2560" s="168" t="s">
        <v>3112</v>
      </c>
      <c r="Q2560" s="173"/>
      <c r="R2560" s="167">
        <v>1400000.0</v>
      </c>
      <c r="S2560" s="173"/>
      <c r="T2560" s="173"/>
      <c r="U2560" s="173"/>
      <c r="V2560" s="202"/>
      <c r="W2560" s="171"/>
      <c r="X2560" s="171"/>
    </row>
    <row r="2561" ht="15.0" customHeight="1">
      <c r="A2561" s="127">
        <v>45927.0</v>
      </c>
      <c r="B2561" s="181" t="s">
        <v>9243</v>
      </c>
      <c r="C2561" s="56" t="s">
        <v>6829</v>
      </c>
      <c r="D2561" s="73" t="str">
        <f>IFERROR(VLOOKUP(C2561,Stock,3,FALSE),"")</f>
        <v>Toyota Avanza / Xenia 21- 4th Gen ( Sensor)</v>
      </c>
      <c r="E2561" s="56">
        <v>1.0</v>
      </c>
      <c r="F2561" s="161">
        <v>1888000.0</v>
      </c>
      <c r="G2561" s="162">
        <f t="shared" si="40"/>
        <v>1888000</v>
      </c>
      <c r="H2561" s="194"/>
      <c r="I2561" s="161">
        <f t="shared" si="41"/>
        <v>1888000</v>
      </c>
      <c r="J2561" s="164">
        <f t="shared" si="42"/>
        <v>1888000</v>
      </c>
      <c r="K2561" s="307" t="s">
        <v>9244</v>
      </c>
      <c r="L2561" s="165" t="s">
        <v>9245</v>
      </c>
      <c r="M2561" s="73"/>
      <c r="N2561" s="171"/>
      <c r="O2561" s="169" t="s">
        <v>3213</v>
      </c>
      <c r="P2561" s="168" t="s">
        <v>3112</v>
      </c>
      <c r="Q2561" s="167">
        <v>1888000.0</v>
      </c>
      <c r="R2561" s="173"/>
      <c r="S2561" s="173"/>
      <c r="T2561" s="173"/>
      <c r="U2561" s="173"/>
      <c r="V2561" s="202"/>
      <c r="W2561" s="171"/>
      <c r="X2561" s="171"/>
    </row>
    <row r="2562" ht="15.0" customHeight="1">
      <c r="A2562" s="127">
        <v>45927.0</v>
      </c>
      <c r="B2562" s="181" t="s">
        <v>9246</v>
      </c>
      <c r="C2562" s="475" t="s">
        <v>2562</v>
      </c>
      <c r="D2562" s="73" t="str">
        <f>IFERROR(VLOOKUP(C2562,Stock,3,FALSE),"")</f>
        <v>Toyota Avanza / Xenia 15-21 3rd Gen</v>
      </c>
      <c r="E2562" s="56">
        <v>1.0</v>
      </c>
      <c r="F2562" s="161">
        <v>1000000.0</v>
      </c>
      <c r="G2562" s="162">
        <f t="shared" si="40"/>
        <v>1000000</v>
      </c>
      <c r="H2562" s="194"/>
      <c r="I2562" s="161">
        <f t="shared" si="41"/>
        <v>1000000</v>
      </c>
      <c r="J2562" s="164">
        <f t="shared" si="42"/>
        <v>1000000</v>
      </c>
      <c r="K2562" s="56" t="s">
        <v>8974</v>
      </c>
      <c r="L2562" s="165" t="s">
        <v>9247</v>
      </c>
      <c r="M2562" s="73"/>
      <c r="N2562" s="171"/>
      <c r="O2562" s="169" t="s">
        <v>3204</v>
      </c>
      <c r="P2562" s="168" t="s">
        <v>3112</v>
      </c>
      <c r="Q2562" s="167">
        <v>1000000.0</v>
      </c>
      <c r="R2562" s="173"/>
      <c r="S2562" s="173"/>
      <c r="T2562" s="173"/>
      <c r="U2562" s="173"/>
      <c r="V2562" s="202"/>
      <c r="W2562" s="171"/>
      <c r="X2562" s="171"/>
    </row>
    <row r="2563" ht="15.0" customHeight="1">
      <c r="A2563" s="127">
        <v>45927.0</v>
      </c>
      <c r="B2563" s="181" t="s">
        <v>9248</v>
      </c>
      <c r="C2563" s="56" t="s">
        <v>9249</v>
      </c>
      <c r="D2563" s="73" t="str">
        <f>IFERROR(VLOOKUP(C2563,Stock,3,FALSE),"")</f>
        <v>Toyota Rush / Terios 06-17</v>
      </c>
      <c r="E2563" s="56">
        <v>1.0</v>
      </c>
      <c r="F2563" s="161">
        <v>680000.0</v>
      </c>
      <c r="G2563" s="162">
        <f t="shared" si="40"/>
        <v>680000</v>
      </c>
      <c r="H2563" s="194"/>
      <c r="I2563" s="161">
        <f t="shared" si="41"/>
        <v>680000</v>
      </c>
      <c r="J2563" s="164">
        <f t="shared" si="42"/>
        <v>680000</v>
      </c>
      <c r="K2563" s="56" t="s">
        <v>9250</v>
      </c>
      <c r="L2563" s="165" t="s">
        <v>9251</v>
      </c>
      <c r="M2563" s="73"/>
      <c r="N2563" s="171"/>
      <c r="O2563" s="169" t="s">
        <v>3204</v>
      </c>
      <c r="P2563" s="168" t="s">
        <v>3112</v>
      </c>
      <c r="Q2563" s="173"/>
      <c r="R2563" s="167">
        <v>680000.0</v>
      </c>
      <c r="S2563" s="173"/>
      <c r="T2563" s="173"/>
      <c r="U2563" s="173"/>
      <c r="V2563" s="202"/>
      <c r="W2563" s="171"/>
      <c r="X2563" s="171"/>
    </row>
    <row r="2564" ht="15.0" customHeight="1">
      <c r="A2564" s="127">
        <v>45927.0</v>
      </c>
      <c r="B2564" s="181" t="s">
        <v>9252</v>
      </c>
      <c r="C2564" s="475" t="s">
        <v>3099</v>
      </c>
      <c r="D2564" s="73" t="str">
        <f>IFERROR(VLOOKUP(C2564,Stock,3,FALSE),"")</f>
        <v>Toyota Calya / Sigra 16-</v>
      </c>
      <c r="E2564" s="56">
        <v>1.0</v>
      </c>
      <c r="F2564" s="161">
        <v>1000000.0</v>
      </c>
      <c r="G2564" s="162">
        <f t="shared" si="40"/>
        <v>1000000</v>
      </c>
      <c r="H2564" s="194"/>
      <c r="I2564" s="161">
        <f t="shared" si="41"/>
        <v>1000000</v>
      </c>
      <c r="J2564" s="164">
        <f t="shared" si="42"/>
        <v>1000000</v>
      </c>
      <c r="K2564" s="56" t="s">
        <v>9253</v>
      </c>
      <c r="L2564" s="165" t="s">
        <v>9254</v>
      </c>
      <c r="M2564" s="73"/>
      <c r="N2564" s="169" t="s">
        <v>9255</v>
      </c>
      <c r="O2564" s="169" t="s">
        <v>2958</v>
      </c>
      <c r="P2564" s="168" t="s">
        <v>3112</v>
      </c>
      <c r="Q2564" s="167">
        <v>900000.0</v>
      </c>
      <c r="R2564" s="167">
        <v>100000.0</v>
      </c>
      <c r="S2564" s="173"/>
      <c r="T2564" s="173"/>
      <c r="U2564" s="173"/>
      <c r="V2564" s="202"/>
      <c r="W2564" s="171"/>
      <c r="X2564" s="171"/>
    </row>
    <row r="2565" ht="15.0" customHeight="1">
      <c r="A2565" s="127">
        <v>45927.0</v>
      </c>
      <c r="B2565" s="181" t="s">
        <v>9256</v>
      </c>
      <c r="C2565" s="475" t="s">
        <v>2732</v>
      </c>
      <c r="D2565" s="73" t="str">
        <f>IFERROR(VLOOKUP(C2565,Stock,3,FALSE),"")</f>
        <v>Honda Jazz 13- 3rd Gen</v>
      </c>
      <c r="E2565" s="56">
        <v>1.0</v>
      </c>
      <c r="F2565" s="161">
        <v>1557000.0</v>
      </c>
      <c r="G2565" s="162">
        <f t="shared" si="40"/>
        <v>1557000</v>
      </c>
      <c r="H2565" s="194"/>
      <c r="I2565" s="161">
        <f t="shared" si="41"/>
        <v>1557000</v>
      </c>
      <c r="J2565" s="164">
        <f t="shared" si="42"/>
        <v>1557000</v>
      </c>
      <c r="K2565" s="56" t="s">
        <v>4717</v>
      </c>
      <c r="L2565" s="165" t="s">
        <v>9257</v>
      </c>
      <c r="M2565" s="73"/>
      <c r="N2565" s="169" t="s">
        <v>9258</v>
      </c>
      <c r="O2565" s="169" t="s">
        <v>3204</v>
      </c>
      <c r="P2565" s="168" t="s">
        <v>3112</v>
      </c>
      <c r="Q2565" s="173"/>
      <c r="R2565" s="167">
        <v>1557000.0</v>
      </c>
      <c r="S2565" s="173"/>
      <c r="T2565" s="173"/>
      <c r="U2565" s="173"/>
      <c r="V2565" s="202"/>
      <c r="W2565" s="171"/>
      <c r="X2565" s="171"/>
    </row>
    <row r="2566" ht="15.0" customHeight="1">
      <c r="A2566" s="127">
        <v>45928.0</v>
      </c>
      <c r="B2566" s="181" t="s">
        <v>9259</v>
      </c>
      <c r="C2566" s="475" t="s">
        <v>6918</v>
      </c>
      <c r="D2566" s="73" t="str">
        <f>IFERROR(VLOOKUP(C2566,Stock,3,FALSE),"")</f>
        <v>Wuling Almaz</v>
      </c>
      <c r="E2566" s="56">
        <v>1.0</v>
      </c>
      <c r="F2566" s="161">
        <v>1998000.0</v>
      </c>
      <c r="G2566" s="162">
        <f t="shared" si="40"/>
        <v>1998000</v>
      </c>
      <c r="H2566" s="194"/>
      <c r="I2566" s="161">
        <f t="shared" si="41"/>
        <v>1998000</v>
      </c>
      <c r="J2566" s="164">
        <f t="shared" si="42"/>
        <v>1998000</v>
      </c>
      <c r="K2566" s="56" t="s">
        <v>9260</v>
      </c>
      <c r="L2566" s="165" t="s">
        <v>9261</v>
      </c>
      <c r="M2566" s="73"/>
      <c r="N2566" s="169" t="s">
        <v>9262</v>
      </c>
      <c r="O2566" s="169" t="s">
        <v>6719</v>
      </c>
      <c r="P2566" s="168" t="s">
        <v>5077</v>
      </c>
      <c r="Q2566" s="173"/>
      <c r="R2566" s="161">
        <v>1998000.0</v>
      </c>
      <c r="S2566" s="173"/>
      <c r="T2566" s="173"/>
      <c r="U2566" s="173"/>
      <c r="V2566" s="202"/>
      <c r="W2566" s="171"/>
      <c r="X2566" s="171"/>
    </row>
    <row r="2567" ht="15.0" customHeight="1">
      <c r="A2567" s="127">
        <v>45928.0</v>
      </c>
      <c r="B2567" s="181" t="s">
        <v>9259</v>
      </c>
      <c r="C2567" s="56" t="s">
        <v>3045</v>
      </c>
      <c r="D2567" s="73" t="str">
        <f>IFERROR(VLOOKUP(C2567,Stock,3,FALSE),"")</f>
        <v>Pemasangan Kaca Mobil Depan</v>
      </c>
      <c r="E2567" s="56">
        <v>1.0</v>
      </c>
      <c r="F2567" s="161">
        <v>250000.0</v>
      </c>
      <c r="G2567" s="162">
        <f t="shared" si="40"/>
        <v>250000</v>
      </c>
      <c r="H2567" s="194"/>
      <c r="I2567" s="161">
        <f t="shared" si="41"/>
        <v>250000</v>
      </c>
      <c r="J2567" s="164">
        <f t="shared" si="42"/>
        <v>250000</v>
      </c>
      <c r="K2567" s="56" t="s">
        <v>9260</v>
      </c>
      <c r="L2567" s="165" t="s">
        <v>9261</v>
      </c>
      <c r="M2567" s="73"/>
      <c r="N2567" s="169" t="s">
        <v>9262</v>
      </c>
      <c r="O2567" s="169" t="s">
        <v>6719</v>
      </c>
      <c r="P2567" s="168" t="s">
        <v>5077</v>
      </c>
      <c r="Q2567" s="173"/>
      <c r="R2567" s="161">
        <v>250000.0</v>
      </c>
      <c r="S2567" s="173"/>
      <c r="T2567" s="173"/>
      <c r="U2567" s="173"/>
      <c r="V2567" s="202"/>
      <c r="W2567" s="171"/>
      <c r="X2567" s="171"/>
    </row>
    <row r="2568" ht="15.0" customHeight="1">
      <c r="A2568" s="127">
        <v>45928.0</v>
      </c>
      <c r="B2568" s="181" t="s">
        <v>9263</v>
      </c>
      <c r="C2568" s="475" t="s">
        <v>9167</v>
      </c>
      <c r="D2568" s="73" t="str">
        <f>IFERROR(VLOOKUP(C2568,Stock,3,FALSE),"")</f>
        <v>Toyota Avanza / Xenia 11-15 2nd Gen / 15-21 3rd Gen</v>
      </c>
      <c r="E2568" s="56">
        <v>1.0</v>
      </c>
      <c r="F2568" s="161">
        <v>880000.0</v>
      </c>
      <c r="G2568" s="162">
        <f t="shared" si="40"/>
        <v>880000</v>
      </c>
      <c r="H2568" s="194"/>
      <c r="I2568" s="161">
        <f t="shared" si="41"/>
        <v>880000</v>
      </c>
      <c r="J2568" s="164">
        <f t="shared" si="42"/>
        <v>880000</v>
      </c>
      <c r="K2568" s="56" t="s">
        <v>9264</v>
      </c>
      <c r="L2568" s="165" t="s">
        <v>9265</v>
      </c>
      <c r="M2568" s="73"/>
      <c r="N2568" s="171"/>
      <c r="O2568" s="169" t="s">
        <v>2958</v>
      </c>
      <c r="P2568" s="168" t="s">
        <v>3112</v>
      </c>
      <c r="Q2568" s="167">
        <v>880000.0</v>
      </c>
      <c r="R2568" s="173"/>
      <c r="S2568" s="173"/>
      <c r="T2568" s="173"/>
      <c r="U2568" s="173"/>
      <c r="V2568" s="202"/>
      <c r="W2568" s="171"/>
      <c r="X2568" s="171"/>
    </row>
    <row r="2569" ht="15.0" customHeight="1">
      <c r="A2569" s="127">
        <v>45929.0</v>
      </c>
      <c r="B2569" s="181" t="s">
        <v>9266</v>
      </c>
      <c r="C2569" s="475" t="s">
        <v>3229</v>
      </c>
      <c r="D2569" s="73" t="str">
        <f>IFERROR(VLOOKUP(C2569,Stock,3,FALSE),"")</f>
        <v>Nissan Evalia 10- X11M</v>
      </c>
      <c r="E2569" s="56">
        <v>1.0</v>
      </c>
      <c r="F2569" s="161">
        <v>980000.0</v>
      </c>
      <c r="G2569" s="162">
        <f t="shared" si="40"/>
        <v>980000</v>
      </c>
      <c r="H2569" s="194"/>
      <c r="I2569" s="161">
        <f t="shared" si="41"/>
        <v>980000</v>
      </c>
      <c r="J2569" s="164">
        <f t="shared" si="42"/>
        <v>980000</v>
      </c>
      <c r="K2569" s="56" t="s">
        <v>9267</v>
      </c>
      <c r="L2569" s="165" t="s">
        <v>9268</v>
      </c>
      <c r="M2569" s="73"/>
      <c r="N2569" s="171"/>
      <c r="O2569" s="169" t="s">
        <v>2958</v>
      </c>
      <c r="P2569" s="168" t="s">
        <v>3112</v>
      </c>
      <c r="Q2569" s="167">
        <v>980000.0</v>
      </c>
      <c r="R2569" s="173"/>
      <c r="S2569" s="173"/>
      <c r="T2569" s="173"/>
      <c r="U2569" s="173"/>
      <c r="V2569" s="202"/>
      <c r="W2569" s="171"/>
      <c r="X2569" s="171"/>
    </row>
    <row r="2570" ht="15.0" customHeight="1">
      <c r="A2570" s="127">
        <v>45929.0</v>
      </c>
      <c r="B2570" s="181" t="s">
        <v>9269</v>
      </c>
      <c r="C2570" s="56" t="s">
        <v>2822</v>
      </c>
      <c r="D2570" s="73" t="str">
        <f>IFERROR(VLOOKUP(C2570,Stock,3,FALSE),"")</f>
        <v>Mitsubishi Canter FE700 01- (PS110,125)</v>
      </c>
      <c r="E2570" s="56">
        <v>1.0</v>
      </c>
      <c r="F2570" s="161">
        <v>450000.0</v>
      </c>
      <c r="G2570" s="162">
        <f t="shared" si="40"/>
        <v>450000</v>
      </c>
      <c r="H2570" s="194"/>
      <c r="I2570" s="161">
        <f t="shared" si="41"/>
        <v>450000</v>
      </c>
      <c r="J2570" s="164">
        <f t="shared" si="42"/>
        <v>450000</v>
      </c>
      <c r="K2570" s="56" t="s">
        <v>4741</v>
      </c>
      <c r="L2570" s="165" t="s">
        <v>9270</v>
      </c>
      <c r="M2570" s="73"/>
      <c r="N2570" s="171"/>
      <c r="O2570" s="169" t="s">
        <v>2958</v>
      </c>
      <c r="P2570" s="168" t="s">
        <v>3112</v>
      </c>
      <c r="Q2570" s="173"/>
      <c r="R2570" s="167">
        <v>450000.0</v>
      </c>
      <c r="S2570" s="173"/>
      <c r="T2570" s="173"/>
      <c r="U2570" s="173"/>
      <c r="V2570" s="202"/>
      <c r="W2570" s="171"/>
      <c r="X2570" s="171"/>
    </row>
    <row r="2571" ht="15.0" customHeight="1">
      <c r="A2571" s="127">
        <v>45929.0</v>
      </c>
      <c r="B2571" s="181" t="s">
        <v>9271</v>
      </c>
      <c r="C2571" s="56" t="s">
        <v>3025</v>
      </c>
      <c r="D2571" s="73" t="str">
        <f>IFERROR(VLOOKUP(C2571,Stock,3,FALSE),"")</f>
        <v>Toyota Rush / Terios 06-17</v>
      </c>
      <c r="E2571" s="56">
        <v>1.0</v>
      </c>
      <c r="F2571" s="161">
        <v>1200000.0</v>
      </c>
      <c r="G2571" s="162">
        <f t="shared" si="40"/>
        <v>1200000</v>
      </c>
      <c r="H2571" s="194"/>
      <c r="I2571" s="161">
        <f t="shared" si="41"/>
        <v>1200000</v>
      </c>
      <c r="J2571" s="164">
        <f t="shared" si="42"/>
        <v>1200000</v>
      </c>
      <c r="K2571" s="56" t="s">
        <v>9272</v>
      </c>
      <c r="L2571" s="165" t="s">
        <v>9273</v>
      </c>
      <c r="M2571" s="73"/>
      <c r="N2571" s="171"/>
      <c r="O2571" s="169" t="s">
        <v>2958</v>
      </c>
      <c r="P2571" s="168" t="s">
        <v>3112</v>
      </c>
      <c r="Q2571" s="173"/>
      <c r="R2571" s="167">
        <v>1200000.0</v>
      </c>
      <c r="S2571" s="173"/>
      <c r="T2571" s="173"/>
      <c r="U2571" s="173"/>
      <c r="V2571" s="202"/>
      <c r="W2571" s="171"/>
      <c r="X2571" s="171"/>
    </row>
    <row r="2572" ht="15.0" customHeight="1">
      <c r="A2572" s="127">
        <v>45929.0</v>
      </c>
      <c r="B2572" s="181" t="s">
        <v>9271</v>
      </c>
      <c r="C2572" s="56" t="s">
        <v>3426</v>
      </c>
      <c r="D2572" s="73" t="str">
        <f>IFERROR(VLOOKUP(C2572,Stock,3,FALSE),"")</f>
        <v>Toyota Rush / Terios 06-17</v>
      </c>
      <c r="E2572" s="56">
        <v>1.0</v>
      </c>
      <c r="F2572" s="161">
        <v>837000.0</v>
      </c>
      <c r="G2572" s="162">
        <f t="shared" si="40"/>
        <v>837000</v>
      </c>
      <c r="H2572" s="194"/>
      <c r="I2572" s="161">
        <f t="shared" si="41"/>
        <v>837000</v>
      </c>
      <c r="J2572" s="164">
        <f t="shared" si="42"/>
        <v>837000</v>
      </c>
      <c r="K2572" s="56" t="s">
        <v>9272</v>
      </c>
      <c r="L2572" s="165" t="s">
        <v>9273</v>
      </c>
      <c r="M2572" s="73"/>
      <c r="N2572" s="171"/>
      <c r="O2572" s="169" t="s">
        <v>2958</v>
      </c>
      <c r="P2572" s="168" t="s">
        <v>3112</v>
      </c>
      <c r="Q2572" s="173"/>
      <c r="R2572" s="167">
        <v>837000.0</v>
      </c>
      <c r="S2572" s="173"/>
      <c r="T2572" s="173"/>
      <c r="U2572" s="173"/>
      <c r="V2572" s="202"/>
      <c r="W2572" s="171"/>
      <c r="X2572" s="171"/>
    </row>
    <row r="2573" ht="15.0" customHeight="1">
      <c r="A2573" s="127">
        <v>45929.0</v>
      </c>
      <c r="B2573" s="181" t="s">
        <v>9271</v>
      </c>
      <c r="C2573" s="56" t="s">
        <v>9274</v>
      </c>
      <c r="D2573" s="73" t="str">
        <f>IFERROR(VLOOKUP(C2573,Stock,3,FALSE),"")</f>
        <v>Toyota Rush / Terios 06-17</v>
      </c>
      <c r="E2573" s="56">
        <v>1.0</v>
      </c>
      <c r="F2573" s="161">
        <v>700000.0</v>
      </c>
      <c r="G2573" s="162">
        <f t="shared" si="40"/>
        <v>700000</v>
      </c>
      <c r="H2573" s="194"/>
      <c r="I2573" s="161">
        <f t="shared" si="41"/>
        <v>700000</v>
      </c>
      <c r="J2573" s="164">
        <f t="shared" si="42"/>
        <v>700000</v>
      </c>
      <c r="K2573" s="56" t="s">
        <v>9272</v>
      </c>
      <c r="L2573" s="165" t="s">
        <v>9273</v>
      </c>
      <c r="M2573" s="73"/>
      <c r="N2573" s="171"/>
      <c r="O2573" s="169" t="s">
        <v>2958</v>
      </c>
      <c r="P2573" s="168" t="s">
        <v>3112</v>
      </c>
      <c r="Q2573" s="173"/>
      <c r="R2573" s="167">
        <v>700000.0</v>
      </c>
      <c r="S2573" s="173"/>
      <c r="T2573" s="173"/>
      <c r="U2573" s="173"/>
      <c r="V2573" s="202"/>
      <c r="W2573" s="171"/>
      <c r="X2573" s="171"/>
    </row>
    <row r="2574" ht="15.0" customHeight="1">
      <c r="A2574" s="127">
        <v>45929.0</v>
      </c>
      <c r="B2574" s="181" t="s">
        <v>9271</v>
      </c>
      <c r="C2574" s="169" t="s">
        <v>9275</v>
      </c>
      <c r="D2574" s="73" t="str">
        <f>IFERROR(VLOOKUP(C2574,Stock,3,FALSE),"")</f>
        <v>Toyota Rush / Terios 06-17 (Toyota/Daihatsu)</v>
      </c>
      <c r="E2574" s="56">
        <v>1.0</v>
      </c>
      <c r="F2574" s="161">
        <v>1100000.0</v>
      </c>
      <c r="G2574" s="162">
        <f t="shared" si="40"/>
        <v>1100000</v>
      </c>
      <c r="H2574" s="194"/>
      <c r="I2574" s="161">
        <f t="shared" si="41"/>
        <v>1100000</v>
      </c>
      <c r="J2574" s="164">
        <f t="shared" si="42"/>
        <v>1100000</v>
      </c>
      <c r="K2574" s="56" t="s">
        <v>9272</v>
      </c>
      <c r="L2574" s="165" t="s">
        <v>9273</v>
      </c>
      <c r="M2574" s="73"/>
      <c r="N2574" s="171"/>
      <c r="O2574" s="169" t="s">
        <v>2958</v>
      </c>
      <c r="P2574" s="168" t="s">
        <v>3112</v>
      </c>
      <c r="Q2574" s="173"/>
      <c r="R2574" s="167">
        <v>1100000.0</v>
      </c>
      <c r="S2574" s="173"/>
      <c r="T2574" s="173"/>
      <c r="U2574" s="173"/>
      <c r="V2574" s="202"/>
      <c r="W2574" s="171"/>
      <c r="X2574" s="171"/>
    </row>
    <row r="2575" ht="15.0" customHeight="1">
      <c r="A2575" s="127">
        <v>45929.0</v>
      </c>
      <c r="B2575" s="181" t="s">
        <v>9271</v>
      </c>
      <c r="C2575" s="304" t="s">
        <v>2934</v>
      </c>
      <c r="D2575" s="73" t="str">
        <f>IFERROR(VLOOKUP(C2575,Stock,3,FALSE),"")</f>
        <v>Peti Kayu</v>
      </c>
      <c r="E2575" s="56">
        <v>1.0</v>
      </c>
      <c r="F2575" s="161">
        <v>200000.0</v>
      </c>
      <c r="G2575" s="162">
        <f t="shared" si="40"/>
        <v>200000</v>
      </c>
      <c r="H2575" s="194"/>
      <c r="I2575" s="161">
        <f t="shared" si="41"/>
        <v>200000</v>
      </c>
      <c r="J2575" s="164">
        <f t="shared" si="42"/>
        <v>200000</v>
      </c>
      <c r="K2575" s="56" t="s">
        <v>9272</v>
      </c>
      <c r="L2575" s="165" t="s">
        <v>9273</v>
      </c>
      <c r="M2575" s="73"/>
      <c r="N2575" s="171"/>
      <c r="O2575" s="169" t="s">
        <v>2958</v>
      </c>
      <c r="P2575" s="168" t="s">
        <v>3112</v>
      </c>
      <c r="Q2575" s="173"/>
      <c r="R2575" s="167">
        <v>200000.0</v>
      </c>
      <c r="S2575" s="173"/>
      <c r="T2575" s="173"/>
      <c r="U2575" s="173"/>
      <c r="V2575" s="202"/>
      <c r="W2575" s="171"/>
      <c r="X2575" s="171"/>
    </row>
    <row r="2576" ht="15.0" customHeight="1">
      <c r="A2576" s="127">
        <v>45929.0</v>
      </c>
      <c r="B2576" s="181" t="s">
        <v>9271</v>
      </c>
      <c r="C2576" s="175" t="s">
        <v>2954</v>
      </c>
      <c r="D2576" s="73" t="str">
        <f>IFERROR(VLOOKUP(C2576,Stock,3,FALSE),"")</f>
        <v>Transport</v>
      </c>
      <c r="E2576" s="56">
        <v>1.0</v>
      </c>
      <c r="F2576" s="161">
        <v>50000.0</v>
      </c>
      <c r="G2576" s="162">
        <f t="shared" si="40"/>
        <v>50000</v>
      </c>
      <c r="H2576" s="194"/>
      <c r="I2576" s="161">
        <f t="shared" si="41"/>
        <v>50000</v>
      </c>
      <c r="J2576" s="164">
        <f t="shared" si="42"/>
        <v>50000</v>
      </c>
      <c r="K2576" s="56" t="s">
        <v>9272</v>
      </c>
      <c r="L2576" s="165" t="s">
        <v>9273</v>
      </c>
      <c r="M2576" s="73"/>
      <c r="N2576" s="171"/>
      <c r="O2576" s="169" t="s">
        <v>2958</v>
      </c>
      <c r="P2576" s="168" t="s">
        <v>3112</v>
      </c>
      <c r="Q2576" s="173"/>
      <c r="R2576" s="167">
        <v>50000.0</v>
      </c>
      <c r="S2576" s="173"/>
      <c r="T2576" s="173"/>
      <c r="U2576" s="173"/>
      <c r="V2576" s="202"/>
      <c r="W2576" s="171"/>
      <c r="X2576" s="171"/>
    </row>
    <row r="2577" ht="15.0" customHeight="1">
      <c r="A2577" s="127">
        <v>45929.0</v>
      </c>
      <c r="B2577" s="181" t="s">
        <v>9276</v>
      </c>
      <c r="C2577" s="56" t="s">
        <v>2625</v>
      </c>
      <c r="D2577" s="73" t="str">
        <f>IFERROR(VLOOKUP(C2577,Stock,3,FALSE),"")</f>
        <v>Honda Civic 16- 10th Gen</v>
      </c>
      <c r="E2577" s="56">
        <v>1.0</v>
      </c>
      <c r="F2577" s="161">
        <v>2641000.0</v>
      </c>
      <c r="G2577" s="162">
        <f t="shared" si="40"/>
        <v>2641000</v>
      </c>
      <c r="H2577" s="194"/>
      <c r="I2577" s="161">
        <f t="shared" si="41"/>
        <v>2641000</v>
      </c>
      <c r="J2577" s="164">
        <f t="shared" si="42"/>
        <v>2641000</v>
      </c>
      <c r="K2577" s="480" t="s">
        <v>9277</v>
      </c>
      <c r="L2577" s="165" t="s">
        <v>9278</v>
      </c>
      <c r="M2577" s="73"/>
      <c r="N2577" s="169" t="s">
        <v>9279</v>
      </c>
      <c r="O2577" s="169" t="s">
        <v>2958</v>
      </c>
      <c r="P2577" s="168" t="s">
        <v>3112</v>
      </c>
      <c r="Q2577" s="173"/>
      <c r="R2577" s="167">
        <v>2641000.0</v>
      </c>
      <c r="S2577" s="173"/>
      <c r="T2577" s="173"/>
      <c r="U2577" s="173"/>
      <c r="V2577" s="202"/>
      <c r="W2577" s="171"/>
      <c r="X2577" s="171"/>
    </row>
    <row r="2578" ht="15.0" customHeight="1">
      <c r="A2578" s="127">
        <v>45929.0</v>
      </c>
      <c r="B2578" s="181" t="s">
        <v>9280</v>
      </c>
      <c r="C2578" s="56" t="s">
        <v>3068</v>
      </c>
      <c r="D2578" s="73" t="str">
        <f>IFERROR(VLOOKUP(C2578,Stock,3,FALSE),"")</f>
        <v>Honda Brio 10- / Mobilio 11-</v>
      </c>
      <c r="E2578" s="56">
        <v>1.0</v>
      </c>
      <c r="F2578" s="161">
        <v>1300000.0</v>
      </c>
      <c r="G2578" s="162">
        <f t="shared" si="40"/>
        <v>1300000</v>
      </c>
      <c r="H2578" s="194"/>
      <c r="I2578" s="161">
        <f t="shared" si="41"/>
        <v>1300000</v>
      </c>
      <c r="J2578" s="164">
        <f t="shared" si="42"/>
        <v>1300000</v>
      </c>
      <c r="K2578" s="56" t="s">
        <v>9281</v>
      </c>
      <c r="L2578" s="165" t="s">
        <v>9282</v>
      </c>
      <c r="M2578" s="73"/>
      <c r="N2578" s="169" t="s">
        <v>9283</v>
      </c>
      <c r="O2578" s="169" t="s">
        <v>2958</v>
      </c>
      <c r="P2578" s="168" t="s">
        <v>3112</v>
      </c>
      <c r="Q2578" s="173"/>
      <c r="R2578" s="167">
        <v>1300000.0</v>
      </c>
      <c r="S2578" s="173"/>
      <c r="T2578" s="173"/>
      <c r="U2578" s="173"/>
      <c r="V2578" s="202"/>
      <c r="W2578" s="171"/>
      <c r="X2578" s="171"/>
    </row>
    <row r="2579" ht="15.0" customHeight="1">
      <c r="A2579" s="127">
        <v>45930.0</v>
      </c>
      <c r="B2579" s="181" t="s">
        <v>9284</v>
      </c>
      <c r="C2579" s="475" t="s">
        <v>3045</v>
      </c>
      <c r="D2579" s="73" t="str">
        <f>IFERROR(VLOOKUP(C2579,Stock,3,FALSE),"")</f>
        <v>Pemasangan Kaca Mobil Depan</v>
      </c>
      <c r="E2579" s="56">
        <v>1.0</v>
      </c>
      <c r="F2579" s="161">
        <v>600000.0</v>
      </c>
      <c r="G2579" s="162">
        <f t="shared" si="40"/>
        <v>600000</v>
      </c>
      <c r="H2579" s="194"/>
      <c r="I2579" s="161">
        <f t="shared" si="41"/>
        <v>600000</v>
      </c>
      <c r="J2579" s="164">
        <f t="shared" si="42"/>
        <v>600000</v>
      </c>
      <c r="K2579" s="480" t="s">
        <v>9285</v>
      </c>
      <c r="L2579" s="165" t="s">
        <v>9286</v>
      </c>
      <c r="M2579" s="73"/>
      <c r="N2579" s="171"/>
      <c r="O2579" s="169" t="s">
        <v>2958</v>
      </c>
      <c r="P2579" s="168" t="s">
        <v>3112</v>
      </c>
      <c r="Q2579" s="167">
        <v>500000.0</v>
      </c>
      <c r="R2579" s="167">
        <v>100000.0</v>
      </c>
      <c r="S2579" s="173"/>
      <c r="T2579" s="173"/>
      <c r="U2579" s="173"/>
      <c r="V2579" s="202"/>
      <c r="W2579" s="171"/>
      <c r="X2579" s="171"/>
    </row>
    <row r="2580" ht="15.0" customHeight="1">
      <c r="A2580" s="127">
        <v>45930.0</v>
      </c>
      <c r="B2580" s="181" t="s">
        <v>9284</v>
      </c>
      <c r="C2580" s="56" t="s">
        <v>3083</v>
      </c>
      <c r="D2580" s="73" t="str">
        <f>IFERROR(VLOOKUP(C2580,Stock,3,FALSE),"")</f>
        <v>List Kaca Depan Code 04</v>
      </c>
      <c r="E2580" s="56">
        <v>1.0</v>
      </c>
      <c r="F2580" s="161">
        <v>275000.0</v>
      </c>
      <c r="G2580" s="162">
        <f t="shared" si="40"/>
        <v>275000</v>
      </c>
      <c r="H2580" s="194"/>
      <c r="I2580" s="161">
        <f t="shared" si="41"/>
        <v>275000</v>
      </c>
      <c r="J2580" s="164">
        <f t="shared" si="42"/>
        <v>275000</v>
      </c>
      <c r="K2580" s="480" t="s">
        <v>9285</v>
      </c>
      <c r="L2580" s="165" t="s">
        <v>9286</v>
      </c>
      <c r="M2580" s="73"/>
      <c r="N2580" s="171"/>
      <c r="O2580" s="169" t="s">
        <v>2958</v>
      </c>
      <c r="P2580" s="168" t="s">
        <v>3112</v>
      </c>
      <c r="Q2580" s="167"/>
      <c r="R2580" s="167">
        <v>275000.0</v>
      </c>
      <c r="S2580" s="173"/>
      <c r="T2580" s="173"/>
      <c r="U2580" s="173"/>
      <c r="V2580" s="202"/>
      <c r="W2580" s="171"/>
      <c r="X2580" s="171"/>
    </row>
    <row r="2581" ht="15.0" customHeight="1">
      <c r="A2581" s="127">
        <v>45930.0</v>
      </c>
      <c r="B2581" s="181" t="s">
        <v>9287</v>
      </c>
      <c r="C2581" s="475" t="s">
        <v>3382</v>
      </c>
      <c r="D2581" s="73" t="str">
        <f>IFERROR(VLOOKUP(C2581,Stock,3,FALSE),"")</f>
        <v>Toyota Avanza / Xenia 11-15 2nd Gen / 15-21 3rd Gen</v>
      </c>
      <c r="E2581" s="56">
        <v>1.0</v>
      </c>
      <c r="F2581" s="161">
        <v>500000.0</v>
      </c>
      <c r="G2581" s="162">
        <f t="shared" si="40"/>
        <v>500000</v>
      </c>
      <c r="H2581" s="194"/>
      <c r="I2581" s="161">
        <f t="shared" si="41"/>
        <v>500000</v>
      </c>
      <c r="J2581" s="164">
        <f t="shared" si="42"/>
        <v>500000</v>
      </c>
      <c r="K2581" s="56" t="s">
        <v>9288</v>
      </c>
      <c r="L2581" s="165" t="s">
        <v>9289</v>
      </c>
      <c r="M2581" s="73"/>
      <c r="N2581" s="171"/>
      <c r="O2581" s="169" t="s">
        <v>2958</v>
      </c>
      <c r="P2581" s="168" t="s">
        <v>3112</v>
      </c>
      <c r="Q2581" s="173"/>
      <c r="R2581" s="167">
        <v>500000.0</v>
      </c>
      <c r="S2581" s="173"/>
      <c r="T2581" s="173"/>
      <c r="U2581" s="173"/>
      <c r="V2581" s="202"/>
      <c r="W2581" s="171"/>
      <c r="X2581" s="171"/>
    </row>
    <row r="2582" ht="15.0" customHeight="1">
      <c r="A2582" s="127">
        <v>45930.0</v>
      </c>
      <c r="B2582" s="181" t="s">
        <v>9287</v>
      </c>
      <c r="C2582" s="56" t="s">
        <v>2954</v>
      </c>
      <c r="D2582" s="73" t="str">
        <f>IFERROR(VLOOKUP(C2582,Stock,3,FALSE),"")</f>
        <v>Transport</v>
      </c>
      <c r="E2582" s="56">
        <v>1.0</v>
      </c>
      <c r="F2582" s="161">
        <v>30000.0</v>
      </c>
      <c r="G2582" s="162">
        <f t="shared" si="40"/>
        <v>30000</v>
      </c>
      <c r="H2582" s="194"/>
      <c r="I2582" s="161">
        <f t="shared" si="41"/>
        <v>30000</v>
      </c>
      <c r="J2582" s="164">
        <f t="shared" si="42"/>
        <v>30000</v>
      </c>
      <c r="K2582" s="56" t="s">
        <v>9288</v>
      </c>
      <c r="L2582" s="165" t="s">
        <v>9289</v>
      </c>
      <c r="M2582" s="73"/>
      <c r="N2582" s="171"/>
      <c r="O2582" s="169" t="s">
        <v>2958</v>
      </c>
      <c r="P2582" s="168" t="s">
        <v>3112</v>
      </c>
      <c r="Q2582" s="173"/>
      <c r="R2582" s="167">
        <v>30000.0</v>
      </c>
      <c r="S2582" s="173"/>
      <c r="T2582" s="173"/>
      <c r="U2582" s="173"/>
      <c r="V2582" s="202"/>
      <c r="W2582" s="171"/>
      <c r="X2582" s="171"/>
    </row>
    <row r="2583" ht="15.0" customHeight="1">
      <c r="A2583" s="127">
        <v>45930.0</v>
      </c>
      <c r="B2583" s="181" t="s">
        <v>9290</v>
      </c>
      <c r="C2583" s="56" t="s">
        <v>3059</v>
      </c>
      <c r="D2583" s="73" t="str">
        <f>IFERROR(VLOOKUP(C2583,Stock,3,FALSE),"")</f>
        <v>Sealant Polyurethane XYG Tube</v>
      </c>
      <c r="E2583" s="56">
        <v>40.0</v>
      </c>
      <c r="F2583" s="161">
        <v>69775.0</v>
      </c>
      <c r="G2583" s="162">
        <f t="shared" si="40"/>
        <v>2791000</v>
      </c>
      <c r="H2583" s="194"/>
      <c r="I2583" s="161">
        <f t="shared" si="41"/>
        <v>2791000</v>
      </c>
      <c r="J2583" s="164">
        <f t="shared" si="42"/>
        <v>2791000</v>
      </c>
      <c r="K2583" s="56" t="s">
        <v>9291</v>
      </c>
      <c r="L2583" s="165" t="s">
        <v>9292</v>
      </c>
      <c r="M2583" s="73"/>
      <c r="N2583" s="171"/>
      <c r="O2583" s="169" t="s">
        <v>6923</v>
      </c>
      <c r="P2583" s="168" t="s">
        <v>5077</v>
      </c>
      <c r="Q2583" s="173"/>
      <c r="R2583" s="173"/>
      <c r="S2583" s="167">
        <v>2791000.0</v>
      </c>
      <c r="T2583" s="173"/>
      <c r="U2583" s="173"/>
      <c r="V2583" s="202"/>
      <c r="W2583" s="171"/>
      <c r="X2583" s="171"/>
    </row>
    <row r="2584" ht="15.0" customHeight="1">
      <c r="A2584" s="127">
        <v>45930.0</v>
      </c>
      <c r="B2584" s="181" t="s">
        <v>9293</v>
      </c>
      <c r="C2584" s="56" t="s">
        <v>6755</v>
      </c>
      <c r="D2584" s="73" t="str">
        <f>IFERROR(VLOOKUP(C2584,Stock,3,FALSE),"")</f>
        <v>Mitsubishi Kuda 99-06</v>
      </c>
      <c r="E2584" s="56">
        <v>1.0</v>
      </c>
      <c r="F2584" s="161">
        <v>1488000.0</v>
      </c>
      <c r="G2584" s="162">
        <f t="shared" si="40"/>
        <v>1488000</v>
      </c>
      <c r="H2584" s="194"/>
      <c r="I2584" s="161">
        <f t="shared" si="41"/>
        <v>1488000</v>
      </c>
      <c r="J2584" s="164">
        <f t="shared" si="42"/>
        <v>1488000</v>
      </c>
      <c r="K2584" s="56" t="s">
        <v>5882</v>
      </c>
      <c r="L2584" s="165" t="s">
        <v>9294</v>
      </c>
      <c r="M2584" s="73"/>
      <c r="N2584" s="289" t="s">
        <v>9295</v>
      </c>
      <c r="O2584" s="169" t="s">
        <v>6923</v>
      </c>
      <c r="P2584" s="168" t="s">
        <v>3112</v>
      </c>
      <c r="Q2584" s="173"/>
      <c r="R2584" s="167">
        <v>1488000.0</v>
      </c>
      <c r="S2584" s="173"/>
      <c r="T2584" s="173"/>
      <c r="U2584" s="173"/>
      <c r="V2584" s="202"/>
      <c r="W2584" s="171"/>
      <c r="X2584" s="171"/>
    </row>
    <row r="2585" ht="15.0" customHeight="1">
      <c r="A2585" s="127">
        <v>45931.0</v>
      </c>
      <c r="B2585" s="181" t="s">
        <v>9296</v>
      </c>
      <c r="C2585" s="56" t="s">
        <v>2729</v>
      </c>
      <c r="D2585" s="73" t="str">
        <f>IFERROR(VLOOKUP(C2585,Stock,3,FALSE),"")</f>
        <v>Honda HR-V 14-21 5D SUV</v>
      </c>
      <c r="E2585" s="56">
        <v>1.0</v>
      </c>
      <c r="F2585" s="161">
        <v>1956000.0</v>
      </c>
      <c r="G2585" s="162">
        <f t="shared" si="40"/>
        <v>1956000</v>
      </c>
      <c r="H2585" s="194"/>
      <c r="I2585" s="161">
        <f t="shared" si="41"/>
        <v>1956000</v>
      </c>
      <c r="J2585" s="164">
        <f t="shared" si="42"/>
        <v>1956000</v>
      </c>
      <c r="K2585" s="56" t="s">
        <v>9297</v>
      </c>
      <c r="L2585" s="165" t="s">
        <v>9298</v>
      </c>
      <c r="M2585" s="73"/>
      <c r="N2585" s="169" t="s">
        <v>9299</v>
      </c>
      <c r="O2585" s="169" t="s">
        <v>6923</v>
      </c>
      <c r="P2585" s="168" t="s">
        <v>3112</v>
      </c>
      <c r="Q2585" s="173"/>
      <c r="R2585" s="167">
        <v>1956000.0</v>
      </c>
      <c r="S2585" s="173"/>
      <c r="T2585" s="173"/>
      <c r="U2585" s="173"/>
      <c r="V2585" s="202"/>
      <c r="W2585" s="171"/>
      <c r="X2585" s="169" t="s">
        <v>9300</v>
      </c>
    </row>
    <row r="2586" ht="15.0" customHeight="1">
      <c r="A2586" s="127">
        <v>45931.0</v>
      </c>
      <c r="B2586" s="181" t="s">
        <v>9301</v>
      </c>
      <c r="C2586" s="475" t="s">
        <v>2753</v>
      </c>
      <c r="D2586" s="73" t="str">
        <f>IFERROR(VLOOKUP(C2586,Stock,3,FALSE),"")</f>
        <v>Daihatsu Luxio 07-</v>
      </c>
      <c r="E2586" s="56">
        <v>1.0</v>
      </c>
      <c r="F2586" s="161">
        <v>985000.0</v>
      </c>
      <c r="G2586" s="162">
        <f t="shared" si="40"/>
        <v>985000</v>
      </c>
      <c r="H2586" s="194"/>
      <c r="I2586" s="161">
        <f t="shared" si="41"/>
        <v>985000</v>
      </c>
      <c r="J2586" s="164">
        <f t="shared" si="42"/>
        <v>985000</v>
      </c>
      <c r="K2586" s="56" t="s">
        <v>9302</v>
      </c>
      <c r="L2586" s="165" t="s">
        <v>9303</v>
      </c>
      <c r="M2586" s="73"/>
      <c r="N2586" s="289" t="s">
        <v>9304</v>
      </c>
      <c r="O2586" s="169" t="s">
        <v>6923</v>
      </c>
      <c r="P2586" s="168" t="s">
        <v>3112</v>
      </c>
      <c r="Q2586" s="167">
        <v>985000.0</v>
      </c>
      <c r="R2586" s="173"/>
      <c r="S2586" s="173"/>
      <c r="T2586" s="173"/>
      <c r="U2586" s="173"/>
      <c r="V2586" s="202"/>
      <c r="W2586" s="171"/>
      <c r="X2586" s="169" t="s">
        <v>9305</v>
      </c>
    </row>
    <row r="2587" ht="15.0" customHeight="1">
      <c r="A2587" s="127">
        <v>45931.0</v>
      </c>
      <c r="B2587" s="181" t="s">
        <v>9306</v>
      </c>
      <c r="C2587" s="475" t="s">
        <v>3543</v>
      </c>
      <c r="D2587" s="73" t="str">
        <f>IFERROR(VLOOKUP(C2587,Stock,3,FALSE),"")</f>
        <v>Daihatsu Gran Max Minibus/Van</v>
      </c>
      <c r="E2587" s="56">
        <v>1.0</v>
      </c>
      <c r="F2587" s="161">
        <v>839000.0</v>
      </c>
      <c r="G2587" s="162">
        <f t="shared" si="40"/>
        <v>839000</v>
      </c>
      <c r="H2587" s="194"/>
      <c r="I2587" s="161">
        <f t="shared" si="41"/>
        <v>839000</v>
      </c>
      <c r="J2587" s="164">
        <f t="shared" si="42"/>
        <v>839000</v>
      </c>
      <c r="K2587" s="56" t="s">
        <v>9307</v>
      </c>
      <c r="L2587" s="165" t="s">
        <v>9308</v>
      </c>
      <c r="M2587" s="73"/>
      <c r="N2587" s="171"/>
      <c r="O2587" s="169" t="s">
        <v>6923</v>
      </c>
      <c r="P2587" s="168" t="s">
        <v>3112</v>
      </c>
      <c r="Q2587" s="173"/>
      <c r="R2587" s="167">
        <v>839000.0</v>
      </c>
      <c r="S2587" s="173"/>
      <c r="T2587" s="173"/>
      <c r="U2587" s="173"/>
      <c r="V2587" s="202"/>
      <c r="W2587" s="171"/>
      <c r="X2587" s="169" t="s">
        <v>9309</v>
      </c>
    </row>
    <row r="2588" ht="15.0" customHeight="1">
      <c r="A2588" s="127">
        <v>45931.0</v>
      </c>
      <c r="B2588" s="475" t="s">
        <v>9310</v>
      </c>
      <c r="C2588" s="56" t="s">
        <v>2562</v>
      </c>
      <c r="D2588" s="73" t="str">
        <f>IFERROR(VLOOKUP(C2588,Stock,3,FALSE),"")</f>
        <v>Toyota Avanza / Xenia 15-21 3rd Gen</v>
      </c>
      <c r="E2588" s="56">
        <v>1.0</v>
      </c>
      <c r="F2588" s="161">
        <v>758000.0</v>
      </c>
      <c r="G2588" s="162">
        <f t="shared" si="40"/>
        <v>758000</v>
      </c>
      <c r="H2588" s="194"/>
      <c r="I2588" s="161">
        <f t="shared" si="41"/>
        <v>758000</v>
      </c>
      <c r="J2588" s="164">
        <f t="shared" si="42"/>
        <v>758000</v>
      </c>
      <c r="K2588" s="56" t="s">
        <v>9311</v>
      </c>
      <c r="L2588" s="165" t="s">
        <v>9312</v>
      </c>
      <c r="M2588" s="73"/>
      <c r="N2588" s="171"/>
      <c r="O2588" s="169" t="s">
        <v>6923</v>
      </c>
      <c r="P2588" s="168" t="s">
        <v>3112</v>
      </c>
      <c r="Q2588" s="173"/>
      <c r="R2588" s="167">
        <v>758000.0</v>
      </c>
      <c r="S2588" s="173"/>
      <c r="T2588" s="173"/>
      <c r="U2588" s="173"/>
      <c r="V2588" s="202"/>
      <c r="W2588" s="171"/>
      <c r="X2588" s="169" t="s">
        <v>9313</v>
      </c>
    </row>
    <row r="2589" ht="15.0" customHeight="1">
      <c r="A2589" s="127">
        <v>45931.0</v>
      </c>
      <c r="B2589" s="475" t="s">
        <v>9314</v>
      </c>
      <c r="C2589" s="475" t="s">
        <v>9315</v>
      </c>
      <c r="D2589" s="73" t="str">
        <f>IFERROR(VLOOKUP(C2589,Stock,3,FALSE),"")</f>
        <v>Suzuki Swift 04-11 1st Gen</v>
      </c>
      <c r="E2589" s="56">
        <v>1.0</v>
      </c>
      <c r="F2589" s="161">
        <v>1141000.0</v>
      </c>
      <c r="G2589" s="162">
        <f t="shared" si="40"/>
        <v>1141000</v>
      </c>
      <c r="H2589" s="194"/>
      <c r="I2589" s="161">
        <f t="shared" si="41"/>
        <v>1141000</v>
      </c>
      <c r="J2589" s="164">
        <f t="shared" si="42"/>
        <v>1141000</v>
      </c>
      <c r="K2589" s="56" t="s">
        <v>9316</v>
      </c>
      <c r="L2589" s="165" t="s">
        <v>9317</v>
      </c>
      <c r="M2589" s="73"/>
      <c r="N2589" s="169" t="s">
        <v>9318</v>
      </c>
      <c r="O2589" s="169" t="s">
        <v>6923</v>
      </c>
      <c r="P2589" s="168" t="s">
        <v>3112</v>
      </c>
      <c r="Q2589" s="173"/>
      <c r="R2589" s="167">
        <v>1141000.0</v>
      </c>
      <c r="S2589" s="173"/>
      <c r="T2589" s="173"/>
      <c r="U2589" s="173"/>
      <c r="V2589" s="202"/>
      <c r="W2589" s="171"/>
      <c r="X2589" s="169" t="s">
        <v>9319</v>
      </c>
    </row>
    <row r="2590" ht="15.0" customHeight="1">
      <c r="A2590" s="423">
        <v>45932.0</v>
      </c>
      <c r="B2590" s="89" t="s">
        <v>9320</v>
      </c>
      <c r="C2590" s="89" t="s">
        <v>9321</v>
      </c>
      <c r="D2590" s="425" t="str">
        <f>IFERROR(VLOOKUP(C2590,Stock,3,FALSE),"")</f>
        <v>Honda Brio 10-17 [Lubang Wiper] (Honda)</v>
      </c>
      <c r="E2590" s="90">
        <v>1.0</v>
      </c>
      <c r="F2590" s="426">
        <v>1684520.0</v>
      </c>
      <c r="G2590" s="427">
        <f t="shared" si="40"/>
        <v>1684520</v>
      </c>
      <c r="H2590" s="428"/>
      <c r="I2590" s="426">
        <f t="shared" si="41"/>
        <v>1684520</v>
      </c>
      <c r="J2590" s="429">
        <f t="shared" si="42"/>
        <v>1684520</v>
      </c>
      <c r="K2590" s="90" t="s">
        <v>9322</v>
      </c>
      <c r="L2590" s="431" t="s">
        <v>9323</v>
      </c>
      <c r="M2590" s="425"/>
      <c r="N2590" s="432"/>
      <c r="O2590" s="433" t="s">
        <v>6923</v>
      </c>
      <c r="P2590" s="434" t="s">
        <v>9324</v>
      </c>
      <c r="Q2590" s="435"/>
      <c r="R2590" s="247"/>
      <c r="S2590" s="247">
        <v>1684520.0</v>
      </c>
      <c r="T2590" s="435"/>
      <c r="U2590" s="435"/>
      <c r="V2590" s="481"/>
      <c r="W2590" s="432"/>
      <c r="X2590" s="432"/>
    </row>
    <row r="2591" ht="15.0" customHeight="1">
      <c r="A2591" s="127">
        <v>45932.0</v>
      </c>
      <c r="B2591" s="475" t="s">
        <v>9325</v>
      </c>
      <c r="C2591" s="56" t="s">
        <v>4027</v>
      </c>
      <c r="D2591" s="73" t="str">
        <f>IFERROR(VLOOKUP(C2591,Stock,3,FALSE),"")</f>
        <v>501 Sealant Application</v>
      </c>
      <c r="E2591" s="56">
        <v>3.0</v>
      </c>
      <c r="F2591" s="161">
        <v>75000.0</v>
      </c>
      <c r="G2591" s="162">
        <f t="shared" si="40"/>
        <v>225000</v>
      </c>
      <c r="H2591" s="194"/>
      <c r="I2591" s="161">
        <f t="shared" si="41"/>
        <v>225000</v>
      </c>
      <c r="J2591" s="164">
        <f t="shared" si="42"/>
        <v>225000</v>
      </c>
      <c r="K2591" s="56" t="s">
        <v>9326</v>
      </c>
      <c r="L2591" s="165" t="s">
        <v>9327</v>
      </c>
      <c r="M2591" s="73"/>
      <c r="N2591" s="171"/>
      <c r="O2591" s="169" t="s">
        <v>6923</v>
      </c>
      <c r="P2591" s="168" t="s">
        <v>3112</v>
      </c>
      <c r="Q2591" s="167">
        <v>225000.0</v>
      </c>
      <c r="R2591" s="173"/>
      <c r="S2591" s="173"/>
      <c r="T2591" s="173"/>
      <c r="U2591" s="173"/>
      <c r="V2591" s="202"/>
      <c r="W2591" s="171"/>
      <c r="X2591" s="169" t="s">
        <v>9305</v>
      </c>
    </row>
    <row r="2592" ht="15.0" customHeight="1">
      <c r="A2592" s="127">
        <v>45932.0</v>
      </c>
      <c r="B2592" s="475" t="s">
        <v>9328</v>
      </c>
      <c r="C2592" s="475" t="s">
        <v>9329</v>
      </c>
      <c r="D2592" s="73" t="str">
        <f>IFERROR(VLOOKUP(C2592,Stock,3,FALSE),"")</f>
        <v>Suzuki Ertiga 12-18 1st Gen MPV (Suzuki)</v>
      </c>
      <c r="E2592" s="56">
        <v>1.0</v>
      </c>
      <c r="F2592" s="161">
        <v>1180000.0</v>
      </c>
      <c r="G2592" s="162">
        <f t="shared" si="40"/>
        <v>1180000</v>
      </c>
      <c r="H2592" s="194"/>
      <c r="I2592" s="161">
        <f t="shared" si="41"/>
        <v>1180000</v>
      </c>
      <c r="J2592" s="164">
        <f t="shared" si="42"/>
        <v>1180000</v>
      </c>
      <c r="K2592" s="56" t="s">
        <v>9330</v>
      </c>
      <c r="L2592" s="165" t="s">
        <v>9331</v>
      </c>
      <c r="M2592" s="73"/>
      <c r="N2592" s="171"/>
      <c r="O2592" s="169" t="s">
        <v>6923</v>
      </c>
      <c r="P2592" s="168" t="s">
        <v>3112</v>
      </c>
      <c r="Q2592" s="173"/>
      <c r="R2592" s="167">
        <v>1180000.0</v>
      </c>
      <c r="S2592" s="173"/>
      <c r="T2592" s="173"/>
      <c r="U2592" s="173"/>
      <c r="V2592" s="202"/>
      <c r="W2592" s="171"/>
      <c r="X2592" s="169" t="s">
        <v>9332</v>
      </c>
    </row>
    <row r="2593" ht="15.0" customHeight="1">
      <c r="A2593" s="127">
        <v>45933.0</v>
      </c>
      <c r="B2593" s="475" t="s">
        <v>9333</v>
      </c>
      <c r="C2593" s="475" t="s">
        <v>7798</v>
      </c>
      <c r="D2593" s="73" t="str">
        <f>IFERROR(VLOOKUP(C2593,Stock,3,FALSE),"")</f>
        <v>Toyota Camry 06-11 XV40 4th Gen</v>
      </c>
      <c r="E2593" s="56">
        <v>1.0</v>
      </c>
      <c r="F2593" s="161">
        <v>3247000.0</v>
      </c>
      <c r="G2593" s="162">
        <f t="shared" si="40"/>
        <v>3247000</v>
      </c>
      <c r="H2593" s="194"/>
      <c r="I2593" s="161">
        <f t="shared" si="41"/>
        <v>3247000</v>
      </c>
      <c r="J2593" s="164">
        <f t="shared" si="42"/>
        <v>3247000</v>
      </c>
      <c r="K2593" s="56" t="s">
        <v>9334</v>
      </c>
      <c r="L2593" s="165" t="s">
        <v>9335</v>
      </c>
      <c r="M2593" s="73"/>
      <c r="N2593" s="171"/>
      <c r="O2593" s="169" t="s">
        <v>6923</v>
      </c>
      <c r="P2593" s="168" t="s">
        <v>3112</v>
      </c>
      <c r="Q2593" s="173"/>
      <c r="R2593" s="167">
        <v>3247000.0</v>
      </c>
      <c r="S2593" s="173"/>
      <c r="T2593" s="173"/>
      <c r="U2593" s="173"/>
      <c r="V2593" s="202"/>
      <c r="W2593" s="171"/>
      <c r="X2593" s="169" t="s">
        <v>9336</v>
      </c>
    </row>
    <row r="2594" ht="15.0" customHeight="1">
      <c r="A2594" s="127">
        <v>45933.0</v>
      </c>
      <c r="B2594" s="181" t="s">
        <v>9337</v>
      </c>
      <c r="C2594" s="56" t="s">
        <v>3099</v>
      </c>
      <c r="D2594" s="73" t="str">
        <f>IFERROR(VLOOKUP(C2594,Stock,3,FALSE),"")</f>
        <v>Toyota Calya / Sigra 16-</v>
      </c>
      <c r="E2594" s="56">
        <v>1.0</v>
      </c>
      <c r="F2594" s="161">
        <v>1220000.0</v>
      </c>
      <c r="G2594" s="162">
        <f t="shared" si="40"/>
        <v>1220000</v>
      </c>
      <c r="H2594" s="194"/>
      <c r="I2594" s="161">
        <f t="shared" si="41"/>
        <v>1220000</v>
      </c>
      <c r="J2594" s="164">
        <f t="shared" si="42"/>
        <v>1220000</v>
      </c>
      <c r="K2594" s="56" t="s">
        <v>9338</v>
      </c>
      <c r="L2594" s="165" t="s">
        <v>9339</v>
      </c>
      <c r="M2594" s="73"/>
      <c r="N2594" s="171"/>
      <c r="O2594" s="169" t="s">
        <v>6923</v>
      </c>
      <c r="P2594" s="168" t="s">
        <v>3112</v>
      </c>
      <c r="Q2594" s="173"/>
      <c r="R2594" s="167">
        <v>1220000.0</v>
      </c>
      <c r="S2594" s="173"/>
      <c r="T2594" s="173"/>
      <c r="U2594" s="173"/>
      <c r="V2594" s="202"/>
      <c r="W2594" s="171"/>
      <c r="X2594" s="169" t="s">
        <v>9340</v>
      </c>
    </row>
    <row r="2595" ht="15.0" customHeight="1">
      <c r="A2595" s="127">
        <v>45933.0</v>
      </c>
      <c r="B2595" s="181" t="s">
        <v>9337</v>
      </c>
      <c r="C2595" s="56" t="s">
        <v>5493</v>
      </c>
      <c r="D2595" s="73" t="str">
        <f>IFERROR(VLOOKUP(C2595,Stock,3,FALSE),"")</f>
        <v>Toyota Calya / Sigra 16-</v>
      </c>
      <c r="E2595" s="56">
        <v>1.0</v>
      </c>
      <c r="F2595" s="161">
        <v>450000.0</v>
      </c>
      <c r="G2595" s="162">
        <f t="shared" si="40"/>
        <v>450000</v>
      </c>
      <c r="H2595" s="194"/>
      <c r="I2595" s="161">
        <f t="shared" si="41"/>
        <v>450000</v>
      </c>
      <c r="J2595" s="164">
        <f t="shared" si="42"/>
        <v>450000</v>
      </c>
      <c r="K2595" s="56" t="s">
        <v>9338</v>
      </c>
      <c r="L2595" s="165" t="s">
        <v>9339</v>
      </c>
      <c r="M2595" s="73"/>
      <c r="N2595" s="171"/>
      <c r="O2595" s="169" t="s">
        <v>6923</v>
      </c>
      <c r="P2595" s="168" t="s">
        <v>3112</v>
      </c>
      <c r="Q2595" s="173"/>
      <c r="R2595" s="167">
        <v>450000.0</v>
      </c>
      <c r="S2595" s="173"/>
      <c r="T2595" s="173"/>
      <c r="U2595" s="173"/>
      <c r="V2595" s="202"/>
      <c r="W2595" s="171"/>
      <c r="X2595" s="169" t="s">
        <v>9340</v>
      </c>
    </row>
    <row r="2596" ht="15.0" customHeight="1">
      <c r="A2596" s="127">
        <v>45933.0</v>
      </c>
      <c r="B2596" s="181" t="s">
        <v>9341</v>
      </c>
      <c r="C2596" s="56" t="s">
        <v>2734</v>
      </c>
      <c r="D2596" s="73" t="str">
        <f>IFERROR(VLOOKUP(C2596,Stock,3,FALSE),"")</f>
        <v>Honda Jazz 07-13 2nd Gen</v>
      </c>
      <c r="E2596" s="56">
        <v>1.0</v>
      </c>
      <c r="F2596" s="161">
        <v>1668000.0</v>
      </c>
      <c r="G2596" s="162">
        <f t="shared" si="40"/>
        <v>1668000</v>
      </c>
      <c r="H2596" s="194"/>
      <c r="I2596" s="161">
        <f t="shared" si="41"/>
        <v>1668000</v>
      </c>
      <c r="J2596" s="164">
        <f t="shared" si="42"/>
        <v>1668000</v>
      </c>
      <c r="K2596" s="56" t="s">
        <v>7179</v>
      </c>
      <c r="L2596" s="165" t="s">
        <v>9342</v>
      </c>
      <c r="M2596" s="73"/>
      <c r="N2596" s="169" t="s">
        <v>9343</v>
      </c>
      <c r="O2596" s="169" t="s">
        <v>3204</v>
      </c>
      <c r="P2596" s="168" t="s">
        <v>3112</v>
      </c>
      <c r="Q2596" s="167">
        <v>1668000.0</v>
      </c>
      <c r="R2596" s="173"/>
      <c r="S2596" s="173"/>
      <c r="T2596" s="173"/>
      <c r="U2596" s="173"/>
      <c r="V2596" s="202"/>
      <c r="W2596" s="171"/>
      <c r="X2596" s="169" t="s">
        <v>9305</v>
      </c>
    </row>
    <row r="2597" ht="15.0" customHeight="1">
      <c r="A2597" s="127">
        <v>45934.0</v>
      </c>
      <c r="B2597" s="181" t="s">
        <v>9344</v>
      </c>
      <c r="C2597" s="56" t="s">
        <v>2691</v>
      </c>
      <c r="D2597" s="73" t="str">
        <f>IFERROR(VLOOKUP(C2597,Stock,3,FALSE),"")</f>
        <v>Suzuki Ertiga 12-18 1st Gen MPV</v>
      </c>
      <c r="E2597" s="56">
        <v>1.0</v>
      </c>
      <c r="F2597" s="161">
        <v>1260000.0</v>
      </c>
      <c r="G2597" s="162">
        <f t="shared" si="40"/>
        <v>1260000</v>
      </c>
      <c r="H2597" s="194"/>
      <c r="I2597" s="161">
        <f t="shared" si="41"/>
        <v>1260000</v>
      </c>
      <c r="J2597" s="164">
        <f t="shared" si="42"/>
        <v>1260000</v>
      </c>
      <c r="K2597" s="56" t="s">
        <v>6903</v>
      </c>
      <c r="L2597" s="165" t="s">
        <v>9345</v>
      </c>
      <c r="M2597" s="73"/>
      <c r="N2597" s="169" t="s">
        <v>9346</v>
      </c>
      <c r="O2597" s="169" t="s">
        <v>6923</v>
      </c>
      <c r="P2597" s="168" t="s">
        <v>3112</v>
      </c>
      <c r="Q2597" s="173"/>
      <c r="R2597" s="167">
        <v>1230000.0</v>
      </c>
      <c r="S2597" s="173"/>
      <c r="T2597" s="173"/>
      <c r="U2597" s="173"/>
      <c r="V2597" s="202"/>
      <c r="W2597" s="171"/>
      <c r="X2597" s="169" t="s">
        <v>9347</v>
      </c>
    </row>
    <row r="2598" ht="15.0" customHeight="1">
      <c r="A2598" s="127">
        <v>45934.0</v>
      </c>
      <c r="B2598" s="181" t="s">
        <v>9348</v>
      </c>
      <c r="C2598" s="475" t="s">
        <v>3543</v>
      </c>
      <c r="D2598" s="73" t="str">
        <f>IFERROR(VLOOKUP(C2598,Stock,3,FALSE),"")</f>
        <v>Daihatsu Gran Max Minibus/Van</v>
      </c>
      <c r="E2598" s="56">
        <v>1.0</v>
      </c>
      <c r="F2598" s="161">
        <v>839000.0</v>
      </c>
      <c r="G2598" s="162">
        <f t="shared" si="40"/>
        <v>839000</v>
      </c>
      <c r="H2598" s="194"/>
      <c r="I2598" s="161">
        <f t="shared" si="41"/>
        <v>839000</v>
      </c>
      <c r="J2598" s="164">
        <f t="shared" si="42"/>
        <v>839000</v>
      </c>
      <c r="K2598" s="56" t="s">
        <v>9349</v>
      </c>
      <c r="L2598" s="165" t="s">
        <v>9350</v>
      </c>
      <c r="M2598" s="73"/>
      <c r="N2598" s="169" t="s">
        <v>9351</v>
      </c>
      <c r="O2598" s="169" t="s">
        <v>6923</v>
      </c>
      <c r="P2598" s="168" t="s">
        <v>3112</v>
      </c>
      <c r="Q2598" s="173"/>
      <c r="R2598" s="167">
        <v>839000.0</v>
      </c>
      <c r="S2598" s="173"/>
      <c r="T2598" s="173"/>
      <c r="U2598" s="173"/>
      <c r="V2598" s="202"/>
      <c r="W2598" s="171"/>
      <c r="X2598" s="169" t="s">
        <v>9352</v>
      </c>
    </row>
    <row r="2599" ht="15.0" customHeight="1">
      <c r="A2599" s="127">
        <v>45935.0</v>
      </c>
      <c r="B2599" s="181" t="s">
        <v>9353</v>
      </c>
      <c r="C2599" s="56" t="s">
        <v>2723</v>
      </c>
      <c r="D2599" s="73" t="str">
        <f>IFERROR(VLOOKUP(C2599,Stock,3,FALSE),"")</f>
        <v>Suzuki Carry New 19-</v>
      </c>
      <c r="E2599" s="56">
        <v>1.0</v>
      </c>
      <c r="F2599" s="161">
        <v>1190000.0</v>
      </c>
      <c r="G2599" s="162">
        <f t="shared" si="40"/>
        <v>1190000</v>
      </c>
      <c r="H2599" s="194"/>
      <c r="I2599" s="161">
        <f t="shared" si="41"/>
        <v>1190000</v>
      </c>
      <c r="J2599" s="164">
        <f t="shared" si="42"/>
        <v>1190000</v>
      </c>
      <c r="K2599" s="56" t="s">
        <v>9354</v>
      </c>
      <c r="L2599" s="165" t="s">
        <v>9355</v>
      </c>
      <c r="M2599" s="73"/>
      <c r="N2599" s="171"/>
      <c r="O2599" s="169" t="s">
        <v>6923</v>
      </c>
      <c r="P2599" s="168" t="s">
        <v>3112</v>
      </c>
      <c r="Q2599" s="173"/>
      <c r="R2599" s="167">
        <v>1190000.0</v>
      </c>
      <c r="S2599" s="173"/>
      <c r="T2599" s="173"/>
      <c r="U2599" s="173"/>
      <c r="V2599" s="202"/>
      <c r="W2599" s="171"/>
      <c r="X2599" s="169" t="s">
        <v>9356</v>
      </c>
    </row>
    <row r="2600" ht="15.0" customHeight="1">
      <c r="A2600" s="127">
        <v>45935.0</v>
      </c>
      <c r="B2600" s="181" t="s">
        <v>9357</v>
      </c>
      <c r="C2600" s="56" t="s">
        <v>3745</v>
      </c>
      <c r="D2600" s="73" t="str">
        <f>IFERROR(VLOOKUP(C2600,Stock,3,FALSE),"")</f>
        <v>Honda Brio 10- / Mobilio 11-</v>
      </c>
      <c r="E2600" s="56">
        <v>1.0</v>
      </c>
      <c r="F2600" s="161">
        <v>1772000.0</v>
      </c>
      <c r="G2600" s="162">
        <f t="shared" si="40"/>
        <v>1772000</v>
      </c>
      <c r="H2600" s="194"/>
      <c r="I2600" s="161">
        <f t="shared" si="41"/>
        <v>1772000</v>
      </c>
      <c r="J2600" s="164">
        <f t="shared" si="42"/>
        <v>1772000</v>
      </c>
      <c r="K2600" s="56" t="s">
        <v>9358</v>
      </c>
      <c r="L2600" s="165" t="s">
        <v>9359</v>
      </c>
      <c r="M2600" s="73"/>
      <c r="N2600" s="171"/>
      <c r="O2600" s="169" t="s">
        <v>6923</v>
      </c>
      <c r="P2600" s="168" t="s">
        <v>3112</v>
      </c>
      <c r="Q2600" s="173"/>
      <c r="R2600" s="167">
        <v>1772000.0</v>
      </c>
      <c r="S2600" s="173"/>
      <c r="T2600" s="173"/>
      <c r="U2600" s="173"/>
      <c r="V2600" s="202"/>
      <c r="W2600" s="171"/>
      <c r="X2600" s="169" t="s">
        <v>9360</v>
      </c>
    </row>
    <row r="2601" ht="15.0" customHeight="1">
      <c r="A2601" s="127">
        <v>45936.0</v>
      </c>
      <c r="B2601" s="181" t="s">
        <v>9361</v>
      </c>
      <c r="C2601" s="475" t="s">
        <v>3391</v>
      </c>
      <c r="D2601" s="73" t="str">
        <f>IFERROR(VLOOKUP(C2601,Stock,3,FALSE),"")</f>
        <v>Toyota Fortuner 05-15 1st Gen</v>
      </c>
      <c r="E2601" s="56">
        <v>1.0</v>
      </c>
      <c r="F2601" s="161">
        <v>1192000.0</v>
      </c>
      <c r="G2601" s="162">
        <f t="shared" si="40"/>
        <v>1192000</v>
      </c>
      <c r="H2601" s="201">
        <v>319360.0</v>
      </c>
      <c r="I2601" s="161">
        <f t="shared" si="41"/>
        <v>872640</v>
      </c>
      <c r="J2601" s="164">
        <f t="shared" si="42"/>
        <v>872640</v>
      </c>
      <c r="K2601" s="56" t="s">
        <v>3392</v>
      </c>
      <c r="L2601" s="165" t="s">
        <v>3393</v>
      </c>
      <c r="M2601" s="73"/>
      <c r="N2601" s="171"/>
      <c r="O2601" s="169" t="s">
        <v>6923</v>
      </c>
      <c r="P2601" s="168" t="s">
        <v>3112</v>
      </c>
      <c r="Q2601" s="173"/>
      <c r="R2601" s="161">
        <v>872640.0</v>
      </c>
      <c r="S2601" s="173"/>
      <c r="T2601" s="173"/>
      <c r="U2601" s="173"/>
      <c r="V2601" s="202"/>
      <c r="W2601" s="171"/>
      <c r="X2601" s="169" t="s">
        <v>9362</v>
      </c>
    </row>
    <row r="2602" ht="15.0" customHeight="1">
      <c r="A2602" s="127">
        <v>45936.0</v>
      </c>
      <c r="B2602" s="181" t="s">
        <v>9361</v>
      </c>
      <c r="C2602" s="56" t="s">
        <v>2746</v>
      </c>
      <c r="D2602" s="73" t="str">
        <f>IFERROR(VLOOKUP(C2602,Stock,3,FALSE),"")</f>
        <v>Toyota Fortuner 05-15 1st Gen </v>
      </c>
      <c r="E2602" s="56">
        <v>1.0</v>
      </c>
      <c r="F2602" s="161">
        <v>1767000.0</v>
      </c>
      <c r="G2602" s="162">
        <f t="shared" si="40"/>
        <v>1767000</v>
      </c>
      <c r="H2602" s="194"/>
      <c r="I2602" s="161">
        <f t="shared" si="41"/>
        <v>1767000</v>
      </c>
      <c r="J2602" s="164">
        <f t="shared" si="42"/>
        <v>1767000</v>
      </c>
      <c r="K2602" s="56" t="s">
        <v>3392</v>
      </c>
      <c r="L2602" s="165" t="s">
        <v>3393</v>
      </c>
      <c r="M2602" s="73"/>
      <c r="N2602" s="171"/>
      <c r="O2602" s="169" t="s">
        <v>6923</v>
      </c>
      <c r="P2602" s="168" t="s">
        <v>3112</v>
      </c>
      <c r="Q2602" s="173"/>
      <c r="R2602" s="161">
        <v>1767000.0</v>
      </c>
      <c r="S2602" s="173"/>
      <c r="T2602" s="173"/>
      <c r="U2602" s="173"/>
      <c r="V2602" s="202"/>
      <c r="W2602" s="171"/>
      <c r="X2602" s="169" t="s">
        <v>9362</v>
      </c>
    </row>
    <row r="2603" ht="15.0" customHeight="1">
      <c r="A2603" s="127">
        <v>45936.0</v>
      </c>
      <c r="B2603" s="181" t="s">
        <v>9361</v>
      </c>
      <c r="C2603" s="56" t="s">
        <v>9363</v>
      </c>
      <c r="D2603" s="73" t="str">
        <f>IFERROR(VLOOKUP(C2603,Stock,3,FALSE),"")</f>
        <v>Toyota Fortuner 05-15 1st Gen (Hitam)</v>
      </c>
      <c r="E2603" s="56">
        <v>1.0</v>
      </c>
      <c r="F2603" s="161">
        <v>1033000.0</v>
      </c>
      <c r="G2603" s="162">
        <f t="shared" si="40"/>
        <v>1033000</v>
      </c>
      <c r="H2603" s="194"/>
      <c r="I2603" s="161">
        <f t="shared" si="41"/>
        <v>1033000</v>
      </c>
      <c r="J2603" s="164">
        <f t="shared" si="42"/>
        <v>1033000</v>
      </c>
      <c r="K2603" s="56" t="s">
        <v>3392</v>
      </c>
      <c r="L2603" s="165" t="s">
        <v>3393</v>
      </c>
      <c r="M2603" s="73"/>
      <c r="N2603" s="171"/>
      <c r="O2603" s="169" t="s">
        <v>6923</v>
      </c>
      <c r="P2603" s="168" t="s">
        <v>3112</v>
      </c>
      <c r="Q2603" s="173"/>
      <c r="R2603" s="161">
        <v>1033000.0</v>
      </c>
      <c r="S2603" s="173"/>
      <c r="T2603" s="173"/>
      <c r="U2603" s="173"/>
      <c r="V2603" s="202"/>
      <c r="W2603" s="171"/>
      <c r="X2603" s="169" t="s">
        <v>9362</v>
      </c>
    </row>
    <row r="2604" ht="15.0" customHeight="1">
      <c r="A2604" s="127">
        <v>45937.0</v>
      </c>
      <c r="B2604" s="181" t="s">
        <v>9364</v>
      </c>
      <c r="C2604" s="475" t="s">
        <v>3104</v>
      </c>
      <c r="D2604" s="73" t="str">
        <f>IFERROR(VLOOKUP(C2604,Stock,3,FALSE),"")</f>
        <v>Toyota Innova 15- 2nd Gen</v>
      </c>
      <c r="E2604" s="56">
        <v>1.0</v>
      </c>
      <c r="F2604" s="161">
        <v>1270000.0</v>
      </c>
      <c r="G2604" s="162">
        <f t="shared" si="40"/>
        <v>1270000</v>
      </c>
      <c r="H2604" s="194"/>
      <c r="I2604" s="161">
        <f t="shared" si="41"/>
        <v>1270000</v>
      </c>
      <c r="J2604" s="164">
        <f t="shared" si="42"/>
        <v>1270000</v>
      </c>
      <c r="K2604" s="56" t="s">
        <v>9365</v>
      </c>
      <c r="L2604" s="165" t="s">
        <v>9366</v>
      </c>
      <c r="M2604" s="73"/>
      <c r="N2604" s="169" t="s">
        <v>9367</v>
      </c>
      <c r="O2604" s="169" t="s">
        <v>6923</v>
      </c>
      <c r="P2604" s="168" t="s">
        <v>3112</v>
      </c>
      <c r="Q2604" s="167">
        <v>1270000.0</v>
      </c>
      <c r="R2604" s="167"/>
      <c r="S2604" s="173"/>
      <c r="T2604" s="173"/>
      <c r="U2604" s="173"/>
      <c r="V2604" s="202"/>
      <c r="W2604" s="171"/>
      <c r="X2604" s="169" t="s">
        <v>9305</v>
      </c>
    </row>
    <row r="2605" ht="15.0" customHeight="1">
      <c r="A2605" s="127">
        <v>45937.0</v>
      </c>
      <c r="B2605" s="181" t="s">
        <v>9368</v>
      </c>
      <c r="C2605" s="56" t="s">
        <v>3382</v>
      </c>
      <c r="D2605" s="73" t="str">
        <f>IFERROR(VLOOKUP(C2605,Stock,3,FALSE),"")</f>
        <v>Toyota Avanza / Xenia 11-15 2nd Gen / 15-21 3rd Gen</v>
      </c>
      <c r="E2605" s="56">
        <v>1.0</v>
      </c>
      <c r="F2605" s="161">
        <v>500000.0</v>
      </c>
      <c r="G2605" s="162">
        <f t="shared" si="40"/>
        <v>500000</v>
      </c>
      <c r="H2605" s="194"/>
      <c r="I2605" s="161">
        <f t="shared" si="41"/>
        <v>500000</v>
      </c>
      <c r="J2605" s="164">
        <f t="shared" si="42"/>
        <v>500000</v>
      </c>
      <c r="K2605" s="56" t="s">
        <v>5366</v>
      </c>
      <c r="L2605" s="165" t="s">
        <v>9369</v>
      </c>
      <c r="M2605" s="73"/>
      <c r="N2605" s="169" t="s">
        <v>9370</v>
      </c>
      <c r="O2605" s="169" t="s">
        <v>6923</v>
      </c>
      <c r="P2605" s="168" t="s">
        <v>3112</v>
      </c>
      <c r="Q2605" s="173"/>
      <c r="R2605" s="167">
        <v>500000.0</v>
      </c>
      <c r="S2605" s="173"/>
      <c r="T2605" s="173"/>
      <c r="U2605" s="173"/>
      <c r="V2605" s="202"/>
      <c r="W2605" s="171"/>
      <c r="X2605" s="169" t="s">
        <v>9371</v>
      </c>
    </row>
    <row r="2606" ht="15.0" customHeight="1">
      <c r="A2606" s="127">
        <v>45937.0</v>
      </c>
      <c r="B2606" s="181" t="s">
        <v>9368</v>
      </c>
      <c r="C2606" s="56" t="s">
        <v>9372</v>
      </c>
      <c r="D2606" s="73" t="str">
        <f>IFERROR(VLOOKUP(C2606,Stock,3,FALSE),"")</f>
        <v>Automotive Film Standard - Black 80%  </v>
      </c>
      <c r="E2606" s="56">
        <v>1.0</v>
      </c>
      <c r="F2606" s="161">
        <v>150000.0</v>
      </c>
      <c r="G2606" s="162">
        <f t="shared" si="40"/>
        <v>150000</v>
      </c>
      <c r="H2606" s="194"/>
      <c r="I2606" s="161">
        <f t="shared" si="41"/>
        <v>150000</v>
      </c>
      <c r="J2606" s="164">
        <f t="shared" si="42"/>
        <v>150000</v>
      </c>
      <c r="K2606" s="56" t="s">
        <v>5366</v>
      </c>
      <c r="L2606" s="165" t="s">
        <v>9369</v>
      </c>
      <c r="M2606" s="73"/>
      <c r="N2606" s="169" t="s">
        <v>9370</v>
      </c>
      <c r="O2606" s="169" t="s">
        <v>6923</v>
      </c>
      <c r="P2606" s="168" t="s">
        <v>3112</v>
      </c>
      <c r="Q2606" s="173"/>
      <c r="R2606" s="167">
        <v>150000.0</v>
      </c>
      <c r="S2606" s="173"/>
      <c r="T2606" s="173"/>
      <c r="U2606" s="173"/>
      <c r="V2606" s="202"/>
      <c r="W2606" s="171"/>
      <c r="X2606" s="169" t="s">
        <v>9371</v>
      </c>
    </row>
    <row r="2607" ht="15.0" customHeight="1">
      <c r="A2607" s="127">
        <v>45937.0</v>
      </c>
      <c r="B2607" s="181" t="s">
        <v>9373</v>
      </c>
      <c r="C2607" s="475" t="s">
        <v>6022</v>
      </c>
      <c r="D2607" s="73" t="str">
        <f>IFERROR(VLOOKUP(C2607,Stock,3,FALSE),"")</f>
        <v>Suzuki Ertiga 18- 2nd Gen / XL7 (Suzuki)</v>
      </c>
      <c r="E2607" s="56">
        <v>1.0</v>
      </c>
      <c r="F2607" s="161">
        <v>1350000.0</v>
      </c>
      <c r="G2607" s="162">
        <f t="shared" si="40"/>
        <v>1350000</v>
      </c>
      <c r="H2607" s="194"/>
      <c r="I2607" s="161">
        <f t="shared" si="41"/>
        <v>1350000</v>
      </c>
      <c r="J2607" s="164">
        <f t="shared" si="42"/>
        <v>1350000</v>
      </c>
      <c r="K2607" s="56" t="s">
        <v>9374</v>
      </c>
      <c r="L2607" s="165" t="s">
        <v>9375</v>
      </c>
      <c r="M2607" s="73"/>
      <c r="N2607" s="169" t="s">
        <v>9376</v>
      </c>
      <c r="O2607" s="169" t="s">
        <v>6923</v>
      </c>
      <c r="P2607" s="168" t="s">
        <v>3112</v>
      </c>
      <c r="Q2607" s="173"/>
      <c r="R2607" s="167">
        <v>1350000.0</v>
      </c>
      <c r="S2607" s="173"/>
      <c r="T2607" s="173"/>
      <c r="U2607" s="173"/>
      <c r="V2607" s="202"/>
      <c r="W2607" s="171"/>
      <c r="X2607" s="169" t="s">
        <v>9377</v>
      </c>
    </row>
    <row r="2608" ht="15.0" customHeight="1">
      <c r="A2608" s="127">
        <v>45937.0</v>
      </c>
      <c r="B2608" s="181" t="s">
        <v>9378</v>
      </c>
      <c r="C2608" s="475" t="s">
        <v>2549</v>
      </c>
      <c r="D2608" s="73" t="str">
        <f>IFERROR(VLOOKUP(C2608,Stock,3,FALSE),"")</f>
        <v>Toyota Avanza / Xenia 11-15 2nd Gen</v>
      </c>
      <c r="E2608" s="56">
        <v>1.0</v>
      </c>
      <c r="F2608" s="161">
        <v>1020000.0</v>
      </c>
      <c r="G2608" s="162">
        <f t="shared" si="40"/>
        <v>1020000</v>
      </c>
      <c r="H2608" s="194"/>
      <c r="I2608" s="161">
        <f t="shared" si="41"/>
        <v>1020000</v>
      </c>
      <c r="J2608" s="164">
        <f t="shared" si="42"/>
        <v>1020000</v>
      </c>
      <c r="K2608" s="56" t="s">
        <v>9379</v>
      </c>
      <c r="L2608" s="165" t="s">
        <v>9380</v>
      </c>
      <c r="M2608" s="73"/>
      <c r="N2608" s="169" t="s">
        <v>9381</v>
      </c>
      <c r="O2608" s="169" t="s">
        <v>6923</v>
      </c>
      <c r="P2608" s="168" t="s">
        <v>3112</v>
      </c>
      <c r="Q2608" s="173"/>
      <c r="R2608" s="167">
        <v>1020000.0</v>
      </c>
      <c r="S2608" s="173"/>
      <c r="T2608" s="173"/>
      <c r="U2608" s="173"/>
      <c r="V2608" s="202"/>
      <c r="W2608" s="171"/>
      <c r="X2608" s="169" t="s">
        <v>9382</v>
      </c>
    </row>
    <row r="2609" ht="15.0" customHeight="1">
      <c r="A2609" s="127">
        <v>45937.0</v>
      </c>
      <c r="B2609" s="181" t="s">
        <v>9378</v>
      </c>
      <c r="C2609" s="56" t="s">
        <v>3826</v>
      </c>
      <c r="D2609" s="73" t="str">
        <f>IFERROR(VLOOKUP(C2609,Stock,3,FALSE),"")</f>
        <v>List Kaca Depan Code 11</v>
      </c>
      <c r="E2609" s="56">
        <v>1.0</v>
      </c>
      <c r="F2609" s="161">
        <v>275000.0</v>
      </c>
      <c r="G2609" s="162">
        <f t="shared" si="40"/>
        <v>275000</v>
      </c>
      <c r="H2609" s="194"/>
      <c r="I2609" s="161">
        <f t="shared" si="41"/>
        <v>275000</v>
      </c>
      <c r="J2609" s="164">
        <f t="shared" si="42"/>
        <v>275000</v>
      </c>
      <c r="K2609" s="56" t="s">
        <v>9379</v>
      </c>
      <c r="L2609" s="165" t="s">
        <v>9380</v>
      </c>
      <c r="M2609" s="73"/>
      <c r="N2609" s="169" t="s">
        <v>9381</v>
      </c>
      <c r="O2609" s="169" t="s">
        <v>6923</v>
      </c>
      <c r="P2609" s="168" t="s">
        <v>3112</v>
      </c>
      <c r="Q2609" s="173"/>
      <c r="R2609" s="167">
        <v>275000.0</v>
      </c>
      <c r="S2609" s="173"/>
      <c r="T2609" s="173"/>
      <c r="U2609" s="173"/>
      <c r="V2609" s="202"/>
      <c r="W2609" s="171"/>
      <c r="X2609" s="169" t="s">
        <v>9382</v>
      </c>
    </row>
    <row r="2610" ht="15.0" customHeight="1">
      <c r="A2610" s="127">
        <v>45937.0</v>
      </c>
      <c r="B2610" s="181" t="s">
        <v>9383</v>
      </c>
      <c r="C2610" s="56" t="s">
        <v>4005</v>
      </c>
      <c r="D2610" s="73" t="str">
        <f>IFERROR(VLOOKUP(C2610,Stock,3,FALSE),"")</f>
        <v>Toyota Fortuner 15- 2nd Gen</v>
      </c>
      <c r="E2610" s="56">
        <v>1.0</v>
      </c>
      <c r="F2610" s="161">
        <v>1750000.0</v>
      </c>
      <c r="G2610" s="162">
        <f t="shared" si="40"/>
        <v>1750000</v>
      </c>
      <c r="H2610" s="194"/>
      <c r="I2610" s="161">
        <f t="shared" si="41"/>
        <v>1750000</v>
      </c>
      <c r="J2610" s="164">
        <f t="shared" si="42"/>
        <v>1750000</v>
      </c>
      <c r="K2610" s="56" t="s">
        <v>9384</v>
      </c>
      <c r="L2610" s="165" t="s">
        <v>9385</v>
      </c>
      <c r="M2610" s="73"/>
      <c r="N2610" s="289" t="s">
        <v>9386</v>
      </c>
      <c r="O2610" s="169" t="s">
        <v>6923</v>
      </c>
      <c r="P2610" s="168" t="s">
        <v>3112</v>
      </c>
      <c r="Q2610" s="173"/>
      <c r="R2610" s="167">
        <v>1750000.0</v>
      </c>
      <c r="S2610" s="173"/>
      <c r="T2610" s="173"/>
      <c r="U2610" s="173"/>
      <c r="V2610" s="202"/>
      <c r="W2610" s="171"/>
      <c r="X2610" s="169" t="s">
        <v>9387</v>
      </c>
    </row>
    <row r="2611" ht="15.0" customHeight="1">
      <c r="A2611" s="127">
        <v>45937.0</v>
      </c>
      <c r="B2611" s="181" t="s">
        <v>9388</v>
      </c>
      <c r="C2611" s="475" t="s">
        <v>9106</v>
      </c>
      <c r="D2611" s="73" t="str">
        <f>IFERROR(VLOOKUP(C2611,Stock,3,FALSE),"")</f>
        <v>Wuling Confero</v>
      </c>
      <c r="E2611" s="56">
        <v>1.0</v>
      </c>
      <c r="F2611" s="161">
        <v>1310000.0</v>
      </c>
      <c r="G2611" s="162">
        <f t="shared" si="40"/>
        <v>1310000</v>
      </c>
      <c r="H2611" s="194"/>
      <c r="I2611" s="161">
        <f t="shared" si="41"/>
        <v>1310000</v>
      </c>
      <c r="J2611" s="164">
        <f t="shared" si="42"/>
        <v>1310000</v>
      </c>
      <c r="K2611" s="56" t="s">
        <v>9389</v>
      </c>
      <c r="L2611" s="165" t="s">
        <v>9390</v>
      </c>
      <c r="M2611" s="73"/>
      <c r="N2611" s="169" t="s">
        <v>9391</v>
      </c>
      <c r="O2611" s="169" t="s">
        <v>6923</v>
      </c>
      <c r="P2611" s="168" t="s">
        <v>3112</v>
      </c>
      <c r="Q2611" s="173"/>
      <c r="R2611" s="167">
        <v>1310000.0</v>
      </c>
      <c r="S2611" s="173"/>
      <c r="T2611" s="173"/>
      <c r="U2611" s="173"/>
      <c r="V2611" s="202"/>
      <c r="W2611" s="171"/>
      <c r="X2611" s="169" t="s">
        <v>9392</v>
      </c>
    </row>
    <row r="2612" ht="15.0" customHeight="1">
      <c r="A2612" s="127">
        <v>45937.0</v>
      </c>
      <c r="B2612" s="181" t="s">
        <v>9393</v>
      </c>
      <c r="C2612" s="475" t="s">
        <v>2643</v>
      </c>
      <c r="D2612" s="73" t="str">
        <f>IFERROR(VLOOKUP(C2612,Stock,3,FALSE),"")</f>
        <v>Toyota Vios 07-13 XP90 2nd Gen</v>
      </c>
      <c r="E2612" s="56">
        <v>1.0</v>
      </c>
      <c r="F2612" s="161">
        <v>1283000.0</v>
      </c>
      <c r="G2612" s="162">
        <f t="shared" si="40"/>
        <v>1283000</v>
      </c>
      <c r="H2612" s="194"/>
      <c r="I2612" s="161">
        <f t="shared" si="41"/>
        <v>1283000</v>
      </c>
      <c r="J2612" s="164">
        <f t="shared" si="42"/>
        <v>1283000</v>
      </c>
      <c r="K2612" s="56" t="s">
        <v>6172</v>
      </c>
      <c r="L2612" s="165" t="s">
        <v>9394</v>
      </c>
      <c r="M2612" s="73"/>
      <c r="N2612" s="171"/>
      <c r="O2612" s="169" t="s">
        <v>6923</v>
      </c>
      <c r="P2612" s="168" t="s">
        <v>3112</v>
      </c>
      <c r="Q2612" s="173"/>
      <c r="R2612" s="167">
        <v>1283000.0</v>
      </c>
      <c r="S2612" s="173"/>
      <c r="T2612" s="173"/>
      <c r="U2612" s="173"/>
      <c r="V2612" s="202"/>
      <c r="W2612" s="171"/>
      <c r="X2612" s="169" t="s">
        <v>9395</v>
      </c>
    </row>
    <row r="2613" ht="15.0" customHeight="1">
      <c r="A2613" s="127">
        <v>45938.0</v>
      </c>
      <c r="B2613" s="181" t="s">
        <v>9396</v>
      </c>
      <c r="C2613" s="475" t="s">
        <v>3582</v>
      </c>
      <c r="D2613" s="73" t="str">
        <f>IFERROR(VLOOKUP(C2613,Stock,3,FALSE),"")</f>
        <v>Honda CR-V 12-16 4th Gen</v>
      </c>
      <c r="E2613" s="56">
        <v>1.0</v>
      </c>
      <c r="F2613" s="161">
        <v>1998000.0</v>
      </c>
      <c r="G2613" s="162">
        <f t="shared" si="40"/>
        <v>1998000</v>
      </c>
      <c r="H2613" s="194"/>
      <c r="I2613" s="161">
        <f t="shared" si="41"/>
        <v>1998000</v>
      </c>
      <c r="J2613" s="164">
        <f t="shared" si="42"/>
        <v>1998000</v>
      </c>
      <c r="K2613" s="56" t="s">
        <v>9397</v>
      </c>
      <c r="L2613" s="165" t="s">
        <v>9398</v>
      </c>
      <c r="M2613" s="73"/>
      <c r="N2613" s="289" t="s">
        <v>9399</v>
      </c>
      <c r="O2613" s="169" t="s">
        <v>6923</v>
      </c>
      <c r="P2613" s="168" t="s">
        <v>3112</v>
      </c>
      <c r="Q2613" s="173"/>
      <c r="R2613" s="167">
        <v>1998000.0</v>
      </c>
      <c r="S2613" s="173"/>
      <c r="T2613" s="173"/>
      <c r="U2613" s="173"/>
      <c r="V2613" s="202"/>
      <c r="W2613" s="171"/>
      <c r="X2613" s="169" t="s">
        <v>9400</v>
      </c>
    </row>
    <row r="2614" ht="15.0" customHeight="1">
      <c r="A2614" s="127">
        <v>45938.0</v>
      </c>
      <c r="B2614" s="181" t="s">
        <v>9401</v>
      </c>
      <c r="C2614" s="56" t="s">
        <v>2954</v>
      </c>
      <c r="D2614" s="73" t="str">
        <f>IFERROR(VLOOKUP(C2614,Stock,3,FALSE),"")</f>
        <v>Transport</v>
      </c>
      <c r="E2614" s="56">
        <v>1.0</v>
      </c>
      <c r="F2614" s="161">
        <v>50000.0</v>
      </c>
      <c r="G2614" s="162">
        <f t="shared" si="40"/>
        <v>50000</v>
      </c>
      <c r="H2614" s="194"/>
      <c r="I2614" s="161">
        <f t="shared" si="41"/>
        <v>50000</v>
      </c>
      <c r="J2614" s="164">
        <f t="shared" si="42"/>
        <v>50000</v>
      </c>
      <c r="K2614" s="56" t="s">
        <v>9334</v>
      </c>
      <c r="L2614" s="165" t="s">
        <v>9335</v>
      </c>
      <c r="M2614" s="73"/>
      <c r="N2614" s="171"/>
      <c r="O2614" s="169" t="s">
        <v>6923</v>
      </c>
      <c r="P2614" s="168" t="s">
        <v>3112</v>
      </c>
      <c r="Q2614" s="167">
        <v>50000.0</v>
      </c>
      <c r="R2614" s="173"/>
      <c r="S2614" s="173"/>
      <c r="T2614" s="173"/>
      <c r="U2614" s="173"/>
      <c r="V2614" s="202"/>
      <c r="W2614" s="171"/>
      <c r="X2614" s="169" t="s">
        <v>9305</v>
      </c>
    </row>
    <row r="2615" ht="15.0" customHeight="1">
      <c r="A2615" s="127">
        <v>45938.0</v>
      </c>
      <c r="B2615" s="181" t="s">
        <v>9402</v>
      </c>
      <c r="C2615" s="475" t="s">
        <v>2825</v>
      </c>
      <c r="D2615" s="73" t="str">
        <f>IFERROR(VLOOKUP(C2615,Stock,3,FALSE),"")</f>
        <v>Toyota Avanza / Xenia 21- 4th Gen</v>
      </c>
      <c r="E2615" s="56">
        <v>1.0</v>
      </c>
      <c r="F2615" s="161">
        <v>980000.0</v>
      </c>
      <c r="G2615" s="162">
        <f t="shared" si="40"/>
        <v>980000</v>
      </c>
      <c r="H2615" s="194"/>
      <c r="I2615" s="161">
        <f t="shared" si="41"/>
        <v>980000</v>
      </c>
      <c r="J2615" s="164">
        <f t="shared" si="42"/>
        <v>980000</v>
      </c>
      <c r="K2615" s="56" t="s">
        <v>9403</v>
      </c>
      <c r="L2615" s="165" t="s">
        <v>9404</v>
      </c>
      <c r="M2615" s="73"/>
      <c r="N2615" s="289" t="s">
        <v>9405</v>
      </c>
      <c r="O2615" s="169" t="s">
        <v>6923</v>
      </c>
      <c r="P2615" s="168" t="s">
        <v>3112</v>
      </c>
      <c r="Q2615" s="167">
        <v>980000.0</v>
      </c>
      <c r="R2615" s="173"/>
      <c r="S2615" s="173"/>
      <c r="T2615" s="173"/>
      <c r="U2615" s="173"/>
      <c r="V2615" s="202"/>
      <c r="W2615" s="171"/>
      <c r="X2615" s="169" t="s">
        <v>9305</v>
      </c>
    </row>
    <row r="2616" ht="15.0" customHeight="1">
      <c r="A2616" s="127">
        <v>45938.0</v>
      </c>
      <c r="B2616" s="181" t="s">
        <v>9406</v>
      </c>
      <c r="C2616" s="475" t="s">
        <v>3025</v>
      </c>
      <c r="D2616" s="73" t="str">
        <f>IFERROR(VLOOKUP(C2616,Stock,3,FALSE),"")</f>
        <v>Toyota Rush / Terios 06-17</v>
      </c>
      <c r="E2616" s="56">
        <v>1.0</v>
      </c>
      <c r="F2616" s="161">
        <v>1349000.0</v>
      </c>
      <c r="G2616" s="162">
        <f t="shared" si="40"/>
        <v>1349000</v>
      </c>
      <c r="H2616" s="194"/>
      <c r="I2616" s="161">
        <f t="shared" si="41"/>
        <v>1349000</v>
      </c>
      <c r="J2616" s="164">
        <f t="shared" si="42"/>
        <v>1349000</v>
      </c>
      <c r="K2616" s="480" t="s">
        <v>9407</v>
      </c>
      <c r="L2616" s="165" t="s">
        <v>9408</v>
      </c>
      <c r="M2616" s="73"/>
      <c r="N2616" s="169" t="s">
        <v>9409</v>
      </c>
      <c r="O2616" s="169" t="s">
        <v>6923</v>
      </c>
      <c r="P2616" s="168" t="s">
        <v>3112</v>
      </c>
      <c r="Q2616" s="173"/>
      <c r="R2616" s="167">
        <v>1349000.0</v>
      </c>
      <c r="S2616" s="173"/>
      <c r="T2616" s="173"/>
      <c r="U2616" s="173"/>
      <c r="V2616" s="202"/>
      <c r="W2616" s="171"/>
      <c r="X2616" s="169" t="s">
        <v>9410</v>
      </c>
    </row>
    <row r="2617" ht="15.0" customHeight="1">
      <c r="A2617" s="127">
        <v>45938.0</v>
      </c>
      <c r="B2617" s="181" t="s">
        <v>9411</v>
      </c>
      <c r="C2617" s="475" t="s">
        <v>2629</v>
      </c>
      <c r="D2617" s="73" t="str">
        <f>IFERROR(VLOOKUP(C2617,Stock,3,FALSE),"")</f>
        <v>Suzuki Baleno 08-15 SX4 / Neo Baleno</v>
      </c>
      <c r="E2617" s="56">
        <v>1.0</v>
      </c>
      <c r="F2617" s="161">
        <v>1336000.0</v>
      </c>
      <c r="G2617" s="162">
        <f t="shared" si="40"/>
        <v>1336000</v>
      </c>
      <c r="H2617" s="194"/>
      <c r="I2617" s="161">
        <f t="shared" si="41"/>
        <v>1336000</v>
      </c>
      <c r="J2617" s="164">
        <f t="shared" si="42"/>
        <v>1336000</v>
      </c>
      <c r="K2617" s="56" t="s">
        <v>9412</v>
      </c>
      <c r="L2617" s="165" t="s">
        <v>9413</v>
      </c>
      <c r="M2617" s="73"/>
      <c r="N2617" s="171"/>
      <c r="O2617" s="169" t="s">
        <v>6923</v>
      </c>
      <c r="P2617" s="168" t="s">
        <v>3112</v>
      </c>
      <c r="Q2617" s="173"/>
      <c r="R2617" s="167">
        <v>1336000.0</v>
      </c>
      <c r="S2617" s="173"/>
      <c r="T2617" s="173"/>
      <c r="U2617" s="173"/>
      <c r="V2617" s="202"/>
      <c r="W2617" s="171"/>
      <c r="X2617" s="169" t="s">
        <v>9414</v>
      </c>
    </row>
    <row r="2618" ht="15.0" customHeight="1">
      <c r="A2618" s="127">
        <v>45938.0</v>
      </c>
      <c r="B2618" s="181" t="s">
        <v>9415</v>
      </c>
      <c r="C2618" s="475" t="s">
        <v>9167</v>
      </c>
      <c r="D2618" s="73" t="str">
        <f>IFERROR(VLOOKUP(C2618,Stock,3,FALSE),"")</f>
        <v>Toyota Avanza / Xenia 11-15 2nd Gen / 15-21 3rd Gen</v>
      </c>
      <c r="E2618" s="56">
        <v>1.0</v>
      </c>
      <c r="F2618" s="161">
        <v>880000.0</v>
      </c>
      <c r="G2618" s="162">
        <f t="shared" si="40"/>
        <v>880000</v>
      </c>
      <c r="H2618" s="194"/>
      <c r="I2618" s="161">
        <f t="shared" si="41"/>
        <v>880000</v>
      </c>
      <c r="J2618" s="164">
        <f t="shared" si="42"/>
        <v>880000</v>
      </c>
      <c r="K2618" s="56" t="s">
        <v>4472</v>
      </c>
      <c r="L2618" s="165" t="s">
        <v>9416</v>
      </c>
      <c r="M2618" s="73"/>
      <c r="N2618" s="171"/>
      <c r="O2618" s="169" t="s">
        <v>6923</v>
      </c>
      <c r="P2618" s="168" t="s">
        <v>3112</v>
      </c>
      <c r="Q2618" s="167">
        <v>880000.0</v>
      </c>
      <c r="R2618" s="173"/>
      <c r="S2618" s="173"/>
      <c r="T2618" s="173"/>
      <c r="U2618" s="173"/>
      <c r="V2618" s="202"/>
      <c r="W2618" s="171"/>
      <c r="X2618" s="169" t="s">
        <v>9305</v>
      </c>
    </row>
    <row r="2619" ht="15.0" customHeight="1">
      <c r="A2619" s="127">
        <v>45939.0</v>
      </c>
      <c r="B2619" s="181" t="s">
        <v>9417</v>
      </c>
      <c r="C2619" s="475" t="s">
        <v>2866</v>
      </c>
      <c r="D2619" s="73" t="str">
        <f>IFERROR(VLOOKUP(C2619,Stock,3,FALSE),"")</f>
        <v>Mitsubishi Fuso 6D22 / Super Great FV100 96-</v>
      </c>
      <c r="E2619" s="56">
        <v>1.0</v>
      </c>
      <c r="F2619" s="161">
        <v>500000.0</v>
      </c>
      <c r="G2619" s="162">
        <f t="shared" si="40"/>
        <v>500000</v>
      </c>
      <c r="H2619" s="194"/>
      <c r="I2619" s="161">
        <f t="shared" si="41"/>
        <v>500000</v>
      </c>
      <c r="J2619" s="164">
        <f t="shared" si="42"/>
        <v>500000</v>
      </c>
      <c r="K2619" s="56" t="s">
        <v>9418</v>
      </c>
      <c r="L2619" s="165" t="s">
        <v>9419</v>
      </c>
      <c r="M2619" s="73"/>
      <c r="N2619" s="171"/>
      <c r="O2619" s="169" t="s">
        <v>3858</v>
      </c>
      <c r="P2619" s="168" t="s">
        <v>3112</v>
      </c>
      <c r="Q2619" s="167">
        <v>500000.0</v>
      </c>
      <c r="R2619" s="173"/>
      <c r="S2619" s="173"/>
      <c r="T2619" s="173"/>
      <c r="U2619" s="173"/>
      <c r="V2619" s="202"/>
      <c r="W2619" s="171"/>
      <c r="X2619" s="169" t="s">
        <v>9305</v>
      </c>
    </row>
    <row r="2620" ht="15.0" customHeight="1">
      <c r="A2620" s="127">
        <v>45939.0</v>
      </c>
      <c r="B2620" s="181" t="s">
        <v>9420</v>
      </c>
      <c r="C2620" s="475" t="s">
        <v>3360</v>
      </c>
      <c r="D2620" s="73" t="str">
        <f>IFERROR(VLOOKUP(C2620,Stock,3,FALSE),"")</f>
        <v>Mitsubishi Xpander 17-</v>
      </c>
      <c r="E2620" s="56">
        <v>1.0</v>
      </c>
      <c r="F2620" s="161">
        <v>1744000.0</v>
      </c>
      <c r="G2620" s="162">
        <f t="shared" si="40"/>
        <v>1744000</v>
      </c>
      <c r="H2620" s="194"/>
      <c r="I2620" s="161">
        <f t="shared" si="41"/>
        <v>1744000</v>
      </c>
      <c r="J2620" s="164">
        <f t="shared" si="42"/>
        <v>1744000</v>
      </c>
      <c r="K2620" s="56" t="s">
        <v>9421</v>
      </c>
      <c r="L2620" s="165" t="s">
        <v>9422</v>
      </c>
      <c r="M2620" s="73"/>
      <c r="N2620" s="169" t="s">
        <v>9423</v>
      </c>
      <c r="O2620" s="169" t="s">
        <v>6923</v>
      </c>
      <c r="P2620" s="168" t="s">
        <v>3112</v>
      </c>
      <c r="Q2620" s="173"/>
      <c r="R2620" s="167">
        <v>1744000.0</v>
      </c>
      <c r="S2620" s="173"/>
      <c r="T2620" s="173"/>
      <c r="U2620" s="173"/>
      <c r="V2620" s="202"/>
      <c r="W2620" s="171"/>
      <c r="X2620" s="169" t="s">
        <v>9424</v>
      </c>
    </row>
    <row r="2621" ht="15.0" customHeight="1">
      <c r="A2621" s="127">
        <v>45939.0</v>
      </c>
      <c r="B2621" s="181" t="s">
        <v>9425</v>
      </c>
      <c r="C2621" s="475" t="s">
        <v>8939</v>
      </c>
      <c r="D2621" s="73" t="str">
        <f>IFERROR(VLOOKUP(C2621,Stock,3,FALSE),"")</f>
        <v>Toyota Avanza / Xenia 21- 4th Gen</v>
      </c>
      <c r="E2621" s="56">
        <v>1.0</v>
      </c>
      <c r="F2621" s="161">
        <v>500000.0</v>
      </c>
      <c r="G2621" s="162">
        <f t="shared" si="40"/>
        <v>500000</v>
      </c>
      <c r="H2621" s="194"/>
      <c r="I2621" s="161">
        <f t="shared" si="41"/>
        <v>500000</v>
      </c>
      <c r="J2621" s="164">
        <f t="shared" si="42"/>
        <v>500000</v>
      </c>
      <c r="K2621" s="56" t="s">
        <v>9426</v>
      </c>
      <c r="L2621" s="165" t="s">
        <v>9427</v>
      </c>
      <c r="M2621" s="73"/>
      <c r="N2621" s="171"/>
      <c r="O2621" s="169" t="s">
        <v>3204</v>
      </c>
      <c r="P2621" s="168" t="s">
        <v>3112</v>
      </c>
      <c r="Q2621" s="173"/>
      <c r="R2621" s="167">
        <v>500000.0</v>
      </c>
      <c r="S2621" s="173"/>
      <c r="T2621" s="173"/>
      <c r="U2621" s="173"/>
      <c r="V2621" s="202"/>
      <c r="W2621" s="171"/>
      <c r="X2621" s="169" t="s">
        <v>9428</v>
      </c>
    </row>
    <row r="2622" ht="15.0" customHeight="1">
      <c r="A2622" s="127">
        <v>45939.0</v>
      </c>
      <c r="B2622" s="181" t="s">
        <v>9425</v>
      </c>
      <c r="C2622" s="56" t="s">
        <v>9372</v>
      </c>
      <c r="D2622" s="73" t="str">
        <f>IFERROR(VLOOKUP(C2622,Stock,3,FALSE),"")</f>
        <v>Automotive Film Standard - Black 80%  </v>
      </c>
      <c r="E2622" s="56">
        <v>1.0</v>
      </c>
      <c r="F2622" s="161">
        <v>150000.0</v>
      </c>
      <c r="G2622" s="162">
        <f t="shared" si="40"/>
        <v>150000</v>
      </c>
      <c r="H2622" s="194"/>
      <c r="I2622" s="161">
        <f t="shared" si="41"/>
        <v>150000</v>
      </c>
      <c r="J2622" s="164">
        <f t="shared" si="42"/>
        <v>150000</v>
      </c>
      <c r="K2622" s="56" t="s">
        <v>9426</v>
      </c>
      <c r="L2622" s="165" t="s">
        <v>9427</v>
      </c>
      <c r="M2622" s="73"/>
      <c r="N2622" s="171"/>
      <c r="O2622" s="169" t="s">
        <v>3204</v>
      </c>
      <c r="P2622" s="168" t="s">
        <v>3112</v>
      </c>
      <c r="Q2622" s="167">
        <v>50000.0</v>
      </c>
      <c r="R2622" s="167">
        <v>100000.0</v>
      </c>
      <c r="S2622" s="173"/>
      <c r="T2622" s="173"/>
      <c r="U2622" s="173"/>
      <c r="V2622" s="202"/>
      <c r="W2622" s="171"/>
      <c r="X2622" s="169" t="s">
        <v>9428</v>
      </c>
    </row>
    <row r="2623" ht="15.0" customHeight="1">
      <c r="A2623" s="127">
        <v>45939.0</v>
      </c>
      <c r="B2623" s="181" t="s">
        <v>9429</v>
      </c>
      <c r="C2623" s="56" t="s">
        <v>4907</v>
      </c>
      <c r="D2623" s="73" t="str">
        <f>IFERROR(VLOOKUP(C2623,Stock,3,FALSE),"")</f>
        <v>Nissan Livina 07-12 L10 (Tanpa Lubang)</v>
      </c>
      <c r="E2623" s="56">
        <v>1.0</v>
      </c>
      <c r="F2623" s="161">
        <v>949000.0</v>
      </c>
      <c r="G2623" s="162">
        <f t="shared" si="40"/>
        <v>949000</v>
      </c>
      <c r="H2623" s="194"/>
      <c r="I2623" s="161">
        <f t="shared" si="41"/>
        <v>949000</v>
      </c>
      <c r="J2623" s="164">
        <f t="shared" si="42"/>
        <v>949000</v>
      </c>
      <c r="K2623" s="56" t="s">
        <v>9250</v>
      </c>
      <c r="L2623" s="165" t="s">
        <v>9251</v>
      </c>
      <c r="M2623" s="73"/>
      <c r="N2623" s="171"/>
      <c r="O2623" s="169" t="s">
        <v>3204</v>
      </c>
      <c r="P2623" s="168" t="s">
        <v>3112</v>
      </c>
      <c r="Q2623" s="173"/>
      <c r="R2623" s="167">
        <v>949000.0</v>
      </c>
      <c r="S2623" s="173"/>
      <c r="T2623" s="173"/>
      <c r="U2623" s="173"/>
      <c r="V2623" s="202"/>
      <c r="W2623" s="171"/>
      <c r="X2623" s="169" t="s">
        <v>9430</v>
      </c>
    </row>
    <row r="2624" ht="15.0" customHeight="1">
      <c r="A2624" s="127">
        <v>45940.0</v>
      </c>
      <c r="B2624" s="181" t="s">
        <v>9431</v>
      </c>
      <c r="C2624" s="56" t="s">
        <v>2847</v>
      </c>
      <c r="D2624" s="73" t="str">
        <f>IFERROR(VLOOKUP(C2624,Stock,3,FALSE),"")</f>
        <v>Honda BR-V 22-</v>
      </c>
      <c r="E2624" s="56">
        <v>1.0</v>
      </c>
      <c r="F2624" s="161">
        <v>1820000.0</v>
      </c>
      <c r="G2624" s="162">
        <f t="shared" si="40"/>
        <v>1820000</v>
      </c>
      <c r="H2624" s="194"/>
      <c r="I2624" s="161">
        <f t="shared" si="41"/>
        <v>1820000</v>
      </c>
      <c r="J2624" s="164">
        <f t="shared" si="42"/>
        <v>1820000</v>
      </c>
      <c r="K2624" s="56" t="s">
        <v>9432</v>
      </c>
      <c r="L2624" s="165" t="s">
        <v>9433</v>
      </c>
      <c r="M2624" s="73"/>
      <c r="N2624" s="169" t="s">
        <v>9434</v>
      </c>
      <c r="O2624" s="169" t="s">
        <v>6923</v>
      </c>
      <c r="P2624" s="168" t="s">
        <v>3112</v>
      </c>
      <c r="Q2624" s="173"/>
      <c r="R2624" s="167">
        <v>1820000.0</v>
      </c>
      <c r="S2624" s="173"/>
      <c r="T2624" s="173"/>
      <c r="U2624" s="173"/>
      <c r="V2624" s="202"/>
      <c r="W2624" s="171"/>
      <c r="X2624" s="169" t="s">
        <v>9435</v>
      </c>
    </row>
    <row r="2625" ht="15.0" customHeight="1">
      <c r="A2625" s="127">
        <v>45940.0</v>
      </c>
      <c r="B2625" s="181" t="s">
        <v>9436</v>
      </c>
      <c r="C2625" s="56" t="s">
        <v>9437</v>
      </c>
      <c r="D2625" s="73" t="str">
        <f>IFERROR(VLOOKUP(C2625,Stock,3,FALSE),"")</f>
        <v>Ford Fiesta 09-17</v>
      </c>
      <c r="E2625" s="56">
        <v>1.0</v>
      </c>
      <c r="F2625" s="161">
        <v>1579000.0</v>
      </c>
      <c r="G2625" s="162">
        <f t="shared" si="40"/>
        <v>1579000</v>
      </c>
      <c r="H2625" s="194"/>
      <c r="I2625" s="161">
        <f t="shared" si="41"/>
        <v>1579000</v>
      </c>
      <c r="J2625" s="164">
        <f t="shared" si="42"/>
        <v>1579000</v>
      </c>
      <c r="K2625" s="56" t="s">
        <v>9438</v>
      </c>
      <c r="L2625" s="165" t="s">
        <v>9439</v>
      </c>
      <c r="M2625" s="73"/>
      <c r="N2625" s="171"/>
      <c r="O2625" s="169" t="s">
        <v>6923</v>
      </c>
      <c r="P2625" s="168" t="s">
        <v>3112</v>
      </c>
      <c r="Q2625" s="173"/>
      <c r="R2625" s="167">
        <v>1579000.0</v>
      </c>
      <c r="S2625" s="173"/>
      <c r="T2625" s="173"/>
      <c r="U2625" s="173"/>
      <c r="V2625" s="202"/>
      <c r="W2625" s="171"/>
      <c r="X2625" s="169" t="s">
        <v>9440</v>
      </c>
    </row>
    <row r="2626" ht="15.0" customHeight="1">
      <c r="A2626" s="127">
        <v>45941.0</v>
      </c>
      <c r="B2626" s="181" t="s">
        <v>9441</v>
      </c>
      <c r="C2626" s="475" t="s">
        <v>3451</v>
      </c>
      <c r="D2626" s="73" t="str">
        <f>IFERROR(VLOOKUP(C2626,Stock,3,FALSE),"")</f>
        <v>Toyota Rush / Terios 18-</v>
      </c>
      <c r="E2626" s="56">
        <v>1.0</v>
      </c>
      <c r="F2626" s="161">
        <v>1360000.0</v>
      </c>
      <c r="G2626" s="162">
        <f t="shared" si="40"/>
        <v>1360000</v>
      </c>
      <c r="H2626" s="194"/>
      <c r="I2626" s="161">
        <f t="shared" si="41"/>
        <v>1360000</v>
      </c>
      <c r="J2626" s="164">
        <f t="shared" si="42"/>
        <v>1360000</v>
      </c>
      <c r="K2626" s="56" t="s">
        <v>6925</v>
      </c>
      <c r="L2626" s="165" t="s">
        <v>9442</v>
      </c>
      <c r="M2626" s="73"/>
      <c r="N2626" s="169" t="s">
        <v>9434</v>
      </c>
      <c r="O2626" s="169" t="s">
        <v>3204</v>
      </c>
      <c r="P2626" s="168" t="s">
        <v>3112</v>
      </c>
      <c r="Q2626" s="173"/>
      <c r="R2626" s="167">
        <v>1360000.0</v>
      </c>
      <c r="S2626" s="173"/>
      <c r="T2626" s="173"/>
      <c r="U2626" s="173"/>
      <c r="V2626" s="202"/>
      <c r="W2626" s="171"/>
      <c r="X2626" s="171"/>
    </row>
    <row r="2627" ht="15.0" customHeight="1">
      <c r="A2627" s="127">
        <v>45941.0</v>
      </c>
      <c r="B2627" s="181" t="s">
        <v>9441</v>
      </c>
      <c r="C2627" s="56" t="s">
        <v>2954</v>
      </c>
      <c r="D2627" s="73" t="str">
        <f>IFERROR(VLOOKUP(C2627,Stock,3,FALSE),"")</f>
        <v>Transport</v>
      </c>
      <c r="E2627" s="56">
        <v>1.0</v>
      </c>
      <c r="F2627" s="161">
        <v>180000.0</v>
      </c>
      <c r="G2627" s="162">
        <f t="shared" si="40"/>
        <v>180000</v>
      </c>
      <c r="H2627" s="194"/>
      <c r="I2627" s="161">
        <f t="shared" si="41"/>
        <v>180000</v>
      </c>
      <c r="J2627" s="164">
        <f t="shared" si="42"/>
        <v>180000</v>
      </c>
      <c r="K2627" s="56" t="s">
        <v>6925</v>
      </c>
      <c r="L2627" s="165" t="s">
        <v>9442</v>
      </c>
      <c r="M2627" s="73"/>
      <c r="N2627" s="169" t="s">
        <v>9434</v>
      </c>
      <c r="O2627" s="169" t="s">
        <v>3204</v>
      </c>
      <c r="P2627" s="168" t="s">
        <v>3112</v>
      </c>
      <c r="Q2627" s="173"/>
      <c r="R2627" s="167">
        <v>180000.0</v>
      </c>
      <c r="S2627" s="173"/>
      <c r="T2627" s="173"/>
      <c r="U2627" s="173"/>
      <c r="V2627" s="202"/>
      <c r="W2627" s="171"/>
      <c r="X2627" s="171"/>
    </row>
    <row r="2628" ht="15.0" customHeight="1">
      <c r="A2628" s="127">
        <v>45941.0</v>
      </c>
      <c r="B2628" s="181" t="s">
        <v>9443</v>
      </c>
      <c r="C2628" s="56" t="s">
        <v>4988</v>
      </c>
      <c r="D2628" s="73" t="str">
        <f>IFERROR(VLOOKUP(C2628,Stock,3,FALSE),"")</f>
        <v>Toyota Innova 15- 2nd Gen</v>
      </c>
      <c r="E2628" s="56">
        <v>1.0</v>
      </c>
      <c r="F2628" s="161">
        <v>1764000.0</v>
      </c>
      <c r="G2628" s="162">
        <f t="shared" si="40"/>
        <v>1764000</v>
      </c>
      <c r="H2628" s="194"/>
      <c r="I2628" s="161">
        <f t="shared" si="41"/>
        <v>1764000</v>
      </c>
      <c r="J2628" s="164">
        <f t="shared" si="42"/>
        <v>1764000</v>
      </c>
      <c r="K2628" s="56" t="s">
        <v>9444</v>
      </c>
      <c r="L2628" s="165" t="s">
        <v>9445</v>
      </c>
      <c r="M2628" s="73"/>
      <c r="N2628" s="289" t="s">
        <v>9446</v>
      </c>
      <c r="O2628" s="169" t="s">
        <v>3204</v>
      </c>
      <c r="P2628" s="168" t="s">
        <v>3112</v>
      </c>
      <c r="Q2628" s="173"/>
      <c r="R2628" s="167">
        <v>1764000.0</v>
      </c>
      <c r="S2628" s="173"/>
      <c r="T2628" s="173"/>
      <c r="U2628" s="173"/>
      <c r="V2628" s="202"/>
      <c r="W2628" s="171"/>
      <c r="X2628" s="169" t="s">
        <v>9447</v>
      </c>
    </row>
    <row r="2629" ht="15.0" customHeight="1">
      <c r="A2629" s="127">
        <v>45941.0</v>
      </c>
      <c r="B2629" s="181" t="s">
        <v>9448</v>
      </c>
      <c r="C2629" s="56" t="s">
        <v>2960</v>
      </c>
      <c r="D2629" s="73" t="str">
        <f>IFERROR(VLOOKUP(C2629,Stock,3,FALSE),"")</f>
        <v>Toyota Alphard 08-15 ANH20 2nd Gen (Hitam)</v>
      </c>
      <c r="E2629" s="56">
        <v>1.0</v>
      </c>
      <c r="F2629" s="161">
        <v>3274000.0</v>
      </c>
      <c r="G2629" s="162">
        <f t="shared" si="40"/>
        <v>3274000</v>
      </c>
      <c r="H2629" s="194"/>
      <c r="I2629" s="161">
        <f t="shared" si="41"/>
        <v>3274000</v>
      </c>
      <c r="J2629" s="164">
        <f t="shared" si="42"/>
        <v>3274000</v>
      </c>
      <c r="K2629" s="307" t="s">
        <v>9449</v>
      </c>
      <c r="L2629" s="165" t="s">
        <v>9450</v>
      </c>
      <c r="M2629" s="73"/>
      <c r="N2629" s="169" t="s">
        <v>9451</v>
      </c>
      <c r="O2629" s="169" t="s">
        <v>6923</v>
      </c>
      <c r="P2629" s="168" t="s">
        <v>3112</v>
      </c>
      <c r="Q2629" s="173"/>
      <c r="R2629" s="167">
        <v>3274000.0</v>
      </c>
      <c r="S2629" s="173"/>
      <c r="T2629" s="173"/>
      <c r="U2629" s="173"/>
      <c r="V2629" s="202"/>
      <c r="W2629" s="171"/>
      <c r="X2629" s="169" t="s">
        <v>9452</v>
      </c>
    </row>
    <row r="2630" ht="15.0" customHeight="1">
      <c r="A2630" s="127">
        <v>45941.0</v>
      </c>
      <c r="B2630" s="181" t="s">
        <v>9453</v>
      </c>
      <c r="C2630" s="475" t="s">
        <v>9454</v>
      </c>
      <c r="D2630" s="73" t="str">
        <f>IFERROR(VLOOKUP(C2630,Stock,3,FALSE),"")</f>
        <v>Honda CR-V 02-06 2nd Gen (List Pelipit) (Honda)</v>
      </c>
      <c r="E2630" s="56">
        <v>1.0</v>
      </c>
      <c r="F2630" s="161">
        <v>200000.0</v>
      </c>
      <c r="G2630" s="162">
        <f t="shared" si="40"/>
        <v>200000</v>
      </c>
      <c r="H2630" s="194"/>
      <c r="I2630" s="161">
        <f t="shared" si="41"/>
        <v>200000</v>
      </c>
      <c r="J2630" s="164">
        <f t="shared" si="42"/>
        <v>200000</v>
      </c>
      <c r="K2630" s="56" t="s">
        <v>9455</v>
      </c>
      <c r="L2630" s="165" t="s">
        <v>9456</v>
      </c>
      <c r="M2630" s="73"/>
      <c r="N2630" s="171"/>
      <c r="O2630" s="169" t="s">
        <v>3184</v>
      </c>
      <c r="P2630" s="168" t="s">
        <v>3112</v>
      </c>
      <c r="Q2630" s="173"/>
      <c r="R2630" s="167">
        <v>200000.0</v>
      </c>
      <c r="S2630" s="173"/>
      <c r="T2630" s="173"/>
      <c r="U2630" s="173"/>
      <c r="V2630" s="202"/>
      <c r="W2630" s="171"/>
      <c r="X2630" s="169" t="s">
        <v>9457</v>
      </c>
    </row>
    <row r="2631" ht="15.0" customHeight="1">
      <c r="A2631" s="127">
        <v>45941.0</v>
      </c>
      <c r="B2631" s="181" t="s">
        <v>9453</v>
      </c>
      <c r="C2631" s="56" t="s">
        <v>9458</v>
      </c>
      <c r="D2631" s="73" t="str">
        <f>IFERROR(VLOOKUP(C2631,Stock,3,FALSE),"")</f>
        <v>Honda CR-V 02-06 2nd Gen (List Pelipit) (Honda)</v>
      </c>
      <c r="E2631" s="56">
        <v>1.0</v>
      </c>
      <c r="F2631" s="161">
        <v>200000.0</v>
      </c>
      <c r="G2631" s="162">
        <f t="shared" si="40"/>
        <v>200000</v>
      </c>
      <c r="H2631" s="194"/>
      <c r="I2631" s="161">
        <f t="shared" si="41"/>
        <v>200000</v>
      </c>
      <c r="J2631" s="164">
        <f t="shared" si="42"/>
        <v>200000</v>
      </c>
      <c r="K2631" s="56" t="s">
        <v>9455</v>
      </c>
      <c r="L2631" s="165" t="s">
        <v>9456</v>
      </c>
      <c r="M2631" s="73"/>
      <c r="N2631" s="171"/>
      <c r="O2631" s="169" t="s">
        <v>3184</v>
      </c>
      <c r="P2631" s="168" t="s">
        <v>3112</v>
      </c>
      <c r="Q2631" s="173"/>
      <c r="R2631" s="167">
        <v>200000.0</v>
      </c>
      <c r="S2631" s="173"/>
      <c r="T2631" s="173"/>
      <c r="U2631" s="173"/>
      <c r="V2631" s="202"/>
      <c r="W2631" s="171"/>
      <c r="X2631" s="169" t="s">
        <v>9457</v>
      </c>
    </row>
    <row r="2632" ht="15.0" customHeight="1">
      <c r="A2632" s="127">
        <v>45941.0</v>
      </c>
      <c r="B2632" s="181" t="s">
        <v>9459</v>
      </c>
      <c r="C2632" s="56" t="s">
        <v>9460</v>
      </c>
      <c r="D2632" s="73" t="str">
        <f>IFERROR(VLOOKUP(C2632,Stock,3,FALSE),"")</f>
        <v>Honda CR-V  04-06 2nd Gen (Spion Biasa) (Honda)</v>
      </c>
      <c r="E2632" s="56">
        <v>1.0</v>
      </c>
      <c r="F2632" s="161">
        <v>2450000.0</v>
      </c>
      <c r="G2632" s="162">
        <f t="shared" si="40"/>
        <v>2450000</v>
      </c>
      <c r="H2632" s="194"/>
      <c r="I2632" s="161">
        <f t="shared" si="41"/>
        <v>2450000</v>
      </c>
      <c r="J2632" s="164">
        <f t="shared" si="42"/>
        <v>2450000</v>
      </c>
      <c r="K2632" s="56" t="s">
        <v>9461</v>
      </c>
      <c r="L2632" s="165" t="s">
        <v>9462</v>
      </c>
      <c r="M2632" s="73"/>
      <c r="N2632" s="171"/>
      <c r="O2632" s="169" t="s">
        <v>6923</v>
      </c>
      <c r="P2632" s="168" t="s">
        <v>3112</v>
      </c>
      <c r="Q2632" s="173"/>
      <c r="R2632" s="167">
        <v>2450000.0</v>
      </c>
      <c r="S2632" s="173"/>
      <c r="T2632" s="173"/>
      <c r="U2632" s="173"/>
      <c r="V2632" s="202"/>
      <c r="W2632" s="171"/>
      <c r="X2632" s="169" t="s">
        <v>9463</v>
      </c>
    </row>
    <row r="2633" ht="15.0" customHeight="1">
      <c r="A2633" s="127">
        <v>45941.0</v>
      </c>
      <c r="B2633" s="181" t="s">
        <v>9459</v>
      </c>
      <c r="C2633" s="56" t="s">
        <v>2934</v>
      </c>
      <c r="D2633" s="73" t="str">
        <f>IFERROR(VLOOKUP(C2633,Stock,3,FALSE),"")</f>
        <v>Peti Kayu</v>
      </c>
      <c r="E2633" s="56">
        <v>1.0</v>
      </c>
      <c r="F2633" s="161">
        <v>200000.0</v>
      </c>
      <c r="G2633" s="162">
        <f t="shared" si="40"/>
        <v>200000</v>
      </c>
      <c r="H2633" s="194"/>
      <c r="I2633" s="161">
        <f t="shared" si="41"/>
        <v>200000</v>
      </c>
      <c r="J2633" s="164">
        <f t="shared" si="42"/>
        <v>200000</v>
      </c>
      <c r="K2633" s="56" t="s">
        <v>9461</v>
      </c>
      <c r="L2633" s="165" t="s">
        <v>9462</v>
      </c>
      <c r="M2633" s="73"/>
      <c r="N2633" s="171"/>
      <c r="O2633" s="169" t="s">
        <v>6923</v>
      </c>
      <c r="P2633" s="168" t="s">
        <v>3112</v>
      </c>
      <c r="Q2633" s="173"/>
      <c r="R2633" s="167">
        <v>200000.0</v>
      </c>
      <c r="S2633" s="173"/>
      <c r="T2633" s="173"/>
      <c r="U2633" s="173"/>
      <c r="V2633" s="202"/>
      <c r="W2633" s="171"/>
      <c r="X2633" s="169" t="s">
        <v>9463</v>
      </c>
    </row>
    <row r="2634" ht="15.0" customHeight="1">
      <c r="A2634" s="127">
        <v>45941.0</v>
      </c>
      <c r="B2634" s="181" t="s">
        <v>9459</v>
      </c>
      <c r="C2634" s="56" t="s">
        <v>2954</v>
      </c>
      <c r="D2634" s="73" t="str">
        <f>IFERROR(VLOOKUP(C2634,Stock,3,FALSE),"")</f>
        <v>Transport</v>
      </c>
      <c r="E2634" s="56">
        <v>1.0</v>
      </c>
      <c r="F2634" s="161">
        <v>70000.0</v>
      </c>
      <c r="G2634" s="162">
        <f t="shared" si="40"/>
        <v>70000</v>
      </c>
      <c r="H2634" s="194"/>
      <c r="I2634" s="161">
        <f t="shared" si="41"/>
        <v>70000</v>
      </c>
      <c r="J2634" s="164">
        <f t="shared" si="42"/>
        <v>70000</v>
      </c>
      <c r="K2634" s="56" t="s">
        <v>9461</v>
      </c>
      <c r="L2634" s="165" t="s">
        <v>9462</v>
      </c>
      <c r="M2634" s="73"/>
      <c r="N2634" s="171"/>
      <c r="O2634" s="169" t="s">
        <v>6923</v>
      </c>
      <c r="P2634" s="168" t="s">
        <v>3112</v>
      </c>
      <c r="Q2634" s="173"/>
      <c r="R2634" s="167">
        <v>70000.0</v>
      </c>
      <c r="S2634" s="173"/>
      <c r="T2634" s="173"/>
      <c r="U2634" s="173"/>
      <c r="V2634" s="202"/>
      <c r="W2634" s="171"/>
      <c r="X2634" s="169" t="s">
        <v>9463</v>
      </c>
    </row>
    <row r="2635" ht="15.0" customHeight="1">
      <c r="A2635" s="127">
        <v>45941.0</v>
      </c>
      <c r="B2635" s="181" t="s">
        <v>9459</v>
      </c>
      <c r="C2635" s="169" t="s">
        <v>4027</v>
      </c>
      <c r="D2635" s="73" t="str">
        <f>IFERROR(VLOOKUP(C2635,Stock,3,FALSE),"")</f>
        <v>501 Sealant Application</v>
      </c>
      <c r="E2635" s="56">
        <v>2.0</v>
      </c>
      <c r="F2635" s="161">
        <v>95000.0</v>
      </c>
      <c r="G2635" s="162">
        <f t="shared" si="40"/>
        <v>190000</v>
      </c>
      <c r="H2635" s="194"/>
      <c r="I2635" s="161">
        <f t="shared" si="41"/>
        <v>190000</v>
      </c>
      <c r="J2635" s="164">
        <f t="shared" si="42"/>
        <v>190000</v>
      </c>
      <c r="K2635" s="56" t="s">
        <v>9461</v>
      </c>
      <c r="L2635" s="165" t="s">
        <v>9462</v>
      </c>
      <c r="M2635" s="73"/>
      <c r="N2635" s="171"/>
      <c r="O2635" s="169" t="s">
        <v>6923</v>
      </c>
      <c r="P2635" s="168" t="s">
        <v>3112</v>
      </c>
      <c r="Q2635" s="173"/>
      <c r="R2635" s="167">
        <v>190000.0</v>
      </c>
      <c r="S2635" s="173"/>
      <c r="T2635" s="173"/>
      <c r="U2635" s="173"/>
      <c r="V2635" s="202"/>
      <c r="W2635" s="171"/>
      <c r="X2635" s="169" t="s">
        <v>9463</v>
      </c>
    </row>
    <row r="2636" ht="15.0" customHeight="1">
      <c r="A2636" s="127">
        <v>45941.0</v>
      </c>
      <c r="B2636" s="181" t="s">
        <v>9464</v>
      </c>
      <c r="C2636" s="475" t="s">
        <v>3837</v>
      </c>
      <c r="D2636" s="73" t="str">
        <f>IFERROR(VLOOKUP(C2636,Stock,3,FALSE),"")</f>
        <v>Toyota Yaris 13- 2nd Gen / Vios 14- 3rd Gen</v>
      </c>
      <c r="E2636" s="56">
        <v>1.0</v>
      </c>
      <c r="F2636" s="161">
        <v>1569000.0</v>
      </c>
      <c r="G2636" s="162">
        <f t="shared" si="40"/>
        <v>1569000</v>
      </c>
      <c r="H2636" s="194"/>
      <c r="I2636" s="161">
        <f t="shared" si="41"/>
        <v>1569000</v>
      </c>
      <c r="J2636" s="164">
        <f t="shared" si="42"/>
        <v>1569000</v>
      </c>
      <c r="K2636" s="56" t="s">
        <v>9465</v>
      </c>
      <c r="L2636" s="165" t="s">
        <v>9466</v>
      </c>
      <c r="M2636" s="73"/>
      <c r="N2636" s="171"/>
      <c r="O2636" s="169" t="s">
        <v>3037</v>
      </c>
      <c r="P2636" s="168" t="s">
        <v>3112</v>
      </c>
      <c r="Q2636" s="167">
        <v>1539000.0</v>
      </c>
      <c r="R2636" s="167">
        <v>30000.0</v>
      </c>
      <c r="S2636" s="173"/>
      <c r="T2636" s="173"/>
      <c r="U2636" s="173"/>
      <c r="V2636" s="202"/>
      <c r="W2636" s="171"/>
      <c r="X2636" s="169" t="s">
        <v>9467</v>
      </c>
    </row>
    <row r="2637" ht="15.0" customHeight="1">
      <c r="A2637" s="127">
        <v>45941.0</v>
      </c>
      <c r="B2637" s="181" t="s">
        <v>9464</v>
      </c>
      <c r="C2637" s="56" t="s">
        <v>2954</v>
      </c>
      <c r="D2637" s="73" t="str">
        <f>IFERROR(VLOOKUP(C2637,Stock,3,FALSE),"")</f>
        <v>Transport</v>
      </c>
      <c r="E2637" s="56">
        <v>1.0</v>
      </c>
      <c r="F2637" s="161">
        <v>350000.0</v>
      </c>
      <c r="G2637" s="162">
        <f t="shared" si="40"/>
        <v>350000</v>
      </c>
      <c r="H2637" s="194"/>
      <c r="I2637" s="161">
        <f t="shared" si="41"/>
        <v>350000</v>
      </c>
      <c r="J2637" s="164">
        <f t="shared" si="42"/>
        <v>350000</v>
      </c>
      <c r="K2637" s="56" t="s">
        <v>9465</v>
      </c>
      <c r="L2637" s="165" t="s">
        <v>9466</v>
      </c>
      <c r="M2637" s="73"/>
      <c r="N2637" s="171"/>
      <c r="O2637" s="169" t="s">
        <v>3037</v>
      </c>
      <c r="P2637" s="168" t="s">
        <v>3112</v>
      </c>
      <c r="Q2637" s="167">
        <v>350000.0</v>
      </c>
      <c r="R2637" s="167"/>
      <c r="S2637" s="173"/>
      <c r="T2637" s="173"/>
      <c r="U2637" s="173"/>
      <c r="V2637" s="202"/>
      <c r="W2637" s="171"/>
      <c r="X2637" s="169" t="s">
        <v>9305</v>
      </c>
    </row>
    <row r="2638" ht="15.0" customHeight="1">
      <c r="A2638" s="423">
        <v>45941.0</v>
      </c>
      <c r="B2638" s="424" t="s">
        <v>9468</v>
      </c>
      <c r="C2638" s="89" t="s">
        <v>4178</v>
      </c>
      <c r="D2638" s="425" t="str">
        <f>IFERROR(VLOOKUP(C2638,Stock,3,FALSE),"")</f>
        <v>Honda BR-V 16-</v>
      </c>
      <c r="E2638" s="90">
        <v>1.0</v>
      </c>
      <c r="F2638" s="426">
        <v>1433000.0</v>
      </c>
      <c r="G2638" s="427">
        <f t="shared" si="40"/>
        <v>1433000</v>
      </c>
      <c r="H2638" s="428"/>
      <c r="I2638" s="426">
        <f t="shared" si="41"/>
        <v>1433000</v>
      </c>
      <c r="J2638" s="429">
        <f t="shared" si="42"/>
        <v>1433000</v>
      </c>
      <c r="K2638" s="90" t="s">
        <v>9469</v>
      </c>
      <c r="L2638" s="431" t="s">
        <v>9470</v>
      </c>
      <c r="M2638" s="425"/>
      <c r="N2638" s="432"/>
      <c r="O2638" s="433" t="s">
        <v>6923</v>
      </c>
      <c r="P2638" s="434" t="s">
        <v>9471</v>
      </c>
      <c r="Q2638" s="435"/>
      <c r="R2638" s="435"/>
      <c r="S2638" s="247">
        <v>1433000.0</v>
      </c>
      <c r="T2638" s="435"/>
      <c r="U2638" s="435"/>
      <c r="V2638" s="481"/>
      <c r="W2638" s="432"/>
      <c r="X2638" s="432"/>
    </row>
    <row r="2639" ht="15.0" customHeight="1">
      <c r="A2639" s="127">
        <v>45941.0</v>
      </c>
      <c r="B2639" s="181" t="s">
        <v>9472</v>
      </c>
      <c r="C2639" s="56" t="s">
        <v>3127</v>
      </c>
      <c r="D2639" s="73" t="str">
        <f>IFERROR(VLOOKUP(C2639,Stock,3,FALSE),"")</f>
        <v>Toyota Avanza / Xenia 03-11 1st Gen</v>
      </c>
      <c r="E2639" s="56">
        <v>1.0</v>
      </c>
      <c r="F2639" s="161">
        <v>841000.0</v>
      </c>
      <c r="G2639" s="162">
        <f t="shared" si="40"/>
        <v>841000</v>
      </c>
      <c r="H2639" s="194"/>
      <c r="I2639" s="161">
        <f t="shared" si="41"/>
        <v>841000</v>
      </c>
      <c r="J2639" s="164">
        <f t="shared" si="42"/>
        <v>841000</v>
      </c>
      <c r="K2639" s="56" t="s">
        <v>9473</v>
      </c>
      <c r="L2639" s="165" t="s">
        <v>9474</v>
      </c>
      <c r="M2639" s="73"/>
      <c r="N2639" s="171"/>
      <c r="O2639" s="169" t="s">
        <v>3213</v>
      </c>
      <c r="P2639" s="168" t="s">
        <v>3112</v>
      </c>
      <c r="Q2639" s="167">
        <v>841000.0</v>
      </c>
      <c r="R2639" s="173"/>
      <c r="S2639" s="173"/>
      <c r="T2639" s="173"/>
      <c r="U2639" s="173"/>
      <c r="V2639" s="202"/>
      <c r="W2639" s="171"/>
      <c r="X2639" s="169" t="s">
        <v>9305</v>
      </c>
    </row>
    <row r="2640" ht="15.0" customHeight="1">
      <c r="A2640" s="127">
        <v>45942.0</v>
      </c>
      <c r="B2640" s="181" t="s">
        <v>9475</v>
      </c>
      <c r="C2640" s="475" t="s">
        <v>3411</v>
      </c>
      <c r="D2640" s="73" t="str">
        <f>IFERROR(VLOOKUP(C2640,Stock,3,FALSE),"")</f>
        <v>Toyota Agya/Ayla 13-22 1st Gen</v>
      </c>
      <c r="E2640" s="56">
        <v>1.0</v>
      </c>
      <c r="F2640" s="161">
        <v>1000000.0</v>
      </c>
      <c r="G2640" s="162">
        <f t="shared" si="40"/>
        <v>1000000</v>
      </c>
      <c r="H2640" s="194"/>
      <c r="I2640" s="161">
        <f t="shared" si="41"/>
        <v>1000000</v>
      </c>
      <c r="J2640" s="164">
        <f t="shared" si="42"/>
        <v>1000000</v>
      </c>
      <c r="K2640" s="56" t="s">
        <v>9476</v>
      </c>
      <c r="L2640" s="165" t="s">
        <v>9477</v>
      </c>
      <c r="M2640" s="73"/>
      <c r="N2640" s="169" t="s">
        <v>9478</v>
      </c>
      <c r="O2640" s="169" t="s">
        <v>6923</v>
      </c>
      <c r="P2640" s="168" t="s">
        <v>3112</v>
      </c>
      <c r="Q2640" s="173"/>
      <c r="R2640" s="167">
        <v>1000000.0</v>
      </c>
      <c r="S2640" s="173"/>
      <c r="T2640" s="173"/>
      <c r="U2640" s="173"/>
      <c r="V2640" s="202"/>
      <c r="W2640" s="171"/>
      <c r="X2640" s="169" t="s">
        <v>9479</v>
      </c>
    </row>
    <row r="2641" ht="15.0" customHeight="1">
      <c r="A2641" s="127">
        <v>45942.0</v>
      </c>
      <c r="B2641" s="181" t="s">
        <v>9480</v>
      </c>
      <c r="C2641" s="475" t="s">
        <v>3127</v>
      </c>
      <c r="D2641" s="73" t="str">
        <f>IFERROR(VLOOKUP(C2641,Stock,3,FALSE),"")</f>
        <v>Toyota Avanza / Xenia 03-11 1st Gen</v>
      </c>
      <c r="E2641" s="56">
        <v>1.0</v>
      </c>
      <c r="F2641" s="161">
        <v>880000.0</v>
      </c>
      <c r="G2641" s="162">
        <f t="shared" si="40"/>
        <v>880000</v>
      </c>
      <c r="H2641" s="194"/>
      <c r="I2641" s="161">
        <f t="shared" si="41"/>
        <v>880000</v>
      </c>
      <c r="J2641" s="164">
        <f t="shared" si="42"/>
        <v>880000</v>
      </c>
      <c r="K2641" s="56" t="s">
        <v>9481</v>
      </c>
      <c r="L2641" s="165" t="s">
        <v>9482</v>
      </c>
      <c r="M2641" s="73"/>
      <c r="N2641" s="169" t="s">
        <v>9483</v>
      </c>
      <c r="O2641" s="169" t="s">
        <v>6923</v>
      </c>
      <c r="P2641" s="168" t="s">
        <v>3112</v>
      </c>
      <c r="Q2641" s="167">
        <v>880000.0</v>
      </c>
      <c r="R2641" s="173"/>
      <c r="S2641" s="173"/>
      <c r="T2641" s="173"/>
      <c r="U2641" s="173"/>
      <c r="V2641" s="202"/>
      <c r="W2641" s="171"/>
      <c r="X2641" s="169" t="s">
        <v>9305</v>
      </c>
    </row>
    <row r="2642" ht="15.0" customHeight="1">
      <c r="A2642" s="127">
        <v>45943.0</v>
      </c>
      <c r="B2642" s="181" t="s">
        <v>9484</v>
      </c>
      <c r="C2642" s="475" t="s">
        <v>3290</v>
      </c>
      <c r="D2642" s="73" t="str">
        <f>IFERROR(VLOOKUP(C2642,Stock,3,FALSE),"")</f>
        <v>Toyota Innova 04-15 1st Gen</v>
      </c>
      <c r="E2642" s="56">
        <v>1.0</v>
      </c>
      <c r="F2642" s="161">
        <v>1449000.0</v>
      </c>
      <c r="G2642" s="162">
        <f t="shared" si="40"/>
        <v>1449000</v>
      </c>
      <c r="H2642" s="194"/>
      <c r="I2642" s="161">
        <f t="shared" si="41"/>
        <v>1449000</v>
      </c>
      <c r="J2642" s="164">
        <f t="shared" si="42"/>
        <v>1449000</v>
      </c>
      <c r="K2642" s="56" t="s">
        <v>9485</v>
      </c>
      <c r="L2642" s="165" t="s">
        <v>9486</v>
      </c>
      <c r="M2642" s="73"/>
      <c r="N2642" s="169" t="s">
        <v>9487</v>
      </c>
      <c r="O2642" s="169" t="s">
        <v>6923</v>
      </c>
      <c r="P2642" s="168" t="s">
        <v>3112</v>
      </c>
      <c r="Q2642" s="173"/>
      <c r="R2642" s="167">
        <v>1449000.0</v>
      </c>
      <c r="S2642" s="173"/>
      <c r="T2642" s="173"/>
      <c r="U2642" s="173"/>
      <c r="V2642" s="202"/>
      <c r="W2642" s="171"/>
      <c r="X2642" s="169" t="s">
        <v>9488</v>
      </c>
    </row>
    <row r="2643" ht="15.0" customHeight="1">
      <c r="A2643" s="127">
        <v>45943.0</v>
      </c>
      <c r="B2643" s="181" t="s">
        <v>9489</v>
      </c>
      <c r="C2643" s="475" t="s">
        <v>3186</v>
      </c>
      <c r="D2643" s="73" t="str">
        <f>IFERROR(VLOOKUP(C2643,Stock,3,FALSE),"")</f>
        <v>Daihatsu Gran Max / Luxio 07-</v>
      </c>
      <c r="E2643" s="56">
        <v>1.0</v>
      </c>
      <c r="F2643" s="161">
        <v>1020000.0</v>
      </c>
      <c r="G2643" s="162">
        <f t="shared" si="40"/>
        <v>1020000</v>
      </c>
      <c r="H2643" s="194"/>
      <c r="I2643" s="161">
        <f t="shared" si="41"/>
        <v>1020000</v>
      </c>
      <c r="J2643" s="164">
        <f t="shared" si="42"/>
        <v>1020000</v>
      </c>
      <c r="K2643" s="56" t="s">
        <v>9490</v>
      </c>
      <c r="L2643" s="165" t="s">
        <v>9491</v>
      </c>
      <c r="M2643" s="73"/>
      <c r="N2643" s="171"/>
      <c r="O2643" s="169" t="s">
        <v>6923</v>
      </c>
      <c r="P2643" s="168" t="s">
        <v>3112</v>
      </c>
      <c r="Q2643" s="167">
        <v>1020000.0</v>
      </c>
      <c r="R2643" s="173"/>
      <c r="S2643" s="173"/>
      <c r="T2643" s="173"/>
      <c r="U2643" s="173"/>
      <c r="V2643" s="202"/>
      <c r="W2643" s="171"/>
      <c r="X2643" s="169" t="s">
        <v>9305</v>
      </c>
    </row>
    <row r="2644" ht="15.0" customHeight="1">
      <c r="A2644" s="423">
        <v>45944.0</v>
      </c>
      <c r="B2644" s="424" t="s">
        <v>9492</v>
      </c>
      <c r="C2644" s="89" t="s">
        <v>6741</v>
      </c>
      <c r="D2644" s="425" t="str">
        <f>IFERROR(VLOOKUP(C2644,Stock,3,FALSE),"")</f>
        <v>Honda Jazz 01-07 1st Gen</v>
      </c>
      <c r="E2644" s="90">
        <v>1.0</v>
      </c>
      <c r="F2644" s="426">
        <v>1153000.0</v>
      </c>
      <c r="G2644" s="427">
        <f t="shared" si="40"/>
        <v>1153000</v>
      </c>
      <c r="H2644" s="428"/>
      <c r="I2644" s="426">
        <f t="shared" si="41"/>
        <v>1153000</v>
      </c>
      <c r="J2644" s="429">
        <f t="shared" si="42"/>
        <v>1153000</v>
      </c>
      <c r="K2644" s="90" t="s">
        <v>9493</v>
      </c>
      <c r="L2644" s="431" t="s">
        <v>9494</v>
      </c>
      <c r="M2644" s="425"/>
      <c r="N2644" s="433"/>
      <c r="O2644" s="433" t="s">
        <v>6923</v>
      </c>
      <c r="P2644" s="434" t="s">
        <v>3112</v>
      </c>
      <c r="Q2644" s="435"/>
      <c r="R2644" s="247"/>
      <c r="S2644" s="247">
        <v>1153000.0</v>
      </c>
      <c r="T2644" s="435"/>
      <c r="U2644" s="435"/>
      <c r="V2644" s="481"/>
      <c r="W2644" s="432"/>
      <c r="X2644" s="432"/>
    </row>
    <row r="2645" ht="15.0" customHeight="1">
      <c r="A2645" s="423">
        <v>45944.0</v>
      </c>
      <c r="B2645" s="424" t="s">
        <v>9492</v>
      </c>
      <c r="C2645" s="90" t="s">
        <v>2934</v>
      </c>
      <c r="D2645" s="425" t="str">
        <f>IFERROR(VLOOKUP(C2645,Stock,3,FALSE),"")</f>
        <v>Peti Kayu</v>
      </c>
      <c r="E2645" s="90">
        <v>1.0</v>
      </c>
      <c r="F2645" s="426">
        <v>200000.0</v>
      </c>
      <c r="G2645" s="427">
        <f t="shared" si="40"/>
        <v>200000</v>
      </c>
      <c r="H2645" s="428"/>
      <c r="I2645" s="426">
        <f t="shared" si="41"/>
        <v>200000</v>
      </c>
      <c r="J2645" s="429">
        <f t="shared" si="42"/>
        <v>200000</v>
      </c>
      <c r="K2645" s="90" t="s">
        <v>9493</v>
      </c>
      <c r="L2645" s="431" t="s">
        <v>9494</v>
      </c>
      <c r="M2645" s="425"/>
      <c r="N2645" s="433"/>
      <c r="O2645" s="433" t="s">
        <v>6923</v>
      </c>
      <c r="P2645" s="434" t="s">
        <v>3112</v>
      </c>
      <c r="Q2645" s="435"/>
      <c r="R2645" s="247"/>
      <c r="S2645" s="247">
        <v>200000.0</v>
      </c>
      <c r="T2645" s="435"/>
      <c r="U2645" s="435"/>
      <c r="V2645" s="481"/>
      <c r="W2645" s="432"/>
      <c r="X2645" s="432"/>
    </row>
    <row r="2646" ht="15.0" customHeight="1">
      <c r="A2646" s="127">
        <v>45944.0</v>
      </c>
      <c r="B2646" s="181" t="s">
        <v>9495</v>
      </c>
      <c r="C2646" s="475" t="s">
        <v>3382</v>
      </c>
      <c r="D2646" s="73" t="str">
        <f>IFERROR(VLOOKUP(C2646,Stock,3,FALSE),"")</f>
        <v>Toyota Avanza / Xenia 11-15 2nd Gen / 15-21 3rd Gen</v>
      </c>
      <c r="E2646" s="56">
        <v>1.0</v>
      </c>
      <c r="F2646" s="161">
        <v>500000.0</v>
      </c>
      <c r="G2646" s="162">
        <f t="shared" si="40"/>
        <v>500000</v>
      </c>
      <c r="H2646" s="194"/>
      <c r="I2646" s="161">
        <f t="shared" si="41"/>
        <v>500000</v>
      </c>
      <c r="J2646" s="164">
        <f t="shared" si="42"/>
        <v>500000</v>
      </c>
      <c r="K2646" s="56" t="s">
        <v>5882</v>
      </c>
      <c r="L2646" s="165" t="s">
        <v>9496</v>
      </c>
      <c r="M2646" s="73"/>
      <c r="N2646" s="171"/>
      <c r="O2646" s="169" t="s">
        <v>6923</v>
      </c>
      <c r="P2646" s="168" t="s">
        <v>3112</v>
      </c>
      <c r="Q2646" s="167">
        <v>500000.0</v>
      </c>
      <c r="R2646" s="173"/>
      <c r="S2646" s="173"/>
      <c r="T2646" s="173"/>
      <c r="U2646" s="173"/>
      <c r="V2646" s="202"/>
      <c r="W2646" s="171"/>
      <c r="X2646" s="169" t="s">
        <v>9305</v>
      </c>
    </row>
    <row r="2647" ht="15.0" customHeight="1">
      <c r="A2647" s="127">
        <v>45944.0</v>
      </c>
      <c r="B2647" s="181" t="s">
        <v>9495</v>
      </c>
      <c r="C2647" s="56" t="s">
        <v>9372</v>
      </c>
      <c r="D2647" s="73" t="str">
        <f>IFERROR(VLOOKUP(C2647,Stock,3,FALSE),"")</f>
        <v>Automotive Film Standard - Black 80%  </v>
      </c>
      <c r="E2647" s="56">
        <v>1.0</v>
      </c>
      <c r="F2647" s="161">
        <v>150000.0</v>
      </c>
      <c r="G2647" s="162">
        <f t="shared" si="40"/>
        <v>150000</v>
      </c>
      <c r="H2647" s="194"/>
      <c r="I2647" s="161">
        <f t="shared" si="41"/>
        <v>150000</v>
      </c>
      <c r="J2647" s="164">
        <f t="shared" si="42"/>
        <v>150000</v>
      </c>
      <c r="K2647" s="56" t="s">
        <v>5882</v>
      </c>
      <c r="L2647" s="165" t="s">
        <v>9496</v>
      </c>
      <c r="M2647" s="73"/>
      <c r="N2647" s="171"/>
      <c r="O2647" s="169" t="s">
        <v>6923</v>
      </c>
      <c r="P2647" s="168" t="s">
        <v>3112</v>
      </c>
      <c r="Q2647" s="167">
        <v>150000.0</v>
      </c>
      <c r="R2647" s="173"/>
      <c r="S2647" s="173"/>
      <c r="T2647" s="173"/>
      <c r="U2647" s="173"/>
      <c r="V2647" s="202"/>
      <c r="W2647" s="171"/>
      <c r="X2647" s="169" t="s">
        <v>9305</v>
      </c>
    </row>
    <row r="2648" ht="15.0" customHeight="1">
      <c r="A2648" s="127">
        <v>45944.0</v>
      </c>
      <c r="B2648" s="181" t="s">
        <v>9497</v>
      </c>
      <c r="C2648" s="56" t="s">
        <v>3013</v>
      </c>
      <c r="D2648" s="73" t="str">
        <f>IFERROR(VLOOKUP(C2648,Stock,3,FALSE),"")</f>
        <v>Honda BR-V 16-</v>
      </c>
      <c r="E2648" s="56">
        <v>1.0</v>
      </c>
      <c r="F2648" s="161">
        <v>1161000.0</v>
      </c>
      <c r="G2648" s="162">
        <f t="shared" si="40"/>
        <v>1161000</v>
      </c>
      <c r="H2648" s="194"/>
      <c r="I2648" s="161">
        <f t="shared" si="41"/>
        <v>1161000</v>
      </c>
      <c r="J2648" s="164">
        <f t="shared" si="42"/>
        <v>1161000</v>
      </c>
      <c r="K2648" s="307" t="s">
        <v>9498</v>
      </c>
      <c r="L2648" s="165" t="s">
        <v>9499</v>
      </c>
      <c r="M2648" s="73"/>
      <c r="N2648" s="171"/>
      <c r="O2648" s="169" t="s">
        <v>6923</v>
      </c>
      <c r="P2648" s="168" t="s">
        <v>3112</v>
      </c>
      <c r="Q2648" s="167">
        <v>461000.0</v>
      </c>
      <c r="R2648" s="167">
        <v>700000.0</v>
      </c>
      <c r="S2648" s="173"/>
      <c r="T2648" s="173"/>
      <c r="U2648" s="173"/>
      <c r="V2648" s="202"/>
      <c r="W2648" s="171"/>
      <c r="X2648" s="169" t="s">
        <v>9500</v>
      </c>
    </row>
    <row r="2649" ht="15.0" customHeight="1">
      <c r="A2649" s="127">
        <v>45944.0</v>
      </c>
      <c r="B2649" s="181" t="s">
        <v>9501</v>
      </c>
      <c r="C2649" s="475" t="s">
        <v>3707</v>
      </c>
      <c r="D2649" s="73" t="str">
        <f>IFERROR(VLOOKUP(C2649,Stock,3,FALSE),"")</f>
        <v>Mitsubishi Pajero 16-</v>
      </c>
      <c r="E2649" s="56">
        <v>1.0</v>
      </c>
      <c r="F2649" s="161">
        <v>1480000.0</v>
      </c>
      <c r="G2649" s="162">
        <f t="shared" si="40"/>
        <v>1480000</v>
      </c>
      <c r="H2649" s="194"/>
      <c r="I2649" s="161">
        <f t="shared" si="41"/>
        <v>1480000</v>
      </c>
      <c r="J2649" s="164">
        <f t="shared" si="42"/>
        <v>1480000</v>
      </c>
      <c r="K2649" s="56" t="s">
        <v>9502</v>
      </c>
      <c r="L2649" s="165" t="s">
        <v>9503</v>
      </c>
      <c r="M2649" s="73"/>
      <c r="N2649" s="289" t="s">
        <v>9504</v>
      </c>
      <c r="O2649" s="169" t="s">
        <v>6923</v>
      </c>
      <c r="P2649" s="168" t="s">
        <v>3112</v>
      </c>
      <c r="Q2649" s="167">
        <v>1480000.0</v>
      </c>
      <c r="R2649" s="173"/>
      <c r="S2649" s="173"/>
      <c r="T2649" s="173"/>
      <c r="U2649" s="173"/>
      <c r="V2649" s="202"/>
      <c r="W2649" s="171"/>
      <c r="X2649" s="169" t="s">
        <v>9305</v>
      </c>
    </row>
    <row r="2650" ht="15.0" customHeight="1">
      <c r="A2650" s="127">
        <v>45945.0</v>
      </c>
      <c r="B2650" s="181" t="s">
        <v>9505</v>
      </c>
      <c r="C2650" s="475" t="s">
        <v>3186</v>
      </c>
      <c r="D2650" s="73" t="str">
        <f>IFERROR(VLOOKUP(C2650,Stock,3,FALSE),"")</f>
        <v>Daihatsu Gran Max / Luxio 07-</v>
      </c>
      <c r="E2650" s="56">
        <v>1.0</v>
      </c>
      <c r="F2650" s="161">
        <v>815000.0</v>
      </c>
      <c r="G2650" s="162">
        <f t="shared" si="40"/>
        <v>815000</v>
      </c>
      <c r="H2650" s="194"/>
      <c r="I2650" s="161">
        <f t="shared" si="41"/>
        <v>815000</v>
      </c>
      <c r="J2650" s="164">
        <f t="shared" si="42"/>
        <v>815000</v>
      </c>
      <c r="K2650" s="56" t="s">
        <v>9506</v>
      </c>
      <c r="L2650" s="165" t="s">
        <v>9507</v>
      </c>
      <c r="M2650" s="73"/>
      <c r="N2650" s="171"/>
      <c r="O2650" s="169" t="s">
        <v>6923</v>
      </c>
      <c r="P2650" s="168" t="s">
        <v>3112</v>
      </c>
      <c r="Q2650" s="173"/>
      <c r="R2650" s="167">
        <v>815000.0</v>
      </c>
      <c r="S2650" s="173"/>
      <c r="T2650" s="173"/>
      <c r="U2650" s="173"/>
      <c r="V2650" s="202"/>
      <c r="W2650" s="171"/>
      <c r="X2650" s="169" t="s">
        <v>9508</v>
      </c>
    </row>
    <row r="2651" ht="15.0" customHeight="1">
      <c r="A2651" s="127">
        <v>45945.0</v>
      </c>
      <c r="B2651" s="181" t="s">
        <v>9509</v>
      </c>
      <c r="C2651" s="475" t="s">
        <v>3795</v>
      </c>
      <c r="D2651" s="73" t="str">
        <f>IFERROR(VLOOKUP(C2651,Stock,3,FALSE),"")</f>
        <v>Toyota Innova 04-15 1st Gen</v>
      </c>
      <c r="E2651" s="56">
        <v>1.0</v>
      </c>
      <c r="F2651" s="161">
        <v>1200000.0</v>
      </c>
      <c r="G2651" s="162">
        <f t="shared" si="40"/>
        <v>1200000</v>
      </c>
      <c r="H2651" s="194"/>
      <c r="I2651" s="161">
        <f t="shared" si="41"/>
        <v>1200000</v>
      </c>
      <c r="J2651" s="164">
        <f t="shared" si="42"/>
        <v>1200000</v>
      </c>
      <c r="K2651" s="480" t="s">
        <v>9510</v>
      </c>
      <c r="L2651" s="165" t="s">
        <v>9511</v>
      </c>
      <c r="M2651" s="73"/>
      <c r="N2651" s="171"/>
      <c r="O2651" s="169" t="s">
        <v>6923</v>
      </c>
      <c r="P2651" s="168" t="s">
        <v>3112</v>
      </c>
      <c r="Q2651" s="173"/>
      <c r="R2651" s="167">
        <v>1200000.0</v>
      </c>
      <c r="S2651" s="173"/>
      <c r="T2651" s="173"/>
      <c r="U2651" s="173"/>
      <c r="V2651" s="202"/>
      <c r="W2651" s="171"/>
      <c r="X2651" s="169" t="s">
        <v>9512</v>
      </c>
    </row>
    <row r="2652" ht="15.0" customHeight="1">
      <c r="A2652" s="127">
        <v>45945.0</v>
      </c>
      <c r="B2652" s="181" t="s">
        <v>9509</v>
      </c>
      <c r="C2652" s="56" t="s">
        <v>2954</v>
      </c>
      <c r="D2652" s="73" t="str">
        <f>IFERROR(VLOOKUP(C2652,Stock,3,FALSE),"")</f>
        <v>Transport</v>
      </c>
      <c r="E2652" s="56">
        <v>1.0</v>
      </c>
      <c r="F2652" s="161">
        <v>80000.0</v>
      </c>
      <c r="G2652" s="162">
        <f t="shared" si="40"/>
        <v>80000</v>
      </c>
      <c r="H2652" s="194"/>
      <c r="I2652" s="161">
        <f t="shared" si="41"/>
        <v>80000</v>
      </c>
      <c r="J2652" s="164">
        <f t="shared" si="42"/>
        <v>80000</v>
      </c>
      <c r="K2652" s="480" t="s">
        <v>9510</v>
      </c>
      <c r="L2652" s="165" t="s">
        <v>9511</v>
      </c>
      <c r="M2652" s="73"/>
      <c r="N2652" s="171"/>
      <c r="O2652" s="169" t="s">
        <v>6923</v>
      </c>
      <c r="P2652" s="168" t="s">
        <v>3112</v>
      </c>
      <c r="Q2652" s="173"/>
      <c r="R2652" s="167">
        <v>80000.0</v>
      </c>
      <c r="S2652" s="173"/>
      <c r="T2652" s="173"/>
      <c r="U2652" s="173"/>
      <c r="V2652" s="202"/>
      <c r="W2652" s="171"/>
      <c r="X2652" s="169" t="s">
        <v>9512</v>
      </c>
    </row>
    <row r="2653" ht="15.0" customHeight="1">
      <c r="A2653" s="127">
        <v>45945.0</v>
      </c>
      <c r="B2653" s="181" t="s">
        <v>9513</v>
      </c>
      <c r="C2653" s="56" t="s">
        <v>3186</v>
      </c>
      <c r="D2653" s="73" t="str">
        <f>IFERROR(VLOOKUP(C2653,Stock,3,FALSE),"")</f>
        <v>Daihatsu Gran Max / Luxio 07-</v>
      </c>
      <c r="E2653" s="56">
        <v>1.0</v>
      </c>
      <c r="F2653" s="161">
        <v>1000000.0</v>
      </c>
      <c r="G2653" s="162">
        <f t="shared" si="40"/>
        <v>1000000</v>
      </c>
      <c r="H2653" s="194"/>
      <c r="I2653" s="161">
        <f t="shared" si="41"/>
        <v>1000000</v>
      </c>
      <c r="J2653" s="164">
        <f t="shared" si="42"/>
        <v>1000000</v>
      </c>
      <c r="K2653" s="56" t="s">
        <v>9514</v>
      </c>
      <c r="L2653" s="165" t="s">
        <v>9515</v>
      </c>
      <c r="M2653" s="73"/>
      <c r="N2653" s="169" t="s">
        <v>9516</v>
      </c>
      <c r="O2653" s="169" t="s">
        <v>6923</v>
      </c>
      <c r="P2653" s="168" t="s">
        <v>3112</v>
      </c>
      <c r="Q2653" s="167">
        <v>1000000.0</v>
      </c>
      <c r="R2653" s="173"/>
      <c r="S2653" s="173"/>
      <c r="T2653" s="173"/>
      <c r="U2653" s="173"/>
      <c r="V2653" s="202"/>
      <c r="W2653" s="171"/>
      <c r="X2653" s="169" t="s">
        <v>9305</v>
      </c>
    </row>
    <row r="2654" ht="15.0" customHeight="1">
      <c r="A2654" s="127">
        <v>45945.0</v>
      </c>
      <c r="B2654" s="181" t="s">
        <v>9517</v>
      </c>
      <c r="C2654" s="475" t="s">
        <v>3045</v>
      </c>
      <c r="D2654" s="73" t="str">
        <f>IFERROR(VLOOKUP(C2654,Stock,3,FALSE),"")</f>
        <v>Pemasangan Kaca Mobil Depan</v>
      </c>
      <c r="E2654" s="56">
        <v>1.0</v>
      </c>
      <c r="F2654" s="161">
        <v>600000.0</v>
      </c>
      <c r="G2654" s="162">
        <f t="shared" si="40"/>
        <v>600000</v>
      </c>
      <c r="H2654" s="194"/>
      <c r="I2654" s="161">
        <f t="shared" si="41"/>
        <v>600000</v>
      </c>
      <c r="J2654" s="164">
        <f t="shared" si="42"/>
        <v>600000</v>
      </c>
      <c r="K2654" s="56" t="s">
        <v>9518</v>
      </c>
      <c r="L2654" s="165" t="s">
        <v>9519</v>
      </c>
      <c r="M2654" s="73"/>
      <c r="N2654" s="169" t="s">
        <v>9520</v>
      </c>
      <c r="O2654" s="169" t="s">
        <v>6923</v>
      </c>
      <c r="P2654" s="168" t="s">
        <v>3112</v>
      </c>
      <c r="Q2654" s="173"/>
      <c r="R2654" s="167">
        <v>600000.0</v>
      </c>
      <c r="S2654" s="173"/>
      <c r="T2654" s="173"/>
      <c r="U2654" s="173"/>
      <c r="V2654" s="202"/>
      <c r="W2654" s="171"/>
      <c r="X2654" s="169" t="s">
        <v>9521</v>
      </c>
    </row>
    <row r="2655" ht="15.0" customHeight="1">
      <c r="A2655" s="127">
        <v>45945.0</v>
      </c>
      <c r="B2655" s="181" t="s">
        <v>9517</v>
      </c>
      <c r="C2655" s="56" t="s">
        <v>4027</v>
      </c>
      <c r="D2655" s="73" t="str">
        <f>IFERROR(VLOOKUP(C2655,Stock,3,FALSE),"")</f>
        <v>501 Sealant Application</v>
      </c>
      <c r="E2655" s="56">
        <v>1.0</v>
      </c>
      <c r="F2655" s="161">
        <v>120000.0</v>
      </c>
      <c r="G2655" s="162">
        <f t="shared" si="40"/>
        <v>120000</v>
      </c>
      <c r="H2655" s="194"/>
      <c r="I2655" s="161">
        <f t="shared" si="41"/>
        <v>120000</v>
      </c>
      <c r="J2655" s="164">
        <f t="shared" si="42"/>
        <v>120000</v>
      </c>
      <c r="K2655" s="56" t="s">
        <v>9518</v>
      </c>
      <c r="L2655" s="165" t="s">
        <v>9519</v>
      </c>
      <c r="M2655" s="73"/>
      <c r="N2655" s="169" t="s">
        <v>9520</v>
      </c>
      <c r="O2655" s="169" t="s">
        <v>6923</v>
      </c>
      <c r="P2655" s="168" t="s">
        <v>3112</v>
      </c>
      <c r="Q2655" s="173"/>
      <c r="R2655" s="167">
        <v>120000.0</v>
      </c>
      <c r="S2655" s="173"/>
      <c r="T2655" s="173"/>
      <c r="U2655" s="173"/>
      <c r="V2655" s="202"/>
      <c r="W2655" s="171"/>
      <c r="X2655" s="169" t="s">
        <v>9521</v>
      </c>
    </row>
    <row r="2656" ht="15.0" customHeight="1">
      <c r="A2656" s="127">
        <v>45946.0</v>
      </c>
      <c r="B2656" s="181" t="s">
        <v>9522</v>
      </c>
      <c r="C2656" s="56" t="s">
        <v>2721</v>
      </c>
      <c r="D2656" s="73" t="str">
        <f>IFERROR(VLOOKUP(C2656,Stock,3,FALSE),"")</f>
        <v>Toyota Dyna/Hino Dutro 00-</v>
      </c>
      <c r="E2656" s="56">
        <v>1.0</v>
      </c>
      <c r="F2656" s="161">
        <v>1300000.0</v>
      </c>
      <c r="G2656" s="162">
        <f t="shared" si="40"/>
        <v>1300000</v>
      </c>
      <c r="H2656" s="194"/>
      <c r="I2656" s="161">
        <f t="shared" si="41"/>
        <v>1300000</v>
      </c>
      <c r="J2656" s="164">
        <f t="shared" si="42"/>
        <v>1300000</v>
      </c>
      <c r="K2656" s="56" t="s">
        <v>9523</v>
      </c>
      <c r="L2656" s="165" t="s">
        <v>9524</v>
      </c>
      <c r="M2656" s="73"/>
      <c r="N2656" s="171"/>
      <c r="O2656" s="169" t="s">
        <v>6923</v>
      </c>
      <c r="P2656" s="168" t="s">
        <v>3112</v>
      </c>
      <c r="Q2656" s="173"/>
      <c r="R2656" s="167">
        <v>1300000.0</v>
      </c>
      <c r="S2656" s="173"/>
      <c r="T2656" s="173"/>
      <c r="U2656" s="173"/>
      <c r="V2656" s="202"/>
      <c r="W2656" s="171"/>
      <c r="X2656" s="169" t="s">
        <v>9525</v>
      </c>
    </row>
    <row r="2657" ht="15.0" customHeight="1">
      <c r="A2657" s="127">
        <v>45947.0</v>
      </c>
      <c r="B2657" s="181" t="s">
        <v>9526</v>
      </c>
      <c r="C2657" s="56" t="s">
        <v>2919</v>
      </c>
      <c r="D2657" s="73" t="str">
        <f>IFERROR(VLOOKUP(C2657,Stock,3,FALSE),"")</f>
        <v>Toyota Innova 04-15 1st Gen</v>
      </c>
      <c r="E2657" s="56">
        <v>1.0</v>
      </c>
      <c r="F2657" s="161">
        <v>2640000.0</v>
      </c>
      <c r="G2657" s="162">
        <f t="shared" si="40"/>
        <v>2640000</v>
      </c>
      <c r="H2657" s="194"/>
      <c r="I2657" s="161">
        <f t="shared" si="41"/>
        <v>2640000</v>
      </c>
      <c r="J2657" s="164">
        <f t="shared" si="42"/>
        <v>2640000</v>
      </c>
      <c r="K2657" s="56" t="s">
        <v>9527</v>
      </c>
      <c r="L2657" s="165" t="s">
        <v>9528</v>
      </c>
      <c r="M2657" s="73"/>
      <c r="N2657" s="169" t="s">
        <v>9529</v>
      </c>
      <c r="O2657" s="169" t="s">
        <v>3213</v>
      </c>
      <c r="P2657" s="168" t="s">
        <v>3112</v>
      </c>
      <c r="Q2657" s="167">
        <v>2640000.0</v>
      </c>
      <c r="R2657" s="173"/>
      <c r="S2657" s="173"/>
      <c r="T2657" s="173"/>
      <c r="U2657" s="173"/>
      <c r="V2657" s="202"/>
      <c r="W2657" s="171"/>
      <c r="X2657" s="169" t="s">
        <v>9305</v>
      </c>
    </row>
    <row r="2658" ht="15.0" customHeight="1">
      <c r="A2658" s="127">
        <v>45947.0</v>
      </c>
      <c r="B2658" s="181" t="s">
        <v>9530</v>
      </c>
      <c r="C2658" s="475" t="s">
        <v>3360</v>
      </c>
      <c r="D2658" s="73" t="str">
        <f>IFERROR(VLOOKUP(C2658,Stock,3,FALSE),"")</f>
        <v>Mitsubishi Xpander 17-</v>
      </c>
      <c r="E2658" s="56">
        <v>1.0</v>
      </c>
      <c r="F2658" s="161">
        <v>1744000.0</v>
      </c>
      <c r="G2658" s="162">
        <f t="shared" si="40"/>
        <v>1744000</v>
      </c>
      <c r="H2658" s="201">
        <v>44000.0</v>
      </c>
      <c r="I2658" s="161">
        <f t="shared" si="41"/>
        <v>1700000</v>
      </c>
      <c r="J2658" s="164">
        <f t="shared" si="42"/>
        <v>1700000</v>
      </c>
      <c r="K2658" s="480" t="s">
        <v>9531</v>
      </c>
      <c r="L2658" s="165" t="s">
        <v>9532</v>
      </c>
      <c r="M2658" s="73"/>
      <c r="N2658" s="289" t="s">
        <v>9533</v>
      </c>
      <c r="O2658" s="169" t="s">
        <v>3213</v>
      </c>
      <c r="P2658" s="168" t="s">
        <v>3112</v>
      </c>
      <c r="Q2658" s="167">
        <v>1700000.0</v>
      </c>
      <c r="R2658" s="173"/>
      <c r="S2658" s="173"/>
      <c r="T2658" s="173"/>
      <c r="U2658" s="173"/>
      <c r="V2658" s="202"/>
      <c r="W2658" s="171"/>
      <c r="X2658" s="169" t="s">
        <v>9305</v>
      </c>
    </row>
    <row r="2659" ht="15.0" customHeight="1">
      <c r="A2659" s="127">
        <v>45947.0</v>
      </c>
      <c r="B2659" s="181" t="s">
        <v>9534</v>
      </c>
      <c r="C2659" s="475" t="s">
        <v>3235</v>
      </c>
      <c r="D2659" s="73" t="str">
        <f>IFERROR(VLOOKUP(C2659,Stock,3,FALSE),"")</f>
        <v>Toyota Vios 02-07 XP40 1st Gen</v>
      </c>
      <c r="E2659" s="56">
        <v>1.0</v>
      </c>
      <c r="F2659" s="161">
        <v>1355000.0</v>
      </c>
      <c r="G2659" s="162">
        <f t="shared" si="40"/>
        <v>1355000</v>
      </c>
      <c r="H2659" s="194"/>
      <c r="I2659" s="161">
        <f t="shared" si="41"/>
        <v>1355000</v>
      </c>
      <c r="J2659" s="164">
        <f t="shared" si="42"/>
        <v>1355000</v>
      </c>
      <c r="K2659" s="480" t="s">
        <v>9535</v>
      </c>
      <c r="L2659" s="165" t="s">
        <v>9536</v>
      </c>
      <c r="M2659" s="73"/>
      <c r="N2659" s="169" t="s">
        <v>9537</v>
      </c>
      <c r="O2659" s="169" t="s">
        <v>6923</v>
      </c>
      <c r="P2659" s="168" t="s">
        <v>3112</v>
      </c>
      <c r="Q2659" s="173"/>
      <c r="R2659" s="167">
        <v>1355000.0</v>
      </c>
      <c r="S2659" s="173"/>
      <c r="T2659" s="173"/>
      <c r="U2659" s="173"/>
      <c r="V2659" s="202"/>
      <c r="W2659" s="171"/>
      <c r="X2659" s="169" t="s">
        <v>9538</v>
      </c>
    </row>
    <row r="2660" ht="15.0" customHeight="1">
      <c r="A2660" s="127">
        <v>45947.0</v>
      </c>
      <c r="B2660" s="181" t="s">
        <v>9534</v>
      </c>
      <c r="C2660" s="56" t="s">
        <v>3826</v>
      </c>
      <c r="D2660" s="73" t="str">
        <f>IFERROR(VLOOKUP(C2660,Stock,3,FALSE),"")</f>
        <v>List Kaca Depan Code 11</v>
      </c>
      <c r="E2660" s="56">
        <v>1.0</v>
      </c>
      <c r="F2660" s="161">
        <v>275000.0</v>
      </c>
      <c r="G2660" s="162">
        <f t="shared" si="40"/>
        <v>275000</v>
      </c>
      <c r="H2660" s="194"/>
      <c r="I2660" s="161">
        <f t="shared" si="41"/>
        <v>275000</v>
      </c>
      <c r="J2660" s="164">
        <f t="shared" si="42"/>
        <v>275000</v>
      </c>
      <c r="K2660" s="480" t="s">
        <v>9535</v>
      </c>
      <c r="L2660" s="165" t="s">
        <v>9536</v>
      </c>
      <c r="M2660" s="73"/>
      <c r="N2660" s="169" t="s">
        <v>9537</v>
      </c>
      <c r="O2660" s="169" t="s">
        <v>6923</v>
      </c>
      <c r="P2660" s="168" t="s">
        <v>3112</v>
      </c>
      <c r="Q2660" s="173"/>
      <c r="R2660" s="167">
        <v>275000.0</v>
      </c>
      <c r="S2660" s="173"/>
      <c r="T2660" s="173"/>
      <c r="U2660" s="173"/>
      <c r="V2660" s="202"/>
      <c r="W2660" s="171"/>
      <c r="X2660" s="169" t="s">
        <v>9538</v>
      </c>
    </row>
    <row r="2661" ht="15.0" customHeight="1">
      <c r="A2661" s="127">
        <v>45947.0</v>
      </c>
      <c r="B2661" s="181" t="s">
        <v>9539</v>
      </c>
      <c r="C2661" s="56" t="s">
        <v>2844</v>
      </c>
      <c r="D2661" s="73" t="str">
        <f>IFERROR(VLOOKUP(C2661,Stock,3,FALSE),"")</f>
        <v>Toyota Avanza / Xenia 11-15 2nd Gen / 15-21 3rd Gen</v>
      </c>
      <c r="E2661" s="56">
        <v>1.0</v>
      </c>
      <c r="F2661" s="161">
        <v>500000.0</v>
      </c>
      <c r="G2661" s="162">
        <f t="shared" si="40"/>
        <v>500000</v>
      </c>
      <c r="H2661" s="194"/>
      <c r="I2661" s="161">
        <f t="shared" si="41"/>
        <v>500000</v>
      </c>
      <c r="J2661" s="164">
        <f t="shared" si="42"/>
        <v>500000</v>
      </c>
      <c r="K2661" s="56" t="s">
        <v>6911</v>
      </c>
      <c r="L2661" s="165" t="s">
        <v>9540</v>
      </c>
      <c r="M2661" s="73"/>
      <c r="N2661" s="171"/>
      <c r="O2661" s="169" t="s">
        <v>6923</v>
      </c>
      <c r="P2661" s="168" t="s">
        <v>3112</v>
      </c>
      <c r="Q2661" s="173"/>
      <c r="R2661" s="167">
        <v>500000.0</v>
      </c>
      <c r="S2661" s="173"/>
      <c r="T2661" s="173"/>
      <c r="U2661" s="173"/>
      <c r="V2661" s="202"/>
      <c r="W2661" s="171"/>
      <c r="X2661" s="169" t="s">
        <v>9541</v>
      </c>
    </row>
    <row r="2662" ht="15.0" customHeight="1">
      <c r="A2662" s="127">
        <v>45947.0</v>
      </c>
      <c r="B2662" s="181" t="s">
        <v>9542</v>
      </c>
      <c r="C2662" s="56" t="s">
        <v>3398</v>
      </c>
      <c r="D2662" s="73" t="str">
        <f>IFERROR(VLOOKUP(C2662,Stock,3,FALSE),"")</f>
        <v>Pemasangan Kaca Mobil Samping</v>
      </c>
      <c r="E2662" s="56">
        <v>1.0</v>
      </c>
      <c r="F2662" s="161">
        <v>150000.0</v>
      </c>
      <c r="G2662" s="162">
        <f t="shared" si="40"/>
        <v>150000</v>
      </c>
      <c r="H2662" s="194"/>
      <c r="I2662" s="161">
        <f t="shared" si="41"/>
        <v>150000</v>
      </c>
      <c r="J2662" s="164">
        <f t="shared" si="42"/>
        <v>150000</v>
      </c>
      <c r="K2662" s="56" t="s">
        <v>9531</v>
      </c>
      <c r="L2662" s="165" t="s">
        <v>9543</v>
      </c>
      <c r="M2662" s="73"/>
      <c r="N2662" s="289" t="s">
        <v>9533</v>
      </c>
      <c r="O2662" s="169" t="s">
        <v>6923</v>
      </c>
      <c r="P2662" s="168" t="s">
        <v>3112</v>
      </c>
      <c r="Q2662" s="167">
        <v>150000.0</v>
      </c>
      <c r="R2662" s="173"/>
      <c r="S2662" s="173"/>
      <c r="T2662" s="173"/>
      <c r="U2662" s="173"/>
      <c r="V2662" s="202"/>
      <c r="W2662" s="171"/>
      <c r="X2662" s="169" t="s">
        <v>9305</v>
      </c>
    </row>
    <row r="2663" ht="15.0" customHeight="1">
      <c r="A2663" s="127">
        <v>45947.0</v>
      </c>
      <c r="B2663" s="181" t="s">
        <v>9544</v>
      </c>
      <c r="C2663" s="475" t="s">
        <v>5936</v>
      </c>
      <c r="D2663" s="73" t="str">
        <f>IFERROR(VLOOKUP(C2663,Stock,3,FALSE),"")</f>
        <v>Mitsubishi Xpander 17- / Livina 19- 2nd Gen (Mitsubishi)</v>
      </c>
      <c r="E2663" s="56">
        <v>1.0</v>
      </c>
      <c r="F2663" s="161">
        <v>2850000.0</v>
      </c>
      <c r="G2663" s="162">
        <f t="shared" si="40"/>
        <v>2850000</v>
      </c>
      <c r="H2663" s="194"/>
      <c r="I2663" s="161">
        <f t="shared" si="41"/>
        <v>2850000</v>
      </c>
      <c r="J2663" s="164">
        <f t="shared" si="42"/>
        <v>2850000</v>
      </c>
      <c r="K2663" s="56" t="s">
        <v>9545</v>
      </c>
      <c r="L2663" s="165" t="s">
        <v>9546</v>
      </c>
      <c r="M2663" s="73"/>
      <c r="N2663" s="169" t="s">
        <v>9547</v>
      </c>
      <c r="O2663" s="169" t="s">
        <v>6923</v>
      </c>
      <c r="P2663" s="168" t="s">
        <v>3112</v>
      </c>
      <c r="Q2663" s="167">
        <v>2850000.0</v>
      </c>
      <c r="R2663" s="173"/>
      <c r="S2663" s="173"/>
      <c r="T2663" s="173"/>
      <c r="U2663" s="173"/>
      <c r="V2663" s="202"/>
      <c r="W2663" s="171"/>
      <c r="X2663" s="169" t="s">
        <v>9305</v>
      </c>
    </row>
    <row r="2664" ht="15.0" customHeight="1">
      <c r="A2664" s="127">
        <v>45947.0</v>
      </c>
      <c r="B2664" s="181" t="s">
        <v>9544</v>
      </c>
      <c r="C2664" s="56" t="s">
        <v>4027</v>
      </c>
      <c r="D2664" s="73" t="str">
        <f>IFERROR(VLOOKUP(C2664,Stock,3,FALSE),"")</f>
        <v>501 Sealant Application</v>
      </c>
      <c r="E2664" s="56">
        <v>1.0</v>
      </c>
      <c r="F2664" s="161">
        <v>120000.0</v>
      </c>
      <c r="G2664" s="162">
        <f t="shared" si="40"/>
        <v>120000</v>
      </c>
      <c r="H2664" s="194"/>
      <c r="I2664" s="161">
        <f t="shared" si="41"/>
        <v>120000</v>
      </c>
      <c r="J2664" s="164">
        <f t="shared" si="42"/>
        <v>120000</v>
      </c>
      <c r="K2664" s="56" t="s">
        <v>9545</v>
      </c>
      <c r="L2664" s="165" t="s">
        <v>9546</v>
      </c>
      <c r="M2664" s="73"/>
      <c r="N2664" s="169" t="s">
        <v>9547</v>
      </c>
      <c r="O2664" s="169" t="s">
        <v>6923</v>
      </c>
      <c r="P2664" s="168" t="s">
        <v>3112</v>
      </c>
      <c r="Q2664" s="167">
        <v>120000.0</v>
      </c>
      <c r="R2664" s="173"/>
      <c r="S2664" s="173"/>
      <c r="T2664" s="173"/>
      <c r="U2664" s="173"/>
      <c r="V2664" s="202"/>
      <c r="W2664" s="171"/>
      <c r="X2664" s="169" t="s">
        <v>9305</v>
      </c>
    </row>
    <row r="2665" ht="15.0" customHeight="1">
      <c r="A2665" s="127">
        <v>45947.0</v>
      </c>
      <c r="B2665" s="181" t="s">
        <v>9548</v>
      </c>
      <c r="C2665" s="475" t="s">
        <v>2825</v>
      </c>
      <c r="D2665" s="73" t="str">
        <f>IFERROR(VLOOKUP(C2665,Stock,3,FALSE),"")</f>
        <v>Toyota Avanza / Xenia 21- 4th Gen</v>
      </c>
      <c r="E2665" s="56">
        <v>1.0</v>
      </c>
      <c r="F2665" s="161">
        <v>950000.0</v>
      </c>
      <c r="G2665" s="162">
        <f t="shared" si="40"/>
        <v>950000</v>
      </c>
      <c r="H2665" s="201">
        <v>200000.0</v>
      </c>
      <c r="I2665" s="161">
        <f t="shared" si="41"/>
        <v>750000</v>
      </c>
      <c r="J2665" s="164">
        <f t="shared" si="42"/>
        <v>750000</v>
      </c>
      <c r="K2665" s="56" t="s">
        <v>5693</v>
      </c>
      <c r="L2665" s="165" t="s">
        <v>9549</v>
      </c>
      <c r="M2665" s="73"/>
      <c r="N2665" s="169" t="s">
        <v>9550</v>
      </c>
      <c r="O2665" s="169" t="s">
        <v>6923</v>
      </c>
      <c r="P2665" s="168" t="s">
        <v>3112</v>
      </c>
      <c r="Q2665" s="173"/>
      <c r="R2665" s="167">
        <v>750000.0</v>
      </c>
      <c r="S2665" s="173"/>
      <c r="T2665" s="173"/>
      <c r="U2665" s="173"/>
      <c r="V2665" s="202"/>
      <c r="W2665" s="171"/>
      <c r="X2665" s="169" t="s">
        <v>9551</v>
      </c>
    </row>
    <row r="2666" ht="15.0" customHeight="1">
      <c r="A2666" s="127">
        <v>45948.0</v>
      </c>
      <c r="B2666" s="181" t="s">
        <v>9552</v>
      </c>
      <c r="C2666" s="475" t="s">
        <v>6553</v>
      </c>
      <c r="D2666" s="73" t="str">
        <f>IFERROR(VLOOKUP(C2666,Stock,3,FALSE),"")</f>
        <v>Hino Ranger Louhan 03- / Hino 500</v>
      </c>
      <c r="E2666" s="56">
        <v>1.0</v>
      </c>
      <c r="F2666" s="161">
        <v>2071000.0</v>
      </c>
      <c r="G2666" s="162">
        <f t="shared" si="40"/>
        <v>2071000</v>
      </c>
      <c r="H2666" s="194"/>
      <c r="I2666" s="161">
        <f t="shared" si="41"/>
        <v>2071000</v>
      </c>
      <c r="J2666" s="164">
        <f t="shared" si="42"/>
        <v>2071000</v>
      </c>
      <c r="K2666" s="56" t="s">
        <v>9553</v>
      </c>
      <c r="L2666" s="165" t="s">
        <v>9554</v>
      </c>
      <c r="M2666" s="73"/>
      <c r="N2666" s="171"/>
      <c r="O2666" s="169" t="s">
        <v>3204</v>
      </c>
      <c r="P2666" s="168" t="s">
        <v>3112</v>
      </c>
      <c r="Q2666" s="173"/>
      <c r="R2666" s="167">
        <v>2071000.0</v>
      </c>
      <c r="S2666" s="173"/>
      <c r="T2666" s="173"/>
      <c r="U2666" s="173"/>
      <c r="V2666" s="202"/>
      <c r="W2666" s="171"/>
      <c r="X2666" s="169" t="s">
        <v>9555</v>
      </c>
    </row>
    <row r="2667" ht="15.0" customHeight="1">
      <c r="A2667" s="127">
        <v>45948.0</v>
      </c>
      <c r="B2667" s="181" t="s">
        <v>9552</v>
      </c>
      <c r="C2667" s="56" t="s">
        <v>2954</v>
      </c>
      <c r="D2667" s="73" t="str">
        <f>IFERROR(VLOOKUP(C2667,Stock,3,FALSE),"")</f>
        <v>Transport</v>
      </c>
      <c r="E2667" s="56">
        <v>1.0</v>
      </c>
      <c r="F2667" s="161">
        <v>170000.0</v>
      </c>
      <c r="G2667" s="162">
        <f t="shared" si="40"/>
        <v>170000</v>
      </c>
      <c r="H2667" s="194"/>
      <c r="I2667" s="161">
        <f t="shared" si="41"/>
        <v>170000</v>
      </c>
      <c r="J2667" s="164">
        <f t="shared" si="42"/>
        <v>170000</v>
      </c>
      <c r="K2667" s="56" t="s">
        <v>9553</v>
      </c>
      <c r="L2667" s="165" t="s">
        <v>9554</v>
      </c>
      <c r="M2667" s="73"/>
      <c r="N2667" s="171"/>
      <c r="O2667" s="169" t="s">
        <v>3204</v>
      </c>
      <c r="P2667" s="168" t="s">
        <v>3112</v>
      </c>
      <c r="Q2667" s="173"/>
      <c r="R2667" s="167">
        <v>170000.0</v>
      </c>
      <c r="S2667" s="173"/>
      <c r="T2667" s="173"/>
      <c r="U2667" s="173"/>
      <c r="V2667" s="202"/>
      <c r="W2667" s="171"/>
      <c r="X2667" s="169" t="s">
        <v>9555</v>
      </c>
    </row>
    <row r="2668" ht="15.0" customHeight="1">
      <c r="A2668" s="127">
        <v>45948.0</v>
      </c>
      <c r="B2668" s="181" t="s">
        <v>9556</v>
      </c>
      <c r="C2668" s="56" t="s">
        <v>2692</v>
      </c>
      <c r="D2668" s="73" t="str">
        <f>IFERROR(VLOOKUP(C2668,Stock,3,FALSE),"")</f>
        <v>Suzuki Ertiga 18- 2nd Gen / XL7</v>
      </c>
      <c r="E2668" s="56">
        <v>1.0</v>
      </c>
      <c r="F2668" s="161">
        <v>1459000.0</v>
      </c>
      <c r="G2668" s="162">
        <f t="shared" si="40"/>
        <v>1459000</v>
      </c>
      <c r="H2668" s="194"/>
      <c r="I2668" s="161">
        <f t="shared" si="41"/>
        <v>1459000</v>
      </c>
      <c r="J2668" s="164">
        <f t="shared" si="42"/>
        <v>1459000</v>
      </c>
      <c r="K2668" s="56" t="s">
        <v>9557</v>
      </c>
      <c r="L2668" s="165" t="s">
        <v>9558</v>
      </c>
      <c r="M2668" s="73"/>
      <c r="N2668" s="169" t="s">
        <v>9559</v>
      </c>
      <c r="O2668" s="169" t="s">
        <v>6923</v>
      </c>
      <c r="P2668" s="168" t="s">
        <v>3112</v>
      </c>
      <c r="Q2668" s="167">
        <v>1459000.0</v>
      </c>
      <c r="R2668" s="173"/>
      <c r="S2668" s="173"/>
      <c r="T2668" s="173"/>
      <c r="U2668" s="173"/>
      <c r="V2668" s="202"/>
      <c r="W2668" s="171"/>
      <c r="X2668" s="169" t="s">
        <v>9305</v>
      </c>
    </row>
    <row r="2669" ht="15.0" customHeight="1">
      <c r="A2669" s="127">
        <v>45949.0</v>
      </c>
      <c r="B2669" s="181" t="s">
        <v>9560</v>
      </c>
      <c r="C2669" s="56" t="s">
        <v>9561</v>
      </c>
      <c r="D2669" s="73" t="str">
        <f>IFERROR(VLOOKUP(C2669,Stock,3,FALSE),"")</f>
        <v>Mitsubishi Galant 96-03 YC/EA2A 8th Gen (Hiu)</v>
      </c>
      <c r="E2669" s="56">
        <v>1.0</v>
      </c>
      <c r="F2669" s="161">
        <v>2026000.0</v>
      </c>
      <c r="G2669" s="162">
        <f t="shared" si="40"/>
        <v>2026000</v>
      </c>
      <c r="H2669" s="194"/>
      <c r="I2669" s="161">
        <f t="shared" si="41"/>
        <v>2026000</v>
      </c>
      <c r="J2669" s="164">
        <f t="shared" si="42"/>
        <v>2026000</v>
      </c>
      <c r="K2669" s="56" t="s">
        <v>4286</v>
      </c>
      <c r="L2669" s="165" t="s">
        <v>4287</v>
      </c>
      <c r="M2669" s="73"/>
      <c r="N2669" s="171"/>
      <c r="O2669" s="169" t="s">
        <v>6923</v>
      </c>
      <c r="P2669" s="168" t="s">
        <v>3112</v>
      </c>
      <c r="Q2669" s="167">
        <v>2026000.0</v>
      </c>
      <c r="R2669" s="173"/>
      <c r="S2669" s="173"/>
      <c r="T2669" s="173"/>
      <c r="U2669" s="173"/>
      <c r="V2669" s="202"/>
      <c r="W2669" s="171"/>
      <c r="X2669" s="169" t="s">
        <v>9305</v>
      </c>
    </row>
    <row r="2670" ht="15.0" customHeight="1">
      <c r="A2670" s="127">
        <v>45949.0</v>
      </c>
      <c r="B2670" s="181" t="s">
        <v>9562</v>
      </c>
      <c r="C2670" s="475" t="s">
        <v>3411</v>
      </c>
      <c r="D2670" s="73" t="str">
        <f>IFERROR(VLOOKUP(C2670,Stock,3,FALSE),"")</f>
        <v>Toyota Agya/Ayla 13-22 1st Gen</v>
      </c>
      <c r="E2670" s="56">
        <v>1.0</v>
      </c>
      <c r="F2670" s="161">
        <v>1050000.0</v>
      </c>
      <c r="G2670" s="162">
        <f t="shared" si="40"/>
        <v>1050000</v>
      </c>
      <c r="H2670" s="194"/>
      <c r="I2670" s="161">
        <f t="shared" si="41"/>
        <v>1050000</v>
      </c>
      <c r="J2670" s="164">
        <f t="shared" si="42"/>
        <v>1050000</v>
      </c>
      <c r="K2670" s="56" t="s">
        <v>9563</v>
      </c>
      <c r="L2670" s="165" t="s">
        <v>9564</v>
      </c>
      <c r="M2670" s="73"/>
      <c r="N2670" s="171"/>
      <c r="O2670" s="169" t="s">
        <v>6923</v>
      </c>
      <c r="P2670" s="168" t="s">
        <v>3112</v>
      </c>
      <c r="Q2670" s="167">
        <v>1050000.0</v>
      </c>
      <c r="R2670" s="173"/>
      <c r="S2670" s="173"/>
      <c r="T2670" s="173"/>
      <c r="U2670" s="173"/>
      <c r="V2670" s="202"/>
      <c r="W2670" s="171"/>
      <c r="X2670" s="169" t="s">
        <v>9305</v>
      </c>
    </row>
    <row r="2671" ht="15.0" customHeight="1">
      <c r="A2671" s="127">
        <v>45949.0</v>
      </c>
      <c r="B2671" s="181" t="s">
        <v>9565</v>
      </c>
      <c r="C2671" s="475" t="s">
        <v>3638</v>
      </c>
      <c r="D2671" s="73" t="str">
        <f>IFERROR(VLOOKUP(C2671,Stock,3,FALSE),"")</f>
        <v>Mitsubishi Xpander 17-21</v>
      </c>
      <c r="E2671" s="56">
        <v>1.0</v>
      </c>
      <c r="F2671" s="161">
        <v>681000.0</v>
      </c>
      <c r="G2671" s="162">
        <f t="shared" si="40"/>
        <v>681000</v>
      </c>
      <c r="H2671" s="194"/>
      <c r="I2671" s="161">
        <f t="shared" si="41"/>
        <v>681000</v>
      </c>
      <c r="J2671" s="164">
        <f t="shared" si="42"/>
        <v>681000</v>
      </c>
      <c r="K2671" s="56" t="s">
        <v>9566</v>
      </c>
      <c r="L2671" s="165" t="s">
        <v>9567</v>
      </c>
      <c r="M2671" s="73"/>
      <c r="N2671" s="171"/>
      <c r="O2671" s="169" t="s">
        <v>3927</v>
      </c>
      <c r="P2671" s="168" t="s">
        <v>3112</v>
      </c>
      <c r="Q2671" s="173"/>
      <c r="R2671" s="167">
        <v>681000.0</v>
      </c>
      <c r="S2671" s="173"/>
      <c r="T2671" s="173"/>
      <c r="U2671" s="173"/>
      <c r="V2671" s="202"/>
      <c r="W2671" s="171"/>
      <c r="X2671" s="169" t="s">
        <v>9568</v>
      </c>
    </row>
    <row r="2672" ht="15.0" customHeight="1">
      <c r="A2672" s="127">
        <v>45949.0</v>
      </c>
      <c r="B2672" s="181" t="s">
        <v>9565</v>
      </c>
      <c r="C2672" s="56" t="s">
        <v>4027</v>
      </c>
      <c r="D2672" s="73" t="str">
        <f>IFERROR(VLOOKUP(C2672,Stock,3,FALSE),"")</f>
        <v>501 Sealant Application</v>
      </c>
      <c r="E2672" s="56">
        <v>2.0</v>
      </c>
      <c r="F2672" s="161">
        <v>95000.0</v>
      </c>
      <c r="G2672" s="162">
        <f t="shared" si="40"/>
        <v>190000</v>
      </c>
      <c r="H2672" s="194"/>
      <c r="I2672" s="161">
        <f t="shared" si="41"/>
        <v>190000</v>
      </c>
      <c r="J2672" s="164">
        <f t="shared" si="42"/>
        <v>190000</v>
      </c>
      <c r="K2672" s="56" t="s">
        <v>9566</v>
      </c>
      <c r="L2672" s="165" t="s">
        <v>9567</v>
      </c>
      <c r="M2672" s="73"/>
      <c r="N2672" s="171"/>
      <c r="O2672" s="169" t="s">
        <v>3927</v>
      </c>
      <c r="P2672" s="168" t="s">
        <v>3112</v>
      </c>
      <c r="Q2672" s="173"/>
      <c r="R2672" s="167">
        <v>190000.0</v>
      </c>
      <c r="S2672" s="173"/>
      <c r="T2672" s="173"/>
      <c r="U2672" s="173"/>
      <c r="V2672" s="202"/>
      <c r="W2672" s="171"/>
      <c r="X2672" s="169" t="s">
        <v>9568</v>
      </c>
    </row>
    <row r="2673" ht="15.0" customHeight="1">
      <c r="A2673" s="127">
        <v>45949.0</v>
      </c>
      <c r="B2673" s="181" t="s">
        <v>9565</v>
      </c>
      <c r="C2673" s="169" t="s">
        <v>2934</v>
      </c>
      <c r="D2673" s="73" t="str">
        <f>IFERROR(VLOOKUP(C2673,Stock,3,FALSE),"")</f>
        <v>Peti Kayu</v>
      </c>
      <c r="E2673" s="56">
        <v>1.0</v>
      </c>
      <c r="F2673" s="161">
        <v>200000.0</v>
      </c>
      <c r="G2673" s="162">
        <f t="shared" si="40"/>
        <v>200000</v>
      </c>
      <c r="H2673" s="194"/>
      <c r="I2673" s="161">
        <f t="shared" si="41"/>
        <v>200000</v>
      </c>
      <c r="J2673" s="164">
        <f t="shared" si="42"/>
        <v>200000</v>
      </c>
      <c r="K2673" s="56" t="s">
        <v>9566</v>
      </c>
      <c r="L2673" s="165" t="s">
        <v>9567</v>
      </c>
      <c r="M2673" s="73"/>
      <c r="N2673" s="171"/>
      <c r="O2673" s="169" t="s">
        <v>3927</v>
      </c>
      <c r="P2673" s="168" t="s">
        <v>3112</v>
      </c>
      <c r="Q2673" s="173"/>
      <c r="R2673" s="167">
        <v>200000.0</v>
      </c>
      <c r="S2673" s="173"/>
      <c r="T2673" s="173"/>
      <c r="U2673" s="173"/>
      <c r="V2673" s="202"/>
      <c r="W2673" s="171"/>
      <c r="X2673" s="169" t="s">
        <v>9568</v>
      </c>
    </row>
    <row r="2674" ht="15.0" customHeight="1">
      <c r="A2674" s="127">
        <v>45949.0</v>
      </c>
      <c r="B2674" s="181" t="s">
        <v>9565</v>
      </c>
      <c r="C2674" s="169" t="s">
        <v>2954</v>
      </c>
      <c r="D2674" s="73" t="str">
        <f>IFERROR(VLOOKUP(C2674,Stock,3,FALSE),"")</f>
        <v>Transport</v>
      </c>
      <c r="E2674" s="56">
        <v>1.0</v>
      </c>
      <c r="F2674" s="161">
        <v>50000.0</v>
      </c>
      <c r="G2674" s="162">
        <f t="shared" si="40"/>
        <v>50000</v>
      </c>
      <c r="H2674" s="194"/>
      <c r="I2674" s="161">
        <f t="shared" si="41"/>
        <v>50000</v>
      </c>
      <c r="J2674" s="164">
        <f t="shared" si="42"/>
        <v>50000</v>
      </c>
      <c r="K2674" s="56" t="s">
        <v>9566</v>
      </c>
      <c r="L2674" s="165" t="s">
        <v>9567</v>
      </c>
      <c r="M2674" s="73"/>
      <c r="N2674" s="171"/>
      <c r="O2674" s="169" t="s">
        <v>3927</v>
      </c>
      <c r="P2674" s="168" t="s">
        <v>3112</v>
      </c>
      <c r="Q2674" s="173"/>
      <c r="R2674" s="167">
        <v>50000.0</v>
      </c>
      <c r="S2674" s="173"/>
      <c r="T2674" s="173"/>
      <c r="U2674" s="173"/>
      <c r="V2674" s="202"/>
      <c r="W2674" s="171"/>
      <c r="X2674" s="169" t="s">
        <v>9568</v>
      </c>
    </row>
    <row r="2675" ht="15.0" customHeight="1">
      <c r="A2675" s="127">
        <v>45950.0</v>
      </c>
      <c r="B2675" s="181" t="s">
        <v>9569</v>
      </c>
      <c r="C2675" s="475" t="s">
        <v>6756</v>
      </c>
      <c r="D2675" s="73" t="str">
        <f>IFERROR(VLOOKUP(C2675,Stock,3,FALSE),"")</f>
        <v>Toyota Raize / Daihatsu Rocky 20-</v>
      </c>
      <c r="E2675" s="56">
        <v>1.0</v>
      </c>
      <c r="F2675" s="161">
        <v>1450000.0</v>
      </c>
      <c r="G2675" s="162">
        <f t="shared" si="40"/>
        <v>1450000</v>
      </c>
      <c r="H2675" s="201">
        <v>50000.0</v>
      </c>
      <c r="I2675" s="161">
        <f t="shared" si="41"/>
        <v>1400000</v>
      </c>
      <c r="J2675" s="164">
        <f t="shared" si="42"/>
        <v>1400000</v>
      </c>
      <c r="K2675" s="56" t="s">
        <v>9570</v>
      </c>
      <c r="L2675" s="165" t="s">
        <v>9571</v>
      </c>
      <c r="M2675" s="73"/>
      <c r="N2675" s="169" t="s">
        <v>9572</v>
      </c>
      <c r="O2675" s="169" t="s">
        <v>6923</v>
      </c>
      <c r="P2675" s="168" t="s">
        <v>3112</v>
      </c>
      <c r="Q2675" s="173"/>
      <c r="R2675" s="167">
        <v>1400000.0</v>
      </c>
      <c r="S2675" s="173"/>
      <c r="T2675" s="173"/>
      <c r="U2675" s="173"/>
      <c r="V2675" s="202"/>
      <c r="W2675" s="171"/>
      <c r="X2675" s="169" t="s">
        <v>9573</v>
      </c>
    </row>
    <row r="2676" ht="15.0" customHeight="1">
      <c r="A2676" s="127">
        <v>45950.0</v>
      </c>
      <c r="B2676" s="181" t="s">
        <v>9574</v>
      </c>
      <c r="C2676" s="475" t="s">
        <v>3391</v>
      </c>
      <c r="D2676" s="73" t="str">
        <f>IFERROR(VLOOKUP(C2676,Stock,3,FALSE),"")</f>
        <v>Toyota Fortuner 05-15 1st Gen</v>
      </c>
      <c r="E2676" s="56">
        <v>1.0</v>
      </c>
      <c r="F2676" s="161">
        <v>1450000.0</v>
      </c>
      <c r="G2676" s="162">
        <f t="shared" si="40"/>
        <v>1450000</v>
      </c>
      <c r="H2676" s="194"/>
      <c r="I2676" s="161">
        <f t="shared" si="41"/>
        <v>1450000</v>
      </c>
      <c r="J2676" s="164">
        <f t="shared" si="42"/>
        <v>1450000</v>
      </c>
      <c r="K2676" s="56" t="s">
        <v>5478</v>
      </c>
      <c r="L2676" s="165" t="s">
        <v>5479</v>
      </c>
      <c r="M2676" s="73"/>
      <c r="N2676" s="169" t="s">
        <v>9575</v>
      </c>
      <c r="O2676" s="169" t="s">
        <v>9576</v>
      </c>
      <c r="P2676" s="168" t="s">
        <v>3112</v>
      </c>
      <c r="Q2676" s="173"/>
      <c r="R2676" s="167">
        <v>1450000.0</v>
      </c>
      <c r="S2676" s="173"/>
      <c r="T2676" s="173"/>
      <c r="U2676" s="173"/>
      <c r="V2676" s="202"/>
      <c r="W2676" s="171"/>
      <c r="X2676" s="169" t="s">
        <v>9577</v>
      </c>
    </row>
    <row r="2677" ht="15.0" customHeight="1">
      <c r="A2677" s="127">
        <v>45951.0</v>
      </c>
      <c r="B2677" s="181" t="s">
        <v>9578</v>
      </c>
      <c r="C2677" s="475" t="s">
        <v>3411</v>
      </c>
      <c r="D2677" s="73" t="str">
        <f>IFERROR(VLOOKUP(C2677,Stock,3,FALSE),"")</f>
        <v>Toyota Agya/Ayla 13-22 1st Gen</v>
      </c>
      <c r="E2677" s="56">
        <v>1.0</v>
      </c>
      <c r="F2677" s="161">
        <v>1000000.0</v>
      </c>
      <c r="G2677" s="162">
        <f t="shared" si="40"/>
        <v>1000000</v>
      </c>
      <c r="H2677" s="194"/>
      <c r="I2677" s="161">
        <f t="shared" si="41"/>
        <v>1000000</v>
      </c>
      <c r="J2677" s="164">
        <f t="shared" si="42"/>
        <v>1000000</v>
      </c>
      <c r="K2677" s="56" t="s">
        <v>6172</v>
      </c>
      <c r="L2677" s="165" t="s">
        <v>9579</v>
      </c>
      <c r="M2677" s="73"/>
      <c r="N2677" s="169" t="s">
        <v>9580</v>
      </c>
      <c r="O2677" s="169" t="s">
        <v>6923</v>
      </c>
      <c r="P2677" s="168" t="s">
        <v>3112</v>
      </c>
      <c r="Q2677" s="167">
        <v>1000000.0</v>
      </c>
      <c r="R2677" s="173"/>
      <c r="S2677" s="173"/>
      <c r="T2677" s="173"/>
      <c r="U2677" s="173"/>
      <c r="V2677" s="202"/>
      <c r="W2677" s="171"/>
      <c r="X2677" s="169" t="s">
        <v>9305</v>
      </c>
    </row>
    <row r="2678" ht="15.0" customHeight="1">
      <c r="A2678" s="127">
        <v>45951.0</v>
      </c>
      <c r="B2678" s="181" t="s">
        <v>9581</v>
      </c>
      <c r="C2678" s="56" t="s">
        <v>9582</v>
      </c>
      <c r="D2678" s="73" t="str">
        <f>IFERROR(VLOOKUP(C2678,Stock,3,FALSE),"")</f>
        <v>Toyota Alphard 18- ANH30 3rd Gen (with Camera)</v>
      </c>
      <c r="E2678" s="56">
        <v>1.0</v>
      </c>
      <c r="F2678" s="161">
        <v>3243000.0</v>
      </c>
      <c r="G2678" s="162">
        <f t="shared" si="40"/>
        <v>3243000</v>
      </c>
      <c r="H2678" s="194"/>
      <c r="I2678" s="161">
        <f t="shared" si="41"/>
        <v>3243000</v>
      </c>
      <c r="J2678" s="164">
        <f t="shared" si="42"/>
        <v>3243000</v>
      </c>
      <c r="K2678" s="56" t="s">
        <v>5693</v>
      </c>
      <c r="L2678" s="165" t="s">
        <v>9583</v>
      </c>
      <c r="M2678" s="73"/>
      <c r="N2678" s="169" t="s">
        <v>9584</v>
      </c>
      <c r="O2678" s="169" t="s">
        <v>6923</v>
      </c>
      <c r="P2678" s="168" t="s">
        <v>3112</v>
      </c>
      <c r="Q2678" s="173"/>
      <c r="R2678" s="167">
        <v>3243000.0</v>
      </c>
      <c r="S2678" s="173"/>
      <c r="T2678" s="173"/>
      <c r="U2678" s="173"/>
      <c r="V2678" s="202"/>
      <c r="W2678" s="171"/>
      <c r="X2678" s="169" t="s">
        <v>9585</v>
      </c>
    </row>
    <row r="2679" ht="15.0" customHeight="1">
      <c r="A2679" s="127">
        <v>45952.0</v>
      </c>
      <c r="B2679" s="181" t="s">
        <v>9586</v>
      </c>
      <c r="C2679" s="56" t="s">
        <v>2775</v>
      </c>
      <c r="D2679" s="73" t="str">
        <f>IFERROR(VLOOKUP(C2679,Stock,3,FALSE),"")</f>
        <v>Hino Ranger Louhan 03- / Hino 500</v>
      </c>
      <c r="E2679" s="56">
        <v>1.0</v>
      </c>
      <c r="F2679" s="161">
        <v>2171000.0</v>
      </c>
      <c r="G2679" s="162">
        <f t="shared" si="40"/>
        <v>2171000</v>
      </c>
      <c r="H2679" s="194"/>
      <c r="I2679" s="161">
        <f t="shared" si="41"/>
        <v>2171000</v>
      </c>
      <c r="J2679" s="164">
        <f t="shared" si="42"/>
        <v>2171000</v>
      </c>
      <c r="K2679" s="56" t="s">
        <v>9587</v>
      </c>
      <c r="L2679" s="165" t="s">
        <v>6929</v>
      </c>
      <c r="M2679" s="73"/>
      <c r="N2679" s="171"/>
      <c r="O2679" s="169" t="s">
        <v>6923</v>
      </c>
      <c r="P2679" s="168" t="s">
        <v>3112</v>
      </c>
      <c r="Q2679" s="167">
        <v>2171000.0</v>
      </c>
      <c r="R2679" s="173"/>
      <c r="S2679" s="173"/>
      <c r="T2679" s="173"/>
      <c r="U2679" s="173"/>
      <c r="V2679" s="202"/>
      <c r="W2679" s="171"/>
      <c r="X2679" s="169" t="s">
        <v>9305</v>
      </c>
    </row>
    <row r="2680" ht="15.0" customHeight="1">
      <c r="A2680" s="127">
        <v>45952.0</v>
      </c>
      <c r="B2680" s="181" t="s">
        <v>9588</v>
      </c>
      <c r="C2680" s="56" t="s">
        <v>9589</v>
      </c>
      <c r="D2680" s="73" t="str">
        <f>IFERROR(VLOOKUP(C2680,Stock,3,FALSE),"")</f>
        <v>Honda Civic 05-11 8th Gen (Civic Batman FD) (Honda)</v>
      </c>
      <c r="E2680" s="56">
        <v>1.0</v>
      </c>
      <c r="F2680" s="161">
        <v>2099000.0</v>
      </c>
      <c r="G2680" s="162">
        <f t="shared" si="40"/>
        <v>2099000</v>
      </c>
      <c r="H2680" s="194"/>
      <c r="I2680" s="161">
        <f t="shared" si="41"/>
        <v>2099000</v>
      </c>
      <c r="J2680" s="164">
        <f t="shared" si="42"/>
        <v>2099000</v>
      </c>
      <c r="K2680" s="56" t="s">
        <v>9590</v>
      </c>
      <c r="L2680" s="165" t="s">
        <v>9591</v>
      </c>
      <c r="M2680" s="73"/>
      <c r="N2680" s="169" t="s">
        <v>9592</v>
      </c>
      <c r="O2680" s="169" t="s">
        <v>6923</v>
      </c>
      <c r="P2680" s="168" t="s">
        <v>3112</v>
      </c>
      <c r="Q2680" s="173"/>
      <c r="R2680" s="167">
        <v>2099000.0</v>
      </c>
      <c r="S2680" s="173"/>
      <c r="T2680" s="173"/>
      <c r="U2680" s="173"/>
      <c r="V2680" s="202"/>
      <c r="W2680" s="171"/>
      <c r="X2680" s="169" t="s">
        <v>9593</v>
      </c>
    </row>
    <row r="2681" ht="15.0" customHeight="1">
      <c r="A2681" s="127">
        <v>45952.0</v>
      </c>
      <c r="B2681" s="181" t="s">
        <v>9594</v>
      </c>
      <c r="C2681" s="475" t="s">
        <v>3290</v>
      </c>
      <c r="D2681" s="73" t="str">
        <f>IFERROR(VLOOKUP(C2681,Stock,3,FALSE),"")</f>
        <v>Toyota Innova 04-15 1st Gen</v>
      </c>
      <c r="E2681" s="56">
        <v>1.0</v>
      </c>
      <c r="F2681" s="161">
        <v>1140000.0</v>
      </c>
      <c r="G2681" s="162">
        <f t="shared" si="40"/>
        <v>1140000</v>
      </c>
      <c r="H2681" s="194"/>
      <c r="I2681" s="161">
        <f t="shared" si="41"/>
        <v>1140000</v>
      </c>
      <c r="J2681" s="164">
        <f t="shared" si="42"/>
        <v>1140000</v>
      </c>
      <c r="K2681" s="56" t="s">
        <v>9595</v>
      </c>
      <c r="L2681" s="165" t="s">
        <v>9596</v>
      </c>
      <c r="M2681" s="73"/>
      <c r="N2681" s="169" t="s">
        <v>9597</v>
      </c>
      <c r="O2681" s="169" t="s">
        <v>3037</v>
      </c>
      <c r="P2681" s="168" t="s">
        <v>3112</v>
      </c>
      <c r="Q2681" s="173"/>
      <c r="R2681" s="167">
        <v>1140000.0</v>
      </c>
      <c r="S2681" s="173"/>
      <c r="T2681" s="173"/>
      <c r="U2681" s="173"/>
      <c r="V2681" s="202"/>
      <c r="W2681" s="171"/>
      <c r="X2681" s="169" t="s">
        <v>9598</v>
      </c>
    </row>
    <row r="2682" ht="15.0" customHeight="1">
      <c r="A2682" s="127">
        <v>45952.0</v>
      </c>
      <c r="B2682" s="181" t="s">
        <v>9594</v>
      </c>
      <c r="C2682" s="56" t="s">
        <v>3355</v>
      </c>
      <c r="D2682" s="73" t="str">
        <f>IFERROR(VLOOKUP(C2682,Stock,3,FALSE),"")</f>
        <v>List Kaca Depan INV</v>
      </c>
      <c r="E2682" s="56">
        <v>1.0</v>
      </c>
      <c r="F2682" s="161">
        <v>280000.0</v>
      </c>
      <c r="G2682" s="162">
        <f t="shared" si="40"/>
        <v>280000</v>
      </c>
      <c r="H2682" s="194"/>
      <c r="I2682" s="161">
        <f t="shared" si="41"/>
        <v>280000</v>
      </c>
      <c r="J2682" s="164">
        <f t="shared" si="42"/>
        <v>280000</v>
      </c>
      <c r="K2682" s="56" t="s">
        <v>9595</v>
      </c>
      <c r="L2682" s="165" t="s">
        <v>9596</v>
      </c>
      <c r="M2682" s="73"/>
      <c r="N2682" s="169" t="s">
        <v>9597</v>
      </c>
      <c r="O2682" s="169" t="s">
        <v>3037</v>
      </c>
      <c r="P2682" s="168" t="s">
        <v>3112</v>
      </c>
      <c r="Q2682" s="173"/>
      <c r="R2682" s="167">
        <v>280000.0</v>
      </c>
      <c r="S2682" s="173"/>
      <c r="T2682" s="173"/>
      <c r="U2682" s="173"/>
      <c r="V2682" s="202"/>
      <c r="W2682" s="171"/>
      <c r="X2682" s="169" t="s">
        <v>9598</v>
      </c>
    </row>
    <row r="2683" ht="15.0" customHeight="1">
      <c r="A2683" s="127">
        <v>45952.0</v>
      </c>
      <c r="B2683" s="181" t="s">
        <v>9599</v>
      </c>
      <c r="C2683" s="475" t="s">
        <v>3099</v>
      </c>
      <c r="D2683" s="73" t="str">
        <f>IFERROR(VLOOKUP(C2683,Stock,3,FALSE),"")</f>
        <v>Toyota Calya / Sigra 16-</v>
      </c>
      <c r="E2683" s="56">
        <v>1.0</v>
      </c>
      <c r="F2683" s="161">
        <v>1220000.0</v>
      </c>
      <c r="G2683" s="162">
        <f t="shared" si="40"/>
        <v>1220000</v>
      </c>
      <c r="H2683" s="194"/>
      <c r="I2683" s="161">
        <f t="shared" si="41"/>
        <v>1220000</v>
      </c>
      <c r="J2683" s="164">
        <f t="shared" si="42"/>
        <v>1220000</v>
      </c>
      <c r="K2683" s="56" t="s">
        <v>9600</v>
      </c>
      <c r="L2683" s="165" t="s">
        <v>9601</v>
      </c>
      <c r="M2683" s="73"/>
      <c r="N2683" s="169" t="s">
        <v>9602</v>
      </c>
      <c r="O2683" s="169" t="s">
        <v>6923</v>
      </c>
      <c r="P2683" s="168" t="s">
        <v>3112</v>
      </c>
      <c r="Q2683" s="167">
        <v>1220000.0</v>
      </c>
      <c r="R2683" s="173"/>
      <c r="S2683" s="173"/>
      <c r="T2683" s="173"/>
      <c r="U2683" s="173"/>
      <c r="V2683" s="202"/>
      <c r="W2683" s="171"/>
      <c r="X2683" s="169" t="s">
        <v>9305</v>
      </c>
    </row>
    <row r="2684" ht="15.0" customHeight="1">
      <c r="A2684" s="127">
        <v>45952.0</v>
      </c>
      <c r="B2684" s="181" t="s">
        <v>9603</v>
      </c>
      <c r="C2684" s="475" t="s">
        <v>3127</v>
      </c>
      <c r="D2684" s="73" t="str">
        <f>IFERROR(VLOOKUP(C2684,Stock,3,FALSE),"")</f>
        <v>Toyota Avanza / Xenia 03-11 1st Gen</v>
      </c>
      <c r="E2684" s="56">
        <v>1.0</v>
      </c>
      <c r="F2684" s="161">
        <v>800000.0</v>
      </c>
      <c r="G2684" s="162">
        <f t="shared" si="40"/>
        <v>800000</v>
      </c>
      <c r="H2684" s="194"/>
      <c r="I2684" s="161">
        <f t="shared" si="41"/>
        <v>800000</v>
      </c>
      <c r="J2684" s="164">
        <f t="shared" si="42"/>
        <v>800000</v>
      </c>
      <c r="K2684" s="56" t="s">
        <v>9604</v>
      </c>
      <c r="L2684" s="165" t="s">
        <v>9605</v>
      </c>
      <c r="M2684" s="73"/>
      <c r="N2684" s="171"/>
      <c r="O2684" s="169" t="s">
        <v>3037</v>
      </c>
      <c r="P2684" s="168" t="s">
        <v>3112</v>
      </c>
      <c r="Q2684" s="173"/>
      <c r="R2684" s="167">
        <v>30000.0</v>
      </c>
      <c r="S2684" s="173"/>
      <c r="T2684" s="173"/>
      <c r="U2684" s="173"/>
      <c r="V2684" s="202"/>
      <c r="W2684" s="171"/>
      <c r="X2684" s="169" t="s">
        <v>9606</v>
      </c>
    </row>
    <row r="2685" ht="15.0" customHeight="1">
      <c r="A2685" s="127">
        <v>45952.0</v>
      </c>
      <c r="B2685" s="181" t="s">
        <v>9603</v>
      </c>
      <c r="C2685" s="56" t="s">
        <v>2954</v>
      </c>
      <c r="D2685" s="73" t="str">
        <f>IFERROR(VLOOKUP(C2685,Stock,3,FALSE),"")</f>
        <v>Transport</v>
      </c>
      <c r="E2685" s="56">
        <v>1.0</v>
      </c>
      <c r="F2685" s="161">
        <v>200000.0</v>
      </c>
      <c r="G2685" s="162">
        <f t="shared" si="40"/>
        <v>200000</v>
      </c>
      <c r="H2685" s="194"/>
      <c r="I2685" s="161">
        <f t="shared" si="41"/>
        <v>200000</v>
      </c>
      <c r="J2685" s="164">
        <f t="shared" si="42"/>
        <v>200000</v>
      </c>
      <c r="K2685" s="56" t="s">
        <v>9604</v>
      </c>
      <c r="L2685" s="165" t="s">
        <v>9605</v>
      </c>
      <c r="M2685" s="73"/>
      <c r="N2685" s="171"/>
      <c r="O2685" s="169" t="s">
        <v>3037</v>
      </c>
      <c r="P2685" s="168" t="s">
        <v>3112</v>
      </c>
      <c r="Q2685" s="167">
        <v>970000.0</v>
      </c>
      <c r="R2685" s="173"/>
      <c r="S2685" s="173"/>
      <c r="T2685" s="173"/>
      <c r="U2685" s="173"/>
      <c r="V2685" s="202"/>
      <c r="W2685" s="171"/>
      <c r="X2685" s="169" t="s">
        <v>9305</v>
      </c>
    </row>
    <row r="2686" ht="15.0" customHeight="1">
      <c r="A2686" s="127">
        <v>45952.0</v>
      </c>
      <c r="B2686" s="181" t="s">
        <v>9607</v>
      </c>
      <c r="C2686" s="475" t="s">
        <v>2734</v>
      </c>
      <c r="D2686" s="73" t="str">
        <f>IFERROR(VLOOKUP(C2686,Stock,3,FALSE),"")</f>
        <v>Honda Jazz 07-13 2nd Gen</v>
      </c>
      <c r="E2686" s="56">
        <v>1.0</v>
      </c>
      <c r="F2686" s="161">
        <v>1668000.0</v>
      </c>
      <c r="G2686" s="162">
        <f t="shared" si="40"/>
        <v>1668000</v>
      </c>
      <c r="H2686" s="194"/>
      <c r="I2686" s="161">
        <f t="shared" si="41"/>
        <v>1668000</v>
      </c>
      <c r="J2686" s="164">
        <f t="shared" si="42"/>
        <v>1668000</v>
      </c>
      <c r="K2686" s="480" t="s">
        <v>9608</v>
      </c>
      <c r="L2686" s="165" t="s">
        <v>9609</v>
      </c>
      <c r="M2686" s="73"/>
      <c r="N2686" s="171"/>
      <c r="O2686" s="169" t="s">
        <v>6923</v>
      </c>
      <c r="P2686" s="168" t="s">
        <v>3112</v>
      </c>
      <c r="Q2686" s="173"/>
      <c r="R2686" s="167">
        <v>1668000.0</v>
      </c>
      <c r="S2686" s="173"/>
      <c r="T2686" s="173"/>
      <c r="U2686" s="173"/>
      <c r="V2686" s="202"/>
      <c r="W2686" s="171"/>
      <c r="X2686" s="169" t="s">
        <v>9610</v>
      </c>
    </row>
    <row r="2687" ht="15.0" customHeight="1">
      <c r="A2687" s="127">
        <v>45953.0</v>
      </c>
      <c r="B2687" s="181" t="s">
        <v>9611</v>
      </c>
      <c r="C2687" s="56" t="s">
        <v>4027</v>
      </c>
      <c r="D2687" s="73" t="str">
        <f>IFERROR(VLOOKUP(C2687,Stock,3,FALSE),"")</f>
        <v>501 Sealant Application</v>
      </c>
      <c r="E2687" s="56">
        <v>2.0</v>
      </c>
      <c r="F2687" s="161">
        <v>75000.0</v>
      </c>
      <c r="G2687" s="162">
        <f t="shared" si="40"/>
        <v>150000</v>
      </c>
      <c r="H2687" s="194"/>
      <c r="I2687" s="161">
        <f t="shared" si="41"/>
        <v>150000</v>
      </c>
      <c r="J2687" s="164">
        <f t="shared" si="42"/>
        <v>150000</v>
      </c>
      <c r="K2687" s="56" t="s">
        <v>9326</v>
      </c>
      <c r="L2687" s="165" t="s">
        <v>5768</v>
      </c>
      <c r="M2687" s="73"/>
      <c r="N2687" s="171"/>
      <c r="O2687" s="169" t="s">
        <v>6923</v>
      </c>
      <c r="P2687" s="168" t="s">
        <v>3112</v>
      </c>
      <c r="Q2687" s="173"/>
      <c r="R2687" s="167">
        <v>150000.0</v>
      </c>
      <c r="S2687" s="173"/>
      <c r="T2687" s="173"/>
      <c r="U2687" s="173"/>
      <c r="V2687" s="202"/>
      <c r="W2687" s="171"/>
      <c r="X2687" s="169" t="s">
        <v>9612</v>
      </c>
    </row>
    <row r="2688" ht="15.0" customHeight="1">
      <c r="A2688" s="127">
        <v>45953.0</v>
      </c>
      <c r="B2688" s="181" t="s">
        <v>9613</v>
      </c>
      <c r="C2688" s="56" t="s">
        <v>9614</v>
      </c>
      <c r="D2688" s="73" t="str">
        <f>IFERROR(VLOOKUP(C2688,Stock,3,FALSE),"")</f>
        <v>Nissan Quester / Cw445 Quon 05-</v>
      </c>
      <c r="E2688" s="56">
        <v>1.0</v>
      </c>
      <c r="F2688" s="161">
        <v>2950000.0</v>
      </c>
      <c r="G2688" s="162">
        <f t="shared" si="40"/>
        <v>2950000</v>
      </c>
      <c r="H2688" s="194"/>
      <c r="I2688" s="161">
        <f t="shared" si="41"/>
        <v>2950000</v>
      </c>
      <c r="J2688" s="164">
        <f t="shared" si="42"/>
        <v>2950000</v>
      </c>
      <c r="K2688" s="56" t="s">
        <v>9615</v>
      </c>
      <c r="L2688" s="165" t="s">
        <v>9616</v>
      </c>
      <c r="M2688" s="73"/>
      <c r="N2688" s="171"/>
      <c r="O2688" s="169" t="s">
        <v>6923</v>
      </c>
      <c r="P2688" s="168" t="s">
        <v>3112</v>
      </c>
      <c r="Q2688" s="167">
        <v>2850000.0</v>
      </c>
      <c r="R2688" s="167">
        <v>100000.0</v>
      </c>
      <c r="S2688" s="173"/>
      <c r="T2688" s="173"/>
      <c r="U2688" s="173"/>
      <c r="V2688" s="202"/>
      <c r="W2688" s="171"/>
      <c r="X2688" s="169" t="s">
        <v>9617</v>
      </c>
    </row>
    <row r="2689" ht="15.0" customHeight="1">
      <c r="A2689" s="127">
        <v>45953.0</v>
      </c>
      <c r="B2689" s="181" t="s">
        <v>9613</v>
      </c>
      <c r="C2689" s="56" t="s">
        <v>2954</v>
      </c>
      <c r="D2689" s="73" t="str">
        <f>IFERROR(VLOOKUP(C2689,Stock,3,FALSE),"")</f>
        <v>Transport</v>
      </c>
      <c r="E2689" s="56">
        <v>1.0</v>
      </c>
      <c r="F2689" s="161">
        <v>50000.0</v>
      </c>
      <c r="G2689" s="162">
        <f t="shared" si="40"/>
        <v>50000</v>
      </c>
      <c r="H2689" s="194"/>
      <c r="I2689" s="161">
        <f t="shared" si="41"/>
        <v>50000</v>
      </c>
      <c r="J2689" s="164">
        <f t="shared" si="42"/>
        <v>50000</v>
      </c>
      <c r="K2689" s="56" t="s">
        <v>9615</v>
      </c>
      <c r="L2689" s="165" t="s">
        <v>9616</v>
      </c>
      <c r="M2689" s="73"/>
      <c r="N2689" s="171"/>
      <c r="O2689" s="169" t="s">
        <v>6923</v>
      </c>
      <c r="P2689" s="168" t="s">
        <v>3112</v>
      </c>
      <c r="Q2689" s="167">
        <v>50000.0</v>
      </c>
      <c r="R2689" s="173"/>
      <c r="S2689" s="173"/>
      <c r="T2689" s="173"/>
      <c r="U2689" s="173"/>
      <c r="V2689" s="202"/>
      <c r="W2689" s="171"/>
      <c r="X2689" s="169" t="s">
        <v>9305</v>
      </c>
    </row>
    <row r="2690" ht="15.0" customHeight="1">
      <c r="A2690" s="127">
        <v>45953.0</v>
      </c>
      <c r="B2690" s="181" t="s">
        <v>9618</v>
      </c>
      <c r="C2690" s="475" t="s">
        <v>6742</v>
      </c>
      <c r="D2690" s="73" t="str">
        <f>IFERROR(VLOOKUP(C2690,Stock,3,FALSE),"")</f>
        <v>Suzuki Wagon R 12-</v>
      </c>
      <c r="E2690" s="56">
        <v>1.0</v>
      </c>
      <c r="F2690" s="161">
        <v>900000.0</v>
      </c>
      <c r="G2690" s="162">
        <f t="shared" si="40"/>
        <v>900000</v>
      </c>
      <c r="H2690" s="194"/>
      <c r="I2690" s="161">
        <f t="shared" si="41"/>
        <v>900000</v>
      </c>
      <c r="J2690" s="164">
        <f t="shared" si="42"/>
        <v>900000</v>
      </c>
      <c r="K2690" s="56" t="s">
        <v>9619</v>
      </c>
      <c r="L2690" s="165" t="s">
        <v>9620</v>
      </c>
      <c r="M2690" s="73"/>
      <c r="N2690" s="171"/>
      <c r="O2690" s="169" t="s">
        <v>6923</v>
      </c>
      <c r="P2690" s="168" t="s">
        <v>3112</v>
      </c>
      <c r="Q2690" s="173"/>
      <c r="R2690" s="167">
        <v>900000.0</v>
      </c>
      <c r="S2690" s="173"/>
      <c r="T2690" s="173"/>
      <c r="U2690" s="173"/>
      <c r="V2690" s="202"/>
      <c r="W2690" s="171"/>
      <c r="X2690" s="169" t="s">
        <v>9621</v>
      </c>
    </row>
    <row r="2691" ht="15.0" customHeight="1">
      <c r="A2691" s="127">
        <v>45953.0</v>
      </c>
      <c r="B2691" s="181" t="s">
        <v>9622</v>
      </c>
      <c r="C2691" s="475" t="s">
        <v>9623</v>
      </c>
      <c r="D2691" s="73" t="str">
        <f>IFERROR(VLOOKUP(C2691,Stock,3,FALSE),"")</f>
        <v>Suzuki Swift 04-11 1st Gen</v>
      </c>
      <c r="E2691" s="56">
        <v>1.0</v>
      </c>
      <c r="F2691" s="161">
        <v>900000.0</v>
      </c>
      <c r="G2691" s="162">
        <f t="shared" si="40"/>
        <v>900000</v>
      </c>
      <c r="H2691" s="194"/>
      <c r="I2691" s="161">
        <f t="shared" si="41"/>
        <v>900000</v>
      </c>
      <c r="J2691" s="164">
        <f t="shared" si="42"/>
        <v>900000</v>
      </c>
      <c r="K2691" s="56" t="s">
        <v>9624</v>
      </c>
      <c r="L2691" s="165" t="s">
        <v>9625</v>
      </c>
      <c r="M2691" s="73"/>
      <c r="N2691" s="171"/>
      <c r="O2691" s="169" t="s">
        <v>6923</v>
      </c>
      <c r="P2691" s="168" t="s">
        <v>3112</v>
      </c>
      <c r="Q2691" s="167">
        <v>870000.0</v>
      </c>
      <c r="R2691" s="167">
        <v>30000.0</v>
      </c>
      <c r="S2691" s="173"/>
      <c r="T2691" s="173"/>
      <c r="U2691" s="173"/>
      <c r="V2691" s="202"/>
      <c r="W2691" s="171"/>
      <c r="X2691" s="169" t="s">
        <v>9626</v>
      </c>
    </row>
    <row r="2692" ht="15.0" customHeight="1">
      <c r="A2692" s="127">
        <v>45953.0</v>
      </c>
      <c r="B2692" s="181" t="s">
        <v>9627</v>
      </c>
      <c r="C2692" s="56" t="s">
        <v>2718</v>
      </c>
      <c r="D2692" s="73" t="str">
        <f>IFERROR(VLOOKUP(C2692,Stock,3,FALSE),"")</f>
        <v>Isuzu Traga</v>
      </c>
      <c r="E2692" s="56">
        <v>1.0</v>
      </c>
      <c r="F2692" s="161">
        <v>1300000.0</v>
      </c>
      <c r="G2692" s="162">
        <f t="shared" si="40"/>
        <v>1300000</v>
      </c>
      <c r="H2692" s="194"/>
      <c r="I2692" s="161">
        <f t="shared" si="41"/>
        <v>1300000</v>
      </c>
      <c r="J2692" s="164">
        <f t="shared" si="42"/>
        <v>1300000</v>
      </c>
      <c r="K2692" s="56" t="s">
        <v>9628</v>
      </c>
      <c r="L2692" s="165" t="s">
        <v>8409</v>
      </c>
      <c r="M2692" s="73"/>
      <c r="N2692" s="171"/>
      <c r="O2692" s="169" t="s">
        <v>6923</v>
      </c>
      <c r="P2692" s="168" t="s">
        <v>3112</v>
      </c>
      <c r="Q2692" s="167">
        <v>1300000.0</v>
      </c>
      <c r="R2692" s="173"/>
      <c r="S2692" s="173"/>
      <c r="T2692" s="173"/>
      <c r="U2692" s="173"/>
      <c r="V2692" s="202"/>
      <c r="W2692" s="171"/>
      <c r="X2692" s="169" t="s">
        <v>9305</v>
      </c>
    </row>
    <row r="2693" ht="15.0" customHeight="1">
      <c r="A2693" s="127">
        <v>45953.0</v>
      </c>
      <c r="B2693" s="181" t="s">
        <v>9629</v>
      </c>
      <c r="C2693" s="475" t="s">
        <v>4005</v>
      </c>
      <c r="D2693" s="73" t="str">
        <f>IFERROR(VLOOKUP(C2693,Stock,3,FALSE),"")</f>
        <v>Toyota Fortuner 15- 2nd Gen</v>
      </c>
      <c r="E2693" s="56">
        <v>1.0</v>
      </c>
      <c r="F2693" s="161">
        <v>1448000.0</v>
      </c>
      <c r="G2693" s="162">
        <f t="shared" si="40"/>
        <v>1448000</v>
      </c>
      <c r="H2693" s="194"/>
      <c r="I2693" s="161">
        <f t="shared" si="41"/>
        <v>1448000</v>
      </c>
      <c r="J2693" s="164">
        <f t="shared" si="42"/>
        <v>1448000</v>
      </c>
      <c r="K2693" s="56" t="s">
        <v>7431</v>
      </c>
      <c r="L2693" s="165" t="s">
        <v>9630</v>
      </c>
      <c r="M2693" s="73"/>
      <c r="N2693" s="171"/>
      <c r="O2693" s="169" t="s">
        <v>6923</v>
      </c>
      <c r="P2693" s="168" t="s">
        <v>3112</v>
      </c>
      <c r="Q2693" s="173"/>
      <c r="R2693" s="167">
        <v>1448000.0</v>
      </c>
      <c r="S2693" s="173"/>
      <c r="T2693" s="173"/>
      <c r="U2693" s="173"/>
      <c r="V2693" s="202"/>
      <c r="W2693" s="171"/>
      <c r="X2693" s="169" t="s">
        <v>9631</v>
      </c>
    </row>
    <row r="2694" ht="15.0" customHeight="1">
      <c r="A2694" s="127">
        <v>45953.0</v>
      </c>
      <c r="B2694" s="181" t="s">
        <v>9632</v>
      </c>
      <c r="C2694" s="56" t="s">
        <v>3378</v>
      </c>
      <c r="D2694" s="73" t="str">
        <f>IFERROR(VLOOKUP(C2694,Stock,3,FALSE),"")</f>
        <v>Isuzu Panther 00- 2nd Gen</v>
      </c>
      <c r="E2694" s="56">
        <v>1.0</v>
      </c>
      <c r="F2694" s="161">
        <v>1338000.0</v>
      </c>
      <c r="G2694" s="162">
        <f t="shared" si="40"/>
        <v>1338000</v>
      </c>
      <c r="H2694" s="194"/>
      <c r="I2694" s="161">
        <f t="shared" si="41"/>
        <v>1338000</v>
      </c>
      <c r="J2694" s="164">
        <f t="shared" si="42"/>
        <v>1338000</v>
      </c>
      <c r="K2694" s="56" t="s">
        <v>9633</v>
      </c>
      <c r="L2694" s="165" t="s">
        <v>9634</v>
      </c>
      <c r="M2694" s="73"/>
      <c r="N2694" s="171"/>
      <c r="O2694" s="169" t="s">
        <v>6923</v>
      </c>
      <c r="P2694" s="168" t="s">
        <v>3645</v>
      </c>
      <c r="Q2694" s="167">
        <v>1338000.0</v>
      </c>
      <c r="R2694" s="167"/>
      <c r="S2694" s="173"/>
      <c r="T2694" s="173"/>
      <c r="U2694" s="173"/>
      <c r="V2694" s="202"/>
      <c r="W2694" s="171"/>
      <c r="X2694" s="169" t="s">
        <v>9305</v>
      </c>
    </row>
    <row r="2695" ht="15.0" customHeight="1">
      <c r="A2695" s="127">
        <v>45954.0</v>
      </c>
      <c r="B2695" s="181" t="s">
        <v>9635</v>
      </c>
      <c r="C2695" s="475" t="s">
        <v>3493</v>
      </c>
      <c r="D2695" s="73" t="str">
        <f>IFERROR(VLOOKUP(C2695,Stock,3,FALSE),"")</f>
        <v>Nissan Livina 07-18 L10/L11</v>
      </c>
      <c r="E2695" s="56">
        <v>1.0</v>
      </c>
      <c r="F2695" s="161">
        <v>1442000.0</v>
      </c>
      <c r="G2695" s="162">
        <f t="shared" si="40"/>
        <v>1442000</v>
      </c>
      <c r="H2695" s="194"/>
      <c r="I2695" s="161">
        <f t="shared" si="41"/>
        <v>1442000</v>
      </c>
      <c r="J2695" s="164">
        <f t="shared" si="42"/>
        <v>1442000</v>
      </c>
      <c r="K2695" s="56" t="s">
        <v>9636</v>
      </c>
      <c r="L2695" s="165" t="s">
        <v>9637</v>
      </c>
      <c r="M2695" s="73"/>
      <c r="N2695" s="171"/>
      <c r="O2695" s="169" t="s">
        <v>6923</v>
      </c>
      <c r="P2695" s="168" t="s">
        <v>3112</v>
      </c>
      <c r="Q2695" s="173"/>
      <c r="R2695" s="167">
        <v>1442000.0</v>
      </c>
      <c r="S2695" s="173"/>
      <c r="T2695" s="173"/>
      <c r="U2695" s="173"/>
      <c r="V2695" s="202"/>
      <c r="W2695" s="171"/>
      <c r="X2695" s="169" t="s">
        <v>9638</v>
      </c>
    </row>
    <row r="2696" ht="15.0" customHeight="1">
      <c r="A2696" s="127">
        <v>45954.0</v>
      </c>
      <c r="B2696" s="181" t="s">
        <v>9639</v>
      </c>
      <c r="C2696" s="475" t="s">
        <v>2562</v>
      </c>
      <c r="D2696" s="73" t="str">
        <f>IFERROR(VLOOKUP(C2696,Stock,3,FALSE),"")</f>
        <v>Toyota Avanza / Xenia 15-21 3rd Gen</v>
      </c>
      <c r="E2696" s="56">
        <v>1.0</v>
      </c>
      <c r="F2696" s="161">
        <v>1000000.0</v>
      </c>
      <c r="G2696" s="162">
        <f t="shared" si="40"/>
        <v>1000000</v>
      </c>
      <c r="H2696" s="194"/>
      <c r="I2696" s="161">
        <f t="shared" si="41"/>
        <v>1000000</v>
      </c>
      <c r="J2696" s="164">
        <f t="shared" si="42"/>
        <v>1000000</v>
      </c>
      <c r="K2696" s="56" t="s">
        <v>9640</v>
      </c>
      <c r="L2696" s="165" t="s">
        <v>9641</v>
      </c>
      <c r="M2696" s="73"/>
      <c r="N2696" s="169" t="s">
        <v>9642</v>
      </c>
      <c r="O2696" s="169" t="s">
        <v>6923</v>
      </c>
      <c r="P2696" s="168" t="s">
        <v>3112</v>
      </c>
      <c r="Q2696" s="167">
        <v>1000000.0</v>
      </c>
      <c r="R2696" s="167"/>
      <c r="S2696" s="173"/>
      <c r="T2696" s="173"/>
      <c r="U2696" s="173"/>
      <c r="V2696" s="202"/>
      <c r="W2696" s="171"/>
      <c r="X2696" s="169" t="s">
        <v>9305</v>
      </c>
    </row>
    <row r="2697" ht="15.0" customHeight="1">
      <c r="A2697" s="127">
        <v>45954.0</v>
      </c>
      <c r="B2697" s="181" t="s">
        <v>9639</v>
      </c>
      <c r="C2697" s="56" t="s">
        <v>3826</v>
      </c>
      <c r="D2697" s="73" t="str">
        <f>IFERROR(VLOOKUP(C2697,Stock,3,FALSE),"")</f>
        <v>List Kaca Depan Code 11</v>
      </c>
      <c r="E2697" s="56">
        <v>1.0</v>
      </c>
      <c r="F2697" s="161">
        <v>275000.0</v>
      </c>
      <c r="G2697" s="162">
        <f t="shared" si="40"/>
        <v>275000</v>
      </c>
      <c r="H2697" s="194"/>
      <c r="I2697" s="161">
        <f t="shared" si="41"/>
        <v>275000</v>
      </c>
      <c r="J2697" s="164">
        <f t="shared" si="42"/>
        <v>275000</v>
      </c>
      <c r="K2697" s="56" t="s">
        <v>9640</v>
      </c>
      <c r="L2697" s="165" t="s">
        <v>9641</v>
      </c>
      <c r="M2697" s="73"/>
      <c r="N2697" s="171"/>
      <c r="O2697" s="169" t="s">
        <v>6923</v>
      </c>
      <c r="P2697" s="168" t="s">
        <v>3112</v>
      </c>
      <c r="Q2697" s="167"/>
      <c r="R2697" s="167">
        <v>295000.0</v>
      </c>
      <c r="S2697" s="173"/>
      <c r="T2697" s="173"/>
      <c r="U2697" s="173"/>
      <c r="V2697" s="202"/>
      <c r="W2697" s="171"/>
      <c r="X2697" s="169" t="s">
        <v>9643</v>
      </c>
    </row>
    <row r="2698" ht="15.0" customHeight="1">
      <c r="A2698" s="127">
        <v>45954.0</v>
      </c>
      <c r="B2698" s="181" t="s">
        <v>9639</v>
      </c>
      <c r="C2698" s="56" t="s">
        <v>4027</v>
      </c>
      <c r="D2698" s="73" t="str">
        <f>IFERROR(VLOOKUP(C2698,Stock,3,FALSE),"")</f>
        <v>501 Sealant Application</v>
      </c>
      <c r="E2698" s="56">
        <v>1.0</v>
      </c>
      <c r="F2698" s="161">
        <v>120000.0</v>
      </c>
      <c r="G2698" s="162">
        <f t="shared" si="40"/>
        <v>120000</v>
      </c>
      <c r="H2698" s="194"/>
      <c r="I2698" s="161">
        <f t="shared" si="41"/>
        <v>120000</v>
      </c>
      <c r="J2698" s="164">
        <f t="shared" si="42"/>
        <v>120000</v>
      </c>
      <c r="K2698" s="56" t="s">
        <v>9640</v>
      </c>
      <c r="L2698" s="165" t="s">
        <v>9641</v>
      </c>
      <c r="M2698" s="73"/>
      <c r="N2698" s="171"/>
      <c r="O2698" s="169" t="s">
        <v>6923</v>
      </c>
      <c r="P2698" s="168" t="s">
        <v>3112</v>
      </c>
      <c r="Q2698" s="167">
        <v>100000.0</v>
      </c>
      <c r="R2698" s="167"/>
      <c r="S2698" s="173"/>
      <c r="T2698" s="173"/>
      <c r="U2698" s="173"/>
      <c r="V2698" s="202"/>
      <c r="W2698" s="171"/>
      <c r="X2698" s="169" t="s">
        <v>9305</v>
      </c>
    </row>
    <row r="2699" ht="15.0" customHeight="1">
      <c r="A2699" s="127">
        <v>45954.0</v>
      </c>
      <c r="B2699" s="181" t="s">
        <v>9644</v>
      </c>
      <c r="C2699" s="475" t="s">
        <v>2562</v>
      </c>
      <c r="D2699" s="73" t="str">
        <f>IFERROR(VLOOKUP(C2699,Stock,3,FALSE),"")</f>
        <v>Toyota Avanza / Xenia 15-21 3rd Gen</v>
      </c>
      <c r="E2699" s="56">
        <v>1.0</v>
      </c>
      <c r="F2699" s="161">
        <v>1050000.0</v>
      </c>
      <c r="G2699" s="162">
        <f t="shared" si="40"/>
        <v>1050000</v>
      </c>
      <c r="H2699" s="194"/>
      <c r="I2699" s="161">
        <f t="shared" si="41"/>
        <v>1050000</v>
      </c>
      <c r="J2699" s="164">
        <f t="shared" si="42"/>
        <v>1050000</v>
      </c>
      <c r="K2699" s="56" t="s">
        <v>9645</v>
      </c>
      <c r="L2699" s="165" t="s">
        <v>9646</v>
      </c>
      <c r="M2699" s="73"/>
      <c r="N2699" s="171"/>
      <c r="O2699" s="169" t="s">
        <v>6923</v>
      </c>
      <c r="P2699" s="168" t="s">
        <v>3112</v>
      </c>
      <c r="Q2699" s="173"/>
      <c r="R2699" s="167">
        <v>1050000.0</v>
      </c>
      <c r="S2699" s="173"/>
      <c r="T2699" s="173"/>
      <c r="U2699" s="173"/>
      <c r="V2699" s="202"/>
      <c r="W2699" s="171"/>
      <c r="X2699" s="169" t="s">
        <v>9647</v>
      </c>
    </row>
    <row r="2700" ht="15.0" customHeight="1">
      <c r="A2700" s="127">
        <v>45955.0</v>
      </c>
      <c r="B2700" s="181" t="s">
        <v>9648</v>
      </c>
      <c r="C2700" s="56" t="s">
        <v>3313</v>
      </c>
      <c r="D2700" s="73" t="str">
        <f>IFERROR(VLOOKUP(C2700,Stock,3,FALSE),"")</f>
        <v>Toyota Avanza / Xenia 21- 4th Gen (Non sensor)</v>
      </c>
      <c r="E2700" s="56">
        <v>1.0</v>
      </c>
      <c r="F2700" s="161">
        <v>1290000.0</v>
      </c>
      <c r="G2700" s="162">
        <f t="shared" si="40"/>
        <v>1290000</v>
      </c>
      <c r="H2700" s="194"/>
      <c r="I2700" s="161">
        <f t="shared" si="41"/>
        <v>1290000</v>
      </c>
      <c r="J2700" s="164">
        <f t="shared" si="42"/>
        <v>1290000</v>
      </c>
      <c r="K2700" s="56" t="s">
        <v>5852</v>
      </c>
      <c r="L2700" s="165" t="s">
        <v>9649</v>
      </c>
      <c r="M2700" s="73"/>
      <c r="N2700" s="171"/>
      <c r="O2700" s="169" t="s">
        <v>6923</v>
      </c>
      <c r="P2700" s="168" t="s">
        <v>3645</v>
      </c>
      <c r="Q2700" s="173"/>
      <c r="R2700" s="167">
        <v>1290000.0</v>
      </c>
      <c r="S2700" s="173"/>
      <c r="T2700" s="173"/>
      <c r="U2700" s="173"/>
      <c r="V2700" s="202"/>
      <c r="W2700" s="171"/>
      <c r="X2700" s="169" t="s">
        <v>9650</v>
      </c>
    </row>
    <row r="2701" ht="15.0" customHeight="1">
      <c r="A2701" s="127">
        <v>45955.0</v>
      </c>
      <c r="B2701" s="181" t="s">
        <v>9651</v>
      </c>
      <c r="C2701" s="475" t="s">
        <v>2919</v>
      </c>
      <c r="D2701" s="73" t="str">
        <f>IFERROR(VLOOKUP(C2701,Stock,3,FALSE),"")</f>
        <v>Toyota Innova 04-15 1st Gen</v>
      </c>
      <c r="E2701" s="56">
        <v>1.0</v>
      </c>
      <c r="F2701" s="161">
        <v>2680000.0</v>
      </c>
      <c r="G2701" s="162">
        <f t="shared" si="40"/>
        <v>2680000</v>
      </c>
      <c r="H2701" s="194"/>
      <c r="I2701" s="161">
        <f t="shared" si="41"/>
        <v>2680000</v>
      </c>
      <c r="J2701" s="164">
        <f t="shared" si="42"/>
        <v>2680000</v>
      </c>
      <c r="K2701" s="56" t="s">
        <v>9652</v>
      </c>
      <c r="L2701" s="165" t="s">
        <v>9653</v>
      </c>
      <c r="M2701" s="73"/>
      <c r="N2701" s="169" t="s">
        <v>9654</v>
      </c>
      <c r="O2701" s="169" t="s">
        <v>6923</v>
      </c>
      <c r="P2701" s="168" t="s">
        <v>3112</v>
      </c>
      <c r="Q2701" s="173"/>
      <c r="R2701" s="167">
        <v>2680000.0</v>
      </c>
      <c r="S2701" s="173"/>
      <c r="T2701" s="173"/>
      <c r="U2701" s="173"/>
      <c r="V2701" s="202"/>
      <c r="W2701" s="171"/>
      <c r="X2701" s="169" t="s">
        <v>9655</v>
      </c>
    </row>
    <row r="2702" ht="15.0" customHeight="1">
      <c r="A2702" s="127">
        <v>45955.0</v>
      </c>
      <c r="B2702" s="181" t="s">
        <v>9651</v>
      </c>
      <c r="C2702" s="56" t="s">
        <v>3355</v>
      </c>
      <c r="D2702" s="73" t="str">
        <f>IFERROR(VLOOKUP(C2702,Stock,3,FALSE),"")</f>
        <v>List Kaca Depan INV</v>
      </c>
      <c r="E2702" s="56">
        <v>1.0</v>
      </c>
      <c r="F2702" s="161">
        <v>315000.0</v>
      </c>
      <c r="G2702" s="162">
        <f t="shared" si="40"/>
        <v>315000</v>
      </c>
      <c r="H2702" s="194"/>
      <c r="I2702" s="161">
        <f t="shared" si="41"/>
        <v>315000</v>
      </c>
      <c r="J2702" s="164">
        <f t="shared" si="42"/>
        <v>315000</v>
      </c>
      <c r="K2702" s="56" t="s">
        <v>9652</v>
      </c>
      <c r="L2702" s="165" t="s">
        <v>9653</v>
      </c>
      <c r="M2702" s="73"/>
      <c r="N2702" s="169" t="s">
        <v>9654</v>
      </c>
      <c r="O2702" s="169" t="s">
        <v>6923</v>
      </c>
      <c r="P2702" s="168" t="s">
        <v>3112</v>
      </c>
      <c r="Q2702" s="173"/>
      <c r="R2702" s="167">
        <v>315000.0</v>
      </c>
      <c r="S2702" s="173"/>
      <c r="T2702" s="173"/>
      <c r="U2702" s="173"/>
      <c r="V2702" s="202"/>
      <c r="W2702" s="171"/>
      <c r="X2702" s="169" t="s">
        <v>9655</v>
      </c>
    </row>
    <row r="2703" ht="15.0" customHeight="1">
      <c r="A2703" s="127">
        <v>45955.0</v>
      </c>
      <c r="B2703" s="181" t="s">
        <v>9656</v>
      </c>
      <c r="C2703" s="56" t="s">
        <v>3564</v>
      </c>
      <c r="D2703" s="73" t="str">
        <f>IFERROR(VLOOKUP(C2703,Stock,3,FALSE),"")</f>
        <v>Toyota Calya / Sigra 16-</v>
      </c>
      <c r="E2703" s="56">
        <v>1.0</v>
      </c>
      <c r="F2703" s="161">
        <v>400000.0</v>
      </c>
      <c r="G2703" s="162">
        <f t="shared" si="40"/>
        <v>400000</v>
      </c>
      <c r="H2703" s="194"/>
      <c r="I2703" s="161">
        <f t="shared" si="41"/>
        <v>400000</v>
      </c>
      <c r="J2703" s="164">
        <f t="shared" si="42"/>
        <v>400000</v>
      </c>
      <c r="K2703" s="56" t="s">
        <v>5852</v>
      </c>
      <c r="L2703" s="165" t="s">
        <v>9649</v>
      </c>
      <c r="M2703" s="73"/>
      <c r="N2703" s="171"/>
      <c r="O2703" s="169" t="s">
        <v>6923</v>
      </c>
      <c r="P2703" s="169" t="s">
        <v>3645</v>
      </c>
      <c r="Q2703" s="167">
        <v>400000.0</v>
      </c>
      <c r="R2703" s="173"/>
      <c r="S2703" s="173"/>
      <c r="T2703" s="173"/>
      <c r="U2703" s="173"/>
      <c r="V2703" s="202"/>
      <c r="W2703" s="171"/>
      <c r="X2703" s="169" t="s">
        <v>9305</v>
      </c>
    </row>
    <row r="2704" ht="15.0" customHeight="1">
      <c r="A2704" s="127">
        <v>45955.0</v>
      </c>
      <c r="B2704" s="181" t="s">
        <v>9657</v>
      </c>
      <c r="C2704" s="475" t="s">
        <v>2661</v>
      </c>
      <c r="D2704" s="73" t="str">
        <f>IFERROR(VLOOKUP(C2704,Stock,3,FALSE),"")</f>
        <v>Isuzu Panther 00- 2nd Gen (Isuzu)</v>
      </c>
      <c r="E2704" s="56">
        <v>1.0</v>
      </c>
      <c r="F2704" s="161">
        <v>1450000.0</v>
      </c>
      <c r="G2704" s="162">
        <f t="shared" si="40"/>
        <v>1450000</v>
      </c>
      <c r="H2704" s="194"/>
      <c r="I2704" s="161">
        <f t="shared" si="41"/>
        <v>1450000</v>
      </c>
      <c r="J2704" s="164">
        <f t="shared" si="42"/>
        <v>1450000</v>
      </c>
      <c r="K2704" s="56" t="s">
        <v>9658</v>
      </c>
      <c r="L2704" s="165" t="s">
        <v>9659</v>
      </c>
      <c r="M2704" s="73"/>
      <c r="N2704" s="171"/>
      <c r="O2704" s="169" t="s">
        <v>6923</v>
      </c>
      <c r="P2704" s="168" t="s">
        <v>3112</v>
      </c>
      <c r="Q2704" s="173"/>
      <c r="R2704" s="167">
        <v>1500000.0</v>
      </c>
      <c r="S2704" s="173"/>
      <c r="T2704" s="173"/>
      <c r="U2704" s="173"/>
      <c r="V2704" s="202"/>
      <c r="W2704" s="171"/>
      <c r="X2704" s="169" t="s">
        <v>9660</v>
      </c>
    </row>
    <row r="2705" ht="15.0" customHeight="1">
      <c r="A2705" s="127">
        <v>45955.0</v>
      </c>
      <c r="B2705" s="181" t="s">
        <v>9657</v>
      </c>
      <c r="C2705" s="56" t="s">
        <v>2954</v>
      </c>
      <c r="D2705" s="73" t="str">
        <f>IFERROR(VLOOKUP(C2705,Stock,3,FALSE),"")</f>
        <v>Transport</v>
      </c>
      <c r="E2705" s="56">
        <v>1.0</v>
      </c>
      <c r="F2705" s="161">
        <v>50000.0</v>
      </c>
      <c r="G2705" s="162">
        <f t="shared" si="40"/>
        <v>50000</v>
      </c>
      <c r="H2705" s="194"/>
      <c r="I2705" s="161">
        <f t="shared" si="41"/>
        <v>50000</v>
      </c>
      <c r="J2705" s="164">
        <f t="shared" si="42"/>
        <v>50000</v>
      </c>
      <c r="K2705" s="56" t="s">
        <v>9658</v>
      </c>
      <c r="L2705" s="165" t="s">
        <v>9659</v>
      </c>
      <c r="M2705" s="73"/>
      <c r="N2705" s="171"/>
      <c r="O2705" s="169" t="s">
        <v>6923</v>
      </c>
      <c r="P2705" s="168" t="s">
        <v>3112</v>
      </c>
      <c r="Q2705" s="173"/>
      <c r="R2705" s="173"/>
      <c r="S2705" s="173"/>
      <c r="T2705" s="173"/>
      <c r="U2705" s="173"/>
      <c r="V2705" s="202"/>
      <c r="W2705" s="171"/>
      <c r="X2705" s="169" t="s">
        <v>9660</v>
      </c>
    </row>
    <row r="2706" ht="15.0" customHeight="1">
      <c r="A2706" s="127">
        <v>45955.0</v>
      </c>
      <c r="B2706" s="181" t="s">
        <v>9661</v>
      </c>
      <c r="C2706" s="56" t="s">
        <v>5936</v>
      </c>
      <c r="D2706" s="73" t="str">
        <f>IFERROR(VLOOKUP(C2706,Stock,3,FALSE),"")</f>
        <v>Mitsubishi Xpander 17- / Livina 19- 2nd Gen (Mitsubishi)</v>
      </c>
      <c r="E2706" s="56">
        <v>1.0</v>
      </c>
      <c r="F2706" s="161">
        <v>2950000.0</v>
      </c>
      <c r="G2706" s="162">
        <f t="shared" si="40"/>
        <v>2950000</v>
      </c>
      <c r="H2706" s="194"/>
      <c r="I2706" s="161">
        <f t="shared" si="41"/>
        <v>2950000</v>
      </c>
      <c r="J2706" s="164">
        <f t="shared" si="42"/>
        <v>2950000</v>
      </c>
      <c r="K2706" s="56" t="s">
        <v>9662</v>
      </c>
      <c r="L2706" s="165" t="s">
        <v>9663</v>
      </c>
      <c r="M2706" s="73"/>
      <c r="N2706" s="169" t="s">
        <v>9664</v>
      </c>
      <c r="O2706" s="169" t="s">
        <v>4072</v>
      </c>
      <c r="P2706" s="168" t="s">
        <v>3112</v>
      </c>
      <c r="Q2706" s="173"/>
      <c r="R2706" s="167">
        <v>2950000.0</v>
      </c>
      <c r="S2706" s="173"/>
      <c r="T2706" s="173"/>
      <c r="U2706" s="173"/>
      <c r="V2706" s="202"/>
      <c r="W2706" s="171"/>
      <c r="X2706" s="169" t="s">
        <v>9665</v>
      </c>
    </row>
    <row r="2707" ht="15.0" customHeight="1">
      <c r="A2707" s="127">
        <v>45955.0</v>
      </c>
      <c r="B2707" s="181" t="s">
        <v>9666</v>
      </c>
      <c r="C2707" s="475" t="s">
        <v>6028</v>
      </c>
      <c r="D2707" s="73" t="str">
        <f>IFERROR(VLOOKUP(C2707,Stock,3,FALSE),"")</f>
        <v>Toyota Innova 04-15 1st Gen (Toyota)</v>
      </c>
      <c r="E2707" s="56">
        <v>1.0</v>
      </c>
      <c r="F2707" s="161">
        <v>2150000.0</v>
      </c>
      <c r="G2707" s="162">
        <f t="shared" si="40"/>
        <v>2150000</v>
      </c>
      <c r="H2707" s="194"/>
      <c r="I2707" s="161">
        <f t="shared" si="41"/>
        <v>2150000</v>
      </c>
      <c r="J2707" s="164">
        <f t="shared" si="42"/>
        <v>2150000</v>
      </c>
      <c r="K2707" s="56" t="s">
        <v>9667</v>
      </c>
      <c r="L2707" s="165" t="s">
        <v>9668</v>
      </c>
      <c r="M2707" s="73"/>
      <c r="N2707" s="171"/>
      <c r="O2707" s="169" t="s">
        <v>9669</v>
      </c>
      <c r="P2707" s="168" t="s">
        <v>3112</v>
      </c>
      <c r="Q2707" s="173"/>
      <c r="R2707" s="167">
        <v>2150000.0</v>
      </c>
      <c r="S2707" s="173"/>
      <c r="T2707" s="173"/>
      <c r="U2707" s="173"/>
      <c r="V2707" s="202"/>
      <c r="W2707" s="171"/>
      <c r="X2707" s="169" t="s">
        <v>9670</v>
      </c>
    </row>
    <row r="2708" ht="15.0" customHeight="1">
      <c r="A2708" s="127">
        <v>45955.0</v>
      </c>
      <c r="B2708" s="181" t="s">
        <v>9666</v>
      </c>
      <c r="C2708" s="56" t="s">
        <v>3186</v>
      </c>
      <c r="D2708" s="73" t="str">
        <f>IFERROR(VLOOKUP(C2708,Stock,3,FALSE),"")</f>
        <v>Daihatsu Gran Max / Luxio 07-</v>
      </c>
      <c r="E2708" s="56">
        <v>1.0</v>
      </c>
      <c r="F2708" s="161">
        <v>900000.0</v>
      </c>
      <c r="G2708" s="162">
        <f t="shared" si="40"/>
        <v>900000</v>
      </c>
      <c r="H2708" s="194"/>
      <c r="I2708" s="161">
        <f t="shared" si="41"/>
        <v>900000</v>
      </c>
      <c r="J2708" s="164">
        <f t="shared" si="42"/>
        <v>900000</v>
      </c>
      <c r="K2708" s="56" t="s">
        <v>9667</v>
      </c>
      <c r="L2708" s="165" t="s">
        <v>9668</v>
      </c>
      <c r="M2708" s="73"/>
      <c r="N2708" s="171"/>
      <c r="O2708" s="169" t="s">
        <v>9669</v>
      </c>
      <c r="P2708" s="168" t="s">
        <v>3112</v>
      </c>
      <c r="Q2708" s="173"/>
      <c r="R2708" s="167">
        <v>900000.0</v>
      </c>
      <c r="S2708" s="173"/>
      <c r="T2708" s="173"/>
      <c r="U2708" s="173"/>
      <c r="V2708" s="202"/>
      <c r="W2708" s="171"/>
      <c r="X2708" s="169" t="s">
        <v>9670</v>
      </c>
    </row>
    <row r="2709" ht="15.0" customHeight="1">
      <c r="A2709" s="127">
        <v>45955.0</v>
      </c>
      <c r="B2709" s="181" t="s">
        <v>9666</v>
      </c>
      <c r="C2709" s="169" t="s">
        <v>4027</v>
      </c>
      <c r="D2709" s="73" t="str">
        <f>IFERROR(VLOOKUP(C2709,Stock,3,FALSE),"")</f>
        <v>501 Sealant Application</v>
      </c>
      <c r="E2709" s="56">
        <v>4.0</v>
      </c>
      <c r="F2709" s="161">
        <v>74000.0</v>
      </c>
      <c r="G2709" s="162">
        <f t="shared" si="40"/>
        <v>296000</v>
      </c>
      <c r="H2709" s="194"/>
      <c r="I2709" s="161">
        <f t="shared" si="41"/>
        <v>296000</v>
      </c>
      <c r="J2709" s="164">
        <f t="shared" si="42"/>
        <v>296000</v>
      </c>
      <c r="K2709" s="56" t="s">
        <v>9667</v>
      </c>
      <c r="L2709" s="165" t="s">
        <v>9668</v>
      </c>
      <c r="M2709" s="73"/>
      <c r="N2709" s="171"/>
      <c r="O2709" s="169" t="s">
        <v>9669</v>
      </c>
      <c r="P2709" s="168" t="s">
        <v>3112</v>
      </c>
      <c r="Q2709" s="173"/>
      <c r="R2709" s="167">
        <v>296000.0</v>
      </c>
      <c r="S2709" s="173"/>
      <c r="T2709" s="173"/>
      <c r="U2709" s="173"/>
      <c r="V2709" s="202"/>
      <c r="W2709" s="171"/>
      <c r="X2709" s="169" t="s">
        <v>9670</v>
      </c>
    </row>
    <row r="2710" ht="15.0" customHeight="1">
      <c r="A2710" s="127">
        <v>45955.0</v>
      </c>
      <c r="B2710" s="181" t="s">
        <v>9666</v>
      </c>
      <c r="C2710" s="56" t="s">
        <v>2934</v>
      </c>
      <c r="D2710" s="73" t="str">
        <f>IFERROR(VLOOKUP(C2710,Stock,3,FALSE),"")</f>
        <v>Peti Kayu</v>
      </c>
      <c r="E2710" s="56">
        <v>1.0</v>
      </c>
      <c r="F2710" s="161">
        <v>200000.0</v>
      </c>
      <c r="G2710" s="162">
        <f t="shared" si="40"/>
        <v>200000</v>
      </c>
      <c r="H2710" s="194"/>
      <c r="I2710" s="161">
        <f t="shared" si="41"/>
        <v>200000</v>
      </c>
      <c r="J2710" s="164">
        <f t="shared" si="42"/>
        <v>200000</v>
      </c>
      <c r="K2710" s="56" t="s">
        <v>9667</v>
      </c>
      <c r="L2710" s="165" t="s">
        <v>9668</v>
      </c>
      <c r="M2710" s="73"/>
      <c r="N2710" s="171"/>
      <c r="O2710" s="169" t="s">
        <v>9669</v>
      </c>
      <c r="P2710" s="168" t="s">
        <v>3112</v>
      </c>
      <c r="Q2710" s="173"/>
      <c r="R2710" s="167">
        <v>200000.0</v>
      </c>
      <c r="S2710" s="173"/>
      <c r="T2710" s="173"/>
      <c r="U2710" s="173"/>
      <c r="V2710" s="202"/>
      <c r="W2710" s="171"/>
      <c r="X2710" s="169" t="s">
        <v>9670</v>
      </c>
    </row>
    <row r="2711" ht="15.0" customHeight="1">
      <c r="A2711" s="127">
        <v>45955.0</v>
      </c>
      <c r="B2711" s="181" t="s">
        <v>9671</v>
      </c>
      <c r="C2711" s="475" t="s">
        <v>2565</v>
      </c>
      <c r="D2711" s="73" t="str">
        <f>IFERROR(VLOOKUP(C2711,Stock,3,FALSE),"")</f>
        <v>Toyota Avanza / Xenia 03-11 1st Gen</v>
      </c>
      <c r="E2711" s="56">
        <v>1.0</v>
      </c>
      <c r="F2711" s="161">
        <v>850000.0</v>
      </c>
      <c r="G2711" s="162">
        <f t="shared" si="40"/>
        <v>850000</v>
      </c>
      <c r="H2711" s="194"/>
      <c r="I2711" s="161">
        <f t="shared" si="41"/>
        <v>850000</v>
      </c>
      <c r="J2711" s="164">
        <f t="shared" si="42"/>
        <v>850000</v>
      </c>
      <c r="K2711" s="56" t="s">
        <v>9672</v>
      </c>
      <c r="L2711" s="165" t="s">
        <v>9673</v>
      </c>
      <c r="M2711" s="73"/>
      <c r="N2711" s="171"/>
      <c r="O2711" s="169" t="s">
        <v>5220</v>
      </c>
      <c r="P2711" s="168" t="s">
        <v>3112</v>
      </c>
      <c r="Q2711" s="173"/>
      <c r="R2711" s="167">
        <v>850000.0</v>
      </c>
      <c r="S2711" s="173"/>
      <c r="T2711" s="173"/>
      <c r="U2711" s="173"/>
      <c r="V2711" s="202"/>
      <c r="W2711" s="171"/>
      <c r="X2711" s="169" t="s">
        <v>9674</v>
      </c>
    </row>
    <row r="2712" ht="15.0" customHeight="1">
      <c r="A2712" s="127">
        <v>45955.0</v>
      </c>
      <c r="B2712" s="181" t="s">
        <v>9671</v>
      </c>
      <c r="C2712" s="56" t="s">
        <v>2549</v>
      </c>
      <c r="D2712" s="73" t="str">
        <f>IFERROR(VLOOKUP(C2712,Stock,3,FALSE),"")</f>
        <v>Toyota Avanza / Xenia 11-15 2nd Gen</v>
      </c>
      <c r="E2712" s="56">
        <v>1.0</v>
      </c>
      <c r="F2712" s="161">
        <v>850000.0</v>
      </c>
      <c r="G2712" s="162">
        <f t="shared" si="40"/>
        <v>850000</v>
      </c>
      <c r="H2712" s="194"/>
      <c r="I2712" s="161">
        <f t="shared" si="41"/>
        <v>850000</v>
      </c>
      <c r="J2712" s="164">
        <f t="shared" si="42"/>
        <v>850000</v>
      </c>
      <c r="K2712" s="56" t="s">
        <v>9672</v>
      </c>
      <c r="L2712" s="165" t="s">
        <v>9673</v>
      </c>
      <c r="M2712" s="73"/>
      <c r="N2712" s="171"/>
      <c r="O2712" s="169" t="s">
        <v>5220</v>
      </c>
      <c r="P2712" s="168" t="s">
        <v>3112</v>
      </c>
      <c r="Q2712" s="173"/>
      <c r="R2712" s="167">
        <v>850000.0</v>
      </c>
      <c r="S2712" s="173"/>
      <c r="T2712" s="173"/>
      <c r="U2712" s="173"/>
      <c r="V2712" s="202"/>
      <c r="W2712" s="171"/>
      <c r="X2712" s="169" t="s">
        <v>9674</v>
      </c>
    </row>
    <row r="2713" ht="15.0" customHeight="1">
      <c r="A2713" s="127">
        <v>45955.0</v>
      </c>
      <c r="B2713" s="181" t="s">
        <v>9671</v>
      </c>
      <c r="C2713" s="56" t="s">
        <v>2690</v>
      </c>
      <c r="D2713" s="73" t="str">
        <f>IFERROR(VLOOKUP(C2713,Stock,3,FALSE),"")</f>
        <v>Suzuki APV 03- Pickup/ Van</v>
      </c>
      <c r="E2713" s="56">
        <v>1.0</v>
      </c>
      <c r="F2713" s="161">
        <v>994000.0</v>
      </c>
      <c r="G2713" s="162">
        <f t="shared" si="40"/>
        <v>994000</v>
      </c>
      <c r="H2713" s="194"/>
      <c r="I2713" s="161">
        <f t="shared" si="41"/>
        <v>994000</v>
      </c>
      <c r="J2713" s="164">
        <f t="shared" si="42"/>
        <v>994000</v>
      </c>
      <c r="K2713" s="56" t="s">
        <v>9672</v>
      </c>
      <c r="L2713" s="165" t="s">
        <v>5233</v>
      </c>
      <c r="M2713" s="73"/>
      <c r="N2713" s="171"/>
      <c r="O2713" s="169" t="s">
        <v>5220</v>
      </c>
      <c r="P2713" s="168" t="s">
        <v>3112</v>
      </c>
      <c r="Q2713" s="173"/>
      <c r="R2713" s="167">
        <v>994000.0</v>
      </c>
      <c r="S2713" s="173"/>
      <c r="T2713" s="173"/>
      <c r="U2713" s="173"/>
      <c r="V2713" s="202"/>
      <c r="W2713" s="171"/>
      <c r="X2713" s="169" t="s">
        <v>9674</v>
      </c>
    </row>
    <row r="2714" ht="15.0" customHeight="1">
      <c r="A2714" s="127">
        <v>45955.0</v>
      </c>
      <c r="B2714" s="181" t="s">
        <v>9671</v>
      </c>
      <c r="C2714" s="56" t="s">
        <v>4027</v>
      </c>
      <c r="D2714" s="73" t="str">
        <f>IFERROR(VLOOKUP(C2714,Stock,3,FALSE),"")</f>
        <v>501 Sealant Application</v>
      </c>
      <c r="E2714" s="56">
        <v>10.0</v>
      </c>
      <c r="F2714" s="161">
        <v>75000.0</v>
      </c>
      <c r="G2714" s="162">
        <f t="shared" si="40"/>
        <v>750000</v>
      </c>
      <c r="H2714" s="194"/>
      <c r="I2714" s="161">
        <f t="shared" si="41"/>
        <v>750000</v>
      </c>
      <c r="J2714" s="164">
        <f t="shared" si="42"/>
        <v>750000</v>
      </c>
      <c r="K2714" s="56" t="s">
        <v>9672</v>
      </c>
      <c r="L2714" s="165" t="s">
        <v>5233</v>
      </c>
      <c r="M2714" s="73"/>
      <c r="N2714" s="171"/>
      <c r="O2714" s="169" t="s">
        <v>5220</v>
      </c>
      <c r="P2714" s="168" t="s">
        <v>3112</v>
      </c>
      <c r="Q2714" s="173"/>
      <c r="R2714" s="167">
        <v>750000.0</v>
      </c>
      <c r="S2714" s="173"/>
      <c r="T2714" s="173"/>
      <c r="U2714" s="173"/>
      <c r="V2714" s="202"/>
      <c r="W2714" s="171"/>
      <c r="X2714" s="169" t="s">
        <v>9674</v>
      </c>
    </row>
    <row r="2715" ht="15.0" customHeight="1">
      <c r="A2715" s="127">
        <v>45955.0</v>
      </c>
      <c r="B2715" s="181" t="s">
        <v>9671</v>
      </c>
      <c r="C2715" s="56" t="s">
        <v>2934</v>
      </c>
      <c r="D2715" s="73" t="str">
        <f>IFERROR(VLOOKUP(C2715,Stock,3,FALSE),"")</f>
        <v>Peti Kayu</v>
      </c>
      <c r="E2715" s="56">
        <v>1.0</v>
      </c>
      <c r="F2715" s="161">
        <v>200000.0</v>
      </c>
      <c r="G2715" s="162">
        <f t="shared" si="40"/>
        <v>200000</v>
      </c>
      <c r="H2715" s="194"/>
      <c r="I2715" s="161">
        <f t="shared" si="41"/>
        <v>200000</v>
      </c>
      <c r="J2715" s="164">
        <f t="shared" si="42"/>
        <v>200000</v>
      </c>
      <c r="K2715" s="56" t="s">
        <v>9672</v>
      </c>
      <c r="L2715" s="165" t="s">
        <v>5233</v>
      </c>
      <c r="M2715" s="73"/>
      <c r="N2715" s="171"/>
      <c r="O2715" s="169" t="s">
        <v>5220</v>
      </c>
      <c r="P2715" s="168" t="s">
        <v>3112</v>
      </c>
      <c r="Q2715" s="173"/>
      <c r="R2715" s="167">
        <v>200000.0</v>
      </c>
      <c r="S2715" s="173"/>
      <c r="T2715" s="173"/>
      <c r="U2715" s="173"/>
      <c r="V2715" s="202"/>
      <c r="W2715" s="171"/>
      <c r="X2715" s="169" t="s">
        <v>9674</v>
      </c>
    </row>
    <row r="2716" ht="15.0" customHeight="1">
      <c r="A2716" s="127">
        <v>45955.0</v>
      </c>
      <c r="B2716" s="181" t="s">
        <v>9675</v>
      </c>
      <c r="C2716" s="56" t="s">
        <v>2544</v>
      </c>
      <c r="D2716" s="73" t="str">
        <f>IFERROR(VLOOKUP(C2716,Stock,3,FALSE),"")</f>
        <v>Nissan Juke 11-</v>
      </c>
      <c r="E2716" s="56">
        <v>1.0</v>
      </c>
      <c r="F2716" s="161">
        <v>1982000.0</v>
      </c>
      <c r="G2716" s="162">
        <f t="shared" si="40"/>
        <v>1982000</v>
      </c>
      <c r="H2716" s="194"/>
      <c r="I2716" s="161">
        <f t="shared" si="41"/>
        <v>1982000</v>
      </c>
      <c r="J2716" s="164">
        <f t="shared" si="42"/>
        <v>1982000</v>
      </c>
      <c r="K2716" s="56" t="s">
        <v>3961</v>
      </c>
      <c r="L2716" s="165" t="s">
        <v>9676</v>
      </c>
      <c r="M2716" s="73"/>
      <c r="N2716" s="169" t="s">
        <v>9677</v>
      </c>
      <c r="O2716" s="169" t="s">
        <v>6923</v>
      </c>
      <c r="P2716" s="168" t="s">
        <v>3112</v>
      </c>
      <c r="Q2716" s="173"/>
      <c r="R2716" s="167">
        <v>1982000.0</v>
      </c>
      <c r="S2716" s="173"/>
      <c r="T2716" s="173"/>
      <c r="U2716" s="173"/>
      <c r="V2716" s="202"/>
      <c r="W2716" s="171"/>
      <c r="X2716" s="169" t="s">
        <v>9678</v>
      </c>
    </row>
    <row r="2717" ht="15.0" customHeight="1">
      <c r="A2717" s="127">
        <v>45956.0</v>
      </c>
      <c r="B2717" s="181" t="s">
        <v>9679</v>
      </c>
      <c r="C2717" s="56" t="s">
        <v>5493</v>
      </c>
      <c r="D2717" s="73" t="str">
        <f>IFERROR(VLOOKUP(C2717,Stock,3,FALSE),"")</f>
        <v>Toyota Calya / Sigra 16-</v>
      </c>
      <c r="E2717" s="56">
        <v>1.0</v>
      </c>
      <c r="F2717" s="161">
        <v>500000.0</v>
      </c>
      <c r="G2717" s="162">
        <f t="shared" si="40"/>
        <v>500000</v>
      </c>
      <c r="H2717" s="194"/>
      <c r="I2717" s="161">
        <f t="shared" si="41"/>
        <v>500000</v>
      </c>
      <c r="J2717" s="164">
        <f t="shared" si="42"/>
        <v>500000</v>
      </c>
      <c r="K2717" s="56" t="s">
        <v>9680</v>
      </c>
      <c r="L2717" s="165" t="s">
        <v>9681</v>
      </c>
      <c r="M2717" s="73"/>
      <c r="N2717" s="171"/>
      <c r="O2717" s="169" t="s">
        <v>6923</v>
      </c>
      <c r="P2717" s="168" t="s">
        <v>3112</v>
      </c>
      <c r="Q2717" s="173"/>
      <c r="R2717" s="167">
        <v>500000.0</v>
      </c>
      <c r="S2717" s="173"/>
      <c r="T2717" s="173"/>
      <c r="U2717" s="173"/>
      <c r="V2717" s="202"/>
      <c r="W2717" s="171"/>
      <c r="X2717" s="169" t="s">
        <v>9682</v>
      </c>
    </row>
    <row r="2718" ht="15.0" customHeight="1">
      <c r="A2718" s="127">
        <v>45958.0</v>
      </c>
      <c r="B2718" s="181" t="s">
        <v>9683</v>
      </c>
      <c r="C2718" s="475" t="s">
        <v>5528</v>
      </c>
      <c r="D2718" s="73" t="str">
        <f>IFERROR(VLOOKUP(C2718,Stock,3,FALSE),"")</f>
        <v>Toyota Innova 15-22 2nd Gen (Toyota)</v>
      </c>
      <c r="E2718" s="56">
        <v>1.0</v>
      </c>
      <c r="F2718" s="161">
        <v>2780000.0</v>
      </c>
      <c r="G2718" s="162">
        <f t="shared" si="40"/>
        <v>2780000</v>
      </c>
      <c r="H2718" s="194"/>
      <c r="I2718" s="161">
        <f t="shared" si="41"/>
        <v>2780000</v>
      </c>
      <c r="J2718" s="164">
        <f t="shared" si="42"/>
        <v>2780000</v>
      </c>
      <c r="K2718" s="56" t="s">
        <v>7495</v>
      </c>
      <c r="L2718" s="165" t="s">
        <v>9684</v>
      </c>
      <c r="M2718" s="73"/>
      <c r="N2718" s="171"/>
      <c r="O2718" s="169" t="s">
        <v>6923</v>
      </c>
      <c r="P2718" s="168" t="s">
        <v>3112</v>
      </c>
      <c r="Q2718" s="173"/>
      <c r="R2718" s="167">
        <v>2780000.0</v>
      </c>
      <c r="S2718" s="173"/>
      <c r="T2718" s="173"/>
      <c r="U2718" s="173"/>
      <c r="V2718" s="202"/>
      <c r="W2718" s="171"/>
      <c r="X2718" s="169" t="s">
        <v>9685</v>
      </c>
    </row>
    <row r="2719" ht="15.0" customHeight="1">
      <c r="A2719" s="127">
        <v>45958.0</v>
      </c>
      <c r="B2719" s="181" t="s">
        <v>9683</v>
      </c>
      <c r="C2719" s="56" t="s">
        <v>2954</v>
      </c>
      <c r="D2719" s="73" t="str">
        <f>IFERROR(VLOOKUP(C2719,Stock,3,FALSE),"")</f>
        <v>Transport</v>
      </c>
      <c r="E2719" s="56">
        <v>1.0</v>
      </c>
      <c r="F2719" s="161">
        <v>80000.0</v>
      </c>
      <c r="G2719" s="162">
        <f t="shared" si="40"/>
        <v>80000</v>
      </c>
      <c r="H2719" s="194"/>
      <c r="I2719" s="161">
        <f t="shared" si="41"/>
        <v>80000</v>
      </c>
      <c r="J2719" s="164">
        <f t="shared" si="42"/>
        <v>80000</v>
      </c>
      <c r="K2719" s="56" t="s">
        <v>7495</v>
      </c>
      <c r="L2719" s="165" t="s">
        <v>9684</v>
      </c>
      <c r="M2719" s="73"/>
      <c r="N2719" s="171"/>
      <c r="O2719" s="169" t="s">
        <v>6923</v>
      </c>
      <c r="P2719" s="168" t="s">
        <v>3112</v>
      </c>
      <c r="Q2719" s="173"/>
      <c r="R2719" s="167">
        <v>80000.0</v>
      </c>
      <c r="S2719" s="173"/>
      <c r="T2719" s="173"/>
      <c r="U2719" s="173"/>
      <c r="V2719" s="202"/>
      <c r="W2719" s="171"/>
      <c r="X2719" s="169" t="s">
        <v>9685</v>
      </c>
    </row>
    <row r="2720" ht="15.0" customHeight="1">
      <c r="A2720" s="127">
        <v>45958.0</v>
      </c>
      <c r="B2720" s="181" t="s">
        <v>9686</v>
      </c>
      <c r="C2720" s="56" t="s">
        <v>2549</v>
      </c>
      <c r="D2720" s="73" t="str">
        <f>IFERROR(VLOOKUP(C2720,Stock,3,FALSE),"")</f>
        <v>Toyota Avanza / Xenia 11-15 2nd Gen</v>
      </c>
      <c r="E2720" s="56">
        <v>1.0</v>
      </c>
      <c r="F2720" s="161">
        <v>1050000.0</v>
      </c>
      <c r="G2720" s="162">
        <f t="shared" si="40"/>
        <v>1050000</v>
      </c>
      <c r="H2720" s="194"/>
      <c r="I2720" s="161">
        <f t="shared" si="41"/>
        <v>1050000</v>
      </c>
      <c r="J2720" s="164">
        <f t="shared" si="42"/>
        <v>1050000</v>
      </c>
      <c r="K2720" s="56" t="s">
        <v>9687</v>
      </c>
      <c r="L2720" s="165" t="s">
        <v>9688</v>
      </c>
      <c r="M2720" s="73"/>
      <c r="N2720" s="171"/>
      <c r="O2720" s="169" t="s">
        <v>6923</v>
      </c>
      <c r="P2720" s="168" t="s">
        <v>3112</v>
      </c>
      <c r="Q2720" s="167">
        <v>1020000.0</v>
      </c>
      <c r="R2720" s="167">
        <v>30000.0</v>
      </c>
      <c r="S2720" s="173"/>
      <c r="T2720" s="173"/>
      <c r="U2720" s="173"/>
      <c r="V2720" s="202"/>
      <c r="W2720" s="171"/>
      <c r="X2720" s="169" t="s">
        <v>9689</v>
      </c>
    </row>
    <row r="2721" ht="15.0" customHeight="1">
      <c r="A2721" s="127">
        <v>45958.0</v>
      </c>
      <c r="B2721" s="181" t="s">
        <v>9686</v>
      </c>
      <c r="C2721" s="56" t="s">
        <v>2954</v>
      </c>
      <c r="D2721" s="73" t="str">
        <f>IFERROR(VLOOKUP(C2721,Stock,3,FALSE),"")</f>
        <v>Transport</v>
      </c>
      <c r="E2721" s="56">
        <v>1.0</v>
      </c>
      <c r="F2721" s="161">
        <v>50000.0</v>
      </c>
      <c r="G2721" s="162">
        <f t="shared" si="40"/>
        <v>50000</v>
      </c>
      <c r="H2721" s="194"/>
      <c r="I2721" s="161">
        <f t="shared" si="41"/>
        <v>50000</v>
      </c>
      <c r="J2721" s="164">
        <f t="shared" si="42"/>
        <v>50000</v>
      </c>
      <c r="K2721" s="56" t="s">
        <v>9687</v>
      </c>
      <c r="L2721" s="165" t="s">
        <v>9688</v>
      </c>
      <c r="M2721" s="73"/>
      <c r="N2721" s="171"/>
      <c r="O2721" s="169" t="s">
        <v>6923</v>
      </c>
      <c r="P2721" s="168" t="s">
        <v>3112</v>
      </c>
      <c r="Q2721" s="167">
        <v>50000.0</v>
      </c>
      <c r="R2721" s="173"/>
      <c r="S2721" s="173"/>
      <c r="T2721" s="173"/>
      <c r="U2721" s="173"/>
      <c r="V2721" s="202"/>
      <c r="W2721" s="171"/>
      <c r="X2721" s="169" t="s">
        <v>9305</v>
      </c>
    </row>
    <row r="2722" ht="15.0" customHeight="1">
      <c r="A2722" s="127">
        <v>45958.0</v>
      </c>
      <c r="B2722" s="181" t="s">
        <v>9690</v>
      </c>
      <c r="C2722" s="475" t="s">
        <v>3099</v>
      </c>
      <c r="D2722" s="73" t="str">
        <f>IFERROR(VLOOKUP(C2722,Stock,3,FALSE),"")</f>
        <v>Toyota Calya / Sigra 16-</v>
      </c>
      <c r="E2722" s="56">
        <v>1.0</v>
      </c>
      <c r="F2722" s="161">
        <v>1200000.0</v>
      </c>
      <c r="G2722" s="162">
        <f t="shared" si="40"/>
        <v>1200000</v>
      </c>
      <c r="H2722" s="194"/>
      <c r="I2722" s="161">
        <f t="shared" si="41"/>
        <v>1200000</v>
      </c>
      <c r="J2722" s="164">
        <f t="shared" si="42"/>
        <v>1200000</v>
      </c>
      <c r="K2722" s="56" t="s">
        <v>9691</v>
      </c>
      <c r="L2722" s="165" t="s">
        <v>9692</v>
      </c>
      <c r="M2722" s="73"/>
      <c r="N2722" s="169" t="s">
        <v>9693</v>
      </c>
      <c r="O2722" s="169" t="s">
        <v>6923</v>
      </c>
      <c r="P2722" s="168" t="s">
        <v>3112</v>
      </c>
      <c r="Q2722" s="173"/>
      <c r="R2722" s="167">
        <v>1200000.0</v>
      </c>
      <c r="S2722" s="173"/>
      <c r="T2722" s="173"/>
      <c r="U2722" s="173"/>
      <c r="V2722" s="202"/>
      <c r="W2722" s="171"/>
      <c r="X2722" s="169" t="s">
        <v>9694</v>
      </c>
    </row>
    <row r="2723" ht="15.0" customHeight="1">
      <c r="A2723" s="127">
        <v>45958.0</v>
      </c>
      <c r="B2723" s="181" t="s">
        <v>9695</v>
      </c>
      <c r="C2723" s="56" t="s">
        <v>2607</v>
      </c>
      <c r="D2723" s="73" t="str">
        <f>IFERROR(VLOOKUP(C2723,Stock,3,FALSE),"")</f>
        <v>Mazda 2 14- Skyactiv 4th Gen (1 Sensor/ □ )</v>
      </c>
      <c r="E2723" s="56">
        <v>1.0</v>
      </c>
      <c r="F2723" s="161">
        <v>3208000.0</v>
      </c>
      <c r="G2723" s="162">
        <f t="shared" si="40"/>
        <v>3208000</v>
      </c>
      <c r="H2723" s="194"/>
      <c r="I2723" s="161">
        <f t="shared" si="41"/>
        <v>3208000</v>
      </c>
      <c r="J2723" s="164">
        <f t="shared" si="42"/>
        <v>3208000</v>
      </c>
      <c r="K2723" s="56" t="s">
        <v>9696</v>
      </c>
      <c r="L2723" s="165" t="s">
        <v>9697</v>
      </c>
      <c r="M2723" s="73"/>
      <c r="N2723" s="169" t="s">
        <v>9698</v>
      </c>
      <c r="O2723" s="169" t="s">
        <v>9699</v>
      </c>
      <c r="P2723" s="168" t="s">
        <v>3112</v>
      </c>
      <c r="Q2723" s="167">
        <v>3208000.0</v>
      </c>
      <c r="R2723" s="173"/>
      <c r="S2723" s="173"/>
      <c r="T2723" s="173"/>
      <c r="U2723" s="173"/>
      <c r="V2723" s="202"/>
      <c r="W2723" s="171"/>
      <c r="X2723" s="169" t="s">
        <v>9305</v>
      </c>
    </row>
    <row r="2724" ht="15.0" customHeight="1">
      <c r="A2724" s="127">
        <v>45958.0</v>
      </c>
      <c r="B2724" s="181" t="s">
        <v>9700</v>
      </c>
      <c r="C2724" s="475" t="s">
        <v>3085</v>
      </c>
      <c r="D2724" s="73" t="str">
        <f>IFERROR(VLOOKUP(C2724,Stock,3,FALSE),"")</f>
        <v>Honda Jazz 07-13 2nd Gen</v>
      </c>
      <c r="E2724" s="56">
        <v>1.0</v>
      </c>
      <c r="F2724" s="161">
        <v>1078000.0</v>
      </c>
      <c r="G2724" s="162">
        <f t="shared" si="40"/>
        <v>1078000</v>
      </c>
      <c r="H2724" s="194"/>
      <c r="I2724" s="161">
        <f t="shared" si="41"/>
        <v>1078000</v>
      </c>
      <c r="J2724" s="164">
        <f t="shared" si="42"/>
        <v>1078000</v>
      </c>
      <c r="K2724" s="56" t="s">
        <v>9701</v>
      </c>
      <c r="L2724" s="165" t="s">
        <v>9702</v>
      </c>
      <c r="M2724" s="73"/>
      <c r="N2724" s="171"/>
      <c r="O2724" s="169" t="s">
        <v>6923</v>
      </c>
      <c r="P2724" s="168" t="s">
        <v>3112</v>
      </c>
      <c r="Q2724" s="173"/>
      <c r="R2724" s="167">
        <v>1078000.0</v>
      </c>
      <c r="S2724" s="173"/>
      <c r="T2724" s="173"/>
      <c r="U2724" s="173"/>
      <c r="V2724" s="202"/>
      <c r="W2724" s="171"/>
      <c r="X2724" s="169" t="s">
        <v>9703</v>
      </c>
    </row>
    <row r="2725" ht="15.0" customHeight="1">
      <c r="A2725" s="127">
        <v>45958.0</v>
      </c>
      <c r="B2725" s="181" t="s">
        <v>9700</v>
      </c>
      <c r="C2725" s="56" t="s">
        <v>2934</v>
      </c>
      <c r="D2725" s="73" t="str">
        <f>IFERROR(VLOOKUP(C2725,Stock,3,FALSE),"")</f>
        <v>Peti Kayu</v>
      </c>
      <c r="E2725" s="56">
        <v>1.0</v>
      </c>
      <c r="F2725" s="161">
        <v>200000.0</v>
      </c>
      <c r="G2725" s="162">
        <f t="shared" si="40"/>
        <v>200000</v>
      </c>
      <c r="H2725" s="194"/>
      <c r="I2725" s="161">
        <f t="shared" si="41"/>
        <v>200000</v>
      </c>
      <c r="J2725" s="164">
        <f t="shared" si="42"/>
        <v>200000</v>
      </c>
      <c r="K2725" s="56" t="s">
        <v>9701</v>
      </c>
      <c r="L2725" s="165" t="s">
        <v>9702</v>
      </c>
      <c r="M2725" s="73"/>
      <c r="N2725" s="171"/>
      <c r="O2725" s="169" t="s">
        <v>6923</v>
      </c>
      <c r="P2725" s="168" t="s">
        <v>3112</v>
      </c>
      <c r="Q2725" s="173"/>
      <c r="R2725" s="167">
        <v>200000.0</v>
      </c>
      <c r="S2725" s="173"/>
      <c r="T2725" s="173"/>
      <c r="U2725" s="173"/>
      <c r="V2725" s="202"/>
      <c r="W2725" s="171"/>
      <c r="X2725" s="169" t="s">
        <v>9703</v>
      </c>
    </row>
    <row r="2726" ht="15.0" customHeight="1">
      <c r="A2726" s="127">
        <v>45958.0</v>
      </c>
      <c r="B2726" s="181" t="s">
        <v>9700</v>
      </c>
      <c r="C2726" s="56" t="s">
        <v>2954</v>
      </c>
      <c r="D2726" s="73" t="str">
        <f>IFERROR(VLOOKUP(C2726,Stock,3,FALSE),"")</f>
        <v>Transport</v>
      </c>
      <c r="E2726" s="56">
        <v>1.0</v>
      </c>
      <c r="F2726" s="161">
        <v>100000.0</v>
      </c>
      <c r="G2726" s="162">
        <f t="shared" si="40"/>
        <v>100000</v>
      </c>
      <c r="H2726" s="194"/>
      <c r="I2726" s="161">
        <f t="shared" si="41"/>
        <v>100000</v>
      </c>
      <c r="J2726" s="164">
        <f t="shared" si="42"/>
        <v>100000</v>
      </c>
      <c r="K2726" s="56" t="s">
        <v>9701</v>
      </c>
      <c r="L2726" s="165" t="s">
        <v>9702</v>
      </c>
      <c r="M2726" s="73"/>
      <c r="N2726" s="171"/>
      <c r="O2726" s="169" t="s">
        <v>6923</v>
      </c>
      <c r="P2726" s="168" t="s">
        <v>3112</v>
      </c>
      <c r="Q2726" s="173"/>
      <c r="R2726" s="167">
        <v>100000.0</v>
      </c>
      <c r="S2726" s="173"/>
      <c r="T2726" s="173"/>
      <c r="U2726" s="173"/>
      <c r="V2726" s="202"/>
      <c r="W2726" s="171"/>
      <c r="X2726" s="169" t="s">
        <v>9703</v>
      </c>
    </row>
    <row r="2727" ht="15.0" customHeight="1">
      <c r="A2727" s="127">
        <v>45958.0</v>
      </c>
      <c r="B2727" s="181" t="s">
        <v>9704</v>
      </c>
      <c r="C2727" s="475" t="s">
        <v>3837</v>
      </c>
      <c r="D2727" s="73" t="str">
        <f>IFERROR(VLOOKUP(C2727,Stock,3,FALSE),"")</f>
        <v>Toyota Yaris 13- 2nd Gen / Vios 14- 3rd Gen</v>
      </c>
      <c r="E2727" s="56">
        <v>1.0</v>
      </c>
      <c r="F2727" s="161">
        <v>1619000.0</v>
      </c>
      <c r="G2727" s="162">
        <f t="shared" si="40"/>
        <v>1619000</v>
      </c>
      <c r="H2727" s="194"/>
      <c r="I2727" s="161">
        <f t="shared" si="41"/>
        <v>1619000</v>
      </c>
      <c r="J2727" s="164">
        <f t="shared" si="42"/>
        <v>1619000</v>
      </c>
      <c r="K2727" s="56" t="s">
        <v>9705</v>
      </c>
      <c r="L2727" s="165" t="s">
        <v>9706</v>
      </c>
      <c r="M2727" s="73"/>
      <c r="N2727" s="289" t="s">
        <v>9707</v>
      </c>
      <c r="O2727" s="169" t="s">
        <v>6923</v>
      </c>
      <c r="P2727" s="168" t="s">
        <v>3112</v>
      </c>
      <c r="Q2727" s="173"/>
      <c r="R2727" s="167">
        <v>1619000.0</v>
      </c>
      <c r="S2727" s="173"/>
      <c r="T2727" s="173"/>
      <c r="U2727" s="173"/>
      <c r="V2727" s="202"/>
      <c r="W2727" s="171"/>
      <c r="X2727" s="169" t="s">
        <v>9708</v>
      </c>
    </row>
    <row r="2728" ht="15.0" customHeight="1">
      <c r="A2728" s="127">
        <v>45959.0</v>
      </c>
      <c r="B2728" s="181" t="s">
        <v>9709</v>
      </c>
      <c r="C2728" s="475" t="s">
        <v>2718</v>
      </c>
      <c r="D2728" s="73" t="str">
        <f>IFERROR(VLOOKUP(C2728,Stock,3,FALSE),"")</f>
        <v>Isuzu Traga</v>
      </c>
      <c r="E2728" s="56">
        <v>1.0</v>
      </c>
      <c r="F2728" s="161">
        <v>1250000.0</v>
      </c>
      <c r="G2728" s="162">
        <f t="shared" si="40"/>
        <v>1250000</v>
      </c>
      <c r="H2728" s="194"/>
      <c r="I2728" s="161">
        <f t="shared" si="41"/>
        <v>1250000</v>
      </c>
      <c r="J2728" s="164">
        <f t="shared" si="42"/>
        <v>1250000</v>
      </c>
      <c r="K2728" s="56" t="s">
        <v>7051</v>
      </c>
      <c r="L2728" s="165" t="s">
        <v>9710</v>
      </c>
      <c r="M2728" s="73"/>
      <c r="N2728" s="171"/>
      <c r="O2728" s="169" t="s">
        <v>6923</v>
      </c>
      <c r="P2728" s="168" t="s">
        <v>3112</v>
      </c>
      <c r="Q2728" s="167">
        <v>1250000.0</v>
      </c>
      <c r="S2728" s="173"/>
      <c r="T2728" s="173"/>
      <c r="U2728" s="173"/>
      <c r="V2728" s="202"/>
      <c r="W2728" s="171"/>
      <c r="X2728" s="169" t="s">
        <v>9305</v>
      </c>
    </row>
    <row r="2729" ht="15.0" customHeight="1">
      <c r="A2729" s="127">
        <v>45959.0</v>
      </c>
      <c r="B2729" s="181" t="s">
        <v>9709</v>
      </c>
      <c r="C2729" s="56" t="s">
        <v>2954</v>
      </c>
      <c r="D2729" s="73" t="str">
        <f>IFERROR(VLOOKUP(C2729,Stock,3,FALSE),"")</f>
        <v>Transport</v>
      </c>
      <c r="E2729" s="56">
        <v>1.0</v>
      </c>
      <c r="F2729" s="161">
        <v>50000.0</v>
      </c>
      <c r="G2729" s="162">
        <f t="shared" si="40"/>
        <v>50000</v>
      </c>
      <c r="H2729" s="194"/>
      <c r="I2729" s="161">
        <f t="shared" si="41"/>
        <v>50000</v>
      </c>
      <c r="J2729" s="164">
        <f t="shared" si="42"/>
        <v>50000</v>
      </c>
      <c r="K2729" s="56" t="s">
        <v>7051</v>
      </c>
      <c r="L2729" s="165" t="s">
        <v>9710</v>
      </c>
      <c r="M2729" s="73"/>
      <c r="N2729" s="171"/>
      <c r="O2729" s="169" t="s">
        <v>6923</v>
      </c>
      <c r="P2729" s="168" t="s">
        <v>3112</v>
      </c>
      <c r="Q2729" s="167">
        <v>50000.0</v>
      </c>
      <c r="S2729" s="173"/>
      <c r="T2729" s="173"/>
      <c r="U2729" s="173"/>
      <c r="V2729" s="202"/>
      <c r="W2729" s="171"/>
      <c r="X2729" s="169" t="s">
        <v>9305</v>
      </c>
    </row>
    <row r="2730" ht="15.0" customHeight="1">
      <c r="A2730" s="127">
        <v>45959.0</v>
      </c>
      <c r="B2730" s="181" t="s">
        <v>9711</v>
      </c>
      <c r="C2730" s="56" t="s">
        <v>2775</v>
      </c>
      <c r="D2730" s="73" t="str">
        <f>IFERROR(VLOOKUP(C2730,Stock,3,FALSE),"")</f>
        <v>Hino Ranger Louhan 03- / Hino 500</v>
      </c>
      <c r="E2730" s="56">
        <v>1.0</v>
      </c>
      <c r="F2730" s="161">
        <v>1871000.0</v>
      </c>
      <c r="G2730" s="162">
        <f t="shared" si="40"/>
        <v>1871000</v>
      </c>
      <c r="H2730" s="194"/>
      <c r="I2730" s="161">
        <f t="shared" si="41"/>
        <v>1871000</v>
      </c>
      <c r="J2730" s="164">
        <f t="shared" si="42"/>
        <v>1871000</v>
      </c>
      <c r="K2730" s="56" t="s">
        <v>9712</v>
      </c>
      <c r="L2730" s="165" t="s">
        <v>9713</v>
      </c>
      <c r="M2730" s="73"/>
      <c r="N2730" s="171"/>
      <c r="O2730" s="169" t="s">
        <v>6923</v>
      </c>
      <c r="P2730" s="168" t="s">
        <v>3112</v>
      </c>
      <c r="Q2730" s="167">
        <v>1871000.0</v>
      </c>
      <c r="R2730" s="173"/>
      <c r="S2730" s="173"/>
      <c r="T2730" s="173"/>
      <c r="U2730" s="173"/>
      <c r="V2730" s="202"/>
      <c r="W2730" s="171"/>
      <c r="X2730" s="169" t="s">
        <v>9305</v>
      </c>
    </row>
    <row r="2731" ht="15.0" customHeight="1">
      <c r="A2731" s="127">
        <v>45959.0</v>
      </c>
      <c r="B2731" s="181" t="s">
        <v>9714</v>
      </c>
      <c r="C2731" s="475" t="s">
        <v>2576</v>
      </c>
      <c r="D2731" s="73" t="str">
        <f>IFERROR(VLOOKUP(C2731,Stock,3,FALSE),"")</f>
        <v>Toyota Camry 06-11 XV40 4th Gen</v>
      </c>
      <c r="E2731" s="56">
        <v>1.0</v>
      </c>
      <c r="F2731" s="161">
        <v>3123000.0</v>
      </c>
      <c r="G2731" s="162">
        <f t="shared" si="40"/>
        <v>3123000</v>
      </c>
      <c r="H2731" s="194"/>
      <c r="I2731" s="161">
        <f t="shared" si="41"/>
        <v>3123000</v>
      </c>
      <c r="J2731" s="164">
        <f t="shared" si="42"/>
        <v>3123000</v>
      </c>
      <c r="K2731" s="56" t="s">
        <v>9715</v>
      </c>
      <c r="L2731" s="165" t="s">
        <v>9716</v>
      </c>
      <c r="M2731" s="73"/>
      <c r="N2731" s="171"/>
      <c r="O2731" s="169" t="s">
        <v>6923</v>
      </c>
      <c r="P2731" s="168" t="s">
        <v>3112</v>
      </c>
      <c r="Q2731" s="173"/>
      <c r="R2731" s="167">
        <v>3123000.0</v>
      </c>
      <c r="S2731" s="173"/>
      <c r="T2731" s="173"/>
      <c r="U2731" s="173"/>
      <c r="V2731" s="202"/>
      <c r="W2731" s="171"/>
      <c r="X2731" s="169" t="s">
        <v>9717</v>
      </c>
    </row>
    <row r="2732" ht="15.0" customHeight="1">
      <c r="A2732" s="127">
        <v>45959.0</v>
      </c>
      <c r="B2732" s="475" t="s">
        <v>9718</v>
      </c>
      <c r="C2732" s="56" t="s">
        <v>9719</v>
      </c>
      <c r="D2732" s="73" t="str">
        <f>IFERROR(VLOOKUP(C2732,Stock,3,FALSE),"")</f>
        <v>Mers-Benz Axor 98- Truck</v>
      </c>
      <c r="E2732" s="56">
        <v>1.0</v>
      </c>
      <c r="F2732" s="161">
        <v>2350000.0</v>
      </c>
      <c r="G2732" s="162">
        <f t="shared" si="40"/>
        <v>2350000</v>
      </c>
      <c r="H2732" s="194"/>
      <c r="I2732" s="161">
        <f t="shared" si="41"/>
        <v>2350000</v>
      </c>
      <c r="J2732" s="164">
        <f t="shared" si="42"/>
        <v>2350000</v>
      </c>
      <c r="K2732" s="56" t="s">
        <v>9720</v>
      </c>
      <c r="L2732" s="165" t="s">
        <v>9721</v>
      </c>
      <c r="M2732" s="73"/>
      <c r="N2732" s="171"/>
      <c r="O2732" s="169" t="s">
        <v>6923</v>
      </c>
      <c r="P2732" s="168" t="s">
        <v>3112</v>
      </c>
      <c r="Q2732" s="173"/>
      <c r="R2732" s="167">
        <v>2350000.0</v>
      </c>
      <c r="S2732" s="173"/>
      <c r="T2732" s="173"/>
      <c r="U2732" s="173"/>
      <c r="V2732" s="202"/>
      <c r="W2732" s="171"/>
      <c r="X2732" s="169" t="s">
        <v>9722</v>
      </c>
    </row>
    <row r="2733" ht="15.0" customHeight="1">
      <c r="A2733" s="127">
        <v>45959.0</v>
      </c>
      <c r="B2733" s="475" t="s">
        <v>9723</v>
      </c>
      <c r="C2733" s="475" t="s">
        <v>9724</v>
      </c>
      <c r="D2733" s="73" t="str">
        <f>IFERROR(VLOOKUP(C2733,Stock,3,FALSE),"")</f>
        <v>BMW 3 Series 90-99 E36</v>
      </c>
      <c r="E2733" s="56">
        <v>1.0</v>
      </c>
      <c r="F2733" s="161">
        <v>1100000.0</v>
      </c>
      <c r="G2733" s="162">
        <f t="shared" si="40"/>
        <v>1100000</v>
      </c>
      <c r="H2733" s="194"/>
      <c r="I2733" s="161">
        <f t="shared" si="41"/>
        <v>1100000</v>
      </c>
      <c r="J2733" s="164">
        <f t="shared" si="42"/>
        <v>1100000</v>
      </c>
      <c r="K2733" s="482" t="s">
        <v>9725</v>
      </c>
      <c r="L2733" s="165" t="s">
        <v>9726</v>
      </c>
      <c r="M2733" s="73"/>
      <c r="N2733" s="171"/>
      <c r="O2733" s="169" t="s">
        <v>6923</v>
      </c>
      <c r="P2733" s="168" t="s">
        <v>3112</v>
      </c>
      <c r="Q2733" s="173"/>
      <c r="R2733" s="167">
        <v>1100000.0</v>
      </c>
      <c r="S2733" s="173"/>
      <c r="T2733" s="173"/>
      <c r="U2733" s="173"/>
      <c r="V2733" s="202"/>
      <c r="W2733" s="171"/>
      <c r="X2733" s="169" t="s">
        <v>9727</v>
      </c>
    </row>
    <row r="2734" ht="15.0" customHeight="1">
      <c r="A2734" s="127">
        <v>45959.0</v>
      </c>
      <c r="B2734" s="475" t="s">
        <v>9723</v>
      </c>
      <c r="C2734" s="56" t="s">
        <v>2934</v>
      </c>
      <c r="D2734" s="73" t="str">
        <f>IFERROR(VLOOKUP(C2734,Stock,3,FALSE),"")</f>
        <v>Peti Kayu</v>
      </c>
      <c r="E2734" s="56">
        <v>1.0</v>
      </c>
      <c r="F2734" s="161">
        <v>200000.0</v>
      </c>
      <c r="G2734" s="162">
        <f t="shared" si="40"/>
        <v>200000</v>
      </c>
      <c r="H2734" s="194"/>
      <c r="I2734" s="161">
        <f t="shared" si="41"/>
        <v>200000</v>
      </c>
      <c r="J2734" s="164">
        <f t="shared" si="42"/>
        <v>200000</v>
      </c>
      <c r="K2734" s="482" t="s">
        <v>9725</v>
      </c>
      <c r="L2734" s="165" t="s">
        <v>9726</v>
      </c>
      <c r="M2734" s="73"/>
      <c r="N2734" s="171"/>
      <c r="O2734" s="169" t="s">
        <v>6923</v>
      </c>
      <c r="P2734" s="168" t="s">
        <v>3112</v>
      </c>
      <c r="Q2734" s="173"/>
      <c r="R2734" s="167">
        <v>200000.0</v>
      </c>
      <c r="S2734" s="173"/>
      <c r="T2734" s="173"/>
      <c r="U2734" s="173"/>
      <c r="V2734" s="202"/>
      <c r="W2734" s="171"/>
      <c r="X2734" s="169" t="s">
        <v>9727</v>
      </c>
    </row>
    <row r="2735" ht="15.0" customHeight="1">
      <c r="A2735" s="127">
        <v>45959.0</v>
      </c>
      <c r="B2735" s="475" t="s">
        <v>9723</v>
      </c>
      <c r="C2735" s="56" t="s">
        <v>2954</v>
      </c>
      <c r="D2735" s="73" t="str">
        <f>IFERROR(VLOOKUP(C2735,Stock,3,FALSE),"")</f>
        <v>Transport</v>
      </c>
      <c r="E2735" s="56">
        <v>1.0</v>
      </c>
      <c r="F2735" s="161">
        <v>50000.0</v>
      </c>
      <c r="G2735" s="162">
        <f t="shared" si="40"/>
        <v>50000</v>
      </c>
      <c r="H2735" s="194"/>
      <c r="I2735" s="161">
        <f t="shared" si="41"/>
        <v>50000</v>
      </c>
      <c r="J2735" s="164">
        <f t="shared" si="42"/>
        <v>50000</v>
      </c>
      <c r="K2735" s="482" t="s">
        <v>9725</v>
      </c>
      <c r="L2735" s="165" t="s">
        <v>9726</v>
      </c>
      <c r="M2735" s="73"/>
      <c r="N2735" s="171"/>
      <c r="O2735" s="169" t="s">
        <v>6923</v>
      </c>
      <c r="P2735" s="168" t="s">
        <v>3112</v>
      </c>
      <c r="Q2735" s="173"/>
      <c r="R2735" s="167">
        <v>50000.0</v>
      </c>
      <c r="S2735" s="173"/>
      <c r="T2735" s="173"/>
      <c r="U2735" s="173"/>
      <c r="V2735" s="202"/>
      <c r="W2735" s="171"/>
      <c r="X2735" s="169" t="s">
        <v>9727</v>
      </c>
    </row>
    <row r="2736" ht="15.0" customHeight="1">
      <c r="A2736" s="127">
        <v>45960.0</v>
      </c>
      <c r="B2736" s="475" t="s">
        <v>9728</v>
      </c>
      <c r="C2736" s="475" t="s">
        <v>3273</v>
      </c>
      <c r="D2736" s="73" t="str">
        <f>IFERROR(VLOOKUP(C2736,Stock,3,FALSE),"")</f>
        <v>Pemasangan Kaca Mobil Belakang</v>
      </c>
      <c r="E2736" s="56">
        <v>1.0</v>
      </c>
      <c r="F2736" s="161">
        <v>600000.0</v>
      </c>
      <c r="G2736" s="162">
        <f t="shared" si="40"/>
        <v>600000</v>
      </c>
      <c r="H2736" s="194"/>
      <c r="I2736" s="161">
        <f t="shared" si="41"/>
        <v>600000</v>
      </c>
      <c r="J2736" s="164">
        <f t="shared" si="42"/>
        <v>600000</v>
      </c>
      <c r="K2736" s="56" t="s">
        <v>9729</v>
      </c>
      <c r="L2736" s="165" t="s">
        <v>9730</v>
      </c>
      <c r="M2736" s="73"/>
      <c r="N2736" s="169" t="s">
        <v>9731</v>
      </c>
      <c r="O2736" s="169" t="s">
        <v>6923</v>
      </c>
      <c r="P2736" s="168" t="s">
        <v>3112</v>
      </c>
      <c r="Q2736" s="167">
        <v>600000.0</v>
      </c>
      <c r="R2736" s="173"/>
      <c r="S2736" s="173"/>
      <c r="T2736" s="173"/>
      <c r="U2736" s="173"/>
      <c r="V2736" s="202"/>
      <c r="W2736" s="171"/>
      <c r="X2736" s="169" t="s">
        <v>9305</v>
      </c>
    </row>
    <row r="2737" ht="15.0" customHeight="1">
      <c r="A2737" s="127">
        <v>45960.0</v>
      </c>
      <c r="B2737" s="475" t="s">
        <v>9728</v>
      </c>
      <c r="C2737" s="56" t="s">
        <v>2954</v>
      </c>
      <c r="D2737" s="73" t="str">
        <f>IFERROR(VLOOKUP(C2737,Stock,3,FALSE),"")</f>
        <v>Transport</v>
      </c>
      <c r="E2737" s="56">
        <v>1.0</v>
      </c>
      <c r="F2737" s="161">
        <v>30000.0</v>
      </c>
      <c r="G2737" s="162">
        <f t="shared" si="40"/>
        <v>30000</v>
      </c>
      <c r="H2737" s="194"/>
      <c r="I2737" s="161">
        <f t="shared" si="41"/>
        <v>30000</v>
      </c>
      <c r="J2737" s="164">
        <f t="shared" si="42"/>
        <v>30000</v>
      </c>
      <c r="K2737" s="56" t="s">
        <v>9732</v>
      </c>
      <c r="L2737" s="165" t="s">
        <v>9730</v>
      </c>
      <c r="M2737" s="73"/>
      <c r="N2737" s="169" t="s">
        <v>9731</v>
      </c>
      <c r="O2737" s="169" t="s">
        <v>6923</v>
      </c>
      <c r="P2737" s="168" t="s">
        <v>3112</v>
      </c>
      <c r="Q2737" s="167">
        <v>30000.0</v>
      </c>
      <c r="R2737" s="173"/>
      <c r="S2737" s="173"/>
      <c r="T2737" s="173"/>
      <c r="U2737" s="173"/>
      <c r="V2737" s="202"/>
      <c r="W2737" s="171"/>
      <c r="X2737" s="169" t="s">
        <v>9305</v>
      </c>
    </row>
    <row r="2738" ht="15.0" customHeight="1">
      <c r="A2738" s="127">
        <v>45960.0</v>
      </c>
      <c r="B2738" s="475" t="s">
        <v>9733</v>
      </c>
      <c r="C2738" s="475" t="s">
        <v>2836</v>
      </c>
      <c r="D2738" s="73" t="str">
        <f>IFERROR(VLOOKUP(C2738,Stock,3,FALSE),"")</f>
        <v>Toyota Avanza / Xenia 21- 4th Gen</v>
      </c>
      <c r="E2738" s="56">
        <v>1.0</v>
      </c>
      <c r="F2738" s="161">
        <v>700000.0</v>
      </c>
      <c r="G2738" s="162">
        <f t="shared" si="40"/>
        <v>700000</v>
      </c>
      <c r="H2738" s="194"/>
      <c r="I2738" s="161">
        <f t="shared" si="41"/>
        <v>700000</v>
      </c>
      <c r="J2738" s="164">
        <f t="shared" si="42"/>
        <v>700000</v>
      </c>
      <c r="K2738" s="56" t="s">
        <v>9734</v>
      </c>
      <c r="L2738" s="165" t="s">
        <v>9735</v>
      </c>
      <c r="M2738" s="73"/>
      <c r="N2738" s="171"/>
      <c r="O2738" s="169" t="s">
        <v>6923</v>
      </c>
      <c r="P2738" s="168" t="s">
        <v>3112</v>
      </c>
      <c r="Q2738" s="173"/>
      <c r="R2738" s="167">
        <v>700000.0</v>
      </c>
      <c r="S2738" s="173"/>
      <c r="T2738" s="173"/>
      <c r="U2738" s="173"/>
      <c r="V2738" s="202"/>
      <c r="W2738" s="171"/>
      <c r="X2738" s="169" t="s">
        <v>9736</v>
      </c>
    </row>
    <row r="2739" ht="15.0" customHeight="1">
      <c r="A2739" s="127">
        <v>45960.0</v>
      </c>
      <c r="B2739" s="475" t="s">
        <v>9737</v>
      </c>
      <c r="C2739" s="475" t="s">
        <v>3707</v>
      </c>
      <c r="D2739" s="73" t="str">
        <f>IFERROR(VLOOKUP(C2739,Stock,3,FALSE),"")</f>
        <v>Mitsubishi Pajero 16-</v>
      </c>
      <c r="E2739" s="56">
        <v>1.0</v>
      </c>
      <c r="F2739" s="161">
        <v>1280000.0</v>
      </c>
      <c r="G2739" s="162">
        <f t="shared" si="40"/>
        <v>1280000</v>
      </c>
      <c r="H2739" s="194"/>
      <c r="I2739" s="161">
        <f t="shared" si="41"/>
        <v>1280000</v>
      </c>
      <c r="J2739" s="164">
        <f t="shared" si="42"/>
        <v>1280000</v>
      </c>
      <c r="K2739" s="56" t="s">
        <v>9738</v>
      </c>
      <c r="L2739" s="165" t="s">
        <v>9739</v>
      </c>
      <c r="M2739" s="73"/>
      <c r="N2739" s="171"/>
      <c r="O2739" s="169" t="s">
        <v>6923</v>
      </c>
      <c r="P2739" s="168" t="s">
        <v>3112</v>
      </c>
      <c r="Q2739" s="173"/>
      <c r="R2739" s="167">
        <v>1280000.0</v>
      </c>
      <c r="S2739" s="173"/>
      <c r="T2739" s="173"/>
      <c r="U2739" s="173"/>
      <c r="V2739" s="202"/>
      <c r="W2739" s="171"/>
      <c r="X2739" s="169" t="s">
        <v>9740</v>
      </c>
    </row>
    <row r="2740" ht="15.0" customHeight="1">
      <c r="A2740" s="127">
        <v>45961.0</v>
      </c>
      <c r="B2740" s="475" t="s">
        <v>9741</v>
      </c>
      <c r="C2740" s="56" t="s">
        <v>3411</v>
      </c>
      <c r="D2740" s="73" t="str">
        <f>IFERROR(VLOOKUP(C2740,Stock,3,FALSE),"")</f>
        <v>Toyota Agya/Ayla 13-22 1st Gen</v>
      </c>
      <c r="E2740" s="56">
        <v>1.0</v>
      </c>
      <c r="F2740" s="161">
        <v>1000000.0</v>
      </c>
      <c r="G2740" s="162">
        <f t="shared" si="40"/>
        <v>1000000</v>
      </c>
      <c r="H2740" s="194"/>
      <c r="I2740" s="161">
        <f t="shared" si="41"/>
        <v>1000000</v>
      </c>
      <c r="J2740" s="164">
        <f t="shared" si="42"/>
        <v>1000000</v>
      </c>
      <c r="K2740" s="56" t="s">
        <v>9742</v>
      </c>
      <c r="L2740" s="165" t="s">
        <v>9743</v>
      </c>
      <c r="M2740" s="73"/>
      <c r="N2740" s="169" t="s">
        <v>9744</v>
      </c>
      <c r="O2740" s="169" t="s">
        <v>6923</v>
      </c>
      <c r="P2740" s="168" t="s">
        <v>3112</v>
      </c>
      <c r="Q2740" s="173"/>
      <c r="R2740" s="167">
        <v>1000000.0</v>
      </c>
      <c r="S2740" s="173"/>
      <c r="T2740" s="173"/>
      <c r="U2740" s="173"/>
      <c r="V2740" s="202"/>
      <c r="W2740" s="171"/>
      <c r="X2740" s="169" t="s">
        <v>9745</v>
      </c>
    </row>
    <row r="2741" ht="15.0" customHeight="1">
      <c r="A2741" s="127">
        <v>45961.0</v>
      </c>
      <c r="B2741" s="475" t="s">
        <v>9746</v>
      </c>
      <c r="C2741" s="475" t="s">
        <v>2595</v>
      </c>
      <c r="D2741" s="73" t="str">
        <f>IFERROR(VLOOKUP(C2741,Stock,3,FALSE),"")</f>
        <v>Toyota Alphard 08-15 ANH20 2nd Gen</v>
      </c>
      <c r="E2741" s="56">
        <v>1.0</v>
      </c>
      <c r="F2741" s="161">
        <v>3857000.0</v>
      </c>
      <c r="G2741" s="162">
        <f t="shared" si="40"/>
        <v>3857000</v>
      </c>
      <c r="H2741" s="194"/>
      <c r="I2741" s="161">
        <f t="shared" si="41"/>
        <v>3857000</v>
      </c>
      <c r="J2741" s="164">
        <f t="shared" si="42"/>
        <v>3857000</v>
      </c>
      <c r="K2741" s="56" t="s">
        <v>5646</v>
      </c>
      <c r="L2741" s="165" t="s">
        <v>9747</v>
      </c>
      <c r="M2741" s="73"/>
      <c r="N2741" s="171"/>
      <c r="O2741" s="169" t="s">
        <v>6923</v>
      </c>
      <c r="P2741" s="168" t="s">
        <v>3112</v>
      </c>
      <c r="Q2741" s="167">
        <v>3857000.0</v>
      </c>
      <c r="R2741" s="173"/>
      <c r="S2741" s="173"/>
      <c r="T2741" s="173"/>
      <c r="U2741" s="173"/>
      <c r="V2741" s="202"/>
      <c r="W2741" s="171"/>
      <c r="X2741" s="169" t="s">
        <v>9305</v>
      </c>
    </row>
    <row r="2742" ht="15.0" customHeight="1">
      <c r="A2742" s="127">
        <v>45962.0</v>
      </c>
      <c r="B2742" s="181" t="s">
        <v>9748</v>
      </c>
      <c r="C2742" s="56" t="s">
        <v>3045</v>
      </c>
      <c r="D2742" s="73" t="str">
        <f>IFERROR(VLOOKUP(C2742,Stock,3,FALSE),"")</f>
        <v>Pemasangan Kaca Mobil Depan</v>
      </c>
      <c r="E2742" s="56">
        <v>1.0</v>
      </c>
      <c r="F2742" s="161">
        <v>600000.0</v>
      </c>
      <c r="G2742" s="162">
        <f t="shared" si="40"/>
        <v>600000</v>
      </c>
      <c r="H2742" s="194"/>
      <c r="I2742" s="161">
        <f t="shared" si="41"/>
        <v>600000</v>
      </c>
      <c r="J2742" s="164">
        <f t="shared" si="42"/>
        <v>600000</v>
      </c>
      <c r="K2742" s="56" t="s">
        <v>9749</v>
      </c>
      <c r="L2742" s="165" t="s">
        <v>9750</v>
      </c>
      <c r="M2742" s="73"/>
      <c r="N2742" s="169" t="s">
        <v>9751</v>
      </c>
      <c r="O2742" s="169" t="s">
        <v>6923</v>
      </c>
      <c r="P2742" s="168" t="s">
        <v>3112</v>
      </c>
      <c r="Q2742" s="173"/>
      <c r="R2742" s="167">
        <v>600000.0</v>
      </c>
      <c r="S2742" s="173"/>
      <c r="T2742" s="173"/>
      <c r="U2742" s="173"/>
      <c r="V2742" s="202"/>
      <c r="W2742" s="171"/>
      <c r="X2742" s="171"/>
    </row>
    <row r="2743" ht="15.0" customHeight="1">
      <c r="A2743" s="127">
        <v>45962.0</v>
      </c>
      <c r="B2743" s="181" t="s">
        <v>9752</v>
      </c>
      <c r="C2743" s="475" t="s">
        <v>3290</v>
      </c>
      <c r="D2743" s="73" t="str">
        <f>IFERROR(VLOOKUP(C2743,Stock,3,FALSE),"")</f>
        <v>Toyota Innova 04-15 1st Gen</v>
      </c>
      <c r="E2743" s="56">
        <v>1.0</v>
      </c>
      <c r="F2743" s="161">
        <v>1300000.0</v>
      </c>
      <c r="G2743" s="162">
        <f t="shared" si="40"/>
        <v>1300000</v>
      </c>
      <c r="H2743" s="194"/>
      <c r="I2743" s="161">
        <f t="shared" si="41"/>
        <v>1300000</v>
      </c>
      <c r="J2743" s="164">
        <f t="shared" si="42"/>
        <v>1300000</v>
      </c>
      <c r="K2743" s="56" t="s">
        <v>9753</v>
      </c>
      <c r="L2743" s="165" t="s">
        <v>9754</v>
      </c>
      <c r="M2743" s="73"/>
      <c r="N2743" s="169" t="s">
        <v>9755</v>
      </c>
      <c r="O2743" s="169" t="s">
        <v>3213</v>
      </c>
      <c r="P2743" s="168" t="s">
        <v>3112</v>
      </c>
      <c r="Q2743" s="167">
        <v>1300000.0</v>
      </c>
      <c r="R2743" s="167"/>
      <c r="S2743" s="173"/>
      <c r="T2743" s="173"/>
      <c r="U2743" s="173"/>
      <c r="V2743" s="202"/>
      <c r="W2743" s="171"/>
      <c r="X2743" s="171"/>
    </row>
    <row r="2744" ht="15.0" customHeight="1">
      <c r="A2744" s="127">
        <v>45962.0</v>
      </c>
      <c r="B2744" s="181" t="s">
        <v>9752</v>
      </c>
      <c r="C2744" s="56" t="s">
        <v>6424</v>
      </c>
      <c r="D2744" s="73" t="str">
        <f>IFERROR(VLOOKUP(C2744,Stock,3,FALSE),"")</f>
        <v>Automotive Film Standard - Black 40%                                </v>
      </c>
      <c r="E2744" s="56">
        <v>1.0</v>
      </c>
      <c r="F2744" s="161">
        <v>100000.0</v>
      </c>
      <c r="G2744" s="162">
        <f t="shared" si="40"/>
        <v>100000</v>
      </c>
      <c r="H2744" s="194"/>
      <c r="I2744" s="161">
        <f t="shared" si="41"/>
        <v>100000</v>
      </c>
      <c r="J2744" s="164">
        <f t="shared" si="42"/>
        <v>100000</v>
      </c>
      <c r="K2744" s="56" t="s">
        <v>9753</v>
      </c>
      <c r="L2744" s="165" t="s">
        <v>9754</v>
      </c>
      <c r="M2744" s="73"/>
      <c r="N2744" s="169" t="s">
        <v>9755</v>
      </c>
      <c r="O2744" s="169" t="s">
        <v>3213</v>
      </c>
      <c r="P2744" s="168" t="s">
        <v>3112</v>
      </c>
      <c r="Q2744" s="167">
        <v>100000.0</v>
      </c>
      <c r="R2744" s="167">
        <v>100000.0</v>
      </c>
      <c r="S2744" s="173"/>
      <c r="T2744" s="173"/>
      <c r="U2744" s="173"/>
      <c r="V2744" s="202"/>
      <c r="W2744" s="171"/>
      <c r="X2744" s="171"/>
    </row>
    <row r="2745" ht="15.0" customHeight="1">
      <c r="A2745" s="127">
        <v>45962.0</v>
      </c>
      <c r="B2745" s="181" t="s">
        <v>9756</v>
      </c>
      <c r="C2745" s="475" t="s">
        <v>2936</v>
      </c>
      <c r="D2745" s="73" t="str">
        <f>IFERROR(VLOOKUP(C2745,Stock,3,FALSE),"")</f>
        <v>Toyota Calya / Sigra 16-</v>
      </c>
      <c r="E2745" s="56">
        <v>1.0</v>
      </c>
      <c r="F2745" s="161">
        <v>920000.0</v>
      </c>
      <c r="G2745" s="162">
        <f t="shared" si="40"/>
        <v>920000</v>
      </c>
      <c r="H2745" s="194"/>
      <c r="I2745" s="161">
        <f t="shared" si="41"/>
        <v>920000</v>
      </c>
      <c r="J2745" s="164">
        <f t="shared" si="42"/>
        <v>920000</v>
      </c>
      <c r="K2745" s="56" t="s">
        <v>9757</v>
      </c>
      <c r="L2745" s="165" t="s">
        <v>9758</v>
      </c>
      <c r="M2745" s="73"/>
      <c r="N2745" s="169" t="s">
        <v>9759</v>
      </c>
      <c r="O2745" s="169" t="s">
        <v>6923</v>
      </c>
      <c r="P2745" s="168" t="s">
        <v>3112</v>
      </c>
      <c r="Q2745" s="173"/>
      <c r="R2745" s="167">
        <v>900000.0</v>
      </c>
      <c r="S2745" s="173"/>
      <c r="T2745" s="173"/>
      <c r="U2745" s="173"/>
      <c r="V2745" s="202"/>
      <c r="W2745" s="171"/>
      <c r="X2745" s="171"/>
    </row>
    <row r="2746" ht="15.0" customHeight="1">
      <c r="A2746" s="127">
        <v>45962.0</v>
      </c>
      <c r="B2746" s="181" t="s">
        <v>9756</v>
      </c>
      <c r="C2746" s="56" t="s">
        <v>3513</v>
      </c>
      <c r="D2746" s="73" t="str">
        <f>IFERROR(VLOOKUP(C2746,Stock,3,FALSE),"")</f>
        <v>Lembur</v>
      </c>
      <c r="E2746" s="56">
        <v>1.0</v>
      </c>
      <c r="F2746" s="161">
        <v>80000.0</v>
      </c>
      <c r="G2746" s="162">
        <f t="shared" si="40"/>
        <v>80000</v>
      </c>
      <c r="H2746" s="194"/>
      <c r="I2746" s="161">
        <f t="shared" si="41"/>
        <v>80000</v>
      </c>
      <c r="J2746" s="164">
        <f t="shared" si="42"/>
        <v>80000</v>
      </c>
      <c r="K2746" s="56" t="s">
        <v>9757</v>
      </c>
      <c r="L2746" s="165" t="s">
        <v>9758</v>
      </c>
      <c r="M2746" s="73"/>
      <c r="N2746" s="169" t="s">
        <v>9759</v>
      </c>
      <c r="O2746" s="169" t="s">
        <v>6923</v>
      </c>
      <c r="P2746" s="168" t="s">
        <v>3112</v>
      </c>
      <c r="Q2746" s="167">
        <v>100000.0</v>
      </c>
      <c r="R2746" s="173"/>
      <c r="S2746" s="173"/>
      <c r="T2746" s="173"/>
      <c r="U2746" s="173"/>
      <c r="V2746" s="202"/>
      <c r="W2746" s="171"/>
      <c r="X2746" s="171"/>
    </row>
    <row r="2747" ht="15.0" customHeight="1">
      <c r="A2747" s="127">
        <v>45963.0</v>
      </c>
      <c r="B2747" s="475" t="s">
        <v>9760</v>
      </c>
      <c r="C2747" s="56" t="s">
        <v>6756</v>
      </c>
      <c r="D2747" s="73" t="str">
        <f>IFERROR(VLOOKUP(C2747,Stock,3,FALSE),"")</f>
        <v>Toyota Raize / Daihatsu Rocky 20-</v>
      </c>
      <c r="E2747" s="56">
        <v>1.0</v>
      </c>
      <c r="F2747" s="161">
        <v>1449000.0</v>
      </c>
      <c r="G2747" s="162">
        <f t="shared" si="40"/>
        <v>1449000</v>
      </c>
      <c r="H2747" s="194"/>
      <c r="I2747" s="161">
        <f t="shared" si="41"/>
        <v>1449000</v>
      </c>
      <c r="J2747" s="164">
        <f t="shared" si="42"/>
        <v>1449000</v>
      </c>
      <c r="K2747" s="56" t="s">
        <v>9761</v>
      </c>
      <c r="L2747" s="165" t="s">
        <v>9762</v>
      </c>
      <c r="M2747" s="73"/>
      <c r="N2747" s="169" t="s">
        <v>9763</v>
      </c>
      <c r="O2747" s="169" t="s">
        <v>6923</v>
      </c>
      <c r="P2747" s="168" t="s">
        <v>3112</v>
      </c>
      <c r="Q2747" s="167">
        <v>1449000.0</v>
      </c>
      <c r="R2747" s="173"/>
      <c r="S2747" s="173"/>
      <c r="T2747" s="173"/>
      <c r="U2747" s="173"/>
      <c r="V2747" s="202"/>
      <c r="W2747" s="171"/>
      <c r="X2747" s="171"/>
    </row>
    <row r="2748" ht="15.0" customHeight="1">
      <c r="A2748" s="127">
        <v>45963.0</v>
      </c>
      <c r="B2748" s="475" t="s">
        <v>9764</v>
      </c>
      <c r="C2748" s="56" t="s">
        <v>2672</v>
      </c>
      <c r="D2748" s="73" t="str">
        <f>IFERROR(VLOOKUP(C2748,Stock,3,FALSE),"")</f>
        <v>Nissan March 10- K13</v>
      </c>
      <c r="E2748" s="56">
        <v>1.0</v>
      </c>
      <c r="F2748" s="161">
        <v>1118000.0</v>
      </c>
      <c r="G2748" s="162">
        <f t="shared" si="40"/>
        <v>1118000</v>
      </c>
      <c r="H2748" s="194"/>
      <c r="I2748" s="161">
        <f t="shared" si="41"/>
        <v>1118000</v>
      </c>
      <c r="J2748" s="164">
        <f t="shared" si="42"/>
        <v>1118000</v>
      </c>
      <c r="K2748" s="56" t="s">
        <v>9765</v>
      </c>
      <c r="L2748" s="165" t="s">
        <v>9766</v>
      </c>
      <c r="M2748" s="73"/>
      <c r="N2748" s="169" t="s">
        <v>9767</v>
      </c>
      <c r="O2748" s="169" t="s">
        <v>6923</v>
      </c>
      <c r="P2748" s="168" t="s">
        <v>3112</v>
      </c>
      <c r="Q2748" s="173"/>
      <c r="R2748" s="167">
        <v>1118000.0</v>
      </c>
      <c r="S2748" s="173"/>
      <c r="T2748" s="173"/>
      <c r="U2748" s="173"/>
      <c r="V2748" s="202"/>
      <c r="W2748" s="171"/>
      <c r="X2748" s="171"/>
    </row>
    <row r="2749" ht="15.0" customHeight="1">
      <c r="A2749" s="127">
        <v>45963.0</v>
      </c>
      <c r="B2749" s="475" t="s">
        <v>9764</v>
      </c>
      <c r="C2749" s="56" t="s">
        <v>9372</v>
      </c>
      <c r="D2749" s="73" t="str">
        <f>IFERROR(VLOOKUP(C2749,Stock,3,FALSE),"")</f>
        <v>Automotive Film Standard - Black 80%  </v>
      </c>
      <c r="E2749" s="56">
        <v>1.0</v>
      </c>
      <c r="F2749" s="161">
        <v>250000.0</v>
      </c>
      <c r="G2749" s="162">
        <f t="shared" si="40"/>
        <v>250000</v>
      </c>
      <c r="H2749" s="194"/>
      <c r="I2749" s="161">
        <f t="shared" si="41"/>
        <v>250000</v>
      </c>
      <c r="J2749" s="164">
        <f t="shared" si="42"/>
        <v>250000</v>
      </c>
      <c r="K2749" s="56" t="s">
        <v>9765</v>
      </c>
      <c r="L2749" s="165" t="s">
        <v>9766</v>
      </c>
      <c r="M2749" s="73"/>
      <c r="N2749" s="169" t="s">
        <v>9767</v>
      </c>
      <c r="O2749" s="169" t="s">
        <v>6923</v>
      </c>
      <c r="P2749" s="168" t="s">
        <v>3112</v>
      </c>
      <c r="Q2749" s="173"/>
      <c r="R2749" s="167">
        <v>250000.0</v>
      </c>
      <c r="S2749" s="173"/>
      <c r="T2749" s="173"/>
      <c r="U2749" s="173"/>
      <c r="V2749" s="202"/>
      <c r="W2749" s="171"/>
      <c r="X2749" s="171"/>
    </row>
    <row r="2750" ht="15.0" customHeight="1">
      <c r="A2750" s="127">
        <v>45963.0</v>
      </c>
      <c r="B2750" s="475" t="s">
        <v>9768</v>
      </c>
      <c r="C2750" s="475" t="s">
        <v>3837</v>
      </c>
      <c r="D2750" s="73" t="str">
        <f>IFERROR(VLOOKUP(C2750,Stock,3,FALSE),"")</f>
        <v>Toyota Yaris 13- 2nd Gen / Vios 14- 3rd Gen</v>
      </c>
      <c r="E2750" s="56">
        <v>1.0</v>
      </c>
      <c r="F2750" s="161">
        <v>1569000.0</v>
      </c>
      <c r="G2750" s="162">
        <f t="shared" si="40"/>
        <v>1569000</v>
      </c>
      <c r="H2750" s="194"/>
      <c r="I2750" s="161">
        <f t="shared" si="41"/>
        <v>1569000</v>
      </c>
      <c r="J2750" s="164">
        <f t="shared" si="42"/>
        <v>1569000</v>
      </c>
      <c r="K2750" s="56" t="s">
        <v>9769</v>
      </c>
      <c r="L2750" s="165" t="s">
        <v>9770</v>
      </c>
      <c r="M2750" s="73"/>
      <c r="N2750" s="169" t="s">
        <v>9771</v>
      </c>
      <c r="O2750" s="169" t="s">
        <v>6923</v>
      </c>
      <c r="P2750" s="168" t="s">
        <v>3112</v>
      </c>
      <c r="Q2750" s="173"/>
      <c r="R2750" s="167">
        <v>1569000.0</v>
      </c>
      <c r="S2750" s="173"/>
      <c r="T2750" s="173"/>
      <c r="U2750" s="173"/>
      <c r="V2750" s="202"/>
      <c r="W2750" s="171"/>
      <c r="X2750" s="171"/>
    </row>
    <row r="2751" ht="15.0" customHeight="1">
      <c r="A2751" s="127">
        <v>45964.0</v>
      </c>
      <c r="B2751" s="475" t="s">
        <v>9772</v>
      </c>
      <c r="C2751" s="475" t="s">
        <v>2926</v>
      </c>
      <c r="D2751" s="73" t="str">
        <f>IFERROR(VLOOKUP(C2751,Stock,3,FALSE),"")</f>
        <v>Honda Jazz 01-07 1st Gen</v>
      </c>
      <c r="E2751" s="56">
        <v>1.0</v>
      </c>
      <c r="F2751" s="161">
        <v>1524000.0</v>
      </c>
      <c r="G2751" s="162">
        <f t="shared" si="40"/>
        <v>1524000</v>
      </c>
      <c r="H2751" s="194"/>
      <c r="I2751" s="161">
        <f t="shared" si="41"/>
        <v>1524000</v>
      </c>
      <c r="J2751" s="164">
        <f t="shared" si="42"/>
        <v>1524000</v>
      </c>
      <c r="K2751" s="56" t="s">
        <v>9773</v>
      </c>
      <c r="L2751" s="165" t="s">
        <v>9774</v>
      </c>
      <c r="M2751" s="73"/>
      <c r="N2751" s="169" t="s">
        <v>9775</v>
      </c>
      <c r="O2751" s="169" t="s">
        <v>6923</v>
      </c>
      <c r="P2751" s="168" t="s">
        <v>3112</v>
      </c>
      <c r="Q2751" s="167">
        <v>1524000.0</v>
      </c>
      <c r="R2751" s="173"/>
      <c r="S2751" s="173"/>
      <c r="T2751" s="173"/>
      <c r="U2751" s="173"/>
      <c r="V2751" s="202"/>
      <c r="W2751" s="171"/>
      <c r="X2751" s="171"/>
    </row>
    <row r="2752" ht="15.0" customHeight="1">
      <c r="A2752" s="127">
        <v>45964.0</v>
      </c>
      <c r="B2752" s="475" t="s">
        <v>9776</v>
      </c>
      <c r="C2752" s="475" t="s">
        <v>3186</v>
      </c>
      <c r="D2752" s="73" t="str">
        <f>IFERROR(VLOOKUP(C2752,Stock,3,FALSE),"")</f>
        <v>Daihatsu Gran Max / Luxio 07-</v>
      </c>
      <c r="E2752" s="56">
        <v>1.0</v>
      </c>
      <c r="F2752" s="161">
        <v>1050000.0</v>
      </c>
      <c r="G2752" s="162">
        <f t="shared" si="40"/>
        <v>1050000</v>
      </c>
      <c r="H2752" s="194"/>
      <c r="I2752" s="161">
        <f t="shared" si="41"/>
        <v>1050000</v>
      </c>
      <c r="J2752" s="164">
        <f t="shared" si="42"/>
        <v>1050000</v>
      </c>
      <c r="K2752" s="56" t="s">
        <v>9777</v>
      </c>
      <c r="L2752" s="165" t="s">
        <v>9778</v>
      </c>
      <c r="M2752" s="73"/>
      <c r="N2752" s="169" t="s">
        <v>9779</v>
      </c>
      <c r="O2752" s="169" t="s">
        <v>6923</v>
      </c>
      <c r="P2752" s="168" t="s">
        <v>3112</v>
      </c>
      <c r="Q2752" s="167">
        <v>1050000.0</v>
      </c>
      <c r="R2752" s="173"/>
      <c r="S2752" s="173"/>
      <c r="T2752" s="173"/>
      <c r="U2752" s="173"/>
      <c r="V2752" s="202"/>
      <c r="W2752" s="171"/>
      <c r="X2752" s="171"/>
    </row>
    <row r="2753" ht="15.0" customHeight="1">
      <c r="A2753" s="127">
        <v>45965.0</v>
      </c>
      <c r="B2753" s="475" t="s">
        <v>9780</v>
      </c>
      <c r="C2753" s="475" t="s">
        <v>3045</v>
      </c>
      <c r="D2753" s="73" t="str">
        <f>IFERROR(VLOOKUP(C2753,Stock,3,FALSE),"")</f>
        <v>Pemasangan Kaca Mobil Depan</v>
      </c>
      <c r="E2753" s="56">
        <v>1.0</v>
      </c>
      <c r="F2753" s="161">
        <v>600000.0</v>
      </c>
      <c r="G2753" s="162">
        <f t="shared" si="40"/>
        <v>600000</v>
      </c>
      <c r="H2753" s="194"/>
      <c r="I2753" s="161">
        <f t="shared" si="41"/>
        <v>600000</v>
      </c>
      <c r="J2753" s="164">
        <f t="shared" si="42"/>
        <v>600000</v>
      </c>
      <c r="K2753" s="56" t="s">
        <v>9781</v>
      </c>
      <c r="L2753" s="165" t="s">
        <v>9782</v>
      </c>
      <c r="M2753" s="73"/>
      <c r="N2753" s="169" t="s">
        <v>9783</v>
      </c>
      <c r="O2753" s="169" t="s">
        <v>6923</v>
      </c>
      <c r="P2753" s="168" t="s">
        <v>3112</v>
      </c>
      <c r="Q2753" s="173"/>
      <c r="R2753" s="167">
        <v>600000.0</v>
      </c>
      <c r="S2753" s="173"/>
      <c r="T2753" s="173"/>
      <c r="U2753" s="173"/>
      <c r="V2753" s="202"/>
      <c r="W2753" s="171"/>
      <c r="X2753" s="171"/>
    </row>
    <row r="2754" ht="15.0" customHeight="1">
      <c r="A2754" s="127">
        <v>45965.0</v>
      </c>
      <c r="B2754" s="475" t="s">
        <v>9780</v>
      </c>
      <c r="C2754" s="56" t="s">
        <v>4027</v>
      </c>
      <c r="D2754" s="73" t="str">
        <f>IFERROR(VLOOKUP(C2754,Stock,3,FALSE),"")</f>
        <v>501 Sealant Application</v>
      </c>
      <c r="E2754" s="56">
        <v>1.0</v>
      </c>
      <c r="F2754" s="161">
        <v>120000.0</v>
      </c>
      <c r="G2754" s="162">
        <f t="shared" si="40"/>
        <v>120000</v>
      </c>
      <c r="H2754" s="194"/>
      <c r="I2754" s="161">
        <f t="shared" si="41"/>
        <v>120000</v>
      </c>
      <c r="J2754" s="164">
        <f t="shared" si="42"/>
        <v>120000</v>
      </c>
      <c r="K2754" s="56" t="s">
        <v>9781</v>
      </c>
      <c r="L2754" s="165" t="s">
        <v>9782</v>
      </c>
      <c r="M2754" s="73"/>
      <c r="N2754" s="169" t="s">
        <v>9783</v>
      </c>
      <c r="O2754" s="169" t="s">
        <v>6923</v>
      </c>
      <c r="P2754" s="168" t="s">
        <v>3112</v>
      </c>
      <c r="Q2754" s="173"/>
      <c r="R2754" s="167">
        <v>120000.0</v>
      </c>
      <c r="S2754" s="173"/>
      <c r="T2754" s="173"/>
      <c r="U2754" s="173"/>
      <c r="V2754" s="202"/>
      <c r="W2754" s="171"/>
      <c r="X2754" s="171"/>
    </row>
    <row r="2755" ht="15.0" customHeight="1">
      <c r="A2755" s="127">
        <v>45965.0</v>
      </c>
      <c r="B2755" s="475" t="s">
        <v>9784</v>
      </c>
      <c r="C2755" s="56" t="s">
        <v>3360</v>
      </c>
      <c r="D2755" s="73" t="str">
        <f>IFERROR(VLOOKUP(C2755,Stock,3,FALSE),"")</f>
        <v>Mitsubishi Xpander 17-</v>
      </c>
      <c r="E2755" s="56">
        <v>1.0</v>
      </c>
      <c r="F2755" s="161">
        <v>1644000.0</v>
      </c>
      <c r="G2755" s="162">
        <f t="shared" si="40"/>
        <v>1644000</v>
      </c>
      <c r="H2755" s="194"/>
      <c r="I2755" s="161">
        <f t="shared" si="41"/>
        <v>1644000</v>
      </c>
      <c r="J2755" s="164">
        <f t="shared" si="42"/>
        <v>1644000</v>
      </c>
      <c r="K2755" s="56" t="s">
        <v>9765</v>
      </c>
      <c r="L2755" s="165" t="s">
        <v>9766</v>
      </c>
      <c r="M2755" s="73"/>
      <c r="N2755" s="169" t="s">
        <v>9767</v>
      </c>
      <c r="O2755" s="169" t="s">
        <v>6923</v>
      </c>
      <c r="P2755" s="168" t="s">
        <v>3112</v>
      </c>
      <c r="Q2755" s="173"/>
      <c r="R2755" s="167">
        <v>1644000.0</v>
      </c>
      <c r="S2755" s="173"/>
      <c r="T2755" s="173"/>
      <c r="U2755" s="173"/>
      <c r="V2755" s="202"/>
      <c r="W2755" s="171"/>
      <c r="X2755" s="171"/>
    </row>
    <row r="2756" ht="15.0" customHeight="1">
      <c r="A2756" s="127">
        <v>45965.0</v>
      </c>
      <c r="B2756" s="475" t="s">
        <v>9785</v>
      </c>
      <c r="C2756" s="475" t="s">
        <v>3411</v>
      </c>
      <c r="D2756" s="73" t="str">
        <f>IFERROR(VLOOKUP(C2756,Stock,3,FALSE),"")</f>
        <v>Toyota Agya/Ayla 13-22 1st Gen</v>
      </c>
      <c r="E2756" s="56">
        <v>1.0</v>
      </c>
      <c r="F2756" s="161">
        <v>1000000.0</v>
      </c>
      <c r="G2756" s="162">
        <f t="shared" si="40"/>
        <v>1000000</v>
      </c>
      <c r="H2756" s="194"/>
      <c r="I2756" s="161">
        <f t="shared" si="41"/>
        <v>1000000</v>
      </c>
      <c r="J2756" s="164">
        <f t="shared" si="42"/>
        <v>1000000</v>
      </c>
      <c r="K2756" s="56" t="s">
        <v>9786</v>
      </c>
      <c r="L2756" s="165" t="s">
        <v>9787</v>
      </c>
      <c r="M2756" s="73"/>
      <c r="N2756" s="169" t="s">
        <v>9788</v>
      </c>
      <c r="O2756" s="169" t="s">
        <v>6923</v>
      </c>
      <c r="P2756" s="168" t="s">
        <v>3112</v>
      </c>
      <c r="Q2756" s="167">
        <v>970000.0</v>
      </c>
      <c r="R2756" s="167">
        <v>30000.0</v>
      </c>
      <c r="S2756" s="173"/>
      <c r="T2756" s="173"/>
      <c r="U2756" s="173"/>
      <c r="V2756" s="202"/>
      <c r="W2756" s="171"/>
      <c r="X2756" s="171"/>
    </row>
    <row r="2757" ht="15.0" customHeight="1">
      <c r="A2757" s="127">
        <v>45965.0</v>
      </c>
      <c r="B2757" s="475" t="s">
        <v>9785</v>
      </c>
      <c r="C2757" s="56" t="s">
        <v>2954</v>
      </c>
      <c r="D2757" s="73" t="str">
        <f>IFERROR(VLOOKUP(C2757,Stock,3,FALSE),"")</f>
        <v>Transport</v>
      </c>
      <c r="E2757" s="56">
        <v>1.0</v>
      </c>
      <c r="F2757" s="161">
        <v>100000.0</v>
      </c>
      <c r="G2757" s="162">
        <f t="shared" si="40"/>
        <v>100000</v>
      </c>
      <c r="H2757" s="194"/>
      <c r="I2757" s="161">
        <f t="shared" si="41"/>
        <v>100000</v>
      </c>
      <c r="J2757" s="164">
        <f t="shared" si="42"/>
        <v>100000</v>
      </c>
      <c r="K2757" s="56" t="s">
        <v>9786</v>
      </c>
      <c r="L2757" s="165" t="s">
        <v>9787</v>
      </c>
      <c r="M2757" s="73"/>
      <c r="N2757" s="169" t="s">
        <v>9788</v>
      </c>
      <c r="O2757" s="169" t="s">
        <v>6923</v>
      </c>
      <c r="P2757" s="168" t="s">
        <v>3112</v>
      </c>
      <c r="Q2757" s="167">
        <v>100000.0</v>
      </c>
      <c r="R2757" s="173"/>
      <c r="S2757" s="173"/>
      <c r="T2757" s="173"/>
      <c r="U2757" s="173"/>
      <c r="V2757" s="202"/>
      <c r="W2757" s="171"/>
      <c r="X2757" s="171"/>
    </row>
    <row r="2758" ht="15.0" customHeight="1">
      <c r="A2758" s="127">
        <v>45965.0</v>
      </c>
      <c r="B2758" s="475" t="s">
        <v>9789</v>
      </c>
      <c r="C2758" s="56" t="s">
        <v>2936</v>
      </c>
      <c r="D2758" s="73" t="str">
        <f>IFERROR(VLOOKUP(C2758,Stock,3,FALSE),"")</f>
        <v>Toyota Calya / Sigra 16-</v>
      </c>
      <c r="E2758" s="56">
        <v>1.0</v>
      </c>
      <c r="F2758" s="161">
        <v>868000.0</v>
      </c>
      <c r="G2758" s="162">
        <f t="shared" si="40"/>
        <v>868000</v>
      </c>
      <c r="H2758" s="194"/>
      <c r="I2758" s="161">
        <f t="shared" si="41"/>
        <v>868000</v>
      </c>
      <c r="J2758" s="164">
        <f t="shared" si="42"/>
        <v>868000</v>
      </c>
      <c r="K2758" s="56" t="s">
        <v>9790</v>
      </c>
      <c r="L2758" s="165" t="s">
        <v>9791</v>
      </c>
      <c r="M2758" s="73"/>
      <c r="N2758" s="169" t="s">
        <v>9792</v>
      </c>
      <c r="O2758" s="169" t="s">
        <v>6923</v>
      </c>
      <c r="P2758" s="168" t="s">
        <v>3112</v>
      </c>
      <c r="Q2758" s="167">
        <v>868000.0</v>
      </c>
      <c r="R2758" s="173"/>
      <c r="S2758" s="173"/>
      <c r="T2758" s="173"/>
      <c r="U2758" s="173"/>
      <c r="V2758" s="202"/>
      <c r="W2758" s="171"/>
      <c r="X2758" s="171"/>
    </row>
    <row r="2759" ht="15.0" customHeight="1">
      <c r="A2759" s="127">
        <v>45965.0</v>
      </c>
      <c r="B2759" s="475" t="s">
        <v>9793</v>
      </c>
      <c r="C2759" s="475" t="s">
        <v>2546</v>
      </c>
      <c r="D2759" s="73" t="str">
        <f>IFERROR(VLOOKUP(C2759,Stock,3,FALSE),"")</f>
        <v>Wuling Confero (Tanpa Spionnya)</v>
      </c>
      <c r="E2759" s="56">
        <v>1.0</v>
      </c>
      <c r="F2759" s="161">
        <v>1240000.0</v>
      </c>
      <c r="G2759" s="162">
        <f t="shared" si="40"/>
        <v>1240000</v>
      </c>
      <c r="H2759" s="194"/>
      <c r="I2759" s="161">
        <f t="shared" si="41"/>
        <v>1240000</v>
      </c>
      <c r="J2759" s="164">
        <f t="shared" si="42"/>
        <v>1240000</v>
      </c>
      <c r="K2759" s="56" t="s">
        <v>7691</v>
      </c>
      <c r="L2759" s="165" t="s">
        <v>9794</v>
      </c>
      <c r="M2759" s="73"/>
      <c r="N2759" s="169"/>
      <c r="O2759" s="6" t="s">
        <v>6923</v>
      </c>
      <c r="P2759" s="168" t="s">
        <v>3112</v>
      </c>
      <c r="Q2759" s="173"/>
      <c r="R2759" s="167">
        <v>1240000.0</v>
      </c>
      <c r="S2759" s="173"/>
      <c r="T2759" s="173"/>
      <c r="U2759" s="173"/>
      <c r="V2759" s="202"/>
      <c r="W2759" s="171"/>
      <c r="X2759" s="171"/>
    </row>
    <row r="2760" ht="15.0" customHeight="1">
      <c r="A2760" s="127">
        <v>45965.0</v>
      </c>
      <c r="B2760" s="475" t="s">
        <v>9795</v>
      </c>
      <c r="C2760" s="56" t="s">
        <v>9796</v>
      </c>
      <c r="D2760" s="73" t="str">
        <f>IFERROR(VLOOKUP(C2760,Stock,3,FALSE),"")</f>
        <v>Nissan Navara (NP300) 4D Pickup 15- D23</v>
      </c>
      <c r="E2760" s="56">
        <v>1.0</v>
      </c>
      <c r="F2760" s="161">
        <v>950000.0</v>
      </c>
      <c r="G2760" s="162">
        <f t="shared" si="40"/>
        <v>950000</v>
      </c>
      <c r="H2760" s="194"/>
      <c r="I2760" s="161">
        <f t="shared" si="41"/>
        <v>950000</v>
      </c>
      <c r="J2760" s="164">
        <f t="shared" si="42"/>
        <v>950000</v>
      </c>
      <c r="K2760" s="56" t="s">
        <v>9481</v>
      </c>
      <c r="L2760" s="165" t="s">
        <v>9797</v>
      </c>
      <c r="M2760" s="73"/>
      <c r="N2760" s="171"/>
      <c r="O2760" s="169" t="s">
        <v>6923</v>
      </c>
      <c r="P2760" s="168" t="s">
        <v>3112</v>
      </c>
      <c r="Q2760" s="173"/>
      <c r="R2760" s="167">
        <v>950000.0</v>
      </c>
      <c r="S2760" s="173"/>
      <c r="T2760" s="173"/>
      <c r="U2760" s="173"/>
      <c r="V2760" s="202"/>
      <c r="W2760" s="171"/>
      <c r="X2760" s="171"/>
    </row>
    <row r="2761" ht="15.0" customHeight="1">
      <c r="A2761" s="127">
        <v>45966.0</v>
      </c>
      <c r="B2761" s="475" t="s">
        <v>9798</v>
      </c>
      <c r="C2761" s="475" t="s">
        <v>2565</v>
      </c>
      <c r="D2761" s="73" t="str">
        <f>IFERROR(VLOOKUP(C2761,Stock,3,FALSE),"")</f>
        <v>Toyota Avanza / Xenia 03-11 1st Gen</v>
      </c>
      <c r="E2761" s="56">
        <v>1.0</v>
      </c>
      <c r="F2761" s="161">
        <v>1000000.0</v>
      </c>
      <c r="G2761" s="162">
        <f t="shared" si="40"/>
        <v>1000000</v>
      </c>
      <c r="H2761" s="194"/>
      <c r="I2761" s="161">
        <f t="shared" si="41"/>
        <v>1000000</v>
      </c>
      <c r="J2761" s="164">
        <f t="shared" si="42"/>
        <v>1000000</v>
      </c>
      <c r="K2761" s="56" t="s">
        <v>9799</v>
      </c>
      <c r="L2761" s="165" t="s">
        <v>9800</v>
      </c>
      <c r="M2761" s="73"/>
      <c r="N2761" s="169" t="s">
        <v>9801</v>
      </c>
      <c r="O2761" s="169" t="s">
        <v>6923</v>
      </c>
      <c r="P2761" s="168" t="s">
        <v>3112</v>
      </c>
      <c r="Q2761" s="167">
        <v>1000000.0</v>
      </c>
      <c r="R2761" s="173"/>
      <c r="S2761" s="173"/>
      <c r="T2761" s="173"/>
      <c r="U2761" s="173"/>
      <c r="V2761" s="202"/>
      <c r="W2761" s="171"/>
      <c r="X2761" s="171"/>
    </row>
    <row r="2762" ht="15.0" customHeight="1">
      <c r="A2762" s="127">
        <v>45966.0</v>
      </c>
      <c r="B2762" s="475" t="s">
        <v>9798</v>
      </c>
      <c r="C2762" s="56" t="s">
        <v>4027</v>
      </c>
      <c r="D2762" s="73" t="str">
        <f>IFERROR(VLOOKUP(C2762,Stock,3,FALSE),"")</f>
        <v>501 Sealant Application</v>
      </c>
      <c r="E2762" s="56">
        <v>1.0</v>
      </c>
      <c r="F2762" s="161">
        <v>120000.0</v>
      </c>
      <c r="G2762" s="162">
        <f t="shared" si="40"/>
        <v>120000</v>
      </c>
      <c r="H2762" s="194"/>
      <c r="I2762" s="161">
        <f t="shared" si="41"/>
        <v>120000</v>
      </c>
      <c r="J2762" s="164">
        <f t="shared" si="42"/>
        <v>120000</v>
      </c>
      <c r="K2762" s="56" t="s">
        <v>9799</v>
      </c>
      <c r="L2762" s="165" t="s">
        <v>9800</v>
      </c>
      <c r="M2762" s="73"/>
      <c r="N2762" s="169" t="s">
        <v>9801</v>
      </c>
      <c r="O2762" s="169" t="s">
        <v>6923</v>
      </c>
      <c r="P2762" s="168" t="s">
        <v>3112</v>
      </c>
      <c r="Q2762" s="167">
        <v>120000.0</v>
      </c>
      <c r="R2762" s="173"/>
      <c r="S2762" s="173"/>
      <c r="T2762" s="173"/>
      <c r="U2762" s="173"/>
      <c r="V2762" s="202"/>
      <c r="W2762" s="171"/>
      <c r="X2762" s="171"/>
    </row>
    <row r="2763" ht="15.0" customHeight="1">
      <c r="A2763" s="127">
        <v>45966.0</v>
      </c>
      <c r="B2763" s="475" t="s">
        <v>9802</v>
      </c>
      <c r="C2763" s="56" t="s">
        <v>2685</v>
      </c>
      <c r="D2763" s="73" t="str">
        <f>IFERROR(VLOOKUP(C2763,Stock,3,FALSE),"")</f>
        <v>Honda Stream 04-06 S7A/RN1 (Spion)</v>
      </c>
      <c r="E2763" s="56">
        <v>1.0</v>
      </c>
      <c r="F2763" s="161">
        <v>2043000.0</v>
      </c>
      <c r="G2763" s="162">
        <f t="shared" si="40"/>
        <v>2043000</v>
      </c>
      <c r="H2763" s="194"/>
      <c r="I2763" s="161">
        <f t="shared" si="41"/>
        <v>2043000</v>
      </c>
      <c r="J2763" s="164">
        <f t="shared" si="42"/>
        <v>2043000</v>
      </c>
      <c r="K2763" s="56" t="s">
        <v>9803</v>
      </c>
      <c r="L2763" s="165" t="s">
        <v>9804</v>
      </c>
      <c r="M2763" s="73"/>
      <c r="N2763" s="171"/>
      <c r="O2763" s="169" t="s">
        <v>6923</v>
      </c>
      <c r="P2763" s="168" t="s">
        <v>3112</v>
      </c>
      <c r="Q2763" s="173"/>
      <c r="R2763" s="167">
        <v>2043000.0</v>
      </c>
      <c r="S2763" s="173"/>
      <c r="T2763" s="173"/>
      <c r="U2763" s="173"/>
      <c r="V2763" s="202"/>
      <c r="W2763" s="171"/>
      <c r="X2763" s="171"/>
    </row>
    <row r="2764" ht="15.0" customHeight="1">
      <c r="A2764" s="127">
        <v>45966.0</v>
      </c>
      <c r="B2764" s="475" t="s">
        <v>9802</v>
      </c>
      <c r="C2764" s="56" t="s">
        <v>2954</v>
      </c>
      <c r="D2764" s="73" t="str">
        <f>IFERROR(VLOOKUP(C2764,Stock,3,FALSE),"")</f>
        <v>Transport</v>
      </c>
      <c r="E2764" s="56">
        <v>1.0</v>
      </c>
      <c r="F2764" s="161">
        <v>30000.0</v>
      </c>
      <c r="G2764" s="162">
        <f t="shared" si="40"/>
        <v>30000</v>
      </c>
      <c r="H2764" s="194"/>
      <c r="I2764" s="161">
        <f t="shared" si="41"/>
        <v>30000</v>
      </c>
      <c r="J2764" s="164">
        <f t="shared" si="42"/>
        <v>30000</v>
      </c>
      <c r="K2764" s="56" t="s">
        <v>9803</v>
      </c>
      <c r="L2764" s="165" t="s">
        <v>9804</v>
      </c>
      <c r="M2764" s="73"/>
      <c r="N2764" s="171"/>
      <c r="O2764" s="169" t="s">
        <v>6923</v>
      </c>
      <c r="P2764" s="168" t="s">
        <v>3112</v>
      </c>
      <c r="Q2764" s="173"/>
      <c r="R2764" s="167">
        <v>30000.0</v>
      </c>
      <c r="S2764" s="173"/>
      <c r="T2764" s="173"/>
      <c r="U2764" s="173"/>
      <c r="V2764" s="202"/>
      <c r="W2764" s="171"/>
      <c r="X2764" s="171"/>
    </row>
    <row r="2765" ht="15.0" customHeight="1">
      <c r="A2765" s="127">
        <v>45966.0</v>
      </c>
      <c r="B2765" s="475" t="s">
        <v>9805</v>
      </c>
      <c r="C2765" s="475" t="s">
        <v>2865</v>
      </c>
      <c r="D2765" s="73" t="str">
        <f>IFERROR(VLOOKUP(C2765,Stock,3,FALSE),"")</f>
        <v>Suzuki Ertiga 12-18 1st Gen MPV</v>
      </c>
      <c r="E2765" s="56">
        <v>1.0</v>
      </c>
      <c r="F2765" s="161">
        <v>550000.0</v>
      </c>
      <c r="G2765" s="162">
        <f t="shared" si="40"/>
        <v>550000</v>
      </c>
      <c r="H2765" s="194"/>
      <c r="I2765" s="161">
        <f t="shared" si="41"/>
        <v>550000</v>
      </c>
      <c r="J2765" s="164">
        <f t="shared" si="42"/>
        <v>550000</v>
      </c>
      <c r="K2765" s="56" t="s">
        <v>9806</v>
      </c>
      <c r="L2765" s="165" t="s">
        <v>9807</v>
      </c>
      <c r="M2765" s="73"/>
      <c r="N2765" s="171"/>
      <c r="O2765" s="169" t="s">
        <v>6923</v>
      </c>
      <c r="P2765" s="168" t="s">
        <v>3112</v>
      </c>
      <c r="Q2765" s="173"/>
      <c r="R2765" s="167">
        <v>550000.0</v>
      </c>
      <c r="S2765" s="173"/>
      <c r="T2765" s="173"/>
      <c r="U2765" s="173"/>
      <c r="V2765" s="202"/>
      <c r="W2765" s="171"/>
      <c r="X2765" s="171"/>
    </row>
    <row r="2766" ht="15.0" customHeight="1">
      <c r="A2766" s="127">
        <v>45966.0</v>
      </c>
      <c r="B2766" s="475" t="s">
        <v>9808</v>
      </c>
      <c r="C2766" s="56" t="s">
        <v>3045</v>
      </c>
      <c r="D2766" s="73" t="str">
        <f>IFERROR(VLOOKUP(C2766,Stock,3,FALSE),"")</f>
        <v>Pemasangan Kaca Mobil Depan</v>
      </c>
      <c r="E2766" s="56">
        <v>1.0</v>
      </c>
      <c r="F2766" s="161">
        <v>600000.0</v>
      </c>
      <c r="G2766" s="162">
        <f t="shared" si="40"/>
        <v>600000</v>
      </c>
      <c r="H2766" s="194"/>
      <c r="I2766" s="161">
        <f t="shared" si="41"/>
        <v>600000</v>
      </c>
      <c r="J2766" s="164">
        <f t="shared" si="42"/>
        <v>600000</v>
      </c>
      <c r="K2766" s="56" t="s">
        <v>9809</v>
      </c>
      <c r="L2766" s="165" t="s">
        <v>9810</v>
      </c>
      <c r="M2766" s="73"/>
      <c r="N2766" s="171"/>
      <c r="O2766" s="169" t="s">
        <v>6923</v>
      </c>
      <c r="P2766" s="168" t="s">
        <v>3112</v>
      </c>
      <c r="Q2766" s="167">
        <v>520000.0</v>
      </c>
      <c r="R2766" s="167">
        <v>80000.0</v>
      </c>
      <c r="S2766" s="173"/>
      <c r="T2766" s="173"/>
      <c r="U2766" s="173"/>
      <c r="V2766" s="202"/>
      <c r="W2766" s="171"/>
      <c r="X2766" s="171"/>
    </row>
    <row r="2767" ht="15.0" customHeight="1">
      <c r="A2767" s="127">
        <v>45966.0</v>
      </c>
      <c r="B2767" s="475" t="s">
        <v>9808</v>
      </c>
      <c r="C2767" s="56" t="s">
        <v>4027</v>
      </c>
      <c r="D2767" s="73" t="str">
        <f>IFERROR(VLOOKUP(C2767,Stock,3,FALSE),"")</f>
        <v>501 Sealant Application</v>
      </c>
      <c r="E2767" s="56">
        <v>1.0</v>
      </c>
      <c r="F2767" s="161">
        <v>120000.0</v>
      </c>
      <c r="G2767" s="162">
        <f t="shared" si="40"/>
        <v>120000</v>
      </c>
      <c r="H2767" s="194"/>
      <c r="I2767" s="161">
        <f t="shared" si="41"/>
        <v>120000</v>
      </c>
      <c r="J2767" s="164">
        <f t="shared" si="42"/>
        <v>120000</v>
      </c>
      <c r="K2767" s="56" t="s">
        <v>9809</v>
      </c>
      <c r="L2767" s="165" t="s">
        <v>9810</v>
      </c>
      <c r="M2767" s="73"/>
      <c r="N2767" s="171"/>
      <c r="O2767" s="169" t="s">
        <v>6923</v>
      </c>
      <c r="P2767" s="168" t="s">
        <v>3112</v>
      </c>
      <c r="Q2767" s="173"/>
      <c r="R2767" s="167">
        <v>120000.0</v>
      </c>
      <c r="S2767" s="173"/>
      <c r="T2767" s="173"/>
      <c r="U2767" s="173"/>
      <c r="V2767" s="202"/>
      <c r="W2767" s="171"/>
      <c r="X2767" s="171"/>
    </row>
    <row r="2768" ht="15.0" customHeight="1">
      <c r="A2768" s="127">
        <v>45966.0</v>
      </c>
      <c r="B2768" s="475" t="s">
        <v>9811</v>
      </c>
      <c r="C2768" s="56" t="s">
        <v>4997</v>
      </c>
      <c r="D2768" s="73" t="str">
        <f>IFERROR(VLOOKUP(C2768,Stock,3,FALSE),"")</f>
        <v>Hyundai Stargazer 22-</v>
      </c>
      <c r="E2768" s="56">
        <v>1.0</v>
      </c>
      <c r="F2768" s="161">
        <v>1600000.0</v>
      </c>
      <c r="G2768" s="162">
        <f t="shared" si="40"/>
        <v>1600000</v>
      </c>
      <c r="H2768" s="194"/>
      <c r="I2768" s="161">
        <f t="shared" si="41"/>
        <v>1600000</v>
      </c>
      <c r="J2768" s="164">
        <f t="shared" si="42"/>
        <v>1600000</v>
      </c>
      <c r="K2768" s="56" t="s">
        <v>9812</v>
      </c>
      <c r="L2768" s="165" t="s">
        <v>9813</v>
      </c>
      <c r="M2768" s="73"/>
      <c r="N2768" s="171"/>
      <c r="O2768" s="169" t="s">
        <v>6923</v>
      </c>
      <c r="P2768" s="168" t="s">
        <v>3112</v>
      </c>
      <c r="Q2768" s="167">
        <v>1600000.0</v>
      </c>
      <c r="R2768" s="173"/>
      <c r="S2768" s="173"/>
      <c r="T2768" s="173"/>
      <c r="U2768" s="173"/>
      <c r="V2768" s="202"/>
      <c r="W2768" s="171"/>
      <c r="X2768" s="171"/>
    </row>
    <row r="2769" ht="15.0" customHeight="1">
      <c r="A2769" s="127">
        <v>45967.0</v>
      </c>
      <c r="B2769" s="475" t="s">
        <v>9814</v>
      </c>
      <c r="C2769" s="56" t="s">
        <v>3975</v>
      </c>
      <c r="D2769" s="73" t="str">
        <f>IFERROR(VLOOKUP(C2769,Stock,3,FALSE),"")</f>
        <v>Mitsubishi Xpander 17-21 / Livina 19- 2nd Gen</v>
      </c>
      <c r="E2769" s="56">
        <v>1.0</v>
      </c>
      <c r="F2769" s="161">
        <v>1420000.0</v>
      </c>
      <c r="G2769" s="162">
        <f t="shared" si="40"/>
        <v>1420000</v>
      </c>
      <c r="H2769" s="194"/>
      <c r="I2769" s="161">
        <f t="shared" si="41"/>
        <v>1420000</v>
      </c>
      <c r="J2769" s="164">
        <f t="shared" si="42"/>
        <v>1420000</v>
      </c>
      <c r="K2769" s="56" t="s">
        <v>9815</v>
      </c>
      <c r="L2769" s="165" t="s">
        <v>9816</v>
      </c>
      <c r="M2769" s="73"/>
      <c r="N2769" s="169" t="s">
        <v>9817</v>
      </c>
      <c r="O2769" s="169" t="s">
        <v>6923</v>
      </c>
      <c r="P2769" s="168" t="s">
        <v>9818</v>
      </c>
      <c r="Q2769" s="173"/>
      <c r="R2769" s="167">
        <v>1420000.0</v>
      </c>
      <c r="S2769" s="173"/>
      <c r="T2769" s="173"/>
      <c r="U2769" s="173"/>
      <c r="V2769" s="168" t="s">
        <v>9819</v>
      </c>
      <c r="W2769" s="169"/>
      <c r="X2769" s="171"/>
    </row>
    <row r="2770" ht="15.0" customHeight="1">
      <c r="A2770" s="127">
        <v>45967.0</v>
      </c>
      <c r="B2770" s="475" t="s">
        <v>9814</v>
      </c>
      <c r="C2770" s="56" t="s">
        <v>3513</v>
      </c>
      <c r="D2770" s="73" t="str">
        <f>IFERROR(VLOOKUP(C2770,Stock,3,FALSE),"")</f>
        <v>Lembur</v>
      </c>
      <c r="E2770" s="56">
        <v>1.0</v>
      </c>
      <c r="F2770" s="161">
        <v>150000.0</v>
      </c>
      <c r="G2770" s="162">
        <f t="shared" si="40"/>
        <v>150000</v>
      </c>
      <c r="H2770" s="194"/>
      <c r="I2770" s="161">
        <f t="shared" si="41"/>
        <v>150000</v>
      </c>
      <c r="J2770" s="164">
        <f t="shared" si="42"/>
        <v>150000</v>
      </c>
      <c r="K2770" s="56" t="s">
        <v>9815</v>
      </c>
      <c r="L2770" s="165" t="s">
        <v>9816</v>
      </c>
      <c r="M2770" s="73"/>
      <c r="N2770" s="169" t="s">
        <v>9817</v>
      </c>
      <c r="O2770" s="169" t="s">
        <v>6923</v>
      </c>
      <c r="P2770" s="168" t="s">
        <v>9818</v>
      </c>
      <c r="Q2770" s="167"/>
      <c r="R2770" s="167">
        <v>150000.0</v>
      </c>
      <c r="S2770" s="173"/>
      <c r="T2770" s="173"/>
      <c r="U2770" s="173"/>
      <c r="V2770" s="168" t="s">
        <v>9819</v>
      </c>
      <c r="W2770" s="169"/>
      <c r="X2770" s="171"/>
    </row>
    <row r="2771" ht="15.0" customHeight="1">
      <c r="A2771" s="127">
        <v>45967.0</v>
      </c>
      <c r="B2771" s="475" t="s">
        <v>9820</v>
      </c>
      <c r="C2771" s="56" t="s">
        <v>2859</v>
      </c>
      <c r="D2771" s="73" t="str">
        <f>IFERROR(VLOOKUP(C2771,Stock,3,FALSE),"")</f>
        <v>Toyota Fortuner 15-  2nd Gen</v>
      </c>
      <c r="E2771" s="56">
        <v>1.0</v>
      </c>
      <c r="F2771" s="161">
        <v>535000.0</v>
      </c>
      <c r="G2771" s="162">
        <f t="shared" si="40"/>
        <v>535000</v>
      </c>
      <c r="H2771" s="194"/>
      <c r="I2771" s="161">
        <f t="shared" si="41"/>
        <v>535000</v>
      </c>
      <c r="J2771" s="164">
        <f t="shared" si="42"/>
        <v>535000</v>
      </c>
      <c r="K2771" s="56" t="s">
        <v>9821</v>
      </c>
      <c r="L2771" s="165" t="s">
        <v>9822</v>
      </c>
      <c r="M2771" s="73"/>
      <c r="N2771" s="171"/>
      <c r="O2771" s="169" t="s">
        <v>6923</v>
      </c>
      <c r="P2771" s="168" t="s">
        <v>3112</v>
      </c>
      <c r="Q2771" s="167">
        <v>535000.0</v>
      </c>
      <c r="R2771" s="173"/>
      <c r="S2771" s="173"/>
      <c r="T2771" s="173"/>
      <c r="U2771" s="173"/>
      <c r="V2771" s="202"/>
      <c r="W2771" s="171"/>
      <c r="X2771" s="171"/>
    </row>
    <row r="2772" ht="15.0" customHeight="1">
      <c r="A2772" s="127">
        <v>45967.0</v>
      </c>
      <c r="B2772" s="475" t="s">
        <v>9823</v>
      </c>
      <c r="C2772" s="56" t="s">
        <v>6549</v>
      </c>
      <c r="D2772" s="73" t="str">
        <f>IFERROR(VLOOKUP(C2772,Stock,3,FALSE),"")</f>
        <v>Honda Mobilio 14-</v>
      </c>
      <c r="E2772" s="56">
        <v>1.0</v>
      </c>
      <c r="F2772" s="161">
        <v>1100000.0</v>
      </c>
      <c r="G2772" s="162">
        <f t="shared" si="40"/>
        <v>1100000</v>
      </c>
      <c r="H2772" s="194"/>
      <c r="I2772" s="161">
        <f t="shared" si="41"/>
        <v>1100000</v>
      </c>
      <c r="J2772" s="164">
        <f t="shared" si="42"/>
        <v>1100000</v>
      </c>
      <c r="K2772" s="56" t="s">
        <v>9824</v>
      </c>
      <c r="L2772" s="165" t="s">
        <v>9825</v>
      </c>
      <c r="M2772" s="73"/>
      <c r="N2772" s="169" t="s">
        <v>9826</v>
      </c>
      <c r="O2772" s="169" t="s">
        <v>6923</v>
      </c>
      <c r="P2772" s="168" t="s">
        <v>3112</v>
      </c>
      <c r="Q2772" s="167">
        <v>1100000.0</v>
      </c>
      <c r="R2772" s="173"/>
      <c r="S2772" s="173"/>
      <c r="T2772" s="173"/>
      <c r="U2772" s="173"/>
      <c r="V2772" s="202"/>
      <c r="W2772" s="171"/>
      <c r="X2772" s="171"/>
    </row>
    <row r="2773" ht="15.0" customHeight="1">
      <c r="A2773" s="127">
        <v>45967.0</v>
      </c>
      <c r="B2773" s="475" t="s">
        <v>9827</v>
      </c>
      <c r="C2773" s="56" t="s">
        <v>3013</v>
      </c>
      <c r="D2773" s="73" t="str">
        <f>IFERROR(VLOOKUP(C2773,Stock,3,FALSE),"")</f>
        <v>Honda BR-V 16-</v>
      </c>
      <c r="E2773" s="56">
        <v>1.0</v>
      </c>
      <c r="F2773" s="161">
        <v>1311000.0</v>
      </c>
      <c r="G2773" s="162">
        <f t="shared" si="40"/>
        <v>1311000</v>
      </c>
      <c r="H2773" s="194"/>
      <c r="I2773" s="161">
        <f t="shared" si="41"/>
        <v>1311000</v>
      </c>
      <c r="J2773" s="164">
        <f t="shared" si="42"/>
        <v>1311000</v>
      </c>
      <c r="K2773" s="56" t="s">
        <v>9828</v>
      </c>
      <c r="L2773" s="165" t="s">
        <v>9829</v>
      </c>
      <c r="M2773" s="73"/>
      <c r="N2773" s="169" t="s">
        <v>9830</v>
      </c>
      <c r="O2773" s="169" t="s">
        <v>6923</v>
      </c>
      <c r="P2773" s="168" t="s">
        <v>3112</v>
      </c>
      <c r="Q2773" s="167">
        <v>1200000.0</v>
      </c>
      <c r="R2773" s="167">
        <v>111000.0</v>
      </c>
      <c r="S2773" s="173"/>
      <c r="T2773" s="173"/>
      <c r="U2773" s="173"/>
      <c r="V2773" s="202"/>
      <c r="W2773" s="171"/>
      <c r="X2773" s="171"/>
    </row>
    <row r="2774" ht="15.0" customHeight="1">
      <c r="A2774" s="127">
        <v>45968.0</v>
      </c>
      <c r="B2774" s="181" t="s">
        <v>9831</v>
      </c>
      <c r="C2774" s="475" t="s">
        <v>2562</v>
      </c>
      <c r="D2774" s="73" t="str">
        <f>IFERROR(VLOOKUP(C2774,Stock,3,FALSE),"")</f>
        <v>Toyota Avanza / Xenia 15-21 3rd Gen</v>
      </c>
      <c r="E2774" s="56">
        <v>1.0</v>
      </c>
      <c r="F2774" s="161">
        <v>1000000.0</v>
      </c>
      <c r="G2774" s="162">
        <f t="shared" si="40"/>
        <v>1000000</v>
      </c>
      <c r="H2774" s="194"/>
      <c r="I2774" s="161">
        <f t="shared" si="41"/>
        <v>1000000</v>
      </c>
      <c r="J2774" s="164">
        <f t="shared" si="42"/>
        <v>1000000</v>
      </c>
      <c r="K2774" s="56" t="s">
        <v>9832</v>
      </c>
      <c r="L2774" s="165" t="s">
        <v>9833</v>
      </c>
      <c r="M2774" s="73"/>
      <c r="N2774" s="169" t="s">
        <v>9834</v>
      </c>
      <c r="O2774" s="169" t="s">
        <v>6923</v>
      </c>
      <c r="P2774" s="168" t="s">
        <v>3112</v>
      </c>
      <c r="Q2774" s="167"/>
      <c r="R2774" s="167">
        <v>1000000.0</v>
      </c>
      <c r="S2774" s="173"/>
      <c r="T2774" s="173"/>
      <c r="U2774" s="173"/>
      <c r="V2774" s="202"/>
      <c r="W2774" s="171"/>
      <c r="X2774" s="171"/>
    </row>
    <row r="2775" ht="15.0" customHeight="1">
      <c r="A2775" s="127">
        <v>45968.0</v>
      </c>
      <c r="B2775" s="181" t="s">
        <v>9835</v>
      </c>
      <c r="C2775" s="56" t="s">
        <v>9836</v>
      </c>
      <c r="D2775" s="73" t="str">
        <f>IFERROR(VLOOKUP(C2775,Stock,3,FALSE),"")</f>
        <v>Toyota Yaris 13- 2nd Gen / Vios 14- 3rd Gen</v>
      </c>
      <c r="E2775" s="56">
        <v>1.0</v>
      </c>
      <c r="F2775" s="161">
        <v>1419000.0</v>
      </c>
      <c r="G2775" s="162">
        <f t="shared" si="40"/>
        <v>1419000</v>
      </c>
      <c r="H2775" s="194"/>
      <c r="I2775" s="161">
        <f t="shared" si="41"/>
        <v>1419000</v>
      </c>
      <c r="J2775" s="164">
        <f t="shared" si="42"/>
        <v>1419000</v>
      </c>
      <c r="K2775" s="56" t="s">
        <v>6600</v>
      </c>
      <c r="L2775" s="165" t="s">
        <v>9837</v>
      </c>
      <c r="M2775" s="73"/>
      <c r="N2775" s="171"/>
      <c r="O2775" s="169" t="s">
        <v>6923</v>
      </c>
      <c r="P2775" s="168" t="s">
        <v>3112</v>
      </c>
      <c r="Q2775" s="167">
        <v>1419000.0</v>
      </c>
      <c r="R2775" s="173"/>
      <c r="S2775" s="173"/>
      <c r="T2775" s="173"/>
      <c r="U2775" s="173"/>
      <c r="V2775" s="202"/>
      <c r="W2775" s="171"/>
      <c r="X2775" s="171"/>
    </row>
    <row r="2776" ht="15.0" customHeight="1">
      <c r="A2776" s="127">
        <v>45968.0</v>
      </c>
      <c r="B2776" s="181" t="s">
        <v>9838</v>
      </c>
      <c r="C2776" s="475" t="s">
        <v>2721</v>
      </c>
      <c r="D2776" s="73" t="str">
        <f>IFERROR(VLOOKUP(C2776,Stock,3,FALSE),"")</f>
        <v>Toyota Dyna/Hino Dutro 00-</v>
      </c>
      <c r="E2776" s="56">
        <v>1.0</v>
      </c>
      <c r="F2776" s="161">
        <v>1250000.0</v>
      </c>
      <c r="G2776" s="162">
        <f t="shared" si="40"/>
        <v>1250000</v>
      </c>
      <c r="H2776" s="194"/>
      <c r="I2776" s="161">
        <f t="shared" si="41"/>
        <v>1250000</v>
      </c>
      <c r="J2776" s="164">
        <f t="shared" si="42"/>
        <v>1250000</v>
      </c>
      <c r="K2776" s="56" t="s">
        <v>7051</v>
      </c>
      <c r="L2776" s="165" t="s">
        <v>9839</v>
      </c>
      <c r="M2776" s="73"/>
      <c r="N2776" s="169" t="s">
        <v>9840</v>
      </c>
      <c r="O2776" s="169" t="s">
        <v>6923</v>
      </c>
      <c r="P2776" s="168" t="s">
        <v>3112</v>
      </c>
      <c r="Q2776" s="173"/>
      <c r="R2776" s="167">
        <v>50000.0</v>
      </c>
      <c r="S2776" s="173"/>
      <c r="T2776" s="173"/>
      <c r="U2776" s="173"/>
      <c r="V2776" s="202"/>
      <c r="W2776" s="171"/>
      <c r="X2776" s="171"/>
    </row>
    <row r="2777" ht="15.0" customHeight="1">
      <c r="A2777" s="127">
        <v>45968.0</v>
      </c>
      <c r="B2777" s="181" t="s">
        <v>9838</v>
      </c>
      <c r="C2777" s="56" t="s">
        <v>2954</v>
      </c>
      <c r="D2777" s="73" t="str">
        <f>IFERROR(VLOOKUP(C2777,Stock,3,FALSE),"")</f>
        <v>Transport</v>
      </c>
      <c r="E2777" s="56">
        <v>1.0</v>
      </c>
      <c r="F2777" s="161">
        <v>50000.0</v>
      </c>
      <c r="G2777" s="162">
        <f t="shared" si="40"/>
        <v>50000</v>
      </c>
      <c r="H2777" s="194"/>
      <c r="I2777" s="161">
        <f t="shared" si="41"/>
        <v>50000</v>
      </c>
      <c r="J2777" s="164">
        <f t="shared" si="42"/>
        <v>50000</v>
      </c>
      <c r="K2777" s="56" t="s">
        <v>7051</v>
      </c>
      <c r="L2777" s="165" t="s">
        <v>9839</v>
      </c>
      <c r="M2777" s="73"/>
      <c r="N2777" s="169" t="s">
        <v>9840</v>
      </c>
      <c r="O2777" s="169" t="s">
        <v>6923</v>
      </c>
      <c r="P2777" s="168" t="s">
        <v>3112</v>
      </c>
      <c r="Q2777" s="173"/>
      <c r="R2777" s="173"/>
      <c r="S2777" s="173"/>
      <c r="T2777" s="173"/>
      <c r="U2777" s="173"/>
      <c r="V2777" s="202"/>
      <c r="W2777" s="171"/>
      <c r="X2777" s="171"/>
    </row>
    <row r="2778" ht="15.0" customHeight="1">
      <c r="A2778" s="127">
        <v>45968.0</v>
      </c>
      <c r="B2778" s="181" t="s">
        <v>9841</v>
      </c>
      <c r="C2778" s="475" t="s">
        <v>9842</v>
      </c>
      <c r="D2778" s="73" t="str">
        <f>IFERROR(VLOOKUP(C2778,Stock,3,FALSE),"")</f>
        <v>Toyota LandCruiser 98-07 FJ100 (Signus) [Sensor]</v>
      </c>
      <c r="E2778" s="56">
        <v>1.0</v>
      </c>
      <c r="F2778" s="161">
        <v>3287000.0</v>
      </c>
      <c r="G2778" s="162">
        <f t="shared" si="40"/>
        <v>3287000</v>
      </c>
      <c r="H2778" s="194"/>
      <c r="I2778" s="161">
        <f t="shared" si="41"/>
        <v>3287000</v>
      </c>
      <c r="J2778" s="164">
        <f t="shared" si="42"/>
        <v>3287000</v>
      </c>
      <c r="K2778" s="56" t="s">
        <v>9843</v>
      </c>
      <c r="L2778" s="165" t="s">
        <v>9844</v>
      </c>
      <c r="M2778" s="73"/>
      <c r="N2778" s="171"/>
      <c r="O2778" s="169" t="s">
        <v>6923</v>
      </c>
      <c r="P2778" s="168" t="s">
        <v>3112</v>
      </c>
      <c r="Q2778" s="173"/>
      <c r="R2778" s="167">
        <v>3287000.0</v>
      </c>
      <c r="S2778" s="173"/>
      <c r="T2778" s="173"/>
      <c r="U2778" s="173"/>
      <c r="V2778" s="202"/>
      <c r="W2778" s="171"/>
      <c r="X2778" s="171"/>
    </row>
    <row r="2779" ht="15.0" customHeight="1">
      <c r="A2779" s="127">
        <v>45968.0</v>
      </c>
      <c r="B2779" s="181" t="s">
        <v>9841</v>
      </c>
      <c r="C2779" s="56" t="s">
        <v>2954</v>
      </c>
      <c r="D2779" s="73" t="str">
        <f>IFERROR(VLOOKUP(C2779,Stock,3,FALSE),"")</f>
        <v>Transport</v>
      </c>
      <c r="E2779" s="56">
        <v>1.0</v>
      </c>
      <c r="F2779" s="161">
        <v>111000.0</v>
      </c>
      <c r="G2779" s="162">
        <f t="shared" si="40"/>
        <v>111000</v>
      </c>
      <c r="H2779" s="194"/>
      <c r="I2779" s="161">
        <f t="shared" si="41"/>
        <v>111000</v>
      </c>
      <c r="J2779" s="164">
        <f t="shared" si="42"/>
        <v>111000</v>
      </c>
      <c r="K2779" s="56" t="s">
        <v>9843</v>
      </c>
      <c r="L2779" s="165" t="s">
        <v>9844</v>
      </c>
      <c r="M2779" s="73"/>
      <c r="N2779" s="171"/>
      <c r="O2779" s="169" t="s">
        <v>6923</v>
      </c>
      <c r="P2779" s="168" t="s">
        <v>3112</v>
      </c>
      <c r="Q2779" s="173"/>
      <c r="R2779" s="167">
        <v>111000.0</v>
      </c>
      <c r="S2779" s="173"/>
      <c r="T2779" s="173"/>
      <c r="U2779" s="173"/>
      <c r="V2779" s="202"/>
      <c r="W2779" s="171"/>
      <c r="X2779" s="171"/>
    </row>
    <row r="2780" ht="15.0" customHeight="1">
      <c r="A2780" s="127">
        <v>45969.0</v>
      </c>
      <c r="B2780" s="181" t="s">
        <v>9845</v>
      </c>
      <c r="C2780" s="475" t="s">
        <v>2936</v>
      </c>
      <c r="D2780" s="73" t="str">
        <f>IFERROR(VLOOKUP(C2780,Stock,3,FALSE),"")</f>
        <v>Toyota Calya / Sigra 16-</v>
      </c>
      <c r="E2780" s="56">
        <v>1.0</v>
      </c>
      <c r="F2780" s="161">
        <v>718000.0</v>
      </c>
      <c r="G2780" s="162">
        <f t="shared" si="40"/>
        <v>718000</v>
      </c>
      <c r="H2780" s="194"/>
      <c r="I2780" s="161">
        <f t="shared" si="41"/>
        <v>718000</v>
      </c>
      <c r="J2780" s="164">
        <f t="shared" si="42"/>
        <v>718000</v>
      </c>
      <c r="K2780" s="56" t="s">
        <v>9734</v>
      </c>
      <c r="L2780" s="165" t="s">
        <v>9735</v>
      </c>
      <c r="M2780" s="73"/>
      <c r="N2780" s="171"/>
      <c r="O2780" s="169" t="s">
        <v>6923</v>
      </c>
      <c r="P2780" s="168" t="s">
        <v>3112</v>
      </c>
      <c r="Q2780" s="173"/>
      <c r="R2780" s="167">
        <v>718000.0</v>
      </c>
      <c r="S2780" s="173"/>
      <c r="T2780" s="173"/>
      <c r="U2780" s="173"/>
      <c r="V2780" s="202"/>
      <c r="W2780" s="171"/>
      <c r="X2780" s="171"/>
    </row>
    <row r="2781" ht="15.0" customHeight="1">
      <c r="A2781" s="127">
        <v>45966.0</v>
      </c>
      <c r="B2781" s="181" t="s">
        <v>9846</v>
      </c>
      <c r="C2781" s="56" t="s">
        <v>3411</v>
      </c>
      <c r="D2781" s="73" t="str">
        <f>IFERROR(VLOOKUP(C2781,Stock,3,FALSE),"")</f>
        <v>Toyota Agya/Ayla 13-22 1st Gen</v>
      </c>
      <c r="E2781" s="56">
        <v>1.0</v>
      </c>
      <c r="F2781" s="161">
        <v>1020000.0</v>
      </c>
      <c r="G2781" s="162">
        <f t="shared" si="40"/>
        <v>1020000</v>
      </c>
      <c r="H2781" s="194"/>
      <c r="I2781" s="161">
        <f t="shared" si="41"/>
        <v>1020000</v>
      </c>
      <c r="J2781" s="164">
        <f t="shared" si="42"/>
        <v>1020000</v>
      </c>
      <c r="K2781" s="56" t="s">
        <v>7502</v>
      </c>
      <c r="L2781" s="165" t="s">
        <v>9847</v>
      </c>
      <c r="M2781" s="73"/>
      <c r="N2781" s="169" t="s">
        <v>9848</v>
      </c>
      <c r="O2781" s="169" t="s">
        <v>6923</v>
      </c>
      <c r="P2781" s="168" t="s">
        <v>3112</v>
      </c>
      <c r="Q2781" s="173"/>
      <c r="R2781" s="167">
        <v>1020000.0</v>
      </c>
      <c r="S2781" s="173"/>
      <c r="T2781" s="173"/>
      <c r="U2781" s="173"/>
      <c r="V2781" s="202"/>
      <c r="W2781" s="171"/>
      <c r="X2781" s="171"/>
    </row>
    <row r="2782" ht="15.0" customHeight="1">
      <c r="A2782" s="127">
        <v>45969.0</v>
      </c>
      <c r="B2782" s="181" t="s">
        <v>9849</v>
      </c>
      <c r="C2782" s="475" t="s">
        <v>2682</v>
      </c>
      <c r="D2782" s="73" t="str">
        <f>IFERROR(VLOOKUP(C2782,Stock,3,FALSE),"")</f>
        <v>Toyota Yaris 05-13 XP90 1st Gen</v>
      </c>
      <c r="E2782" s="56">
        <v>1.0</v>
      </c>
      <c r="F2782" s="161">
        <v>1449000.0</v>
      </c>
      <c r="G2782" s="162">
        <f t="shared" si="40"/>
        <v>1449000</v>
      </c>
      <c r="H2782" s="194"/>
      <c r="I2782" s="161">
        <f t="shared" si="41"/>
        <v>1449000</v>
      </c>
      <c r="J2782" s="164">
        <f t="shared" si="42"/>
        <v>1449000</v>
      </c>
      <c r="K2782" s="56" t="s">
        <v>9850</v>
      </c>
      <c r="L2782" s="165" t="s">
        <v>9851</v>
      </c>
      <c r="M2782" s="73"/>
      <c r="N2782" s="169" t="s">
        <v>9852</v>
      </c>
      <c r="O2782" s="169" t="s">
        <v>6923</v>
      </c>
      <c r="P2782" s="168" t="s">
        <v>3112</v>
      </c>
      <c r="Q2782" s="167">
        <v>1449000.0</v>
      </c>
      <c r="R2782" s="173"/>
      <c r="S2782" s="173"/>
      <c r="T2782" s="173"/>
      <c r="U2782" s="173"/>
      <c r="V2782" s="202"/>
      <c r="W2782" s="171"/>
      <c r="X2782" s="171"/>
    </row>
    <row r="2783" ht="15.0" customHeight="1">
      <c r="A2783" s="127">
        <v>45969.0</v>
      </c>
      <c r="B2783" s="181" t="s">
        <v>9853</v>
      </c>
      <c r="C2783" s="475" t="s">
        <v>3871</v>
      </c>
      <c r="D2783" s="73" t="str">
        <f>IFERROR(VLOOKUP(C2783,Stock,3,FALSE),"")</f>
        <v>Suzuki Swift 04-11 1st Gen</v>
      </c>
      <c r="E2783" s="56">
        <v>1.0</v>
      </c>
      <c r="F2783" s="161">
        <v>1594000.0</v>
      </c>
      <c r="G2783" s="162">
        <f t="shared" si="40"/>
        <v>1594000</v>
      </c>
      <c r="H2783" s="194"/>
      <c r="I2783" s="161">
        <f t="shared" si="41"/>
        <v>1594000</v>
      </c>
      <c r="J2783" s="164">
        <f t="shared" si="42"/>
        <v>1594000</v>
      </c>
      <c r="K2783" s="56" t="s">
        <v>9854</v>
      </c>
      <c r="L2783" s="56" t="s">
        <v>9855</v>
      </c>
      <c r="M2783" s="73"/>
      <c r="N2783" s="171"/>
      <c r="O2783" s="169" t="s">
        <v>6923</v>
      </c>
      <c r="P2783" s="168" t="s">
        <v>3112</v>
      </c>
      <c r="Q2783" s="173"/>
      <c r="R2783" s="167">
        <v>1594000.0</v>
      </c>
      <c r="S2783" s="173"/>
      <c r="T2783" s="173"/>
      <c r="U2783" s="173"/>
      <c r="V2783" s="202"/>
      <c r="W2783" s="171"/>
      <c r="X2783" s="171"/>
    </row>
    <row r="2784" ht="15.0" customHeight="1">
      <c r="A2784" s="127">
        <v>45970.0</v>
      </c>
      <c r="B2784" s="181" t="s">
        <v>9856</v>
      </c>
      <c r="C2784" s="56" t="s">
        <v>3411</v>
      </c>
      <c r="D2784" s="73" t="str">
        <f>IFERROR(VLOOKUP(C2784,Stock,3,FALSE),"")</f>
        <v>Toyota Agya/Ayla 13-22 1st Gen</v>
      </c>
      <c r="E2784" s="56">
        <v>1.0</v>
      </c>
      <c r="F2784" s="161">
        <v>1020000.0</v>
      </c>
      <c r="G2784" s="162">
        <f t="shared" si="40"/>
        <v>1020000</v>
      </c>
      <c r="H2784" s="194"/>
      <c r="I2784" s="161">
        <f t="shared" si="41"/>
        <v>1020000</v>
      </c>
      <c r="J2784" s="164">
        <f t="shared" si="42"/>
        <v>1020000</v>
      </c>
      <c r="K2784" s="56" t="s">
        <v>9857</v>
      </c>
      <c r="L2784" s="165" t="s">
        <v>9858</v>
      </c>
      <c r="M2784" s="73"/>
      <c r="N2784" s="169"/>
      <c r="O2784" s="169" t="s">
        <v>6923</v>
      </c>
      <c r="P2784" s="168" t="s">
        <v>3112</v>
      </c>
      <c r="Q2784" s="167">
        <v>1020000.0</v>
      </c>
      <c r="R2784" s="173"/>
      <c r="S2784" s="173"/>
      <c r="T2784" s="173"/>
      <c r="U2784" s="173"/>
      <c r="V2784" s="202"/>
      <c r="W2784" s="171"/>
      <c r="X2784" s="171"/>
    </row>
    <row r="2785" ht="15.0" customHeight="1">
      <c r="A2785" s="127">
        <v>45971.0</v>
      </c>
      <c r="B2785" s="181" t="s">
        <v>9859</v>
      </c>
      <c r="C2785" s="475" t="s">
        <v>2936</v>
      </c>
      <c r="D2785" s="73" t="str">
        <f>IFERROR(VLOOKUP(C2785,Stock,3,FALSE),"")</f>
        <v>Toyota Calya / Sigra 16-</v>
      </c>
      <c r="E2785" s="56">
        <v>1.0</v>
      </c>
      <c r="F2785" s="161">
        <v>900000.0</v>
      </c>
      <c r="G2785" s="162">
        <f t="shared" si="40"/>
        <v>900000</v>
      </c>
      <c r="H2785" s="194"/>
      <c r="I2785" s="161">
        <f t="shared" si="41"/>
        <v>900000</v>
      </c>
      <c r="J2785" s="164">
        <f t="shared" si="42"/>
        <v>900000</v>
      </c>
      <c r="K2785" s="56" t="s">
        <v>5576</v>
      </c>
      <c r="L2785" s="165" t="s">
        <v>9858</v>
      </c>
      <c r="M2785" s="73"/>
      <c r="N2785" s="169" t="s">
        <v>9860</v>
      </c>
      <c r="O2785" s="169" t="s">
        <v>6923</v>
      </c>
      <c r="P2785" s="168" t="s">
        <v>3112</v>
      </c>
      <c r="Q2785" s="173"/>
      <c r="R2785" s="167">
        <v>900000.0</v>
      </c>
      <c r="S2785" s="173"/>
      <c r="T2785" s="173"/>
      <c r="U2785" s="173"/>
      <c r="V2785" s="202"/>
      <c r="W2785" s="171"/>
      <c r="X2785" s="171"/>
    </row>
    <row r="2786" ht="15.0" customHeight="1">
      <c r="A2786" s="127">
        <v>45971.0</v>
      </c>
      <c r="B2786" s="181" t="s">
        <v>9861</v>
      </c>
      <c r="C2786" s="475" t="s">
        <v>6396</v>
      </c>
      <c r="D2786" s="73" t="str">
        <f>IFERROR(VLOOKUP(C2786,Stock,3,FALSE),"")</f>
        <v>Geely Panda 09- LC Hatchback</v>
      </c>
      <c r="E2786" s="56">
        <v>1.0</v>
      </c>
      <c r="F2786" s="161">
        <v>2879000.0</v>
      </c>
      <c r="G2786" s="162">
        <f t="shared" si="40"/>
        <v>2879000</v>
      </c>
      <c r="H2786" s="194"/>
      <c r="I2786" s="161">
        <f t="shared" si="41"/>
        <v>2879000</v>
      </c>
      <c r="J2786" s="164">
        <f t="shared" si="42"/>
        <v>2879000</v>
      </c>
      <c r="K2786" s="56" t="s">
        <v>9862</v>
      </c>
      <c r="L2786" s="165" t="s">
        <v>9863</v>
      </c>
      <c r="M2786" s="73"/>
      <c r="N2786" s="171"/>
      <c r="O2786" s="169" t="s">
        <v>6923</v>
      </c>
      <c r="P2786" s="168" t="s">
        <v>3112</v>
      </c>
      <c r="Q2786" s="173"/>
      <c r="R2786" s="167">
        <v>2879000.0</v>
      </c>
      <c r="S2786" s="173"/>
      <c r="T2786" s="173"/>
      <c r="U2786" s="173"/>
      <c r="V2786" s="202"/>
      <c r="W2786" s="171"/>
      <c r="X2786" s="171"/>
    </row>
    <row r="2787" ht="15.0" customHeight="1">
      <c r="A2787" s="127">
        <v>45971.0</v>
      </c>
      <c r="B2787" s="181" t="s">
        <v>9864</v>
      </c>
      <c r="C2787" s="475" t="s">
        <v>2549</v>
      </c>
      <c r="D2787" s="73" t="str">
        <f>IFERROR(VLOOKUP(C2787,Stock,3,FALSE),"")</f>
        <v>Toyota Avanza / Xenia 11-15 2nd Gen</v>
      </c>
      <c r="E2787" s="56">
        <v>1.0</v>
      </c>
      <c r="F2787" s="161">
        <v>1020000.0</v>
      </c>
      <c r="G2787" s="162">
        <f t="shared" si="40"/>
        <v>1020000</v>
      </c>
      <c r="H2787" s="194"/>
      <c r="I2787" s="161">
        <f t="shared" si="41"/>
        <v>1020000</v>
      </c>
      <c r="J2787" s="164">
        <f t="shared" si="42"/>
        <v>1020000</v>
      </c>
      <c r="K2787" s="56" t="s">
        <v>9865</v>
      </c>
      <c r="L2787" s="165" t="s">
        <v>9866</v>
      </c>
      <c r="M2787" s="73"/>
      <c r="N2787" s="169" t="s">
        <v>9867</v>
      </c>
      <c r="O2787" s="169" t="s">
        <v>6923</v>
      </c>
      <c r="P2787" s="168" t="s">
        <v>3112</v>
      </c>
      <c r="Q2787" s="167">
        <v>1020000.0</v>
      </c>
      <c r="R2787" s="173"/>
      <c r="S2787" s="173"/>
      <c r="T2787" s="173"/>
      <c r="U2787" s="173"/>
      <c r="V2787" s="202"/>
      <c r="W2787" s="171"/>
      <c r="X2787" s="171"/>
    </row>
    <row r="2788" ht="15.0" customHeight="1">
      <c r="A2788" s="127">
        <v>45971.0</v>
      </c>
      <c r="B2788" s="181" t="s">
        <v>9868</v>
      </c>
      <c r="C2788" s="475" t="s">
        <v>4178</v>
      </c>
      <c r="D2788" s="73" t="str">
        <f>IFERROR(VLOOKUP(C2788,Stock,3,FALSE),"")</f>
        <v>Honda BR-V 16-</v>
      </c>
      <c r="E2788" s="56">
        <v>1.0</v>
      </c>
      <c r="F2788" s="161">
        <v>1283000.0</v>
      </c>
      <c r="G2788" s="162">
        <f t="shared" si="40"/>
        <v>1283000</v>
      </c>
      <c r="H2788" s="194"/>
      <c r="I2788" s="161">
        <f t="shared" si="41"/>
        <v>1283000</v>
      </c>
      <c r="J2788" s="164">
        <f t="shared" si="42"/>
        <v>1283000</v>
      </c>
      <c r="K2788" s="56" t="s">
        <v>9869</v>
      </c>
      <c r="L2788" s="165" t="s">
        <v>9870</v>
      </c>
      <c r="M2788" s="73"/>
      <c r="N2788" s="171"/>
      <c r="O2788" s="169" t="s">
        <v>6923</v>
      </c>
      <c r="P2788" s="168" t="s">
        <v>3112</v>
      </c>
      <c r="Q2788" s="173"/>
      <c r="R2788" s="167">
        <v>1283000.0</v>
      </c>
      <c r="S2788" s="173"/>
      <c r="T2788" s="173"/>
      <c r="U2788" s="173"/>
      <c r="V2788" s="202"/>
      <c r="W2788" s="171"/>
      <c r="X2788" s="171"/>
    </row>
    <row r="2789" ht="15.0" customHeight="1">
      <c r="A2789" s="127">
        <v>45971.0</v>
      </c>
      <c r="B2789" s="181" t="s">
        <v>9868</v>
      </c>
      <c r="C2789" s="56" t="s">
        <v>2934</v>
      </c>
      <c r="D2789" s="73" t="str">
        <f>IFERROR(VLOOKUP(C2789,Stock,3,FALSE),"")</f>
        <v>Peti Kayu</v>
      </c>
      <c r="E2789" s="56">
        <v>1.0</v>
      </c>
      <c r="F2789" s="161">
        <v>200000.0</v>
      </c>
      <c r="G2789" s="162">
        <f t="shared" si="40"/>
        <v>200000</v>
      </c>
      <c r="H2789" s="194"/>
      <c r="I2789" s="161">
        <f t="shared" si="41"/>
        <v>200000</v>
      </c>
      <c r="J2789" s="164">
        <f t="shared" si="42"/>
        <v>200000</v>
      </c>
      <c r="K2789" s="56" t="s">
        <v>9869</v>
      </c>
      <c r="L2789" s="165" t="s">
        <v>9870</v>
      </c>
      <c r="M2789" s="73"/>
      <c r="N2789" s="171"/>
      <c r="O2789" s="169" t="s">
        <v>6923</v>
      </c>
      <c r="P2789" s="168" t="s">
        <v>3112</v>
      </c>
      <c r="Q2789" s="173"/>
      <c r="R2789" s="167">
        <v>200000.0</v>
      </c>
      <c r="S2789" s="173"/>
      <c r="T2789" s="173"/>
      <c r="U2789" s="173"/>
      <c r="V2789" s="202"/>
      <c r="W2789" s="171"/>
      <c r="X2789" s="171"/>
    </row>
    <row r="2790" ht="15.0" customHeight="1">
      <c r="A2790" s="127">
        <v>45971.0</v>
      </c>
      <c r="B2790" s="181" t="s">
        <v>9871</v>
      </c>
      <c r="C2790" s="475" t="s">
        <v>4005</v>
      </c>
      <c r="D2790" s="73" t="str">
        <f>IFERROR(VLOOKUP(C2790,Stock,3,FALSE),"")</f>
        <v>Toyota Fortuner 15- 2nd Gen</v>
      </c>
      <c r="E2790" s="56">
        <v>1.0</v>
      </c>
      <c r="F2790" s="161">
        <v>1550000.0</v>
      </c>
      <c r="G2790" s="162">
        <f t="shared" si="40"/>
        <v>1550000</v>
      </c>
      <c r="H2790" s="194"/>
      <c r="I2790" s="161">
        <f t="shared" si="41"/>
        <v>1550000</v>
      </c>
      <c r="J2790" s="164">
        <f t="shared" si="42"/>
        <v>1550000</v>
      </c>
      <c r="K2790" s="56" t="s">
        <v>8715</v>
      </c>
      <c r="L2790" s="165" t="s">
        <v>8716</v>
      </c>
      <c r="M2790" s="73"/>
      <c r="N2790" s="171"/>
      <c r="O2790" s="169" t="s">
        <v>4961</v>
      </c>
      <c r="P2790" s="168" t="s">
        <v>3112</v>
      </c>
      <c r="Q2790" s="173"/>
      <c r="R2790" s="167">
        <v>1550000.0</v>
      </c>
      <c r="S2790" s="173"/>
      <c r="T2790" s="173"/>
      <c r="U2790" s="173"/>
      <c r="V2790" s="202"/>
      <c r="W2790" s="171"/>
      <c r="X2790" s="171"/>
    </row>
    <row r="2791" ht="15.0" customHeight="1">
      <c r="A2791" s="127">
        <v>45971.0</v>
      </c>
      <c r="B2791" s="181" t="s">
        <v>9871</v>
      </c>
      <c r="C2791" s="56" t="s">
        <v>2934</v>
      </c>
      <c r="D2791" s="73" t="str">
        <f>IFERROR(VLOOKUP(C2791,Stock,3,FALSE),"")</f>
        <v>Peti Kayu</v>
      </c>
      <c r="E2791" s="56">
        <v>1.0</v>
      </c>
      <c r="F2791" s="161">
        <v>200000.0</v>
      </c>
      <c r="G2791" s="162">
        <f t="shared" si="40"/>
        <v>200000</v>
      </c>
      <c r="H2791" s="194"/>
      <c r="I2791" s="161">
        <f t="shared" si="41"/>
        <v>200000</v>
      </c>
      <c r="J2791" s="164">
        <f t="shared" si="42"/>
        <v>200000</v>
      </c>
      <c r="K2791" s="56" t="s">
        <v>8715</v>
      </c>
      <c r="L2791" s="165" t="s">
        <v>8716</v>
      </c>
      <c r="M2791" s="73"/>
      <c r="N2791" s="171"/>
      <c r="O2791" s="169" t="s">
        <v>4961</v>
      </c>
      <c r="P2791" s="168" t="s">
        <v>3112</v>
      </c>
      <c r="Q2791" s="173"/>
      <c r="R2791" s="167">
        <v>200000.0</v>
      </c>
      <c r="S2791" s="173"/>
      <c r="T2791" s="173"/>
      <c r="U2791" s="173"/>
      <c r="V2791" s="202"/>
      <c r="W2791" s="171"/>
      <c r="X2791" s="171"/>
    </row>
    <row r="2792" ht="15.0" customHeight="1">
      <c r="A2792" s="127">
        <v>45971.0</v>
      </c>
      <c r="B2792" s="181" t="s">
        <v>9872</v>
      </c>
      <c r="C2792" s="475" t="s">
        <v>3638</v>
      </c>
      <c r="D2792" s="73" t="str">
        <f>IFERROR(VLOOKUP(C2792,Stock,3,FALSE),"")</f>
        <v>Mitsubishi Xpander 17-21</v>
      </c>
      <c r="E2792" s="56">
        <v>1.0</v>
      </c>
      <c r="F2792" s="161">
        <v>841000.0</v>
      </c>
      <c r="G2792" s="162">
        <f t="shared" si="40"/>
        <v>841000</v>
      </c>
      <c r="H2792" s="194"/>
      <c r="I2792" s="161">
        <f t="shared" si="41"/>
        <v>841000</v>
      </c>
      <c r="J2792" s="164">
        <f t="shared" si="42"/>
        <v>841000</v>
      </c>
      <c r="K2792" s="480" t="s">
        <v>9873</v>
      </c>
      <c r="L2792" s="165" t="s">
        <v>9874</v>
      </c>
      <c r="M2792" s="73"/>
      <c r="N2792" s="169" t="s">
        <v>9875</v>
      </c>
      <c r="O2792" s="169" t="s">
        <v>6923</v>
      </c>
      <c r="P2792" s="169" t="s">
        <v>9471</v>
      </c>
      <c r="Q2792" s="173"/>
      <c r="R2792" s="167">
        <v>841000.0</v>
      </c>
      <c r="S2792" s="173"/>
      <c r="T2792" s="173"/>
      <c r="U2792" s="173"/>
      <c r="V2792" s="202"/>
      <c r="W2792" s="171"/>
      <c r="X2792" s="171"/>
    </row>
    <row r="2793" ht="15.0" customHeight="1">
      <c r="A2793" s="127">
        <v>45972.0</v>
      </c>
      <c r="B2793" s="181" t="s">
        <v>9876</v>
      </c>
      <c r="C2793" s="56" t="s">
        <v>2546</v>
      </c>
      <c r="D2793" s="73" t="str">
        <f>IFERROR(VLOOKUP(C2793,Stock,3,FALSE),"")</f>
        <v>Wuling Confero (Tanpa Spionnya)</v>
      </c>
      <c r="E2793" s="56">
        <v>1.0</v>
      </c>
      <c r="F2793" s="161">
        <v>1240000.0</v>
      </c>
      <c r="G2793" s="162">
        <f t="shared" si="40"/>
        <v>1240000</v>
      </c>
      <c r="H2793" s="194"/>
      <c r="I2793" s="161">
        <f t="shared" si="41"/>
        <v>1240000</v>
      </c>
      <c r="J2793" s="164">
        <f t="shared" si="42"/>
        <v>1240000</v>
      </c>
      <c r="K2793" s="56" t="s">
        <v>7691</v>
      </c>
      <c r="L2793" s="165" t="s">
        <v>9794</v>
      </c>
      <c r="M2793" s="73"/>
      <c r="N2793" s="171"/>
      <c r="O2793" s="169" t="s">
        <v>3204</v>
      </c>
      <c r="P2793" s="168" t="s">
        <v>3112</v>
      </c>
      <c r="Q2793" s="167">
        <v>1240000.0</v>
      </c>
      <c r="R2793" s="173"/>
      <c r="S2793" s="173"/>
      <c r="T2793" s="173"/>
      <c r="U2793" s="173"/>
      <c r="V2793" s="202"/>
      <c r="W2793" s="171"/>
      <c r="X2793" s="171"/>
    </row>
    <row r="2794" ht="15.0" customHeight="1">
      <c r="A2794" s="127">
        <v>45972.0</v>
      </c>
      <c r="B2794" s="181" t="s">
        <v>9877</v>
      </c>
      <c r="C2794" s="56" t="s">
        <v>3360</v>
      </c>
      <c r="D2794" s="73" t="str">
        <f>IFERROR(VLOOKUP(C2794,Stock,3,FALSE),"")</f>
        <v>Mitsubishi Xpander 17-</v>
      </c>
      <c r="E2794" s="56">
        <v>1.0</v>
      </c>
      <c r="F2794" s="161">
        <v>1494000.0</v>
      </c>
      <c r="G2794" s="162">
        <f t="shared" si="40"/>
        <v>1494000</v>
      </c>
      <c r="H2794" s="194"/>
      <c r="I2794" s="161">
        <f t="shared" si="41"/>
        <v>1494000</v>
      </c>
      <c r="J2794" s="164">
        <f t="shared" si="42"/>
        <v>1494000</v>
      </c>
      <c r="K2794" s="56" t="s">
        <v>9878</v>
      </c>
      <c r="L2794" s="165" t="s">
        <v>9879</v>
      </c>
      <c r="M2794" s="73"/>
      <c r="N2794" s="171"/>
      <c r="O2794" s="169" t="s">
        <v>3204</v>
      </c>
      <c r="P2794" s="169" t="s">
        <v>5077</v>
      </c>
      <c r="Q2794" s="173"/>
      <c r="R2794" s="173"/>
      <c r="S2794" s="167">
        <v>1494000.0</v>
      </c>
      <c r="T2794" s="173"/>
      <c r="U2794" s="173"/>
      <c r="V2794" s="202"/>
      <c r="W2794" s="171"/>
      <c r="X2794" s="171"/>
    </row>
    <row r="2795" ht="15.0" customHeight="1">
      <c r="A2795" s="127">
        <v>45972.0</v>
      </c>
      <c r="B2795" s="181" t="s">
        <v>9877</v>
      </c>
      <c r="C2795" s="56" t="s">
        <v>2934</v>
      </c>
      <c r="D2795" s="73" t="str">
        <f>IFERROR(VLOOKUP(C2795,Stock,3,FALSE),"")</f>
        <v>Peti Kayu</v>
      </c>
      <c r="E2795" s="56">
        <v>1.0</v>
      </c>
      <c r="F2795" s="161">
        <v>200000.0</v>
      </c>
      <c r="G2795" s="162">
        <f t="shared" si="40"/>
        <v>200000</v>
      </c>
      <c r="H2795" s="194"/>
      <c r="I2795" s="161">
        <f t="shared" si="41"/>
        <v>200000</v>
      </c>
      <c r="J2795" s="164">
        <f t="shared" si="42"/>
        <v>200000</v>
      </c>
      <c r="K2795" s="56" t="s">
        <v>9878</v>
      </c>
      <c r="L2795" s="165" t="s">
        <v>9879</v>
      </c>
      <c r="M2795" s="73"/>
      <c r="N2795" s="171"/>
      <c r="O2795" s="169" t="s">
        <v>3204</v>
      </c>
      <c r="P2795" s="169" t="s">
        <v>5077</v>
      </c>
      <c r="Q2795" s="173"/>
      <c r="R2795" s="173"/>
      <c r="S2795" s="167">
        <v>200000.0</v>
      </c>
      <c r="T2795" s="173"/>
      <c r="U2795" s="173"/>
      <c r="V2795" s="202"/>
      <c r="W2795" s="171"/>
      <c r="X2795" s="171"/>
    </row>
    <row r="2796" ht="15.0" customHeight="1">
      <c r="A2796" s="127">
        <v>45972.0</v>
      </c>
      <c r="B2796" s="181" t="s">
        <v>9877</v>
      </c>
      <c r="C2796" s="56" t="s">
        <v>2954</v>
      </c>
      <c r="D2796" s="73" t="str">
        <f>IFERROR(VLOOKUP(C2796,Stock,3,FALSE),"")</f>
        <v>Transport</v>
      </c>
      <c r="E2796" s="56">
        <v>1.0</v>
      </c>
      <c r="F2796" s="161">
        <v>120000.0</v>
      </c>
      <c r="G2796" s="162">
        <f t="shared" si="40"/>
        <v>120000</v>
      </c>
      <c r="H2796" s="194"/>
      <c r="I2796" s="161">
        <f t="shared" si="41"/>
        <v>120000</v>
      </c>
      <c r="J2796" s="164">
        <f t="shared" si="42"/>
        <v>120000</v>
      </c>
      <c r="K2796" s="56" t="s">
        <v>9878</v>
      </c>
      <c r="L2796" s="165" t="s">
        <v>9879</v>
      </c>
      <c r="M2796" s="73"/>
      <c r="N2796" s="171"/>
      <c r="O2796" s="169" t="s">
        <v>3204</v>
      </c>
      <c r="P2796" s="169" t="s">
        <v>5077</v>
      </c>
      <c r="Q2796" s="173"/>
      <c r="R2796" s="167">
        <v>120000.0</v>
      </c>
      <c r="S2796" s="173"/>
      <c r="T2796" s="173"/>
      <c r="U2796" s="173"/>
      <c r="V2796" s="202"/>
      <c r="W2796" s="171"/>
      <c r="X2796" s="171"/>
    </row>
    <row r="2797" ht="15.0" customHeight="1">
      <c r="A2797" s="127">
        <v>45972.0</v>
      </c>
      <c r="B2797" s="181" t="s">
        <v>9880</v>
      </c>
      <c r="C2797" s="56" t="s">
        <v>3045</v>
      </c>
      <c r="D2797" s="73" t="str">
        <f>IFERROR(VLOOKUP(C2797,Stock,3,FALSE),"")</f>
        <v>Pemasangan Kaca Mobil Depan</v>
      </c>
      <c r="E2797" s="56">
        <v>1.0</v>
      </c>
      <c r="F2797" s="161">
        <v>600000.0</v>
      </c>
      <c r="G2797" s="162">
        <f t="shared" si="40"/>
        <v>600000</v>
      </c>
      <c r="H2797" s="194"/>
      <c r="I2797" s="161">
        <f t="shared" si="41"/>
        <v>600000</v>
      </c>
      <c r="J2797" s="164">
        <f t="shared" si="42"/>
        <v>600000</v>
      </c>
      <c r="K2797" s="56" t="s">
        <v>9881</v>
      </c>
      <c r="L2797" s="165" t="s">
        <v>5764</v>
      </c>
      <c r="M2797" s="73"/>
      <c r="N2797" s="169" t="s">
        <v>9882</v>
      </c>
      <c r="O2797" s="169" t="s">
        <v>6923</v>
      </c>
      <c r="P2797" s="168" t="s">
        <v>3112</v>
      </c>
      <c r="Q2797" s="173"/>
      <c r="R2797" s="167">
        <v>600000.0</v>
      </c>
      <c r="S2797" s="173"/>
      <c r="T2797" s="173"/>
      <c r="U2797" s="173"/>
      <c r="V2797" s="202"/>
      <c r="W2797" s="171"/>
      <c r="X2797" s="171"/>
    </row>
    <row r="2798" ht="15.0" customHeight="1">
      <c r="A2798" s="127">
        <v>45973.0</v>
      </c>
      <c r="B2798" s="181" t="s">
        <v>9883</v>
      </c>
      <c r="C2798" s="56" t="s">
        <v>3186</v>
      </c>
      <c r="D2798" s="73" t="str">
        <f>IFERROR(VLOOKUP(C2798,Stock,3,FALSE),"")</f>
        <v>Daihatsu Gran Max / Luxio 07-</v>
      </c>
      <c r="E2798" s="56">
        <v>1.0</v>
      </c>
      <c r="F2798" s="161">
        <v>1020000.0</v>
      </c>
      <c r="G2798" s="162">
        <f t="shared" si="40"/>
        <v>1020000</v>
      </c>
      <c r="H2798" s="194"/>
      <c r="I2798" s="161">
        <f t="shared" si="41"/>
        <v>1020000</v>
      </c>
      <c r="J2798" s="164">
        <f t="shared" si="42"/>
        <v>1020000</v>
      </c>
      <c r="K2798" s="56" t="s">
        <v>4277</v>
      </c>
      <c r="L2798" s="165" t="s">
        <v>9884</v>
      </c>
      <c r="M2798" s="73"/>
      <c r="N2798" s="169" t="s">
        <v>9885</v>
      </c>
      <c r="O2798" s="169" t="s">
        <v>3037</v>
      </c>
      <c r="P2798" s="168" t="s">
        <v>3112</v>
      </c>
      <c r="Q2798" s="167">
        <v>1020000.0</v>
      </c>
      <c r="R2798" s="173"/>
      <c r="S2798" s="173"/>
      <c r="T2798" s="173"/>
      <c r="U2798" s="173"/>
      <c r="V2798" s="202"/>
      <c r="W2798" s="171"/>
      <c r="X2798" s="171"/>
    </row>
    <row r="2799" ht="15.0" customHeight="1">
      <c r="A2799" s="127">
        <v>45973.0</v>
      </c>
      <c r="B2799" s="181" t="s">
        <v>9886</v>
      </c>
      <c r="C2799" s="475" t="s">
        <v>3300</v>
      </c>
      <c r="D2799" s="73" t="str">
        <f>IFERROR(VLOOKUP(C2799,Stock,3,FALSE),"")</f>
        <v>Honda CR-V 07-11 3rd Gen</v>
      </c>
      <c r="E2799" s="56">
        <v>1.0</v>
      </c>
      <c r="F2799" s="161">
        <v>1809000.0</v>
      </c>
      <c r="G2799" s="162">
        <f t="shared" si="40"/>
        <v>1809000</v>
      </c>
      <c r="H2799" s="194"/>
      <c r="I2799" s="161">
        <f t="shared" si="41"/>
        <v>1809000</v>
      </c>
      <c r="J2799" s="164">
        <f t="shared" si="42"/>
        <v>1809000</v>
      </c>
      <c r="K2799" s="56" t="s">
        <v>9481</v>
      </c>
      <c r="L2799" s="165" t="s">
        <v>9887</v>
      </c>
      <c r="M2799" s="73"/>
      <c r="N2799" s="169" t="s">
        <v>9888</v>
      </c>
      <c r="O2799" s="169" t="s">
        <v>6923</v>
      </c>
      <c r="P2799" s="168" t="s">
        <v>3112</v>
      </c>
      <c r="Q2799" s="167">
        <v>1809000.0</v>
      </c>
      <c r="R2799" s="173"/>
      <c r="S2799" s="173"/>
      <c r="T2799" s="173"/>
      <c r="U2799" s="173"/>
      <c r="V2799" s="202"/>
      <c r="W2799" s="171"/>
      <c r="X2799" s="171"/>
    </row>
    <row r="2800" ht="15.0" customHeight="1">
      <c r="A2800" s="127">
        <v>45973.0</v>
      </c>
      <c r="B2800" s="181" t="s">
        <v>9889</v>
      </c>
      <c r="C2800" s="56" t="s">
        <v>2661</v>
      </c>
      <c r="D2800" s="73" t="str">
        <f>IFERROR(VLOOKUP(C2800,Stock,3,FALSE),"")</f>
        <v>Isuzu Panther 00- 2nd Gen (Isuzu)</v>
      </c>
      <c r="E2800" s="56">
        <v>1.0</v>
      </c>
      <c r="F2800" s="161">
        <v>1450000.0</v>
      </c>
      <c r="G2800" s="162">
        <f t="shared" si="40"/>
        <v>1450000</v>
      </c>
      <c r="H2800" s="194"/>
      <c r="I2800" s="161">
        <f t="shared" si="41"/>
        <v>1450000</v>
      </c>
      <c r="J2800" s="164">
        <f t="shared" si="42"/>
        <v>1450000</v>
      </c>
      <c r="K2800" s="56" t="s">
        <v>9890</v>
      </c>
      <c r="L2800" s="165" t="s">
        <v>9891</v>
      </c>
      <c r="M2800" s="73"/>
      <c r="N2800" s="169" t="s">
        <v>9892</v>
      </c>
      <c r="O2800" s="169" t="s">
        <v>6923</v>
      </c>
      <c r="P2800" s="168" t="s">
        <v>3112</v>
      </c>
      <c r="Q2800" s="173"/>
      <c r="R2800" s="167">
        <v>1450000.0</v>
      </c>
      <c r="S2800" s="173"/>
      <c r="T2800" s="173"/>
      <c r="U2800" s="173"/>
      <c r="V2800" s="202"/>
      <c r="W2800" s="171"/>
      <c r="X2800" s="171"/>
    </row>
    <row r="2801" ht="15.0" customHeight="1">
      <c r="A2801" s="127">
        <v>45973.0</v>
      </c>
      <c r="B2801" s="483" t="s">
        <v>9893</v>
      </c>
      <c r="C2801" s="56" t="s">
        <v>2562</v>
      </c>
      <c r="D2801" s="73" t="str">
        <f>IFERROR(VLOOKUP(C2801,Stock,3,FALSE),"")</f>
        <v>Toyota Avanza / Xenia 15-21 3rd Gen</v>
      </c>
      <c r="E2801" s="56">
        <v>1.0</v>
      </c>
      <c r="F2801" s="161">
        <v>1020000.0</v>
      </c>
      <c r="G2801" s="162">
        <f t="shared" si="40"/>
        <v>1020000</v>
      </c>
      <c r="H2801" s="194"/>
      <c r="I2801" s="161">
        <f t="shared" si="41"/>
        <v>1020000</v>
      </c>
      <c r="J2801" s="164">
        <f t="shared" si="42"/>
        <v>1020000</v>
      </c>
      <c r="K2801" s="56" t="s">
        <v>6367</v>
      </c>
      <c r="L2801" s="165" t="s">
        <v>6238</v>
      </c>
      <c r="M2801" s="73"/>
      <c r="N2801" s="169" t="s">
        <v>9894</v>
      </c>
      <c r="O2801" s="169" t="s">
        <v>6923</v>
      </c>
      <c r="P2801" s="168" t="s">
        <v>3112</v>
      </c>
      <c r="Q2801" s="167">
        <v>1020000.0</v>
      </c>
      <c r="R2801" s="173"/>
      <c r="S2801" s="173"/>
      <c r="T2801" s="173"/>
      <c r="U2801" s="173"/>
      <c r="V2801" s="202"/>
      <c r="W2801" s="171"/>
      <c r="X2801" s="171"/>
    </row>
    <row r="2802" ht="15.0" customHeight="1">
      <c r="A2802" s="127">
        <v>45973.0</v>
      </c>
      <c r="B2802" s="181" t="s">
        <v>9893</v>
      </c>
      <c r="C2802" s="56" t="s">
        <v>2954</v>
      </c>
      <c r="D2802" s="73" t="str">
        <f>IFERROR(VLOOKUP(C2802,Stock,3,FALSE),"")</f>
        <v>Transport</v>
      </c>
      <c r="E2802" s="56">
        <v>1.0</v>
      </c>
      <c r="F2802" s="161">
        <v>100000.0</v>
      </c>
      <c r="G2802" s="162">
        <f t="shared" si="40"/>
        <v>100000</v>
      </c>
      <c r="H2802" s="194"/>
      <c r="I2802" s="161">
        <f t="shared" si="41"/>
        <v>100000</v>
      </c>
      <c r="J2802" s="164">
        <f t="shared" si="42"/>
        <v>100000</v>
      </c>
      <c r="K2802" s="56" t="s">
        <v>6367</v>
      </c>
      <c r="L2802" s="165" t="s">
        <v>6238</v>
      </c>
      <c r="M2802" s="73"/>
      <c r="N2802" s="169" t="s">
        <v>9894</v>
      </c>
      <c r="O2802" s="169" t="s">
        <v>6923</v>
      </c>
      <c r="P2802" s="168" t="s">
        <v>3112</v>
      </c>
      <c r="Q2802" s="167">
        <v>100000.0</v>
      </c>
      <c r="R2802" s="173"/>
      <c r="S2802" s="173"/>
      <c r="T2802" s="173"/>
      <c r="U2802" s="173"/>
      <c r="V2802" s="202"/>
      <c r="W2802" s="171"/>
      <c r="X2802" s="171"/>
    </row>
    <row r="2803" ht="15.0" customHeight="1">
      <c r="A2803" s="127">
        <v>45973.0</v>
      </c>
      <c r="B2803" s="181" t="s">
        <v>9895</v>
      </c>
      <c r="C2803" s="475" t="s">
        <v>2687</v>
      </c>
      <c r="D2803" s="73" t="str">
        <f>IFERROR(VLOOKUP(C2803,Stock,3,FALSE),"")</f>
        <v>Mitsubishi Outlander 10-21 GA3</v>
      </c>
      <c r="E2803" s="56">
        <v>1.0</v>
      </c>
      <c r="F2803" s="161">
        <v>2038000.0</v>
      </c>
      <c r="G2803" s="162">
        <f t="shared" si="40"/>
        <v>2038000</v>
      </c>
      <c r="H2803" s="194"/>
      <c r="I2803" s="161">
        <f t="shared" si="41"/>
        <v>2038000</v>
      </c>
      <c r="J2803" s="164">
        <f t="shared" si="42"/>
        <v>2038000</v>
      </c>
      <c r="K2803" s="56" t="s">
        <v>9896</v>
      </c>
      <c r="L2803" s="165" t="s">
        <v>9897</v>
      </c>
      <c r="M2803" s="73"/>
      <c r="N2803" s="169" t="s">
        <v>9898</v>
      </c>
      <c r="O2803" s="169" t="s">
        <v>6923</v>
      </c>
      <c r="P2803" s="168" t="s">
        <v>3112</v>
      </c>
      <c r="Q2803" s="173"/>
      <c r="R2803" s="167">
        <v>2038000.0</v>
      </c>
      <c r="S2803" s="173"/>
      <c r="T2803" s="173"/>
      <c r="U2803" s="173"/>
      <c r="V2803" s="202"/>
      <c r="W2803" s="171"/>
      <c r="X2803" s="171"/>
    </row>
    <row r="2804" ht="15.0" customHeight="1">
      <c r="A2804" s="127">
        <v>45974.0</v>
      </c>
      <c r="B2804" s="181" t="s">
        <v>9899</v>
      </c>
      <c r="C2804" s="475" t="s">
        <v>2785</v>
      </c>
      <c r="D2804" s="73" t="str">
        <f>IFERROR(VLOOKUP(C2804,Stock,3,FALSE),"")</f>
        <v>Suzuki Swift 11-17 2nd Gen</v>
      </c>
      <c r="E2804" s="56">
        <v>1.0</v>
      </c>
      <c r="F2804" s="161">
        <v>1396000.0</v>
      </c>
      <c r="G2804" s="162">
        <f t="shared" si="40"/>
        <v>1396000</v>
      </c>
      <c r="H2804" s="194"/>
      <c r="I2804" s="161">
        <f t="shared" si="41"/>
        <v>1396000</v>
      </c>
      <c r="J2804" s="164">
        <f t="shared" si="42"/>
        <v>1396000</v>
      </c>
      <c r="K2804" s="56" t="s">
        <v>4286</v>
      </c>
      <c r="L2804" s="165" t="s">
        <v>4287</v>
      </c>
      <c r="M2804" s="73"/>
      <c r="N2804" s="171"/>
      <c r="O2804" s="169" t="s">
        <v>6923</v>
      </c>
      <c r="P2804" s="168" t="s">
        <v>3112</v>
      </c>
      <c r="Q2804" s="167">
        <v>1396000.0</v>
      </c>
      <c r="R2804" s="173"/>
      <c r="S2804" s="173"/>
      <c r="T2804" s="173"/>
      <c r="U2804" s="173"/>
      <c r="V2804" s="202"/>
      <c r="W2804" s="171"/>
      <c r="X2804" s="171"/>
    </row>
    <row r="2805" ht="15.0" customHeight="1">
      <c r="A2805" s="127">
        <v>45974.0</v>
      </c>
      <c r="B2805" s="181" t="s">
        <v>9900</v>
      </c>
      <c r="C2805" s="475" t="s">
        <v>2834</v>
      </c>
      <c r="D2805" s="73" t="str">
        <f>IFERROR(VLOOKUP(C2805,Stock,3,FALSE),"")</f>
        <v>Suzuki Ertiga 12-18 1st Gen MPV</v>
      </c>
      <c r="E2805" s="56">
        <v>1.0</v>
      </c>
      <c r="F2805" s="161">
        <v>550000.0</v>
      </c>
      <c r="G2805" s="162">
        <f t="shared" si="40"/>
        <v>550000</v>
      </c>
      <c r="H2805" s="194"/>
      <c r="I2805" s="161">
        <f t="shared" si="41"/>
        <v>550000</v>
      </c>
      <c r="J2805" s="164">
        <f t="shared" si="42"/>
        <v>550000</v>
      </c>
      <c r="K2805" s="56" t="s">
        <v>4593</v>
      </c>
      <c r="L2805" s="165" t="s">
        <v>9901</v>
      </c>
      <c r="M2805" s="73"/>
      <c r="N2805" s="171"/>
      <c r="O2805" s="169" t="s">
        <v>6923</v>
      </c>
      <c r="P2805" s="168" t="s">
        <v>3112</v>
      </c>
      <c r="Q2805" s="173"/>
      <c r="R2805" s="167">
        <v>550000.0</v>
      </c>
      <c r="S2805" s="173"/>
      <c r="T2805" s="173"/>
      <c r="U2805" s="173"/>
      <c r="V2805" s="202"/>
      <c r="W2805" s="171"/>
      <c r="X2805" s="171"/>
    </row>
    <row r="2806" ht="15.0" customHeight="1">
      <c r="A2806" s="127">
        <v>45974.0</v>
      </c>
      <c r="B2806" s="181" t="s">
        <v>9900</v>
      </c>
      <c r="C2806" s="475" t="s">
        <v>2827</v>
      </c>
      <c r="D2806" s="73" t="str">
        <f>IFERROR(VLOOKUP(C2806,Stock,3,FALSE),"")</f>
        <v>Suzuki Ertiga 12-18 1st Gen MPV</v>
      </c>
      <c r="E2806" s="56">
        <v>1.0</v>
      </c>
      <c r="F2806" s="161">
        <v>550000.0</v>
      </c>
      <c r="G2806" s="162">
        <f t="shared" si="40"/>
        <v>550000</v>
      </c>
      <c r="H2806" s="194"/>
      <c r="I2806" s="161">
        <f t="shared" si="41"/>
        <v>550000</v>
      </c>
      <c r="J2806" s="164">
        <f t="shared" si="42"/>
        <v>550000</v>
      </c>
      <c r="K2806" s="56" t="s">
        <v>4593</v>
      </c>
      <c r="L2806" s="165" t="s">
        <v>9901</v>
      </c>
      <c r="M2806" s="73"/>
      <c r="N2806" s="171"/>
      <c r="O2806" s="169" t="s">
        <v>6923</v>
      </c>
      <c r="P2806" s="168" t="s">
        <v>3112</v>
      </c>
      <c r="Q2806" s="173"/>
      <c r="R2806" s="167">
        <v>550000.0</v>
      </c>
      <c r="S2806" s="173"/>
      <c r="T2806" s="173"/>
      <c r="U2806" s="173"/>
      <c r="V2806" s="202"/>
      <c r="W2806" s="171"/>
      <c r="X2806" s="171"/>
    </row>
    <row r="2807" ht="15.0" customHeight="1">
      <c r="A2807" s="127">
        <v>45974.0</v>
      </c>
      <c r="B2807" s="181" t="s">
        <v>9902</v>
      </c>
      <c r="C2807" s="475" t="s">
        <v>9167</v>
      </c>
      <c r="D2807" s="73" t="str">
        <f>IFERROR(VLOOKUP(C2807,Stock,3,FALSE),"")</f>
        <v>Toyota Avanza / Xenia 11-15 2nd Gen / 15-21 3rd Gen</v>
      </c>
      <c r="E2807" s="56">
        <v>1.0</v>
      </c>
      <c r="F2807" s="161">
        <v>899000.0</v>
      </c>
      <c r="G2807" s="162">
        <f t="shared" si="40"/>
        <v>899000</v>
      </c>
      <c r="H2807" s="194"/>
      <c r="I2807" s="161">
        <f t="shared" si="41"/>
        <v>899000</v>
      </c>
      <c r="J2807" s="164">
        <f t="shared" si="42"/>
        <v>899000</v>
      </c>
      <c r="K2807" s="56" t="s">
        <v>9903</v>
      </c>
      <c r="L2807" s="165" t="s">
        <v>9904</v>
      </c>
      <c r="M2807" s="73"/>
      <c r="N2807" s="169" t="s">
        <v>9905</v>
      </c>
      <c r="O2807" s="169" t="s">
        <v>6923</v>
      </c>
      <c r="P2807" s="168" t="s">
        <v>3112</v>
      </c>
      <c r="Q2807" s="173"/>
      <c r="R2807" s="167">
        <v>899000.0</v>
      </c>
      <c r="S2807" s="173"/>
      <c r="T2807" s="173"/>
      <c r="U2807" s="173"/>
      <c r="V2807" s="202"/>
      <c r="W2807" s="171"/>
      <c r="X2807" s="171"/>
    </row>
    <row r="2808" ht="15.0" customHeight="1">
      <c r="A2808" s="127">
        <v>45974.0</v>
      </c>
      <c r="B2808" s="181" t="s">
        <v>9902</v>
      </c>
      <c r="C2808" s="475" t="s">
        <v>9372</v>
      </c>
      <c r="D2808" s="73" t="str">
        <f>IFERROR(VLOOKUP(C2808,Stock,3,FALSE),"")</f>
        <v>Automotive Film Standard - Black 80%  </v>
      </c>
      <c r="E2808" s="56">
        <v>1.0</v>
      </c>
      <c r="F2808" s="161">
        <v>250000.0</v>
      </c>
      <c r="G2808" s="162">
        <f t="shared" si="40"/>
        <v>250000</v>
      </c>
      <c r="H2808" s="194"/>
      <c r="I2808" s="161">
        <f t="shared" si="41"/>
        <v>250000</v>
      </c>
      <c r="J2808" s="164">
        <f t="shared" si="42"/>
        <v>250000</v>
      </c>
      <c r="K2808" s="56" t="s">
        <v>9903</v>
      </c>
      <c r="L2808" s="165" t="s">
        <v>9904</v>
      </c>
      <c r="M2808" s="73"/>
      <c r="N2808" s="169" t="s">
        <v>9905</v>
      </c>
      <c r="O2808" s="169" t="s">
        <v>6923</v>
      </c>
      <c r="P2808" s="168" t="s">
        <v>3112</v>
      </c>
      <c r="Q2808" s="173"/>
      <c r="R2808" s="167">
        <v>250000.0</v>
      </c>
      <c r="S2808" s="173"/>
      <c r="T2808" s="173"/>
      <c r="U2808" s="173"/>
      <c r="V2808" s="202"/>
      <c r="W2808" s="171"/>
      <c r="X2808" s="171"/>
    </row>
    <row r="2809" ht="15.0" customHeight="1">
      <c r="A2809" s="127">
        <v>45975.0</v>
      </c>
      <c r="B2809" s="181" t="s">
        <v>9906</v>
      </c>
      <c r="C2809" s="475" t="s">
        <v>3041</v>
      </c>
      <c r="D2809" s="73" t="str">
        <f>IFERROR(VLOOKUP(C2809,Stock,3,FALSE),"")</f>
        <v>Honda Jazz 13- 3rd Gen (Honda)</v>
      </c>
      <c r="E2809" s="56">
        <v>1.0</v>
      </c>
      <c r="F2809" s="161">
        <v>2290000.0</v>
      </c>
      <c r="G2809" s="162">
        <f t="shared" si="40"/>
        <v>2290000</v>
      </c>
      <c r="H2809" s="194"/>
      <c r="I2809" s="161">
        <f t="shared" si="41"/>
        <v>2290000</v>
      </c>
      <c r="J2809" s="164">
        <f t="shared" si="42"/>
        <v>2290000</v>
      </c>
      <c r="K2809" s="56" t="s">
        <v>9907</v>
      </c>
      <c r="L2809" s="165" t="s">
        <v>3495</v>
      </c>
      <c r="M2809" s="73"/>
      <c r="N2809" s="171"/>
      <c r="O2809" s="169" t="s">
        <v>6923</v>
      </c>
      <c r="P2809" s="168" t="s">
        <v>3112</v>
      </c>
      <c r="Q2809" s="173"/>
      <c r="R2809" s="167">
        <v>2290000.0</v>
      </c>
      <c r="S2809" s="173"/>
      <c r="T2809" s="173"/>
      <c r="U2809" s="173"/>
      <c r="V2809" s="202"/>
      <c r="W2809" s="171"/>
      <c r="X2809" s="171"/>
    </row>
    <row r="2810" ht="15.0" customHeight="1">
      <c r="A2810" s="127">
        <v>45975.0</v>
      </c>
      <c r="B2810" s="181" t="s">
        <v>9906</v>
      </c>
      <c r="C2810" s="56" t="s">
        <v>2934</v>
      </c>
      <c r="D2810" s="73" t="str">
        <f>IFERROR(VLOOKUP(C2810,Stock,3,FALSE),"")</f>
        <v>Peti Kayu</v>
      </c>
      <c r="E2810" s="56">
        <v>1.0</v>
      </c>
      <c r="F2810" s="161">
        <v>200000.0</v>
      </c>
      <c r="G2810" s="162">
        <f t="shared" si="40"/>
        <v>200000</v>
      </c>
      <c r="H2810" s="194"/>
      <c r="I2810" s="161">
        <f t="shared" si="41"/>
        <v>200000</v>
      </c>
      <c r="J2810" s="164">
        <f t="shared" si="42"/>
        <v>200000</v>
      </c>
      <c r="K2810" s="56" t="s">
        <v>9907</v>
      </c>
      <c r="L2810" s="165" t="s">
        <v>3495</v>
      </c>
      <c r="M2810" s="73"/>
      <c r="N2810" s="171"/>
      <c r="O2810" s="169" t="s">
        <v>6923</v>
      </c>
      <c r="P2810" s="168" t="s">
        <v>3112</v>
      </c>
      <c r="Q2810" s="173"/>
      <c r="R2810" s="167">
        <v>200000.0</v>
      </c>
      <c r="S2810" s="173"/>
      <c r="T2810" s="173"/>
      <c r="U2810" s="173"/>
      <c r="V2810" s="202"/>
      <c r="W2810" s="171"/>
      <c r="X2810" s="171"/>
    </row>
    <row r="2811" ht="15.0" customHeight="1">
      <c r="A2811" s="127">
        <v>45975.0</v>
      </c>
      <c r="B2811" s="181" t="s">
        <v>9906</v>
      </c>
      <c r="C2811" s="56" t="s">
        <v>2954</v>
      </c>
      <c r="D2811" s="73" t="str">
        <f>IFERROR(VLOOKUP(C2811,Stock,3,FALSE),"")</f>
        <v>Transport</v>
      </c>
      <c r="E2811" s="56">
        <v>1.0</v>
      </c>
      <c r="F2811" s="161">
        <v>50000.0</v>
      </c>
      <c r="G2811" s="162">
        <f t="shared" si="40"/>
        <v>50000</v>
      </c>
      <c r="H2811" s="194"/>
      <c r="I2811" s="161">
        <f t="shared" si="41"/>
        <v>50000</v>
      </c>
      <c r="J2811" s="164">
        <f t="shared" si="42"/>
        <v>50000</v>
      </c>
      <c r="K2811" s="56" t="s">
        <v>9907</v>
      </c>
      <c r="L2811" s="165" t="s">
        <v>3495</v>
      </c>
      <c r="M2811" s="73"/>
      <c r="N2811" s="171"/>
      <c r="O2811" s="169" t="s">
        <v>6923</v>
      </c>
      <c r="P2811" s="168" t="s">
        <v>3112</v>
      </c>
      <c r="Q2811" s="173"/>
      <c r="R2811" s="167">
        <v>50000.0</v>
      </c>
      <c r="S2811" s="173"/>
      <c r="T2811" s="173"/>
      <c r="U2811" s="173"/>
      <c r="V2811" s="202"/>
      <c r="W2811" s="171"/>
      <c r="X2811" s="171"/>
    </row>
    <row r="2812" ht="15.0" customHeight="1">
      <c r="A2812" s="127">
        <v>45975.0</v>
      </c>
      <c r="B2812" s="181" t="s">
        <v>9906</v>
      </c>
      <c r="C2812" s="56" t="s">
        <v>4027</v>
      </c>
      <c r="D2812" s="73" t="str">
        <f>IFERROR(VLOOKUP(C2812,Stock,3,FALSE),"")</f>
        <v>501 Sealant Application</v>
      </c>
      <c r="E2812" s="56">
        <v>2.0</v>
      </c>
      <c r="F2812" s="161">
        <v>95000.0</v>
      </c>
      <c r="G2812" s="162">
        <f t="shared" si="40"/>
        <v>190000</v>
      </c>
      <c r="H2812" s="194"/>
      <c r="I2812" s="161">
        <f t="shared" si="41"/>
        <v>190000</v>
      </c>
      <c r="J2812" s="164">
        <f t="shared" si="42"/>
        <v>190000</v>
      </c>
      <c r="K2812" s="56" t="s">
        <v>9907</v>
      </c>
      <c r="L2812" s="165" t="s">
        <v>3495</v>
      </c>
      <c r="M2812" s="73"/>
      <c r="N2812" s="171"/>
      <c r="O2812" s="169" t="s">
        <v>6923</v>
      </c>
      <c r="P2812" s="168" t="s">
        <v>3112</v>
      </c>
      <c r="Q2812" s="173"/>
      <c r="R2812" s="167">
        <v>190000.0</v>
      </c>
      <c r="S2812" s="173"/>
      <c r="T2812" s="173"/>
      <c r="U2812" s="173"/>
      <c r="V2812" s="202"/>
      <c r="W2812" s="171"/>
      <c r="X2812" s="171"/>
    </row>
    <row r="2813" ht="15.0" customHeight="1">
      <c r="A2813" s="127">
        <v>45975.0</v>
      </c>
      <c r="B2813" s="181" t="s">
        <v>9908</v>
      </c>
      <c r="C2813" s="475" t="s">
        <v>3068</v>
      </c>
      <c r="D2813" s="73" t="str">
        <f>IFERROR(VLOOKUP(C2813,Stock,3,FALSE),"")</f>
        <v>Honda Brio 10- / Mobilio 11-</v>
      </c>
      <c r="E2813" s="56">
        <v>1.0</v>
      </c>
      <c r="F2813" s="161">
        <v>1300000.0</v>
      </c>
      <c r="G2813" s="162">
        <f t="shared" si="40"/>
        <v>1300000</v>
      </c>
      <c r="H2813" s="194"/>
      <c r="I2813" s="161">
        <f t="shared" si="41"/>
        <v>1300000</v>
      </c>
      <c r="J2813" s="164">
        <f t="shared" si="42"/>
        <v>1300000</v>
      </c>
      <c r="K2813" s="56" t="s">
        <v>9909</v>
      </c>
      <c r="L2813" s="165" t="s">
        <v>9910</v>
      </c>
      <c r="M2813" s="73"/>
      <c r="N2813" s="169" t="s">
        <v>9911</v>
      </c>
      <c r="O2813" s="169" t="s">
        <v>6923</v>
      </c>
      <c r="P2813" s="168" t="s">
        <v>3112</v>
      </c>
      <c r="Q2813" s="173"/>
      <c r="R2813" s="167">
        <v>1300000.0</v>
      </c>
      <c r="S2813" s="173"/>
      <c r="T2813" s="173"/>
      <c r="U2813" s="173"/>
      <c r="V2813" s="202"/>
      <c r="W2813" s="171"/>
      <c r="X2813" s="171"/>
    </row>
    <row r="2814" ht="15.0" customHeight="1">
      <c r="A2814" s="127">
        <v>45975.0</v>
      </c>
      <c r="B2814" s="181" t="s">
        <v>9912</v>
      </c>
      <c r="C2814" s="475" t="s">
        <v>2965</v>
      </c>
      <c r="D2814" s="73" t="str">
        <f>IFERROR(VLOOKUP(C2814,Stock,3,FALSE),"")</f>
        <v>Suzuki Ertiga 12-18 1st Gen MPV</v>
      </c>
      <c r="E2814" s="56">
        <v>2.0</v>
      </c>
      <c r="F2814" s="161">
        <v>650000.0</v>
      </c>
      <c r="G2814" s="162">
        <f t="shared" si="40"/>
        <v>1300000</v>
      </c>
      <c r="H2814" s="201">
        <v>130000.0</v>
      </c>
      <c r="I2814" s="161">
        <f t="shared" si="41"/>
        <v>1170000</v>
      </c>
      <c r="J2814" s="164">
        <f t="shared" si="42"/>
        <v>1170000</v>
      </c>
      <c r="K2814" s="56" t="s">
        <v>4392</v>
      </c>
      <c r="L2814" s="165" t="s">
        <v>6571</v>
      </c>
      <c r="M2814" s="73"/>
      <c r="N2814" s="171"/>
      <c r="O2814" s="169" t="s">
        <v>6923</v>
      </c>
      <c r="P2814" s="168" t="s">
        <v>3112</v>
      </c>
      <c r="Q2814" s="173"/>
      <c r="R2814" s="167">
        <v>1170000.0</v>
      </c>
      <c r="S2814" s="173"/>
      <c r="T2814" s="173"/>
      <c r="U2814" s="173"/>
      <c r="V2814" s="202"/>
      <c r="W2814" s="171"/>
      <c r="X2814" s="171"/>
    </row>
    <row r="2815" ht="15.0" customHeight="1">
      <c r="A2815" s="127">
        <v>45975.0</v>
      </c>
      <c r="B2815" s="181" t="s">
        <v>9912</v>
      </c>
      <c r="C2815" s="56" t="s">
        <v>2934</v>
      </c>
      <c r="D2815" s="73" t="str">
        <f>IFERROR(VLOOKUP(C2815,Stock,3,FALSE),"")</f>
        <v>Peti Kayu</v>
      </c>
      <c r="E2815" s="56">
        <v>1.0</v>
      </c>
      <c r="F2815" s="161">
        <v>200000.0</v>
      </c>
      <c r="G2815" s="162">
        <f t="shared" si="40"/>
        <v>200000</v>
      </c>
      <c r="H2815" s="194"/>
      <c r="I2815" s="161">
        <f t="shared" si="41"/>
        <v>200000</v>
      </c>
      <c r="J2815" s="164">
        <f t="shared" si="42"/>
        <v>200000</v>
      </c>
      <c r="K2815" s="56" t="s">
        <v>4392</v>
      </c>
      <c r="L2815" s="165" t="s">
        <v>6571</v>
      </c>
      <c r="M2815" s="73"/>
      <c r="N2815" s="171"/>
      <c r="O2815" s="169" t="s">
        <v>6923</v>
      </c>
      <c r="P2815" s="168" t="s">
        <v>3112</v>
      </c>
      <c r="Q2815" s="173"/>
      <c r="R2815" s="167">
        <v>200000.0</v>
      </c>
      <c r="S2815" s="173"/>
      <c r="T2815" s="173"/>
      <c r="U2815" s="173"/>
      <c r="V2815" s="202"/>
      <c r="W2815" s="171"/>
      <c r="X2815" s="171"/>
    </row>
    <row r="2816" ht="15.0" customHeight="1">
      <c r="A2816" s="127">
        <v>45976.0</v>
      </c>
      <c r="B2816" s="181" t="s">
        <v>9913</v>
      </c>
      <c r="C2816" s="475" t="s">
        <v>3877</v>
      </c>
      <c r="D2816" s="73" t="str">
        <f>IFERROR(VLOOKUP(C2816,Stock,3,FALSE),"")</f>
        <v>Nissan Livina 13-18 L11 (Lubang)</v>
      </c>
      <c r="E2816" s="56">
        <v>1.0</v>
      </c>
      <c r="F2816" s="161">
        <v>1255000.0</v>
      </c>
      <c r="G2816" s="162">
        <f t="shared" si="40"/>
        <v>1255000</v>
      </c>
      <c r="H2816" s="194"/>
      <c r="I2816" s="161">
        <f t="shared" si="41"/>
        <v>1255000</v>
      </c>
      <c r="J2816" s="164">
        <f t="shared" si="42"/>
        <v>1255000</v>
      </c>
      <c r="K2816" s="56" t="s">
        <v>7284</v>
      </c>
      <c r="L2816" s="165" t="s">
        <v>9914</v>
      </c>
      <c r="M2816" s="73"/>
      <c r="N2816" s="171"/>
      <c r="O2816" s="169" t="s">
        <v>6923</v>
      </c>
      <c r="P2816" s="168" t="s">
        <v>3112</v>
      </c>
      <c r="Q2816" s="167">
        <v>1205000.0</v>
      </c>
      <c r="R2816" s="167">
        <v>50000.0</v>
      </c>
      <c r="S2816" s="173"/>
      <c r="T2816" s="173"/>
      <c r="U2816" s="173"/>
      <c r="V2816" s="202"/>
      <c r="W2816" s="171"/>
      <c r="X2816" s="171"/>
    </row>
    <row r="2817" ht="15.0" customHeight="1">
      <c r="A2817" s="127">
        <v>45976.0</v>
      </c>
      <c r="B2817" s="181" t="s">
        <v>9913</v>
      </c>
      <c r="C2817" s="475" t="s">
        <v>2954</v>
      </c>
      <c r="D2817" s="73" t="str">
        <f>IFERROR(VLOOKUP(C2817,Stock,3,FALSE),"")</f>
        <v>Transport</v>
      </c>
      <c r="E2817" s="56">
        <v>1.0</v>
      </c>
      <c r="F2817" s="161">
        <v>100000.0</v>
      </c>
      <c r="G2817" s="162">
        <f t="shared" si="40"/>
        <v>100000</v>
      </c>
      <c r="H2817" s="194"/>
      <c r="I2817" s="161">
        <f t="shared" si="41"/>
        <v>100000</v>
      </c>
      <c r="J2817" s="164">
        <f t="shared" si="42"/>
        <v>100000</v>
      </c>
      <c r="K2817" s="56" t="s">
        <v>7284</v>
      </c>
      <c r="L2817" s="165" t="s">
        <v>9914</v>
      </c>
      <c r="M2817" s="73"/>
      <c r="N2817" s="171"/>
      <c r="O2817" s="169" t="s">
        <v>6923</v>
      </c>
      <c r="P2817" s="168" t="s">
        <v>3112</v>
      </c>
      <c r="Q2817" s="167">
        <v>100000.0</v>
      </c>
      <c r="R2817" s="173"/>
      <c r="S2817" s="173"/>
      <c r="T2817" s="173"/>
      <c r="U2817" s="173"/>
      <c r="V2817" s="202"/>
      <c r="W2817" s="171"/>
      <c r="X2817" s="171"/>
    </row>
    <row r="2818" ht="15.0" customHeight="1">
      <c r="A2818" s="127">
        <v>45976.0</v>
      </c>
      <c r="B2818" s="181" t="s">
        <v>9915</v>
      </c>
      <c r="C2818" s="56" t="s">
        <v>3045</v>
      </c>
      <c r="D2818" s="73" t="str">
        <f>IFERROR(VLOOKUP(C2818,Stock,3,FALSE),"")</f>
        <v>Pemasangan Kaca Mobil Depan</v>
      </c>
      <c r="E2818" s="56">
        <v>1.0</v>
      </c>
      <c r="F2818" s="161">
        <v>600000.0</v>
      </c>
      <c r="G2818" s="162">
        <f t="shared" si="40"/>
        <v>600000</v>
      </c>
      <c r="H2818" s="194"/>
      <c r="I2818" s="161">
        <f t="shared" si="41"/>
        <v>600000</v>
      </c>
      <c r="J2818" s="164">
        <f t="shared" si="42"/>
        <v>600000</v>
      </c>
      <c r="K2818" s="56" t="s">
        <v>9916</v>
      </c>
      <c r="L2818" s="165" t="s">
        <v>9917</v>
      </c>
      <c r="M2818" s="73"/>
      <c r="N2818" s="171"/>
      <c r="O2818" s="169" t="s">
        <v>6923</v>
      </c>
      <c r="P2818" s="168" t="s">
        <v>3112</v>
      </c>
      <c r="Q2818" s="173"/>
      <c r="R2818" s="167">
        <v>600000.0</v>
      </c>
      <c r="S2818" s="173"/>
      <c r="T2818" s="173"/>
      <c r="U2818" s="173"/>
      <c r="V2818" s="202"/>
      <c r="W2818" s="171"/>
      <c r="X2818" s="171"/>
    </row>
    <row r="2819" ht="15.0" customHeight="1">
      <c r="A2819" s="127">
        <v>45976.0</v>
      </c>
      <c r="B2819" s="181" t="s">
        <v>9918</v>
      </c>
      <c r="C2819" s="56" t="s">
        <v>2691</v>
      </c>
      <c r="D2819" s="73" t="str">
        <f>IFERROR(VLOOKUP(C2819,Stock,3,FALSE),"")</f>
        <v>Suzuki Ertiga 12-18 1st Gen MPV</v>
      </c>
      <c r="E2819" s="56">
        <v>1.0</v>
      </c>
      <c r="F2819" s="161">
        <v>1310000.0</v>
      </c>
      <c r="G2819" s="162">
        <f t="shared" si="40"/>
        <v>1310000</v>
      </c>
      <c r="H2819" s="194"/>
      <c r="I2819" s="161">
        <f t="shared" si="41"/>
        <v>1310000</v>
      </c>
      <c r="J2819" s="164">
        <f t="shared" si="42"/>
        <v>1310000</v>
      </c>
      <c r="K2819" s="56" t="s">
        <v>9919</v>
      </c>
      <c r="L2819" s="165" t="s">
        <v>9920</v>
      </c>
      <c r="M2819" s="73"/>
      <c r="N2819" s="169" t="s">
        <v>9921</v>
      </c>
      <c r="O2819" s="169" t="s">
        <v>6923</v>
      </c>
      <c r="P2819" s="168" t="s">
        <v>3112</v>
      </c>
      <c r="Q2819" s="167">
        <v>1310000.0</v>
      </c>
      <c r="R2819" s="173"/>
      <c r="S2819" s="173"/>
      <c r="T2819" s="173"/>
      <c r="U2819" s="173"/>
      <c r="V2819" s="202"/>
      <c r="W2819" s="171"/>
      <c r="X2819" s="171"/>
    </row>
    <row r="2820" ht="15.0" customHeight="1">
      <c r="A2820" s="127">
        <v>45976.0</v>
      </c>
      <c r="B2820" s="181" t="s">
        <v>9922</v>
      </c>
      <c r="C2820" s="475" t="s">
        <v>4907</v>
      </c>
      <c r="D2820" s="73" t="str">
        <f>IFERROR(VLOOKUP(C2820,Stock,3,FALSE),"")</f>
        <v>Nissan Livina 07-12 L10 (Tanpa Lubang)</v>
      </c>
      <c r="E2820" s="56">
        <v>1.0</v>
      </c>
      <c r="F2820" s="161">
        <v>850000.0</v>
      </c>
      <c r="G2820" s="162">
        <f t="shared" si="40"/>
        <v>850000</v>
      </c>
      <c r="H2820" s="194"/>
      <c r="I2820" s="161">
        <f t="shared" si="41"/>
        <v>850000</v>
      </c>
      <c r="J2820" s="164">
        <f t="shared" si="42"/>
        <v>850000</v>
      </c>
      <c r="K2820" s="56" t="s">
        <v>9923</v>
      </c>
      <c r="L2820" s="165" t="s">
        <v>4287</v>
      </c>
      <c r="M2820" s="73"/>
      <c r="N2820" s="171"/>
      <c r="O2820" s="169" t="s">
        <v>6923</v>
      </c>
      <c r="P2820" s="168" t="s">
        <v>3112</v>
      </c>
      <c r="Q2820" s="167">
        <v>850000.0</v>
      </c>
      <c r="R2820" s="173"/>
      <c r="S2820" s="173"/>
      <c r="T2820" s="173"/>
      <c r="U2820" s="173"/>
      <c r="V2820" s="202"/>
      <c r="W2820" s="171"/>
      <c r="X2820" s="171"/>
    </row>
    <row r="2821" ht="15.0" customHeight="1">
      <c r="A2821" s="127">
        <v>45976.0</v>
      </c>
      <c r="B2821" s="181" t="s">
        <v>9924</v>
      </c>
      <c r="C2821" s="475" t="s">
        <v>3186</v>
      </c>
      <c r="D2821" s="73" t="str">
        <f>IFERROR(VLOOKUP(C2821,Stock,3,FALSE),"")</f>
        <v>Daihatsu Gran Max / Luxio 07-</v>
      </c>
      <c r="E2821" s="56">
        <v>1.0</v>
      </c>
      <c r="F2821" s="161">
        <v>1000000.0</v>
      </c>
      <c r="G2821" s="162">
        <f t="shared" si="40"/>
        <v>1000000</v>
      </c>
      <c r="H2821" s="194"/>
      <c r="I2821" s="161">
        <f t="shared" si="41"/>
        <v>1000000</v>
      </c>
      <c r="J2821" s="164">
        <f t="shared" si="42"/>
        <v>1000000</v>
      </c>
      <c r="K2821" s="56" t="s">
        <v>9925</v>
      </c>
      <c r="L2821" s="165" t="s">
        <v>9926</v>
      </c>
      <c r="M2821" s="73"/>
      <c r="N2821" s="171"/>
      <c r="O2821" s="169" t="s">
        <v>6923</v>
      </c>
      <c r="P2821" s="168" t="s">
        <v>3112</v>
      </c>
      <c r="Q2821" s="167"/>
      <c r="R2821" s="167">
        <v>1000000.0</v>
      </c>
      <c r="S2821" s="173"/>
      <c r="T2821" s="173"/>
      <c r="U2821" s="173"/>
      <c r="V2821" s="202"/>
      <c r="W2821" s="171"/>
      <c r="X2821" s="171"/>
    </row>
    <row r="2822" ht="15.0" customHeight="1">
      <c r="A2822" s="127">
        <v>45976.0</v>
      </c>
      <c r="B2822" s="181" t="s">
        <v>9924</v>
      </c>
      <c r="C2822" s="475" t="s">
        <v>2954</v>
      </c>
      <c r="D2822" s="73" t="str">
        <f>IFERROR(VLOOKUP(C2822,Stock,3,FALSE),"")</f>
        <v>Transport</v>
      </c>
      <c r="E2822" s="56">
        <v>1.0</v>
      </c>
      <c r="F2822" s="161">
        <v>190000.0</v>
      </c>
      <c r="G2822" s="162">
        <f t="shared" si="40"/>
        <v>190000</v>
      </c>
      <c r="H2822" s="194"/>
      <c r="I2822" s="161">
        <f t="shared" si="41"/>
        <v>190000</v>
      </c>
      <c r="J2822" s="164">
        <f t="shared" si="42"/>
        <v>190000</v>
      </c>
      <c r="K2822" s="56" t="s">
        <v>9925</v>
      </c>
      <c r="L2822" s="165" t="s">
        <v>9926</v>
      </c>
      <c r="M2822" s="73"/>
      <c r="N2822" s="171"/>
      <c r="O2822" s="169" t="s">
        <v>6923</v>
      </c>
      <c r="P2822" s="168" t="s">
        <v>3112</v>
      </c>
      <c r="Q2822" s="167"/>
      <c r="R2822" s="167">
        <v>190000.0</v>
      </c>
      <c r="S2822" s="173"/>
      <c r="T2822" s="173"/>
      <c r="U2822" s="173"/>
      <c r="V2822" s="202"/>
      <c r="W2822" s="171"/>
      <c r="X2822" s="171"/>
    </row>
    <row r="2823" ht="15.0" customHeight="1">
      <c r="A2823" s="127">
        <v>45976.0</v>
      </c>
      <c r="B2823" s="181" t="s">
        <v>9927</v>
      </c>
      <c r="C2823" s="56" t="s">
        <v>3045</v>
      </c>
      <c r="D2823" s="73" t="str">
        <f>IFERROR(VLOOKUP(C2823,Stock,3,FALSE),"")</f>
        <v>Pemasangan Kaca Mobil Depan</v>
      </c>
      <c r="E2823" s="56">
        <v>1.0</v>
      </c>
      <c r="F2823" s="161">
        <v>600000.0</v>
      </c>
      <c r="G2823" s="162">
        <f t="shared" si="40"/>
        <v>600000</v>
      </c>
      <c r="H2823" s="194"/>
      <c r="I2823" s="161">
        <f t="shared" si="41"/>
        <v>600000</v>
      </c>
      <c r="J2823" s="164">
        <f t="shared" si="42"/>
        <v>600000</v>
      </c>
      <c r="K2823" s="56" t="s">
        <v>9928</v>
      </c>
      <c r="L2823" s="165" t="s">
        <v>9929</v>
      </c>
      <c r="M2823" s="73"/>
      <c r="N2823" s="169" t="s">
        <v>9930</v>
      </c>
      <c r="O2823" s="169" t="s">
        <v>6923</v>
      </c>
      <c r="P2823" s="168" t="s">
        <v>3112</v>
      </c>
      <c r="Q2823" s="173"/>
      <c r="R2823" s="167">
        <v>600000.0</v>
      </c>
      <c r="S2823" s="173"/>
      <c r="T2823" s="173"/>
      <c r="U2823" s="173"/>
      <c r="V2823" s="202"/>
      <c r="W2823" s="171"/>
      <c r="X2823" s="171"/>
    </row>
    <row r="2824" ht="15.0" customHeight="1">
      <c r="A2824" s="127">
        <v>45977.0</v>
      </c>
      <c r="B2824" s="181" t="s">
        <v>9931</v>
      </c>
      <c r="C2824" s="56" t="s">
        <v>9932</v>
      </c>
      <c r="D2824" s="73" t="str">
        <f>IFERROR(VLOOKUP(C2824,Stock,3,FALSE),"")</f>
        <v>Daihatsu Taruna</v>
      </c>
      <c r="E2824" s="56">
        <v>1.0</v>
      </c>
      <c r="F2824" s="161">
        <v>490000.0</v>
      </c>
      <c r="G2824" s="162">
        <f t="shared" si="40"/>
        <v>490000</v>
      </c>
      <c r="H2824" s="194"/>
      <c r="I2824" s="161">
        <f t="shared" si="41"/>
        <v>490000</v>
      </c>
      <c r="J2824" s="164">
        <f t="shared" si="42"/>
        <v>490000</v>
      </c>
      <c r="K2824" s="56" t="s">
        <v>9933</v>
      </c>
      <c r="L2824" s="165" t="s">
        <v>9934</v>
      </c>
      <c r="M2824" s="73"/>
      <c r="N2824" s="171"/>
      <c r="O2824" s="169" t="s">
        <v>6923</v>
      </c>
      <c r="P2824" s="168" t="s">
        <v>3112</v>
      </c>
      <c r="Q2824" s="167">
        <v>490000.0</v>
      </c>
      <c r="S2824" s="173"/>
      <c r="T2824" s="173"/>
      <c r="U2824" s="173"/>
      <c r="V2824" s="202"/>
      <c r="W2824" s="171"/>
      <c r="X2824" s="171"/>
    </row>
    <row r="2825" ht="15.0" customHeight="1">
      <c r="A2825" s="127">
        <v>45977.0</v>
      </c>
      <c r="B2825" s="483" t="s">
        <v>9935</v>
      </c>
      <c r="C2825" s="56" t="s">
        <v>2643</v>
      </c>
      <c r="D2825" s="73" t="str">
        <f>IFERROR(VLOOKUP(C2825,Stock,3,FALSE),"")</f>
        <v>Toyota Vios 07-13 XP90 2nd Gen</v>
      </c>
      <c r="E2825" s="56">
        <v>1.0</v>
      </c>
      <c r="F2825" s="161">
        <v>1158000.0</v>
      </c>
      <c r="G2825" s="162">
        <f t="shared" si="40"/>
        <v>1158000</v>
      </c>
      <c r="H2825" s="194"/>
      <c r="I2825" s="161">
        <f t="shared" si="41"/>
        <v>1158000</v>
      </c>
      <c r="J2825" s="164">
        <f t="shared" si="42"/>
        <v>1158000</v>
      </c>
      <c r="K2825" s="73"/>
      <c r="L2825" s="73"/>
      <c r="M2825" s="73"/>
      <c r="N2825" s="171"/>
      <c r="O2825" s="169" t="s">
        <v>6923</v>
      </c>
      <c r="P2825" s="168" t="s">
        <v>3112</v>
      </c>
      <c r="Q2825" s="173"/>
      <c r="R2825" s="167">
        <v>1158000.0</v>
      </c>
      <c r="S2825" s="173"/>
      <c r="T2825" s="173"/>
      <c r="U2825" s="173"/>
      <c r="V2825" s="202"/>
      <c r="W2825" s="171"/>
      <c r="X2825" s="171"/>
    </row>
    <row r="2826" ht="15.0" customHeight="1">
      <c r="A2826" s="127">
        <v>45978.0</v>
      </c>
      <c r="B2826" s="483" t="s">
        <v>9936</v>
      </c>
      <c r="C2826" s="56" t="s">
        <v>5528</v>
      </c>
      <c r="D2826" s="73" t="str">
        <f>IFERROR(VLOOKUP(C2826,Stock,3,FALSE),"")</f>
        <v>Toyota Innova 15-22 2nd Gen (Toyota)</v>
      </c>
      <c r="E2826" s="56">
        <v>1.0</v>
      </c>
      <c r="F2826" s="161">
        <v>2988000.0</v>
      </c>
      <c r="G2826" s="162">
        <f t="shared" si="40"/>
        <v>2988000</v>
      </c>
      <c r="H2826" s="194"/>
      <c r="I2826" s="161">
        <f t="shared" si="41"/>
        <v>2988000</v>
      </c>
      <c r="J2826" s="164">
        <f t="shared" si="42"/>
        <v>2988000</v>
      </c>
      <c r="K2826" s="56" t="s">
        <v>9937</v>
      </c>
      <c r="L2826" s="165" t="s">
        <v>9938</v>
      </c>
      <c r="M2826" s="73"/>
      <c r="N2826" s="289" t="s">
        <v>9939</v>
      </c>
      <c r="O2826" s="169" t="s">
        <v>3213</v>
      </c>
      <c r="P2826" s="168" t="s">
        <v>3112</v>
      </c>
      <c r="Q2826" s="173"/>
      <c r="R2826" s="167">
        <v>2988000.0</v>
      </c>
      <c r="S2826" s="173"/>
      <c r="T2826" s="173"/>
      <c r="U2826" s="173"/>
      <c r="V2826" s="202"/>
      <c r="W2826" s="171"/>
      <c r="X2826" s="171"/>
    </row>
    <row r="2827" ht="15.0" customHeight="1">
      <c r="A2827" s="127">
        <v>45978.0</v>
      </c>
      <c r="B2827" s="181" t="s">
        <v>9936</v>
      </c>
      <c r="C2827" s="56" t="s">
        <v>3045</v>
      </c>
      <c r="D2827" s="73" t="str">
        <f>IFERROR(VLOOKUP(C2827,Stock,3,FALSE),"")</f>
        <v>Pemasangan Kaca Mobil Depan</v>
      </c>
      <c r="E2827" s="56">
        <v>1.0</v>
      </c>
      <c r="F2827" s="161">
        <v>400000.0</v>
      </c>
      <c r="G2827" s="162">
        <f t="shared" si="40"/>
        <v>400000</v>
      </c>
      <c r="H2827" s="194"/>
      <c r="I2827" s="161">
        <f t="shared" si="41"/>
        <v>400000</v>
      </c>
      <c r="J2827" s="164">
        <f t="shared" si="42"/>
        <v>400000</v>
      </c>
      <c r="K2827" s="56" t="s">
        <v>9937</v>
      </c>
      <c r="L2827" s="165" t="s">
        <v>9938</v>
      </c>
      <c r="M2827" s="73"/>
      <c r="N2827" s="289" t="s">
        <v>9939</v>
      </c>
      <c r="O2827" s="169" t="s">
        <v>3213</v>
      </c>
      <c r="P2827" s="168" t="s">
        <v>3112</v>
      </c>
      <c r="Q2827" s="173"/>
      <c r="R2827" s="167">
        <v>2988000.0</v>
      </c>
      <c r="S2827" s="173"/>
      <c r="T2827" s="173"/>
      <c r="U2827" s="173"/>
      <c r="V2827" s="202"/>
      <c r="W2827" s="171"/>
      <c r="X2827" s="171"/>
    </row>
    <row r="2828" ht="15.0" customHeight="1">
      <c r="A2828" s="127">
        <v>45978.0</v>
      </c>
      <c r="B2828" s="181" t="s">
        <v>9940</v>
      </c>
      <c r="C2828" s="475" t="s">
        <v>2704</v>
      </c>
      <c r="D2828" s="73" t="str">
        <f>IFERROR(VLOOKUP(C2828,Stock,3,FALSE),"")</f>
        <v>Toyota Hi-Ace 19- Premio</v>
      </c>
      <c r="E2828" s="56">
        <v>1.0</v>
      </c>
      <c r="F2828" s="161">
        <v>1794000.0</v>
      </c>
      <c r="G2828" s="162">
        <f t="shared" si="40"/>
        <v>1794000</v>
      </c>
      <c r="H2828" s="194"/>
      <c r="I2828" s="161">
        <f t="shared" si="41"/>
        <v>1794000</v>
      </c>
      <c r="J2828" s="164">
        <f t="shared" si="42"/>
        <v>1794000</v>
      </c>
      <c r="K2828" s="56" t="s">
        <v>9941</v>
      </c>
      <c r="L2828" s="165" t="s">
        <v>9942</v>
      </c>
      <c r="M2828" s="73"/>
      <c r="N2828" s="169" t="s">
        <v>9943</v>
      </c>
      <c r="O2828" s="169" t="s">
        <v>6923</v>
      </c>
      <c r="P2828" s="168" t="s">
        <v>3112</v>
      </c>
      <c r="Q2828" s="173"/>
      <c r="R2828" s="167">
        <v>1794000.0</v>
      </c>
      <c r="S2828" s="173"/>
      <c r="T2828" s="173"/>
      <c r="U2828" s="173"/>
      <c r="V2828" s="202"/>
      <c r="W2828" s="171"/>
      <c r="X2828" s="171"/>
    </row>
    <row r="2829" ht="15.0" customHeight="1">
      <c r="A2829" s="127">
        <v>45978.0</v>
      </c>
      <c r="B2829" s="181" t="s">
        <v>9944</v>
      </c>
      <c r="C2829" s="56" t="s">
        <v>3451</v>
      </c>
      <c r="D2829" s="73" t="str">
        <f>IFERROR(VLOOKUP(C2829,Stock,3,FALSE),"")</f>
        <v>Toyota Rush / Terios 18-</v>
      </c>
      <c r="E2829" s="56">
        <v>1.0</v>
      </c>
      <c r="F2829" s="161">
        <v>1360000.0</v>
      </c>
      <c r="G2829" s="162">
        <f t="shared" si="40"/>
        <v>1360000</v>
      </c>
      <c r="H2829" s="194"/>
      <c r="I2829" s="161">
        <f t="shared" si="41"/>
        <v>1360000</v>
      </c>
      <c r="J2829" s="164">
        <f t="shared" si="42"/>
        <v>1360000</v>
      </c>
      <c r="K2829" s="56" t="s">
        <v>9945</v>
      </c>
      <c r="L2829" s="165" t="s">
        <v>9946</v>
      </c>
      <c r="M2829" s="73"/>
      <c r="N2829" s="169" t="s">
        <v>9947</v>
      </c>
      <c r="O2829" s="169" t="s">
        <v>6923</v>
      </c>
      <c r="P2829" s="168" t="s">
        <v>3112</v>
      </c>
      <c r="Q2829" s="167">
        <v>1360000.0</v>
      </c>
      <c r="R2829" s="173"/>
      <c r="S2829" s="173"/>
      <c r="T2829" s="173"/>
      <c r="U2829" s="173"/>
      <c r="V2829" s="202"/>
      <c r="W2829" s="171"/>
      <c r="X2829" s="171"/>
    </row>
    <row r="2830" ht="15.0" customHeight="1">
      <c r="A2830" s="127">
        <v>45978.0</v>
      </c>
      <c r="B2830" s="181" t="s">
        <v>9948</v>
      </c>
      <c r="C2830" s="475" t="s">
        <v>3186</v>
      </c>
      <c r="D2830" s="73" t="str">
        <f>IFERROR(VLOOKUP(C2830,Stock,3,FALSE),"")</f>
        <v>Daihatsu Gran Max / Luxio 07-</v>
      </c>
      <c r="E2830" s="56">
        <v>1.0</v>
      </c>
      <c r="F2830" s="161">
        <v>1000000.0</v>
      </c>
      <c r="G2830" s="162">
        <f t="shared" si="40"/>
        <v>1000000</v>
      </c>
      <c r="H2830" s="194"/>
      <c r="I2830" s="161">
        <f t="shared" si="41"/>
        <v>1000000</v>
      </c>
      <c r="J2830" s="164">
        <f t="shared" si="42"/>
        <v>1000000</v>
      </c>
      <c r="K2830" s="56" t="s">
        <v>9949</v>
      </c>
      <c r="L2830" s="165" t="s">
        <v>9950</v>
      </c>
      <c r="M2830" s="73"/>
      <c r="N2830" s="169" t="s">
        <v>9951</v>
      </c>
      <c r="O2830" s="169" t="s">
        <v>6923</v>
      </c>
      <c r="P2830" s="168" t="s">
        <v>3112</v>
      </c>
      <c r="Q2830" s="167">
        <v>1000000.0</v>
      </c>
      <c r="R2830" s="173"/>
      <c r="S2830" s="173"/>
      <c r="T2830" s="173"/>
      <c r="U2830" s="173"/>
      <c r="V2830" s="202"/>
      <c r="W2830" s="171"/>
      <c r="X2830" s="171"/>
    </row>
    <row r="2831" ht="15.0" customHeight="1">
      <c r="A2831" s="127">
        <v>45979.0</v>
      </c>
      <c r="B2831" s="475" t="s">
        <v>9952</v>
      </c>
      <c r="C2831" s="56" t="s">
        <v>3411</v>
      </c>
      <c r="D2831" s="73" t="str">
        <f>IFERROR(VLOOKUP(C2831,Stock,3,FALSE),"")</f>
        <v>Toyota Agya/Ayla 13-22 1st Gen</v>
      </c>
      <c r="E2831" s="56">
        <v>1.0</v>
      </c>
      <c r="F2831" s="161">
        <v>1235168.0</v>
      </c>
      <c r="G2831" s="162">
        <f t="shared" si="40"/>
        <v>1235168</v>
      </c>
      <c r="H2831" s="194"/>
      <c r="I2831" s="161">
        <f t="shared" si="41"/>
        <v>1235168</v>
      </c>
      <c r="J2831" s="164">
        <f t="shared" si="42"/>
        <v>1235168</v>
      </c>
      <c r="K2831" s="56" t="s">
        <v>9953</v>
      </c>
      <c r="L2831" s="165" t="s">
        <v>9954</v>
      </c>
      <c r="M2831" s="73"/>
      <c r="N2831" s="171"/>
      <c r="O2831" s="169" t="s">
        <v>6923</v>
      </c>
      <c r="P2831" s="168" t="s">
        <v>6420</v>
      </c>
      <c r="Q2831" s="173"/>
      <c r="R2831" s="173"/>
      <c r="S2831" s="167">
        <v>1235168.0</v>
      </c>
      <c r="T2831" s="173"/>
      <c r="U2831" s="173"/>
      <c r="V2831" s="202"/>
      <c r="W2831" s="171"/>
      <c r="X2831" s="171"/>
    </row>
    <row r="2832" ht="15.0" customHeight="1">
      <c r="A2832" s="127">
        <v>45979.0</v>
      </c>
      <c r="B2832" s="475" t="s">
        <v>9955</v>
      </c>
      <c r="C2832" s="475" t="s">
        <v>2703</v>
      </c>
      <c r="D2832" s="73" t="str">
        <f>IFERROR(VLOOKUP(C2832,Stock,3,FALSE),"")</f>
        <v>Toyota Hi-Ace 04-20 Commuter</v>
      </c>
      <c r="E2832" s="56">
        <v>1.0</v>
      </c>
      <c r="F2832" s="161">
        <v>1509000.0</v>
      </c>
      <c r="G2832" s="162">
        <f t="shared" si="40"/>
        <v>1509000</v>
      </c>
      <c r="H2832" s="194"/>
      <c r="I2832" s="161">
        <f t="shared" si="41"/>
        <v>1509000</v>
      </c>
      <c r="J2832" s="164">
        <f t="shared" si="42"/>
        <v>1509000</v>
      </c>
      <c r="K2832" s="56" t="s">
        <v>9956</v>
      </c>
      <c r="L2832" s="165" t="s">
        <v>9957</v>
      </c>
      <c r="M2832" s="73"/>
      <c r="N2832" s="171"/>
      <c r="O2832" s="169" t="s">
        <v>4961</v>
      </c>
      <c r="P2832" s="168" t="s">
        <v>6420</v>
      </c>
      <c r="Q2832" s="173"/>
      <c r="R2832" s="167">
        <v>1509000.0</v>
      </c>
      <c r="S2832" s="173"/>
      <c r="T2832" s="173"/>
      <c r="U2832" s="173"/>
      <c r="V2832" s="202"/>
      <c r="W2832" s="171"/>
      <c r="X2832" s="171"/>
    </row>
    <row r="2833" ht="15.0" customHeight="1">
      <c r="A2833" s="127">
        <v>45979.0</v>
      </c>
      <c r="B2833" s="475" t="s">
        <v>9955</v>
      </c>
      <c r="C2833" s="475" t="s">
        <v>2934</v>
      </c>
      <c r="D2833" s="73" t="str">
        <f>IFERROR(VLOOKUP(C2833,Stock,3,FALSE),"")</f>
        <v>Peti Kayu</v>
      </c>
      <c r="E2833" s="56">
        <v>1.0</v>
      </c>
      <c r="F2833" s="161">
        <v>200000.0</v>
      </c>
      <c r="G2833" s="162">
        <f t="shared" si="40"/>
        <v>200000</v>
      </c>
      <c r="H2833" s="194"/>
      <c r="I2833" s="161">
        <f t="shared" si="41"/>
        <v>200000</v>
      </c>
      <c r="J2833" s="164">
        <f t="shared" si="42"/>
        <v>200000</v>
      </c>
      <c r="K2833" s="56" t="s">
        <v>9956</v>
      </c>
      <c r="L2833" s="165" t="s">
        <v>9957</v>
      </c>
      <c r="M2833" s="73"/>
      <c r="N2833" s="171"/>
      <c r="O2833" s="169" t="s">
        <v>4961</v>
      </c>
      <c r="P2833" s="168" t="s">
        <v>6420</v>
      </c>
      <c r="Q2833" s="173"/>
      <c r="R2833" s="167">
        <v>200000.0</v>
      </c>
      <c r="S2833" s="173"/>
      <c r="T2833" s="173"/>
      <c r="U2833" s="173"/>
      <c r="V2833" s="202"/>
      <c r="W2833" s="171"/>
      <c r="X2833" s="171"/>
    </row>
    <row r="2834" ht="15.0" customHeight="1">
      <c r="A2834" s="127">
        <v>45979.0</v>
      </c>
      <c r="B2834" s="475" t="s">
        <v>9958</v>
      </c>
      <c r="C2834" s="56" t="s">
        <v>2718</v>
      </c>
      <c r="D2834" s="73" t="str">
        <f>IFERROR(VLOOKUP(C2834,Stock,3,FALSE),"")</f>
        <v>Isuzu Traga</v>
      </c>
      <c r="E2834" s="56">
        <v>1.0</v>
      </c>
      <c r="F2834" s="161">
        <v>1320000.0</v>
      </c>
      <c r="G2834" s="162">
        <f t="shared" si="40"/>
        <v>1320000</v>
      </c>
      <c r="H2834" s="194"/>
      <c r="I2834" s="161">
        <f t="shared" si="41"/>
        <v>1320000</v>
      </c>
      <c r="J2834" s="164">
        <f t="shared" si="42"/>
        <v>1320000</v>
      </c>
      <c r="K2834" s="56" t="s">
        <v>9959</v>
      </c>
      <c r="L2834" s="165" t="s">
        <v>9957</v>
      </c>
      <c r="M2834" s="73"/>
      <c r="N2834" s="171"/>
      <c r="O2834" s="169" t="s">
        <v>6923</v>
      </c>
      <c r="P2834" s="168" t="s">
        <v>3112</v>
      </c>
      <c r="Q2834" s="173"/>
      <c r="R2834" s="167">
        <v>1320000.0</v>
      </c>
      <c r="S2834" s="173"/>
      <c r="T2834" s="173"/>
      <c r="U2834" s="173"/>
      <c r="V2834" s="202"/>
      <c r="W2834" s="171"/>
      <c r="X2834" s="171"/>
    </row>
    <row r="2835" ht="15.0" customHeight="1">
      <c r="A2835" s="127">
        <v>45979.0</v>
      </c>
      <c r="B2835" s="475" t="s">
        <v>9960</v>
      </c>
      <c r="C2835" s="475" t="s">
        <v>3045</v>
      </c>
      <c r="D2835" s="73" t="str">
        <f>IFERROR(VLOOKUP(C2835,Stock,3,FALSE),"")</f>
        <v>Pemasangan Kaca Mobil Depan</v>
      </c>
      <c r="E2835" s="56">
        <v>1.0</v>
      </c>
      <c r="F2835" s="161">
        <v>150000.0</v>
      </c>
      <c r="G2835" s="162">
        <f t="shared" si="40"/>
        <v>150000</v>
      </c>
      <c r="H2835" s="194"/>
      <c r="I2835" s="161">
        <f t="shared" si="41"/>
        <v>150000</v>
      </c>
      <c r="J2835" s="164">
        <f t="shared" si="42"/>
        <v>150000</v>
      </c>
      <c r="K2835" s="56" t="s">
        <v>6228</v>
      </c>
      <c r="L2835" s="165" t="s">
        <v>9961</v>
      </c>
      <c r="M2835" s="73"/>
      <c r="N2835" s="171"/>
      <c r="O2835" s="169" t="s">
        <v>6923</v>
      </c>
      <c r="P2835" s="168" t="s">
        <v>3112</v>
      </c>
      <c r="Q2835" s="173"/>
      <c r="R2835" s="167">
        <v>150000.0</v>
      </c>
      <c r="S2835" s="173"/>
      <c r="T2835" s="173"/>
      <c r="U2835" s="173"/>
      <c r="V2835" s="202"/>
      <c r="W2835" s="171"/>
      <c r="X2835" s="171"/>
    </row>
    <row r="2836" ht="15.0" customHeight="1">
      <c r="A2836" s="127">
        <v>45979.0</v>
      </c>
      <c r="B2836" s="475" t="s">
        <v>9960</v>
      </c>
      <c r="C2836" s="475" t="s">
        <v>2954</v>
      </c>
      <c r="D2836" s="73" t="str">
        <f>IFERROR(VLOOKUP(C2836,Stock,3,FALSE),"")</f>
        <v>Transport</v>
      </c>
      <c r="E2836" s="56">
        <v>1.0</v>
      </c>
      <c r="F2836" s="161">
        <v>100000.0</v>
      </c>
      <c r="G2836" s="162">
        <f t="shared" si="40"/>
        <v>100000</v>
      </c>
      <c r="H2836" s="194"/>
      <c r="I2836" s="161">
        <f t="shared" si="41"/>
        <v>100000</v>
      </c>
      <c r="J2836" s="164">
        <f t="shared" si="42"/>
        <v>100000</v>
      </c>
      <c r="K2836" s="56" t="s">
        <v>6228</v>
      </c>
      <c r="L2836" s="165" t="s">
        <v>9961</v>
      </c>
      <c r="M2836" s="73"/>
      <c r="N2836" s="171"/>
      <c r="O2836" s="169" t="s">
        <v>6923</v>
      </c>
      <c r="P2836" s="168" t="s">
        <v>3112</v>
      </c>
      <c r="Q2836" s="173"/>
      <c r="R2836" s="167">
        <v>100000.0</v>
      </c>
      <c r="S2836" s="173"/>
      <c r="T2836" s="173"/>
      <c r="U2836" s="173"/>
      <c r="V2836" s="202"/>
      <c r="W2836" s="171"/>
      <c r="X2836" s="171"/>
    </row>
    <row r="2837" ht="15.0" customHeight="1">
      <c r="A2837" s="127">
        <v>45979.0</v>
      </c>
      <c r="B2837" s="475" t="s">
        <v>9962</v>
      </c>
      <c r="C2837" s="475" t="s">
        <v>9963</v>
      </c>
      <c r="D2837" s="73" t="str">
        <f>IFERROR(VLOOKUP(C2837,Stock,3,FALSE),"")</f>
        <v>Hyundai Stargazer 22- No Hole (Hyundai)</v>
      </c>
      <c r="E2837" s="56">
        <v>1.0</v>
      </c>
      <c r="F2837" s="161">
        <v>1699000.0</v>
      </c>
      <c r="G2837" s="162">
        <f t="shared" si="40"/>
        <v>1699000</v>
      </c>
      <c r="H2837" s="194"/>
      <c r="I2837" s="161">
        <f t="shared" si="41"/>
        <v>1699000</v>
      </c>
      <c r="J2837" s="164">
        <f t="shared" si="42"/>
        <v>1699000</v>
      </c>
      <c r="K2837" s="169" t="s">
        <v>9964</v>
      </c>
      <c r="L2837" s="165" t="s">
        <v>9965</v>
      </c>
      <c r="M2837" s="73"/>
      <c r="N2837" s="171"/>
      <c r="O2837" s="169" t="s">
        <v>6923</v>
      </c>
      <c r="P2837" s="168" t="s">
        <v>3112</v>
      </c>
      <c r="Q2837" s="173"/>
      <c r="R2837" s="167">
        <v>1699000.0</v>
      </c>
      <c r="S2837" s="173"/>
      <c r="T2837" s="173"/>
      <c r="U2837" s="173"/>
      <c r="V2837" s="202"/>
      <c r="W2837" s="171"/>
      <c r="X2837" s="171"/>
    </row>
    <row r="2838" ht="15.0" customHeight="1">
      <c r="A2838" s="127">
        <v>45980.0</v>
      </c>
      <c r="B2838" s="181" t="s">
        <v>9966</v>
      </c>
      <c r="C2838" s="56" t="s">
        <v>3398</v>
      </c>
      <c r="D2838" s="56" t="s">
        <v>9967</v>
      </c>
      <c r="E2838" s="56">
        <v>1.0</v>
      </c>
      <c r="F2838" s="161">
        <v>150000.0</v>
      </c>
      <c r="G2838" s="162">
        <f t="shared" si="40"/>
        <v>150000</v>
      </c>
      <c r="H2838" s="194"/>
      <c r="I2838" s="161">
        <f t="shared" si="41"/>
        <v>150000</v>
      </c>
      <c r="J2838" s="164">
        <f t="shared" si="42"/>
        <v>150000</v>
      </c>
      <c r="K2838" s="56" t="s">
        <v>9968</v>
      </c>
      <c r="L2838" s="165" t="s">
        <v>9969</v>
      </c>
      <c r="M2838" s="73"/>
      <c r="N2838" s="171"/>
      <c r="O2838" s="169" t="s">
        <v>6923</v>
      </c>
      <c r="P2838" s="168" t="s">
        <v>3112</v>
      </c>
      <c r="Q2838" s="173"/>
      <c r="R2838" s="167">
        <v>150000.0</v>
      </c>
      <c r="S2838" s="173"/>
      <c r="T2838" s="173"/>
      <c r="U2838" s="173"/>
      <c r="V2838" s="202"/>
      <c r="W2838" s="171"/>
      <c r="X2838" s="171"/>
    </row>
    <row r="2839" ht="15.0" customHeight="1">
      <c r="A2839" s="127">
        <v>45980.0</v>
      </c>
      <c r="B2839" s="181" t="s">
        <v>9970</v>
      </c>
      <c r="C2839" s="56" t="s">
        <v>5587</v>
      </c>
      <c r="D2839" s="73" t="str">
        <f>IFERROR(VLOOKUP(C2839,Stock,3,FALSE),"")</f>
        <v>Honda CR-V 02-04 2nd Gen (Spion Jepit)</v>
      </c>
      <c r="E2839" s="56">
        <v>1.0</v>
      </c>
      <c r="F2839" s="161">
        <v>1732000.0</v>
      </c>
      <c r="G2839" s="162">
        <f t="shared" si="40"/>
        <v>1732000</v>
      </c>
      <c r="H2839" s="194"/>
      <c r="I2839" s="161">
        <f t="shared" si="41"/>
        <v>1732000</v>
      </c>
      <c r="J2839" s="164">
        <f t="shared" si="42"/>
        <v>1732000</v>
      </c>
      <c r="K2839" s="56" t="s">
        <v>9971</v>
      </c>
      <c r="L2839" s="165" t="s">
        <v>9972</v>
      </c>
      <c r="M2839" s="73"/>
      <c r="N2839" s="171"/>
      <c r="O2839" s="169" t="s">
        <v>9973</v>
      </c>
      <c r="P2839" s="168" t="s">
        <v>3112</v>
      </c>
      <c r="Q2839" s="167">
        <v>1732000.0</v>
      </c>
      <c r="R2839" s="173"/>
      <c r="S2839" s="173"/>
      <c r="T2839" s="173"/>
      <c r="U2839" s="173"/>
      <c r="V2839" s="202"/>
      <c r="W2839" s="171"/>
      <c r="X2839" s="171"/>
    </row>
    <row r="2840" ht="15.0" customHeight="1">
      <c r="A2840" s="127">
        <v>45981.0</v>
      </c>
      <c r="B2840" s="181" t="s">
        <v>9974</v>
      </c>
      <c r="C2840" s="475" t="s">
        <v>2565</v>
      </c>
      <c r="D2840" s="73" t="str">
        <f>IFERROR(VLOOKUP(C2840,Stock,3,FALSE),"")</f>
        <v>Toyota Avanza / Xenia 03-11 1st Gen</v>
      </c>
      <c r="E2840" s="56">
        <v>1.0</v>
      </c>
      <c r="F2840" s="161">
        <v>1000000.0</v>
      </c>
      <c r="G2840" s="162">
        <f t="shared" si="40"/>
        <v>1000000</v>
      </c>
      <c r="H2840" s="194"/>
      <c r="I2840" s="161">
        <f t="shared" si="41"/>
        <v>1000000</v>
      </c>
      <c r="J2840" s="164">
        <f t="shared" si="42"/>
        <v>1000000</v>
      </c>
      <c r="K2840" s="56" t="s">
        <v>9975</v>
      </c>
      <c r="L2840" s="165" t="s">
        <v>9976</v>
      </c>
      <c r="M2840" s="73"/>
      <c r="N2840" s="169" t="s">
        <v>9977</v>
      </c>
      <c r="O2840" s="169" t="s">
        <v>6923</v>
      </c>
      <c r="P2840" s="168" t="s">
        <v>3112</v>
      </c>
      <c r="Q2840" s="173"/>
      <c r="R2840" s="167">
        <v>1000000.0</v>
      </c>
      <c r="S2840" s="173"/>
      <c r="T2840" s="173"/>
      <c r="U2840" s="173"/>
      <c r="V2840" s="202"/>
      <c r="W2840" s="171"/>
      <c r="X2840" s="171"/>
    </row>
    <row r="2841" ht="15.0" customHeight="1">
      <c r="A2841" s="127">
        <v>45981.0</v>
      </c>
      <c r="B2841" s="181" t="s">
        <v>9974</v>
      </c>
      <c r="C2841" s="475" t="s">
        <v>2954</v>
      </c>
      <c r="D2841" s="73" t="str">
        <f>IFERROR(VLOOKUP(C2841,Stock,3,FALSE),"")</f>
        <v>Transport</v>
      </c>
      <c r="E2841" s="56">
        <v>1.0</v>
      </c>
      <c r="F2841" s="161">
        <v>50000.0</v>
      </c>
      <c r="G2841" s="162">
        <f t="shared" si="40"/>
        <v>50000</v>
      </c>
      <c r="H2841" s="194"/>
      <c r="I2841" s="161">
        <f t="shared" si="41"/>
        <v>50000</v>
      </c>
      <c r="J2841" s="164">
        <f t="shared" si="42"/>
        <v>50000</v>
      </c>
      <c r="K2841" s="56" t="s">
        <v>9975</v>
      </c>
      <c r="L2841" s="165" t="s">
        <v>9976</v>
      </c>
      <c r="M2841" s="73"/>
      <c r="N2841" s="169" t="s">
        <v>9977</v>
      </c>
      <c r="O2841" s="169" t="s">
        <v>6923</v>
      </c>
      <c r="P2841" s="168" t="s">
        <v>3112</v>
      </c>
      <c r="Q2841" s="173"/>
      <c r="R2841" s="167">
        <v>50000.0</v>
      </c>
      <c r="S2841" s="173"/>
      <c r="T2841" s="173"/>
      <c r="U2841" s="173"/>
      <c r="V2841" s="202"/>
      <c r="W2841" s="171"/>
      <c r="X2841" s="171"/>
    </row>
    <row r="2842" ht="15.0" customHeight="1">
      <c r="A2842" s="127">
        <v>45981.0</v>
      </c>
      <c r="B2842" s="181" t="s">
        <v>9978</v>
      </c>
      <c r="C2842" s="56" t="s">
        <v>5528</v>
      </c>
      <c r="D2842" s="73" t="str">
        <f>IFERROR(VLOOKUP(C2842,Stock,3,FALSE),"")</f>
        <v>Toyota Innova 15-22 2nd Gen (Toyota)</v>
      </c>
      <c r="E2842" s="56">
        <v>1.0</v>
      </c>
      <c r="F2842" s="161">
        <v>2988000.0</v>
      </c>
      <c r="G2842" s="162">
        <f t="shared" si="40"/>
        <v>2988000</v>
      </c>
      <c r="H2842" s="194"/>
      <c r="I2842" s="161">
        <f t="shared" si="41"/>
        <v>2988000</v>
      </c>
      <c r="J2842" s="164">
        <f t="shared" si="42"/>
        <v>2988000</v>
      </c>
      <c r="K2842" s="56" t="s">
        <v>9979</v>
      </c>
      <c r="L2842" s="165" t="s">
        <v>9980</v>
      </c>
      <c r="M2842" s="73"/>
      <c r="N2842" s="169" t="s">
        <v>9981</v>
      </c>
      <c r="O2842" s="169" t="s">
        <v>6923</v>
      </c>
      <c r="P2842" s="168" t="s">
        <v>3112</v>
      </c>
      <c r="Q2842" s="173"/>
      <c r="R2842" s="167">
        <v>2988000.0</v>
      </c>
      <c r="S2842" s="173"/>
      <c r="T2842" s="173"/>
      <c r="U2842" s="173"/>
      <c r="V2842" s="202"/>
      <c r="W2842" s="171"/>
      <c r="X2842" s="171"/>
    </row>
    <row r="2843" ht="15.0" customHeight="1">
      <c r="A2843" s="127">
        <v>45981.0</v>
      </c>
      <c r="B2843" s="181" t="s">
        <v>9982</v>
      </c>
      <c r="C2843" s="56" t="s">
        <v>2936</v>
      </c>
      <c r="D2843" s="73" t="str">
        <f>IFERROR(VLOOKUP(C2843,Stock,3,FALSE),"")</f>
        <v>Toyota Calya / Sigra 16-</v>
      </c>
      <c r="E2843" s="56">
        <v>1.0</v>
      </c>
      <c r="F2843" s="161">
        <v>918000.0</v>
      </c>
      <c r="G2843" s="162">
        <f t="shared" si="40"/>
        <v>918000</v>
      </c>
      <c r="H2843" s="194"/>
      <c r="I2843" s="161">
        <f t="shared" si="41"/>
        <v>918000</v>
      </c>
      <c r="J2843" s="164">
        <f t="shared" si="42"/>
        <v>918000</v>
      </c>
      <c r="K2843" s="56" t="s">
        <v>9983</v>
      </c>
      <c r="L2843" s="165" t="s">
        <v>9984</v>
      </c>
      <c r="M2843" s="73"/>
      <c r="N2843" s="169" t="s">
        <v>9985</v>
      </c>
      <c r="O2843" s="169" t="s">
        <v>6923</v>
      </c>
      <c r="P2843" s="168" t="s">
        <v>3112</v>
      </c>
      <c r="Q2843" s="173"/>
      <c r="R2843" s="167">
        <v>918000.0</v>
      </c>
      <c r="S2843" s="173"/>
      <c r="T2843" s="173"/>
      <c r="U2843" s="173"/>
      <c r="V2843" s="202"/>
      <c r="W2843" s="171"/>
      <c r="X2843" s="171"/>
    </row>
    <row r="2844" ht="15.0" customHeight="1">
      <c r="A2844" s="127">
        <v>45981.0</v>
      </c>
      <c r="B2844" s="483" t="s">
        <v>9986</v>
      </c>
      <c r="C2844" s="56" t="s">
        <v>3045</v>
      </c>
      <c r="D2844" s="56" t="s">
        <v>9987</v>
      </c>
      <c r="E2844" s="56">
        <v>1.0</v>
      </c>
      <c r="F2844" s="161">
        <v>200000.0</v>
      </c>
      <c r="G2844" s="162">
        <f t="shared" si="40"/>
        <v>200000</v>
      </c>
      <c r="H2844" s="194"/>
      <c r="I2844" s="161">
        <f t="shared" si="41"/>
        <v>200000</v>
      </c>
      <c r="J2844" s="164">
        <f t="shared" si="42"/>
        <v>200000</v>
      </c>
      <c r="K2844" s="56" t="s">
        <v>9988</v>
      </c>
      <c r="L2844" s="165" t="s">
        <v>9989</v>
      </c>
      <c r="M2844" s="73"/>
      <c r="N2844" s="171"/>
      <c r="O2844" s="169" t="s">
        <v>6923</v>
      </c>
      <c r="P2844" s="168" t="s">
        <v>3112</v>
      </c>
      <c r="Q2844" s="173"/>
      <c r="R2844" s="167">
        <v>200000.0</v>
      </c>
      <c r="S2844" s="173"/>
      <c r="T2844" s="173"/>
      <c r="U2844" s="173"/>
      <c r="V2844" s="202"/>
      <c r="W2844" s="171"/>
      <c r="X2844" s="171"/>
    </row>
    <row r="2845" ht="15.0" customHeight="1">
      <c r="A2845" s="127">
        <v>45982.0</v>
      </c>
      <c r="B2845" s="181" t="s">
        <v>9990</v>
      </c>
      <c r="C2845" s="475" t="s">
        <v>2836</v>
      </c>
      <c r="D2845" s="73" t="str">
        <f>IFERROR(VLOOKUP(C2845,Stock,3,FALSE),"")</f>
        <v>Toyota Avanza / Xenia 21- 4th Gen</v>
      </c>
      <c r="E2845" s="56">
        <v>1.0</v>
      </c>
      <c r="F2845" s="161">
        <v>1150000.0</v>
      </c>
      <c r="G2845" s="162">
        <f t="shared" si="40"/>
        <v>1150000</v>
      </c>
      <c r="H2845" s="194"/>
      <c r="I2845" s="161">
        <f t="shared" si="41"/>
        <v>1150000</v>
      </c>
      <c r="J2845" s="164">
        <f t="shared" si="42"/>
        <v>1150000</v>
      </c>
      <c r="K2845" s="56" t="s">
        <v>9991</v>
      </c>
      <c r="L2845" s="165" t="s">
        <v>9992</v>
      </c>
      <c r="M2845" s="73"/>
      <c r="N2845" s="171"/>
      <c r="O2845" s="169" t="s">
        <v>6923</v>
      </c>
      <c r="P2845" s="168" t="s">
        <v>3112</v>
      </c>
      <c r="Q2845" s="173"/>
      <c r="R2845" s="167">
        <v>1150000.0</v>
      </c>
      <c r="S2845" s="173"/>
      <c r="T2845" s="173"/>
      <c r="U2845" s="173"/>
      <c r="V2845" s="202"/>
      <c r="W2845" s="171"/>
      <c r="X2845" s="171"/>
    </row>
    <row r="2846" ht="15.0" customHeight="1">
      <c r="A2846" s="127">
        <v>45982.0</v>
      </c>
      <c r="B2846" s="181" t="s">
        <v>9990</v>
      </c>
      <c r="C2846" s="475" t="s">
        <v>2934</v>
      </c>
      <c r="D2846" s="73" t="str">
        <f>IFERROR(VLOOKUP(C2846,Stock,3,FALSE),"")</f>
        <v>Peti Kayu</v>
      </c>
      <c r="E2846" s="56">
        <v>1.0</v>
      </c>
      <c r="F2846" s="161">
        <v>200000.0</v>
      </c>
      <c r="G2846" s="162">
        <f t="shared" si="40"/>
        <v>200000</v>
      </c>
      <c r="H2846" s="194"/>
      <c r="I2846" s="161">
        <f t="shared" si="41"/>
        <v>200000</v>
      </c>
      <c r="J2846" s="164">
        <f t="shared" si="42"/>
        <v>200000</v>
      </c>
      <c r="K2846" s="56" t="s">
        <v>9991</v>
      </c>
      <c r="L2846" s="165" t="s">
        <v>9992</v>
      </c>
      <c r="M2846" s="73"/>
      <c r="N2846" s="171"/>
      <c r="O2846" s="169" t="s">
        <v>6923</v>
      </c>
      <c r="P2846" s="168" t="s">
        <v>3112</v>
      </c>
      <c r="Q2846" s="173"/>
      <c r="R2846" s="167">
        <v>200000.0</v>
      </c>
      <c r="S2846" s="173"/>
      <c r="T2846" s="173"/>
      <c r="U2846" s="173"/>
      <c r="V2846" s="202"/>
      <c r="W2846" s="171"/>
      <c r="X2846" s="171"/>
    </row>
    <row r="2847" ht="15.0" customHeight="1">
      <c r="A2847" s="127">
        <v>45982.0</v>
      </c>
      <c r="B2847" s="181" t="s">
        <v>9993</v>
      </c>
      <c r="C2847" s="475" t="s">
        <v>8323</v>
      </c>
      <c r="D2847" s="73" t="str">
        <f>IFERROR(VLOOKUP(C2847,Stock,3,FALSE),"")</f>
        <v>Honda CR-V 02-06 2nd Gen</v>
      </c>
      <c r="E2847" s="56">
        <v>1.0</v>
      </c>
      <c r="F2847" s="161">
        <v>2085000.0</v>
      </c>
      <c r="G2847" s="162">
        <f t="shared" si="40"/>
        <v>2085000</v>
      </c>
      <c r="H2847" s="194"/>
      <c r="I2847" s="161">
        <f t="shared" si="41"/>
        <v>2085000</v>
      </c>
      <c r="J2847" s="164">
        <f t="shared" si="42"/>
        <v>2085000</v>
      </c>
      <c r="K2847" s="56" t="s">
        <v>9994</v>
      </c>
      <c r="L2847" s="165" t="s">
        <v>8823</v>
      </c>
      <c r="M2847" s="73"/>
      <c r="N2847" s="169" t="s">
        <v>9995</v>
      </c>
      <c r="O2847" s="169" t="s">
        <v>6923</v>
      </c>
      <c r="P2847" s="168" t="s">
        <v>3112</v>
      </c>
      <c r="Q2847" s="173"/>
      <c r="R2847" s="167">
        <v>2085000.0</v>
      </c>
      <c r="S2847" s="173"/>
      <c r="T2847" s="173"/>
      <c r="U2847" s="173"/>
      <c r="V2847" s="202"/>
      <c r="W2847" s="171"/>
      <c r="X2847" s="171"/>
    </row>
    <row r="2848" ht="15.0" customHeight="1">
      <c r="A2848" s="127">
        <v>45982.0</v>
      </c>
      <c r="B2848" s="181" t="s">
        <v>9996</v>
      </c>
      <c r="C2848" s="56" t="s">
        <v>3273</v>
      </c>
      <c r="D2848" s="73" t="str">
        <f>IFERROR(VLOOKUP(C2848,Stock,3,FALSE),"")</f>
        <v>Pemasangan Kaca Mobil Belakang</v>
      </c>
      <c r="E2848" s="56">
        <v>1.0</v>
      </c>
      <c r="F2848" s="161">
        <v>600000.0</v>
      </c>
      <c r="G2848" s="162">
        <f t="shared" si="40"/>
        <v>600000</v>
      </c>
      <c r="H2848" s="194"/>
      <c r="I2848" s="161">
        <f t="shared" si="41"/>
        <v>600000</v>
      </c>
      <c r="J2848" s="164">
        <f t="shared" si="42"/>
        <v>600000</v>
      </c>
      <c r="K2848" s="56" t="s">
        <v>7691</v>
      </c>
      <c r="L2848" s="165" t="s">
        <v>9794</v>
      </c>
      <c r="M2848" s="73"/>
      <c r="N2848" s="171"/>
      <c r="O2848" s="169" t="s">
        <v>6923</v>
      </c>
      <c r="P2848" s="168" t="s">
        <v>3112</v>
      </c>
      <c r="Q2848" s="173"/>
      <c r="R2848" s="167">
        <v>600000.0</v>
      </c>
      <c r="S2848" s="173"/>
      <c r="T2848" s="173"/>
      <c r="U2848" s="173"/>
      <c r="V2848" s="202"/>
      <c r="W2848" s="171"/>
      <c r="X2848" s="171"/>
    </row>
    <row r="2849" ht="15.0" customHeight="1">
      <c r="A2849" s="127">
        <v>45982.0</v>
      </c>
      <c r="B2849" s="181" t="s">
        <v>9996</v>
      </c>
      <c r="C2849" s="56" t="s">
        <v>2954</v>
      </c>
      <c r="D2849" s="73" t="str">
        <f>IFERROR(VLOOKUP(C2849,Stock,3,FALSE),"")</f>
        <v>Transport</v>
      </c>
      <c r="E2849" s="56">
        <v>1.0</v>
      </c>
      <c r="F2849" s="161">
        <v>30000.0</v>
      </c>
      <c r="G2849" s="162">
        <f t="shared" si="40"/>
        <v>30000</v>
      </c>
      <c r="H2849" s="194"/>
      <c r="I2849" s="161">
        <f t="shared" si="41"/>
        <v>30000</v>
      </c>
      <c r="J2849" s="164">
        <f t="shared" si="42"/>
        <v>30000</v>
      </c>
      <c r="K2849" s="56" t="s">
        <v>7691</v>
      </c>
      <c r="L2849" s="165" t="s">
        <v>9794</v>
      </c>
      <c r="M2849" s="73"/>
      <c r="N2849" s="171"/>
      <c r="O2849" s="169" t="s">
        <v>6923</v>
      </c>
      <c r="P2849" s="168" t="s">
        <v>3112</v>
      </c>
      <c r="Q2849" s="173"/>
      <c r="R2849" s="167">
        <v>30000.0</v>
      </c>
      <c r="S2849" s="173"/>
      <c r="T2849" s="173"/>
      <c r="U2849" s="173"/>
      <c r="V2849" s="202"/>
      <c r="W2849" s="171"/>
      <c r="X2849" s="171"/>
    </row>
    <row r="2850" ht="15.0" customHeight="1">
      <c r="A2850" s="127">
        <v>45983.0</v>
      </c>
      <c r="B2850" s="181" t="s">
        <v>9997</v>
      </c>
      <c r="C2850" s="475" t="s">
        <v>9998</v>
      </c>
      <c r="D2850" s="73" t="str">
        <f>IFERROR(VLOOKUP(C2850,Stock,3,FALSE),"")</f>
        <v>Toyota Innova 04-15 1st Gen (Toyota)</v>
      </c>
      <c r="E2850" s="56">
        <v>1.0</v>
      </c>
      <c r="F2850" s="161">
        <v>2300000.0</v>
      </c>
      <c r="G2850" s="162">
        <f t="shared" si="40"/>
        <v>2300000</v>
      </c>
      <c r="H2850" s="194"/>
      <c r="I2850" s="161">
        <f t="shared" si="41"/>
        <v>2300000</v>
      </c>
      <c r="J2850" s="164">
        <f t="shared" si="42"/>
        <v>2300000</v>
      </c>
      <c r="K2850" s="56" t="s">
        <v>9999</v>
      </c>
      <c r="L2850" s="165" t="s">
        <v>10000</v>
      </c>
      <c r="M2850" s="73"/>
      <c r="N2850" s="171"/>
      <c r="O2850" s="169" t="s">
        <v>6923</v>
      </c>
      <c r="P2850" s="168" t="s">
        <v>3112</v>
      </c>
      <c r="Q2850" s="173"/>
      <c r="R2850" s="167">
        <v>2300000.0</v>
      </c>
      <c r="S2850" s="173"/>
      <c r="T2850" s="173"/>
      <c r="U2850" s="173"/>
      <c r="V2850" s="202"/>
      <c r="W2850" s="171"/>
      <c r="X2850" s="171"/>
    </row>
    <row r="2851" ht="15.0" customHeight="1">
      <c r="A2851" s="127">
        <v>45983.0</v>
      </c>
      <c r="B2851" s="181" t="s">
        <v>9997</v>
      </c>
      <c r="C2851" s="475" t="s">
        <v>2934</v>
      </c>
      <c r="D2851" s="73" t="str">
        <f>IFERROR(VLOOKUP(C2851,Stock,3,FALSE),"")</f>
        <v>Peti Kayu</v>
      </c>
      <c r="E2851" s="56">
        <v>1.0</v>
      </c>
      <c r="F2851" s="161">
        <v>200000.0</v>
      </c>
      <c r="G2851" s="162">
        <f t="shared" si="40"/>
        <v>200000</v>
      </c>
      <c r="H2851" s="201">
        <v>200000.0</v>
      </c>
      <c r="I2851" s="161">
        <f t="shared" si="41"/>
        <v>0</v>
      </c>
      <c r="J2851" s="164">
        <f t="shared" si="42"/>
        <v>0</v>
      </c>
      <c r="K2851" s="56" t="s">
        <v>9999</v>
      </c>
      <c r="L2851" s="165" t="s">
        <v>10000</v>
      </c>
      <c r="M2851" s="73"/>
      <c r="N2851" s="171"/>
      <c r="O2851" s="169" t="s">
        <v>6923</v>
      </c>
      <c r="P2851" s="168" t="s">
        <v>3112</v>
      </c>
      <c r="Q2851" s="173"/>
      <c r="R2851" s="173"/>
      <c r="S2851" s="173"/>
      <c r="T2851" s="173"/>
      <c r="U2851" s="173"/>
      <c r="V2851" s="202"/>
      <c r="W2851" s="171"/>
      <c r="X2851" s="171"/>
    </row>
    <row r="2852" ht="15.0" customHeight="1">
      <c r="A2852" s="127">
        <v>45983.0</v>
      </c>
      <c r="B2852" s="181" t="s">
        <v>10001</v>
      </c>
      <c r="C2852" s="56" t="s">
        <v>3186</v>
      </c>
      <c r="D2852" s="73" t="str">
        <f>IFERROR(VLOOKUP(C2852,Stock,3,FALSE),"")</f>
        <v>Daihatsu Gran Max / Luxio 07-</v>
      </c>
      <c r="E2852" s="56">
        <v>1.0</v>
      </c>
      <c r="F2852" s="161">
        <v>1000000.0</v>
      </c>
      <c r="G2852" s="162">
        <f t="shared" si="40"/>
        <v>1000000</v>
      </c>
      <c r="H2852" s="194"/>
      <c r="I2852" s="161">
        <f t="shared" si="41"/>
        <v>1000000</v>
      </c>
      <c r="J2852" s="164">
        <f t="shared" si="42"/>
        <v>1000000</v>
      </c>
      <c r="K2852" s="56" t="s">
        <v>7691</v>
      </c>
      <c r="L2852" s="165" t="s">
        <v>9794</v>
      </c>
      <c r="M2852" s="73"/>
      <c r="N2852" s="169" t="s">
        <v>10002</v>
      </c>
      <c r="O2852" s="169" t="s">
        <v>6923</v>
      </c>
      <c r="P2852" s="168" t="s">
        <v>3112</v>
      </c>
      <c r="Q2852" s="173"/>
      <c r="R2852" s="167">
        <v>1000000.0</v>
      </c>
      <c r="S2852" s="173"/>
      <c r="T2852" s="173"/>
      <c r="U2852" s="173"/>
      <c r="V2852" s="202"/>
      <c r="W2852" s="171"/>
      <c r="X2852" s="171"/>
    </row>
    <row r="2853" ht="15.0" customHeight="1">
      <c r="A2853" s="127">
        <v>45983.0</v>
      </c>
      <c r="B2853" s="181" t="s">
        <v>10003</v>
      </c>
      <c r="C2853" s="56" t="s">
        <v>10004</v>
      </c>
      <c r="D2853" s="73" t="str">
        <f>IFERROR(VLOOKUP(C2853,Stock,3,FALSE),"")</f>
        <v>Mitsubishi Xpander 22-  (Mitsubishi)</v>
      </c>
      <c r="E2853" s="56">
        <v>1.0</v>
      </c>
      <c r="F2853" s="161">
        <v>1386000.0</v>
      </c>
      <c r="G2853" s="162">
        <f t="shared" si="40"/>
        <v>1386000</v>
      </c>
      <c r="H2853" s="194"/>
      <c r="I2853" s="161">
        <f t="shared" si="41"/>
        <v>1386000</v>
      </c>
      <c r="J2853" s="164">
        <f t="shared" si="42"/>
        <v>1386000</v>
      </c>
      <c r="K2853" s="56" t="s">
        <v>10005</v>
      </c>
      <c r="L2853" s="165" t="s">
        <v>10006</v>
      </c>
      <c r="M2853" s="73"/>
      <c r="N2853" s="169" t="s">
        <v>10007</v>
      </c>
      <c r="O2853" s="169" t="s">
        <v>6923</v>
      </c>
      <c r="P2853" s="168" t="s">
        <v>3112</v>
      </c>
      <c r="Q2853" s="173"/>
      <c r="R2853" s="167">
        <v>1386000.0</v>
      </c>
      <c r="S2853" s="173"/>
      <c r="T2853" s="173"/>
      <c r="U2853" s="173"/>
      <c r="V2853" s="202"/>
      <c r="W2853" s="171"/>
      <c r="X2853" s="171"/>
    </row>
    <row r="2854" ht="15.0" customHeight="1">
      <c r="A2854" s="127">
        <v>45983.0</v>
      </c>
      <c r="B2854" s="181" t="s">
        <v>10008</v>
      </c>
      <c r="C2854" s="475" t="s">
        <v>2734</v>
      </c>
      <c r="D2854" s="73" t="str">
        <f>IFERROR(VLOOKUP(C2854,Stock,3,FALSE),"")</f>
        <v>Honda Jazz 07-13 2nd Gen</v>
      </c>
      <c r="E2854" s="56">
        <v>1.0</v>
      </c>
      <c r="F2854" s="161">
        <v>1518000.0</v>
      </c>
      <c r="G2854" s="162">
        <f t="shared" si="40"/>
        <v>1518000</v>
      </c>
      <c r="H2854" s="194"/>
      <c r="I2854" s="161">
        <f t="shared" si="41"/>
        <v>1518000</v>
      </c>
      <c r="J2854" s="164">
        <f t="shared" si="42"/>
        <v>1518000</v>
      </c>
      <c r="K2854" s="56" t="s">
        <v>10009</v>
      </c>
      <c r="L2854" s="165" t="s">
        <v>10010</v>
      </c>
      <c r="M2854" s="73"/>
      <c r="N2854" s="171"/>
      <c r="O2854" s="169" t="s">
        <v>6923</v>
      </c>
      <c r="P2854" s="168" t="s">
        <v>3112</v>
      </c>
      <c r="Q2854" s="173"/>
      <c r="R2854" s="167">
        <v>1518000.0</v>
      </c>
      <c r="S2854" s="173"/>
      <c r="T2854" s="173"/>
      <c r="U2854" s="173"/>
      <c r="V2854" s="202"/>
      <c r="W2854" s="171"/>
      <c r="X2854" s="171"/>
    </row>
    <row r="2855" ht="15.0" customHeight="1">
      <c r="A2855" s="127">
        <v>45983.0</v>
      </c>
      <c r="B2855" s="181" t="s">
        <v>10008</v>
      </c>
      <c r="C2855" s="475" t="s">
        <v>2934</v>
      </c>
      <c r="D2855" s="73" t="str">
        <f>IFERROR(VLOOKUP(C2855,Stock,3,FALSE),"")</f>
        <v>Peti Kayu</v>
      </c>
      <c r="E2855" s="56">
        <v>1.0</v>
      </c>
      <c r="F2855" s="161">
        <v>200000.0</v>
      </c>
      <c r="G2855" s="162">
        <f t="shared" si="40"/>
        <v>200000</v>
      </c>
      <c r="H2855" s="194"/>
      <c r="I2855" s="161">
        <f t="shared" si="41"/>
        <v>200000</v>
      </c>
      <c r="J2855" s="164">
        <f t="shared" si="42"/>
        <v>200000</v>
      </c>
      <c r="K2855" s="56" t="s">
        <v>10009</v>
      </c>
      <c r="L2855" s="165" t="s">
        <v>10010</v>
      </c>
      <c r="M2855" s="73"/>
      <c r="N2855" s="171"/>
      <c r="O2855" s="169" t="s">
        <v>6923</v>
      </c>
      <c r="P2855" s="168" t="s">
        <v>3112</v>
      </c>
      <c r="Q2855" s="173"/>
      <c r="R2855" s="167">
        <v>200000.0</v>
      </c>
      <c r="S2855" s="173"/>
      <c r="T2855" s="173"/>
      <c r="U2855" s="173"/>
      <c r="V2855" s="202"/>
      <c r="W2855" s="171"/>
      <c r="X2855" s="171"/>
    </row>
    <row r="2856" ht="15.0" customHeight="1">
      <c r="A2856" s="127">
        <v>45983.0</v>
      </c>
      <c r="B2856" s="181" t="s">
        <v>10011</v>
      </c>
      <c r="C2856" s="56" t="s">
        <v>2730</v>
      </c>
      <c r="D2856" s="73" t="str">
        <f>IFERROR(VLOOKUP(C2856,Stock,3,FALSE),"")</f>
        <v>Honda HR-V 14-21 5D SUV (Honda)</v>
      </c>
      <c r="E2856" s="56">
        <v>1.0</v>
      </c>
      <c r="F2856" s="161">
        <v>3156000.0</v>
      </c>
      <c r="G2856" s="162">
        <f t="shared" si="40"/>
        <v>3156000</v>
      </c>
      <c r="H2856" s="194"/>
      <c r="I2856" s="161">
        <f t="shared" si="41"/>
        <v>3156000</v>
      </c>
      <c r="J2856" s="164">
        <f t="shared" si="42"/>
        <v>3156000</v>
      </c>
      <c r="K2856" s="56" t="s">
        <v>10012</v>
      </c>
      <c r="L2856" s="165" t="s">
        <v>2999</v>
      </c>
      <c r="M2856" s="73"/>
      <c r="N2856" s="169" t="s">
        <v>10013</v>
      </c>
      <c r="O2856" s="169" t="s">
        <v>6923</v>
      </c>
      <c r="P2856" s="168" t="s">
        <v>3112</v>
      </c>
      <c r="Q2856" s="173"/>
      <c r="R2856" s="167">
        <v>3156000.0</v>
      </c>
      <c r="S2856" s="173"/>
      <c r="T2856" s="173"/>
      <c r="U2856" s="173"/>
      <c r="V2856" s="202"/>
      <c r="W2856" s="171"/>
      <c r="X2856" s="171"/>
    </row>
    <row r="2857" ht="15.0" customHeight="1">
      <c r="A2857" s="127">
        <v>45983.0</v>
      </c>
      <c r="B2857" s="181" t="s">
        <v>10011</v>
      </c>
      <c r="C2857" s="56" t="s">
        <v>4027</v>
      </c>
      <c r="D2857" s="73" t="str">
        <f>IFERROR(VLOOKUP(C2857,Stock,3,FALSE),"")</f>
        <v>501 Sealant Application</v>
      </c>
      <c r="E2857" s="56">
        <v>1.0</v>
      </c>
      <c r="F2857" s="161">
        <v>150000.0</v>
      </c>
      <c r="G2857" s="162">
        <f t="shared" si="40"/>
        <v>150000</v>
      </c>
      <c r="H2857" s="194"/>
      <c r="I2857" s="161">
        <f t="shared" si="41"/>
        <v>150000</v>
      </c>
      <c r="J2857" s="164">
        <f t="shared" si="42"/>
        <v>150000</v>
      </c>
      <c r="K2857" s="56" t="s">
        <v>10012</v>
      </c>
      <c r="L2857" s="165" t="s">
        <v>2999</v>
      </c>
      <c r="M2857" s="73"/>
      <c r="N2857" s="169" t="s">
        <v>10013</v>
      </c>
      <c r="O2857" s="169" t="s">
        <v>6923</v>
      </c>
      <c r="P2857" s="168" t="s">
        <v>3112</v>
      </c>
      <c r="Q2857" s="173"/>
      <c r="R2857" s="167">
        <v>150000.0</v>
      </c>
      <c r="S2857" s="173"/>
      <c r="T2857" s="173"/>
      <c r="U2857" s="173"/>
      <c r="V2857" s="202"/>
      <c r="W2857" s="171"/>
      <c r="X2857" s="171"/>
    </row>
    <row r="2858" ht="15.0" customHeight="1">
      <c r="A2858" s="127">
        <v>45983.0</v>
      </c>
      <c r="B2858" s="181" t="s">
        <v>10014</v>
      </c>
      <c r="C2858" s="56" t="s">
        <v>2712</v>
      </c>
      <c r="D2858" s="73" t="str">
        <f>IFERROR(VLOOKUP(C2858,Stock,3,FALSE),"")</f>
        <v>Mitsubishi L300</v>
      </c>
      <c r="E2858" s="56">
        <v>1.0</v>
      </c>
      <c r="F2858" s="161">
        <v>1030000.0</v>
      </c>
      <c r="G2858" s="162">
        <f t="shared" si="40"/>
        <v>1030000</v>
      </c>
      <c r="H2858" s="194"/>
      <c r="I2858" s="161">
        <f t="shared" si="41"/>
        <v>1030000</v>
      </c>
      <c r="J2858" s="164">
        <f t="shared" si="42"/>
        <v>1030000</v>
      </c>
      <c r="K2858" s="56" t="s">
        <v>10015</v>
      </c>
      <c r="L2858" s="165" t="s">
        <v>10016</v>
      </c>
      <c r="M2858" s="73"/>
      <c r="N2858" s="171"/>
      <c r="O2858" s="169" t="s">
        <v>6923</v>
      </c>
      <c r="P2858" s="168" t="s">
        <v>3112</v>
      </c>
      <c r="Q2858" s="167">
        <v>130000.0</v>
      </c>
      <c r="R2858" s="167">
        <v>900000.0</v>
      </c>
      <c r="S2858" s="173"/>
      <c r="T2858" s="173"/>
      <c r="U2858" s="173"/>
      <c r="V2858" s="202"/>
      <c r="W2858" s="171"/>
      <c r="X2858" s="171"/>
    </row>
    <row r="2859" ht="15.0" customHeight="1">
      <c r="A2859" s="127">
        <v>45984.0</v>
      </c>
      <c r="B2859" s="181" t="s">
        <v>10017</v>
      </c>
      <c r="C2859" s="475" t="s">
        <v>2826</v>
      </c>
      <c r="D2859" s="73" t="str">
        <f>IFERROR(VLOOKUP(C2859,Stock,3,FALSE),"")</f>
        <v>Toyota Kijang 02-04 Kapsul Lem Efi </v>
      </c>
      <c r="E2859" s="56">
        <v>1.0</v>
      </c>
      <c r="F2859" s="161">
        <v>915000.0</v>
      </c>
      <c r="G2859" s="162">
        <f t="shared" si="40"/>
        <v>915000</v>
      </c>
      <c r="H2859" s="194"/>
      <c r="I2859" s="161">
        <f t="shared" si="41"/>
        <v>915000</v>
      </c>
      <c r="J2859" s="164">
        <f t="shared" si="42"/>
        <v>915000</v>
      </c>
      <c r="K2859" s="56" t="s">
        <v>5752</v>
      </c>
      <c r="L2859" s="165" t="s">
        <v>10018</v>
      </c>
      <c r="M2859" s="73"/>
      <c r="N2859" s="171"/>
      <c r="O2859" s="169" t="s">
        <v>6923</v>
      </c>
      <c r="P2859" s="168" t="s">
        <v>3112</v>
      </c>
      <c r="Q2859" s="167">
        <v>915000.0</v>
      </c>
      <c r="S2859" s="173"/>
      <c r="T2859" s="173"/>
      <c r="U2859" s="173"/>
      <c r="V2859" s="202"/>
      <c r="W2859" s="171"/>
      <c r="X2859" s="171"/>
    </row>
    <row r="2860" ht="15.0" customHeight="1">
      <c r="A2860" s="127">
        <v>45985.0</v>
      </c>
      <c r="B2860" s="181" t="s">
        <v>10019</v>
      </c>
      <c r="C2860" s="56" t="s">
        <v>9614</v>
      </c>
      <c r="D2860" s="73" t="str">
        <f>IFERROR(VLOOKUP(C2860,Stock,3,FALSE),"")</f>
        <v>Nissan Quester / Cw445 Quon 05-</v>
      </c>
      <c r="E2860" s="56">
        <v>1.0</v>
      </c>
      <c r="F2860" s="161">
        <v>2850000.0</v>
      </c>
      <c r="G2860" s="162">
        <f t="shared" si="40"/>
        <v>2850000</v>
      </c>
      <c r="H2860" s="194"/>
      <c r="I2860" s="161">
        <f t="shared" si="41"/>
        <v>2850000</v>
      </c>
      <c r="J2860" s="164">
        <f t="shared" si="42"/>
        <v>2850000</v>
      </c>
      <c r="K2860" s="56" t="s">
        <v>10020</v>
      </c>
      <c r="L2860" s="165" t="s">
        <v>10021</v>
      </c>
      <c r="M2860" s="73"/>
      <c r="N2860" s="171"/>
      <c r="O2860" s="169" t="s">
        <v>6923</v>
      </c>
      <c r="P2860" s="168" t="s">
        <v>3112</v>
      </c>
      <c r="Q2860" s="173"/>
      <c r="R2860" s="167">
        <v>2850000.0</v>
      </c>
      <c r="S2860" s="173"/>
      <c r="T2860" s="173"/>
      <c r="U2860" s="173"/>
      <c r="V2860" s="202"/>
      <c r="W2860" s="171"/>
      <c r="X2860" s="171"/>
    </row>
    <row r="2861" ht="15.0" customHeight="1">
      <c r="A2861" s="127">
        <v>45985.0</v>
      </c>
      <c r="B2861" s="181" t="s">
        <v>10019</v>
      </c>
      <c r="C2861" s="56" t="s">
        <v>2934</v>
      </c>
      <c r="D2861" s="73" t="str">
        <f>IFERROR(VLOOKUP(C2861,Stock,3,FALSE),"")</f>
        <v>Peti Kayu</v>
      </c>
      <c r="E2861" s="56">
        <v>1.0</v>
      </c>
      <c r="F2861" s="161">
        <v>300000.0</v>
      </c>
      <c r="G2861" s="162">
        <f t="shared" si="40"/>
        <v>300000</v>
      </c>
      <c r="H2861" s="194"/>
      <c r="I2861" s="161">
        <f t="shared" si="41"/>
        <v>300000</v>
      </c>
      <c r="J2861" s="164">
        <f t="shared" si="42"/>
        <v>300000</v>
      </c>
      <c r="K2861" s="56" t="s">
        <v>10020</v>
      </c>
      <c r="L2861" s="165" t="s">
        <v>10021</v>
      </c>
      <c r="M2861" s="73"/>
      <c r="N2861" s="171"/>
      <c r="O2861" s="169" t="s">
        <v>6923</v>
      </c>
      <c r="P2861" s="168" t="s">
        <v>3112</v>
      </c>
      <c r="Q2861" s="173"/>
      <c r="R2861" s="167">
        <v>300000.0</v>
      </c>
      <c r="S2861" s="173"/>
      <c r="T2861" s="173"/>
      <c r="U2861" s="173"/>
      <c r="V2861" s="202"/>
      <c r="W2861" s="171"/>
      <c r="X2861" s="171"/>
    </row>
    <row r="2862" ht="15.0" customHeight="1">
      <c r="A2862" s="127">
        <v>45985.0</v>
      </c>
      <c r="B2862" s="181" t="s">
        <v>10019</v>
      </c>
      <c r="C2862" s="56" t="s">
        <v>2954</v>
      </c>
      <c r="D2862" s="73" t="str">
        <f>IFERROR(VLOOKUP(C2862,Stock,3,FALSE),"")</f>
        <v>Transport</v>
      </c>
      <c r="E2862" s="56">
        <v>1.0</v>
      </c>
      <c r="F2862" s="161">
        <v>100000.0</v>
      </c>
      <c r="G2862" s="162">
        <f t="shared" si="40"/>
        <v>100000</v>
      </c>
      <c r="H2862" s="194"/>
      <c r="I2862" s="161">
        <f t="shared" si="41"/>
        <v>100000</v>
      </c>
      <c r="J2862" s="164">
        <f t="shared" si="42"/>
        <v>100000</v>
      </c>
      <c r="K2862" s="56" t="s">
        <v>10020</v>
      </c>
      <c r="L2862" s="165" t="s">
        <v>10021</v>
      </c>
      <c r="M2862" s="73"/>
      <c r="N2862" s="171"/>
      <c r="O2862" s="169" t="s">
        <v>6923</v>
      </c>
      <c r="P2862" s="168" t="s">
        <v>3112</v>
      </c>
      <c r="Q2862" s="173"/>
      <c r="R2862" s="167">
        <v>100000.0</v>
      </c>
      <c r="S2862" s="173"/>
      <c r="T2862" s="173"/>
      <c r="U2862" s="173"/>
      <c r="V2862" s="202"/>
      <c r="W2862" s="171"/>
      <c r="X2862" s="171"/>
    </row>
    <row r="2863" ht="15.0" customHeight="1">
      <c r="A2863" s="127">
        <v>45985.0</v>
      </c>
      <c r="B2863" s="181" t="s">
        <v>10022</v>
      </c>
      <c r="C2863" s="56" t="s">
        <v>2843</v>
      </c>
      <c r="D2863" s="73" t="str">
        <f>IFERROR(VLOOKUP(C2863,Stock,3,FALSE),"")</f>
        <v>Honda Mobilio 14- / Honda BR-V 16-21</v>
      </c>
      <c r="E2863" s="56">
        <v>1.0</v>
      </c>
      <c r="F2863" s="161">
        <v>535000.0</v>
      </c>
      <c r="G2863" s="162">
        <f t="shared" si="40"/>
        <v>535000</v>
      </c>
      <c r="H2863" s="194"/>
      <c r="I2863" s="161">
        <f t="shared" si="41"/>
        <v>535000</v>
      </c>
      <c r="J2863" s="164">
        <f t="shared" si="42"/>
        <v>535000</v>
      </c>
      <c r="K2863" s="56" t="s">
        <v>10023</v>
      </c>
      <c r="L2863" s="165" t="s">
        <v>10024</v>
      </c>
      <c r="M2863" s="73"/>
      <c r="N2863" s="171"/>
      <c r="O2863" s="169" t="s">
        <v>6923</v>
      </c>
      <c r="P2863" s="168" t="s">
        <v>3112</v>
      </c>
      <c r="Q2863" s="167">
        <v>535000.0</v>
      </c>
      <c r="R2863" s="173"/>
      <c r="S2863" s="173"/>
      <c r="T2863" s="173"/>
      <c r="U2863" s="173"/>
      <c r="V2863" s="202"/>
      <c r="W2863" s="171"/>
      <c r="X2863" s="171"/>
    </row>
    <row r="2864" ht="15.0" customHeight="1">
      <c r="A2864" s="127">
        <v>45985.0</v>
      </c>
      <c r="B2864" s="181" t="s">
        <v>10025</v>
      </c>
      <c r="C2864" s="56" t="s">
        <v>2546</v>
      </c>
      <c r="D2864" s="73" t="str">
        <f>IFERROR(VLOOKUP(C2864,Stock,3,FALSE),"")</f>
        <v>Wuling Confero (Tanpa Spionnya)</v>
      </c>
      <c r="E2864" s="56">
        <v>1.0</v>
      </c>
      <c r="F2864" s="161">
        <v>1240000.0</v>
      </c>
      <c r="G2864" s="162">
        <f t="shared" si="40"/>
        <v>1240000</v>
      </c>
      <c r="H2864" s="194"/>
      <c r="I2864" s="161">
        <f t="shared" si="41"/>
        <v>1240000</v>
      </c>
      <c r="J2864" s="164">
        <f t="shared" si="42"/>
        <v>1240000</v>
      </c>
      <c r="K2864" s="56" t="s">
        <v>7691</v>
      </c>
      <c r="L2864" s="165" t="s">
        <v>9794</v>
      </c>
      <c r="M2864" s="73"/>
      <c r="N2864" s="171"/>
      <c r="O2864" s="169" t="s">
        <v>6923</v>
      </c>
      <c r="P2864" s="168" t="s">
        <v>3112</v>
      </c>
      <c r="Q2864" s="167">
        <v>1240000.0</v>
      </c>
      <c r="R2864" s="173"/>
      <c r="S2864" s="173"/>
      <c r="T2864" s="173"/>
      <c r="U2864" s="173"/>
      <c r="V2864" s="202"/>
      <c r="W2864" s="171"/>
      <c r="X2864" s="171"/>
    </row>
    <row r="2865" ht="15.0" customHeight="1">
      <c r="A2865" s="127">
        <v>45985.0</v>
      </c>
      <c r="B2865" s="181" t="s">
        <v>10026</v>
      </c>
      <c r="C2865" s="56" t="s">
        <v>3391</v>
      </c>
      <c r="D2865" s="73" t="str">
        <f>IFERROR(VLOOKUP(C2865,Stock,3,FALSE),"")</f>
        <v>Toyota Fortuner 05-15 1st Gen</v>
      </c>
      <c r="E2865" s="56">
        <v>1.0</v>
      </c>
      <c r="F2865" s="161">
        <v>1392000.0</v>
      </c>
      <c r="G2865" s="162">
        <f t="shared" si="40"/>
        <v>1392000</v>
      </c>
      <c r="H2865" s="194"/>
      <c r="I2865" s="161">
        <f t="shared" si="41"/>
        <v>1392000</v>
      </c>
      <c r="J2865" s="164">
        <f t="shared" si="42"/>
        <v>1392000</v>
      </c>
      <c r="K2865" s="56" t="s">
        <v>10027</v>
      </c>
      <c r="L2865" s="165" t="s">
        <v>10028</v>
      </c>
      <c r="M2865" s="73"/>
      <c r="N2865" s="171"/>
      <c r="O2865" s="169" t="s">
        <v>6923</v>
      </c>
      <c r="P2865" s="168" t="s">
        <v>3112</v>
      </c>
      <c r="Q2865" s="167">
        <v>1392000.0</v>
      </c>
      <c r="R2865" s="173"/>
      <c r="S2865" s="173"/>
      <c r="T2865" s="173"/>
      <c r="U2865" s="173"/>
      <c r="V2865" s="202"/>
      <c r="W2865" s="171"/>
      <c r="X2865" s="171"/>
    </row>
    <row r="2866" ht="15.0" customHeight="1">
      <c r="A2866" s="127">
        <v>45986.0</v>
      </c>
      <c r="B2866" s="181" t="s">
        <v>10029</v>
      </c>
      <c r="C2866" s="475" t="s">
        <v>8899</v>
      </c>
      <c r="D2866" s="73" t="str">
        <f>IFERROR(VLOOKUP(C2866,Stock,3,FALSE),"")</f>
        <v>Mazda MX-5/Miata/Roadster 2D NC 05-15</v>
      </c>
      <c r="E2866" s="56">
        <v>1.0</v>
      </c>
      <c r="F2866" s="161">
        <v>6099000.0</v>
      </c>
      <c r="G2866" s="162">
        <f t="shared" si="40"/>
        <v>6099000</v>
      </c>
      <c r="H2866" s="194"/>
      <c r="I2866" s="161">
        <f t="shared" si="41"/>
        <v>6099000</v>
      </c>
      <c r="J2866" s="164">
        <f t="shared" si="42"/>
        <v>6099000</v>
      </c>
      <c r="K2866" s="56" t="s">
        <v>10030</v>
      </c>
      <c r="L2866" s="165" t="s">
        <v>8901</v>
      </c>
      <c r="M2866" s="73"/>
      <c r="N2866" s="171"/>
      <c r="O2866" s="169" t="s">
        <v>10031</v>
      </c>
      <c r="P2866" s="168" t="s">
        <v>3112</v>
      </c>
      <c r="Q2866" s="173"/>
      <c r="R2866" s="167" t="s">
        <v>10032</v>
      </c>
      <c r="S2866" s="173"/>
      <c r="T2866" s="173"/>
      <c r="U2866" s="173"/>
      <c r="V2866" s="202"/>
      <c r="W2866" s="171"/>
      <c r="X2866" s="171"/>
    </row>
    <row r="2867" ht="15.0" customHeight="1">
      <c r="A2867" s="127">
        <v>45986.0</v>
      </c>
      <c r="B2867" s="181" t="s">
        <v>10033</v>
      </c>
      <c r="C2867" s="56" t="s">
        <v>5683</v>
      </c>
      <c r="D2867" s="73" t="str">
        <f>IFERROR(VLOOKUP(C2867,Stock,3,FALSE),"")</f>
        <v>Wuling Cortez</v>
      </c>
      <c r="E2867" s="56">
        <v>1.0</v>
      </c>
      <c r="F2867" s="161">
        <v>2099000.0</v>
      </c>
      <c r="G2867" s="162">
        <f t="shared" si="40"/>
        <v>2099000</v>
      </c>
      <c r="H2867" s="201">
        <v>300000.0</v>
      </c>
      <c r="I2867" s="161">
        <f t="shared" si="41"/>
        <v>1799000</v>
      </c>
      <c r="J2867" s="164">
        <f t="shared" si="42"/>
        <v>1799000</v>
      </c>
      <c r="K2867" s="56" t="s">
        <v>4593</v>
      </c>
      <c r="L2867" s="165" t="s">
        <v>10034</v>
      </c>
      <c r="M2867" s="73"/>
      <c r="N2867" s="169" t="s">
        <v>10035</v>
      </c>
      <c r="O2867" s="169" t="s">
        <v>6923</v>
      </c>
      <c r="P2867" s="168" t="s">
        <v>3112</v>
      </c>
      <c r="Q2867" s="173"/>
      <c r="R2867" s="167">
        <v>1799000.0</v>
      </c>
      <c r="S2867" s="173"/>
      <c r="T2867" s="173"/>
      <c r="U2867" s="173"/>
      <c r="V2867" s="202"/>
      <c r="W2867" s="171"/>
      <c r="X2867" s="171"/>
    </row>
    <row r="2868" ht="15.0" customHeight="1">
      <c r="A2868" s="127">
        <v>45986.0</v>
      </c>
      <c r="B2868" s="181" t="s">
        <v>10036</v>
      </c>
      <c r="C2868" s="56" t="s">
        <v>6549</v>
      </c>
      <c r="D2868" s="73" t="str">
        <f>IFERROR(VLOOKUP(C2868,Stock,3,FALSE),"")</f>
        <v>Honda Mobilio 14-</v>
      </c>
      <c r="E2868" s="56">
        <v>1.0</v>
      </c>
      <c r="F2868" s="161">
        <v>1201000.0</v>
      </c>
      <c r="G2868" s="162">
        <f t="shared" si="40"/>
        <v>1201000</v>
      </c>
      <c r="H2868" s="194"/>
      <c r="I2868" s="161">
        <f t="shared" si="41"/>
        <v>1201000</v>
      </c>
      <c r="J2868" s="164">
        <f t="shared" si="42"/>
        <v>1201000</v>
      </c>
      <c r="K2868" s="56" t="s">
        <v>10037</v>
      </c>
      <c r="L2868" s="165" t="s">
        <v>10038</v>
      </c>
      <c r="M2868" s="73"/>
      <c r="N2868" s="169" t="s">
        <v>10039</v>
      </c>
      <c r="O2868" s="169" t="s">
        <v>6923</v>
      </c>
      <c r="P2868" s="168" t="s">
        <v>3112</v>
      </c>
      <c r="Q2868" s="167">
        <v>151000.0</v>
      </c>
      <c r="R2868" s="167">
        <v>1050000.0</v>
      </c>
      <c r="S2868" s="173"/>
      <c r="T2868" s="173"/>
      <c r="U2868" s="173"/>
      <c r="V2868" s="202"/>
      <c r="W2868" s="171"/>
      <c r="X2868" s="171"/>
    </row>
    <row r="2869" ht="15.0" customHeight="1">
      <c r="A2869" s="127">
        <v>45987.0</v>
      </c>
      <c r="B2869" s="181" t="s">
        <v>10040</v>
      </c>
      <c r="C2869" s="56" t="s">
        <v>10041</v>
      </c>
      <c r="D2869" s="73" t="str">
        <f>IFERROR(VLOOKUP(C2869,Stock,3,FALSE),"")</f>
        <v>Honda HR-V 14-21 5D SUV (Honda)</v>
      </c>
      <c r="E2869" s="56">
        <v>1.0</v>
      </c>
      <c r="F2869" s="161">
        <v>2600000.0</v>
      </c>
      <c r="G2869" s="162">
        <f t="shared" si="40"/>
        <v>2600000</v>
      </c>
      <c r="H2869" s="194"/>
      <c r="I2869" s="161">
        <f t="shared" si="41"/>
        <v>2600000</v>
      </c>
      <c r="J2869" s="164">
        <f t="shared" si="42"/>
        <v>2600000</v>
      </c>
      <c r="K2869" s="56" t="s">
        <v>10042</v>
      </c>
      <c r="L2869" s="165" t="s">
        <v>10043</v>
      </c>
      <c r="M2869" s="73"/>
      <c r="N2869" s="289" t="s">
        <v>10044</v>
      </c>
      <c r="O2869" s="169" t="s">
        <v>6923</v>
      </c>
      <c r="P2869" s="168" t="s">
        <v>3112</v>
      </c>
      <c r="Q2869" s="173"/>
      <c r="R2869" s="173"/>
      <c r="S2869" s="173"/>
      <c r="T2869" s="173"/>
      <c r="U2869" s="173"/>
      <c r="V2869" s="202"/>
      <c r="W2869" s="171"/>
      <c r="X2869" s="171"/>
    </row>
    <row r="2870" ht="15.0" customHeight="1">
      <c r="A2870" s="127">
        <v>45987.0</v>
      </c>
      <c r="B2870" s="181" t="s">
        <v>10045</v>
      </c>
      <c r="C2870" s="56" t="s">
        <v>2954</v>
      </c>
      <c r="D2870" s="73" t="str">
        <f>IFERROR(VLOOKUP(C2870,Stock,3,FALSE),"")</f>
        <v>Transport</v>
      </c>
      <c r="E2870" s="56">
        <v>1.0</v>
      </c>
      <c r="F2870" s="161">
        <v>75000.0</v>
      </c>
      <c r="G2870" s="162">
        <f t="shared" si="40"/>
        <v>75000</v>
      </c>
      <c r="H2870" s="194"/>
      <c r="I2870" s="161">
        <f t="shared" si="41"/>
        <v>75000</v>
      </c>
      <c r="J2870" s="164">
        <f t="shared" si="42"/>
        <v>75000</v>
      </c>
      <c r="K2870" s="56" t="s">
        <v>9999</v>
      </c>
      <c r="L2870" s="165" t="s">
        <v>10000</v>
      </c>
      <c r="M2870" s="73"/>
      <c r="N2870" s="171"/>
      <c r="O2870" s="169" t="s">
        <v>6923</v>
      </c>
      <c r="P2870" s="168" t="s">
        <v>3112</v>
      </c>
      <c r="Q2870" s="173"/>
      <c r="R2870" s="167">
        <v>75000.0</v>
      </c>
      <c r="S2870" s="173"/>
      <c r="T2870" s="173"/>
      <c r="U2870" s="173"/>
      <c r="V2870" s="202"/>
      <c r="W2870" s="171"/>
      <c r="X2870" s="171"/>
    </row>
    <row r="2871" ht="15.0" customHeight="1">
      <c r="A2871" s="127">
        <v>45988.0</v>
      </c>
      <c r="B2871" s="181" t="s">
        <v>10046</v>
      </c>
      <c r="C2871" s="56" t="s">
        <v>2555</v>
      </c>
      <c r="D2871" s="73" t="str">
        <f>IFERROR(VLOOKUP(C2871,Stock,3,FALSE),"")</f>
        <v>Toyota Fortuner 15-  2nd Gen (Toyota)</v>
      </c>
      <c r="E2871" s="56">
        <v>1.0</v>
      </c>
      <c r="F2871" s="161">
        <v>2998000.0</v>
      </c>
      <c r="G2871" s="162">
        <f t="shared" si="40"/>
        <v>2998000</v>
      </c>
      <c r="H2871" s="194"/>
      <c r="I2871" s="161">
        <f t="shared" si="41"/>
        <v>2998000</v>
      </c>
      <c r="J2871" s="164">
        <f t="shared" si="42"/>
        <v>2998000</v>
      </c>
      <c r="K2871" s="56" t="s">
        <v>10047</v>
      </c>
      <c r="L2871" s="165" t="s">
        <v>10048</v>
      </c>
      <c r="M2871" s="73"/>
      <c r="N2871" s="171"/>
      <c r="O2871" s="169" t="s">
        <v>2968</v>
      </c>
      <c r="P2871" s="168" t="s">
        <v>3112</v>
      </c>
      <c r="Q2871" s="173"/>
      <c r="R2871" s="167">
        <v>2998000.0</v>
      </c>
      <c r="S2871" s="173"/>
      <c r="T2871" s="173"/>
      <c r="U2871" s="173"/>
      <c r="V2871" s="202"/>
      <c r="W2871" s="171"/>
      <c r="X2871" s="171"/>
    </row>
    <row r="2872" ht="15.0" customHeight="1">
      <c r="A2872" s="127">
        <v>45988.0</v>
      </c>
      <c r="B2872" s="181" t="s">
        <v>10046</v>
      </c>
      <c r="C2872" s="56" t="s">
        <v>2954</v>
      </c>
      <c r="D2872" s="73" t="str">
        <f>IFERROR(VLOOKUP(C2872,Stock,3,FALSE),"")</f>
        <v>Transport</v>
      </c>
      <c r="E2872" s="56">
        <v>1.0</v>
      </c>
      <c r="F2872" s="161">
        <v>650000.0</v>
      </c>
      <c r="G2872" s="162">
        <f t="shared" si="40"/>
        <v>650000</v>
      </c>
      <c r="H2872" s="194"/>
      <c r="I2872" s="161">
        <f t="shared" si="41"/>
        <v>650000</v>
      </c>
      <c r="J2872" s="164">
        <f t="shared" si="42"/>
        <v>650000</v>
      </c>
      <c r="K2872" s="56" t="s">
        <v>10047</v>
      </c>
      <c r="L2872" s="165" t="s">
        <v>10048</v>
      </c>
      <c r="M2872" s="73"/>
      <c r="N2872" s="171"/>
      <c r="O2872" s="169" t="s">
        <v>2968</v>
      </c>
      <c r="P2872" s="168" t="s">
        <v>3112</v>
      </c>
      <c r="Q2872" s="173"/>
      <c r="R2872" s="167">
        <v>650000.0</v>
      </c>
      <c r="S2872" s="173"/>
      <c r="T2872" s="173"/>
      <c r="U2872" s="173"/>
      <c r="V2872" s="202"/>
      <c r="W2872" s="171"/>
      <c r="X2872" s="171"/>
    </row>
    <row r="2873" ht="15.0" customHeight="1">
      <c r="A2873" s="127">
        <v>45988.0</v>
      </c>
      <c r="B2873" s="181" t="s">
        <v>10049</v>
      </c>
      <c r="C2873" s="484" t="s">
        <v>3745</v>
      </c>
      <c r="D2873" s="73" t="str">
        <f>IFERROR(VLOOKUP(C2873,Stock,3,FALSE),"")</f>
        <v>Honda Brio 10- / Mobilio 11-</v>
      </c>
      <c r="E2873" s="56">
        <v>1.0</v>
      </c>
      <c r="F2873" s="161">
        <v>1722000.0</v>
      </c>
      <c r="G2873" s="162">
        <f t="shared" si="40"/>
        <v>1722000</v>
      </c>
      <c r="H2873" s="194"/>
      <c r="I2873" s="161">
        <f t="shared" si="41"/>
        <v>1722000</v>
      </c>
      <c r="J2873" s="164">
        <f t="shared" si="42"/>
        <v>1722000</v>
      </c>
      <c r="K2873" s="56" t="s">
        <v>10050</v>
      </c>
      <c r="L2873" s="165" t="s">
        <v>10051</v>
      </c>
      <c r="M2873" s="73"/>
      <c r="N2873" s="169" t="s">
        <v>10052</v>
      </c>
      <c r="O2873" s="169" t="s">
        <v>6923</v>
      </c>
      <c r="P2873" s="168" t="s">
        <v>3112</v>
      </c>
      <c r="Q2873" s="173"/>
      <c r="R2873" s="167">
        <v>1722000.0</v>
      </c>
      <c r="S2873" s="173"/>
      <c r="T2873" s="173"/>
      <c r="U2873" s="173"/>
      <c r="V2873" s="202"/>
      <c r="W2873" s="171"/>
      <c r="X2873" s="171"/>
    </row>
    <row r="2874" ht="15.0" customHeight="1">
      <c r="A2874" s="127">
        <v>45988.0</v>
      </c>
      <c r="B2874" s="181" t="s">
        <v>10053</v>
      </c>
      <c r="C2874" s="56" t="s">
        <v>2555</v>
      </c>
      <c r="D2874" s="73" t="str">
        <f>IFERROR(VLOOKUP(C2874,Stock,3,FALSE),"")</f>
        <v>Toyota Fortuner 15-  2nd Gen (Toyota)</v>
      </c>
      <c r="E2874" s="56">
        <v>1.0</v>
      </c>
      <c r="F2874" s="161">
        <v>2998000.0</v>
      </c>
      <c r="G2874" s="162">
        <f t="shared" si="40"/>
        <v>2998000</v>
      </c>
      <c r="H2874" s="194"/>
      <c r="I2874" s="161">
        <f t="shared" si="41"/>
        <v>2998000</v>
      </c>
      <c r="J2874" s="164">
        <f t="shared" si="42"/>
        <v>2998000</v>
      </c>
      <c r="K2874" s="56" t="s">
        <v>5604</v>
      </c>
      <c r="L2874" s="165" t="s">
        <v>10054</v>
      </c>
      <c r="M2874" s="73"/>
      <c r="N2874" s="169" t="s">
        <v>10055</v>
      </c>
      <c r="O2874" s="169" t="s">
        <v>6923</v>
      </c>
      <c r="P2874" s="168" t="s">
        <v>3112</v>
      </c>
      <c r="Q2874" s="173"/>
      <c r="R2874" s="167">
        <v>2998000.0</v>
      </c>
      <c r="S2874" s="173"/>
      <c r="T2874" s="173"/>
      <c r="U2874" s="173"/>
      <c r="V2874" s="202"/>
      <c r="W2874" s="171"/>
      <c r="X2874" s="171"/>
    </row>
    <row r="2875" ht="15.0" customHeight="1">
      <c r="A2875" s="127">
        <v>45989.0</v>
      </c>
      <c r="B2875" s="181" t="s">
        <v>10056</v>
      </c>
      <c r="C2875" s="475" t="s">
        <v>2857</v>
      </c>
      <c r="D2875" s="73" t="str">
        <f>IFERROR(VLOOKUP(C2875,Stock,3,FALSE),"")</f>
        <v>Toyota Fortuner 15-  2nd Gen / Toyota Hilux Pickup 15- (Revo)</v>
      </c>
      <c r="E2875" s="56">
        <v>1.0</v>
      </c>
      <c r="F2875" s="161">
        <v>500000.0</v>
      </c>
      <c r="G2875" s="162">
        <f t="shared" si="40"/>
        <v>500000</v>
      </c>
      <c r="H2875" s="194"/>
      <c r="I2875" s="161">
        <f t="shared" si="41"/>
        <v>500000</v>
      </c>
      <c r="J2875" s="164">
        <f t="shared" si="42"/>
        <v>500000</v>
      </c>
      <c r="K2875" s="56" t="s">
        <v>7431</v>
      </c>
      <c r="L2875" s="165" t="s">
        <v>10057</v>
      </c>
      <c r="M2875" s="73"/>
      <c r="N2875" s="171"/>
      <c r="O2875" s="169" t="s">
        <v>6923</v>
      </c>
      <c r="P2875" s="168" t="s">
        <v>3112</v>
      </c>
      <c r="Q2875" s="173"/>
      <c r="R2875" s="167">
        <v>500000.0</v>
      </c>
      <c r="S2875" s="173"/>
      <c r="T2875" s="173"/>
      <c r="U2875" s="173"/>
      <c r="V2875" s="202"/>
      <c r="W2875" s="171"/>
      <c r="X2875" s="171"/>
    </row>
    <row r="2876" ht="15.0" customHeight="1">
      <c r="A2876" s="127">
        <v>45989.0</v>
      </c>
      <c r="B2876" s="181" t="s">
        <v>10056</v>
      </c>
      <c r="C2876" s="475" t="s">
        <v>4546</v>
      </c>
      <c r="D2876" s="73" t="str">
        <f>IFERROR(VLOOKUP(C2876,Stock,3,FALSE),"")</f>
        <v>Toyota Hilux Pickup 15- (Revo)</v>
      </c>
      <c r="E2876" s="56">
        <v>1.0</v>
      </c>
      <c r="F2876" s="161">
        <v>560000.0</v>
      </c>
      <c r="G2876" s="162">
        <f t="shared" si="40"/>
        <v>560000</v>
      </c>
      <c r="H2876" s="194"/>
      <c r="I2876" s="161">
        <f t="shared" si="41"/>
        <v>560000</v>
      </c>
      <c r="J2876" s="164">
        <f t="shared" si="42"/>
        <v>560000</v>
      </c>
      <c r="K2876" s="56" t="s">
        <v>7431</v>
      </c>
      <c r="L2876" s="165" t="s">
        <v>10057</v>
      </c>
      <c r="M2876" s="73"/>
      <c r="N2876" s="171"/>
      <c r="O2876" s="169" t="s">
        <v>6923</v>
      </c>
      <c r="P2876" s="168" t="s">
        <v>3112</v>
      </c>
      <c r="Q2876" s="173"/>
      <c r="R2876" s="167">
        <v>560000.0</v>
      </c>
      <c r="S2876" s="173"/>
      <c r="T2876" s="173"/>
      <c r="U2876" s="173"/>
      <c r="V2876" s="202"/>
      <c r="W2876" s="171"/>
      <c r="X2876" s="171"/>
    </row>
    <row r="2877" ht="15.0" customHeight="1">
      <c r="A2877" s="127">
        <v>45989.0</v>
      </c>
      <c r="B2877" s="181" t="s">
        <v>10058</v>
      </c>
      <c r="C2877" s="56" t="s">
        <v>10059</v>
      </c>
      <c r="D2877" s="73" t="str">
        <f>IFERROR(VLOOKUP(C2877,Stock,3,FALSE),"")</f>
        <v>Suzuki Baleno 15-21</v>
      </c>
      <c r="E2877" s="56">
        <v>1.0</v>
      </c>
      <c r="F2877" s="161">
        <v>1364000.0</v>
      </c>
      <c r="G2877" s="162">
        <f t="shared" si="40"/>
        <v>1364000</v>
      </c>
      <c r="H2877" s="194"/>
      <c r="I2877" s="161">
        <f t="shared" si="41"/>
        <v>1364000</v>
      </c>
      <c r="J2877" s="164">
        <f t="shared" si="42"/>
        <v>1364000</v>
      </c>
      <c r="K2877" s="56" t="s">
        <v>10060</v>
      </c>
      <c r="L2877" s="165" t="s">
        <v>10061</v>
      </c>
      <c r="M2877" s="73"/>
      <c r="N2877" s="171"/>
      <c r="O2877" s="169" t="s">
        <v>3204</v>
      </c>
      <c r="P2877" s="168" t="s">
        <v>3112</v>
      </c>
      <c r="Q2877" s="173"/>
      <c r="R2877" s="167">
        <v>1364000.0</v>
      </c>
      <c r="S2877" s="173"/>
      <c r="T2877" s="173"/>
      <c r="U2877" s="173"/>
      <c r="V2877" s="202"/>
      <c r="W2877" s="171"/>
      <c r="X2877" s="171"/>
    </row>
    <row r="2878" ht="15.0" customHeight="1">
      <c r="A2878" s="127">
        <v>45989.0</v>
      </c>
      <c r="B2878" s="181" t="s">
        <v>10058</v>
      </c>
      <c r="C2878" s="56" t="s">
        <v>2954</v>
      </c>
      <c r="D2878" s="73" t="str">
        <f>IFERROR(VLOOKUP(C2878,Stock,3,FALSE),"")</f>
        <v>Transport</v>
      </c>
      <c r="E2878" s="56">
        <v>1.0</v>
      </c>
      <c r="F2878" s="161">
        <v>100000.0</v>
      </c>
      <c r="G2878" s="162">
        <f t="shared" si="40"/>
        <v>100000</v>
      </c>
      <c r="H2878" s="194"/>
      <c r="I2878" s="161">
        <f t="shared" si="41"/>
        <v>100000</v>
      </c>
      <c r="J2878" s="164">
        <f t="shared" si="42"/>
        <v>100000</v>
      </c>
      <c r="K2878" s="56" t="s">
        <v>10060</v>
      </c>
      <c r="L2878" s="165" t="s">
        <v>10061</v>
      </c>
      <c r="M2878" s="73"/>
      <c r="N2878" s="171"/>
      <c r="O2878" s="169" t="s">
        <v>3204</v>
      </c>
      <c r="P2878" s="168" t="s">
        <v>3112</v>
      </c>
      <c r="Q2878" s="173"/>
      <c r="R2878" s="167">
        <v>100000.0</v>
      </c>
      <c r="S2878" s="173"/>
      <c r="T2878" s="173"/>
      <c r="U2878" s="173"/>
      <c r="V2878" s="202"/>
      <c r="W2878" s="171"/>
      <c r="X2878" s="171"/>
    </row>
    <row r="2879" ht="15.0" customHeight="1">
      <c r="A2879" s="127">
        <v>45989.0</v>
      </c>
      <c r="B2879" s="181" t="s">
        <v>10062</v>
      </c>
      <c r="C2879" s="56" t="s">
        <v>8738</v>
      </c>
      <c r="D2879" s="73" t="str">
        <f>IFERROR(VLOOKUP(C2879,Stock,3,FALSE),"")</f>
        <v>Honda Mobilio 14- (Honda)</v>
      </c>
      <c r="E2879" s="56">
        <v>1.0</v>
      </c>
      <c r="F2879" s="161">
        <v>1889000.0</v>
      </c>
      <c r="G2879" s="162">
        <f t="shared" si="40"/>
        <v>1889000</v>
      </c>
      <c r="H2879" s="194"/>
      <c r="I2879" s="161">
        <f t="shared" si="41"/>
        <v>1889000</v>
      </c>
      <c r="J2879" s="164">
        <f t="shared" si="42"/>
        <v>1889000</v>
      </c>
      <c r="K2879" s="56" t="s">
        <v>8875</v>
      </c>
      <c r="L2879" s="165" t="s">
        <v>10063</v>
      </c>
      <c r="M2879" s="73"/>
      <c r="N2879" s="171"/>
      <c r="O2879" s="169" t="s">
        <v>6923</v>
      </c>
      <c r="P2879" s="168" t="s">
        <v>3112</v>
      </c>
      <c r="Q2879" s="167">
        <v>1889000.0</v>
      </c>
      <c r="R2879" s="173"/>
      <c r="S2879" s="173"/>
      <c r="T2879" s="173"/>
      <c r="U2879" s="173"/>
      <c r="V2879" s="202"/>
      <c r="W2879" s="171"/>
      <c r="X2879" s="171"/>
    </row>
    <row r="2880" ht="15.0" customHeight="1">
      <c r="A2880" s="127">
        <v>45989.0</v>
      </c>
      <c r="B2880" s="181" t="s">
        <v>10064</v>
      </c>
      <c r="C2880" s="484" t="s">
        <v>2936</v>
      </c>
      <c r="D2880" s="73" t="str">
        <f>IFERROR(VLOOKUP(C2880,Stock,3,FALSE),"")</f>
        <v>Toyota Calya / Sigra 16-</v>
      </c>
      <c r="E2880" s="56">
        <v>1.0</v>
      </c>
      <c r="F2880" s="161">
        <v>900000.0</v>
      </c>
      <c r="G2880" s="162">
        <f t="shared" si="40"/>
        <v>900000</v>
      </c>
      <c r="H2880" s="194"/>
      <c r="I2880" s="161">
        <f t="shared" si="41"/>
        <v>900000</v>
      </c>
      <c r="J2880" s="164">
        <f t="shared" si="42"/>
        <v>900000</v>
      </c>
      <c r="K2880" s="56" t="s">
        <v>10065</v>
      </c>
      <c r="L2880" s="165" t="s">
        <v>10066</v>
      </c>
      <c r="M2880" s="73"/>
      <c r="N2880" s="171"/>
      <c r="O2880" s="169" t="s">
        <v>6923</v>
      </c>
      <c r="P2880" s="168" t="s">
        <v>3112</v>
      </c>
      <c r="Q2880" s="173"/>
      <c r="R2880" s="167">
        <v>900000.0</v>
      </c>
      <c r="S2880" s="173"/>
      <c r="T2880" s="173"/>
      <c r="U2880" s="173"/>
      <c r="V2880" s="202"/>
      <c r="W2880" s="171"/>
      <c r="X2880" s="171"/>
    </row>
    <row r="2881" ht="15.0" customHeight="1">
      <c r="A2881" s="127">
        <v>45989.0</v>
      </c>
      <c r="B2881" s="181" t="s">
        <v>10067</v>
      </c>
      <c r="C2881" s="56" t="s">
        <v>10068</v>
      </c>
      <c r="D2881" s="73" t="str">
        <f>IFERROR(VLOOKUP(C2881,Stock,3,FALSE),"")</f>
        <v>Toyota Starlet KP80 89-95</v>
      </c>
      <c r="E2881" s="56">
        <v>1.0</v>
      </c>
      <c r="F2881" s="161">
        <v>1155000.0</v>
      </c>
      <c r="G2881" s="162">
        <f t="shared" si="40"/>
        <v>1155000</v>
      </c>
      <c r="H2881" s="194"/>
      <c r="I2881" s="161">
        <f t="shared" si="41"/>
        <v>1155000</v>
      </c>
      <c r="J2881" s="164">
        <f t="shared" si="42"/>
        <v>1155000</v>
      </c>
      <c r="K2881" s="56" t="s">
        <v>9624</v>
      </c>
      <c r="L2881" s="165" t="s">
        <v>10069</v>
      </c>
      <c r="M2881" s="73"/>
      <c r="N2881" s="171"/>
      <c r="O2881" s="169" t="s">
        <v>3500</v>
      </c>
      <c r="P2881" s="168" t="s">
        <v>3112</v>
      </c>
      <c r="Q2881" s="173"/>
      <c r="R2881" s="167">
        <v>1155000.0</v>
      </c>
      <c r="S2881" s="173"/>
      <c r="T2881" s="173"/>
      <c r="U2881" s="173"/>
      <c r="V2881" s="202"/>
      <c r="W2881" s="171"/>
      <c r="X2881" s="171"/>
    </row>
    <row r="2882" ht="15.0" customHeight="1">
      <c r="A2882" s="127">
        <v>45989.0</v>
      </c>
      <c r="B2882" s="181" t="s">
        <v>10070</v>
      </c>
      <c r="C2882" s="56" t="s">
        <v>2676</v>
      </c>
      <c r="D2882" s="73" t="str">
        <f>IFERROR(VLOOKUP(C2882,Stock,3,FALSE),"")</f>
        <v>Nissan X-Trail 07-13 T31</v>
      </c>
      <c r="E2882" s="56">
        <v>1.0</v>
      </c>
      <c r="F2882" s="161">
        <v>1728000.0</v>
      </c>
      <c r="G2882" s="162">
        <f t="shared" si="40"/>
        <v>1728000</v>
      </c>
      <c r="H2882" s="194"/>
      <c r="I2882" s="161">
        <f t="shared" si="41"/>
        <v>1728000</v>
      </c>
      <c r="J2882" s="164">
        <f t="shared" si="42"/>
        <v>1728000</v>
      </c>
      <c r="K2882" s="56" t="s">
        <v>10071</v>
      </c>
      <c r="L2882" s="56" t="s">
        <v>10072</v>
      </c>
      <c r="M2882" s="73"/>
      <c r="N2882" s="171"/>
      <c r="O2882" s="169" t="s">
        <v>6923</v>
      </c>
      <c r="P2882" s="168" t="s">
        <v>3112</v>
      </c>
      <c r="Q2882" s="173"/>
      <c r="R2882" s="167">
        <v>1728000.0</v>
      </c>
      <c r="S2882" s="173"/>
      <c r="T2882" s="173"/>
      <c r="U2882" s="173"/>
      <c r="V2882" s="202"/>
      <c r="W2882" s="171"/>
      <c r="X2882" s="171"/>
    </row>
    <row r="2883" ht="15.0" customHeight="1">
      <c r="A2883" s="127">
        <v>45990.0</v>
      </c>
      <c r="B2883" s="181" t="s">
        <v>10073</v>
      </c>
      <c r="C2883" s="56" t="s">
        <v>3360</v>
      </c>
      <c r="D2883" s="73" t="str">
        <f>IFERROR(VLOOKUP(C2883,Stock,3,FALSE),"")</f>
        <v>Mitsubishi Xpander 17-</v>
      </c>
      <c r="E2883" s="56">
        <v>1.0</v>
      </c>
      <c r="F2883" s="161">
        <v>1600000.0</v>
      </c>
      <c r="G2883" s="162">
        <f t="shared" si="40"/>
        <v>1600000</v>
      </c>
      <c r="H2883" s="194"/>
      <c r="I2883" s="161">
        <f t="shared" si="41"/>
        <v>1600000</v>
      </c>
      <c r="J2883" s="164">
        <f t="shared" si="42"/>
        <v>1600000</v>
      </c>
      <c r="K2883" s="56" t="s">
        <v>10074</v>
      </c>
      <c r="L2883" s="73"/>
      <c r="M2883" s="73"/>
      <c r="N2883" s="171"/>
      <c r="O2883" s="169" t="s">
        <v>3500</v>
      </c>
      <c r="P2883" s="169" t="s">
        <v>8771</v>
      </c>
      <c r="Q2883" s="173"/>
      <c r="R2883" s="167">
        <v>1600000.0</v>
      </c>
      <c r="S2883" s="173"/>
      <c r="T2883" s="173"/>
      <c r="U2883" s="173"/>
      <c r="V2883" s="202"/>
      <c r="W2883" s="171"/>
      <c r="X2883" s="171"/>
    </row>
    <row r="2884" ht="15.0" customHeight="1">
      <c r="A2884" s="127">
        <v>45990.0</v>
      </c>
      <c r="B2884" s="181" t="s">
        <v>10075</v>
      </c>
      <c r="C2884" s="484" t="s">
        <v>2559</v>
      </c>
      <c r="D2884" s="73" t="str">
        <f>IFERROR(VLOOKUP(C2884,Stock,3,FALSE),"")</f>
        <v>Toyota Kijang 98- Kapsul Karet</v>
      </c>
      <c r="E2884" s="56">
        <v>1.0</v>
      </c>
      <c r="F2884" s="161">
        <v>1478000.0</v>
      </c>
      <c r="G2884" s="162">
        <f t="shared" si="40"/>
        <v>1478000</v>
      </c>
      <c r="H2884" s="194"/>
      <c r="I2884" s="161">
        <f t="shared" si="41"/>
        <v>1478000</v>
      </c>
      <c r="J2884" s="164">
        <f t="shared" si="42"/>
        <v>1478000</v>
      </c>
      <c r="K2884" s="56" t="s">
        <v>10076</v>
      </c>
      <c r="L2884" s="165" t="s">
        <v>10077</v>
      </c>
      <c r="M2884" s="73"/>
      <c r="N2884" s="171"/>
      <c r="O2884" s="169" t="s">
        <v>6923</v>
      </c>
      <c r="P2884" s="168" t="s">
        <v>3112</v>
      </c>
      <c r="Q2884" s="173"/>
      <c r="R2884" s="167">
        <v>1478000.0</v>
      </c>
      <c r="S2884" s="173"/>
      <c r="T2884" s="173"/>
      <c r="U2884" s="173"/>
      <c r="V2884" s="202"/>
      <c r="W2884" s="171"/>
      <c r="X2884" s="171"/>
    </row>
    <row r="2885" ht="15.0" customHeight="1">
      <c r="A2885" s="452">
        <v>45990.0</v>
      </c>
      <c r="B2885" s="453" t="s">
        <v>10078</v>
      </c>
      <c r="C2885" s="454" t="s">
        <v>2723</v>
      </c>
      <c r="D2885" s="455" t="str">
        <f>IFERROR(VLOOKUP(C2885,Stock,3,FALSE),"")</f>
        <v>Suzuki Carry New 19-</v>
      </c>
      <c r="E2885" s="454">
        <v>1.0</v>
      </c>
      <c r="F2885" s="456">
        <v>1200000.0</v>
      </c>
      <c r="G2885" s="457">
        <f t="shared" si="40"/>
        <v>1200000</v>
      </c>
      <c r="H2885" s="458"/>
      <c r="I2885" s="456">
        <f t="shared" si="41"/>
        <v>1200000</v>
      </c>
      <c r="J2885" s="459">
        <f t="shared" si="42"/>
        <v>1200000</v>
      </c>
      <c r="K2885" s="454" t="s">
        <v>9093</v>
      </c>
      <c r="L2885" s="460" t="s">
        <v>9094</v>
      </c>
      <c r="M2885" s="455"/>
      <c r="N2885" s="422"/>
      <c r="O2885" s="317" t="s">
        <v>6923</v>
      </c>
      <c r="P2885" s="461" t="s">
        <v>3112</v>
      </c>
      <c r="Q2885" s="462"/>
      <c r="R2885" s="463">
        <v>200000.0</v>
      </c>
      <c r="S2885" s="462"/>
      <c r="T2885" s="462"/>
      <c r="U2885" s="173"/>
      <c r="V2885" s="202"/>
      <c r="W2885" s="171"/>
      <c r="X2885" s="171"/>
    </row>
    <row r="2886" ht="15.0" customHeight="1">
      <c r="A2886" s="452">
        <v>45990.0</v>
      </c>
      <c r="B2886" s="453" t="s">
        <v>10078</v>
      </c>
      <c r="C2886" s="454" t="s">
        <v>2954</v>
      </c>
      <c r="D2886" s="455" t="str">
        <f>IFERROR(VLOOKUP(C2886,Stock,3,FALSE),"")</f>
        <v>Transport</v>
      </c>
      <c r="E2886" s="454">
        <v>1.0</v>
      </c>
      <c r="F2886" s="456">
        <v>50000.0</v>
      </c>
      <c r="G2886" s="457">
        <f t="shared" si="40"/>
        <v>50000</v>
      </c>
      <c r="H2886" s="458"/>
      <c r="I2886" s="456">
        <f t="shared" si="41"/>
        <v>50000</v>
      </c>
      <c r="J2886" s="459">
        <f t="shared" si="42"/>
        <v>50000</v>
      </c>
      <c r="K2886" s="454" t="s">
        <v>9093</v>
      </c>
      <c r="L2886" s="460" t="s">
        <v>9094</v>
      </c>
      <c r="M2886" s="455"/>
      <c r="N2886" s="422"/>
      <c r="O2886" s="317" t="s">
        <v>6923</v>
      </c>
      <c r="P2886" s="461" t="s">
        <v>3112</v>
      </c>
      <c r="Q2886" s="462"/>
      <c r="R2886" s="463"/>
      <c r="S2886" s="462"/>
      <c r="T2886" s="462"/>
      <c r="U2886" s="173"/>
      <c r="V2886" s="202"/>
      <c r="W2886" s="171"/>
      <c r="X2886" s="171"/>
    </row>
    <row r="2887" ht="15.0" customHeight="1">
      <c r="A2887" s="127">
        <v>45990.0</v>
      </c>
      <c r="B2887" s="181" t="s">
        <v>10079</v>
      </c>
      <c r="C2887" s="56" t="s">
        <v>3273</v>
      </c>
      <c r="D2887" s="73" t="str">
        <f>IFERROR(VLOOKUP(C2887,Stock,3,FALSE),"")</f>
        <v>Pemasangan Kaca Mobil Belakang</v>
      </c>
      <c r="E2887" s="56">
        <v>1.0</v>
      </c>
      <c r="F2887" s="161">
        <v>600000.0</v>
      </c>
      <c r="G2887" s="162">
        <f t="shared" si="40"/>
        <v>600000</v>
      </c>
      <c r="H2887" s="194"/>
      <c r="I2887" s="161">
        <f t="shared" si="41"/>
        <v>600000</v>
      </c>
      <c r="J2887" s="164">
        <f t="shared" si="42"/>
        <v>600000</v>
      </c>
      <c r="K2887" s="56" t="s">
        <v>6911</v>
      </c>
      <c r="L2887" s="165" t="s">
        <v>10080</v>
      </c>
      <c r="M2887" s="73"/>
      <c r="N2887" s="169" t="s">
        <v>10081</v>
      </c>
      <c r="O2887" s="169" t="s">
        <v>6923</v>
      </c>
      <c r="P2887" s="168" t="s">
        <v>3112</v>
      </c>
      <c r="Q2887" s="167">
        <v>600000.0</v>
      </c>
      <c r="R2887" s="173"/>
      <c r="S2887" s="173"/>
      <c r="T2887" s="173"/>
      <c r="U2887" s="173"/>
      <c r="V2887" s="202"/>
      <c r="W2887" s="171"/>
      <c r="X2887" s="171"/>
    </row>
    <row r="2888" ht="15.0" customHeight="1">
      <c r="A2888" s="127">
        <v>45991.0</v>
      </c>
      <c r="B2888" s="181" t="s">
        <v>10082</v>
      </c>
      <c r="C2888" s="56" t="s">
        <v>2847</v>
      </c>
      <c r="D2888" s="73" t="str">
        <f>IFERROR(VLOOKUP(C2888,Stock,3,FALSE),"")</f>
        <v>Honda BR-V 22-</v>
      </c>
      <c r="E2888" s="56">
        <v>1.0</v>
      </c>
      <c r="F2888" s="161">
        <v>1820000.0</v>
      </c>
      <c r="G2888" s="162">
        <f t="shared" si="40"/>
        <v>1820000</v>
      </c>
      <c r="H2888" s="194"/>
      <c r="I2888" s="161">
        <f t="shared" si="41"/>
        <v>1820000</v>
      </c>
      <c r="J2888" s="164">
        <f t="shared" si="42"/>
        <v>1820000</v>
      </c>
      <c r="K2888" s="56" t="s">
        <v>7448</v>
      </c>
      <c r="L2888" s="165" t="s">
        <v>10083</v>
      </c>
      <c r="M2888" s="73"/>
      <c r="N2888" s="169" t="s">
        <v>10084</v>
      </c>
      <c r="O2888" s="169" t="s">
        <v>6923</v>
      </c>
      <c r="P2888" s="168" t="s">
        <v>3112</v>
      </c>
      <c r="Q2888" s="167">
        <v>1820000.0</v>
      </c>
      <c r="R2888" s="173"/>
      <c r="S2888" s="173"/>
      <c r="T2888" s="173"/>
      <c r="U2888" s="173"/>
      <c r="V2888" s="202"/>
      <c r="W2888" s="171"/>
      <c r="X2888" s="171"/>
    </row>
    <row r="2889" ht="15.0" customHeight="1">
      <c r="A2889" s="127">
        <v>45992.0</v>
      </c>
      <c r="B2889" s="181" t="s">
        <v>10085</v>
      </c>
      <c r="C2889" s="56" t="s">
        <v>3127</v>
      </c>
      <c r="D2889" s="73" t="str">
        <f>IFERROR(VLOOKUP(C2889,Stock,3,FALSE),"")</f>
        <v>Toyota Avanza / Xenia 03-11 1st Gen</v>
      </c>
      <c r="E2889" s="56">
        <v>1.0</v>
      </c>
      <c r="F2889" s="161">
        <v>880000.0</v>
      </c>
      <c r="G2889" s="162">
        <f t="shared" si="40"/>
        <v>880000</v>
      </c>
      <c r="H2889" s="194"/>
      <c r="I2889" s="161">
        <f t="shared" si="41"/>
        <v>880000</v>
      </c>
      <c r="J2889" s="164">
        <f t="shared" si="42"/>
        <v>880000</v>
      </c>
      <c r="K2889" s="56" t="s">
        <v>10086</v>
      </c>
      <c r="L2889" s="165" t="s">
        <v>5177</v>
      </c>
      <c r="M2889" s="73"/>
      <c r="N2889" s="171"/>
      <c r="O2889" s="169" t="s">
        <v>6923</v>
      </c>
      <c r="P2889" s="168" t="s">
        <v>3112</v>
      </c>
      <c r="Q2889" s="167">
        <v>880000.0</v>
      </c>
      <c r="R2889" s="173"/>
      <c r="S2889" s="173"/>
      <c r="T2889" s="173"/>
      <c r="U2889" s="173"/>
      <c r="V2889" s="202"/>
      <c r="W2889" s="169" t="s">
        <v>10087</v>
      </c>
      <c r="X2889" s="171"/>
    </row>
    <row r="2890" ht="15.0" customHeight="1">
      <c r="A2890" s="127">
        <v>45992.0</v>
      </c>
      <c r="B2890" s="181" t="s">
        <v>10088</v>
      </c>
      <c r="C2890" s="56" t="s">
        <v>10089</v>
      </c>
      <c r="D2890" s="73" t="str">
        <f>IFERROR(VLOOKUP(C2890,Stock,3,FALSE),"")</f>
        <v>Mitsubishi Pajero 08-16 (Mitsubishi)</v>
      </c>
      <c r="E2890" s="56">
        <v>1.0</v>
      </c>
      <c r="F2890" s="161">
        <v>1790000.0</v>
      </c>
      <c r="G2890" s="162">
        <f t="shared" si="40"/>
        <v>1790000</v>
      </c>
      <c r="H2890" s="194"/>
      <c r="I2890" s="161">
        <f t="shared" si="41"/>
        <v>1790000</v>
      </c>
      <c r="J2890" s="164">
        <f t="shared" si="42"/>
        <v>1790000</v>
      </c>
      <c r="K2890" s="56" t="s">
        <v>6559</v>
      </c>
      <c r="L2890" s="165" t="s">
        <v>10090</v>
      </c>
      <c r="M2890" s="73"/>
      <c r="N2890" s="171"/>
      <c r="O2890" s="169" t="s">
        <v>6923</v>
      </c>
      <c r="P2890" s="168" t="s">
        <v>3112</v>
      </c>
      <c r="Q2890" s="173"/>
      <c r="R2890" s="167">
        <v>1790000.0</v>
      </c>
      <c r="S2890" s="173"/>
      <c r="T2890" s="173"/>
      <c r="U2890" s="173"/>
      <c r="V2890" s="202"/>
      <c r="W2890" s="169" t="s">
        <v>10087</v>
      </c>
      <c r="X2890" s="171"/>
    </row>
    <row r="2891" ht="15.0" customHeight="1">
      <c r="A2891" s="127">
        <v>45992.0</v>
      </c>
      <c r="B2891" s="181" t="s">
        <v>10091</v>
      </c>
      <c r="C2891" s="56" t="s">
        <v>2686</v>
      </c>
      <c r="D2891" s="73" t="str">
        <f>IFERROR(VLOOKUP(C2891,Stock,3,FALSE),"")</f>
        <v>Wuling Cortez</v>
      </c>
      <c r="E2891" s="56">
        <v>1.0</v>
      </c>
      <c r="F2891" s="161">
        <v>2238000.0</v>
      </c>
      <c r="G2891" s="162">
        <f t="shared" si="40"/>
        <v>2238000</v>
      </c>
      <c r="H2891" s="194"/>
      <c r="I2891" s="161">
        <f t="shared" si="41"/>
        <v>2238000</v>
      </c>
      <c r="J2891" s="164">
        <f t="shared" si="42"/>
        <v>2238000</v>
      </c>
      <c r="K2891" s="56" t="s">
        <v>10092</v>
      </c>
      <c r="L2891" s="165" t="s">
        <v>10093</v>
      </c>
      <c r="M2891" s="73"/>
      <c r="N2891" s="171"/>
      <c r="O2891" s="169" t="s">
        <v>6923</v>
      </c>
      <c r="P2891" s="168" t="s">
        <v>3112</v>
      </c>
      <c r="Q2891" s="167">
        <v>2238000.0</v>
      </c>
      <c r="R2891" s="173"/>
      <c r="S2891" s="173"/>
      <c r="T2891" s="173"/>
      <c r="U2891" s="173"/>
      <c r="V2891" s="202"/>
      <c r="W2891" s="169" t="s">
        <v>10087</v>
      </c>
      <c r="X2891" s="171"/>
    </row>
    <row r="2892" ht="15.0" customHeight="1">
      <c r="A2892" s="127">
        <v>45993.0</v>
      </c>
      <c r="B2892" s="181" t="s">
        <v>10094</v>
      </c>
      <c r="C2892" s="56" t="s">
        <v>10095</v>
      </c>
      <c r="D2892" s="73" t="str">
        <f>IFERROR(VLOOKUP(C2892,Stock,3,FALSE),"")</f>
        <v>Wuling Confero / Formo</v>
      </c>
      <c r="E2892" s="56">
        <v>1.0</v>
      </c>
      <c r="F2892" s="161">
        <v>1302000.0</v>
      </c>
      <c r="G2892" s="162">
        <f t="shared" si="40"/>
        <v>1302000</v>
      </c>
      <c r="H2892" s="194"/>
      <c r="I2892" s="161">
        <f t="shared" si="41"/>
        <v>1302000</v>
      </c>
      <c r="J2892" s="164">
        <f t="shared" si="42"/>
        <v>1302000</v>
      </c>
      <c r="K2892" s="56" t="s">
        <v>10096</v>
      </c>
      <c r="L2892" s="165" t="s">
        <v>10097</v>
      </c>
      <c r="M2892" s="73"/>
      <c r="N2892" s="171"/>
      <c r="O2892" s="169" t="s">
        <v>6923</v>
      </c>
      <c r="P2892" s="168" t="s">
        <v>3112</v>
      </c>
      <c r="Q2892" s="173"/>
      <c r="R2892" s="167">
        <v>1302000.0</v>
      </c>
      <c r="S2892" s="173"/>
      <c r="T2892" s="173"/>
      <c r="U2892" s="173"/>
      <c r="V2892" s="202"/>
      <c r="W2892" s="169" t="s">
        <v>10087</v>
      </c>
      <c r="X2892" s="171"/>
    </row>
    <row r="2893" ht="15.0" customHeight="1">
      <c r="A2893" s="127">
        <v>45993.0</v>
      </c>
      <c r="B2893" s="181" t="s">
        <v>10098</v>
      </c>
      <c r="C2893" s="56" t="s">
        <v>9315</v>
      </c>
      <c r="D2893" s="73" t="str">
        <f>IFERROR(VLOOKUP(C2893,Stock,3,FALSE),"")</f>
        <v>Suzuki Swift 04-11 1st Gen</v>
      </c>
      <c r="E2893" s="56">
        <v>1.0</v>
      </c>
      <c r="F2893" s="161">
        <v>1240000.0</v>
      </c>
      <c r="G2893" s="162">
        <f t="shared" si="40"/>
        <v>1240000</v>
      </c>
      <c r="H2893" s="194"/>
      <c r="I2893" s="161">
        <f t="shared" si="41"/>
        <v>1240000</v>
      </c>
      <c r="J2893" s="164">
        <f t="shared" si="42"/>
        <v>1240000</v>
      </c>
      <c r="K2893" s="56" t="s">
        <v>10099</v>
      </c>
      <c r="L2893" s="165" t="s">
        <v>10100</v>
      </c>
      <c r="M2893" s="73"/>
      <c r="N2893" s="171"/>
      <c r="O2893" s="169" t="s">
        <v>6923</v>
      </c>
      <c r="P2893" s="168" t="s">
        <v>3112</v>
      </c>
      <c r="Q2893" s="173"/>
      <c r="R2893" s="167">
        <v>1240000.0</v>
      </c>
      <c r="S2893" s="173"/>
      <c r="T2893" s="173"/>
      <c r="U2893" s="173"/>
      <c r="V2893" s="202"/>
      <c r="W2893" s="169" t="s">
        <v>10087</v>
      </c>
      <c r="X2893" s="171"/>
    </row>
    <row r="2894" ht="15.0" customHeight="1">
      <c r="A2894" s="127">
        <v>45995.0</v>
      </c>
      <c r="B2894" s="181" t="s">
        <v>10101</v>
      </c>
      <c r="C2894" s="56" t="s">
        <v>3168</v>
      </c>
      <c r="D2894" s="73" t="str">
        <f>IFERROR(VLOOKUP(C2894,Stock,3,FALSE),"")</f>
        <v>Toyota Agya/Ayla</v>
      </c>
      <c r="E2894" s="56">
        <v>1.0</v>
      </c>
      <c r="F2894" s="161">
        <v>904000.0</v>
      </c>
      <c r="G2894" s="162">
        <f t="shared" si="40"/>
        <v>904000</v>
      </c>
      <c r="H2894" s="194"/>
      <c r="I2894" s="161">
        <f t="shared" si="41"/>
        <v>904000</v>
      </c>
      <c r="J2894" s="164">
        <f t="shared" si="42"/>
        <v>904000</v>
      </c>
      <c r="K2894" s="56" t="s">
        <v>10102</v>
      </c>
      <c r="L2894" s="165" t="s">
        <v>10103</v>
      </c>
      <c r="M2894" s="73"/>
      <c r="N2894" s="171"/>
      <c r="O2894" s="169" t="s">
        <v>6923</v>
      </c>
      <c r="P2894" s="168" t="s">
        <v>3112</v>
      </c>
      <c r="Q2894" s="173"/>
      <c r="R2894" s="167">
        <v>904000.0</v>
      </c>
      <c r="S2894" s="173"/>
      <c r="T2894" s="173"/>
      <c r="U2894" s="173"/>
      <c r="V2894" s="202"/>
      <c r="W2894" s="169" t="s">
        <v>10087</v>
      </c>
      <c r="X2894" s="171"/>
    </row>
    <row r="2895" ht="15.0" customHeight="1">
      <c r="A2895" s="127">
        <v>45995.0</v>
      </c>
      <c r="B2895" s="181" t="s">
        <v>10101</v>
      </c>
      <c r="C2895" s="56" t="s">
        <v>2954</v>
      </c>
      <c r="D2895" s="73" t="str">
        <f>IFERROR(VLOOKUP(C2895,Stock,3,FALSE),"")</f>
        <v>Transport</v>
      </c>
      <c r="E2895" s="56">
        <v>1.0</v>
      </c>
      <c r="F2895" s="161">
        <v>70000.0</v>
      </c>
      <c r="G2895" s="162">
        <f t="shared" si="40"/>
        <v>70000</v>
      </c>
      <c r="H2895" s="194"/>
      <c r="I2895" s="161">
        <f t="shared" si="41"/>
        <v>70000</v>
      </c>
      <c r="J2895" s="164">
        <f t="shared" si="42"/>
        <v>70000</v>
      </c>
      <c r="K2895" s="56" t="s">
        <v>10102</v>
      </c>
      <c r="L2895" s="165" t="s">
        <v>10103</v>
      </c>
      <c r="M2895" s="73"/>
      <c r="N2895" s="171"/>
      <c r="O2895" s="169" t="s">
        <v>6923</v>
      </c>
      <c r="P2895" s="168" t="s">
        <v>3112</v>
      </c>
      <c r="Q2895" s="173"/>
      <c r="R2895" s="167">
        <v>70000.0</v>
      </c>
      <c r="S2895" s="173"/>
      <c r="T2895" s="173"/>
      <c r="U2895" s="173"/>
      <c r="V2895" s="202"/>
      <c r="W2895" s="169" t="s">
        <v>10087</v>
      </c>
      <c r="X2895" s="171"/>
    </row>
    <row r="2896" ht="15.0" customHeight="1">
      <c r="A2896" s="127">
        <v>45995.0</v>
      </c>
      <c r="B2896" s="181" t="s">
        <v>10104</v>
      </c>
      <c r="C2896" s="56" t="s">
        <v>10105</v>
      </c>
      <c r="D2896" s="73" t="str">
        <f>IFERROR(VLOOKUP(C2896,Stock,3,FALSE),"")</f>
        <v>Mitsubishi Pajero 16-</v>
      </c>
      <c r="E2896" s="56">
        <v>1.0</v>
      </c>
      <c r="F2896" s="161">
        <v>1898000.0</v>
      </c>
      <c r="G2896" s="162">
        <f t="shared" si="40"/>
        <v>1898000</v>
      </c>
      <c r="H2896" s="194"/>
      <c r="I2896" s="161">
        <f t="shared" si="41"/>
        <v>1898000</v>
      </c>
      <c r="J2896" s="164">
        <f t="shared" si="42"/>
        <v>1898000</v>
      </c>
      <c r="K2896" s="56" t="s">
        <v>10106</v>
      </c>
      <c r="L2896" s="165" t="s">
        <v>10107</v>
      </c>
      <c r="M2896" s="73"/>
      <c r="N2896" s="171"/>
      <c r="O2896" s="169" t="s">
        <v>3500</v>
      </c>
      <c r="P2896" s="168" t="s">
        <v>3112</v>
      </c>
      <c r="Q2896" s="173"/>
      <c r="R2896" s="161">
        <v>1898000.0</v>
      </c>
      <c r="S2896" s="173"/>
      <c r="T2896" s="173"/>
      <c r="U2896" s="173"/>
      <c r="V2896" s="202"/>
      <c r="W2896" s="169" t="s">
        <v>10087</v>
      </c>
      <c r="X2896" s="171"/>
    </row>
    <row r="2897" ht="15.0" customHeight="1">
      <c r="A2897" s="127">
        <v>45995.0</v>
      </c>
      <c r="B2897" s="181" t="s">
        <v>10108</v>
      </c>
      <c r="C2897" s="475" t="s">
        <v>2721</v>
      </c>
      <c r="D2897" s="73" t="str">
        <f>IFERROR(VLOOKUP(C2897,Stock,3,FALSE),"")</f>
        <v>Toyota Dyna/Hino Dutro 00-</v>
      </c>
      <c r="E2897" s="56">
        <v>1.0</v>
      </c>
      <c r="F2897" s="161">
        <v>1200000.0</v>
      </c>
      <c r="G2897" s="162">
        <f t="shared" si="40"/>
        <v>1200000</v>
      </c>
      <c r="H2897" s="201">
        <v>95000.0</v>
      </c>
      <c r="I2897" s="161">
        <f t="shared" si="41"/>
        <v>1105000</v>
      </c>
      <c r="J2897" s="164">
        <f t="shared" si="42"/>
        <v>1105000</v>
      </c>
      <c r="K2897" s="56" t="s">
        <v>10109</v>
      </c>
      <c r="L2897" s="165" t="s">
        <v>10110</v>
      </c>
      <c r="M2897" s="73"/>
      <c r="N2897" s="171"/>
      <c r="O2897" s="169" t="s">
        <v>6923</v>
      </c>
      <c r="P2897" s="168" t="s">
        <v>3112</v>
      </c>
      <c r="Q2897" s="173"/>
      <c r="R2897" s="161">
        <v>1200000.0</v>
      </c>
      <c r="S2897" s="173"/>
      <c r="T2897" s="173"/>
      <c r="U2897" s="173"/>
      <c r="V2897" s="202"/>
      <c r="W2897" s="169" t="s">
        <v>10087</v>
      </c>
      <c r="X2897" s="171"/>
    </row>
    <row r="2898" ht="15.0" customHeight="1">
      <c r="A2898" s="127">
        <v>45995.0</v>
      </c>
      <c r="B2898" s="181" t="s">
        <v>10108</v>
      </c>
      <c r="C2898" s="475" t="s">
        <v>2855</v>
      </c>
      <c r="D2898" s="73" t="str">
        <f>IFERROR(VLOOKUP(C2898,Stock,3,FALSE),"")</f>
        <v>Toyota Dyna/Hino Dutro 00-</v>
      </c>
      <c r="E2898" s="56">
        <v>1.0</v>
      </c>
      <c r="F2898" s="161">
        <v>510000.0</v>
      </c>
      <c r="G2898" s="162">
        <f t="shared" si="40"/>
        <v>510000</v>
      </c>
      <c r="H2898" s="194"/>
      <c r="I2898" s="161">
        <f t="shared" si="41"/>
        <v>510000</v>
      </c>
      <c r="J2898" s="164">
        <f t="shared" si="42"/>
        <v>510000</v>
      </c>
      <c r="K2898" s="56" t="s">
        <v>10109</v>
      </c>
      <c r="L2898" s="165" t="s">
        <v>10110</v>
      </c>
      <c r="M2898" s="73"/>
      <c r="N2898" s="171"/>
      <c r="O2898" s="169" t="s">
        <v>6923</v>
      </c>
      <c r="P2898" s="168" t="s">
        <v>3112</v>
      </c>
      <c r="Q2898" s="173"/>
      <c r="R2898" s="161">
        <v>510000.0</v>
      </c>
      <c r="S2898" s="173"/>
      <c r="T2898" s="173"/>
      <c r="U2898" s="173"/>
      <c r="V2898" s="202"/>
      <c r="W2898" s="169" t="s">
        <v>10087</v>
      </c>
      <c r="X2898" s="171"/>
    </row>
    <row r="2899" ht="15.0" customHeight="1">
      <c r="A2899" s="127">
        <v>45995.0</v>
      </c>
      <c r="B2899" s="181" t="s">
        <v>10108</v>
      </c>
      <c r="C2899" s="56" t="s">
        <v>2820</v>
      </c>
      <c r="D2899" s="73" t="str">
        <f>IFERROR(VLOOKUP(C2899,Stock,3,FALSE),"")</f>
        <v>Toyota Dyna/Hino Dutro 00-</v>
      </c>
      <c r="E2899" s="56">
        <v>1.0</v>
      </c>
      <c r="F2899" s="161">
        <v>510000.0</v>
      </c>
      <c r="G2899" s="162">
        <f t="shared" si="40"/>
        <v>510000</v>
      </c>
      <c r="H2899" s="194"/>
      <c r="I2899" s="161">
        <f t="shared" si="41"/>
        <v>510000</v>
      </c>
      <c r="J2899" s="164">
        <f t="shared" si="42"/>
        <v>510000</v>
      </c>
      <c r="K2899" s="56" t="s">
        <v>10109</v>
      </c>
      <c r="L2899" s="165" t="s">
        <v>10110</v>
      </c>
      <c r="M2899" s="73"/>
      <c r="N2899" s="171"/>
      <c r="O2899" s="169" t="s">
        <v>6923</v>
      </c>
      <c r="P2899" s="168" t="s">
        <v>3112</v>
      </c>
      <c r="Q2899" s="173"/>
      <c r="R2899" s="161">
        <v>510000.0</v>
      </c>
      <c r="S2899" s="173"/>
      <c r="T2899" s="173"/>
      <c r="U2899" s="173"/>
      <c r="V2899" s="202"/>
      <c r="W2899" s="169" t="s">
        <v>10087</v>
      </c>
      <c r="X2899" s="171"/>
    </row>
    <row r="2900" ht="15.0" customHeight="1">
      <c r="A2900" s="127">
        <v>45995.0</v>
      </c>
      <c r="B2900" s="181" t="s">
        <v>10108</v>
      </c>
      <c r="C2900" s="56" t="s">
        <v>2934</v>
      </c>
      <c r="D2900" s="73" t="str">
        <f>IFERROR(VLOOKUP(C2900,Stock,3,FALSE),"")</f>
        <v>Peti Kayu</v>
      </c>
      <c r="E2900" s="56">
        <v>1.0</v>
      </c>
      <c r="F2900" s="161">
        <v>250000.0</v>
      </c>
      <c r="G2900" s="162">
        <f t="shared" si="40"/>
        <v>250000</v>
      </c>
      <c r="H2900" s="194"/>
      <c r="I2900" s="161">
        <f t="shared" si="41"/>
        <v>250000</v>
      </c>
      <c r="J2900" s="164">
        <f t="shared" si="42"/>
        <v>250000</v>
      </c>
      <c r="K2900" s="56" t="s">
        <v>10109</v>
      </c>
      <c r="L2900" s="165" t="s">
        <v>10110</v>
      </c>
      <c r="M2900" s="73"/>
      <c r="N2900" s="171"/>
      <c r="O2900" s="169" t="s">
        <v>6923</v>
      </c>
      <c r="P2900" s="168" t="s">
        <v>3112</v>
      </c>
      <c r="Q2900" s="173"/>
      <c r="R2900" s="161">
        <v>250000.0</v>
      </c>
      <c r="S2900" s="173"/>
      <c r="T2900" s="173"/>
      <c r="U2900" s="173"/>
      <c r="V2900" s="202"/>
      <c r="W2900" s="169" t="s">
        <v>10087</v>
      </c>
      <c r="X2900" s="171"/>
    </row>
    <row r="2901" ht="15.0" customHeight="1">
      <c r="A2901" s="127">
        <v>45995.0</v>
      </c>
      <c r="B2901" s="181" t="s">
        <v>10108</v>
      </c>
      <c r="C2901" s="56" t="s">
        <v>2954</v>
      </c>
      <c r="D2901" s="73" t="str">
        <f>IFERROR(VLOOKUP(C2901,Stock,3,FALSE),"")</f>
        <v>Transport</v>
      </c>
      <c r="E2901" s="56">
        <v>1.0</v>
      </c>
      <c r="F2901" s="161">
        <v>70000.0</v>
      </c>
      <c r="G2901" s="162">
        <f t="shared" si="40"/>
        <v>70000</v>
      </c>
      <c r="H2901" s="194"/>
      <c r="I2901" s="161">
        <f t="shared" si="41"/>
        <v>70000</v>
      </c>
      <c r="J2901" s="164">
        <f t="shared" si="42"/>
        <v>70000</v>
      </c>
      <c r="K2901" s="56" t="s">
        <v>10109</v>
      </c>
      <c r="L2901" s="165" t="s">
        <v>10110</v>
      </c>
      <c r="M2901" s="73"/>
      <c r="N2901" s="171"/>
      <c r="O2901" s="169" t="s">
        <v>6923</v>
      </c>
      <c r="P2901" s="168" t="s">
        <v>3112</v>
      </c>
      <c r="Q2901" s="173"/>
      <c r="R2901" s="161">
        <v>70000.0</v>
      </c>
      <c r="S2901" s="173"/>
      <c r="T2901" s="173"/>
      <c r="U2901" s="173"/>
      <c r="V2901" s="202"/>
      <c r="W2901" s="169" t="s">
        <v>10087</v>
      </c>
      <c r="X2901" s="171"/>
    </row>
    <row r="2902" ht="15.0" customHeight="1">
      <c r="A2902" s="127">
        <v>45995.0</v>
      </c>
      <c r="B2902" s="181" t="s">
        <v>10108</v>
      </c>
      <c r="C2902" s="175" t="s">
        <v>3698</v>
      </c>
      <c r="D2902" s="73" t="str">
        <f>IFERROR(VLOOKUP(C2902,Stock,3,FALSE),"")</f>
        <v>Toyota Dyna/Hino Dutro 00-</v>
      </c>
      <c r="E2902" s="56">
        <v>1.0</v>
      </c>
      <c r="F2902" s="161">
        <v>250000.0</v>
      </c>
      <c r="G2902" s="162">
        <f t="shared" si="40"/>
        <v>250000</v>
      </c>
      <c r="H2902" s="194"/>
      <c r="I2902" s="161">
        <f t="shared" si="41"/>
        <v>250000</v>
      </c>
      <c r="J2902" s="164">
        <f t="shared" si="42"/>
        <v>250000</v>
      </c>
      <c r="K2902" s="56" t="s">
        <v>10109</v>
      </c>
      <c r="L2902" s="165" t="s">
        <v>10110</v>
      </c>
      <c r="M2902" s="73"/>
      <c r="N2902" s="171"/>
      <c r="O2902" s="169" t="s">
        <v>6923</v>
      </c>
      <c r="P2902" s="168" t="s">
        <v>3112</v>
      </c>
      <c r="Q2902" s="173"/>
      <c r="R2902" s="161">
        <v>250000.0</v>
      </c>
      <c r="S2902" s="173"/>
      <c r="T2902" s="173"/>
      <c r="U2902" s="173"/>
      <c r="V2902" s="202"/>
      <c r="W2902" s="169" t="s">
        <v>10087</v>
      </c>
      <c r="X2902" s="171"/>
    </row>
    <row r="2903" ht="15.0" customHeight="1">
      <c r="A2903" s="127">
        <v>45995.0</v>
      </c>
      <c r="B2903" s="181" t="s">
        <v>10111</v>
      </c>
      <c r="C2903" s="56" t="s">
        <v>2562</v>
      </c>
      <c r="D2903" s="73" t="str">
        <f>IFERROR(VLOOKUP(C2903,Stock,3,FALSE),"")</f>
        <v>Toyota Avanza / Xenia 15-21 3rd Gen</v>
      </c>
      <c r="E2903" s="56">
        <v>1.0</v>
      </c>
      <c r="F2903" s="161">
        <v>1000000.0</v>
      </c>
      <c r="G2903" s="162">
        <f t="shared" si="40"/>
        <v>1000000</v>
      </c>
      <c r="H2903" s="194"/>
      <c r="I2903" s="161">
        <f t="shared" si="41"/>
        <v>1000000</v>
      </c>
      <c r="J2903" s="164">
        <f t="shared" si="42"/>
        <v>1000000</v>
      </c>
      <c r="K2903" s="56" t="s">
        <v>10112</v>
      </c>
      <c r="L2903" s="165" t="s">
        <v>10113</v>
      </c>
      <c r="M2903" s="73"/>
      <c r="N2903" s="171"/>
      <c r="O2903" s="169" t="s">
        <v>6923</v>
      </c>
      <c r="P2903" s="168" t="s">
        <v>3112</v>
      </c>
      <c r="Q2903" s="167">
        <v>100000.0</v>
      </c>
      <c r="R2903" s="161">
        <v>900000.0</v>
      </c>
      <c r="S2903" s="173"/>
      <c r="T2903" s="173"/>
      <c r="U2903" s="173"/>
      <c r="V2903" s="202"/>
      <c r="W2903" s="169" t="s">
        <v>10087</v>
      </c>
      <c r="X2903" s="171"/>
    </row>
    <row r="2904" ht="15.0" customHeight="1">
      <c r="A2904" s="127">
        <v>45995.0</v>
      </c>
      <c r="B2904" s="181" t="s">
        <v>10111</v>
      </c>
      <c r="C2904" s="56" t="s">
        <v>3826</v>
      </c>
      <c r="D2904" s="73" t="str">
        <f>IFERROR(VLOOKUP(C2904,Stock,3,FALSE),"")</f>
        <v>List Kaca Depan Code 11</v>
      </c>
      <c r="E2904" s="56">
        <v>1.0</v>
      </c>
      <c r="F2904" s="161">
        <v>275000.0</v>
      </c>
      <c r="G2904" s="162">
        <f t="shared" si="40"/>
        <v>275000</v>
      </c>
      <c r="H2904" s="194"/>
      <c r="I2904" s="161">
        <f t="shared" si="41"/>
        <v>275000</v>
      </c>
      <c r="J2904" s="164">
        <f t="shared" si="42"/>
        <v>275000</v>
      </c>
      <c r="K2904" s="56" t="s">
        <v>10112</v>
      </c>
      <c r="L2904" s="165" t="s">
        <v>10113</v>
      </c>
      <c r="M2904" s="73"/>
      <c r="N2904" s="171"/>
      <c r="O2904" s="169" t="s">
        <v>6923</v>
      </c>
      <c r="P2904" s="168" t="s">
        <v>3112</v>
      </c>
      <c r="Q2904" s="173"/>
      <c r="R2904" s="161">
        <v>275000.0</v>
      </c>
      <c r="S2904" s="173"/>
      <c r="T2904" s="173"/>
      <c r="U2904" s="173"/>
      <c r="V2904" s="202"/>
      <c r="W2904" s="169" t="s">
        <v>10087</v>
      </c>
      <c r="X2904" s="171"/>
    </row>
    <row r="2905" ht="15.0" customHeight="1">
      <c r="A2905" s="127">
        <v>45996.0</v>
      </c>
      <c r="B2905" s="181" t="s">
        <v>10114</v>
      </c>
      <c r="C2905" s="475" t="s">
        <v>2706</v>
      </c>
      <c r="D2905" s="73" t="str">
        <f>IFERROR(VLOOKUP(C2905,Stock,3,FALSE),"")</f>
        <v>Isuzu Elf 17- New NMR NLR</v>
      </c>
      <c r="E2905" s="56">
        <v>1.0</v>
      </c>
      <c r="F2905" s="161">
        <v>1114000.0</v>
      </c>
      <c r="G2905" s="162">
        <f t="shared" si="40"/>
        <v>1114000</v>
      </c>
      <c r="H2905" s="194"/>
      <c r="I2905" s="161">
        <f t="shared" si="41"/>
        <v>1114000</v>
      </c>
      <c r="J2905" s="164">
        <f t="shared" si="42"/>
        <v>1114000</v>
      </c>
      <c r="K2905" s="56" t="s">
        <v>10115</v>
      </c>
      <c r="L2905" s="165" t="s">
        <v>10116</v>
      </c>
      <c r="M2905" s="73"/>
      <c r="N2905" s="171"/>
      <c r="O2905" s="169" t="s">
        <v>6923</v>
      </c>
      <c r="P2905" s="168" t="s">
        <v>3112</v>
      </c>
      <c r="Q2905" s="173"/>
      <c r="R2905" s="161">
        <v>1114000.0</v>
      </c>
      <c r="S2905" s="173"/>
      <c r="T2905" s="173"/>
      <c r="U2905" s="173"/>
      <c r="V2905" s="202"/>
      <c r="W2905" s="169" t="s">
        <v>10087</v>
      </c>
      <c r="X2905" s="171"/>
    </row>
    <row r="2906" ht="15.0" customHeight="1">
      <c r="A2906" s="127">
        <v>45996.0</v>
      </c>
      <c r="B2906" s="181" t="s">
        <v>10114</v>
      </c>
      <c r="C2906" s="475" t="s">
        <v>2821</v>
      </c>
      <c r="D2906" s="73" t="str">
        <f>IFERROR(VLOOKUP(C2906,Stock,3,FALSE),"")</f>
        <v>Isuzu Elf 17- New NMR NLR / Isuzu Giga </v>
      </c>
      <c r="E2906" s="56">
        <v>1.0</v>
      </c>
      <c r="F2906" s="161">
        <v>535000.0</v>
      </c>
      <c r="G2906" s="162">
        <f t="shared" si="40"/>
        <v>535000</v>
      </c>
      <c r="H2906" s="194"/>
      <c r="I2906" s="161">
        <f t="shared" si="41"/>
        <v>535000</v>
      </c>
      <c r="J2906" s="164">
        <f t="shared" si="42"/>
        <v>535000</v>
      </c>
      <c r="K2906" s="56" t="s">
        <v>10115</v>
      </c>
      <c r="L2906" s="165" t="s">
        <v>10116</v>
      </c>
      <c r="M2906" s="73"/>
      <c r="N2906" s="171"/>
      <c r="O2906" s="169" t="s">
        <v>6923</v>
      </c>
      <c r="P2906" s="168" t="s">
        <v>3112</v>
      </c>
      <c r="Q2906" s="173"/>
      <c r="R2906" s="161">
        <v>535000.0</v>
      </c>
      <c r="S2906" s="173"/>
      <c r="T2906" s="173"/>
      <c r="U2906" s="173"/>
      <c r="V2906" s="202"/>
      <c r="W2906" s="169" t="s">
        <v>10087</v>
      </c>
      <c r="X2906" s="171"/>
    </row>
    <row r="2907" ht="15.0" customHeight="1">
      <c r="A2907" s="127">
        <v>45996.0</v>
      </c>
      <c r="B2907" s="181" t="s">
        <v>10114</v>
      </c>
      <c r="C2907" s="475" t="s">
        <v>2934</v>
      </c>
      <c r="D2907" s="73" t="str">
        <f>IFERROR(VLOOKUP(C2907,Stock,3,FALSE),"")</f>
        <v>Peti Kayu</v>
      </c>
      <c r="E2907" s="56">
        <v>1.0</v>
      </c>
      <c r="F2907" s="161">
        <v>200000.0</v>
      </c>
      <c r="G2907" s="162">
        <f t="shared" si="40"/>
        <v>200000</v>
      </c>
      <c r="H2907" s="194"/>
      <c r="I2907" s="161">
        <f t="shared" si="41"/>
        <v>200000</v>
      </c>
      <c r="J2907" s="164">
        <f t="shared" si="42"/>
        <v>200000</v>
      </c>
      <c r="K2907" s="56" t="s">
        <v>10115</v>
      </c>
      <c r="L2907" s="165" t="s">
        <v>10116</v>
      </c>
      <c r="M2907" s="73"/>
      <c r="N2907" s="171"/>
      <c r="O2907" s="169" t="s">
        <v>6923</v>
      </c>
      <c r="P2907" s="168" t="s">
        <v>3112</v>
      </c>
      <c r="Q2907" s="173"/>
      <c r="R2907" s="161">
        <v>200000.0</v>
      </c>
      <c r="S2907" s="173"/>
      <c r="T2907" s="173"/>
      <c r="U2907" s="173"/>
      <c r="V2907" s="202"/>
      <c r="W2907" s="169" t="s">
        <v>10087</v>
      </c>
      <c r="X2907" s="171"/>
    </row>
    <row r="2908" ht="15.0" customHeight="1">
      <c r="A2908" s="127">
        <v>45996.0</v>
      </c>
      <c r="B2908" s="181" t="s">
        <v>10114</v>
      </c>
      <c r="C2908" s="56" t="s">
        <v>2954</v>
      </c>
      <c r="D2908" s="73" t="str">
        <f>IFERROR(VLOOKUP(C2908,Stock,3,FALSE),"")</f>
        <v>Transport</v>
      </c>
      <c r="E2908" s="56">
        <v>1.0</v>
      </c>
      <c r="F2908" s="161">
        <v>130000.0</v>
      </c>
      <c r="G2908" s="162">
        <f t="shared" si="40"/>
        <v>130000</v>
      </c>
      <c r="H2908" s="194"/>
      <c r="I2908" s="161">
        <f t="shared" si="41"/>
        <v>130000</v>
      </c>
      <c r="J2908" s="164">
        <f t="shared" si="42"/>
        <v>130000</v>
      </c>
      <c r="K2908" s="56" t="s">
        <v>10115</v>
      </c>
      <c r="L2908" s="165" t="s">
        <v>10116</v>
      </c>
      <c r="M2908" s="73"/>
      <c r="N2908" s="171"/>
      <c r="O2908" s="169" t="s">
        <v>6923</v>
      </c>
      <c r="P2908" s="168" t="s">
        <v>3112</v>
      </c>
      <c r="Q2908" s="173"/>
      <c r="R2908" s="161">
        <v>130000.0</v>
      </c>
      <c r="S2908" s="173"/>
      <c r="T2908" s="173"/>
      <c r="U2908" s="173"/>
      <c r="V2908" s="202"/>
      <c r="W2908" s="169" t="s">
        <v>10087</v>
      </c>
      <c r="X2908" s="171"/>
    </row>
    <row r="2909" ht="15.0" customHeight="1">
      <c r="A2909" s="127">
        <v>45996.0</v>
      </c>
      <c r="B2909" s="181" t="s">
        <v>10117</v>
      </c>
      <c r="C2909" s="56" t="s">
        <v>2665</v>
      </c>
      <c r="D2909" s="73" t="str">
        <f>IFERROR(VLOOKUP(C2909,Stock,3,FALSE),"")</f>
        <v>Chevrolet Spin 12-</v>
      </c>
      <c r="E2909" s="56">
        <v>1.0</v>
      </c>
      <c r="F2909" s="161">
        <v>1599000.0</v>
      </c>
      <c r="G2909" s="162">
        <f t="shared" si="40"/>
        <v>1599000</v>
      </c>
      <c r="H2909" s="194"/>
      <c r="I2909" s="161">
        <f t="shared" si="41"/>
        <v>1599000</v>
      </c>
      <c r="J2909" s="164">
        <f t="shared" si="42"/>
        <v>1599000</v>
      </c>
      <c r="K2909" s="56" t="s">
        <v>10118</v>
      </c>
      <c r="L2909" s="165" t="s">
        <v>10119</v>
      </c>
      <c r="M2909" s="73"/>
      <c r="N2909" s="171"/>
      <c r="O2909" s="169" t="s">
        <v>6923</v>
      </c>
      <c r="P2909" s="168" t="s">
        <v>3112</v>
      </c>
      <c r="Q2909" s="173"/>
      <c r="R2909" s="161">
        <v>1599000.0</v>
      </c>
      <c r="S2909" s="173"/>
      <c r="T2909" s="173"/>
      <c r="U2909" s="173"/>
      <c r="V2909" s="202"/>
      <c r="W2909" s="169" t="s">
        <v>10087</v>
      </c>
      <c r="X2909" s="171"/>
    </row>
    <row r="2910" ht="15.0" customHeight="1">
      <c r="A2910" s="127">
        <v>45996.0</v>
      </c>
      <c r="B2910" s="181" t="s">
        <v>10120</v>
      </c>
      <c r="C2910" s="56" t="s">
        <v>10121</v>
      </c>
      <c r="D2910" s="73" t="str">
        <f>IFERROR(VLOOKUP(C2910,Stock,3,FALSE),"")</f>
        <v>Toyota CHR</v>
      </c>
      <c r="E2910" s="56">
        <v>1.0</v>
      </c>
      <c r="F2910" s="161">
        <v>4981000.0</v>
      </c>
      <c r="G2910" s="162">
        <f t="shared" si="40"/>
        <v>4981000</v>
      </c>
      <c r="H2910" s="194"/>
      <c r="I2910" s="161">
        <f t="shared" si="41"/>
        <v>4981000</v>
      </c>
      <c r="J2910" s="164">
        <f t="shared" si="42"/>
        <v>4981000</v>
      </c>
      <c r="K2910" s="56" t="s">
        <v>10122</v>
      </c>
      <c r="L2910" s="165" t="s">
        <v>10123</v>
      </c>
      <c r="M2910" s="73"/>
      <c r="N2910" s="169" t="s">
        <v>10124</v>
      </c>
      <c r="O2910" s="169" t="s">
        <v>6923</v>
      </c>
      <c r="P2910" s="168" t="s">
        <v>3112</v>
      </c>
      <c r="Q2910" s="173"/>
      <c r="R2910" s="167">
        <v>4981000.0</v>
      </c>
      <c r="S2910" s="173"/>
      <c r="T2910" s="173"/>
      <c r="U2910" s="173"/>
      <c r="V2910" s="202"/>
      <c r="W2910" s="169" t="s">
        <v>10087</v>
      </c>
      <c r="X2910" s="171"/>
    </row>
    <row r="2911" ht="15.0" customHeight="1">
      <c r="A2911" s="127">
        <v>45996.0</v>
      </c>
      <c r="B2911" s="181" t="s">
        <v>10125</v>
      </c>
      <c r="C2911" s="56" t="s">
        <v>2662</v>
      </c>
      <c r="D2911" s="73" t="str">
        <f>IFERROR(VLOOKUP(C2911,Stock,3,FALSE),"")</f>
        <v>Wuling Almaz (Sensor)</v>
      </c>
      <c r="E2911" s="56">
        <v>1.0</v>
      </c>
      <c r="F2911" s="161">
        <v>3000000.0</v>
      </c>
      <c r="G2911" s="162">
        <f t="shared" si="40"/>
        <v>3000000</v>
      </c>
      <c r="H2911" s="194"/>
      <c r="I2911" s="161">
        <f t="shared" si="41"/>
        <v>3000000</v>
      </c>
      <c r="J2911" s="164">
        <f t="shared" si="42"/>
        <v>3000000</v>
      </c>
      <c r="K2911" s="56" t="s">
        <v>10126</v>
      </c>
      <c r="L2911" s="165" t="s">
        <v>10127</v>
      </c>
      <c r="M2911" s="73"/>
      <c r="N2911" s="171"/>
      <c r="O2911" s="169" t="s">
        <v>6923</v>
      </c>
      <c r="P2911" s="168" t="s">
        <v>3112</v>
      </c>
      <c r="Q2911" s="173"/>
      <c r="R2911" s="167">
        <v>3000000.0</v>
      </c>
      <c r="S2911" s="173"/>
      <c r="T2911" s="173"/>
      <c r="U2911" s="173"/>
      <c r="V2911" s="202"/>
      <c r="W2911" s="169" t="s">
        <v>10087</v>
      </c>
      <c r="X2911" s="171"/>
    </row>
    <row r="2912" ht="15.0" customHeight="1">
      <c r="A2912" s="127">
        <v>45996.0</v>
      </c>
      <c r="B2912" s="181" t="s">
        <v>10128</v>
      </c>
      <c r="C2912" s="56" t="s">
        <v>2595</v>
      </c>
      <c r="D2912" s="73" t="str">
        <f>IFERROR(VLOOKUP(C2912,Stock,3,FALSE),"")</f>
        <v>Toyota Alphard 08-15 ANH20 2nd Gen</v>
      </c>
      <c r="E2912" s="56">
        <v>1.0</v>
      </c>
      <c r="F2912" s="161">
        <v>3193450.0</v>
      </c>
      <c r="G2912" s="162">
        <f t="shared" si="40"/>
        <v>3193450</v>
      </c>
      <c r="H2912" s="194"/>
      <c r="I2912" s="161">
        <f t="shared" si="41"/>
        <v>3193450</v>
      </c>
      <c r="J2912" s="164">
        <f t="shared" si="42"/>
        <v>3193450</v>
      </c>
      <c r="K2912" s="56" t="s">
        <v>10129</v>
      </c>
      <c r="L2912" s="165" t="s">
        <v>6782</v>
      </c>
      <c r="M2912" s="73"/>
      <c r="N2912" s="171"/>
      <c r="O2912" s="169" t="s">
        <v>6923</v>
      </c>
      <c r="P2912" s="168" t="s">
        <v>3112</v>
      </c>
      <c r="Q2912" s="173"/>
      <c r="R2912" s="167">
        <v>3193450.0</v>
      </c>
      <c r="S2912" s="173"/>
      <c r="T2912" s="173"/>
      <c r="U2912" s="173"/>
      <c r="V2912" s="202"/>
      <c r="W2912" s="169" t="s">
        <v>10087</v>
      </c>
      <c r="X2912" s="171"/>
    </row>
    <row r="2913" ht="15.0" customHeight="1">
      <c r="A2913" s="127">
        <v>45996.0</v>
      </c>
      <c r="B2913" s="181" t="s">
        <v>10130</v>
      </c>
      <c r="C2913" s="56" t="s">
        <v>2785</v>
      </c>
      <c r="D2913" s="73" t="str">
        <f>IFERROR(VLOOKUP(C2913,Stock,3,FALSE),"")</f>
        <v>Suzuki Swift 11-17 2nd Gen</v>
      </c>
      <c r="E2913" s="56">
        <v>1.0</v>
      </c>
      <c r="F2913" s="161">
        <v>1546000.0</v>
      </c>
      <c r="G2913" s="162">
        <f t="shared" si="40"/>
        <v>1546000</v>
      </c>
      <c r="H2913" s="194"/>
      <c r="I2913" s="161">
        <f t="shared" si="41"/>
        <v>1546000</v>
      </c>
      <c r="J2913" s="164">
        <f t="shared" si="42"/>
        <v>1546000</v>
      </c>
      <c r="K2913" s="56" t="s">
        <v>10131</v>
      </c>
      <c r="L2913" s="165" t="s">
        <v>10132</v>
      </c>
      <c r="M2913" s="73"/>
      <c r="N2913" s="171"/>
      <c r="O2913" s="169" t="s">
        <v>6923</v>
      </c>
      <c r="P2913" s="168" t="s">
        <v>3112</v>
      </c>
      <c r="Q2913" s="173"/>
      <c r="R2913" s="167">
        <v>1546000.0</v>
      </c>
      <c r="S2913" s="173"/>
      <c r="T2913" s="173"/>
      <c r="U2913" s="173"/>
      <c r="V2913" s="202"/>
      <c r="W2913" s="169" t="s">
        <v>10087</v>
      </c>
      <c r="X2913" s="171"/>
    </row>
    <row r="2914" ht="15.0" customHeight="1">
      <c r="A2914" s="127">
        <v>45996.0</v>
      </c>
      <c r="B2914" s="181" t="s">
        <v>10130</v>
      </c>
      <c r="C2914" s="56" t="s">
        <v>3355</v>
      </c>
      <c r="D2914" s="73" t="str">
        <f>IFERROR(VLOOKUP(C2914,Stock,3,FALSE),"")</f>
        <v>List Kaca Depan INV</v>
      </c>
      <c r="E2914" s="56">
        <v>1.0</v>
      </c>
      <c r="F2914" s="161">
        <v>555000.0</v>
      </c>
      <c r="G2914" s="162">
        <f t="shared" si="40"/>
        <v>555000</v>
      </c>
      <c r="H2914" s="194"/>
      <c r="I2914" s="161">
        <f t="shared" si="41"/>
        <v>555000</v>
      </c>
      <c r="J2914" s="164">
        <f t="shared" si="42"/>
        <v>555000</v>
      </c>
      <c r="K2914" s="56" t="s">
        <v>10131</v>
      </c>
      <c r="L2914" s="165" t="s">
        <v>10132</v>
      </c>
      <c r="M2914" s="73"/>
      <c r="N2914" s="171"/>
      <c r="O2914" s="169" t="s">
        <v>6923</v>
      </c>
      <c r="P2914" s="168" t="s">
        <v>3112</v>
      </c>
      <c r="Q2914" s="173"/>
      <c r="R2914" s="167">
        <v>555000.0</v>
      </c>
      <c r="S2914" s="173"/>
      <c r="T2914" s="173"/>
      <c r="U2914" s="173"/>
      <c r="V2914" s="202"/>
      <c r="W2914" s="169" t="s">
        <v>10087</v>
      </c>
      <c r="X2914" s="171"/>
    </row>
    <row r="2915" ht="15.0" customHeight="1">
      <c r="A2915" s="127">
        <v>45996.0</v>
      </c>
      <c r="B2915" s="181" t="s">
        <v>10133</v>
      </c>
      <c r="C2915" s="484" t="s">
        <v>10134</v>
      </c>
      <c r="D2915" s="73" t="str">
        <f>IFERROR(VLOOKUP(C2915,Stock,3,FALSE),"")</f>
        <v>Mers-Benz CLA-Class 13-19 W117</v>
      </c>
      <c r="E2915" s="56">
        <v>1.0</v>
      </c>
      <c r="F2915" s="161">
        <v>4800000.0</v>
      </c>
      <c r="G2915" s="162">
        <f t="shared" si="40"/>
        <v>4800000</v>
      </c>
      <c r="H2915" s="194"/>
      <c r="I2915" s="161">
        <f t="shared" si="41"/>
        <v>4800000</v>
      </c>
      <c r="J2915" s="164">
        <f t="shared" si="42"/>
        <v>4800000</v>
      </c>
      <c r="K2915" s="56" t="s">
        <v>10135</v>
      </c>
      <c r="L2915" s="165" t="s">
        <v>10136</v>
      </c>
      <c r="M2915" s="73"/>
      <c r="N2915" s="171"/>
      <c r="O2915" s="169" t="s">
        <v>6923</v>
      </c>
      <c r="P2915" s="168" t="s">
        <v>3112</v>
      </c>
      <c r="Q2915" s="173"/>
      <c r="R2915" s="167">
        <v>4800000.0</v>
      </c>
      <c r="S2915" s="173"/>
      <c r="T2915" s="173"/>
      <c r="U2915" s="173"/>
      <c r="V2915" s="202"/>
      <c r="W2915" s="169" t="s">
        <v>10087</v>
      </c>
      <c r="X2915" s="171"/>
    </row>
    <row r="2916" ht="15.0" customHeight="1">
      <c r="A2916" s="127">
        <v>45996.0</v>
      </c>
      <c r="B2916" s="181" t="s">
        <v>10137</v>
      </c>
      <c r="C2916" s="56" t="s">
        <v>2562</v>
      </c>
      <c r="D2916" s="73" t="str">
        <f>IFERROR(VLOOKUP(C2916,Stock,3,FALSE),"")</f>
        <v>Toyota Avanza / Xenia 15-21 3rd Gen</v>
      </c>
      <c r="E2916" s="56">
        <v>1.0</v>
      </c>
      <c r="F2916" s="161">
        <v>1000000.0</v>
      </c>
      <c r="G2916" s="162">
        <f t="shared" si="40"/>
        <v>1000000</v>
      </c>
      <c r="H2916" s="194"/>
      <c r="I2916" s="161">
        <f t="shared" si="41"/>
        <v>1000000</v>
      </c>
      <c r="J2916" s="164">
        <f t="shared" si="42"/>
        <v>1000000</v>
      </c>
      <c r="K2916" s="56" t="s">
        <v>4989</v>
      </c>
      <c r="L2916" s="165" t="s">
        <v>10138</v>
      </c>
      <c r="M2916" s="73"/>
      <c r="N2916" s="171"/>
      <c r="O2916" s="169" t="s">
        <v>6923</v>
      </c>
      <c r="P2916" s="168" t="s">
        <v>3112</v>
      </c>
      <c r="Q2916" s="167">
        <v>1000000.0</v>
      </c>
      <c r="R2916" s="173"/>
      <c r="S2916" s="173"/>
      <c r="T2916" s="173"/>
      <c r="U2916" s="173"/>
      <c r="V2916" s="202"/>
      <c r="W2916" s="169" t="s">
        <v>10087</v>
      </c>
      <c r="X2916" s="171"/>
    </row>
    <row r="2917" ht="15.0" customHeight="1">
      <c r="A2917" s="127">
        <v>45997.0</v>
      </c>
      <c r="B2917" s="181" t="s">
        <v>10139</v>
      </c>
      <c r="C2917" s="475" t="s">
        <v>3366</v>
      </c>
      <c r="D2917" s="73" t="str">
        <f>IFERROR(VLOOKUP(C2917,Stock,3,FALSE),"")</f>
        <v>Toyota Hi-Ace 04-20 Commuter (Clear)</v>
      </c>
      <c r="E2917" s="56">
        <v>1.0</v>
      </c>
      <c r="F2917" s="161">
        <v>2350000.0</v>
      </c>
      <c r="G2917" s="162">
        <f t="shared" si="40"/>
        <v>2350000</v>
      </c>
      <c r="H2917" s="194"/>
      <c r="I2917" s="161">
        <f t="shared" si="41"/>
        <v>2350000</v>
      </c>
      <c r="J2917" s="164">
        <f t="shared" si="42"/>
        <v>2350000</v>
      </c>
      <c r="K2917" s="56" t="s">
        <v>10140</v>
      </c>
      <c r="L2917" s="165" t="s">
        <v>5233</v>
      </c>
      <c r="M2917" s="73"/>
      <c r="N2917" s="171"/>
      <c r="O2917" s="169" t="s">
        <v>6923</v>
      </c>
      <c r="P2917" s="168" t="s">
        <v>5220</v>
      </c>
      <c r="Q2917" s="173"/>
      <c r="R2917" s="167">
        <v>2350000.0</v>
      </c>
      <c r="S2917" s="173"/>
      <c r="T2917" s="173"/>
      <c r="U2917" s="173"/>
      <c r="V2917" s="202"/>
      <c r="W2917" s="169" t="s">
        <v>10087</v>
      </c>
      <c r="X2917" s="171"/>
    </row>
    <row r="2918" ht="15.0" customHeight="1">
      <c r="A2918" s="127">
        <v>45997.0</v>
      </c>
      <c r="B2918" s="181" t="s">
        <v>10139</v>
      </c>
      <c r="C2918" s="475" t="s">
        <v>2934</v>
      </c>
      <c r="D2918" s="73" t="str">
        <f>IFERROR(VLOOKUP(C2918,Stock,3,FALSE),"")</f>
        <v>Peti Kayu</v>
      </c>
      <c r="E2918" s="56">
        <v>1.0</v>
      </c>
      <c r="F2918" s="161">
        <v>200000.0</v>
      </c>
      <c r="G2918" s="162">
        <f t="shared" si="40"/>
        <v>200000</v>
      </c>
      <c r="H2918" s="194"/>
      <c r="I2918" s="161">
        <f t="shared" si="41"/>
        <v>200000</v>
      </c>
      <c r="J2918" s="164">
        <f t="shared" si="42"/>
        <v>200000</v>
      </c>
      <c r="K2918" s="56" t="s">
        <v>10140</v>
      </c>
      <c r="L2918" s="165" t="s">
        <v>5233</v>
      </c>
      <c r="M2918" s="73"/>
      <c r="N2918" s="171"/>
      <c r="O2918" s="169" t="s">
        <v>6923</v>
      </c>
      <c r="P2918" s="168" t="s">
        <v>5220</v>
      </c>
      <c r="Q2918" s="173"/>
      <c r="R2918" s="167">
        <v>200000.0</v>
      </c>
      <c r="S2918" s="173"/>
      <c r="T2918" s="173"/>
      <c r="U2918" s="173"/>
      <c r="V2918" s="202"/>
      <c r="W2918" s="169" t="s">
        <v>10087</v>
      </c>
      <c r="X2918" s="171"/>
    </row>
    <row r="2919" ht="15.0" customHeight="1">
      <c r="A2919" s="127">
        <v>45997.0</v>
      </c>
      <c r="B2919" s="181" t="s">
        <v>10141</v>
      </c>
      <c r="C2919" s="56" t="s">
        <v>2729</v>
      </c>
      <c r="D2919" s="73" t="str">
        <f>IFERROR(VLOOKUP(C2919,Stock,3,FALSE),"")</f>
        <v>Honda HR-V 14-21 5D SUV</v>
      </c>
      <c r="E2919" s="56">
        <v>1.0</v>
      </c>
      <c r="F2919" s="161">
        <v>1956000.0</v>
      </c>
      <c r="G2919" s="162">
        <f t="shared" si="40"/>
        <v>1956000</v>
      </c>
      <c r="H2919" s="194"/>
      <c r="I2919" s="161">
        <f t="shared" si="41"/>
        <v>1956000</v>
      </c>
      <c r="J2919" s="164">
        <f t="shared" si="42"/>
        <v>1956000</v>
      </c>
      <c r="K2919" s="56" t="s">
        <v>10142</v>
      </c>
      <c r="L2919" s="165" t="s">
        <v>10143</v>
      </c>
      <c r="M2919" s="73"/>
      <c r="N2919" s="171"/>
      <c r="O2919" s="169" t="s">
        <v>6923</v>
      </c>
      <c r="P2919" s="168" t="s">
        <v>3112</v>
      </c>
      <c r="Q2919" s="173"/>
      <c r="R2919" s="167">
        <v>1956000.0</v>
      </c>
      <c r="S2919" s="173"/>
      <c r="T2919" s="173"/>
      <c r="U2919" s="173"/>
      <c r="V2919" s="202"/>
      <c r="W2919" s="169" t="s">
        <v>10087</v>
      </c>
      <c r="X2919" s="171"/>
    </row>
    <row r="2920" ht="15.0" customHeight="1">
      <c r="A2920" s="127">
        <v>45997.0</v>
      </c>
      <c r="B2920" s="181" t="s">
        <v>10144</v>
      </c>
      <c r="C2920" s="484" t="s">
        <v>3273</v>
      </c>
      <c r="D2920" s="73" t="str">
        <f>IFERROR(VLOOKUP(C2920,Stock,3,FALSE),"")</f>
        <v>Pemasangan Kaca Mobil Belakang</v>
      </c>
      <c r="E2920" s="56">
        <v>1.0</v>
      </c>
      <c r="F2920" s="161">
        <v>550000.0</v>
      </c>
      <c r="G2920" s="162">
        <f t="shared" si="40"/>
        <v>550000</v>
      </c>
      <c r="H2920" s="194"/>
      <c r="I2920" s="161">
        <f t="shared" si="41"/>
        <v>550000</v>
      </c>
      <c r="J2920" s="164">
        <f t="shared" si="42"/>
        <v>550000</v>
      </c>
      <c r="K2920" s="56" t="s">
        <v>10145</v>
      </c>
      <c r="L2920" s="165" t="s">
        <v>10146</v>
      </c>
      <c r="M2920" s="73"/>
      <c r="N2920" s="171"/>
      <c r="O2920" s="169" t="s">
        <v>6923</v>
      </c>
      <c r="P2920" s="168" t="s">
        <v>3112</v>
      </c>
      <c r="Q2920" s="173"/>
      <c r="R2920" s="167">
        <v>550000.0</v>
      </c>
      <c r="S2920" s="173"/>
      <c r="T2920" s="173"/>
      <c r="U2920" s="173"/>
      <c r="V2920" s="202"/>
      <c r="W2920" s="169" t="s">
        <v>10087</v>
      </c>
      <c r="X2920" s="171"/>
    </row>
    <row r="2921" ht="15.0" customHeight="1">
      <c r="A2921" s="127">
        <v>45998.0</v>
      </c>
      <c r="B2921" s="181" t="s">
        <v>10147</v>
      </c>
      <c r="C2921" s="56" t="s">
        <v>4907</v>
      </c>
      <c r="D2921" s="73" t="str">
        <f>IFERROR(VLOOKUP(C2921,Stock,3,FALSE),"")</f>
        <v>Nissan Livina 07-12 L10 (Tanpa Lubang)</v>
      </c>
      <c r="E2921" s="56">
        <v>1.0</v>
      </c>
      <c r="F2921" s="161">
        <v>850000.0</v>
      </c>
      <c r="G2921" s="162">
        <f t="shared" si="40"/>
        <v>850000</v>
      </c>
      <c r="H2921" s="194"/>
      <c r="I2921" s="161">
        <f t="shared" si="41"/>
        <v>850000</v>
      </c>
      <c r="J2921" s="164">
        <f t="shared" si="42"/>
        <v>850000</v>
      </c>
      <c r="K2921" s="56" t="s">
        <v>5313</v>
      </c>
      <c r="L2921" s="165" t="s">
        <v>4287</v>
      </c>
      <c r="M2921" s="73"/>
      <c r="N2921" s="171"/>
      <c r="O2921" s="169" t="s">
        <v>6923</v>
      </c>
      <c r="P2921" s="168" t="s">
        <v>3112</v>
      </c>
      <c r="Q2921" s="173"/>
      <c r="R2921" s="167">
        <v>850000.0</v>
      </c>
      <c r="S2921" s="173"/>
      <c r="T2921" s="173"/>
      <c r="U2921" s="173"/>
      <c r="V2921" s="202"/>
      <c r="W2921" s="169" t="s">
        <v>10087</v>
      </c>
      <c r="X2921" s="171"/>
    </row>
    <row r="2922" ht="15.0" customHeight="1">
      <c r="A2922" s="127">
        <v>45998.0</v>
      </c>
      <c r="B2922" s="181" t="s">
        <v>10148</v>
      </c>
      <c r="C2922" s="56" t="s">
        <v>2562</v>
      </c>
      <c r="D2922" s="73" t="str">
        <f>IFERROR(VLOOKUP(C2922,Stock,3,FALSE),"")</f>
        <v>Toyota Avanza / Xenia 15-21 3rd Gen</v>
      </c>
      <c r="E2922" s="56">
        <v>1.0</v>
      </c>
      <c r="F2922" s="161">
        <v>1000000.0</v>
      </c>
      <c r="G2922" s="162">
        <f t="shared" si="40"/>
        <v>1000000</v>
      </c>
      <c r="H2922" s="194"/>
      <c r="I2922" s="161">
        <f t="shared" si="41"/>
        <v>1000000</v>
      </c>
      <c r="J2922" s="164">
        <f t="shared" si="42"/>
        <v>1000000</v>
      </c>
      <c r="K2922" s="56" t="s">
        <v>10149</v>
      </c>
      <c r="L2922" s="165" t="s">
        <v>10150</v>
      </c>
      <c r="M2922" s="73"/>
      <c r="N2922" s="171"/>
      <c r="O2922" s="169" t="s">
        <v>6923</v>
      </c>
      <c r="P2922" s="168" t="s">
        <v>3112</v>
      </c>
      <c r="Q2922" s="173"/>
      <c r="R2922" s="167">
        <v>1000000.0</v>
      </c>
      <c r="S2922" s="173"/>
      <c r="T2922" s="173"/>
      <c r="U2922" s="173"/>
      <c r="V2922" s="202"/>
      <c r="W2922" s="169" t="s">
        <v>10087</v>
      </c>
      <c r="X2922" s="171"/>
    </row>
    <row r="2923" ht="15.0" customHeight="1">
      <c r="A2923" s="127">
        <v>45998.0</v>
      </c>
      <c r="B2923" s="181" t="s">
        <v>10148</v>
      </c>
      <c r="C2923" s="56" t="s">
        <v>3826</v>
      </c>
      <c r="D2923" s="73" t="str">
        <f>IFERROR(VLOOKUP(C2923,Stock,3,FALSE),"")</f>
        <v>List Kaca Depan Code 11</v>
      </c>
      <c r="E2923" s="56">
        <v>1.0</v>
      </c>
      <c r="F2923" s="161">
        <v>275000.0</v>
      </c>
      <c r="G2923" s="162">
        <f t="shared" si="40"/>
        <v>275000</v>
      </c>
      <c r="H2923" s="194"/>
      <c r="I2923" s="161">
        <f t="shared" si="41"/>
        <v>275000</v>
      </c>
      <c r="J2923" s="164">
        <f t="shared" si="42"/>
        <v>275000</v>
      </c>
      <c r="K2923" s="56" t="s">
        <v>10149</v>
      </c>
      <c r="L2923" s="165" t="s">
        <v>10150</v>
      </c>
      <c r="M2923" s="73"/>
      <c r="N2923" s="171"/>
      <c r="O2923" s="169" t="s">
        <v>6923</v>
      </c>
      <c r="P2923" s="168" t="s">
        <v>3112</v>
      </c>
      <c r="Q2923" s="173"/>
      <c r="R2923" s="167">
        <v>275000.0</v>
      </c>
      <c r="S2923" s="173"/>
      <c r="T2923" s="173"/>
      <c r="U2923" s="173"/>
      <c r="V2923" s="202"/>
      <c r="W2923" s="169" t="s">
        <v>10087</v>
      </c>
      <c r="X2923" s="171"/>
    </row>
    <row r="2924" ht="15.0" customHeight="1">
      <c r="A2924" s="127">
        <v>45998.0</v>
      </c>
      <c r="B2924" s="181" t="s">
        <v>10151</v>
      </c>
      <c r="C2924" s="56" t="s">
        <v>10152</v>
      </c>
      <c r="D2924" s="73" t="str">
        <f>IFERROR(VLOOKUP(C2924,Stock,3,FALSE),"")</f>
        <v>BMW 7 Series 19- G11/G12 (1 Sensor / O )</v>
      </c>
      <c r="E2924" s="56">
        <v>1.0</v>
      </c>
      <c r="F2924" s="161">
        <v>8300000.0</v>
      </c>
      <c r="G2924" s="162">
        <f t="shared" si="40"/>
        <v>8300000</v>
      </c>
      <c r="H2924" s="194"/>
      <c r="I2924" s="161">
        <f t="shared" si="41"/>
        <v>8300000</v>
      </c>
      <c r="J2924" s="164">
        <f t="shared" si="42"/>
        <v>8300000</v>
      </c>
      <c r="K2924" s="56" t="s">
        <v>10153</v>
      </c>
      <c r="L2924" s="165" t="s">
        <v>10154</v>
      </c>
      <c r="M2924" s="73"/>
      <c r="N2924" s="171"/>
      <c r="O2924" s="169" t="s">
        <v>6923</v>
      </c>
      <c r="P2924" s="168" t="s">
        <v>3112</v>
      </c>
      <c r="Q2924" s="173"/>
      <c r="R2924" s="167">
        <v>8300000.0</v>
      </c>
      <c r="S2924" s="173"/>
      <c r="T2924" s="173"/>
      <c r="U2924" s="173"/>
      <c r="V2924" s="202"/>
      <c r="W2924" s="169" t="s">
        <v>10087</v>
      </c>
      <c r="X2924" s="171"/>
    </row>
    <row r="2925" ht="15.0" customHeight="1">
      <c r="A2925" s="127">
        <v>45999.0</v>
      </c>
      <c r="B2925" s="181" t="s">
        <v>10155</v>
      </c>
      <c r="C2925" s="56" t="s">
        <v>10156</v>
      </c>
      <c r="D2925" s="73" t="str">
        <f>IFERROR(VLOOKUP(C2925,Stock,3,FALSE),"")</f>
        <v>Toyota Innova 22- Zenyx 3rd Gen (1 Sensor / /\ ) (Toyota)</v>
      </c>
      <c r="E2925" s="56">
        <v>1.0</v>
      </c>
      <c r="F2925" s="161">
        <v>2656000.0</v>
      </c>
      <c r="G2925" s="162">
        <f t="shared" si="40"/>
        <v>2656000</v>
      </c>
      <c r="H2925" s="194"/>
      <c r="I2925" s="161">
        <f t="shared" si="41"/>
        <v>2656000</v>
      </c>
      <c r="J2925" s="164">
        <f t="shared" si="42"/>
        <v>2656000</v>
      </c>
      <c r="K2925" s="56" t="s">
        <v>5011</v>
      </c>
      <c r="L2925" s="165" t="s">
        <v>3644</v>
      </c>
      <c r="M2925" s="73"/>
      <c r="N2925" s="171"/>
      <c r="O2925" s="169" t="s">
        <v>6923</v>
      </c>
      <c r="P2925" s="168" t="s">
        <v>3112</v>
      </c>
      <c r="Q2925" s="173"/>
      <c r="R2925" s="167">
        <v>2656000.0</v>
      </c>
      <c r="S2925" s="173"/>
      <c r="T2925" s="173"/>
      <c r="U2925" s="173"/>
      <c r="V2925" s="202"/>
      <c r="W2925" s="169" t="s">
        <v>10087</v>
      </c>
      <c r="X2925" s="171"/>
    </row>
    <row r="2926" ht="15.0" customHeight="1">
      <c r="A2926" s="127">
        <v>45999.0</v>
      </c>
      <c r="B2926" s="181" t="s">
        <v>10157</v>
      </c>
      <c r="C2926" s="484" t="s">
        <v>2936</v>
      </c>
      <c r="D2926" s="73" t="str">
        <f>IFERROR(VLOOKUP(C2926,Stock,3,FALSE),"")</f>
        <v>Toyota Calya / Sigra 16-</v>
      </c>
      <c r="E2926" s="56">
        <v>1.0</v>
      </c>
      <c r="F2926" s="161">
        <v>900000.0</v>
      </c>
      <c r="G2926" s="162">
        <f t="shared" si="40"/>
        <v>900000</v>
      </c>
      <c r="H2926" s="194"/>
      <c r="I2926" s="161">
        <f t="shared" si="41"/>
        <v>900000</v>
      </c>
      <c r="J2926" s="164">
        <f t="shared" si="42"/>
        <v>900000</v>
      </c>
      <c r="K2926" s="56" t="s">
        <v>10158</v>
      </c>
      <c r="L2926" s="165" t="s">
        <v>10159</v>
      </c>
      <c r="M2926" s="73"/>
      <c r="N2926" s="171"/>
      <c r="O2926" s="169" t="s">
        <v>6923</v>
      </c>
      <c r="P2926" s="168" t="s">
        <v>3112</v>
      </c>
      <c r="Q2926" s="167">
        <v>900000.0</v>
      </c>
      <c r="R2926" s="173"/>
      <c r="S2926" s="173"/>
      <c r="T2926" s="173"/>
      <c r="U2926" s="173"/>
      <c r="V2926" s="202"/>
      <c r="W2926" s="169" t="s">
        <v>10087</v>
      </c>
      <c r="X2926" s="171"/>
    </row>
    <row r="2927" ht="15.0" customHeight="1">
      <c r="A2927" s="127">
        <v>45999.0</v>
      </c>
      <c r="B2927" s="181" t="s">
        <v>10157</v>
      </c>
      <c r="C2927" s="56" t="s">
        <v>2954</v>
      </c>
      <c r="D2927" s="73" t="str">
        <f>IFERROR(VLOOKUP(C2927,Stock,3,FALSE),"")</f>
        <v>Transport</v>
      </c>
      <c r="E2927" s="56">
        <v>1.0</v>
      </c>
      <c r="F2927" s="161">
        <v>75000.0</v>
      </c>
      <c r="G2927" s="162">
        <f t="shared" si="40"/>
        <v>75000</v>
      </c>
      <c r="H2927" s="194"/>
      <c r="I2927" s="161">
        <f t="shared" si="41"/>
        <v>75000</v>
      </c>
      <c r="J2927" s="164">
        <f t="shared" si="42"/>
        <v>75000</v>
      </c>
      <c r="K2927" s="56" t="s">
        <v>10158</v>
      </c>
      <c r="L2927" s="165" t="s">
        <v>10159</v>
      </c>
      <c r="M2927" s="73"/>
      <c r="N2927" s="171"/>
      <c r="O2927" s="169" t="s">
        <v>6923</v>
      </c>
      <c r="P2927" s="168" t="s">
        <v>3112</v>
      </c>
      <c r="Q2927" s="167">
        <v>25000.0</v>
      </c>
      <c r="R2927" s="167">
        <v>50000.0</v>
      </c>
      <c r="S2927" s="173"/>
      <c r="T2927" s="173"/>
      <c r="U2927" s="173"/>
      <c r="V2927" s="202"/>
      <c r="W2927" s="169" t="s">
        <v>10087</v>
      </c>
      <c r="X2927" s="171"/>
    </row>
    <row r="2928" ht="15.0" customHeight="1">
      <c r="A2928" s="127">
        <v>45999.0</v>
      </c>
      <c r="B2928" s="181" t="s">
        <v>10160</v>
      </c>
      <c r="C2928" s="56" t="s">
        <v>2562</v>
      </c>
      <c r="D2928" s="73" t="str">
        <f>IFERROR(VLOOKUP(C2928,Stock,3,FALSE),"")</f>
        <v>Toyota Avanza / Xenia 15-21 3rd Gen</v>
      </c>
      <c r="E2928" s="56">
        <v>1.0</v>
      </c>
      <c r="F2928" s="161">
        <v>1050000.0</v>
      </c>
      <c r="G2928" s="162">
        <f t="shared" si="40"/>
        <v>1050000</v>
      </c>
      <c r="H2928" s="194"/>
      <c r="I2928" s="161">
        <f t="shared" si="41"/>
        <v>1050000</v>
      </c>
      <c r="J2928" s="164">
        <f t="shared" si="42"/>
        <v>1050000</v>
      </c>
      <c r="K2928" s="56" t="s">
        <v>10161</v>
      </c>
      <c r="L2928" s="165" t="s">
        <v>10162</v>
      </c>
      <c r="M2928" s="73"/>
      <c r="N2928" s="171"/>
      <c r="O2928" s="169" t="s">
        <v>6923</v>
      </c>
      <c r="P2928" s="168" t="s">
        <v>3112</v>
      </c>
      <c r="Q2928" s="167">
        <v>1050000.0</v>
      </c>
      <c r="R2928" s="173"/>
      <c r="S2928" s="173"/>
      <c r="T2928" s="173"/>
      <c r="U2928" s="173"/>
      <c r="V2928" s="202"/>
      <c r="W2928" s="169" t="s">
        <v>10087</v>
      </c>
      <c r="X2928" s="171"/>
    </row>
    <row r="2929" ht="15.0" customHeight="1">
      <c r="A2929" s="127">
        <v>45999.0</v>
      </c>
      <c r="B2929" s="181" t="s">
        <v>10163</v>
      </c>
      <c r="C2929" s="56" t="s">
        <v>2732</v>
      </c>
      <c r="D2929" s="73" t="str">
        <f>IFERROR(VLOOKUP(C2929,Stock,3,FALSE),"")</f>
        <v>Honda Jazz 13- 3rd Gen</v>
      </c>
      <c r="E2929" s="56">
        <v>1.0</v>
      </c>
      <c r="F2929" s="161">
        <v>1457000.0</v>
      </c>
      <c r="G2929" s="162">
        <f t="shared" si="40"/>
        <v>1457000</v>
      </c>
      <c r="H2929" s="201">
        <v>157000.0</v>
      </c>
      <c r="I2929" s="161">
        <f t="shared" si="41"/>
        <v>1300000</v>
      </c>
      <c r="J2929" s="164">
        <f t="shared" si="42"/>
        <v>1300000</v>
      </c>
      <c r="K2929" s="56" t="s">
        <v>10164</v>
      </c>
      <c r="L2929" s="165" t="s">
        <v>10165</v>
      </c>
      <c r="M2929" s="73"/>
      <c r="N2929" s="171"/>
      <c r="O2929" s="169" t="s">
        <v>6923</v>
      </c>
      <c r="P2929" s="168" t="s">
        <v>3112</v>
      </c>
      <c r="Q2929" s="173"/>
      <c r="R2929" s="167">
        <v>1300000.0</v>
      </c>
      <c r="S2929" s="173"/>
      <c r="T2929" s="173"/>
      <c r="U2929" s="173"/>
      <c r="V2929" s="202"/>
      <c r="W2929" s="169" t="s">
        <v>10087</v>
      </c>
      <c r="X2929" s="171"/>
    </row>
    <row r="2930" ht="15.0" customHeight="1">
      <c r="A2930" s="127">
        <v>45999.0</v>
      </c>
      <c r="B2930" s="181" t="s">
        <v>10166</v>
      </c>
      <c r="C2930" s="56" t="s">
        <v>10167</v>
      </c>
      <c r="D2930" s="73" t="str">
        <f>IFERROR(VLOOKUP(C2930,Stock,3,FALSE),"")</f>
        <v>Suzuki Grand Vitara 06-14</v>
      </c>
      <c r="E2930" s="56">
        <v>1.0</v>
      </c>
      <c r="F2930" s="161">
        <v>1170000.0</v>
      </c>
      <c r="G2930" s="162">
        <f t="shared" si="40"/>
        <v>1170000</v>
      </c>
      <c r="H2930" s="194"/>
      <c r="I2930" s="161">
        <f t="shared" si="41"/>
        <v>1170000</v>
      </c>
      <c r="J2930" s="164">
        <f t="shared" si="42"/>
        <v>1170000</v>
      </c>
      <c r="K2930" s="56" t="s">
        <v>10168</v>
      </c>
      <c r="L2930" s="165" t="s">
        <v>10169</v>
      </c>
      <c r="M2930" s="73"/>
      <c r="N2930" s="171"/>
      <c r="O2930" s="169" t="s">
        <v>6923</v>
      </c>
      <c r="P2930" s="168" t="s">
        <v>3112</v>
      </c>
      <c r="Q2930" s="173"/>
      <c r="R2930" s="167">
        <v>1170000.0</v>
      </c>
      <c r="S2930" s="173"/>
      <c r="T2930" s="173"/>
      <c r="U2930" s="173"/>
      <c r="V2930" s="202"/>
      <c r="W2930" s="169" t="s">
        <v>10087</v>
      </c>
      <c r="X2930" s="171"/>
    </row>
    <row r="2931" ht="15.0" customHeight="1">
      <c r="A2931" s="127">
        <v>45999.0</v>
      </c>
      <c r="B2931" s="181" t="s">
        <v>10166</v>
      </c>
      <c r="C2931" s="56" t="s">
        <v>2934</v>
      </c>
      <c r="D2931" s="73" t="str">
        <f>IFERROR(VLOOKUP(C2931,Stock,3,FALSE),"")</f>
        <v>Peti Kayu</v>
      </c>
      <c r="E2931" s="56">
        <v>1.0</v>
      </c>
      <c r="F2931" s="161">
        <v>200000.0</v>
      </c>
      <c r="G2931" s="162">
        <f t="shared" si="40"/>
        <v>200000</v>
      </c>
      <c r="H2931" s="194"/>
      <c r="I2931" s="161">
        <f t="shared" si="41"/>
        <v>200000</v>
      </c>
      <c r="J2931" s="164">
        <f t="shared" si="42"/>
        <v>200000</v>
      </c>
      <c r="K2931" s="56" t="s">
        <v>10168</v>
      </c>
      <c r="L2931" s="165" t="s">
        <v>10169</v>
      </c>
      <c r="M2931" s="73"/>
      <c r="N2931" s="171"/>
      <c r="O2931" s="169" t="s">
        <v>6923</v>
      </c>
      <c r="P2931" s="168" t="s">
        <v>3112</v>
      </c>
      <c r="Q2931" s="173"/>
      <c r="R2931" s="167">
        <v>200000.0</v>
      </c>
      <c r="S2931" s="173"/>
      <c r="T2931" s="173"/>
      <c r="U2931" s="173"/>
      <c r="V2931" s="202"/>
      <c r="W2931" s="169" t="s">
        <v>10087</v>
      </c>
      <c r="X2931" s="171"/>
    </row>
    <row r="2932" ht="15.0" customHeight="1">
      <c r="A2932" s="127">
        <v>46000.0</v>
      </c>
      <c r="B2932" s="181" t="s">
        <v>10170</v>
      </c>
      <c r="C2932" s="56" t="s">
        <v>6476</v>
      </c>
      <c r="D2932" s="73" t="str">
        <f>IFERROR(VLOOKUP(C2932,Stock,3,FALSE),"")</f>
        <v>Mitsubishi Outlander 10-21</v>
      </c>
      <c r="E2932" s="56">
        <v>1.0</v>
      </c>
      <c r="F2932" s="161">
        <v>1300000.0</v>
      </c>
      <c r="G2932" s="162">
        <f t="shared" si="40"/>
        <v>1300000</v>
      </c>
      <c r="H2932" s="194"/>
      <c r="I2932" s="161">
        <f t="shared" si="41"/>
        <v>1300000</v>
      </c>
      <c r="J2932" s="164">
        <f t="shared" si="42"/>
        <v>1300000</v>
      </c>
      <c r="K2932" s="56" t="s">
        <v>10171</v>
      </c>
      <c r="L2932" s="165" t="s">
        <v>10172</v>
      </c>
      <c r="M2932" s="73"/>
      <c r="N2932" s="171"/>
      <c r="O2932" s="169" t="s">
        <v>6923</v>
      </c>
      <c r="P2932" s="168" t="s">
        <v>3112</v>
      </c>
      <c r="Q2932" s="173"/>
      <c r="R2932" s="167">
        <v>1300000.0</v>
      </c>
      <c r="S2932" s="173"/>
      <c r="T2932" s="173"/>
      <c r="U2932" s="173"/>
      <c r="V2932" s="202"/>
      <c r="W2932" s="169" t="s">
        <v>10087</v>
      </c>
      <c r="X2932" s="171"/>
    </row>
    <row r="2933" ht="15.0" customHeight="1">
      <c r="A2933" s="127">
        <v>46000.0</v>
      </c>
      <c r="B2933" s="181" t="s">
        <v>10173</v>
      </c>
      <c r="C2933" s="56" t="s">
        <v>2552</v>
      </c>
      <c r="D2933" s="73" t="str">
        <f>IFERROR(VLOOKUP(C2933,Stock,3,FALSE),"")</f>
        <v>Toyota Kijang 02-04 Kapsul Lem Efi</v>
      </c>
      <c r="E2933" s="56">
        <v>1.0</v>
      </c>
      <c r="F2933" s="161">
        <v>1078000.0</v>
      </c>
      <c r="G2933" s="162">
        <f t="shared" si="40"/>
        <v>1078000</v>
      </c>
      <c r="H2933" s="194"/>
      <c r="I2933" s="161">
        <f t="shared" si="41"/>
        <v>1078000</v>
      </c>
      <c r="J2933" s="164">
        <f t="shared" si="42"/>
        <v>1078000</v>
      </c>
      <c r="K2933" s="56" t="s">
        <v>3828</v>
      </c>
      <c r="L2933" s="165" t="s">
        <v>3683</v>
      </c>
      <c r="M2933" s="73"/>
      <c r="N2933" s="171"/>
      <c r="O2933" s="169" t="s">
        <v>6923</v>
      </c>
      <c r="P2933" s="168" t="s">
        <v>3112</v>
      </c>
      <c r="Q2933" s="173"/>
      <c r="R2933" s="161">
        <v>869000.0</v>
      </c>
      <c r="S2933" s="173"/>
      <c r="T2933" s="173"/>
      <c r="U2933" s="173"/>
      <c r="V2933" s="202"/>
      <c r="W2933" s="169" t="s">
        <v>10087</v>
      </c>
      <c r="X2933" s="171"/>
    </row>
    <row r="2934" ht="15.0" customHeight="1">
      <c r="A2934" s="127">
        <v>46000.0</v>
      </c>
      <c r="B2934" s="181" t="s">
        <v>10173</v>
      </c>
      <c r="C2934" s="56" t="s">
        <v>2814</v>
      </c>
      <c r="D2934" s="73" t="str">
        <f>IFERROR(VLOOKUP(C2934,Stock,3,FALSE),"")</f>
        <v>Toyota Kijang 02-04 Kapsul Lem Efi (7K) Long</v>
      </c>
      <c r="E2934" s="56">
        <v>1.0</v>
      </c>
      <c r="F2934" s="161">
        <v>500000.0</v>
      </c>
      <c r="G2934" s="162">
        <f t="shared" si="40"/>
        <v>500000</v>
      </c>
      <c r="H2934" s="194"/>
      <c r="I2934" s="161">
        <f t="shared" si="41"/>
        <v>500000</v>
      </c>
      <c r="J2934" s="164">
        <f t="shared" si="42"/>
        <v>500000</v>
      </c>
      <c r="K2934" s="56" t="s">
        <v>3828</v>
      </c>
      <c r="L2934" s="165" t="s">
        <v>3683</v>
      </c>
      <c r="M2934" s="73"/>
      <c r="N2934" s="171"/>
      <c r="O2934" s="169" t="s">
        <v>6923</v>
      </c>
      <c r="P2934" s="168" t="s">
        <v>3112</v>
      </c>
      <c r="Q2934" s="173"/>
      <c r="R2934" s="161"/>
      <c r="S2934" s="173"/>
      <c r="T2934" s="173"/>
      <c r="U2934" s="173"/>
      <c r="V2934" s="202"/>
      <c r="W2934" s="169" t="s">
        <v>10087</v>
      </c>
      <c r="X2934" s="171"/>
    </row>
    <row r="2935" ht="15.0" customHeight="1">
      <c r="A2935" s="127">
        <v>46000.0</v>
      </c>
      <c r="B2935" s="181" t="s">
        <v>10173</v>
      </c>
      <c r="C2935" s="475" t="s">
        <v>2934</v>
      </c>
      <c r="D2935" s="73" t="str">
        <f>IFERROR(VLOOKUP(C2935,Stock,3,FALSE),"")</f>
        <v>Peti Kayu</v>
      </c>
      <c r="E2935" s="56">
        <v>1.0</v>
      </c>
      <c r="F2935" s="161">
        <v>160000.0</v>
      </c>
      <c r="G2935" s="162">
        <f t="shared" si="40"/>
        <v>160000</v>
      </c>
      <c r="H2935" s="194"/>
      <c r="I2935" s="161">
        <f t="shared" si="41"/>
        <v>160000</v>
      </c>
      <c r="J2935" s="164">
        <f t="shared" si="42"/>
        <v>160000</v>
      </c>
      <c r="K2935" s="56" t="s">
        <v>3828</v>
      </c>
      <c r="L2935" s="165" t="s">
        <v>3683</v>
      </c>
      <c r="M2935" s="73"/>
      <c r="N2935" s="171"/>
      <c r="O2935" s="169" t="s">
        <v>6923</v>
      </c>
      <c r="P2935" s="168" t="s">
        <v>3112</v>
      </c>
      <c r="Q2935" s="173"/>
      <c r="R2935" s="161"/>
      <c r="S2935" s="173"/>
      <c r="T2935" s="173"/>
      <c r="U2935" s="173"/>
      <c r="V2935" s="202"/>
      <c r="W2935" s="169" t="s">
        <v>10087</v>
      </c>
      <c r="X2935" s="171"/>
    </row>
    <row r="2936" ht="15.0" customHeight="1">
      <c r="A2936" s="127">
        <v>46001.0</v>
      </c>
      <c r="B2936" s="181" t="s">
        <v>10174</v>
      </c>
      <c r="C2936" s="56" t="s">
        <v>2844</v>
      </c>
      <c r="D2936" s="73" t="str">
        <f>IFERROR(VLOOKUP(C2936,Stock,3,FALSE),"")</f>
        <v>Toyota Avanza / Xenia 11-15 2nd Gen / 15-21 3rd Gen</v>
      </c>
      <c r="E2936" s="56">
        <v>1.0</v>
      </c>
      <c r="F2936" s="161">
        <v>650000.0</v>
      </c>
      <c r="G2936" s="162">
        <f t="shared" si="40"/>
        <v>650000</v>
      </c>
      <c r="H2936" s="194"/>
      <c r="I2936" s="161">
        <f t="shared" si="41"/>
        <v>650000</v>
      </c>
      <c r="J2936" s="164">
        <f t="shared" si="42"/>
        <v>650000</v>
      </c>
      <c r="K2936" s="56" t="s">
        <v>10175</v>
      </c>
      <c r="L2936" s="165" t="s">
        <v>10176</v>
      </c>
      <c r="M2936" s="73"/>
      <c r="N2936" s="171"/>
      <c r="O2936" s="169" t="s">
        <v>6923</v>
      </c>
      <c r="P2936" s="168" t="s">
        <v>3112</v>
      </c>
      <c r="Q2936" s="173"/>
      <c r="R2936" s="167">
        <v>650000.0</v>
      </c>
      <c r="S2936" s="173"/>
      <c r="T2936" s="173"/>
      <c r="U2936" s="173"/>
      <c r="V2936" s="202"/>
      <c r="W2936" s="171"/>
      <c r="X2936" s="171"/>
    </row>
    <row r="2937" ht="15.0" customHeight="1">
      <c r="A2937" s="127">
        <v>46002.0</v>
      </c>
      <c r="B2937" s="181" t="s">
        <v>10177</v>
      </c>
      <c r="C2937" s="56" t="s">
        <v>2565</v>
      </c>
      <c r="D2937" s="73" t="str">
        <f>IFERROR(VLOOKUP(C2937,Stock,3,FALSE),"")</f>
        <v>Toyota Avanza / Xenia 03-11 1st Gen</v>
      </c>
      <c r="E2937" s="56">
        <v>1.0</v>
      </c>
      <c r="F2937" s="161">
        <v>1000000.0</v>
      </c>
      <c r="G2937" s="162">
        <f t="shared" si="40"/>
        <v>1000000</v>
      </c>
      <c r="H2937" s="194"/>
      <c r="I2937" s="161">
        <f t="shared" si="41"/>
        <v>1000000</v>
      </c>
      <c r="J2937" s="164">
        <f t="shared" si="42"/>
        <v>1000000</v>
      </c>
      <c r="K2937" s="56" t="s">
        <v>10178</v>
      </c>
      <c r="L2937" s="165" t="s">
        <v>10179</v>
      </c>
      <c r="M2937" s="73"/>
      <c r="N2937" s="171"/>
      <c r="O2937" s="169" t="s">
        <v>6923</v>
      </c>
      <c r="P2937" s="168" t="s">
        <v>3112</v>
      </c>
      <c r="Q2937" s="167">
        <v>1000000.0</v>
      </c>
      <c r="R2937" s="173"/>
      <c r="S2937" s="173"/>
      <c r="T2937" s="173"/>
      <c r="U2937" s="173"/>
      <c r="V2937" s="202"/>
      <c r="W2937" s="171"/>
      <c r="X2937" s="171"/>
    </row>
    <row r="2938" ht="15.0" customHeight="1">
      <c r="A2938" s="127">
        <v>46002.0</v>
      </c>
      <c r="B2938" s="181" t="s">
        <v>10180</v>
      </c>
      <c r="C2938" s="484" t="s">
        <v>2555</v>
      </c>
      <c r="D2938" s="73" t="str">
        <f>IFERROR(VLOOKUP(C2938,Stock,3,FALSE),"")</f>
        <v>Toyota Fortuner 15-  2nd Gen (Toyota)</v>
      </c>
      <c r="E2938" s="56">
        <v>1.0</v>
      </c>
      <c r="F2938" s="161">
        <v>2998000.0</v>
      </c>
      <c r="G2938" s="162">
        <f t="shared" si="40"/>
        <v>2998000</v>
      </c>
      <c r="H2938" s="194"/>
      <c r="I2938" s="161">
        <f t="shared" si="41"/>
        <v>2998000</v>
      </c>
      <c r="J2938" s="164">
        <f t="shared" si="42"/>
        <v>2998000</v>
      </c>
      <c r="K2938" s="56" t="s">
        <v>10181</v>
      </c>
      <c r="L2938" s="165" t="s">
        <v>10182</v>
      </c>
      <c r="M2938" s="73"/>
      <c r="N2938" s="171"/>
      <c r="O2938" s="169" t="s">
        <v>6923</v>
      </c>
      <c r="P2938" s="168" t="s">
        <v>3112</v>
      </c>
      <c r="Q2938" s="173"/>
      <c r="R2938" s="167">
        <v>2998000.0</v>
      </c>
      <c r="S2938" s="173"/>
      <c r="T2938" s="173"/>
      <c r="U2938" s="173"/>
      <c r="V2938" s="202"/>
      <c r="W2938" s="171"/>
      <c r="X2938" s="171"/>
    </row>
    <row r="2939" ht="15.0" customHeight="1">
      <c r="A2939" s="127">
        <v>46004.0</v>
      </c>
      <c r="B2939" s="181" t="s">
        <v>10183</v>
      </c>
      <c r="C2939" s="56" t="s">
        <v>2565</v>
      </c>
      <c r="D2939" s="73" t="str">
        <f>IFERROR(VLOOKUP(C2939,Stock,3,FALSE),"")</f>
        <v>Toyota Avanza / Xenia 03-11 1st Gen</v>
      </c>
      <c r="E2939" s="56">
        <v>1.0</v>
      </c>
      <c r="F2939" s="161">
        <v>1000000.0</v>
      </c>
      <c r="G2939" s="162">
        <f t="shared" si="40"/>
        <v>1000000</v>
      </c>
      <c r="H2939" s="194"/>
      <c r="I2939" s="161">
        <f t="shared" si="41"/>
        <v>1000000</v>
      </c>
      <c r="J2939" s="164">
        <f t="shared" si="42"/>
        <v>1000000</v>
      </c>
      <c r="K2939" s="56" t="s">
        <v>5852</v>
      </c>
      <c r="L2939" s="165" t="s">
        <v>10184</v>
      </c>
      <c r="M2939" s="73"/>
      <c r="N2939" s="171"/>
      <c r="O2939" s="169" t="s">
        <v>6923</v>
      </c>
      <c r="P2939" s="168" t="s">
        <v>3112</v>
      </c>
      <c r="Q2939" s="173"/>
      <c r="R2939" s="167">
        <v>1000000.0</v>
      </c>
      <c r="S2939" s="173"/>
      <c r="T2939" s="173"/>
      <c r="U2939" s="173"/>
      <c r="V2939" s="202"/>
      <c r="W2939" s="171"/>
      <c r="X2939" s="171"/>
    </row>
    <row r="2940" ht="15.0" customHeight="1">
      <c r="A2940" s="127">
        <v>46005.0</v>
      </c>
      <c r="B2940" s="181" t="s">
        <v>10185</v>
      </c>
      <c r="C2940" s="56" t="s">
        <v>4775</v>
      </c>
      <c r="D2940" s="73" t="str">
        <f>IFERROR(VLOOKUP(C2940,Stock,3,FALSE),"")</f>
        <v>Toyota Avanza / Xenia 11-15 2nd Gen / 15-21 3rd Gen</v>
      </c>
      <c r="E2940" s="56">
        <v>1.0</v>
      </c>
      <c r="F2940" s="161">
        <v>650000.0</v>
      </c>
      <c r="G2940" s="162">
        <f t="shared" si="40"/>
        <v>650000</v>
      </c>
      <c r="H2940" s="194"/>
      <c r="I2940" s="161">
        <f t="shared" si="41"/>
        <v>650000</v>
      </c>
      <c r="J2940" s="164">
        <f t="shared" si="42"/>
        <v>650000</v>
      </c>
      <c r="K2940" s="56" t="s">
        <v>10186</v>
      </c>
      <c r="L2940" s="165" t="s">
        <v>9037</v>
      </c>
      <c r="M2940" s="73"/>
      <c r="N2940" s="171"/>
      <c r="O2940" s="169" t="s">
        <v>6923</v>
      </c>
      <c r="P2940" s="168" t="s">
        <v>3112</v>
      </c>
      <c r="Q2940" s="173"/>
      <c r="R2940" s="167">
        <v>650000.0</v>
      </c>
      <c r="S2940" s="173"/>
      <c r="T2940" s="173"/>
      <c r="U2940" s="173"/>
      <c r="V2940" s="202"/>
      <c r="W2940" s="171"/>
      <c r="X2940" s="171"/>
    </row>
    <row r="2941" ht="15.0" customHeight="1">
      <c r="A2941" s="127">
        <v>46006.0</v>
      </c>
      <c r="B2941" s="181" t="s">
        <v>10187</v>
      </c>
      <c r="C2941" s="56" t="s">
        <v>7063</v>
      </c>
      <c r="D2941" s="73" t="str">
        <f>IFERROR(VLOOKUP(C2941,Stock,3,FALSE),"")</f>
        <v>Wuling Confero (Tanpa Spionnya)</v>
      </c>
      <c r="E2941" s="56">
        <v>1.0</v>
      </c>
      <c r="F2941" s="161">
        <v>1190000.0</v>
      </c>
      <c r="G2941" s="162">
        <f t="shared" si="40"/>
        <v>1190000</v>
      </c>
      <c r="H2941" s="194"/>
      <c r="I2941" s="161">
        <f t="shared" si="41"/>
        <v>1190000</v>
      </c>
      <c r="J2941" s="164">
        <f t="shared" si="42"/>
        <v>1190000</v>
      </c>
      <c r="K2941" s="56" t="s">
        <v>7284</v>
      </c>
      <c r="L2941" s="73"/>
      <c r="M2941" s="73"/>
      <c r="N2941" s="171"/>
      <c r="O2941" s="169" t="s">
        <v>6923</v>
      </c>
      <c r="P2941" s="169" t="s">
        <v>5077</v>
      </c>
      <c r="Q2941" s="173"/>
      <c r="R2941" s="173"/>
      <c r="S2941" s="167">
        <v>119000.0</v>
      </c>
      <c r="T2941" s="173"/>
      <c r="U2941" s="173"/>
      <c r="V2941" s="202"/>
      <c r="W2941" s="171"/>
      <c r="X2941" s="171"/>
    </row>
    <row r="2942" ht="15.0" customHeight="1">
      <c r="A2942" s="127">
        <v>46006.0</v>
      </c>
      <c r="B2942" s="181" t="s">
        <v>10188</v>
      </c>
      <c r="C2942" s="56" t="s">
        <v>10189</v>
      </c>
      <c r="D2942" s="73" t="str">
        <f>IFERROR(VLOOKUP(C2942,Stock,3,FALSE),"")</f>
        <v>Toyota LandCruiser 90-97 FJ80</v>
      </c>
      <c r="E2942" s="56">
        <v>1.0</v>
      </c>
      <c r="F2942" s="161">
        <v>1995000.0</v>
      </c>
      <c r="G2942" s="162">
        <f t="shared" si="40"/>
        <v>1995000</v>
      </c>
      <c r="H2942" s="194"/>
      <c r="I2942" s="161">
        <f t="shared" si="41"/>
        <v>1995000</v>
      </c>
      <c r="J2942" s="164">
        <f t="shared" si="42"/>
        <v>1995000</v>
      </c>
      <c r="K2942" s="56" t="s">
        <v>10190</v>
      </c>
      <c r="L2942" s="165" t="s">
        <v>6881</v>
      </c>
      <c r="M2942" s="73"/>
      <c r="N2942" s="171"/>
      <c r="O2942" s="169" t="s">
        <v>6923</v>
      </c>
      <c r="P2942" s="168" t="s">
        <v>3112</v>
      </c>
      <c r="Q2942" s="167">
        <v>1250000.0</v>
      </c>
      <c r="R2942" s="167">
        <v>1000000.0</v>
      </c>
      <c r="S2942" s="173"/>
      <c r="T2942" s="173"/>
      <c r="U2942" s="173"/>
      <c r="V2942" s="202"/>
      <c r="W2942" s="171"/>
      <c r="X2942" s="171"/>
    </row>
    <row r="2943" ht="15.0" customHeight="1">
      <c r="A2943" s="127">
        <v>46006.0</v>
      </c>
      <c r="B2943" s="181" t="s">
        <v>10188</v>
      </c>
      <c r="C2943" s="56" t="s">
        <v>2934</v>
      </c>
      <c r="D2943" s="73" t="str">
        <f>IFERROR(VLOOKUP(C2943,Stock,3,FALSE),"")</f>
        <v>Peti Kayu</v>
      </c>
      <c r="E2943" s="56">
        <v>1.0</v>
      </c>
      <c r="F2943" s="161">
        <v>200000.0</v>
      </c>
      <c r="G2943" s="162">
        <f t="shared" si="40"/>
        <v>200000</v>
      </c>
      <c r="H2943" s="194"/>
      <c r="I2943" s="161">
        <f t="shared" si="41"/>
        <v>200000</v>
      </c>
      <c r="J2943" s="164">
        <f t="shared" si="42"/>
        <v>200000</v>
      </c>
      <c r="K2943" s="56" t="s">
        <v>10190</v>
      </c>
      <c r="L2943" s="165" t="s">
        <v>6881</v>
      </c>
      <c r="M2943" s="73"/>
      <c r="N2943" s="171"/>
      <c r="O2943" s="169" t="s">
        <v>6923</v>
      </c>
      <c r="P2943" s="168" t="s">
        <v>3112</v>
      </c>
      <c r="Q2943" s="173"/>
      <c r="R2943" s="167">
        <v>343000.0</v>
      </c>
      <c r="S2943" s="173"/>
      <c r="T2943" s="173"/>
      <c r="U2943" s="173"/>
      <c r="V2943" s="202"/>
      <c r="W2943" s="171"/>
      <c r="X2943" s="171"/>
    </row>
    <row r="2944" ht="15.0" customHeight="1">
      <c r="A2944" s="127">
        <v>46007.0</v>
      </c>
      <c r="B2944" s="181" t="s">
        <v>10191</v>
      </c>
      <c r="C2944" s="56" t="s">
        <v>2720</v>
      </c>
      <c r="D2944" s="73" t="str">
        <f>IFERROR(VLOOKUP(C2944,Stock,3,FALSE),"")</f>
        <v>Mitsubishi Canter FE300 85- (PS100,120,135 kabin kecil)</v>
      </c>
      <c r="E2944" s="56">
        <v>1.0</v>
      </c>
      <c r="F2944" s="161">
        <v>1295000.0</v>
      </c>
      <c r="G2944" s="162">
        <f t="shared" si="40"/>
        <v>1295000</v>
      </c>
      <c r="H2944" s="194"/>
      <c r="I2944" s="161">
        <f t="shared" si="41"/>
        <v>1295000</v>
      </c>
      <c r="J2944" s="164">
        <f t="shared" si="42"/>
        <v>1295000</v>
      </c>
      <c r="K2944" s="56" t="s">
        <v>10192</v>
      </c>
      <c r="L2944" s="165" t="s">
        <v>10193</v>
      </c>
      <c r="M2944" s="73"/>
      <c r="N2944" s="171"/>
      <c r="O2944" s="169" t="s">
        <v>6923</v>
      </c>
      <c r="P2944" s="168" t="s">
        <v>3112</v>
      </c>
      <c r="Q2944" s="173"/>
      <c r="R2944" s="167">
        <v>1295000.0</v>
      </c>
      <c r="S2944" s="173"/>
      <c r="T2944" s="173"/>
      <c r="U2944" s="173"/>
      <c r="V2944" s="202"/>
      <c r="W2944" s="169" t="s">
        <v>10087</v>
      </c>
      <c r="X2944" s="171"/>
    </row>
    <row r="2945" ht="15.0" customHeight="1">
      <c r="A2945" s="127">
        <v>46007.0</v>
      </c>
      <c r="B2945" s="181" t="s">
        <v>10194</v>
      </c>
      <c r="C2945" s="484" t="s">
        <v>4386</v>
      </c>
      <c r="D2945" s="73" t="str">
        <f>IFERROR(VLOOKUP(C2945,Stock,3,FALSE),"")</f>
        <v>Toyota Calya / Sigra 16-</v>
      </c>
      <c r="E2945" s="56">
        <v>1.0</v>
      </c>
      <c r="F2945" s="161">
        <v>550000.0</v>
      </c>
      <c r="G2945" s="162">
        <f t="shared" si="40"/>
        <v>550000</v>
      </c>
      <c r="H2945" s="194"/>
      <c r="I2945" s="161">
        <f t="shared" si="41"/>
        <v>550000</v>
      </c>
      <c r="J2945" s="164">
        <f t="shared" si="42"/>
        <v>550000</v>
      </c>
      <c r="K2945" s="56" t="s">
        <v>10195</v>
      </c>
      <c r="L2945" s="165" t="s">
        <v>10196</v>
      </c>
      <c r="M2945" s="73"/>
      <c r="N2945" s="171"/>
      <c r="O2945" s="169" t="s">
        <v>6923</v>
      </c>
      <c r="P2945" s="168" t="s">
        <v>3112</v>
      </c>
      <c r="Q2945" s="173"/>
      <c r="R2945" s="167">
        <v>550000.0</v>
      </c>
      <c r="S2945" s="173"/>
      <c r="T2945" s="173"/>
      <c r="U2945" s="173"/>
      <c r="V2945" s="202"/>
      <c r="W2945" s="169" t="s">
        <v>10087</v>
      </c>
      <c r="X2945" s="171"/>
    </row>
    <row r="2946" ht="15.0" customHeight="1">
      <c r="A2946" s="127">
        <v>46007.0</v>
      </c>
      <c r="B2946" s="181" t="s">
        <v>10197</v>
      </c>
      <c r="C2946" s="56" t="s">
        <v>2672</v>
      </c>
      <c r="D2946" s="73" t="str">
        <f>IFERROR(VLOOKUP(C2946,Stock,3,FALSE),"")</f>
        <v>Nissan March 10- K13</v>
      </c>
      <c r="E2946" s="56">
        <v>1.0</v>
      </c>
      <c r="F2946" s="161">
        <v>1243000.0</v>
      </c>
      <c r="G2946" s="162">
        <f t="shared" si="40"/>
        <v>1243000</v>
      </c>
      <c r="H2946" s="194"/>
      <c r="I2946" s="161">
        <f t="shared" si="41"/>
        <v>1243000</v>
      </c>
      <c r="J2946" s="164">
        <f t="shared" si="42"/>
        <v>1243000</v>
      </c>
      <c r="K2946" s="56" t="s">
        <v>7691</v>
      </c>
      <c r="L2946" s="165" t="s">
        <v>9794</v>
      </c>
      <c r="M2946" s="73"/>
      <c r="N2946" s="171"/>
      <c r="O2946" s="169" t="s">
        <v>6923</v>
      </c>
      <c r="P2946" s="168" t="s">
        <v>3112</v>
      </c>
      <c r="Q2946" s="167">
        <v>900000.0</v>
      </c>
      <c r="R2946" s="167">
        <v>343000.0</v>
      </c>
      <c r="S2946" s="173"/>
      <c r="T2946" s="173"/>
      <c r="U2946" s="173"/>
      <c r="V2946" s="202"/>
      <c r="W2946" s="169" t="s">
        <v>10087</v>
      </c>
      <c r="X2946" s="171"/>
    </row>
    <row r="2947" ht="15.0" customHeight="1">
      <c r="A2947" s="127">
        <v>46007.0</v>
      </c>
      <c r="B2947" s="181" t="s">
        <v>10198</v>
      </c>
      <c r="C2947" s="56" t="s">
        <v>2704</v>
      </c>
      <c r="D2947" s="73" t="str">
        <f>IFERROR(VLOOKUP(C2947,Stock,3,FALSE),"")</f>
        <v>Toyota Hi-Ace 19- Premio</v>
      </c>
      <c r="E2947" s="56">
        <v>1.0</v>
      </c>
      <c r="F2947" s="161">
        <v>1794000.0</v>
      </c>
      <c r="G2947" s="162">
        <f t="shared" si="40"/>
        <v>1794000</v>
      </c>
      <c r="H2947" s="194"/>
      <c r="I2947" s="161">
        <f t="shared" si="41"/>
        <v>1794000</v>
      </c>
      <c r="J2947" s="164">
        <f t="shared" si="42"/>
        <v>1794000</v>
      </c>
      <c r="K2947" s="56" t="s">
        <v>10199</v>
      </c>
      <c r="L2947" s="165" t="s">
        <v>5446</v>
      </c>
      <c r="M2947" s="73"/>
      <c r="N2947" s="171"/>
      <c r="O2947" s="169" t="s">
        <v>3710</v>
      </c>
      <c r="P2947" s="168" t="s">
        <v>3112</v>
      </c>
      <c r="Q2947" s="173"/>
      <c r="R2947" s="167">
        <v>1794000.0</v>
      </c>
      <c r="S2947" s="173"/>
      <c r="T2947" s="173"/>
      <c r="U2947" s="173"/>
      <c r="V2947" s="202"/>
      <c r="W2947" s="169" t="s">
        <v>10087</v>
      </c>
      <c r="X2947" s="171"/>
    </row>
    <row r="2948" ht="15.0" customHeight="1">
      <c r="A2948" s="127">
        <v>46007.0</v>
      </c>
      <c r="B2948" s="181" t="s">
        <v>10200</v>
      </c>
      <c r="C2948" s="56" t="s">
        <v>10201</v>
      </c>
      <c r="D2948" s="73" t="str">
        <f>IFERROR(VLOOKUP(C2948,Stock,3,FALSE),"")</f>
        <v>Toyota Dyna Rino BY40 / Delta</v>
      </c>
      <c r="E2948" s="56">
        <v>1.0</v>
      </c>
      <c r="F2948" s="161">
        <v>1997000.0</v>
      </c>
      <c r="G2948" s="162">
        <f t="shared" si="40"/>
        <v>1997000</v>
      </c>
      <c r="H2948" s="194"/>
      <c r="I2948" s="161">
        <f t="shared" si="41"/>
        <v>1997000</v>
      </c>
      <c r="J2948" s="164">
        <f t="shared" si="42"/>
        <v>1997000</v>
      </c>
      <c r="K2948" s="73"/>
      <c r="L2948" s="73"/>
      <c r="M2948" s="73"/>
      <c r="N2948" s="171"/>
      <c r="O2948" s="171"/>
      <c r="P2948" s="169" t="s">
        <v>5077</v>
      </c>
      <c r="Q2948" s="173"/>
      <c r="R2948" s="173"/>
      <c r="S2948" s="173"/>
      <c r="T2948" s="173"/>
      <c r="U2948" s="173"/>
      <c r="V2948" s="202"/>
      <c r="W2948" s="169" t="s">
        <v>10087</v>
      </c>
      <c r="X2948" s="171"/>
    </row>
    <row r="2949" ht="15.0" customHeight="1">
      <c r="A2949" s="127">
        <v>46007.0</v>
      </c>
      <c r="B2949" s="181" t="s">
        <v>10200</v>
      </c>
      <c r="C2949" s="56" t="s">
        <v>10202</v>
      </c>
      <c r="D2949" s="73" t="str">
        <f>IFERROR(VLOOKUP(C2949,Stock,3,FALSE),"")</f>
        <v>Toyota Dyna Rino BY40 / Delta</v>
      </c>
      <c r="E2949" s="56">
        <v>1.0</v>
      </c>
      <c r="F2949" s="161">
        <v>950000.0</v>
      </c>
      <c r="G2949" s="162">
        <f t="shared" si="40"/>
        <v>950000</v>
      </c>
      <c r="H2949" s="194"/>
      <c r="I2949" s="161">
        <f t="shared" si="41"/>
        <v>950000</v>
      </c>
      <c r="J2949" s="164">
        <f t="shared" si="42"/>
        <v>950000</v>
      </c>
      <c r="K2949" s="73"/>
      <c r="L2949" s="73"/>
      <c r="M2949" s="73"/>
      <c r="N2949" s="171"/>
      <c r="O2949" s="171"/>
      <c r="P2949" s="169" t="s">
        <v>5077</v>
      </c>
      <c r="Q2949" s="173"/>
      <c r="R2949" s="173"/>
      <c r="S2949" s="173"/>
      <c r="T2949" s="173"/>
      <c r="U2949" s="173"/>
      <c r="V2949" s="202"/>
      <c r="W2949" s="169" t="s">
        <v>10087</v>
      </c>
      <c r="X2949" s="171"/>
    </row>
    <row r="2950" ht="15.0" customHeight="1">
      <c r="A2950" s="127">
        <v>46008.0</v>
      </c>
      <c r="B2950" s="475" t="s">
        <v>10203</v>
      </c>
      <c r="C2950" s="56" t="s">
        <v>3045</v>
      </c>
      <c r="D2950" s="73" t="str">
        <f>IFERROR(VLOOKUP(C2950,Stock,3,FALSE),"")</f>
        <v>Pemasangan Kaca Mobil Depan</v>
      </c>
      <c r="E2950" s="56">
        <v>1.0</v>
      </c>
      <c r="F2950" s="161">
        <v>600000.0</v>
      </c>
      <c r="G2950" s="162">
        <f t="shared" si="40"/>
        <v>600000</v>
      </c>
      <c r="H2950" s="194"/>
      <c r="I2950" s="161">
        <f t="shared" si="41"/>
        <v>600000</v>
      </c>
      <c r="J2950" s="164">
        <f t="shared" si="42"/>
        <v>600000</v>
      </c>
      <c r="K2950" s="56" t="s">
        <v>7518</v>
      </c>
      <c r="L2950" s="165" t="s">
        <v>9917</v>
      </c>
      <c r="M2950" s="73"/>
      <c r="N2950" s="171"/>
      <c r="O2950" s="169" t="s">
        <v>6923</v>
      </c>
      <c r="P2950" s="168" t="s">
        <v>3112</v>
      </c>
      <c r="Q2950" s="173"/>
      <c r="R2950" s="167">
        <v>600000.0</v>
      </c>
      <c r="S2950" s="173"/>
      <c r="T2950" s="173"/>
      <c r="U2950" s="173"/>
      <c r="V2950" s="202"/>
      <c r="W2950" s="169" t="s">
        <v>10087</v>
      </c>
      <c r="X2950" s="171"/>
    </row>
    <row r="2951" ht="15.0" customHeight="1">
      <c r="A2951" s="127">
        <v>46008.0</v>
      </c>
      <c r="B2951" s="475" t="s">
        <v>10204</v>
      </c>
      <c r="C2951" s="56" t="s">
        <v>2549</v>
      </c>
      <c r="D2951" s="73" t="str">
        <f>IFERROR(VLOOKUP(C2951,Stock,3,FALSE),"")</f>
        <v>Toyota Avanza / Xenia 11-15 2nd Gen</v>
      </c>
      <c r="E2951" s="56">
        <v>1.0</v>
      </c>
      <c r="F2951" s="161">
        <v>1000000.0</v>
      </c>
      <c r="G2951" s="162">
        <f t="shared" si="40"/>
        <v>1000000</v>
      </c>
      <c r="H2951" s="194"/>
      <c r="I2951" s="161">
        <f t="shared" si="41"/>
        <v>1000000</v>
      </c>
      <c r="J2951" s="164">
        <f t="shared" si="42"/>
        <v>1000000</v>
      </c>
      <c r="K2951" s="56" t="s">
        <v>10205</v>
      </c>
      <c r="L2951" s="165" t="s">
        <v>10206</v>
      </c>
      <c r="M2951" s="73"/>
      <c r="N2951" s="171"/>
      <c r="O2951" s="169" t="s">
        <v>6923</v>
      </c>
      <c r="P2951" s="168" t="s">
        <v>3112</v>
      </c>
      <c r="Q2951" s="167">
        <v>1000000.0</v>
      </c>
      <c r="R2951" s="173"/>
      <c r="S2951" s="173"/>
      <c r="T2951" s="173"/>
      <c r="U2951" s="173"/>
      <c r="V2951" s="202"/>
      <c r="W2951" s="169" t="s">
        <v>10087</v>
      </c>
      <c r="X2951" s="171"/>
    </row>
    <row r="2952" ht="15.0" customHeight="1">
      <c r="A2952" s="127">
        <v>46008.0</v>
      </c>
      <c r="B2952" s="484" t="s">
        <v>10207</v>
      </c>
      <c r="C2952" s="484" t="s">
        <v>10208</v>
      </c>
      <c r="D2952" s="73" t="str">
        <f>IFERROR(VLOOKUP(C2952,Stock,3,FALSE),"")</f>
        <v>Toyota Vios 13-17 3rd Gen / Yaris 13- 2nd Gen XP150 / Yaris 18- 3rd Gen XP151 (Toyota)</v>
      </c>
      <c r="E2952" s="56">
        <v>1.0</v>
      </c>
      <c r="F2952" s="161">
        <v>790000.0</v>
      </c>
      <c r="G2952" s="162">
        <f t="shared" si="40"/>
        <v>790000</v>
      </c>
      <c r="H2952" s="194"/>
      <c r="I2952" s="161">
        <f t="shared" si="41"/>
        <v>790000</v>
      </c>
      <c r="J2952" s="164">
        <f t="shared" si="42"/>
        <v>790000</v>
      </c>
      <c r="K2952" s="56" t="s">
        <v>10209</v>
      </c>
      <c r="L2952" s="165" t="s">
        <v>10210</v>
      </c>
      <c r="M2952" s="73"/>
      <c r="N2952" s="171"/>
      <c r="O2952" s="169" t="s">
        <v>6923</v>
      </c>
      <c r="P2952" s="168" t="s">
        <v>3645</v>
      </c>
      <c r="Q2952" s="167">
        <v>790000.0</v>
      </c>
      <c r="R2952" s="173"/>
      <c r="S2952" s="173"/>
      <c r="T2952" s="173"/>
      <c r="U2952" s="173"/>
      <c r="V2952" s="202"/>
      <c r="W2952" s="169" t="s">
        <v>10087</v>
      </c>
      <c r="X2952" s="171"/>
    </row>
    <row r="2953" ht="15.0" customHeight="1">
      <c r="A2953" s="127">
        <v>46008.0</v>
      </c>
      <c r="B2953" s="484" t="s">
        <v>10211</v>
      </c>
      <c r="C2953" s="56" t="s">
        <v>3186</v>
      </c>
      <c r="D2953" s="73" t="str">
        <f>IFERROR(VLOOKUP(C2953,Stock,3,FALSE),"")</f>
        <v>Daihatsu Gran Max / Luxio 07-</v>
      </c>
      <c r="E2953" s="56">
        <v>1.0</v>
      </c>
      <c r="F2953" s="161">
        <v>1000000.0</v>
      </c>
      <c r="G2953" s="162">
        <f t="shared" si="40"/>
        <v>1000000</v>
      </c>
      <c r="H2953" s="194"/>
      <c r="I2953" s="161">
        <f t="shared" si="41"/>
        <v>1000000</v>
      </c>
      <c r="J2953" s="164">
        <f t="shared" si="42"/>
        <v>1000000</v>
      </c>
      <c r="K2953" s="56" t="s">
        <v>10212</v>
      </c>
      <c r="L2953" s="165" t="s">
        <v>10213</v>
      </c>
      <c r="M2953" s="73"/>
      <c r="N2953" s="171"/>
      <c r="O2953" s="169" t="s">
        <v>6923</v>
      </c>
      <c r="P2953" s="168" t="s">
        <v>3112</v>
      </c>
      <c r="Q2953" s="173"/>
      <c r="R2953" s="167">
        <v>1000000.0</v>
      </c>
      <c r="S2953" s="173"/>
      <c r="T2953" s="173"/>
      <c r="U2953" s="173"/>
      <c r="V2953" s="202"/>
      <c r="W2953" s="169" t="s">
        <v>10087</v>
      </c>
      <c r="X2953" s="171"/>
    </row>
    <row r="2954" ht="15.0" customHeight="1">
      <c r="A2954" s="127">
        <v>46009.0</v>
      </c>
      <c r="B2954" s="484" t="s">
        <v>10214</v>
      </c>
      <c r="C2954" s="56" t="s">
        <v>8623</v>
      </c>
      <c r="D2954" s="73" t="str">
        <f>IFERROR(VLOOKUP(C2954,Stock,3,FALSE),"")</f>
        <v>Daihatsu Gran Max / Luxio 07-</v>
      </c>
      <c r="E2954" s="56">
        <v>1.0</v>
      </c>
      <c r="F2954" s="161">
        <v>1000000.0</v>
      </c>
      <c r="G2954" s="162">
        <f t="shared" si="40"/>
        <v>1000000</v>
      </c>
      <c r="H2954" s="194"/>
      <c r="I2954" s="161">
        <f t="shared" si="41"/>
        <v>1000000</v>
      </c>
      <c r="J2954" s="164">
        <f t="shared" si="42"/>
        <v>1000000</v>
      </c>
      <c r="K2954" s="307" t="s">
        <v>10215</v>
      </c>
      <c r="L2954" s="165" t="s">
        <v>10216</v>
      </c>
      <c r="M2954" s="73"/>
      <c r="N2954" s="171"/>
      <c r="O2954" s="169" t="s">
        <v>6923</v>
      </c>
      <c r="P2954" s="168" t="s">
        <v>3112</v>
      </c>
      <c r="Q2954" s="161">
        <v>1000000.0</v>
      </c>
      <c r="R2954" s="173"/>
      <c r="S2954" s="173"/>
      <c r="T2954" s="173"/>
      <c r="U2954" s="173"/>
      <c r="V2954" s="202"/>
      <c r="W2954" s="169" t="s">
        <v>10087</v>
      </c>
      <c r="X2954" s="171"/>
    </row>
    <row r="2955" ht="15.0" customHeight="1">
      <c r="A2955" s="127">
        <v>46009.0</v>
      </c>
      <c r="B2955" s="484" t="s">
        <v>10214</v>
      </c>
      <c r="C2955" s="56" t="s">
        <v>3083</v>
      </c>
      <c r="D2955" s="73" t="str">
        <f>IFERROR(VLOOKUP(C2955,Stock,3,FALSE),"")</f>
        <v>List Kaca Depan Code 04</v>
      </c>
      <c r="E2955" s="56">
        <v>1.0</v>
      </c>
      <c r="F2955" s="161">
        <v>275000.0</v>
      </c>
      <c r="G2955" s="162">
        <f t="shared" si="40"/>
        <v>275000</v>
      </c>
      <c r="H2955" s="194"/>
      <c r="I2955" s="161">
        <f t="shared" si="41"/>
        <v>275000</v>
      </c>
      <c r="J2955" s="164">
        <f t="shared" si="42"/>
        <v>275000</v>
      </c>
      <c r="K2955" s="307" t="s">
        <v>10215</v>
      </c>
      <c r="L2955" s="165" t="s">
        <v>10216</v>
      </c>
      <c r="M2955" s="73"/>
      <c r="N2955" s="171"/>
      <c r="O2955" s="169" t="s">
        <v>6923</v>
      </c>
      <c r="P2955" s="168" t="s">
        <v>3112</v>
      </c>
      <c r="Q2955" s="161">
        <v>275000.0</v>
      </c>
      <c r="R2955" s="173"/>
      <c r="S2955" s="173"/>
      <c r="T2955" s="173"/>
      <c r="U2955" s="173"/>
      <c r="V2955" s="202"/>
      <c r="W2955" s="169" t="s">
        <v>10087</v>
      </c>
      <c r="X2955" s="171"/>
    </row>
    <row r="2956" ht="15.0" customHeight="1">
      <c r="A2956" s="452">
        <v>46009.0</v>
      </c>
      <c r="B2956" s="485" t="s">
        <v>10217</v>
      </c>
      <c r="C2956" s="454" t="s">
        <v>2676</v>
      </c>
      <c r="D2956" s="455" t="str">
        <f>IFERROR(VLOOKUP(C2956,Stock,3,FALSE),"")</f>
        <v>Nissan X-Trail 07-13 T31</v>
      </c>
      <c r="E2956" s="454">
        <v>1.0</v>
      </c>
      <c r="F2956" s="456">
        <v>1478000.0</v>
      </c>
      <c r="G2956" s="457">
        <f t="shared" si="40"/>
        <v>1478000</v>
      </c>
      <c r="H2956" s="486">
        <v>203830.0</v>
      </c>
      <c r="I2956" s="456">
        <f t="shared" si="41"/>
        <v>1274170</v>
      </c>
      <c r="J2956" s="459">
        <f t="shared" si="42"/>
        <v>1274170</v>
      </c>
      <c r="K2956" s="454" t="s">
        <v>10218</v>
      </c>
      <c r="L2956" s="455"/>
      <c r="M2956" s="455"/>
      <c r="N2956" s="422"/>
      <c r="O2956" s="317" t="s">
        <v>10219</v>
      </c>
      <c r="P2956" s="461" t="s">
        <v>5077</v>
      </c>
      <c r="Q2956" s="462"/>
      <c r="R2956" s="463"/>
      <c r="S2956" s="463">
        <v>1274170.0</v>
      </c>
      <c r="T2956" s="462"/>
      <c r="U2956" s="173"/>
      <c r="V2956" s="202"/>
      <c r="W2956" s="169" t="s">
        <v>10087</v>
      </c>
      <c r="X2956" s="171"/>
    </row>
    <row r="2957" ht="15.0" customHeight="1">
      <c r="A2957" s="127">
        <v>46009.0</v>
      </c>
      <c r="B2957" s="475" t="s">
        <v>10220</v>
      </c>
      <c r="C2957" s="56" t="s">
        <v>6544</v>
      </c>
      <c r="D2957" s="73" t="str">
        <f>IFERROR(VLOOKUP(C2957,Stock,3,FALSE),"")</f>
        <v>Daihatsu Taruna</v>
      </c>
      <c r="E2957" s="56">
        <v>1.0</v>
      </c>
      <c r="F2957" s="161">
        <v>1400000.0</v>
      </c>
      <c r="G2957" s="162">
        <f t="shared" si="40"/>
        <v>1400000</v>
      </c>
      <c r="H2957" s="201">
        <v>50000.0</v>
      </c>
      <c r="I2957" s="161">
        <f t="shared" si="41"/>
        <v>1350000</v>
      </c>
      <c r="J2957" s="164">
        <f t="shared" si="42"/>
        <v>1350000</v>
      </c>
      <c r="K2957" s="56" t="s">
        <v>10221</v>
      </c>
      <c r="L2957" s="165" t="s">
        <v>10222</v>
      </c>
      <c r="M2957" s="73"/>
      <c r="N2957" s="171"/>
      <c r="O2957" s="169" t="s">
        <v>6923</v>
      </c>
      <c r="P2957" s="168" t="s">
        <v>3112</v>
      </c>
      <c r="Q2957" s="167">
        <v>1350000.0</v>
      </c>
      <c r="R2957" s="167">
        <v>50000.0</v>
      </c>
      <c r="S2957" s="173"/>
      <c r="T2957" s="173"/>
      <c r="U2957" s="173"/>
      <c r="V2957" s="202"/>
      <c r="W2957" s="169" t="s">
        <v>10087</v>
      </c>
      <c r="X2957" s="171"/>
    </row>
    <row r="2958" ht="15.0" customHeight="1">
      <c r="A2958" s="127">
        <v>46009.0</v>
      </c>
      <c r="B2958" s="475" t="s">
        <v>10220</v>
      </c>
      <c r="C2958" s="56" t="s">
        <v>2954</v>
      </c>
      <c r="D2958" s="73" t="str">
        <f>IFERROR(VLOOKUP(C2958,Stock,3,FALSE),"")</f>
        <v>Transport</v>
      </c>
      <c r="E2958" s="56">
        <v>1.0</v>
      </c>
      <c r="F2958" s="161">
        <v>120000.0</v>
      </c>
      <c r="G2958" s="162">
        <f t="shared" si="40"/>
        <v>120000</v>
      </c>
      <c r="H2958" s="194"/>
      <c r="I2958" s="161">
        <f t="shared" si="41"/>
        <v>120000</v>
      </c>
      <c r="J2958" s="164">
        <f t="shared" si="42"/>
        <v>120000</v>
      </c>
      <c r="K2958" s="56" t="s">
        <v>10221</v>
      </c>
      <c r="L2958" s="165" t="s">
        <v>10222</v>
      </c>
      <c r="M2958" s="73"/>
      <c r="N2958" s="171"/>
      <c r="O2958" s="169" t="s">
        <v>6923</v>
      </c>
      <c r="P2958" s="168" t="s">
        <v>3112</v>
      </c>
      <c r="Q2958" s="167">
        <v>120000.0</v>
      </c>
      <c r="R2958" s="173"/>
      <c r="S2958" s="173"/>
      <c r="T2958" s="173"/>
      <c r="U2958" s="173"/>
      <c r="V2958" s="202"/>
      <c r="W2958" s="169" t="s">
        <v>10087</v>
      </c>
      <c r="X2958" s="171"/>
    </row>
    <row r="2959" ht="15.0" customHeight="1">
      <c r="A2959" s="127">
        <v>46009.0</v>
      </c>
      <c r="B2959" s="475" t="s">
        <v>10223</v>
      </c>
      <c r="C2959" s="56" t="s">
        <v>3227</v>
      </c>
      <c r="D2959" s="73" t="str">
        <f>IFERROR(VLOOKUP(C2959,Stock,3,FALSE),"")</f>
        <v>Mitsubishi Strada Triton 08-15</v>
      </c>
      <c r="E2959" s="56">
        <v>1.0</v>
      </c>
      <c r="F2959" s="161">
        <v>1020000.0</v>
      </c>
      <c r="G2959" s="162">
        <f t="shared" si="40"/>
        <v>1020000</v>
      </c>
      <c r="H2959" s="194"/>
      <c r="I2959" s="161">
        <f t="shared" si="41"/>
        <v>1020000</v>
      </c>
      <c r="J2959" s="164">
        <f t="shared" si="42"/>
        <v>1020000</v>
      </c>
      <c r="K2959" s="307" t="s">
        <v>10224</v>
      </c>
      <c r="L2959" s="165" t="s">
        <v>10225</v>
      </c>
      <c r="M2959" s="73"/>
      <c r="N2959" s="171"/>
      <c r="O2959" s="169" t="s">
        <v>6923</v>
      </c>
      <c r="P2959" s="168" t="s">
        <v>3112</v>
      </c>
      <c r="Q2959" s="173"/>
      <c r="R2959" s="167">
        <v>1020000.0</v>
      </c>
      <c r="S2959" s="173"/>
      <c r="T2959" s="173"/>
      <c r="U2959" s="173"/>
      <c r="V2959" s="202"/>
      <c r="W2959" s="169" t="s">
        <v>10087</v>
      </c>
      <c r="X2959" s="171"/>
    </row>
    <row r="2960" ht="15.0" customHeight="1">
      <c r="A2960" s="127">
        <v>46010.0</v>
      </c>
      <c r="B2960" s="475" t="s">
        <v>10226</v>
      </c>
      <c r="C2960" s="56" t="s">
        <v>4988</v>
      </c>
      <c r="D2960" s="73" t="str">
        <f>IFERROR(VLOOKUP(C2960,Stock,3,FALSE),"")</f>
        <v>Toyota Innova 15- 2nd Gen</v>
      </c>
      <c r="E2960" s="56">
        <v>1.0</v>
      </c>
      <c r="F2960" s="161">
        <v>1600000.0</v>
      </c>
      <c r="G2960" s="162">
        <f t="shared" si="40"/>
        <v>1600000</v>
      </c>
      <c r="H2960" s="194"/>
      <c r="I2960" s="161">
        <f t="shared" si="41"/>
        <v>1600000</v>
      </c>
      <c r="J2960" s="164">
        <f t="shared" si="42"/>
        <v>1600000</v>
      </c>
      <c r="K2960" s="56" t="s">
        <v>10227</v>
      </c>
      <c r="L2960" s="165" t="s">
        <v>10228</v>
      </c>
      <c r="M2960" s="73"/>
      <c r="N2960" s="171"/>
      <c r="O2960" s="169" t="s">
        <v>6923</v>
      </c>
      <c r="P2960" s="168" t="s">
        <v>3112</v>
      </c>
      <c r="Q2960" s="173"/>
      <c r="R2960" s="167">
        <v>1600000.0</v>
      </c>
      <c r="S2960" s="173"/>
      <c r="T2960" s="173"/>
      <c r="U2960" s="173"/>
      <c r="V2960" s="202"/>
      <c r="W2960" s="169" t="s">
        <v>10087</v>
      </c>
      <c r="X2960" s="171"/>
    </row>
    <row r="2961" ht="15.0" customHeight="1">
      <c r="A2961" s="127">
        <v>46010.0</v>
      </c>
      <c r="B2961" s="475" t="s">
        <v>10229</v>
      </c>
      <c r="C2961" s="56" t="s">
        <v>10230</v>
      </c>
      <c r="D2961" s="73" t="str">
        <f>IFERROR(VLOOKUP(C2961,Stock,3,FALSE),"")</f>
        <v>Toyota Altis 13-17 E170 11th Gen</v>
      </c>
      <c r="E2961" s="56">
        <v>1.0</v>
      </c>
      <c r="F2961" s="161">
        <v>3085000.0</v>
      </c>
      <c r="G2961" s="162">
        <f t="shared" si="40"/>
        <v>3085000</v>
      </c>
      <c r="H2961" s="194"/>
      <c r="I2961" s="161">
        <f t="shared" si="41"/>
        <v>3085000</v>
      </c>
      <c r="J2961" s="164">
        <f t="shared" si="42"/>
        <v>3085000</v>
      </c>
      <c r="K2961" s="56" t="s">
        <v>10231</v>
      </c>
      <c r="L2961" s="165" t="s">
        <v>10232</v>
      </c>
      <c r="M2961" s="73"/>
      <c r="N2961" s="171"/>
      <c r="O2961" s="169" t="s">
        <v>6923</v>
      </c>
      <c r="P2961" s="168" t="s">
        <v>3112</v>
      </c>
      <c r="Q2961" s="173"/>
      <c r="R2961" s="167">
        <v>3085000.0</v>
      </c>
      <c r="S2961" s="173"/>
      <c r="T2961" s="173"/>
      <c r="U2961" s="173"/>
      <c r="V2961" s="202"/>
      <c r="W2961" s="169" t="s">
        <v>10087</v>
      </c>
      <c r="X2961" s="171"/>
    </row>
    <row r="2962" ht="15.0" customHeight="1">
      <c r="A2962" s="127">
        <v>46010.0</v>
      </c>
      <c r="B2962" s="475" t="s">
        <v>10229</v>
      </c>
      <c r="C2962" s="56" t="s">
        <v>2954</v>
      </c>
      <c r="D2962" s="73" t="str">
        <f>IFERROR(VLOOKUP(C2962,Stock,3,FALSE),"")</f>
        <v>Transport</v>
      </c>
      <c r="E2962" s="56">
        <v>1.0</v>
      </c>
      <c r="F2962" s="161">
        <v>75000.0</v>
      </c>
      <c r="G2962" s="162">
        <f t="shared" si="40"/>
        <v>75000</v>
      </c>
      <c r="H2962" s="194"/>
      <c r="I2962" s="161">
        <f t="shared" si="41"/>
        <v>75000</v>
      </c>
      <c r="J2962" s="164">
        <f t="shared" si="42"/>
        <v>75000</v>
      </c>
      <c r="K2962" s="56" t="s">
        <v>10231</v>
      </c>
      <c r="L2962" s="165" t="s">
        <v>10232</v>
      </c>
      <c r="M2962" s="73"/>
      <c r="N2962" s="171"/>
      <c r="O2962" s="169" t="s">
        <v>6923</v>
      </c>
      <c r="P2962" s="168" t="s">
        <v>3112</v>
      </c>
      <c r="Q2962" s="173"/>
      <c r="R2962" s="167">
        <v>75000.0</v>
      </c>
      <c r="S2962" s="173"/>
      <c r="T2962" s="173"/>
      <c r="U2962" s="173"/>
      <c r="V2962" s="202"/>
      <c r="W2962" s="169" t="s">
        <v>10087</v>
      </c>
      <c r="X2962" s="171"/>
    </row>
    <row r="2963" ht="15.0" customHeight="1">
      <c r="A2963" s="127">
        <v>46010.0</v>
      </c>
      <c r="B2963" s="475" t="s">
        <v>10229</v>
      </c>
      <c r="C2963" s="56" t="s">
        <v>10233</v>
      </c>
      <c r="D2963" s="73" t="str">
        <f>IFERROR(VLOOKUP(C2963,Stock,3,FALSE),"")</f>
        <v>Automotive Film Standard - Black 60%       </v>
      </c>
      <c r="E2963" s="56">
        <v>1.0</v>
      </c>
      <c r="F2963" s="161">
        <v>300000.0</v>
      </c>
      <c r="G2963" s="162">
        <f t="shared" si="40"/>
        <v>300000</v>
      </c>
      <c r="H2963" s="194"/>
      <c r="I2963" s="161">
        <f t="shared" si="41"/>
        <v>300000</v>
      </c>
      <c r="J2963" s="164">
        <f t="shared" si="42"/>
        <v>300000</v>
      </c>
      <c r="K2963" s="56" t="s">
        <v>10231</v>
      </c>
      <c r="L2963" s="165" t="s">
        <v>10232</v>
      </c>
      <c r="M2963" s="73"/>
      <c r="N2963" s="171"/>
      <c r="O2963" s="169" t="s">
        <v>6923</v>
      </c>
      <c r="P2963" s="168" t="s">
        <v>3112</v>
      </c>
      <c r="Q2963" s="173"/>
      <c r="R2963" s="167">
        <v>3000000.0</v>
      </c>
      <c r="S2963" s="173"/>
      <c r="T2963" s="173"/>
      <c r="U2963" s="173"/>
      <c r="V2963" s="202"/>
      <c r="W2963" s="169" t="s">
        <v>10087</v>
      </c>
      <c r="X2963" s="171"/>
    </row>
    <row r="2964" ht="15.0" customHeight="1">
      <c r="A2964" s="127">
        <v>46010.0</v>
      </c>
      <c r="B2964" s="475" t="s">
        <v>10234</v>
      </c>
      <c r="C2964" s="56" t="s">
        <v>3045</v>
      </c>
      <c r="D2964" s="73" t="str">
        <f>IFERROR(VLOOKUP(C2964,Stock,3,FALSE),"")</f>
        <v>Pemasangan Kaca Mobil Depan</v>
      </c>
      <c r="E2964" s="56">
        <v>1.0</v>
      </c>
      <c r="F2964" s="161">
        <v>200000.0</v>
      </c>
      <c r="G2964" s="162">
        <f t="shared" si="40"/>
        <v>200000</v>
      </c>
      <c r="H2964" s="194"/>
      <c r="I2964" s="161">
        <f t="shared" si="41"/>
        <v>200000</v>
      </c>
      <c r="J2964" s="164">
        <f t="shared" si="42"/>
        <v>200000</v>
      </c>
      <c r="K2964" s="56" t="s">
        <v>10235</v>
      </c>
      <c r="L2964" s="165" t="s">
        <v>10236</v>
      </c>
      <c r="M2964" s="73"/>
      <c r="N2964" s="171"/>
      <c r="O2964" s="169" t="s">
        <v>6923</v>
      </c>
      <c r="P2964" s="168" t="s">
        <v>10237</v>
      </c>
      <c r="Q2964" s="167">
        <v>200000.0</v>
      </c>
      <c r="R2964" s="167"/>
      <c r="S2964" s="173"/>
      <c r="T2964" s="173"/>
      <c r="U2964" s="173"/>
      <c r="V2964" s="202"/>
      <c r="W2964" s="169" t="s">
        <v>10087</v>
      </c>
      <c r="X2964" s="171"/>
    </row>
    <row r="2965" ht="15.0" customHeight="1">
      <c r="A2965" s="127">
        <v>46011.0</v>
      </c>
      <c r="B2965" s="475" t="s">
        <v>10238</v>
      </c>
      <c r="C2965" s="56" t="s">
        <v>10239</v>
      </c>
      <c r="D2965" s="73" t="str">
        <f>IFERROR(VLOOKUP(C2965,Stock,3,FALSE),"")</f>
        <v>Ford Everest 04-15 / Ranger 04-11 / Mazda BT-50</v>
      </c>
      <c r="E2965" s="56">
        <v>1.0</v>
      </c>
      <c r="F2965" s="161">
        <v>1411000.0</v>
      </c>
      <c r="G2965" s="162">
        <f t="shared" si="40"/>
        <v>1411000</v>
      </c>
      <c r="H2965" s="194"/>
      <c r="I2965" s="161">
        <f t="shared" si="41"/>
        <v>1411000</v>
      </c>
      <c r="J2965" s="164">
        <f t="shared" si="42"/>
        <v>1411000</v>
      </c>
      <c r="K2965" s="56" t="s">
        <v>10240</v>
      </c>
      <c r="L2965" s="56" t="s">
        <v>10240</v>
      </c>
      <c r="M2965" s="73"/>
      <c r="N2965" s="171"/>
      <c r="O2965" s="169" t="s">
        <v>6923</v>
      </c>
      <c r="P2965" s="168" t="s">
        <v>3112</v>
      </c>
      <c r="Q2965" s="173"/>
      <c r="R2965" s="167">
        <v>1411000.0</v>
      </c>
      <c r="S2965" s="173"/>
      <c r="T2965" s="173"/>
      <c r="U2965" s="173"/>
      <c r="V2965" s="202"/>
      <c r="W2965" s="169" t="s">
        <v>10087</v>
      </c>
      <c r="X2965" s="171"/>
    </row>
    <row r="2966" ht="15.0" customHeight="1">
      <c r="A2966" s="127">
        <v>46011.0</v>
      </c>
      <c r="B2966" s="475" t="s">
        <v>10241</v>
      </c>
      <c r="C2966" s="56" t="s">
        <v>3411</v>
      </c>
      <c r="D2966" s="73" t="str">
        <f>IFERROR(VLOOKUP(C2966,Stock,3,FALSE),"")</f>
        <v>Toyota Agya/Ayla 13-22 1st Gen</v>
      </c>
      <c r="E2966" s="56">
        <v>1.0</v>
      </c>
      <c r="F2966" s="161">
        <v>1000000.0</v>
      </c>
      <c r="G2966" s="162">
        <f t="shared" si="40"/>
        <v>1000000</v>
      </c>
      <c r="H2966" s="194"/>
      <c r="I2966" s="161">
        <f t="shared" si="41"/>
        <v>1000000</v>
      </c>
      <c r="J2966" s="164">
        <f t="shared" si="42"/>
        <v>1000000</v>
      </c>
      <c r="K2966" s="56" t="s">
        <v>10242</v>
      </c>
      <c r="L2966" s="165" t="s">
        <v>10243</v>
      </c>
      <c r="M2966" s="73"/>
      <c r="N2966" s="171"/>
      <c r="O2966" s="169" t="s">
        <v>6923</v>
      </c>
      <c r="P2966" s="168" t="s">
        <v>3112</v>
      </c>
      <c r="Q2966" s="167">
        <v>1000000.0</v>
      </c>
      <c r="R2966" s="173"/>
      <c r="S2966" s="173"/>
      <c r="T2966" s="173"/>
      <c r="U2966" s="173"/>
      <c r="V2966" s="202"/>
      <c r="W2966" s="169" t="s">
        <v>10087</v>
      </c>
      <c r="X2966" s="171"/>
    </row>
    <row r="2967" ht="15.0" customHeight="1">
      <c r="A2967" s="127">
        <v>46011.0</v>
      </c>
      <c r="B2967" s="475" t="s">
        <v>10244</v>
      </c>
      <c r="C2967" s="56" t="s">
        <v>2549</v>
      </c>
      <c r="D2967" s="73" t="str">
        <f>IFERROR(VLOOKUP(C2967,Stock,3,FALSE),"")</f>
        <v>Toyota Avanza / Xenia 11-15 2nd Gen</v>
      </c>
      <c r="E2967" s="56">
        <v>1.0</v>
      </c>
      <c r="F2967" s="161">
        <v>1000000.0</v>
      </c>
      <c r="G2967" s="162">
        <f t="shared" si="40"/>
        <v>1000000</v>
      </c>
      <c r="H2967" s="194"/>
      <c r="I2967" s="161">
        <f t="shared" si="41"/>
        <v>1000000</v>
      </c>
      <c r="J2967" s="164">
        <f t="shared" si="42"/>
        <v>1000000</v>
      </c>
      <c r="K2967" s="56" t="s">
        <v>10245</v>
      </c>
      <c r="L2967" s="165" t="s">
        <v>10246</v>
      </c>
      <c r="M2967" s="73"/>
      <c r="N2967" s="171"/>
      <c r="O2967" s="169" t="s">
        <v>3204</v>
      </c>
      <c r="P2967" s="168" t="s">
        <v>3112</v>
      </c>
      <c r="Q2967" s="167">
        <v>500000.0</v>
      </c>
      <c r="R2967" s="167">
        <v>500000.0</v>
      </c>
      <c r="S2967" s="173"/>
      <c r="T2967" s="173"/>
      <c r="U2967" s="173"/>
      <c r="V2967" s="202"/>
      <c r="W2967" s="169" t="s">
        <v>10087</v>
      </c>
      <c r="X2967" s="171"/>
    </row>
    <row r="2968" ht="15.0" customHeight="1">
      <c r="A2968" s="127">
        <v>46011.0</v>
      </c>
      <c r="B2968" s="475" t="s">
        <v>10244</v>
      </c>
      <c r="C2968" s="56" t="s">
        <v>2954</v>
      </c>
      <c r="D2968" s="73" t="str">
        <f>IFERROR(VLOOKUP(C2968,Stock,3,FALSE),"")</f>
        <v>Transport</v>
      </c>
      <c r="E2968" s="56">
        <v>1.0</v>
      </c>
      <c r="F2968" s="161">
        <v>200000.0</v>
      </c>
      <c r="G2968" s="162">
        <f t="shared" si="40"/>
        <v>200000</v>
      </c>
      <c r="H2968" s="194"/>
      <c r="I2968" s="161">
        <f t="shared" si="41"/>
        <v>200000</v>
      </c>
      <c r="J2968" s="164">
        <f t="shared" si="42"/>
        <v>200000</v>
      </c>
      <c r="K2968" s="56" t="s">
        <v>10245</v>
      </c>
      <c r="L2968" s="165" t="s">
        <v>10246</v>
      </c>
      <c r="M2968" s="73"/>
      <c r="N2968" s="171"/>
      <c r="O2968" s="169" t="s">
        <v>3204</v>
      </c>
      <c r="P2968" s="168" t="s">
        <v>3112</v>
      </c>
      <c r="Q2968" s="167">
        <v>200000.0</v>
      </c>
      <c r="R2968" s="173"/>
      <c r="S2968" s="173"/>
      <c r="T2968" s="173"/>
      <c r="U2968" s="173"/>
      <c r="V2968" s="202"/>
      <c r="W2968" s="169" t="s">
        <v>10087</v>
      </c>
      <c r="X2968" s="171"/>
    </row>
    <row r="2969" ht="15.0" customHeight="1">
      <c r="A2969" s="127">
        <v>46011.0</v>
      </c>
      <c r="B2969" s="475" t="s">
        <v>10247</v>
      </c>
      <c r="C2969" s="56" t="s">
        <v>2541</v>
      </c>
      <c r="D2969" s="73" t="str">
        <f>IFERROR(VLOOKUP(C2969,Stock,3,FALSE),"")</f>
        <v>Nissan Datsun Go/Go+ 14- (5-Seater)</v>
      </c>
      <c r="E2969" s="56">
        <v>1.0</v>
      </c>
      <c r="F2969" s="161">
        <v>1320000.0</v>
      </c>
      <c r="G2969" s="162">
        <f t="shared" si="40"/>
        <v>1320000</v>
      </c>
      <c r="H2969" s="194"/>
      <c r="I2969" s="161">
        <f t="shared" si="41"/>
        <v>1320000</v>
      </c>
      <c r="J2969" s="164">
        <f t="shared" si="42"/>
        <v>1320000</v>
      </c>
      <c r="K2969" s="56" t="s">
        <v>10248</v>
      </c>
      <c r="L2969" s="165" t="s">
        <v>10249</v>
      </c>
      <c r="M2969" s="73"/>
      <c r="N2969" s="171"/>
      <c r="O2969" s="169" t="s">
        <v>6923</v>
      </c>
      <c r="P2969" s="168" t="s">
        <v>3112</v>
      </c>
      <c r="Q2969" s="173"/>
      <c r="R2969" s="167">
        <v>1320000.0</v>
      </c>
      <c r="S2969" s="173"/>
      <c r="T2969" s="173"/>
      <c r="U2969" s="173"/>
      <c r="V2969" s="202"/>
      <c r="W2969" s="169" t="s">
        <v>10087</v>
      </c>
      <c r="X2969" s="171"/>
    </row>
    <row r="2970" ht="15.0" customHeight="1">
      <c r="A2970" s="127">
        <v>46012.0</v>
      </c>
      <c r="B2970" s="475" t="s">
        <v>10250</v>
      </c>
      <c r="C2970" s="56" t="s">
        <v>3186</v>
      </c>
      <c r="D2970" s="73" t="str">
        <f>IFERROR(VLOOKUP(C2970,Stock,3,FALSE),"")</f>
        <v>Daihatsu Gran Max / Luxio 07-</v>
      </c>
      <c r="E2970" s="56">
        <v>1.0</v>
      </c>
      <c r="F2970" s="161">
        <v>1000000.0</v>
      </c>
      <c r="G2970" s="162">
        <f t="shared" si="40"/>
        <v>1000000</v>
      </c>
      <c r="H2970" s="194"/>
      <c r="I2970" s="161">
        <f t="shared" si="41"/>
        <v>1000000</v>
      </c>
      <c r="J2970" s="164">
        <f t="shared" si="42"/>
        <v>1000000</v>
      </c>
      <c r="K2970" s="56" t="s">
        <v>10251</v>
      </c>
      <c r="L2970" s="165" t="s">
        <v>10252</v>
      </c>
      <c r="M2970" s="73"/>
      <c r="N2970" s="171"/>
      <c r="O2970" s="169" t="s">
        <v>6923</v>
      </c>
      <c r="P2970" s="168" t="s">
        <v>3112</v>
      </c>
      <c r="Q2970" s="167">
        <v>1000000.0</v>
      </c>
      <c r="R2970" s="173"/>
      <c r="S2970" s="173"/>
      <c r="T2970" s="173"/>
      <c r="U2970" s="173"/>
      <c r="V2970" s="202"/>
      <c r="W2970" s="169" t="s">
        <v>10253</v>
      </c>
      <c r="X2970" s="171"/>
    </row>
    <row r="2971" ht="15.0" customHeight="1">
      <c r="A2971" s="127">
        <v>46012.0</v>
      </c>
      <c r="B2971" s="475" t="s">
        <v>10254</v>
      </c>
      <c r="C2971" s="484" t="s">
        <v>10255</v>
      </c>
      <c r="D2971" s="73" t="str">
        <f>IFERROR(VLOOKUP(C2971,Stock,3,FALSE),"")</f>
        <v>Hyundai Accent Verna / Avega 01-12 Sedan</v>
      </c>
      <c r="E2971" s="56">
        <v>1.0</v>
      </c>
      <c r="F2971" s="161">
        <v>1463000.0</v>
      </c>
      <c r="G2971" s="162">
        <f t="shared" si="40"/>
        <v>1463000</v>
      </c>
      <c r="H2971" s="194"/>
      <c r="I2971" s="161">
        <f t="shared" si="41"/>
        <v>1463000</v>
      </c>
      <c r="J2971" s="164">
        <f t="shared" si="42"/>
        <v>1463000</v>
      </c>
      <c r="K2971" s="56" t="s">
        <v>10256</v>
      </c>
      <c r="L2971" s="165" t="s">
        <v>10249</v>
      </c>
      <c r="M2971" s="73"/>
      <c r="N2971" s="171"/>
      <c r="O2971" s="169" t="s">
        <v>6923</v>
      </c>
      <c r="P2971" s="168" t="s">
        <v>3112</v>
      </c>
      <c r="Q2971" s="173"/>
      <c r="R2971" s="167">
        <v>1463000.0</v>
      </c>
      <c r="S2971" s="173"/>
      <c r="T2971" s="173"/>
      <c r="U2971" s="173"/>
      <c r="V2971" s="202"/>
      <c r="W2971" s="169" t="s">
        <v>10253</v>
      </c>
      <c r="X2971" s="171"/>
    </row>
    <row r="2972" ht="15.0" customHeight="1">
      <c r="A2972" s="127">
        <v>46013.0</v>
      </c>
      <c r="B2972" s="475" t="s">
        <v>10257</v>
      </c>
      <c r="C2972" s="56" t="s">
        <v>3168</v>
      </c>
      <c r="D2972" s="73" t="str">
        <f>IFERROR(VLOOKUP(C2972,Stock,3,FALSE),"")</f>
        <v>Toyota Agya/Ayla</v>
      </c>
      <c r="E2972" s="56">
        <v>1.0</v>
      </c>
      <c r="F2972" s="161">
        <v>839000.0</v>
      </c>
      <c r="G2972" s="162">
        <f t="shared" si="40"/>
        <v>839000</v>
      </c>
      <c r="H2972" s="194"/>
      <c r="I2972" s="161">
        <f t="shared" si="41"/>
        <v>839000</v>
      </c>
      <c r="J2972" s="164">
        <f t="shared" si="42"/>
        <v>839000</v>
      </c>
      <c r="K2972" s="307" t="s">
        <v>10258</v>
      </c>
      <c r="L2972" s="165" t="s">
        <v>10259</v>
      </c>
      <c r="M2972" s="73"/>
      <c r="N2972" s="171"/>
      <c r="O2972" s="169" t="s">
        <v>10260</v>
      </c>
      <c r="P2972" s="168" t="s">
        <v>3112</v>
      </c>
      <c r="Q2972" s="173"/>
      <c r="R2972" s="173"/>
      <c r="S2972" s="173"/>
      <c r="T2972" s="173"/>
      <c r="U2972" s="173"/>
      <c r="V2972" s="202"/>
      <c r="W2972" s="169" t="s">
        <v>10253</v>
      </c>
      <c r="X2972" s="171"/>
    </row>
    <row r="2973" ht="15.0" customHeight="1">
      <c r="A2973" s="127">
        <v>46013.0</v>
      </c>
      <c r="B2973" s="475" t="s">
        <v>10257</v>
      </c>
      <c r="C2973" s="56" t="s">
        <v>2954</v>
      </c>
      <c r="D2973" s="73" t="str">
        <f>IFERROR(VLOOKUP(C2973,Stock,3,FALSE),"")</f>
        <v>Transport</v>
      </c>
      <c r="E2973" s="56">
        <v>1.0</v>
      </c>
      <c r="F2973" s="161">
        <v>190000.0</v>
      </c>
      <c r="G2973" s="162">
        <f t="shared" si="40"/>
        <v>190000</v>
      </c>
      <c r="H2973" s="194"/>
      <c r="I2973" s="161">
        <f t="shared" si="41"/>
        <v>190000</v>
      </c>
      <c r="J2973" s="164">
        <f t="shared" si="42"/>
        <v>190000</v>
      </c>
      <c r="K2973" s="307" t="s">
        <v>10258</v>
      </c>
      <c r="L2973" s="165" t="s">
        <v>10259</v>
      </c>
      <c r="M2973" s="73"/>
      <c r="N2973" s="171"/>
      <c r="O2973" s="169" t="s">
        <v>10260</v>
      </c>
      <c r="P2973" s="168" t="s">
        <v>3112</v>
      </c>
      <c r="Q2973" s="173"/>
      <c r="R2973" s="173"/>
      <c r="S2973" s="173"/>
      <c r="T2973" s="173"/>
      <c r="U2973" s="173"/>
      <c r="V2973" s="202"/>
      <c r="W2973" s="169" t="s">
        <v>10253</v>
      </c>
      <c r="X2973" s="171"/>
    </row>
    <row r="2974" ht="15.0" customHeight="1">
      <c r="A2974" s="127">
        <v>46013.0</v>
      </c>
      <c r="B2974" s="475" t="s">
        <v>10261</v>
      </c>
      <c r="C2974" s="56" t="s">
        <v>10262</v>
      </c>
      <c r="D2974" s="73" t="str">
        <f>IFERROR(VLOOKUP(C2974,Stock,3,FALSE),"")</f>
        <v>Toyota LandCruiser Prado FJ150W 21-23 (2 Sensor / /\ [] )</v>
      </c>
      <c r="E2974" s="56">
        <v>1.0</v>
      </c>
      <c r="F2974" s="161">
        <v>3526000.0</v>
      </c>
      <c r="G2974" s="162">
        <f t="shared" si="40"/>
        <v>3526000</v>
      </c>
      <c r="H2974" s="194"/>
      <c r="I2974" s="161">
        <f t="shared" si="41"/>
        <v>3526000</v>
      </c>
      <c r="J2974" s="164">
        <f t="shared" si="42"/>
        <v>3526000</v>
      </c>
      <c r="K2974" s="56" t="s">
        <v>5679</v>
      </c>
      <c r="L2974" s="165" t="s">
        <v>10263</v>
      </c>
      <c r="M2974" s="73"/>
      <c r="N2974" s="171"/>
      <c r="O2974" s="169" t="s">
        <v>6923</v>
      </c>
      <c r="P2974" s="168" t="s">
        <v>3112</v>
      </c>
      <c r="Q2974" s="167">
        <v>1765000.0</v>
      </c>
      <c r="R2974" s="167">
        <v>1765000.0</v>
      </c>
      <c r="S2974" s="462"/>
      <c r="T2974" s="173"/>
      <c r="U2974" s="173"/>
      <c r="V2974" s="202"/>
      <c r="W2974" s="169" t="s">
        <v>10253</v>
      </c>
      <c r="X2974" s="171"/>
    </row>
    <row r="2975" ht="15.0" customHeight="1">
      <c r="A2975" s="127">
        <v>46013.0</v>
      </c>
      <c r="B2975" s="181" t="s">
        <v>10264</v>
      </c>
      <c r="C2975" s="56" t="s">
        <v>6022</v>
      </c>
      <c r="D2975" s="73" t="str">
        <f>IFERROR(VLOOKUP(C2975,Stock,3,FALSE),"")</f>
        <v>Suzuki Ertiga 18- 2nd Gen / XL7 (Suzuki)</v>
      </c>
      <c r="E2975" s="56">
        <v>1.0</v>
      </c>
      <c r="F2975" s="161">
        <v>1360000.0</v>
      </c>
      <c r="G2975" s="162">
        <f t="shared" si="40"/>
        <v>1360000</v>
      </c>
      <c r="H2975" s="194"/>
      <c r="I2975" s="161">
        <f t="shared" si="41"/>
        <v>1360000</v>
      </c>
      <c r="J2975" s="164">
        <f t="shared" si="42"/>
        <v>1360000</v>
      </c>
      <c r="K2975" s="56" t="s">
        <v>10265</v>
      </c>
      <c r="L2975" s="165" t="s">
        <v>10266</v>
      </c>
      <c r="M2975" s="73"/>
      <c r="N2975" s="171"/>
      <c r="O2975" s="169" t="s">
        <v>6923</v>
      </c>
      <c r="P2975" s="168" t="s">
        <v>3112</v>
      </c>
      <c r="Q2975" s="173"/>
      <c r="R2975" s="167">
        <v>1360000.0</v>
      </c>
      <c r="S2975" s="173"/>
      <c r="T2975" s="173"/>
      <c r="U2975" s="173"/>
      <c r="V2975" s="202"/>
      <c r="W2975" s="169" t="s">
        <v>10253</v>
      </c>
      <c r="X2975" s="171"/>
    </row>
    <row r="2976" ht="15.0" customHeight="1">
      <c r="A2976" s="127">
        <v>46013.0</v>
      </c>
      <c r="B2976" s="181" t="s">
        <v>10267</v>
      </c>
      <c r="C2976" s="56" t="s">
        <v>3582</v>
      </c>
      <c r="D2976" s="73" t="str">
        <f>IFERROR(VLOOKUP(C2976,Stock,3,FALSE),"")</f>
        <v>Honda CR-V 12-16 4th Gen</v>
      </c>
      <c r="E2976" s="56">
        <v>1.0</v>
      </c>
      <c r="F2976" s="161">
        <v>1849000.0</v>
      </c>
      <c r="G2976" s="162">
        <f t="shared" si="40"/>
        <v>1849000</v>
      </c>
      <c r="H2976" s="194"/>
      <c r="I2976" s="161">
        <f t="shared" si="41"/>
        <v>1849000</v>
      </c>
      <c r="J2976" s="164">
        <f t="shared" si="42"/>
        <v>1849000</v>
      </c>
      <c r="K2976" s="56" t="s">
        <v>10268</v>
      </c>
      <c r="L2976" s="165" t="s">
        <v>10269</v>
      </c>
      <c r="M2976" s="73"/>
      <c r="N2976" s="171"/>
      <c r="O2976" s="169" t="s">
        <v>6923</v>
      </c>
      <c r="P2976" s="168" t="s">
        <v>3112</v>
      </c>
      <c r="Q2976" s="173"/>
      <c r="R2976" s="167">
        <v>1849000.0</v>
      </c>
      <c r="S2976" s="173"/>
      <c r="T2976" s="173"/>
      <c r="U2976" s="173"/>
      <c r="V2976" s="202"/>
      <c r="W2976" s="169" t="s">
        <v>10253</v>
      </c>
      <c r="X2976" s="171"/>
    </row>
    <row r="2977" ht="15.0" customHeight="1">
      <c r="A2977" s="127">
        <v>46013.0</v>
      </c>
      <c r="B2977" s="181" t="s">
        <v>10270</v>
      </c>
      <c r="C2977" s="56" t="s">
        <v>3889</v>
      </c>
      <c r="D2977" s="73" t="str">
        <f>IFERROR(VLOOKUP(C2977,Stock,3,FALSE),"")</f>
        <v>Toyota LandCruiser Prado FJ150W 09-</v>
      </c>
      <c r="E2977" s="56">
        <v>1.0</v>
      </c>
      <c r="F2977" s="161">
        <v>3207200.0</v>
      </c>
      <c r="G2977" s="162">
        <f t="shared" si="40"/>
        <v>3207200</v>
      </c>
      <c r="H2977" s="194"/>
      <c r="I2977" s="161">
        <f t="shared" si="41"/>
        <v>3207200</v>
      </c>
      <c r="J2977" s="164">
        <f t="shared" si="42"/>
        <v>3207200</v>
      </c>
      <c r="K2977" s="56" t="s">
        <v>10271</v>
      </c>
      <c r="L2977" s="73"/>
      <c r="M2977" s="73"/>
      <c r="N2977" s="171"/>
      <c r="O2977" s="169" t="s">
        <v>10272</v>
      </c>
      <c r="P2977" s="168" t="s">
        <v>6420</v>
      </c>
      <c r="Q2977" s="173"/>
      <c r="R2977" s="173"/>
      <c r="S2977" s="167">
        <v>3207200.0</v>
      </c>
      <c r="T2977" s="173"/>
      <c r="U2977" s="173"/>
      <c r="V2977" s="202"/>
      <c r="W2977" s="169" t="s">
        <v>10253</v>
      </c>
      <c r="X2977" s="171"/>
    </row>
    <row r="2978" ht="15.0" customHeight="1">
      <c r="A2978" s="127">
        <v>46014.0</v>
      </c>
      <c r="B2978" s="181" t="s">
        <v>10273</v>
      </c>
      <c r="C2978" s="56" t="s">
        <v>2662</v>
      </c>
      <c r="D2978" s="73" t="str">
        <f>IFERROR(VLOOKUP(C2978,Stock,3,FALSE),"")</f>
        <v>Wuling Almaz (Sensor)</v>
      </c>
      <c r="E2978" s="56">
        <v>1.0</v>
      </c>
      <c r="F2978" s="161">
        <v>3000000.0</v>
      </c>
      <c r="G2978" s="162">
        <f t="shared" si="40"/>
        <v>3000000</v>
      </c>
      <c r="H2978" s="194"/>
      <c r="I2978" s="161">
        <f t="shared" si="41"/>
        <v>3000000</v>
      </c>
      <c r="J2978" s="164">
        <f t="shared" si="42"/>
        <v>3000000</v>
      </c>
      <c r="K2978" s="56" t="s">
        <v>10274</v>
      </c>
      <c r="L2978" s="165" t="s">
        <v>10275</v>
      </c>
      <c r="M2978" s="73"/>
      <c r="N2978" s="171"/>
      <c r="O2978" s="169" t="s">
        <v>6923</v>
      </c>
      <c r="P2978" s="168" t="s">
        <v>3112</v>
      </c>
      <c r="Q2978" s="173"/>
      <c r="R2978" s="167">
        <v>3000000.0</v>
      </c>
      <c r="S2978" s="173"/>
      <c r="T2978" s="173"/>
      <c r="U2978" s="173"/>
      <c r="V2978" s="202"/>
      <c r="W2978" s="169" t="s">
        <v>10087</v>
      </c>
      <c r="X2978" s="171"/>
    </row>
    <row r="2979" ht="15.0" customHeight="1">
      <c r="A2979" s="127">
        <v>46014.0</v>
      </c>
      <c r="B2979" s="181" t="s">
        <v>10273</v>
      </c>
      <c r="C2979" s="56" t="s">
        <v>2954</v>
      </c>
      <c r="D2979" s="73" t="str">
        <f>IFERROR(VLOOKUP(C2979,Stock,3,FALSE),"")</f>
        <v>Transport</v>
      </c>
      <c r="E2979" s="56">
        <v>1.0</v>
      </c>
      <c r="F2979" s="161">
        <v>50000.0</v>
      </c>
      <c r="G2979" s="162">
        <f t="shared" si="40"/>
        <v>50000</v>
      </c>
      <c r="H2979" s="201">
        <v>50000.0</v>
      </c>
      <c r="I2979" s="161">
        <f t="shared" si="41"/>
        <v>0</v>
      </c>
      <c r="J2979" s="164">
        <f t="shared" si="42"/>
        <v>0</v>
      </c>
      <c r="K2979" s="56" t="s">
        <v>10274</v>
      </c>
      <c r="L2979" s="165" t="s">
        <v>10275</v>
      </c>
      <c r="M2979" s="73"/>
      <c r="N2979" s="171"/>
      <c r="O2979" s="169" t="s">
        <v>6923</v>
      </c>
      <c r="P2979" s="168" t="s">
        <v>3112</v>
      </c>
      <c r="Q2979" s="173"/>
      <c r="R2979" s="173"/>
      <c r="S2979" s="173"/>
      <c r="T2979" s="173"/>
      <c r="U2979" s="173"/>
      <c r="V2979" s="202"/>
      <c r="W2979" s="169" t="s">
        <v>10087</v>
      </c>
      <c r="X2979" s="171"/>
    </row>
    <row r="2980" ht="15.0" customHeight="1">
      <c r="A2980" s="127">
        <v>46014.0</v>
      </c>
      <c r="B2980" s="181" t="s">
        <v>10276</v>
      </c>
      <c r="C2980" s="56" t="s">
        <v>5528</v>
      </c>
      <c r="D2980" s="73" t="str">
        <f>IFERROR(VLOOKUP(C2980,Stock,3,FALSE),"")</f>
        <v>Toyota Innova 15-22 2nd Gen (Toyota)</v>
      </c>
      <c r="E2980" s="56">
        <v>1.0</v>
      </c>
      <c r="F2980" s="161">
        <v>2988000.0</v>
      </c>
      <c r="G2980" s="162">
        <f t="shared" si="40"/>
        <v>2988000</v>
      </c>
      <c r="H2980" s="201">
        <v>188000.0</v>
      </c>
      <c r="I2980" s="161">
        <f t="shared" si="41"/>
        <v>2800000</v>
      </c>
      <c r="J2980" s="164">
        <f t="shared" si="42"/>
        <v>2800000</v>
      </c>
      <c r="K2980" s="56" t="s">
        <v>10277</v>
      </c>
      <c r="L2980" s="165" t="s">
        <v>10278</v>
      </c>
      <c r="M2980" s="73"/>
      <c r="N2980" s="171"/>
      <c r="O2980" s="169" t="s">
        <v>10279</v>
      </c>
      <c r="P2980" s="168" t="s">
        <v>3112</v>
      </c>
      <c r="Q2980" s="173"/>
      <c r="R2980" s="167">
        <v>2800000.0</v>
      </c>
      <c r="S2980" s="173"/>
      <c r="T2980" s="173"/>
      <c r="U2980" s="173"/>
      <c r="V2980" s="202"/>
      <c r="W2980" s="169" t="s">
        <v>10087</v>
      </c>
      <c r="X2980" s="171"/>
    </row>
    <row r="2981" ht="15.0" customHeight="1">
      <c r="A2981" s="127">
        <v>46014.0</v>
      </c>
      <c r="B2981" s="181" t="s">
        <v>10280</v>
      </c>
      <c r="C2981" s="56" t="s">
        <v>3574</v>
      </c>
      <c r="D2981" s="73" t="str">
        <f>IFERROR(VLOOKUP(C2981,Stock,3,FALSE),"")</f>
        <v>Toyota Rush / Terios 06-17</v>
      </c>
      <c r="E2981" s="56">
        <v>1.0</v>
      </c>
      <c r="F2981" s="161">
        <v>1005000.0</v>
      </c>
      <c r="G2981" s="162">
        <f t="shared" si="40"/>
        <v>1005000</v>
      </c>
      <c r="H2981" s="194"/>
      <c r="I2981" s="161">
        <f t="shared" si="41"/>
        <v>1005000</v>
      </c>
      <c r="J2981" s="164">
        <f t="shared" si="42"/>
        <v>1005000</v>
      </c>
      <c r="K2981" s="56" t="s">
        <v>2956</v>
      </c>
      <c r="L2981" s="165" t="s">
        <v>10281</v>
      </c>
      <c r="M2981" s="73"/>
      <c r="N2981" s="171"/>
      <c r="O2981" s="169" t="s">
        <v>6923</v>
      </c>
      <c r="P2981" s="168" t="s">
        <v>3112</v>
      </c>
      <c r="Q2981" s="167">
        <v>1005000.0</v>
      </c>
      <c r="R2981" s="167"/>
      <c r="S2981" s="173"/>
      <c r="T2981" s="173"/>
      <c r="U2981" s="173"/>
      <c r="V2981" s="202"/>
      <c r="W2981" s="169" t="s">
        <v>10087</v>
      </c>
      <c r="X2981" s="171"/>
    </row>
    <row r="2982" ht="15.0" customHeight="1">
      <c r="A2982" s="127">
        <v>46014.0</v>
      </c>
      <c r="B2982" s="181" t="s">
        <v>10280</v>
      </c>
      <c r="C2982" s="56" t="s">
        <v>10233</v>
      </c>
      <c r="D2982" s="73" t="str">
        <f>IFERROR(VLOOKUP(C2982,Stock,3,FALSE),"")</f>
        <v>Automotive Film Standard - Black 60%       </v>
      </c>
      <c r="E2982" s="56">
        <v>1.0</v>
      </c>
      <c r="F2982" s="161">
        <v>250000.0</v>
      </c>
      <c r="G2982" s="162">
        <f t="shared" si="40"/>
        <v>250000</v>
      </c>
      <c r="H2982" s="194"/>
      <c r="I2982" s="161">
        <f t="shared" si="41"/>
        <v>250000</v>
      </c>
      <c r="J2982" s="164">
        <f t="shared" si="42"/>
        <v>250000</v>
      </c>
      <c r="K2982" s="56" t="s">
        <v>2956</v>
      </c>
      <c r="L2982" s="165" t="s">
        <v>10281</v>
      </c>
      <c r="M2982" s="73"/>
      <c r="N2982" s="171"/>
      <c r="O2982" s="169" t="s">
        <v>6923</v>
      </c>
      <c r="P2982" s="168" t="s">
        <v>3112</v>
      </c>
      <c r="Q2982" s="167">
        <v>250000.0</v>
      </c>
      <c r="R2982" s="167"/>
      <c r="S2982" s="173"/>
      <c r="T2982" s="173"/>
      <c r="U2982" s="173"/>
      <c r="V2982" s="202"/>
      <c r="W2982" s="169" t="s">
        <v>10087</v>
      </c>
      <c r="X2982" s="171"/>
    </row>
    <row r="2983" ht="15.0" customHeight="1">
      <c r="A2983" s="127">
        <v>46014.0</v>
      </c>
      <c r="B2983" s="181" t="s">
        <v>10282</v>
      </c>
      <c r="C2983" s="56" t="s">
        <v>2557</v>
      </c>
      <c r="D2983" s="73" t="str">
        <f>IFERROR(VLOOKUP(C2983,Stock,3,FALSE),"")</f>
        <v>Toyota Fortuner 05-15 1st Gen (Toyota)</v>
      </c>
      <c r="E2983" s="56">
        <v>1.0</v>
      </c>
      <c r="F2983" s="161">
        <v>2998000.0</v>
      </c>
      <c r="G2983" s="162">
        <f t="shared" si="40"/>
        <v>2998000</v>
      </c>
      <c r="H2983" s="194"/>
      <c r="I2983" s="161">
        <f t="shared" si="41"/>
        <v>2998000</v>
      </c>
      <c r="J2983" s="164">
        <f t="shared" si="42"/>
        <v>2998000</v>
      </c>
      <c r="K2983" s="56" t="s">
        <v>10283</v>
      </c>
      <c r="L2983" s="165" t="s">
        <v>10284</v>
      </c>
      <c r="M2983" s="73"/>
      <c r="N2983" s="171"/>
      <c r="O2983" s="169" t="s">
        <v>6923</v>
      </c>
      <c r="P2983" s="168" t="s">
        <v>3112</v>
      </c>
      <c r="Q2983" s="173"/>
      <c r="R2983" s="167">
        <v>2998000.0</v>
      </c>
      <c r="S2983" s="173"/>
      <c r="T2983" s="173"/>
      <c r="U2983" s="173"/>
      <c r="V2983" s="202"/>
      <c r="W2983" s="169" t="s">
        <v>10087</v>
      </c>
      <c r="X2983" s="171"/>
    </row>
    <row r="2984" ht="15.0" customHeight="1">
      <c r="A2984" s="127">
        <v>46014.0</v>
      </c>
      <c r="B2984" s="181" t="s">
        <v>10285</v>
      </c>
      <c r="C2984" s="56" t="s">
        <v>3149</v>
      </c>
      <c r="D2984" s="73" t="str">
        <f>IFERROR(VLOOKUP(C2984,Stock,3,FALSE),"")</f>
        <v>Honda CR-V 12-16 4th Gen [Rata]</v>
      </c>
      <c r="E2984" s="56">
        <v>1.0</v>
      </c>
      <c r="F2984" s="161">
        <v>1198296.0</v>
      </c>
      <c r="G2984" s="162">
        <f t="shared" si="40"/>
        <v>1198296</v>
      </c>
      <c r="H2984" s="194"/>
      <c r="I2984" s="161">
        <f t="shared" si="41"/>
        <v>1198296</v>
      </c>
      <c r="J2984" s="164">
        <f t="shared" si="42"/>
        <v>1198296</v>
      </c>
      <c r="K2984" s="56" t="s">
        <v>10286</v>
      </c>
      <c r="L2984" s="165" t="s">
        <v>10287</v>
      </c>
      <c r="M2984" s="73"/>
      <c r="N2984" s="171"/>
      <c r="O2984" s="169" t="s">
        <v>6731</v>
      </c>
      <c r="P2984" s="168" t="s">
        <v>3112</v>
      </c>
      <c r="Q2984" s="173"/>
      <c r="R2984" s="173"/>
      <c r="S2984" s="161">
        <v>1198296.0</v>
      </c>
      <c r="T2984" s="173"/>
      <c r="U2984" s="173"/>
      <c r="V2984" s="202"/>
      <c r="W2984" s="169" t="s">
        <v>10087</v>
      </c>
      <c r="X2984" s="171"/>
    </row>
    <row r="2985" ht="15.0" customHeight="1">
      <c r="A2985" s="127">
        <v>46014.0</v>
      </c>
      <c r="B2985" s="181" t="s">
        <v>10285</v>
      </c>
      <c r="C2985" s="56" t="s">
        <v>3059</v>
      </c>
      <c r="D2985" s="73" t="str">
        <f>IFERROR(VLOOKUP(C2985,Stock,3,FALSE),"")</f>
        <v>Sealant Polyurethane XYG Tube</v>
      </c>
      <c r="E2985" s="56">
        <v>2.0</v>
      </c>
      <c r="F2985" s="161">
        <v>75000.0</v>
      </c>
      <c r="G2985" s="162">
        <f t="shared" si="40"/>
        <v>150000</v>
      </c>
      <c r="H2985" s="194"/>
      <c r="I2985" s="161">
        <f t="shared" si="41"/>
        <v>150000</v>
      </c>
      <c r="J2985" s="164">
        <f t="shared" si="42"/>
        <v>150000</v>
      </c>
      <c r="K2985" s="56" t="s">
        <v>10286</v>
      </c>
      <c r="L2985" s="165" t="s">
        <v>10287</v>
      </c>
      <c r="M2985" s="73"/>
      <c r="N2985" s="171"/>
      <c r="O2985" s="169" t="s">
        <v>6731</v>
      </c>
      <c r="P2985" s="168" t="s">
        <v>3112</v>
      </c>
      <c r="Q2985" s="173"/>
      <c r="R2985" s="167">
        <v>150000.0</v>
      </c>
      <c r="S2985" s="161"/>
      <c r="T2985" s="173"/>
      <c r="U2985" s="173"/>
      <c r="V2985" s="202"/>
      <c r="W2985" s="169" t="s">
        <v>10087</v>
      </c>
      <c r="X2985" s="171"/>
    </row>
    <row r="2986" ht="15.0" customHeight="1">
      <c r="A2986" s="127">
        <v>46015.0</v>
      </c>
      <c r="B2986" s="181" t="s">
        <v>10288</v>
      </c>
      <c r="C2986" s="56" t="s">
        <v>10289</v>
      </c>
      <c r="D2986" s="73" t="str">
        <f>IFERROR(VLOOKUP(C2986,Stock,3,FALSE),"")</f>
        <v>Toyota Avanza / Xenia 15-21 3rd Gen</v>
      </c>
      <c r="E2986" s="56">
        <v>1.0</v>
      </c>
      <c r="F2986" s="161">
        <v>1000000.0</v>
      </c>
      <c r="G2986" s="162">
        <f t="shared" si="40"/>
        <v>1000000</v>
      </c>
      <c r="H2986" s="194"/>
      <c r="I2986" s="161">
        <f t="shared" si="41"/>
        <v>1000000</v>
      </c>
      <c r="J2986" s="164">
        <f t="shared" si="42"/>
        <v>1000000</v>
      </c>
      <c r="K2986" s="56" t="s">
        <v>10290</v>
      </c>
      <c r="L2986" s="165" t="s">
        <v>10291</v>
      </c>
      <c r="M2986" s="73"/>
      <c r="N2986" s="171"/>
      <c r="O2986" s="169" t="s">
        <v>3037</v>
      </c>
      <c r="P2986" s="168" t="s">
        <v>3112</v>
      </c>
      <c r="Q2986" s="173"/>
      <c r="R2986" s="167">
        <v>1000000.0</v>
      </c>
      <c r="S2986" s="173"/>
      <c r="T2986" s="173"/>
      <c r="U2986" s="173"/>
      <c r="V2986" s="202"/>
      <c r="W2986" s="169" t="s">
        <v>10087</v>
      </c>
      <c r="X2986" s="171"/>
    </row>
    <row r="2987" ht="15.0" customHeight="1">
      <c r="A2987" s="127">
        <v>46015.0</v>
      </c>
      <c r="B2987" s="181" t="s">
        <v>10288</v>
      </c>
      <c r="C2987" s="56" t="s">
        <v>2954</v>
      </c>
      <c r="D2987" s="73" t="str">
        <f>IFERROR(VLOOKUP(C2987,Stock,3,FALSE),"")</f>
        <v>Transport</v>
      </c>
      <c r="E2987" s="56">
        <v>1.0</v>
      </c>
      <c r="F2987" s="161">
        <v>250000.0</v>
      </c>
      <c r="G2987" s="162">
        <f t="shared" si="40"/>
        <v>250000</v>
      </c>
      <c r="H2987" s="194"/>
      <c r="I2987" s="161">
        <f t="shared" si="41"/>
        <v>250000</v>
      </c>
      <c r="J2987" s="164">
        <f t="shared" si="42"/>
        <v>250000</v>
      </c>
      <c r="K2987" s="56" t="s">
        <v>10290</v>
      </c>
      <c r="L2987" s="165" t="s">
        <v>10291</v>
      </c>
      <c r="M2987" s="73"/>
      <c r="N2987" s="171"/>
      <c r="O2987" s="169" t="s">
        <v>3037</v>
      </c>
      <c r="P2987" s="168" t="s">
        <v>3112</v>
      </c>
      <c r="Q2987" s="173"/>
      <c r="R2987" s="167">
        <v>250000.0</v>
      </c>
      <c r="S2987" s="173"/>
      <c r="T2987" s="173"/>
      <c r="U2987" s="173"/>
      <c r="V2987" s="202"/>
      <c r="W2987" s="169" t="s">
        <v>10087</v>
      </c>
      <c r="X2987" s="171"/>
    </row>
    <row r="2988" ht="15.0" customHeight="1">
      <c r="A2988" s="127">
        <v>46015.0</v>
      </c>
      <c r="B2988" s="181" t="s">
        <v>10292</v>
      </c>
      <c r="C2988" s="484" t="s">
        <v>6028</v>
      </c>
      <c r="D2988" s="73" t="str">
        <f>IFERROR(VLOOKUP(C2988,Stock,3,FALSE),"")</f>
        <v>Toyota Innova 04-15 1st Gen (Toyota)</v>
      </c>
      <c r="E2988" s="56">
        <v>1.0</v>
      </c>
      <c r="F2988" s="161">
        <v>2250000.0</v>
      </c>
      <c r="G2988" s="162">
        <f t="shared" si="40"/>
        <v>2250000</v>
      </c>
      <c r="H2988" s="201">
        <v>200000.0</v>
      </c>
      <c r="I2988" s="161">
        <f t="shared" si="41"/>
        <v>2050000</v>
      </c>
      <c r="J2988" s="164">
        <f t="shared" si="42"/>
        <v>2050000</v>
      </c>
      <c r="K2988" s="56" t="s">
        <v>6853</v>
      </c>
      <c r="L2988" s="165" t="s">
        <v>10293</v>
      </c>
      <c r="M2988" s="73"/>
      <c r="N2988" s="171"/>
      <c r="O2988" s="169" t="s">
        <v>3213</v>
      </c>
      <c r="P2988" s="168" t="s">
        <v>3112</v>
      </c>
      <c r="Q2988" s="173"/>
      <c r="R2988" s="167">
        <v>2050000.0</v>
      </c>
      <c r="S2988" s="173"/>
      <c r="T2988" s="173"/>
      <c r="U2988" s="173"/>
      <c r="V2988" s="202"/>
      <c r="W2988" s="169" t="s">
        <v>10087</v>
      </c>
      <c r="X2988" s="171"/>
    </row>
    <row r="2989" ht="15.0" customHeight="1">
      <c r="A2989" s="127">
        <v>46015.0</v>
      </c>
      <c r="B2989" s="181" t="s">
        <v>10294</v>
      </c>
      <c r="C2989" s="56" t="s">
        <v>3745</v>
      </c>
      <c r="D2989" s="73" t="str">
        <f>IFERROR(VLOOKUP(C2989,Stock,3,FALSE),"")</f>
        <v>Honda Brio 10- / Mobilio 11-</v>
      </c>
      <c r="E2989" s="56">
        <v>1.0</v>
      </c>
      <c r="F2989" s="161">
        <v>1772000.0</v>
      </c>
      <c r="G2989" s="162">
        <f t="shared" si="40"/>
        <v>1772000</v>
      </c>
      <c r="H2989" s="194"/>
      <c r="I2989" s="161">
        <f t="shared" si="41"/>
        <v>1772000</v>
      </c>
      <c r="J2989" s="164">
        <f t="shared" si="42"/>
        <v>1772000</v>
      </c>
      <c r="K2989" s="56" t="s">
        <v>10295</v>
      </c>
      <c r="L2989" s="165" t="s">
        <v>10296</v>
      </c>
      <c r="M2989" s="73"/>
      <c r="N2989" s="171"/>
      <c r="O2989" s="169" t="s">
        <v>6923</v>
      </c>
      <c r="P2989" s="168" t="s">
        <v>3112</v>
      </c>
      <c r="Q2989" s="173"/>
      <c r="R2989" s="167">
        <v>1772000.0</v>
      </c>
      <c r="S2989" s="173"/>
      <c r="T2989" s="173"/>
      <c r="U2989" s="173"/>
      <c r="V2989" s="202"/>
      <c r="W2989" s="169" t="s">
        <v>10087</v>
      </c>
      <c r="X2989" s="171"/>
    </row>
    <row r="2990" ht="15.0" customHeight="1">
      <c r="A2990" s="127">
        <v>46015.0</v>
      </c>
      <c r="B2990" s="181" t="s">
        <v>10297</v>
      </c>
      <c r="C2990" s="56" t="s">
        <v>2567</v>
      </c>
      <c r="D2990" s="73" t="str">
        <f>IFERROR(VLOOKUP(C2990,Stock,3,FALSE),"")</f>
        <v>Toyota Camry 02-06 ACV30 3rd Gen</v>
      </c>
      <c r="E2990" s="56">
        <v>1.0</v>
      </c>
      <c r="F2990" s="161">
        <v>2318000.0</v>
      </c>
      <c r="G2990" s="162">
        <f t="shared" si="40"/>
        <v>2318000</v>
      </c>
      <c r="H2990" s="194"/>
      <c r="I2990" s="161">
        <f t="shared" si="41"/>
        <v>2318000</v>
      </c>
      <c r="J2990" s="164">
        <f t="shared" si="42"/>
        <v>2318000</v>
      </c>
      <c r="K2990" s="56" t="s">
        <v>7736</v>
      </c>
      <c r="L2990" s="165" t="s">
        <v>7737</v>
      </c>
      <c r="M2990" s="73"/>
      <c r="N2990" s="171"/>
      <c r="O2990" s="169" t="s">
        <v>6923</v>
      </c>
      <c r="P2990" s="168" t="s">
        <v>3112</v>
      </c>
      <c r="Q2990" s="173"/>
      <c r="R2990" s="167">
        <v>2318000.0</v>
      </c>
      <c r="S2990" s="173"/>
      <c r="T2990" s="173"/>
      <c r="U2990" s="173"/>
      <c r="V2990" s="202"/>
      <c r="W2990" s="169" t="s">
        <v>10087</v>
      </c>
      <c r="X2990" s="171"/>
    </row>
    <row r="2991" ht="15.0" customHeight="1">
      <c r="A2991" s="127">
        <v>46017.0</v>
      </c>
      <c r="B2991" s="181" t="s">
        <v>10298</v>
      </c>
      <c r="C2991" s="56" t="s">
        <v>10289</v>
      </c>
      <c r="D2991" s="73" t="str">
        <f>IFERROR(VLOOKUP(C2991,Stock,3,FALSE),"")</f>
        <v>Toyota Avanza / Xenia 15-21 3rd Gen</v>
      </c>
      <c r="E2991" s="56">
        <v>1.0</v>
      </c>
      <c r="F2991" s="161">
        <v>1000000.0</v>
      </c>
      <c r="G2991" s="162">
        <f t="shared" si="40"/>
        <v>1000000</v>
      </c>
      <c r="H2991" s="194"/>
      <c r="I2991" s="161">
        <f t="shared" si="41"/>
        <v>1000000</v>
      </c>
      <c r="J2991" s="164">
        <f t="shared" si="42"/>
        <v>1000000</v>
      </c>
      <c r="K2991" s="56" t="s">
        <v>10299</v>
      </c>
      <c r="L2991" s="165" t="s">
        <v>10300</v>
      </c>
      <c r="M2991" s="73"/>
      <c r="N2991" s="171"/>
      <c r="O2991" s="169" t="s">
        <v>6923</v>
      </c>
      <c r="P2991" s="168" t="s">
        <v>3112</v>
      </c>
      <c r="Q2991" s="173"/>
      <c r="R2991" s="167">
        <v>1000000.0</v>
      </c>
      <c r="S2991" s="173"/>
      <c r="T2991" s="173"/>
      <c r="U2991" s="173"/>
      <c r="V2991" s="202"/>
      <c r="W2991" s="169" t="s">
        <v>10087</v>
      </c>
      <c r="X2991" s="171"/>
    </row>
    <row r="2992" ht="15.0" customHeight="1">
      <c r="A2992" s="127">
        <v>46017.0</v>
      </c>
      <c r="B2992" s="181" t="s">
        <v>10298</v>
      </c>
      <c r="C2992" s="56" t="s">
        <v>3826</v>
      </c>
      <c r="D2992" s="73" t="str">
        <f>IFERROR(VLOOKUP(C2992,Stock,3,FALSE),"")</f>
        <v>List Kaca Depan Code 11</v>
      </c>
      <c r="E2992" s="56">
        <v>1.0</v>
      </c>
      <c r="F2992" s="161">
        <v>275000.0</v>
      </c>
      <c r="G2992" s="162">
        <f t="shared" si="40"/>
        <v>275000</v>
      </c>
      <c r="H2992" s="194"/>
      <c r="I2992" s="161">
        <f t="shared" si="41"/>
        <v>275000</v>
      </c>
      <c r="J2992" s="164">
        <f t="shared" si="42"/>
        <v>275000</v>
      </c>
      <c r="K2992" s="56" t="s">
        <v>10299</v>
      </c>
      <c r="L2992" s="165" t="s">
        <v>10300</v>
      </c>
      <c r="M2992" s="73"/>
      <c r="N2992" s="171"/>
      <c r="O2992" s="169" t="s">
        <v>6923</v>
      </c>
      <c r="P2992" s="168" t="s">
        <v>3112</v>
      </c>
      <c r="Q2992" s="173"/>
      <c r="R2992" s="167">
        <v>275000.0</v>
      </c>
      <c r="S2992" s="173"/>
      <c r="T2992" s="173"/>
      <c r="U2992" s="173"/>
      <c r="V2992" s="202"/>
      <c r="W2992" s="169" t="s">
        <v>10087</v>
      </c>
      <c r="X2992" s="171"/>
    </row>
    <row r="2993" ht="15.0" customHeight="1">
      <c r="A2993" s="127">
        <v>46017.0</v>
      </c>
      <c r="B2993" s="181" t="s">
        <v>10301</v>
      </c>
      <c r="C2993" s="484" t="s">
        <v>8623</v>
      </c>
      <c r="D2993" s="73" t="str">
        <f>IFERROR(VLOOKUP(C2993,Stock,3,FALSE),"")</f>
        <v>Daihatsu Gran Max / Luxio 07-</v>
      </c>
      <c r="E2993" s="56">
        <v>1.0</v>
      </c>
      <c r="F2993" s="161">
        <v>1000000.0</v>
      </c>
      <c r="G2993" s="162">
        <f t="shared" si="40"/>
        <v>1000000</v>
      </c>
      <c r="H2993" s="194"/>
      <c r="I2993" s="161">
        <f t="shared" si="41"/>
        <v>1000000</v>
      </c>
      <c r="J2993" s="164">
        <f t="shared" si="42"/>
        <v>1000000</v>
      </c>
      <c r="K2993" s="56" t="s">
        <v>10302</v>
      </c>
      <c r="L2993" s="165" t="s">
        <v>10303</v>
      </c>
      <c r="M2993" s="73"/>
      <c r="N2993" s="171"/>
      <c r="O2993" s="169" t="s">
        <v>6923</v>
      </c>
      <c r="P2993" s="168" t="s">
        <v>3112</v>
      </c>
      <c r="Q2993" s="173"/>
      <c r="R2993" s="167">
        <v>1000000.0</v>
      </c>
      <c r="S2993" s="173"/>
      <c r="T2993" s="173"/>
      <c r="U2993" s="173"/>
      <c r="V2993" s="202"/>
      <c r="W2993" s="169" t="s">
        <v>10087</v>
      </c>
      <c r="X2993" s="171"/>
    </row>
    <row r="2994" ht="15.0" customHeight="1">
      <c r="A2994" s="127">
        <v>46017.0</v>
      </c>
      <c r="B2994" s="181" t="s">
        <v>10304</v>
      </c>
      <c r="C2994" s="56" t="s">
        <v>10305</v>
      </c>
      <c r="D2994" s="73" t="str">
        <f>IFERROR(VLOOKUP(C2994,Stock,3,FALSE),"")</f>
        <v>Toyota Fortuner 15- 2nd Gen (Hitam)</v>
      </c>
      <c r="E2994" s="56">
        <v>1.0</v>
      </c>
      <c r="F2994" s="161">
        <v>1655000.0</v>
      </c>
      <c r="G2994" s="162">
        <f t="shared" si="40"/>
        <v>1655000</v>
      </c>
      <c r="H2994" s="194"/>
      <c r="I2994" s="161">
        <f t="shared" si="41"/>
        <v>1655000</v>
      </c>
      <c r="J2994" s="164">
        <f t="shared" si="42"/>
        <v>1655000</v>
      </c>
      <c r="K2994" s="56" t="s">
        <v>10306</v>
      </c>
      <c r="L2994" s="165" t="s">
        <v>10307</v>
      </c>
      <c r="M2994" s="73"/>
      <c r="N2994" s="171"/>
      <c r="O2994" s="169" t="s">
        <v>6923</v>
      </c>
      <c r="P2994" s="168" t="s">
        <v>3112</v>
      </c>
      <c r="Q2994" s="173"/>
      <c r="R2994" s="167">
        <v>1655000.0</v>
      </c>
      <c r="S2994" s="173"/>
      <c r="T2994" s="173"/>
      <c r="U2994" s="173"/>
      <c r="V2994" s="202"/>
      <c r="W2994" s="169" t="s">
        <v>10087</v>
      </c>
      <c r="X2994" s="171"/>
    </row>
    <row r="2995" ht="15.0" customHeight="1">
      <c r="A2995" s="127">
        <v>46017.0</v>
      </c>
      <c r="B2995" s="181" t="s">
        <v>10308</v>
      </c>
      <c r="C2995" s="484" t="s">
        <v>8623</v>
      </c>
      <c r="D2995" s="73" t="str">
        <f>IFERROR(VLOOKUP(C2995,Stock,3,FALSE),"")</f>
        <v>Daihatsu Gran Max / Luxio 07-</v>
      </c>
      <c r="E2995" s="56">
        <v>1.0</v>
      </c>
      <c r="F2995" s="161">
        <v>1000000.0</v>
      </c>
      <c r="G2995" s="162">
        <f t="shared" si="40"/>
        <v>1000000</v>
      </c>
      <c r="H2995" s="194"/>
      <c r="I2995" s="161">
        <f t="shared" si="41"/>
        <v>1000000</v>
      </c>
      <c r="J2995" s="164">
        <f t="shared" si="42"/>
        <v>1000000</v>
      </c>
      <c r="K2995" s="56" t="s">
        <v>9975</v>
      </c>
      <c r="L2995" s="165" t="s">
        <v>10309</v>
      </c>
      <c r="M2995" s="73"/>
      <c r="N2995" s="171"/>
      <c r="O2995" s="169" t="s">
        <v>6923</v>
      </c>
      <c r="P2995" s="168" t="s">
        <v>3112</v>
      </c>
      <c r="Q2995" s="173"/>
      <c r="R2995" s="167">
        <v>1000000.0</v>
      </c>
      <c r="S2995" s="173"/>
      <c r="T2995" s="173"/>
      <c r="U2995" s="173"/>
      <c r="V2995" s="202"/>
      <c r="W2995" s="169" t="s">
        <v>10087</v>
      </c>
      <c r="X2995" s="171"/>
    </row>
    <row r="2996" ht="15.0" customHeight="1">
      <c r="A2996" s="127">
        <v>46017.0</v>
      </c>
      <c r="B2996" s="181" t="s">
        <v>10310</v>
      </c>
      <c r="C2996" s="56" t="s">
        <v>2706</v>
      </c>
      <c r="D2996" s="73" t="str">
        <f>IFERROR(VLOOKUP(C2996,Stock,3,FALSE),"")</f>
        <v>Isuzu Elf 17- New NMR NLR</v>
      </c>
      <c r="E2996" s="56">
        <v>1.0</v>
      </c>
      <c r="F2996" s="161">
        <v>1314000.0</v>
      </c>
      <c r="G2996" s="162">
        <f t="shared" si="40"/>
        <v>1314000</v>
      </c>
      <c r="H2996" s="194"/>
      <c r="I2996" s="161">
        <f t="shared" si="41"/>
        <v>1314000</v>
      </c>
      <c r="J2996" s="164">
        <f t="shared" si="42"/>
        <v>1314000</v>
      </c>
      <c r="K2996" s="56" t="s">
        <v>10311</v>
      </c>
      <c r="L2996" s="165" t="s">
        <v>10312</v>
      </c>
      <c r="M2996" s="73"/>
      <c r="N2996" s="171"/>
      <c r="O2996" s="169" t="s">
        <v>6923</v>
      </c>
      <c r="P2996" s="168" t="s">
        <v>3112</v>
      </c>
      <c r="Q2996" s="167">
        <v>1314000.0</v>
      </c>
      <c r="R2996" s="173"/>
      <c r="S2996" s="173"/>
      <c r="T2996" s="173"/>
      <c r="U2996" s="173"/>
      <c r="V2996" s="202"/>
      <c r="W2996" s="169" t="s">
        <v>10087</v>
      </c>
      <c r="X2996" s="171"/>
    </row>
    <row r="2997" ht="15.0" customHeight="1">
      <c r="A2997" s="127">
        <v>46017.0</v>
      </c>
      <c r="B2997" s="181" t="s">
        <v>10313</v>
      </c>
      <c r="C2997" s="56" t="s">
        <v>10314</v>
      </c>
      <c r="D2997" s="73" t="str">
        <f>IFERROR(VLOOKUP(C2997,Stock,3,FALSE),"")</f>
        <v>Honda Civic 00-05 VTIS S5A 7th Gen (Venturi)</v>
      </c>
      <c r="E2997" s="56">
        <v>1.0</v>
      </c>
      <c r="F2997" s="161">
        <v>2384000.0</v>
      </c>
      <c r="G2997" s="162">
        <f t="shared" si="40"/>
        <v>2384000</v>
      </c>
      <c r="H2997" s="194"/>
      <c r="I2997" s="161">
        <f t="shared" si="41"/>
        <v>2384000</v>
      </c>
      <c r="J2997" s="164">
        <f t="shared" si="42"/>
        <v>2384000</v>
      </c>
      <c r="K2997" s="56" t="s">
        <v>10315</v>
      </c>
      <c r="L2997" s="165" t="s">
        <v>10316</v>
      </c>
      <c r="M2997" s="73"/>
      <c r="N2997" s="171"/>
      <c r="O2997" s="169" t="s">
        <v>6923</v>
      </c>
      <c r="P2997" s="168" t="s">
        <v>3112</v>
      </c>
      <c r="Q2997" s="173"/>
      <c r="R2997" s="167">
        <v>2384000.0</v>
      </c>
      <c r="S2997" s="173"/>
      <c r="T2997" s="173"/>
      <c r="U2997" s="173"/>
      <c r="V2997" s="202"/>
      <c r="W2997" s="171"/>
      <c r="X2997" s="171"/>
    </row>
    <row r="2998" ht="15.0" customHeight="1">
      <c r="A2998" s="127">
        <v>46018.0</v>
      </c>
      <c r="B2998" s="181" t="s">
        <v>10317</v>
      </c>
      <c r="C2998" s="56" t="s">
        <v>3127</v>
      </c>
      <c r="D2998" s="73" t="str">
        <f>IFERROR(VLOOKUP(C2998,Stock,3,FALSE),"")</f>
        <v>Toyota Avanza / Xenia 03-11 1st Gen</v>
      </c>
      <c r="E2998" s="56">
        <v>1.0</v>
      </c>
      <c r="F2998" s="161">
        <v>839000.0</v>
      </c>
      <c r="G2998" s="162">
        <f t="shared" si="40"/>
        <v>839000</v>
      </c>
      <c r="H2998" s="194"/>
      <c r="I2998" s="161">
        <f t="shared" si="41"/>
        <v>839000</v>
      </c>
      <c r="J2998" s="164">
        <f t="shared" si="42"/>
        <v>839000</v>
      </c>
      <c r="K2998" s="56" t="s">
        <v>10318</v>
      </c>
      <c r="L2998" s="165" t="s">
        <v>10319</v>
      </c>
      <c r="M2998" s="73"/>
      <c r="N2998" s="171"/>
      <c r="O2998" s="169" t="s">
        <v>6923</v>
      </c>
      <c r="P2998" s="168" t="s">
        <v>3112</v>
      </c>
      <c r="Q2998" s="167">
        <v>839000.0</v>
      </c>
      <c r="R2998" s="173"/>
      <c r="S2998" s="173"/>
      <c r="T2998" s="173"/>
      <c r="U2998" s="173"/>
      <c r="V2998" s="202"/>
      <c r="W2998" s="171"/>
      <c r="X2998" s="171"/>
    </row>
    <row r="2999" ht="15.0" customHeight="1">
      <c r="A2999" s="127">
        <v>46018.0</v>
      </c>
      <c r="B2999" s="181" t="s">
        <v>10320</v>
      </c>
      <c r="C2999" s="484" t="s">
        <v>10321</v>
      </c>
      <c r="D2999" s="73" t="str">
        <f>IFERROR(VLOOKUP(C2999,Stock,3,FALSE),"")</f>
        <v>Honda HR-V 22- 5D SUV (Honda)</v>
      </c>
      <c r="E2999" s="56">
        <v>1.0</v>
      </c>
      <c r="F2999" s="161">
        <v>3050000.0</v>
      </c>
      <c r="G2999" s="162">
        <f t="shared" si="40"/>
        <v>3050000</v>
      </c>
      <c r="H2999" s="194"/>
      <c r="I2999" s="161">
        <f t="shared" si="41"/>
        <v>3050000</v>
      </c>
      <c r="J2999" s="164">
        <f t="shared" si="42"/>
        <v>3050000</v>
      </c>
      <c r="K2999" s="56" t="s">
        <v>10322</v>
      </c>
      <c r="L2999" s="165" t="s">
        <v>10323</v>
      </c>
      <c r="M2999" s="73"/>
      <c r="N2999" s="171"/>
      <c r="O2999" s="169" t="s">
        <v>6923</v>
      </c>
      <c r="P2999" s="168" t="s">
        <v>3112</v>
      </c>
      <c r="Q2999" s="173"/>
      <c r="R2999" s="167">
        <v>3050000.0</v>
      </c>
      <c r="S2999" s="173"/>
      <c r="T2999" s="173"/>
      <c r="U2999" s="173"/>
      <c r="V2999" s="202"/>
      <c r="W2999" s="171"/>
      <c r="X2999" s="171"/>
    </row>
    <row r="3000" ht="15.0" customHeight="1">
      <c r="A3000" s="127">
        <v>46018.0</v>
      </c>
      <c r="B3000" s="181" t="s">
        <v>10320</v>
      </c>
      <c r="C3000" s="56" t="s">
        <v>2954</v>
      </c>
      <c r="D3000" s="73" t="str">
        <f>IFERROR(VLOOKUP(C3000,Stock,3,FALSE),"")</f>
        <v>Transport</v>
      </c>
      <c r="E3000" s="56">
        <v>1.0</v>
      </c>
      <c r="F3000" s="161">
        <v>100000.0</v>
      </c>
      <c r="G3000" s="162">
        <f t="shared" si="40"/>
        <v>100000</v>
      </c>
      <c r="H3000" s="194"/>
      <c r="I3000" s="161">
        <f t="shared" si="41"/>
        <v>100000</v>
      </c>
      <c r="J3000" s="164">
        <f t="shared" si="42"/>
        <v>100000</v>
      </c>
      <c r="K3000" s="56" t="s">
        <v>10322</v>
      </c>
      <c r="L3000" s="165" t="s">
        <v>10323</v>
      </c>
      <c r="M3000" s="73"/>
      <c r="N3000" s="171"/>
      <c r="O3000" s="169" t="s">
        <v>6923</v>
      </c>
      <c r="P3000" s="168" t="s">
        <v>3112</v>
      </c>
      <c r="Q3000" s="173"/>
      <c r="R3000" s="167">
        <v>100000.0</v>
      </c>
      <c r="S3000" s="173"/>
      <c r="T3000" s="173"/>
      <c r="U3000" s="173"/>
      <c r="V3000" s="202"/>
      <c r="W3000" s="171"/>
      <c r="X3000" s="171"/>
    </row>
    <row r="3001" ht="15.0" customHeight="1">
      <c r="A3001" s="127">
        <v>46018.0</v>
      </c>
      <c r="B3001" s="181" t="s">
        <v>10324</v>
      </c>
      <c r="C3001" s="56" t="s">
        <v>2740</v>
      </c>
      <c r="D3001" s="73" t="str">
        <f>IFERROR(VLOOKUP(C3001,Stock,3,FALSE),"")</f>
        <v>Toyota Alphard 15-17 ANH30 3rd Gen (Hitam)</v>
      </c>
      <c r="E3001" s="56">
        <v>1.0</v>
      </c>
      <c r="F3001" s="161">
        <v>2870000.0</v>
      </c>
      <c r="G3001" s="162">
        <f t="shared" si="40"/>
        <v>2870000</v>
      </c>
      <c r="H3001" s="194"/>
      <c r="I3001" s="161">
        <f t="shared" si="41"/>
        <v>2870000</v>
      </c>
      <c r="J3001" s="164">
        <f t="shared" si="42"/>
        <v>2870000</v>
      </c>
      <c r="K3001" s="56" t="s">
        <v>10325</v>
      </c>
      <c r="L3001" s="165" t="s">
        <v>10326</v>
      </c>
      <c r="M3001" s="73"/>
      <c r="N3001" s="171"/>
      <c r="O3001" s="169" t="s">
        <v>6923</v>
      </c>
      <c r="P3001" s="168" t="s">
        <v>3112</v>
      </c>
      <c r="Q3001" s="173"/>
      <c r="R3001" s="167">
        <v>2870000.0</v>
      </c>
      <c r="S3001" s="173"/>
      <c r="T3001" s="173"/>
      <c r="U3001" s="173"/>
      <c r="V3001" s="202"/>
      <c r="W3001" s="171"/>
      <c r="X3001" s="171"/>
    </row>
    <row r="3002" ht="15.0" customHeight="1">
      <c r="A3002" s="127">
        <v>46018.0</v>
      </c>
      <c r="B3002" s="181" t="s">
        <v>10327</v>
      </c>
      <c r="C3002" s="484" t="s">
        <v>8623</v>
      </c>
      <c r="D3002" s="73" t="str">
        <f>IFERROR(VLOOKUP(C3002,Stock,3,FALSE),"")</f>
        <v>Daihatsu Gran Max / Luxio 07-</v>
      </c>
      <c r="E3002" s="56">
        <v>1.0</v>
      </c>
      <c r="F3002" s="161">
        <v>1000000.0</v>
      </c>
      <c r="G3002" s="162">
        <f t="shared" si="40"/>
        <v>1000000</v>
      </c>
      <c r="H3002" s="194"/>
      <c r="I3002" s="161">
        <f t="shared" si="41"/>
        <v>1000000</v>
      </c>
      <c r="J3002" s="164">
        <f t="shared" si="42"/>
        <v>1000000</v>
      </c>
      <c r="K3002" s="56" t="s">
        <v>5674</v>
      </c>
      <c r="L3002" s="165" t="s">
        <v>10328</v>
      </c>
      <c r="M3002" s="73"/>
      <c r="N3002" s="171"/>
      <c r="O3002" s="169" t="s">
        <v>6923</v>
      </c>
      <c r="P3002" s="168" t="s">
        <v>3112</v>
      </c>
      <c r="Q3002" s="173"/>
      <c r="R3002" s="167">
        <v>1000000.0</v>
      </c>
      <c r="S3002" s="173"/>
      <c r="T3002" s="173"/>
      <c r="U3002" s="173"/>
      <c r="V3002" s="202"/>
      <c r="W3002" s="171"/>
      <c r="X3002" s="171"/>
    </row>
    <row r="3003" ht="15.0" customHeight="1">
      <c r="A3003" s="127">
        <v>46018.0</v>
      </c>
      <c r="B3003" s="181" t="s">
        <v>10327</v>
      </c>
      <c r="C3003" s="56" t="s">
        <v>3083</v>
      </c>
      <c r="D3003" s="73" t="str">
        <f>IFERROR(VLOOKUP(C3003,Stock,3,FALSE),"")</f>
        <v>List Kaca Depan Code 04</v>
      </c>
      <c r="E3003" s="56">
        <v>1.0</v>
      </c>
      <c r="F3003" s="161">
        <v>275000.0</v>
      </c>
      <c r="G3003" s="162">
        <f t="shared" si="40"/>
        <v>275000</v>
      </c>
      <c r="H3003" s="194"/>
      <c r="I3003" s="161">
        <f t="shared" si="41"/>
        <v>275000</v>
      </c>
      <c r="J3003" s="164">
        <f t="shared" si="42"/>
        <v>275000</v>
      </c>
      <c r="K3003" s="56" t="s">
        <v>5674</v>
      </c>
      <c r="L3003" s="165" t="s">
        <v>10328</v>
      </c>
      <c r="M3003" s="73"/>
      <c r="N3003" s="171"/>
      <c r="O3003" s="169" t="s">
        <v>6923</v>
      </c>
      <c r="P3003" s="168" t="s">
        <v>3112</v>
      </c>
      <c r="Q3003" s="173"/>
      <c r="R3003" s="167">
        <v>275000.0</v>
      </c>
      <c r="S3003" s="173"/>
      <c r="T3003" s="173"/>
      <c r="U3003" s="173"/>
      <c r="V3003" s="202"/>
      <c r="W3003" s="171"/>
      <c r="X3003" s="171"/>
    </row>
    <row r="3004" ht="15.0" customHeight="1">
      <c r="A3004" s="127">
        <v>46018.0</v>
      </c>
      <c r="B3004" s="181" t="s">
        <v>10329</v>
      </c>
      <c r="C3004" s="56" t="s">
        <v>9836</v>
      </c>
      <c r="D3004" s="73" t="str">
        <f>IFERROR(VLOOKUP(C3004,Stock,3,FALSE),"")</f>
        <v>Toyota Yaris 13- 2nd Gen / Vios 14- 3rd Gen</v>
      </c>
      <c r="E3004" s="56">
        <v>1.0</v>
      </c>
      <c r="F3004" s="161">
        <v>1569000.0</v>
      </c>
      <c r="G3004" s="162">
        <f t="shared" si="40"/>
        <v>1569000</v>
      </c>
      <c r="H3004" s="194"/>
      <c r="I3004" s="161">
        <f t="shared" si="41"/>
        <v>1569000</v>
      </c>
      <c r="J3004" s="164">
        <f t="shared" si="42"/>
        <v>1569000</v>
      </c>
      <c r="K3004" s="56" t="s">
        <v>10330</v>
      </c>
      <c r="L3004" s="165" t="s">
        <v>10331</v>
      </c>
      <c r="M3004" s="73"/>
      <c r="N3004" s="171"/>
      <c r="O3004" s="169" t="s">
        <v>6923</v>
      </c>
      <c r="P3004" s="169" t="s">
        <v>10237</v>
      </c>
      <c r="Q3004" s="173"/>
      <c r="R3004" s="167">
        <v>1569000.0</v>
      </c>
      <c r="S3004" s="173"/>
      <c r="T3004" s="173"/>
      <c r="U3004" s="173"/>
      <c r="V3004" s="202"/>
      <c r="W3004" s="171"/>
      <c r="X3004" s="171"/>
    </row>
    <row r="3005" ht="15.0" customHeight="1">
      <c r="A3005" s="127">
        <v>46018.0</v>
      </c>
      <c r="B3005" s="181" t="s">
        <v>10332</v>
      </c>
      <c r="C3005" s="484" t="s">
        <v>10333</v>
      </c>
      <c r="D3005" s="73" t="str">
        <f>IFERROR(VLOOKUP(C3005,Stock,3,FALSE),"")</f>
        <v>Toyota Avanza / Xenia 11-15 2nd Gen</v>
      </c>
      <c r="E3005" s="56">
        <v>1.0</v>
      </c>
      <c r="F3005" s="161">
        <v>1000000.0</v>
      </c>
      <c r="G3005" s="162">
        <f t="shared" si="40"/>
        <v>1000000</v>
      </c>
      <c r="H3005" s="194"/>
      <c r="I3005" s="161">
        <f t="shared" si="41"/>
        <v>1000000</v>
      </c>
      <c r="J3005" s="164">
        <f t="shared" si="42"/>
        <v>1000000</v>
      </c>
      <c r="K3005" s="56" t="s">
        <v>10334</v>
      </c>
      <c r="L3005" s="165" t="s">
        <v>10335</v>
      </c>
      <c r="M3005" s="73"/>
      <c r="N3005" s="171"/>
      <c r="O3005" s="169" t="s">
        <v>6923</v>
      </c>
      <c r="P3005" s="168" t="s">
        <v>3112</v>
      </c>
      <c r="Q3005" s="173"/>
      <c r="R3005" s="167">
        <v>1000000.0</v>
      </c>
      <c r="S3005" s="173"/>
      <c r="T3005" s="173"/>
      <c r="U3005" s="173"/>
      <c r="V3005" s="202"/>
      <c r="W3005" s="171"/>
      <c r="X3005" s="171"/>
    </row>
    <row r="3006" ht="15.0" customHeight="1">
      <c r="A3006" s="127">
        <v>46018.0</v>
      </c>
      <c r="B3006" s="181" t="s">
        <v>10332</v>
      </c>
      <c r="C3006" s="56" t="s">
        <v>3826</v>
      </c>
      <c r="D3006" s="73" t="str">
        <f>IFERROR(VLOOKUP(C3006,Stock,3,FALSE),"")</f>
        <v>List Kaca Depan Code 11</v>
      </c>
      <c r="E3006" s="56">
        <v>1.0</v>
      </c>
      <c r="F3006" s="161">
        <v>275000.0</v>
      </c>
      <c r="G3006" s="162">
        <f t="shared" si="40"/>
        <v>275000</v>
      </c>
      <c r="H3006" s="194"/>
      <c r="I3006" s="161">
        <f t="shared" si="41"/>
        <v>275000</v>
      </c>
      <c r="J3006" s="164">
        <f t="shared" si="42"/>
        <v>275000</v>
      </c>
      <c r="K3006" s="56" t="s">
        <v>10334</v>
      </c>
      <c r="L3006" s="165" t="s">
        <v>10335</v>
      </c>
      <c r="M3006" s="73"/>
      <c r="N3006" s="171"/>
      <c r="O3006" s="169" t="s">
        <v>6923</v>
      </c>
      <c r="P3006" s="168" t="s">
        <v>3112</v>
      </c>
      <c r="Q3006" s="173"/>
      <c r="R3006" s="167">
        <v>275000.0</v>
      </c>
      <c r="S3006" s="173"/>
      <c r="T3006" s="173"/>
      <c r="U3006" s="173"/>
      <c r="V3006" s="202"/>
      <c r="W3006" s="171"/>
      <c r="X3006" s="171"/>
    </row>
    <row r="3007" ht="15.0" customHeight="1">
      <c r="A3007" s="127">
        <v>46018.0</v>
      </c>
      <c r="B3007" s="181" t="s">
        <v>10336</v>
      </c>
      <c r="C3007" s="56" t="s">
        <v>7660</v>
      </c>
      <c r="D3007" s="73" t="str">
        <f>IFERROR(VLOOKUP(C3007,Stock,3,FALSE),"")</f>
        <v>Suzuki Ertiga 12-18 1st Gen MPV</v>
      </c>
      <c r="E3007" s="56">
        <v>1.0</v>
      </c>
      <c r="F3007" s="161">
        <v>1260000.0</v>
      </c>
      <c r="G3007" s="162">
        <f t="shared" si="40"/>
        <v>1260000</v>
      </c>
      <c r="H3007" s="194"/>
      <c r="I3007" s="161">
        <f t="shared" si="41"/>
        <v>1260000</v>
      </c>
      <c r="J3007" s="164">
        <f t="shared" si="42"/>
        <v>1260000</v>
      </c>
      <c r="K3007" s="56" t="s">
        <v>10337</v>
      </c>
      <c r="L3007" s="165" t="s">
        <v>10338</v>
      </c>
      <c r="M3007" s="73"/>
      <c r="N3007" s="171"/>
      <c r="O3007" s="169" t="s">
        <v>6923</v>
      </c>
      <c r="P3007" s="168" t="s">
        <v>3112</v>
      </c>
      <c r="Q3007" s="173"/>
      <c r="R3007" s="167">
        <v>1260000.0</v>
      </c>
      <c r="S3007" s="173"/>
      <c r="T3007" s="173"/>
      <c r="U3007" s="173"/>
      <c r="V3007" s="202"/>
      <c r="W3007" s="171"/>
      <c r="X3007" s="171"/>
    </row>
    <row r="3008" ht="15.0" customHeight="1">
      <c r="A3008" s="127">
        <v>46019.0</v>
      </c>
      <c r="B3008" s="181" t="s">
        <v>10339</v>
      </c>
      <c r="C3008" s="56" t="s">
        <v>4901</v>
      </c>
      <c r="D3008" s="73" t="str">
        <f>IFERROR(VLOOKUP(C3008,Stock,3,FALSE),"")</f>
        <v>Toyota Rush / Terios 18-</v>
      </c>
      <c r="E3008" s="56">
        <v>1.0</v>
      </c>
      <c r="F3008" s="161">
        <v>1052000.0</v>
      </c>
      <c r="G3008" s="162">
        <f t="shared" si="40"/>
        <v>1052000</v>
      </c>
      <c r="H3008" s="194"/>
      <c r="I3008" s="161">
        <f t="shared" si="41"/>
        <v>1052000</v>
      </c>
      <c r="J3008" s="164">
        <f t="shared" si="42"/>
        <v>1052000</v>
      </c>
      <c r="K3008" s="56" t="s">
        <v>6903</v>
      </c>
      <c r="L3008" s="165" t="s">
        <v>10340</v>
      </c>
      <c r="M3008" s="73"/>
      <c r="N3008" s="171"/>
      <c r="O3008" s="169" t="s">
        <v>6923</v>
      </c>
      <c r="P3008" s="168" t="s">
        <v>3112</v>
      </c>
      <c r="Q3008" s="173"/>
      <c r="R3008" s="167">
        <v>1052000.0</v>
      </c>
      <c r="S3008" s="173"/>
      <c r="T3008" s="173"/>
      <c r="U3008" s="173"/>
      <c r="V3008" s="202"/>
      <c r="W3008" s="171"/>
      <c r="X3008" s="171"/>
    </row>
    <row r="3009" ht="15.0" customHeight="1">
      <c r="A3009" s="127">
        <v>46019.0</v>
      </c>
      <c r="B3009" s="181" t="s">
        <v>10341</v>
      </c>
      <c r="C3009" s="56" t="s">
        <v>6624</v>
      </c>
      <c r="D3009" s="73" t="str">
        <f>IFERROR(VLOOKUP(C3009,Stock,3,FALSE),"")</f>
        <v>Toyota Innova 04-15 1st Gen (Toyota)</v>
      </c>
      <c r="E3009" s="56">
        <v>1.0</v>
      </c>
      <c r="F3009" s="161">
        <v>2680000.0</v>
      </c>
      <c r="G3009" s="162">
        <f t="shared" si="40"/>
        <v>2680000</v>
      </c>
      <c r="H3009" s="194"/>
      <c r="I3009" s="161">
        <f t="shared" si="41"/>
        <v>2680000</v>
      </c>
      <c r="J3009" s="164">
        <f t="shared" si="42"/>
        <v>2680000</v>
      </c>
      <c r="K3009" s="56" t="s">
        <v>10342</v>
      </c>
      <c r="L3009" s="165" t="s">
        <v>10343</v>
      </c>
      <c r="M3009" s="73"/>
      <c r="N3009" s="171"/>
      <c r="O3009" s="169" t="s">
        <v>6923</v>
      </c>
      <c r="P3009" s="168" t="s">
        <v>3112</v>
      </c>
      <c r="Q3009" s="173"/>
      <c r="R3009" s="167">
        <v>2680000.0</v>
      </c>
      <c r="S3009" s="173"/>
      <c r="T3009" s="173"/>
      <c r="U3009" s="173"/>
      <c r="V3009" s="202"/>
      <c r="W3009" s="171"/>
      <c r="X3009" s="171"/>
    </row>
    <row r="3010" ht="15.0" customHeight="1">
      <c r="A3010" s="127">
        <v>46019.0</v>
      </c>
      <c r="B3010" s="181" t="s">
        <v>10341</v>
      </c>
      <c r="C3010" s="56" t="s">
        <v>3355</v>
      </c>
      <c r="D3010" s="73" t="str">
        <f>IFERROR(VLOOKUP(C3010,Stock,3,FALSE),"")</f>
        <v>List Kaca Depan INV</v>
      </c>
      <c r="E3010" s="56">
        <v>1.0</v>
      </c>
      <c r="F3010" s="161">
        <v>315000.0</v>
      </c>
      <c r="G3010" s="162">
        <f t="shared" si="40"/>
        <v>315000</v>
      </c>
      <c r="H3010" s="194"/>
      <c r="I3010" s="161">
        <f t="shared" si="41"/>
        <v>315000</v>
      </c>
      <c r="J3010" s="164">
        <f t="shared" si="42"/>
        <v>315000</v>
      </c>
      <c r="K3010" s="56" t="s">
        <v>10342</v>
      </c>
      <c r="L3010" s="165" t="s">
        <v>10343</v>
      </c>
      <c r="M3010" s="73"/>
      <c r="N3010" s="171"/>
      <c r="O3010" s="169" t="s">
        <v>6923</v>
      </c>
      <c r="P3010" s="168" t="s">
        <v>3112</v>
      </c>
      <c r="Q3010" s="173"/>
      <c r="R3010" s="167">
        <v>315000.0</v>
      </c>
      <c r="S3010" s="173"/>
      <c r="T3010" s="173"/>
      <c r="U3010" s="173"/>
      <c r="V3010" s="202"/>
      <c r="W3010" s="171"/>
      <c r="X3010" s="171"/>
    </row>
    <row r="3011" ht="15.0" customHeight="1">
      <c r="A3011" s="127">
        <v>46019.0</v>
      </c>
      <c r="B3011" s="181" t="s">
        <v>10344</v>
      </c>
      <c r="C3011" s="484" t="s">
        <v>5282</v>
      </c>
      <c r="D3011" s="73" t="str">
        <f>IFERROR(VLOOKUP(C3011,Stock,3,FALSE),"")</f>
        <v>Mitsubishi Canter FE800 01- (PS136)</v>
      </c>
      <c r="E3011" s="56">
        <v>1.0</v>
      </c>
      <c r="F3011" s="161">
        <v>1472000.0</v>
      </c>
      <c r="G3011" s="162">
        <f t="shared" si="40"/>
        <v>1472000</v>
      </c>
      <c r="H3011" s="194"/>
      <c r="I3011" s="161">
        <f t="shared" si="41"/>
        <v>1472000</v>
      </c>
      <c r="J3011" s="164">
        <f t="shared" si="42"/>
        <v>1472000</v>
      </c>
      <c r="K3011" s="56" t="s">
        <v>6832</v>
      </c>
      <c r="L3011" s="165" t="s">
        <v>10345</v>
      </c>
      <c r="M3011" s="73"/>
      <c r="N3011" s="171"/>
      <c r="O3011" s="169" t="s">
        <v>10346</v>
      </c>
      <c r="P3011" s="168" t="s">
        <v>3112</v>
      </c>
      <c r="Q3011" s="173"/>
      <c r="R3011" s="167">
        <v>1472000.0</v>
      </c>
      <c r="S3011" s="173"/>
      <c r="T3011" s="173"/>
      <c r="U3011" s="173"/>
      <c r="V3011" s="202"/>
      <c r="W3011" s="171"/>
      <c r="X3011" s="171"/>
    </row>
    <row r="3012" ht="15.0" customHeight="1">
      <c r="A3012" s="127">
        <v>46019.0</v>
      </c>
      <c r="B3012" s="181" t="s">
        <v>10347</v>
      </c>
      <c r="C3012" s="56" t="s">
        <v>2669</v>
      </c>
      <c r="D3012" s="73" t="str">
        <f>IFERROR(VLOOKUP(C3012,Stock,3,FALSE),"")</f>
        <v>Nissan Livina 07-18 L10/L11</v>
      </c>
      <c r="E3012" s="56">
        <v>1.0</v>
      </c>
      <c r="F3012" s="161">
        <v>1342000.0</v>
      </c>
      <c r="G3012" s="162">
        <f t="shared" si="40"/>
        <v>1342000</v>
      </c>
      <c r="H3012" s="194"/>
      <c r="I3012" s="161">
        <f t="shared" si="41"/>
        <v>1342000</v>
      </c>
      <c r="J3012" s="164">
        <f t="shared" si="42"/>
        <v>1342000</v>
      </c>
      <c r="K3012" s="56" t="s">
        <v>10348</v>
      </c>
      <c r="L3012" s="165" t="s">
        <v>10349</v>
      </c>
      <c r="M3012" s="73"/>
      <c r="N3012" s="171"/>
      <c r="O3012" s="169" t="s">
        <v>6923</v>
      </c>
      <c r="P3012" s="168" t="s">
        <v>3112</v>
      </c>
      <c r="Q3012" s="167">
        <v>1342000.0</v>
      </c>
      <c r="R3012" s="173"/>
      <c r="S3012" s="173"/>
      <c r="T3012" s="173"/>
      <c r="U3012" s="173"/>
      <c r="V3012" s="202"/>
      <c r="W3012" s="171"/>
      <c r="X3012" s="171"/>
    </row>
    <row r="3013" ht="15.0" customHeight="1">
      <c r="A3013" s="452">
        <v>46020.0</v>
      </c>
      <c r="B3013" s="453" t="s">
        <v>10350</v>
      </c>
      <c r="C3013" s="454" t="s">
        <v>3382</v>
      </c>
      <c r="D3013" s="455" t="str">
        <f>IFERROR(VLOOKUP(C3013,Stock,3,FALSE),"")</f>
        <v>Toyota Avanza / Xenia 11-15 2nd Gen / 15-21 3rd Gen</v>
      </c>
      <c r="E3013" s="454">
        <v>1.0</v>
      </c>
      <c r="F3013" s="456">
        <v>500000.0</v>
      </c>
      <c r="G3013" s="457">
        <f t="shared" si="40"/>
        <v>500000</v>
      </c>
      <c r="H3013" s="458"/>
      <c r="I3013" s="456">
        <f t="shared" si="41"/>
        <v>500000</v>
      </c>
      <c r="J3013" s="459">
        <f t="shared" si="42"/>
        <v>500000</v>
      </c>
      <c r="K3013" s="454" t="s">
        <v>5763</v>
      </c>
      <c r="L3013" s="460" t="s">
        <v>5764</v>
      </c>
      <c r="M3013" s="455"/>
      <c r="N3013" s="422"/>
      <c r="O3013" s="317" t="s">
        <v>6923</v>
      </c>
      <c r="P3013" s="461" t="s">
        <v>3112</v>
      </c>
      <c r="Q3013" s="462"/>
      <c r="R3013" s="463">
        <v>500000.0</v>
      </c>
      <c r="S3013" s="462"/>
      <c r="T3013" s="173"/>
      <c r="U3013" s="173"/>
      <c r="V3013" s="202"/>
      <c r="W3013" s="171"/>
      <c r="X3013" s="171"/>
    </row>
    <row r="3014" ht="15.0" customHeight="1">
      <c r="A3014" s="127">
        <v>46020.0</v>
      </c>
      <c r="B3014" s="181" t="s">
        <v>10351</v>
      </c>
      <c r="C3014" s="56" t="s">
        <v>2732</v>
      </c>
      <c r="D3014" s="73" t="str">
        <f>IFERROR(VLOOKUP(C3014,Stock,3,FALSE),"")</f>
        <v>Honda Jazz 13- 3rd Gen</v>
      </c>
      <c r="E3014" s="56">
        <v>1.0</v>
      </c>
      <c r="F3014" s="161">
        <v>1457000.0</v>
      </c>
      <c r="G3014" s="162">
        <f t="shared" si="40"/>
        <v>1457000</v>
      </c>
      <c r="H3014" s="194"/>
      <c r="I3014" s="161">
        <f t="shared" si="41"/>
        <v>1457000</v>
      </c>
      <c r="J3014" s="164">
        <f t="shared" si="42"/>
        <v>1457000</v>
      </c>
      <c r="K3014" s="56" t="s">
        <v>10352</v>
      </c>
      <c r="L3014" s="165" t="s">
        <v>10353</v>
      </c>
      <c r="M3014" s="73"/>
      <c r="N3014" s="171"/>
      <c r="O3014" s="169" t="s">
        <v>6923</v>
      </c>
      <c r="P3014" s="168" t="s">
        <v>3112</v>
      </c>
      <c r="Q3014" s="167">
        <v>1457000.0</v>
      </c>
      <c r="R3014" s="173"/>
      <c r="S3014" s="173"/>
      <c r="T3014" s="173"/>
      <c r="U3014" s="173"/>
      <c r="V3014" s="202"/>
      <c r="W3014" s="171"/>
      <c r="X3014" s="171"/>
    </row>
    <row r="3015" ht="15.0" customHeight="1">
      <c r="A3015" s="127">
        <v>46020.0</v>
      </c>
      <c r="B3015" s="181" t="s">
        <v>10354</v>
      </c>
      <c r="C3015" s="56" t="s">
        <v>2541</v>
      </c>
      <c r="D3015" s="73" t="str">
        <f>IFERROR(VLOOKUP(C3015,Stock,3,FALSE),"")</f>
        <v>Nissan Datsun Go/Go+ 14- (5-Seater)</v>
      </c>
      <c r="E3015" s="56">
        <v>1.0</v>
      </c>
      <c r="F3015" s="161">
        <v>1320000.0</v>
      </c>
      <c r="G3015" s="162">
        <f t="shared" si="40"/>
        <v>1320000</v>
      </c>
      <c r="H3015" s="194"/>
      <c r="I3015" s="161">
        <f t="shared" si="41"/>
        <v>1320000</v>
      </c>
      <c r="J3015" s="164">
        <f t="shared" si="42"/>
        <v>1320000</v>
      </c>
      <c r="K3015" s="56" t="s">
        <v>10355</v>
      </c>
      <c r="L3015" s="165" t="s">
        <v>10356</v>
      </c>
      <c r="M3015" s="73"/>
      <c r="N3015" s="171"/>
      <c r="O3015" s="169" t="s">
        <v>6923</v>
      </c>
      <c r="P3015" s="168" t="s">
        <v>3112</v>
      </c>
      <c r="Q3015" s="173"/>
      <c r="R3015" s="167">
        <v>1320000.0</v>
      </c>
      <c r="S3015" s="173"/>
      <c r="T3015" s="173"/>
      <c r="U3015" s="173"/>
      <c r="V3015" s="202"/>
      <c r="W3015" s="171"/>
      <c r="X3015" s="171"/>
    </row>
    <row r="3016" ht="15.0" customHeight="1">
      <c r="A3016" s="127">
        <v>46020.0</v>
      </c>
      <c r="B3016" s="181" t="s">
        <v>10357</v>
      </c>
      <c r="C3016" s="56" t="s">
        <v>10333</v>
      </c>
      <c r="D3016" s="73" t="str">
        <f>IFERROR(VLOOKUP(C3016,Stock,3,FALSE),"")</f>
        <v>Toyota Avanza / Xenia 11-15 2nd Gen</v>
      </c>
      <c r="E3016" s="56">
        <v>1.0</v>
      </c>
      <c r="F3016" s="161">
        <v>1000000.0</v>
      </c>
      <c r="G3016" s="162">
        <f t="shared" si="40"/>
        <v>1000000</v>
      </c>
      <c r="H3016" s="194"/>
      <c r="I3016" s="161">
        <f t="shared" si="41"/>
        <v>1000000</v>
      </c>
      <c r="J3016" s="164">
        <f t="shared" si="42"/>
        <v>1000000</v>
      </c>
      <c r="K3016" s="56" t="s">
        <v>8284</v>
      </c>
      <c r="L3016" s="165" t="s">
        <v>10358</v>
      </c>
      <c r="M3016" s="73"/>
      <c r="N3016" s="171"/>
      <c r="O3016" s="169" t="s">
        <v>6923</v>
      </c>
      <c r="P3016" s="168" t="s">
        <v>3112</v>
      </c>
      <c r="Q3016" s="173"/>
      <c r="R3016" s="167">
        <v>1000000.0</v>
      </c>
      <c r="S3016" s="173"/>
      <c r="T3016" s="173"/>
      <c r="U3016" s="173"/>
      <c r="V3016" s="202"/>
      <c r="W3016" s="171"/>
      <c r="X3016" s="171"/>
    </row>
    <row r="3017" ht="15.0" customHeight="1">
      <c r="A3017" s="127">
        <v>46020.0</v>
      </c>
      <c r="B3017" s="181" t="s">
        <v>10357</v>
      </c>
      <c r="C3017" s="56" t="s">
        <v>2954</v>
      </c>
      <c r="D3017" s="73" t="str">
        <f>IFERROR(VLOOKUP(C3017,Stock,3,FALSE),"")</f>
        <v>Transport</v>
      </c>
      <c r="E3017" s="56">
        <v>1.0</v>
      </c>
      <c r="F3017" s="161">
        <v>90000.0</v>
      </c>
      <c r="G3017" s="162">
        <f t="shared" si="40"/>
        <v>90000</v>
      </c>
      <c r="H3017" s="194"/>
      <c r="I3017" s="161">
        <f t="shared" si="41"/>
        <v>90000</v>
      </c>
      <c r="J3017" s="164">
        <f t="shared" si="42"/>
        <v>90000</v>
      </c>
      <c r="K3017" s="56" t="s">
        <v>8284</v>
      </c>
      <c r="L3017" s="165" t="s">
        <v>10358</v>
      </c>
      <c r="M3017" s="73"/>
      <c r="N3017" s="171"/>
      <c r="O3017" s="169" t="s">
        <v>6923</v>
      </c>
      <c r="P3017" s="168" t="s">
        <v>3112</v>
      </c>
      <c r="Q3017" s="173"/>
      <c r="R3017" s="167">
        <v>90000.0</v>
      </c>
      <c r="S3017" s="173"/>
      <c r="T3017" s="173"/>
      <c r="U3017" s="173"/>
      <c r="V3017" s="202"/>
      <c r="W3017" s="171"/>
      <c r="X3017" s="171"/>
    </row>
    <row r="3018" ht="15.0" customHeight="1">
      <c r="A3018" s="127">
        <v>46020.0</v>
      </c>
      <c r="B3018" s="181" t="s">
        <v>10357</v>
      </c>
      <c r="C3018" s="56" t="s">
        <v>3826</v>
      </c>
      <c r="D3018" s="73" t="str">
        <f>IFERROR(VLOOKUP(C3018,Stock,3,FALSE),"")</f>
        <v>List Kaca Depan Code 11</v>
      </c>
      <c r="E3018" s="56">
        <v>1.0</v>
      </c>
      <c r="F3018" s="161">
        <v>275000.0</v>
      </c>
      <c r="G3018" s="162">
        <f t="shared" si="40"/>
        <v>275000</v>
      </c>
      <c r="H3018" s="194"/>
      <c r="I3018" s="161">
        <f t="shared" si="41"/>
        <v>275000</v>
      </c>
      <c r="J3018" s="164">
        <f t="shared" si="42"/>
        <v>275000</v>
      </c>
      <c r="K3018" s="56" t="s">
        <v>8284</v>
      </c>
      <c r="L3018" s="165" t="s">
        <v>10358</v>
      </c>
      <c r="M3018" s="73"/>
      <c r="N3018" s="171"/>
      <c r="O3018" s="169" t="s">
        <v>6923</v>
      </c>
      <c r="P3018" s="168" t="s">
        <v>3112</v>
      </c>
      <c r="Q3018" s="173"/>
      <c r="R3018" s="167">
        <v>275000.0</v>
      </c>
      <c r="S3018" s="173"/>
      <c r="T3018" s="173"/>
      <c r="U3018" s="173"/>
      <c r="V3018" s="202"/>
      <c r="W3018" s="171"/>
      <c r="X3018" s="171"/>
    </row>
    <row r="3019" ht="15.0" customHeight="1">
      <c r="A3019" s="127">
        <v>46020.0</v>
      </c>
      <c r="B3019" s="181" t="s">
        <v>10359</v>
      </c>
      <c r="C3019" s="56" t="s">
        <v>3543</v>
      </c>
      <c r="D3019" s="73" t="str">
        <f>IFERROR(VLOOKUP(C3019,Stock,3,FALSE),"")</f>
        <v>Daihatsu Gran Max Minibus/Van</v>
      </c>
      <c r="E3019" s="56">
        <v>1.0</v>
      </c>
      <c r="F3019" s="161">
        <v>839000.0</v>
      </c>
      <c r="G3019" s="162">
        <f t="shared" si="40"/>
        <v>839000</v>
      </c>
      <c r="H3019" s="194"/>
      <c r="I3019" s="161">
        <f t="shared" si="41"/>
        <v>839000</v>
      </c>
      <c r="J3019" s="164">
        <f t="shared" si="42"/>
        <v>839000</v>
      </c>
      <c r="K3019" s="56" t="s">
        <v>10360</v>
      </c>
      <c r="L3019" s="165" t="s">
        <v>10361</v>
      </c>
      <c r="M3019" s="73"/>
      <c r="N3019" s="171"/>
      <c r="O3019" s="169" t="s">
        <v>6923</v>
      </c>
      <c r="P3019" s="168" t="s">
        <v>3112</v>
      </c>
      <c r="Q3019" s="173"/>
      <c r="R3019" s="173"/>
      <c r="S3019" s="173"/>
      <c r="T3019" s="173"/>
      <c r="U3019" s="173"/>
      <c r="V3019" s="202"/>
      <c r="W3019" s="171"/>
      <c r="X3019" s="171"/>
    </row>
    <row r="3020" ht="15.0" customHeight="1">
      <c r="A3020" s="127">
        <v>46020.0</v>
      </c>
      <c r="B3020" s="181" t="s">
        <v>10362</v>
      </c>
      <c r="C3020" s="56" t="s">
        <v>3871</v>
      </c>
      <c r="D3020" s="73" t="str">
        <f>IFERROR(VLOOKUP(C3020,Stock,3,FALSE),"")</f>
        <v>Suzuki Swift 04-11 1st Gen</v>
      </c>
      <c r="E3020" s="56">
        <v>1.0</v>
      </c>
      <c r="F3020" s="161">
        <v>1544000.0</v>
      </c>
      <c r="G3020" s="162">
        <f t="shared" si="40"/>
        <v>1544000</v>
      </c>
      <c r="H3020" s="194"/>
      <c r="I3020" s="161">
        <f t="shared" si="41"/>
        <v>1544000</v>
      </c>
      <c r="J3020" s="164">
        <f t="shared" si="42"/>
        <v>1544000</v>
      </c>
      <c r="K3020" s="56" t="s">
        <v>10363</v>
      </c>
      <c r="L3020" s="165" t="s">
        <v>10364</v>
      </c>
      <c r="M3020" s="73"/>
      <c r="N3020" s="171"/>
      <c r="O3020" s="169" t="s">
        <v>6923</v>
      </c>
      <c r="P3020" s="168" t="s">
        <v>3112</v>
      </c>
      <c r="Q3020" s="173"/>
      <c r="R3020" s="167">
        <v>1544000.0</v>
      </c>
      <c r="S3020" s="173"/>
      <c r="T3020" s="173"/>
      <c r="U3020" s="173"/>
      <c r="V3020" s="202"/>
      <c r="W3020" s="171"/>
      <c r="X3020" s="171"/>
    </row>
    <row r="3021" ht="15.0" customHeight="1">
      <c r="A3021" s="127">
        <v>46021.0</v>
      </c>
      <c r="B3021" s="181" t="s">
        <v>10365</v>
      </c>
      <c r="C3021" s="56" t="s">
        <v>3273</v>
      </c>
      <c r="D3021" s="73" t="str">
        <f>IFERROR(VLOOKUP(C3021,Stock,3,FALSE),"")</f>
        <v>Pemasangan Kaca Mobil Belakang</v>
      </c>
      <c r="E3021" s="56">
        <v>1.0</v>
      </c>
      <c r="F3021" s="161">
        <v>300000.0</v>
      </c>
      <c r="G3021" s="162">
        <f t="shared" si="40"/>
        <v>300000</v>
      </c>
      <c r="H3021" s="194"/>
      <c r="I3021" s="161">
        <f t="shared" si="41"/>
        <v>300000</v>
      </c>
      <c r="J3021" s="164">
        <f t="shared" si="42"/>
        <v>300000</v>
      </c>
      <c r="K3021" s="56" t="s">
        <v>7143</v>
      </c>
      <c r="L3021" s="165" t="s">
        <v>10366</v>
      </c>
      <c r="M3021" s="73"/>
      <c r="N3021" s="171"/>
      <c r="O3021" s="169" t="s">
        <v>6923</v>
      </c>
      <c r="P3021" s="169" t="s">
        <v>10237</v>
      </c>
      <c r="Q3021" s="173"/>
      <c r="R3021" s="167">
        <v>300000.0</v>
      </c>
      <c r="S3021" s="173"/>
      <c r="T3021" s="173"/>
      <c r="U3021" s="173"/>
      <c r="V3021" s="202"/>
      <c r="W3021" s="171"/>
      <c r="X3021" s="171"/>
    </row>
    <row r="3022" ht="15.0" customHeight="1">
      <c r="A3022" s="127">
        <v>46021.0</v>
      </c>
      <c r="B3022" s="181" t="s">
        <v>10367</v>
      </c>
      <c r="C3022" s="56" t="s">
        <v>2645</v>
      </c>
      <c r="D3022" s="73" t="str">
        <f>IFERROR(VLOOKUP(C3022,Stock,3,FALSE),"")</f>
        <v>Toyota ist 01-06 SC10/NCP60</v>
      </c>
      <c r="E3022" s="56">
        <v>1.0</v>
      </c>
      <c r="F3022" s="161">
        <v>3370000.0</v>
      </c>
      <c r="G3022" s="162">
        <f t="shared" si="40"/>
        <v>3370000</v>
      </c>
      <c r="H3022" s="194"/>
      <c r="I3022" s="161">
        <f t="shared" si="41"/>
        <v>3370000</v>
      </c>
      <c r="J3022" s="164">
        <f t="shared" si="42"/>
        <v>3370000</v>
      </c>
      <c r="K3022" s="56" t="s">
        <v>10368</v>
      </c>
      <c r="L3022" s="165" t="s">
        <v>10369</v>
      </c>
      <c r="M3022" s="73"/>
      <c r="N3022" s="171"/>
      <c r="O3022" s="169" t="s">
        <v>6923</v>
      </c>
      <c r="P3022" s="168" t="s">
        <v>3112</v>
      </c>
      <c r="Q3022" s="173"/>
      <c r="R3022" s="167">
        <v>3370000.0</v>
      </c>
      <c r="S3022" s="173"/>
      <c r="T3022" s="173"/>
      <c r="U3022" s="173"/>
      <c r="V3022" s="202"/>
      <c r="W3022" s="171"/>
      <c r="X3022" s="171"/>
    </row>
    <row r="3023" ht="15.0" customHeight="1">
      <c r="A3023" s="127">
        <v>46021.0</v>
      </c>
      <c r="B3023" s="181" t="s">
        <v>10370</v>
      </c>
      <c r="C3023" s="56" t="s">
        <v>10371</v>
      </c>
      <c r="D3023" s="73" t="str">
        <f>IFERROR(VLOOKUP(C3023,Stock,3,FALSE),"")</f>
        <v>Suzuki Grand Vitara 06-14</v>
      </c>
      <c r="E3023" s="56">
        <v>1.0</v>
      </c>
      <c r="F3023" s="161">
        <v>1330000.0</v>
      </c>
      <c r="G3023" s="162">
        <f t="shared" si="40"/>
        <v>1330000</v>
      </c>
      <c r="H3023" s="194"/>
      <c r="I3023" s="161">
        <f t="shared" si="41"/>
        <v>1330000</v>
      </c>
      <c r="J3023" s="164">
        <f t="shared" si="42"/>
        <v>1330000</v>
      </c>
      <c r="K3023" s="56" t="s">
        <v>4741</v>
      </c>
      <c r="L3023" s="165" t="s">
        <v>10372</v>
      </c>
      <c r="M3023" s="73"/>
      <c r="N3023" s="171"/>
      <c r="O3023" s="169" t="s">
        <v>6923</v>
      </c>
      <c r="P3023" s="168" t="s">
        <v>3112</v>
      </c>
      <c r="Q3023" s="173"/>
      <c r="R3023" s="167">
        <v>1330000.0</v>
      </c>
      <c r="S3023" s="173"/>
      <c r="T3023" s="173"/>
      <c r="U3023" s="173"/>
      <c r="V3023" s="202"/>
      <c r="W3023" s="171"/>
      <c r="X3023" s="171"/>
    </row>
    <row r="3024" ht="15.0" customHeight="1">
      <c r="A3024" s="127">
        <v>46021.0</v>
      </c>
      <c r="B3024" s="181" t="s">
        <v>10370</v>
      </c>
      <c r="C3024" s="56" t="s">
        <v>3513</v>
      </c>
      <c r="D3024" s="73" t="str">
        <f>IFERROR(VLOOKUP(C3024,Stock,3,FALSE),"")</f>
        <v>Lembur</v>
      </c>
      <c r="E3024" s="56">
        <v>1.0</v>
      </c>
      <c r="F3024" s="161">
        <v>150000.0</v>
      </c>
      <c r="G3024" s="162">
        <f t="shared" si="40"/>
        <v>150000</v>
      </c>
      <c r="H3024" s="194"/>
      <c r="I3024" s="161">
        <f t="shared" si="41"/>
        <v>150000</v>
      </c>
      <c r="J3024" s="164">
        <f t="shared" si="42"/>
        <v>150000</v>
      </c>
      <c r="K3024" s="56" t="s">
        <v>4741</v>
      </c>
      <c r="L3024" s="165" t="s">
        <v>10372</v>
      </c>
      <c r="M3024" s="73"/>
      <c r="N3024" s="171"/>
      <c r="O3024" s="169" t="s">
        <v>6923</v>
      </c>
      <c r="P3024" s="168" t="s">
        <v>3112</v>
      </c>
      <c r="Q3024" s="173"/>
      <c r="R3024" s="167">
        <v>150000.0</v>
      </c>
      <c r="S3024" s="173"/>
      <c r="T3024" s="173"/>
      <c r="U3024" s="173"/>
      <c r="V3024" s="202"/>
      <c r="W3024" s="171"/>
      <c r="X3024" s="171"/>
    </row>
    <row r="3025" ht="15.0" customHeight="1">
      <c r="A3025" s="127">
        <v>46022.0</v>
      </c>
      <c r="B3025" s="181" t="s">
        <v>10373</v>
      </c>
      <c r="C3025" s="56" t="s">
        <v>3033</v>
      </c>
      <c r="D3025" s="73" t="str">
        <f>IFERROR(VLOOKUP(C3025,Stock,3,FALSE),"")</f>
        <v>Toyota Innova 04-15 1st Gen</v>
      </c>
      <c r="E3025" s="56">
        <v>1.0</v>
      </c>
      <c r="F3025" s="161">
        <v>1392000.0</v>
      </c>
      <c r="G3025" s="162">
        <f t="shared" si="40"/>
        <v>1392000</v>
      </c>
      <c r="H3025" s="194"/>
      <c r="I3025" s="161">
        <f t="shared" si="41"/>
        <v>1392000</v>
      </c>
      <c r="J3025" s="164">
        <f t="shared" si="42"/>
        <v>1392000</v>
      </c>
      <c r="K3025" s="56" t="s">
        <v>10374</v>
      </c>
      <c r="L3025" s="165" t="s">
        <v>10375</v>
      </c>
      <c r="M3025" s="73"/>
      <c r="N3025" s="171"/>
      <c r="O3025" s="169" t="s">
        <v>6923</v>
      </c>
      <c r="P3025" s="168" t="s">
        <v>3112</v>
      </c>
      <c r="Q3025" s="173"/>
      <c r="R3025" s="167">
        <v>1392000.0</v>
      </c>
      <c r="S3025" s="173"/>
      <c r="T3025" s="173"/>
      <c r="U3025" s="173"/>
      <c r="V3025" s="202"/>
      <c r="W3025" s="171"/>
      <c r="X3025" s="171"/>
    </row>
    <row r="3026" ht="15.0" customHeight="1">
      <c r="A3026" s="127">
        <v>46022.0</v>
      </c>
      <c r="B3026" s="475" t="s">
        <v>10376</v>
      </c>
      <c r="C3026" s="56" t="s">
        <v>3391</v>
      </c>
      <c r="D3026" s="73" t="str">
        <f>IFERROR(VLOOKUP(C3026,Stock,3,FALSE),"")</f>
        <v>Toyota Fortuner 05-15 1st Gen</v>
      </c>
      <c r="E3026" s="56">
        <v>1.0</v>
      </c>
      <c r="F3026" s="161">
        <v>1392000.0</v>
      </c>
      <c r="G3026" s="162">
        <f t="shared" si="40"/>
        <v>1392000</v>
      </c>
      <c r="H3026" s="194"/>
      <c r="I3026" s="161">
        <f t="shared" si="41"/>
        <v>1392000</v>
      </c>
      <c r="J3026" s="164">
        <f t="shared" si="42"/>
        <v>1392000</v>
      </c>
      <c r="K3026" s="56" t="s">
        <v>8959</v>
      </c>
      <c r="L3026" s="165" t="s">
        <v>10377</v>
      </c>
      <c r="M3026" s="73"/>
      <c r="N3026" s="171"/>
      <c r="O3026" s="169" t="s">
        <v>6923</v>
      </c>
      <c r="P3026" s="168" t="s">
        <v>3112</v>
      </c>
      <c r="Q3026" s="173"/>
      <c r="R3026" s="167">
        <v>1.392E7</v>
      </c>
      <c r="S3026" s="173"/>
      <c r="T3026" s="173"/>
      <c r="U3026" s="173"/>
      <c r="V3026" s="202"/>
      <c r="W3026" s="171"/>
      <c r="X3026" s="171"/>
    </row>
    <row r="3027" ht="15.0" customHeight="1">
      <c r="A3027" s="127">
        <v>46022.0</v>
      </c>
      <c r="B3027" s="475" t="s">
        <v>10378</v>
      </c>
      <c r="C3027" s="484" t="s">
        <v>10379</v>
      </c>
      <c r="D3027" s="73" t="str">
        <f>IFERROR(VLOOKUP(C3027,Stock,3,FALSE),"")</f>
        <v>Mitsubishi L300</v>
      </c>
      <c r="E3027" s="56">
        <v>1.0</v>
      </c>
      <c r="F3027" s="161">
        <v>1080000.0</v>
      </c>
      <c r="G3027" s="162">
        <f t="shared" si="40"/>
        <v>1080000</v>
      </c>
      <c r="H3027" s="194"/>
      <c r="I3027" s="161">
        <f t="shared" si="41"/>
        <v>1080000</v>
      </c>
      <c r="J3027" s="164">
        <f t="shared" si="42"/>
        <v>1080000</v>
      </c>
      <c r="K3027" s="307" t="s">
        <v>10380</v>
      </c>
      <c r="L3027" s="165" t="s">
        <v>10381</v>
      </c>
      <c r="M3027" s="73"/>
      <c r="N3027" s="171"/>
      <c r="O3027" s="169" t="s">
        <v>6923</v>
      </c>
      <c r="P3027" s="168" t="s">
        <v>3112</v>
      </c>
      <c r="Q3027" s="173"/>
      <c r="R3027" s="167">
        <v>1080000.0</v>
      </c>
      <c r="S3027" s="173"/>
      <c r="T3027" s="173"/>
      <c r="U3027" s="173"/>
      <c r="V3027" s="202"/>
      <c r="W3027" s="171"/>
      <c r="X3027" s="171"/>
    </row>
    <row r="3028" ht="15.0" customHeight="1">
      <c r="A3028" s="127">
        <v>46022.0</v>
      </c>
      <c r="B3028" s="475" t="s">
        <v>10382</v>
      </c>
      <c r="C3028" s="56" t="s">
        <v>4623</v>
      </c>
      <c r="D3028" s="73" t="str">
        <f>IFERROR(VLOOKUP(C3028,Stock,3,FALSE),"")</f>
        <v>Toyota Innova 15- 2nd Gen</v>
      </c>
      <c r="E3028" s="56">
        <v>1.0</v>
      </c>
      <c r="F3028" s="161">
        <v>1307000.0</v>
      </c>
      <c r="G3028" s="162">
        <f t="shared" si="40"/>
        <v>1307000</v>
      </c>
      <c r="H3028" s="194"/>
      <c r="I3028" s="161">
        <f t="shared" si="41"/>
        <v>1307000</v>
      </c>
      <c r="J3028" s="164">
        <f t="shared" si="42"/>
        <v>1307000</v>
      </c>
      <c r="K3028" s="56" t="s">
        <v>10383</v>
      </c>
      <c r="L3028" s="165" t="s">
        <v>10384</v>
      </c>
      <c r="M3028" s="73"/>
      <c r="N3028" s="171"/>
      <c r="O3028" s="169" t="s">
        <v>6923</v>
      </c>
      <c r="P3028" s="168" t="s">
        <v>3112</v>
      </c>
      <c r="Q3028" s="173"/>
      <c r="R3028" s="167">
        <v>1307000.0</v>
      </c>
      <c r="S3028" s="173"/>
      <c r="T3028" s="173"/>
      <c r="U3028" s="173"/>
      <c r="V3028" s="202"/>
      <c r="W3028" s="171"/>
      <c r="X3028" s="171"/>
    </row>
    <row r="3029" ht="15.0" customHeight="1">
      <c r="A3029" s="127">
        <v>46022.0</v>
      </c>
      <c r="B3029" s="475" t="s">
        <v>10382</v>
      </c>
      <c r="C3029" s="56" t="s">
        <v>2954</v>
      </c>
      <c r="D3029" s="73" t="str">
        <f>IFERROR(VLOOKUP(C3029,Stock,3,FALSE),"")</f>
        <v>Transport</v>
      </c>
      <c r="E3029" s="56">
        <v>1.0</v>
      </c>
      <c r="F3029" s="161">
        <v>70000.0</v>
      </c>
      <c r="G3029" s="162">
        <f t="shared" si="40"/>
        <v>70000</v>
      </c>
      <c r="H3029" s="194"/>
      <c r="I3029" s="161">
        <f t="shared" si="41"/>
        <v>70000</v>
      </c>
      <c r="J3029" s="164">
        <f t="shared" si="42"/>
        <v>70000</v>
      </c>
      <c r="K3029" s="56" t="s">
        <v>10383</v>
      </c>
      <c r="L3029" s="165" t="s">
        <v>10384</v>
      </c>
      <c r="M3029" s="73"/>
      <c r="N3029" s="171"/>
      <c r="O3029" s="169" t="s">
        <v>6923</v>
      </c>
      <c r="P3029" s="168" t="s">
        <v>3112</v>
      </c>
      <c r="Q3029" s="173"/>
      <c r="R3029" s="167">
        <v>70000.0</v>
      </c>
      <c r="S3029" s="173"/>
      <c r="T3029" s="173"/>
      <c r="U3029" s="173"/>
      <c r="V3029" s="202"/>
      <c r="W3029" s="171"/>
      <c r="X3029" s="171"/>
    </row>
    <row r="3030" ht="15.0" customHeight="1">
      <c r="A3030" s="127">
        <v>46022.0</v>
      </c>
      <c r="B3030" s="475" t="s">
        <v>10385</v>
      </c>
      <c r="C3030" s="56" t="s">
        <v>2723</v>
      </c>
      <c r="D3030" s="73" t="str">
        <f>IFERROR(VLOOKUP(C3030,Stock,3,FALSE),"")</f>
        <v>Suzuki Carry New 19-</v>
      </c>
      <c r="E3030" s="56">
        <v>1.0</v>
      </c>
      <c r="F3030" s="161">
        <v>1140000.0</v>
      </c>
      <c r="G3030" s="162">
        <f t="shared" si="40"/>
        <v>1140000</v>
      </c>
      <c r="H3030" s="194"/>
      <c r="I3030" s="161">
        <f t="shared" si="41"/>
        <v>1140000</v>
      </c>
      <c r="J3030" s="164">
        <f t="shared" si="42"/>
        <v>1140000</v>
      </c>
      <c r="K3030" s="56" t="s">
        <v>10386</v>
      </c>
      <c r="L3030" s="165" t="s">
        <v>10387</v>
      </c>
      <c r="M3030" s="73"/>
      <c r="N3030" s="171"/>
      <c r="O3030" s="169" t="s">
        <v>6923</v>
      </c>
      <c r="P3030" s="168" t="s">
        <v>3112</v>
      </c>
      <c r="Q3030" s="173"/>
      <c r="R3030" s="167">
        <v>1140000.0</v>
      </c>
      <c r="S3030" s="173"/>
      <c r="T3030" s="173"/>
      <c r="U3030" s="173"/>
      <c r="V3030" s="202"/>
      <c r="W3030" s="171"/>
      <c r="X3030" s="171"/>
    </row>
    <row r="3031" ht="15.0" customHeight="1">
      <c r="A3031" s="127">
        <v>46022.0</v>
      </c>
      <c r="B3031" s="475" t="s">
        <v>10388</v>
      </c>
      <c r="C3031" s="56" t="s">
        <v>9836</v>
      </c>
      <c r="D3031" s="73" t="str">
        <f>IFERROR(VLOOKUP(C3031,Stock,3,FALSE),"")</f>
        <v>Toyota Yaris 13- 2nd Gen / Vios 14- 3rd Gen</v>
      </c>
      <c r="E3031" s="56">
        <v>1.0</v>
      </c>
      <c r="F3031" s="161">
        <v>1720000.0</v>
      </c>
      <c r="G3031" s="162">
        <f t="shared" si="40"/>
        <v>1720000</v>
      </c>
      <c r="H3031" s="194"/>
      <c r="I3031" s="161">
        <f t="shared" si="41"/>
        <v>1720000</v>
      </c>
      <c r="J3031" s="164">
        <f t="shared" si="42"/>
        <v>1720000</v>
      </c>
      <c r="K3031" s="56" t="s">
        <v>10389</v>
      </c>
      <c r="L3031" s="165" t="s">
        <v>10390</v>
      </c>
      <c r="M3031" s="73"/>
      <c r="N3031" s="171"/>
      <c r="O3031" s="169" t="s">
        <v>6923</v>
      </c>
      <c r="P3031" s="168" t="s">
        <v>3112</v>
      </c>
      <c r="Q3031" s="173"/>
      <c r="R3031" s="167">
        <v>1720000.0</v>
      </c>
      <c r="S3031" s="173"/>
      <c r="T3031" s="173"/>
      <c r="U3031" s="173"/>
      <c r="V3031" s="202"/>
      <c r="W3031" s="171"/>
      <c r="X3031" s="171"/>
    </row>
    <row r="3032" ht="15.0" customHeight="1">
      <c r="A3032" s="127">
        <v>46022.0</v>
      </c>
      <c r="B3032" s="475" t="s">
        <v>10388</v>
      </c>
      <c r="C3032" s="56" t="s">
        <v>2954</v>
      </c>
      <c r="D3032" s="73" t="str">
        <f>IFERROR(VLOOKUP(C3032,Stock,3,FALSE),"")</f>
        <v>Transport</v>
      </c>
      <c r="E3032" s="56">
        <v>1.0</v>
      </c>
      <c r="F3032" s="161">
        <v>100000.0</v>
      </c>
      <c r="G3032" s="162">
        <f t="shared" si="40"/>
        <v>100000</v>
      </c>
      <c r="H3032" s="194"/>
      <c r="I3032" s="161">
        <f t="shared" si="41"/>
        <v>100000</v>
      </c>
      <c r="J3032" s="164">
        <f t="shared" si="42"/>
        <v>100000</v>
      </c>
      <c r="K3032" s="56" t="s">
        <v>10389</v>
      </c>
      <c r="L3032" s="165" t="s">
        <v>10390</v>
      </c>
      <c r="M3032" s="73"/>
      <c r="N3032" s="171"/>
      <c r="O3032" s="169" t="s">
        <v>6923</v>
      </c>
      <c r="P3032" s="168" t="s">
        <v>3112</v>
      </c>
      <c r="Q3032" s="173"/>
      <c r="R3032" s="167">
        <v>100000.0</v>
      </c>
      <c r="S3032" s="173"/>
      <c r="T3032" s="173"/>
      <c r="U3032" s="173"/>
      <c r="V3032" s="202"/>
      <c r="W3032" s="171"/>
      <c r="X3032" s="171"/>
    </row>
    <row r="3033" ht="15.0" customHeight="1">
      <c r="A3033" s="127">
        <v>46022.0</v>
      </c>
      <c r="B3033" s="475" t="s">
        <v>10388</v>
      </c>
      <c r="C3033" s="56" t="s">
        <v>3513</v>
      </c>
      <c r="D3033" s="73" t="str">
        <f>IFERROR(VLOOKUP(C3033,Stock,3,FALSE),"")</f>
        <v>Lembur</v>
      </c>
      <c r="E3033" s="56">
        <v>1.0</v>
      </c>
      <c r="F3033" s="161">
        <v>150000.0</v>
      </c>
      <c r="G3033" s="162">
        <f t="shared" si="40"/>
        <v>150000</v>
      </c>
      <c r="H3033" s="194"/>
      <c r="I3033" s="161">
        <f t="shared" si="41"/>
        <v>150000</v>
      </c>
      <c r="J3033" s="164">
        <f t="shared" si="42"/>
        <v>150000</v>
      </c>
      <c r="K3033" s="56" t="s">
        <v>10389</v>
      </c>
      <c r="L3033" s="165" t="s">
        <v>10390</v>
      </c>
      <c r="M3033" s="73"/>
      <c r="N3033" s="171"/>
      <c r="O3033" s="169" t="s">
        <v>6923</v>
      </c>
      <c r="P3033" s="168" t="s">
        <v>3112</v>
      </c>
      <c r="Q3033" s="173"/>
      <c r="R3033" s="167">
        <v>150000.0</v>
      </c>
      <c r="S3033" s="173"/>
      <c r="T3033" s="173"/>
      <c r="U3033" s="173"/>
      <c r="V3033" s="202"/>
      <c r="W3033" s="171"/>
      <c r="X3033" s="171"/>
    </row>
    <row r="3034" ht="15.0" customHeight="1">
      <c r="A3034" s="127">
        <v>46024.0</v>
      </c>
      <c r="B3034" s="475" t="s">
        <v>10391</v>
      </c>
      <c r="C3034" s="56" t="s">
        <v>2692</v>
      </c>
      <c r="D3034" s="73" t="str">
        <f>IFERROR(VLOOKUP(C3034,Stock,3,FALSE),"")</f>
        <v>Suzuki Ertiga 18- 2nd Gen / XL7</v>
      </c>
      <c r="E3034" s="56">
        <v>1.0</v>
      </c>
      <c r="F3034" s="161">
        <v>1454000.0</v>
      </c>
      <c r="G3034" s="162">
        <f t="shared" si="40"/>
        <v>1454000</v>
      </c>
      <c r="H3034" s="194"/>
      <c r="I3034" s="161">
        <f t="shared" si="41"/>
        <v>1454000</v>
      </c>
      <c r="J3034" s="164">
        <f t="shared" si="42"/>
        <v>1454000</v>
      </c>
      <c r="K3034" s="56" t="s">
        <v>10392</v>
      </c>
      <c r="L3034" s="165" t="s">
        <v>10393</v>
      </c>
      <c r="M3034" s="73"/>
      <c r="N3034" s="171"/>
      <c r="O3034" s="169" t="s">
        <v>3204</v>
      </c>
      <c r="P3034" s="168" t="s">
        <v>3112</v>
      </c>
      <c r="Q3034" s="173"/>
      <c r="R3034" s="167">
        <v>1454000.0</v>
      </c>
      <c r="S3034" s="173"/>
      <c r="T3034" s="173"/>
      <c r="U3034" s="173"/>
      <c r="V3034" s="202"/>
      <c r="W3034" s="171"/>
      <c r="X3034" s="171"/>
    </row>
    <row r="3035" ht="15.0" customHeight="1">
      <c r="A3035" s="127">
        <v>46024.0</v>
      </c>
      <c r="B3035" s="475" t="s">
        <v>10391</v>
      </c>
      <c r="C3035" s="56" t="s">
        <v>2954</v>
      </c>
      <c r="D3035" s="73" t="str">
        <f>IFERROR(VLOOKUP(C3035,Stock,3,FALSE),"")</f>
        <v>Transport</v>
      </c>
      <c r="E3035" s="56">
        <v>1.0</v>
      </c>
      <c r="F3035" s="161">
        <v>90000.0</v>
      </c>
      <c r="G3035" s="162">
        <f t="shared" si="40"/>
        <v>90000</v>
      </c>
      <c r="H3035" s="194"/>
      <c r="I3035" s="161">
        <f t="shared" si="41"/>
        <v>90000</v>
      </c>
      <c r="J3035" s="164">
        <f t="shared" si="42"/>
        <v>90000</v>
      </c>
      <c r="K3035" s="56" t="s">
        <v>10392</v>
      </c>
      <c r="L3035" s="165" t="s">
        <v>10393</v>
      </c>
      <c r="M3035" s="73"/>
      <c r="N3035" s="171"/>
      <c r="O3035" s="169" t="s">
        <v>3204</v>
      </c>
      <c r="P3035" s="168" t="s">
        <v>3112</v>
      </c>
      <c r="Q3035" s="173"/>
      <c r="R3035" s="167">
        <v>90000.0</v>
      </c>
      <c r="S3035" s="173"/>
      <c r="T3035" s="173"/>
      <c r="U3035" s="173"/>
      <c r="V3035" s="202"/>
      <c r="W3035" s="171"/>
      <c r="X3035" s="171"/>
    </row>
    <row r="3036" ht="15.0" customHeight="1">
      <c r="A3036" s="127">
        <v>46024.0</v>
      </c>
      <c r="B3036" s="475" t="s">
        <v>10394</v>
      </c>
      <c r="C3036" s="56" t="s">
        <v>3451</v>
      </c>
      <c r="D3036" s="73" t="str">
        <f>IFERROR(VLOOKUP(C3036,Stock,3,FALSE),"")</f>
        <v>Toyota Rush / Terios 18-</v>
      </c>
      <c r="E3036" s="56">
        <v>1.0</v>
      </c>
      <c r="F3036" s="161">
        <v>1110000.0</v>
      </c>
      <c r="G3036" s="162">
        <f t="shared" si="40"/>
        <v>1110000</v>
      </c>
      <c r="H3036" s="194"/>
      <c r="I3036" s="161">
        <f t="shared" si="41"/>
        <v>1110000</v>
      </c>
      <c r="J3036" s="164">
        <f t="shared" si="42"/>
        <v>1110000</v>
      </c>
      <c r="K3036" s="56" t="s">
        <v>10395</v>
      </c>
      <c r="L3036" s="165" t="s">
        <v>10396</v>
      </c>
      <c r="M3036" s="73"/>
      <c r="N3036" s="171"/>
      <c r="O3036" s="169" t="s">
        <v>6923</v>
      </c>
      <c r="P3036" s="168" t="s">
        <v>3112</v>
      </c>
      <c r="Q3036" s="161">
        <v>1110000.0</v>
      </c>
      <c r="R3036" s="161"/>
      <c r="S3036" s="173"/>
      <c r="T3036" s="173"/>
      <c r="U3036" s="173"/>
      <c r="V3036" s="202"/>
      <c r="W3036" s="171"/>
      <c r="X3036" s="171"/>
    </row>
    <row r="3037" ht="15.0" customHeight="1">
      <c r="A3037" s="127">
        <v>46024.0</v>
      </c>
      <c r="B3037" s="475" t="s">
        <v>10394</v>
      </c>
      <c r="C3037" s="56" t="s">
        <v>2934</v>
      </c>
      <c r="D3037" s="73" t="str">
        <f>IFERROR(VLOOKUP(C3037,Stock,3,FALSE),"")</f>
        <v>Peti Kayu</v>
      </c>
      <c r="E3037" s="56">
        <v>1.0</v>
      </c>
      <c r="F3037" s="161">
        <v>200000.0</v>
      </c>
      <c r="G3037" s="162">
        <f t="shared" si="40"/>
        <v>200000</v>
      </c>
      <c r="H3037" s="194"/>
      <c r="I3037" s="161">
        <f t="shared" si="41"/>
        <v>200000</v>
      </c>
      <c r="J3037" s="164">
        <f t="shared" si="42"/>
        <v>200000</v>
      </c>
      <c r="K3037" s="56" t="s">
        <v>10395</v>
      </c>
      <c r="L3037" s="165" t="s">
        <v>10396</v>
      </c>
      <c r="M3037" s="73"/>
      <c r="N3037" s="171"/>
      <c r="O3037" s="169" t="s">
        <v>6923</v>
      </c>
      <c r="P3037" s="168" t="s">
        <v>3112</v>
      </c>
      <c r="Q3037" s="161">
        <v>200000.0</v>
      </c>
      <c r="R3037" s="161"/>
      <c r="S3037" s="173"/>
      <c r="T3037" s="173"/>
      <c r="U3037" s="173"/>
      <c r="V3037" s="202"/>
      <c r="W3037" s="171"/>
      <c r="X3037" s="171"/>
    </row>
    <row r="3038" ht="15.0" customHeight="1">
      <c r="A3038" s="127">
        <v>46024.0</v>
      </c>
      <c r="B3038" s="475" t="s">
        <v>10394</v>
      </c>
      <c r="C3038" s="56" t="s">
        <v>10233</v>
      </c>
      <c r="D3038" s="73" t="str">
        <f>IFERROR(VLOOKUP(C3038,Stock,3,FALSE),"")</f>
        <v>Automotive Film Standard - Black 60%       </v>
      </c>
      <c r="E3038" s="56">
        <v>1.0</v>
      </c>
      <c r="F3038" s="161">
        <v>350000.0</v>
      </c>
      <c r="G3038" s="162">
        <f t="shared" si="40"/>
        <v>350000</v>
      </c>
      <c r="H3038" s="194"/>
      <c r="I3038" s="161">
        <f t="shared" si="41"/>
        <v>350000</v>
      </c>
      <c r="J3038" s="164">
        <f t="shared" si="42"/>
        <v>350000</v>
      </c>
      <c r="K3038" s="56" t="s">
        <v>10395</v>
      </c>
      <c r="L3038" s="165" t="s">
        <v>10396</v>
      </c>
      <c r="M3038" s="73"/>
      <c r="N3038" s="171"/>
      <c r="O3038" s="169" t="s">
        <v>6923</v>
      </c>
      <c r="P3038" s="168" t="s">
        <v>3112</v>
      </c>
      <c r="Q3038" s="161">
        <v>350000.0</v>
      </c>
      <c r="R3038" s="161"/>
      <c r="S3038" s="173"/>
      <c r="T3038" s="173"/>
      <c r="U3038" s="173"/>
      <c r="V3038" s="202"/>
      <c r="W3038" s="171"/>
      <c r="X3038" s="171"/>
    </row>
    <row r="3039" ht="15.0" customHeight="1">
      <c r="A3039" s="127">
        <v>46024.0</v>
      </c>
      <c r="B3039" s="475" t="s">
        <v>10397</v>
      </c>
      <c r="C3039" s="56" t="s">
        <v>2549</v>
      </c>
      <c r="D3039" s="73" t="str">
        <f>IFERROR(VLOOKUP(C3039,Stock,3,FALSE),"")</f>
        <v>Toyota Avanza / Xenia 11-15 2nd Gen</v>
      </c>
      <c r="E3039" s="56">
        <v>1.0</v>
      </c>
      <c r="F3039" s="161">
        <v>1000000.0</v>
      </c>
      <c r="G3039" s="162">
        <f t="shared" si="40"/>
        <v>1000000</v>
      </c>
      <c r="H3039" s="194"/>
      <c r="I3039" s="161">
        <f t="shared" si="41"/>
        <v>1000000</v>
      </c>
      <c r="J3039" s="164">
        <f t="shared" si="42"/>
        <v>1000000</v>
      </c>
      <c r="K3039" s="487" t="s">
        <v>10398</v>
      </c>
      <c r="L3039" s="165" t="s">
        <v>10399</v>
      </c>
      <c r="M3039" s="73"/>
      <c r="N3039" s="171"/>
      <c r="O3039" s="169" t="s">
        <v>6923</v>
      </c>
      <c r="P3039" s="168" t="s">
        <v>3112</v>
      </c>
      <c r="Q3039" s="167">
        <v>100000.0</v>
      </c>
      <c r="R3039" s="167">
        <v>900000.0</v>
      </c>
      <c r="S3039" s="173"/>
      <c r="T3039" s="173"/>
      <c r="U3039" s="173"/>
      <c r="V3039" s="202"/>
      <c r="W3039" s="171"/>
      <c r="X3039" s="171"/>
    </row>
    <row r="3040" ht="15.0" customHeight="1">
      <c r="A3040" s="127">
        <v>46024.0</v>
      </c>
      <c r="B3040" s="475" t="s">
        <v>10397</v>
      </c>
      <c r="C3040" s="56" t="s">
        <v>10233</v>
      </c>
      <c r="D3040" s="73" t="str">
        <f>IFERROR(VLOOKUP(C3040,Stock,3,FALSE),"")</f>
        <v>Automotive Film Standard - Black 60%       </v>
      </c>
      <c r="E3040" s="56">
        <v>1.0</v>
      </c>
      <c r="F3040" s="161">
        <v>350000.0</v>
      </c>
      <c r="G3040" s="162">
        <f t="shared" si="40"/>
        <v>350000</v>
      </c>
      <c r="H3040" s="201">
        <v>50000.0</v>
      </c>
      <c r="I3040" s="161">
        <f t="shared" si="41"/>
        <v>300000</v>
      </c>
      <c r="J3040" s="164">
        <f t="shared" si="42"/>
        <v>300000</v>
      </c>
      <c r="K3040" s="487" t="s">
        <v>10398</v>
      </c>
      <c r="L3040" s="165" t="s">
        <v>10399</v>
      </c>
      <c r="M3040" s="73"/>
      <c r="N3040" s="171"/>
      <c r="O3040" s="169" t="s">
        <v>6923</v>
      </c>
      <c r="P3040" s="168" t="s">
        <v>3112</v>
      </c>
      <c r="Q3040" s="173"/>
      <c r="R3040" s="167">
        <v>300000.0</v>
      </c>
      <c r="S3040" s="173"/>
      <c r="T3040" s="173"/>
      <c r="U3040" s="173"/>
      <c r="V3040" s="202"/>
      <c r="W3040" s="171"/>
      <c r="X3040" s="171"/>
    </row>
    <row r="3041" ht="15.0" customHeight="1">
      <c r="A3041" s="127">
        <v>46024.0</v>
      </c>
      <c r="B3041" s="475" t="s">
        <v>10400</v>
      </c>
      <c r="C3041" s="56" t="s">
        <v>2825</v>
      </c>
      <c r="D3041" s="73" t="str">
        <f>IFERROR(VLOOKUP(C3041,Stock,3,FALSE),"")</f>
        <v>Toyota Avanza / Xenia 21- 4th Gen</v>
      </c>
      <c r="E3041" s="56">
        <v>1.0</v>
      </c>
      <c r="F3041" s="161">
        <v>966000.0</v>
      </c>
      <c r="G3041" s="162">
        <f t="shared" si="40"/>
        <v>966000</v>
      </c>
      <c r="H3041" s="194"/>
      <c r="I3041" s="161">
        <f t="shared" si="41"/>
        <v>966000</v>
      </c>
      <c r="J3041" s="164">
        <f t="shared" si="42"/>
        <v>966000</v>
      </c>
      <c r="K3041" s="56" t="s">
        <v>10401</v>
      </c>
      <c r="L3041" s="165" t="s">
        <v>10402</v>
      </c>
      <c r="M3041" s="73"/>
      <c r="N3041" s="171"/>
      <c r="O3041" s="169" t="s">
        <v>6923</v>
      </c>
      <c r="P3041" s="168" t="s">
        <v>3112</v>
      </c>
      <c r="Q3041" s="173"/>
      <c r="R3041" s="167">
        <v>966000.0</v>
      </c>
      <c r="S3041" s="173"/>
      <c r="T3041" s="173"/>
      <c r="U3041" s="173"/>
      <c r="V3041" s="202"/>
      <c r="W3041" s="171"/>
      <c r="X3041" s="171"/>
    </row>
    <row r="3042" ht="15.0" customHeight="1">
      <c r="A3042" s="127">
        <v>46025.0</v>
      </c>
      <c r="B3042" s="475" t="s">
        <v>10403</v>
      </c>
      <c r="C3042" s="56" t="s">
        <v>3826</v>
      </c>
      <c r="D3042" s="73" t="str">
        <f>IFERROR(VLOOKUP(C3042,Stock,3,FALSE),"")</f>
        <v>List Kaca Depan Code 11</v>
      </c>
      <c r="E3042" s="56">
        <v>1.0</v>
      </c>
      <c r="F3042" s="161">
        <v>275000.0</v>
      </c>
      <c r="G3042" s="162">
        <f t="shared" si="40"/>
        <v>275000</v>
      </c>
      <c r="H3042" s="194"/>
      <c r="I3042" s="161">
        <f t="shared" si="41"/>
        <v>275000</v>
      </c>
      <c r="J3042" s="164">
        <f t="shared" si="42"/>
        <v>275000</v>
      </c>
      <c r="K3042" s="487" t="s">
        <v>10398</v>
      </c>
      <c r="L3042" s="165" t="s">
        <v>10399</v>
      </c>
      <c r="M3042" s="73"/>
      <c r="N3042" s="171"/>
      <c r="O3042" s="169" t="s">
        <v>6923</v>
      </c>
      <c r="P3042" s="168" t="s">
        <v>3112</v>
      </c>
      <c r="Q3042" s="173"/>
      <c r="R3042" s="167">
        <v>275000.0</v>
      </c>
      <c r="S3042" s="173"/>
      <c r="T3042" s="173"/>
      <c r="U3042" s="173"/>
      <c r="V3042" s="202"/>
      <c r="W3042" s="171"/>
      <c r="X3042" s="171"/>
    </row>
    <row r="3043" ht="15.0" customHeight="1">
      <c r="A3043" s="127">
        <v>46026.0</v>
      </c>
      <c r="B3043" s="475" t="s">
        <v>10404</v>
      </c>
      <c r="C3043" s="56" t="s">
        <v>6830</v>
      </c>
      <c r="D3043" s="73" t="str">
        <f>IFERROR(VLOOKUP(C3043,Stock,3,FALSE),"")</f>
        <v>Daihatsu Gran Max / Zebra 2 (Pick Up)</v>
      </c>
      <c r="E3043" s="56">
        <v>1.0</v>
      </c>
      <c r="F3043" s="161">
        <v>500000.0</v>
      </c>
      <c r="G3043" s="162">
        <f t="shared" si="40"/>
        <v>500000</v>
      </c>
      <c r="H3043" s="194"/>
      <c r="I3043" s="161">
        <f t="shared" si="41"/>
        <v>500000</v>
      </c>
      <c r="J3043" s="164">
        <f t="shared" si="42"/>
        <v>500000</v>
      </c>
      <c r="K3043" s="56" t="s">
        <v>10405</v>
      </c>
      <c r="L3043" s="165" t="s">
        <v>10406</v>
      </c>
      <c r="M3043" s="73"/>
      <c r="N3043" s="171"/>
      <c r="O3043" s="169" t="s">
        <v>6923</v>
      </c>
      <c r="P3043" s="168" t="s">
        <v>3112</v>
      </c>
      <c r="Q3043" s="173"/>
      <c r="R3043" s="167">
        <v>500000.0</v>
      </c>
      <c r="S3043" s="173"/>
      <c r="T3043" s="173"/>
      <c r="U3043" s="173"/>
      <c r="V3043" s="202"/>
      <c r="W3043" s="171"/>
      <c r="X3043" s="171"/>
    </row>
    <row r="3044" ht="15.0" customHeight="1">
      <c r="A3044" s="127">
        <v>46027.0</v>
      </c>
      <c r="B3044" s="475" t="s">
        <v>10407</v>
      </c>
      <c r="C3044" s="56" t="s">
        <v>10408</v>
      </c>
      <c r="D3044" s="73" t="str">
        <f>IFERROR(VLOOKUP(C3044,Stock,3,FALSE),"")</f>
        <v>Nissan Juke 11-</v>
      </c>
      <c r="E3044" s="56">
        <v>1.0</v>
      </c>
      <c r="F3044" s="161">
        <v>1506000.0</v>
      </c>
      <c r="G3044" s="162">
        <f t="shared" si="40"/>
        <v>1506000</v>
      </c>
      <c r="H3044" s="194"/>
      <c r="I3044" s="161">
        <f t="shared" si="41"/>
        <v>1506000</v>
      </c>
      <c r="J3044" s="164">
        <f t="shared" si="42"/>
        <v>1506000</v>
      </c>
      <c r="K3044" s="488" t="s">
        <v>10409</v>
      </c>
      <c r="L3044" s="165" t="s">
        <v>10410</v>
      </c>
      <c r="M3044" s="73"/>
      <c r="N3044" s="171"/>
      <c r="O3044" s="169" t="s">
        <v>3213</v>
      </c>
      <c r="P3044" s="168" t="s">
        <v>3112</v>
      </c>
      <c r="Q3044" s="167">
        <v>1506000.0</v>
      </c>
      <c r="R3044" s="173"/>
      <c r="S3044" s="173"/>
      <c r="T3044" s="173"/>
      <c r="U3044" s="173"/>
      <c r="V3044" s="202"/>
      <c r="W3044" s="171"/>
      <c r="X3044" s="171"/>
    </row>
    <row r="3045" ht="15.0" customHeight="1">
      <c r="A3045" s="127">
        <v>46027.0</v>
      </c>
      <c r="B3045" s="475" t="s">
        <v>10411</v>
      </c>
      <c r="C3045" s="56" t="s">
        <v>10412</v>
      </c>
      <c r="D3045" s="73" t="str">
        <f>IFERROR(VLOOKUP(C3045,Stock,3,FALSE),"")</f>
        <v>Toyota Calya /  Sigra 16- (Toyota/Daihatsu)</v>
      </c>
      <c r="E3045" s="56">
        <v>1.0</v>
      </c>
      <c r="F3045" s="161">
        <v>550000.0</v>
      </c>
      <c r="G3045" s="162">
        <f t="shared" si="40"/>
        <v>550000</v>
      </c>
      <c r="H3045" s="201">
        <v>50000.0</v>
      </c>
      <c r="I3045" s="161">
        <f t="shared" si="41"/>
        <v>500000</v>
      </c>
      <c r="J3045" s="164">
        <f t="shared" si="42"/>
        <v>500000</v>
      </c>
      <c r="K3045" s="56" t="s">
        <v>10413</v>
      </c>
      <c r="L3045" s="165" t="s">
        <v>10414</v>
      </c>
      <c r="M3045" s="73"/>
      <c r="N3045" s="171"/>
      <c r="O3045" s="169" t="s">
        <v>6923</v>
      </c>
      <c r="P3045" s="168" t="s">
        <v>3112</v>
      </c>
      <c r="Q3045" s="167">
        <v>500000.0</v>
      </c>
      <c r="R3045" s="173"/>
      <c r="S3045" s="173"/>
      <c r="T3045" s="173"/>
      <c r="U3045" s="173"/>
      <c r="V3045" s="202"/>
      <c r="W3045" s="171"/>
      <c r="X3045" s="171"/>
    </row>
    <row r="3046" ht="15.0" customHeight="1">
      <c r="A3046" s="127">
        <v>46027.0</v>
      </c>
      <c r="B3046" s="475" t="s">
        <v>10411</v>
      </c>
      <c r="C3046" s="56" t="s">
        <v>10233</v>
      </c>
      <c r="D3046" s="73" t="str">
        <f>IFERROR(VLOOKUP(C3046,Stock,3,FALSE),"")</f>
        <v>Automotive Film Standard - Black 60%       </v>
      </c>
      <c r="E3046" s="56">
        <v>1.0</v>
      </c>
      <c r="F3046" s="161">
        <v>250000.0</v>
      </c>
      <c r="G3046" s="162">
        <f t="shared" si="40"/>
        <v>250000</v>
      </c>
      <c r="H3046" s="194"/>
      <c r="I3046" s="161">
        <f t="shared" si="41"/>
        <v>250000</v>
      </c>
      <c r="J3046" s="164">
        <f t="shared" si="42"/>
        <v>250000</v>
      </c>
      <c r="K3046" s="56" t="s">
        <v>10413</v>
      </c>
      <c r="L3046" s="165" t="s">
        <v>10414</v>
      </c>
      <c r="M3046" s="73"/>
      <c r="N3046" s="171"/>
      <c r="O3046" s="169" t="s">
        <v>6923</v>
      </c>
      <c r="P3046" s="168" t="s">
        <v>3112</v>
      </c>
      <c r="Q3046" s="167">
        <v>250000.0</v>
      </c>
      <c r="R3046" s="173"/>
      <c r="S3046" s="173"/>
      <c r="T3046" s="173"/>
      <c r="U3046" s="173"/>
      <c r="V3046" s="202"/>
      <c r="W3046" s="171"/>
      <c r="X3046" s="171"/>
    </row>
    <row r="3047" ht="15.0" customHeight="1">
      <c r="A3047" s="127">
        <v>46027.0</v>
      </c>
      <c r="B3047" s="475" t="s">
        <v>10415</v>
      </c>
      <c r="C3047" s="56" t="s">
        <v>6977</v>
      </c>
      <c r="D3047" s="73" t="str">
        <f>IFERROR(VLOOKUP(C3047,Stock,3,FALSE),"")</f>
        <v>Suzuki Karimun 99-06 Kotak</v>
      </c>
      <c r="E3047" s="56">
        <v>1.0</v>
      </c>
      <c r="F3047" s="161">
        <v>1295000.0</v>
      </c>
      <c r="G3047" s="162">
        <f t="shared" si="40"/>
        <v>1295000</v>
      </c>
      <c r="H3047" s="194"/>
      <c r="I3047" s="161">
        <f t="shared" si="41"/>
        <v>1295000</v>
      </c>
      <c r="J3047" s="164">
        <f t="shared" si="42"/>
        <v>1295000</v>
      </c>
      <c r="K3047" s="56" t="s">
        <v>10416</v>
      </c>
      <c r="L3047" s="165" t="s">
        <v>4692</v>
      </c>
      <c r="M3047" s="73"/>
      <c r="N3047" s="171"/>
      <c r="O3047" s="169" t="s">
        <v>6923</v>
      </c>
      <c r="P3047" s="168" t="s">
        <v>3112</v>
      </c>
      <c r="Q3047" s="173"/>
      <c r="R3047" s="167">
        <v>1295000.0</v>
      </c>
      <c r="S3047" s="173"/>
      <c r="T3047" s="173"/>
      <c r="U3047" s="173"/>
      <c r="V3047" s="202"/>
      <c r="W3047" s="171"/>
      <c r="X3047" s="171"/>
    </row>
    <row r="3048" ht="15.0" customHeight="1">
      <c r="A3048" s="127">
        <v>46027.0</v>
      </c>
      <c r="B3048" s="475" t="s">
        <v>10415</v>
      </c>
      <c r="C3048" s="56" t="s">
        <v>2954</v>
      </c>
      <c r="D3048" s="73" t="str">
        <f>IFERROR(VLOOKUP(C3048,Stock,3,FALSE),"")</f>
        <v>Transport</v>
      </c>
      <c r="E3048" s="56">
        <v>1.0</v>
      </c>
      <c r="F3048" s="161">
        <v>50000.0</v>
      </c>
      <c r="G3048" s="162">
        <f t="shared" si="40"/>
        <v>50000</v>
      </c>
      <c r="H3048" s="194"/>
      <c r="I3048" s="161">
        <f t="shared" si="41"/>
        <v>50000</v>
      </c>
      <c r="J3048" s="164">
        <f t="shared" si="42"/>
        <v>50000</v>
      </c>
      <c r="K3048" s="56" t="s">
        <v>10416</v>
      </c>
      <c r="L3048" s="165" t="s">
        <v>4692</v>
      </c>
      <c r="M3048" s="73"/>
      <c r="N3048" s="171"/>
      <c r="O3048" s="169" t="s">
        <v>6923</v>
      </c>
      <c r="P3048" s="168" t="s">
        <v>3112</v>
      </c>
      <c r="Q3048" s="173"/>
      <c r="R3048" s="167">
        <v>50000.0</v>
      </c>
      <c r="S3048" s="173"/>
      <c r="T3048" s="173"/>
      <c r="U3048" s="173"/>
      <c r="V3048" s="202"/>
      <c r="W3048" s="171"/>
      <c r="X3048" s="171"/>
    </row>
    <row r="3049" ht="15.0" customHeight="1">
      <c r="A3049" s="127">
        <v>46027.0</v>
      </c>
      <c r="B3049" s="475" t="s">
        <v>10417</v>
      </c>
      <c r="C3049" s="56" t="s">
        <v>3059</v>
      </c>
      <c r="D3049" s="73" t="str">
        <f>IFERROR(VLOOKUP(C3049,Stock,3,FALSE),"")</f>
        <v>Sealant Polyurethane XYG Tube</v>
      </c>
      <c r="E3049" s="56">
        <v>40.0</v>
      </c>
      <c r="F3049" s="161">
        <v>65000.0</v>
      </c>
      <c r="G3049" s="162">
        <f t="shared" si="40"/>
        <v>2600000</v>
      </c>
      <c r="H3049" s="194"/>
      <c r="I3049" s="161">
        <f t="shared" si="41"/>
        <v>2600000</v>
      </c>
      <c r="J3049" s="164">
        <f t="shared" si="42"/>
        <v>2600000</v>
      </c>
      <c r="K3049" s="56" t="s">
        <v>10418</v>
      </c>
      <c r="L3049" s="165" t="s">
        <v>9292</v>
      </c>
      <c r="M3049" s="73"/>
      <c r="N3049" s="171"/>
      <c r="O3049" s="169" t="s">
        <v>5220</v>
      </c>
      <c r="P3049" s="168" t="s">
        <v>3112</v>
      </c>
      <c r="Q3049" s="173"/>
      <c r="R3049" s="167">
        <v>2600000.0</v>
      </c>
      <c r="S3049" s="173"/>
      <c r="T3049" s="173"/>
      <c r="U3049" s="173"/>
      <c r="V3049" s="202"/>
      <c r="W3049" s="171"/>
      <c r="X3049" s="171"/>
    </row>
    <row r="3050" ht="15.0" customHeight="1">
      <c r="A3050" s="127">
        <v>46027.0</v>
      </c>
      <c r="B3050" s="475" t="s">
        <v>10417</v>
      </c>
      <c r="C3050" s="56" t="s">
        <v>2954</v>
      </c>
      <c r="D3050" s="73" t="str">
        <f>IFERROR(VLOOKUP(C3050,Stock,3,FALSE),"")</f>
        <v>Transport</v>
      </c>
      <c r="E3050" s="56">
        <v>1.0</v>
      </c>
      <c r="F3050" s="161">
        <v>30000.0</v>
      </c>
      <c r="G3050" s="162">
        <f t="shared" si="40"/>
        <v>30000</v>
      </c>
      <c r="H3050" s="194"/>
      <c r="I3050" s="161">
        <f t="shared" si="41"/>
        <v>30000</v>
      </c>
      <c r="J3050" s="164">
        <f t="shared" si="42"/>
        <v>30000</v>
      </c>
      <c r="K3050" s="56" t="s">
        <v>10418</v>
      </c>
      <c r="L3050" s="165" t="s">
        <v>9292</v>
      </c>
      <c r="M3050" s="73"/>
      <c r="N3050" s="171"/>
      <c r="O3050" s="169" t="s">
        <v>5220</v>
      </c>
      <c r="P3050" s="168" t="s">
        <v>3112</v>
      </c>
      <c r="Q3050" s="173"/>
      <c r="R3050" s="167">
        <v>30000.0</v>
      </c>
      <c r="S3050" s="173"/>
      <c r="T3050" s="173"/>
      <c r="U3050" s="173"/>
      <c r="V3050" s="202"/>
      <c r="W3050" s="171"/>
      <c r="X3050" s="171"/>
    </row>
    <row r="3051" ht="15.0" customHeight="1">
      <c r="A3051" s="127">
        <v>46027.0</v>
      </c>
      <c r="B3051" s="475" t="s">
        <v>10419</v>
      </c>
      <c r="C3051" s="56" t="s">
        <v>10420</v>
      </c>
      <c r="D3051" s="73" t="str">
        <f>IFERROR(VLOOKUP(C3051,Stock,3,FALSE),"")</f>
        <v>Lexus RX (Harrier) 03-08 XU30</v>
      </c>
      <c r="E3051" s="56">
        <v>1.0</v>
      </c>
      <c r="F3051" s="161">
        <v>736000.0</v>
      </c>
      <c r="G3051" s="162">
        <f t="shared" si="40"/>
        <v>736000</v>
      </c>
      <c r="H3051" s="194"/>
      <c r="I3051" s="161">
        <f t="shared" si="41"/>
        <v>736000</v>
      </c>
      <c r="J3051" s="164">
        <f t="shared" si="42"/>
        <v>736000</v>
      </c>
      <c r="K3051" s="56" t="s">
        <v>10421</v>
      </c>
      <c r="L3051" s="165" t="s">
        <v>10422</v>
      </c>
      <c r="M3051" s="73"/>
      <c r="N3051" s="171"/>
      <c r="O3051" s="169" t="s">
        <v>6923</v>
      </c>
      <c r="P3051" s="168" t="s">
        <v>3112</v>
      </c>
      <c r="Q3051" s="173"/>
      <c r="R3051" s="167">
        <v>171200.0</v>
      </c>
      <c r="S3051" s="173"/>
      <c r="T3051" s="173"/>
      <c r="U3051" s="173"/>
      <c r="V3051" s="202"/>
      <c r="W3051" s="171"/>
      <c r="X3051" s="171"/>
    </row>
    <row r="3052" ht="15.0" customHeight="1">
      <c r="A3052" s="127">
        <v>46027.0</v>
      </c>
      <c r="B3052" s="181" t="s">
        <v>10419</v>
      </c>
      <c r="C3052" s="56" t="s">
        <v>2934</v>
      </c>
      <c r="D3052" s="73" t="str">
        <f>IFERROR(VLOOKUP(C3052,Stock,3,FALSE),"")</f>
        <v>Peti Kayu</v>
      </c>
      <c r="E3052" s="56">
        <v>1.0</v>
      </c>
      <c r="F3052" s="161">
        <v>120000.0</v>
      </c>
      <c r="G3052" s="162">
        <f t="shared" si="40"/>
        <v>120000</v>
      </c>
      <c r="H3052" s="194"/>
      <c r="I3052" s="161">
        <f t="shared" si="41"/>
        <v>120000</v>
      </c>
      <c r="J3052" s="164">
        <f t="shared" si="42"/>
        <v>120000</v>
      </c>
      <c r="K3052" s="56" t="s">
        <v>10421</v>
      </c>
      <c r="L3052" s="165" t="s">
        <v>10422</v>
      </c>
      <c r="M3052" s="73"/>
      <c r="N3052" s="171"/>
      <c r="O3052" s="169" t="s">
        <v>6923</v>
      </c>
      <c r="P3052" s="168" t="s">
        <v>3112</v>
      </c>
      <c r="Q3052" s="173"/>
      <c r="R3052" s="167">
        <v>884800.0</v>
      </c>
      <c r="S3052" s="173"/>
      <c r="T3052" s="173"/>
      <c r="U3052" s="173"/>
      <c r="V3052" s="202"/>
      <c r="W3052" s="171"/>
      <c r="X3052" s="171"/>
    </row>
    <row r="3053" ht="15.0" customHeight="1">
      <c r="A3053" s="127">
        <v>46028.0</v>
      </c>
      <c r="B3053" s="181" t="s">
        <v>10423</v>
      </c>
      <c r="C3053" s="56" t="s">
        <v>5936</v>
      </c>
      <c r="D3053" s="73" t="str">
        <f>IFERROR(VLOOKUP(C3053,Stock,3,FALSE),"")</f>
        <v>Mitsubishi Xpander 17- / Livina 19- 2nd Gen (Mitsubishi)</v>
      </c>
      <c r="E3053" s="56">
        <v>1.0</v>
      </c>
      <c r="F3053" s="161">
        <v>2850000.0</v>
      </c>
      <c r="G3053" s="162">
        <f t="shared" si="40"/>
        <v>2850000</v>
      </c>
      <c r="H3053" s="201">
        <v>100000.0</v>
      </c>
      <c r="I3053" s="161">
        <f t="shared" si="41"/>
        <v>2750000</v>
      </c>
      <c r="J3053" s="164">
        <f t="shared" si="42"/>
        <v>2750000</v>
      </c>
      <c r="K3053" s="56" t="s">
        <v>10424</v>
      </c>
      <c r="L3053" s="165" t="s">
        <v>10425</v>
      </c>
      <c r="M3053" s="73"/>
      <c r="N3053" s="171"/>
      <c r="O3053" s="169" t="s">
        <v>6923</v>
      </c>
      <c r="P3053" s="168" t="s">
        <v>3112</v>
      </c>
      <c r="Q3053" s="173"/>
      <c r="R3053" s="167">
        <v>2750000.0</v>
      </c>
      <c r="S3053" s="173"/>
      <c r="T3053" s="173"/>
      <c r="U3053" s="173"/>
      <c r="V3053" s="202"/>
      <c r="W3053" s="171"/>
      <c r="X3053" s="171"/>
    </row>
    <row r="3054" ht="15.0" customHeight="1">
      <c r="A3054" s="127">
        <v>46028.0</v>
      </c>
      <c r="B3054" s="181" t="s">
        <v>10426</v>
      </c>
      <c r="C3054" s="56" t="s">
        <v>2965</v>
      </c>
      <c r="D3054" s="73" t="str">
        <f>IFERROR(VLOOKUP(C3054,Stock,3,FALSE),"")</f>
        <v>Suzuki Ertiga 12-18 1st Gen MPV</v>
      </c>
      <c r="E3054" s="56">
        <v>1.0</v>
      </c>
      <c r="F3054" s="161">
        <v>831000.0</v>
      </c>
      <c r="G3054" s="162">
        <f t="shared" si="40"/>
        <v>831000</v>
      </c>
      <c r="H3054" s="194"/>
      <c r="I3054" s="161">
        <f t="shared" si="41"/>
        <v>831000</v>
      </c>
      <c r="J3054" s="164">
        <f t="shared" si="42"/>
        <v>831000</v>
      </c>
      <c r="K3054" s="56" t="s">
        <v>10427</v>
      </c>
      <c r="L3054" s="165" t="s">
        <v>10428</v>
      </c>
      <c r="M3054" s="73"/>
      <c r="N3054" s="171"/>
      <c r="O3054" s="169" t="s">
        <v>6923</v>
      </c>
      <c r="P3054" s="168" t="s">
        <v>3112</v>
      </c>
      <c r="Q3054" s="167">
        <v>831000.0</v>
      </c>
      <c r="R3054" s="173"/>
      <c r="S3054" s="173"/>
      <c r="T3054" s="173"/>
      <c r="U3054" s="173"/>
      <c r="V3054" s="202"/>
      <c r="W3054" s="171"/>
      <c r="X3054" s="171"/>
    </row>
    <row r="3055" ht="15.0" customHeight="1">
      <c r="A3055" s="127">
        <v>46028.0</v>
      </c>
      <c r="B3055" s="181" t="s">
        <v>10429</v>
      </c>
      <c r="C3055" s="56" t="s">
        <v>10430</v>
      </c>
      <c r="D3055" s="73" t="str">
        <f>IFERROR(VLOOKUP(C3055,Stock,3,FALSE),"")</f>
        <v>Honda Brio 10- / Mobilio 11-</v>
      </c>
      <c r="E3055" s="56">
        <v>1.0</v>
      </c>
      <c r="F3055" s="161">
        <v>1300000.0</v>
      </c>
      <c r="G3055" s="162">
        <f t="shared" si="40"/>
        <v>1300000</v>
      </c>
      <c r="H3055" s="194"/>
      <c r="I3055" s="161">
        <f t="shared" si="41"/>
        <v>1300000</v>
      </c>
      <c r="J3055" s="164">
        <f t="shared" si="42"/>
        <v>1300000</v>
      </c>
      <c r="K3055" s="487" t="s">
        <v>10431</v>
      </c>
      <c r="L3055" s="421" t="s">
        <v>10432</v>
      </c>
      <c r="M3055" s="73"/>
      <c r="N3055" s="171"/>
      <c r="O3055" s="169" t="s">
        <v>6923</v>
      </c>
      <c r="P3055" s="168" t="s">
        <v>3112</v>
      </c>
      <c r="Q3055" s="173"/>
      <c r="R3055" s="167">
        <v>1300000.0</v>
      </c>
      <c r="S3055" s="173"/>
      <c r="T3055" s="173"/>
      <c r="U3055" s="173"/>
      <c r="V3055" s="202"/>
      <c r="W3055" s="171"/>
      <c r="X3055" s="171"/>
    </row>
    <row r="3056" ht="15.0" customHeight="1">
      <c r="A3056" s="127">
        <v>46028.0</v>
      </c>
      <c r="B3056" s="181" t="s">
        <v>10433</v>
      </c>
      <c r="C3056" s="56" t="s">
        <v>3033</v>
      </c>
      <c r="D3056" s="73" t="str">
        <f>IFERROR(VLOOKUP(C3056,Stock,3,FALSE),"")</f>
        <v>Toyota Innova 04-15 1st Gen</v>
      </c>
      <c r="E3056" s="56">
        <v>1.0</v>
      </c>
      <c r="F3056" s="161">
        <v>1392000.0</v>
      </c>
      <c r="G3056" s="162">
        <f t="shared" si="40"/>
        <v>1392000</v>
      </c>
      <c r="H3056" s="194"/>
      <c r="I3056" s="161">
        <f t="shared" si="41"/>
        <v>1392000</v>
      </c>
      <c r="J3056" s="164">
        <f t="shared" si="42"/>
        <v>1392000</v>
      </c>
      <c r="K3056" s="56" t="s">
        <v>5517</v>
      </c>
      <c r="L3056" s="421" t="s">
        <v>10434</v>
      </c>
      <c r="M3056" s="73"/>
      <c r="N3056" s="171"/>
      <c r="O3056" s="169" t="s">
        <v>6923</v>
      </c>
      <c r="P3056" s="168" t="s">
        <v>3112</v>
      </c>
      <c r="Q3056" s="167">
        <v>1392000.0</v>
      </c>
      <c r="R3056" s="173"/>
      <c r="S3056" s="173"/>
      <c r="T3056" s="173"/>
      <c r="U3056" s="173"/>
      <c r="V3056" s="202"/>
      <c r="W3056" s="171"/>
      <c r="X3056" s="171"/>
    </row>
    <row r="3057" ht="15.0" customHeight="1">
      <c r="A3057" s="127">
        <v>46029.0</v>
      </c>
      <c r="B3057" s="181" t="s">
        <v>10435</v>
      </c>
      <c r="C3057" s="56" t="s">
        <v>10436</v>
      </c>
      <c r="D3057" s="73" t="str">
        <f>IFERROR(VLOOKUP(C3057,Stock,3,FALSE),"")</f>
        <v>Toyota LandCruiser Prado FJ150W 09-</v>
      </c>
      <c r="E3057" s="56">
        <v>1.0</v>
      </c>
      <c r="F3057" s="161">
        <v>3526000.0</v>
      </c>
      <c r="G3057" s="162">
        <f t="shared" si="40"/>
        <v>3526000</v>
      </c>
      <c r="H3057" s="194"/>
      <c r="I3057" s="161">
        <f t="shared" si="41"/>
        <v>3526000</v>
      </c>
      <c r="J3057" s="164">
        <f t="shared" si="42"/>
        <v>3526000</v>
      </c>
      <c r="K3057" s="488" t="s">
        <v>10437</v>
      </c>
      <c r="L3057" s="165" t="s">
        <v>10438</v>
      </c>
      <c r="M3057" s="73"/>
      <c r="N3057" s="171"/>
      <c r="O3057" s="169" t="s">
        <v>6923</v>
      </c>
      <c r="P3057" s="168" t="s">
        <v>3112</v>
      </c>
      <c r="Q3057" s="173"/>
      <c r="R3057" s="167">
        <v>3526000.0</v>
      </c>
      <c r="S3057" s="173"/>
      <c r="T3057" s="173"/>
      <c r="U3057" s="173"/>
      <c r="V3057" s="202"/>
      <c r="W3057" s="171"/>
      <c r="X3057" s="171"/>
    </row>
    <row r="3058" ht="15.0" customHeight="1">
      <c r="A3058" s="127">
        <v>46029.0</v>
      </c>
      <c r="B3058" s="475" t="s">
        <v>10439</v>
      </c>
      <c r="C3058" s="56" t="s">
        <v>10233</v>
      </c>
      <c r="D3058" s="73" t="str">
        <f>IFERROR(VLOOKUP(C3058,Stock,3,FALSE),"")</f>
        <v>Automotive Film Standard - Black 60%       </v>
      </c>
      <c r="E3058" s="56">
        <v>1.0</v>
      </c>
      <c r="F3058" s="161">
        <v>250000.0</v>
      </c>
      <c r="G3058" s="162">
        <f t="shared" si="40"/>
        <v>250000</v>
      </c>
      <c r="H3058" s="194"/>
      <c r="I3058" s="161">
        <f t="shared" si="41"/>
        <v>250000</v>
      </c>
      <c r="J3058" s="164">
        <f t="shared" si="42"/>
        <v>250000</v>
      </c>
      <c r="K3058" s="56" t="s">
        <v>10409</v>
      </c>
      <c r="L3058" s="165" t="s">
        <v>10410</v>
      </c>
      <c r="M3058" s="73"/>
      <c r="N3058" s="171"/>
      <c r="O3058" s="169" t="s">
        <v>6923</v>
      </c>
      <c r="P3058" s="168" t="s">
        <v>3112</v>
      </c>
      <c r="Q3058" s="167">
        <v>250000.0</v>
      </c>
      <c r="R3058" s="173"/>
      <c r="S3058" s="173"/>
      <c r="T3058" s="173"/>
      <c r="U3058" s="173"/>
      <c r="V3058" s="202"/>
      <c r="W3058" s="171"/>
      <c r="X3058" s="171"/>
    </row>
    <row r="3059" ht="15.0" customHeight="1">
      <c r="A3059" s="127">
        <v>46029.0</v>
      </c>
      <c r="B3059" s="475" t="s">
        <v>10440</v>
      </c>
      <c r="C3059" s="56" t="s">
        <v>8490</v>
      </c>
      <c r="D3059" s="73" t="str">
        <f>IFERROR(VLOOKUP(C3059,Stock,3,FALSE),"")</f>
        <v>Honda City 14-18 GM6</v>
      </c>
      <c r="E3059" s="56">
        <v>1.0</v>
      </c>
      <c r="F3059" s="161">
        <v>2000000.0</v>
      </c>
      <c r="G3059" s="162">
        <f t="shared" si="40"/>
        <v>2000000</v>
      </c>
      <c r="H3059" s="194"/>
      <c r="I3059" s="161">
        <f t="shared" si="41"/>
        <v>2000000</v>
      </c>
      <c r="J3059" s="164">
        <f t="shared" si="42"/>
        <v>2000000</v>
      </c>
      <c r="K3059" s="56" t="s">
        <v>10441</v>
      </c>
      <c r="L3059" s="165" t="s">
        <v>10442</v>
      </c>
      <c r="M3059" s="73"/>
      <c r="N3059" s="171"/>
      <c r="O3059" s="169" t="s">
        <v>6923</v>
      </c>
      <c r="P3059" s="168" t="s">
        <v>3112</v>
      </c>
      <c r="Q3059" s="173"/>
      <c r="R3059" s="167">
        <v>2000000.0</v>
      </c>
      <c r="S3059" s="173"/>
      <c r="T3059" s="173"/>
      <c r="U3059" s="173"/>
      <c r="V3059" s="202"/>
      <c r="W3059" s="171"/>
      <c r="X3059" s="171"/>
    </row>
    <row r="3060" ht="15.0" customHeight="1">
      <c r="A3060" s="127">
        <v>46030.0</v>
      </c>
      <c r="B3060" s="475" t="s">
        <v>10443</v>
      </c>
      <c r="C3060" s="56" t="s">
        <v>3871</v>
      </c>
      <c r="D3060" s="73" t="str">
        <f>IFERROR(VLOOKUP(C3060,Stock,3,FALSE),"")</f>
        <v>Suzuki Swift 04-11 1st Gen</v>
      </c>
      <c r="E3060" s="56">
        <v>1.0</v>
      </c>
      <c r="F3060" s="161">
        <v>1394000.0</v>
      </c>
      <c r="G3060" s="162">
        <f t="shared" si="40"/>
        <v>1394000</v>
      </c>
      <c r="H3060" s="194"/>
      <c r="I3060" s="161">
        <f t="shared" si="41"/>
        <v>1394000</v>
      </c>
      <c r="J3060" s="164">
        <f t="shared" si="42"/>
        <v>1394000</v>
      </c>
      <c r="K3060" s="489" t="s">
        <v>4271</v>
      </c>
      <c r="L3060" s="165" t="s">
        <v>4001</v>
      </c>
      <c r="M3060" s="73"/>
      <c r="N3060" s="171"/>
      <c r="O3060" s="169" t="s">
        <v>6923</v>
      </c>
      <c r="P3060" s="168" t="s">
        <v>3112</v>
      </c>
      <c r="Q3060" s="167">
        <v>1394000.0</v>
      </c>
      <c r="R3060" s="173"/>
      <c r="S3060" s="173"/>
      <c r="T3060" s="173"/>
      <c r="U3060" s="173"/>
      <c r="V3060" s="202"/>
      <c r="W3060" s="171"/>
      <c r="X3060" s="171"/>
    </row>
    <row r="3061" ht="15.0" customHeight="1">
      <c r="A3061" s="127">
        <v>46030.0</v>
      </c>
      <c r="B3061" s="475" t="s">
        <v>10443</v>
      </c>
      <c r="C3061" s="56" t="s">
        <v>2954</v>
      </c>
      <c r="D3061" s="73" t="str">
        <f>IFERROR(VLOOKUP(C3061,Stock,3,FALSE),"")</f>
        <v>Transport</v>
      </c>
      <c r="E3061" s="56">
        <v>1.0</v>
      </c>
      <c r="F3061" s="161">
        <v>100000.0</v>
      </c>
      <c r="G3061" s="162">
        <f t="shared" si="40"/>
        <v>100000</v>
      </c>
      <c r="H3061" s="194"/>
      <c r="I3061" s="161">
        <f t="shared" si="41"/>
        <v>100000</v>
      </c>
      <c r="J3061" s="164">
        <f t="shared" si="42"/>
        <v>100000</v>
      </c>
      <c r="K3061" s="489" t="s">
        <v>4271</v>
      </c>
      <c r="L3061" s="165" t="s">
        <v>4001</v>
      </c>
      <c r="M3061" s="73"/>
      <c r="N3061" s="171"/>
      <c r="O3061" s="169" t="s">
        <v>6923</v>
      </c>
      <c r="P3061" s="168" t="s">
        <v>3112</v>
      </c>
      <c r="Q3061" s="167">
        <v>100000.0</v>
      </c>
      <c r="R3061" s="173"/>
      <c r="S3061" s="173"/>
      <c r="T3061" s="173"/>
      <c r="U3061" s="173"/>
      <c r="V3061" s="202"/>
      <c r="W3061" s="171"/>
      <c r="X3061" s="171"/>
    </row>
    <row r="3062" ht="15.0" customHeight="1">
      <c r="A3062" s="127">
        <v>46031.0</v>
      </c>
      <c r="B3062" s="475" t="s">
        <v>10444</v>
      </c>
      <c r="C3062" s="56" t="s">
        <v>2682</v>
      </c>
      <c r="D3062" s="73" t="str">
        <f>IFERROR(VLOOKUP(C3062,Stock,3,FALSE),"")</f>
        <v>Toyota Yaris 05-13 XP90 1st Gen</v>
      </c>
      <c r="E3062" s="56">
        <v>1.0</v>
      </c>
      <c r="F3062" s="161">
        <v>1449000.0</v>
      </c>
      <c r="G3062" s="162">
        <f t="shared" si="40"/>
        <v>1449000</v>
      </c>
      <c r="H3062" s="194"/>
      <c r="I3062" s="161">
        <f t="shared" si="41"/>
        <v>1449000</v>
      </c>
      <c r="J3062" s="164">
        <f t="shared" si="42"/>
        <v>1449000</v>
      </c>
      <c r="K3062" s="56" t="s">
        <v>5767</v>
      </c>
      <c r="L3062" s="165" t="s">
        <v>5768</v>
      </c>
      <c r="M3062" s="73"/>
      <c r="N3062" s="171"/>
      <c r="O3062" s="169" t="s">
        <v>6923</v>
      </c>
      <c r="P3062" s="168" t="s">
        <v>3112</v>
      </c>
      <c r="Q3062" s="173"/>
      <c r="R3062" s="167">
        <v>1449000.0</v>
      </c>
      <c r="S3062" s="173"/>
      <c r="T3062" s="173"/>
      <c r="U3062" s="173"/>
      <c r="V3062" s="202"/>
      <c r="W3062" s="171"/>
      <c r="X3062" s="171"/>
    </row>
    <row r="3063" ht="15.0" customHeight="1">
      <c r="A3063" s="127">
        <v>46031.0</v>
      </c>
      <c r="B3063" s="475" t="s">
        <v>10445</v>
      </c>
      <c r="C3063" s="56" t="s">
        <v>10446</v>
      </c>
      <c r="D3063" s="73" t="str">
        <f>IFERROR(VLOOKUP(C3063,Stock,3,FALSE),"")</f>
        <v>Mers-Benz B-Class 11-17 W246 (1 Sensor / O )</v>
      </c>
      <c r="E3063" s="56">
        <v>1.0</v>
      </c>
      <c r="F3063" s="161">
        <v>6243000.0</v>
      </c>
      <c r="G3063" s="162">
        <f t="shared" si="40"/>
        <v>6243000</v>
      </c>
      <c r="H3063" s="194"/>
      <c r="I3063" s="161">
        <f t="shared" si="41"/>
        <v>6243000</v>
      </c>
      <c r="J3063" s="164">
        <f t="shared" si="42"/>
        <v>6243000</v>
      </c>
      <c r="K3063" s="56" t="s">
        <v>10447</v>
      </c>
      <c r="L3063" s="165" t="s">
        <v>10448</v>
      </c>
      <c r="M3063" s="73"/>
      <c r="N3063" s="171"/>
      <c r="O3063" s="169" t="s">
        <v>6923</v>
      </c>
      <c r="P3063" s="168" t="s">
        <v>3112</v>
      </c>
      <c r="Q3063" s="173"/>
      <c r="R3063" s="167">
        <v>3121500.0</v>
      </c>
      <c r="S3063" s="173"/>
      <c r="T3063" s="173"/>
      <c r="U3063" s="173"/>
      <c r="V3063" s="202"/>
      <c r="W3063" s="171"/>
      <c r="X3063" s="171"/>
    </row>
    <row r="3064" ht="15.0" customHeight="1">
      <c r="A3064" s="127">
        <v>46032.0</v>
      </c>
      <c r="B3064" s="475" t="s">
        <v>10449</v>
      </c>
      <c r="C3064" s="56" t="s">
        <v>2973</v>
      </c>
      <c r="D3064" s="73" t="str">
        <f>IFERROR(VLOOKUP(C3064,Stock,3,FALSE),"")</f>
        <v>Toyota Innova 04-15 1st Gen</v>
      </c>
      <c r="E3064" s="56">
        <v>1.0</v>
      </c>
      <c r="F3064" s="161">
        <v>1300000.0</v>
      </c>
      <c r="G3064" s="162">
        <f t="shared" si="40"/>
        <v>1300000</v>
      </c>
      <c r="H3064" s="194"/>
      <c r="I3064" s="161">
        <f t="shared" si="41"/>
        <v>1300000</v>
      </c>
      <c r="J3064" s="164">
        <f t="shared" si="42"/>
        <v>1300000</v>
      </c>
      <c r="K3064" s="56" t="s">
        <v>10450</v>
      </c>
      <c r="L3064" s="165" t="s">
        <v>10451</v>
      </c>
      <c r="M3064" s="73"/>
      <c r="N3064" s="169" t="s">
        <v>10452</v>
      </c>
      <c r="O3064" s="169" t="s">
        <v>6923</v>
      </c>
      <c r="P3064" s="168" t="s">
        <v>3112</v>
      </c>
      <c r="Q3064" s="173"/>
      <c r="R3064" s="167">
        <v>1300000.0</v>
      </c>
      <c r="S3064" s="173"/>
      <c r="T3064" s="173"/>
      <c r="U3064" s="173"/>
      <c r="V3064" s="202"/>
      <c r="W3064" s="171"/>
      <c r="X3064" s="171"/>
    </row>
    <row r="3065" ht="15.0" customHeight="1">
      <c r="A3065" s="127">
        <v>46032.0</v>
      </c>
      <c r="B3065" s="475" t="s">
        <v>10453</v>
      </c>
      <c r="C3065" s="56" t="s">
        <v>3273</v>
      </c>
      <c r="D3065" s="73" t="str">
        <f>IFERROR(VLOOKUP(C3065,Stock,3,FALSE),"")</f>
        <v>Pemasangan Kaca Mobil Belakang</v>
      </c>
      <c r="E3065" s="56">
        <v>1.0</v>
      </c>
      <c r="F3065" s="161">
        <v>550000.0</v>
      </c>
      <c r="G3065" s="162">
        <f t="shared" si="40"/>
        <v>550000</v>
      </c>
      <c r="H3065" s="194"/>
      <c r="I3065" s="161">
        <f t="shared" si="41"/>
        <v>550000</v>
      </c>
      <c r="J3065" s="164">
        <f t="shared" si="42"/>
        <v>550000</v>
      </c>
      <c r="K3065" s="56" t="s">
        <v>6468</v>
      </c>
      <c r="L3065" s="165" t="s">
        <v>10454</v>
      </c>
      <c r="M3065" s="73"/>
      <c r="N3065" s="171"/>
      <c r="O3065" s="169" t="s">
        <v>6923</v>
      </c>
      <c r="P3065" s="168" t="s">
        <v>3112</v>
      </c>
      <c r="Q3065" s="167">
        <v>550000.0</v>
      </c>
      <c r="R3065" s="173"/>
      <c r="S3065" s="173"/>
      <c r="T3065" s="173"/>
      <c r="U3065" s="173"/>
      <c r="V3065" s="202"/>
      <c r="W3065" s="171"/>
      <c r="X3065" s="171"/>
    </row>
    <row r="3066" ht="15.0" customHeight="1">
      <c r="A3066" s="127">
        <v>46032.0</v>
      </c>
      <c r="B3066" s="475" t="s">
        <v>10455</v>
      </c>
      <c r="C3066" s="56" t="s">
        <v>10456</v>
      </c>
      <c r="D3066" s="73" t="str">
        <f>IFERROR(VLOOKUP(C3066,Stock,3,FALSE),"")</f>
        <v>Toyota Avanza / Xenia 03-11 1st Gen</v>
      </c>
      <c r="E3066" s="56">
        <v>1.0</v>
      </c>
      <c r="F3066" s="161">
        <v>1000000.0</v>
      </c>
      <c r="G3066" s="162">
        <f t="shared" si="40"/>
        <v>1000000</v>
      </c>
      <c r="H3066" s="194"/>
      <c r="I3066" s="161">
        <f t="shared" si="41"/>
        <v>1000000</v>
      </c>
      <c r="J3066" s="164">
        <f t="shared" si="42"/>
        <v>1000000</v>
      </c>
      <c r="K3066" s="56" t="s">
        <v>10457</v>
      </c>
      <c r="L3066" s="165" t="s">
        <v>10458</v>
      </c>
      <c r="M3066" s="73"/>
      <c r="N3066" s="171"/>
      <c r="O3066" s="169" t="s">
        <v>6923</v>
      </c>
      <c r="P3066" s="168" t="s">
        <v>3112</v>
      </c>
      <c r="Q3066" s="173"/>
      <c r="R3066" s="167">
        <v>1000000.0</v>
      </c>
      <c r="S3066" s="173"/>
      <c r="T3066" s="173"/>
      <c r="U3066" s="173"/>
      <c r="V3066" s="202"/>
      <c r="W3066" s="171"/>
      <c r="X3066" s="171"/>
    </row>
    <row r="3067" ht="15.0" customHeight="1">
      <c r="A3067" s="127">
        <v>46032.0</v>
      </c>
      <c r="B3067" s="475" t="s">
        <v>10459</v>
      </c>
      <c r="C3067" s="56" t="s">
        <v>3045</v>
      </c>
      <c r="D3067" s="73" t="str">
        <f>IFERROR(VLOOKUP(C3067,Stock,3,FALSE),"")</f>
        <v>Pemasangan Kaca Mobil Depan</v>
      </c>
      <c r="E3067" s="56">
        <v>1.0</v>
      </c>
      <c r="F3067" s="161">
        <v>300000.0</v>
      </c>
      <c r="G3067" s="162">
        <f t="shared" si="40"/>
        <v>300000</v>
      </c>
      <c r="H3067" s="194"/>
      <c r="I3067" s="161">
        <f t="shared" si="41"/>
        <v>300000</v>
      </c>
      <c r="J3067" s="164">
        <f t="shared" si="42"/>
        <v>300000</v>
      </c>
      <c r="K3067" s="56" t="s">
        <v>10460</v>
      </c>
      <c r="L3067" s="165" t="s">
        <v>10461</v>
      </c>
      <c r="M3067" s="73"/>
      <c r="N3067" s="171"/>
      <c r="O3067" s="169" t="s">
        <v>6923</v>
      </c>
      <c r="P3067" s="168" t="s">
        <v>3112</v>
      </c>
      <c r="Q3067" s="173"/>
      <c r="R3067" s="167">
        <v>300000.0</v>
      </c>
      <c r="S3067" s="173"/>
      <c r="T3067" s="173"/>
      <c r="U3067" s="173"/>
      <c r="V3067" s="202"/>
      <c r="W3067" s="171"/>
      <c r="X3067" s="171"/>
    </row>
    <row r="3068" ht="15.0" customHeight="1">
      <c r="A3068" s="127">
        <v>46032.0</v>
      </c>
      <c r="B3068" s="475" t="s">
        <v>10462</v>
      </c>
      <c r="C3068" s="56" t="s">
        <v>2681</v>
      </c>
      <c r="D3068" s="73" t="str">
        <f>IFERROR(VLOOKUP(C3068,Stock,3,FALSE),"")</f>
        <v>Honda CR-V 04-06 2nd Gen (Spion Biasa)</v>
      </c>
      <c r="E3068" s="56">
        <v>1.0</v>
      </c>
      <c r="F3068" s="161">
        <v>1782000.0</v>
      </c>
      <c r="G3068" s="162">
        <f t="shared" si="40"/>
        <v>1782000</v>
      </c>
      <c r="H3068" s="194"/>
      <c r="I3068" s="161">
        <f t="shared" si="41"/>
        <v>1782000</v>
      </c>
      <c r="J3068" s="164">
        <f t="shared" si="42"/>
        <v>1782000</v>
      </c>
      <c r="K3068" s="56" t="s">
        <v>5852</v>
      </c>
      <c r="L3068" s="165" t="s">
        <v>10463</v>
      </c>
      <c r="M3068" s="73"/>
      <c r="N3068" s="171"/>
      <c r="O3068" s="169" t="s">
        <v>6923</v>
      </c>
      <c r="P3068" s="168" t="s">
        <v>3112</v>
      </c>
      <c r="Q3068" s="173"/>
      <c r="R3068" s="167">
        <v>1782000.0</v>
      </c>
      <c r="S3068" s="173"/>
      <c r="T3068" s="173"/>
      <c r="U3068" s="173"/>
      <c r="V3068" s="202"/>
      <c r="W3068" s="171"/>
      <c r="X3068" s="171"/>
    </row>
    <row r="3069" ht="15.0" customHeight="1">
      <c r="A3069" s="127">
        <v>46033.0</v>
      </c>
      <c r="B3069" s="181" t="s">
        <v>10464</v>
      </c>
      <c r="C3069" s="56" t="s">
        <v>2775</v>
      </c>
      <c r="D3069" s="73" t="str">
        <f>IFERROR(VLOOKUP(C3069,Stock,3,FALSE),"")</f>
        <v>Hino Ranger Louhan 03- / Hino 500</v>
      </c>
      <c r="E3069" s="56">
        <v>1.0</v>
      </c>
      <c r="F3069" s="161">
        <v>1871000.0</v>
      </c>
      <c r="G3069" s="162">
        <f t="shared" si="40"/>
        <v>1871000</v>
      </c>
      <c r="H3069" s="194"/>
      <c r="I3069" s="161">
        <f t="shared" si="41"/>
        <v>1871000</v>
      </c>
      <c r="J3069" s="164">
        <f t="shared" si="42"/>
        <v>1871000</v>
      </c>
      <c r="K3069" s="56" t="s">
        <v>4593</v>
      </c>
      <c r="L3069" s="165" t="s">
        <v>10465</v>
      </c>
      <c r="M3069" s="73"/>
      <c r="N3069" s="171"/>
      <c r="O3069" s="169" t="s">
        <v>6923</v>
      </c>
      <c r="P3069" s="168" t="s">
        <v>3112</v>
      </c>
      <c r="Q3069" s="173"/>
      <c r="R3069" s="167">
        <v>1871000.0</v>
      </c>
      <c r="S3069" s="173"/>
      <c r="T3069" s="173"/>
      <c r="U3069" s="173"/>
      <c r="V3069" s="202"/>
      <c r="W3069" s="171"/>
      <c r="X3069" s="171"/>
    </row>
    <row r="3070" ht="15.0" customHeight="1">
      <c r="A3070" s="127">
        <v>46034.0</v>
      </c>
      <c r="B3070" s="181" t="s">
        <v>10466</v>
      </c>
      <c r="C3070" s="56" t="s">
        <v>3273</v>
      </c>
      <c r="D3070" s="73" t="str">
        <f>IFERROR(VLOOKUP(C3070,Stock,3,FALSE),"")</f>
        <v>Pemasangan Kaca Mobil Belakang</v>
      </c>
      <c r="E3070" s="56">
        <v>1.0</v>
      </c>
      <c r="F3070" s="161">
        <v>600000.0</v>
      </c>
      <c r="G3070" s="162">
        <f t="shared" si="40"/>
        <v>600000</v>
      </c>
      <c r="H3070" s="194"/>
      <c r="I3070" s="161">
        <f t="shared" si="41"/>
        <v>600000</v>
      </c>
      <c r="J3070" s="164">
        <f t="shared" si="42"/>
        <v>600000</v>
      </c>
      <c r="K3070" s="56" t="s">
        <v>10467</v>
      </c>
      <c r="L3070" s="165" t="s">
        <v>10468</v>
      </c>
      <c r="M3070" s="73"/>
      <c r="N3070" s="171"/>
      <c r="O3070" s="169" t="s">
        <v>6923</v>
      </c>
      <c r="P3070" s="168" t="s">
        <v>3112</v>
      </c>
      <c r="Q3070" s="167">
        <v>600000.0</v>
      </c>
      <c r="R3070" s="173"/>
      <c r="S3070" s="173"/>
      <c r="T3070" s="173"/>
      <c r="U3070" s="173"/>
      <c r="V3070" s="202"/>
      <c r="W3070" s="171"/>
      <c r="X3070" s="171"/>
    </row>
    <row r="3071" ht="15.0" customHeight="1">
      <c r="A3071" s="127">
        <v>46034.0</v>
      </c>
      <c r="B3071" s="181" t="s">
        <v>10469</v>
      </c>
      <c r="C3071" s="56" t="s">
        <v>10470</v>
      </c>
      <c r="D3071" s="73" t="str">
        <f>IFERROR(VLOOKUP(C3071,Stock,3,FALSE),"")</f>
        <v>Toyota LandCruiser Prado 02-09 FJ120</v>
      </c>
      <c r="E3071" s="56">
        <v>1.0</v>
      </c>
      <c r="F3071" s="161">
        <v>3342000.0</v>
      </c>
      <c r="G3071" s="162">
        <f t="shared" si="40"/>
        <v>3342000</v>
      </c>
      <c r="H3071" s="194"/>
      <c r="I3071" s="161">
        <f t="shared" si="41"/>
        <v>3342000</v>
      </c>
      <c r="J3071" s="164">
        <f t="shared" si="42"/>
        <v>3342000</v>
      </c>
      <c r="K3071" s="487" t="s">
        <v>10471</v>
      </c>
      <c r="L3071" s="165" t="s">
        <v>10472</v>
      </c>
      <c r="M3071" s="73"/>
      <c r="N3071" s="171"/>
      <c r="O3071" s="169" t="s">
        <v>10473</v>
      </c>
      <c r="P3071" s="168" t="s">
        <v>3112</v>
      </c>
      <c r="Q3071" s="173"/>
      <c r="R3071" s="173"/>
      <c r="S3071" s="161">
        <v>3342000.0</v>
      </c>
      <c r="T3071" s="173"/>
      <c r="U3071" s="173"/>
      <c r="V3071" s="202"/>
      <c r="W3071" s="171"/>
      <c r="X3071" s="171"/>
    </row>
    <row r="3072" ht="15.0" customHeight="1">
      <c r="A3072" s="127">
        <v>46034.0</v>
      </c>
      <c r="B3072" s="181" t="s">
        <v>10469</v>
      </c>
      <c r="C3072" s="56" t="s">
        <v>2954</v>
      </c>
      <c r="D3072" s="73" t="str">
        <f>IFERROR(VLOOKUP(C3072,Stock,3,FALSE),"")</f>
        <v>Transport</v>
      </c>
      <c r="E3072" s="56">
        <v>1.0</v>
      </c>
      <c r="F3072" s="161">
        <v>170000.0</v>
      </c>
      <c r="G3072" s="162">
        <f t="shared" si="40"/>
        <v>170000</v>
      </c>
      <c r="H3072" s="194"/>
      <c r="I3072" s="161">
        <f t="shared" si="41"/>
        <v>170000</v>
      </c>
      <c r="J3072" s="164">
        <f t="shared" si="42"/>
        <v>170000</v>
      </c>
      <c r="K3072" s="487" t="s">
        <v>10471</v>
      </c>
      <c r="L3072" s="165" t="s">
        <v>10472</v>
      </c>
      <c r="M3072" s="73"/>
      <c r="N3072" s="171"/>
      <c r="O3072" s="169" t="s">
        <v>10473</v>
      </c>
      <c r="P3072" s="168" t="s">
        <v>3112</v>
      </c>
      <c r="Q3072" s="173"/>
      <c r="R3072" s="161">
        <v>170000.0</v>
      </c>
      <c r="S3072" s="173"/>
      <c r="T3072" s="173"/>
      <c r="U3072" s="173"/>
      <c r="V3072" s="202"/>
      <c r="W3072" s="171"/>
      <c r="X3072" s="171"/>
    </row>
    <row r="3073" ht="15.0" customHeight="1">
      <c r="A3073" s="127">
        <v>46034.0</v>
      </c>
      <c r="B3073" s="181" t="s">
        <v>10469</v>
      </c>
      <c r="C3073" s="475" t="s">
        <v>2934</v>
      </c>
      <c r="D3073" s="73" t="str">
        <f>IFERROR(VLOOKUP(C3073,Stock,3,FALSE),"")</f>
        <v>Peti Kayu</v>
      </c>
      <c r="E3073" s="56">
        <v>1.0</v>
      </c>
      <c r="F3073" s="161">
        <v>200000.0</v>
      </c>
      <c r="G3073" s="162">
        <f t="shared" si="40"/>
        <v>200000</v>
      </c>
      <c r="H3073" s="194"/>
      <c r="I3073" s="161">
        <f t="shared" si="41"/>
        <v>200000</v>
      </c>
      <c r="J3073" s="164">
        <f t="shared" si="42"/>
        <v>200000</v>
      </c>
      <c r="K3073" s="487" t="s">
        <v>10471</v>
      </c>
      <c r="L3073" s="165" t="s">
        <v>10474</v>
      </c>
      <c r="M3073" s="73"/>
      <c r="N3073" s="171"/>
      <c r="O3073" s="169" t="s">
        <v>10473</v>
      </c>
      <c r="P3073" s="168" t="s">
        <v>3112</v>
      </c>
      <c r="Q3073" s="173"/>
      <c r="R3073" s="161">
        <v>200000.0</v>
      </c>
      <c r="S3073" s="173"/>
      <c r="T3073" s="173"/>
      <c r="U3073" s="173"/>
      <c r="V3073" s="202"/>
      <c r="W3073" s="171"/>
      <c r="X3073" s="171"/>
    </row>
    <row r="3074" ht="15.0" customHeight="1">
      <c r="A3074" s="127">
        <v>46034.0</v>
      </c>
      <c r="B3074" s="181" t="s">
        <v>10475</v>
      </c>
      <c r="C3074" s="56" t="s">
        <v>7063</v>
      </c>
      <c r="D3074" s="73" t="str">
        <f>IFERROR(VLOOKUP(C3074,Stock,3,FALSE),"")</f>
        <v>Wuling Confero (Tanpa Spionnya)</v>
      </c>
      <c r="E3074" s="56">
        <v>1.0</v>
      </c>
      <c r="F3074" s="161">
        <v>1440000.0</v>
      </c>
      <c r="G3074" s="162">
        <f t="shared" si="40"/>
        <v>1440000</v>
      </c>
      <c r="H3074" s="201">
        <v>100000.0</v>
      </c>
      <c r="I3074" s="161">
        <f t="shared" si="41"/>
        <v>1340000</v>
      </c>
      <c r="J3074" s="164">
        <f t="shared" si="42"/>
        <v>1340000</v>
      </c>
      <c r="K3074" s="56" t="s">
        <v>10476</v>
      </c>
      <c r="L3074" s="165" t="s">
        <v>4315</v>
      </c>
      <c r="M3074" s="73"/>
      <c r="N3074" s="171"/>
      <c r="O3074" s="169" t="s">
        <v>6923</v>
      </c>
      <c r="P3074" s="168" t="s">
        <v>3112</v>
      </c>
      <c r="Q3074" s="173"/>
      <c r="R3074" s="161">
        <v>1440000.0</v>
      </c>
      <c r="S3074" s="173"/>
      <c r="T3074" s="173"/>
      <c r="U3074" s="173"/>
      <c r="V3074" s="202"/>
      <c r="W3074" s="171"/>
      <c r="X3074" s="171"/>
    </row>
    <row r="3075" ht="15.0" customHeight="1">
      <c r="A3075" s="127">
        <v>46034.0</v>
      </c>
      <c r="B3075" s="181" t="s">
        <v>10475</v>
      </c>
      <c r="C3075" s="56" t="s">
        <v>2954</v>
      </c>
      <c r="D3075" s="73" t="str">
        <f>IFERROR(VLOOKUP(C3075,Stock,3,FALSE),"")</f>
        <v>Transport</v>
      </c>
      <c r="E3075" s="56">
        <v>1.0</v>
      </c>
      <c r="F3075" s="161">
        <v>100000.0</v>
      </c>
      <c r="G3075" s="162">
        <f t="shared" si="40"/>
        <v>100000</v>
      </c>
      <c r="H3075" s="194"/>
      <c r="I3075" s="161">
        <f t="shared" si="41"/>
        <v>100000</v>
      </c>
      <c r="J3075" s="164">
        <f t="shared" si="42"/>
        <v>100000</v>
      </c>
      <c r="K3075" s="56" t="s">
        <v>10476</v>
      </c>
      <c r="L3075" s="165" t="s">
        <v>4315</v>
      </c>
      <c r="M3075" s="73"/>
      <c r="N3075" s="171"/>
      <c r="O3075" s="169" t="s">
        <v>6923</v>
      </c>
      <c r="P3075" s="168" t="s">
        <v>3112</v>
      </c>
      <c r="Q3075" s="173"/>
      <c r="R3075" s="161">
        <v>100000.0</v>
      </c>
      <c r="S3075" s="173"/>
      <c r="T3075" s="173"/>
      <c r="U3075" s="173"/>
      <c r="V3075" s="202"/>
      <c r="W3075" s="171"/>
      <c r="X3075" s="171"/>
    </row>
    <row r="3076" ht="15.0" customHeight="1">
      <c r="A3076" s="127">
        <v>46035.0</v>
      </c>
      <c r="B3076" s="181" t="s">
        <v>10477</v>
      </c>
      <c r="C3076" s="56" t="s">
        <v>3745</v>
      </c>
      <c r="D3076" s="73" t="str">
        <f>IFERROR(VLOOKUP(C3076,Stock,3,FALSE),"")</f>
        <v>Honda Brio 10- / Mobilio 11-</v>
      </c>
      <c r="E3076" s="56">
        <v>1.0</v>
      </c>
      <c r="F3076" s="161">
        <v>1750000.0</v>
      </c>
      <c r="G3076" s="162">
        <f t="shared" si="40"/>
        <v>1750000</v>
      </c>
      <c r="H3076" s="194"/>
      <c r="I3076" s="161">
        <f t="shared" si="41"/>
        <v>1750000</v>
      </c>
      <c r="J3076" s="164">
        <f t="shared" si="42"/>
        <v>1750000</v>
      </c>
      <c r="K3076" s="56" t="s">
        <v>10478</v>
      </c>
      <c r="L3076" s="165" t="s">
        <v>9205</v>
      </c>
      <c r="M3076" s="73"/>
      <c r="N3076" s="171"/>
      <c r="O3076" s="169" t="s">
        <v>6923</v>
      </c>
      <c r="P3076" s="168" t="s">
        <v>3112</v>
      </c>
      <c r="Q3076" s="173"/>
      <c r="R3076" s="161">
        <v>1750000.0</v>
      </c>
      <c r="S3076" s="173"/>
      <c r="T3076" s="173"/>
      <c r="U3076" s="173"/>
      <c r="V3076" s="202"/>
      <c r="W3076" s="171"/>
      <c r="X3076" s="171"/>
    </row>
    <row r="3077" ht="15.0" customHeight="1">
      <c r="A3077" s="127">
        <v>46035.0</v>
      </c>
      <c r="B3077" s="181" t="s">
        <v>10477</v>
      </c>
      <c r="C3077" s="56" t="s">
        <v>2954</v>
      </c>
      <c r="D3077" s="73" t="str">
        <f>IFERROR(VLOOKUP(C3077,Stock,3,FALSE),"")</f>
        <v>Transport</v>
      </c>
      <c r="E3077" s="56">
        <v>1.0</v>
      </c>
      <c r="F3077" s="161">
        <v>50000.0</v>
      </c>
      <c r="G3077" s="162">
        <f t="shared" si="40"/>
        <v>50000</v>
      </c>
      <c r="H3077" s="194"/>
      <c r="I3077" s="161">
        <f t="shared" si="41"/>
        <v>50000</v>
      </c>
      <c r="J3077" s="164">
        <f t="shared" si="42"/>
        <v>50000</v>
      </c>
      <c r="K3077" s="56" t="s">
        <v>10478</v>
      </c>
      <c r="L3077" s="165" t="s">
        <v>9205</v>
      </c>
      <c r="M3077" s="73"/>
      <c r="N3077" s="171"/>
      <c r="O3077" s="169" t="s">
        <v>6923</v>
      </c>
      <c r="P3077" s="168" t="s">
        <v>3112</v>
      </c>
      <c r="Q3077" s="173"/>
      <c r="R3077" s="161">
        <v>50000.0</v>
      </c>
      <c r="S3077" s="173"/>
      <c r="T3077" s="173"/>
      <c r="U3077" s="173"/>
      <c r="V3077" s="202"/>
      <c r="W3077" s="171"/>
      <c r="X3077" s="171"/>
    </row>
    <row r="3078" ht="15.0" customHeight="1">
      <c r="A3078" s="127">
        <v>46035.0</v>
      </c>
      <c r="B3078" s="181" t="s">
        <v>10479</v>
      </c>
      <c r="C3078" s="56" t="s">
        <v>10480</v>
      </c>
      <c r="D3078" s="73" t="str">
        <f>IFERROR(VLOOKUP(C3078,Stock,3,FALSE),"")</f>
        <v>Toyota Innova 15- 2nd Gen</v>
      </c>
      <c r="E3078" s="56">
        <v>1.0</v>
      </c>
      <c r="F3078" s="161">
        <v>1600000.0</v>
      </c>
      <c r="G3078" s="162">
        <f t="shared" si="40"/>
        <v>1600000</v>
      </c>
      <c r="H3078" s="194"/>
      <c r="I3078" s="161">
        <f t="shared" si="41"/>
        <v>1600000</v>
      </c>
      <c r="J3078" s="164">
        <f t="shared" si="42"/>
        <v>1600000</v>
      </c>
      <c r="K3078" s="56" t="s">
        <v>10481</v>
      </c>
      <c r="L3078" s="165" t="s">
        <v>10482</v>
      </c>
      <c r="M3078" s="73"/>
      <c r="N3078" s="171"/>
      <c r="O3078" s="169" t="s">
        <v>6923</v>
      </c>
      <c r="P3078" s="168" t="s">
        <v>3112</v>
      </c>
      <c r="Q3078" s="173"/>
      <c r="R3078" s="161">
        <v>1600000.0</v>
      </c>
      <c r="S3078" s="173"/>
      <c r="T3078" s="173"/>
      <c r="U3078" s="173"/>
      <c r="V3078" s="202"/>
      <c r="W3078" s="171"/>
      <c r="X3078" s="171"/>
    </row>
    <row r="3079" ht="15.0" customHeight="1">
      <c r="A3079" s="127">
        <v>46036.0</v>
      </c>
      <c r="B3079" s="181" t="s">
        <v>10483</v>
      </c>
      <c r="C3079" s="56" t="s">
        <v>8066</v>
      </c>
      <c r="D3079" s="73" t="str">
        <f>IFERROR(VLOOKUP(C3079,Stock,3,FALSE),"")</f>
        <v>Honda Brio 10-</v>
      </c>
      <c r="E3079" s="56">
        <v>1.0</v>
      </c>
      <c r="F3079" s="161">
        <v>650000.0</v>
      </c>
      <c r="G3079" s="162">
        <f t="shared" si="40"/>
        <v>650000</v>
      </c>
      <c r="H3079" s="194"/>
      <c r="I3079" s="161">
        <f t="shared" si="41"/>
        <v>650000</v>
      </c>
      <c r="J3079" s="164">
        <f t="shared" si="42"/>
        <v>650000</v>
      </c>
      <c r="K3079" s="56" t="s">
        <v>4077</v>
      </c>
      <c r="L3079" s="165" t="s">
        <v>10484</v>
      </c>
      <c r="M3079" s="73"/>
      <c r="N3079" s="171"/>
      <c r="O3079" s="169" t="s">
        <v>3213</v>
      </c>
      <c r="P3079" s="168" t="s">
        <v>3112</v>
      </c>
      <c r="Q3079" s="173"/>
      <c r="R3079" s="167">
        <v>650000.0</v>
      </c>
      <c r="S3079" s="173"/>
      <c r="T3079" s="173"/>
      <c r="U3079" s="173"/>
      <c r="V3079" s="202"/>
      <c r="W3079" s="171"/>
      <c r="X3079" s="171"/>
    </row>
    <row r="3080" ht="15.0" customHeight="1">
      <c r="A3080" s="127">
        <v>46036.0</v>
      </c>
      <c r="B3080" s="181" t="s">
        <v>10483</v>
      </c>
      <c r="C3080" s="56" t="s">
        <v>3513</v>
      </c>
      <c r="D3080" s="73" t="str">
        <f>IFERROR(VLOOKUP(C3080,Stock,3,FALSE),"")</f>
        <v>Lembur</v>
      </c>
      <c r="E3080" s="56">
        <v>1.0</v>
      </c>
      <c r="F3080" s="161">
        <v>100000.0</v>
      </c>
      <c r="G3080" s="162">
        <f t="shared" si="40"/>
        <v>100000</v>
      </c>
      <c r="H3080" s="194"/>
      <c r="I3080" s="161">
        <f t="shared" si="41"/>
        <v>100000</v>
      </c>
      <c r="J3080" s="164">
        <f t="shared" si="42"/>
        <v>100000</v>
      </c>
      <c r="K3080" s="56" t="s">
        <v>4077</v>
      </c>
      <c r="L3080" s="165" t="s">
        <v>10484</v>
      </c>
      <c r="M3080" s="73"/>
      <c r="N3080" s="171"/>
      <c r="O3080" s="169" t="s">
        <v>3213</v>
      </c>
      <c r="P3080" s="168" t="s">
        <v>3112</v>
      </c>
      <c r="Q3080" s="173"/>
      <c r="R3080" s="161">
        <v>100000.0</v>
      </c>
      <c r="S3080" s="173"/>
      <c r="T3080" s="173"/>
      <c r="U3080" s="173"/>
      <c r="V3080" s="202"/>
      <c r="W3080" s="171"/>
      <c r="X3080" s="171"/>
    </row>
    <row r="3081" ht="15.0" customHeight="1">
      <c r="A3081" s="127">
        <v>46036.0</v>
      </c>
      <c r="B3081" s="181" t="s">
        <v>10485</v>
      </c>
      <c r="C3081" s="56" t="s">
        <v>6549</v>
      </c>
      <c r="D3081" s="73" t="str">
        <f>IFERROR(VLOOKUP(C3081,Stock,3,FALSE),"")</f>
        <v>Honda Mobilio 14-</v>
      </c>
      <c r="E3081" s="56">
        <v>1.0</v>
      </c>
      <c r="F3081" s="161">
        <v>1151000.0</v>
      </c>
      <c r="G3081" s="162">
        <f t="shared" si="40"/>
        <v>1151000</v>
      </c>
      <c r="H3081" s="194"/>
      <c r="I3081" s="161">
        <f t="shared" si="41"/>
        <v>1151000</v>
      </c>
      <c r="J3081" s="164">
        <f t="shared" si="42"/>
        <v>1151000</v>
      </c>
      <c r="K3081" s="56" t="s">
        <v>5425</v>
      </c>
      <c r="L3081" s="165" t="s">
        <v>10486</v>
      </c>
      <c r="M3081" s="73"/>
      <c r="N3081" s="171"/>
      <c r="O3081" s="169" t="s">
        <v>6923</v>
      </c>
      <c r="P3081" s="168" t="s">
        <v>3112</v>
      </c>
      <c r="Q3081" s="173"/>
      <c r="R3081" s="161">
        <v>1151000.0</v>
      </c>
      <c r="S3081" s="173"/>
      <c r="T3081" s="173"/>
      <c r="U3081" s="173"/>
      <c r="V3081" s="202"/>
      <c r="W3081" s="171"/>
      <c r="X3081" s="171"/>
    </row>
    <row r="3082" ht="15.0" customHeight="1">
      <c r="A3082" s="127">
        <v>46036.0</v>
      </c>
      <c r="B3082" s="181" t="s">
        <v>10485</v>
      </c>
      <c r="C3082" s="56" t="s">
        <v>2954</v>
      </c>
      <c r="D3082" s="73" t="str">
        <f>IFERROR(VLOOKUP(C3082,Stock,3,FALSE),"")</f>
        <v>Transport</v>
      </c>
      <c r="E3082" s="56">
        <v>1.0</v>
      </c>
      <c r="F3082" s="161">
        <v>50000.0</v>
      </c>
      <c r="G3082" s="162">
        <f t="shared" si="40"/>
        <v>50000</v>
      </c>
      <c r="H3082" s="194"/>
      <c r="I3082" s="161">
        <f t="shared" si="41"/>
        <v>50000</v>
      </c>
      <c r="J3082" s="164">
        <f t="shared" si="42"/>
        <v>50000</v>
      </c>
      <c r="K3082" s="56" t="s">
        <v>5425</v>
      </c>
      <c r="L3082" s="165" t="s">
        <v>10486</v>
      </c>
      <c r="M3082" s="73"/>
      <c r="N3082" s="171"/>
      <c r="O3082" s="169" t="s">
        <v>6923</v>
      </c>
      <c r="P3082" s="168" t="s">
        <v>3112</v>
      </c>
      <c r="Q3082" s="173"/>
      <c r="R3082" s="161">
        <v>50000.0</v>
      </c>
      <c r="S3082" s="173"/>
      <c r="T3082" s="173"/>
      <c r="U3082" s="173"/>
      <c r="V3082" s="202"/>
      <c r="W3082" s="171"/>
      <c r="X3082" s="171"/>
    </row>
    <row r="3083" ht="15.0" customHeight="1">
      <c r="A3083" s="127">
        <v>46036.0</v>
      </c>
      <c r="B3083" s="475" t="s">
        <v>10487</v>
      </c>
      <c r="C3083" s="56" t="s">
        <v>3398</v>
      </c>
      <c r="D3083" s="73" t="str">
        <f>IFERROR(VLOOKUP(C3083,Stock,3,FALSE),"")</f>
        <v>Pemasangan Kaca Mobil Samping</v>
      </c>
      <c r="E3083" s="56">
        <v>1.0</v>
      </c>
      <c r="F3083" s="161">
        <v>300000.0</v>
      </c>
      <c r="G3083" s="162">
        <f t="shared" si="40"/>
        <v>300000</v>
      </c>
      <c r="H3083" s="194"/>
      <c r="I3083" s="161">
        <f t="shared" si="41"/>
        <v>300000</v>
      </c>
      <c r="J3083" s="164">
        <f t="shared" si="42"/>
        <v>300000</v>
      </c>
      <c r="K3083" s="56" t="s">
        <v>10488</v>
      </c>
      <c r="L3083" s="165" t="s">
        <v>10489</v>
      </c>
      <c r="M3083" s="73"/>
      <c r="N3083" s="171"/>
      <c r="O3083" s="169" t="s">
        <v>6923</v>
      </c>
      <c r="P3083" s="168" t="s">
        <v>3112</v>
      </c>
      <c r="Q3083" s="173"/>
      <c r="R3083" s="161">
        <v>300000.0</v>
      </c>
      <c r="S3083" s="173"/>
      <c r="T3083" s="173"/>
      <c r="U3083" s="173"/>
      <c r="V3083" s="202"/>
      <c r="W3083" s="171"/>
      <c r="X3083" s="171"/>
    </row>
    <row r="3084" ht="15.0" customHeight="1">
      <c r="A3084" s="127">
        <v>46036.0</v>
      </c>
      <c r="B3084" s="475" t="s">
        <v>10490</v>
      </c>
      <c r="C3084" s="56" t="s">
        <v>8623</v>
      </c>
      <c r="D3084" s="73" t="str">
        <f>IFERROR(VLOOKUP(C3084,Stock,3,FALSE),"")</f>
        <v>Daihatsu Gran Max / Luxio 07-</v>
      </c>
      <c r="E3084" s="56">
        <v>1.0</v>
      </c>
      <c r="F3084" s="161">
        <v>1000000.0</v>
      </c>
      <c r="G3084" s="162">
        <f t="shared" si="40"/>
        <v>1000000</v>
      </c>
      <c r="H3084" s="194"/>
      <c r="I3084" s="161">
        <f t="shared" si="41"/>
        <v>1000000</v>
      </c>
      <c r="J3084" s="164">
        <f t="shared" si="42"/>
        <v>1000000</v>
      </c>
      <c r="K3084" s="56" t="s">
        <v>10491</v>
      </c>
      <c r="L3084" s="165" t="s">
        <v>10492</v>
      </c>
      <c r="M3084" s="73"/>
      <c r="N3084" s="171"/>
      <c r="O3084" s="169" t="s">
        <v>6923</v>
      </c>
      <c r="P3084" s="168" t="s">
        <v>3112</v>
      </c>
      <c r="Q3084" s="173"/>
      <c r="R3084" s="161">
        <v>1000000.0</v>
      </c>
      <c r="S3084" s="173"/>
      <c r="T3084" s="173"/>
      <c r="U3084" s="173"/>
      <c r="V3084" s="202"/>
      <c r="W3084" s="171"/>
      <c r="X3084" s="171"/>
    </row>
    <row r="3085" ht="15.0" customHeight="1">
      <c r="A3085" s="127">
        <v>46036.0</v>
      </c>
      <c r="B3085" s="475" t="s">
        <v>10490</v>
      </c>
      <c r="C3085" s="56" t="s">
        <v>3083</v>
      </c>
      <c r="D3085" s="73" t="str">
        <f>IFERROR(VLOOKUP(C3085,Stock,3,FALSE),"")</f>
        <v>List Kaca Depan Code 04</v>
      </c>
      <c r="E3085" s="56">
        <v>1.0</v>
      </c>
      <c r="F3085" s="161">
        <v>275000.0</v>
      </c>
      <c r="G3085" s="162">
        <f t="shared" si="40"/>
        <v>275000</v>
      </c>
      <c r="H3085" s="194"/>
      <c r="I3085" s="161">
        <f t="shared" si="41"/>
        <v>275000</v>
      </c>
      <c r="J3085" s="164">
        <f t="shared" si="42"/>
        <v>275000</v>
      </c>
      <c r="K3085" s="56" t="s">
        <v>10491</v>
      </c>
      <c r="L3085" s="165" t="s">
        <v>10492</v>
      </c>
      <c r="M3085" s="73"/>
      <c r="N3085" s="171"/>
      <c r="O3085" s="169" t="s">
        <v>6923</v>
      </c>
      <c r="P3085" s="168" t="s">
        <v>3112</v>
      </c>
      <c r="Q3085" s="173"/>
      <c r="R3085" s="161">
        <v>275000.0</v>
      </c>
      <c r="S3085" s="173"/>
      <c r="T3085" s="173"/>
      <c r="U3085" s="173"/>
      <c r="V3085" s="202"/>
      <c r="W3085" s="171"/>
      <c r="X3085" s="171"/>
    </row>
    <row r="3086" ht="15.0" customHeight="1">
      <c r="A3086" s="127">
        <v>46036.0</v>
      </c>
      <c r="B3086" s="475" t="s">
        <v>10493</v>
      </c>
      <c r="C3086" s="56" t="s">
        <v>2740</v>
      </c>
      <c r="D3086" s="73" t="str">
        <f>IFERROR(VLOOKUP(C3086,Stock,3,FALSE),"")</f>
        <v>Toyota Alphard 15-17 ANH30 3rd Gen (Hitam)</v>
      </c>
      <c r="E3086" s="56">
        <v>1.0</v>
      </c>
      <c r="F3086" s="161">
        <v>2770000.0</v>
      </c>
      <c r="G3086" s="162">
        <f t="shared" si="40"/>
        <v>2770000</v>
      </c>
      <c r="H3086" s="194"/>
      <c r="I3086" s="161">
        <f t="shared" si="41"/>
        <v>2770000</v>
      </c>
      <c r="J3086" s="164">
        <f t="shared" si="42"/>
        <v>2770000</v>
      </c>
      <c r="K3086" s="56" t="s">
        <v>8075</v>
      </c>
      <c r="L3086" s="165" t="s">
        <v>10494</v>
      </c>
      <c r="M3086" s="73"/>
      <c r="N3086" s="171"/>
      <c r="O3086" s="169" t="s">
        <v>6923</v>
      </c>
      <c r="P3086" s="168" t="s">
        <v>3112</v>
      </c>
      <c r="Q3086" s="173"/>
      <c r="R3086" s="161">
        <v>1865600.0</v>
      </c>
      <c r="S3086" s="173"/>
      <c r="T3086" s="173"/>
      <c r="U3086" s="173"/>
      <c r="V3086" s="202"/>
      <c r="W3086" s="171"/>
      <c r="X3086" s="171"/>
    </row>
    <row r="3087" ht="15.0" customHeight="1">
      <c r="A3087" s="127">
        <v>46036.0</v>
      </c>
      <c r="B3087" s="475" t="s">
        <v>10493</v>
      </c>
      <c r="C3087" s="56" t="s">
        <v>10495</v>
      </c>
      <c r="D3087" s="73" t="str">
        <f>IFERROR(VLOOKUP(C3087,Stock,3,FALSE),"")</f>
        <v>Toyota Alphard 15- ANH30 3rd Gen (Hitam)</v>
      </c>
      <c r="E3087" s="56">
        <v>1.0</v>
      </c>
      <c r="F3087" s="161">
        <v>3279000.0</v>
      </c>
      <c r="G3087" s="162">
        <f t="shared" si="40"/>
        <v>3279000</v>
      </c>
      <c r="H3087" s="194"/>
      <c r="I3087" s="161">
        <f t="shared" si="41"/>
        <v>3279000</v>
      </c>
      <c r="J3087" s="164">
        <f t="shared" si="42"/>
        <v>3279000</v>
      </c>
      <c r="K3087" s="56" t="s">
        <v>8075</v>
      </c>
      <c r="L3087" s="165" t="s">
        <v>10494</v>
      </c>
      <c r="M3087" s="73"/>
      <c r="N3087" s="171"/>
      <c r="O3087" s="169" t="s">
        <v>6923</v>
      </c>
      <c r="P3087" s="168" t="s">
        <v>3112</v>
      </c>
      <c r="Q3087" s="173"/>
      <c r="R3087" s="161"/>
      <c r="S3087" s="173"/>
      <c r="T3087" s="173"/>
      <c r="U3087" s="173"/>
      <c r="V3087" s="202"/>
      <c r="W3087" s="171"/>
      <c r="X3087" s="171"/>
    </row>
    <row r="3088" ht="15.0" customHeight="1">
      <c r="A3088" s="127">
        <v>46036.0</v>
      </c>
      <c r="B3088" s="475" t="s">
        <v>10493</v>
      </c>
      <c r="C3088" s="56" t="s">
        <v>10496</v>
      </c>
      <c r="D3088" s="73" t="str">
        <f>IFERROR(VLOOKUP(C3088,Stock,3,FALSE),"")</f>
        <v>Toyota Alphard 15- ANH30 3rd Gen (Hitam)</v>
      </c>
      <c r="E3088" s="56">
        <v>1.0</v>
      </c>
      <c r="F3088" s="161">
        <v>3279000.0</v>
      </c>
      <c r="G3088" s="162">
        <f t="shared" si="40"/>
        <v>3279000</v>
      </c>
      <c r="H3088" s="194"/>
      <c r="I3088" s="161">
        <f t="shared" si="41"/>
        <v>3279000</v>
      </c>
      <c r="J3088" s="164">
        <f t="shared" si="42"/>
        <v>3279000</v>
      </c>
      <c r="K3088" s="56" t="s">
        <v>8075</v>
      </c>
      <c r="L3088" s="165" t="s">
        <v>10494</v>
      </c>
      <c r="M3088" s="73"/>
      <c r="N3088" s="171"/>
      <c r="O3088" s="169" t="s">
        <v>6923</v>
      </c>
      <c r="P3088" s="168" t="s">
        <v>3112</v>
      </c>
      <c r="Q3088" s="173"/>
      <c r="R3088" s="161"/>
      <c r="S3088" s="173"/>
      <c r="T3088" s="173"/>
      <c r="U3088" s="173"/>
      <c r="V3088" s="202"/>
      <c r="W3088" s="171"/>
      <c r="X3088" s="171"/>
    </row>
    <row r="3089" ht="15.0" customHeight="1">
      <c r="A3089" s="127">
        <v>46037.0</v>
      </c>
      <c r="B3089" s="181" t="s">
        <v>10497</v>
      </c>
      <c r="C3089" s="56" t="s">
        <v>2555</v>
      </c>
      <c r="D3089" s="73" t="str">
        <f>IFERROR(VLOOKUP(C3089,Stock,3,FALSE),"")</f>
        <v>Toyota Fortuner 15-  2nd Gen (Toyota)</v>
      </c>
      <c r="E3089" s="56">
        <v>1.0</v>
      </c>
      <c r="F3089" s="161">
        <v>3399000.0</v>
      </c>
      <c r="G3089" s="162">
        <f t="shared" si="40"/>
        <v>3399000</v>
      </c>
      <c r="H3089" s="201">
        <v>399000.0</v>
      </c>
      <c r="I3089" s="161">
        <f t="shared" si="41"/>
        <v>3000000</v>
      </c>
      <c r="J3089" s="164">
        <f t="shared" si="42"/>
        <v>3000000</v>
      </c>
      <c r="K3089" s="56" t="s">
        <v>6767</v>
      </c>
      <c r="L3089" s="165" t="s">
        <v>10498</v>
      </c>
      <c r="M3089" s="73"/>
      <c r="N3089" s="171"/>
      <c r="O3089" s="169" t="s">
        <v>6923</v>
      </c>
      <c r="P3089" s="168" t="s">
        <v>3112</v>
      </c>
      <c r="Q3089" s="167">
        <v>3000000.0</v>
      </c>
      <c r="R3089" s="173"/>
      <c r="S3089" s="173"/>
      <c r="T3089" s="173"/>
      <c r="U3089" s="173"/>
      <c r="V3089" s="202"/>
      <c r="W3089" s="171"/>
      <c r="X3089" s="171"/>
    </row>
    <row r="3090" ht="15.0" customHeight="1">
      <c r="A3090" s="127">
        <v>46039.0</v>
      </c>
      <c r="B3090" s="181" t="s">
        <v>10499</v>
      </c>
      <c r="C3090" s="56" t="s">
        <v>2672</v>
      </c>
      <c r="D3090" s="73" t="str">
        <f>IFERROR(VLOOKUP(C3090,Stock,3,FALSE),"")</f>
        <v>Nissan March 10- K13</v>
      </c>
      <c r="E3090" s="56">
        <v>1.0</v>
      </c>
      <c r="F3090" s="161">
        <v>1393000.0</v>
      </c>
      <c r="G3090" s="162">
        <f t="shared" si="40"/>
        <v>1393000</v>
      </c>
      <c r="H3090" s="194"/>
      <c r="I3090" s="161">
        <f t="shared" si="41"/>
        <v>1393000</v>
      </c>
      <c r="J3090" s="164">
        <f t="shared" si="42"/>
        <v>1393000</v>
      </c>
      <c r="K3090" s="56" t="s">
        <v>10500</v>
      </c>
      <c r="L3090" s="165" t="s">
        <v>10501</v>
      </c>
      <c r="M3090" s="73"/>
      <c r="N3090" s="171"/>
      <c r="O3090" s="169" t="s">
        <v>6923</v>
      </c>
      <c r="P3090" s="168" t="s">
        <v>3112</v>
      </c>
      <c r="Q3090" s="173"/>
      <c r="R3090" s="167">
        <v>1393000.0</v>
      </c>
      <c r="S3090" s="173"/>
      <c r="T3090" s="173"/>
      <c r="U3090" s="173"/>
      <c r="V3090" s="202"/>
      <c r="W3090" s="171"/>
      <c r="X3090" s="171"/>
    </row>
    <row r="3091" ht="15.0" customHeight="1">
      <c r="A3091" s="127">
        <v>46039.0</v>
      </c>
      <c r="B3091" s="181" t="s">
        <v>10502</v>
      </c>
      <c r="C3091" s="56" t="s">
        <v>9167</v>
      </c>
      <c r="D3091" s="73" t="str">
        <f>IFERROR(VLOOKUP(C3091,Stock,3,FALSE),"")</f>
        <v>Toyota Avanza / Xenia 11-15 2nd Gen / 15-21 3rd Gen</v>
      </c>
      <c r="E3091" s="56">
        <v>1.0</v>
      </c>
      <c r="F3091" s="161">
        <v>839000.0</v>
      </c>
      <c r="G3091" s="162">
        <f t="shared" si="40"/>
        <v>839000</v>
      </c>
      <c r="H3091" s="194"/>
      <c r="I3091" s="161">
        <f t="shared" si="41"/>
        <v>839000</v>
      </c>
      <c r="J3091" s="164">
        <f t="shared" si="42"/>
        <v>839000</v>
      </c>
      <c r="K3091" s="56" t="s">
        <v>10503</v>
      </c>
      <c r="L3091" s="165" t="s">
        <v>10504</v>
      </c>
      <c r="M3091" s="73"/>
      <c r="N3091" s="171"/>
      <c r="O3091" s="169" t="s">
        <v>3037</v>
      </c>
      <c r="P3091" s="168" t="s">
        <v>3112</v>
      </c>
      <c r="Q3091" s="173"/>
      <c r="R3091" s="161">
        <v>839000.0</v>
      </c>
      <c r="S3091" s="173"/>
      <c r="T3091" s="173"/>
      <c r="U3091" s="173"/>
      <c r="V3091" s="202"/>
      <c r="W3091" s="171"/>
      <c r="X3091" s="171"/>
    </row>
    <row r="3092" ht="15.0" customHeight="1">
      <c r="A3092" s="127">
        <v>46039.0</v>
      </c>
      <c r="B3092" s="181" t="s">
        <v>10502</v>
      </c>
      <c r="C3092" s="56" t="s">
        <v>2954</v>
      </c>
      <c r="D3092" s="73" t="str">
        <f>IFERROR(VLOOKUP(C3092,Stock,3,FALSE),"")</f>
        <v>Transport</v>
      </c>
      <c r="E3092" s="56">
        <v>1.0</v>
      </c>
      <c r="F3092" s="161">
        <v>150000.0</v>
      </c>
      <c r="G3092" s="162">
        <f t="shared" si="40"/>
        <v>150000</v>
      </c>
      <c r="H3092" s="194"/>
      <c r="I3092" s="161">
        <f t="shared" si="41"/>
        <v>150000</v>
      </c>
      <c r="J3092" s="164">
        <f t="shared" si="42"/>
        <v>150000</v>
      </c>
      <c r="K3092" s="56" t="s">
        <v>10503</v>
      </c>
      <c r="L3092" s="165" t="s">
        <v>10504</v>
      </c>
      <c r="M3092" s="73"/>
      <c r="N3092" s="171"/>
      <c r="O3092" s="169" t="s">
        <v>3037</v>
      </c>
      <c r="P3092" s="168" t="s">
        <v>3112</v>
      </c>
      <c r="Q3092" s="173"/>
      <c r="R3092" s="161">
        <v>150000.0</v>
      </c>
      <c r="S3092" s="173"/>
      <c r="T3092" s="173"/>
      <c r="U3092" s="173"/>
      <c r="V3092" s="202"/>
      <c r="W3092" s="171"/>
      <c r="X3092" s="171"/>
    </row>
    <row r="3093" ht="15.0" customHeight="1">
      <c r="A3093" s="127">
        <v>46039.0</v>
      </c>
      <c r="B3093" s="181" t="s">
        <v>10505</v>
      </c>
      <c r="C3093" s="56" t="s">
        <v>2738</v>
      </c>
      <c r="D3093" s="73" t="str">
        <f>IFERROR(VLOOKUP(C3093,Stock,3,FALSE),"")</f>
        <v>Toyota Alphard 08-15 ANH20 2nd Gen (Hitam)</v>
      </c>
      <c r="E3093" s="56">
        <v>1.0</v>
      </c>
      <c r="F3093" s="161">
        <v>2970000.0</v>
      </c>
      <c r="G3093" s="162">
        <f t="shared" si="40"/>
        <v>2970000</v>
      </c>
      <c r="H3093" s="194"/>
      <c r="I3093" s="161">
        <f t="shared" si="41"/>
        <v>2970000</v>
      </c>
      <c r="J3093" s="164">
        <f t="shared" si="42"/>
        <v>2970000</v>
      </c>
      <c r="K3093" s="56" t="s">
        <v>10506</v>
      </c>
      <c r="L3093" s="165" t="s">
        <v>10507</v>
      </c>
      <c r="M3093" s="73"/>
      <c r="N3093" s="171"/>
      <c r="O3093" s="169" t="s">
        <v>6923</v>
      </c>
      <c r="P3093" s="168" t="s">
        <v>3112</v>
      </c>
      <c r="Q3093" s="173"/>
      <c r="R3093" s="161">
        <v>2970000.0</v>
      </c>
      <c r="S3093" s="173"/>
      <c r="T3093" s="173"/>
      <c r="U3093" s="173"/>
      <c r="V3093" s="202"/>
      <c r="W3093" s="171"/>
      <c r="X3093" s="171"/>
    </row>
    <row r="3094" ht="15.0" customHeight="1">
      <c r="A3094" s="127">
        <v>46039.0</v>
      </c>
      <c r="B3094" s="181" t="s">
        <v>10508</v>
      </c>
      <c r="C3094" s="56" t="s">
        <v>9167</v>
      </c>
      <c r="D3094" s="73" t="str">
        <f>IFERROR(VLOOKUP(C3094,Stock,3,FALSE),"")</f>
        <v>Toyota Avanza / Xenia 11-15 2nd Gen / 15-21 3rd Gen</v>
      </c>
      <c r="E3094" s="56">
        <v>1.0</v>
      </c>
      <c r="F3094" s="161">
        <v>854000.0</v>
      </c>
      <c r="G3094" s="162">
        <f t="shared" si="40"/>
        <v>854000</v>
      </c>
      <c r="H3094" s="194"/>
      <c r="I3094" s="161">
        <f t="shared" si="41"/>
        <v>854000</v>
      </c>
      <c r="J3094" s="164">
        <f t="shared" si="42"/>
        <v>854000</v>
      </c>
      <c r="K3094" s="56" t="s">
        <v>9426</v>
      </c>
      <c r="L3094" s="165" t="s">
        <v>10509</v>
      </c>
      <c r="M3094" s="73"/>
      <c r="N3094" s="171"/>
      <c r="O3094" s="169" t="s">
        <v>6923</v>
      </c>
      <c r="P3094" s="168" t="s">
        <v>3112</v>
      </c>
      <c r="Q3094" s="173"/>
      <c r="R3094" s="161">
        <v>854000.0</v>
      </c>
      <c r="S3094" s="173"/>
      <c r="T3094" s="173"/>
      <c r="U3094" s="173"/>
      <c r="V3094" s="202"/>
      <c r="W3094" s="171"/>
      <c r="X3094" s="171"/>
    </row>
    <row r="3095" ht="15.0" customHeight="1">
      <c r="A3095" s="127">
        <v>46040.0</v>
      </c>
      <c r="B3095" s="181" t="s">
        <v>10510</v>
      </c>
      <c r="C3095" s="56" t="s">
        <v>7142</v>
      </c>
      <c r="D3095" s="73" t="str">
        <f>IFERROR(VLOOKUP(C3095,Stock,3,FALSE),"")</f>
        <v>Mitsubishi Xpander 17-21 / Livina 19- 2nd Gen (Mitsubishi)</v>
      </c>
      <c r="E3095" s="56">
        <v>1.0</v>
      </c>
      <c r="F3095" s="161">
        <v>650000.0</v>
      </c>
      <c r="G3095" s="162">
        <f t="shared" si="40"/>
        <v>650000</v>
      </c>
      <c r="H3095" s="194"/>
      <c r="I3095" s="161">
        <f t="shared" si="41"/>
        <v>650000</v>
      </c>
      <c r="J3095" s="164">
        <f t="shared" si="42"/>
        <v>650000</v>
      </c>
      <c r="K3095" s="56" t="s">
        <v>10511</v>
      </c>
      <c r="L3095" s="165" t="s">
        <v>10512</v>
      </c>
      <c r="M3095" s="73"/>
      <c r="N3095" s="171"/>
      <c r="O3095" s="169" t="s">
        <v>6923</v>
      </c>
      <c r="P3095" s="168" t="s">
        <v>3112</v>
      </c>
      <c r="Q3095" s="173"/>
      <c r="R3095" s="167">
        <v>650000.0</v>
      </c>
      <c r="S3095" s="173"/>
      <c r="T3095" s="173"/>
      <c r="U3095" s="173"/>
      <c r="V3095" s="202"/>
      <c r="W3095" s="171"/>
      <c r="X3095" s="171"/>
    </row>
    <row r="3096" ht="15.0" customHeight="1">
      <c r="A3096" s="127">
        <v>46040.0</v>
      </c>
      <c r="B3096" s="181" t="s">
        <v>10513</v>
      </c>
      <c r="C3096" s="56" t="s">
        <v>10514</v>
      </c>
      <c r="D3096" s="73" t="str">
        <f>IFERROR(VLOOKUP(C3096,Stock,3,FALSE),"")</f>
        <v>Toyota Rush / Terios 06-17</v>
      </c>
      <c r="E3096" s="56">
        <v>1.0</v>
      </c>
      <c r="F3096" s="161">
        <v>1300000.0</v>
      </c>
      <c r="G3096" s="162">
        <f t="shared" si="40"/>
        <v>1300000</v>
      </c>
      <c r="H3096" s="194"/>
      <c r="I3096" s="161">
        <f t="shared" si="41"/>
        <v>1300000</v>
      </c>
      <c r="J3096" s="164">
        <f t="shared" si="42"/>
        <v>1300000</v>
      </c>
      <c r="K3096" s="487" t="s">
        <v>10515</v>
      </c>
      <c r="L3096" s="165" t="s">
        <v>10516</v>
      </c>
      <c r="M3096" s="73"/>
      <c r="N3096" s="171"/>
      <c r="O3096" s="169" t="s">
        <v>6923</v>
      </c>
      <c r="P3096" s="168" t="s">
        <v>3112</v>
      </c>
      <c r="Q3096" s="167">
        <v>1300000.0</v>
      </c>
      <c r="R3096" s="173"/>
      <c r="S3096" s="173"/>
      <c r="T3096" s="173"/>
      <c r="U3096" s="173"/>
      <c r="V3096" s="202"/>
      <c r="W3096" s="171"/>
      <c r="X3096" s="171"/>
    </row>
    <row r="3097" ht="15.0" customHeight="1">
      <c r="A3097" s="127">
        <v>46040.0</v>
      </c>
      <c r="B3097" s="181" t="s">
        <v>10517</v>
      </c>
      <c r="C3097" s="56" t="s">
        <v>2780</v>
      </c>
      <c r="D3097" s="73" t="str">
        <f>IFERROR(VLOOKUP(C3097,Stock,3,FALSE),"")</f>
        <v>Toyota Hi-Ace 04-20 Commuter With Frame</v>
      </c>
      <c r="E3097" s="56">
        <v>1.0</v>
      </c>
      <c r="F3097" s="161">
        <v>2895000.0</v>
      </c>
      <c r="G3097" s="162">
        <f t="shared" si="40"/>
        <v>2895000</v>
      </c>
      <c r="H3097" s="194"/>
      <c r="I3097" s="161">
        <f t="shared" si="41"/>
        <v>2895000</v>
      </c>
      <c r="J3097" s="164">
        <f t="shared" si="42"/>
        <v>2895000</v>
      </c>
      <c r="K3097" s="56" t="s">
        <v>10518</v>
      </c>
      <c r="L3097" s="165" t="s">
        <v>10519</v>
      </c>
      <c r="M3097" s="73"/>
      <c r="N3097" s="171"/>
      <c r="O3097" s="169" t="s">
        <v>6923</v>
      </c>
      <c r="P3097" s="168" t="s">
        <v>3112</v>
      </c>
      <c r="Q3097" s="167">
        <v>4955000.0</v>
      </c>
      <c r="R3097" s="173"/>
      <c r="S3097" s="173"/>
      <c r="T3097" s="173"/>
      <c r="U3097" s="173"/>
      <c r="V3097" s="202"/>
      <c r="W3097" s="171"/>
      <c r="X3097" s="171"/>
    </row>
    <row r="3098" ht="15.0" customHeight="1">
      <c r="A3098" s="127">
        <v>46040.0</v>
      </c>
      <c r="B3098" s="181" t="s">
        <v>10517</v>
      </c>
      <c r="C3098" s="56" t="s">
        <v>4526</v>
      </c>
      <c r="D3098" s="73" t="str">
        <f>IFERROR(VLOOKUP(C3098,Stock,3,FALSE),"")</f>
        <v>Toyota Hi-Ace 04-20 Commuter</v>
      </c>
      <c r="E3098" s="56">
        <v>1.0</v>
      </c>
      <c r="F3098" s="161">
        <v>1360000.0</v>
      </c>
      <c r="G3098" s="162">
        <f t="shared" si="40"/>
        <v>1360000</v>
      </c>
      <c r="H3098" s="194"/>
      <c r="I3098" s="161">
        <f t="shared" si="41"/>
        <v>1360000</v>
      </c>
      <c r="J3098" s="164">
        <f t="shared" si="42"/>
        <v>1360000</v>
      </c>
      <c r="K3098" s="56" t="s">
        <v>10518</v>
      </c>
      <c r="L3098" s="165" t="s">
        <v>10519</v>
      </c>
      <c r="M3098" s="73"/>
      <c r="N3098" s="171"/>
      <c r="O3098" s="169" t="s">
        <v>6923</v>
      </c>
      <c r="P3098" s="168" t="s">
        <v>3112</v>
      </c>
      <c r="Q3098" s="173"/>
      <c r="R3098" s="173"/>
      <c r="S3098" s="173"/>
      <c r="T3098" s="173"/>
      <c r="U3098" s="173"/>
      <c r="V3098" s="202"/>
      <c r="W3098" s="171"/>
      <c r="X3098" s="171"/>
    </row>
    <row r="3099" ht="15.0" customHeight="1">
      <c r="A3099" s="127">
        <v>46040.0</v>
      </c>
      <c r="B3099" s="181" t="s">
        <v>10517</v>
      </c>
      <c r="C3099" s="56" t="s">
        <v>3368</v>
      </c>
      <c r="D3099" s="73" t="str">
        <f>IFERROR(VLOOKUP(C3099,Stock,3,FALSE),"")</f>
        <v>Toyota Hi-Ace 04-20 Commuter</v>
      </c>
      <c r="E3099" s="56">
        <v>1.0</v>
      </c>
      <c r="F3099" s="161">
        <v>700000.0</v>
      </c>
      <c r="G3099" s="162">
        <f t="shared" si="40"/>
        <v>700000</v>
      </c>
      <c r="H3099" s="194"/>
      <c r="I3099" s="161">
        <f t="shared" si="41"/>
        <v>700000</v>
      </c>
      <c r="J3099" s="164">
        <f t="shared" si="42"/>
        <v>700000</v>
      </c>
      <c r="K3099" s="56" t="s">
        <v>10518</v>
      </c>
      <c r="L3099" s="165" t="s">
        <v>10519</v>
      </c>
      <c r="M3099" s="73"/>
      <c r="N3099" s="171"/>
      <c r="O3099" s="169" t="s">
        <v>6923</v>
      </c>
      <c r="P3099" s="168" t="s">
        <v>3112</v>
      </c>
      <c r="Q3099" s="173"/>
      <c r="R3099" s="173"/>
      <c r="S3099" s="173"/>
      <c r="T3099" s="173"/>
      <c r="U3099" s="173"/>
      <c r="V3099" s="202"/>
      <c r="W3099" s="171"/>
      <c r="X3099" s="171"/>
    </row>
    <row r="3100" ht="15.0" customHeight="1">
      <c r="A3100" s="127">
        <v>46041.0</v>
      </c>
      <c r="B3100" s="181" t="s">
        <v>10520</v>
      </c>
      <c r="C3100" s="56" t="s">
        <v>5528</v>
      </c>
      <c r="D3100" s="73" t="str">
        <f>IFERROR(VLOOKUP(C3100,Stock,3,FALSE),"")</f>
        <v>Toyota Innova 15-22 2nd Gen (Toyota)</v>
      </c>
      <c r="E3100" s="56">
        <v>1.0</v>
      </c>
      <c r="F3100" s="161">
        <v>2988000.0</v>
      </c>
      <c r="G3100" s="162">
        <f t="shared" si="40"/>
        <v>2988000</v>
      </c>
      <c r="H3100" s="194"/>
      <c r="I3100" s="161">
        <f t="shared" si="41"/>
        <v>2988000</v>
      </c>
      <c r="J3100" s="164">
        <f t="shared" si="42"/>
        <v>2988000</v>
      </c>
      <c r="K3100" s="56" t="s">
        <v>10521</v>
      </c>
      <c r="L3100" s="165" t="s">
        <v>10522</v>
      </c>
      <c r="M3100" s="73"/>
      <c r="N3100" s="171"/>
      <c r="O3100" s="169" t="s">
        <v>3204</v>
      </c>
      <c r="P3100" s="168" t="s">
        <v>3112</v>
      </c>
      <c r="Q3100" s="161">
        <v>2888000.0</v>
      </c>
      <c r="R3100" s="161">
        <v>100000.0</v>
      </c>
      <c r="S3100" s="173"/>
      <c r="T3100" s="173"/>
      <c r="U3100" s="173"/>
      <c r="V3100" s="202"/>
      <c r="W3100" s="171"/>
      <c r="X3100" s="171"/>
    </row>
    <row r="3101" ht="15.0" customHeight="1">
      <c r="A3101" s="127">
        <v>46041.0</v>
      </c>
      <c r="B3101" s="181" t="s">
        <v>10520</v>
      </c>
      <c r="C3101" s="56" t="s">
        <v>10233</v>
      </c>
      <c r="D3101" s="73" t="str">
        <f>IFERROR(VLOOKUP(C3101,Stock,3,FALSE),"")</f>
        <v>Automotive Film Standard - Black 60%       </v>
      </c>
      <c r="E3101" s="56">
        <v>1.0</v>
      </c>
      <c r="F3101" s="161">
        <v>400000.0</v>
      </c>
      <c r="G3101" s="162">
        <f t="shared" si="40"/>
        <v>400000</v>
      </c>
      <c r="H3101" s="194"/>
      <c r="I3101" s="161">
        <f t="shared" si="41"/>
        <v>400000</v>
      </c>
      <c r="J3101" s="164">
        <f t="shared" si="42"/>
        <v>400000</v>
      </c>
      <c r="K3101" s="56" t="s">
        <v>10521</v>
      </c>
      <c r="L3101" s="165" t="s">
        <v>10522</v>
      </c>
      <c r="M3101" s="73"/>
      <c r="N3101" s="171"/>
      <c r="O3101" s="169" t="s">
        <v>3204</v>
      </c>
      <c r="P3101" s="168" t="s">
        <v>3112</v>
      </c>
      <c r="Q3101" s="173"/>
      <c r="R3101" s="161">
        <v>400000.0</v>
      </c>
      <c r="S3101" s="173"/>
      <c r="T3101" s="173"/>
      <c r="U3101" s="173"/>
      <c r="V3101" s="202"/>
      <c r="W3101" s="171"/>
      <c r="X3101" s="171"/>
    </row>
    <row r="3102" ht="15.0" customHeight="1">
      <c r="A3102" s="127">
        <v>46041.0</v>
      </c>
      <c r="B3102" s="181" t="s">
        <v>10523</v>
      </c>
      <c r="C3102" s="56" t="s">
        <v>9836</v>
      </c>
      <c r="D3102" s="73" t="str">
        <f>IFERROR(VLOOKUP(C3102,Stock,3,FALSE),"")</f>
        <v>Toyota Yaris 13- 2nd Gen / Vios 14- 3rd Gen</v>
      </c>
      <c r="E3102" s="56">
        <v>1.0</v>
      </c>
      <c r="F3102" s="161">
        <v>1569000.0</v>
      </c>
      <c r="G3102" s="162">
        <f t="shared" si="40"/>
        <v>1569000</v>
      </c>
      <c r="H3102" s="194"/>
      <c r="I3102" s="161">
        <f t="shared" si="41"/>
        <v>1569000</v>
      </c>
      <c r="J3102" s="164">
        <f t="shared" si="42"/>
        <v>1569000</v>
      </c>
      <c r="K3102" s="487" t="s">
        <v>10524</v>
      </c>
      <c r="L3102" s="165" t="s">
        <v>10525</v>
      </c>
      <c r="M3102" s="73"/>
      <c r="N3102" s="171"/>
      <c r="O3102" s="169" t="s">
        <v>6923</v>
      </c>
      <c r="P3102" s="168" t="s">
        <v>3112</v>
      </c>
      <c r="Q3102" s="173"/>
      <c r="R3102" s="161">
        <v>1569000.0</v>
      </c>
      <c r="S3102" s="173"/>
      <c r="T3102" s="173"/>
      <c r="U3102" s="173"/>
      <c r="V3102" s="202"/>
      <c r="W3102" s="171"/>
      <c r="X3102" s="171"/>
    </row>
    <row r="3103" ht="15.0" customHeight="1">
      <c r="A3103" s="127">
        <v>46041.0</v>
      </c>
      <c r="B3103" s="181" t="s">
        <v>10526</v>
      </c>
      <c r="C3103" s="56" t="s">
        <v>3622</v>
      </c>
      <c r="D3103" s="73" t="str">
        <f>IFERROR(VLOOKUP(C3103,Stock,3,FALSE),"")</f>
        <v>Mitsubishi Pajero 08-16</v>
      </c>
      <c r="E3103" s="56">
        <v>1.0</v>
      </c>
      <c r="F3103" s="161">
        <v>1230000.0</v>
      </c>
      <c r="G3103" s="162">
        <f t="shared" si="40"/>
        <v>1230000</v>
      </c>
      <c r="H3103" s="194"/>
      <c r="I3103" s="161">
        <f t="shared" si="41"/>
        <v>1230000</v>
      </c>
      <c r="J3103" s="164">
        <f t="shared" si="42"/>
        <v>1230000</v>
      </c>
      <c r="K3103" s="56" t="s">
        <v>5674</v>
      </c>
      <c r="L3103" s="165" t="s">
        <v>10527</v>
      </c>
      <c r="M3103" s="73"/>
      <c r="N3103" s="171"/>
      <c r="O3103" s="169" t="s">
        <v>6923</v>
      </c>
      <c r="P3103" s="168" t="s">
        <v>3112</v>
      </c>
      <c r="Q3103" s="167">
        <v>1000000.0</v>
      </c>
      <c r="R3103" s="161">
        <v>569000.0</v>
      </c>
      <c r="S3103" s="173"/>
      <c r="T3103" s="173"/>
      <c r="U3103" s="173"/>
      <c r="V3103" s="202"/>
      <c r="W3103" s="171"/>
      <c r="X3103" s="171"/>
    </row>
    <row r="3104" ht="15.0" customHeight="1">
      <c r="A3104" s="127">
        <v>46041.0</v>
      </c>
      <c r="B3104" s="181" t="s">
        <v>10526</v>
      </c>
      <c r="C3104" s="56" t="s">
        <v>2588</v>
      </c>
      <c r="D3104" s="73" t="str">
        <f>IFERROR(VLOOKUP(C3104,Stock,3,FALSE),"")</f>
        <v>Ford Fiesta 09-17</v>
      </c>
      <c r="E3104" s="56">
        <v>1.0</v>
      </c>
      <c r="F3104" s="161">
        <v>1302000.0</v>
      </c>
      <c r="G3104" s="162">
        <f t="shared" si="40"/>
        <v>1302000</v>
      </c>
      <c r="H3104" s="194"/>
      <c r="I3104" s="161">
        <f t="shared" si="41"/>
        <v>1302000</v>
      </c>
      <c r="J3104" s="164">
        <f t="shared" si="42"/>
        <v>1302000</v>
      </c>
      <c r="K3104" s="56" t="s">
        <v>5674</v>
      </c>
      <c r="L3104" s="165" t="s">
        <v>10527</v>
      </c>
      <c r="M3104" s="73"/>
      <c r="N3104" s="171"/>
      <c r="O3104" s="169" t="s">
        <v>6923</v>
      </c>
      <c r="P3104" s="168" t="s">
        <v>3112</v>
      </c>
      <c r="Q3104" s="173"/>
      <c r="R3104" s="161">
        <v>1302000.0</v>
      </c>
      <c r="S3104" s="173"/>
      <c r="T3104" s="173"/>
      <c r="U3104" s="173"/>
      <c r="V3104" s="202"/>
      <c r="W3104" s="171"/>
      <c r="X3104" s="171"/>
    </row>
    <row r="3105" ht="15.0" customHeight="1">
      <c r="A3105" s="127">
        <v>46041.0</v>
      </c>
      <c r="B3105" s="181" t="s">
        <v>10526</v>
      </c>
      <c r="C3105" s="56" t="s">
        <v>3059</v>
      </c>
      <c r="D3105" s="73" t="str">
        <f>IFERROR(VLOOKUP(C3105,Stock,3,FALSE),"")</f>
        <v>Sealant Polyurethane XYG Tube</v>
      </c>
      <c r="E3105" s="56">
        <v>4.0</v>
      </c>
      <c r="F3105" s="161">
        <v>75000.0</v>
      </c>
      <c r="G3105" s="162">
        <f t="shared" si="40"/>
        <v>300000</v>
      </c>
      <c r="H3105" s="194"/>
      <c r="I3105" s="161">
        <f t="shared" si="41"/>
        <v>300000</v>
      </c>
      <c r="J3105" s="164">
        <f t="shared" si="42"/>
        <v>300000</v>
      </c>
      <c r="K3105" s="56" t="s">
        <v>5674</v>
      </c>
      <c r="L3105" s="165" t="s">
        <v>10527</v>
      </c>
      <c r="M3105" s="73"/>
      <c r="N3105" s="171"/>
      <c r="O3105" s="169" t="s">
        <v>6923</v>
      </c>
      <c r="P3105" s="168" t="s">
        <v>3112</v>
      </c>
      <c r="Q3105" s="173"/>
      <c r="R3105" s="161">
        <v>75000.0</v>
      </c>
      <c r="S3105" s="173"/>
      <c r="T3105" s="173"/>
      <c r="U3105" s="173"/>
      <c r="V3105" s="202"/>
      <c r="W3105" s="171"/>
      <c r="X3105" s="171"/>
    </row>
    <row r="3106" ht="15.0" customHeight="1">
      <c r="A3106" s="127">
        <v>46041.0</v>
      </c>
      <c r="B3106" s="181" t="s">
        <v>10526</v>
      </c>
      <c r="C3106" s="169" t="s">
        <v>2934</v>
      </c>
      <c r="D3106" s="73" t="str">
        <f>IFERROR(VLOOKUP(C3106,Stock,3,FALSE),"")</f>
        <v>Peti Kayu</v>
      </c>
      <c r="E3106" s="56">
        <v>1.0</v>
      </c>
      <c r="F3106" s="161">
        <v>200000.0</v>
      </c>
      <c r="G3106" s="162">
        <f t="shared" si="40"/>
        <v>200000</v>
      </c>
      <c r="H3106" s="194"/>
      <c r="I3106" s="161">
        <f t="shared" si="41"/>
        <v>200000</v>
      </c>
      <c r="J3106" s="164">
        <f t="shared" si="42"/>
        <v>200000</v>
      </c>
      <c r="K3106" s="56" t="s">
        <v>5674</v>
      </c>
      <c r="L3106" s="165" t="s">
        <v>10527</v>
      </c>
      <c r="M3106" s="73"/>
      <c r="N3106" s="171"/>
      <c r="O3106" s="169" t="s">
        <v>6923</v>
      </c>
      <c r="P3106" s="168" t="s">
        <v>3112</v>
      </c>
      <c r="Q3106" s="173"/>
      <c r="R3106" s="161">
        <v>200000.0</v>
      </c>
      <c r="S3106" s="173"/>
      <c r="T3106" s="173"/>
      <c r="U3106" s="173"/>
      <c r="V3106" s="202"/>
      <c r="W3106" s="171"/>
      <c r="X3106" s="171"/>
    </row>
    <row r="3107" ht="15.0" customHeight="1">
      <c r="A3107" s="127">
        <v>46038.0</v>
      </c>
      <c r="B3107" s="181" t="s">
        <v>10528</v>
      </c>
      <c r="C3107" s="56" t="s">
        <v>3313</v>
      </c>
      <c r="D3107" s="73" t="str">
        <f>IFERROR(VLOOKUP(C3107,Stock,3,FALSE),"")</f>
        <v>Toyota Avanza / Xenia 21- 4th Gen (Non sensor)</v>
      </c>
      <c r="E3107" s="56">
        <v>1.0</v>
      </c>
      <c r="F3107" s="161">
        <v>1200000.0</v>
      </c>
      <c r="G3107" s="162">
        <f t="shared" si="40"/>
        <v>1200000</v>
      </c>
      <c r="H3107" s="194"/>
      <c r="I3107" s="161">
        <f t="shared" si="41"/>
        <v>1200000</v>
      </c>
      <c r="J3107" s="164">
        <f t="shared" si="42"/>
        <v>1200000</v>
      </c>
      <c r="K3107" s="73"/>
      <c r="L3107" s="165" t="s">
        <v>10529</v>
      </c>
      <c r="M3107" s="73"/>
      <c r="N3107" s="171"/>
      <c r="O3107" s="169" t="s">
        <v>6923</v>
      </c>
      <c r="P3107" s="168" t="s">
        <v>3112</v>
      </c>
      <c r="Q3107" s="167">
        <v>1200000.0</v>
      </c>
      <c r="R3107" s="167"/>
      <c r="S3107" s="173"/>
      <c r="T3107" s="173"/>
      <c r="U3107" s="173"/>
      <c r="V3107" s="202"/>
      <c r="W3107" s="171"/>
      <c r="X3107" s="171"/>
    </row>
    <row r="3108" ht="15.0" customHeight="1">
      <c r="A3108" s="127">
        <v>46042.0</v>
      </c>
      <c r="B3108" s="181" t="s">
        <v>10530</v>
      </c>
      <c r="C3108" s="56" t="s">
        <v>2740</v>
      </c>
      <c r="D3108" s="73" t="str">
        <f>IFERROR(VLOOKUP(C3108,Stock,3,FALSE),"")</f>
        <v>Toyota Alphard 15-17 ANH30 3rd Gen (Hitam)</v>
      </c>
      <c r="E3108" s="56">
        <v>1.0</v>
      </c>
      <c r="F3108" s="161">
        <v>2870000.0</v>
      </c>
      <c r="G3108" s="162">
        <f t="shared" si="40"/>
        <v>2870000</v>
      </c>
      <c r="H3108" s="194"/>
      <c r="I3108" s="161">
        <f t="shared" si="41"/>
        <v>2870000</v>
      </c>
      <c r="J3108" s="164">
        <f t="shared" si="42"/>
        <v>2870000</v>
      </c>
      <c r="K3108" s="56" t="s">
        <v>10531</v>
      </c>
      <c r="L3108" s="165" t="s">
        <v>10532</v>
      </c>
      <c r="M3108" s="73"/>
      <c r="N3108" s="171"/>
      <c r="O3108" s="169" t="s">
        <v>6923</v>
      </c>
      <c r="P3108" s="168" t="s">
        <v>3112</v>
      </c>
      <c r="Q3108" s="173"/>
      <c r="R3108" s="167">
        <v>500000.0</v>
      </c>
      <c r="S3108" s="173"/>
      <c r="T3108" s="173"/>
      <c r="U3108" s="173"/>
      <c r="V3108" s="202"/>
      <c r="W3108" s="171"/>
      <c r="X3108" s="171"/>
    </row>
    <row r="3109" ht="15.0" customHeight="1">
      <c r="A3109" s="127">
        <v>46042.0</v>
      </c>
      <c r="B3109" s="181" t="s">
        <v>10530</v>
      </c>
      <c r="C3109" s="56" t="s">
        <v>2934</v>
      </c>
      <c r="D3109" s="73" t="str">
        <f>IFERROR(VLOOKUP(C3109,Stock,3,FALSE),"")</f>
        <v>Peti Kayu</v>
      </c>
      <c r="E3109" s="56">
        <v>1.0</v>
      </c>
      <c r="F3109" s="161">
        <v>200000.0</v>
      </c>
      <c r="G3109" s="162">
        <f t="shared" si="40"/>
        <v>200000</v>
      </c>
      <c r="H3109" s="194"/>
      <c r="I3109" s="161">
        <f t="shared" si="41"/>
        <v>200000</v>
      </c>
      <c r="J3109" s="164">
        <f t="shared" si="42"/>
        <v>200000</v>
      </c>
      <c r="K3109" s="56" t="s">
        <v>10531</v>
      </c>
      <c r="L3109" s="165" t="s">
        <v>10532</v>
      </c>
      <c r="M3109" s="73"/>
      <c r="N3109" s="171"/>
      <c r="O3109" s="169" t="s">
        <v>6923</v>
      </c>
      <c r="P3109" s="168" t="s">
        <v>3112</v>
      </c>
      <c r="Q3109" s="173"/>
      <c r="R3109" s="173"/>
      <c r="S3109" s="173"/>
      <c r="T3109" s="173"/>
      <c r="U3109" s="173"/>
      <c r="V3109" s="202"/>
      <c r="W3109" s="171"/>
      <c r="X3109" s="171"/>
    </row>
    <row r="3110" ht="15.0" customHeight="1">
      <c r="A3110" s="127">
        <v>46042.0</v>
      </c>
      <c r="B3110" s="181" t="s">
        <v>10533</v>
      </c>
      <c r="C3110" s="56" t="s">
        <v>3045</v>
      </c>
      <c r="D3110" s="73" t="str">
        <f>IFERROR(VLOOKUP(C3110,Stock,3,FALSE),"")</f>
        <v>Pemasangan Kaca Mobil Depan</v>
      </c>
      <c r="E3110" s="56">
        <v>1.0</v>
      </c>
      <c r="F3110" s="161">
        <v>600000.0</v>
      </c>
      <c r="G3110" s="162">
        <f t="shared" si="40"/>
        <v>600000</v>
      </c>
      <c r="H3110" s="194"/>
      <c r="I3110" s="161">
        <f t="shared" si="41"/>
        <v>600000</v>
      </c>
      <c r="J3110" s="164">
        <f t="shared" si="42"/>
        <v>600000</v>
      </c>
      <c r="K3110" s="56" t="s">
        <v>10534</v>
      </c>
      <c r="L3110" s="165" t="s">
        <v>7065</v>
      </c>
      <c r="M3110" s="73"/>
      <c r="N3110" s="171"/>
      <c r="O3110" s="169" t="s">
        <v>6923</v>
      </c>
      <c r="P3110" s="168" t="s">
        <v>3112</v>
      </c>
      <c r="Q3110" s="167">
        <v>600000.0</v>
      </c>
      <c r="R3110" s="173"/>
      <c r="S3110" s="173"/>
      <c r="T3110" s="173"/>
      <c r="U3110" s="173"/>
      <c r="V3110" s="202"/>
      <c r="W3110" s="171"/>
      <c r="X3110" s="171"/>
    </row>
    <row r="3111" ht="15.0" customHeight="1">
      <c r="A3111" s="127">
        <v>46042.0</v>
      </c>
      <c r="B3111" s="181" t="s">
        <v>10533</v>
      </c>
      <c r="C3111" s="56" t="s">
        <v>3083</v>
      </c>
      <c r="D3111" s="73" t="str">
        <f>IFERROR(VLOOKUP(C3111,Stock,3,FALSE),"")</f>
        <v>List Kaca Depan Code 04</v>
      </c>
      <c r="E3111" s="56">
        <v>1.0</v>
      </c>
      <c r="F3111" s="161">
        <v>275000.0</v>
      </c>
      <c r="G3111" s="162">
        <f t="shared" si="40"/>
        <v>275000</v>
      </c>
      <c r="H3111" s="194"/>
      <c r="I3111" s="161">
        <f t="shared" si="41"/>
        <v>275000</v>
      </c>
      <c r="J3111" s="164">
        <f t="shared" si="42"/>
        <v>275000</v>
      </c>
      <c r="K3111" s="56" t="s">
        <v>10534</v>
      </c>
      <c r="L3111" s="165" t="s">
        <v>7065</v>
      </c>
      <c r="M3111" s="73"/>
      <c r="N3111" s="171"/>
      <c r="O3111" s="169" t="s">
        <v>6923</v>
      </c>
      <c r="P3111" s="168" t="s">
        <v>3112</v>
      </c>
      <c r="Q3111" s="167">
        <v>275000.0</v>
      </c>
      <c r="R3111" s="173"/>
      <c r="S3111" s="173"/>
      <c r="T3111" s="173"/>
      <c r="U3111" s="173"/>
      <c r="V3111" s="202"/>
      <c r="W3111" s="171"/>
      <c r="X3111" s="171"/>
    </row>
    <row r="3112" ht="15.0" customHeight="1">
      <c r="A3112" s="127">
        <v>46043.0</v>
      </c>
      <c r="B3112" s="181" t="s">
        <v>10535</v>
      </c>
      <c r="C3112" s="56" t="s">
        <v>6693</v>
      </c>
      <c r="D3112" s="73" t="str">
        <f>IFERROR(VLOOKUP(C3112,Stock,3,FALSE),"")</f>
        <v>Toyota Yaris 05-13 XP90 1st Gen</v>
      </c>
      <c r="E3112" s="56">
        <v>1.0</v>
      </c>
      <c r="F3112" s="161">
        <v>1188000.0</v>
      </c>
      <c r="G3112" s="162">
        <f t="shared" si="40"/>
        <v>1188000</v>
      </c>
      <c r="H3112" s="194"/>
      <c r="I3112" s="161">
        <f t="shared" si="41"/>
        <v>1188000</v>
      </c>
      <c r="J3112" s="164">
        <f t="shared" si="42"/>
        <v>1188000</v>
      </c>
      <c r="K3112" s="56" t="s">
        <v>9843</v>
      </c>
      <c r="L3112" s="165" t="s">
        <v>9844</v>
      </c>
      <c r="M3112" s="73"/>
      <c r="N3112" s="171"/>
      <c r="O3112" s="169" t="s">
        <v>6923</v>
      </c>
      <c r="P3112" s="168" t="s">
        <v>3112</v>
      </c>
      <c r="Q3112" s="173"/>
      <c r="R3112" s="167">
        <v>1188000.0</v>
      </c>
      <c r="S3112" s="173"/>
      <c r="T3112" s="173"/>
      <c r="U3112" s="173"/>
      <c r="V3112" s="202"/>
      <c r="W3112" s="171"/>
      <c r="X3112" s="171"/>
    </row>
    <row r="3113" ht="15.0" customHeight="1">
      <c r="A3113" s="127">
        <v>46043.0</v>
      </c>
      <c r="B3113" s="185" t="s">
        <v>10536</v>
      </c>
      <c r="C3113" s="184" t="s">
        <v>10537</v>
      </c>
      <c r="D3113" s="186" t="str">
        <f>IFERROR(VLOOKUP(C3113,Stock,3,FALSE),"")</f>
        <v>Honda Jazz 01-07 1st Gen</v>
      </c>
      <c r="E3113" s="184">
        <v>1.0</v>
      </c>
      <c r="F3113" s="187">
        <v>423000.0</v>
      </c>
      <c r="G3113" s="188">
        <f t="shared" si="40"/>
        <v>423000</v>
      </c>
      <c r="H3113" s="210"/>
      <c r="I3113" s="187">
        <f t="shared" si="41"/>
        <v>423000</v>
      </c>
      <c r="J3113" s="189">
        <f t="shared" si="42"/>
        <v>423000</v>
      </c>
      <c r="K3113" s="184" t="s">
        <v>10538</v>
      </c>
      <c r="L3113" s="186"/>
      <c r="M3113" s="186"/>
      <c r="N3113" s="212"/>
      <c r="O3113" s="212"/>
      <c r="P3113" s="212"/>
      <c r="Q3113" s="213"/>
      <c r="R3113" s="213"/>
      <c r="S3113" s="173"/>
      <c r="T3113" s="173"/>
      <c r="U3113" s="173"/>
      <c r="V3113" s="202"/>
      <c r="W3113" s="171"/>
      <c r="X3113" s="171"/>
    </row>
    <row r="3114" ht="15.0" customHeight="1">
      <c r="A3114" s="127">
        <v>46043.0</v>
      </c>
      <c r="B3114" s="181" t="s">
        <v>10539</v>
      </c>
      <c r="C3114" s="56" t="s">
        <v>4189</v>
      </c>
      <c r="D3114" s="73" t="str">
        <f>IFERROR(VLOOKUP(C3114,Stock,3,FALSE),"")</f>
        <v>Toyota Hi-Ace 20- Commuter (Bening)</v>
      </c>
      <c r="E3114" s="56">
        <v>1.0</v>
      </c>
      <c r="F3114" s="161">
        <v>2537000.0</v>
      </c>
      <c r="G3114" s="162">
        <f t="shared" si="40"/>
        <v>2537000</v>
      </c>
      <c r="H3114" s="194"/>
      <c r="I3114" s="161">
        <f t="shared" si="41"/>
        <v>2537000</v>
      </c>
      <c r="J3114" s="164">
        <f t="shared" si="42"/>
        <v>2537000</v>
      </c>
      <c r="K3114" s="56" t="s">
        <v>10540</v>
      </c>
      <c r="L3114" s="165" t="s">
        <v>10541</v>
      </c>
      <c r="M3114" s="73"/>
      <c r="N3114" s="171"/>
      <c r="O3114" s="169" t="s">
        <v>6923</v>
      </c>
      <c r="P3114" s="168" t="s">
        <v>3112</v>
      </c>
      <c r="Q3114" s="167">
        <v>2537000.0</v>
      </c>
      <c r="R3114" s="173"/>
      <c r="S3114" s="173"/>
      <c r="T3114" s="173"/>
      <c r="U3114" s="173"/>
      <c r="V3114" s="202"/>
      <c r="W3114" s="171"/>
      <c r="X3114" s="171"/>
    </row>
    <row r="3115" ht="15.0" customHeight="1">
      <c r="A3115" s="127">
        <v>46044.0</v>
      </c>
      <c r="B3115" s="181" t="s">
        <v>10542</v>
      </c>
      <c r="C3115" s="56" t="s">
        <v>2714</v>
      </c>
      <c r="D3115" s="73" t="str">
        <f>IFERROR(VLOOKUP(C3115,Stock,3,FALSE),"")</f>
        <v>Mitsubishi Canter FE700 01- (PS110,125)</v>
      </c>
      <c r="E3115" s="56">
        <v>1.0</v>
      </c>
      <c r="F3115" s="161">
        <v>1194000.0</v>
      </c>
      <c r="G3115" s="162">
        <f t="shared" si="40"/>
        <v>1194000</v>
      </c>
      <c r="H3115" s="194"/>
      <c r="I3115" s="161">
        <f t="shared" si="41"/>
        <v>1194000</v>
      </c>
      <c r="J3115" s="164">
        <f t="shared" si="42"/>
        <v>1194000</v>
      </c>
      <c r="K3115" s="56" t="s">
        <v>10543</v>
      </c>
      <c r="L3115" s="165" t="s">
        <v>5756</v>
      </c>
      <c r="M3115" s="73"/>
      <c r="N3115" s="171"/>
      <c r="O3115" s="169" t="s">
        <v>6923</v>
      </c>
      <c r="P3115" s="168" t="s">
        <v>3112</v>
      </c>
      <c r="Q3115" s="167">
        <v>10000.0</v>
      </c>
      <c r="R3115" s="167">
        <v>1184000.0</v>
      </c>
      <c r="S3115" s="173"/>
      <c r="T3115" s="173"/>
      <c r="U3115" s="173"/>
      <c r="V3115" s="202"/>
      <c r="W3115" s="171"/>
      <c r="X3115" s="171"/>
    </row>
    <row r="3116" ht="15.0" customHeight="1">
      <c r="A3116" s="127">
        <v>46044.0</v>
      </c>
      <c r="B3116" s="181" t="s">
        <v>10544</v>
      </c>
      <c r="C3116" s="56" t="s">
        <v>4901</v>
      </c>
      <c r="D3116" s="73" t="str">
        <f>IFERROR(VLOOKUP(C3116,Stock,3,FALSE),"")</f>
        <v>Toyota Rush / Terios 18-</v>
      </c>
      <c r="E3116" s="56">
        <v>1.0</v>
      </c>
      <c r="F3116" s="161">
        <v>1100000.0</v>
      </c>
      <c r="G3116" s="162">
        <f t="shared" si="40"/>
        <v>1100000</v>
      </c>
      <c r="H3116" s="194"/>
      <c r="I3116" s="161">
        <f t="shared" si="41"/>
        <v>1100000</v>
      </c>
      <c r="J3116" s="164">
        <f t="shared" si="42"/>
        <v>1100000</v>
      </c>
      <c r="K3116" s="56" t="s">
        <v>10545</v>
      </c>
      <c r="L3116" s="165" t="s">
        <v>10546</v>
      </c>
      <c r="M3116" s="73"/>
      <c r="N3116" s="171"/>
      <c r="O3116" s="169" t="s">
        <v>6923</v>
      </c>
      <c r="P3116" s="169" t="s">
        <v>10237</v>
      </c>
      <c r="Q3116" s="173"/>
      <c r="R3116" s="167">
        <v>1100000.0</v>
      </c>
      <c r="S3116" s="173"/>
      <c r="T3116" s="173"/>
      <c r="U3116" s="173"/>
      <c r="V3116" s="202"/>
      <c r="W3116" s="171"/>
      <c r="X3116" s="171"/>
    </row>
    <row r="3117" ht="15.0" customHeight="1">
      <c r="A3117" s="127">
        <v>46044.0</v>
      </c>
      <c r="B3117" s="181" t="s">
        <v>10547</v>
      </c>
      <c r="C3117" s="56" t="s">
        <v>5926</v>
      </c>
      <c r="D3117" s="73" t="str">
        <f>IFERROR(VLOOKUP(C3117,Stock,3,FALSE),"")</f>
        <v>Hyundai Santa Fe 12-18</v>
      </c>
      <c r="E3117" s="56">
        <v>1.0</v>
      </c>
      <c r="F3117" s="161">
        <v>2418000.0</v>
      </c>
      <c r="G3117" s="162">
        <f t="shared" si="40"/>
        <v>2418000</v>
      </c>
      <c r="H3117" s="194"/>
      <c r="I3117" s="161">
        <f t="shared" si="41"/>
        <v>2418000</v>
      </c>
      <c r="J3117" s="164">
        <f t="shared" si="42"/>
        <v>2418000</v>
      </c>
      <c r="K3117" s="56" t="s">
        <v>10548</v>
      </c>
      <c r="L3117" s="165" t="s">
        <v>10549</v>
      </c>
      <c r="M3117" s="73"/>
      <c r="N3117" s="171"/>
      <c r="O3117" s="169" t="s">
        <v>5956</v>
      </c>
      <c r="P3117" s="168" t="s">
        <v>3112</v>
      </c>
      <c r="Q3117" s="173"/>
      <c r="R3117" s="167">
        <v>2418000.0</v>
      </c>
      <c r="S3117" s="173"/>
      <c r="T3117" s="173"/>
      <c r="U3117" s="173"/>
      <c r="V3117" s="202"/>
      <c r="W3117" s="171"/>
      <c r="X3117" s="171"/>
    </row>
    <row r="3118" ht="15.0" customHeight="1">
      <c r="A3118" s="127">
        <v>46044.0</v>
      </c>
      <c r="B3118" s="181" t="s">
        <v>10550</v>
      </c>
      <c r="C3118" s="56" t="s">
        <v>3543</v>
      </c>
      <c r="D3118" s="73" t="str">
        <f>IFERROR(VLOOKUP(C3118,Stock,3,FALSE),"")</f>
        <v>Daihatsu Gran Max Minibus/Van</v>
      </c>
      <c r="E3118" s="56">
        <v>1.0</v>
      </c>
      <c r="F3118" s="161">
        <v>762000.0</v>
      </c>
      <c r="G3118" s="162">
        <f t="shared" si="40"/>
        <v>762000</v>
      </c>
      <c r="H3118" s="194"/>
      <c r="I3118" s="161">
        <f t="shared" si="41"/>
        <v>762000</v>
      </c>
      <c r="J3118" s="164">
        <f t="shared" si="42"/>
        <v>762000</v>
      </c>
      <c r="K3118" s="487" t="s">
        <v>10551</v>
      </c>
      <c r="L3118" s="165" t="s">
        <v>10552</v>
      </c>
      <c r="M3118" s="73"/>
      <c r="N3118" s="171"/>
      <c r="O3118" s="169" t="s">
        <v>6923</v>
      </c>
      <c r="P3118" s="169" t="s">
        <v>3112</v>
      </c>
      <c r="Q3118" s="173"/>
      <c r="R3118" s="167">
        <v>762000.0</v>
      </c>
      <c r="S3118" s="173"/>
      <c r="T3118" s="173"/>
      <c r="U3118" s="173"/>
      <c r="V3118" s="202"/>
      <c r="W3118" s="171"/>
      <c r="X3118" s="171"/>
    </row>
    <row r="3119" ht="15.0" customHeight="1">
      <c r="A3119" s="127">
        <v>46044.0</v>
      </c>
      <c r="B3119" s="181" t="s">
        <v>10553</v>
      </c>
      <c r="C3119" s="56" t="s">
        <v>8623</v>
      </c>
      <c r="D3119" s="73" t="str">
        <f>IFERROR(VLOOKUP(C3119,Stock,3,FALSE),"")</f>
        <v>Daihatsu Gran Max / Luxio 07-</v>
      </c>
      <c r="E3119" s="56">
        <v>1.0</v>
      </c>
      <c r="F3119" s="161">
        <v>1000000.0</v>
      </c>
      <c r="G3119" s="162">
        <f t="shared" si="40"/>
        <v>1000000</v>
      </c>
      <c r="H3119" s="194"/>
      <c r="I3119" s="161">
        <f t="shared" si="41"/>
        <v>1000000</v>
      </c>
      <c r="J3119" s="164">
        <f t="shared" si="42"/>
        <v>1000000</v>
      </c>
      <c r="K3119" s="56" t="s">
        <v>10554</v>
      </c>
      <c r="L3119" s="165" t="s">
        <v>10555</v>
      </c>
      <c r="M3119" s="73"/>
      <c r="N3119" s="171"/>
      <c r="O3119" s="169" t="s">
        <v>6923</v>
      </c>
      <c r="P3119" s="169" t="s">
        <v>10237</v>
      </c>
      <c r="Q3119" s="173"/>
      <c r="R3119" s="167">
        <v>1000000.0</v>
      </c>
      <c r="S3119" s="173"/>
      <c r="T3119" s="173"/>
      <c r="U3119" s="173"/>
      <c r="V3119" s="202"/>
      <c r="W3119" s="171"/>
      <c r="X3119" s="171"/>
    </row>
    <row r="3120" ht="15.0" customHeight="1">
      <c r="A3120" s="127">
        <v>46044.0</v>
      </c>
      <c r="B3120" s="475" t="s">
        <v>10556</v>
      </c>
      <c r="C3120" s="56" t="s">
        <v>8623</v>
      </c>
      <c r="D3120" s="73" t="str">
        <f>IFERROR(VLOOKUP(C3120,Stock,3,FALSE),"")</f>
        <v>Daihatsu Gran Max / Luxio 07-</v>
      </c>
      <c r="E3120" s="56">
        <v>1.0</v>
      </c>
      <c r="F3120" s="161">
        <v>1000000.0</v>
      </c>
      <c r="G3120" s="162">
        <f t="shared" si="40"/>
        <v>1000000</v>
      </c>
      <c r="H3120" s="194"/>
      <c r="I3120" s="161">
        <f t="shared" si="41"/>
        <v>1000000</v>
      </c>
      <c r="J3120" s="164">
        <f t="shared" si="42"/>
        <v>1000000</v>
      </c>
      <c r="K3120" s="56" t="s">
        <v>10557</v>
      </c>
      <c r="L3120" s="165" t="s">
        <v>10558</v>
      </c>
      <c r="M3120" s="73"/>
      <c r="N3120" s="171"/>
      <c r="O3120" s="169" t="s">
        <v>6923</v>
      </c>
      <c r="P3120" s="169" t="s">
        <v>3112</v>
      </c>
      <c r="Q3120" s="173"/>
      <c r="R3120" s="167">
        <v>1000000.0</v>
      </c>
      <c r="S3120" s="173"/>
      <c r="T3120" s="173"/>
      <c r="U3120" s="173"/>
      <c r="V3120" s="202"/>
      <c r="W3120" s="171"/>
      <c r="X3120" s="171"/>
    </row>
    <row r="3121" ht="15.0" customHeight="1">
      <c r="A3121" s="127">
        <v>46044.0</v>
      </c>
      <c r="B3121" s="475" t="s">
        <v>10556</v>
      </c>
      <c r="C3121" s="56" t="s">
        <v>3083</v>
      </c>
      <c r="D3121" s="73" t="str">
        <f>IFERROR(VLOOKUP(C3121,Stock,3,FALSE),"")</f>
        <v>List Kaca Depan Code 04</v>
      </c>
      <c r="E3121" s="56">
        <v>1.0</v>
      </c>
      <c r="F3121" s="161">
        <v>275000.0</v>
      </c>
      <c r="G3121" s="162">
        <f t="shared" si="40"/>
        <v>275000</v>
      </c>
      <c r="H3121" s="194"/>
      <c r="I3121" s="161">
        <f t="shared" si="41"/>
        <v>275000</v>
      </c>
      <c r="J3121" s="164">
        <f t="shared" si="42"/>
        <v>275000</v>
      </c>
      <c r="K3121" s="56" t="s">
        <v>10557</v>
      </c>
      <c r="L3121" s="165" t="s">
        <v>10558</v>
      </c>
      <c r="M3121" s="73"/>
      <c r="N3121" s="171"/>
      <c r="O3121" s="169" t="s">
        <v>6923</v>
      </c>
      <c r="P3121" s="169" t="s">
        <v>3112</v>
      </c>
      <c r="Q3121" s="173"/>
      <c r="R3121" s="167">
        <v>275000.0</v>
      </c>
      <c r="S3121" s="173"/>
      <c r="T3121" s="173"/>
      <c r="U3121" s="173"/>
      <c r="V3121" s="202"/>
      <c r="W3121" s="171"/>
      <c r="X3121" s="171"/>
    </row>
    <row r="3122" ht="15.0" customHeight="1">
      <c r="A3122" s="127">
        <v>46045.0</v>
      </c>
      <c r="B3122" s="475" t="s">
        <v>10559</v>
      </c>
      <c r="C3122" s="56" t="s">
        <v>2954</v>
      </c>
      <c r="D3122" s="73" t="str">
        <f>IFERROR(VLOOKUP(C3122,Stock,3,FALSE),"")</f>
        <v>Transport</v>
      </c>
      <c r="E3122" s="56">
        <v>1.0</v>
      </c>
      <c r="F3122" s="161">
        <v>100000.0</v>
      </c>
      <c r="G3122" s="162">
        <f t="shared" si="40"/>
        <v>100000</v>
      </c>
      <c r="H3122" s="194"/>
      <c r="I3122" s="161">
        <f t="shared" si="41"/>
        <v>100000</v>
      </c>
      <c r="J3122" s="164">
        <f t="shared" si="42"/>
        <v>100000</v>
      </c>
      <c r="K3122" s="488" t="s">
        <v>10437</v>
      </c>
      <c r="L3122" s="165" t="s">
        <v>10438</v>
      </c>
      <c r="M3122" s="73"/>
      <c r="N3122" s="171"/>
      <c r="O3122" s="169" t="s">
        <v>6923</v>
      </c>
      <c r="P3122" s="168" t="s">
        <v>3112</v>
      </c>
      <c r="Q3122" s="173"/>
      <c r="R3122" s="167">
        <v>100000.0</v>
      </c>
      <c r="S3122" s="173"/>
      <c r="T3122" s="173"/>
      <c r="U3122" s="173"/>
      <c r="V3122" s="202"/>
      <c r="W3122" s="171"/>
      <c r="X3122" s="171"/>
    </row>
    <row r="3123" ht="15.0" customHeight="1">
      <c r="A3123" s="127">
        <v>46045.0</v>
      </c>
      <c r="B3123" s="475" t="s">
        <v>10560</v>
      </c>
      <c r="C3123" s="56" t="s">
        <v>3099</v>
      </c>
      <c r="D3123" s="73" t="str">
        <f>IFERROR(VLOOKUP(C3123,Stock,3,FALSE),"")</f>
        <v>Toyota Calya / Sigra 16-</v>
      </c>
      <c r="E3123" s="56">
        <v>1.0</v>
      </c>
      <c r="F3123" s="161">
        <v>1300000.0</v>
      </c>
      <c r="G3123" s="162">
        <f t="shared" si="40"/>
        <v>1300000</v>
      </c>
      <c r="H3123" s="194"/>
      <c r="I3123" s="161">
        <f t="shared" si="41"/>
        <v>1300000</v>
      </c>
      <c r="J3123" s="164">
        <f t="shared" si="42"/>
        <v>1300000</v>
      </c>
      <c r="K3123" s="56" t="s">
        <v>10561</v>
      </c>
      <c r="L3123" s="165" t="s">
        <v>10562</v>
      </c>
      <c r="M3123" s="73"/>
      <c r="N3123" s="171"/>
      <c r="O3123" s="169" t="s">
        <v>6923</v>
      </c>
      <c r="P3123" s="168" t="s">
        <v>3112</v>
      </c>
      <c r="Q3123" s="173"/>
      <c r="R3123" s="167">
        <v>1300000.0</v>
      </c>
      <c r="S3123" s="173"/>
      <c r="T3123" s="173"/>
      <c r="U3123" s="173"/>
      <c r="V3123" s="202"/>
      <c r="W3123" s="171"/>
      <c r="X3123" s="171"/>
    </row>
    <row r="3124" ht="15.0" customHeight="1">
      <c r="A3124" s="127">
        <v>46045.0</v>
      </c>
      <c r="B3124" s="475" t="s">
        <v>10563</v>
      </c>
      <c r="C3124" s="56" t="s">
        <v>3391</v>
      </c>
      <c r="D3124" s="73" t="str">
        <f>IFERROR(VLOOKUP(C3124,Stock,3,FALSE),"")</f>
        <v>Toyota Fortuner 05-15 1st Gen</v>
      </c>
      <c r="E3124" s="56">
        <v>1.0</v>
      </c>
      <c r="F3124" s="161">
        <v>1100000.0</v>
      </c>
      <c r="G3124" s="162">
        <f t="shared" si="40"/>
        <v>1100000</v>
      </c>
      <c r="H3124" s="194"/>
      <c r="I3124" s="161">
        <f t="shared" si="41"/>
        <v>1100000</v>
      </c>
      <c r="J3124" s="164">
        <f t="shared" si="42"/>
        <v>1100000</v>
      </c>
      <c r="K3124" s="56" t="s">
        <v>10564</v>
      </c>
      <c r="L3124" s="165" t="s">
        <v>10565</v>
      </c>
      <c r="M3124" s="73"/>
      <c r="N3124" s="171"/>
      <c r="O3124" s="169" t="s">
        <v>4961</v>
      </c>
      <c r="P3124" s="168" t="s">
        <v>3112</v>
      </c>
      <c r="Q3124" s="173"/>
      <c r="R3124" s="161">
        <v>1100000.0</v>
      </c>
      <c r="S3124" s="173"/>
      <c r="T3124" s="173"/>
      <c r="U3124" s="173"/>
      <c r="V3124" s="202"/>
      <c r="W3124" s="171"/>
      <c r="X3124" s="171"/>
    </row>
    <row r="3125" ht="15.0" customHeight="1">
      <c r="A3125" s="127">
        <v>46045.0</v>
      </c>
      <c r="B3125" s="475" t="s">
        <v>10563</v>
      </c>
      <c r="C3125" s="56" t="s">
        <v>2934</v>
      </c>
      <c r="D3125" s="73" t="str">
        <f>IFERROR(VLOOKUP(C3125,Stock,3,FALSE),"")</f>
        <v>Peti Kayu</v>
      </c>
      <c r="E3125" s="56">
        <v>1.0</v>
      </c>
      <c r="F3125" s="161">
        <v>200000.0</v>
      </c>
      <c r="G3125" s="162">
        <f t="shared" si="40"/>
        <v>200000</v>
      </c>
      <c r="H3125" s="194"/>
      <c r="I3125" s="161">
        <f t="shared" si="41"/>
        <v>200000</v>
      </c>
      <c r="J3125" s="164">
        <f t="shared" si="42"/>
        <v>200000</v>
      </c>
      <c r="K3125" s="56" t="s">
        <v>10564</v>
      </c>
      <c r="L3125" s="165" t="s">
        <v>10565</v>
      </c>
      <c r="M3125" s="73"/>
      <c r="N3125" s="171"/>
      <c r="O3125" s="169" t="s">
        <v>4961</v>
      </c>
      <c r="P3125" s="168" t="s">
        <v>3112</v>
      </c>
      <c r="Q3125" s="173"/>
      <c r="R3125" s="161">
        <v>200000.0</v>
      </c>
      <c r="S3125" s="173"/>
      <c r="T3125" s="173"/>
      <c r="U3125" s="173"/>
      <c r="V3125" s="202"/>
      <c r="W3125" s="171"/>
      <c r="X3125" s="171"/>
    </row>
    <row r="3126" ht="15.0" customHeight="1">
      <c r="A3126" s="127">
        <v>46045.0</v>
      </c>
      <c r="B3126" s="475" t="s">
        <v>10566</v>
      </c>
      <c r="C3126" s="56" t="s">
        <v>9315</v>
      </c>
      <c r="D3126" s="73" t="str">
        <f>IFERROR(VLOOKUP(C3126,Stock,3,FALSE),"")</f>
        <v>Suzuki Swift 04-11 1st Gen</v>
      </c>
      <c r="E3126" s="56">
        <v>1.0</v>
      </c>
      <c r="F3126" s="161">
        <v>800000.0</v>
      </c>
      <c r="G3126" s="162">
        <f t="shared" si="40"/>
        <v>800000</v>
      </c>
      <c r="H3126" s="194"/>
      <c r="I3126" s="161">
        <f t="shared" si="41"/>
        <v>800000</v>
      </c>
      <c r="J3126" s="164">
        <f t="shared" si="42"/>
        <v>800000</v>
      </c>
      <c r="K3126" s="56" t="s">
        <v>4286</v>
      </c>
      <c r="L3126" s="165" t="s">
        <v>4287</v>
      </c>
      <c r="M3126" s="73"/>
      <c r="N3126" s="171"/>
      <c r="O3126" s="169" t="s">
        <v>6923</v>
      </c>
      <c r="P3126" s="168" t="s">
        <v>3112</v>
      </c>
      <c r="Q3126" s="161">
        <v>800000.0</v>
      </c>
      <c r="R3126" s="173"/>
      <c r="S3126" s="173"/>
      <c r="T3126" s="173"/>
      <c r="U3126" s="173"/>
      <c r="V3126" s="202"/>
      <c r="W3126" s="171"/>
      <c r="X3126" s="171"/>
    </row>
    <row r="3127" ht="15.0" customHeight="1">
      <c r="A3127" s="127">
        <v>46045.0</v>
      </c>
      <c r="B3127" s="475" t="s">
        <v>10567</v>
      </c>
      <c r="C3127" s="56" t="s">
        <v>10568</v>
      </c>
      <c r="D3127" s="73" t="str">
        <f>IFERROR(VLOOKUP(C3127,Stock,3,FALSE),"")</f>
        <v>Honda Jazz 13-  3rd Gen (Honda)</v>
      </c>
      <c r="E3127" s="56">
        <v>1.0</v>
      </c>
      <c r="F3127" s="161">
        <v>2875000.0</v>
      </c>
      <c r="G3127" s="162">
        <f t="shared" si="40"/>
        <v>2875000</v>
      </c>
      <c r="H3127" s="194"/>
      <c r="I3127" s="161">
        <f t="shared" si="41"/>
        <v>2875000</v>
      </c>
      <c r="J3127" s="164">
        <f t="shared" si="42"/>
        <v>2875000</v>
      </c>
      <c r="K3127" s="56" t="s">
        <v>10569</v>
      </c>
      <c r="L3127" s="165" t="s">
        <v>10570</v>
      </c>
      <c r="M3127" s="73"/>
      <c r="N3127" s="171"/>
      <c r="O3127" s="169" t="s">
        <v>6923</v>
      </c>
      <c r="P3127" s="168" t="s">
        <v>3112</v>
      </c>
      <c r="Q3127" s="161">
        <v>2875000.0</v>
      </c>
      <c r="R3127" s="173"/>
      <c r="S3127" s="173"/>
      <c r="T3127" s="173"/>
      <c r="U3127" s="173"/>
      <c r="V3127" s="202"/>
      <c r="W3127" s="171"/>
      <c r="X3127" s="171"/>
    </row>
    <row r="3128" ht="15.0" customHeight="1">
      <c r="A3128" s="127">
        <v>46045.0</v>
      </c>
      <c r="B3128" s="475" t="s">
        <v>10571</v>
      </c>
      <c r="C3128" s="56" t="s">
        <v>2738</v>
      </c>
      <c r="D3128" s="73" t="str">
        <f>IFERROR(VLOOKUP(C3128,Stock,3,FALSE),"")</f>
        <v>Toyota Alphard 08-15 ANH20 2nd Gen (Hitam)</v>
      </c>
      <c r="E3128" s="56">
        <v>1.0</v>
      </c>
      <c r="F3128" s="161">
        <v>2644000.0</v>
      </c>
      <c r="G3128" s="162">
        <f t="shared" si="40"/>
        <v>2644000</v>
      </c>
      <c r="H3128" s="194"/>
      <c r="I3128" s="161">
        <f t="shared" si="41"/>
        <v>2644000</v>
      </c>
      <c r="J3128" s="164">
        <f t="shared" si="42"/>
        <v>2644000</v>
      </c>
      <c r="K3128" s="56" t="s">
        <v>10572</v>
      </c>
      <c r="L3128" s="165" t="s">
        <v>10573</v>
      </c>
      <c r="M3128" s="73"/>
      <c r="N3128" s="171"/>
      <c r="O3128" s="169" t="s">
        <v>6923</v>
      </c>
      <c r="P3128" s="168" t="s">
        <v>3112</v>
      </c>
      <c r="Q3128" s="173"/>
      <c r="R3128" s="161">
        <v>2644000.0</v>
      </c>
      <c r="S3128" s="173"/>
      <c r="T3128" s="173"/>
      <c r="U3128" s="173"/>
      <c r="V3128" s="202"/>
      <c r="W3128" s="171"/>
      <c r="X3128" s="171"/>
    </row>
    <row r="3129" ht="15.0" customHeight="1">
      <c r="A3129" s="127">
        <v>46045.0</v>
      </c>
      <c r="B3129" s="475" t="s">
        <v>10571</v>
      </c>
      <c r="C3129" s="56" t="s">
        <v>2934</v>
      </c>
      <c r="D3129" s="73" t="str">
        <f>IFERROR(VLOOKUP(C3129,Stock,3,FALSE),"")</f>
        <v>Peti Kayu</v>
      </c>
      <c r="E3129" s="56">
        <v>1.0</v>
      </c>
      <c r="F3129" s="161">
        <v>200000.0</v>
      </c>
      <c r="G3129" s="162">
        <f t="shared" si="40"/>
        <v>200000</v>
      </c>
      <c r="H3129" s="194"/>
      <c r="I3129" s="161">
        <f t="shared" si="41"/>
        <v>200000</v>
      </c>
      <c r="J3129" s="164">
        <f t="shared" si="42"/>
        <v>200000</v>
      </c>
      <c r="K3129" s="56" t="s">
        <v>10572</v>
      </c>
      <c r="L3129" s="165" t="s">
        <v>10573</v>
      </c>
      <c r="M3129" s="73"/>
      <c r="N3129" s="171"/>
      <c r="O3129" s="169" t="s">
        <v>6923</v>
      </c>
      <c r="P3129" s="168" t="s">
        <v>3112</v>
      </c>
      <c r="Q3129" s="173"/>
      <c r="R3129" s="161">
        <v>200000.0</v>
      </c>
      <c r="S3129" s="173"/>
      <c r="T3129" s="173"/>
      <c r="U3129" s="173"/>
      <c r="V3129" s="202"/>
      <c r="W3129" s="171"/>
      <c r="X3129" s="171"/>
    </row>
    <row r="3130" ht="15.0" customHeight="1">
      <c r="A3130" s="127">
        <v>46045.0</v>
      </c>
      <c r="B3130" s="475" t="s">
        <v>10571</v>
      </c>
      <c r="C3130" s="56" t="s">
        <v>2954</v>
      </c>
      <c r="D3130" s="73" t="str">
        <f>IFERROR(VLOOKUP(C3130,Stock,3,FALSE),"")</f>
        <v>Transport</v>
      </c>
      <c r="E3130" s="56">
        <v>1.0</v>
      </c>
      <c r="F3130" s="161">
        <v>100000.0</v>
      </c>
      <c r="G3130" s="162">
        <f t="shared" si="40"/>
        <v>100000</v>
      </c>
      <c r="H3130" s="194"/>
      <c r="I3130" s="161">
        <f t="shared" si="41"/>
        <v>100000</v>
      </c>
      <c r="J3130" s="164">
        <f t="shared" si="42"/>
        <v>100000</v>
      </c>
      <c r="K3130" s="56" t="s">
        <v>10572</v>
      </c>
      <c r="L3130" s="165" t="s">
        <v>10573</v>
      </c>
      <c r="M3130" s="73"/>
      <c r="N3130" s="171"/>
      <c r="O3130" s="169" t="s">
        <v>6923</v>
      </c>
      <c r="P3130" s="168" t="s">
        <v>3112</v>
      </c>
      <c r="Q3130" s="173"/>
      <c r="R3130" s="161">
        <v>100000.0</v>
      </c>
      <c r="S3130" s="173"/>
      <c r="T3130" s="173"/>
      <c r="U3130" s="173"/>
      <c r="V3130" s="202"/>
      <c r="W3130" s="171"/>
      <c r="X3130" s="171"/>
    </row>
    <row r="3131" ht="15.0" customHeight="1">
      <c r="A3131" s="127">
        <v>46046.0</v>
      </c>
      <c r="B3131" s="475" t="s">
        <v>10574</v>
      </c>
      <c r="C3131" s="56" t="s">
        <v>8623</v>
      </c>
      <c r="D3131" s="73" t="str">
        <f>IFERROR(VLOOKUP(C3131,Stock,3,FALSE),"")</f>
        <v>Daihatsu Gran Max / Luxio 07-</v>
      </c>
      <c r="E3131" s="56">
        <v>1.0</v>
      </c>
      <c r="F3131" s="161">
        <v>1000000.0</v>
      </c>
      <c r="G3131" s="162">
        <f t="shared" si="40"/>
        <v>1000000</v>
      </c>
      <c r="H3131" s="194"/>
      <c r="I3131" s="161">
        <f t="shared" si="41"/>
        <v>1000000</v>
      </c>
      <c r="J3131" s="164">
        <f t="shared" si="42"/>
        <v>1000000</v>
      </c>
      <c r="K3131" s="56" t="s">
        <v>10575</v>
      </c>
      <c r="L3131" s="165" t="s">
        <v>10576</v>
      </c>
      <c r="M3131" s="73"/>
      <c r="N3131" s="171"/>
      <c r="O3131" s="169" t="s">
        <v>6923</v>
      </c>
      <c r="P3131" s="168" t="s">
        <v>3112</v>
      </c>
      <c r="Q3131" s="161">
        <v>1000000.0</v>
      </c>
      <c r="R3131" s="173"/>
      <c r="S3131" s="173"/>
      <c r="T3131" s="173"/>
      <c r="U3131" s="173"/>
      <c r="V3131" s="202"/>
      <c r="W3131" s="171"/>
      <c r="X3131" s="171"/>
    </row>
    <row r="3132" ht="15.0" customHeight="1">
      <c r="A3132" s="127">
        <v>46046.0</v>
      </c>
      <c r="B3132" s="475" t="s">
        <v>10577</v>
      </c>
      <c r="C3132" s="56" t="s">
        <v>10578</v>
      </c>
      <c r="D3132" s="73" t="str">
        <f>IFERROR(VLOOKUP(C3132,Stock,3,FALSE),"")</f>
        <v>Mazda CX-3 15- </v>
      </c>
      <c r="E3132" s="56">
        <v>1.0</v>
      </c>
      <c r="F3132" s="161">
        <v>2700000.0</v>
      </c>
      <c r="G3132" s="162">
        <f t="shared" si="40"/>
        <v>2700000</v>
      </c>
      <c r="H3132" s="194"/>
      <c r="I3132" s="161">
        <f t="shared" si="41"/>
        <v>2700000</v>
      </c>
      <c r="J3132" s="164">
        <f t="shared" si="42"/>
        <v>2700000</v>
      </c>
      <c r="K3132" s="56" t="s">
        <v>10579</v>
      </c>
      <c r="L3132" s="165" t="s">
        <v>10580</v>
      </c>
      <c r="M3132" s="73"/>
      <c r="N3132" s="171"/>
      <c r="O3132" s="169" t="s">
        <v>6923</v>
      </c>
      <c r="P3132" s="168" t="s">
        <v>3112</v>
      </c>
      <c r="Q3132" s="173"/>
      <c r="R3132" s="167">
        <v>285000.0</v>
      </c>
      <c r="S3132" s="173"/>
      <c r="T3132" s="173"/>
      <c r="U3132" s="173"/>
      <c r="V3132" s="202"/>
      <c r="W3132" s="171"/>
      <c r="X3132" s="171"/>
    </row>
    <row r="3133" ht="15.0" customHeight="1">
      <c r="A3133" s="127">
        <v>46046.0</v>
      </c>
      <c r="B3133" s="475" t="s">
        <v>10577</v>
      </c>
      <c r="C3133" s="56" t="s">
        <v>2934</v>
      </c>
      <c r="D3133" s="73" t="str">
        <f>IFERROR(VLOOKUP(C3133,Stock,3,FALSE),"")</f>
        <v>Peti Kayu</v>
      </c>
      <c r="E3133" s="56">
        <v>1.0</v>
      </c>
      <c r="F3133" s="161">
        <v>150000.0</v>
      </c>
      <c r="G3133" s="162">
        <f t="shared" si="40"/>
        <v>150000</v>
      </c>
      <c r="H3133" s="194"/>
      <c r="I3133" s="161">
        <f t="shared" si="41"/>
        <v>150000</v>
      </c>
      <c r="J3133" s="164">
        <f t="shared" si="42"/>
        <v>150000</v>
      </c>
      <c r="K3133" s="56" t="s">
        <v>10579</v>
      </c>
      <c r="L3133" s="165" t="s">
        <v>10580</v>
      </c>
      <c r="M3133" s="73"/>
      <c r="N3133" s="171"/>
      <c r="O3133" s="169" t="s">
        <v>6923</v>
      </c>
      <c r="P3133" s="168" t="s">
        <v>3112</v>
      </c>
      <c r="Q3133" s="173"/>
      <c r="R3133" s="173"/>
      <c r="S3133" s="173"/>
      <c r="T3133" s="173"/>
      <c r="U3133" s="173"/>
      <c r="V3133" s="202"/>
      <c r="W3133" s="171"/>
      <c r="X3133" s="171"/>
    </row>
    <row r="3134" ht="15.0" customHeight="1">
      <c r="A3134" s="127">
        <v>46046.0</v>
      </c>
      <c r="B3134" s="475" t="s">
        <v>10581</v>
      </c>
      <c r="C3134" s="56" t="s">
        <v>3186</v>
      </c>
      <c r="D3134" s="73" t="str">
        <f>IFERROR(VLOOKUP(C3134,Stock,3,FALSE),"")</f>
        <v>Daihatsu Gran Max / Luxio 07-</v>
      </c>
      <c r="E3134" s="56">
        <v>1.0</v>
      </c>
      <c r="F3134" s="161">
        <v>1000000.0</v>
      </c>
      <c r="G3134" s="162">
        <f t="shared" si="40"/>
        <v>1000000</v>
      </c>
      <c r="H3134" s="194"/>
      <c r="I3134" s="161">
        <f t="shared" si="41"/>
        <v>1000000</v>
      </c>
      <c r="J3134" s="164">
        <f t="shared" si="42"/>
        <v>1000000</v>
      </c>
      <c r="K3134" s="56" t="s">
        <v>10582</v>
      </c>
      <c r="L3134" s="165" t="s">
        <v>10583</v>
      </c>
      <c r="M3134" s="73"/>
      <c r="N3134" s="171"/>
      <c r="O3134" s="169" t="s">
        <v>6923</v>
      </c>
      <c r="P3134" s="168" t="s">
        <v>3112</v>
      </c>
      <c r="Q3134" s="173"/>
      <c r="R3134" s="161">
        <v>1000000.0</v>
      </c>
      <c r="S3134" s="173"/>
      <c r="T3134" s="173"/>
      <c r="U3134" s="173"/>
      <c r="V3134" s="202"/>
      <c r="W3134" s="171"/>
      <c r="X3134" s="171"/>
    </row>
    <row r="3135" ht="15.0" customHeight="1">
      <c r="A3135" s="127">
        <v>46046.0</v>
      </c>
      <c r="B3135" s="475" t="s">
        <v>10581</v>
      </c>
      <c r="C3135" s="56" t="s">
        <v>2934</v>
      </c>
      <c r="D3135" s="73" t="str">
        <f>IFERROR(VLOOKUP(C3135,Stock,3,FALSE),"")</f>
        <v>Peti Kayu</v>
      </c>
      <c r="E3135" s="56">
        <v>1.0</v>
      </c>
      <c r="F3135" s="161">
        <v>200000.0</v>
      </c>
      <c r="G3135" s="162">
        <f t="shared" si="40"/>
        <v>200000</v>
      </c>
      <c r="H3135" s="194"/>
      <c r="I3135" s="161">
        <f t="shared" si="41"/>
        <v>200000</v>
      </c>
      <c r="J3135" s="164">
        <f t="shared" si="42"/>
        <v>200000</v>
      </c>
      <c r="K3135" s="56" t="s">
        <v>10582</v>
      </c>
      <c r="L3135" s="165" t="s">
        <v>10583</v>
      </c>
      <c r="M3135" s="73"/>
      <c r="N3135" s="171"/>
      <c r="O3135" s="169" t="s">
        <v>6923</v>
      </c>
      <c r="P3135" s="168" t="s">
        <v>3112</v>
      </c>
      <c r="Q3135" s="173"/>
      <c r="R3135" s="161">
        <v>200000.0</v>
      </c>
      <c r="S3135" s="173"/>
      <c r="T3135" s="173"/>
      <c r="U3135" s="173"/>
      <c r="V3135" s="202"/>
      <c r="W3135" s="171"/>
      <c r="X3135" s="171"/>
    </row>
    <row r="3136" ht="15.0" customHeight="1">
      <c r="A3136" s="127">
        <v>46046.0</v>
      </c>
      <c r="B3136" s="475" t="s">
        <v>10581</v>
      </c>
      <c r="C3136" s="56" t="s">
        <v>2954</v>
      </c>
      <c r="D3136" s="73" t="str">
        <f>IFERROR(VLOOKUP(C3136,Stock,3,FALSE),"")</f>
        <v>Transport</v>
      </c>
      <c r="E3136" s="56">
        <v>1.0</v>
      </c>
      <c r="F3136" s="161">
        <v>100000.0</v>
      </c>
      <c r="G3136" s="162">
        <f t="shared" si="40"/>
        <v>100000</v>
      </c>
      <c r="H3136" s="194"/>
      <c r="I3136" s="161">
        <f t="shared" si="41"/>
        <v>100000</v>
      </c>
      <c r="J3136" s="164">
        <f t="shared" si="42"/>
        <v>100000</v>
      </c>
      <c r="K3136" s="56" t="s">
        <v>10582</v>
      </c>
      <c r="L3136" s="165" t="s">
        <v>10583</v>
      </c>
      <c r="M3136" s="73"/>
      <c r="N3136" s="171"/>
      <c r="O3136" s="169" t="s">
        <v>6923</v>
      </c>
      <c r="P3136" s="168" t="s">
        <v>3112</v>
      </c>
      <c r="Q3136" s="173"/>
      <c r="R3136" s="161">
        <v>100000.0</v>
      </c>
      <c r="S3136" s="173"/>
      <c r="T3136" s="173"/>
      <c r="U3136" s="173"/>
      <c r="V3136" s="202"/>
      <c r="W3136" s="171"/>
      <c r="X3136" s="171"/>
    </row>
    <row r="3137" ht="15.0" customHeight="1">
      <c r="A3137" s="127">
        <v>46046.0</v>
      </c>
      <c r="B3137" s="475" t="s">
        <v>10584</v>
      </c>
      <c r="C3137" s="56" t="s">
        <v>2732</v>
      </c>
      <c r="D3137" s="73" t="str">
        <f>IFERROR(VLOOKUP(C3137,Stock,3,FALSE),"")</f>
        <v>Honda Jazz 13- 3rd Gen</v>
      </c>
      <c r="E3137" s="56">
        <v>1.0</v>
      </c>
      <c r="F3137" s="161">
        <v>1457000.0</v>
      </c>
      <c r="G3137" s="162">
        <f t="shared" si="40"/>
        <v>1457000</v>
      </c>
      <c r="H3137" s="194"/>
      <c r="I3137" s="161">
        <f t="shared" si="41"/>
        <v>1457000</v>
      </c>
      <c r="J3137" s="164">
        <f t="shared" si="42"/>
        <v>1457000</v>
      </c>
      <c r="K3137" s="56" t="s">
        <v>10585</v>
      </c>
      <c r="L3137" s="165" t="s">
        <v>10586</v>
      </c>
      <c r="M3137" s="73"/>
      <c r="N3137" s="171"/>
      <c r="O3137" s="169" t="s">
        <v>6923</v>
      </c>
      <c r="P3137" s="168" t="s">
        <v>3112</v>
      </c>
      <c r="Q3137" s="173"/>
      <c r="R3137" s="161">
        <v>1457000.0</v>
      </c>
      <c r="S3137" s="173"/>
      <c r="T3137" s="173"/>
      <c r="U3137" s="173"/>
      <c r="V3137" s="202"/>
      <c r="W3137" s="171"/>
      <c r="X3137" s="171"/>
    </row>
    <row r="3138" ht="15.0" customHeight="1">
      <c r="A3138" s="127">
        <v>46046.0</v>
      </c>
      <c r="B3138" s="475" t="s">
        <v>10587</v>
      </c>
      <c r="C3138" s="56" t="s">
        <v>5528</v>
      </c>
      <c r="D3138" s="73" t="str">
        <f>IFERROR(VLOOKUP(C3138,Stock,3,FALSE),"")</f>
        <v>Toyota Innova 15-22 2nd Gen (Toyota)</v>
      </c>
      <c r="E3138" s="56">
        <v>1.0</v>
      </c>
      <c r="F3138" s="161">
        <v>2988000.0</v>
      </c>
      <c r="G3138" s="162">
        <f t="shared" si="40"/>
        <v>2988000</v>
      </c>
      <c r="H3138" s="194"/>
      <c r="I3138" s="161">
        <f t="shared" si="41"/>
        <v>2988000</v>
      </c>
      <c r="J3138" s="164">
        <f t="shared" si="42"/>
        <v>2988000</v>
      </c>
      <c r="K3138" s="56" t="s">
        <v>10534</v>
      </c>
      <c r="L3138" s="165" t="s">
        <v>7065</v>
      </c>
      <c r="M3138" s="73"/>
      <c r="N3138" s="171"/>
      <c r="O3138" s="169" t="s">
        <v>6923</v>
      </c>
      <c r="P3138" s="168" t="s">
        <v>3112</v>
      </c>
      <c r="Q3138" s="161">
        <v>2988000.0</v>
      </c>
      <c r="R3138" s="173"/>
      <c r="S3138" s="173"/>
      <c r="T3138" s="173"/>
      <c r="U3138" s="173"/>
      <c r="V3138" s="202"/>
      <c r="W3138" s="171"/>
      <c r="X3138" s="171"/>
    </row>
    <row r="3139" ht="15.0" customHeight="1">
      <c r="A3139" s="127">
        <v>46048.0</v>
      </c>
      <c r="B3139" s="475" t="s">
        <v>10588</v>
      </c>
      <c r="C3139" s="56" t="s">
        <v>10430</v>
      </c>
      <c r="D3139" s="73" t="str">
        <f>IFERROR(VLOOKUP(C3139,Stock,3,FALSE),"")</f>
        <v>Honda Brio 10- / Mobilio 11-</v>
      </c>
      <c r="E3139" s="56">
        <v>1.0</v>
      </c>
      <c r="F3139" s="161">
        <v>1300000.0</v>
      </c>
      <c r="G3139" s="162">
        <f t="shared" si="40"/>
        <v>1300000</v>
      </c>
      <c r="H3139" s="194"/>
      <c r="I3139" s="161">
        <f t="shared" si="41"/>
        <v>1300000</v>
      </c>
      <c r="J3139" s="164">
        <f t="shared" si="42"/>
        <v>1300000</v>
      </c>
      <c r="K3139" s="56" t="s">
        <v>10589</v>
      </c>
      <c r="L3139" s="165" t="s">
        <v>10590</v>
      </c>
      <c r="M3139" s="73"/>
      <c r="N3139" s="171"/>
      <c r="O3139" s="169" t="s">
        <v>6923</v>
      </c>
      <c r="P3139" s="168" t="s">
        <v>3112</v>
      </c>
      <c r="Q3139" s="161">
        <v>1250000.0</v>
      </c>
      <c r="R3139" s="167">
        <v>50000.0</v>
      </c>
      <c r="S3139" s="173"/>
      <c r="T3139" s="173"/>
      <c r="U3139" s="173"/>
      <c r="V3139" s="202"/>
      <c r="W3139" s="171"/>
      <c r="X3139" s="171"/>
    </row>
    <row r="3140" ht="15.0" customHeight="1">
      <c r="A3140" s="127">
        <v>46048.0</v>
      </c>
      <c r="B3140" s="475" t="s">
        <v>10588</v>
      </c>
      <c r="C3140" s="56" t="s">
        <v>10233</v>
      </c>
      <c r="D3140" s="73" t="str">
        <f>IFERROR(VLOOKUP(C3140,Stock,3,FALSE),"")</f>
        <v>Automotive Film Standard - Black 60%       </v>
      </c>
      <c r="E3140" s="56">
        <v>1.0</v>
      </c>
      <c r="F3140" s="161">
        <v>350000.0</v>
      </c>
      <c r="G3140" s="162">
        <f t="shared" si="40"/>
        <v>350000</v>
      </c>
      <c r="H3140" s="194"/>
      <c r="I3140" s="161">
        <f t="shared" si="41"/>
        <v>350000</v>
      </c>
      <c r="J3140" s="164">
        <f t="shared" si="42"/>
        <v>350000</v>
      </c>
      <c r="K3140" s="56" t="s">
        <v>10589</v>
      </c>
      <c r="L3140" s="165" t="s">
        <v>10590</v>
      </c>
      <c r="M3140" s="73"/>
      <c r="N3140" s="171"/>
      <c r="O3140" s="169" t="s">
        <v>6923</v>
      </c>
      <c r="P3140" s="168" t="s">
        <v>3112</v>
      </c>
      <c r="Q3140" s="161">
        <v>350000.0</v>
      </c>
      <c r="R3140" s="173"/>
      <c r="S3140" s="173"/>
      <c r="T3140" s="173"/>
      <c r="U3140" s="173"/>
      <c r="V3140" s="202"/>
      <c r="W3140" s="171"/>
      <c r="X3140" s="171"/>
    </row>
    <row r="3141" ht="15.0" customHeight="1">
      <c r="A3141" s="127">
        <v>46048.0</v>
      </c>
      <c r="B3141" s="475" t="s">
        <v>10588</v>
      </c>
      <c r="C3141" s="56" t="s">
        <v>2954</v>
      </c>
      <c r="D3141" s="73" t="str">
        <f>IFERROR(VLOOKUP(C3141,Stock,3,FALSE),"")</f>
        <v>Transport</v>
      </c>
      <c r="E3141" s="56">
        <v>1.0</v>
      </c>
      <c r="F3141" s="161">
        <v>30000.0</v>
      </c>
      <c r="G3141" s="162">
        <f t="shared" si="40"/>
        <v>30000</v>
      </c>
      <c r="H3141" s="194"/>
      <c r="I3141" s="161">
        <f t="shared" si="41"/>
        <v>30000</v>
      </c>
      <c r="J3141" s="164">
        <f t="shared" si="42"/>
        <v>30000</v>
      </c>
      <c r="K3141" s="56" t="s">
        <v>10589</v>
      </c>
      <c r="L3141" s="165" t="s">
        <v>10590</v>
      </c>
      <c r="M3141" s="73"/>
      <c r="N3141" s="171"/>
      <c r="O3141" s="169" t="s">
        <v>6923</v>
      </c>
      <c r="P3141" s="168" t="s">
        <v>3112</v>
      </c>
      <c r="Q3141" s="161">
        <v>30000.0</v>
      </c>
      <c r="R3141" s="173"/>
      <c r="S3141" s="173"/>
      <c r="T3141" s="173"/>
      <c r="U3141" s="173"/>
      <c r="V3141" s="202"/>
      <c r="W3141" s="171"/>
      <c r="X3141" s="171"/>
    </row>
    <row r="3142" ht="15.0" customHeight="1">
      <c r="A3142" s="127">
        <v>46048.0</v>
      </c>
      <c r="B3142" s="475" t="s">
        <v>10591</v>
      </c>
      <c r="C3142" s="56" t="s">
        <v>2714</v>
      </c>
      <c r="D3142" s="73" t="str">
        <f>IFERROR(VLOOKUP(C3142,Stock,3,FALSE),"")</f>
        <v>Mitsubishi Canter FE700 01- (PS110,125)</v>
      </c>
      <c r="E3142" s="56">
        <v>1.0</v>
      </c>
      <c r="F3142" s="161">
        <v>1194000.0</v>
      </c>
      <c r="G3142" s="162">
        <f t="shared" si="40"/>
        <v>1194000</v>
      </c>
      <c r="H3142" s="194"/>
      <c r="I3142" s="161">
        <f t="shared" si="41"/>
        <v>1194000</v>
      </c>
      <c r="J3142" s="164">
        <f t="shared" si="42"/>
        <v>1194000</v>
      </c>
      <c r="K3142" s="56" t="s">
        <v>10592</v>
      </c>
      <c r="L3142" s="165" t="s">
        <v>10593</v>
      </c>
      <c r="M3142" s="73"/>
      <c r="N3142" s="171"/>
      <c r="O3142" s="169" t="s">
        <v>6923</v>
      </c>
      <c r="P3142" s="168" t="s">
        <v>3112</v>
      </c>
      <c r="Q3142" s="161">
        <v>1194000.0</v>
      </c>
      <c r="R3142" s="173"/>
      <c r="S3142" s="173"/>
      <c r="T3142" s="173"/>
      <c r="U3142" s="173"/>
      <c r="V3142" s="202"/>
      <c r="W3142" s="171"/>
      <c r="X3142" s="171"/>
    </row>
    <row r="3143" ht="15.0" customHeight="1">
      <c r="A3143" s="127">
        <v>46048.0</v>
      </c>
      <c r="B3143" s="475" t="s">
        <v>10594</v>
      </c>
      <c r="C3143" s="56" t="s">
        <v>2825</v>
      </c>
      <c r="D3143" s="73" t="str">
        <f>IFERROR(VLOOKUP(C3143,Stock,3,FALSE),"")</f>
        <v>Toyota Avanza / Xenia 21- 4th Gen</v>
      </c>
      <c r="E3143" s="56">
        <v>1.0</v>
      </c>
      <c r="F3143" s="161">
        <v>970000.0</v>
      </c>
      <c r="G3143" s="162">
        <f t="shared" si="40"/>
        <v>970000</v>
      </c>
      <c r="H3143" s="194"/>
      <c r="I3143" s="161">
        <f t="shared" si="41"/>
        <v>970000</v>
      </c>
      <c r="J3143" s="164">
        <f t="shared" si="42"/>
        <v>970000</v>
      </c>
      <c r="K3143" s="56" t="s">
        <v>10595</v>
      </c>
      <c r="L3143" s="165" t="s">
        <v>10596</v>
      </c>
      <c r="M3143" s="73"/>
      <c r="N3143" s="171"/>
      <c r="O3143" s="169" t="s">
        <v>6923</v>
      </c>
      <c r="P3143" s="168" t="s">
        <v>3112</v>
      </c>
      <c r="Q3143" s="173"/>
      <c r="R3143" s="161">
        <v>970000.0</v>
      </c>
      <c r="S3143" s="173"/>
      <c r="T3143" s="173"/>
      <c r="U3143" s="173"/>
      <c r="V3143" s="202"/>
      <c r="W3143" s="171"/>
      <c r="X3143" s="171"/>
    </row>
    <row r="3144" ht="15.0" customHeight="1">
      <c r="A3144" s="127">
        <v>46048.0</v>
      </c>
      <c r="B3144" s="475" t="s">
        <v>10594</v>
      </c>
      <c r="C3144" s="56" t="s">
        <v>2954</v>
      </c>
      <c r="D3144" s="73" t="str">
        <f>IFERROR(VLOOKUP(C3144,Stock,3,FALSE),"")</f>
        <v>Transport</v>
      </c>
      <c r="E3144" s="56">
        <v>1.0</v>
      </c>
      <c r="F3144" s="161">
        <v>30000.0</v>
      </c>
      <c r="G3144" s="162">
        <f t="shared" si="40"/>
        <v>30000</v>
      </c>
      <c r="H3144" s="194"/>
      <c r="I3144" s="161">
        <f t="shared" si="41"/>
        <v>30000</v>
      </c>
      <c r="J3144" s="164">
        <f t="shared" si="42"/>
        <v>30000</v>
      </c>
      <c r="K3144" s="56" t="s">
        <v>10595</v>
      </c>
      <c r="L3144" s="165" t="s">
        <v>10596</v>
      </c>
      <c r="M3144" s="73"/>
      <c r="N3144" s="171"/>
      <c r="O3144" s="169" t="s">
        <v>6923</v>
      </c>
      <c r="P3144" s="168" t="s">
        <v>3112</v>
      </c>
      <c r="Q3144" s="173"/>
      <c r="R3144" s="161">
        <v>30000.0</v>
      </c>
      <c r="S3144" s="173"/>
      <c r="T3144" s="173"/>
      <c r="U3144" s="173"/>
      <c r="V3144" s="202"/>
      <c r="W3144" s="171"/>
      <c r="X3144" s="171"/>
    </row>
    <row r="3145" ht="15.0" customHeight="1">
      <c r="A3145" s="127">
        <v>46048.0</v>
      </c>
      <c r="B3145" s="475" t="s">
        <v>10597</v>
      </c>
      <c r="C3145" s="56" t="s">
        <v>2546</v>
      </c>
      <c r="D3145" s="73" t="str">
        <f>IFERROR(VLOOKUP(C3145,Stock,3,FALSE),"")</f>
        <v>Wuling Confero (Tanpa Spionnya)</v>
      </c>
      <c r="E3145" s="56">
        <v>1.0</v>
      </c>
      <c r="F3145" s="161">
        <v>1240000.0</v>
      </c>
      <c r="G3145" s="162">
        <f t="shared" si="40"/>
        <v>1240000</v>
      </c>
      <c r="H3145" s="194"/>
      <c r="I3145" s="161">
        <f t="shared" si="41"/>
        <v>1240000</v>
      </c>
      <c r="J3145" s="164">
        <f t="shared" si="42"/>
        <v>1240000</v>
      </c>
      <c r="K3145" s="56" t="s">
        <v>7691</v>
      </c>
      <c r="L3145" s="165" t="s">
        <v>9794</v>
      </c>
      <c r="M3145" s="73"/>
      <c r="N3145" s="171"/>
      <c r="O3145" s="169" t="s">
        <v>6923</v>
      </c>
      <c r="P3145" s="168" t="s">
        <v>3112</v>
      </c>
      <c r="Q3145" s="173"/>
      <c r="R3145" s="161">
        <v>1240000.0</v>
      </c>
      <c r="S3145" s="173"/>
      <c r="T3145" s="173"/>
      <c r="U3145" s="173"/>
      <c r="V3145" s="202"/>
      <c r="W3145" s="171"/>
      <c r="X3145" s="171"/>
    </row>
    <row r="3146" ht="15.0" customHeight="1">
      <c r="A3146" s="127">
        <v>46048.0</v>
      </c>
      <c r="B3146" s="475" t="s">
        <v>10598</v>
      </c>
      <c r="C3146" s="56" t="s">
        <v>2663</v>
      </c>
      <c r="D3146" s="73" t="str">
        <f>IFERROR(VLOOKUP(C3146,Stock,3,FALSE),"")</f>
        <v>Chevrolet Captiva 06-18 1st gen C100</v>
      </c>
      <c r="E3146" s="56">
        <v>1.0</v>
      </c>
      <c r="F3146" s="161">
        <v>2120000.0</v>
      </c>
      <c r="G3146" s="162">
        <f t="shared" si="40"/>
        <v>2120000</v>
      </c>
      <c r="H3146" s="194"/>
      <c r="I3146" s="161">
        <f t="shared" si="41"/>
        <v>2120000</v>
      </c>
      <c r="J3146" s="164">
        <f t="shared" si="42"/>
        <v>2120000</v>
      </c>
      <c r="K3146" s="307" t="s">
        <v>10599</v>
      </c>
      <c r="L3146" s="73"/>
      <c r="M3146" s="73"/>
      <c r="N3146" s="171"/>
      <c r="O3146" s="169" t="s">
        <v>6923</v>
      </c>
      <c r="P3146" s="169" t="s">
        <v>5077</v>
      </c>
      <c r="Q3146" s="173"/>
      <c r="R3146" s="173"/>
      <c r="S3146" s="161">
        <v>2120000.0</v>
      </c>
      <c r="T3146" s="173"/>
      <c r="U3146" s="173"/>
      <c r="V3146" s="202"/>
      <c r="W3146" s="171"/>
      <c r="X3146" s="171"/>
    </row>
    <row r="3147" ht="15.0" customHeight="1">
      <c r="A3147" s="127">
        <v>46049.0</v>
      </c>
      <c r="B3147" s="475" t="s">
        <v>10600</v>
      </c>
      <c r="C3147" s="56" t="s">
        <v>4005</v>
      </c>
      <c r="D3147" s="73" t="str">
        <f>IFERROR(VLOOKUP(C3147,Stock,3,FALSE),"")</f>
        <v>Toyota Fortuner 15- 2nd Gen</v>
      </c>
      <c r="E3147" s="56">
        <v>1.0</v>
      </c>
      <c r="F3147" s="161">
        <v>1750000.0</v>
      </c>
      <c r="G3147" s="162">
        <f t="shared" si="40"/>
        <v>1750000</v>
      </c>
      <c r="H3147" s="194"/>
      <c r="I3147" s="161">
        <f t="shared" si="41"/>
        <v>1750000</v>
      </c>
      <c r="J3147" s="164">
        <f t="shared" si="42"/>
        <v>1750000</v>
      </c>
      <c r="K3147" s="56" t="s">
        <v>7083</v>
      </c>
      <c r="L3147" s="56">
        <v>8.5707777709E10</v>
      </c>
      <c r="M3147" s="73"/>
      <c r="N3147" s="171"/>
      <c r="O3147" s="169" t="s">
        <v>6923</v>
      </c>
      <c r="P3147" s="168" t="s">
        <v>3112</v>
      </c>
      <c r="Q3147" s="167">
        <v>1750000.0</v>
      </c>
      <c r="R3147" s="173"/>
      <c r="S3147" s="173"/>
      <c r="T3147" s="173"/>
      <c r="U3147" s="173"/>
      <c r="V3147" s="202"/>
      <c r="W3147" s="171"/>
      <c r="X3147" s="171"/>
    </row>
    <row r="3148" ht="15.0" customHeight="1">
      <c r="A3148" s="127">
        <v>46049.0</v>
      </c>
      <c r="B3148" s="475" t="s">
        <v>10601</v>
      </c>
      <c r="C3148" s="56" t="s">
        <v>3045</v>
      </c>
      <c r="D3148" s="73" t="str">
        <f>IFERROR(VLOOKUP(C3148,Stock,3,FALSE),"")</f>
        <v>Pemasangan Kaca Mobil Depan</v>
      </c>
      <c r="E3148" s="56">
        <v>1.0</v>
      </c>
      <c r="F3148" s="161">
        <v>600000.0</v>
      </c>
      <c r="G3148" s="162">
        <f t="shared" si="40"/>
        <v>600000</v>
      </c>
      <c r="H3148" s="194"/>
      <c r="I3148" s="161">
        <f t="shared" si="41"/>
        <v>600000</v>
      </c>
      <c r="J3148" s="164">
        <f t="shared" si="42"/>
        <v>600000</v>
      </c>
      <c r="K3148" s="487" t="s">
        <v>5767</v>
      </c>
      <c r="L3148" s="165" t="s">
        <v>5768</v>
      </c>
      <c r="M3148" s="73"/>
      <c r="N3148" s="171"/>
      <c r="O3148" s="169" t="s">
        <v>6923</v>
      </c>
      <c r="P3148" s="168" t="s">
        <v>3112</v>
      </c>
      <c r="Q3148" s="173"/>
      <c r="R3148" s="161">
        <v>600000.0</v>
      </c>
      <c r="S3148" s="173"/>
      <c r="T3148" s="173"/>
      <c r="U3148" s="173"/>
      <c r="V3148" s="202"/>
      <c r="W3148" s="171"/>
      <c r="X3148" s="171"/>
    </row>
    <row r="3149" ht="15.0" customHeight="1">
      <c r="A3149" s="127">
        <v>46049.0</v>
      </c>
      <c r="B3149" s="475" t="s">
        <v>10602</v>
      </c>
      <c r="C3149" s="56" t="s">
        <v>10603</v>
      </c>
      <c r="D3149" s="73" t="str">
        <f>IFERROR(VLOOKUP(C3149,Stock,3,FALSE),"")</f>
        <v>Honda CR-V 12-16 4th Gen [Lengkung]</v>
      </c>
      <c r="E3149" s="56">
        <v>1.0</v>
      </c>
      <c r="F3149" s="161">
        <v>1296000.0</v>
      </c>
      <c r="G3149" s="162">
        <f t="shared" si="40"/>
        <v>1296000</v>
      </c>
      <c r="H3149" s="194"/>
      <c r="I3149" s="161">
        <f t="shared" si="41"/>
        <v>1296000</v>
      </c>
      <c r="J3149" s="164">
        <f t="shared" si="42"/>
        <v>1296000</v>
      </c>
      <c r="K3149" s="56" t="s">
        <v>10604</v>
      </c>
      <c r="L3149" s="165" t="s">
        <v>10605</v>
      </c>
      <c r="M3149" s="73"/>
      <c r="N3149" s="171"/>
      <c r="O3149" s="169" t="s">
        <v>9699</v>
      </c>
      <c r="P3149" s="168" t="s">
        <v>3112</v>
      </c>
      <c r="Q3149" s="173"/>
      <c r="R3149" s="161">
        <v>1496000.0</v>
      </c>
      <c r="S3149" s="173"/>
      <c r="T3149" s="173"/>
      <c r="U3149" s="173"/>
      <c r="V3149" s="202"/>
      <c r="W3149" s="171"/>
      <c r="X3149" s="171"/>
    </row>
    <row r="3150" ht="15.0" customHeight="1">
      <c r="A3150" s="127">
        <v>46049.0</v>
      </c>
      <c r="B3150" s="475" t="s">
        <v>10602</v>
      </c>
      <c r="C3150" s="56" t="s">
        <v>2954</v>
      </c>
      <c r="D3150" s="73" t="str">
        <f>IFERROR(VLOOKUP(C3150,Stock,3,FALSE),"")</f>
        <v>Transport</v>
      </c>
      <c r="E3150" s="56">
        <v>1.0</v>
      </c>
      <c r="F3150" s="161">
        <v>90000.0</v>
      </c>
      <c r="G3150" s="162">
        <f t="shared" si="40"/>
        <v>90000</v>
      </c>
      <c r="H3150" s="194"/>
      <c r="I3150" s="161">
        <f t="shared" si="41"/>
        <v>90000</v>
      </c>
      <c r="J3150" s="164">
        <f t="shared" si="42"/>
        <v>90000</v>
      </c>
      <c r="K3150" s="56" t="s">
        <v>10604</v>
      </c>
      <c r="L3150" s="165" t="s">
        <v>10605</v>
      </c>
      <c r="M3150" s="73"/>
      <c r="N3150" s="171"/>
      <c r="O3150" s="169" t="s">
        <v>9699</v>
      </c>
      <c r="P3150" s="168" t="s">
        <v>3112</v>
      </c>
      <c r="Q3150" s="173"/>
      <c r="R3150" s="161">
        <v>90000.0</v>
      </c>
      <c r="S3150" s="173"/>
      <c r="T3150" s="173"/>
      <c r="U3150" s="173"/>
      <c r="V3150" s="202"/>
      <c r="W3150" s="171"/>
      <c r="X3150" s="171"/>
    </row>
    <row r="3151" ht="15.0" customHeight="1">
      <c r="A3151" s="127">
        <v>46049.0</v>
      </c>
      <c r="B3151" s="475" t="s">
        <v>10606</v>
      </c>
      <c r="C3151" s="56" t="s">
        <v>3186</v>
      </c>
      <c r="D3151" s="73" t="str">
        <f>IFERROR(VLOOKUP(C3151,Stock,3,FALSE),"")</f>
        <v>Daihatsu Gran Max / Luxio 07-</v>
      </c>
      <c r="E3151" s="56">
        <v>1.0</v>
      </c>
      <c r="F3151" s="161">
        <v>1000000.0</v>
      </c>
      <c r="G3151" s="162">
        <f t="shared" si="40"/>
        <v>1000000</v>
      </c>
      <c r="H3151" s="194"/>
      <c r="I3151" s="161">
        <f t="shared" si="41"/>
        <v>1000000</v>
      </c>
      <c r="J3151" s="164">
        <f t="shared" si="42"/>
        <v>1000000</v>
      </c>
      <c r="K3151" s="56" t="s">
        <v>10607</v>
      </c>
      <c r="L3151" s="165" t="s">
        <v>10608</v>
      </c>
      <c r="M3151" s="73"/>
      <c r="N3151" s="171"/>
      <c r="O3151" s="169" t="s">
        <v>6923</v>
      </c>
      <c r="P3151" s="168" t="s">
        <v>3112</v>
      </c>
      <c r="Q3151" s="173"/>
      <c r="R3151" s="161">
        <v>1000000.0</v>
      </c>
      <c r="S3151" s="173"/>
      <c r="T3151" s="173"/>
      <c r="U3151" s="173"/>
      <c r="V3151" s="202"/>
      <c r="W3151" s="171"/>
      <c r="X3151" s="171"/>
    </row>
    <row r="3152" ht="15.0" customHeight="1">
      <c r="A3152" s="127">
        <v>46049.0</v>
      </c>
      <c r="B3152" s="475" t="s">
        <v>10606</v>
      </c>
      <c r="C3152" s="56" t="s">
        <v>2954</v>
      </c>
      <c r="D3152" s="73" t="str">
        <f>IFERROR(VLOOKUP(C3152,Stock,3,FALSE),"")</f>
        <v>Transport</v>
      </c>
      <c r="E3152" s="56">
        <v>1.0</v>
      </c>
      <c r="F3152" s="161">
        <v>150000.0</v>
      </c>
      <c r="G3152" s="162">
        <f t="shared" si="40"/>
        <v>150000</v>
      </c>
      <c r="H3152" s="194"/>
      <c r="I3152" s="161">
        <f t="shared" si="41"/>
        <v>150000</v>
      </c>
      <c r="J3152" s="164">
        <f t="shared" si="42"/>
        <v>150000</v>
      </c>
      <c r="K3152" s="56" t="s">
        <v>10607</v>
      </c>
      <c r="L3152" s="165" t="s">
        <v>10608</v>
      </c>
      <c r="M3152" s="73"/>
      <c r="N3152" s="171"/>
      <c r="O3152" s="169" t="s">
        <v>6923</v>
      </c>
      <c r="P3152" s="168" t="s">
        <v>3112</v>
      </c>
      <c r="Q3152" s="173"/>
      <c r="R3152" s="161">
        <v>150000.0</v>
      </c>
      <c r="S3152" s="173"/>
      <c r="T3152" s="173"/>
      <c r="U3152" s="173"/>
      <c r="V3152" s="202"/>
      <c r="W3152" s="171"/>
      <c r="X3152" s="171"/>
    </row>
    <row r="3153" ht="15.0" customHeight="1">
      <c r="A3153" s="127">
        <v>46050.0</v>
      </c>
      <c r="B3153" s="475" t="s">
        <v>10609</v>
      </c>
      <c r="C3153" s="56" t="s">
        <v>2718</v>
      </c>
      <c r="D3153" s="73" t="str">
        <f>IFERROR(VLOOKUP(C3153,Stock,3,FALSE),"")</f>
        <v>Isuzu Traga</v>
      </c>
      <c r="E3153" s="56">
        <v>1.0</v>
      </c>
      <c r="F3153" s="161">
        <v>1220000.0</v>
      </c>
      <c r="G3153" s="162">
        <f t="shared" si="40"/>
        <v>1220000</v>
      </c>
      <c r="H3153" s="194"/>
      <c r="I3153" s="161">
        <f t="shared" si="41"/>
        <v>1220000</v>
      </c>
      <c r="J3153" s="164">
        <f t="shared" si="42"/>
        <v>1220000</v>
      </c>
      <c r="K3153" s="56" t="s">
        <v>10610</v>
      </c>
      <c r="L3153" s="165" t="s">
        <v>10611</v>
      </c>
      <c r="M3153" s="73"/>
      <c r="N3153" s="171"/>
      <c r="O3153" s="169" t="s">
        <v>6923</v>
      </c>
      <c r="P3153" s="168" t="s">
        <v>3112</v>
      </c>
      <c r="Q3153" s="173"/>
      <c r="R3153" s="167">
        <v>1220000.0</v>
      </c>
      <c r="S3153" s="173"/>
      <c r="T3153" s="173"/>
      <c r="U3153" s="173"/>
      <c r="V3153" s="202"/>
      <c r="W3153" s="171"/>
      <c r="X3153" s="171"/>
    </row>
    <row r="3154" ht="15.0" customHeight="1">
      <c r="A3154" s="127">
        <v>46051.0</v>
      </c>
      <c r="B3154" s="475" t="s">
        <v>10612</v>
      </c>
      <c r="C3154" s="56" t="s">
        <v>2668</v>
      </c>
      <c r="D3154" s="73" t="str">
        <f>IFERROR(VLOOKUP(C3154,Stock,3,FALSE),"")</f>
        <v>Hyundai Stargazer 22-</v>
      </c>
      <c r="E3154" s="56">
        <v>1.0</v>
      </c>
      <c r="F3154" s="161">
        <v>2400000.0</v>
      </c>
      <c r="G3154" s="162">
        <f t="shared" si="40"/>
        <v>2400000</v>
      </c>
      <c r="H3154" s="194"/>
      <c r="I3154" s="161">
        <f t="shared" si="41"/>
        <v>2400000</v>
      </c>
      <c r="J3154" s="164">
        <f t="shared" si="42"/>
        <v>2400000</v>
      </c>
      <c r="K3154" s="56" t="s">
        <v>10613</v>
      </c>
      <c r="L3154" s="165" t="s">
        <v>10614</v>
      </c>
      <c r="M3154" s="73"/>
      <c r="N3154" s="171"/>
      <c r="O3154" s="329" t="s">
        <v>3037</v>
      </c>
      <c r="P3154" s="168" t="s">
        <v>3112</v>
      </c>
      <c r="Q3154" s="173"/>
      <c r="R3154" s="161">
        <v>2400000.0</v>
      </c>
      <c r="S3154" s="173"/>
      <c r="T3154" s="173"/>
      <c r="U3154" s="173"/>
      <c r="V3154" s="202"/>
      <c r="W3154" s="171"/>
      <c r="X3154" s="171"/>
    </row>
    <row r="3155" ht="15.0" customHeight="1">
      <c r="A3155" s="127">
        <v>46051.0</v>
      </c>
      <c r="B3155" s="475" t="s">
        <v>10612</v>
      </c>
      <c r="C3155" s="56" t="s">
        <v>2954</v>
      </c>
      <c r="D3155" s="73" t="str">
        <f>IFERROR(VLOOKUP(C3155,Stock,3,FALSE),"")</f>
        <v>Transport</v>
      </c>
      <c r="E3155" s="56">
        <v>1.0</v>
      </c>
      <c r="F3155" s="161">
        <v>100000.0</v>
      </c>
      <c r="G3155" s="162">
        <f t="shared" si="40"/>
        <v>100000</v>
      </c>
      <c r="H3155" s="194"/>
      <c r="I3155" s="161">
        <f t="shared" si="41"/>
        <v>100000</v>
      </c>
      <c r="J3155" s="164">
        <f t="shared" si="42"/>
        <v>100000</v>
      </c>
      <c r="K3155" s="56" t="s">
        <v>10613</v>
      </c>
      <c r="L3155" s="165" t="s">
        <v>10614</v>
      </c>
      <c r="M3155" s="73"/>
      <c r="N3155" s="171"/>
      <c r="O3155" s="169" t="s">
        <v>3037</v>
      </c>
      <c r="P3155" s="168" t="s">
        <v>3112</v>
      </c>
      <c r="Q3155" s="173"/>
      <c r="R3155" s="161">
        <v>100000.0</v>
      </c>
      <c r="S3155" s="173"/>
      <c r="T3155" s="173"/>
      <c r="U3155" s="173"/>
      <c r="V3155" s="202"/>
      <c r="W3155" s="171"/>
      <c r="X3155" s="171"/>
    </row>
    <row r="3156" ht="15.0" customHeight="1">
      <c r="A3156" s="127">
        <v>46051.0</v>
      </c>
      <c r="B3156" s="475" t="s">
        <v>10615</v>
      </c>
      <c r="C3156" s="56" t="s">
        <v>4613</v>
      </c>
      <c r="D3156" s="73" t="str">
        <f>IFERROR(VLOOKUP(C3156,Stock,3,FALSE),"")</f>
        <v>Honda Freed 08-16 1st gen</v>
      </c>
      <c r="E3156" s="56">
        <v>1.0</v>
      </c>
      <c r="F3156" s="161">
        <v>1396000.0</v>
      </c>
      <c r="G3156" s="162">
        <f t="shared" si="40"/>
        <v>1396000</v>
      </c>
      <c r="H3156" s="194"/>
      <c r="I3156" s="161">
        <f t="shared" si="41"/>
        <v>1396000</v>
      </c>
      <c r="J3156" s="164">
        <f t="shared" si="42"/>
        <v>1396000</v>
      </c>
      <c r="K3156" s="56" t="s">
        <v>10616</v>
      </c>
      <c r="L3156" s="165" t="s">
        <v>10617</v>
      </c>
      <c r="M3156" s="73"/>
      <c r="N3156" s="171"/>
      <c r="O3156" s="169" t="s">
        <v>6923</v>
      </c>
      <c r="P3156" s="168" t="s">
        <v>3112</v>
      </c>
      <c r="Q3156" s="173"/>
      <c r="R3156" s="161">
        <v>1396000.0</v>
      </c>
      <c r="S3156" s="173"/>
      <c r="T3156" s="173"/>
      <c r="U3156" s="173"/>
      <c r="V3156" s="202"/>
      <c r="W3156" s="171"/>
      <c r="X3156" s="171"/>
    </row>
    <row r="3157" ht="15.0" customHeight="1">
      <c r="A3157" s="127">
        <v>46051.0</v>
      </c>
      <c r="B3157" s="475" t="s">
        <v>10618</v>
      </c>
      <c r="C3157" s="56" t="s">
        <v>3795</v>
      </c>
      <c r="D3157" s="73" t="str">
        <f>IFERROR(VLOOKUP(C3157,Stock,3,FALSE),"")</f>
        <v>Toyota Innova 04-15 1st Gen</v>
      </c>
      <c r="E3157" s="56">
        <v>1.0</v>
      </c>
      <c r="F3157" s="161">
        <v>1100000.0</v>
      </c>
      <c r="G3157" s="162">
        <f t="shared" si="40"/>
        <v>1100000</v>
      </c>
      <c r="H3157" s="194"/>
      <c r="I3157" s="161">
        <f t="shared" si="41"/>
        <v>1100000</v>
      </c>
      <c r="J3157" s="164">
        <f t="shared" si="42"/>
        <v>1100000</v>
      </c>
      <c r="K3157" s="56" t="s">
        <v>10619</v>
      </c>
      <c r="L3157" s="165" t="s">
        <v>10620</v>
      </c>
      <c r="M3157" s="73"/>
      <c r="N3157" s="171"/>
      <c r="O3157" s="169" t="s">
        <v>6923</v>
      </c>
      <c r="P3157" s="168" t="s">
        <v>3112</v>
      </c>
      <c r="Q3157" s="173"/>
      <c r="R3157" s="161">
        <v>1100000.0</v>
      </c>
      <c r="S3157" s="173"/>
      <c r="T3157" s="173"/>
      <c r="U3157" s="173"/>
      <c r="V3157" s="202"/>
      <c r="W3157" s="171"/>
      <c r="X3157" s="171"/>
    </row>
    <row r="3158" ht="15.0" customHeight="1">
      <c r="A3158" s="127">
        <v>46051.0</v>
      </c>
      <c r="B3158" s="475" t="s">
        <v>10621</v>
      </c>
      <c r="C3158" s="56" t="s">
        <v>2753</v>
      </c>
      <c r="D3158" s="73" t="str">
        <f>IFERROR(VLOOKUP(C3158,Stock,3,FALSE),"")</f>
        <v>Daihatsu Luxio 07-</v>
      </c>
      <c r="E3158" s="56">
        <v>1.0</v>
      </c>
      <c r="F3158" s="161">
        <v>985000.0</v>
      </c>
      <c r="G3158" s="162">
        <f t="shared" si="40"/>
        <v>985000</v>
      </c>
      <c r="H3158" s="194"/>
      <c r="I3158" s="161">
        <f t="shared" si="41"/>
        <v>985000</v>
      </c>
      <c r="J3158" s="164">
        <f t="shared" si="42"/>
        <v>985000</v>
      </c>
      <c r="K3158" s="56" t="s">
        <v>10622</v>
      </c>
      <c r="L3158" s="165" t="s">
        <v>10623</v>
      </c>
      <c r="M3158" s="73"/>
      <c r="N3158" s="171"/>
      <c r="O3158" s="169" t="s">
        <v>6923</v>
      </c>
      <c r="P3158" s="168" t="s">
        <v>3112</v>
      </c>
      <c r="Q3158" s="173"/>
      <c r="R3158" s="167">
        <v>985000.0</v>
      </c>
      <c r="S3158" s="173"/>
      <c r="T3158" s="173"/>
      <c r="U3158" s="173"/>
      <c r="V3158" s="202"/>
      <c r="W3158" s="171"/>
      <c r="X3158" s="171"/>
    </row>
    <row r="3159" ht="15.0" customHeight="1">
      <c r="A3159" s="127">
        <v>46051.0</v>
      </c>
      <c r="B3159" s="475" t="s">
        <v>10624</v>
      </c>
      <c r="C3159" s="56" t="s">
        <v>2936</v>
      </c>
      <c r="D3159" s="73" t="str">
        <f>IFERROR(VLOOKUP(C3159,Stock,3,FALSE),"")</f>
        <v>Toyota Calya / Sigra 16-</v>
      </c>
      <c r="E3159" s="56">
        <v>1.0</v>
      </c>
      <c r="F3159" s="161">
        <v>950000.0</v>
      </c>
      <c r="G3159" s="162">
        <f t="shared" si="40"/>
        <v>950000</v>
      </c>
      <c r="H3159" s="201">
        <v>100000.0</v>
      </c>
      <c r="I3159" s="161">
        <f t="shared" si="41"/>
        <v>850000</v>
      </c>
      <c r="J3159" s="164">
        <f t="shared" si="42"/>
        <v>850000</v>
      </c>
      <c r="K3159" s="56" t="s">
        <v>9272</v>
      </c>
      <c r="L3159" s="165" t="s">
        <v>10625</v>
      </c>
      <c r="M3159" s="73"/>
      <c r="N3159" s="171"/>
      <c r="O3159" s="169" t="s">
        <v>6923</v>
      </c>
      <c r="P3159" s="168" t="s">
        <v>3112</v>
      </c>
      <c r="Q3159" s="173"/>
      <c r="R3159" s="167">
        <v>850000.0</v>
      </c>
      <c r="S3159" s="173"/>
      <c r="T3159" s="173"/>
      <c r="U3159" s="173"/>
      <c r="V3159" s="202"/>
      <c r="W3159" s="171"/>
      <c r="X3159" s="171"/>
    </row>
    <row r="3160" ht="15.0" customHeight="1">
      <c r="A3160" s="127">
        <v>46051.0</v>
      </c>
      <c r="B3160" s="475" t="s">
        <v>10624</v>
      </c>
      <c r="C3160" s="56" t="s">
        <v>9372</v>
      </c>
      <c r="D3160" s="73" t="str">
        <f>IFERROR(VLOOKUP(C3160,Stock,3,FALSE),"")</f>
        <v>Automotive Film Standard - Black 80%  </v>
      </c>
      <c r="E3160" s="56">
        <v>1.0</v>
      </c>
      <c r="F3160" s="161">
        <v>250000.0</v>
      </c>
      <c r="G3160" s="162">
        <f t="shared" si="40"/>
        <v>250000</v>
      </c>
      <c r="H3160" s="194"/>
      <c r="I3160" s="161">
        <f t="shared" si="41"/>
        <v>250000</v>
      </c>
      <c r="J3160" s="164">
        <f t="shared" si="42"/>
        <v>250000</v>
      </c>
      <c r="K3160" s="56" t="s">
        <v>9272</v>
      </c>
      <c r="L3160" s="165" t="s">
        <v>10625</v>
      </c>
      <c r="M3160" s="73"/>
      <c r="N3160" s="171"/>
      <c r="O3160" s="169" t="s">
        <v>6923</v>
      </c>
      <c r="P3160" s="168" t="s">
        <v>3112</v>
      </c>
      <c r="Q3160" s="173"/>
      <c r="R3160" s="167">
        <v>250000.0</v>
      </c>
      <c r="S3160" s="173"/>
      <c r="T3160" s="173"/>
      <c r="U3160" s="173"/>
      <c r="V3160" s="202"/>
      <c r="W3160" s="171"/>
      <c r="X3160" s="171"/>
    </row>
    <row r="3161" ht="15.0" customHeight="1">
      <c r="A3161" s="127">
        <v>46051.0</v>
      </c>
      <c r="B3161" s="475" t="s">
        <v>10626</v>
      </c>
      <c r="C3161" s="56" t="s">
        <v>10333</v>
      </c>
      <c r="D3161" s="73" t="str">
        <f>IFERROR(VLOOKUP(C3161,Stock,3,FALSE),"")</f>
        <v>Toyota Avanza / Xenia 11-15 2nd Gen</v>
      </c>
      <c r="E3161" s="56">
        <v>1.0</v>
      </c>
      <c r="F3161" s="161">
        <v>785000.0</v>
      </c>
      <c r="G3161" s="162">
        <f t="shared" si="40"/>
        <v>785000</v>
      </c>
      <c r="H3161" s="194"/>
      <c r="I3161" s="161">
        <f t="shared" si="41"/>
        <v>785000</v>
      </c>
      <c r="J3161" s="164">
        <f t="shared" si="42"/>
        <v>785000</v>
      </c>
      <c r="K3161" s="56" t="s">
        <v>10627</v>
      </c>
      <c r="L3161" s="165" t="s">
        <v>3683</v>
      </c>
      <c r="M3161" s="73"/>
      <c r="N3161" s="171"/>
      <c r="O3161" s="169" t="s">
        <v>6923</v>
      </c>
      <c r="P3161" s="168" t="s">
        <v>3112</v>
      </c>
      <c r="Q3161" s="173"/>
      <c r="R3161" s="167">
        <v>738000.0</v>
      </c>
      <c r="S3161" s="173"/>
      <c r="T3161" s="173"/>
      <c r="U3161" s="173"/>
      <c r="V3161" s="202"/>
      <c r="W3161" s="171"/>
      <c r="X3161" s="171"/>
    </row>
    <row r="3162" ht="15.0" customHeight="1">
      <c r="A3162" s="127">
        <v>46051.0</v>
      </c>
      <c r="B3162" s="475" t="s">
        <v>10626</v>
      </c>
      <c r="C3162" s="56" t="s">
        <v>5598</v>
      </c>
      <c r="D3162" s="73" t="str">
        <f>IFERROR(VLOOKUP(C3162,Stock,3,FALSE),"")</f>
        <v>Toyota Avanza / Xenia 11-15 2nd Gen / 15-21 3rd Gen</v>
      </c>
      <c r="E3162" s="56">
        <v>1.0</v>
      </c>
      <c r="F3162" s="161">
        <v>245000.0</v>
      </c>
      <c r="G3162" s="162">
        <f t="shared" si="40"/>
        <v>245000</v>
      </c>
      <c r="H3162" s="194"/>
      <c r="I3162" s="161">
        <f t="shared" si="41"/>
        <v>245000</v>
      </c>
      <c r="J3162" s="164">
        <f t="shared" si="42"/>
        <v>245000</v>
      </c>
      <c r="K3162" s="56" t="s">
        <v>10627</v>
      </c>
      <c r="L3162" s="165" t="s">
        <v>3683</v>
      </c>
      <c r="M3162" s="73"/>
      <c r="N3162" s="171"/>
      <c r="O3162" s="169" t="s">
        <v>6923</v>
      </c>
      <c r="P3162" s="168" t="s">
        <v>3112</v>
      </c>
      <c r="Q3162" s="173"/>
      <c r="R3162" s="167">
        <v>700000.0</v>
      </c>
      <c r="S3162" s="173"/>
      <c r="T3162" s="173"/>
      <c r="U3162" s="173"/>
      <c r="V3162" s="202"/>
      <c r="W3162" s="171"/>
      <c r="X3162" s="171"/>
    </row>
    <row r="3163" ht="15.0" customHeight="1">
      <c r="A3163" s="127">
        <v>46051.0</v>
      </c>
      <c r="B3163" s="475" t="s">
        <v>10626</v>
      </c>
      <c r="C3163" s="56" t="s">
        <v>4149</v>
      </c>
      <c r="D3163" s="73" t="str">
        <f>IFERROR(VLOOKUP(C3163,Stock,3,FALSE),"")</f>
        <v>Toyota Avanza / Xenia 11-15 2nd Gen</v>
      </c>
      <c r="E3163" s="56">
        <v>1.0</v>
      </c>
      <c r="F3163" s="161">
        <v>175000.0</v>
      </c>
      <c r="G3163" s="162">
        <f t="shared" si="40"/>
        <v>175000</v>
      </c>
      <c r="H3163" s="194"/>
      <c r="I3163" s="161">
        <f t="shared" si="41"/>
        <v>175000</v>
      </c>
      <c r="J3163" s="164">
        <f t="shared" si="42"/>
        <v>175000</v>
      </c>
      <c r="K3163" s="56" t="s">
        <v>10627</v>
      </c>
      <c r="L3163" s="165" t="s">
        <v>3683</v>
      </c>
      <c r="M3163" s="73"/>
      <c r="N3163" s="171"/>
      <c r="O3163" s="169" t="s">
        <v>6923</v>
      </c>
      <c r="P3163" s="168" t="s">
        <v>3112</v>
      </c>
      <c r="Q3163" s="173"/>
      <c r="R3163" s="173"/>
      <c r="S3163" s="173"/>
      <c r="T3163" s="173"/>
      <c r="U3163" s="173"/>
      <c r="V3163" s="202"/>
      <c r="W3163" s="171"/>
      <c r="X3163" s="171"/>
    </row>
    <row r="3164" ht="15.0" customHeight="1">
      <c r="A3164" s="127">
        <v>46051.0</v>
      </c>
      <c r="B3164" s="475" t="s">
        <v>10626</v>
      </c>
      <c r="C3164" s="56" t="s">
        <v>2934</v>
      </c>
      <c r="D3164" s="73" t="str">
        <f>IFERROR(VLOOKUP(C3164,Stock,3,FALSE),"")</f>
        <v>Peti Kayu</v>
      </c>
      <c r="E3164" s="56">
        <v>1.0</v>
      </c>
      <c r="F3164" s="161">
        <v>160000.0</v>
      </c>
      <c r="G3164" s="162">
        <f t="shared" si="40"/>
        <v>160000</v>
      </c>
      <c r="H3164" s="194"/>
      <c r="I3164" s="161">
        <f t="shared" si="41"/>
        <v>160000</v>
      </c>
      <c r="J3164" s="164">
        <f t="shared" si="42"/>
        <v>160000</v>
      </c>
      <c r="K3164" s="56" t="s">
        <v>10627</v>
      </c>
      <c r="L3164" s="165" t="s">
        <v>3683</v>
      </c>
      <c r="M3164" s="73"/>
      <c r="N3164" s="171"/>
      <c r="O3164" s="169" t="s">
        <v>6923</v>
      </c>
      <c r="P3164" s="168" t="s">
        <v>3112</v>
      </c>
      <c r="Q3164" s="173"/>
      <c r="R3164" s="173"/>
      <c r="S3164" s="173"/>
      <c r="T3164" s="173"/>
      <c r="U3164" s="173"/>
      <c r="V3164" s="202"/>
      <c r="W3164" s="171"/>
      <c r="X3164" s="171"/>
    </row>
    <row r="3165" ht="15.0" customHeight="1">
      <c r="A3165" s="127">
        <v>46051.0</v>
      </c>
      <c r="B3165" s="475" t="s">
        <v>10626</v>
      </c>
      <c r="C3165" s="56" t="s">
        <v>2934</v>
      </c>
      <c r="D3165" s="73" t="str">
        <f>IFERROR(VLOOKUP(C3165,Stock,3,FALSE),"")</f>
        <v>Peti Kayu</v>
      </c>
      <c r="E3165" s="56">
        <v>1.0</v>
      </c>
      <c r="F3165" s="161">
        <v>100000.0</v>
      </c>
      <c r="G3165" s="162">
        <f t="shared" si="40"/>
        <v>100000</v>
      </c>
      <c r="H3165" s="194"/>
      <c r="I3165" s="161">
        <f t="shared" si="41"/>
        <v>100000</v>
      </c>
      <c r="J3165" s="164">
        <f t="shared" si="42"/>
        <v>100000</v>
      </c>
      <c r="K3165" s="56" t="s">
        <v>10627</v>
      </c>
      <c r="L3165" s="165" t="s">
        <v>3683</v>
      </c>
      <c r="M3165" s="73"/>
      <c r="N3165" s="171"/>
      <c r="O3165" s="169" t="s">
        <v>6923</v>
      </c>
      <c r="P3165" s="168" t="s">
        <v>3112</v>
      </c>
      <c r="Q3165" s="173"/>
      <c r="R3165" s="173"/>
      <c r="S3165" s="173"/>
      <c r="T3165" s="173"/>
      <c r="U3165" s="173"/>
      <c r="V3165" s="202"/>
      <c r="W3165" s="171"/>
      <c r="X3165" s="171"/>
    </row>
    <row r="3166" ht="15.0" customHeight="1">
      <c r="A3166" s="127">
        <v>46053.0</v>
      </c>
      <c r="B3166" s="475" t="s">
        <v>10628</v>
      </c>
      <c r="C3166" s="56" t="s">
        <v>2732</v>
      </c>
      <c r="D3166" s="73" t="str">
        <f>IFERROR(VLOOKUP(C3166,Stock,3,FALSE),"")</f>
        <v>Honda Jazz 13- 3rd Gen</v>
      </c>
      <c r="E3166" s="56">
        <v>1.0</v>
      </c>
      <c r="F3166" s="161">
        <v>1157000.0</v>
      </c>
      <c r="G3166" s="162">
        <f t="shared" si="40"/>
        <v>1157000</v>
      </c>
      <c r="H3166" s="194"/>
      <c r="I3166" s="161">
        <f t="shared" si="41"/>
        <v>1157000</v>
      </c>
      <c r="J3166" s="164">
        <f t="shared" si="42"/>
        <v>1157000</v>
      </c>
      <c r="K3166" s="56" t="s">
        <v>4286</v>
      </c>
      <c r="L3166" s="165" t="s">
        <v>4287</v>
      </c>
      <c r="M3166" s="73"/>
      <c r="N3166" s="171"/>
      <c r="O3166" s="169" t="s">
        <v>6923</v>
      </c>
      <c r="P3166" s="168" t="s">
        <v>3112</v>
      </c>
      <c r="Q3166" s="173"/>
      <c r="R3166" s="161">
        <v>1157000.0</v>
      </c>
      <c r="S3166" s="173"/>
      <c r="T3166" s="173"/>
      <c r="U3166" s="173"/>
      <c r="V3166" s="202"/>
      <c r="W3166" s="171"/>
      <c r="X3166" s="171"/>
    </row>
    <row r="3167" ht="15.0" customHeight="1">
      <c r="A3167" s="127">
        <v>46053.0</v>
      </c>
      <c r="B3167" s="475" t="s">
        <v>10629</v>
      </c>
      <c r="C3167" s="56" t="s">
        <v>7897</v>
      </c>
      <c r="D3167" s="73" t="str">
        <f>IFERROR(VLOOKUP(C3167,Stock,3,FALSE),"")</f>
        <v>Honda Jazz 07-13 2nd Gen</v>
      </c>
      <c r="E3167" s="56">
        <v>1.0</v>
      </c>
      <c r="F3167" s="161">
        <v>1817000.0</v>
      </c>
      <c r="G3167" s="162">
        <f t="shared" si="40"/>
        <v>1817000</v>
      </c>
      <c r="H3167" s="194"/>
      <c r="I3167" s="161">
        <f t="shared" si="41"/>
        <v>1817000</v>
      </c>
      <c r="J3167" s="164">
        <f t="shared" si="42"/>
        <v>1817000</v>
      </c>
      <c r="K3167" s="56" t="s">
        <v>10630</v>
      </c>
      <c r="L3167" s="165" t="s">
        <v>10631</v>
      </c>
      <c r="M3167" s="73"/>
      <c r="N3167" s="171"/>
      <c r="O3167" s="169" t="s">
        <v>6923</v>
      </c>
      <c r="Q3167" s="173"/>
      <c r="R3167" s="161">
        <v>1817000.0</v>
      </c>
      <c r="S3167" s="173"/>
      <c r="T3167" s="173"/>
      <c r="U3167" s="173"/>
      <c r="V3167" s="202"/>
      <c r="W3167" s="171"/>
      <c r="X3167" s="171"/>
    </row>
    <row r="3168" ht="15.0" customHeight="1">
      <c r="A3168" s="183">
        <v>46053.0</v>
      </c>
      <c r="B3168" s="490" t="s">
        <v>10632</v>
      </c>
      <c r="C3168" s="184" t="s">
        <v>10633</v>
      </c>
      <c r="D3168" s="186" t="str">
        <f>IFERROR(VLOOKUP(C3168,Stock,3,FALSE),"")</f>
        <v>Toyota LandCruiser 98-07 FJ100 (Signus) [No Sensor]</v>
      </c>
      <c r="E3168" s="184">
        <v>1.0</v>
      </c>
      <c r="F3168" s="187">
        <v>2502750.0</v>
      </c>
      <c r="G3168" s="188">
        <f t="shared" si="40"/>
        <v>2502750</v>
      </c>
      <c r="H3168" s="491">
        <v>1000000.0</v>
      </c>
      <c r="I3168" s="187">
        <f t="shared" si="41"/>
        <v>1502750</v>
      </c>
      <c r="J3168" s="189">
        <f t="shared" si="42"/>
        <v>1502750</v>
      </c>
      <c r="K3168" s="184" t="s">
        <v>10634</v>
      </c>
      <c r="L3168" s="186"/>
      <c r="M3168" s="186"/>
      <c r="N3168" s="212"/>
      <c r="O3168" s="193" t="s">
        <v>6923</v>
      </c>
      <c r="P3168" s="212"/>
      <c r="Q3168" s="213"/>
      <c r="R3168" s="213"/>
      <c r="S3168" s="173"/>
      <c r="T3168" s="173"/>
      <c r="U3168" s="173"/>
      <c r="V3168" s="202"/>
      <c r="W3168" s="171"/>
      <c r="X3168" s="171"/>
    </row>
    <row r="3169" ht="15.0" customHeight="1">
      <c r="A3169" s="183">
        <v>46053.0</v>
      </c>
      <c r="B3169" s="490" t="s">
        <v>10635</v>
      </c>
      <c r="C3169" s="184" t="s">
        <v>10636</v>
      </c>
      <c r="D3169" s="186" t="str">
        <f>IFERROR(VLOOKUP(C3169,Stock,3,FALSE),"")</f>
        <v>Toyota Harrier - 480N</v>
      </c>
      <c r="E3169" s="184">
        <v>1.0</v>
      </c>
      <c r="F3169" s="187">
        <v>185750.0</v>
      </c>
      <c r="G3169" s="188">
        <f t="shared" si="40"/>
        <v>185750</v>
      </c>
      <c r="H3169" s="210"/>
      <c r="I3169" s="187">
        <f t="shared" si="41"/>
        <v>185750</v>
      </c>
      <c r="J3169" s="189">
        <f t="shared" si="42"/>
        <v>185750</v>
      </c>
      <c r="K3169" s="184" t="s">
        <v>10637</v>
      </c>
      <c r="L3169" s="186"/>
      <c r="M3169" s="186"/>
      <c r="N3169" s="212"/>
      <c r="O3169" s="193" t="s">
        <v>6923</v>
      </c>
      <c r="P3169" s="212"/>
      <c r="Q3169" s="173"/>
      <c r="R3169" s="173"/>
      <c r="S3169" s="173"/>
      <c r="T3169" s="173"/>
      <c r="U3169" s="173"/>
      <c r="V3169" s="202"/>
      <c r="W3169" s="171"/>
      <c r="X3169" s="171"/>
    </row>
    <row r="3170" ht="15.0" customHeight="1">
      <c r="A3170" s="183">
        <v>46053.0</v>
      </c>
      <c r="B3170" s="490" t="s">
        <v>10638</v>
      </c>
      <c r="C3170" s="184" t="s">
        <v>7897</v>
      </c>
      <c r="D3170" s="186" t="str">
        <f>IFERROR(VLOOKUP(C3170,Stock,3,FALSE),"")</f>
        <v>Honda Jazz 07-13 2nd Gen</v>
      </c>
      <c r="E3170" s="184">
        <v>1.0</v>
      </c>
      <c r="F3170" s="187">
        <v>494000.0</v>
      </c>
      <c r="G3170" s="188">
        <f t="shared" si="40"/>
        <v>494000</v>
      </c>
      <c r="H3170" s="210"/>
      <c r="I3170" s="187">
        <f t="shared" si="41"/>
        <v>494000</v>
      </c>
      <c r="J3170" s="189">
        <f t="shared" si="42"/>
        <v>494000</v>
      </c>
      <c r="K3170" s="184" t="s">
        <v>10639</v>
      </c>
      <c r="L3170" s="186"/>
      <c r="M3170" s="186"/>
      <c r="N3170" s="212"/>
      <c r="O3170" s="193" t="s">
        <v>6923</v>
      </c>
      <c r="P3170" s="212"/>
      <c r="Q3170" s="173"/>
      <c r="R3170" s="173"/>
      <c r="S3170" s="173"/>
      <c r="T3170" s="173"/>
      <c r="U3170" s="173"/>
      <c r="V3170" s="202"/>
      <c r="W3170" s="171"/>
      <c r="X3170" s="171"/>
    </row>
    <row r="3171" ht="15.0" customHeight="1">
      <c r="A3171" s="127">
        <v>46053.0</v>
      </c>
      <c r="B3171" s="181" t="s">
        <v>10640</v>
      </c>
      <c r="C3171" s="56" t="s">
        <v>9167</v>
      </c>
      <c r="D3171" s="73" t="str">
        <f>IFERROR(VLOOKUP(C3171,Stock,3,FALSE),"")</f>
        <v>Toyota Avanza / Xenia 11-15 2nd Gen / 15-21 3rd Gen</v>
      </c>
      <c r="E3171" s="56">
        <v>1.0</v>
      </c>
      <c r="F3171" s="161">
        <v>640000.0</v>
      </c>
      <c r="G3171" s="162">
        <f t="shared" si="40"/>
        <v>640000</v>
      </c>
      <c r="H3171" s="194"/>
      <c r="I3171" s="161">
        <f t="shared" si="41"/>
        <v>640000</v>
      </c>
      <c r="J3171" s="164">
        <f t="shared" si="42"/>
        <v>640000</v>
      </c>
      <c r="K3171" s="56" t="s">
        <v>7083</v>
      </c>
      <c r="L3171" s="165" t="s">
        <v>10519</v>
      </c>
      <c r="M3171" s="73"/>
      <c r="N3171" s="171"/>
      <c r="O3171" s="169" t="s">
        <v>6923</v>
      </c>
      <c r="P3171" s="168" t="s">
        <v>3112</v>
      </c>
      <c r="Q3171" s="173"/>
      <c r="R3171" s="161">
        <v>640000.0</v>
      </c>
      <c r="S3171" s="173"/>
      <c r="T3171" s="173"/>
      <c r="U3171" s="173"/>
      <c r="V3171" s="202"/>
      <c r="W3171" s="171"/>
      <c r="X3171" s="171"/>
    </row>
    <row r="3172" ht="15.0" customHeight="1">
      <c r="A3172" s="127">
        <v>46054.0</v>
      </c>
      <c r="B3172" s="181" t="s">
        <v>10641</v>
      </c>
      <c r="C3172" s="56" t="s">
        <v>2730</v>
      </c>
      <c r="D3172" s="73" t="str">
        <f>IFERROR(VLOOKUP(C3172,Stock,3,FALSE),"")</f>
        <v>Honda HR-V 14-21 5D SUV (Honda)</v>
      </c>
      <c r="E3172" s="56">
        <v>1.0</v>
      </c>
      <c r="F3172" s="161">
        <v>3122000.0</v>
      </c>
      <c r="G3172" s="162">
        <f t="shared" si="40"/>
        <v>3122000</v>
      </c>
      <c r="H3172" s="194"/>
      <c r="I3172" s="161">
        <f t="shared" si="41"/>
        <v>3122000</v>
      </c>
      <c r="J3172" s="164">
        <f t="shared" si="42"/>
        <v>3122000</v>
      </c>
      <c r="K3172" s="56" t="s">
        <v>10642</v>
      </c>
      <c r="L3172" s="165" t="s">
        <v>10643</v>
      </c>
      <c r="M3172" s="73"/>
      <c r="N3172" s="171"/>
      <c r="O3172" s="169" t="s">
        <v>6923</v>
      </c>
      <c r="P3172" s="168" t="s">
        <v>3112</v>
      </c>
      <c r="Q3172" s="173"/>
      <c r="R3172" s="161">
        <v>3122000.0</v>
      </c>
      <c r="S3172" s="173"/>
      <c r="T3172" s="173"/>
      <c r="U3172" s="173"/>
      <c r="V3172" s="168" t="s">
        <v>10644</v>
      </c>
      <c r="W3172" s="171"/>
      <c r="X3172" s="171"/>
    </row>
    <row r="3173" ht="15.0" customHeight="1">
      <c r="A3173" s="127">
        <v>46054.0</v>
      </c>
      <c r="B3173" s="181" t="s">
        <v>10645</v>
      </c>
      <c r="C3173" s="56" t="s">
        <v>10333</v>
      </c>
      <c r="D3173" s="73" t="str">
        <f>IFERROR(VLOOKUP(C3173,Stock,3,FALSE),"")</f>
        <v>Toyota Avanza / Xenia 11-15 2nd Gen</v>
      </c>
      <c r="E3173" s="56">
        <v>1.0</v>
      </c>
      <c r="F3173" s="161">
        <v>1000000.0</v>
      </c>
      <c r="G3173" s="162">
        <f t="shared" si="40"/>
        <v>1000000</v>
      </c>
      <c r="H3173" s="194"/>
      <c r="I3173" s="161">
        <f t="shared" si="41"/>
        <v>1000000</v>
      </c>
      <c r="J3173" s="164">
        <f t="shared" si="42"/>
        <v>1000000</v>
      </c>
      <c r="K3173" s="73"/>
      <c r="L3173" s="73"/>
      <c r="M3173" s="73"/>
      <c r="N3173" s="171"/>
      <c r="O3173" s="169" t="s">
        <v>6923</v>
      </c>
      <c r="P3173" s="168" t="s">
        <v>3112</v>
      </c>
      <c r="Q3173" s="173"/>
      <c r="R3173" s="161">
        <v>1000000.0</v>
      </c>
      <c r="S3173" s="173"/>
      <c r="T3173" s="173"/>
      <c r="U3173" s="173"/>
      <c r="V3173" s="169"/>
      <c r="W3173" s="171"/>
      <c r="X3173" s="171"/>
    </row>
    <row r="3174" ht="15.0" customHeight="1">
      <c r="A3174" s="127">
        <v>46055.0</v>
      </c>
      <c r="B3174" s="181" t="s">
        <v>10646</v>
      </c>
      <c r="C3174" s="56" t="s">
        <v>3745</v>
      </c>
      <c r="D3174" s="73" t="str">
        <f>IFERROR(VLOOKUP(C3174,Stock,3,FALSE),"")</f>
        <v>Honda Brio 10- / Mobilio 11-</v>
      </c>
      <c r="E3174" s="56">
        <v>1.0</v>
      </c>
      <c r="F3174" s="161">
        <v>1772000.0</v>
      </c>
      <c r="G3174" s="162">
        <f t="shared" si="40"/>
        <v>1772000</v>
      </c>
      <c r="H3174" s="194"/>
      <c r="I3174" s="161">
        <f t="shared" si="41"/>
        <v>1772000</v>
      </c>
      <c r="J3174" s="164">
        <f t="shared" si="42"/>
        <v>1772000</v>
      </c>
      <c r="K3174" s="56" t="s">
        <v>10647</v>
      </c>
      <c r="L3174" s="165" t="s">
        <v>10648</v>
      </c>
      <c r="M3174" s="73"/>
      <c r="N3174" s="171"/>
      <c r="O3174" s="169" t="s">
        <v>6923</v>
      </c>
      <c r="P3174" s="168" t="s">
        <v>3112</v>
      </c>
      <c r="Q3174" s="173"/>
      <c r="R3174" s="161">
        <v>1772000.0</v>
      </c>
      <c r="S3174" s="173"/>
      <c r="T3174" s="173"/>
      <c r="U3174" s="173"/>
      <c r="V3174" s="169"/>
      <c r="W3174" s="171"/>
      <c r="X3174" s="171"/>
    </row>
    <row r="3175" ht="15.0" customHeight="1">
      <c r="A3175" s="127">
        <v>46055.0</v>
      </c>
      <c r="B3175" s="181" t="s">
        <v>10646</v>
      </c>
      <c r="C3175" s="56" t="s">
        <v>2954</v>
      </c>
      <c r="D3175" s="73" t="str">
        <f>IFERROR(VLOOKUP(C3175,Stock,3,FALSE),"")</f>
        <v>Transport</v>
      </c>
      <c r="E3175" s="56">
        <v>1.0</v>
      </c>
      <c r="F3175" s="6">
        <v>100000.0</v>
      </c>
      <c r="G3175" s="162">
        <f>E3175*R3175</f>
        <v>100000</v>
      </c>
      <c r="H3175" s="194"/>
      <c r="I3175" s="161">
        <f t="shared" si="41"/>
        <v>100000</v>
      </c>
      <c r="J3175" s="164">
        <f t="shared" si="42"/>
        <v>100000</v>
      </c>
      <c r="K3175" s="56" t="s">
        <v>10647</v>
      </c>
      <c r="L3175" s="165" t="s">
        <v>10648</v>
      </c>
      <c r="M3175" s="73"/>
      <c r="N3175" s="171"/>
      <c r="O3175" s="169" t="s">
        <v>6923</v>
      </c>
      <c r="P3175" s="168" t="s">
        <v>3112</v>
      </c>
      <c r="Q3175" s="173"/>
      <c r="R3175" s="161">
        <v>100000.0</v>
      </c>
      <c r="S3175" s="173"/>
      <c r="T3175" s="173"/>
      <c r="U3175" s="173"/>
      <c r="V3175" s="169"/>
      <c r="W3175" s="171"/>
      <c r="X3175" s="171"/>
    </row>
    <row r="3176" ht="15.0" customHeight="1">
      <c r="A3176" s="127">
        <v>46055.0</v>
      </c>
      <c r="B3176" s="181" t="s">
        <v>10649</v>
      </c>
      <c r="C3176" s="56" t="s">
        <v>2541</v>
      </c>
      <c r="D3176" s="73" t="str">
        <f>IFERROR(VLOOKUP(C3176,Stock,3,FALSE),"")</f>
        <v>Nissan Datsun Go/Go+ 14- (5-Seater)</v>
      </c>
      <c r="E3176" s="56">
        <v>1.0</v>
      </c>
      <c r="F3176" s="161">
        <v>1300000.0</v>
      </c>
      <c r="G3176" s="162">
        <f t="shared" ref="G3176:G3387" si="43">E3176*F3176</f>
        <v>1300000</v>
      </c>
      <c r="H3176" s="194"/>
      <c r="I3176" s="161">
        <f t="shared" si="41"/>
        <v>1300000</v>
      </c>
      <c r="J3176" s="164">
        <f t="shared" si="42"/>
        <v>1300000</v>
      </c>
      <c r="K3176" s="56" t="s">
        <v>10650</v>
      </c>
      <c r="L3176" s="165" t="s">
        <v>10651</v>
      </c>
      <c r="M3176" s="73"/>
      <c r="N3176" s="171"/>
      <c r="O3176" s="169" t="s">
        <v>6923</v>
      </c>
      <c r="P3176" s="168" t="s">
        <v>3112</v>
      </c>
      <c r="Q3176" s="167">
        <v>1300000.0</v>
      </c>
      <c r="R3176" s="173"/>
      <c r="S3176" s="173"/>
      <c r="T3176" s="173"/>
      <c r="U3176" s="173"/>
      <c r="V3176" s="169"/>
      <c r="W3176" s="171"/>
      <c r="X3176" s="171"/>
    </row>
    <row r="3177" ht="15.0" customHeight="1">
      <c r="A3177" s="127">
        <v>46055.0</v>
      </c>
      <c r="B3177" s="181" t="s">
        <v>10652</v>
      </c>
      <c r="C3177" s="56" t="s">
        <v>2936</v>
      </c>
      <c r="D3177" s="73" t="str">
        <f>IFERROR(VLOOKUP(C3177,Stock,3,FALSE),"")</f>
        <v>Toyota Calya / Sigra 16-</v>
      </c>
      <c r="E3177" s="56">
        <v>1.0</v>
      </c>
      <c r="F3177" s="161">
        <v>850000.0</v>
      </c>
      <c r="G3177" s="162">
        <f t="shared" si="43"/>
        <v>850000</v>
      </c>
      <c r="H3177" s="194"/>
      <c r="I3177" s="161">
        <f t="shared" si="41"/>
        <v>850000</v>
      </c>
      <c r="J3177" s="164">
        <f t="shared" si="42"/>
        <v>850000</v>
      </c>
      <c r="K3177" s="56" t="s">
        <v>7434</v>
      </c>
      <c r="L3177" s="165" t="s">
        <v>10653</v>
      </c>
      <c r="M3177" s="73"/>
      <c r="N3177" s="171"/>
      <c r="O3177" s="169" t="s">
        <v>6923</v>
      </c>
      <c r="P3177" s="168" t="s">
        <v>3112</v>
      </c>
      <c r="Q3177" s="173"/>
      <c r="R3177" s="167">
        <v>850000.0</v>
      </c>
      <c r="S3177" s="173"/>
      <c r="T3177" s="173"/>
      <c r="U3177" s="173"/>
      <c r="V3177" s="169"/>
      <c r="W3177" s="171"/>
      <c r="X3177" s="171"/>
    </row>
    <row r="3178" ht="15.0" customHeight="1">
      <c r="A3178" s="127">
        <v>46055.0</v>
      </c>
      <c r="B3178" s="181" t="s">
        <v>10654</v>
      </c>
      <c r="C3178" s="56" t="s">
        <v>3025</v>
      </c>
      <c r="D3178" s="73" t="str">
        <f>IFERROR(VLOOKUP(C3178,Stock,3,FALSE),"")</f>
        <v>Toyota Rush / Terios 06-17</v>
      </c>
      <c r="E3178" s="56">
        <v>1.0</v>
      </c>
      <c r="F3178" s="161">
        <v>1248000.0</v>
      </c>
      <c r="G3178" s="162">
        <f t="shared" si="43"/>
        <v>1248000</v>
      </c>
      <c r="H3178" s="194"/>
      <c r="I3178" s="161">
        <f t="shared" si="41"/>
        <v>1248000</v>
      </c>
      <c r="J3178" s="164">
        <f t="shared" si="42"/>
        <v>1248000</v>
      </c>
      <c r="K3178" s="487" t="s">
        <v>10655</v>
      </c>
      <c r="L3178" s="165" t="s">
        <v>10656</v>
      </c>
      <c r="M3178" s="73"/>
      <c r="N3178" s="171"/>
      <c r="O3178" s="169" t="s">
        <v>6923</v>
      </c>
      <c r="P3178" s="168" t="s">
        <v>3112</v>
      </c>
      <c r="Q3178" s="167">
        <v>1000000.0</v>
      </c>
      <c r="R3178" s="167">
        <v>248000.0</v>
      </c>
      <c r="S3178" s="173"/>
      <c r="T3178" s="173"/>
      <c r="U3178" s="173"/>
      <c r="V3178" s="169"/>
      <c r="W3178" s="171"/>
      <c r="X3178" s="171"/>
    </row>
    <row r="3179" ht="15.0" customHeight="1">
      <c r="A3179" s="127">
        <v>46056.0</v>
      </c>
      <c r="B3179" s="181" t="s">
        <v>10657</v>
      </c>
      <c r="C3179" s="56" t="s">
        <v>2718</v>
      </c>
      <c r="D3179" s="73" t="str">
        <f>IFERROR(VLOOKUP(C3179,Stock,3,FALSE),"")</f>
        <v>Isuzu Traga</v>
      </c>
      <c r="E3179" s="56">
        <v>1.0</v>
      </c>
      <c r="F3179" s="161">
        <v>1220000.0</v>
      </c>
      <c r="G3179" s="162">
        <f t="shared" si="43"/>
        <v>1220000</v>
      </c>
      <c r="H3179" s="194"/>
      <c r="I3179" s="161">
        <f t="shared" si="41"/>
        <v>1220000</v>
      </c>
      <c r="J3179" s="164">
        <f t="shared" si="42"/>
        <v>1220000</v>
      </c>
      <c r="K3179" s="56" t="s">
        <v>10658</v>
      </c>
      <c r="L3179" s="165" t="s">
        <v>10659</v>
      </c>
      <c r="M3179" s="73"/>
      <c r="N3179" s="171"/>
      <c r="O3179" s="169" t="s">
        <v>6923</v>
      </c>
      <c r="P3179" s="168" t="s">
        <v>3112</v>
      </c>
      <c r="Q3179" s="161">
        <v>1220000.0</v>
      </c>
      <c r="R3179" s="173"/>
      <c r="S3179" s="173"/>
      <c r="T3179" s="173"/>
      <c r="U3179" s="173"/>
      <c r="V3179" s="169"/>
      <c r="W3179" s="171"/>
      <c r="X3179" s="171"/>
    </row>
    <row r="3180" ht="15.0" customHeight="1">
      <c r="A3180" s="127">
        <v>46056.0</v>
      </c>
      <c r="B3180" s="181" t="s">
        <v>10660</v>
      </c>
      <c r="C3180" s="56" t="s">
        <v>3273</v>
      </c>
      <c r="D3180" s="73" t="str">
        <f>IFERROR(VLOOKUP(C3180,Stock,3,FALSE),"")</f>
        <v>Pemasangan Kaca Mobil Belakang</v>
      </c>
      <c r="E3180" s="56">
        <v>1.0</v>
      </c>
      <c r="F3180" s="161">
        <v>200000.0</v>
      </c>
      <c r="G3180" s="162">
        <f t="shared" si="43"/>
        <v>200000</v>
      </c>
      <c r="H3180" s="194"/>
      <c r="I3180" s="161">
        <f t="shared" si="41"/>
        <v>200000</v>
      </c>
      <c r="J3180" s="164">
        <f t="shared" si="42"/>
        <v>200000</v>
      </c>
      <c r="K3180" s="487" t="s">
        <v>10604</v>
      </c>
      <c r="L3180" s="165" t="s">
        <v>10605</v>
      </c>
      <c r="M3180" s="73"/>
      <c r="N3180" s="171"/>
      <c r="O3180" s="169" t="s">
        <v>6923</v>
      </c>
      <c r="P3180" s="168" t="s">
        <v>3112</v>
      </c>
      <c r="Q3180" s="173"/>
      <c r="R3180" s="161">
        <v>200000.0</v>
      </c>
      <c r="S3180" s="173"/>
      <c r="T3180" s="173"/>
      <c r="U3180" s="173"/>
      <c r="V3180" s="169"/>
      <c r="W3180" s="171"/>
      <c r="X3180" s="171"/>
    </row>
    <row r="3181" ht="15.0" customHeight="1">
      <c r="A3181" s="127">
        <v>46056.0</v>
      </c>
      <c r="B3181" s="181" t="s">
        <v>10660</v>
      </c>
      <c r="C3181" s="56" t="s">
        <v>2954</v>
      </c>
      <c r="D3181" s="73" t="str">
        <f>IFERROR(VLOOKUP(C3181,Stock,3,FALSE),"")</f>
        <v>Transport</v>
      </c>
      <c r="E3181" s="56">
        <v>1.0</v>
      </c>
      <c r="F3181" s="161">
        <v>50000.0</v>
      </c>
      <c r="G3181" s="162">
        <f t="shared" si="43"/>
        <v>50000</v>
      </c>
      <c r="H3181" s="194"/>
      <c r="I3181" s="161">
        <f t="shared" si="41"/>
        <v>50000</v>
      </c>
      <c r="J3181" s="164">
        <f t="shared" si="42"/>
        <v>50000</v>
      </c>
      <c r="K3181" s="487" t="s">
        <v>10604</v>
      </c>
      <c r="L3181" s="165" t="s">
        <v>10605</v>
      </c>
      <c r="M3181" s="73"/>
      <c r="N3181" s="171"/>
      <c r="O3181" s="169" t="s">
        <v>6923</v>
      </c>
      <c r="P3181" s="168" t="s">
        <v>3112</v>
      </c>
      <c r="Q3181" s="173"/>
      <c r="R3181" s="161">
        <v>50000.0</v>
      </c>
      <c r="S3181" s="173"/>
      <c r="T3181" s="173"/>
      <c r="U3181" s="173"/>
      <c r="V3181" s="169"/>
      <c r="W3181" s="171"/>
      <c r="X3181" s="171"/>
    </row>
    <row r="3182" ht="15.0" customHeight="1">
      <c r="A3182" s="127">
        <v>46056.0</v>
      </c>
      <c r="B3182" s="181" t="s">
        <v>10661</v>
      </c>
      <c r="C3182" s="56" t="s">
        <v>2562</v>
      </c>
      <c r="D3182" s="73" t="str">
        <f>IFERROR(VLOOKUP(C3182,Stock,3,FALSE),"")</f>
        <v>Toyota Avanza / Xenia 15-21 3rd Gen</v>
      </c>
      <c r="E3182" s="56">
        <v>1.0</v>
      </c>
      <c r="F3182" s="161">
        <v>1150000.0</v>
      </c>
      <c r="G3182" s="162">
        <f t="shared" si="43"/>
        <v>1150000</v>
      </c>
      <c r="H3182" s="194"/>
      <c r="I3182" s="161">
        <f t="shared" si="41"/>
        <v>1150000</v>
      </c>
      <c r="J3182" s="164">
        <f t="shared" si="42"/>
        <v>1150000</v>
      </c>
      <c r="K3182" s="56" t="s">
        <v>10662</v>
      </c>
      <c r="L3182" s="165" t="s">
        <v>10663</v>
      </c>
      <c r="M3182" s="73"/>
      <c r="N3182" s="171"/>
      <c r="O3182" s="169" t="s">
        <v>6923</v>
      </c>
      <c r="P3182" s="168" t="s">
        <v>3112</v>
      </c>
      <c r="Q3182" s="173"/>
      <c r="R3182" s="161">
        <v>1150000.0</v>
      </c>
      <c r="S3182" s="173"/>
      <c r="T3182" s="173"/>
      <c r="U3182" s="173"/>
      <c r="V3182" s="169"/>
      <c r="W3182" s="171"/>
      <c r="X3182" s="171"/>
    </row>
    <row r="3183" ht="15.0" customHeight="1">
      <c r="A3183" s="127">
        <v>46056.0</v>
      </c>
      <c r="B3183" s="181" t="s">
        <v>10661</v>
      </c>
      <c r="C3183" s="56" t="s">
        <v>10233</v>
      </c>
      <c r="D3183" s="73" t="str">
        <f>IFERROR(VLOOKUP(C3183,Stock,3,FALSE),"")</f>
        <v>Automotive Film Standard - Black 60%       </v>
      </c>
      <c r="E3183" s="56">
        <v>1.0</v>
      </c>
      <c r="F3183" s="161">
        <v>300000.0</v>
      </c>
      <c r="G3183" s="162">
        <f t="shared" si="43"/>
        <v>300000</v>
      </c>
      <c r="H3183" s="194"/>
      <c r="I3183" s="161">
        <f t="shared" si="41"/>
        <v>300000</v>
      </c>
      <c r="J3183" s="164">
        <f t="shared" si="42"/>
        <v>300000</v>
      </c>
      <c r="K3183" s="56" t="s">
        <v>10662</v>
      </c>
      <c r="L3183" s="165" t="s">
        <v>10663</v>
      </c>
      <c r="M3183" s="73"/>
      <c r="N3183" s="171"/>
      <c r="O3183" s="169" t="s">
        <v>6923</v>
      </c>
      <c r="P3183" s="168" t="s">
        <v>3112</v>
      </c>
      <c r="Q3183" s="173"/>
      <c r="R3183" s="161">
        <v>300000.0</v>
      </c>
      <c r="S3183" s="173"/>
      <c r="T3183" s="173"/>
      <c r="U3183" s="173"/>
      <c r="V3183" s="169"/>
      <c r="W3183" s="171"/>
      <c r="X3183" s="171"/>
    </row>
    <row r="3184" ht="15.0" customHeight="1">
      <c r="A3184" s="127">
        <v>46056.0</v>
      </c>
      <c r="B3184" s="181" t="s">
        <v>10664</v>
      </c>
      <c r="C3184" s="56" t="s">
        <v>10537</v>
      </c>
      <c r="D3184" s="73" t="str">
        <f>IFERROR(VLOOKUP(C3184,Stock,3,FALSE),"")</f>
        <v>Honda Jazz 01-07 1st Gen</v>
      </c>
      <c r="E3184" s="56">
        <v>1.0</v>
      </c>
      <c r="F3184" s="161">
        <v>1274000.0</v>
      </c>
      <c r="G3184" s="162">
        <f t="shared" si="43"/>
        <v>1274000</v>
      </c>
      <c r="H3184" s="194"/>
      <c r="I3184" s="161">
        <f t="shared" si="41"/>
        <v>1274000</v>
      </c>
      <c r="J3184" s="164">
        <f t="shared" si="42"/>
        <v>1274000</v>
      </c>
      <c r="K3184" s="487" t="s">
        <v>10665</v>
      </c>
      <c r="L3184" s="165" t="s">
        <v>10666</v>
      </c>
      <c r="M3184" s="73"/>
      <c r="N3184" s="171"/>
      <c r="O3184" s="169" t="s">
        <v>6923</v>
      </c>
      <c r="P3184" s="168" t="s">
        <v>3112</v>
      </c>
      <c r="Q3184" s="173"/>
      <c r="R3184" s="161">
        <v>1274000.0</v>
      </c>
      <c r="S3184" s="173"/>
      <c r="T3184" s="173"/>
      <c r="U3184" s="173"/>
      <c r="V3184" s="169"/>
      <c r="W3184" s="171"/>
      <c r="X3184" s="171"/>
    </row>
    <row r="3185" ht="15.0" customHeight="1">
      <c r="A3185" s="127">
        <v>46056.0</v>
      </c>
      <c r="B3185" s="181" t="s">
        <v>10664</v>
      </c>
      <c r="C3185" s="56" t="s">
        <v>2934</v>
      </c>
      <c r="D3185" s="73" t="str">
        <f>IFERROR(VLOOKUP(C3185,Stock,3,FALSE),"")</f>
        <v>Peti Kayu</v>
      </c>
      <c r="E3185" s="56">
        <v>1.0</v>
      </c>
      <c r="F3185" s="161">
        <v>200000.0</v>
      </c>
      <c r="G3185" s="162">
        <f t="shared" si="43"/>
        <v>200000</v>
      </c>
      <c r="H3185" s="194"/>
      <c r="I3185" s="161">
        <f t="shared" si="41"/>
        <v>200000</v>
      </c>
      <c r="J3185" s="164">
        <f t="shared" si="42"/>
        <v>200000</v>
      </c>
      <c r="K3185" s="487" t="s">
        <v>10665</v>
      </c>
      <c r="L3185" s="165" t="s">
        <v>10666</v>
      </c>
      <c r="M3185" s="73"/>
      <c r="N3185" s="171"/>
      <c r="O3185" s="169" t="s">
        <v>6923</v>
      </c>
      <c r="P3185" s="168" t="s">
        <v>3112</v>
      </c>
      <c r="Q3185" s="173"/>
      <c r="R3185" s="161">
        <v>200000.0</v>
      </c>
      <c r="S3185" s="173"/>
      <c r="T3185" s="173"/>
      <c r="U3185" s="173"/>
      <c r="V3185" s="169"/>
      <c r="W3185" s="171"/>
      <c r="X3185" s="171"/>
    </row>
    <row r="3186" ht="15.0" customHeight="1">
      <c r="A3186" s="127">
        <v>46056.0</v>
      </c>
      <c r="B3186" s="181" t="s">
        <v>10667</v>
      </c>
      <c r="C3186" s="56" t="s">
        <v>3136</v>
      </c>
      <c r="D3186" s="73" t="str">
        <f>IFERROR(VLOOKUP(C3186,Stock,3,FALSE),"")</f>
        <v>Mitsubishi Pajero 16-</v>
      </c>
      <c r="E3186" s="56">
        <v>1.0</v>
      </c>
      <c r="F3186" s="161">
        <v>1486000.0</v>
      </c>
      <c r="G3186" s="162">
        <f t="shared" si="43"/>
        <v>1486000</v>
      </c>
      <c r="H3186" s="194"/>
      <c r="I3186" s="161">
        <f t="shared" si="41"/>
        <v>1486000</v>
      </c>
      <c r="J3186" s="164">
        <f t="shared" si="42"/>
        <v>1486000</v>
      </c>
      <c r="K3186" s="56" t="s">
        <v>10668</v>
      </c>
      <c r="L3186" s="165" t="s">
        <v>10669</v>
      </c>
      <c r="M3186" s="73"/>
      <c r="N3186" s="171"/>
      <c r="O3186" s="169" t="s">
        <v>6923</v>
      </c>
      <c r="P3186" s="168" t="s">
        <v>3112</v>
      </c>
      <c r="Q3186" s="173"/>
      <c r="R3186" s="161">
        <v>1486000.0</v>
      </c>
      <c r="S3186" s="173"/>
      <c r="T3186" s="173"/>
      <c r="U3186" s="173"/>
      <c r="V3186" s="169"/>
      <c r="W3186" s="171"/>
      <c r="X3186" s="171"/>
    </row>
    <row r="3187" ht="15.0" customHeight="1">
      <c r="A3187" s="127">
        <v>46056.0</v>
      </c>
      <c r="B3187" s="181" t="s">
        <v>10670</v>
      </c>
      <c r="C3187" s="56" t="s">
        <v>10671</v>
      </c>
      <c r="D3187" s="73" t="str">
        <f>IFERROR(VLOOKUP(C3187,Stock,3,FALSE),"")</f>
        <v>Honda HR-V 14-21 5D SUV (Honda)</v>
      </c>
      <c r="E3187" s="56">
        <v>1.0</v>
      </c>
      <c r="F3187" s="161">
        <v>3150000.0</v>
      </c>
      <c r="G3187" s="162">
        <f t="shared" si="43"/>
        <v>3150000</v>
      </c>
      <c r="H3187" s="194"/>
      <c r="I3187" s="161">
        <f t="shared" si="41"/>
        <v>3150000</v>
      </c>
      <c r="J3187" s="164">
        <f t="shared" si="42"/>
        <v>3150000</v>
      </c>
      <c r="K3187" s="56" t="s">
        <v>10672</v>
      </c>
      <c r="L3187" s="165" t="s">
        <v>10673</v>
      </c>
      <c r="M3187" s="73"/>
      <c r="N3187" s="171"/>
      <c r="O3187" s="169" t="s">
        <v>6923</v>
      </c>
      <c r="P3187" s="168" t="s">
        <v>3112</v>
      </c>
      <c r="Q3187" s="173"/>
      <c r="R3187" s="161">
        <v>3150000.0</v>
      </c>
      <c r="S3187" s="173"/>
      <c r="T3187" s="173"/>
      <c r="U3187" s="173"/>
      <c r="V3187" s="169"/>
      <c r="W3187" s="171"/>
      <c r="X3187" s="171"/>
    </row>
    <row r="3188" ht="15.0" customHeight="1">
      <c r="A3188" s="127">
        <v>46056.0</v>
      </c>
      <c r="B3188" s="181" t="s">
        <v>10670</v>
      </c>
      <c r="C3188" s="56" t="s">
        <v>2954</v>
      </c>
      <c r="D3188" s="73" t="str">
        <f>IFERROR(VLOOKUP(C3188,Stock,3,FALSE),"")</f>
        <v>Transport</v>
      </c>
      <c r="E3188" s="56">
        <v>1.0</v>
      </c>
      <c r="F3188" s="161">
        <v>150000.0</v>
      </c>
      <c r="G3188" s="162">
        <f t="shared" si="43"/>
        <v>150000</v>
      </c>
      <c r="H3188" s="194"/>
      <c r="I3188" s="161">
        <f t="shared" si="41"/>
        <v>150000</v>
      </c>
      <c r="J3188" s="164">
        <f t="shared" si="42"/>
        <v>150000</v>
      </c>
      <c r="K3188" s="56" t="s">
        <v>10672</v>
      </c>
      <c r="L3188" s="165" t="s">
        <v>10673</v>
      </c>
      <c r="M3188" s="73"/>
      <c r="N3188" s="171"/>
      <c r="O3188" s="169" t="s">
        <v>6923</v>
      </c>
      <c r="P3188" s="168" t="s">
        <v>3112</v>
      </c>
      <c r="Q3188" s="173"/>
      <c r="R3188" s="161">
        <v>150000.0</v>
      </c>
      <c r="S3188" s="173"/>
      <c r="T3188" s="173"/>
      <c r="U3188" s="173"/>
      <c r="V3188" s="169"/>
      <c r="W3188" s="171"/>
      <c r="X3188" s="171"/>
    </row>
    <row r="3189" ht="15.0" customHeight="1">
      <c r="A3189" s="127">
        <v>46057.0</v>
      </c>
      <c r="B3189" s="181" t="s">
        <v>10674</v>
      </c>
      <c r="C3189" s="56" t="s">
        <v>3099</v>
      </c>
      <c r="D3189" s="73" t="str">
        <f>IFERROR(VLOOKUP(C3189,Stock,3,FALSE),"")</f>
        <v>Toyota Calya / Sigra 16-</v>
      </c>
      <c r="E3189" s="56">
        <v>1.0</v>
      </c>
      <c r="F3189" s="161">
        <v>1200000.0</v>
      </c>
      <c r="G3189" s="162">
        <f t="shared" si="43"/>
        <v>1200000</v>
      </c>
      <c r="H3189" s="194"/>
      <c r="I3189" s="161">
        <f t="shared" si="41"/>
        <v>1200000</v>
      </c>
      <c r="J3189" s="164">
        <f t="shared" si="42"/>
        <v>1200000</v>
      </c>
      <c r="K3189" s="487" t="s">
        <v>7303</v>
      </c>
      <c r="L3189" s="165" t="s">
        <v>10675</v>
      </c>
      <c r="M3189" s="73"/>
      <c r="N3189" s="171"/>
      <c r="O3189" s="169" t="s">
        <v>6923</v>
      </c>
      <c r="P3189" s="168" t="s">
        <v>3112</v>
      </c>
      <c r="Q3189" s="173"/>
      <c r="R3189" s="161">
        <v>1200000.0</v>
      </c>
      <c r="S3189" s="173"/>
      <c r="T3189" s="173"/>
      <c r="U3189" s="173"/>
      <c r="V3189" s="169"/>
      <c r="W3189" s="171"/>
      <c r="X3189" s="171"/>
    </row>
    <row r="3190" ht="15.0" customHeight="1">
      <c r="A3190" s="127">
        <v>46057.0</v>
      </c>
      <c r="B3190" s="181" t="s">
        <v>10674</v>
      </c>
      <c r="C3190" s="56" t="s">
        <v>10233</v>
      </c>
      <c r="D3190" s="73" t="str">
        <f>IFERROR(VLOOKUP(C3190,Stock,3,FALSE),"")</f>
        <v>Automotive Film Standard - Black 60%       </v>
      </c>
      <c r="E3190" s="56">
        <v>1.0</v>
      </c>
      <c r="F3190" s="161">
        <v>300000.0</v>
      </c>
      <c r="G3190" s="162">
        <f t="shared" si="43"/>
        <v>300000</v>
      </c>
      <c r="H3190" s="201">
        <v>50000.0</v>
      </c>
      <c r="I3190" s="161">
        <f t="shared" si="41"/>
        <v>250000</v>
      </c>
      <c r="J3190" s="164">
        <f t="shared" si="42"/>
        <v>250000</v>
      </c>
      <c r="K3190" s="487" t="s">
        <v>7303</v>
      </c>
      <c r="L3190" s="165" t="s">
        <v>10675</v>
      </c>
      <c r="M3190" s="73"/>
      <c r="N3190" s="171"/>
      <c r="O3190" s="169" t="s">
        <v>6923</v>
      </c>
      <c r="P3190" s="168" t="s">
        <v>3112</v>
      </c>
      <c r="Q3190" s="173"/>
      <c r="R3190" s="161">
        <v>300000.0</v>
      </c>
      <c r="S3190" s="173"/>
      <c r="T3190" s="173"/>
      <c r="U3190" s="173"/>
      <c r="V3190" s="169"/>
      <c r="W3190" s="171"/>
      <c r="X3190" s="171"/>
    </row>
    <row r="3191" ht="15.0" customHeight="1">
      <c r="A3191" s="127">
        <v>46057.0</v>
      </c>
      <c r="B3191" s="181" t="s">
        <v>10676</v>
      </c>
      <c r="C3191" s="56" t="s">
        <v>10456</v>
      </c>
      <c r="D3191" s="73" t="str">
        <f>IFERROR(VLOOKUP(C3191,Stock,3,FALSE),"")</f>
        <v>Toyota Avanza / Xenia 03-11 1st Gen</v>
      </c>
      <c r="E3191" s="56">
        <v>1.0</v>
      </c>
      <c r="F3191" s="161">
        <v>1000000.0</v>
      </c>
      <c r="G3191" s="162">
        <f t="shared" si="43"/>
        <v>1000000</v>
      </c>
      <c r="H3191" s="194"/>
      <c r="I3191" s="161">
        <f t="shared" si="41"/>
        <v>1000000</v>
      </c>
      <c r="J3191" s="164">
        <f t="shared" si="42"/>
        <v>1000000</v>
      </c>
      <c r="K3191" s="56" t="s">
        <v>4366</v>
      </c>
      <c r="L3191" s="165" t="s">
        <v>10677</v>
      </c>
      <c r="M3191" s="73"/>
      <c r="N3191" s="171"/>
      <c r="O3191" s="169" t="s">
        <v>6923</v>
      </c>
      <c r="P3191" s="168" t="s">
        <v>10237</v>
      </c>
      <c r="Q3191" s="173"/>
      <c r="R3191" s="161">
        <v>1000000.0</v>
      </c>
      <c r="S3191" s="173"/>
      <c r="T3191" s="173"/>
      <c r="U3191" s="173"/>
      <c r="V3191" s="169"/>
      <c r="W3191" s="171"/>
      <c r="X3191" s="171"/>
    </row>
    <row r="3192" ht="15.0" customHeight="1">
      <c r="A3192" s="127">
        <v>46057.0</v>
      </c>
      <c r="B3192" s="181" t="s">
        <v>10676</v>
      </c>
      <c r="C3192" s="56" t="s">
        <v>3083</v>
      </c>
      <c r="D3192" s="73" t="str">
        <f>IFERROR(VLOOKUP(C3192,Stock,3,FALSE),"")</f>
        <v>List Kaca Depan Code 04</v>
      </c>
      <c r="E3192" s="56">
        <v>1.0</v>
      </c>
      <c r="F3192" s="161">
        <v>275000.0</v>
      </c>
      <c r="G3192" s="162">
        <f t="shared" si="43"/>
        <v>275000</v>
      </c>
      <c r="H3192" s="194"/>
      <c r="I3192" s="161">
        <f t="shared" si="41"/>
        <v>275000</v>
      </c>
      <c r="J3192" s="164">
        <f t="shared" si="42"/>
        <v>275000</v>
      </c>
      <c r="K3192" s="56" t="s">
        <v>4366</v>
      </c>
      <c r="L3192" s="165" t="s">
        <v>10677</v>
      </c>
      <c r="M3192" s="73"/>
      <c r="N3192" s="171"/>
      <c r="O3192" s="169" t="s">
        <v>6923</v>
      </c>
      <c r="P3192" s="168" t="s">
        <v>10237</v>
      </c>
      <c r="Q3192" s="173"/>
      <c r="R3192" s="161">
        <v>275000.0</v>
      </c>
      <c r="S3192" s="173"/>
      <c r="T3192" s="173"/>
      <c r="U3192" s="173"/>
      <c r="V3192" s="169"/>
      <c r="W3192" s="171"/>
      <c r="X3192" s="171"/>
    </row>
    <row r="3193" ht="15.0" customHeight="1">
      <c r="A3193" s="127">
        <v>46057.0</v>
      </c>
      <c r="B3193" s="181" t="s">
        <v>10678</v>
      </c>
      <c r="C3193" s="56" t="s">
        <v>4907</v>
      </c>
      <c r="D3193" s="73" t="str">
        <f>IFERROR(VLOOKUP(C3193,Stock,3,FALSE),"")</f>
        <v>Nissan Livina 07-12 L10 (Tanpa Lubang)</v>
      </c>
      <c r="E3193" s="56">
        <v>1.0</v>
      </c>
      <c r="F3193" s="161">
        <v>949000.0</v>
      </c>
      <c r="G3193" s="162">
        <f t="shared" si="43"/>
        <v>949000</v>
      </c>
      <c r="H3193" s="194"/>
      <c r="I3193" s="161">
        <f t="shared" si="41"/>
        <v>949000</v>
      </c>
      <c r="J3193" s="164">
        <f t="shared" si="42"/>
        <v>949000</v>
      </c>
      <c r="K3193" s="56" t="s">
        <v>8075</v>
      </c>
      <c r="L3193" s="165" t="s">
        <v>10494</v>
      </c>
      <c r="M3193" s="73"/>
      <c r="N3193" s="171"/>
      <c r="O3193" s="169" t="s">
        <v>6923</v>
      </c>
      <c r="P3193" s="168" t="s">
        <v>3112</v>
      </c>
      <c r="Q3193" s="173"/>
      <c r="R3193" s="167">
        <v>200000.0</v>
      </c>
      <c r="S3193" s="173"/>
      <c r="T3193" s="173"/>
      <c r="U3193" s="173"/>
      <c r="V3193" s="169"/>
      <c r="W3193" s="171"/>
      <c r="X3193" s="171"/>
    </row>
    <row r="3194" ht="15.0" customHeight="1">
      <c r="A3194" s="127">
        <v>46058.0</v>
      </c>
      <c r="B3194" s="181" t="s">
        <v>10679</v>
      </c>
      <c r="C3194" s="56" t="s">
        <v>5282</v>
      </c>
      <c r="D3194" s="73" t="str">
        <f>IFERROR(VLOOKUP(C3194,Stock,3,FALSE),"")</f>
        <v>Mitsubishi Canter FE800 01- (PS136)</v>
      </c>
      <c r="E3194" s="56">
        <v>1.0</v>
      </c>
      <c r="F3194" s="161">
        <v>1372000.0</v>
      </c>
      <c r="G3194" s="162">
        <f t="shared" si="43"/>
        <v>1372000</v>
      </c>
      <c r="H3194" s="194"/>
      <c r="I3194" s="161">
        <f t="shared" si="41"/>
        <v>1372000</v>
      </c>
      <c r="J3194" s="164">
        <f t="shared" si="42"/>
        <v>1372000</v>
      </c>
      <c r="K3194" s="56" t="s">
        <v>10680</v>
      </c>
      <c r="L3194" s="165" t="s">
        <v>10681</v>
      </c>
      <c r="M3194" s="73"/>
      <c r="N3194" s="171"/>
      <c r="O3194" s="169" t="s">
        <v>6923</v>
      </c>
      <c r="P3194" s="168" t="s">
        <v>3112</v>
      </c>
      <c r="Q3194" s="161">
        <v>1372000.0</v>
      </c>
      <c r="R3194" s="173"/>
      <c r="S3194" s="173"/>
      <c r="T3194" s="173"/>
      <c r="U3194" s="173"/>
      <c r="V3194" s="169"/>
      <c r="W3194" s="171"/>
      <c r="X3194" s="171"/>
    </row>
    <row r="3195" ht="15.0" customHeight="1">
      <c r="A3195" s="127">
        <v>46058.0</v>
      </c>
      <c r="B3195" s="181" t="s">
        <v>10679</v>
      </c>
      <c r="C3195" s="56" t="s">
        <v>2954</v>
      </c>
      <c r="D3195" s="73" t="str">
        <f>IFERROR(VLOOKUP(C3195,Stock,3,FALSE),"")</f>
        <v>Transport</v>
      </c>
      <c r="E3195" s="56">
        <v>1.0</v>
      </c>
      <c r="F3195" s="161">
        <v>30000.0</v>
      </c>
      <c r="G3195" s="162">
        <f t="shared" si="43"/>
        <v>30000</v>
      </c>
      <c r="H3195" s="194"/>
      <c r="I3195" s="161">
        <f t="shared" si="41"/>
        <v>30000</v>
      </c>
      <c r="J3195" s="164">
        <f t="shared" si="42"/>
        <v>30000</v>
      </c>
      <c r="K3195" s="56" t="s">
        <v>10680</v>
      </c>
      <c r="L3195" s="165" t="s">
        <v>10681</v>
      </c>
      <c r="M3195" s="73"/>
      <c r="N3195" s="171"/>
      <c r="O3195" s="169" t="s">
        <v>6923</v>
      </c>
      <c r="P3195" s="168" t="s">
        <v>3112</v>
      </c>
      <c r="Q3195" s="161">
        <v>30000.0</v>
      </c>
      <c r="R3195" s="173"/>
      <c r="S3195" s="173"/>
      <c r="T3195" s="173"/>
      <c r="U3195" s="173"/>
      <c r="V3195" s="169"/>
      <c r="W3195" s="171"/>
      <c r="X3195" s="171"/>
    </row>
    <row r="3196" ht="15.0" customHeight="1">
      <c r="A3196" s="127">
        <v>46058.0</v>
      </c>
      <c r="B3196" s="181" t="s">
        <v>10682</v>
      </c>
      <c r="C3196" s="56" t="s">
        <v>10537</v>
      </c>
      <c r="D3196" s="73" t="str">
        <f>IFERROR(VLOOKUP(C3196,Stock,3,FALSE),"")</f>
        <v>Honda Jazz 01-07 1st Gen</v>
      </c>
      <c r="E3196" s="56">
        <v>1.0</v>
      </c>
      <c r="F3196" s="161">
        <v>1474000.0</v>
      </c>
      <c r="G3196" s="162">
        <f t="shared" si="43"/>
        <v>1474000</v>
      </c>
      <c r="H3196" s="194"/>
      <c r="I3196" s="161">
        <f t="shared" si="41"/>
        <v>1474000</v>
      </c>
      <c r="J3196" s="164">
        <f t="shared" si="42"/>
        <v>1474000</v>
      </c>
      <c r="K3196" s="56" t="s">
        <v>5406</v>
      </c>
      <c r="L3196" s="165" t="s">
        <v>10683</v>
      </c>
      <c r="M3196" s="73"/>
      <c r="N3196" s="171"/>
      <c r="O3196" s="169" t="s">
        <v>6923</v>
      </c>
      <c r="P3196" s="168" t="s">
        <v>3112</v>
      </c>
      <c r="Q3196" s="173"/>
      <c r="R3196" s="161">
        <v>1474000.0</v>
      </c>
      <c r="S3196" s="173"/>
      <c r="T3196" s="173"/>
      <c r="U3196" s="173"/>
      <c r="V3196" s="169"/>
      <c r="W3196" s="171"/>
      <c r="X3196" s="171"/>
    </row>
    <row r="3197" ht="15.0" customHeight="1">
      <c r="A3197" s="127">
        <v>46058.0</v>
      </c>
      <c r="B3197" s="181" t="s">
        <v>10684</v>
      </c>
      <c r="C3197" s="56" t="s">
        <v>10456</v>
      </c>
      <c r="D3197" s="73" t="str">
        <f>IFERROR(VLOOKUP(C3197,Stock,3,FALSE),"")</f>
        <v>Toyota Avanza / Xenia 03-11 1st Gen</v>
      </c>
      <c r="E3197" s="56">
        <v>1.0</v>
      </c>
      <c r="F3197" s="161">
        <v>1000000.0</v>
      </c>
      <c r="G3197" s="162">
        <f t="shared" si="43"/>
        <v>1000000</v>
      </c>
      <c r="H3197" s="194"/>
      <c r="I3197" s="161">
        <f t="shared" si="41"/>
        <v>1000000</v>
      </c>
      <c r="J3197" s="164">
        <f t="shared" si="42"/>
        <v>1000000</v>
      </c>
      <c r="K3197" s="56" t="s">
        <v>10685</v>
      </c>
      <c r="L3197" s="165" t="s">
        <v>10686</v>
      </c>
      <c r="M3197" s="73"/>
      <c r="N3197" s="171"/>
      <c r="O3197" s="169" t="s">
        <v>6923</v>
      </c>
      <c r="P3197" s="168" t="s">
        <v>3112</v>
      </c>
      <c r="Q3197" s="173"/>
      <c r="R3197" s="161">
        <v>1000000.0</v>
      </c>
      <c r="S3197" s="173"/>
      <c r="T3197" s="173"/>
      <c r="U3197" s="173"/>
      <c r="V3197" s="169"/>
      <c r="W3197" s="171"/>
      <c r="X3197" s="171"/>
    </row>
    <row r="3198" ht="15.0" customHeight="1">
      <c r="A3198" s="127">
        <v>46058.0</v>
      </c>
      <c r="B3198" s="181" t="s">
        <v>10684</v>
      </c>
      <c r="C3198" s="56" t="s">
        <v>3083</v>
      </c>
      <c r="D3198" s="73" t="str">
        <f>IFERROR(VLOOKUP(C3198,Stock,3,FALSE),"")</f>
        <v>List Kaca Depan Code 04</v>
      </c>
      <c r="E3198" s="56">
        <v>1.0</v>
      </c>
      <c r="F3198" s="161">
        <v>275000.0</v>
      </c>
      <c r="G3198" s="162">
        <f t="shared" si="43"/>
        <v>275000</v>
      </c>
      <c r="H3198" s="194"/>
      <c r="I3198" s="161">
        <f t="shared" si="41"/>
        <v>275000</v>
      </c>
      <c r="J3198" s="164">
        <f t="shared" si="42"/>
        <v>275000</v>
      </c>
      <c r="K3198" s="56" t="s">
        <v>10685</v>
      </c>
      <c r="L3198" s="165" t="s">
        <v>10686</v>
      </c>
      <c r="M3198" s="73"/>
      <c r="N3198" s="171"/>
      <c r="O3198" s="169" t="s">
        <v>6923</v>
      </c>
      <c r="P3198" s="168" t="s">
        <v>3112</v>
      </c>
      <c r="Q3198" s="173"/>
      <c r="R3198" s="161">
        <v>275000.0</v>
      </c>
      <c r="S3198" s="173"/>
      <c r="T3198" s="173"/>
      <c r="U3198" s="173"/>
      <c r="V3198" s="169"/>
      <c r="W3198" s="171"/>
      <c r="X3198" s="171"/>
    </row>
    <row r="3199" ht="15.0" customHeight="1">
      <c r="A3199" s="127">
        <v>46058.0</v>
      </c>
      <c r="B3199" s="181" t="s">
        <v>10684</v>
      </c>
      <c r="C3199" s="56" t="s">
        <v>10233</v>
      </c>
      <c r="D3199" s="73" t="str">
        <f>IFERROR(VLOOKUP(C3199,Stock,3,FALSE),"")</f>
        <v>Automotive Film Standard - Black 60%       </v>
      </c>
      <c r="E3199" s="56">
        <v>1.0</v>
      </c>
      <c r="F3199" s="161">
        <v>300000.0</v>
      </c>
      <c r="G3199" s="162">
        <f t="shared" si="43"/>
        <v>300000</v>
      </c>
      <c r="H3199" s="194"/>
      <c r="I3199" s="161">
        <f t="shared" si="41"/>
        <v>300000</v>
      </c>
      <c r="J3199" s="164">
        <f t="shared" si="42"/>
        <v>300000</v>
      </c>
      <c r="K3199" s="56" t="s">
        <v>10685</v>
      </c>
      <c r="L3199" s="165" t="s">
        <v>10686</v>
      </c>
      <c r="M3199" s="73"/>
      <c r="N3199" s="171"/>
      <c r="O3199" s="169" t="s">
        <v>6923</v>
      </c>
      <c r="P3199" s="168" t="s">
        <v>3112</v>
      </c>
      <c r="Q3199" s="173"/>
      <c r="R3199" s="161">
        <v>300000.0</v>
      </c>
      <c r="S3199" s="173"/>
      <c r="T3199" s="173"/>
      <c r="U3199" s="173"/>
      <c r="V3199" s="169"/>
      <c r="W3199" s="171"/>
      <c r="X3199" s="171"/>
    </row>
    <row r="3200" ht="15.0" customHeight="1">
      <c r="A3200" s="127">
        <v>46058.0</v>
      </c>
      <c r="B3200" s="181" t="s">
        <v>10687</v>
      </c>
      <c r="C3200" s="56" t="s">
        <v>10333</v>
      </c>
      <c r="D3200" s="73" t="str">
        <f>IFERROR(VLOOKUP(C3200,Stock,3,FALSE),"")</f>
        <v>Toyota Avanza / Xenia 11-15 2nd Gen</v>
      </c>
      <c r="E3200" s="56">
        <v>1.0</v>
      </c>
      <c r="F3200" s="161">
        <v>1000000.0</v>
      </c>
      <c r="G3200" s="162">
        <f t="shared" si="43"/>
        <v>1000000</v>
      </c>
      <c r="H3200" s="194"/>
      <c r="I3200" s="161">
        <f t="shared" si="41"/>
        <v>1000000</v>
      </c>
      <c r="J3200" s="164">
        <f t="shared" si="42"/>
        <v>1000000</v>
      </c>
      <c r="K3200" s="56" t="s">
        <v>8959</v>
      </c>
      <c r="L3200" s="165" t="s">
        <v>10688</v>
      </c>
      <c r="M3200" s="73"/>
      <c r="N3200" s="171"/>
      <c r="O3200" s="169" t="s">
        <v>6923</v>
      </c>
      <c r="P3200" s="168" t="s">
        <v>3112</v>
      </c>
      <c r="Q3200" s="173"/>
      <c r="R3200" s="167">
        <v>1000000.0</v>
      </c>
      <c r="S3200" s="173"/>
      <c r="T3200" s="173"/>
      <c r="U3200" s="173"/>
      <c r="V3200" s="169"/>
      <c r="W3200" s="171"/>
      <c r="X3200" s="171"/>
    </row>
    <row r="3201" ht="15.0" customHeight="1">
      <c r="A3201" s="127">
        <v>46058.0</v>
      </c>
      <c r="B3201" s="181" t="s">
        <v>10687</v>
      </c>
      <c r="C3201" s="56" t="s">
        <v>3826</v>
      </c>
      <c r="D3201" s="73" t="str">
        <f>IFERROR(VLOOKUP(C3201,Stock,3,FALSE),"")</f>
        <v>List Kaca Depan Code 11</v>
      </c>
      <c r="E3201" s="56">
        <v>1.0</v>
      </c>
      <c r="F3201" s="161">
        <v>275000.0</v>
      </c>
      <c r="G3201" s="162">
        <f t="shared" si="43"/>
        <v>275000</v>
      </c>
      <c r="H3201" s="194"/>
      <c r="I3201" s="161">
        <f t="shared" si="41"/>
        <v>275000</v>
      </c>
      <c r="J3201" s="164">
        <f t="shared" si="42"/>
        <v>275000</v>
      </c>
      <c r="K3201" s="56" t="s">
        <v>8959</v>
      </c>
      <c r="L3201" s="165" t="s">
        <v>10688</v>
      </c>
      <c r="M3201" s="73"/>
      <c r="N3201" s="171"/>
      <c r="O3201" s="169" t="s">
        <v>6923</v>
      </c>
      <c r="P3201" s="168" t="s">
        <v>3112</v>
      </c>
      <c r="Q3201" s="173"/>
      <c r="R3201" s="167">
        <v>275000.0</v>
      </c>
      <c r="S3201" s="173"/>
      <c r="T3201" s="173"/>
      <c r="U3201" s="173"/>
      <c r="V3201" s="169"/>
      <c r="W3201" s="171"/>
      <c r="X3201" s="171"/>
    </row>
    <row r="3202" ht="15.0" customHeight="1">
      <c r="A3202" s="127">
        <v>46059.0</v>
      </c>
      <c r="B3202" s="181" t="s">
        <v>10689</v>
      </c>
      <c r="C3202" s="56" t="s">
        <v>10289</v>
      </c>
      <c r="D3202" s="73" t="str">
        <f>IFERROR(VLOOKUP(C3202,Stock,3,FALSE),"")</f>
        <v>Toyota Avanza / Xenia 15-21 3rd Gen</v>
      </c>
      <c r="E3202" s="56">
        <v>1.0</v>
      </c>
      <c r="F3202" s="161">
        <v>1000000.0</v>
      </c>
      <c r="G3202" s="162">
        <f t="shared" si="43"/>
        <v>1000000</v>
      </c>
      <c r="H3202" s="194"/>
      <c r="I3202" s="161">
        <f t="shared" si="41"/>
        <v>1000000</v>
      </c>
      <c r="J3202" s="164">
        <f t="shared" si="42"/>
        <v>1000000</v>
      </c>
      <c r="K3202" s="56" t="s">
        <v>10690</v>
      </c>
      <c r="L3202" s="165" t="s">
        <v>10691</v>
      </c>
      <c r="M3202" s="73"/>
      <c r="N3202" s="171"/>
      <c r="O3202" s="169" t="s">
        <v>6923</v>
      </c>
      <c r="P3202" s="168" t="s">
        <v>3112</v>
      </c>
      <c r="Q3202" s="173"/>
      <c r="R3202" s="161">
        <v>1000000.0</v>
      </c>
      <c r="S3202" s="173"/>
      <c r="T3202" s="173"/>
      <c r="U3202" s="173"/>
      <c r="V3202" s="169"/>
      <c r="W3202" s="171"/>
      <c r="X3202" s="171"/>
    </row>
    <row r="3203" ht="15.0" customHeight="1">
      <c r="A3203" s="127">
        <v>46059.0</v>
      </c>
      <c r="B3203" s="181" t="s">
        <v>10689</v>
      </c>
      <c r="C3203" s="56" t="s">
        <v>10233</v>
      </c>
      <c r="D3203" s="73" t="str">
        <f>IFERROR(VLOOKUP(C3203,Stock,3,FALSE),"")</f>
        <v>Automotive Film Standard - Black 60%       </v>
      </c>
      <c r="E3203" s="56">
        <v>1.0</v>
      </c>
      <c r="F3203" s="161">
        <v>300000.0</v>
      </c>
      <c r="G3203" s="162">
        <f t="shared" si="43"/>
        <v>300000</v>
      </c>
      <c r="H3203" s="194"/>
      <c r="I3203" s="161">
        <f t="shared" si="41"/>
        <v>300000</v>
      </c>
      <c r="J3203" s="164">
        <f t="shared" si="42"/>
        <v>300000</v>
      </c>
      <c r="K3203" s="56" t="s">
        <v>10690</v>
      </c>
      <c r="L3203" s="165" t="s">
        <v>10691</v>
      </c>
      <c r="M3203" s="73"/>
      <c r="N3203" s="171"/>
      <c r="O3203" s="169" t="s">
        <v>6923</v>
      </c>
      <c r="P3203" s="168" t="s">
        <v>3112</v>
      </c>
      <c r="Q3203" s="173"/>
      <c r="R3203" s="161">
        <v>300000.0</v>
      </c>
      <c r="S3203" s="173"/>
      <c r="T3203" s="173"/>
      <c r="U3203" s="173"/>
      <c r="V3203" s="169"/>
      <c r="W3203" s="171"/>
      <c r="X3203" s="171"/>
    </row>
    <row r="3204" ht="15.0" customHeight="1">
      <c r="A3204" s="127">
        <v>46059.0</v>
      </c>
      <c r="B3204" s="181" t="s">
        <v>10692</v>
      </c>
      <c r="C3204" s="56" t="s">
        <v>7408</v>
      </c>
      <c r="D3204" s="73" t="str">
        <f>IFERROR(VLOOKUP(C3204,Stock,3,FALSE),"")</f>
        <v>Honda Brio 10-</v>
      </c>
      <c r="E3204" s="56">
        <v>1.0</v>
      </c>
      <c r="F3204" s="161">
        <v>625000.0</v>
      </c>
      <c r="G3204" s="162">
        <f t="shared" si="43"/>
        <v>625000</v>
      </c>
      <c r="H3204" s="194"/>
      <c r="I3204" s="161">
        <f t="shared" si="41"/>
        <v>625000</v>
      </c>
      <c r="J3204" s="164">
        <f t="shared" si="42"/>
        <v>625000</v>
      </c>
      <c r="K3204" s="56" t="s">
        <v>10693</v>
      </c>
      <c r="L3204" s="165" t="s">
        <v>10694</v>
      </c>
      <c r="M3204" s="73"/>
      <c r="N3204" s="171"/>
      <c r="O3204" s="169" t="s">
        <v>6923</v>
      </c>
      <c r="P3204" s="168" t="s">
        <v>3112</v>
      </c>
      <c r="Q3204" s="173"/>
      <c r="R3204" s="161">
        <v>625000.0</v>
      </c>
      <c r="S3204" s="173"/>
      <c r="T3204" s="173"/>
      <c r="U3204" s="173"/>
      <c r="V3204" s="169"/>
      <c r="W3204" s="171"/>
      <c r="X3204" s="171"/>
    </row>
    <row r="3205" ht="15.0" customHeight="1">
      <c r="A3205" s="127">
        <v>46059.0</v>
      </c>
      <c r="B3205" s="181" t="s">
        <v>10692</v>
      </c>
      <c r="C3205" s="56" t="s">
        <v>10233</v>
      </c>
      <c r="D3205" s="73" t="str">
        <f>IFERROR(VLOOKUP(C3205,Stock,3,FALSE),"")</f>
        <v>Automotive Film Standard - Black 60%       </v>
      </c>
      <c r="E3205" s="56">
        <v>1.0</v>
      </c>
      <c r="F3205" s="161">
        <v>200000.0</v>
      </c>
      <c r="G3205" s="162">
        <f t="shared" si="43"/>
        <v>200000</v>
      </c>
      <c r="H3205" s="194"/>
      <c r="I3205" s="161">
        <f t="shared" si="41"/>
        <v>200000</v>
      </c>
      <c r="J3205" s="164">
        <f t="shared" si="42"/>
        <v>200000</v>
      </c>
      <c r="K3205" s="56" t="s">
        <v>10693</v>
      </c>
      <c r="L3205" s="165" t="s">
        <v>10694</v>
      </c>
      <c r="M3205" s="73"/>
      <c r="N3205" s="171"/>
      <c r="O3205" s="169" t="s">
        <v>6923</v>
      </c>
      <c r="P3205" s="168" t="s">
        <v>3112</v>
      </c>
      <c r="Q3205" s="173"/>
      <c r="R3205" s="161">
        <v>200000.0</v>
      </c>
      <c r="S3205" s="173"/>
      <c r="T3205" s="173"/>
      <c r="U3205" s="173"/>
      <c r="V3205" s="169"/>
      <c r="W3205" s="171"/>
      <c r="X3205" s="171"/>
    </row>
    <row r="3206" ht="15.0" customHeight="1">
      <c r="A3206" s="127">
        <v>46059.0</v>
      </c>
      <c r="B3206" s="181" t="s">
        <v>10695</v>
      </c>
      <c r="C3206" s="56" t="s">
        <v>3033</v>
      </c>
      <c r="D3206" s="73" t="str">
        <f>IFERROR(VLOOKUP(C3206,Stock,3,FALSE),"")</f>
        <v>Toyota Innova 04-15 1st Gen</v>
      </c>
      <c r="E3206" s="56">
        <v>1.0</v>
      </c>
      <c r="F3206" s="161">
        <v>1292000.0</v>
      </c>
      <c r="G3206" s="162">
        <f t="shared" si="43"/>
        <v>1292000</v>
      </c>
      <c r="H3206" s="194"/>
      <c r="I3206" s="161">
        <f t="shared" si="41"/>
        <v>1292000</v>
      </c>
      <c r="J3206" s="164">
        <f t="shared" si="42"/>
        <v>1292000</v>
      </c>
      <c r="K3206" s="56" t="s">
        <v>10696</v>
      </c>
      <c r="L3206" s="165" t="s">
        <v>10697</v>
      </c>
      <c r="M3206" s="73"/>
      <c r="N3206" s="171"/>
      <c r="O3206" s="169" t="s">
        <v>3204</v>
      </c>
      <c r="P3206" s="168" t="s">
        <v>3112</v>
      </c>
      <c r="Q3206" s="173"/>
      <c r="R3206" s="161">
        <v>1292000.0</v>
      </c>
      <c r="S3206" s="173"/>
      <c r="T3206" s="173"/>
      <c r="U3206" s="173"/>
      <c r="V3206" s="169"/>
      <c r="W3206" s="171"/>
      <c r="X3206" s="171"/>
    </row>
    <row r="3207" ht="15.0" customHeight="1">
      <c r="A3207" s="127">
        <v>46059.0</v>
      </c>
      <c r="B3207" s="181" t="s">
        <v>10695</v>
      </c>
      <c r="C3207" s="56" t="s">
        <v>2954</v>
      </c>
      <c r="D3207" s="73" t="str">
        <f>IFERROR(VLOOKUP(C3207,Stock,3,FALSE),"")</f>
        <v>Transport</v>
      </c>
      <c r="E3207" s="56">
        <v>1.0</v>
      </c>
      <c r="F3207" s="161">
        <v>50000.0</v>
      </c>
      <c r="G3207" s="162">
        <f t="shared" si="43"/>
        <v>50000</v>
      </c>
      <c r="H3207" s="194"/>
      <c r="I3207" s="161">
        <f t="shared" si="41"/>
        <v>50000</v>
      </c>
      <c r="J3207" s="164">
        <f t="shared" si="42"/>
        <v>50000</v>
      </c>
      <c r="K3207" s="56" t="s">
        <v>10696</v>
      </c>
      <c r="L3207" s="165" t="s">
        <v>10697</v>
      </c>
      <c r="M3207" s="73"/>
      <c r="N3207" s="171"/>
      <c r="O3207" s="169" t="s">
        <v>3204</v>
      </c>
      <c r="P3207" s="168" t="s">
        <v>3112</v>
      </c>
      <c r="Q3207" s="173"/>
      <c r="R3207" s="161">
        <v>50000.0</v>
      </c>
      <c r="S3207" s="173"/>
      <c r="T3207" s="173"/>
      <c r="U3207" s="173"/>
      <c r="V3207" s="169"/>
      <c r="W3207" s="171"/>
      <c r="X3207" s="171"/>
    </row>
    <row r="3208" ht="15.0" customHeight="1">
      <c r="A3208" s="127">
        <v>46060.0</v>
      </c>
      <c r="B3208" s="181" t="s">
        <v>10698</v>
      </c>
      <c r="C3208" s="56" t="s">
        <v>2973</v>
      </c>
      <c r="D3208" s="73" t="str">
        <f>IFERROR(VLOOKUP(C3208,Stock,3,FALSE),"")</f>
        <v>Toyota Innova 04-15 1st Gen</v>
      </c>
      <c r="E3208" s="56">
        <v>1.0</v>
      </c>
      <c r="F3208" s="161">
        <v>1300000.0</v>
      </c>
      <c r="G3208" s="162">
        <f t="shared" si="43"/>
        <v>1300000</v>
      </c>
      <c r="H3208" s="194"/>
      <c r="I3208" s="161">
        <f t="shared" si="41"/>
        <v>1300000</v>
      </c>
      <c r="J3208" s="164">
        <f t="shared" si="42"/>
        <v>1300000</v>
      </c>
      <c r="K3208" s="56" t="s">
        <v>10699</v>
      </c>
      <c r="L3208" s="165" t="s">
        <v>10700</v>
      </c>
      <c r="M3208" s="73"/>
      <c r="N3208" s="171"/>
      <c r="O3208" s="169" t="s">
        <v>6923</v>
      </c>
      <c r="P3208" s="168" t="s">
        <v>3112</v>
      </c>
      <c r="Q3208" s="173"/>
      <c r="R3208" s="161">
        <v>1300000.0</v>
      </c>
      <c r="S3208" s="173"/>
      <c r="T3208" s="173"/>
      <c r="U3208" s="173"/>
      <c r="V3208" s="169"/>
      <c r="W3208" s="171"/>
      <c r="X3208" s="171"/>
    </row>
    <row r="3209" ht="15.0" customHeight="1">
      <c r="A3209" s="127">
        <v>46060.0</v>
      </c>
      <c r="B3209" s="181" t="s">
        <v>10698</v>
      </c>
      <c r="C3209" s="56" t="s">
        <v>10701</v>
      </c>
      <c r="D3209" s="73" t="str">
        <f>IFERROR(VLOOKUP(C3209,Stock,3,FALSE),"")</f>
        <v>Toyota Dyna/Hino Dutro 00-</v>
      </c>
      <c r="E3209" s="56">
        <v>1.0</v>
      </c>
      <c r="F3209" s="161">
        <v>1250000.0</v>
      </c>
      <c r="G3209" s="162">
        <f t="shared" si="43"/>
        <v>1250000</v>
      </c>
      <c r="H3209" s="194"/>
      <c r="I3209" s="161">
        <f t="shared" si="41"/>
        <v>1250000</v>
      </c>
      <c r="J3209" s="164">
        <f t="shared" si="42"/>
        <v>1250000</v>
      </c>
      <c r="K3209" s="56" t="s">
        <v>10699</v>
      </c>
      <c r="L3209" s="165" t="s">
        <v>10700</v>
      </c>
      <c r="M3209" s="73"/>
      <c r="N3209" s="171"/>
      <c r="O3209" s="169" t="s">
        <v>6923</v>
      </c>
      <c r="P3209" s="168" t="s">
        <v>3112</v>
      </c>
      <c r="Q3209" s="173"/>
      <c r="R3209" s="161">
        <v>1250000.0</v>
      </c>
      <c r="S3209" s="173"/>
      <c r="T3209" s="173"/>
      <c r="U3209" s="173"/>
      <c r="V3209" s="169"/>
      <c r="W3209" s="171"/>
      <c r="X3209" s="171"/>
    </row>
    <row r="3210" ht="15.0" customHeight="1">
      <c r="A3210" s="127">
        <v>46060.0</v>
      </c>
      <c r="B3210" s="181" t="s">
        <v>10698</v>
      </c>
      <c r="C3210" s="56" t="s">
        <v>3355</v>
      </c>
      <c r="D3210" s="73" t="str">
        <f>IFERROR(VLOOKUP(C3210,Stock,3,FALSE),"")</f>
        <v>List Kaca Depan INV</v>
      </c>
      <c r="E3210" s="56">
        <v>1.0</v>
      </c>
      <c r="F3210" s="161">
        <v>315000.0</v>
      </c>
      <c r="G3210" s="162">
        <f t="shared" si="43"/>
        <v>315000</v>
      </c>
      <c r="H3210" s="194"/>
      <c r="I3210" s="161">
        <f t="shared" si="41"/>
        <v>315000</v>
      </c>
      <c r="J3210" s="164">
        <f t="shared" si="42"/>
        <v>315000</v>
      </c>
      <c r="K3210" s="56" t="s">
        <v>10699</v>
      </c>
      <c r="L3210" s="165" t="s">
        <v>10700</v>
      </c>
      <c r="M3210" s="73"/>
      <c r="N3210" s="171"/>
      <c r="O3210" s="169" t="s">
        <v>6923</v>
      </c>
      <c r="P3210" s="168" t="s">
        <v>3112</v>
      </c>
      <c r="Q3210" s="173"/>
      <c r="R3210" s="161">
        <v>315000.0</v>
      </c>
      <c r="S3210" s="173"/>
      <c r="T3210" s="173"/>
      <c r="U3210" s="173"/>
      <c r="V3210" s="169"/>
      <c r="W3210" s="171"/>
      <c r="X3210" s="171"/>
    </row>
    <row r="3211" ht="15.0" customHeight="1">
      <c r="A3211" s="127">
        <v>46060.0</v>
      </c>
      <c r="B3211" s="181" t="s">
        <v>10698</v>
      </c>
      <c r="C3211" s="56" t="s">
        <v>9372</v>
      </c>
      <c r="D3211" s="73" t="str">
        <f>IFERROR(VLOOKUP(C3211,Stock,3,FALSE),"")</f>
        <v>Automotive Film Standard - Black 80%  </v>
      </c>
      <c r="E3211" s="56">
        <v>1.0</v>
      </c>
      <c r="F3211" s="161">
        <v>150000.0</v>
      </c>
      <c r="G3211" s="162">
        <f t="shared" si="43"/>
        <v>150000</v>
      </c>
      <c r="H3211" s="194"/>
      <c r="I3211" s="161">
        <f t="shared" si="41"/>
        <v>150000</v>
      </c>
      <c r="J3211" s="164">
        <f t="shared" si="42"/>
        <v>150000</v>
      </c>
      <c r="K3211" s="56" t="s">
        <v>10699</v>
      </c>
      <c r="L3211" s="165" t="s">
        <v>10700</v>
      </c>
      <c r="M3211" s="73"/>
      <c r="N3211" s="171"/>
      <c r="O3211" s="169" t="s">
        <v>6923</v>
      </c>
      <c r="P3211" s="168" t="s">
        <v>3112</v>
      </c>
      <c r="Q3211" s="173"/>
      <c r="R3211" s="161">
        <v>150000.0</v>
      </c>
      <c r="S3211" s="173"/>
      <c r="T3211" s="173"/>
      <c r="U3211" s="173"/>
      <c r="V3211" s="169"/>
      <c r="W3211" s="171"/>
      <c r="X3211" s="171"/>
    </row>
    <row r="3212" ht="15.0" customHeight="1">
      <c r="A3212" s="127">
        <v>46060.0</v>
      </c>
      <c r="B3212" s="181" t="s">
        <v>10702</v>
      </c>
      <c r="C3212" s="56" t="s">
        <v>2936</v>
      </c>
      <c r="D3212" s="73" t="str">
        <f>IFERROR(VLOOKUP(C3212,Stock,3,FALSE),"")</f>
        <v>Toyota Calya / Sigra 16-</v>
      </c>
      <c r="E3212" s="56">
        <v>1.0</v>
      </c>
      <c r="F3212" s="161">
        <v>900000.0</v>
      </c>
      <c r="G3212" s="162">
        <f t="shared" si="43"/>
        <v>900000</v>
      </c>
      <c r="H3212" s="194"/>
      <c r="I3212" s="161">
        <f t="shared" si="41"/>
        <v>900000</v>
      </c>
      <c r="J3212" s="164">
        <f t="shared" si="42"/>
        <v>900000</v>
      </c>
      <c r="K3212" s="56" t="s">
        <v>10703</v>
      </c>
      <c r="L3212" s="165" t="s">
        <v>10704</v>
      </c>
      <c r="M3212" s="73"/>
      <c r="N3212" s="171"/>
      <c r="O3212" s="169" t="s">
        <v>6923</v>
      </c>
      <c r="P3212" s="168" t="s">
        <v>3112</v>
      </c>
      <c r="Q3212" s="173"/>
      <c r="R3212" s="161">
        <v>900000.0</v>
      </c>
      <c r="S3212" s="173"/>
      <c r="T3212" s="173"/>
      <c r="U3212" s="173"/>
      <c r="V3212" s="169"/>
      <c r="W3212" s="171"/>
      <c r="X3212" s="171"/>
    </row>
    <row r="3213" ht="15.0" customHeight="1">
      <c r="A3213" s="127">
        <v>46060.0</v>
      </c>
      <c r="B3213" s="181" t="s">
        <v>10702</v>
      </c>
      <c r="C3213" s="56" t="s">
        <v>10233</v>
      </c>
      <c r="D3213" s="73" t="str">
        <f>IFERROR(VLOOKUP(C3213,Stock,3,FALSE),"")</f>
        <v>Automotive Film Standard - Black 60%       </v>
      </c>
      <c r="E3213" s="56">
        <v>1.0</v>
      </c>
      <c r="F3213" s="161">
        <v>250000.0</v>
      </c>
      <c r="G3213" s="162">
        <f t="shared" si="43"/>
        <v>250000</v>
      </c>
      <c r="H3213" s="194"/>
      <c r="I3213" s="161">
        <f t="shared" si="41"/>
        <v>250000</v>
      </c>
      <c r="J3213" s="164">
        <f t="shared" si="42"/>
        <v>250000</v>
      </c>
      <c r="K3213" s="56" t="s">
        <v>10703</v>
      </c>
      <c r="L3213" s="165" t="s">
        <v>10704</v>
      </c>
      <c r="M3213" s="73"/>
      <c r="N3213" s="171"/>
      <c r="O3213" s="169" t="s">
        <v>6923</v>
      </c>
      <c r="P3213" s="168" t="s">
        <v>3112</v>
      </c>
      <c r="Q3213" s="173"/>
      <c r="R3213" s="161">
        <v>250000.0</v>
      </c>
      <c r="S3213" s="173"/>
      <c r="T3213" s="173"/>
      <c r="U3213" s="173"/>
      <c r="V3213" s="169"/>
      <c r="W3213" s="171"/>
      <c r="X3213" s="171"/>
    </row>
    <row r="3214" ht="15.0" customHeight="1">
      <c r="A3214" s="127">
        <v>46060.0</v>
      </c>
      <c r="B3214" s="181" t="s">
        <v>10705</v>
      </c>
      <c r="C3214" s="56" t="s">
        <v>2973</v>
      </c>
      <c r="D3214" s="73" t="str">
        <f>IFERROR(VLOOKUP(C3214,Stock,3,FALSE),"")</f>
        <v>Toyota Innova 04-15 1st Gen</v>
      </c>
      <c r="E3214" s="56">
        <v>1.0</v>
      </c>
      <c r="F3214" s="161">
        <v>1300000.0</v>
      </c>
      <c r="G3214" s="162">
        <f t="shared" si="43"/>
        <v>1300000</v>
      </c>
      <c r="H3214" s="194"/>
      <c r="I3214" s="161">
        <f t="shared" si="41"/>
        <v>1300000</v>
      </c>
      <c r="J3214" s="164">
        <f t="shared" si="42"/>
        <v>1300000</v>
      </c>
      <c r="K3214" s="487" t="s">
        <v>10706</v>
      </c>
      <c r="L3214" s="165" t="s">
        <v>10707</v>
      </c>
      <c r="M3214" s="73"/>
      <c r="N3214" s="171"/>
      <c r="O3214" s="169" t="s">
        <v>6923</v>
      </c>
      <c r="P3214" s="168" t="s">
        <v>3112</v>
      </c>
      <c r="Q3214" s="173"/>
      <c r="R3214" s="161">
        <v>1300000.0</v>
      </c>
      <c r="S3214" s="173"/>
      <c r="T3214" s="173"/>
      <c r="U3214" s="173"/>
      <c r="V3214" s="169"/>
      <c r="W3214" s="171"/>
      <c r="X3214" s="171"/>
    </row>
    <row r="3215" ht="15.0" customHeight="1">
      <c r="A3215" s="127">
        <v>46060.0</v>
      </c>
      <c r="B3215" s="181" t="s">
        <v>10705</v>
      </c>
      <c r="C3215" s="56" t="s">
        <v>10233</v>
      </c>
      <c r="D3215" s="73" t="str">
        <f>IFERROR(VLOOKUP(C3215,Stock,3,FALSE),"")</f>
        <v>Automotive Film Standard - Black 60%       </v>
      </c>
      <c r="E3215" s="56">
        <v>1.0</v>
      </c>
      <c r="F3215" s="161">
        <v>150000.0</v>
      </c>
      <c r="G3215" s="162">
        <f t="shared" si="43"/>
        <v>150000</v>
      </c>
      <c r="H3215" s="194"/>
      <c r="I3215" s="161">
        <f t="shared" si="41"/>
        <v>150000</v>
      </c>
      <c r="J3215" s="164">
        <f t="shared" si="42"/>
        <v>150000</v>
      </c>
      <c r="K3215" s="56" t="s">
        <v>10706</v>
      </c>
      <c r="L3215" s="165" t="s">
        <v>10707</v>
      </c>
      <c r="M3215" s="73"/>
      <c r="N3215" s="171"/>
      <c r="O3215" s="169" t="s">
        <v>6923</v>
      </c>
      <c r="P3215" s="168" t="s">
        <v>3112</v>
      </c>
      <c r="Q3215" s="161"/>
      <c r="R3215" s="161">
        <v>150000.0</v>
      </c>
      <c r="S3215" s="173"/>
      <c r="T3215" s="173"/>
      <c r="U3215" s="173"/>
      <c r="V3215" s="169"/>
      <c r="W3215" s="171"/>
      <c r="X3215" s="171"/>
    </row>
    <row r="3216" ht="15.0" customHeight="1">
      <c r="A3216" s="127">
        <v>46060.0</v>
      </c>
      <c r="B3216" s="181" t="s">
        <v>10705</v>
      </c>
      <c r="C3216" s="56" t="s">
        <v>2954</v>
      </c>
      <c r="D3216" s="73" t="str">
        <f>IFERROR(VLOOKUP(C3216,Stock,3,FALSE),"")</f>
        <v>Transport</v>
      </c>
      <c r="E3216" s="56">
        <v>1.0</v>
      </c>
      <c r="F3216" s="161">
        <v>100000.0</v>
      </c>
      <c r="G3216" s="162">
        <f t="shared" si="43"/>
        <v>100000</v>
      </c>
      <c r="H3216" s="194"/>
      <c r="I3216" s="161">
        <f t="shared" si="41"/>
        <v>100000</v>
      </c>
      <c r="J3216" s="164">
        <f t="shared" si="42"/>
        <v>100000</v>
      </c>
      <c r="K3216" s="56" t="s">
        <v>10706</v>
      </c>
      <c r="L3216" s="165" t="s">
        <v>10707</v>
      </c>
      <c r="M3216" s="73"/>
      <c r="N3216" s="171"/>
      <c r="O3216" s="169" t="s">
        <v>6923</v>
      </c>
      <c r="P3216" s="168" t="s">
        <v>3112</v>
      </c>
      <c r="Q3216" s="161">
        <v>100000.0</v>
      </c>
      <c r="R3216" s="173"/>
      <c r="S3216" s="173"/>
      <c r="T3216" s="173"/>
      <c r="U3216" s="173"/>
      <c r="V3216" s="169"/>
      <c r="W3216" s="171"/>
      <c r="X3216" s="171"/>
    </row>
    <row r="3217" ht="15.0" customHeight="1">
      <c r="A3217" s="127">
        <v>46061.0</v>
      </c>
      <c r="B3217" s="181" t="s">
        <v>10708</v>
      </c>
      <c r="C3217" s="56" t="s">
        <v>3290</v>
      </c>
      <c r="D3217" s="73" t="str">
        <f>IFERROR(VLOOKUP(C3217,Stock,3,FALSE),"")</f>
        <v>Toyota Innova 04-15 1st Gen</v>
      </c>
      <c r="E3217" s="56">
        <v>1.0</v>
      </c>
      <c r="F3217" s="161">
        <v>1300000.0</v>
      </c>
      <c r="G3217" s="162">
        <f t="shared" si="43"/>
        <v>1300000</v>
      </c>
      <c r="H3217" s="194"/>
      <c r="I3217" s="161">
        <f t="shared" si="41"/>
        <v>1300000</v>
      </c>
      <c r="J3217" s="164">
        <f t="shared" si="42"/>
        <v>1300000</v>
      </c>
      <c r="K3217" s="56" t="s">
        <v>10476</v>
      </c>
      <c r="L3217" s="165" t="s">
        <v>4315</v>
      </c>
      <c r="M3217" s="73"/>
      <c r="N3217" s="171"/>
      <c r="O3217" s="169" t="s">
        <v>6923</v>
      </c>
      <c r="P3217" s="168" t="s">
        <v>3112</v>
      </c>
      <c r="Q3217" s="173"/>
      <c r="R3217" s="167">
        <v>1300000.0</v>
      </c>
      <c r="S3217" s="173"/>
      <c r="T3217" s="173"/>
      <c r="U3217" s="173"/>
      <c r="V3217" s="169"/>
      <c r="W3217" s="171"/>
      <c r="X3217" s="171"/>
    </row>
    <row r="3218" ht="15.0" customHeight="1">
      <c r="A3218" s="127">
        <v>46062.0</v>
      </c>
      <c r="B3218" s="181" t="s">
        <v>10709</v>
      </c>
      <c r="C3218" s="56" t="s">
        <v>5635</v>
      </c>
      <c r="D3218" s="73" t="str">
        <f>IFERROR(VLOOKUP(C3218,Stock,3,FALSE),"")</f>
        <v>Honda HR-V 14-21 5D SUV</v>
      </c>
      <c r="E3218" s="56">
        <v>1.0</v>
      </c>
      <c r="F3218" s="161">
        <v>965000.0</v>
      </c>
      <c r="G3218" s="162">
        <f t="shared" si="43"/>
        <v>965000</v>
      </c>
      <c r="H3218" s="194"/>
      <c r="I3218" s="161">
        <f t="shared" si="41"/>
        <v>965000</v>
      </c>
      <c r="J3218" s="164">
        <f t="shared" si="42"/>
        <v>965000</v>
      </c>
      <c r="K3218" s="56" t="s">
        <v>7691</v>
      </c>
      <c r="L3218" s="165" t="s">
        <v>9794</v>
      </c>
      <c r="M3218" s="73"/>
      <c r="N3218" s="171"/>
      <c r="O3218" s="169" t="s">
        <v>6923</v>
      </c>
      <c r="P3218" s="168" t="s">
        <v>3112</v>
      </c>
      <c r="Q3218" s="173"/>
      <c r="R3218" s="167">
        <v>965000.0</v>
      </c>
      <c r="S3218" s="173"/>
      <c r="T3218" s="173"/>
      <c r="U3218" s="173"/>
      <c r="V3218" s="169"/>
      <c r="W3218" s="171"/>
      <c r="X3218" s="171"/>
    </row>
    <row r="3219" ht="15.0" customHeight="1">
      <c r="A3219" s="127">
        <v>46063.0</v>
      </c>
      <c r="B3219" s="181" t="s">
        <v>10710</v>
      </c>
      <c r="C3219" s="56" t="s">
        <v>2784</v>
      </c>
      <c r="D3219" s="73" t="str">
        <f>IFERROR(VLOOKUP(C3219,Stock,3,FALSE),"")</f>
        <v>Honda City 19- GN</v>
      </c>
      <c r="E3219" s="56">
        <v>1.0</v>
      </c>
      <c r="F3219" s="161">
        <v>2672000.0</v>
      </c>
      <c r="G3219" s="162">
        <f t="shared" si="43"/>
        <v>2672000</v>
      </c>
      <c r="H3219" s="194"/>
      <c r="I3219" s="161">
        <f t="shared" si="41"/>
        <v>2672000</v>
      </c>
      <c r="J3219" s="164">
        <f t="shared" si="42"/>
        <v>2672000</v>
      </c>
      <c r="K3219" s="56" t="s">
        <v>7502</v>
      </c>
      <c r="L3219" s="165" t="s">
        <v>10711</v>
      </c>
      <c r="M3219" s="73"/>
      <c r="N3219" s="171"/>
      <c r="O3219" s="169" t="s">
        <v>6923</v>
      </c>
      <c r="P3219" s="168" t="s">
        <v>3112</v>
      </c>
      <c r="Q3219" s="173"/>
      <c r="R3219" s="167">
        <v>2672000.0</v>
      </c>
      <c r="S3219" s="173"/>
      <c r="T3219" s="173"/>
      <c r="U3219" s="173"/>
      <c r="V3219" s="169"/>
      <c r="W3219" s="171"/>
      <c r="X3219" s="171"/>
    </row>
    <row r="3220" ht="15.0" customHeight="1">
      <c r="A3220" s="127">
        <v>46063.0</v>
      </c>
      <c r="B3220" s="181" t="s">
        <v>10712</v>
      </c>
      <c r="C3220" s="56" t="s">
        <v>2549</v>
      </c>
      <c r="D3220" s="73" t="str">
        <f>IFERROR(VLOOKUP(C3220,Stock,3,FALSE),"")</f>
        <v>Toyota Avanza / Xenia 11-15 2nd Gen</v>
      </c>
      <c r="E3220" s="56">
        <v>1.0</v>
      </c>
      <c r="F3220" s="161">
        <v>1150000.0</v>
      </c>
      <c r="G3220" s="162">
        <f t="shared" si="43"/>
        <v>1150000</v>
      </c>
      <c r="H3220" s="194"/>
      <c r="I3220" s="161">
        <f t="shared" si="41"/>
        <v>1150000</v>
      </c>
      <c r="J3220" s="164">
        <f t="shared" si="42"/>
        <v>1150000</v>
      </c>
      <c r="K3220" s="56" t="s">
        <v>10713</v>
      </c>
      <c r="L3220" s="165" t="s">
        <v>10714</v>
      </c>
      <c r="M3220" s="73"/>
      <c r="N3220" s="171"/>
      <c r="O3220" s="169" t="s">
        <v>6923</v>
      </c>
      <c r="P3220" s="168" t="s">
        <v>3112</v>
      </c>
      <c r="Q3220" s="161">
        <v>1150000.0</v>
      </c>
      <c r="R3220" s="173"/>
      <c r="S3220" s="173"/>
      <c r="T3220" s="173"/>
      <c r="U3220" s="173"/>
      <c r="V3220" s="169"/>
      <c r="W3220" s="171"/>
      <c r="X3220" s="171"/>
    </row>
    <row r="3221" ht="15.0" customHeight="1">
      <c r="A3221" s="127">
        <v>46063.0</v>
      </c>
      <c r="B3221" s="181" t="s">
        <v>10712</v>
      </c>
      <c r="C3221" s="56" t="s">
        <v>3826</v>
      </c>
      <c r="D3221" s="73" t="str">
        <f>IFERROR(VLOOKUP(C3221,Stock,3,FALSE),"")</f>
        <v>List Kaca Depan Code 11</v>
      </c>
      <c r="E3221" s="56">
        <v>1.0</v>
      </c>
      <c r="F3221" s="161">
        <v>275000.0</v>
      </c>
      <c r="G3221" s="162">
        <f t="shared" si="43"/>
        <v>275000</v>
      </c>
      <c r="H3221" s="194"/>
      <c r="I3221" s="161">
        <f t="shared" si="41"/>
        <v>275000</v>
      </c>
      <c r="J3221" s="164">
        <f t="shared" si="42"/>
        <v>275000</v>
      </c>
      <c r="K3221" s="56" t="s">
        <v>10713</v>
      </c>
      <c r="L3221" s="165" t="s">
        <v>10714</v>
      </c>
      <c r="M3221" s="73"/>
      <c r="N3221" s="171"/>
      <c r="O3221" s="169" t="s">
        <v>6923</v>
      </c>
      <c r="P3221" s="168" t="s">
        <v>3112</v>
      </c>
      <c r="Q3221" s="161">
        <v>275000.0</v>
      </c>
      <c r="R3221" s="173"/>
      <c r="S3221" s="173"/>
      <c r="T3221" s="173"/>
      <c r="U3221" s="173"/>
      <c r="V3221" s="169"/>
      <c r="W3221" s="171"/>
      <c r="X3221" s="171"/>
    </row>
    <row r="3222" ht="15.0" customHeight="1">
      <c r="A3222" s="127">
        <v>46063.0</v>
      </c>
      <c r="B3222" s="181" t="s">
        <v>10715</v>
      </c>
      <c r="C3222" s="56" t="s">
        <v>2856</v>
      </c>
      <c r="D3222" s="73" t="str">
        <f>IFERROR(VLOOKUP(C3222,Stock,3,FALSE),"")</f>
        <v>Isuzu Elf 17- New NMR NLR / Isuzu Giga </v>
      </c>
      <c r="E3222" s="56">
        <v>1.0</v>
      </c>
      <c r="F3222" s="161">
        <v>635000.0</v>
      </c>
      <c r="G3222" s="162">
        <f t="shared" si="43"/>
        <v>635000</v>
      </c>
      <c r="H3222" s="194"/>
      <c r="I3222" s="161">
        <f t="shared" si="41"/>
        <v>635000</v>
      </c>
      <c r="J3222" s="164">
        <f t="shared" si="42"/>
        <v>635000</v>
      </c>
      <c r="K3222" s="56" t="s">
        <v>10716</v>
      </c>
      <c r="L3222" s="165" t="s">
        <v>10717</v>
      </c>
      <c r="M3222" s="73"/>
      <c r="N3222" s="171"/>
      <c r="O3222" s="169" t="s">
        <v>6923</v>
      </c>
      <c r="P3222" s="168" t="s">
        <v>3112</v>
      </c>
      <c r="Q3222" s="161">
        <v>635000.0</v>
      </c>
      <c r="R3222" s="173"/>
      <c r="S3222" s="173"/>
      <c r="T3222" s="173"/>
      <c r="U3222" s="173"/>
      <c r="V3222" s="169"/>
      <c r="W3222" s="171"/>
      <c r="X3222" s="171"/>
    </row>
    <row r="3223" ht="15.0" customHeight="1">
      <c r="A3223" s="127">
        <v>46064.0</v>
      </c>
      <c r="B3223" s="181" t="s">
        <v>10718</v>
      </c>
      <c r="C3223" s="56" t="s">
        <v>3398</v>
      </c>
      <c r="D3223" s="73" t="str">
        <f>IFERROR(VLOOKUP(C3223,Stock,3,FALSE),"")</f>
        <v>Pemasangan Kaca Mobil Samping</v>
      </c>
      <c r="E3223" s="56">
        <v>1.0</v>
      </c>
      <c r="F3223" s="161">
        <v>500000.0</v>
      </c>
      <c r="G3223" s="162">
        <f t="shared" si="43"/>
        <v>500000</v>
      </c>
      <c r="H3223" s="194"/>
      <c r="I3223" s="161">
        <f t="shared" si="41"/>
        <v>500000</v>
      </c>
      <c r="J3223" s="164">
        <f t="shared" si="42"/>
        <v>500000</v>
      </c>
      <c r="K3223" s="56" t="s">
        <v>4589</v>
      </c>
      <c r="L3223" s="165" t="s">
        <v>10719</v>
      </c>
      <c r="M3223" s="73"/>
      <c r="N3223" s="171"/>
      <c r="O3223" s="169" t="s">
        <v>6923</v>
      </c>
      <c r="P3223" s="169" t="s">
        <v>10237</v>
      </c>
      <c r="Q3223" s="173"/>
      <c r="R3223" s="167">
        <v>500000.0</v>
      </c>
      <c r="S3223" s="173"/>
      <c r="T3223" s="173"/>
      <c r="U3223" s="173"/>
      <c r="V3223" s="169"/>
      <c r="W3223" s="171"/>
      <c r="X3223" s="171"/>
    </row>
    <row r="3224" ht="15.0" customHeight="1">
      <c r="A3224" s="127">
        <v>46065.0</v>
      </c>
      <c r="B3224" s="181" t="s">
        <v>10720</v>
      </c>
      <c r="C3224" s="56" t="s">
        <v>3045</v>
      </c>
      <c r="D3224" s="73" t="str">
        <f>IFERROR(VLOOKUP(C3224,Stock,3,FALSE),"")</f>
        <v>Pemasangan Kaca Mobil Depan</v>
      </c>
      <c r="E3224" s="56">
        <v>1.0</v>
      </c>
      <c r="F3224" s="161">
        <v>600000.0</v>
      </c>
      <c r="G3224" s="162">
        <f t="shared" si="43"/>
        <v>600000</v>
      </c>
      <c r="H3224" s="194"/>
      <c r="I3224" s="161">
        <f t="shared" si="41"/>
        <v>600000</v>
      </c>
      <c r="J3224" s="164">
        <f t="shared" si="42"/>
        <v>600000</v>
      </c>
      <c r="K3224" s="56" t="s">
        <v>5767</v>
      </c>
      <c r="L3224" s="165" t="s">
        <v>5768</v>
      </c>
      <c r="M3224" s="73"/>
      <c r="N3224" s="171"/>
      <c r="O3224" s="169" t="s">
        <v>6923</v>
      </c>
      <c r="P3224" s="6" t="s">
        <v>3112</v>
      </c>
      <c r="Q3224" s="173"/>
      <c r="R3224" s="167">
        <v>600000.0</v>
      </c>
      <c r="S3224" s="173"/>
      <c r="T3224" s="173"/>
      <c r="U3224" s="173"/>
      <c r="V3224" s="169"/>
      <c r="W3224" s="171"/>
      <c r="X3224" s="171"/>
    </row>
    <row r="3225" ht="15.0" customHeight="1">
      <c r="A3225" s="127">
        <v>46065.0</v>
      </c>
      <c r="B3225" s="181" t="s">
        <v>10721</v>
      </c>
      <c r="C3225" s="56" t="s">
        <v>3186</v>
      </c>
      <c r="D3225" s="73" t="str">
        <f>IFERROR(VLOOKUP(C3225,Stock,3,FALSE),"")</f>
        <v>Daihatsu Gran Max / Luxio 07-</v>
      </c>
      <c r="E3225" s="56">
        <v>1.0</v>
      </c>
      <c r="F3225" s="161">
        <v>1000000.0</v>
      </c>
      <c r="G3225" s="162">
        <f t="shared" si="43"/>
        <v>1000000</v>
      </c>
      <c r="H3225" s="194"/>
      <c r="I3225" s="161">
        <f t="shared" si="41"/>
        <v>1000000</v>
      </c>
      <c r="J3225" s="164">
        <f t="shared" si="42"/>
        <v>1000000</v>
      </c>
      <c r="K3225" s="56" t="s">
        <v>10722</v>
      </c>
      <c r="L3225" s="165" t="s">
        <v>10723</v>
      </c>
      <c r="M3225" s="73"/>
      <c r="N3225" s="171"/>
      <c r="O3225" s="169" t="s">
        <v>6923</v>
      </c>
      <c r="P3225" s="168" t="s">
        <v>3112</v>
      </c>
      <c r="Q3225" s="167">
        <v>1000000.0</v>
      </c>
      <c r="R3225" s="173"/>
      <c r="S3225" s="173"/>
      <c r="T3225" s="173"/>
      <c r="U3225" s="173"/>
      <c r="V3225" s="169"/>
      <c r="W3225" s="171"/>
      <c r="X3225" s="171"/>
    </row>
    <row r="3226" ht="15.0" customHeight="1">
      <c r="A3226" s="127">
        <v>46065.0</v>
      </c>
      <c r="B3226" s="181" t="s">
        <v>10724</v>
      </c>
      <c r="C3226" s="56" t="s">
        <v>10701</v>
      </c>
      <c r="D3226" s="73" t="str">
        <f>IFERROR(VLOOKUP(C3226,Stock,3,FALSE),"")</f>
        <v>Toyota Dyna/Hino Dutro 00-</v>
      </c>
      <c r="E3226" s="56">
        <v>1.0</v>
      </c>
      <c r="F3226" s="161">
        <v>1050000.0</v>
      </c>
      <c r="G3226" s="162">
        <f t="shared" si="43"/>
        <v>1050000</v>
      </c>
      <c r="H3226" s="194"/>
      <c r="I3226" s="161">
        <f t="shared" si="41"/>
        <v>1050000</v>
      </c>
      <c r="J3226" s="164">
        <f t="shared" si="42"/>
        <v>1050000</v>
      </c>
      <c r="K3226" s="56" t="s">
        <v>10725</v>
      </c>
      <c r="L3226" s="165" t="s">
        <v>10726</v>
      </c>
      <c r="M3226" s="73"/>
      <c r="N3226" s="171"/>
      <c r="O3226" s="169" t="s">
        <v>6923</v>
      </c>
      <c r="P3226" s="168" t="s">
        <v>3112</v>
      </c>
      <c r="Q3226" s="167">
        <v>10000.0</v>
      </c>
      <c r="R3226" s="167">
        <v>1090000.0</v>
      </c>
      <c r="S3226" s="173"/>
      <c r="T3226" s="173"/>
      <c r="U3226" s="173"/>
      <c r="V3226" s="169"/>
      <c r="W3226" s="171"/>
      <c r="X3226" s="171"/>
    </row>
    <row r="3227" ht="15.0" customHeight="1">
      <c r="A3227" s="127">
        <v>46065.0</v>
      </c>
      <c r="B3227" s="181" t="s">
        <v>10724</v>
      </c>
      <c r="C3227" s="56" t="s">
        <v>2954</v>
      </c>
      <c r="D3227" s="73" t="str">
        <f>IFERROR(VLOOKUP(C3227,Stock,3,FALSE),"")</f>
        <v>Transport</v>
      </c>
      <c r="E3227" s="56">
        <v>1.0</v>
      </c>
      <c r="F3227" s="161">
        <v>50000.0</v>
      </c>
      <c r="G3227" s="162">
        <f t="shared" si="43"/>
        <v>50000</v>
      </c>
      <c r="H3227" s="194"/>
      <c r="I3227" s="161">
        <f t="shared" si="41"/>
        <v>50000</v>
      </c>
      <c r="J3227" s="164">
        <f t="shared" si="42"/>
        <v>50000</v>
      </c>
      <c r="K3227" s="56" t="s">
        <v>10725</v>
      </c>
      <c r="L3227" s="165" t="s">
        <v>10726</v>
      </c>
      <c r="M3227" s="73"/>
      <c r="N3227" s="171"/>
      <c r="O3227" s="169" t="s">
        <v>6923</v>
      </c>
      <c r="P3227" s="168" t="s">
        <v>3112</v>
      </c>
      <c r="Q3227" s="173"/>
      <c r="R3227" s="173"/>
      <c r="S3227" s="173"/>
      <c r="T3227" s="173"/>
      <c r="U3227" s="173"/>
      <c r="V3227" s="169"/>
      <c r="W3227" s="171"/>
      <c r="X3227" s="171"/>
    </row>
    <row r="3228" ht="15.0" customHeight="1">
      <c r="A3228" s="127">
        <v>46065.0</v>
      </c>
      <c r="B3228" s="181" t="s">
        <v>10727</v>
      </c>
      <c r="C3228" s="56" t="s">
        <v>2690</v>
      </c>
      <c r="D3228" s="73" t="str">
        <f>IFERROR(VLOOKUP(C3228,Stock,3,FALSE),"")</f>
        <v>Suzuki APV 03- Pickup/ Van</v>
      </c>
      <c r="E3228" s="56">
        <v>1.0</v>
      </c>
      <c r="F3228" s="161">
        <v>1250000.0</v>
      </c>
      <c r="G3228" s="162">
        <f t="shared" si="43"/>
        <v>1250000</v>
      </c>
      <c r="H3228" s="194"/>
      <c r="I3228" s="161">
        <f t="shared" si="41"/>
        <v>1250000</v>
      </c>
      <c r="J3228" s="164">
        <f t="shared" si="42"/>
        <v>1250000</v>
      </c>
      <c r="K3228" s="56" t="s">
        <v>10728</v>
      </c>
      <c r="L3228" s="165" t="s">
        <v>10729</v>
      </c>
      <c r="M3228" s="73"/>
      <c r="N3228" s="171"/>
      <c r="O3228" s="169" t="s">
        <v>6923</v>
      </c>
      <c r="P3228" s="168" t="s">
        <v>3112</v>
      </c>
      <c r="Q3228" s="173"/>
      <c r="R3228" s="173"/>
      <c r="S3228" s="173"/>
      <c r="T3228" s="173"/>
      <c r="U3228" s="173"/>
      <c r="V3228" s="169"/>
      <c r="W3228" s="171"/>
      <c r="X3228" s="171"/>
    </row>
    <row r="3229" ht="15.0" customHeight="1">
      <c r="A3229" s="127">
        <v>46065.0</v>
      </c>
      <c r="B3229" s="181" t="s">
        <v>10727</v>
      </c>
      <c r="C3229" s="56" t="s">
        <v>10233</v>
      </c>
      <c r="D3229" s="73" t="str">
        <f>IFERROR(VLOOKUP(C3229,Stock,3,FALSE),"")</f>
        <v>Automotive Film Standard - Black 60%       </v>
      </c>
      <c r="E3229" s="56">
        <v>1.0</v>
      </c>
      <c r="F3229" s="161">
        <v>200000.0</v>
      </c>
      <c r="G3229" s="162">
        <f t="shared" si="43"/>
        <v>200000</v>
      </c>
      <c r="H3229" s="194"/>
      <c r="I3229" s="161">
        <f t="shared" si="41"/>
        <v>200000</v>
      </c>
      <c r="J3229" s="164">
        <f t="shared" si="42"/>
        <v>200000</v>
      </c>
      <c r="K3229" s="56" t="s">
        <v>10728</v>
      </c>
      <c r="L3229" s="165" t="s">
        <v>10729</v>
      </c>
      <c r="M3229" s="73"/>
      <c r="N3229" s="171"/>
      <c r="O3229" s="169" t="s">
        <v>6923</v>
      </c>
      <c r="P3229" s="168" t="s">
        <v>3112</v>
      </c>
      <c r="Q3229" s="173"/>
      <c r="R3229" s="173"/>
      <c r="S3229" s="173"/>
      <c r="T3229" s="173"/>
      <c r="U3229" s="173"/>
      <c r="V3229" s="169"/>
      <c r="W3229" s="171"/>
      <c r="X3229" s="171"/>
    </row>
    <row r="3230" ht="15.0" customHeight="1">
      <c r="A3230" s="127">
        <v>46065.0</v>
      </c>
      <c r="B3230" s="181" t="s">
        <v>10727</v>
      </c>
      <c r="C3230" s="56" t="s">
        <v>3083</v>
      </c>
      <c r="D3230" s="73" t="str">
        <f>IFERROR(VLOOKUP(C3230,Stock,3,FALSE),"")</f>
        <v>List Kaca Depan Code 04</v>
      </c>
      <c r="E3230" s="56">
        <v>1.0</v>
      </c>
      <c r="F3230" s="161">
        <v>275000.0</v>
      </c>
      <c r="G3230" s="162">
        <f t="shared" si="43"/>
        <v>275000</v>
      </c>
      <c r="H3230" s="194"/>
      <c r="I3230" s="161">
        <f t="shared" si="41"/>
        <v>275000</v>
      </c>
      <c r="J3230" s="164">
        <f t="shared" si="42"/>
        <v>275000</v>
      </c>
      <c r="K3230" s="56" t="s">
        <v>10728</v>
      </c>
      <c r="L3230" s="165" t="s">
        <v>10729</v>
      </c>
      <c r="M3230" s="73"/>
      <c r="N3230" s="171"/>
      <c r="O3230" s="169" t="s">
        <v>6923</v>
      </c>
      <c r="P3230" s="168" t="s">
        <v>3112</v>
      </c>
      <c r="Q3230" s="173"/>
      <c r="R3230" s="173"/>
      <c r="S3230" s="173"/>
      <c r="T3230" s="173"/>
      <c r="U3230" s="173"/>
      <c r="V3230" s="169"/>
      <c r="W3230" s="171"/>
      <c r="X3230" s="171"/>
    </row>
    <row r="3231" ht="15.0" customHeight="1">
      <c r="A3231" s="127">
        <v>46065.0</v>
      </c>
      <c r="B3231" s="181" t="s">
        <v>10730</v>
      </c>
      <c r="C3231" s="56" t="s">
        <v>5444</v>
      </c>
      <c r="D3231" s="73" t="str">
        <f>IFERROR(VLOOKUP(C3231,Stock,3,FALSE),"")</f>
        <v>Toyota Hi-Ace 19- Premio (Hitam) (Tinggi 56.7cm)</v>
      </c>
      <c r="E3231" s="56">
        <v>1.0</v>
      </c>
      <c r="F3231" s="161">
        <v>2902000.0</v>
      </c>
      <c r="G3231" s="162">
        <f t="shared" si="43"/>
        <v>2902000</v>
      </c>
      <c r="H3231" s="194"/>
      <c r="I3231" s="161">
        <f t="shared" si="41"/>
        <v>2902000</v>
      </c>
      <c r="J3231" s="164">
        <f t="shared" si="42"/>
        <v>2902000</v>
      </c>
      <c r="K3231" s="56" t="s">
        <v>10731</v>
      </c>
      <c r="L3231" s="165" t="s">
        <v>7449</v>
      </c>
      <c r="M3231" s="73"/>
      <c r="N3231" s="171"/>
      <c r="O3231" s="169" t="s">
        <v>6923</v>
      </c>
      <c r="P3231" s="168" t="s">
        <v>3112</v>
      </c>
      <c r="Q3231" s="173"/>
      <c r="R3231" s="167">
        <v>2902000.0</v>
      </c>
      <c r="S3231" s="173"/>
      <c r="T3231" s="173"/>
      <c r="U3231" s="173"/>
      <c r="V3231" s="169"/>
      <c r="W3231" s="171"/>
      <c r="X3231" s="171"/>
    </row>
    <row r="3232" ht="15.0" customHeight="1">
      <c r="A3232" s="127">
        <v>46066.0</v>
      </c>
      <c r="B3232" s="475" t="s">
        <v>10732</v>
      </c>
      <c r="C3232" s="56" t="s">
        <v>2954</v>
      </c>
      <c r="D3232" s="73" t="str">
        <f>IFERROR(VLOOKUP(C3232,Stock,3,FALSE),"")</f>
        <v>Transport</v>
      </c>
      <c r="E3232" s="56">
        <v>1.0</v>
      </c>
      <c r="F3232" s="161">
        <v>50000.0</v>
      </c>
      <c r="G3232" s="162">
        <f t="shared" si="43"/>
        <v>50000</v>
      </c>
      <c r="H3232" s="194"/>
      <c r="I3232" s="161">
        <f t="shared" si="41"/>
        <v>50000</v>
      </c>
      <c r="J3232" s="164">
        <f t="shared" si="42"/>
        <v>50000</v>
      </c>
      <c r="K3232" s="56" t="s">
        <v>10731</v>
      </c>
      <c r="L3232" s="165" t="s">
        <v>7449</v>
      </c>
      <c r="M3232" s="73"/>
      <c r="N3232" s="171"/>
      <c r="O3232" s="169" t="s">
        <v>6923</v>
      </c>
      <c r="P3232" s="168" t="s">
        <v>3112</v>
      </c>
      <c r="Q3232" s="173"/>
      <c r="R3232" s="167">
        <v>50000.0</v>
      </c>
      <c r="S3232" s="173"/>
      <c r="T3232" s="173"/>
      <c r="U3232" s="173"/>
      <c r="V3232" s="169"/>
      <c r="W3232" s="171"/>
      <c r="X3232" s="171"/>
    </row>
    <row r="3233" ht="15.0" customHeight="1">
      <c r="A3233" s="127">
        <v>46066.0</v>
      </c>
      <c r="B3233" s="475" t="s">
        <v>10733</v>
      </c>
      <c r="C3233" s="56" t="s">
        <v>2723</v>
      </c>
      <c r="D3233" s="73" t="str">
        <f>IFERROR(VLOOKUP(C3233,Stock,3,FALSE),"")</f>
        <v>Suzuki Carry New 19-</v>
      </c>
      <c r="E3233" s="56">
        <v>1.0</v>
      </c>
      <c r="F3233" s="161">
        <v>890000.0</v>
      </c>
      <c r="G3233" s="162">
        <f t="shared" si="43"/>
        <v>890000</v>
      </c>
      <c r="H3233" s="194"/>
      <c r="I3233" s="161">
        <f t="shared" si="41"/>
        <v>890000</v>
      </c>
      <c r="J3233" s="164">
        <f t="shared" si="42"/>
        <v>890000</v>
      </c>
      <c r="K3233" s="56" t="s">
        <v>10734</v>
      </c>
      <c r="L3233" s="73"/>
      <c r="M3233" s="73"/>
      <c r="N3233" s="171"/>
      <c r="O3233" s="169" t="s">
        <v>6923</v>
      </c>
      <c r="P3233" s="168" t="s">
        <v>5077</v>
      </c>
      <c r="Q3233" s="173"/>
      <c r="R3233" s="167">
        <v>890000.0</v>
      </c>
      <c r="S3233" s="173"/>
      <c r="T3233" s="173"/>
      <c r="U3233" s="173"/>
      <c r="V3233" s="169"/>
      <c r="W3233" s="171"/>
      <c r="X3233" s="171"/>
    </row>
    <row r="3234" ht="15.0" customHeight="1">
      <c r="A3234" s="127">
        <v>46066.0</v>
      </c>
      <c r="B3234" s="475" t="s">
        <v>10735</v>
      </c>
      <c r="C3234" s="56" t="s">
        <v>10514</v>
      </c>
      <c r="D3234" s="73" t="str">
        <f>IFERROR(VLOOKUP(C3234,Stock,3,FALSE),"")</f>
        <v>Toyota Rush / Terios 06-17</v>
      </c>
      <c r="E3234" s="56">
        <v>1.0</v>
      </c>
      <c r="F3234" s="161">
        <v>1300000.0</v>
      </c>
      <c r="G3234" s="162">
        <f t="shared" si="43"/>
        <v>1300000</v>
      </c>
      <c r="H3234" s="194"/>
      <c r="I3234" s="161">
        <f t="shared" si="41"/>
        <v>1300000</v>
      </c>
      <c r="J3234" s="164">
        <f t="shared" si="42"/>
        <v>1300000</v>
      </c>
      <c r="K3234" s="56" t="s">
        <v>10736</v>
      </c>
      <c r="L3234" s="165" t="s">
        <v>10737</v>
      </c>
      <c r="M3234" s="73"/>
      <c r="N3234" s="171"/>
      <c r="O3234" s="169" t="s">
        <v>6923</v>
      </c>
      <c r="P3234" s="168" t="s">
        <v>3112</v>
      </c>
      <c r="Q3234" s="173"/>
      <c r="R3234" s="167">
        <v>1300000.0</v>
      </c>
      <c r="S3234" s="173"/>
      <c r="T3234" s="173"/>
      <c r="U3234" s="173"/>
      <c r="V3234" s="169"/>
      <c r="W3234" s="171"/>
      <c r="X3234" s="171"/>
    </row>
    <row r="3235" ht="15.0" customHeight="1">
      <c r="A3235" s="127">
        <v>46067.0</v>
      </c>
      <c r="B3235" s="475" t="s">
        <v>10738</v>
      </c>
      <c r="C3235" s="56" t="s">
        <v>2605</v>
      </c>
      <c r="D3235" s="73" t="str">
        <f>IFERROR(VLOOKUP(C3235,Stock,3,FALSE),"")</f>
        <v>BMW 3 Series 12-18 F30/F35</v>
      </c>
      <c r="E3235" s="56">
        <v>1.0</v>
      </c>
      <c r="F3235" s="161">
        <v>4302000.0</v>
      </c>
      <c r="G3235" s="162">
        <f t="shared" si="43"/>
        <v>4302000</v>
      </c>
      <c r="H3235" s="194"/>
      <c r="I3235" s="161">
        <f t="shared" si="41"/>
        <v>4302000</v>
      </c>
      <c r="J3235" s="164">
        <f t="shared" si="42"/>
        <v>4302000</v>
      </c>
      <c r="K3235" s="56" t="s">
        <v>10739</v>
      </c>
      <c r="L3235" s="165" t="s">
        <v>10740</v>
      </c>
      <c r="M3235" s="73"/>
      <c r="N3235" s="171"/>
      <c r="O3235" s="169" t="s">
        <v>6923</v>
      </c>
      <c r="P3235" s="168" t="s">
        <v>3112</v>
      </c>
      <c r="Q3235" s="173"/>
      <c r="R3235" s="161">
        <v>4302000.0</v>
      </c>
      <c r="S3235" s="173"/>
      <c r="T3235" s="173"/>
      <c r="U3235" s="173"/>
      <c r="V3235" s="169"/>
      <c r="W3235" s="171"/>
      <c r="X3235" s="171"/>
    </row>
    <row r="3236" ht="15.0" customHeight="1">
      <c r="A3236" s="127">
        <v>46067.0</v>
      </c>
      <c r="B3236" s="475" t="s">
        <v>10738</v>
      </c>
      <c r="C3236" s="56" t="s">
        <v>2954</v>
      </c>
      <c r="D3236" s="73" t="str">
        <f>IFERROR(VLOOKUP(C3236,Stock,3,FALSE),"")</f>
        <v>Transport</v>
      </c>
      <c r="E3236" s="56">
        <v>1.0</v>
      </c>
      <c r="F3236" s="161">
        <v>200000.0</v>
      </c>
      <c r="G3236" s="162">
        <f t="shared" si="43"/>
        <v>200000</v>
      </c>
      <c r="H3236" s="194"/>
      <c r="I3236" s="161">
        <f t="shared" si="41"/>
        <v>200000</v>
      </c>
      <c r="J3236" s="164">
        <f t="shared" si="42"/>
        <v>200000</v>
      </c>
      <c r="K3236" s="56" t="s">
        <v>10739</v>
      </c>
      <c r="L3236" s="165" t="s">
        <v>10740</v>
      </c>
      <c r="M3236" s="73"/>
      <c r="N3236" s="171"/>
      <c r="O3236" s="169" t="s">
        <v>6923</v>
      </c>
      <c r="P3236" s="168" t="s">
        <v>3112</v>
      </c>
      <c r="Q3236" s="173"/>
      <c r="R3236" s="161">
        <v>200000.0</v>
      </c>
      <c r="S3236" s="173"/>
      <c r="T3236" s="173"/>
      <c r="U3236" s="173"/>
      <c r="V3236" s="169"/>
      <c r="W3236" s="171"/>
      <c r="X3236" s="171"/>
    </row>
    <row r="3237" ht="15.0" customHeight="1">
      <c r="A3237" s="127">
        <v>46067.0</v>
      </c>
      <c r="B3237" s="181" t="s">
        <v>10741</v>
      </c>
      <c r="C3237" s="56" t="s">
        <v>3622</v>
      </c>
      <c r="D3237" s="73" t="str">
        <f>IFERROR(VLOOKUP(C3237,Stock,3,FALSE),"")</f>
        <v>Mitsubishi Pajero 08-16</v>
      </c>
      <c r="E3237" s="56">
        <v>1.0</v>
      </c>
      <c r="F3237" s="161">
        <v>1201000.0</v>
      </c>
      <c r="G3237" s="162">
        <f t="shared" si="43"/>
        <v>1201000</v>
      </c>
      <c r="H3237" s="194"/>
      <c r="I3237" s="161">
        <f t="shared" si="41"/>
        <v>1201000</v>
      </c>
      <c r="J3237" s="164">
        <f t="shared" si="42"/>
        <v>1201000</v>
      </c>
      <c r="K3237" s="56" t="s">
        <v>10742</v>
      </c>
      <c r="L3237" s="73"/>
      <c r="M3237" s="73"/>
      <c r="N3237" s="171"/>
      <c r="O3237" s="169" t="s">
        <v>6923</v>
      </c>
      <c r="P3237" s="168" t="s">
        <v>5077</v>
      </c>
      <c r="Q3237" s="173"/>
      <c r="R3237" s="161"/>
      <c r="S3237" s="167">
        <v>1201000.0</v>
      </c>
      <c r="T3237" s="173"/>
      <c r="U3237" s="173"/>
      <c r="V3237" s="169"/>
      <c r="W3237" s="171"/>
      <c r="X3237" s="171"/>
    </row>
    <row r="3238" ht="15.0" customHeight="1">
      <c r="A3238" s="127">
        <v>46067.0</v>
      </c>
      <c r="B3238" s="181" t="s">
        <v>10743</v>
      </c>
      <c r="C3238" s="56" t="s">
        <v>3382</v>
      </c>
      <c r="D3238" s="73" t="str">
        <f>IFERROR(VLOOKUP(C3238,Stock,3,FALSE),"")</f>
        <v>Toyota Avanza / Xenia 11-15 2nd Gen / 15-21 3rd Gen</v>
      </c>
      <c r="E3238" s="56">
        <v>1.0</v>
      </c>
      <c r="F3238" s="161">
        <v>450000.0</v>
      </c>
      <c r="G3238" s="162">
        <f t="shared" si="43"/>
        <v>450000</v>
      </c>
      <c r="H3238" s="194"/>
      <c r="I3238" s="161">
        <f t="shared" si="41"/>
        <v>450000</v>
      </c>
      <c r="J3238" s="164">
        <f t="shared" si="42"/>
        <v>450000</v>
      </c>
      <c r="K3238" s="56" t="s">
        <v>9241</v>
      </c>
      <c r="L3238" s="165" t="s">
        <v>10744</v>
      </c>
      <c r="M3238" s="73"/>
      <c r="N3238" s="171"/>
      <c r="O3238" s="169" t="s">
        <v>6137</v>
      </c>
      <c r="Q3238" s="173"/>
      <c r="R3238" s="161">
        <v>450000.0</v>
      </c>
      <c r="S3238" s="173"/>
      <c r="T3238" s="173"/>
      <c r="U3238" s="173"/>
      <c r="V3238" s="169"/>
      <c r="W3238" s="171"/>
      <c r="X3238" s="171"/>
    </row>
    <row r="3239" ht="15.0" customHeight="1">
      <c r="A3239" s="127">
        <v>46067.0</v>
      </c>
      <c r="B3239" s="181" t="s">
        <v>10745</v>
      </c>
      <c r="C3239" s="56" t="s">
        <v>10456</v>
      </c>
      <c r="D3239" s="73" t="str">
        <f>IFERROR(VLOOKUP(C3239,Stock,3,FALSE),"")</f>
        <v>Toyota Avanza / Xenia 03-11 1st Gen</v>
      </c>
      <c r="E3239" s="56">
        <v>1.0</v>
      </c>
      <c r="F3239" s="161">
        <v>1000000.0</v>
      </c>
      <c r="G3239" s="162">
        <f t="shared" si="43"/>
        <v>1000000</v>
      </c>
      <c r="H3239" s="194"/>
      <c r="I3239" s="161">
        <f t="shared" si="41"/>
        <v>1000000</v>
      </c>
      <c r="J3239" s="164">
        <f t="shared" si="42"/>
        <v>1000000</v>
      </c>
      <c r="K3239" s="56" t="s">
        <v>10746</v>
      </c>
      <c r="L3239" s="165" t="s">
        <v>10747</v>
      </c>
      <c r="M3239" s="73"/>
      <c r="N3239" s="171"/>
      <c r="O3239" s="169" t="s">
        <v>6923</v>
      </c>
      <c r="P3239" s="169" t="s">
        <v>3847</v>
      </c>
      <c r="Q3239" s="173"/>
      <c r="R3239" s="161">
        <v>1000000.0</v>
      </c>
      <c r="S3239" s="173"/>
      <c r="T3239" s="173"/>
      <c r="U3239" s="173"/>
      <c r="V3239" s="169"/>
      <c r="W3239" s="171"/>
      <c r="X3239" s="171"/>
    </row>
    <row r="3240" ht="15.0" customHeight="1">
      <c r="A3240" s="127">
        <v>46067.0</v>
      </c>
      <c r="B3240" s="181" t="s">
        <v>10745</v>
      </c>
      <c r="C3240" s="56" t="s">
        <v>10233</v>
      </c>
      <c r="D3240" s="73" t="str">
        <f>IFERROR(VLOOKUP(C3240,Stock,3,FALSE),"")</f>
        <v>Automotive Film Standard - Black 60%       </v>
      </c>
      <c r="E3240" s="56">
        <v>1.0</v>
      </c>
      <c r="F3240" s="161">
        <v>350000.0</v>
      </c>
      <c r="G3240" s="162">
        <f t="shared" si="43"/>
        <v>350000</v>
      </c>
      <c r="H3240" s="194"/>
      <c r="I3240" s="161">
        <f t="shared" si="41"/>
        <v>350000</v>
      </c>
      <c r="J3240" s="164">
        <f t="shared" si="42"/>
        <v>350000</v>
      </c>
      <c r="K3240" s="56" t="s">
        <v>10746</v>
      </c>
      <c r="L3240" s="165" t="s">
        <v>10747</v>
      </c>
      <c r="M3240" s="73"/>
      <c r="N3240" s="171"/>
      <c r="O3240" s="169" t="s">
        <v>6923</v>
      </c>
      <c r="P3240" s="169" t="s">
        <v>3847</v>
      </c>
      <c r="Q3240" s="173"/>
      <c r="R3240" s="161">
        <v>350000.0</v>
      </c>
      <c r="S3240" s="173"/>
      <c r="T3240" s="173"/>
      <c r="U3240" s="173"/>
      <c r="V3240" s="169"/>
      <c r="W3240" s="171"/>
      <c r="X3240" s="171"/>
    </row>
    <row r="3241" ht="15.0" customHeight="1">
      <c r="A3241" s="127">
        <v>46067.0</v>
      </c>
      <c r="B3241" s="181" t="s">
        <v>10748</v>
      </c>
      <c r="C3241" s="56" t="s">
        <v>2588</v>
      </c>
      <c r="D3241" s="73" t="str">
        <f>IFERROR(VLOOKUP(C3241,Stock,3,FALSE),"")</f>
        <v>Ford Fiesta 09-17</v>
      </c>
      <c r="E3241" s="56">
        <v>1.0</v>
      </c>
      <c r="F3241" s="161">
        <v>1602000.0</v>
      </c>
      <c r="G3241" s="162">
        <f t="shared" si="43"/>
        <v>1602000</v>
      </c>
      <c r="H3241" s="194"/>
      <c r="I3241" s="161">
        <f t="shared" si="41"/>
        <v>1602000</v>
      </c>
      <c r="J3241" s="164">
        <f t="shared" si="42"/>
        <v>1602000</v>
      </c>
      <c r="K3241" s="56" t="s">
        <v>10749</v>
      </c>
      <c r="L3241" s="165" t="s">
        <v>10750</v>
      </c>
      <c r="M3241" s="73"/>
      <c r="N3241" s="171"/>
      <c r="O3241" s="169" t="s">
        <v>6923</v>
      </c>
      <c r="P3241" s="169" t="s">
        <v>3847</v>
      </c>
      <c r="Q3241" s="173"/>
      <c r="R3241" s="161">
        <v>1602000.0</v>
      </c>
      <c r="S3241" s="173"/>
      <c r="T3241" s="173"/>
      <c r="U3241" s="173"/>
      <c r="V3241" s="169"/>
      <c r="W3241" s="171"/>
      <c r="X3241" s="171"/>
    </row>
    <row r="3242" ht="15.0" customHeight="1">
      <c r="A3242" s="127">
        <v>46067.0</v>
      </c>
      <c r="B3242" s="181" t="s">
        <v>10748</v>
      </c>
      <c r="C3242" s="56" t="s">
        <v>2954</v>
      </c>
      <c r="D3242" s="73" t="str">
        <f>IFERROR(VLOOKUP(C3242,Stock,3,FALSE),"")</f>
        <v>Transport</v>
      </c>
      <c r="E3242" s="56">
        <v>1.0</v>
      </c>
      <c r="F3242" s="161">
        <v>100000.0</v>
      </c>
      <c r="G3242" s="162">
        <f t="shared" si="43"/>
        <v>100000</v>
      </c>
      <c r="H3242" s="194"/>
      <c r="I3242" s="161">
        <f t="shared" si="41"/>
        <v>100000</v>
      </c>
      <c r="J3242" s="164">
        <f t="shared" si="42"/>
        <v>100000</v>
      </c>
      <c r="K3242" s="56" t="s">
        <v>10749</v>
      </c>
      <c r="L3242" s="165" t="s">
        <v>10750</v>
      </c>
      <c r="M3242" s="73"/>
      <c r="N3242" s="171"/>
      <c r="O3242" s="169" t="s">
        <v>6923</v>
      </c>
      <c r="P3242" s="169" t="s">
        <v>3847</v>
      </c>
      <c r="Q3242" s="173"/>
      <c r="R3242" s="161">
        <v>100000.0</v>
      </c>
      <c r="S3242" s="173"/>
      <c r="T3242" s="173"/>
      <c r="U3242" s="173"/>
      <c r="V3242" s="169"/>
      <c r="W3242" s="171"/>
      <c r="X3242" s="171"/>
    </row>
    <row r="3243" ht="15.0" customHeight="1">
      <c r="A3243" s="127">
        <v>46067.0</v>
      </c>
      <c r="B3243" s="181" t="s">
        <v>10751</v>
      </c>
      <c r="C3243" s="56" t="s">
        <v>2854</v>
      </c>
      <c r="D3243" s="73" t="str">
        <f>IFERROR(VLOOKUP(C3243,Stock,3,FALSE),"")</f>
        <v>Toyota Rush / Terios 18-</v>
      </c>
      <c r="E3243" s="56">
        <v>1.0</v>
      </c>
      <c r="F3243" s="161">
        <v>585000.0</v>
      </c>
      <c r="G3243" s="162">
        <f t="shared" si="43"/>
        <v>585000</v>
      </c>
      <c r="H3243" s="194"/>
      <c r="I3243" s="161">
        <f t="shared" si="41"/>
        <v>585000</v>
      </c>
      <c r="J3243" s="164">
        <f t="shared" si="42"/>
        <v>585000</v>
      </c>
      <c r="K3243" s="56" t="s">
        <v>10752</v>
      </c>
      <c r="L3243" s="165" t="s">
        <v>10753</v>
      </c>
      <c r="M3243" s="73"/>
      <c r="N3243" s="171"/>
      <c r="O3243" s="169" t="s">
        <v>6923</v>
      </c>
      <c r="P3243" s="169" t="s">
        <v>3112</v>
      </c>
      <c r="Q3243" s="173"/>
      <c r="R3243" s="161">
        <v>585000.0</v>
      </c>
      <c r="S3243" s="173"/>
      <c r="T3243" s="173"/>
      <c r="U3243" s="173"/>
      <c r="V3243" s="169"/>
      <c r="W3243" s="171"/>
      <c r="X3243" s="171"/>
    </row>
    <row r="3244" ht="15.0" customHeight="1">
      <c r="A3244" s="127">
        <v>46068.0</v>
      </c>
      <c r="B3244" s="181" t="s">
        <v>10754</v>
      </c>
      <c r="C3244" s="56" t="s">
        <v>3411</v>
      </c>
      <c r="D3244" s="73" t="str">
        <f>IFERROR(VLOOKUP(C3244,Stock,3,FALSE),"")</f>
        <v>Toyota Agya/Ayla 13-22 1st Gen</v>
      </c>
      <c r="E3244" s="56">
        <v>1.0</v>
      </c>
      <c r="F3244" s="161">
        <v>800000.0</v>
      </c>
      <c r="G3244" s="162">
        <f t="shared" si="43"/>
        <v>800000</v>
      </c>
      <c r="H3244" s="194"/>
      <c r="I3244" s="161">
        <f t="shared" si="41"/>
        <v>800000</v>
      </c>
      <c r="J3244" s="164">
        <f t="shared" si="42"/>
        <v>800000</v>
      </c>
      <c r="K3244" s="73"/>
      <c r="L3244" s="73"/>
      <c r="M3244" s="73"/>
      <c r="N3244" s="171"/>
      <c r="O3244" s="169" t="s">
        <v>6923</v>
      </c>
      <c r="P3244" s="168" t="s">
        <v>5077</v>
      </c>
      <c r="Q3244" s="173"/>
      <c r="R3244" s="173"/>
      <c r="S3244" s="161">
        <v>800000.0</v>
      </c>
      <c r="T3244" s="173"/>
      <c r="U3244" s="173"/>
      <c r="V3244" s="169"/>
      <c r="W3244" s="171"/>
      <c r="X3244" s="171"/>
    </row>
    <row r="3245" ht="15.0" customHeight="1">
      <c r="A3245" s="127">
        <v>46068.0</v>
      </c>
      <c r="B3245" s="181" t="s">
        <v>10754</v>
      </c>
      <c r="C3245" s="56" t="s">
        <v>3045</v>
      </c>
      <c r="D3245" s="73" t="str">
        <f>IFERROR(VLOOKUP(C3245,Stock,3,FALSE),"")</f>
        <v>Pemasangan Kaca Mobil Depan</v>
      </c>
      <c r="E3245" s="56">
        <v>1.0</v>
      </c>
      <c r="F3245" s="161">
        <v>350000.0</v>
      </c>
      <c r="G3245" s="162">
        <f t="shared" si="43"/>
        <v>350000</v>
      </c>
      <c r="H3245" s="194"/>
      <c r="I3245" s="161">
        <f t="shared" si="41"/>
        <v>350000</v>
      </c>
      <c r="J3245" s="164">
        <f t="shared" si="42"/>
        <v>350000</v>
      </c>
      <c r="K3245" s="73"/>
      <c r="L3245" s="73"/>
      <c r="M3245" s="73"/>
      <c r="N3245" s="171"/>
      <c r="O3245" s="169" t="s">
        <v>6923</v>
      </c>
      <c r="P3245" s="168" t="s">
        <v>5077</v>
      </c>
      <c r="Q3245" s="173"/>
      <c r="R3245" s="161">
        <v>350000.0</v>
      </c>
      <c r="S3245" s="173"/>
      <c r="T3245" s="173"/>
      <c r="U3245" s="173"/>
      <c r="V3245" s="169"/>
      <c r="W3245" s="171"/>
      <c r="X3245" s="171"/>
    </row>
    <row r="3246" ht="15.0" customHeight="1">
      <c r="A3246" s="127">
        <v>46069.0</v>
      </c>
      <c r="B3246" s="181" t="s">
        <v>10755</v>
      </c>
      <c r="C3246" s="56" t="s">
        <v>3127</v>
      </c>
      <c r="D3246" s="73" t="str">
        <f>IFERROR(VLOOKUP(C3246,Stock,3,FALSE),"")</f>
        <v>Toyota Avanza / Xenia 03-11 1st Gen</v>
      </c>
      <c r="E3246" s="56">
        <v>1.0</v>
      </c>
      <c r="F3246" s="161">
        <v>839000.0</v>
      </c>
      <c r="G3246" s="162">
        <f t="shared" si="43"/>
        <v>839000</v>
      </c>
      <c r="H3246" s="194"/>
      <c r="I3246" s="161">
        <f t="shared" si="41"/>
        <v>839000</v>
      </c>
      <c r="J3246" s="164">
        <f t="shared" si="42"/>
        <v>839000</v>
      </c>
      <c r="K3246" s="56" t="s">
        <v>10756</v>
      </c>
      <c r="L3246" s="165" t="s">
        <v>10757</v>
      </c>
      <c r="M3246" s="73"/>
      <c r="N3246" s="171"/>
      <c r="O3246" s="169" t="s">
        <v>6923</v>
      </c>
      <c r="P3246" s="169" t="s">
        <v>3112</v>
      </c>
      <c r="Q3246" s="173"/>
      <c r="R3246" s="161">
        <v>839000.0</v>
      </c>
      <c r="S3246" s="173"/>
      <c r="T3246" s="173"/>
      <c r="U3246" s="173"/>
      <c r="V3246" s="169"/>
      <c r="W3246" s="171"/>
      <c r="X3246" s="171"/>
    </row>
    <row r="3247" ht="15.0" customHeight="1">
      <c r="A3247" s="127">
        <v>46069.0</v>
      </c>
      <c r="B3247" s="181" t="s">
        <v>10758</v>
      </c>
      <c r="C3247" s="56" t="s">
        <v>10759</v>
      </c>
      <c r="D3247" s="73" t="str">
        <f>IFERROR(VLOOKUP(C3247,Stock,3,FALSE),"")</f>
        <v>Ford Everest 06-15</v>
      </c>
      <c r="E3247" s="56">
        <v>1.0</v>
      </c>
      <c r="F3247" s="161">
        <v>2228000.0</v>
      </c>
      <c r="G3247" s="162">
        <f t="shared" si="43"/>
        <v>2228000</v>
      </c>
      <c r="H3247" s="201">
        <v>50000.0</v>
      </c>
      <c r="I3247" s="161">
        <f t="shared" si="41"/>
        <v>2178000</v>
      </c>
      <c r="J3247" s="164">
        <f t="shared" si="42"/>
        <v>2178000</v>
      </c>
      <c r="K3247" s="56" t="s">
        <v>10760</v>
      </c>
      <c r="L3247" s="165" t="s">
        <v>10761</v>
      </c>
      <c r="M3247" s="73"/>
      <c r="N3247" s="171"/>
      <c r="O3247" s="169" t="s">
        <v>6923</v>
      </c>
      <c r="P3247" s="169" t="s">
        <v>3112</v>
      </c>
      <c r="Q3247" s="173"/>
      <c r="R3247" s="161">
        <v>2228000.0</v>
      </c>
      <c r="S3247" s="173"/>
      <c r="T3247" s="173"/>
      <c r="U3247" s="173"/>
      <c r="V3247" s="169"/>
      <c r="W3247" s="171"/>
      <c r="X3247" s="171"/>
    </row>
    <row r="3248" ht="15.0" customHeight="1">
      <c r="A3248" s="127">
        <v>46069.0</v>
      </c>
      <c r="B3248" s="181" t="s">
        <v>10762</v>
      </c>
      <c r="C3248" s="56" t="s">
        <v>2837</v>
      </c>
      <c r="D3248" s="73" t="str">
        <f>IFERROR(VLOOKUP(C3248,Stock,3,FALSE),"")</f>
        <v>Honda Freed 08-16 1st gen</v>
      </c>
      <c r="E3248" s="56">
        <v>1.0</v>
      </c>
      <c r="F3248" s="161">
        <v>625000.0</v>
      </c>
      <c r="G3248" s="162">
        <f t="shared" si="43"/>
        <v>625000</v>
      </c>
      <c r="H3248" s="194"/>
      <c r="I3248" s="161">
        <f t="shared" si="41"/>
        <v>625000</v>
      </c>
      <c r="J3248" s="164">
        <f t="shared" si="42"/>
        <v>625000</v>
      </c>
      <c r="K3248" s="56" t="s">
        <v>10763</v>
      </c>
      <c r="L3248" s="165" t="s">
        <v>10764</v>
      </c>
      <c r="M3248" s="73"/>
      <c r="N3248" s="171"/>
      <c r="O3248" s="169" t="s">
        <v>6923</v>
      </c>
      <c r="P3248" s="169" t="s">
        <v>3112</v>
      </c>
      <c r="Q3248" s="173"/>
      <c r="R3248" s="161">
        <v>625000.0</v>
      </c>
      <c r="S3248" s="173"/>
      <c r="T3248" s="173"/>
      <c r="U3248" s="173"/>
      <c r="V3248" s="169"/>
      <c r="W3248" s="171"/>
      <c r="X3248" s="171"/>
    </row>
    <row r="3249" ht="15.0" customHeight="1">
      <c r="A3249" s="127">
        <v>46069.0</v>
      </c>
      <c r="B3249" s="181" t="s">
        <v>10765</v>
      </c>
      <c r="C3249" s="56" t="s">
        <v>2729</v>
      </c>
      <c r="D3249" s="73" t="str">
        <f>IFERROR(VLOOKUP(C3249,Stock,3,FALSE),"")</f>
        <v>Honda HR-V 14-21 5D SUV</v>
      </c>
      <c r="E3249" s="56">
        <v>1.0</v>
      </c>
      <c r="F3249" s="161">
        <v>1956000.0</v>
      </c>
      <c r="G3249" s="162">
        <f t="shared" si="43"/>
        <v>1956000</v>
      </c>
      <c r="H3249" s="194"/>
      <c r="I3249" s="161">
        <f t="shared" si="41"/>
        <v>1956000</v>
      </c>
      <c r="J3249" s="164">
        <f t="shared" si="42"/>
        <v>1956000</v>
      </c>
      <c r="K3249" s="56" t="s">
        <v>10766</v>
      </c>
      <c r="L3249" s="165" t="s">
        <v>10767</v>
      </c>
      <c r="M3249" s="73"/>
      <c r="N3249" s="171"/>
      <c r="O3249" s="169" t="s">
        <v>3037</v>
      </c>
      <c r="P3249" s="169" t="s">
        <v>3112</v>
      </c>
      <c r="Q3249" s="173"/>
      <c r="R3249" s="161">
        <v>1956000.0</v>
      </c>
      <c r="S3249" s="173"/>
      <c r="T3249" s="173"/>
      <c r="U3249" s="173"/>
      <c r="V3249" s="169"/>
      <c r="W3249" s="171"/>
      <c r="X3249" s="171"/>
    </row>
    <row r="3250" ht="15.0" customHeight="1">
      <c r="A3250" s="127">
        <v>46069.0</v>
      </c>
      <c r="B3250" s="181" t="s">
        <v>10768</v>
      </c>
      <c r="C3250" s="56" t="s">
        <v>2653</v>
      </c>
      <c r="D3250" s="73" t="str">
        <f>IFERROR(VLOOKUP(C3250,Stock,3,FALSE),"")</f>
        <v>Suzuki Ignis 17-</v>
      </c>
      <c r="E3250" s="56">
        <v>1.0</v>
      </c>
      <c r="F3250" s="161">
        <v>1493000.0</v>
      </c>
      <c r="G3250" s="162">
        <f t="shared" si="43"/>
        <v>1493000</v>
      </c>
      <c r="H3250" s="194"/>
      <c r="I3250" s="161">
        <f t="shared" si="41"/>
        <v>1493000</v>
      </c>
      <c r="J3250" s="164">
        <f t="shared" si="42"/>
        <v>1493000</v>
      </c>
      <c r="K3250" s="56" t="s">
        <v>10769</v>
      </c>
      <c r="L3250" s="165" t="s">
        <v>10770</v>
      </c>
      <c r="M3250" s="73"/>
      <c r="N3250" s="171"/>
      <c r="O3250" s="169" t="s">
        <v>3037</v>
      </c>
      <c r="P3250" s="169" t="s">
        <v>3112</v>
      </c>
      <c r="Q3250" s="173"/>
      <c r="R3250" s="161">
        <v>1493000.0</v>
      </c>
      <c r="S3250" s="173"/>
      <c r="T3250" s="173"/>
      <c r="U3250" s="173"/>
      <c r="V3250" s="169"/>
      <c r="W3250" s="171"/>
      <c r="X3250" s="171"/>
    </row>
    <row r="3251" ht="15.0" customHeight="1">
      <c r="A3251" s="127">
        <v>46070.0</v>
      </c>
      <c r="B3251" s="181" t="s">
        <v>10771</v>
      </c>
      <c r="C3251" s="56" t="s">
        <v>7660</v>
      </c>
      <c r="D3251" s="73" t="str">
        <f>IFERROR(VLOOKUP(C3251,Stock,3,FALSE),"")</f>
        <v>Suzuki Ertiga 12-18 1st Gen MPV</v>
      </c>
      <c r="E3251" s="56">
        <v>1.0</v>
      </c>
      <c r="F3251" s="6">
        <v>1250000.0</v>
      </c>
      <c r="G3251" s="162">
        <f t="shared" si="43"/>
        <v>1250000</v>
      </c>
      <c r="H3251" s="194"/>
      <c r="I3251" s="161">
        <f t="shared" si="41"/>
        <v>1250000</v>
      </c>
      <c r="J3251" s="164">
        <f t="shared" si="42"/>
        <v>1250000</v>
      </c>
      <c r="K3251" s="56" t="s">
        <v>10772</v>
      </c>
      <c r="L3251" s="165" t="s">
        <v>10773</v>
      </c>
      <c r="M3251" s="73"/>
      <c r="N3251" s="171"/>
      <c r="O3251" s="169" t="s">
        <v>6923</v>
      </c>
      <c r="P3251" s="169" t="s">
        <v>3112</v>
      </c>
      <c r="Q3251" s="161">
        <v>1250000.0</v>
      </c>
      <c r="R3251" s="161"/>
      <c r="S3251" s="173"/>
      <c r="T3251" s="173"/>
      <c r="U3251" s="173"/>
      <c r="V3251" s="169"/>
      <c r="W3251" s="171"/>
      <c r="X3251" s="171"/>
    </row>
    <row r="3252" ht="15.0" customHeight="1">
      <c r="A3252" s="127">
        <v>46070.0</v>
      </c>
      <c r="B3252" s="181" t="s">
        <v>10771</v>
      </c>
      <c r="C3252" s="56" t="s">
        <v>3513</v>
      </c>
      <c r="D3252" s="73" t="str">
        <f>IFERROR(VLOOKUP(C3252,Stock,3,FALSE),"")</f>
        <v>Lembur</v>
      </c>
      <c r="E3252" s="56">
        <v>1.0</v>
      </c>
      <c r="F3252" s="161">
        <v>100000.0</v>
      </c>
      <c r="G3252" s="162">
        <f t="shared" si="43"/>
        <v>100000</v>
      </c>
      <c r="H3252" s="194"/>
      <c r="I3252" s="161">
        <f t="shared" si="41"/>
        <v>100000</v>
      </c>
      <c r="J3252" s="164">
        <f t="shared" si="42"/>
        <v>100000</v>
      </c>
      <c r="K3252" s="56" t="s">
        <v>10772</v>
      </c>
      <c r="L3252" s="165" t="s">
        <v>10773</v>
      </c>
      <c r="M3252" s="73"/>
      <c r="N3252" s="171"/>
      <c r="O3252" s="169" t="s">
        <v>6923</v>
      </c>
      <c r="P3252" s="169" t="s">
        <v>3112</v>
      </c>
      <c r="Q3252" s="167">
        <v>100000.0</v>
      </c>
      <c r="R3252" s="167"/>
      <c r="S3252" s="161"/>
      <c r="T3252" s="173"/>
      <c r="U3252" s="173"/>
      <c r="V3252" s="169"/>
      <c r="W3252" s="171"/>
      <c r="X3252" s="171"/>
    </row>
    <row r="3253" ht="15.0" customHeight="1">
      <c r="A3253" s="127">
        <v>46071.0</v>
      </c>
      <c r="B3253" s="181" t="s">
        <v>10774</v>
      </c>
      <c r="C3253" s="56" t="s">
        <v>2716</v>
      </c>
      <c r="D3253" s="73" t="str">
        <f>IFERROR(VLOOKUP(C3253,Stock,3,FALSE),"")</f>
        <v>Mitsubishi Canter FE700 01- (PS110,125)</v>
      </c>
      <c r="E3253" s="56">
        <v>1.0</v>
      </c>
      <c r="F3253" s="161">
        <v>1144000.0</v>
      </c>
      <c r="G3253" s="162">
        <f t="shared" si="43"/>
        <v>1144000</v>
      </c>
      <c r="H3253" s="194"/>
      <c r="I3253" s="161">
        <f t="shared" si="41"/>
        <v>1144000</v>
      </c>
      <c r="J3253" s="164">
        <f t="shared" si="42"/>
        <v>1144000</v>
      </c>
      <c r="K3253" s="56" t="s">
        <v>10775</v>
      </c>
      <c r="L3253" s="73"/>
      <c r="M3253" s="73"/>
      <c r="N3253" s="171"/>
      <c r="O3253" s="169" t="s">
        <v>6923</v>
      </c>
      <c r="P3253" s="168" t="s">
        <v>5077</v>
      </c>
      <c r="Q3253" s="173"/>
      <c r="R3253" s="161"/>
      <c r="S3253" s="161">
        <v>1144000.0</v>
      </c>
      <c r="T3253" s="173"/>
      <c r="U3253" s="173"/>
      <c r="V3253" s="169"/>
      <c r="W3253" s="169"/>
      <c r="X3253" s="171"/>
    </row>
    <row r="3254" ht="15.0" customHeight="1">
      <c r="A3254" s="127">
        <v>46071.0</v>
      </c>
      <c r="B3254" s="181" t="s">
        <v>10774</v>
      </c>
      <c r="C3254" s="56" t="s">
        <v>2954</v>
      </c>
      <c r="D3254" s="73" t="str">
        <f>IFERROR(VLOOKUP(C3254,Stock,3,FALSE),"")</f>
        <v>Transport</v>
      </c>
      <c r="E3254" s="56">
        <v>1.0</v>
      </c>
      <c r="F3254" s="161">
        <v>100000.0</v>
      </c>
      <c r="G3254" s="162">
        <f t="shared" si="43"/>
        <v>100000</v>
      </c>
      <c r="H3254" s="194"/>
      <c r="I3254" s="161">
        <f t="shared" si="41"/>
        <v>100000</v>
      </c>
      <c r="J3254" s="164">
        <f t="shared" si="42"/>
        <v>100000</v>
      </c>
      <c r="K3254" s="56" t="s">
        <v>10775</v>
      </c>
      <c r="L3254" s="73"/>
      <c r="M3254" s="73"/>
      <c r="N3254" s="171"/>
      <c r="O3254" s="169" t="s">
        <v>6923</v>
      </c>
      <c r="P3254" s="168" t="s">
        <v>5077</v>
      </c>
      <c r="Q3254" s="173"/>
      <c r="R3254" s="161">
        <v>100000.0</v>
      </c>
      <c r="S3254" s="173"/>
      <c r="T3254" s="173"/>
      <c r="U3254" s="173"/>
      <c r="V3254" s="169"/>
      <c r="W3254" s="169"/>
      <c r="X3254" s="171"/>
    </row>
    <row r="3255" ht="15.0" customHeight="1">
      <c r="A3255" s="127">
        <v>46071.0</v>
      </c>
      <c r="B3255" s="181" t="s">
        <v>10776</v>
      </c>
      <c r="C3255" s="56" t="s">
        <v>10701</v>
      </c>
      <c r="D3255" s="73" t="str">
        <f>IFERROR(VLOOKUP(C3255,Stock,3,FALSE),"")</f>
        <v>Toyota Dyna/Hino Dutro 00-</v>
      </c>
      <c r="E3255" s="56">
        <v>1.0</v>
      </c>
      <c r="F3255" s="161">
        <v>1000000.0</v>
      </c>
      <c r="G3255" s="162">
        <f t="shared" si="43"/>
        <v>1000000</v>
      </c>
      <c r="H3255" s="194"/>
      <c r="I3255" s="161">
        <f t="shared" si="41"/>
        <v>1000000</v>
      </c>
      <c r="J3255" s="164">
        <f t="shared" si="42"/>
        <v>1000000</v>
      </c>
      <c r="K3255" s="56" t="s">
        <v>10561</v>
      </c>
      <c r="L3255" s="165" t="s">
        <v>10562</v>
      </c>
      <c r="M3255" s="73"/>
      <c r="N3255" s="171"/>
      <c r="O3255" s="169" t="s">
        <v>6923</v>
      </c>
      <c r="P3255" s="168" t="s">
        <v>3112</v>
      </c>
      <c r="Q3255" s="173"/>
      <c r="R3255" s="161">
        <v>1000000.0</v>
      </c>
      <c r="S3255" s="173"/>
      <c r="T3255" s="173"/>
      <c r="U3255" s="173"/>
      <c r="V3255" s="169"/>
      <c r="W3255" s="171"/>
      <c r="X3255" s="171"/>
    </row>
    <row r="3256" ht="15.0" customHeight="1">
      <c r="A3256" s="127">
        <v>46071.0</v>
      </c>
      <c r="B3256" s="181" t="s">
        <v>10777</v>
      </c>
      <c r="C3256" s="56" t="s">
        <v>10333</v>
      </c>
      <c r="D3256" s="73" t="str">
        <f>IFERROR(VLOOKUP(C3256,Stock,3,FALSE),"")</f>
        <v>Toyota Avanza / Xenia 11-15 2nd Gen</v>
      </c>
      <c r="E3256" s="56">
        <v>1.0</v>
      </c>
      <c r="F3256" s="161">
        <v>1000000.0</v>
      </c>
      <c r="G3256" s="162">
        <f t="shared" si="43"/>
        <v>1000000</v>
      </c>
      <c r="H3256" s="194"/>
      <c r="I3256" s="161">
        <f t="shared" si="41"/>
        <v>1000000</v>
      </c>
      <c r="J3256" s="164">
        <f t="shared" si="42"/>
        <v>1000000</v>
      </c>
      <c r="K3256" s="56" t="s">
        <v>10778</v>
      </c>
      <c r="L3256" s="165" t="s">
        <v>10779</v>
      </c>
      <c r="M3256" s="73"/>
      <c r="N3256" s="171"/>
      <c r="O3256" s="169" t="s">
        <v>6923</v>
      </c>
      <c r="P3256" s="168" t="s">
        <v>3112</v>
      </c>
      <c r="Q3256" s="161">
        <v>1000000.0</v>
      </c>
      <c r="R3256" s="173"/>
      <c r="S3256" s="173"/>
      <c r="T3256" s="173"/>
      <c r="U3256" s="173"/>
      <c r="V3256" s="169"/>
      <c r="W3256" s="171"/>
      <c r="X3256" s="171"/>
    </row>
    <row r="3257" ht="15.0" customHeight="1">
      <c r="A3257" s="127">
        <v>46071.0</v>
      </c>
      <c r="B3257" s="181" t="s">
        <v>10780</v>
      </c>
      <c r="C3257" s="56" t="s">
        <v>2617</v>
      </c>
      <c r="D3257" s="73" t="str">
        <f>IFERROR(VLOOKUP(C3257,Stock,3,FALSE),"")</f>
        <v>Mitsubishi Pajero 16- (Mitsubishi)</v>
      </c>
      <c r="E3257" s="56">
        <v>1.0</v>
      </c>
      <c r="F3257" s="161">
        <v>3299000.0</v>
      </c>
      <c r="G3257" s="162">
        <f t="shared" si="43"/>
        <v>3299000</v>
      </c>
      <c r="H3257" s="194"/>
      <c r="I3257" s="161">
        <f t="shared" si="41"/>
        <v>3299000</v>
      </c>
      <c r="J3257" s="164">
        <f t="shared" si="42"/>
        <v>3299000</v>
      </c>
      <c r="K3257" s="56" t="s">
        <v>10781</v>
      </c>
      <c r="L3257" s="165" t="s">
        <v>10782</v>
      </c>
      <c r="M3257" s="73"/>
      <c r="N3257" s="171"/>
      <c r="O3257" s="169" t="s">
        <v>6923</v>
      </c>
      <c r="P3257" s="168" t="s">
        <v>3112</v>
      </c>
      <c r="Q3257" s="161">
        <v>3299000.0</v>
      </c>
      <c r="R3257" s="173"/>
      <c r="S3257" s="173"/>
      <c r="T3257" s="173"/>
      <c r="U3257" s="173"/>
      <c r="V3257" s="169"/>
      <c r="W3257" s="171"/>
      <c r="X3257" s="171"/>
    </row>
    <row r="3258" ht="15.0" customHeight="1">
      <c r="A3258" s="127">
        <v>46071.0</v>
      </c>
      <c r="B3258" s="181" t="s">
        <v>10783</v>
      </c>
      <c r="C3258" s="56" t="s">
        <v>3045</v>
      </c>
      <c r="D3258" s="73" t="str">
        <f>IFERROR(VLOOKUP(C3258,Stock,3,FALSE),"")</f>
        <v>Pemasangan Kaca Mobil Depan</v>
      </c>
      <c r="E3258" s="56">
        <v>1.0</v>
      </c>
      <c r="F3258" s="161">
        <v>550000.0</v>
      </c>
      <c r="G3258" s="162">
        <f t="shared" si="43"/>
        <v>550000</v>
      </c>
      <c r="H3258" s="194"/>
      <c r="I3258" s="161">
        <f t="shared" si="41"/>
        <v>550000</v>
      </c>
      <c r="J3258" s="164">
        <f t="shared" si="42"/>
        <v>550000</v>
      </c>
      <c r="K3258" s="56" t="s">
        <v>10784</v>
      </c>
      <c r="L3258" s="165" t="s">
        <v>10785</v>
      </c>
      <c r="M3258" s="73"/>
      <c r="N3258" s="171"/>
      <c r="O3258" s="169" t="s">
        <v>6923</v>
      </c>
      <c r="P3258" s="168" t="s">
        <v>3112</v>
      </c>
      <c r="Q3258" s="161">
        <v>550000.0</v>
      </c>
      <c r="R3258" s="173"/>
      <c r="S3258" s="173"/>
      <c r="T3258" s="173"/>
      <c r="U3258" s="173"/>
      <c r="V3258" s="169"/>
      <c r="W3258" s="171"/>
      <c r="X3258" s="171"/>
    </row>
    <row r="3259" ht="15.0" customHeight="1">
      <c r="A3259" s="127">
        <v>46071.0</v>
      </c>
      <c r="B3259" s="181" t="s">
        <v>10786</v>
      </c>
      <c r="C3259" s="56" t="s">
        <v>2562</v>
      </c>
      <c r="D3259" s="73" t="str">
        <f>IFERROR(VLOOKUP(C3259,Stock,3,FALSE),"")</f>
        <v>Toyota Avanza / Xenia 15-21 3rd Gen</v>
      </c>
      <c r="E3259" s="56">
        <v>1.0</v>
      </c>
      <c r="F3259" s="161">
        <v>800000.0</v>
      </c>
      <c r="G3259" s="162">
        <f t="shared" si="43"/>
        <v>800000</v>
      </c>
      <c r="H3259" s="194"/>
      <c r="I3259" s="161">
        <f t="shared" si="41"/>
        <v>800000</v>
      </c>
      <c r="J3259" s="164">
        <f t="shared" si="42"/>
        <v>800000</v>
      </c>
      <c r="K3259" s="56" t="s">
        <v>10787</v>
      </c>
      <c r="L3259" s="165" t="s">
        <v>10788</v>
      </c>
      <c r="M3259" s="73"/>
      <c r="N3259" s="171"/>
      <c r="O3259" s="169" t="s">
        <v>6923</v>
      </c>
      <c r="P3259" s="168" t="s">
        <v>3112</v>
      </c>
      <c r="Q3259" s="173"/>
      <c r="R3259" s="161">
        <v>800000.0</v>
      </c>
      <c r="S3259" s="173"/>
      <c r="T3259" s="173"/>
      <c r="U3259" s="173"/>
      <c r="V3259" s="169"/>
      <c r="W3259" s="171"/>
      <c r="X3259" s="171"/>
    </row>
    <row r="3260" ht="15.0" customHeight="1">
      <c r="A3260" s="127">
        <v>46071.0</v>
      </c>
      <c r="B3260" s="181" t="s">
        <v>10786</v>
      </c>
      <c r="C3260" s="56" t="s">
        <v>2934</v>
      </c>
      <c r="D3260" s="73" t="str">
        <f>IFERROR(VLOOKUP(C3260,Stock,3,FALSE),"")</f>
        <v>Peti Kayu</v>
      </c>
      <c r="E3260" s="56">
        <v>1.0</v>
      </c>
      <c r="F3260" s="161">
        <v>200000.0</v>
      </c>
      <c r="G3260" s="162">
        <f t="shared" si="43"/>
        <v>200000</v>
      </c>
      <c r="H3260" s="194"/>
      <c r="I3260" s="161">
        <f t="shared" si="41"/>
        <v>200000</v>
      </c>
      <c r="J3260" s="164">
        <f t="shared" si="42"/>
        <v>200000</v>
      </c>
      <c r="K3260" s="487" t="s">
        <v>10787</v>
      </c>
      <c r="L3260" s="165" t="s">
        <v>10788</v>
      </c>
      <c r="M3260" s="73"/>
      <c r="N3260" s="171"/>
      <c r="O3260" s="169" t="s">
        <v>6923</v>
      </c>
      <c r="P3260" s="168" t="s">
        <v>3112</v>
      </c>
      <c r="Q3260" s="173"/>
      <c r="R3260" s="161">
        <v>200000.0</v>
      </c>
      <c r="S3260" s="173"/>
      <c r="T3260" s="173"/>
      <c r="U3260" s="173"/>
      <c r="V3260" s="169"/>
      <c r="W3260" s="171"/>
      <c r="X3260" s="171"/>
    </row>
    <row r="3261" ht="15.0" customHeight="1">
      <c r="A3261" s="127">
        <v>46071.0</v>
      </c>
      <c r="B3261" s="181" t="s">
        <v>10786</v>
      </c>
      <c r="C3261" s="56" t="s">
        <v>2954</v>
      </c>
      <c r="D3261" s="73" t="str">
        <f>IFERROR(VLOOKUP(C3261,Stock,3,FALSE),"")</f>
        <v>Transport</v>
      </c>
      <c r="E3261" s="6">
        <v>1.0</v>
      </c>
      <c r="F3261" s="161">
        <v>100000.0</v>
      </c>
      <c r="G3261" s="162">
        <f t="shared" si="43"/>
        <v>100000</v>
      </c>
      <c r="H3261" s="194"/>
      <c r="I3261" s="161">
        <f t="shared" si="41"/>
        <v>100000</v>
      </c>
      <c r="J3261" s="164">
        <f t="shared" si="42"/>
        <v>100000</v>
      </c>
      <c r="K3261" s="56" t="s">
        <v>10787</v>
      </c>
      <c r="L3261" s="165" t="s">
        <v>10788</v>
      </c>
      <c r="M3261" s="73"/>
      <c r="N3261" s="171"/>
      <c r="O3261" s="169" t="s">
        <v>6923</v>
      </c>
      <c r="P3261" s="168" t="s">
        <v>3112</v>
      </c>
      <c r="Q3261" s="173"/>
      <c r="R3261" s="161">
        <v>100000.0</v>
      </c>
      <c r="S3261" s="173"/>
      <c r="T3261" s="173"/>
      <c r="U3261" s="173"/>
      <c r="V3261" s="169"/>
      <c r="W3261" s="171"/>
      <c r="X3261" s="171"/>
    </row>
    <row r="3262" ht="15.0" customHeight="1">
      <c r="A3262" s="127">
        <v>46072.0</v>
      </c>
      <c r="B3262" s="181" t="s">
        <v>10789</v>
      </c>
      <c r="C3262" s="56" t="s">
        <v>2965</v>
      </c>
      <c r="D3262" s="73" t="str">
        <f>IFERROR(VLOOKUP(C3262,Stock,3,FALSE),"")</f>
        <v>Suzuki Ertiga 12-18 1st Gen MPV</v>
      </c>
      <c r="E3262" s="56">
        <v>1.0</v>
      </c>
      <c r="F3262" s="161">
        <v>731000.0</v>
      </c>
      <c r="G3262" s="162">
        <f t="shared" si="43"/>
        <v>731000</v>
      </c>
      <c r="H3262" s="194"/>
      <c r="I3262" s="161">
        <f t="shared" si="41"/>
        <v>731000</v>
      </c>
      <c r="J3262" s="164">
        <f t="shared" si="42"/>
        <v>731000</v>
      </c>
      <c r="K3262" s="56" t="s">
        <v>10790</v>
      </c>
      <c r="L3262" s="165" t="s">
        <v>10791</v>
      </c>
      <c r="M3262" s="73"/>
      <c r="N3262" s="171"/>
      <c r="O3262" s="169" t="s">
        <v>6923</v>
      </c>
      <c r="P3262" s="168" t="s">
        <v>3112</v>
      </c>
      <c r="Q3262" s="173"/>
      <c r="R3262" s="161">
        <v>731000.0</v>
      </c>
      <c r="S3262" s="173"/>
      <c r="T3262" s="173"/>
      <c r="U3262" s="173"/>
      <c r="V3262" s="169"/>
      <c r="W3262" s="171"/>
      <c r="X3262" s="171"/>
    </row>
    <row r="3263" ht="15.0" customHeight="1">
      <c r="A3263" s="127">
        <v>46072.0</v>
      </c>
      <c r="B3263" s="181" t="s">
        <v>10789</v>
      </c>
      <c r="C3263" s="56" t="s">
        <v>9372</v>
      </c>
      <c r="D3263" s="73" t="str">
        <f>IFERROR(VLOOKUP(C3263,Stock,3,FALSE),"")</f>
        <v>Automotive Film Standard - Black 80%  </v>
      </c>
      <c r="E3263" s="56">
        <v>1.0</v>
      </c>
      <c r="F3263" s="161">
        <v>300000.0</v>
      </c>
      <c r="G3263" s="162">
        <f t="shared" si="43"/>
        <v>300000</v>
      </c>
      <c r="H3263" s="194"/>
      <c r="I3263" s="161">
        <f t="shared" si="41"/>
        <v>300000</v>
      </c>
      <c r="J3263" s="164">
        <f t="shared" si="42"/>
        <v>300000</v>
      </c>
      <c r="K3263" s="56" t="s">
        <v>10790</v>
      </c>
      <c r="L3263" s="165" t="s">
        <v>10791</v>
      </c>
      <c r="M3263" s="73"/>
      <c r="N3263" s="171"/>
      <c r="O3263" s="169" t="s">
        <v>6923</v>
      </c>
      <c r="P3263" s="168" t="s">
        <v>3112</v>
      </c>
      <c r="Q3263" s="173"/>
      <c r="R3263" s="161">
        <v>300000.0</v>
      </c>
      <c r="S3263" s="173"/>
      <c r="T3263" s="173"/>
      <c r="U3263" s="173"/>
      <c r="V3263" s="169"/>
      <c r="W3263" s="171"/>
      <c r="X3263" s="171"/>
    </row>
    <row r="3264" ht="15.0" customHeight="1">
      <c r="A3264" s="452">
        <v>46072.0</v>
      </c>
      <c r="B3264" s="492" t="s">
        <v>10792</v>
      </c>
      <c r="C3264" s="454" t="s">
        <v>10793</v>
      </c>
      <c r="D3264" s="455" t="str">
        <f>IFERROR(VLOOKUP(C3264,Stock,3,FALSE),"")</f>
        <v>Range Rover SALSA 4D (1 Sensor / [] )</v>
      </c>
      <c r="E3264" s="454">
        <v>1.0</v>
      </c>
      <c r="F3264" s="456">
        <v>7122000.0</v>
      </c>
      <c r="G3264" s="457">
        <f t="shared" si="43"/>
        <v>7122000</v>
      </c>
      <c r="H3264" s="458"/>
      <c r="I3264" s="456">
        <f t="shared" si="41"/>
        <v>7122000</v>
      </c>
      <c r="J3264" s="459">
        <f t="shared" si="42"/>
        <v>7122000</v>
      </c>
      <c r="K3264" s="454" t="s">
        <v>10794</v>
      </c>
      <c r="L3264" s="460" t="s">
        <v>10795</v>
      </c>
      <c r="M3264" s="455"/>
      <c r="N3264" s="422"/>
      <c r="O3264" s="317" t="s">
        <v>6923</v>
      </c>
      <c r="P3264" s="461" t="s">
        <v>3112</v>
      </c>
      <c r="Q3264" s="462"/>
      <c r="R3264" s="463">
        <v>3561000.0</v>
      </c>
      <c r="S3264" s="462"/>
      <c r="T3264" s="173"/>
      <c r="U3264" s="173"/>
      <c r="V3264" s="169"/>
      <c r="W3264" s="171"/>
      <c r="X3264" s="171"/>
    </row>
    <row r="3265" ht="15.0" customHeight="1">
      <c r="A3265" s="127">
        <v>46072.0</v>
      </c>
      <c r="B3265" s="475" t="s">
        <v>10796</v>
      </c>
      <c r="C3265" s="56" t="s">
        <v>10480</v>
      </c>
      <c r="D3265" s="73" t="str">
        <f>IFERROR(VLOOKUP(C3265,Stock,3,FALSE),"")</f>
        <v>Toyota Innova 15- 2nd Gen</v>
      </c>
      <c r="E3265" s="56">
        <v>1.0</v>
      </c>
      <c r="F3265" s="161">
        <v>1600000.0</v>
      </c>
      <c r="G3265" s="162">
        <f t="shared" si="43"/>
        <v>1600000</v>
      </c>
      <c r="H3265" s="194"/>
      <c r="I3265" s="161">
        <f t="shared" si="41"/>
        <v>1600000</v>
      </c>
      <c r="J3265" s="164">
        <f t="shared" si="42"/>
        <v>1600000</v>
      </c>
      <c r="K3265" s="56" t="s">
        <v>10797</v>
      </c>
      <c r="L3265" s="165" t="s">
        <v>10798</v>
      </c>
      <c r="M3265" s="73"/>
      <c r="N3265" s="171"/>
      <c r="O3265" s="169" t="s">
        <v>6923</v>
      </c>
      <c r="P3265" s="168" t="s">
        <v>3112</v>
      </c>
      <c r="Q3265" s="173"/>
      <c r="R3265" s="167">
        <v>1600000.0</v>
      </c>
      <c r="S3265" s="173"/>
      <c r="T3265" s="173"/>
      <c r="U3265" s="173"/>
      <c r="V3265" s="169"/>
      <c r="W3265" s="171"/>
      <c r="X3265" s="171"/>
    </row>
    <row r="3266" ht="15.0" customHeight="1">
      <c r="A3266" s="127">
        <v>46072.0</v>
      </c>
      <c r="B3266" s="475" t="s">
        <v>10799</v>
      </c>
      <c r="C3266" s="56" t="s">
        <v>3745</v>
      </c>
      <c r="D3266" s="73" t="str">
        <f>IFERROR(VLOOKUP(C3266,Stock,3,FALSE),"")</f>
        <v>Honda Brio 10- / Mobilio 11-</v>
      </c>
      <c r="E3266" s="56">
        <v>1.0</v>
      </c>
      <c r="F3266" s="161">
        <v>1772000.0</v>
      </c>
      <c r="G3266" s="162">
        <f t="shared" si="43"/>
        <v>1772000</v>
      </c>
      <c r="H3266" s="194"/>
      <c r="I3266" s="161">
        <f t="shared" si="41"/>
        <v>1772000</v>
      </c>
      <c r="J3266" s="164">
        <f t="shared" si="42"/>
        <v>1772000</v>
      </c>
      <c r="K3266" s="56" t="s">
        <v>10800</v>
      </c>
      <c r="L3266" s="165" t="s">
        <v>10801</v>
      </c>
      <c r="M3266" s="73"/>
      <c r="N3266" s="171"/>
      <c r="O3266" s="169" t="s">
        <v>6923</v>
      </c>
      <c r="P3266" s="168" t="s">
        <v>3112</v>
      </c>
      <c r="Q3266" s="167">
        <v>886000.0</v>
      </c>
      <c r="R3266" s="167">
        <v>886000.0</v>
      </c>
      <c r="S3266" s="462"/>
      <c r="T3266" s="173"/>
      <c r="U3266" s="173"/>
      <c r="V3266" s="169"/>
      <c r="W3266" s="171"/>
      <c r="X3266" s="171"/>
    </row>
    <row r="3267" ht="15.0" customHeight="1">
      <c r="A3267" s="127">
        <v>46073.0</v>
      </c>
      <c r="B3267" s="475" t="s">
        <v>10802</v>
      </c>
      <c r="C3267" s="56" t="s">
        <v>5429</v>
      </c>
      <c r="D3267" s="73" t="str">
        <f>IFERROR(VLOOKUP(C3267,Stock,3,FALSE),"")</f>
        <v>Toyota Innova 04-15 1st Gen (Toyota)</v>
      </c>
      <c r="E3267" s="56">
        <v>1.0</v>
      </c>
      <c r="F3267" s="161">
        <v>2250000.0</v>
      </c>
      <c r="G3267" s="162">
        <f t="shared" si="43"/>
        <v>2250000</v>
      </c>
      <c r="H3267" s="194"/>
      <c r="I3267" s="161">
        <f t="shared" si="41"/>
        <v>2250000</v>
      </c>
      <c r="J3267" s="164">
        <f t="shared" si="42"/>
        <v>2250000</v>
      </c>
      <c r="K3267" s="56" t="s">
        <v>5788</v>
      </c>
      <c r="L3267" s="165" t="s">
        <v>5789</v>
      </c>
      <c r="M3267" s="73"/>
      <c r="N3267" s="171"/>
      <c r="O3267" s="169" t="s">
        <v>6923</v>
      </c>
      <c r="P3267" s="168" t="s">
        <v>3112</v>
      </c>
      <c r="Q3267" s="167">
        <v>2025000.0</v>
      </c>
      <c r="R3267" s="167">
        <v>225000.0</v>
      </c>
      <c r="S3267" s="173"/>
      <c r="T3267" s="173"/>
      <c r="U3267" s="173"/>
      <c r="V3267" s="169"/>
      <c r="W3267" s="171"/>
      <c r="X3267" s="171"/>
    </row>
    <row r="3268" ht="15.0" customHeight="1">
      <c r="A3268" s="127">
        <v>46073.0</v>
      </c>
      <c r="B3268" s="475" t="s">
        <v>10803</v>
      </c>
      <c r="C3268" s="56" t="s">
        <v>10804</v>
      </c>
      <c r="D3268" s="73" t="str">
        <f>IFERROR(VLOOKUP(C3268,Stock,3,FALSE),"")</f>
        <v>Toyota Alphard 08-15 ANH20 2nd Gen</v>
      </c>
      <c r="E3268" s="56">
        <v>1.0</v>
      </c>
      <c r="F3268" s="161">
        <v>4222000.0</v>
      </c>
      <c r="G3268" s="162">
        <f t="shared" si="43"/>
        <v>4222000</v>
      </c>
      <c r="H3268" s="194"/>
      <c r="I3268" s="161">
        <f t="shared" si="41"/>
        <v>4222000</v>
      </c>
      <c r="J3268" s="164">
        <f t="shared" si="42"/>
        <v>4222000</v>
      </c>
      <c r="K3268" s="56" t="s">
        <v>10805</v>
      </c>
      <c r="L3268" s="165" t="s">
        <v>10806</v>
      </c>
      <c r="M3268" s="73"/>
      <c r="N3268" s="171"/>
      <c r="O3268" s="169" t="s">
        <v>6923</v>
      </c>
      <c r="P3268" s="168" t="s">
        <v>3112</v>
      </c>
      <c r="Q3268" s="173"/>
      <c r="R3268" s="161">
        <v>4222000.0</v>
      </c>
      <c r="S3268" s="173"/>
      <c r="T3268" s="173"/>
      <c r="U3268" s="173"/>
      <c r="V3268" s="169"/>
      <c r="W3268" s="171"/>
      <c r="X3268" s="171"/>
    </row>
    <row r="3269" ht="15.0" customHeight="1">
      <c r="A3269" s="127">
        <v>46073.0</v>
      </c>
      <c r="B3269" s="475" t="s">
        <v>10803</v>
      </c>
      <c r="C3269" s="56" t="s">
        <v>2954</v>
      </c>
      <c r="D3269" s="73" t="str">
        <f>IFERROR(VLOOKUP(C3269,Stock,3,FALSE),"")</f>
        <v>Transport</v>
      </c>
      <c r="E3269" s="56">
        <v>1.0</v>
      </c>
      <c r="F3269" s="161">
        <v>100000.0</v>
      </c>
      <c r="G3269" s="162">
        <f t="shared" si="43"/>
        <v>100000</v>
      </c>
      <c r="H3269" s="194"/>
      <c r="I3269" s="161">
        <f t="shared" si="41"/>
        <v>100000</v>
      </c>
      <c r="J3269" s="164">
        <f t="shared" si="42"/>
        <v>100000</v>
      </c>
      <c r="K3269" s="56" t="s">
        <v>10805</v>
      </c>
      <c r="L3269" s="165" t="s">
        <v>10806</v>
      </c>
      <c r="M3269" s="73"/>
      <c r="N3269" s="171"/>
      <c r="O3269" s="169" t="s">
        <v>6923</v>
      </c>
      <c r="P3269" s="168" t="s">
        <v>3112</v>
      </c>
      <c r="Q3269" s="173"/>
      <c r="R3269" s="161">
        <v>100000.0</v>
      </c>
      <c r="S3269" s="173"/>
      <c r="T3269" s="173"/>
      <c r="U3269" s="173"/>
      <c r="V3269" s="169"/>
      <c r="W3269" s="171"/>
      <c r="X3269" s="171"/>
    </row>
    <row r="3270" ht="15.0" customHeight="1">
      <c r="A3270" s="127">
        <v>46073.0</v>
      </c>
      <c r="B3270" s="475" t="s">
        <v>10807</v>
      </c>
      <c r="C3270" s="56" t="s">
        <v>2831</v>
      </c>
      <c r="D3270" s="73" t="str">
        <f>IFERROR(VLOOKUP(C3270,Stock,3,FALSE),"")</f>
        <v>Daihatsu Gran Max / Luxio 07-</v>
      </c>
      <c r="E3270" s="56">
        <v>1.0</v>
      </c>
      <c r="F3270" s="161">
        <v>480000.0</v>
      </c>
      <c r="G3270" s="162">
        <f t="shared" si="43"/>
        <v>480000</v>
      </c>
      <c r="H3270" s="194"/>
      <c r="I3270" s="161">
        <f t="shared" si="41"/>
        <v>480000</v>
      </c>
      <c r="J3270" s="164">
        <f t="shared" si="42"/>
        <v>480000</v>
      </c>
      <c r="K3270" s="56" t="s">
        <v>10808</v>
      </c>
      <c r="L3270" s="165" t="s">
        <v>10809</v>
      </c>
      <c r="M3270" s="73"/>
      <c r="N3270" s="171"/>
      <c r="O3270" s="169" t="s">
        <v>6923</v>
      </c>
      <c r="P3270" s="168" t="s">
        <v>3112</v>
      </c>
      <c r="Q3270" s="161">
        <v>480000.0</v>
      </c>
      <c r="R3270" s="173"/>
      <c r="S3270" s="173"/>
      <c r="T3270" s="173"/>
      <c r="U3270" s="173"/>
      <c r="V3270" s="169"/>
      <c r="W3270" s="171"/>
      <c r="X3270" s="171"/>
    </row>
    <row r="3271" ht="15.0" customHeight="1">
      <c r="A3271" s="127">
        <v>46074.0</v>
      </c>
      <c r="B3271" s="475" t="s">
        <v>10810</v>
      </c>
      <c r="C3271" s="56" t="s">
        <v>7660</v>
      </c>
      <c r="D3271" s="73" t="str">
        <f>IFERROR(VLOOKUP(C3271,Stock,3,FALSE),"")</f>
        <v>Suzuki Ertiga 12-18 1st Gen MPV</v>
      </c>
      <c r="E3271" s="56">
        <v>1.0</v>
      </c>
      <c r="F3271" s="161">
        <v>1249000.0</v>
      </c>
      <c r="G3271" s="162">
        <f t="shared" si="43"/>
        <v>1249000</v>
      </c>
      <c r="H3271" s="194"/>
      <c r="I3271" s="161">
        <f t="shared" si="41"/>
        <v>1249000</v>
      </c>
      <c r="J3271" s="164">
        <f t="shared" si="42"/>
        <v>1249000</v>
      </c>
      <c r="K3271" s="56" t="s">
        <v>10811</v>
      </c>
      <c r="L3271" s="165" t="s">
        <v>10812</v>
      </c>
      <c r="M3271" s="73"/>
      <c r="N3271" s="171"/>
      <c r="O3271" s="169" t="s">
        <v>6923</v>
      </c>
      <c r="P3271" s="168" t="s">
        <v>3112</v>
      </c>
      <c r="Q3271" s="161">
        <v>1249000.0</v>
      </c>
      <c r="R3271" s="161"/>
      <c r="S3271" s="173"/>
      <c r="T3271" s="173"/>
      <c r="U3271" s="173"/>
      <c r="V3271" s="169"/>
      <c r="W3271" s="171"/>
      <c r="X3271" s="171"/>
    </row>
    <row r="3272" ht="15.0" customHeight="1">
      <c r="A3272" s="127">
        <v>46074.0</v>
      </c>
      <c r="B3272" s="475" t="s">
        <v>10813</v>
      </c>
      <c r="C3272" s="56" t="s">
        <v>7660</v>
      </c>
      <c r="D3272" s="73" t="str">
        <f>IFERROR(VLOOKUP(C3272,Stock,3,FALSE),"")</f>
        <v>Suzuki Ertiga 12-18 1st Gen MPV</v>
      </c>
      <c r="E3272" s="56">
        <v>1.0</v>
      </c>
      <c r="F3272" s="161">
        <v>1249000.0</v>
      </c>
      <c r="G3272" s="162">
        <f t="shared" si="43"/>
        <v>1249000</v>
      </c>
      <c r="H3272" s="194"/>
      <c r="I3272" s="161">
        <f t="shared" si="41"/>
        <v>1249000</v>
      </c>
      <c r="J3272" s="164">
        <f t="shared" si="42"/>
        <v>1249000</v>
      </c>
      <c r="K3272" s="56" t="s">
        <v>10814</v>
      </c>
      <c r="L3272" s="165" t="s">
        <v>10815</v>
      </c>
      <c r="M3272" s="73"/>
      <c r="N3272" s="171"/>
      <c r="O3272" s="169" t="s">
        <v>6923</v>
      </c>
      <c r="P3272" s="168" t="s">
        <v>3112</v>
      </c>
      <c r="Q3272" s="173"/>
      <c r="R3272" s="161">
        <v>1249000.0</v>
      </c>
      <c r="S3272" s="173"/>
      <c r="T3272" s="173"/>
      <c r="U3272" s="173"/>
      <c r="V3272" s="169"/>
      <c r="W3272" s="171"/>
      <c r="X3272" s="171"/>
    </row>
    <row r="3273" ht="15.0" customHeight="1">
      <c r="A3273" s="127">
        <v>46074.0</v>
      </c>
      <c r="B3273" s="475" t="s">
        <v>10816</v>
      </c>
      <c r="C3273" s="56" t="s">
        <v>10333</v>
      </c>
      <c r="D3273" s="73" t="str">
        <f>IFERROR(VLOOKUP(C3273,Stock,3,FALSE),"")</f>
        <v>Toyota Avanza / Xenia 11-15 2nd Gen</v>
      </c>
      <c r="E3273" s="56">
        <v>1.0</v>
      </c>
      <c r="F3273" s="161">
        <v>999000.0</v>
      </c>
      <c r="G3273" s="162">
        <f t="shared" si="43"/>
        <v>999000</v>
      </c>
      <c r="H3273" s="194"/>
      <c r="I3273" s="161">
        <f t="shared" si="41"/>
        <v>999000</v>
      </c>
      <c r="J3273" s="164">
        <f t="shared" si="42"/>
        <v>999000</v>
      </c>
      <c r="K3273" s="56" t="s">
        <v>10817</v>
      </c>
      <c r="L3273" s="165" t="s">
        <v>10818</v>
      </c>
      <c r="M3273" s="73"/>
      <c r="N3273" s="171"/>
      <c r="O3273" s="169" t="s">
        <v>6923</v>
      </c>
      <c r="P3273" s="168" t="s">
        <v>3112</v>
      </c>
      <c r="Q3273" s="167">
        <v>899000.0</v>
      </c>
      <c r="R3273" s="167">
        <v>100000.0</v>
      </c>
      <c r="S3273" s="173"/>
      <c r="T3273" s="173"/>
      <c r="U3273" s="173"/>
      <c r="V3273" s="169"/>
      <c r="W3273" s="171"/>
      <c r="X3273" s="171"/>
    </row>
    <row r="3274" ht="15.0" customHeight="1">
      <c r="A3274" s="127">
        <v>46074.0</v>
      </c>
      <c r="B3274" s="475" t="s">
        <v>10816</v>
      </c>
      <c r="C3274" s="493" t="s">
        <v>2954</v>
      </c>
      <c r="D3274" s="73" t="str">
        <f>IFERROR(VLOOKUP(C3274,Stock,3,FALSE),"")</f>
        <v>Transport</v>
      </c>
      <c r="E3274" s="56">
        <v>1.0</v>
      </c>
      <c r="F3274" s="161">
        <v>30000.0</v>
      </c>
      <c r="G3274" s="162">
        <f t="shared" si="43"/>
        <v>30000</v>
      </c>
      <c r="H3274" s="194"/>
      <c r="I3274" s="161">
        <f t="shared" si="41"/>
        <v>30000</v>
      </c>
      <c r="J3274" s="164">
        <f t="shared" si="42"/>
        <v>30000</v>
      </c>
      <c r="K3274" s="56" t="s">
        <v>10817</v>
      </c>
      <c r="L3274" s="165" t="s">
        <v>10818</v>
      </c>
      <c r="M3274" s="73"/>
      <c r="N3274" s="171"/>
      <c r="O3274" s="169" t="s">
        <v>6923</v>
      </c>
      <c r="P3274" s="168" t="s">
        <v>3112</v>
      </c>
      <c r="Q3274" s="167">
        <v>30000.0</v>
      </c>
      <c r="R3274" s="173"/>
      <c r="S3274" s="173"/>
      <c r="T3274" s="173"/>
      <c r="U3274" s="173"/>
      <c r="V3274" s="169"/>
      <c r="W3274" s="171"/>
      <c r="X3274" s="171"/>
    </row>
    <row r="3275" ht="15.0" customHeight="1">
      <c r="A3275" s="127">
        <v>46074.0</v>
      </c>
      <c r="B3275" s="475" t="s">
        <v>10819</v>
      </c>
      <c r="C3275" s="56" t="s">
        <v>3168</v>
      </c>
      <c r="D3275" s="73" t="str">
        <f>IFERROR(VLOOKUP(C3275,Stock,3,FALSE),"")</f>
        <v>Toyota Agya/Ayla</v>
      </c>
      <c r="E3275" s="56">
        <v>1.0</v>
      </c>
      <c r="F3275" s="161">
        <v>839000.0</v>
      </c>
      <c r="G3275" s="162">
        <f t="shared" si="43"/>
        <v>839000</v>
      </c>
      <c r="H3275" s="194"/>
      <c r="I3275" s="161">
        <f t="shared" si="41"/>
        <v>839000</v>
      </c>
      <c r="J3275" s="164">
        <f t="shared" si="42"/>
        <v>839000</v>
      </c>
      <c r="K3275" s="56" t="s">
        <v>10820</v>
      </c>
      <c r="L3275" s="165" t="s">
        <v>10821</v>
      </c>
      <c r="M3275" s="73"/>
      <c r="N3275" s="171"/>
      <c r="O3275" s="169" t="s">
        <v>6923</v>
      </c>
      <c r="P3275" s="168" t="s">
        <v>3112</v>
      </c>
      <c r="Q3275" s="173"/>
      <c r="R3275" s="167">
        <v>839000.0</v>
      </c>
      <c r="S3275" s="173"/>
      <c r="T3275" s="173"/>
      <c r="U3275" s="173"/>
      <c r="V3275" s="169"/>
      <c r="W3275" s="171"/>
      <c r="X3275" s="171"/>
    </row>
    <row r="3276" ht="15.0" customHeight="1">
      <c r="A3276" s="127">
        <v>46074.0</v>
      </c>
      <c r="B3276" s="475" t="s">
        <v>10822</v>
      </c>
      <c r="C3276" s="56" t="s">
        <v>2723</v>
      </c>
      <c r="D3276" s="73" t="str">
        <f>IFERROR(VLOOKUP(C3276,Stock,3,FALSE),"")</f>
        <v>Suzuki Carry New 19-</v>
      </c>
      <c r="E3276" s="56">
        <v>1.0</v>
      </c>
      <c r="F3276" s="161">
        <v>1150000.0</v>
      </c>
      <c r="G3276" s="162">
        <f t="shared" si="43"/>
        <v>1150000</v>
      </c>
      <c r="H3276" s="194"/>
      <c r="I3276" s="161">
        <f t="shared" si="41"/>
        <v>1150000</v>
      </c>
      <c r="J3276" s="164">
        <f t="shared" si="42"/>
        <v>1150000</v>
      </c>
      <c r="K3276" s="56" t="s">
        <v>4159</v>
      </c>
      <c r="L3276" s="165" t="s">
        <v>10823</v>
      </c>
      <c r="M3276" s="73"/>
      <c r="N3276" s="171"/>
      <c r="O3276" s="169" t="s">
        <v>6923</v>
      </c>
      <c r="P3276" s="168" t="s">
        <v>3112</v>
      </c>
      <c r="Q3276" s="173"/>
      <c r="R3276" s="161">
        <v>1150000.0</v>
      </c>
      <c r="S3276" s="173"/>
      <c r="T3276" s="173"/>
      <c r="U3276" s="173"/>
      <c r="V3276" s="169"/>
      <c r="W3276" s="171"/>
      <c r="X3276" s="171"/>
    </row>
    <row r="3277" ht="15.0" customHeight="1">
      <c r="A3277" s="127">
        <v>46074.0</v>
      </c>
      <c r="B3277" s="475" t="s">
        <v>10822</v>
      </c>
      <c r="C3277" s="493" t="s">
        <v>2954</v>
      </c>
      <c r="D3277" s="73" t="str">
        <f>IFERROR(VLOOKUP(C3277,Stock,3,FALSE),"")</f>
        <v>Transport</v>
      </c>
      <c r="E3277" s="56">
        <v>1.0</v>
      </c>
      <c r="F3277" s="161">
        <v>50000.0</v>
      </c>
      <c r="G3277" s="162">
        <f t="shared" si="43"/>
        <v>50000</v>
      </c>
      <c r="H3277" s="194"/>
      <c r="I3277" s="161">
        <f t="shared" si="41"/>
        <v>50000</v>
      </c>
      <c r="J3277" s="164">
        <f t="shared" si="42"/>
        <v>50000</v>
      </c>
      <c r="K3277" s="56" t="s">
        <v>4159</v>
      </c>
      <c r="L3277" s="165" t="s">
        <v>10823</v>
      </c>
      <c r="M3277" s="73"/>
      <c r="N3277" s="171"/>
      <c r="O3277" s="169" t="s">
        <v>6923</v>
      </c>
      <c r="P3277" s="168" t="s">
        <v>3112</v>
      </c>
      <c r="Q3277" s="173"/>
      <c r="R3277" s="161">
        <v>50000.0</v>
      </c>
      <c r="S3277" s="173"/>
      <c r="T3277" s="173"/>
      <c r="U3277" s="173"/>
      <c r="V3277" s="169"/>
      <c r="W3277" s="171"/>
      <c r="X3277" s="171"/>
    </row>
    <row r="3278" ht="15.0" customHeight="1">
      <c r="A3278" s="127">
        <v>46075.0</v>
      </c>
      <c r="B3278" s="475" t="s">
        <v>10824</v>
      </c>
      <c r="C3278" s="56" t="s">
        <v>5282</v>
      </c>
      <c r="D3278" s="73" t="str">
        <f>IFERROR(VLOOKUP(C3278,Stock,3,FALSE),"")</f>
        <v>Mitsubishi Canter FE800 01- (PS136)</v>
      </c>
      <c r="E3278" s="56">
        <v>1.0</v>
      </c>
      <c r="F3278" s="161">
        <v>1376000.0</v>
      </c>
      <c r="G3278" s="162">
        <f t="shared" si="43"/>
        <v>1376000</v>
      </c>
      <c r="H3278" s="194"/>
      <c r="I3278" s="161">
        <f t="shared" si="41"/>
        <v>1376000</v>
      </c>
      <c r="J3278" s="164">
        <f t="shared" si="42"/>
        <v>1376000</v>
      </c>
      <c r="K3278" s="56" t="s">
        <v>10825</v>
      </c>
      <c r="L3278" s="165" t="s">
        <v>10826</v>
      </c>
      <c r="M3278" s="73"/>
      <c r="N3278" s="171"/>
      <c r="O3278" s="169" t="s">
        <v>6923</v>
      </c>
      <c r="P3278" s="168" t="s">
        <v>3112</v>
      </c>
      <c r="Q3278" s="173"/>
      <c r="R3278" s="167">
        <v>1376000.0</v>
      </c>
      <c r="S3278" s="173"/>
      <c r="T3278" s="173"/>
      <c r="U3278" s="173"/>
      <c r="V3278" s="169"/>
      <c r="W3278" s="171"/>
      <c r="X3278" s="171"/>
    </row>
    <row r="3279" ht="15.0" customHeight="1">
      <c r="A3279" s="127">
        <v>46075.0</v>
      </c>
      <c r="B3279" s="475" t="s">
        <v>10827</v>
      </c>
      <c r="C3279" s="56" t="s">
        <v>5587</v>
      </c>
      <c r="D3279" s="73" t="str">
        <f>IFERROR(VLOOKUP(C3279,Stock,3,FALSE),"")</f>
        <v>Honda CR-V 02-04 2nd Gen (Spion Jepit)</v>
      </c>
      <c r="E3279" s="56">
        <v>1.0</v>
      </c>
      <c r="F3279" s="161">
        <v>1782000.0</v>
      </c>
      <c r="G3279" s="162">
        <f t="shared" si="43"/>
        <v>1782000</v>
      </c>
      <c r="H3279" s="194"/>
      <c r="I3279" s="161">
        <f t="shared" si="41"/>
        <v>1782000</v>
      </c>
      <c r="J3279" s="164">
        <f t="shared" si="42"/>
        <v>1782000</v>
      </c>
      <c r="K3279" s="56" t="s">
        <v>10828</v>
      </c>
      <c r="L3279" s="165" t="s">
        <v>10829</v>
      </c>
      <c r="M3279" s="73"/>
      <c r="N3279" s="171"/>
      <c r="O3279" s="169" t="s">
        <v>6923</v>
      </c>
      <c r="P3279" s="168" t="s">
        <v>3112</v>
      </c>
      <c r="Q3279" s="167">
        <v>1782000.0</v>
      </c>
      <c r="R3279" s="173"/>
      <c r="S3279" s="173"/>
      <c r="T3279" s="173"/>
      <c r="U3279" s="173"/>
      <c r="V3279" s="169"/>
      <c r="W3279" s="171"/>
      <c r="X3279" s="171"/>
    </row>
    <row r="3280" ht="15.0" customHeight="1">
      <c r="A3280" s="127">
        <v>46076.0</v>
      </c>
      <c r="B3280" s="181" t="s">
        <v>10830</v>
      </c>
      <c r="C3280" s="56" t="s">
        <v>7660</v>
      </c>
      <c r="D3280" s="73" t="str">
        <f>IFERROR(VLOOKUP(C3280,Stock,3,FALSE),"")</f>
        <v>Suzuki Ertiga 12-18 1st Gen MPV</v>
      </c>
      <c r="E3280" s="56">
        <v>1.0</v>
      </c>
      <c r="F3280" s="161">
        <v>1300000.0</v>
      </c>
      <c r="G3280" s="162">
        <f t="shared" si="43"/>
        <v>1300000</v>
      </c>
      <c r="H3280" s="194"/>
      <c r="I3280" s="161">
        <f t="shared" si="41"/>
        <v>1300000</v>
      </c>
      <c r="J3280" s="164">
        <f t="shared" si="42"/>
        <v>1300000</v>
      </c>
      <c r="K3280" s="56" t="s">
        <v>5366</v>
      </c>
      <c r="L3280" s="165" t="s">
        <v>3358</v>
      </c>
      <c r="M3280" s="73"/>
      <c r="N3280" s="171"/>
      <c r="O3280" s="169" t="s">
        <v>6923</v>
      </c>
      <c r="P3280" s="168" t="s">
        <v>3112</v>
      </c>
      <c r="Q3280" s="173"/>
      <c r="R3280" s="167">
        <v>1300000.0</v>
      </c>
      <c r="S3280" s="173"/>
      <c r="T3280" s="173"/>
      <c r="U3280" s="173"/>
      <c r="V3280" s="169"/>
      <c r="W3280" s="171"/>
      <c r="X3280" s="171"/>
    </row>
    <row r="3281" ht="15.0" customHeight="1">
      <c r="A3281" s="127">
        <v>46076.0</v>
      </c>
      <c r="B3281" s="181" t="s">
        <v>10831</v>
      </c>
      <c r="C3281" s="56" t="s">
        <v>3045</v>
      </c>
      <c r="D3281" s="73" t="str">
        <f>IFERROR(VLOOKUP(C3281,Stock,3,FALSE),"")</f>
        <v>Pemasangan Kaca Mobil Depan</v>
      </c>
      <c r="E3281" s="56">
        <v>1.0</v>
      </c>
      <c r="F3281" s="161">
        <v>600000.0</v>
      </c>
      <c r="G3281" s="162">
        <f t="shared" si="43"/>
        <v>600000</v>
      </c>
      <c r="H3281" s="194"/>
      <c r="I3281" s="161">
        <f t="shared" si="41"/>
        <v>600000</v>
      </c>
      <c r="J3281" s="164">
        <f t="shared" si="42"/>
        <v>600000</v>
      </c>
      <c r="K3281" s="56" t="s">
        <v>5767</v>
      </c>
      <c r="L3281" s="165" t="s">
        <v>5768</v>
      </c>
      <c r="M3281" s="73"/>
      <c r="N3281" s="171"/>
      <c r="O3281" s="169" t="s">
        <v>6923</v>
      </c>
      <c r="P3281" s="168" t="s">
        <v>3112</v>
      </c>
      <c r="Q3281" s="173"/>
      <c r="R3281" s="161">
        <v>600000.0</v>
      </c>
      <c r="S3281" s="173"/>
      <c r="T3281" s="173"/>
      <c r="U3281" s="173"/>
      <c r="V3281" s="169"/>
      <c r="W3281" s="171"/>
      <c r="X3281" s="171"/>
    </row>
    <row r="3282" ht="15.0" customHeight="1">
      <c r="A3282" s="127">
        <v>46076.0</v>
      </c>
      <c r="B3282" s="475" t="s">
        <v>10832</v>
      </c>
      <c r="C3282" s="56" t="s">
        <v>2637</v>
      </c>
      <c r="D3282" s="73" t="str">
        <f>IFERROR(VLOOKUP(C3282,Stock,3,FALSE),"")</f>
        <v>Ford Everest 04-15 / Ranger 04-11 / Mazda BT-50</v>
      </c>
      <c r="E3282" s="56">
        <v>1.0</v>
      </c>
      <c r="F3282" s="161">
        <v>1411000.0</v>
      </c>
      <c r="G3282" s="162">
        <f t="shared" si="43"/>
        <v>1411000</v>
      </c>
      <c r="H3282" s="201">
        <v>100000.0</v>
      </c>
      <c r="I3282" s="161">
        <f t="shared" si="41"/>
        <v>1311000</v>
      </c>
      <c r="J3282" s="164">
        <f t="shared" si="42"/>
        <v>1311000</v>
      </c>
      <c r="K3282" s="56" t="s">
        <v>10833</v>
      </c>
      <c r="L3282" s="165" t="s">
        <v>10834</v>
      </c>
      <c r="M3282" s="73"/>
      <c r="N3282" s="171"/>
      <c r="O3282" s="169" t="s">
        <v>6923</v>
      </c>
      <c r="P3282" s="168" t="s">
        <v>3112</v>
      </c>
      <c r="Q3282" s="161">
        <v>1311000.0</v>
      </c>
      <c r="R3282" s="173"/>
      <c r="S3282" s="173"/>
      <c r="T3282" s="173"/>
      <c r="U3282" s="173"/>
      <c r="V3282" s="169"/>
      <c r="W3282" s="171"/>
      <c r="X3282" s="171"/>
    </row>
    <row r="3283" ht="15.0" customHeight="1">
      <c r="A3283" s="127">
        <v>46076.0</v>
      </c>
      <c r="B3283" s="475" t="s">
        <v>10835</v>
      </c>
      <c r="C3283" s="56" t="s">
        <v>10836</v>
      </c>
      <c r="D3283" s="73" t="str">
        <f>IFERROR(VLOOKUP(C3283,Stock,3,FALSE),"")</f>
        <v>Toyota Raize / Daihatsu Rocky 20- (Toyota/Daihatsu)</v>
      </c>
      <c r="E3283" s="56">
        <v>1.0</v>
      </c>
      <c r="F3283" s="161">
        <v>707000.0</v>
      </c>
      <c r="G3283" s="162">
        <f t="shared" si="43"/>
        <v>707000</v>
      </c>
      <c r="H3283" s="194"/>
      <c r="I3283" s="161">
        <f t="shared" si="41"/>
        <v>707000</v>
      </c>
      <c r="J3283" s="164">
        <f t="shared" si="42"/>
        <v>707000</v>
      </c>
      <c r="K3283" s="487" t="s">
        <v>10186</v>
      </c>
      <c r="L3283" s="165" t="s">
        <v>10837</v>
      </c>
      <c r="M3283" s="73"/>
      <c r="N3283" s="171"/>
      <c r="O3283" s="169" t="s">
        <v>6923</v>
      </c>
      <c r="P3283" s="168" t="s">
        <v>3112</v>
      </c>
      <c r="Q3283" s="173"/>
      <c r="R3283" s="161">
        <v>707000.0</v>
      </c>
      <c r="S3283" s="173"/>
      <c r="T3283" s="173"/>
      <c r="U3283" s="173"/>
      <c r="V3283" s="169"/>
      <c r="W3283" s="171"/>
      <c r="X3283" s="171"/>
    </row>
    <row r="3284" ht="15.0" customHeight="1">
      <c r="A3284" s="127">
        <v>46076.0</v>
      </c>
      <c r="B3284" s="475" t="s">
        <v>10838</v>
      </c>
      <c r="C3284" s="56" t="s">
        <v>3045</v>
      </c>
      <c r="D3284" s="73" t="str">
        <f>IFERROR(VLOOKUP(C3284,Stock,3,FALSE),"")</f>
        <v>Pemasangan Kaca Mobil Depan</v>
      </c>
      <c r="E3284" s="56">
        <v>1.0</v>
      </c>
      <c r="F3284" s="161">
        <v>300000.0</v>
      </c>
      <c r="G3284" s="162">
        <f t="shared" si="43"/>
        <v>300000</v>
      </c>
      <c r="H3284" s="194"/>
      <c r="I3284" s="161">
        <f t="shared" si="41"/>
        <v>300000</v>
      </c>
      <c r="J3284" s="164">
        <f t="shared" si="42"/>
        <v>300000</v>
      </c>
      <c r="K3284" s="56" t="s">
        <v>10839</v>
      </c>
      <c r="L3284" s="165" t="s">
        <v>10840</v>
      </c>
      <c r="M3284" s="73"/>
      <c r="N3284" s="171"/>
      <c r="O3284" s="169" t="s">
        <v>6923</v>
      </c>
      <c r="P3284" s="168" t="s">
        <v>3112</v>
      </c>
      <c r="Q3284" s="173"/>
      <c r="R3284" s="161">
        <v>300000.0</v>
      </c>
      <c r="S3284" s="173"/>
      <c r="T3284" s="173"/>
      <c r="U3284" s="173"/>
      <c r="V3284" s="169"/>
      <c r="W3284" s="171"/>
      <c r="X3284" s="171"/>
    </row>
    <row r="3285" ht="15.0" customHeight="1">
      <c r="A3285" s="127">
        <v>46076.0</v>
      </c>
      <c r="B3285" s="475" t="s">
        <v>10841</v>
      </c>
      <c r="C3285" s="56" t="s">
        <v>2723</v>
      </c>
      <c r="D3285" s="73" t="str">
        <f>IFERROR(VLOOKUP(C3285,Stock,3,FALSE),"")</f>
        <v>Suzuki Carry New 19-</v>
      </c>
      <c r="E3285" s="56">
        <v>1.0</v>
      </c>
      <c r="F3285" s="161">
        <v>940000.0</v>
      </c>
      <c r="G3285" s="162">
        <f t="shared" si="43"/>
        <v>940000</v>
      </c>
      <c r="H3285" s="194"/>
      <c r="I3285" s="161">
        <f t="shared" si="41"/>
        <v>940000</v>
      </c>
      <c r="J3285" s="164">
        <f t="shared" si="42"/>
        <v>940000</v>
      </c>
      <c r="K3285" s="487" t="s">
        <v>4589</v>
      </c>
      <c r="L3285" s="165" t="s">
        <v>5038</v>
      </c>
      <c r="M3285" s="73"/>
      <c r="N3285" s="171"/>
      <c r="O3285" s="169" t="s">
        <v>6923</v>
      </c>
      <c r="P3285" s="168" t="s">
        <v>3112</v>
      </c>
      <c r="Q3285" s="173"/>
      <c r="R3285" s="161">
        <v>940000.0</v>
      </c>
      <c r="S3285" s="173"/>
      <c r="T3285" s="173"/>
      <c r="U3285" s="173"/>
      <c r="V3285" s="169"/>
      <c r="W3285" s="171"/>
      <c r="X3285" s="171"/>
    </row>
    <row r="3286" ht="15.0" customHeight="1">
      <c r="A3286" s="127">
        <v>46076.0</v>
      </c>
      <c r="B3286" s="475" t="s">
        <v>10841</v>
      </c>
      <c r="C3286" s="493" t="s">
        <v>2954</v>
      </c>
      <c r="D3286" s="73" t="str">
        <f>IFERROR(VLOOKUP(C3286,Stock,3,FALSE),"")</f>
        <v>Transport</v>
      </c>
      <c r="E3286" s="56">
        <v>1.0</v>
      </c>
      <c r="F3286" s="161">
        <v>50000.0</v>
      </c>
      <c r="G3286" s="162">
        <f t="shared" si="43"/>
        <v>50000</v>
      </c>
      <c r="H3286" s="194"/>
      <c r="I3286" s="161">
        <f t="shared" si="41"/>
        <v>50000</v>
      </c>
      <c r="J3286" s="164">
        <f t="shared" si="42"/>
        <v>50000</v>
      </c>
      <c r="K3286" s="487" t="s">
        <v>4589</v>
      </c>
      <c r="L3286" s="165" t="s">
        <v>5038</v>
      </c>
      <c r="M3286" s="73"/>
      <c r="N3286" s="171"/>
      <c r="O3286" s="169" t="s">
        <v>6923</v>
      </c>
      <c r="P3286" s="168" t="s">
        <v>3112</v>
      </c>
      <c r="Q3286" s="173"/>
      <c r="R3286" s="161">
        <v>50000.0</v>
      </c>
      <c r="S3286" s="173"/>
      <c r="T3286" s="173"/>
      <c r="U3286" s="173"/>
      <c r="V3286" s="169"/>
      <c r="W3286" s="171"/>
      <c r="X3286" s="171"/>
    </row>
    <row r="3287" ht="15.0" customHeight="1">
      <c r="A3287" s="127">
        <v>46076.0</v>
      </c>
      <c r="B3287" s="475" t="s">
        <v>10842</v>
      </c>
      <c r="C3287" s="56" t="s">
        <v>2863</v>
      </c>
      <c r="D3287" s="73" t="str">
        <f>IFERROR(VLOOKUP(C3287,Stock,3,FALSE),"")</f>
        <v>Mitsubishi Canter FE300 85- (PS100,120,135 kabin kecil)</v>
      </c>
      <c r="E3287" s="56">
        <v>1.0</v>
      </c>
      <c r="F3287" s="161">
        <v>600000.0</v>
      </c>
      <c r="G3287" s="162">
        <f t="shared" si="43"/>
        <v>600000</v>
      </c>
      <c r="H3287" s="194"/>
      <c r="I3287" s="161">
        <f t="shared" si="41"/>
        <v>600000</v>
      </c>
      <c r="J3287" s="164">
        <f t="shared" si="42"/>
        <v>600000</v>
      </c>
      <c r="K3287" s="56" t="s">
        <v>10843</v>
      </c>
      <c r="L3287" s="165" t="s">
        <v>10844</v>
      </c>
      <c r="M3287" s="73"/>
      <c r="N3287" s="171"/>
      <c r="O3287" s="169" t="s">
        <v>6923</v>
      </c>
      <c r="P3287" s="168" t="s">
        <v>3112</v>
      </c>
      <c r="Q3287" s="167">
        <v>600000.0</v>
      </c>
      <c r="R3287" s="173"/>
      <c r="S3287" s="173"/>
      <c r="T3287" s="173"/>
      <c r="U3287" s="173"/>
      <c r="V3287" s="169"/>
      <c r="W3287" s="171"/>
      <c r="X3287" s="171"/>
    </row>
    <row r="3288" ht="15.0" customHeight="1">
      <c r="A3288" s="127">
        <v>46076.0</v>
      </c>
      <c r="B3288" s="475" t="s">
        <v>10842</v>
      </c>
      <c r="C3288" s="493" t="s">
        <v>3513</v>
      </c>
      <c r="D3288" s="73" t="str">
        <f>IFERROR(VLOOKUP(C3288,Stock,3,FALSE),"")</f>
        <v>Lembur</v>
      </c>
      <c r="E3288" s="56">
        <v>1.0</v>
      </c>
      <c r="F3288" s="161">
        <v>100000.0</v>
      </c>
      <c r="G3288" s="162">
        <f t="shared" si="43"/>
        <v>100000</v>
      </c>
      <c r="H3288" s="194"/>
      <c r="I3288" s="161">
        <f t="shared" si="41"/>
        <v>100000</v>
      </c>
      <c r="J3288" s="164">
        <f t="shared" si="42"/>
        <v>100000</v>
      </c>
      <c r="K3288" s="56" t="s">
        <v>10843</v>
      </c>
      <c r="L3288" s="165" t="s">
        <v>10844</v>
      </c>
      <c r="M3288" s="73"/>
      <c r="N3288" s="171"/>
      <c r="O3288" s="169" t="s">
        <v>6923</v>
      </c>
      <c r="P3288" s="168" t="s">
        <v>3112</v>
      </c>
      <c r="Q3288" s="173"/>
      <c r="R3288" s="167">
        <v>100000.0</v>
      </c>
      <c r="S3288" s="173"/>
      <c r="T3288" s="173"/>
      <c r="U3288" s="173"/>
      <c r="V3288" s="169"/>
      <c r="W3288" s="171"/>
      <c r="X3288" s="171"/>
    </row>
    <row r="3289" ht="15.0" customHeight="1">
      <c r="A3289" s="127">
        <v>46077.0</v>
      </c>
      <c r="B3289" s="475" t="s">
        <v>10845</v>
      </c>
      <c r="C3289" s="56" t="s">
        <v>3924</v>
      </c>
      <c r="D3289" s="73" t="str">
        <f>IFERROR(VLOOKUP(C3289,Stock,3,FALSE),"")</f>
        <v>Nissan X-Trail 07-13 T31</v>
      </c>
      <c r="E3289" s="56">
        <v>1.0</v>
      </c>
      <c r="F3289" s="161">
        <v>1644000.0</v>
      </c>
      <c r="G3289" s="162">
        <f t="shared" si="43"/>
        <v>1644000</v>
      </c>
      <c r="H3289" s="194"/>
      <c r="I3289" s="161">
        <f t="shared" si="41"/>
        <v>1644000</v>
      </c>
      <c r="J3289" s="164">
        <f t="shared" si="42"/>
        <v>1644000</v>
      </c>
      <c r="K3289" s="56" t="s">
        <v>10846</v>
      </c>
      <c r="L3289" s="165" t="s">
        <v>10847</v>
      </c>
      <c r="M3289" s="73"/>
      <c r="N3289" s="171"/>
      <c r="O3289" s="169" t="s">
        <v>6923</v>
      </c>
      <c r="P3289" s="168" t="s">
        <v>3112</v>
      </c>
      <c r="Q3289" s="173"/>
      <c r="R3289" s="161">
        <v>1644000.0</v>
      </c>
      <c r="S3289" s="173"/>
      <c r="T3289" s="173"/>
      <c r="U3289" s="173"/>
      <c r="V3289" s="169"/>
      <c r="W3289" s="171"/>
      <c r="X3289" s="171"/>
    </row>
    <row r="3290" ht="15.0" customHeight="1">
      <c r="A3290" s="127">
        <v>46077.0</v>
      </c>
      <c r="B3290" s="475" t="s">
        <v>10845</v>
      </c>
      <c r="C3290" s="56" t="s">
        <v>2934</v>
      </c>
      <c r="D3290" s="73" t="str">
        <f>IFERROR(VLOOKUP(C3290,Stock,3,FALSE),"")</f>
        <v>Peti Kayu</v>
      </c>
      <c r="E3290" s="56">
        <v>1.0</v>
      </c>
      <c r="F3290" s="161">
        <v>200000.0</v>
      </c>
      <c r="G3290" s="162">
        <f t="shared" si="43"/>
        <v>200000</v>
      </c>
      <c r="H3290" s="194"/>
      <c r="I3290" s="161">
        <f t="shared" si="41"/>
        <v>200000</v>
      </c>
      <c r="J3290" s="164">
        <f t="shared" si="42"/>
        <v>200000</v>
      </c>
      <c r="K3290" s="56" t="s">
        <v>10846</v>
      </c>
      <c r="L3290" s="165" t="s">
        <v>10847</v>
      </c>
      <c r="M3290" s="73"/>
      <c r="N3290" s="171"/>
      <c r="O3290" s="169" t="s">
        <v>6923</v>
      </c>
      <c r="P3290" s="168" t="s">
        <v>3112</v>
      </c>
      <c r="Q3290" s="173"/>
      <c r="R3290" s="161">
        <v>200000.0</v>
      </c>
      <c r="S3290" s="173"/>
      <c r="T3290" s="173"/>
      <c r="U3290" s="173"/>
      <c r="V3290" s="169"/>
      <c r="W3290" s="171"/>
      <c r="X3290" s="171"/>
    </row>
    <row r="3291" ht="15.0" customHeight="1">
      <c r="A3291" s="127">
        <v>46077.0</v>
      </c>
      <c r="B3291" s="181" t="s">
        <v>10848</v>
      </c>
      <c r="C3291" s="56" t="s">
        <v>7897</v>
      </c>
      <c r="D3291" s="73" t="str">
        <f>IFERROR(VLOOKUP(C3291,Stock,3,FALSE),"")</f>
        <v>Honda Jazz 07-13 2nd Gen</v>
      </c>
      <c r="E3291" s="56">
        <v>1.0</v>
      </c>
      <c r="F3291" s="161">
        <v>1668000.0</v>
      </c>
      <c r="G3291" s="162">
        <f t="shared" si="43"/>
        <v>1668000</v>
      </c>
      <c r="H3291" s="194"/>
      <c r="I3291" s="161">
        <f t="shared" si="41"/>
        <v>1668000</v>
      </c>
      <c r="J3291" s="164">
        <f t="shared" si="42"/>
        <v>1668000</v>
      </c>
      <c r="K3291" s="56" t="s">
        <v>10849</v>
      </c>
      <c r="L3291" s="165" t="s">
        <v>10519</v>
      </c>
      <c r="M3291" s="73"/>
      <c r="N3291" s="171"/>
      <c r="O3291" s="169" t="s">
        <v>6923</v>
      </c>
      <c r="P3291" s="168" t="s">
        <v>3112</v>
      </c>
      <c r="Q3291" s="161">
        <v>1668000.0</v>
      </c>
      <c r="R3291" s="173"/>
      <c r="S3291" s="173"/>
      <c r="T3291" s="173"/>
      <c r="U3291" s="173"/>
      <c r="V3291" s="169"/>
      <c r="W3291" s="171"/>
      <c r="X3291" s="171"/>
    </row>
    <row r="3292" ht="15.0" customHeight="1">
      <c r="A3292" s="127">
        <v>46077.0</v>
      </c>
      <c r="B3292" s="476" t="s">
        <v>10850</v>
      </c>
      <c r="C3292" s="56" t="s">
        <v>2643</v>
      </c>
      <c r="D3292" s="73" t="str">
        <f>IFERROR(VLOOKUP(C3292,Stock,3,FALSE),"")</f>
        <v>Toyota Vios 07-13 XP90 2nd Gen</v>
      </c>
      <c r="E3292" s="56">
        <v>1.0</v>
      </c>
      <c r="F3292" s="161">
        <v>1433000.0</v>
      </c>
      <c r="G3292" s="162">
        <f t="shared" si="43"/>
        <v>1433000</v>
      </c>
      <c r="H3292" s="194"/>
      <c r="I3292" s="161">
        <f t="shared" si="41"/>
        <v>1433000</v>
      </c>
      <c r="J3292" s="164">
        <f t="shared" si="42"/>
        <v>1433000</v>
      </c>
      <c r="K3292" s="56" t="s">
        <v>10851</v>
      </c>
      <c r="L3292" s="165" t="s">
        <v>10852</v>
      </c>
      <c r="M3292" s="73"/>
      <c r="N3292" s="171"/>
      <c r="O3292" s="169" t="s">
        <v>6923</v>
      </c>
      <c r="P3292" s="168" t="s">
        <v>3112</v>
      </c>
      <c r="Q3292" s="167">
        <v>1000000.0</v>
      </c>
      <c r="R3292" s="167">
        <v>433000.0</v>
      </c>
      <c r="S3292" s="173"/>
      <c r="T3292" s="173"/>
      <c r="U3292" s="173"/>
      <c r="V3292" s="169"/>
      <c r="W3292" s="171"/>
      <c r="X3292" s="171"/>
    </row>
    <row r="3293" ht="15.0" customHeight="1">
      <c r="A3293" s="127">
        <v>46077.0</v>
      </c>
      <c r="B3293" s="476" t="s">
        <v>10853</v>
      </c>
      <c r="C3293" s="56" t="s">
        <v>3045</v>
      </c>
      <c r="D3293" s="73" t="str">
        <f>IFERROR(VLOOKUP(C3293,Stock,3,FALSE),"")</f>
        <v>Pemasangan Kaca Mobil Depan</v>
      </c>
      <c r="E3293" s="56">
        <v>1.0</v>
      </c>
      <c r="F3293" s="161">
        <v>600000.0</v>
      </c>
      <c r="G3293" s="162">
        <f t="shared" si="43"/>
        <v>600000</v>
      </c>
      <c r="H3293" s="194"/>
      <c r="I3293" s="161">
        <f t="shared" si="41"/>
        <v>600000</v>
      </c>
      <c r="J3293" s="164">
        <f t="shared" si="42"/>
        <v>600000</v>
      </c>
      <c r="K3293" s="56" t="s">
        <v>10854</v>
      </c>
      <c r="L3293" s="165" t="s">
        <v>10855</v>
      </c>
      <c r="M3293" s="73"/>
      <c r="N3293" s="171"/>
      <c r="O3293" s="169" t="s">
        <v>6923</v>
      </c>
      <c r="P3293" s="168" t="s">
        <v>3112</v>
      </c>
      <c r="Q3293" s="173"/>
      <c r="R3293" s="161">
        <v>600000.0</v>
      </c>
      <c r="S3293" s="173"/>
      <c r="T3293" s="173"/>
      <c r="U3293" s="173"/>
      <c r="V3293" s="169"/>
      <c r="W3293" s="171"/>
      <c r="X3293" s="171"/>
    </row>
    <row r="3294" ht="15.0" customHeight="1">
      <c r="A3294" s="127">
        <v>46077.0</v>
      </c>
      <c r="B3294" s="476" t="s">
        <v>10856</v>
      </c>
      <c r="C3294" s="56" t="s">
        <v>10603</v>
      </c>
      <c r="D3294" s="73" t="str">
        <f>IFERROR(VLOOKUP(C3294,Stock,3,FALSE),"")</f>
        <v>Honda CR-V 12-16 4th Gen [Lengkung]</v>
      </c>
      <c r="E3294" s="56">
        <v>1.0</v>
      </c>
      <c r="F3294" s="161">
        <v>1496000.0</v>
      </c>
      <c r="G3294" s="162">
        <f t="shared" si="43"/>
        <v>1496000</v>
      </c>
      <c r="H3294" s="194"/>
      <c r="I3294" s="161">
        <f t="shared" si="41"/>
        <v>1496000</v>
      </c>
      <c r="J3294" s="164">
        <f t="shared" si="42"/>
        <v>1496000</v>
      </c>
      <c r="K3294" s="56" t="s">
        <v>10857</v>
      </c>
      <c r="L3294" s="165" t="s">
        <v>10858</v>
      </c>
      <c r="M3294" s="73"/>
      <c r="N3294" s="171"/>
      <c r="O3294" s="169" t="s">
        <v>6923</v>
      </c>
      <c r="P3294" s="168" t="s">
        <v>3112</v>
      </c>
      <c r="Q3294" s="173"/>
      <c r="R3294" s="161">
        <v>1496000.0</v>
      </c>
      <c r="S3294" s="173"/>
      <c r="T3294" s="173"/>
      <c r="U3294" s="173"/>
      <c r="V3294" s="169"/>
      <c r="W3294" s="171"/>
      <c r="X3294" s="171"/>
    </row>
    <row r="3295" ht="15.0" customHeight="1">
      <c r="A3295" s="127">
        <v>46077.0</v>
      </c>
      <c r="B3295" s="476" t="s">
        <v>10859</v>
      </c>
      <c r="C3295" s="56" t="s">
        <v>7063</v>
      </c>
      <c r="D3295" s="73" t="str">
        <f>IFERROR(VLOOKUP(C3295,Stock,3,FALSE),"")</f>
        <v>Wuling Confero (Tanpa Spionnya)</v>
      </c>
      <c r="E3295" s="56">
        <v>1.0</v>
      </c>
      <c r="F3295" s="161">
        <v>1240000.0</v>
      </c>
      <c r="G3295" s="162">
        <f t="shared" si="43"/>
        <v>1240000</v>
      </c>
      <c r="H3295" s="201">
        <v>100000.0</v>
      </c>
      <c r="I3295" s="161">
        <f t="shared" si="41"/>
        <v>1140000</v>
      </c>
      <c r="J3295" s="164">
        <f t="shared" si="42"/>
        <v>1140000</v>
      </c>
      <c r="K3295" s="56" t="s">
        <v>7691</v>
      </c>
      <c r="L3295" s="165" t="s">
        <v>9794</v>
      </c>
      <c r="M3295" s="73"/>
      <c r="N3295" s="171"/>
      <c r="O3295" s="169" t="s">
        <v>6923</v>
      </c>
      <c r="P3295" s="168" t="s">
        <v>3112</v>
      </c>
      <c r="Q3295" s="173"/>
      <c r="R3295" s="161">
        <v>1240000.0</v>
      </c>
      <c r="S3295" s="173"/>
      <c r="T3295" s="173"/>
      <c r="U3295" s="173"/>
      <c r="V3295" s="169"/>
      <c r="W3295" s="171"/>
      <c r="X3295" s="171"/>
    </row>
    <row r="3296" ht="15.0" customHeight="1">
      <c r="A3296" s="127">
        <v>46078.0</v>
      </c>
      <c r="B3296" s="476" t="s">
        <v>10860</v>
      </c>
      <c r="C3296" s="56" t="s">
        <v>3045</v>
      </c>
      <c r="D3296" s="73" t="str">
        <f>IFERROR(VLOOKUP(C3296,Stock,3,FALSE),"")</f>
        <v>Pemasangan Kaca Mobil Depan</v>
      </c>
      <c r="E3296" s="56">
        <v>1.0</v>
      </c>
      <c r="F3296" s="161">
        <v>300000.0</v>
      </c>
      <c r="G3296" s="162">
        <f t="shared" si="43"/>
        <v>300000</v>
      </c>
      <c r="H3296" s="194"/>
      <c r="I3296" s="161">
        <f t="shared" si="41"/>
        <v>300000</v>
      </c>
      <c r="J3296" s="164">
        <f t="shared" si="42"/>
        <v>300000</v>
      </c>
      <c r="K3296" s="56" t="s">
        <v>10861</v>
      </c>
      <c r="L3296" s="165" t="s">
        <v>5016</v>
      </c>
      <c r="M3296" s="73"/>
      <c r="N3296" s="171"/>
      <c r="O3296" s="169" t="s">
        <v>6923</v>
      </c>
      <c r="P3296" s="168" t="s">
        <v>3112</v>
      </c>
      <c r="Q3296" s="167">
        <v>300000.0</v>
      </c>
      <c r="R3296" s="173"/>
      <c r="S3296" s="173"/>
      <c r="T3296" s="173"/>
      <c r="U3296" s="173"/>
      <c r="V3296" s="169"/>
      <c r="W3296" s="171"/>
      <c r="X3296" s="171"/>
    </row>
    <row r="3297" ht="15.0" customHeight="1">
      <c r="A3297" s="127">
        <v>46078.0</v>
      </c>
      <c r="B3297" s="476" t="s">
        <v>10862</v>
      </c>
      <c r="C3297" s="475" t="s">
        <v>2692</v>
      </c>
      <c r="D3297" s="73" t="str">
        <f>IFERROR(VLOOKUP(C3297,Stock,3,FALSE),"")</f>
        <v>Suzuki Ertiga 18- 2nd Gen / XL7</v>
      </c>
      <c r="E3297" s="56">
        <v>1.0</v>
      </c>
      <c r="F3297" s="161">
        <v>1400000.0</v>
      </c>
      <c r="G3297" s="162">
        <f t="shared" si="43"/>
        <v>1400000</v>
      </c>
      <c r="H3297" s="194"/>
      <c r="I3297" s="161">
        <f t="shared" si="41"/>
        <v>1400000</v>
      </c>
      <c r="J3297" s="164">
        <f t="shared" si="42"/>
        <v>1400000</v>
      </c>
      <c r="K3297" s="56" t="s">
        <v>10863</v>
      </c>
      <c r="L3297" s="165" t="s">
        <v>10864</v>
      </c>
      <c r="M3297" s="73"/>
      <c r="N3297" s="171"/>
      <c r="O3297" s="169" t="s">
        <v>6923</v>
      </c>
      <c r="P3297" s="168" t="s">
        <v>3112</v>
      </c>
      <c r="Q3297" s="173"/>
      <c r="R3297" s="167">
        <v>1400000.0</v>
      </c>
      <c r="S3297" s="173"/>
      <c r="T3297" s="173"/>
      <c r="U3297" s="173"/>
      <c r="V3297" s="169"/>
      <c r="W3297" s="171"/>
      <c r="X3297" s="171"/>
    </row>
    <row r="3298" ht="15.0" customHeight="1">
      <c r="A3298" s="127">
        <v>46078.0</v>
      </c>
      <c r="B3298" s="476" t="s">
        <v>10865</v>
      </c>
      <c r="C3298" s="56" t="s">
        <v>9582</v>
      </c>
      <c r="D3298" s="73" t="str">
        <f>IFERROR(VLOOKUP(C3298,Stock,3,FALSE),"")</f>
        <v>Toyota Alphard 18- ANH30 3rd Gen (with Camera)</v>
      </c>
      <c r="E3298" s="56">
        <v>1.0</v>
      </c>
      <c r="F3298" s="161">
        <v>3143000.0</v>
      </c>
      <c r="G3298" s="162">
        <f t="shared" si="43"/>
        <v>3143000</v>
      </c>
      <c r="H3298" s="194"/>
      <c r="I3298" s="161">
        <f t="shared" si="41"/>
        <v>3143000</v>
      </c>
      <c r="J3298" s="164">
        <f t="shared" si="42"/>
        <v>3143000</v>
      </c>
      <c r="K3298" s="56" t="s">
        <v>10866</v>
      </c>
      <c r="L3298" s="165" t="s">
        <v>10867</v>
      </c>
      <c r="M3298" s="73"/>
      <c r="N3298" s="171"/>
      <c r="O3298" s="169" t="s">
        <v>6923</v>
      </c>
      <c r="P3298" s="168" t="s">
        <v>3112</v>
      </c>
      <c r="Q3298" s="173"/>
      <c r="R3298" s="161">
        <v>3143000.0</v>
      </c>
      <c r="S3298" s="173"/>
      <c r="T3298" s="173"/>
      <c r="U3298" s="173"/>
      <c r="V3298" s="169"/>
      <c r="W3298" s="171"/>
      <c r="X3298" s="171"/>
    </row>
    <row r="3299" ht="15.0" customHeight="1">
      <c r="A3299" s="494">
        <v>46078.0</v>
      </c>
      <c r="B3299" s="476" t="s">
        <v>10868</v>
      </c>
      <c r="C3299" s="56" t="s">
        <v>10869</v>
      </c>
      <c r="D3299" s="73" t="str">
        <f>IFERROR(VLOOKUP(C3299,Stock,3,FALSE),"")</f>
        <v>Toyota Calya /  Sigra 16- (Toyota/Daihatsu)</v>
      </c>
      <c r="E3299" s="56">
        <v>1.0</v>
      </c>
      <c r="F3299" s="161">
        <v>500000.0</v>
      </c>
      <c r="G3299" s="162">
        <f t="shared" si="43"/>
        <v>500000</v>
      </c>
      <c r="H3299" s="194"/>
      <c r="I3299" s="161">
        <f t="shared" si="41"/>
        <v>500000</v>
      </c>
      <c r="J3299" s="164">
        <f t="shared" si="42"/>
        <v>500000</v>
      </c>
      <c r="K3299" s="56" t="s">
        <v>10870</v>
      </c>
      <c r="L3299" s="165" t="s">
        <v>10871</v>
      </c>
      <c r="M3299" s="73"/>
      <c r="N3299" s="171"/>
      <c r="O3299" s="169" t="s">
        <v>6923</v>
      </c>
      <c r="P3299" s="168" t="s">
        <v>3112</v>
      </c>
      <c r="Q3299" s="173"/>
      <c r="R3299" s="161">
        <v>500000.0</v>
      </c>
      <c r="S3299" s="173"/>
      <c r="T3299" s="173"/>
      <c r="U3299" s="173"/>
      <c r="V3299" s="169"/>
      <c r="W3299" s="171"/>
      <c r="X3299" s="171"/>
    </row>
    <row r="3300" ht="15.0" customHeight="1">
      <c r="A3300" s="494">
        <v>46078.0</v>
      </c>
      <c r="B3300" s="476" t="s">
        <v>10868</v>
      </c>
      <c r="C3300" s="493" t="s">
        <v>6424</v>
      </c>
      <c r="D3300" s="73" t="str">
        <f>IFERROR(VLOOKUP(C3300,Stock,3,FALSE),"")</f>
        <v>Automotive Film Standard - Black 40%                                </v>
      </c>
      <c r="E3300" s="56">
        <v>1.0</v>
      </c>
      <c r="F3300" s="161">
        <v>150000.0</v>
      </c>
      <c r="G3300" s="162">
        <f t="shared" si="43"/>
        <v>150000</v>
      </c>
      <c r="H3300" s="194"/>
      <c r="I3300" s="161">
        <f t="shared" si="41"/>
        <v>150000</v>
      </c>
      <c r="J3300" s="164">
        <f t="shared" si="42"/>
        <v>150000</v>
      </c>
      <c r="K3300" s="56" t="s">
        <v>10870</v>
      </c>
      <c r="L3300" s="165" t="s">
        <v>10871</v>
      </c>
      <c r="M3300" s="73"/>
      <c r="N3300" s="171"/>
      <c r="O3300" s="169" t="s">
        <v>6923</v>
      </c>
      <c r="P3300" s="168" t="s">
        <v>3112</v>
      </c>
      <c r="Q3300" s="173"/>
      <c r="R3300" s="161">
        <v>150000.0</v>
      </c>
      <c r="S3300" s="173"/>
      <c r="T3300" s="173"/>
      <c r="U3300" s="173"/>
      <c r="V3300" s="169"/>
      <c r="W3300" s="171"/>
      <c r="X3300" s="171"/>
    </row>
    <row r="3301" ht="15.0" customHeight="1">
      <c r="A3301" s="494">
        <v>46079.0</v>
      </c>
      <c r="B3301" s="476" t="s">
        <v>10872</v>
      </c>
      <c r="C3301" s="56" t="s">
        <v>10873</v>
      </c>
      <c r="D3301" s="73" t="str">
        <f>IFERROR(VLOOKUP(C3301,Stock,3,FALSE),"")</f>
        <v>Chevrolet Spark 98-05 M100 1stGen (800cc)</v>
      </c>
      <c r="E3301" s="56">
        <v>1.0</v>
      </c>
      <c r="F3301" s="161">
        <v>1540000.0</v>
      </c>
      <c r="G3301" s="162">
        <f t="shared" si="43"/>
        <v>1540000</v>
      </c>
      <c r="H3301" s="194"/>
      <c r="I3301" s="161">
        <f t="shared" si="41"/>
        <v>1540000</v>
      </c>
      <c r="J3301" s="164">
        <f t="shared" si="42"/>
        <v>1540000</v>
      </c>
      <c r="K3301" s="487" t="s">
        <v>9334</v>
      </c>
      <c r="L3301" s="165" t="s">
        <v>10874</v>
      </c>
      <c r="M3301" s="73"/>
      <c r="N3301" s="171"/>
      <c r="O3301" s="169" t="s">
        <v>6923</v>
      </c>
      <c r="P3301" s="168" t="s">
        <v>3112</v>
      </c>
      <c r="Q3301" s="173"/>
      <c r="R3301" s="161">
        <v>1540000.0</v>
      </c>
      <c r="S3301" s="173"/>
      <c r="T3301" s="173"/>
      <c r="U3301" s="173"/>
      <c r="V3301" s="169"/>
      <c r="W3301" s="171"/>
      <c r="X3301" s="171"/>
    </row>
    <row r="3302" ht="15.0" customHeight="1">
      <c r="A3302" s="494">
        <v>46079.0</v>
      </c>
      <c r="B3302" s="476" t="s">
        <v>10875</v>
      </c>
      <c r="C3302" s="56" t="s">
        <v>3355</v>
      </c>
      <c r="D3302" s="73" t="str">
        <f>IFERROR(VLOOKUP(C3302,Stock,3,FALSE),"")</f>
        <v>List Kaca Depan INV</v>
      </c>
      <c r="E3302" s="56">
        <v>1.0</v>
      </c>
      <c r="F3302" s="161">
        <v>315000.0</v>
      </c>
      <c r="G3302" s="162">
        <f t="shared" si="43"/>
        <v>315000</v>
      </c>
      <c r="H3302" s="194"/>
      <c r="I3302" s="161">
        <f t="shared" si="41"/>
        <v>315000</v>
      </c>
      <c r="J3302" s="164">
        <f t="shared" si="42"/>
        <v>315000</v>
      </c>
      <c r="K3302" s="56" t="s">
        <v>10476</v>
      </c>
      <c r="L3302" s="165" t="s">
        <v>4315</v>
      </c>
      <c r="M3302" s="73"/>
      <c r="N3302" s="171"/>
      <c r="O3302" s="169" t="s">
        <v>6923</v>
      </c>
      <c r="P3302" s="168" t="s">
        <v>3112</v>
      </c>
      <c r="Q3302" s="173"/>
      <c r="R3302" s="161">
        <v>315000.0</v>
      </c>
      <c r="S3302" s="173"/>
      <c r="T3302" s="173"/>
      <c r="U3302" s="173"/>
      <c r="V3302" s="169"/>
      <c r="W3302" s="171"/>
      <c r="X3302" s="171"/>
    </row>
    <row r="3303" ht="15.0" customHeight="1">
      <c r="A3303" s="494">
        <v>46080.0</v>
      </c>
      <c r="B3303" s="476" t="s">
        <v>10876</v>
      </c>
      <c r="C3303" s="56" t="s">
        <v>3045</v>
      </c>
      <c r="D3303" s="73" t="str">
        <f>IFERROR(VLOOKUP(C3303,Stock,3,FALSE),"")</f>
        <v>Pemasangan Kaca Mobil Depan</v>
      </c>
      <c r="E3303" s="56">
        <v>1.0</v>
      </c>
      <c r="F3303" s="161">
        <v>600000.0</v>
      </c>
      <c r="G3303" s="162">
        <f t="shared" si="43"/>
        <v>600000</v>
      </c>
      <c r="H3303" s="194"/>
      <c r="I3303" s="161">
        <f t="shared" si="41"/>
        <v>600000</v>
      </c>
      <c r="J3303" s="164">
        <f t="shared" si="42"/>
        <v>600000</v>
      </c>
      <c r="K3303" s="56" t="s">
        <v>4531</v>
      </c>
      <c r="L3303" s="165" t="s">
        <v>10877</v>
      </c>
      <c r="M3303" s="73"/>
      <c r="N3303" s="171"/>
      <c r="O3303" s="169" t="s">
        <v>6923</v>
      </c>
      <c r="P3303" s="168" t="s">
        <v>3112</v>
      </c>
      <c r="Q3303" s="161">
        <v>600000.0</v>
      </c>
      <c r="R3303" s="173"/>
      <c r="S3303" s="173"/>
      <c r="T3303" s="173"/>
      <c r="U3303" s="173"/>
      <c r="V3303" s="169"/>
      <c r="W3303" s="171"/>
      <c r="X3303" s="171"/>
    </row>
    <row r="3304" ht="15.0" customHeight="1">
      <c r="A3304" s="494">
        <v>46080.0</v>
      </c>
      <c r="B3304" s="476" t="s">
        <v>10876</v>
      </c>
      <c r="C3304" s="493" t="s">
        <v>3826</v>
      </c>
      <c r="D3304" s="73" t="str">
        <f>IFERROR(VLOOKUP(C3304,Stock,3,FALSE),"")</f>
        <v>List Kaca Depan Code 11</v>
      </c>
      <c r="E3304" s="56">
        <v>1.0</v>
      </c>
      <c r="F3304" s="161">
        <v>275000.0</v>
      </c>
      <c r="G3304" s="162">
        <f t="shared" si="43"/>
        <v>275000</v>
      </c>
      <c r="H3304" s="194"/>
      <c r="I3304" s="161">
        <f t="shared" si="41"/>
        <v>275000</v>
      </c>
      <c r="J3304" s="164">
        <f t="shared" si="42"/>
        <v>275000</v>
      </c>
      <c r="K3304" s="56" t="s">
        <v>4531</v>
      </c>
      <c r="L3304" s="165" t="s">
        <v>10877</v>
      </c>
      <c r="M3304" s="73"/>
      <c r="N3304" s="171"/>
      <c r="O3304" s="169" t="s">
        <v>6923</v>
      </c>
      <c r="P3304" s="168" t="s">
        <v>3112</v>
      </c>
      <c r="Q3304" s="161">
        <v>275000.0</v>
      </c>
      <c r="R3304" s="173"/>
      <c r="S3304" s="173"/>
      <c r="T3304" s="173"/>
      <c r="U3304" s="173"/>
      <c r="V3304" s="169"/>
      <c r="W3304" s="171"/>
      <c r="X3304" s="171"/>
    </row>
    <row r="3305" ht="15.0" customHeight="1">
      <c r="A3305" s="494">
        <v>46080.0</v>
      </c>
      <c r="B3305" s="476" t="s">
        <v>10878</v>
      </c>
      <c r="C3305" s="56" t="s">
        <v>3099</v>
      </c>
      <c r="D3305" s="73" t="str">
        <f>IFERROR(VLOOKUP(C3305,Stock,3,FALSE),"")</f>
        <v>Toyota Calya / Sigra 16-</v>
      </c>
      <c r="E3305" s="56">
        <v>1.0</v>
      </c>
      <c r="F3305" s="161">
        <v>1200000.0</v>
      </c>
      <c r="G3305" s="162">
        <f t="shared" si="43"/>
        <v>1200000</v>
      </c>
      <c r="H3305" s="194"/>
      <c r="I3305" s="161">
        <f t="shared" si="41"/>
        <v>1200000</v>
      </c>
      <c r="J3305" s="164">
        <f t="shared" si="42"/>
        <v>1200000</v>
      </c>
      <c r="K3305" s="56" t="s">
        <v>5366</v>
      </c>
      <c r="L3305" s="165" t="s">
        <v>10879</v>
      </c>
      <c r="M3305" s="73"/>
      <c r="N3305" s="171"/>
      <c r="O3305" s="169" t="s">
        <v>6923</v>
      </c>
      <c r="P3305" s="168" t="s">
        <v>3112</v>
      </c>
      <c r="Q3305" s="173"/>
      <c r="R3305" s="161">
        <v>1200000.0</v>
      </c>
      <c r="S3305" s="173"/>
      <c r="T3305" s="173"/>
      <c r="U3305" s="173"/>
      <c r="V3305" s="169"/>
      <c r="W3305" s="171"/>
      <c r="X3305" s="171"/>
    </row>
    <row r="3306" ht="15.0" customHeight="1">
      <c r="A3306" s="495">
        <v>46080.0</v>
      </c>
      <c r="B3306" s="476" t="s">
        <v>10880</v>
      </c>
      <c r="C3306" s="56" t="s">
        <v>10255</v>
      </c>
      <c r="D3306" s="73" t="str">
        <f>IFERROR(VLOOKUP(C3306,Stock,3,FALSE),"")</f>
        <v>Hyundai Accent Verna / Avega 01-12 Sedan</v>
      </c>
      <c r="E3306" s="56">
        <v>1.0</v>
      </c>
      <c r="F3306" s="161">
        <v>1450000.0</v>
      </c>
      <c r="G3306" s="162">
        <f t="shared" si="43"/>
        <v>1450000</v>
      </c>
      <c r="H3306" s="194"/>
      <c r="I3306" s="161">
        <f t="shared" si="41"/>
        <v>1450000</v>
      </c>
      <c r="J3306" s="164">
        <f t="shared" si="42"/>
        <v>1450000</v>
      </c>
      <c r="K3306" s="56" t="s">
        <v>5011</v>
      </c>
      <c r="L3306" s="165" t="s">
        <v>10881</v>
      </c>
      <c r="M3306" s="73"/>
      <c r="N3306" s="171"/>
      <c r="O3306" s="169" t="s">
        <v>6923</v>
      </c>
      <c r="P3306" s="168" t="s">
        <v>3112</v>
      </c>
      <c r="Q3306" s="173"/>
      <c r="R3306" s="161">
        <v>1450000.0</v>
      </c>
      <c r="S3306" s="173"/>
      <c r="T3306" s="173"/>
      <c r="U3306" s="173"/>
      <c r="V3306" s="169"/>
      <c r="W3306" s="171"/>
      <c r="X3306" s="171"/>
    </row>
    <row r="3307" ht="15.0" customHeight="1">
      <c r="A3307" s="494">
        <v>46081.0</v>
      </c>
      <c r="B3307" s="476" t="s">
        <v>10882</v>
      </c>
      <c r="C3307" s="56" t="s">
        <v>2965</v>
      </c>
      <c r="D3307" s="73" t="str">
        <f>IFERROR(VLOOKUP(C3307,Stock,3,FALSE),"")</f>
        <v>Suzuki Ertiga 12-18 1st Gen MPV</v>
      </c>
      <c r="E3307" s="56">
        <v>1.0</v>
      </c>
      <c r="F3307" s="161">
        <v>750000.0</v>
      </c>
      <c r="G3307" s="162">
        <f t="shared" si="43"/>
        <v>750000</v>
      </c>
      <c r="H3307" s="194"/>
      <c r="I3307" s="161">
        <f t="shared" si="41"/>
        <v>750000</v>
      </c>
      <c r="J3307" s="164">
        <f t="shared" si="42"/>
        <v>750000</v>
      </c>
      <c r="K3307" s="56" t="s">
        <v>10883</v>
      </c>
      <c r="L3307" s="165" t="s">
        <v>10884</v>
      </c>
      <c r="M3307" s="73"/>
      <c r="N3307" s="171"/>
      <c r="O3307" s="169" t="s">
        <v>6923</v>
      </c>
      <c r="P3307" s="168" t="s">
        <v>3112</v>
      </c>
      <c r="Q3307" s="161">
        <v>750000.0</v>
      </c>
      <c r="R3307" s="173"/>
      <c r="S3307" s="173"/>
      <c r="T3307" s="173"/>
      <c r="U3307" s="173"/>
      <c r="V3307" s="169"/>
      <c r="W3307" s="171"/>
      <c r="X3307" s="171"/>
    </row>
    <row r="3308" ht="15.0" customHeight="1">
      <c r="A3308" s="494">
        <v>46081.0</v>
      </c>
      <c r="B3308" s="476" t="s">
        <v>10882</v>
      </c>
      <c r="C3308" s="493" t="s">
        <v>10233</v>
      </c>
      <c r="D3308" s="73" t="str">
        <f>IFERROR(VLOOKUP(C3308,Stock,3,FALSE),"")</f>
        <v>Automotive Film Standard - Black 60%       </v>
      </c>
      <c r="E3308" s="56">
        <v>1.0</v>
      </c>
      <c r="F3308" s="161">
        <v>250000.0</v>
      </c>
      <c r="G3308" s="162">
        <f t="shared" si="43"/>
        <v>250000</v>
      </c>
      <c r="H3308" s="194"/>
      <c r="I3308" s="161">
        <f t="shared" si="41"/>
        <v>250000</v>
      </c>
      <c r="J3308" s="164">
        <f t="shared" si="42"/>
        <v>250000</v>
      </c>
      <c r="K3308" s="56" t="s">
        <v>10883</v>
      </c>
      <c r="L3308" s="165" t="s">
        <v>10884</v>
      </c>
      <c r="M3308" s="73"/>
      <c r="N3308" s="171"/>
      <c r="O3308" s="169" t="s">
        <v>6923</v>
      </c>
      <c r="P3308" s="168" t="s">
        <v>3112</v>
      </c>
      <c r="Q3308" s="161">
        <v>250000.0</v>
      </c>
      <c r="R3308" s="173"/>
      <c r="S3308" s="173"/>
      <c r="T3308" s="173"/>
      <c r="U3308" s="173"/>
      <c r="V3308" s="169"/>
      <c r="W3308" s="171"/>
      <c r="X3308" s="171"/>
    </row>
    <row r="3309" ht="15.0" customHeight="1">
      <c r="A3309" s="494">
        <v>46081.0</v>
      </c>
      <c r="B3309" s="476" t="s">
        <v>10885</v>
      </c>
      <c r="C3309" s="56" t="s">
        <v>8623</v>
      </c>
      <c r="D3309" s="73" t="str">
        <f>IFERROR(VLOOKUP(C3309,Stock,3,FALSE),"")</f>
        <v>Daihatsu Gran Max / Luxio 07-</v>
      </c>
      <c r="E3309" s="56">
        <v>1.0</v>
      </c>
      <c r="F3309" s="161">
        <v>1000000.0</v>
      </c>
      <c r="G3309" s="162">
        <f t="shared" si="43"/>
        <v>1000000</v>
      </c>
      <c r="H3309" s="194"/>
      <c r="I3309" s="161">
        <f t="shared" si="41"/>
        <v>1000000</v>
      </c>
      <c r="J3309" s="164">
        <f t="shared" si="42"/>
        <v>1000000</v>
      </c>
      <c r="K3309" s="56" t="s">
        <v>10886</v>
      </c>
      <c r="L3309" s="165" t="s">
        <v>10887</v>
      </c>
      <c r="M3309" s="73"/>
      <c r="N3309" s="171"/>
      <c r="O3309" s="169" t="s">
        <v>6923</v>
      </c>
      <c r="P3309" s="168" t="s">
        <v>3112</v>
      </c>
      <c r="Q3309" s="167"/>
      <c r="R3309" s="167">
        <v>1000000.0</v>
      </c>
      <c r="S3309" s="173"/>
      <c r="T3309" s="173"/>
      <c r="U3309" s="173"/>
      <c r="V3309" s="169"/>
      <c r="W3309" s="171"/>
      <c r="X3309" s="171"/>
    </row>
    <row r="3310" ht="15.0" customHeight="1">
      <c r="A3310" s="494">
        <v>46081.0</v>
      </c>
      <c r="B3310" s="476" t="s">
        <v>10888</v>
      </c>
      <c r="C3310" s="56" t="s">
        <v>3099</v>
      </c>
      <c r="D3310" s="73" t="str">
        <f>IFERROR(VLOOKUP(C3310,Stock,3,FALSE),"")</f>
        <v>Toyota Calya / Sigra 16-</v>
      </c>
      <c r="E3310" s="56">
        <v>1.0</v>
      </c>
      <c r="F3310" s="161">
        <v>1150000.0</v>
      </c>
      <c r="G3310" s="162">
        <f t="shared" si="43"/>
        <v>1150000</v>
      </c>
      <c r="H3310" s="194"/>
      <c r="I3310" s="161">
        <f t="shared" si="41"/>
        <v>1150000</v>
      </c>
      <c r="J3310" s="164">
        <f t="shared" si="42"/>
        <v>1150000</v>
      </c>
      <c r="K3310" s="56" t="s">
        <v>7303</v>
      </c>
      <c r="L3310" s="165" t="s">
        <v>10889</v>
      </c>
      <c r="M3310" s="73"/>
      <c r="N3310" s="171"/>
      <c r="O3310" s="169" t="s">
        <v>6923</v>
      </c>
      <c r="P3310" s="168" t="s">
        <v>3112</v>
      </c>
      <c r="Q3310" s="173"/>
      <c r="R3310" s="167">
        <v>1150000.0</v>
      </c>
      <c r="S3310" s="173"/>
      <c r="T3310" s="173"/>
      <c r="U3310" s="173"/>
      <c r="V3310" s="169"/>
      <c r="W3310" s="171"/>
      <c r="X3310" s="171"/>
    </row>
    <row r="3311" ht="15.0" customHeight="1">
      <c r="A3311" s="494">
        <v>46081.0</v>
      </c>
      <c r="B3311" s="476" t="s">
        <v>10890</v>
      </c>
      <c r="C3311" s="56" t="s">
        <v>2565</v>
      </c>
      <c r="D3311" s="73" t="str">
        <f>IFERROR(VLOOKUP(C3311,Stock,3,FALSE),"")</f>
        <v>Toyota Avanza / Xenia 03-11 1st Gen</v>
      </c>
      <c r="E3311" s="56">
        <v>1.0</v>
      </c>
      <c r="F3311" s="161">
        <v>1200000.0</v>
      </c>
      <c r="G3311" s="162">
        <f t="shared" si="43"/>
        <v>1200000</v>
      </c>
      <c r="H3311" s="194"/>
      <c r="I3311" s="161">
        <f t="shared" si="41"/>
        <v>1200000</v>
      </c>
      <c r="J3311" s="164">
        <f t="shared" si="42"/>
        <v>1200000</v>
      </c>
      <c r="K3311" s="56" t="s">
        <v>10891</v>
      </c>
      <c r="L3311" s="165" t="s">
        <v>10892</v>
      </c>
      <c r="M3311" s="73"/>
      <c r="N3311" s="171"/>
      <c r="O3311" s="169" t="s">
        <v>6923</v>
      </c>
      <c r="P3311" s="168" t="s">
        <v>3112</v>
      </c>
      <c r="Q3311" s="173"/>
      <c r="R3311" s="161">
        <v>1200000.0</v>
      </c>
      <c r="S3311" s="173"/>
      <c r="T3311" s="173"/>
      <c r="U3311" s="173"/>
      <c r="V3311" s="169"/>
      <c r="W3311" s="171"/>
      <c r="X3311" s="171"/>
    </row>
    <row r="3312" ht="15.0" customHeight="1">
      <c r="A3312" s="494">
        <v>46081.0</v>
      </c>
      <c r="B3312" s="476" t="s">
        <v>10890</v>
      </c>
      <c r="C3312" s="56" t="s">
        <v>2954</v>
      </c>
      <c r="D3312" s="73" t="str">
        <f>IFERROR(VLOOKUP(C3312,Stock,3,FALSE),"")</f>
        <v>Transport</v>
      </c>
      <c r="E3312" s="56">
        <v>1.0</v>
      </c>
      <c r="F3312" s="161">
        <v>50000.0</v>
      </c>
      <c r="G3312" s="162">
        <f t="shared" si="43"/>
        <v>50000</v>
      </c>
      <c r="H3312" s="194"/>
      <c r="I3312" s="161">
        <f t="shared" si="41"/>
        <v>50000</v>
      </c>
      <c r="J3312" s="164">
        <f t="shared" si="42"/>
        <v>50000</v>
      </c>
      <c r="K3312" s="56" t="s">
        <v>10891</v>
      </c>
      <c r="L3312" s="165" t="s">
        <v>10892</v>
      </c>
      <c r="M3312" s="73"/>
      <c r="N3312" s="171"/>
      <c r="O3312" s="169" t="s">
        <v>6923</v>
      </c>
      <c r="P3312" s="168" t="s">
        <v>3112</v>
      </c>
      <c r="Q3312" s="173"/>
      <c r="R3312" s="161">
        <v>50000.0</v>
      </c>
      <c r="S3312" s="173"/>
      <c r="T3312" s="173"/>
      <c r="U3312" s="173"/>
      <c r="V3312" s="169"/>
      <c r="W3312" s="171"/>
      <c r="X3312" s="171"/>
    </row>
    <row r="3313" ht="15.0" customHeight="1">
      <c r="A3313" s="494">
        <v>46081.0</v>
      </c>
      <c r="B3313" s="476" t="s">
        <v>10890</v>
      </c>
      <c r="C3313" s="56" t="s">
        <v>6424</v>
      </c>
      <c r="D3313" s="73" t="str">
        <f>IFERROR(VLOOKUP(C3313,Stock,3,FALSE),"")</f>
        <v>Automotive Film Standard - Black 40%                                </v>
      </c>
      <c r="E3313" s="56">
        <v>1.0</v>
      </c>
      <c r="F3313" s="161">
        <v>350000.0</v>
      </c>
      <c r="G3313" s="162">
        <f t="shared" si="43"/>
        <v>350000</v>
      </c>
      <c r="H3313" s="194"/>
      <c r="I3313" s="161">
        <f t="shared" si="41"/>
        <v>350000</v>
      </c>
      <c r="J3313" s="164">
        <f t="shared" si="42"/>
        <v>350000</v>
      </c>
      <c r="K3313" s="56" t="s">
        <v>10891</v>
      </c>
      <c r="L3313" s="165" t="s">
        <v>10892</v>
      </c>
      <c r="M3313" s="73"/>
      <c r="N3313" s="171"/>
      <c r="O3313" s="169" t="s">
        <v>6923</v>
      </c>
      <c r="P3313" s="168" t="s">
        <v>3112</v>
      </c>
      <c r="Q3313" s="173"/>
      <c r="R3313" s="161">
        <v>350000.0</v>
      </c>
      <c r="S3313" s="173"/>
      <c r="T3313" s="173"/>
      <c r="U3313" s="173"/>
      <c r="V3313" s="169"/>
      <c r="W3313" s="171"/>
      <c r="X3313" s="171"/>
    </row>
    <row r="3314" ht="15.0" customHeight="1">
      <c r="A3314" s="494">
        <v>46081.0</v>
      </c>
      <c r="B3314" s="476" t="s">
        <v>10890</v>
      </c>
      <c r="C3314" s="56" t="s">
        <v>3083</v>
      </c>
      <c r="D3314" s="73" t="str">
        <f>IFERROR(VLOOKUP(C3314,Stock,3,FALSE),"")</f>
        <v>List Kaca Depan Code 04</v>
      </c>
      <c r="E3314" s="56">
        <v>1.0</v>
      </c>
      <c r="F3314" s="161">
        <v>275000.0</v>
      </c>
      <c r="G3314" s="162">
        <f t="shared" si="43"/>
        <v>275000</v>
      </c>
      <c r="H3314" s="194"/>
      <c r="I3314" s="161">
        <f t="shared" si="41"/>
        <v>275000</v>
      </c>
      <c r="J3314" s="164">
        <f t="shared" si="42"/>
        <v>275000</v>
      </c>
      <c r="K3314" s="56" t="s">
        <v>10893</v>
      </c>
      <c r="L3314" s="165" t="s">
        <v>10894</v>
      </c>
      <c r="M3314" s="73"/>
      <c r="N3314" s="171"/>
      <c r="O3314" s="169" t="s">
        <v>6923</v>
      </c>
      <c r="P3314" s="168" t="s">
        <v>3112</v>
      </c>
      <c r="Q3314" s="173"/>
      <c r="R3314" s="161">
        <v>275000.0</v>
      </c>
      <c r="S3314" s="173"/>
      <c r="T3314" s="173"/>
      <c r="U3314" s="173"/>
      <c r="V3314" s="169"/>
      <c r="W3314" s="171"/>
      <c r="X3314" s="171"/>
    </row>
    <row r="3315" ht="15.0" customHeight="1">
      <c r="A3315" s="494">
        <v>46081.0</v>
      </c>
      <c r="B3315" s="476" t="s">
        <v>10895</v>
      </c>
      <c r="C3315" s="56" t="s">
        <v>3622</v>
      </c>
      <c r="D3315" s="73" t="str">
        <f>IFERROR(VLOOKUP(C3315,Stock,3,FALSE),"")</f>
        <v>Mitsubishi Pajero 08-16</v>
      </c>
      <c r="E3315" s="56">
        <v>1.0</v>
      </c>
      <c r="F3315" s="161">
        <v>1480000.0</v>
      </c>
      <c r="G3315" s="162">
        <f t="shared" si="43"/>
        <v>1480000</v>
      </c>
      <c r="H3315" s="194"/>
      <c r="I3315" s="161">
        <f t="shared" si="41"/>
        <v>1480000</v>
      </c>
      <c r="J3315" s="164">
        <f t="shared" si="42"/>
        <v>1480000</v>
      </c>
      <c r="K3315" s="56" t="s">
        <v>10893</v>
      </c>
      <c r="L3315" s="165" t="s">
        <v>10894</v>
      </c>
      <c r="M3315" s="73"/>
      <c r="N3315" s="171"/>
      <c r="O3315" s="169" t="s">
        <v>6923</v>
      </c>
      <c r="P3315" s="168" t="s">
        <v>3112</v>
      </c>
      <c r="Q3315" s="173"/>
      <c r="R3315" s="161">
        <v>1480000.0</v>
      </c>
      <c r="S3315" s="173"/>
      <c r="T3315" s="173"/>
      <c r="U3315" s="173"/>
      <c r="V3315" s="169"/>
      <c r="W3315" s="171"/>
      <c r="X3315" s="171"/>
    </row>
    <row r="3316" ht="15.0" customHeight="1">
      <c r="A3316" s="494">
        <v>46081.0</v>
      </c>
      <c r="B3316" s="476" t="s">
        <v>10895</v>
      </c>
      <c r="C3316" s="493" t="s">
        <v>3513</v>
      </c>
      <c r="D3316" s="73" t="str">
        <f>IFERROR(VLOOKUP(C3316,Stock,3,FALSE),"")</f>
        <v>Lembur</v>
      </c>
      <c r="E3316" s="56">
        <v>1.0</v>
      </c>
      <c r="F3316" s="161">
        <v>150000.0</v>
      </c>
      <c r="G3316" s="162">
        <f t="shared" si="43"/>
        <v>150000</v>
      </c>
      <c r="H3316" s="194"/>
      <c r="I3316" s="161">
        <f t="shared" si="41"/>
        <v>150000</v>
      </c>
      <c r="J3316" s="164">
        <f t="shared" si="42"/>
        <v>150000</v>
      </c>
      <c r="K3316" s="56" t="s">
        <v>10893</v>
      </c>
      <c r="L3316" s="165" t="s">
        <v>10894</v>
      </c>
      <c r="M3316" s="73"/>
      <c r="N3316" s="171"/>
      <c r="O3316" s="169" t="s">
        <v>6923</v>
      </c>
      <c r="P3316" s="168" t="s">
        <v>3112</v>
      </c>
      <c r="Q3316" s="173"/>
      <c r="R3316" s="161">
        <v>150000.0</v>
      </c>
      <c r="S3316" s="173"/>
      <c r="T3316" s="173"/>
      <c r="U3316" s="173"/>
      <c r="V3316" s="169"/>
      <c r="W3316" s="171"/>
      <c r="X3316" s="171"/>
    </row>
    <row r="3317" ht="15.0" customHeight="1">
      <c r="A3317" s="494">
        <v>46082.0</v>
      </c>
      <c r="B3317" s="496" t="s">
        <v>10896</v>
      </c>
      <c r="C3317" s="56" t="s">
        <v>2562</v>
      </c>
      <c r="D3317" s="73" t="str">
        <f>IFERROR(VLOOKUP(C3317,Stock,3,FALSE),"")</f>
        <v>Toyota Avanza / Xenia 15-21 3rd Gen</v>
      </c>
      <c r="E3317" s="56">
        <v>1.0</v>
      </c>
      <c r="F3317" s="161">
        <v>1200000.0</v>
      </c>
      <c r="G3317" s="162">
        <f t="shared" si="43"/>
        <v>1200000</v>
      </c>
      <c r="H3317" s="194"/>
      <c r="I3317" s="161">
        <f t="shared" si="41"/>
        <v>1200000</v>
      </c>
      <c r="J3317" s="164">
        <f t="shared" si="42"/>
        <v>1200000</v>
      </c>
      <c r="K3317" s="56" t="s">
        <v>6724</v>
      </c>
      <c r="L3317" s="165" t="s">
        <v>10897</v>
      </c>
      <c r="M3317" s="73"/>
      <c r="N3317" s="171"/>
      <c r="O3317" s="169" t="s">
        <v>6923</v>
      </c>
      <c r="P3317" s="168" t="s">
        <v>3112</v>
      </c>
      <c r="Q3317" s="173"/>
      <c r="R3317" s="161">
        <v>1200000.0</v>
      </c>
      <c r="S3317" s="173"/>
      <c r="T3317" s="173"/>
      <c r="U3317" s="173"/>
      <c r="V3317" s="169"/>
      <c r="W3317" s="171"/>
      <c r="X3317" s="171"/>
    </row>
    <row r="3318" ht="15.0" customHeight="1">
      <c r="A3318" s="494">
        <v>46082.0</v>
      </c>
      <c r="B3318" s="496" t="s">
        <v>10898</v>
      </c>
      <c r="C3318" s="56" t="s">
        <v>3045</v>
      </c>
      <c r="D3318" s="73" t="str">
        <f>IFERROR(VLOOKUP(C3318,Stock,3,FALSE),"")</f>
        <v>Pemasangan Kaca Mobil Depan</v>
      </c>
      <c r="E3318" s="56">
        <v>1.0</v>
      </c>
      <c r="F3318" s="161">
        <v>100000.0</v>
      </c>
      <c r="G3318" s="162">
        <f t="shared" si="43"/>
        <v>100000</v>
      </c>
      <c r="H3318" s="194"/>
      <c r="I3318" s="161">
        <f t="shared" si="41"/>
        <v>100000</v>
      </c>
      <c r="J3318" s="164">
        <f t="shared" si="42"/>
        <v>100000</v>
      </c>
      <c r="K3318" s="73"/>
      <c r="L3318" s="73"/>
      <c r="M3318" s="73"/>
      <c r="N3318" s="171"/>
      <c r="O3318" s="169" t="s">
        <v>6923</v>
      </c>
      <c r="P3318" s="169" t="s">
        <v>10237</v>
      </c>
      <c r="Q3318" s="161">
        <v>100000.0</v>
      </c>
      <c r="R3318" s="173"/>
      <c r="S3318" s="173"/>
      <c r="T3318" s="173"/>
      <c r="U3318" s="173"/>
      <c r="V3318" s="169"/>
      <c r="W3318" s="171"/>
      <c r="X3318" s="171"/>
    </row>
    <row r="3319" ht="15.0" customHeight="1">
      <c r="A3319" s="494">
        <v>46083.0</v>
      </c>
      <c r="B3319" s="496" t="s">
        <v>10899</v>
      </c>
      <c r="C3319" s="56" t="s">
        <v>3085</v>
      </c>
      <c r="D3319" s="73" t="str">
        <f>IFERROR(VLOOKUP(C3319,Stock,3,FALSE),"")</f>
        <v>Honda Jazz 07-13 2nd Gen</v>
      </c>
      <c r="E3319" s="56">
        <v>1.0</v>
      </c>
      <c r="F3319" s="161">
        <v>1187000.0</v>
      </c>
      <c r="G3319" s="162">
        <f t="shared" si="43"/>
        <v>1187000</v>
      </c>
      <c r="H3319" s="194"/>
      <c r="I3319" s="161">
        <f t="shared" si="41"/>
        <v>1187000</v>
      </c>
      <c r="J3319" s="164">
        <f t="shared" si="42"/>
        <v>1187000</v>
      </c>
      <c r="K3319" s="56" t="s">
        <v>7083</v>
      </c>
      <c r="L3319" s="165" t="s">
        <v>10900</v>
      </c>
      <c r="M3319" s="73"/>
      <c r="N3319" s="171"/>
      <c r="O3319" s="169" t="s">
        <v>6923</v>
      </c>
      <c r="P3319" s="168" t="s">
        <v>3112</v>
      </c>
      <c r="Q3319" s="161">
        <v>1187000.0</v>
      </c>
      <c r="R3319" s="173"/>
      <c r="S3319" s="173"/>
      <c r="T3319" s="173"/>
      <c r="U3319" s="173"/>
      <c r="V3319" s="169"/>
      <c r="W3319" s="171"/>
      <c r="X3319" s="171"/>
    </row>
    <row r="3320" ht="15.0" customHeight="1">
      <c r="A3320" s="494">
        <v>46083.0</v>
      </c>
      <c r="B3320" s="496" t="s">
        <v>10901</v>
      </c>
      <c r="C3320" s="56" t="s">
        <v>3186</v>
      </c>
      <c r="D3320" s="73" t="str">
        <f>IFERROR(VLOOKUP(C3320,Stock,3,FALSE),"")</f>
        <v>Daihatsu Gran Max / Luxio 07-</v>
      </c>
      <c r="E3320" s="56">
        <v>1.0</v>
      </c>
      <c r="F3320" s="161">
        <v>1000000.0</v>
      </c>
      <c r="G3320" s="162">
        <f t="shared" si="43"/>
        <v>1000000</v>
      </c>
      <c r="H3320" s="194"/>
      <c r="I3320" s="161">
        <f t="shared" si="41"/>
        <v>1000000</v>
      </c>
      <c r="J3320" s="164">
        <f t="shared" si="42"/>
        <v>1000000</v>
      </c>
      <c r="K3320" s="487" t="s">
        <v>10902</v>
      </c>
      <c r="L3320" s="165" t="s">
        <v>10903</v>
      </c>
      <c r="M3320" s="73"/>
      <c r="N3320" s="171"/>
      <c r="O3320" s="169" t="s">
        <v>6923</v>
      </c>
      <c r="P3320" s="168" t="s">
        <v>3112</v>
      </c>
      <c r="Q3320" s="167">
        <v>1000000.0</v>
      </c>
      <c r="R3320" s="161"/>
      <c r="S3320" s="173"/>
      <c r="T3320" s="173"/>
      <c r="U3320" s="173"/>
      <c r="V3320" s="169"/>
      <c r="W3320" s="171"/>
      <c r="X3320" s="171"/>
    </row>
    <row r="3321" ht="15.0" customHeight="1">
      <c r="A3321" s="494">
        <v>46083.0</v>
      </c>
      <c r="B3321" s="496" t="s">
        <v>10901</v>
      </c>
      <c r="C3321" s="56" t="s">
        <v>2954</v>
      </c>
      <c r="D3321" s="73" t="str">
        <f>IFERROR(VLOOKUP(C3321,Stock,3,FALSE),"")</f>
        <v>Transport</v>
      </c>
      <c r="E3321" s="56">
        <v>1.0</v>
      </c>
      <c r="F3321" s="161">
        <v>200000.0</v>
      </c>
      <c r="G3321" s="162">
        <f t="shared" si="43"/>
        <v>200000</v>
      </c>
      <c r="H3321" s="194"/>
      <c r="I3321" s="161">
        <f t="shared" si="41"/>
        <v>200000</v>
      </c>
      <c r="J3321" s="164">
        <f t="shared" si="42"/>
        <v>200000</v>
      </c>
      <c r="K3321" s="56" t="s">
        <v>10902</v>
      </c>
      <c r="L3321" s="165" t="s">
        <v>10903</v>
      </c>
      <c r="M3321" s="73"/>
      <c r="N3321" s="171"/>
      <c r="O3321" s="169" t="s">
        <v>6923</v>
      </c>
      <c r="P3321" s="168" t="s">
        <v>3112</v>
      </c>
      <c r="Q3321" s="167">
        <v>100000.0</v>
      </c>
      <c r="R3321" s="161">
        <v>100000.0</v>
      </c>
      <c r="S3321" s="173"/>
      <c r="T3321" s="173"/>
      <c r="U3321" s="173"/>
      <c r="V3321" s="169"/>
      <c r="W3321" s="171"/>
      <c r="X3321" s="171"/>
    </row>
    <row r="3322" ht="15.0" customHeight="1">
      <c r="A3322" s="494">
        <v>46083.0</v>
      </c>
      <c r="B3322" s="496" t="s">
        <v>10904</v>
      </c>
      <c r="C3322" s="56" t="s">
        <v>2669</v>
      </c>
      <c r="D3322" s="73" t="str">
        <f>IFERROR(VLOOKUP(C3322,Stock,3,FALSE),"")</f>
        <v>Nissan Livina 07-18 L10/L11</v>
      </c>
      <c r="E3322" s="56">
        <v>1.0</v>
      </c>
      <c r="F3322" s="161">
        <v>1392000.0</v>
      </c>
      <c r="G3322" s="162">
        <f t="shared" si="43"/>
        <v>1392000</v>
      </c>
      <c r="H3322" s="194"/>
      <c r="I3322" s="161">
        <f t="shared" si="41"/>
        <v>1392000</v>
      </c>
      <c r="J3322" s="164">
        <f t="shared" si="42"/>
        <v>1392000</v>
      </c>
      <c r="K3322" s="56" t="s">
        <v>10481</v>
      </c>
      <c r="L3322" s="165" t="s">
        <v>7442</v>
      </c>
      <c r="M3322" s="73"/>
      <c r="N3322" s="171"/>
      <c r="O3322" s="169" t="s">
        <v>6923</v>
      </c>
      <c r="P3322" s="168" t="s">
        <v>3112</v>
      </c>
      <c r="Q3322" s="173"/>
      <c r="R3322" s="161">
        <v>1392000.0</v>
      </c>
      <c r="S3322" s="173"/>
      <c r="T3322" s="173"/>
      <c r="U3322" s="173"/>
      <c r="V3322" s="169"/>
      <c r="W3322" s="171"/>
      <c r="X3322" s="171"/>
    </row>
    <row r="3323" ht="15.0" customHeight="1">
      <c r="A3323" s="494">
        <v>46083.0</v>
      </c>
      <c r="B3323" s="496" t="s">
        <v>10904</v>
      </c>
      <c r="C3323" s="493" t="s">
        <v>2954</v>
      </c>
      <c r="D3323" s="73" t="str">
        <f>IFERROR(VLOOKUP(C3323,Stock,3,FALSE),"")</f>
        <v>Transport</v>
      </c>
      <c r="E3323" s="56">
        <v>1.0</v>
      </c>
      <c r="F3323" s="161">
        <v>30000.0</v>
      </c>
      <c r="G3323" s="162">
        <f t="shared" si="43"/>
        <v>30000</v>
      </c>
      <c r="H3323" s="194"/>
      <c r="I3323" s="161">
        <f t="shared" si="41"/>
        <v>30000</v>
      </c>
      <c r="J3323" s="164">
        <f t="shared" si="42"/>
        <v>30000</v>
      </c>
      <c r="K3323" s="56" t="s">
        <v>10481</v>
      </c>
      <c r="L3323" s="165" t="s">
        <v>7442</v>
      </c>
      <c r="M3323" s="73"/>
      <c r="N3323" s="171"/>
      <c r="O3323" s="169" t="s">
        <v>6923</v>
      </c>
      <c r="P3323" s="168" t="s">
        <v>3112</v>
      </c>
      <c r="Q3323" s="173"/>
      <c r="R3323" s="161">
        <v>30000.0</v>
      </c>
      <c r="S3323" s="173"/>
      <c r="T3323" s="173"/>
      <c r="U3323" s="173"/>
      <c r="V3323" s="169"/>
      <c r="W3323" s="171"/>
      <c r="X3323" s="171"/>
    </row>
    <row r="3324" ht="15.0" customHeight="1">
      <c r="A3324" s="494">
        <v>46083.0</v>
      </c>
      <c r="B3324" s="496" t="s">
        <v>10904</v>
      </c>
      <c r="C3324" s="56" t="s">
        <v>3083</v>
      </c>
      <c r="D3324" s="73" t="str">
        <f>IFERROR(VLOOKUP(C3324,Stock,3,FALSE),"")</f>
        <v>List Kaca Depan Code 04</v>
      </c>
      <c r="E3324" s="56">
        <v>1.0</v>
      </c>
      <c r="F3324" s="161">
        <v>275000.0</v>
      </c>
      <c r="G3324" s="162">
        <f t="shared" si="43"/>
        <v>275000</v>
      </c>
      <c r="H3324" s="194"/>
      <c r="I3324" s="161">
        <f t="shared" si="41"/>
        <v>275000</v>
      </c>
      <c r="J3324" s="164">
        <f t="shared" si="42"/>
        <v>275000</v>
      </c>
      <c r="K3324" s="56" t="s">
        <v>10481</v>
      </c>
      <c r="L3324" s="165" t="s">
        <v>7442</v>
      </c>
      <c r="M3324" s="73"/>
      <c r="N3324" s="171"/>
      <c r="O3324" s="169" t="s">
        <v>6923</v>
      </c>
      <c r="P3324" s="168" t="s">
        <v>3112</v>
      </c>
      <c r="Q3324" s="173"/>
      <c r="R3324" s="161">
        <v>275000.0</v>
      </c>
      <c r="S3324" s="173"/>
      <c r="T3324" s="173"/>
      <c r="U3324" s="173"/>
      <c r="V3324" s="169"/>
      <c r="W3324" s="171"/>
      <c r="X3324" s="171"/>
    </row>
    <row r="3325" ht="15.0" customHeight="1">
      <c r="A3325" s="494">
        <v>46084.0</v>
      </c>
      <c r="B3325" s="496" t="s">
        <v>10905</v>
      </c>
      <c r="C3325" s="56" t="s">
        <v>5528</v>
      </c>
      <c r="D3325" s="73" t="str">
        <f>IFERROR(VLOOKUP(C3325,Stock,3,FALSE),"")</f>
        <v>Toyota Innova 15-22 2nd Gen (Toyota)</v>
      </c>
      <c r="E3325" s="56">
        <v>1.0</v>
      </c>
      <c r="F3325" s="161">
        <v>2889000.0</v>
      </c>
      <c r="G3325" s="162">
        <f t="shared" si="43"/>
        <v>2889000</v>
      </c>
      <c r="H3325" s="194"/>
      <c r="I3325" s="161">
        <f t="shared" si="41"/>
        <v>2889000</v>
      </c>
      <c r="J3325" s="164">
        <f t="shared" si="42"/>
        <v>2889000</v>
      </c>
      <c r="K3325" s="56" t="s">
        <v>4593</v>
      </c>
      <c r="L3325" s="165" t="s">
        <v>10906</v>
      </c>
      <c r="M3325" s="73"/>
      <c r="N3325" s="171"/>
      <c r="O3325" s="169" t="s">
        <v>6923</v>
      </c>
      <c r="P3325" s="168" t="s">
        <v>3112</v>
      </c>
      <c r="Q3325" s="173"/>
      <c r="R3325" s="161">
        <v>2889000.0</v>
      </c>
      <c r="S3325" s="173"/>
      <c r="T3325" s="173"/>
      <c r="U3325" s="173"/>
      <c r="V3325" s="169"/>
      <c r="W3325" s="171"/>
      <c r="X3325" s="171"/>
    </row>
    <row r="3326" ht="15.0" customHeight="1">
      <c r="A3326" s="494">
        <v>46084.0</v>
      </c>
      <c r="B3326" s="496" t="s">
        <v>10907</v>
      </c>
      <c r="C3326" s="56" t="s">
        <v>6821</v>
      </c>
      <c r="D3326" s="73" t="str">
        <f>IFERROR(VLOOKUP(C3326,Stock,3,FALSE),"")</f>
        <v>Toyota Avanza / Xenia 03-11 1st Gen</v>
      </c>
      <c r="E3326" s="56">
        <v>1.0</v>
      </c>
      <c r="F3326" s="161">
        <v>550000.0</v>
      </c>
      <c r="G3326" s="162">
        <f t="shared" si="43"/>
        <v>550000</v>
      </c>
      <c r="H3326" s="194"/>
      <c r="I3326" s="161">
        <f t="shared" si="41"/>
        <v>550000</v>
      </c>
      <c r="J3326" s="164">
        <f t="shared" si="42"/>
        <v>550000</v>
      </c>
      <c r="K3326" s="56" t="s">
        <v>10908</v>
      </c>
      <c r="L3326" s="165" t="s">
        <v>10909</v>
      </c>
      <c r="M3326" s="73"/>
      <c r="N3326" s="171"/>
      <c r="O3326" s="169" t="s">
        <v>6923</v>
      </c>
      <c r="P3326" s="168" t="s">
        <v>3112</v>
      </c>
      <c r="Q3326" s="173"/>
      <c r="R3326" s="167">
        <v>550000.0</v>
      </c>
      <c r="S3326" s="173"/>
      <c r="T3326" s="173"/>
      <c r="U3326" s="173"/>
      <c r="V3326" s="169"/>
      <c r="W3326" s="171"/>
      <c r="X3326" s="171"/>
    </row>
    <row r="3327" ht="15.0" customHeight="1">
      <c r="A3327" s="494">
        <v>46085.0</v>
      </c>
      <c r="B3327" s="476" t="s">
        <v>10910</v>
      </c>
      <c r="C3327" s="56" t="s">
        <v>3045</v>
      </c>
      <c r="D3327" s="73" t="str">
        <f>IFERROR(VLOOKUP(C3327,Stock,3,FALSE),"")</f>
        <v>Pemasangan Kaca Mobil Depan</v>
      </c>
      <c r="E3327" s="56">
        <v>1.0</v>
      </c>
      <c r="F3327" s="161">
        <v>600000.0</v>
      </c>
      <c r="G3327" s="162">
        <f t="shared" si="43"/>
        <v>600000</v>
      </c>
      <c r="H3327" s="194"/>
      <c r="I3327" s="161">
        <f t="shared" si="41"/>
        <v>600000</v>
      </c>
      <c r="J3327" s="164">
        <f t="shared" si="42"/>
        <v>600000</v>
      </c>
      <c r="K3327" s="56" t="s">
        <v>5767</v>
      </c>
      <c r="L3327" s="165" t="s">
        <v>5768</v>
      </c>
      <c r="M3327" s="73"/>
      <c r="N3327" s="171"/>
      <c r="O3327" s="169" t="s">
        <v>6923</v>
      </c>
      <c r="P3327" s="168" t="s">
        <v>3112</v>
      </c>
      <c r="Q3327" s="173"/>
      <c r="R3327" s="161">
        <v>600000.0</v>
      </c>
      <c r="S3327" s="173"/>
      <c r="T3327" s="173"/>
      <c r="U3327" s="173"/>
      <c r="V3327" s="169"/>
      <c r="W3327" s="171"/>
      <c r="X3327" s="171"/>
    </row>
    <row r="3328" ht="15.0" customHeight="1">
      <c r="A3328" s="494">
        <v>46085.0</v>
      </c>
      <c r="B3328" s="476" t="s">
        <v>10911</v>
      </c>
      <c r="C3328" s="56" t="s">
        <v>2605</v>
      </c>
      <c r="D3328" s="73" t="str">
        <f>IFERROR(VLOOKUP(C3328,Stock,3,FALSE),"")</f>
        <v>BMW 3 Series 12-18 F30/F35</v>
      </c>
      <c r="E3328" s="56">
        <v>1.0</v>
      </c>
      <c r="F3328" s="161">
        <v>3570000.0</v>
      </c>
      <c r="G3328" s="162">
        <f t="shared" si="43"/>
        <v>3570000</v>
      </c>
      <c r="H3328" s="201">
        <v>1785000.0</v>
      </c>
      <c r="I3328" s="161">
        <f t="shared" si="41"/>
        <v>1785000</v>
      </c>
      <c r="J3328" s="164">
        <f t="shared" si="42"/>
        <v>1785000</v>
      </c>
      <c r="K3328" s="56" t="s">
        <v>5767</v>
      </c>
      <c r="L3328" s="165" t="s">
        <v>5768</v>
      </c>
      <c r="M3328" s="73"/>
      <c r="N3328" s="171"/>
      <c r="O3328" s="169" t="s">
        <v>6923</v>
      </c>
      <c r="P3328" s="168" t="s">
        <v>3112</v>
      </c>
      <c r="Q3328" s="173"/>
      <c r="R3328" s="161">
        <v>3570000.0</v>
      </c>
      <c r="S3328" s="173"/>
      <c r="T3328" s="173"/>
      <c r="U3328" s="173"/>
      <c r="V3328" s="169"/>
      <c r="W3328" s="171"/>
      <c r="X3328" s="171"/>
    </row>
    <row r="3329" ht="15.0" customHeight="1">
      <c r="A3329" s="494">
        <v>46085.0</v>
      </c>
      <c r="B3329" s="476" t="s">
        <v>10912</v>
      </c>
      <c r="C3329" s="56" t="s">
        <v>10333</v>
      </c>
      <c r="D3329" s="73" t="str">
        <f>IFERROR(VLOOKUP(C3329,Stock,3,FALSE),"")</f>
        <v>Toyota Avanza / Xenia 11-15 2nd Gen</v>
      </c>
      <c r="E3329" s="56">
        <v>1.0</v>
      </c>
      <c r="F3329" s="161">
        <v>1000000.0</v>
      </c>
      <c r="G3329" s="162">
        <f t="shared" si="43"/>
        <v>1000000</v>
      </c>
      <c r="H3329" s="194"/>
      <c r="I3329" s="161">
        <f t="shared" si="41"/>
        <v>1000000</v>
      </c>
      <c r="J3329" s="164">
        <f t="shared" si="42"/>
        <v>1000000</v>
      </c>
      <c r="K3329" s="56" t="s">
        <v>10363</v>
      </c>
      <c r="L3329" s="165" t="s">
        <v>10913</v>
      </c>
      <c r="M3329" s="73"/>
      <c r="N3329" s="171"/>
      <c r="O3329" s="169" t="s">
        <v>6923</v>
      </c>
      <c r="P3329" s="168" t="s">
        <v>3112</v>
      </c>
      <c r="Q3329" s="161">
        <v>1000000.0</v>
      </c>
      <c r="R3329" s="173"/>
      <c r="S3329" s="173"/>
      <c r="T3329" s="173"/>
      <c r="U3329" s="173"/>
      <c r="V3329" s="169"/>
      <c r="W3329" s="171"/>
      <c r="X3329" s="171"/>
    </row>
    <row r="3330" ht="15.0" customHeight="1">
      <c r="A3330" s="494">
        <v>46086.0</v>
      </c>
      <c r="B3330" s="476" t="s">
        <v>10914</v>
      </c>
      <c r="C3330" s="56" t="s">
        <v>6043</v>
      </c>
      <c r="D3330" s="73" t="str">
        <f>IFERROR(VLOOKUP(C3330,Stock,3,FALSE),"")</f>
        <v>Suzuki Vitara 88-97 / Escudo / Sidekick</v>
      </c>
      <c r="E3330" s="56">
        <v>1.0</v>
      </c>
      <c r="F3330" s="161">
        <v>1200000.0</v>
      </c>
      <c r="G3330" s="162">
        <f t="shared" si="43"/>
        <v>1200000</v>
      </c>
      <c r="H3330" s="194"/>
      <c r="I3330" s="161">
        <f t="shared" si="41"/>
        <v>1200000</v>
      </c>
      <c r="J3330" s="164">
        <f t="shared" si="42"/>
        <v>1200000</v>
      </c>
      <c r="K3330" s="56" t="s">
        <v>10915</v>
      </c>
      <c r="L3330" s="165" t="s">
        <v>10916</v>
      </c>
      <c r="M3330" s="73"/>
      <c r="N3330" s="171"/>
      <c r="O3330" s="169" t="s">
        <v>6923</v>
      </c>
      <c r="P3330" s="168" t="s">
        <v>3112</v>
      </c>
      <c r="Q3330" s="173"/>
      <c r="R3330" s="161">
        <v>1200000.0</v>
      </c>
      <c r="S3330" s="173"/>
      <c r="T3330" s="173"/>
      <c r="U3330" s="173"/>
      <c r="V3330" s="169"/>
      <c r="W3330" s="171"/>
      <c r="X3330" s="171"/>
    </row>
    <row r="3331" ht="15.0" customHeight="1">
      <c r="A3331" s="494">
        <v>46086.0</v>
      </c>
      <c r="B3331" s="181" t="s">
        <v>10917</v>
      </c>
      <c r="C3331" s="56" t="s">
        <v>2690</v>
      </c>
      <c r="D3331" s="73" t="str">
        <f>IFERROR(VLOOKUP(C3331,Stock,3,FALSE),"")</f>
        <v>Suzuki APV 03- Pickup/ Van</v>
      </c>
      <c r="E3331" s="56">
        <v>1.0</v>
      </c>
      <c r="F3331" s="161">
        <v>1100000.0</v>
      </c>
      <c r="G3331" s="162">
        <f t="shared" si="43"/>
        <v>1100000</v>
      </c>
      <c r="H3331" s="194"/>
      <c r="I3331" s="161">
        <f t="shared" si="41"/>
        <v>1100000</v>
      </c>
      <c r="J3331" s="164">
        <f t="shared" si="42"/>
        <v>1100000</v>
      </c>
      <c r="K3331" s="56" t="s">
        <v>10918</v>
      </c>
      <c r="L3331" s="165" t="s">
        <v>10919</v>
      </c>
      <c r="M3331" s="73"/>
      <c r="N3331" s="171"/>
      <c r="O3331" s="169" t="s">
        <v>6923</v>
      </c>
      <c r="P3331" s="168" t="s">
        <v>3112</v>
      </c>
      <c r="Q3331" s="173"/>
      <c r="R3331" s="161">
        <v>1100000.0</v>
      </c>
      <c r="S3331" s="173"/>
      <c r="T3331" s="173"/>
      <c r="U3331" s="173"/>
      <c r="V3331" s="169"/>
      <c r="W3331" s="171"/>
      <c r="X3331" s="171"/>
    </row>
    <row r="3332" ht="15.0" customHeight="1">
      <c r="A3332" s="494">
        <v>46086.0</v>
      </c>
      <c r="B3332" s="181" t="s">
        <v>10920</v>
      </c>
      <c r="C3332" s="56" t="s">
        <v>3045</v>
      </c>
      <c r="D3332" s="73" t="str">
        <f>IFERROR(VLOOKUP(C3332,Stock,3,FALSE),"")</f>
        <v>Pemasangan Kaca Mobil Depan</v>
      </c>
      <c r="E3332" s="56">
        <v>1.0</v>
      </c>
      <c r="F3332" s="161">
        <v>600000.0</v>
      </c>
      <c r="G3332" s="162">
        <f t="shared" si="43"/>
        <v>600000</v>
      </c>
      <c r="H3332" s="194"/>
      <c r="I3332" s="161">
        <f t="shared" si="41"/>
        <v>600000</v>
      </c>
      <c r="J3332" s="164">
        <f t="shared" si="42"/>
        <v>600000</v>
      </c>
      <c r="K3332" s="56" t="s">
        <v>10921</v>
      </c>
      <c r="L3332" s="165" t="s">
        <v>10922</v>
      </c>
      <c r="M3332" s="73"/>
      <c r="N3332" s="171"/>
      <c r="O3332" s="169" t="s">
        <v>6923</v>
      </c>
      <c r="P3332" s="168" t="s">
        <v>3112</v>
      </c>
      <c r="Q3332" s="173"/>
      <c r="R3332" s="161">
        <v>600000.0</v>
      </c>
      <c r="S3332" s="173"/>
      <c r="T3332" s="173"/>
      <c r="U3332" s="173"/>
      <c r="V3332" s="169"/>
      <c r="W3332" s="171"/>
      <c r="X3332" s="171"/>
    </row>
    <row r="3333" ht="15.0" customHeight="1">
      <c r="A3333" s="494">
        <v>46086.0</v>
      </c>
      <c r="B3333" s="181" t="s">
        <v>10920</v>
      </c>
      <c r="C3333" s="493" t="s">
        <v>3083</v>
      </c>
      <c r="D3333" s="73" t="str">
        <f>IFERROR(VLOOKUP(C3333,Stock,3,FALSE),"")</f>
        <v>List Kaca Depan Code 04</v>
      </c>
      <c r="E3333" s="56">
        <v>1.0</v>
      </c>
      <c r="F3333" s="161">
        <v>275000.0</v>
      </c>
      <c r="G3333" s="162">
        <f t="shared" si="43"/>
        <v>275000</v>
      </c>
      <c r="H3333" s="194"/>
      <c r="I3333" s="161">
        <f t="shared" si="41"/>
        <v>275000</v>
      </c>
      <c r="J3333" s="164">
        <f t="shared" si="42"/>
        <v>275000</v>
      </c>
      <c r="K3333" s="56" t="s">
        <v>10921</v>
      </c>
      <c r="L3333" s="165" t="s">
        <v>10922</v>
      </c>
      <c r="M3333" s="73"/>
      <c r="N3333" s="171"/>
      <c r="O3333" s="169" t="s">
        <v>6923</v>
      </c>
      <c r="P3333" s="168" t="s">
        <v>3112</v>
      </c>
      <c r="Q3333" s="173"/>
      <c r="R3333" s="161">
        <v>275000.0</v>
      </c>
      <c r="S3333" s="173"/>
      <c r="T3333" s="173"/>
      <c r="U3333" s="173"/>
      <c r="V3333" s="169"/>
      <c r="W3333" s="171"/>
      <c r="X3333" s="171"/>
    </row>
    <row r="3334" ht="15.0" customHeight="1">
      <c r="A3334" s="494">
        <v>46087.0</v>
      </c>
      <c r="B3334" s="181" t="s">
        <v>10923</v>
      </c>
      <c r="C3334" s="56" t="s">
        <v>3059</v>
      </c>
      <c r="D3334" s="73" t="str">
        <f>IFERROR(VLOOKUP(C3334,Stock,3,FALSE),"")</f>
        <v>Sealant Polyurethane XYG Tube</v>
      </c>
      <c r="E3334" s="56">
        <v>20.0</v>
      </c>
      <c r="F3334" s="161">
        <v>65000.0</v>
      </c>
      <c r="G3334" s="162">
        <f t="shared" si="43"/>
        <v>1300000</v>
      </c>
      <c r="H3334" s="194"/>
      <c r="I3334" s="161">
        <f t="shared" si="41"/>
        <v>1300000</v>
      </c>
      <c r="J3334" s="164">
        <f t="shared" si="42"/>
        <v>1300000</v>
      </c>
      <c r="K3334" s="56" t="s">
        <v>9291</v>
      </c>
      <c r="L3334" s="165" t="s">
        <v>9292</v>
      </c>
      <c r="M3334" s="73"/>
      <c r="N3334" s="171"/>
      <c r="O3334" s="169" t="s">
        <v>6923</v>
      </c>
      <c r="P3334" s="168" t="s">
        <v>3112</v>
      </c>
      <c r="Q3334" s="173"/>
      <c r="R3334" s="167">
        <v>1300000.0</v>
      </c>
      <c r="S3334" s="173"/>
      <c r="T3334" s="173"/>
      <c r="U3334" s="173"/>
      <c r="V3334" s="169"/>
      <c r="W3334" s="171"/>
      <c r="X3334" s="171"/>
    </row>
    <row r="3335" ht="15.0" customHeight="1">
      <c r="A3335" s="494">
        <v>46087.0</v>
      </c>
      <c r="B3335" s="181" t="s">
        <v>10923</v>
      </c>
      <c r="C3335" s="56" t="s">
        <v>2954</v>
      </c>
      <c r="D3335" s="73" t="str">
        <f>IFERROR(VLOOKUP(C3335,Stock,3,FALSE),"")</f>
        <v>Transport</v>
      </c>
      <c r="E3335" s="56">
        <v>1.0</v>
      </c>
      <c r="F3335" s="161">
        <v>30000.0</v>
      </c>
      <c r="G3335" s="162">
        <f t="shared" si="43"/>
        <v>30000</v>
      </c>
      <c r="H3335" s="194"/>
      <c r="I3335" s="161">
        <f t="shared" si="41"/>
        <v>30000</v>
      </c>
      <c r="J3335" s="164">
        <f t="shared" si="42"/>
        <v>30000</v>
      </c>
      <c r="K3335" s="56" t="s">
        <v>9291</v>
      </c>
      <c r="L3335" s="165" t="s">
        <v>9292</v>
      </c>
      <c r="M3335" s="73"/>
      <c r="N3335" s="171"/>
      <c r="O3335" s="169" t="s">
        <v>6923</v>
      </c>
      <c r="P3335" s="168" t="s">
        <v>3112</v>
      </c>
      <c r="Q3335" s="173"/>
      <c r="R3335" s="167">
        <v>30000.0</v>
      </c>
      <c r="S3335" s="173"/>
      <c r="T3335" s="173"/>
      <c r="U3335" s="173"/>
      <c r="V3335" s="169"/>
      <c r="W3335" s="171"/>
      <c r="X3335" s="171"/>
    </row>
    <row r="3336" ht="15.0" customHeight="1">
      <c r="A3336" s="494">
        <v>46087.0</v>
      </c>
      <c r="B3336" s="181" t="s">
        <v>10924</v>
      </c>
      <c r="C3336" s="56" t="s">
        <v>5587</v>
      </c>
      <c r="D3336" s="73" t="str">
        <f>IFERROR(VLOOKUP(C3336,Stock,3,FALSE),"")</f>
        <v>Honda CR-V 02-04 2nd Gen (Spion Jepit)</v>
      </c>
      <c r="E3336" s="56">
        <v>1.0</v>
      </c>
      <c r="F3336" s="161">
        <v>1682000.0</v>
      </c>
      <c r="G3336" s="162">
        <f t="shared" si="43"/>
        <v>1682000</v>
      </c>
      <c r="H3336" s="194"/>
      <c r="I3336" s="161">
        <f t="shared" si="41"/>
        <v>1682000</v>
      </c>
      <c r="J3336" s="164">
        <f t="shared" si="42"/>
        <v>1682000</v>
      </c>
      <c r="K3336" s="56" t="s">
        <v>10925</v>
      </c>
      <c r="L3336" s="165" t="s">
        <v>10926</v>
      </c>
      <c r="M3336" s="73"/>
      <c r="N3336" s="171"/>
      <c r="O3336" s="169" t="s">
        <v>6923</v>
      </c>
      <c r="P3336" s="168" t="s">
        <v>3112</v>
      </c>
      <c r="Q3336" s="173"/>
      <c r="R3336" s="161">
        <v>1682000.0</v>
      </c>
      <c r="S3336" s="173"/>
      <c r="T3336" s="173"/>
      <c r="U3336" s="173"/>
      <c r="V3336" s="169"/>
      <c r="W3336" s="171"/>
      <c r="X3336" s="171"/>
    </row>
    <row r="3337" ht="15.0" customHeight="1">
      <c r="A3337" s="494">
        <v>46087.0</v>
      </c>
      <c r="B3337" s="181" t="s">
        <v>10924</v>
      </c>
      <c r="C3337" s="493" t="s">
        <v>2954</v>
      </c>
      <c r="D3337" s="73" t="str">
        <f>IFERROR(VLOOKUP(C3337,Stock,3,FALSE),"")</f>
        <v>Transport</v>
      </c>
      <c r="E3337" s="56">
        <v>1.0</v>
      </c>
      <c r="F3337" s="161">
        <v>50000.0</v>
      </c>
      <c r="G3337" s="162">
        <f t="shared" si="43"/>
        <v>50000</v>
      </c>
      <c r="H3337" s="194"/>
      <c r="I3337" s="161">
        <f t="shared" si="41"/>
        <v>50000</v>
      </c>
      <c r="J3337" s="164">
        <f t="shared" si="42"/>
        <v>50000</v>
      </c>
      <c r="K3337" s="56" t="s">
        <v>10925</v>
      </c>
      <c r="L3337" s="165" t="s">
        <v>10926</v>
      </c>
      <c r="M3337" s="73"/>
      <c r="N3337" s="171"/>
      <c r="O3337" s="169" t="s">
        <v>6923</v>
      </c>
      <c r="P3337" s="168" t="s">
        <v>3112</v>
      </c>
      <c r="Q3337" s="173"/>
      <c r="R3337" s="161">
        <v>50000.0</v>
      </c>
      <c r="S3337" s="173"/>
      <c r="T3337" s="173"/>
      <c r="U3337" s="173"/>
      <c r="V3337" s="169"/>
      <c r="W3337" s="171"/>
      <c r="X3337" s="171"/>
    </row>
    <row r="3338" ht="15.0" customHeight="1">
      <c r="A3338" s="494">
        <v>46087.0</v>
      </c>
      <c r="B3338" s="181" t="s">
        <v>10927</v>
      </c>
      <c r="C3338" s="56" t="s">
        <v>2694</v>
      </c>
      <c r="D3338" s="73" t="str">
        <f>IFERROR(VLOOKUP(C3338,Stock,3,FALSE),"")</f>
        <v>Honda CR-V 17-23 5th Gen</v>
      </c>
      <c r="E3338" s="56">
        <v>1.0</v>
      </c>
      <c r="F3338" s="161">
        <v>2456000.0</v>
      </c>
      <c r="G3338" s="162">
        <f t="shared" si="43"/>
        <v>2456000</v>
      </c>
      <c r="H3338" s="194"/>
      <c r="I3338" s="161">
        <f t="shared" si="41"/>
        <v>2456000</v>
      </c>
      <c r="J3338" s="164">
        <f t="shared" si="42"/>
        <v>2456000</v>
      </c>
      <c r="K3338" s="56" t="s">
        <v>10928</v>
      </c>
      <c r="L3338" s="165" t="s">
        <v>10929</v>
      </c>
      <c r="M3338" s="73"/>
      <c r="N3338" s="171"/>
      <c r="O3338" s="169" t="s">
        <v>6923</v>
      </c>
      <c r="P3338" s="168" t="s">
        <v>3112</v>
      </c>
      <c r="Q3338" s="173"/>
      <c r="R3338" s="167">
        <v>2456000.0</v>
      </c>
      <c r="S3338" s="173"/>
      <c r="T3338" s="173"/>
      <c r="U3338" s="173"/>
      <c r="V3338" s="169"/>
      <c r="W3338" s="171"/>
      <c r="X3338" s="171"/>
    </row>
    <row r="3339" ht="15.0" customHeight="1">
      <c r="A3339" s="495">
        <v>46088.0</v>
      </c>
      <c r="B3339" s="181" t="s">
        <v>10930</v>
      </c>
      <c r="C3339" s="56" t="s">
        <v>2591</v>
      </c>
      <c r="D3339" s="73" t="str">
        <f>IFERROR(VLOOKUP(C3339,Stock,3,FALSE),"")</f>
        <v>Nissan Serena 10-19 MKIV C26</v>
      </c>
      <c r="E3339" s="56">
        <v>1.0</v>
      </c>
      <c r="F3339" s="161">
        <v>2604000.0</v>
      </c>
      <c r="G3339" s="162">
        <f t="shared" si="43"/>
        <v>2604000</v>
      </c>
      <c r="H3339" s="194"/>
      <c r="I3339" s="161">
        <f t="shared" si="41"/>
        <v>2604000</v>
      </c>
      <c r="J3339" s="164">
        <f t="shared" si="42"/>
        <v>2604000</v>
      </c>
      <c r="K3339" s="56" t="s">
        <v>10931</v>
      </c>
      <c r="L3339" s="165" t="s">
        <v>10926</v>
      </c>
      <c r="M3339" s="73"/>
      <c r="N3339" s="171"/>
      <c r="O3339" s="169" t="s">
        <v>6923</v>
      </c>
      <c r="P3339" s="168" t="s">
        <v>3112</v>
      </c>
      <c r="Q3339" s="173"/>
      <c r="R3339" s="161">
        <v>2604000.0</v>
      </c>
      <c r="S3339" s="173"/>
      <c r="T3339" s="173"/>
      <c r="U3339" s="173"/>
      <c r="V3339" s="169"/>
      <c r="W3339" s="171"/>
      <c r="X3339" s="171"/>
    </row>
    <row r="3340" ht="15.0" customHeight="1">
      <c r="A3340" s="495">
        <v>46088.0</v>
      </c>
      <c r="B3340" s="181" t="s">
        <v>10930</v>
      </c>
      <c r="C3340" s="493" t="s">
        <v>2954</v>
      </c>
      <c r="D3340" s="73" t="str">
        <f>IFERROR(VLOOKUP(C3340,Stock,3,FALSE),"")</f>
        <v>Transport</v>
      </c>
      <c r="E3340" s="56">
        <v>1.0</v>
      </c>
      <c r="F3340" s="161">
        <v>100000.0</v>
      </c>
      <c r="G3340" s="162">
        <f t="shared" si="43"/>
        <v>100000</v>
      </c>
      <c r="H3340" s="194"/>
      <c r="I3340" s="161">
        <f t="shared" si="41"/>
        <v>100000</v>
      </c>
      <c r="J3340" s="164">
        <f t="shared" si="42"/>
        <v>100000</v>
      </c>
      <c r="K3340" s="56" t="s">
        <v>10931</v>
      </c>
      <c r="L3340" s="165" t="s">
        <v>10926</v>
      </c>
      <c r="M3340" s="73"/>
      <c r="N3340" s="171"/>
      <c r="O3340" s="169" t="s">
        <v>6923</v>
      </c>
      <c r="P3340" s="168" t="s">
        <v>3112</v>
      </c>
      <c r="Q3340" s="173"/>
      <c r="R3340" s="161">
        <v>100000.0</v>
      </c>
      <c r="S3340" s="173"/>
      <c r="T3340" s="173"/>
      <c r="U3340" s="173"/>
      <c r="V3340" s="169"/>
      <c r="W3340" s="171"/>
      <c r="X3340" s="171"/>
    </row>
    <row r="3341" ht="15.0" customHeight="1">
      <c r="A3341" s="495">
        <v>46088.0</v>
      </c>
      <c r="B3341" s="181" t="s">
        <v>10932</v>
      </c>
      <c r="C3341" s="56" t="s">
        <v>8623</v>
      </c>
      <c r="D3341" s="73" t="str">
        <f>IFERROR(VLOOKUP(C3341,Stock,3,FALSE),"")</f>
        <v>Daihatsu Gran Max / Luxio 07-</v>
      </c>
      <c r="E3341" s="56">
        <v>1.0</v>
      </c>
      <c r="F3341" s="161">
        <v>800000.0</v>
      </c>
      <c r="G3341" s="162">
        <f t="shared" si="43"/>
        <v>800000</v>
      </c>
      <c r="H3341" s="194"/>
      <c r="I3341" s="161">
        <f t="shared" si="41"/>
        <v>800000</v>
      </c>
      <c r="J3341" s="164">
        <f t="shared" si="42"/>
        <v>800000</v>
      </c>
      <c r="K3341" s="56" t="s">
        <v>9734</v>
      </c>
      <c r="L3341" s="165" t="s">
        <v>9735</v>
      </c>
      <c r="M3341" s="73"/>
      <c r="N3341" s="171"/>
      <c r="O3341" s="169" t="s">
        <v>6923</v>
      </c>
      <c r="P3341" s="168" t="s">
        <v>3112</v>
      </c>
      <c r="Q3341" s="173"/>
      <c r="R3341" s="167">
        <v>800000.0</v>
      </c>
      <c r="S3341" s="173"/>
      <c r="T3341" s="173"/>
      <c r="U3341" s="173"/>
      <c r="V3341" s="169"/>
      <c r="W3341" s="171"/>
      <c r="X3341" s="171"/>
    </row>
    <row r="3342" ht="15.0" customHeight="1">
      <c r="A3342" s="495">
        <v>46088.0</v>
      </c>
      <c r="B3342" s="181" t="s">
        <v>10933</v>
      </c>
      <c r="C3342" s="56" t="s">
        <v>10934</v>
      </c>
      <c r="D3342" s="73" t="str">
        <f>IFERROR(VLOOKUP(C3342,Stock,3,FALSE),"")</f>
        <v>Suzuki Baleno 08-15 SX4 Hatchback</v>
      </c>
      <c r="E3342" s="56">
        <v>1.0</v>
      </c>
      <c r="F3342" s="161">
        <v>826000.0</v>
      </c>
      <c r="G3342" s="162">
        <f t="shared" si="43"/>
        <v>826000</v>
      </c>
      <c r="H3342" s="194"/>
      <c r="I3342" s="161">
        <f t="shared" si="41"/>
        <v>826000</v>
      </c>
      <c r="J3342" s="164">
        <f t="shared" si="42"/>
        <v>826000</v>
      </c>
      <c r="K3342" s="56" t="s">
        <v>10935</v>
      </c>
      <c r="L3342" s="165" t="s">
        <v>10936</v>
      </c>
      <c r="M3342" s="73"/>
      <c r="N3342" s="171"/>
      <c r="O3342" s="169" t="s">
        <v>6923</v>
      </c>
      <c r="P3342" s="168" t="s">
        <v>3112</v>
      </c>
      <c r="Q3342" s="173"/>
      <c r="R3342" s="167">
        <v>413000.0</v>
      </c>
      <c r="S3342" s="173"/>
      <c r="T3342" s="173"/>
      <c r="U3342" s="173"/>
      <c r="V3342" s="169"/>
      <c r="W3342" s="171"/>
      <c r="X3342" s="171"/>
    </row>
    <row r="3343" ht="15.0" customHeight="1">
      <c r="A3343" s="495">
        <v>46088.0</v>
      </c>
      <c r="B3343" s="181" t="s">
        <v>10937</v>
      </c>
      <c r="C3343" s="56" t="s">
        <v>6557</v>
      </c>
      <c r="D3343" s="73" t="str">
        <f>IFERROR(VLOOKUP(C3343,Stock,3,FALSE),"")</f>
        <v>Nissan Serena 99-10 MKII C24</v>
      </c>
      <c r="E3343" s="56">
        <v>1.0</v>
      </c>
      <c r="F3343" s="161">
        <v>2088000.0</v>
      </c>
      <c r="G3343" s="162">
        <f t="shared" si="43"/>
        <v>2088000</v>
      </c>
      <c r="H3343" s="194"/>
      <c r="I3343" s="161">
        <f t="shared" si="41"/>
        <v>2088000</v>
      </c>
      <c r="J3343" s="164">
        <f t="shared" si="42"/>
        <v>2088000</v>
      </c>
      <c r="K3343" s="56" t="s">
        <v>10938</v>
      </c>
      <c r="L3343" s="165" t="s">
        <v>10939</v>
      </c>
      <c r="M3343" s="73"/>
      <c r="N3343" s="171"/>
      <c r="O3343" s="169" t="s">
        <v>6923</v>
      </c>
      <c r="P3343" s="168" t="s">
        <v>3112</v>
      </c>
      <c r="Q3343" s="173"/>
      <c r="R3343" s="161">
        <v>2088000.0</v>
      </c>
      <c r="S3343" s="173"/>
      <c r="T3343" s="173"/>
      <c r="U3343" s="173"/>
      <c r="V3343" s="169"/>
      <c r="W3343" s="171"/>
      <c r="X3343" s="171"/>
    </row>
    <row r="3344" ht="15.0" customHeight="1">
      <c r="A3344" s="495">
        <v>46088.0</v>
      </c>
      <c r="B3344" s="476" t="s">
        <v>10940</v>
      </c>
      <c r="C3344" s="56" t="s">
        <v>3313</v>
      </c>
      <c r="D3344" s="73" t="str">
        <f>IFERROR(VLOOKUP(C3344,Stock,3,FALSE),"")</f>
        <v>Toyota Avanza / Xenia 21- 4th Gen (Non sensor)</v>
      </c>
      <c r="E3344" s="56">
        <v>1.0</v>
      </c>
      <c r="F3344" s="161">
        <v>1350000.0</v>
      </c>
      <c r="G3344" s="162">
        <f t="shared" si="43"/>
        <v>1350000</v>
      </c>
      <c r="H3344" s="194"/>
      <c r="I3344" s="161">
        <f t="shared" si="41"/>
        <v>1350000</v>
      </c>
      <c r="J3344" s="164">
        <f t="shared" si="42"/>
        <v>1350000</v>
      </c>
      <c r="K3344" s="56" t="s">
        <v>10941</v>
      </c>
      <c r="L3344" s="165" t="s">
        <v>10942</v>
      </c>
      <c r="M3344" s="73"/>
      <c r="N3344" s="171"/>
      <c r="O3344" s="169" t="s">
        <v>6923</v>
      </c>
      <c r="P3344" s="168" t="s">
        <v>3112</v>
      </c>
      <c r="Q3344" s="161">
        <v>1350000.0</v>
      </c>
      <c r="R3344" s="173"/>
      <c r="S3344" s="173"/>
      <c r="T3344" s="173"/>
      <c r="U3344" s="173"/>
      <c r="V3344" s="169"/>
      <c r="W3344" s="171"/>
      <c r="X3344" s="171"/>
    </row>
    <row r="3345" ht="15.0" customHeight="1">
      <c r="A3345" s="495">
        <v>46088.0</v>
      </c>
      <c r="B3345" s="476" t="s">
        <v>10943</v>
      </c>
      <c r="C3345" s="56" t="s">
        <v>5528</v>
      </c>
      <c r="D3345" s="73" t="str">
        <f>IFERROR(VLOOKUP(C3345,Stock,3,FALSE),"")</f>
        <v>Toyota Innova 15-22 2nd Gen (Toyota)</v>
      </c>
      <c r="E3345" s="56">
        <v>1.0</v>
      </c>
      <c r="F3345" s="161">
        <v>2889000.0</v>
      </c>
      <c r="G3345" s="162">
        <f t="shared" si="43"/>
        <v>2889000</v>
      </c>
      <c r="H3345" s="194"/>
      <c r="I3345" s="161">
        <f t="shared" si="41"/>
        <v>2889000</v>
      </c>
      <c r="J3345" s="164">
        <f t="shared" si="42"/>
        <v>2889000</v>
      </c>
      <c r="K3345" s="56" t="s">
        <v>10944</v>
      </c>
      <c r="L3345" s="165" t="s">
        <v>10945</v>
      </c>
      <c r="M3345" s="73"/>
      <c r="N3345" s="171"/>
      <c r="O3345" s="169" t="s">
        <v>6923</v>
      </c>
      <c r="P3345" s="168" t="s">
        <v>3112</v>
      </c>
      <c r="Q3345" s="173"/>
      <c r="R3345" s="161">
        <v>2889000.0</v>
      </c>
      <c r="S3345" s="173"/>
      <c r="T3345" s="173"/>
      <c r="U3345" s="173"/>
      <c r="V3345" s="169"/>
      <c r="W3345" s="171"/>
      <c r="X3345" s="171"/>
    </row>
    <row r="3346" ht="15.0" customHeight="1">
      <c r="A3346" s="495">
        <v>46088.0</v>
      </c>
      <c r="B3346" s="476" t="s">
        <v>10943</v>
      </c>
      <c r="C3346" s="56" t="s">
        <v>2954</v>
      </c>
      <c r="D3346" s="73" t="str">
        <f>IFERROR(VLOOKUP(C3346,Stock,3,FALSE),"")</f>
        <v>Transport</v>
      </c>
      <c r="E3346" s="56">
        <v>1.0</v>
      </c>
      <c r="F3346" s="161">
        <v>200000.0</v>
      </c>
      <c r="G3346" s="162">
        <f t="shared" si="43"/>
        <v>200000</v>
      </c>
      <c r="H3346" s="194"/>
      <c r="I3346" s="161">
        <f t="shared" si="41"/>
        <v>200000</v>
      </c>
      <c r="J3346" s="164">
        <f t="shared" si="42"/>
        <v>200000</v>
      </c>
      <c r="K3346" s="56" t="s">
        <v>10944</v>
      </c>
      <c r="L3346" s="165" t="s">
        <v>10945</v>
      </c>
      <c r="M3346" s="73"/>
      <c r="N3346" s="171"/>
      <c r="O3346" s="169" t="s">
        <v>6923</v>
      </c>
      <c r="P3346" s="168" t="s">
        <v>3112</v>
      </c>
      <c r="Q3346" s="173"/>
      <c r="R3346" s="161">
        <v>200000.0</v>
      </c>
      <c r="S3346" s="173"/>
      <c r="T3346" s="173"/>
      <c r="U3346" s="173"/>
      <c r="V3346" s="169"/>
      <c r="W3346" s="171"/>
      <c r="X3346" s="171"/>
    </row>
    <row r="3347" ht="15.0" customHeight="1">
      <c r="A3347" s="495">
        <v>46088.0</v>
      </c>
      <c r="B3347" s="181" t="s">
        <v>10946</v>
      </c>
      <c r="C3347" s="56" t="s">
        <v>10537</v>
      </c>
      <c r="D3347" s="73" t="str">
        <f>IFERROR(VLOOKUP(C3347,Stock,3,FALSE),"")</f>
        <v>Honda Jazz 01-07 1st Gen</v>
      </c>
      <c r="E3347" s="56">
        <v>1.0</v>
      </c>
      <c r="F3347" s="161">
        <v>1424000.0</v>
      </c>
      <c r="G3347" s="162">
        <f t="shared" si="43"/>
        <v>1424000</v>
      </c>
      <c r="H3347" s="194"/>
      <c r="I3347" s="161">
        <f t="shared" si="41"/>
        <v>1424000</v>
      </c>
      <c r="J3347" s="164">
        <f t="shared" si="42"/>
        <v>1424000</v>
      </c>
      <c r="K3347" s="56" t="s">
        <v>10947</v>
      </c>
      <c r="L3347" s="165" t="s">
        <v>10948</v>
      </c>
      <c r="M3347" s="73"/>
      <c r="N3347" s="171"/>
      <c r="O3347" s="169" t="s">
        <v>6923</v>
      </c>
      <c r="P3347" s="168" t="s">
        <v>3112</v>
      </c>
      <c r="Q3347" s="173"/>
      <c r="R3347" s="161">
        <v>1424000.0</v>
      </c>
      <c r="S3347" s="173"/>
      <c r="T3347" s="173"/>
      <c r="U3347" s="173"/>
      <c r="V3347" s="169"/>
      <c r="W3347" s="171"/>
      <c r="X3347" s="171"/>
    </row>
    <row r="3348" ht="15.0" customHeight="1">
      <c r="A3348" s="495">
        <v>46088.0</v>
      </c>
      <c r="B3348" s="181" t="s">
        <v>10949</v>
      </c>
      <c r="C3348" s="56" t="s">
        <v>2552</v>
      </c>
      <c r="D3348" s="73" t="str">
        <f>IFERROR(VLOOKUP(C3348,Stock,3,FALSE),"")</f>
        <v>Toyota Kijang 02-04 Kapsul Lem Efi</v>
      </c>
      <c r="E3348" s="56">
        <v>1.0</v>
      </c>
      <c r="F3348" s="161">
        <v>1078000.0</v>
      </c>
      <c r="G3348" s="162">
        <f t="shared" si="43"/>
        <v>1078000</v>
      </c>
      <c r="H3348" s="194"/>
      <c r="I3348" s="161">
        <f t="shared" si="41"/>
        <v>1078000</v>
      </c>
      <c r="J3348" s="164">
        <f t="shared" si="42"/>
        <v>1078000</v>
      </c>
      <c r="K3348" s="56" t="s">
        <v>3828</v>
      </c>
      <c r="L3348" s="165" t="s">
        <v>3683</v>
      </c>
      <c r="M3348" s="73"/>
      <c r="N3348" s="171"/>
      <c r="O3348" s="169" t="s">
        <v>6923</v>
      </c>
      <c r="P3348" s="168" t="s">
        <v>3112</v>
      </c>
      <c r="Q3348" s="173"/>
      <c r="R3348" s="167">
        <v>638000.0</v>
      </c>
      <c r="S3348" s="173"/>
      <c r="T3348" s="173"/>
      <c r="U3348" s="173"/>
      <c r="V3348" s="169"/>
      <c r="W3348" s="171"/>
      <c r="X3348" s="171"/>
    </row>
    <row r="3349" ht="15.0" customHeight="1">
      <c r="A3349" s="495">
        <v>46088.0</v>
      </c>
      <c r="B3349" s="181" t="s">
        <v>10949</v>
      </c>
      <c r="C3349" s="56" t="s">
        <v>2934</v>
      </c>
      <c r="D3349" s="73" t="str">
        <f>IFERROR(VLOOKUP(C3349,Stock,3,FALSE),"")</f>
        <v>Peti Kayu</v>
      </c>
      <c r="E3349" s="56">
        <v>1.0</v>
      </c>
      <c r="F3349" s="161">
        <v>160000.0</v>
      </c>
      <c r="G3349" s="162">
        <f t="shared" si="43"/>
        <v>160000</v>
      </c>
      <c r="H3349" s="194"/>
      <c r="I3349" s="161">
        <f t="shared" si="41"/>
        <v>160000</v>
      </c>
      <c r="J3349" s="164">
        <f t="shared" si="42"/>
        <v>160000</v>
      </c>
      <c r="K3349" s="56" t="s">
        <v>3828</v>
      </c>
      <c r="L3349" s="165" t="s">
        <v>3683</v>
      </c>
      <c r="M3349" s="73"/>
      <c r="N3349" s="171"/>
      <c r="O3349" s="169" t="s">
        <v>6923</v>
      </c>
      <c r="P3349" s="168" t="s">
        <v>3112</v>
      </c>
      <c r="Q3349" s="173"/>
      <c r="R3349" s="173"/>
      <c r="S3349" s="173"/>
      <c r="T3349" s="173"/>
      <c r="U3349" s="173"/>
      <c r="V3349" s="169"/>
      <c r="W3349" s="171"/>
      <c r="X3349" s="171"/>
    </row>
    <row r="3350" ht="15.0" customHeight="1">
      <c r="A3350" s="495">
        <v>46088.0</v>
      </c>
      <c r="B3350" s="181" t="s">
        <v>10950</v>
      </c>
      <c r="C3350" s="56" t="s">
        <v>2965</v>
      </c>
      <c r="D3350" s="73" t="str">
        <f>IFERROR(VLOOKUP(C3350,Stock,3,FALSE),"")</f>
        <v>Suzuki Ertiga 12-18 1st Gen MPV</v>
      </c>
      <c r="E3350" s="56">
        <v>1.0</v>
      </c>
      <c r="F3350" s="161">
        <v>839000.0</v>
      </c>
      <c r="G3350" s="162">
        <f t="shared" si="43"/>
        <v>839000</v>
      </c>
      <c r="H3350" s="194"/>
      <c r="I3350" s="161">
        <f t="shared" si="41"/>
        <v>839000</v>
      </c>
      <c r="J3350" s="164">
        <f t="shared" si="42"/>
        <v>839000</v>
      </c>
      <c r="K3350" s="56" t="s">
        <v>10951</v>
      </c>
      <c r="L3350" s="165" t="s">
        <v>10952</v>
      </c>
      <c r="M3350" s="73"/>
      <c r="N3350" s="171"/>
      <c r="O3350" s="169" t="s">
        <v>6923</v>
      </c>
      <c r="P3350" s="168" t="s">
        <v>3112</v>
      </c>
      <c r="Q3350" s="173"/>
      <c r="R3350" s="161">
        <v>839000.0</v>
      </c>
      <c r="S3350" s="173"/>
      <c r="T3350" s="173"/>
      <c r="U3350" s="173"/>
      <c r="V3350" s="169"/>
      <c r="W3350" s="171"/>
      <c r="X3350" s="171"/>
    </row>
    <row r="3351" ht="15.0" customHeight="1">
      <c r="A3351" s="497">
        <v>46088.0</v>
      </c>
      <c r="B3351" s="328" t="s">
        <v>10953</v>
      </c>
      <c r="C3351" s="498" t="s">
        <v>3313</v>
      </c>
      <c r="D3351" s="499" t="str">
        <f>IFERROR(VLOOKUP(C3351,Stock,3,FALSE),"")</f>
        <v>Toyota Avanza / Xenia 21- 4th Gen (Non sensor)</v>
      </c>
      <c r="E3351" s="498">
        <v>2.0</v>
      </c>
      <c r="F3351" s="500"/>
      <c r="G3351" s="500">
        <f t="shared" si="43"/>
        <v>0</v>
      </c>
      <c r="H3351" s="501"/>
      <c r="I3351" s="502">
        <f t="shared" si="41"/>
        <v>0</v>
      </c>
      <c r="J3351" s="503">
        <f t="shared" si="42"/>
        <v>0</v>
      </c>
      <c r="K3351" s="498" t="s">
        <v>10954</v>
      </c>
      <c r="L3351" s="499"/>
      <c r="M3351" s="499"/>
      <c r="N3351" s="504"/>
      <c r="O3351" s="504"/>
      <c r="P3351" s="504"/>
      <c r="Q3351" s="505"/>
      <c r="R3351" s="505"/>
      <c r="S3351" s="173"/>
      <c r="T3351" s="173"/>
      <c r="U3351" s="173"/>
      <c r="V3351" s="169"/>
      <c r="W3351" s="171"/>
      <c r="X3351" s="171"/>
    </row>
    <row r="3352" ht="15.0" customHeight="1">
      <c r="A3352" s="495">
        <v>46089.0</v>
      </c>
      <c r="B3352" s="496" t="s">
        <v>10955</v>
      </c>
      <c r="C3352" s="56" t="s">
        <v>3745</v>
      </c>
      <c r="D3352" s="73" t="str">
        <f>IFERROR(VLOOKUP(C3352,Stock,3,FALSE),"")</f>
        <v>Honda Brio 10- / Mobilio 11-</v>
      </c>
      <c r="E3352" s="56">
        <v>1.0</v>
      </c>
      <c r="F3352" s="161">
        <v>1772000.0</v>
      </c>
      <c r="G3352" s="162">
        <f t="shared" si="43"/>
        <v>1772000</v>
      </c>
      <c r="H3352" s="194"/>
      <c r="I3352" s="161">
        <f t="shared" si="41"/>
        <v>1772000</v>
      </c>
      <c r="J3352" s="164">
        <f t="shared" si="42"/>
        <v>1772000</v>
      </c>
      <c r="K3352" s="56" t="s">
        <v>8959</v>
      </c>
      <c r="L3352" s="165" t="s">
        <v>10956</v>
      </c>
      <c r="M3352" s="73"/>
      <c r="N3352" s="171"/>
      <c r="O3352" s="169" t="s">
        <v>6923</v>
      </c>
      <c r="P3352" s="168" t="s">
        <v>3112</v>
      </c>
      <c r="Q3352" s="167">
        <v>1772000.0</v>
      </c>
      <c r="R3352" s="173"/>
      <c r="S3352" s="173"/>
      <c r="T3352" s="173"/>
      <c r="U3352" s="173"/>
      <c r="V3352" s="169"/>
      <c r="W3352" s="171"/>
      <c r="X3352" s="171"/>
    </row>
    <row r="3353" ht="15.0" customHeight="1">
      <c r="A3353" s="495">
        <v>46089.0</v>
      </c>
      <c r="B3353" s="496" t="s">
        <v>10955</v>
      </c>
      <c r="C3353" s="56" t="s">
        <v>2954</v>
      </c>
      <c r="D3353" s="73" t="str">
        <f>IFERROR(VLOOKUP(C3353,Stock,3,FALSE),"")</f>
        <v>Transport</v>
      </c>
      <c r="E3353" s="56">
        <v>1.0</v>
      </c>
      <c r="F3353" s="161">
        <v>150000.0</v>
      </c>
      <c r="G3353" s="162">
        <f t="shared" si="43"/>
        <v>150000</v>
      </c>
      <c r="H3353" s="194"/>
      <c r="I3353" s="161">
        <f t="shared" si="41"/>
        <v>150000</v>
      </c>
      <c r="J3353" s="164">
        <f t="shared" si="42"/>
        <v>150000</v>
      </c>
      <c r="K3353" s="56" t="s">
        <v>8959</v>
      </c>
      <c r="L3353" s="165" t="s">
        <v>10956</v>
      </c>
      <c r="M3353" s="73"/>
      <c r="N3353" s="171"/>
      <c r="O3353" s="169" t="s">
        <v>6923</v>
      </c>
      <c r="P3353" s="168" t="s">
        <v>3112</v>
      </c>
      <c r="Q3353" s="167">
        <v>50000.0</v>
      </c>
      <c r="R3353" s="167">
        <v>100000.0</v>
      </c>
      <c r="S3353" s="173"/>
      <c r="T3353" s="173"/>
      <c r="U3353" s="173"/>
      <c r="V3353" s="169"/>
      <c r="W3353" s="171"/>
      <c r="X3353" s="171"/>
    </row>
    <row r="3354" ht="15.0" customHeight="1">
      <c r="A3354" s="495">
        <v>46089.0</v>
      </c>
      <c r="B3354" s="476" t="s">
        <v>10957</v>
      </c>
      <c r="C3354" s="56" t="s">
        <v>4365</v>
      </c>
      <c r="D3354" s="73" t="str">
        <f>IFERROR(VLOOKUP(C3354,Stock,3,FALSE),"")</f>
        <v>Wuling Almaz (Orisinil)</v>
      </c>
      <c r="E3354" s="56">
        <v>1.0</v>
      </c>
      <c r="F3354" s="161">
        <v>3588000.0</v>
      </c>
      <c r="G3354" s="162">
        <f t="shared" si="43"/>
        <v>3588000</v>
      </c>
      <c r="H3354" s="194"/>
      <c r="I3354" s="161">
        <f t="shared" si="41"/>
        <v>3588000</v>
      </c>
      <c r="J3354" s="164">
        <f t="shared" si="42"/>
        <v>3588000</v>
      </c>
      <c r="K3354" s="488" t="s">
        <v>10958</v>
      </c>
      <c r="L3354" s="165" t="s">
        <v>10959</v>
      </c>
      <c r="M3354" s="73"/>
      <c r="N3354" s="171"/>
      <c r="O3354" s="169" t="s">
        <v>6923</v>
      </c>
      <c r="P3354" s="168" t="s">
        <v>3112</v>
      </c>
      <c r="Q3354" s="167">
        <v>1794000.0</v>
      </c>
      <c r="R3354" s="167"/>
      <c r="S3354" s="173"/>
      <c r="T3354" s="173"/>
      <c r="U3354" s="173"/>
      <c r="V3354" s="169"/>
      <c r="W3354" s="171"/>
      <c r="X3354" s="171"/>
    </row>
    <row r="3355" ht="15.0" customHeight="1">
      <c r="A3355" s="495">
        <v>46089.0</v>
      </c>
      <c r="B3355" s="476" t="s">
        <v>10960</v>
      </c>
      <c r="C3355" s="56" t="s">
        <v>2549</v>
      </c>
      <c r="D3355" s="73" t="str">
        <f>IFERROR(VLOOKUP(C3355,Stock,3,FALSE),"")</f>
        <v>Toyota Avanza / Xenia 11-15 2nd Gen</v>
      </c>
      <c r="E3355" s="56">
        <v>1.0</v>
      </c>
      <c r="F3355" s="161">
        <v>1000000.0</v>
      </c>
      <c r="G3355" s="162">
        <f t="shared" si="43"/>
        <v>1000000</v>
      </c>
      <c r="H3355" s="194"/>
      <c r="I3355" s="161">
        <f t="shared" si="41"/>
        <v>1000000</v>
      </c>
      <c r="J3355" s="164">
        <f t="shared" si="42"/>
        <v>1000000</v>
      </c>
      <c r="K3355" s="56" t="s">
        <v>10961</v>
      </c>
      <c r="L3355" s="165" t="s">
        <v>10962</v>
      </c>
      <c r="M3355" s="73"/>
      <c r="N3355" s="171"/>
      <c r="O3355" s="169" t="s">
        <v>6923</v>
      </c>
      <c r="P3355" s="168" t="s">
        <v>3112</v>
      </c>
      <c r="Q3355" s="173"/>
      <c r="R3355" s="161">
        <v>1000000.0</v>
      </c>
      <c r="S3355" s="173"/>
      <c r="T3355" s="173"/>
      <c r="U3355" s="173"/>
      <c r="V3355" s="169"/>
      <c r="W3355" s="171"/>
      <c r="X3355" s="171"/>
    </row>
    <row r="3356" ht="15.0" customHeight="1">
      <c r="A3356" s="495">
        <v>46089.0</v>
      </c>
      <c r="B3356" s="476" t="s">
        <v>10963</v>
      </c>
      <c r="C3356" s="56" t="s">
        <v>6465</v>
      </c>
      <c r="D3356" s="73" t="str">
        <f>IFERROR(VLOOKUP(C3356,Stock,3,FALSE),"")</f>
        <v>Toyota Innova 15- 2nd Gen</v>
      </c>
      <c r="E3356" s="56">
        <v>1.0</v>
      </c>
      <c r="F3356" s="161">
        <v>1050000.0</v>
      </c>
      <c r="G3356" s="162">
        <f t="shared" si="43"/>
        <v>1050000</v>
      </c>
      <c r="H3356" s="194"/>
      <c r="I3356" s="161">
        <f t="shared" si="41"/>
        <v>1050000</v>
      </c>
      <c r="J3356" s="164">
        <f t="shared" si="42"/>
        <v>1050000</v>
      </c>
      <c r="K3356" s="56" t="s">
        <v>10964</v>
      </c>
      <c r="L3356" s="165" t="s">
        <v>10965</v>
      </c>
      <c r="M3356" s="73"/>
      <c r="N3356" s="171"/>
      <c r="O3356" s="169" t="s">
        <v>6923</v>
      </c>
      <c r="P3356" s="168" t="s">
        <v>3112</v>
      </c>
      <c r="Q3356" s="173"/>
      <c r="R3356" s="167">
        <v>1050000.0</v>
      </c>
      <c r="S3356" s="173"/>
      <c r="T3356" s="173"/>
      <c r="U3356" s="173"/>
      <c r="V3356" s="169"/>
      <c r="W3356" s="171"/>
      <c r="X3356" s="171"/>
    </row>
    <row r="3357" ht="15.0" customHeight="1">
      <c r="A3357" s="495">
        <v>46089.0</v>
      </c>
      <c r="B3357" s="476" t="s">
        <v>10966</v>
      </c>
      <c r="C3357" s="56" t="s">
        <v>3045</v>
      </c>
      <c r="D3357" s="73" t="str">
        <f>IFERROR(VLOOKUP(C3357,Stock,3,FALSE),"")</f>
        <v>Pemasangan Kaca Mobil Depan</v>
      </c>
      <c r="E3357" s="56">
        <v>1.0</v>
      </c>
      <c r="F3357" s="161">
        <v>300000.0</v>
      </c>
      <c r="G3357" s="162">
        <f t="shared" si="43"/>
        <v>300000</v>
      </c>
      <c r="H3357" s="194"/>
      <c r="I3357" s="161">
        <f t="shared" si="41"/>
        <v>300000</v>
      </c>
      <c r="J3357" s="164">
        <f t="shared" si="42"/>
        <v>300000</v>
      </c>
      <c r="K3357" s="56" t="s">
        <v>10967</v>
      </c>
      <c r="L3357" s="165" t="s">
        <v>10968</v>
      </c>
      <c r="M3357" s="73"/>
      <c r="N3357" s="171"/>
      <c r="O3357" s="169" t="s">
        <v>6923</v>
      </c>
      <c r="P3357" s="168" t="s">
        <v>3112</v>
      </c>
      <c r="Q3357" s="173"/>
      <c r="R3357" s="161">
        <v>300000.0</v>
      </c>
      <c r="S3357" s="173"/>
      <c r="T3357" s="173"/>
      <c r="U3357" s="173"/>
      <c r="V3357" s="169"/>
      <c r="W3357" s="171"/>
      <c r="X3357" s="171"/>
    </row>
    <row r="3358" ht="15.0" customHeight="1">
      <c r="A3358" s="495">
        <v>46089.0</v>
      </c>
      <c r="B3358" s="476" t="s">
        <v>10969</v>
      </c>
      <c r="C3358" s="56" t="s">
        <v>6549</v>
      </c>
      <c r="D3358" s="73" t="str">
        <f>IFERROR(VLOOKUP(C3358,Stock,3,FALSE),"")</f>
        <v>Honda Mobilio 14-</v>
      </c>
      <c r="E3358" s="56">
        <v>1.0</v>
      </c>
      <c r="F3358" s="161">
        <v>1101000.0</v>
      </c>
      <c r="G3358" s="162">
        <f t="shared" si="43"/>
        <v>1101000</v>
      </c>
      <c r="H3358" s="201">
        <v>101000.0</v>
      </c>
      <c r="I3358" s="161">
        <f t="shared" si="41"/>
        <v>1000000</v>
      </c>
      <c r="J3358" s="164">
        <f t="shared" si="42"/>
        <v>1000000</v>
      </c>
      <c r="K3358" s="56" t="s">
        <v>10970</v>
      </c>
      <c r="L3358" s="165" t="s">
        <v>10971</v>
      </c>
      <c r="M3358" s="73"/>
      <c r="N3358" s="171"/>
      <c r="O3358" s="169" t="s">
        <v>6923</v>
      </c>
      <c r="P3358" s="168" t="s">
        <v>3112</v>
      </c>
      <c r="Q3358" s="173"/>
      <c r="R3358" s="167">
        <v>1000000.0</v>
      </c>
      <c r="S3358" s="173"/>
      <c r="T3358" s="173"/>
      <c r="U3358" s="173"/>
      <c r="V3358" s="169"/>
      <c r="W3358" s="171"/>
      <c r="X3358" s="171"/>
    </row>
    <row r="3359" ht="15.0" customHeight="1">
      <c r="A3359" s="495">
        <v>46089.0</v>
      </c>
      <c r="B3359" s="476" t="s">
        <v>10969</v>
      </c>
      <c r="C3359" s="56" t="s">
        <v>7154</v>
      </c>
      <c r="D3359" s="73" t="str">
        <f>IFERROR(VLOOKUP(C3359,Stock,3,FALSE),"")</f>
        <v>Honda Mobilio 11-</v>
      </c>
      <c r="E3359" s="56">
        <v>1.0</v>
      </c>
      <c r="F3359" s="161">
        <v>1035000.0</v>
      </c>
      <c r="G3359" s="162">
        <f t="shared" si="43"/>
        <v>1035000</v>
      </c>
      <c r="H3359" s="201">
        <v>35000.0</v>
      </c>
      <c r="I3359" s="161">
        <f t="shared" si="41"/>
        <v>1000000</v>
      </c>
      <c r="J3359" s="164">
        <f t="shared" si="42"/>
        <v>1000000</v>
      </c>
      <c r="K3359" s="56" t="s">
        <v>10970</v>
      </c>
      <c r="L3359" s="165" t="s">
        <v>10971</v>
      </c>
      <c r="M3359" s="73"/>
      <c r="N3359" s="171"/>
      <c r="O3359" s="169" t="s">
        <v>6923</v>
      </c>
      <c r="P3359" s="168" t="s">
        <v>3112</v>
      </c>
      <c r="Q3359" s="173"/>
      <c r="R3359" s="167">
        <v>1000000.0</v>
      </c>
      <c r="S3359" s="173"/>
      <c r="T3359" s="173"/>
      <c r="U3359" s="173"/>
      <c r="V3359" s="169"/>
      <c r="W3359" s="171"/>
      <c r="X3359" s="171"/>
    </row>
    <row r="3360" ht="15.0" customHeight="1">
      <c r="A3360" s="495">
        <v>46089.0</v>
      </c>
      <c r="B3360" s="476" t="s">
        <v>10972</v>
      </c>
      <c r="C3360" s="56" t="s">
        <v>2973</v>
      </c>
      <c r="D3360" s="73" t="str">
        <f>IFERROR(VLOOKUP(C3360,Stock,3,FALSE),"")</f>
        <v>Toyota Innova 04-15 1st Gen</v>
      </c>
      <c r="E3360" s="56">
        <v>1.0</v>
      </c>
      <c r="F3360" s="161">
        <v>1300000.0</v>
      </c>
      <c r="G3360" s="162">
        <f t="shared" si="43"/>
        <v>1300000</v>
      </c>
      <c r="H3360" s="194"/>
      <c r="I3360" s="161">
        <f t="shared" si="41"/>
        <v>1300000</v>
      </c>
      <c r="J3360" s="164">
        <f t="shared" si="42"/>
        <v>1300000</v>
      </c>
      <c r="K3360" s="56" t="s">
        <v>5049</v>
      </c>
      <c r="L3360" s="165" t="s">
        <v>10973</v>
      </c>
      <c r="M3360" s="73"/>
      <c r="N3360" s="171"/>
      <c r="O3360" s="169" t="s">
        <v>6923</v>
      </c>
      <c r="P3360" s="168" t="s">
        <v>3112</v>
      </c>
      <c r="Q3360" s="173"/>
      <c r="R3360" s="161">
        <v>1300000.0</v>
      </c>
      <c r="S3360" s="173"/>
      <c r="T3360" s="173"/>
      <c r="U3360" s="173"/>
      <c r="V3360" s="169"/>
      <c r="W3360" s="171"/>
      <c r="X3360" s="171"/>
    </row>
    <row r="3361" ht="15.0" customHeight="1">
      <c r="A3361" s="495">
        <v>46089.0</v>
      </c>
      <c r="B3361" s="476" t="s">
        <v>10972</v>
      </c>
      <c r="C3361" s="56" t="s">
        <v>3355</v>
      </c>
      <c r="D3361" s="73" t="str">
        <f>IFERROR(VLOOKUP(C3361,Stock,3,FALSE),"")</f>
        <v>List Kaca Depan INV</v>
      </c>
      <c r="E3361" s="56">
        <v>1.0</v>
      </c>
      <c r="F3361" s="161">
        <v>315000.0</v>
      </c>
      <c r="G3361" s="162">
        <f t="shared" si="43"/>
        <v>315000</v>
      </c>
      <c r="H3361" s="194"/>
      <c r="I3361" s="161">
        <f t="shared" si="41"/>
        <v>315000</v>
      </c>
      <c r="J3361" s="164">
        <f t="shared" si="42"/>
        <v>315000</v>
      </c>
      <c r="K3361" s="56" t="s">
        <v>5049</v>
      </c>
      <c r="L3361" s="165" t="s">
        <v>10973</v>
      </c>
      <c r="M3361" s="73"/>
      <c r="N3361" s="171"/>
      <c r="O3361" s="169" t="s">
        <v>6923</v>
      </c>
      <c r="P3361" s="168" t="s">
        <v>3112</v>
      </c>
      <c r="Q3361" s="173"/>
      <c r="R3361" s="161">
        <v>315000.0</v>
      </c>
      <c r="S3361" s="173"/>
      <c r="T3361" s="173"/>
      <c r="U3361" s="173"/>
      <c r="V3361" s="169"/>
      <c r="W3361" s="171"/>
      <c r="X3361" s="171"/>
    </row>
    <row r="3362" ht="15.0" customHeight="1">
      <c r="A3362" s="495">
        <v>46089.0</v>
      </c>
      <c r="B3362" s="476" t="s">
        <v>10974</v>
      </c>
      <c r="C3362" s="56" t="s">
        <v>3826</v>
      </c>
      <c r="D3362" s="73" t="str">
        <f>IFERROR(VLOOKUP(C3362,Stock,3,FALSE),"")</f>
        <v>List Kaca Depan Code 11</v>
      </c>
      <c r="E3362" s="56">
        <v>1.0</v>
      </c>
      <c r="F3362" s="161">
        <v>275000.0</v>
      </c>
      <c r="G3362" s="162">
        <f t="shared" si="43"/>
        <v>275000</v>
      </c>
      <c r="H3362" s="194"/>
      <c r="I3362" s="161">
        <f t="shared" si="41"/>
        <v>275000</v>
      </c>
      <c r="J3362" s="164">
        <f t="shared" si="42"/>
        <v>275000</v>
      </c>
      <c r="K3362" s="56" t="s">
        <v>10961</v>
      </c>
      <c r="L3362" s="165" t="s">
        <v>10962</v>
      </c>
      <c r="M3362" s="73"/>
      <c r="N3362" s="171"/>
      <c r="O3362" s="169" t="s">
        <v>6923</v>
      </c>
      <c r="P3362" s="168" t="s">
        <v>3112</v>
      </c>
      <c r="Q3362" s="173"/>
      <c r="R3362" s="161">
        <v>275000.0</v>
      </c>
      <c r="S3362" s="173"/>
      <c r="T3362" s="173"/>
      <c r="U3362" s="173"/>
      <c r="V3362" s="169"/>
      <c r="W3362" s="171"/>
      <c r="X3362" s="171"/>
    </row>
    <row r="3363" ht="15.0" customHeight="1">
      <c r="A3363" s="495">
        <v>46090.0</v>
      </c>
      <c r="B3363" s="476" t="s">
        <v>10975</v>
      </c>
      <c r="C3363" s="56" t="s">
        <v>10976</v>
      </c>
      <c r="D3363" s="73" t="str">
        <f>IFERROR(VLOOKUP(C3363,Stock,3,FALSE),"")</f>
        <v>Mitsubishi Xpander 17-</v>
      </c>
      <c r="E3363" s="56">
        <v>1.0</v>
      </c>
      <c r="F3363" s="161">
        <v>1550000.0</v>
      </c>
      <c r="G3363" s="162">
        <f t="shared" si="43"/>
        <v>1550000</v>
      </c>
      <c r="H3363" s="194"/>
      <c r="I3363" s="161">
        <f t="shared" si="41"/>
        <v>1550000</v>
      </c>
      <c r="J3363" s="164">
        <f t="shared" si="42"/>
        <v>1550000</v>
      </c>
      <c r="K3363" s="56" t="s">
        <v>10977</v>
      </c>
      <c r="L3363" s="165" t="s">
        <v>10978</v>
      </c>
      <c r="M3363" s="73"/>
      <c r="N3363" s="171"/>
      <c r="O3363" s="169" t="s">
        <v>6923</v>
      </c>
      <c r="P3363" s="168" t="s">
        <v>3112</v>
      </c>
      <c r="Q3363" s="173"/>
      <c r="R3363" s="161">
        <v>1550000.0</v>
      </c>
      <c r="S3363" s="173"/>
      <c r="T3363" s="173"/>
      <c r="U3363" s="173"/>
      <c r="V3363" s="169"/>
      <c r="W3363" s="171"/>
      <c r="X3363" s="171"/>
    </row>
    <row r="3364" ht="15.0" customHeight="1">
      <c r="A3364" s="495">
        <v>46090.0</v>
      </c>
      <c r="B3364" s="476" t="s">
        <v>10975</v>
      </c>
      <c r="C3364" s="56" t="s">
        <v>2954</v>
      </c>
      <c r="D3364" s="73" t="str">
        <f>IFERROR(VLOOKUP(C3364,Stock,3,FALSE),"")</f>
        <v>Transport</v>
      </c>
      <c r="E3364" s="56">
        <v>1.0</v>
      </c>
      <c r="F3364" s="161">
        <v>50000.0</v>
      </c>
      <c r="G3364" s="162">
        <f t="shared" si="43"/>
        <v>50000</v>
      </c>
      <c r="H3364" s="194"/>
      <c r="I3364" s="161">
        <f t="shared" si="41"/>
        <v>50000</v>
      </c>
      <c r="J3364" s="164">
        <f t="shared" si="42"/>
        <v>50000</v>
      </c>
      <c r="K3364" s="56" t="s">
        <v>10977</v>
      </c>
      <c r="L3364" s="165" t="s">
        <v>10978</v>
      </c>
      <c r="M3364" s="73"/>
      <c r="N3364" s="171"/>
      <c r="O3364" s="169" t="s">
        <v>6923</v>
      </c>
      <c r="P3364" s="168" t="s">
        <v>3112</v>
      </c>
      <c r="Q3364" s="173"/>
      <c r="R3364" s="161">
        <v>50000.0</v>
      </c>
      <c r="S3364" s="173"/>
      <c r="T3364" s="173"/>
      <c r="U3364" s="173"/>
      <c r="V3364" s="169"/>
      <c r="W3364" s="171"/>
      <c r="X3364" s="171"/>
    </row>
    <row r="3365" ht="15.0" customHeight="1">
      <c r="A3365" s="495">
        <v>46090.0</v>
      </c>
      <c r="B3365" s="476" t="s">
        <v>10979</v>
      </c>
      <c r="C3365" s="56" t="s">
        <v>2973</v>
      </c>
      <c r="D3365" s="73" t="str">
        <f>IFERROR(VLOOKUP(C3365,Stock,3,FALSE),"")</f>
        <v>Toyota Innova 04-15 1st Gen</v>
      </c>
      <c r="E3365" s="56">
        <v>1.0</v>
      </c>
      <c r="F3365" s="161">
        <v>1300000.0</v>
      </c>
      <c r="G3365" s="162">
        <f t="shared" si="43"/>
        <v>1300000</v>
      </c>
      <c r="H3365" s="194"/>
      <c r="I3365" s="161">
        <f t="shared" si="41"/>
        <v>1300000</v>
      </c>
      <c r="J3365" s="164">
        <f t="shared" si="42"/>
        <v>1300000</v>
      </c>
      <c r="K3365" s="56" t="s">
        <v>10980</v>
      </c>
      <c r="L3365" s="165" t="s">
        <v>10981</v>
      </c>
      <c r="M3365" s="73"/>
      <c r="N3365" s="171"/>
      <c r="O3365" s="169" t="s">
        <v>6923</v>
      </c>
      <c r="P3365" s="168" t="s">
        <v>3112</v>
      </c>
      <c r="Q3365" s="161">
        <v>1300000.0</v>
      </c>
      <c r="R3365" s="173"/>
      <c r="S3365" s="173"/>
      <c r="T3365" s="173"/>
      <c r="U3365" s="173"/>
      <c r="V3365" s="169"/>
      <c r="W3365" s="171"/>
      <c r="X3365" s="171"/>
    </row>
    <row r="3366" ht="15.0" customHeight="1">
      <c r="A3366" s="495">
        <v>46090.0</v>
      </c>
      <c r="B3366" s="476" t="s">
        <v>10982</v>
      </c>
      <c r="C3366" s="56" t="s">
        <v>6687</v>
      </c>
      <c r="D3366" s="73" t="str">
        <f>IFERROR(VLOOKUP(C3366,Stock,3,FALSE),"")</f>
        <v>Daihatsu Gran Max / Luxio 07-</v>
      </c>
      <c r="E3366" s="56">
        <v>1.0</v>
      </c>
      <c r="F3366" s="161">
        <v>500000.0</v>
      </c>
      <c r="G3366" s="162">
        <f t="shared" si="43"/>
        <v>500000</v>
      </c>
      <c r="H3366" s="194"/>
      <c r="I3366" s="161">
        <f t="shared" si="41"/>
        <v>500000</v>
      </c>
      <c r="J3366" s="164">
        <f t="shared" si="42"/>
        <v>500000</v>
      </c>
      <c r="K3366" s="56" t="s">
        <v>10983</v>
      </c>
      <c r="L3366" s="165" t="s">
        <v>10984</v>
      </c>
      <c r="M3366" s="73"/>
      <c r="N3366" s="171"/>
      <c r="O3366" s="169" t="s">
        <v>6923</v>
      </c>
      <c r="P3366" s="168" t="s">
        <v>3112</v>
      </c>
      <c r="Q3366" s="167">
        <v>500000.0</v>
      </c>
      <c r="R3366" s="173"/>
      <c r="S3366" s="173"/>
      <c r="T3366" s="173"/>
      <c r="U3366" s="173"/>
      <c r="V3366" s="169"/>
      <c r="W3366" s="171"/>
      <c r="X3366" s="171"/>
    </row>
    <row r="3367" ht="15.0" customHeight="1">
      <c r="A3367" s="495">
        <v>46090.0</v>
      </c>
      <c r="B3367" s="476" t="s">
        <v>10985</v>
      </c>
      <c r="C3367" s="56" t="s">
        <v>6751</v>
      </c>
      <c r="D3367" s="73" t="str">
        <f>IFERROR(VLOOKUP(C3367,Stock,3,FALSE),"")</f>
        <v>Kia Pregio Van 95-</v>
      </c>
      <c r="E3367" s="56">
        <v>1.0</v>
      </c>
      <c r="F3367" s="161">
        <v>1707000.0</v>
      </c>
      <c r="G3367" s="162">
        <f t="shared" si="43"/>
        <v>1707000</v>
      </c>
      <c r="H3367" s="194"/>
      <c r="I3367" s="161">
        <f t="shared" si="41"/>
        <v>1707000</v>
      </c>
      <c r="J3367" s="164">
        <f t="shared" si="42"/>
        <v>1707000</v>
      </c>
      <c r="K3367" s="56" t="s">
        <v>10986</v>
      </c>
      <c r="L3367" s="165" t="s">
        <v>10987</v>
      </c>
      <c r="M3367" s="73"/>
      <c r="N3367" s="171"/>
      <c r="O3367" s="169" t="s">
        <v>3037</v>
      </c>
      <c r="P3367" s="168" t="s">
        <v>3112</v>
      </c>
      <c r="Q3367" s="161">
        <v>1707000.0</v>
      </c>
      <c r="R3367" s="173"/>
      <c r="S3367" s="173"/>
      <c r="T3367" s="173"/>
      <c r="U3367" s="173"/>
      <c r="V3367" s="169"/>
      <c r="W3367" s="171"/>
      <c r="X3367" s="171"/>
    </row>
    <row r="3368" ht="15.0" customHeight="1">
      <c r="A3368" s="495">
        <v>46090.0</v>
      </c>
      <c r="B3368" s="476" t="s">
        <v>10985</v>
      </c>
      <c r="C3368" s="56" t="s">
        <v>2954</v>
      </c>
      <c r="D3368" s="73" t="str">
        <f>IFERROR(VLOOKUP(C3368,Stock,3,FALSE),"")</f>
        <v>Transport</v>
      </c>
      <c r="E3368" s="56">
        <v>1.0</v>
      </c>
      <c r="F3368" s="161">
        <v>180000.0</v>
      </c>
      <c r="G3368" s="162">
        <f t="shared" si="43"/>
        <v>180000</v>
      </c>
      <c r="H3368" s="194"/>
      <c r="I3368" s="161">
        <f t="shared" si="41"/>
        <v>180000</v>
      </c>
      <c r="J3368" s="164">
        <f t="shared" si="42"/>
        <v>180000</v>
      </c>
      <c r="K3368" s="56" t="s">
        <v>10986</v>
      </c>
      <c r="L3368" s="165" t="s">
        <v>10987</v>
      </c>
      <c r="M3368" s="73"/>
      <c r="N3368" s="171"/>
      <c r="O3368" s="169" t="s">
        <v>3037</v>
      </c>
      <c r="P3368" s="168" t="s">
        <v>3112</v>
      </c>
      <c r="Q3368" s="161">
        <v>80000.0</v>
      </c>
      <c r="R3368" s="167">
        <v>100000.0</v>
      </c>
      <c r="S3368" s="173"/>
      <c r="T3368" s="173"/>
      <c r="U3368" s="173"/>
      <c r="V3368" s="169"/>
      <c r="W3368" s="171"/>
      <c r="X3368" s="171"/>
    </row>
    <row r="3369" ht="15.0" customHeight="1">
      <c r="A3369" s="495">
        <v>46090.0</v>
      </c>
      <c r="B3369" s="476" t="s">
        <v>10988</v>
      </c>
      <c r="C3369" s="56" t="s">
        <v>10701</v>
      </c>
      <c r="D3369" s="73" t="str">
        <f>IFERROR(VLOOKUP(C3369,Stock,3,FALSE),"")</f>
        <v>Toyota Dyna/Hino Dutro 00-</v>
      </c>
      <c r="E3369" s="56">
        <v>1.0</v>
      </c>
      <c r="F3369" s="161">
        <v>1300000.0</v>
      </c>
      <c r="G3369" s="162">
        <f t="shared" si="43"/>
        <v>1300000</v>
      </c>
      <c r="H3369" s="194"/>
      <c r="I3369" s="161">
        <f t="shared" si="41"/>
        <v>1300000</v>
      </c>
      <c r="J3369" s="164">
        <f t="shared" si="42"/>
        <v>1300000</v>
      </c>
      <c r="K3369" s="56" t="s">
        <v>10989</v>
      </c>
      <c r="L3369" s="165" t="s">
        <v>10990</v>
      </c>
      <c r="M3369" s="73"/>
      <c r="N3369" s="171"/>
      <c r="O3369" s="169" t="s">
        <v>6923</v>
      </c>
      <c r="P3369" s="168" t="s">
        <v>3112</v>
      </c>
      <c r="Q3369" s="173"/>
      <c r="R3369" s="167">
        <v>1300000.0</v>
      </c>
      <c r="S3369" s="173"/>
      <c r="T3369" s="173"/>
      <c r="U3369" s="173"/>
      <c r="V3369" s="169"/>
      <c r="W3369" s="171"/>
      <c r="X3369" s="171"/>
    </row>
    <row r="3370" ht="15.0" customHeight="1">
      <c r="A3370" s="495">
        <v>46091.0</v>
      </c>
      <c r="B3370" s="476" t="s">
        <v>10991</v>
      </c>
      <c r="C3370" s="56" t="s">
        <v>3877</v>
      </c>
      <c r="D3370" s="73" t="str">
        <f>IFERROR(VLOOKUP(C3370,Stock,3,FALSE),"")</f>
        <v>Nissan Livina 13-18 L11 (Lubang)</v>
      </c>
      <c r="E3370" s="56">
        <v>1.0</v>
      </c>
      <c r="F3370" s="161">
        <v>1155000.0</v>
      </c>
      <c r="G3370" s="162">
        <f t="shared" si="43"/>
        <v>1155000</v>
      </c>
      <c r="H3370" s="194"/>
      <c r="I3370" s="161">
        <f t="shared" si="41"/>
        <v>1155000</v>
      </c>
      <c r="J3370" s="164">
        <f t="shared" si="42"/>
        <v>1155000</v>
      </c>
      <c r="K3370" s="56" t="s">
        <v>10992</v>
      </c>
      <c r="L3370" s="165" t="s">
        <v>10993</v>
      </c>
      <c r="M3370" s="73"/>
      <c r="N3370" s="171"/>
      <c r="O3370" s="169" t="s">
        <v>3204</v>
      </c>
      <c r="P3370" s="168" t="s">
        <v>3112</v>
      </c>
      <c r="Q3370" s="167">
        <v>1055000.0</v>
      </c>
      <c r="R3370" s="167">
        <v>100000.0</v>
      </c>
      <c r="S3370" s="173"/>
      <c r="T3370" s="173"/>
      <c r="U3370" s="173"/>
      <c r="V3370" s="169"/>
      <c r="W3370" s="171"/>
      <c r="X3370" s="171"/>
    </row>
    <row r="3371" ht="15.0" customHeight="1">
      <c r="A3371" s="495">
        <v>46091.0</v>
      </c>
      <c r="B3371" s="476" t="s">
        <v>10991</v>
      </c>
      <c r="C3371" s="56" t="s">
        <v>2954</v>
      </c>
      <c r="D3371" s="73" t="str">
        <f>IFERROR(VLOOKUP(C3371,Stock,3,FALSE),"")</f>
        <v>Transport</v>
      </c>
      <c r="E3371" s="56">
        <v>1.0</v>
      </c>
      <c r="F3371" s="161">
        <v>80000.0</v>
      </c>
      <c r="G3371" s="162">
        <f t="shared" si="43"/>
        <v>80000</v>
      </c>
      <c r="H3371" s="194"/>
      <c r="I3371" s="161">
        <f t="shared" si="41"/>
        <v>80000</v>
      </c>
      <c r="J3371" s="164">
        <f t="shared" si="42"/>
        <v>80000</v>
      </c>
      <c r="K3371" s="56" t="s">
        <v>10992</v>
      </c>
      <c r="L3371" s="165" t="s">
        <v>10993</v>
      </c>
      <c r="M3371" s="73"/>
      <c r="N3371" s="171"/>
      <c r="O3371" s="169" t="s">
        <v>3204</v>
      </c>
      <c r="P3371" s="168" t="s">
        <v>3112</v>
      </c>
      <c r="Q3371" s="161">
        <v>80000.0</v>
      </c>
      <c r="R3371" s="173"/>
      <c r="S3371" s="173"/>
      <c r="T3371" s="173"/>
      <c r="U3371" s="173"/>
      <c r="V3371" s="169"/>
      <c r="W3371" s="171"/>
      <c r="X3371" s="171"/>
    </row>
    <row r="3372" ht="15.0" customHeight="1">
      <c r="A3372" s="495">
        <v>46091.0</v>
      </c>
      <c r="B3372" s="476" t="s">
        <v>10994</v>
      </c>
      <c r="C3372" s="56" t="s">
        <v>2557</v>
      </c>
      <c r="D3372" s="73" t="str">
        <f>IFERROR(VLOOKUP(C3372,Stock,3,FALSE),"")</f>
        <v>Toyota Fortuner 05-15 1st Gen (Toyota)</v>
      </c>
      <c r="E3372" s="56">
        <v>1.0</v>
      </c>
      <c r="F3372" s="161">
        <v>3292000.0</v>
      </c>
      <c r="G3372" s="162">
        <f t="shared" si="43"/>
        <v>3292000</v>
      </c>
      <c r="H3372" s="194"/>
      <c r="I3372" s="161">
        <f t="shared" si="41"/>
        <v>3292000</v>
      </c>
      <c r="J3372" s="164">
        <f t="shared" si="42"/>
        <v>3292000</v>
      </c>
      <c r="K3372" s="56" t="s">
        <v>10995</v>
      </c>
      <c r="L3372" s="165" t="s">
        <v>10996</v>
      </c>
      <c r="M3372" s="73"/>
      <c r="N3372" s="171"/>
      <c r="O3372" s="169" t="s">
        <v>6923</v>
      </c>
      <c r="P3372" s="168" t="s">
        <v>3112</v>
      </c>
      <c r="Q3372" s="173"/>
      <c r="R3372" s="161">
        <v>3292000.0</v>
      </c>
      <c r="S3372" s="173"/>
      <c r="T3372" s="173"/>
      <c r="U3372" s="173"/>
      <c r="V3372" s="169"/>
      <c r="W3372" s="171"/>
      <c r="X3372" s="171"/>
    </row>
    <row r="3373" ht="15.0" customHeight="1">
      <c r="A3373" s="495">
        <v>46091.0</v>
      </c>
      <c r="B3373" s="476" t="s">
        <v>10994</v>
      </c>
      <c r="C3373" s="56" t="s">
        <v>3083</v>
      </c>
      <c r="D3373" s="73" t="str">
        <f>IFERROR(VLOOKUP(C3373,Stock,3,FALSE),"")</f>
        <v>List Kaca Depan Code 04</v>
      </c>
      <c r="E3373" s="56">
        <v>1.0</v>
      </c>
      <c r="F3373" s="161">
        <v>275000.0</v>
      </c>
      <c r="G3373" s="162">
        <f t="shared" si="43"/>
        <v>275000</v>
      </c>
      <c r="H3373" s="194"/>
      <c r="I3373" s="161">
        <f t="shared" si="41"/>
        <v>275000</v>
      </c>
      <c r="J3373" s="164">
        <f t="shared" si="42"/>
        <v>275000</v>
      </c>
      <c r="K3373" s="56" t="s">
        <v>10995</v>
      </c>
      <c r="L3373" s="165" t="s">
        <v>10996</v>
      </c>
      <c r="M3373" s="73"/>
      <c r="N3373" s="171"/>
      <c r="O3373" s="169" t="s">
        <v>6923</v>
      </c>
      <c r="P3373" s="168" t="s">
        <v>3112</v>
      </c>
      <c r="Q3373" s="173"/>
      <c r="R3373" s="161">
        <v>275000.0</v>
      </c>
      <c r="S3373" s="173"/>
      <c r="T3373" s="173"/>
      <c r="U3373" s="173"/>
      <c r="V3373" s="169"/>
      <c r="W3373" s="171"/>
      <c r="X3373" s="171"/>
    </row>
    <row r="3374" ht="15.0" customHeight="1">
      <c r="A3374" s="495">
        <v>46091.0</v>
      </c>
      <c r="B3374" s="476" t="s">
        <v>10997</v>
      </c>
      <c r="C3374" s="56" t="s">
        <v>2692</v>
      </c>
      <c r="D3374" s="73" t="str">
        <f>IFERROR(VLOOKUP(C3374,Stock,3,FALSE),"")</f>
        <v>Suzuki Ertiga 18- 2nd Gen / XL7</v>
      </c>
      <c r="E3374" s="56">
        <v>1.0</v>
      </c>
      <c r="F3374" s="161">
        <v>1354000.0</v>
      </c>
      <c r="G3374" s="162">
        <f t="shared" si="43"/>
        <v>1354000</v>
      </c>
      <c r="H3374" s="194"/>
      <c r="I3374" s="161">
        <f t="shared" si="41"/>
        <v>1354000</v>
      </c>
      <c r="J3374" s="164">
        <f t="shared" si="42"/>
        <v>1354000</v>
      </c>
      <c r="K3374" s="56" t="s">
        <v>10998</v>
      </c>
      <c r="L3374" s="165" t="s">
        <v>10999</v>
      </c>
      <c r="M3374" s="73"/>
      <c r="N3374" s="171"/>
      <c r="O3374" s="169" t="s">
        <v>6923</v>
      </c>
      <c r="P3374" s="168" t="s">
        <v>3112</v>
      </c>
      <c r="Q3374" s="161">
        <v>1354000.0</v>
      </c>
      <c r="R3374" s="173"/>
      <c r="S3374" s="173"/>
      <c r="T3374" s="173"/>
      <c r="U3374" s="173"/>
      <c r="V3374" s="169"/>
      <c r="W3374" s="171"/>
      <c r="X3374" s="171"/>
    </row>
    <row r="3375" ht="15.0" customHeight="1">
      <c r="A3375" s="495">
        <v>46091.0</v>
      </c>
      <c r="B3375" s="476" t="s">
        <v>10997</v>
      </c>
      <c r="C3375" s="56" t="s">
        <v>10233</v>
      </c>
      <c r="D3375" s="73" t="str">
        <f>IFERROR(VLOOKUP(C3375,Stock,3,FALSE),"")</f>
        <v>Automotive Film Standard - Black 60%       </v>
      </c>
      <c r="E3375" s="56">
        <v>1.0</v>
      </c>
      <c r="F3375" s="161">
        <v>350000.0</v>
      </c>
      <c r="G3375" s="162">
        <f t="shared" si="43"/>
        <v>350000</v>
      </c>
      <c r="H3375" s="194"/>
      <c r="I3375" s="161">
        <f t="shared" si="41"/>
        <v>350000</v>
      </c>
      <c r="J3375" s="164">
        <f t="shared" si="42"/>
        <v>350000</v>
      </c>
      <c r="K3375" s="56" t="s">
        <v>10998</v>
      </c>
      <c r="L3375" s="165" t="s">
        <v>10999</v>
      </c>
      <c r="M3375" s="73"/>
      <c r="N3375" s="171"/>
      <c r="O3375" s="169" t="s">
        <v>6923</v>
      </c>
      <c r="P3375" s="168" t="s">
        <v>3112</v>
      </c>
      <c r="Q3375" s="161">
        <v>350000.0</v>
      </c>
      <c r="R3375" s="173"/>
      <c r="S3375" s="173"/>
      <c r="T3375" s="173"/>
      <c r="U3375" s="173"/>
      <c r="V3375" s="169"/>
      <c r="W3375" s="171"/>
      <c r="X3375" s="171"/>
    </row>
    <row r="3376" ht="15.0" customHeight="1">
      <c r="A3376" s="495">
        <v>46091.0</v>
      </c>
      <c r="B3376" s="476" t="s">
        <v>11000</v>
      </c>
      <c r="C3376" s="56" t="s">
        <v>10976</v>
      </c>
      <c r="D3376" s="73" t="str">
        <f>IFERROR(VLOOKUP(C3376,Stock,3,FALSE),"")</f>
        <v>Mitsubishi Xpander 17-</v>
      </c>
      <c r="E3376" s="56">
        <v>1.0</v>
      </c>
      <c r="F3376" s="161">
        <v>1550000.0</v>
      </c>
      <c r="G3376" s="162">
        <f t="shared" si="43"/>
        <v>1550000</v>
      </c>
      <c r="H3376" s="194"/>
      <c r="I3376" s="161">
        <f t="shared" si="41"/>
        <v>1550000</v>
      </c>
      <c r="J3376" s="164">
        <f t="shared" si="42"/>
        <v>1550000</v>
      </c>
      <c r="K3376" s="56" t="s">
        <v>10976</v>
      </c>
      <c r="L3376" s="165" t="s">
        <v>11001</v>
      </c>
      <c r="M3376" s="73"/>
      <c r="N3376" s="171"/>
      <c r="O3376" s="169" t="s">
        <v>6923</v>
      </c>
      <c r="P3376" s="168" t="s">
        <v>3112</v>
      </c>
      <c r="Q3376" s="173"/>
      <c r="R3376" s="161">
        <v>1550000.0</v>
      </c>
      <c r="S3376" s="173"/>
      <c r="T3376" s="173"/>
      <c r="U3376" s="173"/>
      <c r="V3376" s="169"/>
      <c r="W3376" s="171"/>
      <c r="X3376" s="171"/>
    </row>
    <row r="3377" ht="15.0" customHeight="1">
      <c r="A3377" s="495">
        <v>46091.0</v>
      </c>
      <c r="B3377" s="476" t="s">
        <v>11002</v>
      </c>
      <c r="C3377" s="56" t="s">
        <v>10804</v>
      </c>
      <c r="D3377" s="73" t="str">
        <f>IFERROR(VLOOKUP(C3377,Stock,3,FALSE),"")</f>
        <v>Toyota Alphard 08-15 ANH20 2nd Gen</v>
      </c>
      <c r="E3377" s="56">
        <v>1.0</v>
      </c>
      <c r="F3377" s="161">
        <v>4452000.0</v>
      </c>
      <c r="G3377" s="162">
        <f t="shared" si="43"/>
        <v>4452000</v>
      </c>
      <c r="H3377" s="194"/>
      <c r="I3377" s="161">
        <f t="shared" si="41"/>
        <v>4452000</v>
      </c>
      <c r="J3377" s="164">
        <f t="shared" si="42"/>
        <v>4452000</v>
      </c>
      <c r="K3377" s="56" t="s">
        <v>11003</v>
      </c>
      <c r="L3377" s="165" t="s">
        <v>11004</v>
      </c>
      <c r="M3377" s="73"/>
      <c r="N3377" s="171"/>
      <c r="O3377" s="169" t="s">
        <v>6923</v>
      </c>
      <c r="P3377" s="168" t="s">
        <v>3112</v>
      </c>
      <c r="Q3377" s="173"/>
      <c r="R3377" s="161">
        <v>4452000.0</v>
      </c>
      <c r="S3377" s="173"/>
      <c r="T3377" s="173"/>
      <c r="U3377" s="173"/>
      <c r="V3377" s="169"/>
      <c r="W3377" s="171"/>
      <c r="X3377" s="171"/>
    </row>
    <row r="3378" ht="15.0" customHeight="1">
      <c r="A3378" s="495">
        <v>46092.0</v>
      </c>
      <c r="B3378" s="476" t="s">
        <v>11005</v>
      </c>
      <c r="C3378" s="56" t="s">
        <v>11006</v>
      </c>
      <c r="D3378" s="73" t="str">
        <f>IFERROR(VLOOKUP(C3378,Stock,3,FALSE),"")</f>
        <v>Suzuki Splash 09-16</v>
      </c>
      <c r="E3378" s="56">
        <v>1.0</v>
      </c>
      <c r="F3378" s="161">
        <v>1845000.0</v>
      </c>
      <c r="G3378" s="162">
        <f t="shared" si="43"/>
        <v>1845000</v>
      </c>
      <c r="H3378" s="194"/>
      <c r="I3378" s="161">
        <f t="shared" si="41"/>
        <v>1845000</v>
      </c>
      <c r="J3378" s="164">
        <f t="shared" si="42"/>
        <v>1845000</v>
      </c>
      <c r="K3378" s="56" t="s">
        <v>11007</v>
      </c>
      <c r="L3378" s="165" t="s">
        <v>11008</v>
      </c>
      <c r="M3378" s="73"/>
      <c r="N3378" s="171"/>
      <c r="O3378" s="169" t="s">
        <v>6923</v>
      </c>
      <c r="P3378" s="168" t="s">
        <v>3112</v>
      </c>
      <c r="Q3378" s="167">
        <v>100000.0</v>
      </c>
      <c r="R3378" s="167">
        <v>1745000.0</v>
      </c>
      <c r="S3378" s="173"/>
      <c r="T3378" s="173"/>
      <c r="U3378" s="173"/>
      <c r="V3378" s="169"/>
      <c r="W3378" s="171"/>
      <c r="X3378" s="171"/>
    </row>
    <row r="3379" ht="15.0" customHeight="1">
      <c r="A3379" s="495">
        <v>46092.0</v>
      </c>
      <c r="B3379" s="476" t="s">
        <v>11005</v>
      </c>
      <c r="C3379" s="56" t="s">
        <v>6424</v>
      </c>
      <c r="D3379" s="73" t="str">
        <f>IFERROR(VLOOKUP(C3379,Stock,3,FALSE),"")</f>
        <v>Automotive Film Standard - Black 40%                                </v>
      </c>
      <c r="E3379" s="56">
        <v>1.0</v>
      </c>
      <c r="F3379" s="161">
        <v>400000.0</v>
      </c>
      <c r="G3379" s="162">
        <f t="shared" si="43"/>
        <v>400000</v>
      </c>
      <c r="H3379" s="194"/>
      <c r="I3379" s="161">
        <f t="shared" si="41"/>
        <v>400000</v>
      </c>
      <c r="J3379" s="164">
        <f t="shared" si="42"/>
        <v>400000</v>
      </c>
      <c r="K3379" s="56" t="s">
        <v>11007</v>
      </c>
      <c r="L3379" s="165" t="s">
        <v>11008</v>
      </c>
      <c r="M3379" s="73"/>
      <c r="N3379" s="171"/>
      <c r="O3379" s="169" t="s">
        <v>6923</v>
      </c>
      <c r="P3379" s="168" t="s">
        <v>3112</v>
      </c>
      <c r="Q3379" s="173"/>
      <c r="R3379" s="167">
        <v>400000.0</v>
      </c>
      <c r="S3379" s="173"/>
      <c r="T3379" s="173"/>
      <c r="U3379" s="173"/>
      <c r="V3379" s="169"/>
      <c r="W3379" s="171"/>
      <c r="X3379" s="171"/>
    </row>
    <row r="3380" ht="15.0" customHeight="1">
      <c r="A3380" s="127">
        <v>46092.0</v>
      </c>
      <c r="B3380" s="181" t="s">
        <v>11009</v>
      </c>
      <c r="C3380" s="56" t="s">
        <v>11010</v>
      </c>
      <c r="D3380" s="73" t="str">
        <f>IFERROR(VLOOKUP(C3380,Stock,3,FALSE),"")</f>
        <v/>
      </c>
      <c r="E3380" s="56">
        <v>1.0</v>
      </c>
      <c r="F3380" s="161">
        <v>1500000.0</v>
      </c>
      <c r="G3380" s="162">
        <f t="shared" si="43"/>
        <v>1500000</v>
      </c>
      <c r="H3380" s="194"/>
      <c r="I3380" s="161">
        <f t="shared" si="41"/>
        <v>1500000</v>
      </c>
      <c r="J3380" s="164">
        <f t="shared" si="42"/>
        <v>1500000</v>
      </c>
      <c r="K3380" s="56" t="s">
        <v>11011</v>
      </c>
      <c r="L3380" s="165" t="s">
        <v>11012</v>
      </c>
      <c r="M3380" s="73"/>
      <c r="N3380" s="171"/>
      <c r="O3380" s="169" t="s">
        <v>6923</v>
      </c>
      <c r="P3380" s="168" t="s">
        <v>3112</v>
      </c>
      <c r="Q3380" s="173"/>
      <c r="R3380" s="161">
        <v>1500000.0</v>
      </c>
      <c r="S3380" s="173"/>
      <c r="T3380" s="173"/>
      <c r="U3380" s="173"/>
      <c r="V3380" s="169"/>
      <c r="W3380" s="171"/>
      <c r="X3380" s="171"/>
    </row>
    <row r="3381" ht="15.0" customHeight="1">
      <c r="A3381" s="127">
        <v>46092.0</v>
      </c>
      <c r="B3381" s="181" t="s">
        <v>11009</v>
      </c>
      <c r="C3381" s="56" t="s">
        <v>2954</v>
      </c>
      <c r="D3381" s="73" t="str">
        <f>IFERROR(VLOOKUP(C3381,Stock,3,FALSE),"")</f>
        <v>Transport</v>
      </c>
      <c r="E3381" s="56">
        <v>1.0</v>
      </c>
      <c r="F3381" s="161">
        <v>30000.0</v>
      </c>
      <c r="G3381" s="162">
        <f t="shared" si="43"/>
        <v>30000</v>
      </c>
      <c r="H3381" s="194"/>
      <c r="I3381" s="161">
        <f t="shared" si="41"/>
        <v>30000</v>
      </c>
      <c r="J3381" s="164">
        <f t="shared" si="42"/>
        <v>30000</v>
      </c>
      <c r="K3381" s="56" t="s">
        <v>11011</v>
      </c>
      <c r="L3381" s="165" t="s">
        <v>11012</v>
      </c>
      <c r="M3381" s="73"/>
      <c r="N3381" s="171"/>
      <c r="O3381" s="169" t="s">
        <v>6923</v>
      </c>
      <c r="P3381" s="168" t="s">
        <v>3112</v>
      </c>
      <c r="Q3381" s="173"/>
      <c r="R3381" s="161">
        <v>30000.0</v>
      </c>
      <c r="S3381" s="173"/>
      <c r="T3381" s="173"/>
      <c r="U3381" s="173"/>
      <c r="V3381" s="169"/>
      <c r="W3381" s="171"/>
      <c r="X3381" s="171"/>
    </row>
    <row r="3382" ht="15.0" customHeight="1">
      <c r="A3382" s="127">
        <v>46093.0</v>
      </c>
      <c r="B3382" s="476" t="s">
        <v>11013</v>
      </c>
      <c r="C3382" s="56" t="s">
        <v>3745</v>
      </c>
      <c r="D3382" s="73" t="str">
        <f>IFERROR(VLOOKUP(C3382,Stock,3,FALSE),"")</f>
        <v>Honda Brio 10- / Mobilio 11-</v>
      </c>
      <c r="E3382" s="56">
        <v>1.0</v>
      </c>
      <c r="F3382" s="161">
        <v>1772000.0</v>
      </c>
      <c r="G3382" s="162">
        <f t="shared" si="43"/>
        <v>1772000</v>
      </c>
      <c r="H3382" s="201">
        <v>72000.0</v>
      </c>
      <c r="I3382" s="161">
        <f t="shared" si="41"/>
        <v>1700000</v>
      </c>
      <c r="J3382" s="164">
        <f t="shared" si="42"/>
        <v>1700000</v>
      </c>
      <c r="K3382" s="56" t="s">
        <v>4507</v>
      </c>
      <c r="L3382" s="165" t="s">
        <v>11014</v>
      </c>
      <c r="M3382" s="73"/>
      <c r="N3382" s="171"/>
      <c r="O3382" s="169" t="s">
        <v>6923</v>
      </c>
      <c r="P3382" s="168" t="s">
        <v>3112</v>
      </c>
      <c r="Q3382" s="167">
        <v>1700000.0</v>
      </c>
      <c r="R3382" s="173"/>
      <c r="S3382" s="173"/>
      <c r="T3382" s="173"/>
      <c r="U3382" s="173"/>
      <c r="V3382" s="169"/>
      <c r="W3382" s="171"/>
      <c r="X3382" s="171"/>
    </row>
    <row r="3383" ht="15.0" customHeight="1">
      <c r="A3383" s="127">
        <v>46093.0</v>
      </c>
      <c r="B3383" s="476" t="s">
        <v>11015</v>
      </c>
      <c r="C3383" s="56" t="s">
        <v>11016</v>
      </c>
      <c r="D3383" s="73" t="str">
        <f>IFERROR(VLOOKUP(C3383,Stock,3,FALSE),"")</f>
        <v>Toyota LandCruiser Prado 96-02 FJ90</v>
      </c>
      <c r="E3383" s="56">
        <v>1.0</v>
      </c>
      <c r="F3383" s="161">
        <v>3348000.0</v>
      </c>
      <c r="G3383" s="162">
        <f t="shared" si="43"/>
        <v>3348000</v>
      </c>
      <c r="H3383" s="194"/>
      <c r="I3383" s="161">
        <f t="shared" si="41"/>
        <v>3348000</v>
      </c>
      <c r="J3383" s="164">
        <f t="shared" si="42"/>
        <v>3348000</v>
      </c>
      <c r="K3383" s="56" t="s">
        <v>11017</v>
      </c>
      <c r="L3383" s="165" t="s">
        <v>11018</v>
      </c>
      <c r="M3383" s="73"/>
      <c r="N3383" s="171"/>
      <c r="O3383" s="169" t="s">
        <v>6923</v>
      </c>
      <c r="P3383" s="168" t="s">
        <v>3112</v>
      </c>
      <c r="Q3383" s="173"/>
      <c r="R3383" s="161">
        <v>3348000.0</v>
      </c>
      <c r="S3383" s="173"/>
      <c r="T3383" s="173"/>
      <c r="U3383" s="173"/>
      <c r="V3383" s="169"/>
      <c r="W3383" s="171"/>
      <c r="X3383" s="171"/>
    </row>
    <row r="3384" ht="15.0" customHeight="1">
      <c r="A3384" s="127">
        <v>46093.0</v>
      </c>
      <c r="B3384" s="476" t="s">
        <v>11019</v>
      </c>
      <c r="C3384" s="56" t="s">
        <v>3877</v>
      </c>
      <c r="D3384" s="73" t="str">
        <f>IFERROR(VLOOKUP(C3384,Stock,3,FALSE),"")</f>
        <v>Nissan Livina 13-18 L11 (Lubang)</v>
      </c>
      <c r="E3384" s="56">
        <v>1.0</v>
      </c>
      <c r="F3384" s="161">
        <v>1155000.0</v>
      </c>
      <c r="G3384" s="162">
        <f t="shared" si="43"/>
        <v>1155000</v>
      </c>
      <c r="H3384" s="194"/>
      <c r="I3384" s="161">
        <f t="shared" si="41"/>
        <v>1155000</v>
      </c>
      <c r="J3384" s="164">
        <f t="shared" si="42"/>
        <v>1155000</v>
      </c>
      <c r="K3384" s="56" t="s">
        <v>11020</v>
      </c>
      <c r="L3384" s="165" t="s">
        <v>11021</v>
      </c>
      <c r="M3384" s="73"/>
      <c r="N3384" s="171"/>
      <c r="O3384" s="169" t="s">
        <v>6923</v>
      </c>
      <c r="P3384" s="168" t="s">
        <v>3112</v>
      </c>
      <c r="Q3384" s="173"/>
      <c r="R3384" s="161">
        <v>1155000.0</v>
      </c>
      <c r="S3384" s="173"/>
      <c r="T3384" s="173"/>
      <c r="U3384" s="173"/>
      <c r="V3384" s="169"/>
      <c r="W3384" s="171"/>
      <c r="X3384" s="171"/>
    </row>
    <row r="3385" ht="15.0" customHeight="1">
      <c r="A3385" s="127">
        <v>46093.0</v>
      </c>
      <c r="B3385" s="476" t="s">
        <v>11019</v>
      </c>
      <c r="C3385" s="56" t="s">
        <v>9372</v>
      </c>
      <c r="D3385" s="73" t="str">
        <f>IFERROR(VLOOKUP(C3385,Stock,3,FALSE),"")</f>
        <v>Automotive Film Standard - Black 80%  </v>
      </c>
      <c r="E3385" s="56">
        <v>1.0</v>
      </c>
      <c r="F3385" s="161">
        <v>250000.0</v>
      </c>
      <c r="G3385" s="162">
        <f t="shared" si="43"/>
        <v>250000</v>
      </c>
      <c r="H3385" s="194"/>
      <c r="I3385" s="161">
        <f t="shared" si="41"/>
        <v>250000</v>
      </c>
      <c r="J3385" s="164">
        <f t="shared" si="42"/>
        <v>250000</v>
      </c>
      <c r="K3385" s="56" t="s">
        <v>11020</v>
      </c>
      <c r="L3385" s="165" t="s">
        <v>11021</v>
      </c>
      <c r="M3385" s="73"/>
      <c r="N3385" s="171"/>
      <c r="O3385" s="169" t="s">
        <v>6923</v>
      </c>
      <c r="P3385" s="168" t="s">
        <v>3112</v>
      </c>
      <c r="Q3385" s="173"/>
      <c r="R3385" s="161">
        <v>250000.0</v>
      </c>
      <c r="S3385" s="173"/>
      <c r="T3385" s="173"/>
      <c r="U3385" s="173"/>
      <c r="V3385" s="169"/>
      <c r="W3385" s="171"/>
      <c r="X3385" s="171"/>
    </row>
    <row r="3386" ht="15.0" customHeight="1">
      <c r="A3386" s="127">
        <v>46094.0</v>
      </c>
      <c r="B3386" s="476" t="s">
        <v>11022</v>
      </c>
      <c r="C3386" s="56" t="s">
        <v>2973</v>
      </c>
      <c r="D3386" s="73" t="str">
        <f>IFERROR(VLOOKUP(C3386,Stock,3,FALSE),"")</f>
        <v>Toyota Innova 04-15 1st Gen</v>
      </c>
      <c r="E3386" s="56">
        <v>1.0</v>
      </c>
      <c r="F3386" s="161">
        <v>1049000.0</v>
      </c>
      <c r="G3386" s="162">
        <f t="shared" si="43"/>
        <v>1049000</v>
      </c>
      <c r="H3386" s="194"/>
      <c r="I3386" s="161">
        <f t="shared" si="41"/>
        <v>1049000</v>
      </c>
      <c r="J3386" s="164">
        <f t="shared" si="42"/>
        <v>1049000</v>
      </c>
      <c r="K3386" s="56" t="s">
        <v>11023</v>
      </c>
      <c r="L3386" s="73"/>
      <c r="M3386" s="73"/>
      <c r="N3386" s="171"/>
      <c r="O3386" s="169" t="s">
        <v>2958</v>
      </c>
      <c r="P3386" s="168" t="s">
        <v>7468</v>
      </c>
      <c r="Q3386" s="173"/>
      <c r="R3386" s="173"/>
      <c r="S3386" s="167">
        <v>1049000.0</v>
      </c>
      <c r="T3386" s="173"/>
      <c r="U3386" s="173"/>
      <c r="V3386" s="169"/>
      <c r="W3386" s="171"/>
      <c r="X3386" s="171"/>
    </row>
    <row r="3387" ht="15.0" customHeight="1">
      <c r="A3387" s="127">
        <v>46094.0</v>
      </c>
      <c r="B3387" s="476" t="s">
        <v>11024</v>
      </c>
      <c r="C3387" s="56" t="s">
        <v>10456</v>
      </c>
      <c r="D3387" s="73" t="str">
        <f>IFERROR(VLOOKUP(C3387,Stock,3,FALSE),"")</f>
        <v>Toyota Avanza / Xenia 03-11 1st Gen</v>
      </c>
      <c r="E3387" s="56">
        <v>1.0</v>
      </c>
      <c r="F3387" s="161">
        <v>1000000.0</v>
      </c>
      <c r="G3387" s="162">
        <f t="shared" si="43"/>
        <v>1000000</v>
      </c>
      <c r="H3387" s="194"/>
      <c r="I3387" s="161">
        <f t="shared" si="41"/>
        <v>1000000</v>
      </c>
      <c r="J3387" s="164">
        <f t="shared" si="42"/>
        <v>1000000</v>
      </c>
      <c r="K3387" s="56" t="s">
        <v>11025</v>
      </c>
      <c r="L3387" s="165" t="s">
        <v>11026</v>
      </c>
      <c r="M3387" s="73"/>
      <c r="N3387" s="171"/>
      <c r="O3387" s="169" t="s">
        <v>2958</v>
      </c>
      <c r="P3387" s="168" t="s">
        <v>3112</v>
      </c>
      <c r="Q3387" s="161">
        <v>1000000.0</v>
      </c>
      <c r="R3387" s="173"/>
      <c r="S3387" s="173"/>
      <c r="T3387" s="173"/>
      <c r="U3387" s="173"/>
      <c r="V3387" s="169"/>
      <c r="W3387" s="171"/>
      <c r="X3387" s="171"/>
    </row>
    <row r="3388" ht="15.0" customHeight="1">
      <c r="A3388" s="127">
        <v>46094.0</v>
      </c>
      <c r="B3388" s="476" t="s">
        <v>11027</v>
      </c>
      <c r="C3388" s="56" t="s">
        <v>4340</v>
      </c>
      <c r="D3388" s="73"/>
      <c r="E3388" s="56"/>
      <c r="F3388" s="161"/>
      <c r="G3388" s="162"/>
      <c r="H3388" s="194"/>
      <c r="I3388" s="161"/>
      <c r="J3388" s="164"/>
      <c r="K3388" s="487"/>
      <c r="L3388" s="329"/>
      <c r="M3388" s="73"/>
      <c r="N3388" s="171"/>
      <c r="O3388" s="169"/>
      <c r="P3388" s="169"/>
      <c r="Q3388" s="173"/>
      <c r="R3388" s="173"/>
      <c r="S3388" s="173"/>
      <c r="T3388" s="173"/>
      <c r="U3388" s="173"/>
      <c r="V3388" s="169"/>
      <c r="W3388" s="171"/>
      <c r="X3388" s="171"/>
    </row>
    <row r="3389" ht="15.0" customHeight="1">
      <c r="A3389" s="127">
        <v>46094.0</v>
      </c>
      <c r="B3389" s="476" t="s">
        <v>11027</v>
      </c>
      <c r="C3389" s="56" t="s">
        <v>4340</v>
      </c>
      <c r="D3389" s="73"/>
      <c r="E3389" s="56"/>
      <c r="F3389" s="161"/>
      <c r="G3389" s="162"/>
      <c r="H3389" s="194"/>
      <c r="I3389" s="161"/>
      <c r="J3389" s="164"/>
      <c r="K3389" s="487"/>
      <c r="L3389" s="329"/>
      <c r="M3389" s="73"/>
      <c r="N3389" s="171"/>
      <c r="O3389" s="169"/>
      <c r="P3389" s="169"/>
      <c r="Q3389" s="173"/>
      <c r="R3389" s="173"/>
      <c r="S3389" s="173"/>
      <c r="T3389" s="173"/>
      <c r="U3389" s="173"/>
      <c r="V3389" s="169"/>
      <c r="W3389" s="171"/>
      <c r="X3389" s="171"/>
    </row>
    <row r="3390" ht="15.0" customHeight="1">
      <c r="A3390" s="127">
        <v>46094.0</v>
      </c>
      <c r="B3390" s="476" t="s">
        <v>11028</v>
      </c>
      <c r="C3390" s="56" t="s">
        <v>2678</v>
      </c>
      <c r="D3390" s="73" t="str">
        <f>IFERROR(VLOOKUP(C3390,Stock,3,FALSE),"")</f>
        <v>Mitsubishi Mirage 12-</v>
      </c>
      <c r="E3390" s="56">
        <v>1.0</v>
      </c>
      <c r="F3390" s="161">
        <v>1493000.0</v>
      </c>
      <c r="G3390" s="162">
        <f t="shared" ref="G3390:G3402" si="44">E3390*F3390</f>
        <v>1493000</v>
      </c>
      <c r="H3390" s="194"/>
      <c r="I3390" s="161">
        <f t="shared" ref="I3390:I3631" si="45">G3390-H3390</f>
        <v>1493000</v>
      </c>
      <c r="J3390" s="164">
        <f t="shared" ref="J3390:J3530" si="46">I3390</f>
        <v>1493000</v>
      </c>
      <c r="K3390" s="56" t="s">
        <v>11029</v>
      </c>
      <c r="L3390" s="165" t="s">
        <v>11030</v>
      </c>
      <c r="M3390" s="73"/>
      <c r="N3390" s="171"/>
      <c r="O3390" s="169" t="s">
        <v>2958</v>
      </c>
      <c r="P3390" s="168" t="s">
        <v>3112</v>
      </c>
      <c r="Q3390" s="173"/>
      <c r="R3390" s="161">
        <v>1493000.0</v>
      </c>
      <c r="S3390" s="173"/>
      <c r="T3390" s="173"/>
      <c r="U3390" s="173"/>
      <c r="V3390" s="169"/>
      <c r="W3390" s="171"/>
      <c r="X3390" s="171"/>
    </row>
    <row r="3391" ht="15.0" customHeight="1">
      <c r="A3391" s="127">
        <v>46094.0</v>
      </c>
      <c r="B3391" s="476" t="s">
        <v>11031</v>
      </c>
      <c r="C3391" s="56" t="s">
        <v>8623</v>
      </c>
      <c r="D3391" s="73" t="str">
        <f>IFERROR(VLOOKUP(C3391,Stock,3,FALSE),"")</f>
        <v>Daihatsu Gran Max / Luxio 07-</v>
      </c>
      <c r="E3391" s="56">
        <v>1.0</v>
      </c>
      <c r="F3391" s="161">
        <v>1000000.0</v>
      </c>
      <c r="G3391" s="162">
        <f t="shared" si="44"/>
        <v>1000000</v>
      </c>
      <c r="H3391" s="194"/>
      <c r="I3391" s="161">
        <f t="shared" si="45"/>
        <v>1000000</v>
      </c>
      <c r="J3391" s="164">
        <f t="shared" si="46"/>
        <v>1000000</v>
      </c>
      <c r="K3391" s="487" t="s">
        <v>11032</v>
      </c>
      <c r="L3391" s="165" t="s">
        <v>11033</v>
      </c>
      <c r="M3391" s="73"/>
      <c r="N3391" s="171"/>
      <c r="O3391" s="169" t="s">
        <v>2958</v>
      </c>
      <c r="P3391" s="168" t="s">
        <v>3112</v>
      </c>
      <c r="Q3391" s="173"/>
      <c r="R3391" s="167">
        <v>1000000.0</v>
      </c>
      <c r="S3391" s="173"/>
      <c r="T3391" s="173"/>
      <c r="U3391" s="173"/>
      <c r="V3391" s="169"/>
      <c r="W3391" s="171"/>
      <c r="X3391" s="171"/>
    </row>
    <row r="3392" ht="15.0" customHeight="1">
      <c r="A3392" s="127">
        <v>46095.0</v>
      </c>
      <c r="B3392" s="181" t="s">
        <v>11034</v>
      </c>
      <c r="C3392" s="56" t="s">
        <v>3795</v>
      </c>
      <c r="D3392" s="73" t="str">
        <f>IFERROR(VLOOKUP(C3392,Stock,3,FALSE),"")</f>
        <v>Toyota Innova 04-15 1st Gen</v>
      </c>
      <c r="E3392" s="56">
        <v>1.0</v>
      </c>
      <c r="F3392" s="161">
        <v>1250000.0</v>
      </c>
      <c r="G3392" s="162">
        <f t="shared" si="44"/>
        <v>1250000</v>
      </c>
      <c r="H3392" s="194"/>
      <c r="I3392" s="161">
        <f t="shared" si="45"/>
        <v>1250000</v>
      </c>
      <c r="J3392" s="164">
        <f t="shared" si="46"/>
        <v>1250000</v>
      </c>
      <c r="K3392" s="56" t="s">
        <v>11035</v>
      </c>
      <c r="L3392" s="165" t="s">
        <v>11036</v>
      </c>
      <c r="M3392" s="73"/>
      <c r="N3392" s="171"/>
      <c r="O3392" s="169" t="s">
        <v>2958</v>
      </c>
      <c r="P3392" s="168" t="s">
        <v>3112</v>
      </c>
      <c r="Q3392" s="173"/>
      <c r="R3392" s="161">
        <v>1250000.0</v>
      </c>
      <c r="S3392" s="173"/>
      <c r="T3392" s="173"/>
      <c r="U3392" s="173"/>
      <c r="V3392" s="169"/>
      <c r="W3392" s="171"/>
      <c r="X3392" s="171"/>
    </row>
    <row r="3393" ht="15.0" customHeight="1">
      <c r="A3393" s="127">
        <v>46095.0</v>
      </c>
      <c r="B3393" s="181" t="s">
        <v>11034</v>
      </c>
      <c r="C3393" s="56" t="s">
        <v>10233</v>
      </c>
      <c r="D3393" s="73" t="str">
        <f>IFERROR(VLOOKUP(C3393,Stock,3,FALSE),"")</f>
        <v>Automotive Film Standard - Black 60%       </v>
      </c>
      <c r="E3393" s="56">
        <v>1.0</v>
      </c>
      <c r="F3393" s="161">
        <v>250000.0</v>
      </c>
      <c r="G3393" s="162">
        <f t="shared" si="44"/>
        <v>250000</v>
      </c>
      <c r="H3393" s="194"/>
      <c r="I3393" s="161">
        <f t="shared" si="45"/>
        <v>250000</v>
      </c>
      <c r="J3393" s="164">
        <f t="shared" si="46"/>
        <v>250000</v>
      </c>
      <c r="K3393" s="56" t="s">
        <v>11035</v>
      </c>
      <c r="L3393" s="165" t="s">
        <v>11036</v>
      </c>
      <c r="M3393" s="73"/>
      <c r="N3393" s="171"/>
      <c r="O3393" s="169" t="s">
        <v>2958</v>
      </c>
      <c r="P3393" s="168" t="s">
        <v>3112</v>
      </c>
      <c r="Q3393" s="173"/>
      <c r="R3393" s="161">
        <v>250000.0</v>
      </c>
      <c r="S3393" s="173"/>
      <c r="T3393" s="173"/>
      <c r="U3393" s="173"/>
      <c r="V3393" s="169"/>
      <c r="W3393" s="171"/>
      <c r="X3393" s="171"/>
    </row>
    <row r="3394" ht="15.0" customHeight="1">
      <c r="A3394" s="127">
        <v>46095.0</v>
      </c>
      <c r="B3394" s="181" t="s">
        <v>11037</v>
      </c>
      <c r="C3394" s="56" t="s">
        <v>3013</v>
      </c>
      <c r="D3394" s="73" t="str">
        <f>IFERROR(VLOOKUP(C3394,Stock,3,FALSE),"")</f>
        <v>Honda BR-V 16-</v>
      </c>
      <c r="E3394" s="56">
        <v>1.0</v>
      </c>
      <c r="F3394" s="161">
        <v>1061000.0</v>
      </c>
      <c r="G3394" s="162">
        <f t="shared" si="44"/>
        <v>1061000</v>
      </c>
      <c r="H3394" s="194"/>
      <c r="I3394" s="161">
        <f t="shared" si="45"/>
        <v>1061000</v>
      </c>
      <c r="J3394" s="164">
        <f t="shared" si="46"/>
        <v>1061000</v>
      </c>
      <c r="K3394" s="56" t="s">
        <v>9734</v>
      </c>
      <c r="L3394" s="165" t="s">
        <v>9735</v>
      </c>
      <c r="M3394" s="73"/>
      <c r="N3394" s="171"/>
      <c r="O3394" s="169" t="s">
        <v>2958</v>
      </c>
      <c r="P3394" s="168" t="s">
        <v>3112</v>
      </c>
      <c r="Q3394" s="173"/>
      <c r="R3394" s="161">
        <v>1061000.0</v>
      </c>
      <c r="S3394" s="173"/>
      <c r="T3394" s="173"/>
      <c r="U3394" s="173"/>
      <c r="V3394" s="169"/>
      <c r="W3394" s="171"/>
      <c r="X3394" s="171"/>
    </row>
    <row r="3395" ht="15.0" customHeight="1">
      <c r="A3395" s="127">
        <v>46095.0</v>
      </c>
      <c r="B3395" s="181" t="s">
        <v>11038</v>
      </c>
      <c r="C3395" s="56" t="s">
        <v>2694</v>
      </c>
      <c r="D3395" s="73" t="str">
        <f>IFERROR(VLOOKUP(C3395,Stock,3,FALSE),"")</f>
        <v>Honda CR-V 17-23 5th Gen</v>
      </c>
      <c r="E3395" s="56">
        <v>1.0</v>
      </c>
      <c r="F3395" s="161">
        <v>2480000.0</v>
      </c>
      <c r="G3395" s="162">
        <f t="shared" si="44"/>
        <v>2480000</v>
      </c>
      <c r="H3395" s="194"/>
      <c r="I3395" s="161">
        <f t="shared" si="45"/>
        <v>2480000</v>
      </c>
      <c r="J3395" s="164">
        <f t="shared" si="46"/>
        <v>2480000</v>
      </c>
      <c r="K3395" s="56" t="s">
        <v>8618</v>
      </c>
      <c r="L3395" s="165" t="s">
        <v>11039</v>
      </c>
      <c r="M3395" s="73"/>
      <c r="N3395" s="171"/>
      <c r="O3395" s="169" t="s">
        <v>2958</v>
      </c>
      <c r="P3395" s="168" t="s">
        <v>3112</v>
      </c>
      <c r="Q3395" s="173"/>
      <c r="R3395" s="161">
        <v>2480000.0</v>
      </c>
      <c r="S3395" s="173"/>
      <c r="T3395" s="173"/>
      <c r="U3395" s="173"/>
      <c r="V3395" s="169"/>
      <c r="W3395" s="171"/>
      <c r="X3395" s="171"/>
    </row>
    <row r="3396" ht="15.0" customHeight="1">
      <c r="A3396" s="127">
        <v>46095.0</v>
      </c>
      <c r="B3396" s="181" t="s">
        <v>11040</v>
      </c>
      <c r="C3396" s="56" t="s">
        <v>2727</v>
      </c>
      <c r="D3396" s="73" t="str">
        <f>IFERROR(VLOOKUP(C3396,Stock,3,FALSE),"")</f>
        <v>Honda CR-V 17-23 5th Gen (Honda)</v>
      </c>
      <c r="E3396" s="56">
        <v>1.0</v>
      </c>
      <c r="F3396" s="161">
        <v>3880000.0</v>
      </c>
      <c r="G3396" s="162">
        <f t="shared" si="44"/>
        <v>3880000</v>
      </c>
      <c r="H3396" s="194"/>
      <c r="I3396" s="161">
        <f t="shared" si="45"/>
        <v>3880000</v>
      </c>
      <c r="J3396" s="164">
        <f t="shared" si="46"/>
        <v>3880000</v>
      </c>
      <c r="K3396" s="56" t="s">
        <v>11041</v>
      </c>
      <c r="L3396" s="165" t="s">
        <v>11042</v>
      </c>
      <c r="M3396" s="73"/>
      <c r="N3396" s="171"/>
      <c r="O3396" s="169" t="s">
        <v>2958</v>
      </c>
      <c r="P3396" s="168" t="s">
        <v>3112</v>
      </c>
      <c r="Q3396" s="173"/>
      <c r="R3396" s="161">
        <v>3880000.0</v>
      </c>
      <c r="S3396" s="173"/>
      <c r="T3396" s="173"/>
      <c r="U3396" s="173"/>
      <c r="V3396" s="169"/>
      <c r="W3396" s="171"/>
      <c r="X3396" s="171"/>
    </row>
    <row r="3397" ht="15.0" customHeight="1">
      <c r="A3397" s="127">
        <v>46095.0</v>
      </c>
      <c r="B3397" s="181" t="s">
        <v>11040</v>
      </c>
      <c r="C3397" s="56" t="s">
        <v>6424</v>
      </c>
      <c r="D3397" s="73" t="str">
        <f>IFERROR(VLOOKUP(C3397,Stock,3,FALSE),"")</f>
        <v>Automotive Film Standard - Black 40%                                </v>
      </c>
      <c r="E3397" s="56">
        <v>1.0</v>
      </c>
      <c r="F3397" s="161">
        <v>350000.0</v>
      </c>
      <c r="G3397" s="162">
        <f t="shared" si="44"/>
        <v>350000</v>
      </c>
      <c r="H3397" s="194"/>
      <c r="I3397" s="161">
        <f t="shared" si="45"/>
        <v>350000</v>
      </c>
      <c r="J3397" s="164">
        <f t="shared" si="46"/>
        <v>350000</v>
      </c>
      <c r="K3397" s="56" t="s">
        <v>11041</v>
      </c>
      <c r="L3397" s="165" t="s">
        <v>11042</v>
      </c>
      <c r="M3397" s="73"/>
      <c r="N3397" s="171"/>
      <c r="O3397" s="169" t="s">
        <v>2958</v>
      </c>
      <c r="P3397" s="168" t="s">
        <v>3112</v>
      </c>
      <c r="Q3397" s="173"/>
      <c r="R3397" s="161">
        <v>350000.0</v>
      </c>
      <c r="S3397" s="173"/>
      <c r="T3397" s="173"/>
      <c r="U3397" s="173"/>
      <c r="V3397" s="169"/>
      <c r="W3397" s="171"/>
      <c r="X3397" s="171"/>
    </row>
    <row r="3398" ht="15.0" customHeight="1">
      <c r="A3398" s="127">
        <v>46095.0</v>
      </c>
      <c r="B3398" s="181" t="s">
        <v>11043</v>
      </c>
      <c r="C3398" s="56" t="s">
        <v>3493</v>
      </c>
      <c r="D3398" s="73" t="str">
        <f>IFERROR(VLOOKUP(C3398,Stock,3,FALSE),"")</f>
        <v>Nissan Livina 07-18 L10/L11</v>
      </c>
      <c r="E3398" s="56">
        <v>1.0</v>
      </c>
      <c r="F3398" s="161">
        <v>1392000.0</v>
      </c>
      <c r="G3398" s="162">
        <f t="shared" si="44"/>
        <v>1392000</v>
      </c>
      <c r="H3398" s="194"/>
      <c r="I3398" s="161">
        <f t="shared" si="45"/>
        <v>1392000</v>
      </c>
      <c r="J3398" s="164">
        <f t="shared" si="46"/>
        <v>1392000</v>
      </c>
      <c r="K3398" s="56" t="s">
        <v>11044</v>
      </c>
      <c r="L3398" s="165" t="s">
        <v>11045</v>
      </c>
      <c r="M3398" s="73"/>
      <c r="N3398" s="171"/>
      <c r="O3398" s="169" t="s">
        <v>2958</v>
      </c>
      <c r="P3398" s="168" t="s">
        <v>3112</v>
      </c>
      <c r="Q3398" s="173"/>
      <c r="R3398" s="161">
        <v>1392000.0</v>
      </c>
      <c r="S3398" s="173"/>
      <c r="T3398" s="173"/>
      <c r="U3398" s="173"/>
      <c r="V3398" s="169"/>
      <c r="W3398" s="171"/>
      <c r="X3398" s="171"/>
    </row>
    <row r="3399" ht="15.0" customHeight="1">
      <c r="A3399" s="127">
        <v>46095.0</v>
      </c>
      <c r="B3399" s="181" t="s">
        <v>11043</v>
      </c>
      <c r="C3399" s="56" t="s">
        <v>3083</v>
      </c>
      <c r="D3399" s="73" t="str">
        <f>IFERROR(VLOOKUP(C3399,Stock,3,FALSE),"")</f>
        <v>List Kaca Depan Code 04</v>
      </c>
      <c r="E3399" s="56">
        <v>1.0</v>
      </c>
      <c r="F3399" s="161">
        <v>275000.0</v>
      </c>
      <c r="G3399" s="162">
        <f t="shared" si="44"/>
        <v>275000</v>
      </c>
      <c r="H3399" s="194"/>
      <c r="I3399" s="161">
        <f t="shared" si="45"/>
        <v>275000</v>
      </c>
      <c r="J3399" s="164">
        <f t="shared" si="46"/>
        <v>275000</v>
      </c>
      <c r="K3399" s="56" t="s">
        <v>11044</v>
      </c>
      <c r="L3399" s="165" t="s">
        <v>11045</v>
      </c>
      <c r="M3399" s="73"/>
      <c r="N3399" s="171"/>
      <c r="O3399" s="169" t="s">
        <v>2958</v>
      </c>
      <c r="P3399" s="168" t="s">
        <v>3112</v>
      </c>
      <c r="Q3399" s="173"/>
      <c r="R3399" s="161">
        <v>275000.0</v>
      </c>
      <c r="S3399" s="173"/>
      <c r="T3399" s="173"/>
      <c r="U3399" s="173"/>
      <c r="V3399" s="169"/>
      <c r="W3399" s="171"/>
      <c r="X3399" s="171"/>
    </row>
    <row r="3400" ht="15.0" customHeight="1">
      <c r="A3400" s="127">
        <v>46095.0</v>
      </c>
      <c r="B3400" s="181" t="s">
        <v>11046</v>
      </c>
      <c r="C3400" s="56" t="s">
        <v>3033</v>
      </c>
      <c r="D3400" s="73" t="str">
        <f>IFERROR(VLOOKUP(C3400,Stock,3,FALSE),"")</f>
        <v>Toyota Innova 04-15 1st Gen</v>
      </c>
      <c r="E3400" s="56">
        <v>1.0</v>
      </c>
      <c r="F3400" s="161">
        <v>1342000.0</v>
      </c>
      <c r="G3400" s="162">
        <f t="shared" si="44"/>
        <v>1342000</v>
      </c>
      <c r="H3400" s="194"/>
      <c r="I3400" s="161">
        <f t="shared" si="45"/>
        <v>1342000</v>
      </c>
      <c r="J3400" s="164">
        <f t="shared" si="46"/>
        <v>1342000</v>
      </c>
      <c r="K3400" s="56" t="s">
        <v>11047</v>
      </c>
      <c r="L3400" s="165" t="s">
        <v>11048</v>
      </c>
      <c r="M3400" s="73"/>
      <c r="N3400" s="171"/>
      <c r="O3400" s="169" t="s">
        <v>2958</v>
      </c>
      <c r="P3400" s="168" t="s">
        <v>3112</v>
      </c>
      <c r="Q3400" s="173"/>
      <c r="R3400" s="161">
        <v>1342000.0</v>
      </c>
      <c r="S3400" s="173"/>
      <c r="T3400" s="173"/>
      <c r="U3400" s="173"/>
      <c r="V3400" s="169"/>
      <c r="W3400" s="171"/>
      <c r="X3400" s="171"/>
    </row>
    <row r="3401" ht="15.0" customHeight="1">
      <c r="A3401" s="127">
        <v>46095.0</v>
      </c>
      <c r="B3401" s="181" t="s">
        <v>11049</v>
      </c>
      <c r="C3401" s="56" t="s">
        <v>3127</v>
      </c>
      <c r="D3401" s="73" t="str">
        <f>IFERROR(VLOOKUP(C3401,Stock,3,FALSE),"")</f>
        <v>Toyota Avanza / Xenia 03-11 1st Gen</v>
      </c>
      <c r="E3401" s="56">
        <v>1.0</v>
      </c>
      <c r="F3401" s="161">
        <v>839000.0</v>
      </c>
      <c r="G3401" s="162">
        <f t="shared" si="44"/>
        <v>839000</v>
      </c>
      <c r="H3401" s="194"/>
      <c r="I3401" s="161">
        <f t="shared" si="45"/>
        <v>839000</v>
      </c>
      <c r="J3401" s="164">
        <f t="shared" si="46"/>
        <v>839000</v>
      </c>
      <c r="K3401" s="487" t="s">
        <v>11050</v>
      </c>
      <c r="L3401" s="165" t="s">
        <v>11051</v>
      </c>
      <c r="M3401" s="73"/>
      <c r="N3401" s="171"/>
      <c r="O3401" s="169" t="s">
        <v>2958</v>
      </c>
      <c r="P3401" s="168" t="s">
        <v>3112</v>
      </c>
      <c r="Q3401" s="167">
        <v>839000.0</v>
      </c>
      <c r="R3401" s="167"/>
      <c r="S3401" s="173"/>
      <c r="T3401" s="173"/>
      <c r="U3401" s="173"/>
      <c r="V3401" s="169"/>
      <c r="W3401" s="171"/>
      <c r="X3401" s="171"/>
    </row>
    <row r="3402" ht="15.0" customHeight="1">
      <c r="A3402" s="127">
        <v>46095.0</v>
      </c>
      <c r="B3402" s="181" t="s">
        <v>11052</v>
      </c>
      <c r="C3402" s="56" t="s">
        <v>7955</v>
      </c>
      <c r="D3402" s="73" t="str">
        <f>IFERROR(VLOOKUP(C3402,Stock,3,FALSE),"")</f>
        <v>Mers-Benz E-Class 09-16 W212 (2 Sensor/ □Δ)</v>
      </c>
      <c r="E3402" s="56">
        <v>1.0</v>
      </c>
      <c r="F3402" s="161">
        <v>4332000.0</v>
      </c>
      <c r="G3402" s="162">
        <f t="shared" si="44"/>
        <v>4332000</v>
      </c>
      <c r="H3402" s="194"/>
      <c r="I3402" s="161">
        <f t="shared" si="45"/>
        <v>4332000</v>
      </c>
      <c r="J3402" s="164">
        <f t="shared" si="46"/>
        <v>4332000</v>
      </c>
      <c r="K3402" s="73"/>
      <c r="L3402" s="73"/>
      <c r="M3402" s="73"/>
      <c r="N3402" s="171"/>
      <c r="O3402" s="169" t="s">
        <v>2958</v>
      </c>
      <c r="P3402" s="168" t="s">
        <v>3112</v>
      </c>
      <c r="Q3402" s="161">
        <v>4132000.0</v>
      </c>
      <c r="R3402" s="167">
        <v>200000.0</v>
      </c>
      <c r="S3402" s="173"/>
      <c r="T3402" s="173"/>
      <c r="U3402" s="173"/>
      <c r="V3402" s="169"/>
      <c r="W3402" s="171"/>
      <c r="X3402" s="171"/>
    </row>
    <row r="3403" ht="15.0" customHeight="1">
      <c r="A3403" s="127">
        <v>46095.0</v>
      </c>
      <c r="B3403" s="181" t="s">
        <v>11052</v>
      </c>
      <c r="C3403" s="56" t="s">
        <v>2954</v>
      </c>
      <c r="D3403" s="73" t="str">
        <f>IFERROR(VLOOKUP(C3403,Stock,3,FALSE),"")</f>
        <v>Transport</v>
      </c>
      <c r="E3403" s="56">
        <v>1.0</v>
      </c>
      <c r="F3403" s="6">
        <v>130000.0</v>
      </c>
      <c r="G3403" s="162">
        <f>E3403*Q3403</f>
        <v>130000</v>
      </c>
      <c r="H3403" s="194"/>
      <c r="I3403" s="161">
        <f t="shared" si="45"/>
        <v>130000</v>
      </c>
      <c r="J3403" s="164">
        <f t="shared" si="46"/>
        <v>130000</v>
      </c>
      <c r="K3403" s="73"/>
      <c r="L3403" s="73"/>
      <c r="M3403" s="73"/>
      <c r="N3403" s="171"/>
      <c r="O3403" s="169" t="s">
        <v>2958</v>
      </c>
      <c r="P3403" s="168" t="s">
        <v>3112</v>
      </c>
      <c r="Q3403" s="161">
        <v>130000.0</v>
      </c>
      <c r="R3403" s="173"/>
      <c r="S3403" s="173"/>
      <c r="T3403" s="173"/>
      <c r="U3403" s="173"/>
      <c r="V3403" s="169"/>
      <c r="W3403" s="171"/>
      <c r="X3403" s="171"/>
    </row>
    <row r="3404" ht="15.0" customHeight="1">
      <c r="A3404" s="127">
        <v>46095.0</v>
      </c>
      <c r="B3404" s="181" t="s">
        <v>11053</v>
      </c>
      <c r="C3404" s="56" t="s">
        <v>3411</v>
      </c>
      <c r="D3404" s="73" t="str">
        <f>IFERROR(VLOOKUP(C3404,Stock,3,FALSE),"")</f>
        <v>Toyota Agya/Ayla 13-22 1st Gen</v>
      </c>
      <c r="E3404" s="56">
        <v>1.0</v>
      </c>
      <c r="F3404" s="161">
        <v>950000.0</v>
      </c>
      <c r="G3404" s="162">
        <f t="shared" ref="G3404:G3530" si="47">E3404*F3404</f>
        <v>950000</v>
      </c>
      <c r="H3404" s="194"/>
      <c r="I3404" s="161">
        <f t="shared" si="45"/>
        <v>950000</v>
      </c>
      <c r="J3404" s="164">
        <f t="shared" si="46"/>
        <v>950000</v>
      </c>
      <c r="K3404" s="56" t="s">
        <v>11054</v>
      </c>
      <c r="L3404" s="165" t="s">
        <v>11055</v>
      </c>
      <c r="M3404" s="73"/>
      <c r="N3404" s="171"/>
      <c r="O3404" s="169" t="s">
        <v>2958</v>
      </c>
      <c r="P3404" s="168" t="s">
        <v>3112</v>
      </c>
      <c r="Q3404" s="167">
        <v>100000.0</v>
      </c>
      <c r="R3404" s="161">
        <v>850000.0</v>
      </c>
      <c r="S3404" s="173"/>
      <c r="T3404" s="173"/>
      <c r="U3404" s="173"/>
      <c r="V3404" s="169"/>
      <c r="W3404" s="171"/>
      <c r="X3404" s="171"/>
    </row>
    <row r="3405" ht="15.0" customHeight="1">
      <c r="A3405" s="127">
        <v>46095.0</v>
      </c>
      <c r="B3405" s="181" t="s">
        <v>11056</v>
      </c>
      <c r="C3405" s="56" t="s">
        <v>2670</v>
      </c>
      <c r="D3405" s="73" t="str">
        <f>IFERROR(VLOOKUP(C3405,Stock,3,FALSE),"")</f>
        <v>Honda City 02-08 4th Gen Idsi GD8</v>
      </c>
      <c r="E3405" s="56">
        <v>1.0</v>
      </c>
      <c r="F3405" s="161">
        <v>1871000.0</v>
      </c>
      <c r="G3405" s="162">
        <f t="shared" si="47"/>
        <v>1871000</v>
      </c>
      <c r="H3405" s="194"/>
      <c r="I3405" s="161">
        <f t="shared" si="45"/>
        <v>1871000</v>
      </c>
      <c r="J3405" s="164">
        <f t="shared" si="46"/>
        <v>1871000</v>
      </c>
      <c r="K3405" s="487" t="s">
        <v>5406</v>
      </c>
      <c r="L3405" s="165" t="s">
        <v>11057</v>
      </c>
      <c r="M3405" s="73"/>
      <c r="N3405" s="171"/>
      <c r="O3405" s="169" t="s">
        <v>2958</v>
      </c>
      <c r="P3405" s="168" t="s">
        <v>3112</v>
      </c>
      <c r="Q3405" s="173"/>
      <c r="R3405" s="161">
        <v>1871000.0</v>
      </c>
      <c r="S3405" s="173"/>
      <c r="T3405" s="173"/>
      <c r="U3405" s="173"/>
      <c r="V3405" s="169"/>
      <c r="W3405" s="171"/>
      <c r="X3405" s="171"/>
    </row>
    <row r="3406" ht="15.0" customHeight="1">
      <c r="A3406" s="127">
        <v>46095.0</v>
      </c>
      <c r="B3406" s="181" t="s">
        <v>11056</v>
      </c>
      <c r="C3406" s="56" t="s">
        <v>10233</v>
      </c>
      <c r="D3406" s="73" t="str">
        <f>IFERROR(VLOOKUP(C3406,Stock,3,FALSE),"")</f>
        <v>Automotive Film Standard - Black 60%       </v>
      </c>
      <c r="E3406" s="56">
        <v>1.0</v>
      </c>
      <c r="F3406" s="161">
        <v>350000.0</v>
      </c>
      <c r="G3406" s="162">
        <f t="shared" si="47"/>
        <v>350000</v>
      </c>
      <c r="H3406" s="194"/>
      <c r="I3406" s="161">
        <f t="shared" si="45"/>
        <v>350000</v>
      </c>
      <c r="J3406" s="164">
        <f t="shared" si="46"/>
        <v>350000</v>
      </c>
      <c r="K3406" s="487" t="s">
        <v>5406</v>
      </c>
      <c r="L3406" s="165" t="s">
        <v>11057</v>
      </c>
      <c r="M3406" s="73"/>
      <c r="N3406" s="171"/>
      <c r="O3406" s="169" t="s">
        <v>2958</v>
      </c>
      <c r="P3406" s="168" t="s">
        <v>3112</v>
      </c>
      <c r="Q3406" s="173"/>
      <c r="R3406" s="161">
        <v>350000.0</v>
      </c>
      <c r="S3406" s="173"/>
      <c r="T3406" s="173"/>
      <c r="U3406" s="173"/>
      <c r="V3406" s="169"/>
      <c r="W3406" s="171"/>
      <c r="X3406" s="171"/>
    </row>
    <row r="3407" ht="15.0" customHeight="1">
      <c r="A3407" s="127">
        <v>46095.0</v>
      </c>
      <c r="B3407" s="476" t="s">
        <v>11058</v>
      </c>
      <c r="C3407" s="56" t="s">
        <v>9275</v>
      </c>
      <c r="D3407" s="73" t="str">
        <f>IFERROR(VLOOKUP(C3407,Stock,3,FALSE),"")</f>
        <v>Toyota Rush / Terios 06-17 (Toyota/Daihatsu)</v>
      </c>
      <c r="E3407" s="56">
        <v>1.0</v>
      </c>
      <c r="F3407" s="161">
        <v>1000000.0</v>
      </c>
      <c r="G3407" s="162">
        <f t="shared" si="47"/>
        <v>1000000</v>
      </c>
      <c r="H3407" s="194"/>
      <c r="I3407" s="161">
        <f t="shared" si="45"/>
        <v>1000000</v>
      </c>
      <c r="J3407" s="164">
        <f t="shared" si="46"/>
        <v>1000000</v>
      </c>
      <c r="K3407" s="56" t="s">
        <v>11059</v>
      </c>
      <c r="L3407" s="165" t="s">
        <v>11060</v>
      </c>
      <c r="M3407" s="73"/>
      <c r="N3407" s="171"/>
      <c r="O3407" s="169" t="s">
        <v>2958</v>
      </c>
      <c r="P3407" s="168" t="s">
        <v>3112</v>
      </c>
      <c r="Q3407" s="161">
        <v>1000000.0</v>
      </c>
      <c r="R3407" s="173"/>
      <c r="S3407" s="173"/>
      <c r="T3407" s="173"/>
      <c r="U3407" s="173"/>
      <c r="V3407" s="169"/>
      <c r="W3407" s="171"/>
      <c r="X3407" s="171"/>
    </row>
    <row r="3408" ht="15.0" customHeight="1">
      <c r="A3408" s="127">
        <v>46096.0</v>
      </c>
      <c r="B3408" s="476" t="s">
        <v>11061</v>
      </c>
      <c r="C3408" s="56" t="s">
        <v>2692</v>
      </c>
      <c r="D3408" s="73" t="str">
        <f>IFERROR(VLOOKUP(C3408,Stock,3,FALSE),"")</f>
        <v>Suzuki Ertiga 18- 2nd Gen / XL7</v>
      </c>
      <c r="E3408" s="56">
        <v>1.0</v>
      </c>
      <c r="F3408" s="161">
        <v>1450000.0</v>
      </c>
      <c r="G3408" s="162">
        <f t="shared" si="47"/>
        <v>1450000</v>
      </c>
      <c r="H3408" s="194"/>
      <c r="I3408" s="161">
        <f t="shared" si="45"/>
        <v>1450000</v>
      </c>
      <c r="J3408" s="164">
        <f t="shared" si="46"/>
        <v>1450000</v>
      </c>
      <c r="K3408" s="56" t="s">
        <v>11062</v>
      </c>
      <c r="L3408" s="165" t="s">
        <v>11063</v>
      </c>
      <c r="M3408" s="73"/>
      <c r="N3408" s="171"/>
      <c r="O3408" s="169" t="s">
        <v>2958</v>
      </c>
      <c r="P3408" s="168" t="s">
        <v>3112</v>
      </c>
      <c r="Q3408" s="173"/>
      <c r="R3408" s="161">
        <v>1450000.0</v>
      </c>
      <c r="S3408" s="173"/>
      <c r="T3408" s="173"/>
      <c r="U3408" s="173"/>
      <c r="V3408" s="169"/>
      <c r="W3408" s="171"/>
      <c r="X3408" s="171"/>
    </row>
    <row r="3409" ht="15.0" customHeight="1">
      <c r="A3409" s="127">
        <v>46096.0</v>
      </c>
      <c r="B3409" s="476" t="s">
        <v>11064</v>
      </c>
      <c r="C3409" s="56" t="s">
        <v>5587</v>
      </c>
      <c r="D3409" s="73" t="str">
        <f>IFERROR(VLOOKUP(C3409,Stock,3,FALSE),"")</f>
        <v>Honda CR-V 02-04 2nd Gen (Spion Jepit)</v>
      </c>
      <c r="E3409" s="56">
        <v>1.0</v>
      </c>
      <c r="F3409" s="161">
        <v>1682000.0</v>
      </c>
      <c r="G3409" s="162">
        <f t="shared" si="47"/>
        <v>1682000</v>
      </c>
      <c r="H3409" s="194"/>
      <c r="I3409" s="161">
        <f t="shared" si="45"/>
        <v>1682000</v>
      </c>
      <c r="J3409" s="164">
        <f t="shared" si="46"/>
        <v>1682000</v>
      </c>
      <c r="K3409" s="73"/>
      <c r="L3409" s="73"/>
      <c r="M3409" s="73"/>
      <c r="N3409" s="171"/>
      <c r="O3409" s="169" t="s">
        <v>2958</v>
      </c>
      <c r="P3409" s="168" t="s">
        <v>3112</v>
      </c>
      <c r="Q3409" s="173"/>
      <c r="R3409" s="161">
        <v>1682000.0</v>
      </c>
      <c r="S3409" s="173"/>
      <c r="T3409" s="173"/>
      <c r="U3409" s="173"/>
      <c r="V3409" s="169"/>
      <c r="W3409" s="171"/>
      <c r="X3409" s="171"/>
    </row>
    <row r="3410" ht="15.0" customHeight="1">
      <c r="A3410" s="127">
        <v>46096.0</v>
      </c>
      <c r="B3410" s="476" t="s">
        <v>11064</v>
      </c>
      <c r="C3410" s="56" t="s">
        <v>10233</v>
      </c>
      <c r="D3410" s="73" t="str">
        <f>IFERROR(VLOOKUP(C3410,Stock,3,FALSE),"")</f>
        <v>Automotive Film Standard - Black 60%       </v>
      </c>
      <c r="E3410" s="56">
        <v>1.0</v>
      </c>
      <c r="F3410" s="161">
        <v>400000.0</v>
      </c>
      <c r="G3410" s="162">
        <f t="shared" si="47"/>
        <v>400000</v>
      </c>
      <c r="H3410" s="194"/>
      <c r="I3410" s="161">
        <f t="shared" si="45"/>
        <v>400000</v>
      </c>
      <c r="J3410" s="164">
        <f t="shared" si="46"/>
        <v>400000</v>
      </c>
      <c r="K3410" s="73"/>
      <c r="L3410" s="73"/>
      <c r="M3410" s="73"/>
      <c r="N3410" s="171"/>
      <c r="O3410" s="169" t="s">
        <v>2958</v>
      </c>
      <c r="P3410" s="168" t="s">
        <v>3112</v>
      </c>
      <c r="Q3410" s="173"/>
      <c r="R3410" s="161">
        <v>400000.0</v>
      </c>
      <c r="S3410" s="173"/>
      <c r="T3410" s="173"/>
      <c r="U3410" s="173"/>
      <c r="V3410" s="169"/>
      <c r="W3410" s="171"/>
      <c r="X3410" s="171"/>
    </row>
    <row r="3411" ht="15.0" customHeight="1">
      <c r="A3411" s="127">
        <v>46096.0</v>
      </c>
      <c r="B3411" s="476" t="s">
        <v>11065</v>
      </c>
      <c r="C3411" s="56" t="s">
        <v>3493</v>
      </c>
      <c r="D3411" s="73" t="str">
        <f>IFERROR(VLOOKUP(C3411,Stock,3,FALSE),"")</f>
        <v>Nissan Livina 07-18 L10/L11</v>
      </c>
      <c r="E3411" s="56">
        <v>1.0</v>
      </c>
      <c r="F3411" s="161">
        <v>1290000.0</v>
      </c>
      <c r="G3411" s="162">
        <f t="shared" si="47"/>
        <v>1290000</v>
      </c>
      <c r="H3411" s="194"/>
      <c r="I3411" s="161">
        <f t="shared" si="45"/>
        <v>1290000</v>
      </c>
      <c r="J3411" s="164">
        <f t="shared" si="46"/>
        <v>1290000</v>
      </c>
      <c r="K3411" s="73"/>
      <c r="L3411" s="73"/>
      <c r="M3411" s="73"/>
      <c r="N3411" s="171"/>
      <c r="O3411" s="169" t="s">
        <v>2958</v>
      </c>
      <c r="P3411" s="168" t="s">
        <v>3112</v>
      </c>
      <c r="Q3411" s="161">
        <v>1290000.0</v>
      </c>
      <c r="R3411" s="173"/>
      <c r="S3411" s="173"/>
      <c r="T3411" s="173"/>
      <c r="U3411" s="173"/>
      <c r="V3411" s="169"/>
      <c r="W3411" s="171"/>
      <c r="X3411" s="171"/>
    </row>
    <row r="3412" ht="15.0" customHeight="1">
      <c r="A3412" s="127">
        <v>46096.0</v>
      </c>
      <c r="B3412" s="476" t="s">
        <v>11066</v>
      </c>
      <c r="C3412" s="56" t="s">
        <v>3493</v>
      </c>
      <c r="D3412" s="73" t="str">
        <f>IFERROR(VLOOKUP(C3412,Stock,3,FALSE),"")</f>
        <v>Nissan Livina 07-18 L10/L11</v>
      </c>
      <c r="E3412" s="56">
        <v>1.0</v>
      </c>
      <c r="F3412" s="161">
        <v>1100000.0</v>
      </c>
      <c r="G3412" s="162">
        <f t="shared" si="47"/>
        <v>1100000</v>
      </c>
      <c r="H3412" s="194"/>
      <c r="I3412" s="161">
        <f t="shared" si="45"/>
        <v>1100000</v>
      </c>
      <c r="J3412" s="164">
        <f t="shared" si="46"/>
        <v>1100000</v>
      </c>
      <c r="K3412" s="73"/>
      <c r="L3412" s="73"/>
      <c r="M3412" s="73"/>
      <c r="N3412" s="171"/>
      <c r="O3412" s="169" t="s">
        <v>2958</v>
      </c>
      <c r="P3412" s="168" t="s">
        <v>3112</v>
      </c>
      <c r="Q3412" s="161">
        <v>1100000.0</v>
      </c>
      <c r="R3412" s="173"/>
      <c r="S3412" s="173"/>
      <c r="T3412" s="173"/>
      <c r="U3412" s="173"/>
      <c r="V3412" s="169"/>
      <c r="W3412" s="171"/>
      <c r="X3412" s="171"/>
    </row>
    <row r="3413" ht="15.0" customHeight="1">
      <c r="A3413" s="127">
        <v>46096.0</v>
      </c>
      <c r="B3413" s="476" t="s">
        <v>11066</v>
      </c>
      <c r="C3413" s="56" t="s">
        <v>3059</v>
      </c>
      <c r="D3413" s="73" t="str">
        <f>IFERROR(VLOOKUP(C3413,Stock,3,FALSE),"")</f>
        <v>Sealant Polyurethane XYG Tube</v>
      </c>
      <c r="E3413" s="161">
        <v>2.0</v>
      </c>
      <c r="F3413" s="161">
        <v>95000.0</v>
      </c>
      <c r="G3413" s="162">
        <f t="shared" si="47"/>
        <v>190000</v>
      </c>
      <c r="H3413" s="194"/>
      <c r="I3413" s="161">
        <f t="shared" si="45"/>
        <v>190000</v>
      </c>
      <c r="J3413" s="164">
        <f t="shared" si="46"/>
        <v>190000</v>
      </c>
      <c r="K3413" s="73"/>
      <c r="L3413" s="73"/>
      <c r="M3413" s="73"/>
      <c r="N3413" s="171"/>
      <c r="O3413" s="169" t="s">
        <v>2958</v>
      </c>
      <c r="P3413" s="168" t="s">
        <v>3112</v>
      </c>
      <c r="Q3413" s="161">
        <v>95000.0</v>
      </c>
      <c r="R3413" s="173"/>
      <c r="S3413" s="173"/>
      <c r="T3413" s="173"/>
      <c r="U3413" s="173"/>
      <c r="V3413" s="169"/>
      <c r="W3413" s="171"/>
      <c r="X3413" s="171"/>
    </row>
    <row r="3414" ht="15.0" customHeight="1">
      <c r="A3414" s="127">
        <v>46096.0</v>
      </c>
      <c r="B3414" s="476" t="s">
        <v>11066</v>
      </c>
      <c r="C3414" s="6" t="s">
        <v>10233</v>
      </c>
      <c r="D3414" s="73" t="str">
        <f>IFERROR(VLOOKUP(C3414,Stock,3,FALSE),"")</f>
        <v>Automotive Film Standard - Black 60%       </v>
      </c>
      <c r="E3414" s="56">
        <v>1.0</v>
      </c>
      <c r="F3414" s="161">
        <v>400000.0</v>
      </c>
      <c r="G3414" s="162">
        <f t="shared" si="47"/>
        <v>400000</v>
      </c>
      <c r="H3414" s="194"/>
      <c r="I3414" s="161">
        <f t="shared" si="45"/>
        <v>400000</v>
      </c>
      <c r="J3414" s="164">
        <f t="shared" si="46"/>
        <v>400000</v>
      </c>
      <c r="K3414" s="73"/>
      <c r="L3414" s="73"/>
      <c r="M3414" s="73"/>
      <c r="N3414" s="171"/>
      <c r="O3414" s="169" t="s">
        <v>2958</v>
      </c>
      <c r="P3414" s="168" t="s">
        <v>3112</v>
      </c>
      <c r="Q3414" s="161">
        <v>400000.0</v>
      </c>
      <c r="R3414" s="173"/>
      <c r="S3414" s="173"/>
      <c r="T3414" s="173"/>
      <c r="U3414" s="173"/>
      <c r="V3414" s="169"/>
      <c r="W3414" s="171"/>
      <c r="X3414" s="171"/>
    </row>
    <row r="3415" ht="15.0" customHeight="1">
      <c r="A3415" s="127">
        <v>46096.0</v>
      </c>
      <c r="B3415" s="476" t="s">
        <v>11067</v>
      </c>
      <c r="C3415" s="6" t="s">
        <v>3347</v>
      </c>
      <c r="D3415" s="73" t="str">
        <f>IFERROR(VLOOKUP(C3415,Stock,3,FALSE),"")</f>
        <v>Toyota Avanza / Xenia 03-11 1st Gen</v>
      </c>
      <c r="E3415" s="56">
        <v>1.0</v>
      </c>
      <c r="F3415" s="161">
        <v>500000.0</v>
      </c>
      <c r="G3415" s="162">
        <f t="shared" si="47"/>
        <v>500000</v>
      </c>
      <c r="H3415" s="194"/>
      <c r="I3415" s="161">
        <f t="shared" si="45"/>
        <v>500000</v>
      </c>
      <c r="J3415" s="164">
        <f t="shared" si="46"/>
        <v>500000</v>
      </c>
      <c r="K3415" s="73"/>
      <c r="L3415" s="73"/>
      <c r="M3415" s="73"/>
      <c r="N3415" s="171"/>
      <c r="O3415" s="169" t="s">
        <v>2958</v>
      </c>
      <c r="P3415" s="168" t="s">
        <v>3112</v>
      </c>
      <c r="Q3415" s="161">
        <v>500000.0</v>
      </c>
      <c r="R3415" s="173"/>
      <c r="S3415" s="173"/>
      <c r="T3415" s="173"/>
      <c r="U3415" s="173"/>
      <c r="V3415" s="169"/>
      <c r="W3415" s="171"/>
      <c r="X3415" s="171"/>
    </row>
    <row r="3416" ht="15.0" customHeight="1">
      <c r="A3416" s="127">
        <v>46096.0</v>
      </c>
      <c r="B3416" s="476" t="s">
        <v>11067</v>
      </c>
      <c r="C3416" s="56" t="s">
        <v>10233</v>
      </c>
      <c r="D3416" s="73" t="str">
        <f>IFERROR(VLOOKUP(C3416,Stock,3,FALSE),"")</f>
        <v>Automotive Film Standard - Black 60%       </v>
      </c>
      <c r="E3416" s="56">
        <v>1.0</v>
      </c>
      <c r="F3416" s="161">
        <v>150000.0</v>
      </c>
      <c r="G3416" s="162">
        <f t="shared" si="47"/>
        <v>150000</v>
      </c>
      <c r="H3416" s="194"/>
      <c r="I3416" s="161">
        <f t="shared" si="45"/>
        <v>150000</v>
      </c>
      <c r="J3416" s="164">
        <f t="shared" si="46"/>
        <v>150000</v>
      </c>
      <c r="K3416" s="56"/>
      <c r="L3416" s="56"/>
      <c r="M3416" s="73"/>
      <c r="N3416" s="171"/>
      <c r="O3416" s="169"/>
      <c r="P3416" s="168"/>
      <c r="Q3416" s="161">
        <v>150000.0</v>
      </c>
      <c r="R3416" s="173"/>
      <c r="S3416" s="173"/>
      <c r="T3416" s="173"/>
      <c r="U3416" s="173"/>
      <c r="V3416" s="169"/>
      <c r="W3416" s="171"/>
      <c r="X3416" s="171"/>
    </row>
    <row r="3417" ht="15.0" customHeight="1">
      <c r="A3417" s="127">
        <v>46097.0</v>
      </c>
      <c r="B3417" s="476" t="s">
        <v>11068</v>
      </c>
      <c r="C3417" s="56" t="s">
        <v>3099</v>
      </c>
      <c r="D3417" s="73" t="str">
        <f>IFERROR(VLOOKUP(C3417,Stock,3,FALSE),"")</f>
        <v>Toyota Calya / Sigra 16-</v>
      </c>
      <c r="E3417" s="56">
        <v>1.0</v>
      </c>
      <c r="F3417" s="161">
        <v>1119000.0</v>
      </c>
      <c r="G3417" s="162">
        <f t="shared" si="47"/>
        <v>1119000</v>
      </c>
      <c r="H3417" s="194"/>
      <c r="I3417" s="161">
        <f t="shared" si="45"/>
        <v>1119000</v>
      </c>
      <c r="J3417" s="164">
        <f t="shared" si="46"/>
        <v>1119000</v>
      </c>
      <c r="K3417" s="56" t="s">
        <v>6673</v>
      </c>
      <c r="L3417" s="165" t="s">
        <v>11069</v>
      </c>
      <c r="M3417" s="73"/>
      <c r="N3417" s="171"/>
      <c r="O3417" s="169" t="s">
        <v>2958</v>
      </c>
      <c r="P3417" s="168" t="s">
        <v>3112</v>
      </c>
      <c r="Q3417" s="161">
        <v>1119000.0</v>
      </c>
      <c r="R3417" s="173"/>
      <c r="S3417" s="173"/>
      <c r="T3417" s="173"/>
      <c r="U3417" s="173"/>
      <c r="V3417" s="169"/>
      <c r="W3417" s="171"/>
      <c r="X3417" s="171"/>
    </row>
    <row r="3418" ht="15.0" customHeight="1">
      <c r="A3418" s="127">
        <v>46097.0</v>
      </c>
      <c r="B3418" s="476" t="s">
        <v>11070</v>
      </c>
      <c r="C3418" s="56" t="s">
        <v>10233</v>
      </c>
      <c r="D3418" s="73" t="str">
        <f>IFERROR(VLOOKUP(C3418,Stock,3,FALSE),"")</f>
        <v>Automotive Film Standard - Black 60%       </v>
      </c>
      <c r="E3418" s="56">
        <v>1.0</v>
      </c>
      <c r="F3418" s="161">
        <v>150000.0</v>
      </c>
      <c r="G3418" s="162">
        <f t="shared" si="47"/>
        <v>150000</v>
      </c>
      <c r="H3418" s="194"/>
      <c r="I3418" s="161">
        <f t="shared" si="45"/>
        <v>150000</v>
      </c>
      <c r="J3418" s="164">
        <f t="shared" si="46"/>
        <v>150000</v>
      </c>
      <c r="K3418" s="56" t="s">
        <v>10935</v>
      </c>
      <c r="L3418" s="165" t="s">
        <v>10936</v>
      </c>
      <c r="M3418" s="73"/>
      <c r="N3418" s="171"/>
      <c r="O3418" s="169" t="s">
        <v>6923</v>
      </c>
      <c r="P3418" s="168" t="s">
        <v>3112</v>
      </c>
      <c r="Q3418" s="173"/>
      <c r="R3418" s="161">
        <v>150000.0</v>
      </c>
      <c r="S3418" s="173"/>
      <c r="T3418" s="173"/>
      <c r="U3418" s="173"/>
      <c r="V3418" s="169"/>
      <c r="W3418" s="171"/>
      <c r="X3418" s="171"/>
    </row>
    <row r="3419" ht="15.0" customHeight="1">
      <c r="A3419" s="127">
        <v>46097.0</v>
      </c>
      <c r="B3419" s="476" t="s">
        <v>11071</v>
      </c>
      <c r="C3419" s="56" t="s">
        <v>4323</v>
      </c>
      <c r="D3419" s="73" t="str">
        <f>IFERROR(VLOOKUP(C3419,Stock,3,FALSE),"")</f>
        <v>Daihatsu Sirion 11-18 2nd Gen</v>
      </c>
      <c r="E3419" s="56">
        <v>1.0</v>
      </c>
      <c r="F3419" s="161">
        <v>1639000.0</v>
      </c>
      <c r="G3419" s="162">
        <f t="shared" si="47"/>
        <v>1639000</v>
      </c>
      <c r="H3419" s="194"/>
      <c r="I3419" s="161">
        <f t="shared" si="45"/>
        <v>1639000</v>
      </c>
      <c r="J3419" s="164">
        <f t="shared" si="46"/>
        <v>1639000</v>
      </c>
      <c r="K3419" s="56" t="s">
        <v>11072</v>
      </c>
      <c r="L3419" s="165" t="s">
        <v>11073</v>
      </c>
      <c r="M3419" s="73"/>
      <c r="N3419" s="171"/>
      <c r="O3419" s="169" t="s">
        <v>6923</v>
      </c>
      <c r="P3419" s="168" t="s">
        <v>3112</v>
      </c>
      <c r="Q3419" s="173"/>
      <c r="R3419" s="161">
        <v>1639000.0</v>
      </c>
      <c r="S3419" s="173"/>
      <c r="T3419" s="173"/>
      <c r="U3419" s="173"/>
      <c r="V3419" s="169"/>
      <c r="W3419" s="171"/>
      <c r="X3419" s="171"/>
    </row>
    <row r="3420" ht="15.0" customHeight="1">
      <c r="A3420" s="127">
        <v>46097.0</v>
      </c>
      <c r="B3420" s="476" t="s">
        <v>11074</v>
      </c>
      <c r="C3420" s="56" t="s">
        <v>4775</v>
      </c>
      <c r="D3420" s="73" t="str">
        <f>IFERROR(VLOOKUP(C3420,Stock,3,FALSE),"")</f>
        <v>Toyota Avanza / Xenia 11-15 2nd Gen / 15-21 3rd Gen</v>
      </c>
      <c r="E3420" s="56">
        <v>1.0</v>
      </c>
      <c r="F3420" s="161">
        <v>880000.0</v>
      </c>
      <c r="G3420" s="162">
        <f t="shared" si="47"/>
        <v>880000</v>
      </c>
      <c r="H3420" s="194"/>
      <c r="I3420" s="161">
        <f t="shared" si="45"/>
        <v>880000</v>
      </c>
      <c r="J3420" s="164">
        <f t="shared" si="46"/>
        <v>880000</v>
      </c>
      <c r="K3420" s="56" t="s">
        <v>11075</v>
      </c>
      <c r="L3420" s="165" t="s">
        <v>11076</v>
      </c>
      <c r="M3420" s="73"/>
      <c r="N3420" s="171"/>
      <c r="O3420" s="169" t="s">
        <v>6923</v>
      </c>
      <c r="P3420" s="168" t="s">
        <v>3112</v>
      </c>
      <c r="Q3420" s="173"/>
      <c r="R3420" s="161">
        <v>880000.0</v>
      </c>
      <c r="S3420" s="173"/>
      <c r="T3420" s="173"/>
      <c r="U3420" s="173"/>
      <c r="V3420" s="169"/>
      <c r="W3420" s="171"/>
      <c r="X3420" s="171"/>
    </row>
    <row r="3421" ht="15.0" customHeight="1">
      <c r="A3421" s="127">
        <v>46097.0</v>
      </c>
      <c r="B3421" s="476" t="s">
        <v>11077</v>
      </c>
      <c r="C3421" s="56" t="s">
        <v>8623</v>
      </c>
      <c r="D3421" s="73" t="str">
        <f>IFERROR(VLOOKUP(C3421,Stock,3,FALSE),"")</f>
        <v>Daihatsu Gran Max / Luxio 07-</v>
      </c>
      <c r="E3421" s="56">
        <v>1.0</v>
      </c>
      <c r="F3421" s="161">
        <v>855000.0</v>
      </c>
      <c r="G3421" s="162">
        <f t="shared" si="47"/>
        <v>855000</v>
      </c>
      <c r="H3421" s="194"/>
      <c r="I3421" s="161">
        <f t="shared" si="45"/>
        <v>855000</v>
      </c>
      <c r="J3421" s="164">
        <f t="shared" si="46"/>
        <v>855000</v>
      </c>
      <c r="K3421" s="56" t="s">
        <v>11078</v>
      </c>
      <c r="L3421" s="165" t="s">
        <v>11079</v>
      </c>
      <c r="M3421" s="73"/>
      <c r="N3421" s="171"/>
      <c r="O3421" s="169" t="s">
        <v>6923</v>
      </c>
      <c r="P3421" s="168" t="s">
        <v>3112</v>
      </c>
      <c r="Q3421" s="173"/>
      <c r="R3421" s="161">
        <v>855000.0</v>
      </c>
      <c r="S3421" s="173"/>
      <c r="T3421" s="173"/>
      <c r="U3421" s="173"/>
      <c r="V3421" s="169"/>
      <c r="W3421" s="171"/>
      <c r="X3421" s="171"/>
    </row>
    <row r="3422" ht="15.0" customHeight="1">
      <c r="A3422" s="127">
        <v>46097.0</v>
      </c>
      <c r="B3422" s="476" t="s">
        <v>11077</v>
      </c>
      <c r="C3422" s="56" t="s">
        <v>2934</v>
      </c>
      <c r="D3422" s="73" t="str">
        <f>IFERROR(VLOOKUP(C3422,Stock,3,FALSE),"")</f>
        <v>Peti Kayu</v>
      </c>
      <c r="E3422" s="56">
        <v>1.0</v>
      </c>
      <c r="F3422" s="161">
        <v>200000.0</v>
      </c>
      <c r="G3422" s="162">
        <f t="shared" si="47"/>
        <v>200000</v>
      </c>
      <c r="H3422" s="194"/>
      <c r="I3422" s="161">
        <f t="shared" si="45"/>
        <v>200000</v>
      </c>
      <c r="J3422" s="164">
        <f t="shared" si="46"/>
        <v>200000</v>
      </c>
      <c r="K3422" s="56" t="s">
        <v>11078</v>
      </c>
      <c r="L3422" s="165" t="s">
        <v>11079</v>
      </c>
      <c r="M3422" s="73"/>
      <c r="N3422" s="171"/>
      <c r="O3422" s="169" t="s">
        <v>6923</v>
      </c>
      <c r="P3422" s="168" t="s">
        <v>3112</v>
      </c>
      <c r="Q3422" s="173"/>
      <c r="R3422" s="161">
        <v>200000.0</v>
      </c>
      <c r="S3422" s="173"/>
      <c r="T3422" s="173"/>
      <c r="U3422" s="173"/>
      <c r="V3422" s="169"/>
      <c r="W3422" s="171"/>
      <c r="X3422" s="171"/>
    </row>
    <row r="3423" ht="15.0" customHeight="1">
      <c r="A3423" s="127">
        <v>46097.0</v>
      </c>
      <c r="B3423" s="476" t="s">
        <v>11080</v>
      </c>
      <c r="C3423" s="56" t="s">
        <v>3622</v>
      </c>
      <c r="D3423" s="73" t="str">
        <f>IFERROR(VLOOKUP(C3423,Stock,3,FALSE),"")</f>
        <v>Mitsubishi Pajero 08-16</v>
      </c>
      <c r="E3423" s="56">
        <v>1.0</v>
      </c>
      <c r="F3423" s="161">
        <v>1480000.0</v>
      </c>
      <c r="G3423" s="162">
        <f t="shared" si="47"/>
        <v>1480000</v>
      </c>
      <c r="H3423" s="194"/>
      <c r="I3423" s="161">
        <f t="shared" si="45"/>
        <v>1480000</v>
      </c>
      <c r="J3423" s="164">
        <f t="shared" si="46"/>
        <v>1480000</v>
      </c>
      <c r="K3423" s="56" t="s">
        <v>4155</v>
      </c>
      <c r="L3423" s="165" t="s">
        <v>11081</v>
      </c>
      <c r="M3423" s="73"/>
      <c r="N3423" s="171"/>
      <c r="O3423" s="169" t="s">
        <v>6923</v>
      </c>
      <c r="P3423" s="168" t="s">
        <v>3112</v>
      </c>
      <c r="Q3423" s="173"/>
      <c r="R3423" s="161">
        <v>1480000.0</v>
      </c>
      <c r="S3423" s="173"/>
      <c r="T3423" s="173"/>
      <c r="U3423" s="173"/>
      <c r="V3423" s="169"/>
      <c r="W3423" s="171"/>
      <c r="X3423" s="171"/>
    </row>
    <row r="3424" ht="15.0" customHeight="1">
      <c r="A3424" s="127">
        <v>46097.0</v>
      </c>
      <c r="B3424" s="476" t="s">
        <v>11082</v>
      </c>
      <c r="C3424" s="56" t="s">
        <v>3811</v>
      </c>
      <c r="D3424" s="73" t="str">
        <f>IFERROR(VLOOKUP(C3424,Stock,3,FALSE),"")</f>
        <v>Honda Civic 96-00 SO4/SO6 (Ferio)</v>
      </c>
      <c r="E3424" s="56">
        <v>1.0</v>
      </c>
      <c r="F3424" s="161">
        <v>1876000.0</v>
      </c>
      <c r="G3424" s="162">
        <f t="shared" si="47"/>
        <v>1876000</v>
      </c>
      <c r="H3424" s="194"/>
      <c r="I3424" s="161">
        <f t="shared" si="45"/>
        <v>1876000</v>
      </c>
      <c r="J3424" s="164">
        <f t="shared" si="46"/>
        <v>1876000</v>
      </c>
      <c r="K3424" s="56" t="s">
        <v>11083</v>
      </c>
      <c r="L3424" s="165" t="s">
        <v>11084</v>
      </c>
      <c r="M3424" s="73"/>
      <c r="N3424" s="171"/>
      <c r="O3424" s="169" t="s">
        <v>6923</v>
      </c>
      <c r="P3424" s="168" t="s">
        <v>3112</v>
      </c>
      <c r="Q3424" s="173"/>
      <c r="R3424" s="161">
        <v>1876000.0</v>
      </c>
      <c r="S3424" s="173"/>
      <c r="T3424" s="173"/>
      <c r="U3424" s="173"/>
      <c r="V3424" s="169"/>
      <c r="W3424" s="171"/>
      <c r="X3424" s="171"/>
    </row>
    <row r="3425" ht="15.0" customHeight="1">
      <c r="A3425" s="127">
        <v>46097.0</v>
      </c>
      <c r="B3425" s="476" t="s">
        <v>11082</v>
      </c>
      <c r="C3425" s="56" t="s">
        <v>2954</v>
      </c>
      <c r="D3425" s="73" t="str">
        <f>IFERROR(VLOOKUP(C3425,Stock,3,FALSE),"")</f>
        <v>Transport</v>
      </c>
      <c r="E3425" s="56">
        <v>1.0</v>
      </c>
      <c r="F3425" s="161">
        <v>180000.0</v>
      </c>
      <c r="G3425" s="162">
        <f t="shared" si="47"/>
        <v>180000</v>
      </c>
      <c r="H3425" s="194"/>
      <c r="I3425" s="161">
        <f t="shared" si="45"/>
        <v>180000</v>
      </c>
      <c r="J3425" s="164">
        <f t="shared" si="46"/>
        <v>180000</v>
      </c>
      <c r="K3425" s="56" t="s">
        <v>11083</v>
      </c>
      <c r="L3425" s="165" t="s">
        <v>11084</v>
      </c>
      <c r="M3425" s="73"/>
      <c r="N3425" s="171"/>
      <c r="O3425" s="169" t="s">
        <v>6923</v>
      </c>
      <c r="P3425" s="168" t="s">
        <v>3112</v>
      </c>
      <c r="Q3425" s="173"/>
      <c r="R3425" s="161">
        <v>180000.0</v>
      </c>
      <c r="S3425" s="173"/>
      <c r="T3425" s="173"/>
      <c r="U3425" s="173"/>
      <c r="V3425" s="169"/>
      <c r="W3425" s="171"/>
      <c r="X3425" s="171"/>
    </row>
    <row r="3426" ht="15.0" customHeight="1">
      <c r="A3426" s="127">
        <v>46097.0</v>
      </c>
      <c r="B3426" s="476" t="s">
        <v>11085</v>
      </c>
      <c r="C3426" s="56" t="s">
        <v>6624</v>
      </c>
      <c r="D3426" s="73" t="str">
        <f>IFERROR(VLOOKUP(C3426,Stock,3,FALSE),"")</f>
        <v>Toyota Innova 04-15 1st Gen (Toyota)</v>
      </c>
      <c r="E3426" s="56">
        <v>1.0</v>
      </c>
      <c r="F3426" s="161">
        <v>2788000.0</v>
      </c>
      <c r="G3426" s="162">
        <f t="shared" si="47"/>
        <v>2788000</v>
      </c>
      <c r="H3426" s="194"/>
      <c r="I3426" s="161">
        <f t="shared" si="45"/>
        <v>2788000</v>
      </c>
      <c r="J3426" s="164">
        <f t="shared" si="46"/>
        <v>2788000</v>
      </c>
      <c r="K3426" s="56" t="s">
        <v>11086</v>
      </c>
      <c r="L3426" s="165" t="s">
        <v>11087</v>
      </c>
      <c r="M3426" s="73"/>
      <c r="N3426" s="171"/>
      <c r="O3426" s="169" t="s">
        <v>6923</v>
      </c>
      <c r="P3426" s="168" t="s">
        <v>3112</v>
      </c>
      <c r="Q3426" s="173"/>
      <c r="R3426" s="161">
        <v>2788000.0</v>
      </c>
      <c r="S3426" s="173"/>
      <c r="T3426" s="173"/>
      <c r="U3426" s="173"/>
      <c r="V3426" s="169"/>
      <c r="W3426" s="171"/>
      <c r="X3426" s="171"/>
    </row>
    <row r="3427" ht="15.0" customHeight="1">
      <c r="A3427" s="127">
        <v>46097.0</v>
      </c>
      <c r="B3427" s="476" t="s">
        <v>11085</v>
      </c>
      <c r="C3427" s="56" t="s">
        <v>2954</v>
      </c>
      <c r="D3427" s="73" t="str">
        <f>IFERROR(VLOOKUP(C3427,Stock,3,FALSE),"")</f>
        <v>Transport</v>
      </c>
      <c r="E3427" s="56">
        <v>1.0</v>
      </c>
      <c r="F3427" s="161">
        <v>120000.0</v>
      </c>
      <c r="G3427" s="162">
        <f t="shared" si="47"/>
        <v>120000</v>
      </c>
      <c r="H3427" s="194"/>
      <c r="I3427" s="161">
        <f t="shared" si="45"/>
        <v>120000</v>
      </c>
      <c r="J3427" s="164">
        <f t="shared" si="46"/>
        <v>120000</v>
      </c>
      <c r="K3427" s="56" t="s">
        <v>11086</v>
      </c>
      <c r="L3427" s="165" t="s">
        <v>11087</v>
      </c>
      <c r="M3427" s="73"/>
      <c r="N3427" s="171"/>
      <c r="O3427" s="169" t="s">
        <v>6923</v>
      </c>
      <c r="P3427" s="168" t="s">
        <v>3112</v>
      </c>
      <c r="Q3427" s="173"/>
      <c r="R3427" s="161">
        <v>120000.0</v>
      </c>
      <c r="S3427" s="173"/>
      <c r="T3427" s="173"/>
      <c r="U3427" s="173"/>
      <c r="V3427" s="169"/>
      <c r="W3427" s="171"/>
      <c r="X3427" s="171"/>
    </row>
    <row r="3428" ht="15.0" customHeight="1">
      <c r="A3428" s="127">
        <v>46097.0</v>
      </c>
      <c r="B3428" s="476" t="s">
        <v>11085</v>
      </c>
      <c r="C3428" s="56" t="s">
        <v>3355</v>
      </c>
      <c r="D3428" s="73" t="str">
        <f>IFERROR(VLOOKUP(C3428,Stock,3,FALSE),"")</f>
        <v>List Kaca Depan INV</v>
      </c>
      <c r="E3428" s="56">
        <v>1.0</v>
      </c>
      <c r="F3428" s="161">
        <v>315000.0</v>
      </c>
      <c r="G3428" s="162">
        <f t="shared" si="47"/>
        <v>315000</v>
      </c>
      <c r="H3428" s="194"/>
      <c r="I3428" s="161">
        <f t="shared" si="45"/>
        <v>315000</v>
      </c>
      <c r="J3428" s="164">
        <f t="shared" si="46"/>
        <v>315000</v>
      </c>
      <c r="K3428" s="56" t="s">
        <v>11086</v>
      </c>
      <c r="L3428" s="165" t="s">
        <v>11087</v>
      </c>
      <c r="M3428" s="73"/>
      <c r="N3428" s="171"/>
      <c r="O3428" s="169" t="s">
        <v>6923</v>
      </c>
      <c r="P3428" s="168" t="s">
        <v>3112</v>
      </c>
      <c r="Q3428" s="173"/>
      <c r="R3428" s="161">
        <v>315000.0</v>
      </c>
      <c r="S3428" s="173"/>
      <c r="T3428" s="173"/>
      <c r="U3428" s="173"/>
      <c r="V3428" s="169"/>
      <c r="W3428" s="171"/>
      <c r="X3428" s="171"/>
    </row>
    <row r="3429" ht="15.0" customHeight="1">
      <c r="A3429" s="127">
        <v>46097.0</v>
      </c>
      <c r="B3429" s="181" t="s">
        <v>11088</v>
      </c>
      <c r="C3429" s="56" t="s">
        <v>3582</v>
      </c>
      <c r="D3429" s="73" t="str">
        <f>IFERROR(VLOOKUP(C3429,Stock,3,FALSE),"")</f>
        <v>Honda CR-V 12-16 4th Gen</v>
      </c>
      <c r="E3429" s="56">
        <v>1.0</v>
      </c>
      <c r="F3429" s="161">
        <v>1799000.0</v>
      </c>
      <c r="G3429" s="162">
        <f t="shared" si="47"/>
        <v>1799000</v>
      </c>
      <c r="H3429" s="194"/>
      <c r="I3429" s="161">
        <f t="shared" si="45"/>
        <v>1799000</v>
      </c>
      <c r="J3429" s="164">
        <f t="shared" si="46"/>
        <v>1799000</v>
      </c>
      <c r="K3429" s="56" t="s">
        <v>11089</v>
      </c>
      <c r="L3429" s="165" t="s">
        <v>11090</v>
      </c>
      <c r="M3429" s="73"/>
      <c r="N3429" s="171"/>
      <c r="O3429" s="169" t="s">
        <v>3037</v>
      </c>
      <c r="P3429" s="168" t="s">
        <v>3112</v>
      </c>
      <c r="Q3429" s="173"/>
      <c r="R3429" s="161">
        <v>1799000.0</v>
      </c>
      <c r="S3429" s="173"/>
      <c r="T3429" s="173"/>
      <c r="U3429" s="173"/>
      <c r="V3429" s="169"/>
      <c r="W3429" s="171"/>
      <c r="X3429" s="171"/>
    </row>
    <row r="3430" ht="15.0" customHeight="1">
      <c r="A3430" s="127">
        <v>46097.0</v>
      </c>
      <c r="B3430" s="181" t="s">
        <v>11088</v>
      </c>
      <c r="C3430" s="56" t="s">
        <v>10233</v>
      </c>
      <c r="D3430" s="73" t="str">
        <f>IFERROR(VLOOKUP(C3430,Stock,3,FALSE),"")</f>
        <v>Automotive Film Standard - Black 60%       </v>
      </c>
      <c r="E3430" s="56">
        <v>1.0</v>
      </c>
      <c r="F3430" s="161">
        <v>400000.0</v>
      </c>
      <c r="G3430" s="162">
        <f t="shared" si="47"/>
        <v>400000</v>
      </c>
      <c r="H3430" s="194"/>
      <c r="I3430" s="161">
        <f t="shared" si="45"/>
        <v>400000</v>
      </c>
      <c r="J3430" s="164">
        <f t="shared" si="46"/>
        <v>400000</v>
      </c>
      <c r="K3430" s="56" t="s">
        <v>11089</v>
      </c>
      <c r="L3430" s="165" t="s">
        <v>11090</v>
      </c>
      <c r="M3430" s="73"/>
      <c r="N3430" s="171"/>
      <c r="O3430" s="169" t="s">
        <v>3037</v>
      </c>
      <c r="P3430" s="168" t="s">
        <v>3112</v>
      </c>
      <c r="Q3430" s="173"/>
      <c r="R3430" s="161">
        <v>400000.0</v>
      </c>
      <c r="S3430" s="173"/>
      <c r="T3430" s="173"/>
      <c r="U3430" s="173"/>
      <c r="V3430" s="169"/>
      <c r="W3430" s="171"/>
      <c r="X3430" s="171"/>
    </row>
    <row r="3431" ht="15.0" customHeight="1">
      <c r="A3431" s="127">
        <v>46097.0</v>
      </c>
      <c r="B3431" s="181" t="s">
        <v>11091</v>
      </c>
      <c r="C3431" s="56" t="s">
        <v>5528</v>
      </c>
      <c r="D3431" s="73" t="str">
        <f>IFERROR(VLOOKUP(C3431,Stock,3,FALSE),"")</f>
        <v>Toyota Innova 15-22 2nd Gen (Toyota)</v>
      </c>
      <c r="E3431" s="56">
        <v>1.0</v>
      </c>
      <c r="F3431" s="161">
        <v>2889000.0</v>
      </c>
      <c r="G3431" s="162">
        <f t="shared" si="47"/>
        <v>2889000</v>
      </c>
      <c r="H3431" s="194"/>
      <c r="I3431" s="161">
        <f t="shared" si="45"/>
        <v>2889000</v>
      </c>
      <c r="J3431" s="164">
        <f t="shared" si="46"/>
        <v>2889000</v>
      </c>
      <c r="K3431" s="56" t="s">
        <v>11092</v>
      </c>
      <c r="L3431" s="165" t="s">
        <v>11093</v>
      </c>
      <c r="M3431" s="73"/>
      <c r="N3431" s="171"/>
      <c r="O3431" s="169" t="s">
        <v>6923</v>
      </c>
      <c r="P3431" s="168" t="s">
        <v>3112</v>
      </c>
      <c r="Q3431" s="173"/>
      <c r="R3431" s="161">
        <v>2889000.0</v>
      </c>
      <c r="S3431" s="173"/>
      <c r="T3431" s="173"/>
      <c r="U3431" s="173"/>
      <c r="V3431" s="169"/>
      <c r="W3431" s="171"/>
      <c r="X3431" s="171"/>
    </row>
    <row r="3432" ht="15.0" customHeight="1">
      <c r="A3432" s="127">
        <v>46098.0</v>
      </c>
      <c r="B3432" s="181" t="s">
        <v>11094</v>
      </c>
      <c r="C3432" s="56" t="s">
        <v>2557</v>
      </c>
      <c r="D3432" s="73" t="str">
        <f>IFERROR(VLOOKUP(C3432,Stock,3,FALSE),"")</f>
        <v>Toyota Fortuner 05-15 1st Gen (Toyota)</v>
      </c>
      <c r="E3432" s="56">
        <v>1.0</v>
      </c>
      <c r="F3432" s="161">
        <v>3492000.0</v>
      </c>
      <c r="G3432" s="162">
        <f t="shared" si="47"/>
        <v>3492000</v>
      </c>
      <c r="H3432" s="194"/>
      <c r="I3432" s="161">
        <f t="shared" si="45"/>
        <v>3492000</v>
      </c>
      <c r="J3432" s="164">
        <f t="shared" si="46"/>
        <v>3492000</v>
      </c>
      <c r="K3432" s="56" t="s">
        <v>11095</v>
      </c>
      <c r="L3432" s="165" t="s">
        <v>11096</v>
      </c>
      <c r="M3432" s="73"/>
      <c r="N3432" s="171"/>
      <c r="O3432" s="169" t="s">
        <v>6923</v>
      </c>
      <c r="P3432" s="168" t="s">
        <v>3112</v>
      </c>
      <c r="Q3432" s="173"/>
      <c r="R3432" s="161">
        <v>3492000.0</v>
      </c>
      <c r="S3432" s="173"/>
      <c r="T3432" s="173"/>
      <c r="U3432" s="173"/>
      <c r="V3432" s="169"/>
      <c r="W3432" s="171"/>
      <c r="X3432" s="171"/>
    </row>
    <row r="3433" ht="15.0" customHeight="1">
      <c r="A3433" s="127">
        <v>46098.0</v>
      </c>
      <c r="B3433" s="181" t="s">
        <v>11094</v>
      </c>
      <c r="C3433" s="56" t="s">
        <v>3083</v>
      </c>
      <c r="D3433" s="73" t="str">
        <f>IFERROR(VLOOKUP(C3433,Stock,3,FALSE),"")</f>
        <v>List Kaca Depan Code 04</v>
      </c>
      <c r="E3433" s="56">
        <v>1.0</v>
      </c>
      <c r="F3433" s="161">
        <v>275000.0</v>
      </c>
      <c r="G3433" s="162">
        <f t="shared" si="47"/>
        <v>275000</v>
      </c>
      <c r="H3433" s="194"/>
      <c r="I3433" s="161">
        <f t="shared" si="45"/>
        <v>275000</v>
      </c>
      <c r="J3433" s="164">
        <f t="shared" si="46"/>
        <v>275000</v>
      </c>
      <c r="K3433" s="56" t="s">
        <v>11095</v>
      </c>
      <c r="L3433" s="165" t="s">
        <v>11096</v>
      </c>
      <c r="M3433" s="73"/>
      <c r="N3433" s="171"/>
      <c r="O3433" s="169" t="s">
        <v>6923</v>
      </c>
      <c r="P3433" s="168" t="s">
        <v>3112</v>
      </c>
      <c r="Q3433" s="173"/>
      <c r="R3433" s="161">
        <v>275000.0</v>
      </c>
      <c r="S3433" s="173"/>
      <c r="T3433" s="173"/>
      <c r="U3433" s="173"/>
      <c r="V3433" s="169"/>
      <c r="W3433" s="171"/>
      <c r="X3433" s="171"/>
    </row>
    <row r="3434" ht="15.0" customHeight="1">
      <c r="A3434" s="127">
        <v>46098.0</v>
      </c>
      <c r="B3434" s="181" t="s">
        <v>11097</v>
      </c>
      <c r="C3434" s="56" t="s">
        <v>3313</v>
      </c>
      <c r="D3434" s="73" t="str">
        <f>IFERROR(VLOOKUP(C3434,Stock,3,FALSE),"")</f>
        <v>Toyota Avanza / Xenia 21- 4th Gen (Non sensor)</v>
      </c>
      <c r="E3434" s="56">
        <v>1.0</v>
      </c>
      <c r="F3434" s="161">
        <v>1390000.0</v>
      </c>
      <c r="G3434" s="162">
        <f t="shared" si="47"/>
        <v>1390000</v>
      </c>
      <c r="H3434" s="194"/>
      <c r="I3434" s="161">
        <f t="shared" si="45"/>
        <v>1390000</v>
      </c>
      <c r="J3434" s="164">
        <f t="shared" si="46"/>
        <v>1390000</v>
      </c>
      <c r="K3434" s="56" t="s">
        <v>11098</v>
      </c>
      <c r="L3434" s="165" t="s">
        <v>11099</v>
      </c>
      <c r="M3434" s="73"/>
      <c r="N3434" s="171"/>
      <c r="O3434" s="169" t="s">
        <v>6923</v>
      </c>
      <c r="P3434" s="168" t="s">
        <v>3112</v>
      </c>
      <c r="Q3434" s="161">
        <v>1390000.0</v>
      </c>
      <c r="R3434" s="173"/>
      <c r="S3434" s="173"/>
      <c r="T3434" s="173"/>
      <c r="U3434" s="173"/>
      <c r="V3434" s="169"/>
      <c r="W3434" s="171"/>
      <c r="X3434" s="171"/>
    </row>
    <row r="3435" ht="15.0" customHeight="1">
      <c r="A3435" s="127">
        <v>46099.0</v>
      </c>
      <c r="B3435" s="181" t="s">
        <v>11100</v>
      </c>
      <c r="C3435" s="56" t="s">
        <v>5936</v>
      </c>
      <c r="D3435" s="73" t="str">
        <f>IFERROR(VLOOKUP(C3435,Stock,3,FALSE),"")</f>
        <v>Mitsubishi Xpander 17- / Livina 19- 2nd Gen (Mitsubishi)</v>
      </c>
      <c r="E3435" s="56">
        <v>1.0</v>
      </c>
      <c r="F3435" s="161">
        <v>2788000.0</v>
      </c>
      <c r="G3435" s="162">
        <f t="shared" si="47"/>
        <v>2788000</v>
      </c>
      <c r="H3435" s="194"/>
      <c r="I3435" s="161">
        <f t="shared" si="45"/>
        <v>2788000</v>
      </c>
      <c r="J3435" s="164">
        <f t="shared" si="46"/>
        <v>2788000</v>
      </c>
      <c r="K3435" s="487" t="s">
        <v>11101</v>
      </c>
      <c r="L3435" s="165" t="s">
        <v>11102</v>
      </c>
      <c r="M3435" s="73"/>
      <c r="N3435" s="171"/>
      <c r="O3435" s="169" t="s">
        <v>6923</v>
      </c>
      <c r="P3435" s="168" t="s">
        <v>3112</v>
      </c>
      <c r="Q3435" s="173"/>
      <c r="R3435" s="161">
        <v>2788000.0</v>
      </c>
      <c r="S3435" s="173"/>
      <c r="T3435" s="173"/>
      <c r="U3435" s="173"/>
      <c r="V3435" s="169"/>
      <c r="W3435" s="171"/>
      <c r="X3435" s="171"/>
    </row>
    <row r="3436" ht="15.0" customHeight="1">
      <c r="A3436" s="127">
        <v>46099.0</v>
      </c>
      <c r="B3436" s="181" t="s">
        <v>11103</v>
      </c>
      <c r="C3436" s="56" t="s">
        <v>6028</v>
      </c>
      <c r="D3436" s="73" t="str">
        <f>IFERROR(VLOOKUP(C3436,Stock,3,FALSE),"")</f>
        <v>Toyota Innova 04-15 1st Gen (Toyota)</v>
      </c>
      <c r="E3436" s="56">
        <v>1.0</v>
      </c>
      <c r="F3436" s="161">
        <v>2250000.0</v>
      </c>
      <c r="G3436" s="162">
        <f t="shared" si="47"/>
        <v>2250000</v>
      </c>
      <c r="H3436" s="194"/>
      <c r="I3436" s="161">
        <f t="shared" si="45"/>
        <v>2250000</v>
      </c>
      <c r="J3436" s="164">
        <f t="shared" si="46"/>
        <v>2250000</v>
      </c>
      <c r="K3436" s="56" t="s">
        <v>11104</v>
      </c>
      <c r="L3436" s="165" t="s">
        <v>11105</v>
      </c>
      <c r="M3436" s="73"/>
      <c r="N3436" s="171"/>
      <c r="O3436" s="169" t="s">
        <v>6923</v>
      </c>
      <c r="P3436" s="168" t="s">
        <v>3112</v>
      </c>
      <c r="Q3436" s="173"/>
      <c r="R3436" s="161">
        <v>2250000.0</v>
      </c>
      <c r="S3436" s="173"/>
      <c r="T3436" s="173"/>
      <c r="U3436" s="173"/>
      <c r="V3436" s="169"/>
      <c r="W3436" s="171"/>
      <c r="X3436" s="171"/>
    </row>
    <row r="3437" ht="15.0" customHeight="1">
      <c r="A3437" s="127">
        <v>46099.0</v>
      </c>
      <c r="B3437" s="181" t="s">
        <v>11106</v>
      </c>
      <c r="C3437" s="56" t="s">
        <v>2732</v>
      </c>
      <c r="D3437" s="73" t="str">
        <f>IFERROR(VLOOKUP(C3437,Stock,3,FALSE),"")</f>
        <v>Honda Jazz 13- 3rd Gen</v>
      </c>
      <c r="E3437" s="56">
        <v>1.0</v>
      </c>
      <c r="F3437" s="161">
        <v>1457000.0</v>
      </c>
      <c r="G3437" s="162">
        <f t="shared" si="47"/>
        <v>1457000</v>
      </c>
      <c r="H3437" s="194"/>
      <c r="I3437" s="161">
        <f t="shared" si="45"/>
        <v>1457000</v>
      </c>
      <c r="J3437" s="164">
        <f t="shared" si="46"/>
        <v>1457000</v>
      </c>
      <c r="K3437" s="56" t="s">
        <v>11107</v>
      </c>
      <c r="L3437" s="165" t="s">
        <v>11108</v>
      </c>
      <c r="M3437" s="73"/>
      <c r="N3437" s="171"/>
      <c r="O3437" s="169" t="s">
        <v>11109</v>
      </c>
      <c r="P3437" s="168" t="s">
        <v>3112</v>
      </c>
      <c r="Q3437" s="161">
        <v>1457000.0</v>
      </c>
      <c r="R3437" s="173"/>
      <c r="S3437" s="173"/>
      <c r="T3437" s="173"/>
      <c r="U3437" s="173"/>
      <c r="V3437" s="169"/>
      <c r="W3437" s="171"/>
      <c r="X3437" s="171"/>
    </row>
    <row r="3438" ht="15.0" customHeight="1">
      <c r="A3438" s="127">
        <v>46099.0</v>
      </c>
      <c r="B3438" s="181" t="s">
        <v>11110</v>
      </c>
      <c r="C3438" s="56" t="s">
        <v>3290</v>
      </c>
      <c r="D3438" s="73" t="str">
        <f>IFERROR(VLOOKUP(C3438,Stock,3,FALSE),"")</f>
        <v>Toyota Innova 04-15 1st Gen</v>
      </c>
      <c r="E3438" s="56">
        <v>1.0</v>
      </c>
      <c r="F3438" s="161">
        <v>1250000.0</v>
      </c>
      <c r="G3438" s="162">
        <f t="shared" si="47"/>
        <v>1250000</v>
      </c>
      <c r="H3438" s="194"/>
      <c r="I3438" s="161">
        <f t="shared" si="45"/>
        <v>1250000</v>
      </c>
      <c r="J3438" s="164">
        <f t="shared" si="46"/>
        <v>1250000</v>
      </c>
      <c r="K3438" s="487" t="s">
        <v>7890</v>
      </c>
      <c r="L3438" s="165" t="s">
        <v>11111</v>
      </c>
      <c r="M3438" s="73"/>
      <c r="N3438" s="171"/>
      <c r="O3438" s="169" t="s">
        <v>6923</v>
      </c>
      <c r="P3438" s="168" t="s">
        <v>3112</v>
      </c>
      <c r="Q3438" s="167">
        <v>1250000.0</v>
      </c>
      <c r="R3438" s="173"/>
      <c r="S3438" s="173"/>
      <c r="T3438" s="173"/>
      <c r="U3438" s="173"/>
      <c r="V3438" s="169"/>
      <c r="W3438" s="171"/>
      <c r="X3438" s="171"/>
    </row>
    <row r="3439" ht="15.0" customHeight="1">
      <c r="A3439" s="506"/>
      <c r="B3439" s="181" t="s">
        <v>11112</v>
      </c>
      <c r="C3439" s="56" t="s">
        <v>4907</v>
      </c>
      <c r="D3439" s="73" t="str">
        <f>IFERROR(VLOOKUP(C3439,Stock,3,FALSE),"")</f>
        <v>Nissan Livina 07-12 L10 (Tanpa Lubang)</v>
      </c>
      <c r="E3439" s="56">
        <v>1.0</v>
      </c>
      <c r="F3439" s="161">
        <v>1348000.0</v>
      </c>
      <c r="G3439" s="162">
        <f t="shared" si="47"/>
        <v>1348000</v>
      </c>
      <c r="H3439" s="194"/>
      <c r="I3439" s="161">
        <f t="shared" si="45"/>
        <v>1348000</v>
      </c>
      <c r="J3439" s="164">
        <f t="shared" si="46"/>
        <v>1348000</v>
      </c>
      <c r="K3439" s="56" t="s">
        <v>11113</v>
      </c>
      <c r="L3439" s="165" t="s">
        <v>11114</v>
      </c>
      <c r="M3439" s="73"/>
      <c r="N3439" s="171"/>
      <c r="O3439" s="169" t="s">
        <v>6923</v>
      </c>
      <c r="P3439" s="168" t="s">
        <v>3112</v>
      </c>
      <c r="Q3439" s="173"/>
      <c r="R3439" s="173"/>
      <c r="S3439" s="173"/>
      <c r="T3439" s="173"/>
      <c r="U3439" s="173"/>
      <c r="V3439" s="169"/>
      <c r="W3439" s="171"/>
      <c r="X3439" s="171"/>
    </row>
    <row r="3440" ht="15.0" customHeight="1">
      <c r="A3440" s="506"/>
      <c r="B3440" s="181" t="s">
        <v>11112</v>
      </c>
      <c r="C3440" s="56" t="s">
        <v>3513</v>
      </c>
      <c r="D3440" s="73" t="str">
        <f>IFERROR(VLOOKUP(C3440,Stock,3,FALSE),"")</f>
        <v>Lembur</v>
      </c>
      <c r="E3440" s="56">
        <v>1.0</v>
      </c>
      <c r="F3440" s="161">
        <v>200000.0</v>
      </c>
      <c r="G3440" s="162">
        <f t="shared" si="47"/>
        <v>200000</v>
      </c>
      <c r="H3440" s="194"/>
      <c r="I3440" s="161">
        <f t="shared" si="45"/>
        <v>200000</v>
      </c>
      <c r="J3440" s="164">
        <f t="shared" si="46"/>
        <v>200000</v>
      </c>
      <c r="K3440" s="56" t="s">
        <v>11113</v>
      </c>
      <c r="L3440" s="165" t="s">
        <v>11114</v>
      </c>
      <c r="M3440" s="73"/>
      <c r="N3440" s="171"/>
      <c r="O3440" s="169" t="s">
        <v>6923</v>
      </c>
      <c r="P3440" s="168" t="s">
        <v>3112</v>
      </c>
      <c r="Q3440" s="173"/>
      <c r="R3440" s="173"/>
      <c r="S3440" s="173"/>
      <c r="T3440" s="173"/>
      <c r="U3440" s="173"/>
      <c r="V3440" s="169"/>
      <c r="W3440" s="171"/>
      <c r="X3440" s="171"/>
    </row>
    <row r="3441" ht="15.0" customHeight="1">
      <c r="A3441" s="506"/>
      <c r="B3441" s="181" t="s">
        <v>11115</v>
      </c>
      <c r="C3441" s="56" t="s">
        <v>2562</v>
      </c>
      <c r="D3441" s="73" t="str">
        <f>IFERROR(VLOOKUP(C3441,Stock,3,FALSE),"")</f>
        <v>Toyota Avanza / Xenia 15-21 3rd Gen</v>
      </c>
      <c r="E3441" s="56">
        <v>1.0</v>
      </c>
      <c r="F3441" s="161">
        <v>1100000.0</v>
      </c>
      <c r="G3441" s="162">
        <f t="shared" si="47"/>
        <v>1100000</v>
      </c>
      <c r="H3441" s="194"/>
      <c r="I3441" s="161">
        <f t="shared" si="45"/>
        <v>1100000</v>
      </c>
      <c r="J3441" s="164">
        <f t="shared" si="46"/>
        <v>1100000</v>
      </c>
      <c r="K3441" s="56" t="s">
        <v>11116</v>
      </c>
      <c r="L3441" s="165" t="s">
        <v>11117</v>
      </c>
      <c r="M3441" s="73"/>
      <c r="N3441" s="171"/>
      <c r="O3441" s="169" t="s">
        <v>6923</v>
      </c>
      <c r="P3441" s="168" t="s">
        <v>3112</v>
      </c>
      <c r="Q3441" s="173"/>
      <c r="R3441" s="173"/>
      <c r="S3441" s="173"/>
      <c r="T3441" s="173"/>
      <c r="U3441" s="173"/>
      <c r="V3441" s="169"/>
      <c r="W3441" s="171"/>
      <c r="X3441" s="171"/>
    </row>
    <row r="3442" ht="15.0" customHeight="1">
      <c r="A3442" s="506"/>
      <c r="B3442" s="181" t="s">
        <v>11115</v>
      </c>
      <c r="C3442" s="56" t="s">
        <v>3513</v>
      </c>
      <c r="D3442" s="73" t="str">
        <f>IFERROR(VLOOKUP(C3442,Stock,3,FALSE),"")</f>
        <v>Lembur</v>
      </c>
      <c r="E3442" s="56">
        <v>1.0</v>
      </c>
      <c r="F3442" s="161">
        <v>300000.0</v>
      </c>
      <c r="G3442" s="162">
        <f t="shared" si="47"/>
        <v>300000</v>
      </c>
      <c r="H3442" s="194"/>
      <c r="I3442" s="161">
        <f t="shared" si="45"/>
        <v>300000</v>
      </c>
      <c r="J3442" s="164">
        <f t="shared" si="46"/>
        <v>300000</v>
      </c>
      <c r="K3442" s="56" t="s">
        <v>11116</v>
      </c>
      <c r="L3442" s="165" t="s">
        <v>11117</v>
      </c>
      <c r="M3442" s="73"/>
      <c r="N3442" s="171"/>
      <c r="O3442" s="169" t="s">
        <v>6923</v>
      </c>
      <c r="P3442" s="168" t="s">
        <v>3112</v>
      </c>
      <c r="Q3442" s="173"/>
      <c r="R3442" s="173"/>
      <c r="S3442" s="173"/>
      <c r="T3442" s="173"/>
      <c r="U3442" s="173"/>
      <c r="V3442" s="169"/>
      <c r="W3442" s="171"/>
      <c r="X3442" s="171"/>
    </row>
    <row r="3443" ht="15.0" customHeight="1">
      <c r="A3443" s="506"/>
      <c r="B3443" s="181" t="s">
        <v>11118</v>
      </c>
      <c r="C3443" s="56" t="s">
        <v>4901</v>
      </c>
      <c r="D3443" s="73" t="str">
        <f>IFERROR(VLOOKUP(C3443,Stock,3,FALSE),"")</f>
        <v>Toyota Rush / Terios 18-</v>
      </c>
      <c r="E3443" s="56">
        <v>1.0</v>
      </c>
      <c r="F3443" s="161">
        <v>1138000.0</v>
      </c>
      <c r="G3443" s="162">
        <f t="shared" si="47"/>
        <v>1138000</v>
      </c>
      <c r="H3443" s="194"/>
      <c r="I3443" s="161">
        <f t="shared" si="45"/>
        <v>1138000</v>
      </c>
      <c r="J3443" s="164">
        <f t="shared" si="46"/>
        <v>1138000</v>
      </c>
      <c r="K3443" s="56" t="s">
        <v>11119</v>
      </c>
      <c r="L3443" s="165" t="s">
        <v>11120</v>
      </c>
      <c r="M3443" s="73"/>
      <c r="N3443" s="171"/>
      <c r="O3443" s="169" t="s">
        <v>6923</v>
      </c>
      <c r="P3443" s="168" t="s">
        <v>3112</v>
      </c>
      <c r="Q3443" s="173"/>
      <c r="R3443" s="173"/>
      <c r="S3443" s="173"/>
      <c r="T3443" s="173"/>
      <c r="U3443" s="173"/>
      <c r="V3443" s="169"/>
      <c r="W3443" s="171"/>
      <c r="X3443" s="171"/>
    </row>
    <row r="3444" ht="15.0" customHeight="1">
      <c r="A3444" s="506"/>
      <c r="B3444" s="181" t="s">
        <v>11118</v>
      </c>
      <c r="C3444" s="56" t="s">
        <v>3513</v>
      </c>
      <c r="D3444" s="73" t="str">
        <f>IFERROR(VLOOKUP(C3444,Stock,3,FALSE),"")</f>
        <v>Lembur</v>
      </c>
      <c r="E3444" s="56">
        <v>1.0</v>
      </c>
      <c r="F3444" s="161">
        <v>100000.0</v>
      </c>
      <c r="G3444" s="162">
        <f t="shared" si="47"/>
        <v>100000</v>
      </c>
      <c r="H3444" s="194"/>
      <c r="I3444" s="161">
        <f t="shared" si="45"/>
        <v>100000</v>
      </c>
      <c r="J3444" s="164">
        <f t="shared" si="46"/>
        <v>100000</v>
      </c>
      <c r="K3444" s="56" t="s">
        <v>11119</v>
      </c>
      <c r="L3444" s="165" t="s">
        <v>11120</v>
      </c>
      <c r="M3444" s="73"/>
      <c r="N3444" s="171"/>
      <c r="O3444" s="169" t="s">
        <v>6923</v>
      </c>
      <c r="P3444" s="168" t="s">
        <v>3112</v>
      </c>
      <c r="Q3444" s="173"/>
      <c r="R3444" s="173"/>
      <c r="S3444" s="173"/>
      <c r="T3444" s="173"/>
      <c r="U3444" s="173"/>
      <c r="V3444" s="169"/>
      <c r="W3444" s="171"/>
      <c r="X3444" s="171"/>
    </row>
    <row r="3445" ht="15.0" customHeight="1">
      <c r="A3445" s="506"/>
      <c r="B3445" s="476" t="s">
        <v>11121</v>
      </c>
      <c r="C3445" s="56" t="s">
        <v>2637</v>
      </c>
      <c r="D3445" s="73" t="str">
        <f>IFERROR(VLOOKUP(C3445,Stock,3,FALSE),"")</f>
        <v>Ford Everest 04-15 / Ranger 04-11 / Mazda BT-50</v>
      </c>
      <c r="E3445" s="56">
        <v>1.0</v>
      </c>
      <c r="F3445" s="161">
        <v>1511000.0</v>
      </c>
      <c r="G3445" s="162">
        <f t="shared" si="47"/>
        <v>1511000</v>
      </c>
      <c r="H3445" s="194"/>
      <c r="I3445" s="161">
        <f t="shared" si="45"/>
        <v>1511000</v>
      </c>
      <c r="J3445" s="164">
        <f t="shared" si="46"/>
        <v>1511000</v>
      </c>
      <c r="K3445" s="56" t="s">
        <v>11122</v>
      </c>
      <c r="L3445" s="165" t="s">
        <v>11123</v>
      </c>
      <c r="M3445" s="73"/>
      <c r="N3445" s="171"/>
      <c r="O3445" s="169" t="s">
        <v>6923</v>
      </c>
      <c r="P3445" s="168" t="s">
        <v>3112</v>
      </c>
      <c r="Q3445" s="173"/>
      <c r="R3445" s="173"/>
      <c r="S3445" s="173"/>
      <c r="T3445" s="173"/>
      <c r="U3445" s="173"/>
      <c r="V3445" s="169"/>
      <c r="W3445" s="171"/>
      <c r="X3445" s="171"/>
    </row>
    <row r="3446" ht="15.0" customHeight="1">
      <c r="A3446" s="506"/>
      <c r="B3446" s="476" t="s">
        <v>11124</v>
      </c>
      <c r="C3446" s="56" t="s">
        <v>3543</v>
      </c>
      <c r="D3446" s="73" t="str">
        <f>IFERROR(VLOOKUP(C3446,Stock,3,FALSE),"")</f>
        <v>Daihatsu Gran Max Minibus/Van</v>
      </c>
      <c r="E3446" s="56">
        <v>1.0</v>
      </c>
      <c r="F3446" s="161">
        <v>800000.0</v>
      </c>
      <c r="G3446" s="162">
        <f t="shared" si="47"/>
        <v>800000</v>
      </c>
      <c r="H3446" s="194"/>
      <c r="I3446" s="161">
        <f t="shared" si="45"/>
        <v>800000</v>
      </c>
      <c r="J3446" s="164">
        <f t="shared" si="46"/>
        <v>800000</v>
      </c>
      <c r="K3446" s="56" t="s">
        <v>11125</v>
      </c>
      <c r="L3446" s="165" t="s">
        <v>11126</v>
      </c>
      <c r="M3446" s="73"/>
      <c r="N3446" s="171"/>
      <c r="O3446" s="169" t="s">
        <v>6923</v>
      </c>
      <c r="P3446" s="168" t="s">
        <v>3112</v>
      </c>
      <c r="Q3446" s="173"/>
      <c r="R3446" s="173"/>
      <c r="S3446" s="173"/>
      <c r="T3446" s="173"/>
      <c r="U3446" s="173"/>
      <c r="V3446" s="169"/>
      <c r="W3446" s="171"/>
      <c r="X3446" s="171"/>
    </row>
    <row r="3447" ht="15.0" customHeight="1">
      <c r="A3447" s="506"/>
      <c r="B3447" s="476" t="s">
        <v>11124</v>
      </c>
      <c r="C3447" s="56" t="s">
        <v>3513</v>
      </c>
      <c r="D3447" s="73" t="str">
        <f>IFERROR(VLOOKUP(C3447,Stock,3,FALSE),"")</f>
        <v>Lembur</v>
      </c>
      <c r="E3447" s="56">
        <v>1.0</v>
      </c>
      <c r="F3447" s="161">
        <v>100000.0</v>
      </c>
      <c r="G3447" s="162">
        <f t="shared" si="47"/>
        <v>100000</v>
      </c>
      <c r="H3447" s="194"/>
      <c r="I3447" s="161">
        <f t="shared" si="45"/>
        <v>100000</v>
      </c>
      <c r="J3447" s="164">
        <f t="shared" si="46"/>
        <v>100000</v>
      </c>
      <c r="K3447" s="56" t="s">
        <v>11125</v>
      </c>
      <c r="L3447" s="165" t="s">
        <v>11126</v>
      </c>
      <c r="M3447" s="73"/>
      <c r="N3447" s="171"/>
      <c r="O3447" s="169" t="s">
        <v>6923</v>
      </c>
      <c r="P3447" s="168" t="s">
        <v>3112</v>
      </c>
      <c r="Q3447" s="173"/>
      <c r="R3447" s="173"/>
      <c r="S3447" s="173"/>
      <c r="T3447" s="173"/>
      <c r="U3447" s="173"/>
      <c r="V3447" s="169"/>
      <c r="W3447" s="171"/>
      <c r="X3447" s="171"/>
    </row>
    <row r="3448" ht="15.0" customHeight="1">
      <c r="A3448" s="506"/>
      <c r="B3448" s="476" t="s">
        <v>11127</v>
      </c>
      <c r="C3448" s="56" t="s">
        <v>2704</v>
      </c>
      <c r="D3448" s="73" t="str">
        <f>IFERROR(VLOOKUP(C3448,Stock,3,FALSE),"")</f>
        <v>Toyota Hi-Ace 19- Premio</v>
      </c>
      <c r="E3448" s="56">
        <v>1.0</v>
      </c>
      <c r="F3448" s="161">
        <v>1894000.0</v>
      </c>
      <c r="G3448" s="162">
        <f t="shared" si="47"/>
        <v>1894000</v>
      </c>
      <c r="H3448" s="194"/>
      <c r="I3448" s="161">
        <f t="shared" si="45"/>
        <v>1894000</v>
      </c>
      <c r="J3448" s="164">
        <f t="shared" si="46"/>
        <v>1894000</v>
      </c>
      <c r="K3448" s="56" t="s">
        <v>7284</v>
      </c>
      <c r="L3448" s="165" t="s">
        <v>11128</v>
      </c>
      <c r="M3448" s="73"/>
      <c r="N3448" s="171"/>
      <c r="O3448" s="169" t="s">
        <v>6923</v>
      </c>
      <c r="P3448" s="168" t="s">
        <v>3112</v>
      </c>
      <c r="Q3448" s="173"/>
      <c r="R3448" s="173"/>
      <c r="S3448" s="173"/>
      <c r="T3448" s="173"/>
      <c r="U3448" s="173"/>
      <c r="V3448" s="169"/>
      <c r="W3448" s="171"/>
      <c r="X3448" s="171"/>
    </row>
    <row r="3449" ht="15.0" customHeight="1">
      <c r="A3449" s="506"/>
      <c r="B3449" s="476" t="s">
        <v>11127</v>
      </c>
      <c r="C3449" s="56" t="s">
        <v>3513</v>
      </c>
      <c r="D3449" s="73" t="str">
        <f>IFERROR(VLOOKUP(C3449,Stock,3,FALSE),"")</f>
        <v>Lembur</v>
      </c>
      <c r="E3449" s="56">
        <v>1.0</v>
      </c>
      <c r="F3449" s="161">
        <v>100000.0</v>
      </c>
      <c r="G3449" s="162">
        <f t="shared" si="47"/>
        <v>100000</v>
      </c>
      <c r="H3449" s="194"/>
      <c r="I3449" s="161">
        <f t="shared" si="45"/>
        <v>100000</v>
      </c>
      <c r="J3449" s="164">
        <f t="shared" si="46"/>
        <v>100000</v>
      </c>
      <c r="K3449" s="56" t="s">
        <v>7284</v>
      </c>
      <c r="L3449" s="165" t="s">
        <v>11128</v>
      </c>
      <c r="M3449" s="73"/>
      <c r="N3449" s="171"/>
      <c r="O3449" s="169" t="s">
        <v>6923</v>
      </c>
      <c r="P3449" s="168" t="s">
        <v>3112</v>
      </c>
      <c r="Q3449" s="173"/>
      <c r="R3449" s="173"/>
      <c r="S3449" s="173"/>
      <c r="T3449" s="173"/>
      <c r="U3449" s="173"/>
      <c r="V3449" s="169"/>
      <c r="W3449" s="171"/>
      <c r="X3449" s="171"/>
    </row>
    <row r="3450" ht="15.0" customHeight="1">
      <c r="A3450" s="127">
        <v>46106.0</v>
      </c>
      <c r="B3450" s="476" t="s">
        <v>11129</v>
      </c>
      <c r="C3450" s="56" t="s">
        <v>3745</v>
      </c>
      <c r="D3450" s="73" t="str">
        <f>IFERROR(VLOOKUP(C3450,Stock,3,FALSE),"")</f>
        <v>Honda Brio 10- / Mobilio 11-</v>
      </c>
      <c r="E3450" s="56">
        <v>1.0</v>
      </c>
      <c r="F3450" s="161">
        <v>1772000.0</v>
      </c>
      <c r="G3450" s="162">
        <f t="shared" si="47"/>
        <v>1772000</v>
      </c>
      <c r="H3450" s="194"/>
      <c r="I3450" s="161">
        <f t="shared" si="45"/>
        <v>1772000</v>
      </c>
      <c r="J3450" s="164">
        <f t="shared" si="46"/>
        <v>1772000</v>
      </c>
      <c r="K3450" s="56" t="s">
        <v>5366</v>
      </c>
      <c r="L3450" s="165" t="s">
        <v>11130</v>
      </c>
      <c r="M3450" s="73"/>
      <c r="N3450" s="171"/>
      <c r="O3450" s="169" t="s">
        <v>6923</v>
      </c>
      <c r="P3450" s="168" t="s">
        <v>3112</v>
      </c>
      <c r="Q3450" s="173"/>
      <c r="R3450" s="161">
        <v>1772000.0</v>
      </c>
      <c r="S3450" s="173"/>
      <c r="T3450" s="173"/>
      <c r="U3450" s="173"/>
      <c r="V3450" s="169"/>
      <c r="W3450" s="171"/>
      <c r="X3450" s="171"/>
    </row>
    <row r="3451" ht="15.0" customHeight="1">
      <c r="A3451" s="127">
        <v>46106.0</v>
      </c>
      <c r="B3451" s="476" t="s">
        <v>11131</v>
      </c>
      <c r="C3451" s="56" t="s">
        <v>4063</v>
      </c>
      <c r="D3451" s="73" t="str">
        <f>IFERROR(VLOOKUP(C3451,Stock,3,FALSE),"")</f>
        <v>Mitsubishi Xpander 17-21 / Livina 19- 2nd Gen (Mitsubishi)</v>
      </c>
      <c r="E3451" s="56">
        <v>1.0</v>
      </c>
      <c r="F3451" s="161">
        <v>1322000.0</v>
      </c>
      <c r="G3451" s="162">
        <f t="shared" si="47"/>
        <v>1322000</v>
      </c>
      <c r="H3451" s="194"/>
      <c r="I3451" s="161">
        <f t="shared" si="45"/>
        <v>1322000</v>
      </c>
      <c r="J3451" s="164">
        <f t="shared" si="46"/>
        <v>1322000</v>
      </c>
      <c r="K3451" s="56" t="s">
        <v>5366</v>
      </c>
      <c r="L3451" s="165" t="s">
        <v>11130</v>
      </c>
      <c r="M3451" s="73"/>
      <c r="N3451" s="171"/>
      <c r="O3451" s="169" t="s">
        <v>6923</v>
      </c>
      <c r="P3451" s="168" t="s">
        <v>3112</v>
      </c>
      <c r="Q3451" s="173"/>
      <c r="R3451" s="161">
        <v>1322000.0</v>
      </c>
      <c r="S3451" s="173"/>
      <c r="T3451" s="173"/>
      <c r="U3451" s="173"/>
      <c r="V3451" s="169"/>
      <c r="W3451" s="171"/>
      <c r="X3451" s="171"/>
    </row>
    <row r="3452" ht="15.0" customHeight="1">
      <c r="A3452" s="127">
        <v>46106.0</v>
      </c>
      <c r="B3452" s="181" t="s">
        <v>11132</v>
      </c>
      <c r="C3452" s="56" t="s">
        <v>3127</v>
      </c>
      <c r="D3452" s="73" t="str">
        <f>IFERROR(VLOOKUP(C3452,Stock,3,FALSE),"")</f>
        <v>Toyota Avanza / Xenia 03-11 1st Gen</v>
      </c>
      <c r="E3452" s="56">
        <v>1.0</v>
      </c>
      <c r="F3452" s="161">
        <v>639000.0</v>
      </c>
      <c r="G3452" s="162">
        <f t="shared" si="47"/>
        <v>639000</v>
      </c>
      <c r="H3452" s="194"/>
      <c r="I3452" s="161">
        <f t="shared" si="45"/>
        <v>639000</v>
      </c>
      <c r="J3452" s="164">
        <f t="shared" si="46"/>
        <v>639000</v>
      </c>
      <c r="K3452" s="56" t="s">
        <v>11133</v>
      </c>
      <c r="L3452" s="165" t="s">
        <v>11134</v>
      </c>
      <c r="M3452" s="73"/>
      <c r="N3452" s="171"/>
      <c r="O3452" s="169" t="s">
        <v>6923</v>
      </c>
      <c r="P3452" s="168" t="s">
        <v>3112</v>
      </c>
      <c r="Q3452" s="173"/>
      <c r="R3452" s="161">
        <v>639000.0</v>
      </c>
      <c r="S3452" s="173"/>
      <c r="T3452" s="173"/>
      <c r="U3452" s="173"/>
      <c r="V3452" s="169"/>
      <c r="W3452" s="171"/>
      <c r="X3452" s="171"/>
    </row>
    <row r="3453" ht="15.0" customHeight="1">
      <c r="A3453" s="127">
        <v>46106.0</v>
      </c>
      <c r="B3453" s="181" t="s">
        <v>11135</v>
      </c>
      <c r="C3453" s="56" t="s">
        <v>2549</v>
      </c>
      <c r="D3453" s="73" t="str">
        <f>IFERROR(VLOOKUP(C3453,Stock,3,FALSE),"")</f>
        <v>Toyota Avanza / Xenia 11-15 2nd Gen</v>
      </c>
      <c r="E3453" s="56">
        <v>1.0</v>
      </c>
      <c r="F3453" s="161">
        <v>1200000.0</v>
      </c>
      <c r="G3453" s="162">
        <f t="shared" si="47"/>
        <v>1200000</v>
      </c>
      <c r="H3453" s="194"/>
      <c r="I3453" s="161">
        <f t="shared" si="45"/>
        <v>1200000</v>
      </c>
      <c r="J3453" s="164">
        <f t="shared" si="46"/>
        <v>1200000</v>
      </c>
      <c r="K3453" s="56" t="s">
        <v>11136</v>
      </c>
      <c r="L3453" s="165" t="s">
        <v>11137</v>
      </c>
      <c r="M3453" s="73"/>
      <c r="N3453" s="171"/>
      <c r="O3453" s="169" t="s">
        <v>6923</v>
      </c>
      <c r="P3453" s="168" t="s">
        <v>3112</v>
      </c>
      <c r="Q3453" s="173"/>
      <c r="R3453" s="161">
        <v>1200000.0</v>
      </c>
      <c r="S3453" s="173"/>
      <c r="T3453" s="173"/>
      <c r="U3453" s="173"/>
      <c r="V3453" s="169"/>
      <c r="W3453" s="171"/>
      <c r="X3453" s="171"/>
    </row>
    <row r="3454" ht="15.0" customHeight="1">
      <c r="A3454" s="127">
        <v>46106.0</v>
      </c>
      <c r="B3454" s="181" t="s">
        <v>11138</v>
      </c>
      <c r="C3454" s="56" t="s">
        <v>2613</v>
      </c>
      <c r="D3454" s="73" t="str">
        <f>IFERROR(VLOOKUP(C3454,Stock,3,FALSE),"")</f>
        <v>Mazda CX-5 12-17 1st Gen KE Facelift - (2 Sensor / [] /\  )</v>
      </c>
      <c r="E3454" s="56">
        <v>1.0</v>
      </c>
      <c r="F3454" s="161">
        <v>4557000.0</v>
      </c>
      <c r="G3454" s="162">
        <f t="shared" si="47"/>
        <v>4557000</v>
      </c>
      <c r="H3454" s="194"/>
      <c r="I3454" s="161">
        <f t="shared" si="45"/>
        <v>4557000</v>
      </c>
      <c r="J3454" s="164">
        <f t="shared" si="46"/>
        <v>4557000</v>
      </c>
      <c r="K3454" s="56" t="s">
        <v>11139</v>
      </c>
      <c r="L3454" s="165" t="s">
        <v>11140</v>
      </c>
      <c r="M3454" s="73"/>
      <c r="N3454" s="171"/>
      <c r="O3454" s="169" t="s">
        <v>6923</v>
      </c>
      <c r="P3454" s="168" t="s">
        <v>3112</v>
      </c>
      <c r="Q3454" s="173"/>
      <c r="R3454" s="161">
        <v>4557000.0</v>
      </c>
      <c r="S3454" s="173"/>
      <c r="T3454" s="173"/>
      <c r="U3454" s="173"/>
      <c r="V3454" s="169"/>
      <c r="W3454" s="171"/>
      <c r="X3454" s="171"/>
    </row>
    <row r="3455" ht="15.0" customHeight="1">
      <c r="A3455" s="127">
        <v>46106.0</v>
      </c>
      <c r="B3455" s="181" t="s">
        <v>11141</v>
      </c>
      <c r="C3455" s="56" t="s">
        <v>2611</v>
      </c>
      <c r="D3455" s="73" t="str">
        <f>IFERROR(VLOOKUP(C3455,Stock,3,FALSE),"")</f>
        <v>Mazda CX-5 .12-14 1st Gen KE Pre - (1 Sensor/ □ )</v>
      </c>
      <c r="E3455" s="56">
        <v>1.0</v>
      </c>
      <c r="F3455" s="161">
        <v>3426000.0</v>
      </c>
      <c r="G3455" s="162">
        <f t="shared" si="47"/>
        <v>3426000</v>
      </c>
      <c r="H3455" s="194"/>
      <c r="I3455" s="161">
        <f t="shared" si="45"/>
        <v>3426000</v>
      </c>
      <c r="J3455" s="164">
        <f t="shared" si="46"/>
        <v>3426000</v>
      </c>
      <c r="K3455" s="56" t="s">
        <v>11142</v>
      </c>
      <c r="L3455" s="165" t="s">
        <v>11143</v>
      </c>
      <c r="M3455" s="73"/>
      <c r="N3455" s="171"/>
      <c r="O3455" s="169" t="s">
        <v>6923</v>
      </c>
      <c r="P3455" s="168" t="s">
        <v>3112</v>
      </c>
      <c r="Q3455" s="173"/>
      <c r="R3455" s="161">
        <v>3426000.0</v>
      </c>
      <c r="S3455" s="173"/>
      <c r="T3455" s="173"/>
      <c r="U3455" s="173"/>
      <c r="V3455" s="169"/>
      <c r="W3455" s="171"/>
      <c r="X3455" s="171"/>
    </row>
    <row r="3456" ht="15.0" customHeight="1">
      <c r="A3456" s="127">
        <v>46106.0</v>
      </c>
      <c r="B3456" s="496" t="s">
        <v>11144</v>
      </c>
      <c r="C3456" s="56" t="s">
        <v>6549</v>
      </c>
      <c r="D3456" s="73" t="str">
        <f>IFERROR(VLOOKUP(C3456,Stock,3,FALSE),"")</f>
        <v>Honda Mobilio 14-</v>
      </c>
      <c r="E3456" s="56">
        <v>1.0</v>
      </c>
      <c r="F3456" s="161">
        <v>1101000.0</v>
      </c>
      <c r="G3456" s="162">
        <f t="shared" si="47"/>
        <v>1101000</v>
      </c>
      <c r="H3456" s="194"/>
      <c r="I3456" s="161">
        <f t="shared" si="45"/>
        <v>1101000</v>
      </c>
      <c r="J3456" s="164">
        <f t="shared" si="46"/>
        <v>1101000</v>
      </c>
      <c r="K3456" s="56" t="s">
        <v>11145</v>
      </c>
      <c r="L3456" s="165" t="s">
        <v>11146</v>
      </c>
      <c r="M3456" s="73"/>
      <c r="N3456" s="171"/>
      <c r="O3456" s="169" t="s">
        <v>6923</v>
      </c>
      <c r="P3456" s="168" t="s">
        <v>3112</v>
      </c>
      <c r="Q3456" s="173"/>
      <c r="R3456" s="161">
        <v>1101000.0</v>
      </c>
      <c r="S3456" s="173"/>
      <c r="T3456" s="173"/>
      <c r="U3456" s="173"/>
      <c r="V3456" s="169"/>
      <c r="W3456" s="171"/>
      <c r="X3456" s="171"/>
    </row>
    <row r="3457" ht="15.0" customHeight="1">
      <c r="A3457" s="127">
        <v>46106.0</v>
      </c>
      <c r="B3457" s="181" t="s">
        <v>11144</v>
      </c>
      <c r="C3457" s="56" t="s">
        <v>6424</v>
      </c>
      <c r="D3457" s="73" t="str">
        <f>IFERROR(VLOOKUP(C3457,Stock,3,FALSE),"")</f>
        <v>Automotive Film Standard - Black 40%                                </v>
      </c>
      <c r="E3457" s="56">
        <v>1.0</v>
      </c>
      <c r="F3457" s="161">
        <v>250000.0</v>
      </c>
      <c r="G3457" s="162">
        <f t="shared" si="47"/>
        <v>250000</v>
      </c>
      <c r="H3457" s="194"/>
      <c r="I3457" s="161">
        <f t="shared" si="45"/>
        <v>250000</v>
      </c>
      <c r="J3457" s="164">
        <f t="shared" si="46"/>
        <v>250000</v>
      </c>
      <c r="K3457" s="56" t="s">
        <v>11145</v>
      </c>
      <c r="L3457" s="165" t="s">
        <v>11146</v>
      </c>
      <c r="M3457" s="73"/>
      <c r="N3457" s="171"/>
      <c r="O3457" s="169" t="s">
        <v>6923</v>
      </c>
      <c r="P3457" s="168" t="s">
        <v>3112</v>
      </c>
      <c r="Q3457" s="173"/>
      <c r="R3457" s="161">
        <v>250000.0</v>
      </c>
      <c r="S3457" s="173"/>
      <c r="T3457" s="173"/>
      <c r="U3457" s="173"/>
      <c r="V3457" s="169"/>
      <c r="W3457" s="171"/>
      <c r="X3457" s="171"/>
    </row>
    <row r="3458" ht="15.0" customHeight="1">
      <c r="A3458" s="127">
        <v>46107.0</v>
      </c>
      <c r="B3458" s="181" t="s">
        <v>11147</v>
      </c>
      <c r="C3458" s="56" t="s">
        <v>2696</v>
      </c>
      <c r="D3458" s="73" t="str">
        <f>IFERROR(VLOOKUP(C3458,Stock,3,FALSE),"")</f>
        <v>Honda HR-V 22- 5D SUV (Honda)</v>
      </c>
      <c r="E3458" s="56">
        <v>1.0</v>
      </c>
      <c r="F3458" s="161">
        <v>3452000.0</v>
      </c>
      <c r="G3458" s="162">
        <f t="shared" si="47"/>
        <v>3452000</v>
      </c>
      <c r="H3458" s="194"/>
      <c r="I3458" s="161">
        <f t="shared" si="45"/>
        <v>3452000</v>
      </c>
      <c r="J3458" s="164">
        <f t="shared" si="46"/>
        <v>3452000</v>
      </c>
      <c r="K3458" s="56" t="s">
        <v>10794</v>
      </c>
      <c r="L3458" s="165" t="s">
        <v>11148</v>
      </c>
      <c r="M3458" s="73"/>
      <c r="N3458" s="171"/>
      <c r="O3458" s="169" t="s">
        <v>6923</v>
      </c>
      <c r="P3458" s="168" t="s">
        <v>3112</v>
      </c>
      <c r="Q3458" s="173"/>
      <c r="R3458" s="161">
        <v>3452000.0</v>
      </c>
      <c r="S3458" s="173"/>
      <c r="T3458" s="173"/>
      <c r="U3458" s="173"/>
      <c r="V3458" s="169"/>
      <c r="W3458" s="171"/>
      <c r="X3458" s="171"/>
    </row>
    <row r="3459" ht="15.0" customHeight="1">
      <c r="A3459" s="127">
        <v>46107.0</v>
      </c>
      <c r="B3459" s="181" t="s">
        <v>11149</v>
      </c>
      <c r="C3459" s="56" t="s">
        <v>11150</v>
      </c>
      <c r="D3459" s="73" t="str">
        <f>IFERROR(VLOOKUP(C3459,Stock,3,FALSE),"")</f>
        <v>Isuzu Panther 00- 2nd Gen (Karet)</v>
      </c>
      <c r="E3459" s="56">
        <v>1.0</v>
      </c>
      <c r="F3459" s="161">
        <v>685000.0</v>
      </c>
      <c r="G3459" s="162">
        <f t="shared" si="47"/>
        <v>685000</v>
      </c>
      <c r="H3459" s="194"/>
      <c r="I3459" s="161">
        <f t="shared" si="45"/>
        <v>685000</v>
      </c>
      <c r="J3459" s="164">
        <f t="shared" si="46"/>
        <v>685000</v>
      </c>
      <c r="K3459" s="56" t="s">
        <v>11151</v>
      </c>
      <c r="L3459" s="165" t="s">
        <v>11152</v>
      </c>
      <c r="M3459" s="73"/>
      <c r="N3459" s="171"/>
      <c r="O3459" s="169" t="s">
        <v>6923</v>
      </c>
      <c r="P3459" s="168" t="s">
        <v>3112</v>
      </c>
      <c r="Q3459" s="173"/>
      <c r="R3459" s="161">
        <v>685000.0</v>
      </c>
      <c r="S3459" s="173"/>
      <c r="T3459" s="173"/>
      <c r="U3459" s="173"/>
      <c r="V3459" s="169"/>
      <c r="W3459" s="171"/>
      <c r="X3459" s="171"/>
    </row>
    <row r="3460" ht="15.0" customHeight="1">
      <c r="A3460" s="127">
        <v>46108.0</v>
      </c>
      <c r="B3460" s="181" t="s">
        <v>11153</v>
      </c>
      <c r="C3460" s="56" t="s">
        <v>2691</v>
      </c>
      <c r="D3460" s="73" t="str">
        <f>IFERROR(VLOOKUP(C3460,Stock,3,FALSE),"")</f>
        <v>Suzuki Ertiga 12-18 1st Gen MPV</v>
      </c>
      <c r="E3460" s="56">
        <v>1.0</v>
      </c>
      <c r="F3460" s="161">
        <v>1250000.0</v>
      </c>
      <c r="G3460" s="162">
        <f t="shared" si="47"/>
        <v>1250000</v>
      </c>
      <c r="H3460" s="194"/>
      <c r="I3460" s="161">
        <f t="shared" si="45"/>
        <v>1250000</v>
      </c>
      <c r="J3460" s="164">
        <f t="shared" si="46"/>
        <v>1250000</v>
      </c>
      <c r="K3460" s="56" t="s">
        <v>5636</v>
      </c>
      <c r="L3460" s="165" t="s">
        <v>11154</v>
      </c>
      <c r="M3460" s="73"/>
      <c r="N3460" s="171"/>
      <c r="O3460" s="169" t="s">
        <v>6923</v>
      </c>
      <c r="P3460" s="168" t="s">
        <v>3112</v>
      </c>
      <c r="Q3460" s="173"/>
      <c r="R3460" s="161">
        <v>1250000.0</v>
      </c>
      <c r="S3460" s="173"/>
      <c r="T3460" s="173"/>
      <c r="U3460" s="173"/>
      <c r="V3460" s="169"/>
      <c r="W3460" s="171"/>
      <c r="X3460" s="171"/>
    </row>
    <row r="3461" ht="15.0" customHeight="1">
      <c r="A3461" s="127">
        <v>46108.0</v>
      </c>
      <c r="B3461" s="181" t="s">
        <v>11155</v>
      </c>
      <c r="C3461" s="56" t="s">
        <v>3201</v>
      </c>
      <c r="D3461" s="73" t="str">
        <f>IFERROR(VLOOKUP(C3461,Stock,3,FALSE),"")</f>
        <v>Honda Freed 08-16 1st gen</v>
      </c>
      <c r="E3461" s="56">
        <v>1.0</v>
      </c>
      <c r="F3461" s="161">
        <v>1418000.0</v>
      </c>
      <c r="G3461" s="162">
        <f t="shared" si="47"/>
        <v>1418000</v>
      </c>
      <c r="H3461" s="194"/>
      <c r="I3461" s="161">
        <f t="shared" si="45"/>
        <v>1418000</v>
      </c>
      <c r="J3461" s="164">
        <f t="shared" si="46"/>
        <v>1418000</v>
      </c>
      <c r="K3461" s="56" t="s">
        <v>10129</v>
      </c>
      <c r="L3461" s="165" t="s">
        <v>6782</v>
      </c>
      <c r="M3461" s="73"/>
      <c r="N3461" s="171"/>
      <c r="O3461" s="169" t="s">
        <v>6923</v>
      </c>
      <c r="P3461" s="168" t="s">
        <v>3112</v>
      </c>
      <c r="Q3461" s="173"/>
      <c r="R3461" s="161">
        <v>1418000.0</v>
      </c>
      <c r="S3461" s="173"/>
      <c r="T3461" s="173"/>
      <c r="U3461" s="173"/>
      <c r="V3461" s="169"/>
      <c r="W3461" s="171"/>
      <c r="X3461" s="171"/>
    </row>
    <row r="3462" ht="15.0" customHeight="1">
      <c r="A3462" s="127">
        <v>46108.0</v>
      </c>
      <c r="B3462" s="476" t="s">
        <v>11156</v>
      </c>
      <c r="C3462" s="56" t="s">
        <v>3099</v>
      </c>
      <c r="D3462" s="73" t="str">
        <f>IFERROR(VLOOKUP(C3462,Stock,3,FALSE),"")</f>
        <v>Toyota Calya / Sigra 16-</v>
      </c>
      <c r="E3462" s="56">
        <v>1.0</v>
      </c>
      <c r="F3462" s="161">
        <v>1150000.0</v>
      </c>
      <c r="G3462" s="162">
        <f t="shared" si="47"/>
        <v>1150000</v>
      </c>
      <c r="H3462" s="194"/>
      <c r="I3462" s="161">
        <f t="shared" si="45"/>
        <v>1150000</v>
      </c>
      <c r="J3462" s="164">
        <f t="shared" si="46"/>
        <v>1150000</v>
      </c>
      <c r="K3462" s="56" t="s">
        <v>11157</v>
      </c>
      <c r="L3462" s="165" t="s">
        <v>11158</v>
      </c>
      <c r="M3462" s="73"/>
      <c r="N3462" s="171"/>
      <c r="O3462" s="169" t="s">
        <v>6923</v>
      </c>
      <c r="P3462" s="168" t="s">
        <v>3112</v>
      </c>
      <c r="Q3462" s="173"/>
      <c r="R3462" s="161">
        <v>1150000.0</v>
      </c>
      <c r="S3462" s="173"/>
      <c r="T3462" s="173"/>
      <c r="U3462" s="173"/>
      <c r="V3462" s="169"/>
      <c r="W3462" s="171"/>
      <c r="X3462" s="171"/>
    </row>
    <row r="3463" ht="15.0" customHeight="1">
      <c r="A3463" s="127">
        <v>46108.0</v>
      </c>
      <c r="B3463" s="476" t="s">
        <v>11159</v>
      </c>
      <c r="C3463" s="56" t="s">
        <v>2685</v>
      </c>
      <c r="D3463" s="73" t="str">
        <f>IFERROR(VLOOKUP(C3463,Stock,3,FALSE),"")</f>
        <v>Honda Stream 04-06 S7A/RN1 (Spion)</v>
      </c>
      <c r="E3463" s="56">
        <v>1.0</v>
      </c>
      <c r="F3463" s="161">
        <v>1747000.0</v>
      </c>
      <c r="G3463" s="162">
        <f t="shared" si="47"/>
        <v>1747000</v>
      </c>
      <c r="H3463" s="194"/>
      <c r="I3463" s="161">
        <f t="shared" si="45"/>
        <v>1747000</v>
      </c>
      <c r="J3463" s="164">
        <f t="shared" si="46"/>
        <v>1747000</v>
      </c>
      <c r="K3463" s="56" t="s">
        <v>10129</v>
      </c>
      <c r="L3463" s="165" t="s">
        <v>6782</v>
      </c>
      <c r="M3463" s="73"/>
      <c r="N3463" s="171"/>
      <c r="O3463" s="169" t="s">
        <v>6923</v>
      </c>
      <c r="P3463" s="168" t="s">
        <v>3112</v>
      </c>
      <c r="Q3463" s="173"/>
      <c r="R3463" s="161">
        <v>1747000.0</v>
      </c>
      <c r="S3463" s="173"/>
      <c r="T3463" s="173"/>
      <c r="U3463" s="173"/>
      <c r="V3463" s="169"/>
      <c r="W3463" s="171"/>
      <c r="X3463" s="171"/>
    </row>
    <row r="3464" ht="15.0" customHeight="1">
      <c r="A3464" s="127">
        <v>46108.0</v>
      </c>
      <c r="B3464" s="476" t="s">
        <v>11160</v>
      </c>
      <c r="C3464" s="56" t="s">
        <v>3638</v>
      </c>
      <c r="D3464" s="73" t="str">
        <f>IFERROR(VLOOKUP(C3464,Stock,3,FALSE),"")</f>
        <v>Mitsubishi Xpander 17-21</v>
      </c>
      <c r="E3464" s="56">
        <v>1.0</v>
      </c>
      <c r="F3464" s="161">
        <v>831000.0</v>
      </c>
      <c r="G3464" s="162">
        <f t="shared" si="47"/>
        <v>831000</v>
      </c>
      <c r="H3464" s="194"/>
      <c r="I3464" s="161">
        <f t="shared" si="45"/>
        <v>831000</v>
      </c>
      <c r="J3464" s="164">
        <f t="shared" si="46"/>
        <v>831000</v>
      </c>
      <c r="K3464" s="56" t="s">
        <v>11161</v>
      </c>
      <c r="L3464" s="165" t="s">
        <v>11162</v>
      </c>
      <c r="M3464" s="73"/>
      <c r="N3464" s="171"/>
      <c r="O3464" s="169" t="s">
        <v>6923</v>
      </c>
      <c r="P3464" s="168" t="s">
        <v>3112</v>
      </c>
      <c r="Q3464" s="173"/>
      <c r="R3464" s="161">
        <v>831000.0</v>
      </c>
      <c r="S3464" s="173"/>
      <c r="T3464" s="173"/>
      <c r="U3464" s="173"/>
      <c r="V3464" s="169"/>
      <c r="W3464" s="171"/>
      <c r="X3464" s="171"/>
    </row>
    <row r="3465" ht="15.0" customHeight="1">
      <c r="A3465" s="127">
        <v>46109.0</v>
      </c>
      <c r="B3465" s="476" t="s">
        <v>11163</v>
      </c>
      <c r="C3465" s="56" t="s">
        <v>3745</v>
      </c>
      <c r="D3465" s="73" t="str">
        <f>IFERROR(VLOOKUP(C3465,Stock,3,FALSE),"")</f>
        <v>Honda Brio 10- / Mobilio 11-</v>
      </c>
      <c r="E3465" s="56">
        <v>1.0</v>
      </c>
      <c r="F3465" s="161">
        <v>1772000.0</v>
      </c>
      <c r="G3465" s="162">
        <f t="shared" si="47"/>
        <v>1772000</v>
      </c>
      <c r="H3465" s="194"/>
      <c r="I3465" s="161">
        <f t="shared" si="45"/>
        <v>1772000</v>
      </c>
      <c r="J3465" s="164">
        <f t="shared" si="46"/>
        <v>1772000</v>
      </c>
      <c r="K3465" s="56" t="s">
        <v>11164</v>
      </c>
      <c r="L3465" s="165" t="s">
        <v>11165</v>
      </c>
      <c r="M3465" s="73"/>
      <c r="N3465" s="171"/>
      <c r="O3465" s="169" t="s">
        <v>6923</v>
      </c>
      <c r="P3465" s="168" t="s">
        <v>3112</v>
      </c>
      <c r="Q3465" s="173"/>
      <c r="R3465" s="161">
        <v>1772000.0</v>
      </c>
      <c r="S3465" s="173"/>
      <c r="T3465" s="173"/>
      <c r="U3465" s="173"/>
      <c r="V3465" s="169"/>
      <c r="W3465" s="171"/>
      <c r="X3465" s="171"/>
    </row>
    <row r="3466" ht="15.0" customHeight="1">
      <c r="A3466" s="127">
        <v>46109.0</v>
      </c>
      <c r="B3466" s="476" t="s">
        <v>11163</v>
      </c>
      <c r="C3466" s="56" t="s">
        <v>6424</v>
      </c>
      <c r="D3466" s="73" t="str">
        <f>IFERROR(VLOOKUP(C3466,Stock,3,FALSE),"")</f>
        <v>Automotive Film Standard - Black 40%                                </v>
      </c>
      <c r="E3466" s="56">
        <v>1.0</v>
      </c>
      <c r="F3466" s="161">
        <v>350000.0</v>
      </c>
      <c r="G3466" s="162">
        <f t="shared" si="47"/>
        <v>350000</v>
      </c>
      <c r="H3466" s="194"/>
      <c r="I3466" s="161">
        <f t="shared" si="45"/>
        <v>350000</v>
      </c>
      <c r="J3466" s="164">
        <f t="shared" si="46"/>
        <v>350000</v>
      </c>
      <c r="K3466" s="56" t="s">
        <v>11164</v>
      </c>
      <c r="L3466" s="165" t="s">
        <v>11165</v>
      </c>
      <c r="M3466" s="73"/>
      <c r="N3466" s="171"/>
      <c r="O3466" s="169" t="s">
        <v>6923</v>
      </c>
      <c r="P3466" s="168" t="s">
        <v>3112</v>
      </c>
      <c r="Q3466" s="173"/>
      <c r="R3466" s="161">
        <v>350000.0</v>
      </c>
      <c r="S3466" s="173"/>
      <c r="T3466" s="173"/>
      <c r="U3466" s="173"/>
      <c r="V3466" s="169"/>
      <c r="W3466" s="171"/>
      <c r="X3466" s="171"/>
    </row>
    <row r="3467" ht="15.0" customHeight="1">
      <c r="A3467" s="127">
        <v>46109.0</v>
      </c>
      <c r="B3467" s="476" t="s">
        <v>11166</v>
      </c>
      <c r="C3467" s="56" t="s">
        <v>6895</v>
      </c>
      <c r="D3467" s="73" t="str">
        <f>IFERROR(VLOOKUP(C3467,Stock,3,FALSE),"")</f>
        <v>Toyota Avanza / Xenia 03-11 1st Gen</v>
      </c>
      <c r="E3467" s="56">
        <v>1.0</v>
      </c>
      <c r="F3467" s="161">
        <v>500000.0</v>
      </c>
      <c r="G3467" s="162">
        <f t="shared" si="47"/>
        <v>500000</v>
      </c>
      <c r="H3467" s="194"/>
      <c r="I3467" s="161">
        <f t="shared" si="45"/>
        <v>500000</v>
      </c>
      <c r="J3467" s="164">
        <f t="shared" si="46"/>
        <v>500000</v>
      </c>
      <c r="K3467" s="56" t="s">
        <v>11167</v>
      </c>
      <c r="L3467" s="165" t="s">
        <v>11168</v>
      </c>
      <c r="M3467" s="73"/>
      <c r="N3467" s="171"/>
      <c r="O3467" s="169" t="s">
        <v>6923</v>
      </c>
      <c r="P3467" s="168" t="s">
        <v>3112</v>
      </c>
      <c r="Q3467" s="161">
        <v>500000.0</v>
      </c>
      <c r="R3467" s="173"/>
      <c r="S3467" s="173"/>
      <c r="T3467" s="173"/>
      <c r="U3467" s="173"/>
      <c r="V3467" s="169"/>
      <c r="W3467" s="171"/>
      <c r="X3467" s="171"/>
    </row>
    <row r="3468" ht="15.0" customHeight="1">
      <c r="A3468" s="127">
        <v>46110.0</v>
      </c>
      <c r="B3468" s="476" t="s">
        <v>11169</v>
      </c>
      <c r="C3468" s="56" t="s">
        <v>3045</v>
      </c>
      <c r="D3468" s="73" t="str">
        <f>IFERROR(VLOOKUP(C3468,Stock,3,FALSE),"")</f>
        <v>Pemasangan Kaca Mobil Depan</v>
      </c>
      <c r="E3468" s="56">
        <v>1.0</v>
      </c>
      <c r="F3468" s="161">
        <v>600000.0</v>
      </c>
      <c r="G3468" s="162">
        <f t="shared" si="47"/>
        <v>600000</v>
      </c>
      <c r="H3468" s="194"/>
      <c r="I3468" s="161">
        <f t="shared" si="45"/>
        <v>600000</v>
      </c>
      <c r="J3468" s="164">
        <f t="shared" si="46"/>
        <v>600000</v>
      </c>
      <c r="K3468" s="56" t="s">
        <v>5146</v>
      </c>
      <c r="L3468" s="165" t="s">
        <v>11170</v>
      </c>
      <c r="M3468" s="73"/>
      <c r="N3468" s="169" t="s">
        <v>11171</v>
      </c>
      <c r="O3468" s="169" t="s">
        <v>6923</v>
      </c>
      <c r="P3468" s="168" t="s">
        <v>3112</v>
      </c>
      <c r="Q3468" s="173"/>
      <c r="R3468" s="167">
        <v>600000.0</v>
      </c>
      <c r="S3468" s="173"/>
      <c r="T3468" s="173"/>
      <c r="U3468" s="173"/>
      <c r="V3468" s="169"/>
      <c r="W3468" s="171"/>
      <c r="X3468" s="171"/>
    </row>
    <row r="3469" ht="15.0" customHeight="1">
      <c r="A3469" s="127">
        <v>46111.0</v>
      </c>
      <c r="B3469" s="476" t="s">
        <v>11172</v>
      </c>
      <c r="C3469" s="56" t="s">
        <v>3290</v>
      </c>
      <c r="D3469" s="73" t="str">
        <f>IFERROR(VLOOKUP(C3469,Stock,3,FALSE),"")</f>
        <v>Toyota Innova 04-15 1st Gen</v>
      </c>
      <c r="E3469" s="56">
        <v>1.0</v>
      </c>
      <c r="F3469" s="161">
        <v>1300000.0</v>
      </c>
      <c r="G3469" s="162">
        <f t="shared" si="47"/>
        <v>1300000</v>
      </c>
      <c r="H3469" s="194"/>
      <c r="I3469" s="161">
        <f t="shared" si="45"/>
        <v>1300000</v>
      </c>
      <c r="J3469" s="164">
        <f t="shared" si="46"/>
        <v>1300000</v>
      </c>
      <c r="K3469" s="56" t="s">
        <v>11173</v>
      </c>
      <c r="L3469" s="165" t="s">
        <v>11174</v>
      </c>
      <c r="M3469" s="73"/>
      <c r="N3469" s="171"/>
      <c r="O3469" s="169" t="s">
        <v>6923</v>
      </c>
      <c r="P3469" s="168" t="s">
        <v>3112</v>
      </c>
      <c r="Q3469" s="173"/>
      <c r="R3469" s="161">
        <v>1300000.0</v>
      </c>
      <c r="S3469" s="173"/>
      <c r="T3469" s="173"/>
      <c r="U3469" s="173"/>
      <c r="V3469" s="169"/>
      <c r="W3469" s="171"/>
      <c r="X3469" s="171"/>
    </row>
    <row r="3470" ht="15.0" customHeight="1">
      <c r="A3470" s="127">
        <v>46111.0</v>
      </c>
      <c r="B3470" s="476" t="s">
        <v>11172</v>
      </c>
      <c r="C3470" s="56" t="s">
        <v>3355</v>
      </c>
      <c r="D3470" s="73" t="str">
        <f>IFERROR(VLOOKUP(C3470,Stock,3,FALSE),"")</f>
        <v>List Kaca Depan INV</v>
      </c>
      <c r="E3470" s="56">
        <v>1.0</v>
      </c>
      <c r="F3470" s="161">
        <v>315000.0</v>
      </c>
      <c r="G3470" s="162">
        <f t="shared" si="47"/>
        <v>315000</v>
      </c>
      <c r="H3470" s="194"/>
      <c r="I3470" s="161">
        <f t="shared" si="45"/>
        <v>315000</v>
      </c>
      <c r="J3470" s="164">
        <f t="shared" si="46"/>
        <v>315000</v>
      </c>
      <c r="K3470" s="56" t="s">
        <v>11173</v>
      </c>
      <c r="L3470" s="165" t="s">
        <v>11174</v>
      </c>
      <c r="M3470" s="73"/>
      <c r="N3470" s="171"/>
      <c r="O3470" s="169" t="s">
        <v>6923</v>
      </c>
      <c r="P3470" s="168" t="s">
        <v>3112</v>
      </c>
      <c r="Q3470" s="173"/>
      <c r="R3470" s="161">
        <v>315000.0</v>
      </c>
      <c r="S3470" s="173"/>
      <c r="T3470" s="173"/>
      <c r="U3470" s="173"/>
      <c r="V3470" s="169"/>
      <c r="W3470" s="171"/>
      <c r="X3470" s="171"/>
    </row>
    <row r="3471" ht="15.0" customHeight="1">
      <c r="A3471" s="127">
        <v>46111.0</v>
      </c>
      <c r="B3471" s="476" t="s">
        <v>11175</v>
      </c>
      <c r="C3471" s="56" t="s">
        <v>5598</v>
      </c>
      <c r="D3471" s="73" t="str">
        <f>IFERROR(VLOOKUP(C3471,Stock,3,FALSE),"")</f>
        <v>Toyota Avanza / Xenia 11-15 2nd Gen / 15-21 3rd Gen</v>
      </c>
      <c r="E3471" s="56">
        <v>1.0</v>
      </c>
      <c r="F3471" s="161">
        <v>500000.0</v>
      </c>
      <c r="G3471" s="162">
        <f t="shared" si="47"/>
        <v>500000</v>
      </c>
      <c r="H3471" s="194"/>
      <c r="I3471" s="161">
        <f t="shared" si="45"/>
        <v>500000</v>
      </c>
      <c r="J3471" s="164">
        <f t="shared" si="46"/>
        <v>500000</v>
      </c>
      <c r="K3471" s="56" t="s">
        <v>10409</v>
      </c>
      <c r="L3471" s="165" t="s">
        <v>11176</v>
      </c>
      <c r="M3471" s="73"/>
      <c r="N3471" s="171"/>
      <c r="O3471" s="169" t="s">
        <v>6923</v>
      </c>
      <c r="P3471" s="168" t="s">
        <v>3112</v>
      </c>
      <c r="Q3471" s="173"/>
      <c r="R3471" s="167">
        <v>500000.0</v>
      </c>
      <c r="S3471" s="173"/>
      <c r="T3471" s="173"/>
      <c r="U3471" s="173"/>
      <c r="V3471" s="169"/>
      <c r="W3471" s="171"/>
      <c r="X3471" s="171"/>
    </row>
    <row r="3472" ht="15.0" customHeight="1">
      <c r="A3472" s="127">
        <v>46111.0</v>
      </c>
      <c r="B3472" s="476" t="s">
        <v>11177</v>
      </c>
      <c r="C3472" s="56" t="s">
        <v>10480</v>
      </c>
      <c r="D3472" s="73" t="str">
        <f>IFERROR(VLOOKUP(C3472,Stock,3,FALSE),"")</f>
        <v>Toyota Innova 15- 2nd Gen</v>
      </c>
      <c r="E3472" s="56">
        <v>1.0</v>
      </c>
      <c r="F3472" s="161">
        <v>1650000.0</v>
      </c>
      <c r="G3472" s="162">
        <f t="shared" si="47"/>
        <v>1650000</v>
      </c>
      <c r="H3472" s="194"/>
      <c r="I3472" s="161">
        <f t="shared" si="45"/>
        <v>1650000</v>
      </c>
      <c r="J3472" s="164">
        <f t="shared" si="46"/>
        <v>1650000</v>
      </c>
      <c r="K3472" s="56" t="s">
        <v>11178</v>
      </c>
      <c r="L3472" s="165" t="s">
        <v>11179</v>
      </c>
      <c r="M3472" s="73"/>
      <c r="N3472" s="171"/>
      <c r="O3472" s="169" t="s">
        <v>6923</v>
      </c>
      <c r="P3472" s="168" t="s">
        <v>3112</v>
      </c>
      <c r="Q3472" s="173"/>
      <c r="R3472" s="161">
        <v>1650000.0</v>
      </c>
      <c r="S3472" s="173"/>
      <c r="T3472" s="173"/>
      <c r="U3472" s="173"/>
      <c r="V3472" s="169"/>
      <c r="W3472" s="171"/>
      <c r="X3472" s="171"/>
    </row>
    <row r="3473" ht="15.0" customHeight="1">
      <c r="A3473" s="127">
        <v>46111.0</v>
      </c>
      <c r="B3473" s="476" t="s">
        <v>11180</v>
      </c>
      <c r="C3473" s="56" t="s">
        <v>3493</v>
      </c>
      <c r="D3473" s="73" t="str">
        <f>IFERROR(VLOOKUP(C3473,Stock,3,FALSE),"")</f>
        <v>Nissan Livina 07-18 L10/L11</v>
      </c>
      <c r="E3473" s="56">
        <v>1.0</v>
      </c>
      <c r="F3473" s="161">
        <v>1450000.0</v>
      </c>
      <c r="G3473" s="162">
        <f t="shared" si="47"/>
        <v>1450000</v>
      </c>
      <c r="H3473" s="194"/>
      <c r="I3473" s="161">
        <f t="shared" si="45"/>
        <v>1450000</v>
      </c>
      <c r="J3473" s="164">
        <f t="shared" si="46"/>
        <v>1450000</v>
      </c>
      <c r="K3473" s="56" t="s">
        <v>5707</v>
      </c>
      <c r="L3473" s="165" t="s">
        <v>11181</v>
      </c>
      <c r="M3473" s="73"/>
      <c r="N3473" s="171"/>
      <c r="O3473" s="169" t="s">
        <v>6923</v>
      </c>
      <c r="P3473" s="168" t="s">
        <v>3112</v>
      </c>
      <c r="Q3473" s="173"/>
      <c r="R3473" s="161">
        <v>1450000.0</v>
      </c>
      <c r="S3473" s="173"/>
      <c r="T3473" s="173"/>
      <c r="U3473" s="173"/>
      <c r="V3473" s="169"/>
      <c r="W3473" s="171"/>
      <c r="X3473" s="171"/>
    </row>
    <row r="3474" ht="15.0" customHeight="1">
      <c r="A3474" s="127">
        <v>46111.0</v>
      </c>
      <c r="B3474" s="476" t="s">
        <v>11182</v>
      </c>
      <c r="C3474" s="56" t="s">
        <v>10976</v>
      </c>
      <c r="D3474" s="73" t="str">
        <f>IFERROR(VLOOKUP(C3474,Stock,3,FALSE),"")</f>
        <v>Mitsubishi Xpander 17-</v>
      </c>
      <c r="E3474" s="56">
        <v>1.0</v>
      </c>
      <c r="F3474" s="161">
        <v>1550000.0</v>
      </c>
      <c r="G3474" s="162">
        <f t="shared" si="47"/>
        <v>1550000</v>
      </c>
      <c r="H3474" s="194"/>
      <c r="I3474" s="161">
        <f t="shared" si="45"/>
        <v>1550000</v>
      </c>
      <c r="J3474" s="164">
        <f t="shared" si="46"/>
        <v>1550000</v>
      </c>
      <c r="K3474" s="56" t="s">
        <v>7160</v>
      </c>
      <c r="L3474" s="165" t="s">
        <v>11183</v>
      </c>
      <c r="M3474" s="73"/>
      <c r="N3474" s="171"/>
      <c r="O3474" s="169" t="s">
        <v>6923</v>
      </c>
      <c r="P3474" s="168" t="s">
        <v>3112</v>
      </c>
      <c r="Q3474" s="173"/>
      <c r="R3474" s="161">
        <v>1550000.0</v>
      </c>
      <c r="S3474" s="173"/>
      <c r="T3474" s="173"/>
      <c r="U3474" s="173"/>
      <c r="V3474" s="169"/>
      <c r="W3474" s="171"/>
      <c r="X3474" s="171"/>
    </row>
    <row r="3475" ht="15.0" customHeight="1">
      <c r="A3475" s="127">
        <v>46111.0</v>
      </c>
      <c r="B3475" s="476" t="s">
        <v>11182</v>
      </c>
      <c r="C3475" s="56" t="s">
        <v>2954</v>
      </c>
      <c r="D3475" s="73" t="str">
        <f>IFERROR(VLOOKUP(C3475,Stock,3,FALSE),"")</f>
        <v>Transport</v>
      </c>
      <c r="E3475" s="56">
        <v>1.0</v>
      </c>
      <c r="F3475" s="161">
        <v>30000.0</v>
      </c>
      <c r="G3475" s="162">
        <f t="shared" si="47"/>
        <v>30000</v>
      </c>
      <c r="H3475" s="194"/>
      <c r="I3475" s="161">
        <f t="shared" si="45"/>
        <v>30000</v>
      </c>
      <c r="J3475" s="164">
        <f t="shared" si="46"/>
        <v>30000</v>
      </c>
      <c r="K3475" s="56" t="s">
        <v>7160</v>
      </c>
      <c r="L3475" s="165" t="s">
        <v>11183</v>
      </c>
      <c r="M3475" s="73"/>
      <c r="N3475" s="171"/>
      <c r="O3475" s="169" t="s">
        <v>6923</v>
      </c>
      <c r="P3475" s="168" t="s">
        <v>3112</v>
      </c>
      <c r="Q3475" s="173"/>
      <c r="R3475" s="161">
        <v>30000.0</v>
      </c>
      <c r="S3475" s="173"/>
      <c r="T3475" s="173"/>
      <c r="U3475" s="173"/>
      <c r="V3475" s="169"/>
      <c r="W3475" s="171"/>
      <c r="X3475" s="171"/>
    </row>
    <row r="3476" ht="15.0" customHeight="1">
      <c r="A3476" s="127">
        <v>46111.0</v>
      </c>
      <c r="B3476" s="476" t="s">
        <v>11184</v>
      </c>
      <c r="C3476" s="56" t="s">
        <v>2702</v>
      </c>
      <c r="D3476" s="73" t="str">
        <f>IFERROR(VLOOKUP(C3476,Stock,3,FALSE),"")</f>
        <v>Toyota Sienta 15-</v>
      </c>
      <c r="E3476" s="56">
        <v>1.0</v>
      </c>
      <c r="F3476" s="161">
        <v>1438000.0</v>
      </c>
      <c r="G3476" s="162">
        <f t="shared" si="47"/>
        <v>1438000</v>
      </c>
      <c r="H3476" s="194"/>
      <c r="I3476" s="161">
        <f t="shared" si="45"/>
        <v>1438000</v>
      </c>
      <c r="J3476" s="164">
        <f t="shared" si="46"/>
        <v>1438000</v>
      </c>
      <c r="K3476" s="56" t="s">
        <v>11185</v>
      </c>
      <c r="L3476" s="165" t="s">
        <v>11186</v>
      </c>
      <c r="M3476" s="73"/>
      <c r="N3476" s="171"/>
      <c r="O3476" s="169" t="s">
        <v>6923</v>
      </c>
      <c r="P3476" s="168" t="s">
        <v>3112</v>
      </c>
      <c r="Q3476" s="173"/>
      <c r="R3476" s="161">
        <v>1438000.0</v>
      </c>
      <c r="S3476" s="173"/>
      <c r="T3476" s="173"/>
      <c r="U3476" s="173"/>
      <c r="V3476" s="169"/>
      <c r="W3476" s="171"/>
      <c r="X3476" s="171"/>
    </row>
    <row r="3477" ht="15.0" customHeight="1">
      <c r="A3477" s="127">
        <v>46111.0</v>
      </c>
      <c r="B3477" s="476" t="s">
        <v>11184</v>
      </c>
      <c r="C3477" s="56" t="s">
        <v>6424</v>
      </c>
      <c r="D3477" s="73" t="str">
        <f>IFERROR(VLOOKUP(C3477,Stock,3,FALSE),"")</f>
        <v>Automotive Film Standard - Black 40%                                </v>
      </c>
      <c r="E3477" s="56">
        <v>1.0</v>
      </c>
      <c r="F3477" s="161">
        <v>400000.0</v>
      </c>
      <c r="G3477" s="162">
        <f t="shared" si="47"/>
        <v>400000</v>
      </c>
      <c r="H3477" s="194"/>
      <c r="I3477" s="161">
        <f t="shared" si="45"/>
        <v>400000</v>
      </c>
      <c r="J3477" s="164">
        <f t="shared" si="46"/>
        <v>400000</v>
      </c>
      <c r="K3477" s="56" t="s">
        <v>11185</v>
      </c>
      <c r="L3477" s="165" t="s">
        <v>11186</v>
      </c>
      <c r="M3477" s="73"/>
      <c r="N3477" s="171"/>
      <c r="O3477" s="169" t="s">
        <v>6923</v>
      </c>
      <c r="P3477" s="168" t="s">
        <v>3112</v>
      </c>
      <c r="Q3477" s="173"/>
      <c r="R3477" s="161">
        <v>400000.0</v>
      </c>
      <c r="S3477" s="173"/>
      <c r="T3477" s="173"/>
      <c r="U3477" s="173"/>
      <c r="V3477" s="169"/>
      <c r="W3477" s="171"/>
      <c r="X3477" s="171"/>
    </row>
    <row r="3478" ht="15.0" customHeight="1">
      <c r="A3478" s="127">
        <v>46112.0</v>
      </c>
      <c r="B3478" s="476" t="s">
        <v>11187</v>
      </c>
      <c r="C3478" s="56" t="s">
        <v>3127</v>
      </c>
      <c r="D3478" s="73" t="str">
        <f>IFERROR(VLOOKUP(C3478,Stock,3,FALSE),"")</f>
        <v>Toyota Avanza / Xenia 03-11 1st Gen</v>
      </c>
      <c r="E3478" s="56">
        <v>1.0</v>
      </c>
      <c r="F3478" s="161">
        <v>839000.0</v>
      </c>
      <c r="G3478" s="162">
        <f t="shared" si="47"/>
        <v>839000</v>
      </c>
      <c r="H3478" s="194"/>
      <c r="I3478" s="161">
        <f t="shared" si="45"/>
        <v>839000</v>
      </c>
      <c r="J3478" s="164">
        <f t="shared" si="46"/>
        <v>839000</v>
      </c>
      <c r="K3478" s="56" t="s">
        <v>11188</v>
      </c>
      <c r="L3478" s="165" t="s">
        <v>11189</v>
      </c>
      <c r="M3478" s="73"/>
      <c r="N3478" s="171"/>
      <c r="O3478" s="169" t="s">
        <v>6923</v>
      </c>
      <c r="P3478" s="169" t="s">
        <v>3112</v>
      </c>
      <c r="Q3478" s="173"/>
      <c r="R3478" s="161">
        <v>839000.0</v>
      </c>
      <c r="S3478" s="173"/>
      <c r="T3478" s="173"/>
      <c r="U3478" s="173"/>
      <c r="V3478" s="169"/>
      <c r="W3478" s="171"/>
      <c r="X3478" s="171"/>
    </row>
    <row r="3479" ht="15.0" customHeight="1">
      <c r="A3479" s="183">
        <v>46112.0</v>
      </c>
      <c r="B3479" s="477" t="s">
        <v>11190</v>
      </c>
      <c r="C3479" s="184" t="s">
        <v>2670</v>
      </c>
      <c r="D3479" s="186" t="str">
        <f>IFERROR(VLOOKUP(C3479,Stock,3,FALSE),"")</f>
        <v>Honda City 02-08 4th Gen Idsi GD8</v>
      </c>
      <c r="E3479" s="184">
        <v>1.0</v>
      </c>
      <c r="F3479" s="187">
        <v>473000.0</v>
      </c>
      <c r="G3479" s="188">
        <f t="shared" si="47"/>
        <v>473000</v>
      </c>
      <c r="H3479" s="210"/>
      <c r="I3479" s="187">
        <f t="shared" si="45"/>
        <v>473000</v>
      </c>
      <c r="J3479" s="189">
        <f t="shared" si="46"/>
        <v>473000</v>
      </c>
      <c r="K3479" s="184" t="s">
        <v>11191</v>
      </c>
      <c r="L3479" s="186"/>
      <c r="M3479" s="186"/>
      <c r="N3479" s="212"/>
      <c r="O3479" s="212"/>
      <c r="P3479" s="212"/>
      <c r="Q3479" s="213"/>
      <c r="R3479" s="213"/>
      <c r="S3479" s="173"/>
      <c r="T3479" s="173"/>
      <c r="U3479" s="173"/>
      <c r="V3479" s="169"/>
      <c r="W3479" s="171"/>
      <c r="X3479" s="171"/>
    </row>
    <row r="3480" ht="15.0" customHeight="1">
      <c r="A3480" s="183">
        <v>46112.0</v>
      </c>
      <c r="B3480" s="477" t="s">
        <v>11190</v>
      </c>
      <c r="C3480" s="184" t="s">
        <v>2700</v>
      </c>
      <c r="D3480" s="186" t="str">
        <f>IFERROR(VLOOKUP(C3480,Stock,3,FALSE),"")</f>
        <v>Honda Accord 98-02 S84/S86 6th Gen</v>
      </c>
      <c r="E3480" s="184">
        <v>1.0</v>
      </c>
      <c r="F3480" s="187">
        <v>905000.0</v>
      </c>
      <c r="G3480" s="188">
        <f t="shared" si="47"/>
        <v>905000</v>
      </c>
      <c r="H3480" s="210"/>
      <c r="I3480" s="187">
        <f t="shared" si="45"/>
        <v>905000</v>
      </c>
      <c r="J3480" s="189">
        <f t="shared" si="46"/>
        <v>905000</v>
      </c>
      <c r="K3480" s="184" t="s">
        <v>11191</v>
      </c>
      <c r="L3480" s="186"/>
      <c r="M3480" s="186"/>
      <c r="N3480" s="212"/>
      <c r="O3480" s="212"/>
      <c r="P3480" s="212"/>
      <c r="Q3480" s="213"/>
      <c r="R3480" s="213"/>
      <c r="S3480" s="173"/>
      <c r="T3480" s="173"/>
      <c r="U3480" s="173"/>
      <c r="V3480" s="169"/>
      <c r="W3480" s="171"/>
      <c r="X3480" s="171"/>
    </row>
    <row r="3481" ht="15.0" customHeight="1">
      <c r="A3481" s="127">
        <v>46112.0</v>
      </c>
      <c r="B3481" s="476" t="s">
        <v>11192</v>
      </c>
      <c r="C3481" s="56" t="s">
        <v>10004</v>
      </c>
      <c r="D3481" s="73" t="str">
        <f>IFERROR(VLOOKUP(C3481,Stock,3,FALSE),"")</f>
        <v>Mitsubishi Xpander 22-  (Mitsubishi)</v>
      </c>
      <c r="E3481" s="56">
        <v>1.0</v>
      </c>
      <c r="F3481" s="161">
        <v>1386000.0</v>
      </c>
      <c r="G3481" s="162">
        <f t="shared" si="47"/>
        <v>1386000</v>
      </c>
      <c r="H3481" s="194"/>
      <c r="I3481" s="161">
        <f t="shared" si="45"/>
        <v>1386000</v>
      </c>
      <c r="J3481" s="164">
        <f t="shared" si="46"/>
        <v>1386000</v>
      </c>
      <c r="K3481" s="56" t="s">
        <v>11193</v>
      </c>
      <c r="L3481" s="165" t="s">
        <v>11194</v>
      </c>
      <c r="M3481" s="73"/>
      <c r="N3481" s="171"/>
      <c r="O3481" s="169" t="s">
        <v>6923</v>
      </c>
      <c r="P3481" s="168" t="s">
        <v>3112</v>
      </c>
      <c r="Q3481" s="173"/>
      <c r="R3481" s="167">
        <v>1836000.0</v>
      </c>
      <c r="S3481" s="173"/>
      <c r="T3481" s="173"/>
      <c r="U3481" s="173"/>
      <c r="V3481" s="169"/>
      <c r="W3481" s="171"/>
      <c r="X3481" s="171"/>
    </row>
    <row r="3482" ht="15.0" customHeight="1">
      <c r="A3482" s="127">
        <v>46112.0</v>
      </c>
      <c r="B3482" s="476" t="s">
        <v>11195</v>
      </c>
      <c r="C3482" s="56" t="s">
        <v>11196</v>
      </c>
      <c r="D3482" s="73" t="str">
        <f>IFERROR(VLOOKUP(C3482,Stock,3,FALSE),"")</f>
        <v/>
      </c>
      <c r="E3482" s="56">
        <v>1.0</v>
      </c>
      <c r="F3482" s="161">
        <v>4558000.0</v>
      </c>
      <c r="G3482" s="162">
        <f t="shared" si="47"/>
        <v>4558000</v>
      </c>
      <c r="H3482" s="194"/>
      <c r="I3482" s="161">
        <f t="shared" si="45"/>
        <v>4558000</v>
      </c>
      <c r="J3482" s="164">
        <f t="shared" si="46"/>
        <v>4558000</v>
      </c>
      <c r="K3482" s="56" t="s">
        <v>11197</v>
      </c>
      <c r="L3482" s="165" t="s">
        <v>11198</v>
      </c>
      <c r="M3482" s="73"/>
      <c r="N3482" s="171"/>
      <c r="O3482" s="169" t="s">
        <v>6923</v>
      </c>
      <c r="P3482" s="168" t="s">
        <v>3112</v>
      </c>
      <c r="Q3482" s="173"/>
      <c r="R3482" s="161">
        <v>4558000.0</v>
      </c>
      <c r="S3482" s="173"/>
      <c r="T3482" s="173"/>
      <c r="U3482" s="173"/>
      <c r="V3482" s="169"/>
      <c r="W3482" s="171"/>
      <c r="X3482" s="171"/>
    </row>
    <row r="3483" ht="15.0" customHeight="1">
      <c r="A3483" s="127">
        <v>46112.0</v>
      </c>
      <c r="B3483" s="476" t="s">
        <v>11195</v>
      </c>
      <c r="C3483" s="56" t="s">
        <v>2934</v>
      </c>
      <c r="D3483" s="73" t="str">
        <f>IFERROR(VLOOKUP(C3483,Stock,3,FALSE),"")</f>
        <v>Peti Kayu</v>
      </c>
      <c r="E3483" s="56">
        <v>1.0</v>
      </c>
      <c r="F3483" s="161">
        <v>200000.0</v>
      </c>
      <c r="G3483" s="162">
        <f t="shared" si="47"/>
        <v>200000</v>
      </c>
      <c r="H3483" s="194"/>
      <c r="I3483" s="161">
        <f t="shared" si="45"/>
        <v>200000</v>
      </c>
      <c r="J3483" s="164">
        <f t="shared" si="46"/>
        <v>200000</v>
      </c>
      <c r="K3483" s="56" t="s">
        <v>11197</v>
      </c>
      <c r="L3483" s="165" t="s">
        <v>11198</v>
      </c>
      <c r="M3483" s="73"/>
      <c r="N3483" s="171"/>
      <c r="O3483" s="169" t="s">
        <v>6923</v>
      </c>
      <c r="P3483" s="168" t="s">
        <v>3112</v>
      </c>
      <c r="Q3483" s="173"/>
      <c r="R3483" s="161">
        <v>200000.0</v>
      </c>
      <c r="S3483" s="173"/>
      <c r="T3483" s="173"/>
      <c r="U3483" s="173"/>
      <c r="V3483" s="169"/>
      <c r="W3483" s="171"/>
      <c r="X3483" s="171"/>
    </row>
    <row r="3484" ht="15.0" customHeight="1">
      <c r="A3484" s="127">
        <v>46113.0</v>
      </c>
      <c r="B3484" s="181" t="s">
        <v>11199</v>
      </c>
      <c r="C3484" s="56" t="s">
        <v>2670</v>
      </c>
      <c r="D3484" s="73" t="str">
        <f>IFERROR(VLOOKUP(C3484,Stock,3,FALSE),"")</f>
        <v>Honda City 02-08 4th Gen Idsi GD8</v>
      </c>
      <c r="E3484" s="56">
        <v>1.0</v>
      </c>
      <c r="F3484" s="161">
        <v>1971000.0</v>
      </c>
      <c r="G3484" s="162">
        <f t="shared" si="47"/>
        <v>1971000</v>
      </c>
      <c r="H3484" s="194"/>
      <c r="I3484" s="161">
        <f t="shared" si="45"/>
        <v>1971000</v>
      </c>
      <c r="J3484" s="164">
        <f t="shared" si="46"/>
        <v>1971000</v>
      </c>
      <c r="K3484" s="56" t="s">
        <v>11200</v>
      </c>
      <c r="L3484" s="165" t="s">
        <v>11201</v>
      </c>
      <c r="M3484" s="73"/>
      <c r="N3484" s="171"/>
      <c r="O3484" s="169" t="s">
        <v>6923</v>
      </c>
      <c r="P3484" s="168" t="s">
        <v>3112</v>
      </c>
      <c r="Q3484" s="173"/>
      <c r="R3484" s="161">
        <v>1971000.0</v>
      </c>
      <c r="S3484" s="173"/>
      <c r="T3484" s="173"/>
      <c r="U3484" s="173"/>
      <c r="V3484" s="169"/>
      <c r="W3484" s="171"/>
      <c r="X3484" s="171"/>
    </row>
    <row r="3485" ht="15.0" customHeight="1">
      <c r="A3485" s="127">
        <v>46113.0</v>
      </c>
      <c r="B3485" s="181" t="s">
        <v>11202</v>
      </c>
      <c r="C3485" s="56" t="s">
        <v>2555</v>
      </c>
      <c r="D3485" s="73" t="str">
        <f>IFERROR(VLOOKUP(C3485,Stock,3,FALSE),"")</f>
        <v>Toyota Fortuner 15-  2nd Gen (Toyota)</v>
      </c>
      <c r="E3485" s="56">
        <v>1.0</v>
      </c>
      <c r="F3485" s="161">
        <v>3150000.0</v>
      </c>
      <c r="G3485" s="162">
        <f t="shared" si="47"/>
        <v>3150000</v>
      </c>
      <c r="H3485" s="194"/>
      <c r="I3485" s="161">
        <f t="shared" si="45"/>
        <v>3150000</v>
      </c>
      <c r="J3485" s="164">
        <f t="shared" si="46"/>
        <v>3150000</v>
      </c>
      <c r="K3485" s="56" t="s">
        <v>4077</v>
      </c>
      <c r="L3485" s="165" t="s">
        <v>11203</v>
      </c>
      <c r="M3485" s="73"/>
      <c r="N3485" s="169" t="s">
        <v>11204</v>
      </c>
      <c r="O3485" s="169" t="s">
        <v>6923</v>
      </c>
      <c r="P3485" s="168" t="s">
        <v>3112</v>
      </c>
      <c r="Q3485" s="173"/>
      <c r="R3485" s="161">
        <v>3150000.0</v>
      </c>
      <c r="S3485" s="173"/>
      <c r="T3485" s="173"/>
      <c r="U3485" s="173"/>
      <c r="V3485" s="169"/>
      <c r="W3485" s="171"/>
      <c r="X3485" s="171"/>
    </row>
    <row r="3486" ht="15.0" customHeight="1">
      <c r="A3486" s="127">
        <v>46113.0</v>
      </c>
      <c r="B3486" s="181" t="s">
        <v>11205</v>
      </c>
      <c r="C3486" s="56" t="s">
        <v>3726</v>
      </c>
      <c r="D3486" s="73" t="str">
        <f>IFERROR(VLOOKUP(C3486,Stock,3,FALSE),"")</f>
        <v>Mazda CX-5 .14-17 1st Gen KE Facelift - (3 Sensor/ /\8 )</v>
      </c>
      <c r="E3486" s="56">
        <v>1.0</v>
      </c>
      <c r="F3486" s="161">
        <v>4557000.0</v>
      </c>
      <c r="G3486" s="162">
        <f t="shared" si="47"/>
        <v>4557000</v>
      </c>
      <c r="H3486" s="194"/>
      <c r="I3486" s="161">
        <f t="shared" si="45"/>
        <v>4557000</v>
      </c>
      <c r="J3486" s="164">
        <f t="shared" si="46"/>
        <v>4557000</v>
      </c>
      <c r="K3486" s="56" t="s">
        <v>11206</v>
      </c>
      <c r="L3486" s="165" t="s">
        <v>11207</v>
      </c>
      <c r="M3486" s="73"/>
      <c r="N3486" s="171"/>
      <c r="O3486" s="169" t="s">
        <v>6923</v>
      </c>
      <c r="P3486" s="168" t="s">
        <v>3112</v>
      </c>
      <c r="Q3486" s="173"/>
      <c r="R3486" s="161">
        <v>4557000.0</v>
      </c>
      <c r="S3486" s="173"/>
      <c r="T3486" s="173"/>
      <c r="U3486" s="173"/>
      <c r="V3486" s="169"/>
      <c r="W3486" s="171"/>
      <c r="X3486" s="171"/>
    </row>
    <row r="3487" ht="15.0" customHeight="1">
      <c r="A3487" s="127">
        <v>46113.0</v>
      </c>
      <c r="B3487" s="181" t="s">
        <v>11205</v>
      </c>
      <c r="C3487" s="56" t="s">
        <v>2954</v>
      </c>
      <c r="D3487" s="73" t="str">
        <f>IFERROR(VLOOKUP(C3487,Stock,3,FALSE),"")</f>
        <v>Transport</v>
      </c>
      <c r="E3487" s="56">
        <v>1.0</v>
      </c>
      <c r="F3487" s="161">
        <v>150000.0</v>
      </c>
      <c r="G3487" s="162">
        <f t="shared" si="47"/>
        <v>150000</v>
      </c>
      <c r="H3487" s="194"/>
      <c r="I3487" s="161">
        <f t="shared" si="45"/>
        <v>150000</v>
      </c>
      <c r="J3487" s="164">
        <f t="shared" si="46"/>
        <v>150000</v>
      </c>
      <c r="K3487" s="56" t="s">
        <v>11206</v>
      </c>
      <c r="L3487" s="165" t="s">
        <v>11207</v>
      </c>
      <c r="M3487" s="73"/>
      <c r="N3487" s="171"/>
      <c r="O3487" s="169" t="s">
        <v>6923</v>
      </c>
      <c r="P3487" s="168" t="s">
        <v>3112</v>
      </c>
      <c r="Q3487" s="173"/>
      <c r="R3487" s="161">
        <v>150000.0</v>
      </c>
      <c r="S3487" s="173"/>
      <c r="T3487" s="173"/>
      <c r="U3487" s="173"/>
      <c r="V3487" s="169"/>
      <c r="W3487" s="171"/>
      <c r="X3487" s="171"/>
    </row>
    <row r="3488" ht="15.0" customHeight="1">
      <c r="A3488" s="127">
        <v>46113.0</v>
      </c>
      <c r="B3488" s="181" t="s">
        <v>11208</v>
      </c>
      <c r="C3488" s="56" t="s">
        <v>3059</v>
      </c>
      <c r="D3488" s="73" t="str">
        <f>IFERROR(VLOOKUP(C3488,Stock,3,FALSE),"")</f>
        <v>Sealant Polyurethane XYG Tube</v>
      </c>
      <c r="E3488" s="56">
        <v>40.0</v>
      </c>
      <c r="F3488" s="161">
        <v>65000.0</v>
      </c>
      <c r="G3488" s="162">
        <f t="shared" si="47"/>
        <v>2600000</v>
      </c>
      <c r="H3488" s="194"/>
      <c r="I3488" s="161">
        <f t="shared" si="45"/>
        <v>2600000</v>
      </c>
      <c r="J3488" s="164">
        <f t="shared" si="46"/>
        <v>2600000</v>
      </c>
      <c r="K3488" s="56" t="s">
        <v>9291</v>
      </c>
      <c r="L3488" s="165" t="s">
        <v>9292</v>
      </c>
      <c r="M3488" s="73"/>
      <c r="N3488" s="171"/>
      <c r="O3488" s="169" t="s">
        <v>6923</v>
      </c>
      <c r="P3488" s="168" t="s">
        <v>3112</v>
      </c>
      <c r="Q3488" s="173"/>
      <c r="R3488" s="161">
        <v>65000.0</v>
      </c>
      <c r="S3488" s="173"/>
      <c r="T3488" s="173"/>
      <c r="U3488" s="173"/>
      <c r="V3488" s="169"/>
      <c r="W3488" s="171"/>
      <c r="X3488" s="171"/>
    </row>
    <row r="3489" ht="15.0" customHeight="1">
      <c r="A3489" s="127">
        <v>46113.0</v>
      </c>
      <c r="B3489" s="181" t="s">
        <v>11208</v>
      </c>
      <c r="C3489" s="56" t="s">
        <v>2954</v>
      </c>
      <c r="D3489" s="73" t="str">
        <f>IFERROR(VLOOKUP(C3489,Stock,3,FALSE),"")</f>
        <v>Transport</v>
      </c>
      <c r="E3489" s="56">
        <v>1.0</v>
      </c>
      <c r="F3489" s="161">
        <v>30000.0</v>
      </c>
      <c r="G3489" s="162">
        <f t="shared" si="47"/>
        <v>30000</v>
      </c>
      <c r="H3489" s="194"/>
      <c r="I3489" s="161">
        <f t="shared" si="45"/>
        <v>30000</v>
      </c>
      <c r="J3489" s="164">
        <f t="shared" si="46"/>
        <v>30000</v>
      </c>
      <c r="K3489" s="56" t="s">
        <v>9291</v>
      </c>
      <c r="L3489" s="165" t="s">
        <v>9292</v>
      </c>
      <c r="M3489" s="73"/>
      <c r="N3489" s="171"/>
      <c r="O3489" s="169" t="s">
        <v>6923</v>
      </c>
      <c r="P3489" s="168" t="s">
        <v>3112</v>
      </c>
      <c r="Q3489" s="173"/>
      <c r="R3489" s="161">
        <v>30000.0</v>
      </c>
      <c r="S3489" s="173"/>
      <c r="T3489" s="173"/>
      <c r="U3489" s="173"/>
      <c r="V3489" s="169"/>
      <c r="W3489" s="171"/>
      <c r="X3489" s="171"/>
    </row>
    <row r="3490" ht="15.0" customHeight="1">
      <c r="A3490" s="127">
        <v>46114.0</v>
      </c>
      <c r="B3490" s="181" t="s">
        <v>11209</v>
      </c>
      <c r="C3490" s="56" t="s">
        <v>9836</v>
      </c>
      <c r="D3490" s="73" t="str">
        <f>IFERROR(VLOOKUP(C3490,Stock,3,FALSE),"")</f>
        <v>Toyota Yaris 13- 2nd Gen / Vios 14- 3rd Gen</v>
      </c>
      <c r="E3490" s="56">
        <v>1.0</v>
      </c>
      <c r="F3490" s="161">
        <v>1519000.0</v>
      </c>
      <c r="G3490" s="162">
        <f t="shared" si="47"/>
        <v>1519000</v>
      </c>
      <c r="H3490" s="194"/>
      <c r="I3490" s="161">
        <f t="shared" si="45"/>
        <v>1519000</v>
      </c>
      <c r="J3490" s="164">
        <f t="shared" si="46"/>
        <v>1519000</v>
      </c>
      <c r="K3490" s="56" t="s">
        <v>11210</v>
      </c>
      <c r="L3490" s="165" t="s">
        <v>11211</v>
      </c>
      <c r="M3490" s="73"/>
      <c r="N3490" s="171"/>
      <c r="O3490" s="169" t="s">
        <v>6923</v>
      </c>
      <c r="P3490" s="168" t="s">
        <v>3112</v>
      </c>
      <c r="Q3490" s="161">
        <v>1519000.0</v>
      </c>
      <c r="R3490" s="161"/>
      <c r="S3490" s="173"/>
      <c r="T3490" s="173"/>
      <c r="U3490" s="173"/>
      <c r="V3490" s="169"/>
      <c r="W3490" s="171"/>
      <c r="X3490" s="171"/>
    </row>
    <row r="3491" ht="15.0" customHeight="1">
      <c r="A3491" s="127">
        <v>46114.0</v>
      </c>
      <c r="B3491" s="181" t="s">
        <v>11212</v>
      </c>
      <c r="C3491" s="56" t="s">
        <v>2703</v>
      </c>
      <c r="D3491" s="73" t="str">
        <f>IFERROR(VLOOKUP(C3491,Stock,3,FALSE),"")</f>
        <v>Toyota Hi-Ace 04-20 Commuter</v>
      </c>
      <c r="E3491" s="56">
        <v>1.0</v>
      </c>
      <c r="F3491" s="161">
        <v>1609000.0</v>
      </c>
      <c r="G3491" s="162">
        <f t="shared" si="47"/>
        <v>1609000</v>
      </c>
      <c r="H3491" s="194"/>
      <c r="I3491" s="161">
        <f t="shared" si="45"/>
        <v>1609000</v>
      </c>
      <c r="J3491" s="164">
        <f t="shared" si="46"/>
        <v>1609000</v>
      </c>
      <c r="K3491" s="56" t="s">
        <v>11213</v>
      </c>
      <c r="L3491" s="165" t="s">
        <v>11214</v>
      </c>
      <c r="M3491" s="73"/>
      <c r="N3491" s="171"/>
      <c r="O3491" s="169" t="s">
        <v>6923</v>
      </c>
      <c r="P3491" s="168" t="s">
        <v>3112</v>
      </c>
      <c r="Q3491" s="173"/>
      <c r="R3491" s="161">
        <v>1609000.0</v>
      </c>
      <c r="S3491" s="173"/>
      <c r="T3491" s="173"/>
      <c r="U3491" s="173"/>
      <c r="V3491" s="169"/>
      <c r="W3491" s="171"/>
      <c r="X3491" s="171"/>
    </row>
    <row r="3492" ht="15.0" customHeight="1">
      <c r="A3492" s="127">
        <v>46116.0</v>
      </c>
      <c r="B3492" s="181" t="s">
        <v>11215</v>
      </c>
      <c r="C3492" s="56" t="s">
        <v>11216</v>
      </c>
      <c r="D3492" s="73" t="str">
        <f>IFERROR(VLOOKUP(C3492,Stock,3,FALSE),"")</f>
        <v>Mitsubishi Pajero 08-16</v>
      </c>
      <c r="E3492" s="56">
        <v>1.0</v>
      </c>
      <c r="F3492" s="161">
        <v>1280000.0</v>
      </c>
      <c r="G3492" s="162">
        <f t="shared" si="47"/>
        <v>1280000</v>
      </c>
      <c r="H3492" s="194"/>
      <c r="I3492" s="161">
        <f t="shared" si="45"/>
        <v>1280000</v>
      </c>
      <c r="J3492" s="164">
        <f t="shared" si="46"/>
        <v>1280000</v>
      </c>
      <c r="K3492" s="56" t="s">
        <v>11217</v>
      </c>
      <c r="L3492" s="165" t="s">
        <v>11218</v>
      </c>
      <c r="M3492" s="73"/>
      <c r="N3492" s="171"/>
      <c r="O3492" s="169" t="s">
        <v>6923</v>
      </c>
      <c r="P3492" s="168" t="s">
        <v>3112</v>
      </c>
      <c r="Q3492" s="173"/>
      <c r="R3492" s="161">
        <v>1280000.0</v>
      </c>
      <c r="S3492" s="173"/>
      <c r="T3492" s="173"/>
      <c r="U3492" s="173"/>
      <c r="V3492" s="169"/>
      <c r="W3492" s="171"/>
      <c r="X3492" s="171"/>
    </row>
    <row r="3493" ht="15.0" customHeight="1">
      <c r="A3493" s="127">
        <v>46116.0</v>
      </c>
      <c r="B3493" s="181" t="s">
        <v>11215</v>
      </c>
      <c r="C3493" s="56" t="s">
        <v>2934</v>
      </c>
      <c r="D3493" s="73" t="str">
        <f>IFERROR(VLOOKUP(C3493,Stock,3,FALSE),"")</f>
        <v>Peti Kayu</v>
      </c>
      <c r="E3493" s="56">
        <v>1.0</v>
      </c>
      <c r="F3493" s="161">
        <v>200000.0</v>
      </c>
      <c r="G3493" s="162">
        <f t="shared" si="47"/>
        <v>200000</v>
      </c>
      <c r="H3493" s="194"/>
      <c r="I3493" s="161">
        <f t="shared" si="45"/>
        <v>200000</v>
      </c>
      <c r="J3493" s="164">
        <f t="shared" si="46"/>
        <v>200000</v>
      </c>
      <c r="K3493" s="56" t="s">
        <v>11217</v>
      </c>
      <c r="L3493" s="165" t="s">
        <v>11218</v>
      </c>
      <c r="M3493" s="73"/>
      <c r="N3493" s="171"/>
      <c r="O3493" s="169" t="s">
        <v>6923</v>
      </c>
      <c r="P3493" s="168" t="s">
        <v>3112</v>
      </c>
      <c r="Q3493" s="173"/>
      <c r="R3493" s="161">
        <v>200000.0</v>
      </c>
      <c r="S3493" s="173"/>
      <c r="T3493" s="173"/>
      <c r="U3493" s="173"/>
      <c r="V3493" s="169"/>
      <c r="W3493" s="171"/>
      <c r="X3493" s="171"/>
    </row>
    <row r="3494" ht="15.0" customHeight="1">
      <c r="A3494" s="127">
        <v>46116.0</v>
      </c>
      <c r="B3494" s="181" t="s">
        <v>11215</v>
      </c>
      <c r="C3494" s="56" t="s">
        <v>2954</v>
      </c>
      <c r="D3494" s="73" t="str">
        <f>IFERROR(VLOOKUP(C3494,Stock,3,FALSE),"")</f>
        <v>Transport</v>
      </c>
      <c r="E3494" s="56">
        <v>1.0</v>
      </c>
      <c r="F3494" s="161">
        <v>100000.0</v>
      </c>
      <c r="G3494" s="162">
        <f t="shared" si="47"/>
        <v>100000</v>
      </c>
      <c r="H3494" s="194"/>
      <c r="I3494" s="161">
        <f t="shared" si="45"/>
        <v>100000</v>
      </c>
      <c r="J3494" s="164">
        <f t="shared" si="46"/>
        <v>100000</v>
      </c>
      <c r="K3494" s="56" t="s">
        <v>11217</v>
      </c>
      <c r="L3494" s="165" t="s">
        <v>11218</v>
      </c>
      <c r="M3494" s="73"/>
      <c r="N3494" s="171"/>
      <c r="O3494" s="169" t="s">
        <v>6923</v>
      </c>
      <c r="P3494" s="168" t="s">
        <v>3112</v>
      </c>
      <c r="Q3494" s="173"/>
      <c r="R3494" s="161">
        <v>100000.0</v>
      </c>
      <c r="S3494" s="173"/>
      <c r="T3494" s="173"/>
      <c r="U3494" s="173"/>
      <c r="V3494" s="169"/>
      <c r="W3494" s="171"/>
      <c r="X3494" s="171"/>
    </row>
    <row r="3495" ht="15.0" customHeight="1">
      <c r="A3495" s="127">
        <v>46116.0</v>
      </c>
      <c r="B3495" s="181" t="s">
        <v>11219</v>
      </c>
      <c r="C3495" s="56" t="s">
        <v>3099</v>
      </c>
      <c r="D3495" s="73" t="str">
        <f>IFERROR(VLOOKUP(C3495,Stock,3,FALSE),"")</f>
        <v>Toyota Calya / Sigra 16-</v>
      </c>
      <c r="E3495" s="56">
        <v>1.0</v>
      </c>
      <c r="F3495" s="161">
        <v>1016000.0</v>
      </c>
      <c r="G3495" s="162">
        <f t="shared" si="47"/>
        <v>1016000</v>
      </c>
      <c r="H3495" s="194"/>
      <c r="I3495" s="161">
        <f t="shared" si="45"/>
        <v>1016000</v>
      </c>
      <c r="J3495" s="164">
        <f t="shared" si="46"/>
        <v>1016000</v>
      </c>
      <c r="K3495" s="56" t="s">
        <v>5599</v>
      </c>
      <c r="L3495" s="165" t="s">
        <v>10562</v>
      </c>
      <c r="M3495" s="73"/>
      <c r="N3495" s="171"/>
      <c r="O3495" s="169" t="s">
        <v>6923</v>
      </c>
      <c r="P3495" s="168" t="s">
        <v>3112</v>
      </c>
      <c r="Q3495" s="173"/>
      <c r="R3495" s="161">
        <v>1016000.0</v>
      </c>
      <c r="S3495" s="173"/>
      <c r="T3495" s="173"/>
      <c r="U3495" s="173"/>
      <c r="V3495" s="169"/>
      <c r="W3495" s="171"/>
      <c r="X3495" s="171"/>
    </row>
    <row r="3496" ht="15.0" customHeight="1">
      <c r="A3496" s="127">
        <v>46116.0</v>
      </c>
      <c r="B3496" s="181" t="s">
        <v>11220</v>
      </c>
      <c r="C3496" s="56" t="s">
        <v>3186</v>
      </c>
      <c r="D3496" s="73" t="str">
        <f>IFERROR(VLOOKUP(C3496,Stock,3,FALSE),"")</f>
        <v>Daihatsu Gran Max / Luxio 07-</v>
      </c>
      <c r="E3496" s="56">
        <v>1.0</v>
      </c>
      <c r="F3496" s="161">
        <v>1000000.0</v>
      </c>
      <c r="G3496" s="162">
        <f t="shared" si="47"/>
        <v>1000000</v>
      </c>
      <c r="H3496" s="194"/>
      <c r="I3496" s="161">
        <f t="shared" si="45"/>
        <v>1000000</v>
      </c>
      <c r="J3496" s="164">
        <f t="shared" si="46"/>
        <v>1000000</v>
      </c>
      <c r="K3496" s="487" t="s">
        <v>11221</v>
      </c>
      <c r="L3496" s="165" t="s">
        <v>11222</v>
      </c>
      <c r="M3496" s="73"/>
      <c r="N3496" s="171"/>
      <c r="O3496" s="169" t="s">
        <v>6923</v>
      </c>
      <c r="P3496" s="168" t="s">
        <v>3112</v>
      </c>
      <c r="Q3496" s="173"/>
      <c r="R3496" s="161">
        <v>1000000.0</v>
      </c>
      <c r="S3496" s="173"/>
      <c r="T3496" s="173"/>
      <c r="U3496" s="173"/>
      <c r="V3496" s="169"/>
      <c r="W3496" s="171"/>
      <c r="X3496" s="171"/>
    </row>
    <row r="3497" ht="15.0" customHeight="1">
      <c r="A3497" s="127">
        <v>46116.0</v>
      </c>
      <c r="B3497" s="181" t="s">
        <v>11220</v>
      </c>
      <c r="C3497" s="56" t="s">
        <v>6424</v>
      </c>
      <c r="D3497" s="73" t="str">
        <f>IFERROR(VLOOKUP(C3497,Stock,3,FALSE),"")</f>
        <v>Automotive Film Standard - Black 40%                                </v>
      </c>
      <c r="E3497" s="56">
        <v>1.0</v>
      </c>
      <c r="F3497" s="161">
        <v>350000.0</v>
      </c>
      <c r="G3497" s="162">
        <f t="shared" si="47"/>
        <v>350000</v>
      </c>
      <c r="H3497" s="194"/>
      <c r="I3497" s="161">
        <f t="shared" si="45"/>
        <v>350000</v>
      </c>
      <c r="J3497" s="164">
        <f t="shared" si="46"/>
        <v>350000</v>
      </c>
      <c r="K3497" s="487" t="s">
        <v>11221</v>
      </c>
      <c r="L3497" s="165" t="s">
        <v>11222</v>
      </c>
      <c r="M3497" s="73"/>
      <c r="N3497" s="171"/>
      <c r="O3497" s="169" t="s">
        <v>6923</v>
      </c>
      <c r="P3497" s="168" t="s">
        <v>3112</v>
      </c>
      <c r="Q3497" s="173"/>
      <c r="R3497" s="161">
        <v>350000.0</v>
      </c>
      <c r="S3497" s="173"/>
      <c r="T3497" s="173"/>
      <c r="U3497" s="173"/>
      <c r="V3497" s="169"/>
      <c r="W3497" s="171"/>
      <c r="X3497" s="171"/>
    </row>
    <row r="3498" ht="15.0" customHeight="1">
      <c r="A3498" s="127">
        <v>46116.0</v>
      </c>
      <c r="B3498" s="181" t="s">
        <v>11220</v>
      </c>
      <c r="C3498" s="56" t="s">
        <v>3083</v>
      </c>
      <c r="D3498" s="73" t="str">
        <f>IFERROR(VLOOKUP(C3498,Stock,3,FALSE),"")</f>
        <v>List Kaca Depan Code 04</v>
      </c>
      <c r="E3498" s="56">
        <v>1.0</v>
      </c>
      <c r="F3498" s="161">
        <v>275000.0</v>
      </c>
      <c r="G3498" s="162">
        <f t="shared" si="47"/>
        <v>275000</v>
      </c>
      <c r="H3498" s="194"/>
      <c r="I3498" s="161">
        <f t="shared" si="45"/>
        <v>275000</v>
      </c>
      <c r="J3498" s="164">
        <f t="shared" si="46"/>
        <v>275000</v>
      </c>
      <c r="K3498" s="487" t="s">
        <v>11221</v>
      </c>
      <c r="L3498" s="165" t="s">
        <v>11222</v>
      </c>
      <c r="M3498" s="73"/>
      <c r="N3498" s="171"/>
      <c r="O3498" s="169" t="s">
        <v>6923</v>
      </c>
      <c r="P3498" s="168" t="s">
        <v>3112</v>
      </c>
      <c r="Q3498" s="173"/>
      <c r="R3498" s="161">
        <v>275000.0</v>
      </c>
      <c r="S3498" s="173"/>
      <c r="T3498" s="173"/>
      <c r="U3498" s="173"/>
      <c r="V3498" s="169"/>
      <c r="W3498" s="171"/>
      <c r="X3498" s="171"/>
    </row>
    <row r="3499" ht="15.0" customHeight="1">
      <c r="A3499" s="127">
        <v>46116.0</v>
      </c>
      <c r="B3499" s="181" t="s">
        <v>11223</v>
      </c>
      <c r="C3499" s="56" t="s">
        <v>2712</v>
      </c>
      <c r="D3499" s="73" t="str">
        <f>IFERROR(VLOOKUP(C3499,Stock,3,FALSE),"")</f>
        <v>Mitsubishi L300</v>
      </c>
      <c r="E3499" s="56">
        <v>1.0</v>
      </c>
      <c r="F3499" s="161">
        <v>1080000.0</v>
      </c>
      <c r="G3499" s="162">
        <f t="shared" si="47"/>
        <v>1080000</v>
      </c>
      <c r="H3499" s="194"/>
      <c r="I3499" s="161">
        <f t="shared" si="45"/>
        <v>1080000</v>
      </c>
      <c r="J3499" s="164">
        <f t="shared" si="46"/>
        <v>1080000</v>
      </c>
      <c r="K3499" s="56" t="s">
        <v>11224</v>
      </c>
      <c r="L3499" s="165" t="s">
        <v>11225</v>
      </c>
      <c r="M3499" s="73"/>
      <c r="N3499" s="171"/>
      <c r="O3499" s="169" t="s">
        <v>6923</v>
      </c>
      <c r="P3499" s="168" t="s">
        <v>3112</v>
      </c>
      <c r="Q3499" s="167">
        <v>80000.0</v>
      </c>
      <c r="R3499" s="161">
        <v>1000000.0</v>
      </c>
      <c r="S3499" s="173"/>
      <c r="T3499" s="173"/>
      <c r="U3499" s="173"/>
      <c r="V3499" s="169"/>
      <c r="W3499" s="171"/>
      <c r="X3499" s="171"/>
    </row>
    <row r="3500" ht="15.0" customHeight="1">
      <c r="A3500" s="127">
        <v>46116.0</v>
      </c>
      <c r="B3500" s="181" t="s">
        <v>11226</v>
      </c>
      <c r="C3500" s="56" t="s">
        <v>11227</v>
      </c>
      <c r="D3500" s="73" t="str">
        <f>IFERROR(VLOOKUP(C3500,Stock,3,FALSE),"")</f>
        <v>Chevrolet Trax 13- [Sensor]</v>
      </c>
      <c r="E3500" s="56">
        <v>1.0</v>
      </c>
      <c r="F3500" s="161">
        <v>2549000.0</v>
      </c>
      <c r="G3500" s="162">
        <f t="shared" si="47"/>
        <v>2549000</v>
      </c>
      <c r="H3500" s="194"/>
      <c r="I3500" s="161">
        <f t="shared" si="45"/>
        <v>2549000</v>
      </c>
      <c r="J3500" s="164">
        <f t="shared" si="46"/>
        <v>2549000</v>
      </c>
      <c r="K3500" s="56" t="s">
        <v>11228</v>
      </c>
      <c r="L3500" s="165" t="s">
        <v>11229</v>
      </c>
      <c r="M3500" s="73"/>
      <c r="N3500" s="171"/>
      <c r="O3500" s="169" t="s">
        <v>6923</v>
      </c>
      <c r="P3500" s="168" t="s">
        <v>3112</v>
      </c>
      <c r="Q3500" s="173"/>
      <c r="R3500" s="161">
        <v>2549000.0</v>
      </c>
      <c r="S3500" s="173"/>
      <c r="T3500" s="173"/>
      <c r="U3500" s="173"/>
      <c r="V3500" s="169"/>
      <c r="W3500" s="171"/>
      <c r="X3500" s="171"/>
    </row>
    <row r="3501" ht="15.0" customHeight="1">
      <c r="A3501" s="127">
        <v>46117.0</v>
      </c>
      <c r="B3501" s="476" t="s">
        <v>11230</v>
      </c>
      <c r="C3501" s="56" t="s">
        <v>3099</v>
      </c>
      <c r="D3501" s="73" t="str">
        <f>IFERROR(VLOOKUP(C3501,Stock,3,FALSE),"")</f>
        <v>Toyota Calya / Sigra 16-</v>
      </c>
      <c r="E3501" s="56">
        <v>1.0</v>
      </c>
      <c r="F3501" s="161">
        <v>1119000.0</v>
      </c>
      <c r="G3501" s="162">
        <f t="shared" si="47"/>
        <v>1119000</v>
      </c>
      <c r="H3501" s="194"/>
      <c r="I3501" s="161">
        <f t="shared" si="45"/>
        <v>1119000</v>
      </c>
      <c r="J3501" s="164">
        <f t="shared" si="46"/>
        <v>1119000</v>
      </c>
      <c r="K3501" s="56" t="s">
        <v>7284</v>
      </c>
      <c r="L3501" s="165" t="s">
        <v>11231</v>
      </c>
      <c r="M3501" s="73"/>
      <c r="N3501" s="171"/>
      <c r="O3501" s="169" t="s">
        <v>6923</v>
      </c>
      <c r="P3501" s="168" t="s">
        <v>3112</v>
      </c>
      <c r="Q3501" s="173"/>
      <c r="R3501" s="161">
        <v>1119000.0</v>
      </c>
      <c r="S3501" s="173"/>
      <c r="T3501" s="173"/>
      <c r="U3501" s="173"/>
      <c r="V3501" s="169"/>
      <c r="W3501" s="171"/>
      <c r="X3501" s="171"/>
    </row>
    <row r="3502" ht="15.0" customHeight="1">
      <c r="A3502" s="127">
        <v>46117.0</v>
      </c>
      <c r="B3502" s="476" t="s">
        <v>11232</v>
      </c>
      <c r="C3502" s="56" t="s">
        <v>3541</v>
      </c>
      <c r="D3502" s="73" t="str">
        <f>IFERROR(VLOOKUP(C3502,Stock,3,FALSE),"")</f>
        <v>Daihatsu Gran Max</v>
      </c>
      <c r="E3502" s="56">
        <v>1.0</v>
      </c>
      <c r="F3502" s="161">
        <v>500000.0</v>
      </c>
      <c r="G3502" s="162">
        <f t="shared" si="47"/>
        <v>500000</v>
      </c>
      <c r="H3502" s="194"/>
      <c r="I3502" s="161">
        <f t="shared" si="45"/>
        <v>500000</v>
      </c>
      <c r="J3502" s="164">
        <f t="shared" si="46"/>
        <v>500000</v>
      </c>
      <c r="K3502" s="56" t="s">
        <v>11233</v>
      </c>
      <c r="L3502" s="56" t="s">
        <v>3541</v>
      </c>
      <c r="M3502" s="73"/>
      <c r="N3502" s="171"/>
      <c r="O3502" s="169" t="s">
        <v>6923</v>
      </c>
      <c r="P3502" s="168" t="s">
        <v>3112</v>
      </c>
      <c r="Q3502" s="173"/>
      <c r="R3502" s="161">
        <v>500000.0</v>
      </c>
      <c r="S3502" s="173"/>
      <c r="T3502" s="173"/>
      <c r="U3502" s="173"/>
      <c r="V3502" s="169"/>
      <c r="W3502" s="171"/>
      <c r="X3502" s="171"/>
    </row>
    <row r="3503" ht="15.0" customHeight="1">
      <c r="A3503" s="127">
        <v>46117.0</v>
      </c>
      <c r="B3503" s="476" t="s">
        <v>11234</v>
      </c>
      <c r="C3503" s="56" t="s">
        <v>2663</v>
      </c>
      <c r="D3503" s="73" t="str">
        <f>IFERROR(VLOOKUP(C3503,Stock,3,FALSE),"")</f>
        <v>Chevrolet Captiva 06-18 1st gen C100</v>
      </c>
      <c r="E3503" s="56">
        <v>1.0</v>
      </c>
      <c r="F3503" s="161">
        <v>2000000.0</v>
      </c>
      <c r="G3503" s="162">
        <f t="shared" si="47"/>
        <v>2000000</v>
      </c>
      <c r="H3503" s="194"/>
      <c r="I3503" s="161">
        <f t="shared" si="45"/>
        <v>2000000</v>
      </c>
      <c r="J3503" s="164">
        <f t="shared" si="46"/>
        <v>2000000</v>
      </c>
      <c r="K3503" s="56" t="s">
        <v>11235</v>
      </c>
      <c r="L3503" s="165" t="s">
        <v>11236</v>
      </c>
      <c r="M3503" s="73"/>
      <c r="N3503" s="171"/>
      <c r="O3503" s="169" t="s">
        <v>6923</v>
      </c>
      <c r="P3503" s="168" t="s">
        <v>3112</v>
      </c>
      <c r="Q3503" s="173"/>
      <c r="R3503" s="161">
        <v>2000000.0</v>
      </c>
      <c r="S3503" s="173"/>
      <c r="T3503" s="173"/>
      <c r="U3503" s="173"/>
      <c r="V3503" s="169"/>
      <c r="W3503" s="171"/>
      <c r="X3503" s="171"/>
    </row>
    <row r="3504" ht="15.0" customHeight="1">
      <c r="A3504" s="127">
        <v>46118.0</v>
      </c>
      <c r="B3504" s="476" t="s">
        <v>11237</v>
      </c>
      <c r="C3504" s="56" t="s">
        <v>2732</v>
      </c>
      <c r="D3504" s="73" t="str">
        <f>IFERROR(VLOOKUP(C3504,Stock,3,FALSE),"")</f>
        <v>Honda Jazz 13- 3rd Gen</v>
      </c>
      <c r="E3504" s="56">
        <v>1.0</v>
      </c>
      <c r="F3504" s="161">
        <v>1407000.0</v>
      </c>
      <c r="G3504" s="162">
        <f t="shared" si="47"/>
        <v>1407000</v>
      </c>
      <c r="H3504" s="194"/>
      <c r="I3504" s="161">
        <f t="shared" si="45"/>
        <v>1407000</v>
      </c>
      <c r="J3504" s="164">
        <f t="shared" si="46"/>
        <v>1407000</v>
      </c>
      <c r="K3504" s="56" t="s">
        <v>7284</v>
      </c>
      <c r="L3504" s="165" t="s">
        <v>11238</v>
      </c>
      <c r="M3504" s="73"/>
      <c r="N3504" s="171"/>
      <c r="O3504" s="169" t="s">
        <v>6923</v>
      </c>
      <c r="P3504" s="168" t="s">
        <v>3112</v>
      </c>
      <c r="Q3504" s="173"/>
      <c r="R3504" s="161">
        <v>1407000.0</v>
      </c>
      <c r="S3504" s="173"/>
      <c r="T3504" s="173"/>
      <c r="U3504" s="173"/>
      <c r="V3504" s="169"/>
      <c r="W3504" s="171"/>
      <c r="X3504" s="171"/>
    </row>
    <row r="3505" ht="15.0" customHeight="1">
      <c r="A3505" s="127">
        <v>46118.0</v>
      </c>
      <c r="B3505" s="476" t="s">
        <v>11239</v>
      </c>
      <c r="C3505" s="56" t="s">
        <v>11240</v>
      </c>
      <c r="D3505" s="73" t="str">
        <f>IFERROR(VLOOKUP(C3505,Stock,3,FALSE),"")</f>
        <v>Nissan Livina 07-18 L10/L11 (7 Seats-Long)</v>
      </c>
      <c r="E3505" s="56">
        <v>1.0</v>
      </c>
      <c r="F3505" s="161">
        <v>898000.0</v>
      </c>
      <c r="G3505" s="162">
        <f t="shared" si="47"/>
        <v>898000</v>
      </c>
      <c r="H3505" s="194"/>
      <c r="I3505" s="161">
        <f t="shared" si="45"/>
        <v>898000</v>
      </c>
      <c r="J3505" s="164">
        <f t="shared" si="46"/>
        <v>898000</v>
      </c>
      <c r="K3505" s="56" t="s">
        <v>11241</v>
      </c>
      <c r="L3505" s="165" t="s">
        <v>11242</v>
      </c>
      <c r="M3505" s="73"/>
      <c r="N3505" s="171"/>
      <c r="O3505" s="169" t="s">
        <v>6923</v>
      </c>
      <c r="P3505" s="168" t="s">
        <v>3112</v>
      </c>
      <c r="Q3505" s="173"/>
      <c r="R3505" s="161">
        <v>898000.0</v>
      </c>
      <c r="S3505" s="173"/>
      <c r="T3505" s="173"/>
      <c r="U3505" s="173"/>
      <c r="V3505" s="169"/>
      <c r="W3505" s="171"/>
      <c r="X3505" s="171"/>
    </row>
    <row r="3506" ht="15.0" customHeight="1">
      <c r="A3506" s="127">
        <v>46118.0</v>
      </c>
      <c r="B3506" s="476" t="s">
        <v>11243</v>
      </c>
      <c r="C3506" s="56" t="s">
        <v>11244</v>
      </c>
      <c r="D3506" s="73" t="str">
        <f>IFERROR(VLOOKUP(C3506,Stock,3,FALSE),"")</f>
        <v>Honda CR-V 17- 5th Gen</v>
      </c>
      <c r="E3506" s="56">
        <v>1.0</v>
      </c>
      <c r="F3506" s="161">
        <v>2375000.0</v>
      </c>
      <c r="G3506" s="162">
        <f t="shared" si="47"/>
        <v>2375000</v>
      </c>
      <c r="H3506" s="194"/>
      <c r="I3506" s="161">
        <f t="shared" si="45"/>
        <v>2375000</v>
      </c>
      <c r="J3506" s="164">
        <f t="shared" si="46"/>
        <v>2375000</v>
      </c>
      <c r="K3506" s="56" t="s">
        <v>9250</v>
      </c>
      <c r="L3506" s="165" t="s">
        <v>9251</v>
      </c>
      <c r="M3506" s="73"/>
      <c r="N3506" s="171"/>
      <c r="O3506" s="169" t="s">
        <v>6923</v>
      </c>
      <c r="P3506" s="168" t="s">
        <v>3112</v>
      </c>
      <c r="Q3506" s="173"/>
      <c r="R3506" s="161">
        <v>2375000.0</v>
      </c>
      <c r="S3506" s="173"/>
      <c r="T3506" s="173"/>
      <c r="U3506" s="173"/>
      <c r="V3506" s="169"/>
      <c r="W3506" s="171"/>
      <c r="X3506" s="171"/>
    </row>
    <row r="3507" ht="15.0" customHeight="1">
      <c r="A3507" s="127">
        <v>46118.0</v>
      </c>
      <c r="B3507" s="476" t="s">
        <v>11245</v>
      </c>
      <c r="C3507" s="56" t="s">
        <v>9719</v>
      </c>
      <c r="D3507" s="73" t="str">
        <f>IFERROR(VLOOKUP(C3507,Stock,3,FALSE),"")</f>
        <v>Mers-Benz Axor 98- Truck</v>
      </c>
      <c r="E3507" s="56">
        <v>1.0</v>
      </c>
      <c r="F3507" s="161">
        <v>2050000.0</v>
      </c>
      <c r="G3507" s="162">
        <f t="shared" si="47"/>
        <v>2050000</v>
      </c>
      <c r="H3507" s="194"/>
      <c r="I3507" s="161">
        <f t="shared" si="45"/>
        <v>2050000</v>
      </c>
      <c r="J3507" s="164">
        <f t="shared" si="46"/>
        <v>2050000</v>
      </c>
      <c r="K3507" s="56" t="s">
        <v>11246</v>
      </c>
      <c r="L3507" s="165" t="s">
        <v>11247</v>
      </c>
      <c r="M3507" s="73"/>
      <c r="N3507" s="171"/>
      <c r="O3507" s="169" t="s">
        <v>6923</v>
      </c>
      <c r="P3507" s="168" t="s">
        <v>3112</v>
      </c>
      <c r="Q3507" s="173"/>
      <c r="R3507" s="161">
        <v>2050000.0</v>
      </c>
      <c r="S3507" s="173"/>
      <c r="T3507" s="173"/>
      <c r="U3507" s="173"/>
      <c r="V3507" s="169"/>
      <c r="W3507" s="171"/>
      <c r="X3507" s="171"/>
    </row>
    <row r="3508" ht="15.0" customHeight="1">
      <c r="A3508" s="127">
        <v>46118.0</v>
      </c>
      <c r="B3508" s="476" t="s">
        <v>11245</v>
      </c>
      <c r="C3508" s="56" t="s">
        <v>2954</v>
      </c>
      <c r="D3508" s="73" t="str">
        <f>IFERROR(VLOOKUP(C3508,Stock,3,FALSE),"")</f>
        <v>Transport</v>
      </c>
      <c r="E3508" s="56">
        <v>1.0</v>
      </c>
      <c r="F3508" s="161">
        <v>100000.0</v>
      </c>
      <c r="G3508" s="162">
        <f t="shared" si="47"/>
        <v>100000</v>
      </c>
      <c r="H3508" s="194"/>
      <c r="I3508" s="161">
        <f t="shared" si="45"/>
        <v>100000</v>
      </c>
      <c r="J3508" s="164">
        <f t="shared" si="46"/>
        <v>100000</v>
      </c>
      <c r="K3508" s="56" t="s">
        <v>11246</v>
      </c>
      <c r="L3508" s="165" t="s">
        <v>11247</v>
      </c>
      <c r="M3508" s="73"/>
      <c r="N3508" s="171"/>
      <c r="O3508" s="169" t="s">
        <v>6923</v>
      </c>
      <c r="P3508" s="168" t="s">
        <v>3112</v>
      </c>
      <c r="Q3508" s="173"/>
      <c r="R3508" s="161">
        <v>100000.0</v>
      </c>
      <c r="S3508" s="173"/>
      <c r="T3508" s="173"/>
      <c r="U3508" s="173"/>
      <c r="V3508" s="169"/>
      <c r="W3508" s="171"/>
      <c r="X3508" s="171"/>
    </row>
    <row r="3509" ht="15.0" customHeight="1">
      <c r="A3509" s="127">
        <v>46118.0</v>
      </c>
      <c r="B3509" s="476" t="s">
        <v>11248</v>
      </c>
      <c r="C3509" s="56" t="s">
        <v>2723</v>
      </c>
      <c r="D3509" s="73" t="str">
        <f>IFERROR(VLOOKUP(C3509,Stock,3,FALSE),"")</f>
        <v>Suzuki Carry New 19-</v>
      </c>
      <c r="E3509" s="56">
        <v>1.0</v>
      </c>
      <c r="F3509" s="161">
        <v>940000.0</v>
      </c>
      <c r="G3509" s="162">
        <f t="shared" si="47"/>
        <v>940000</v>
      </c>
      <c r="H3509" s="194"/>
      <c r="I3509" s="161">
        <f t="shared" si="45"/>
        <v>940000</v>
      </c>
      <c r="J3509" s="164">
        <f t="shared" si="46"/>
        <v>940000</v>
      </c>
      <c r="K3509" s="56" t="s">
        <v>11249</v>
      </c>
      <c r="L3509" s="165" t="s">
        <v>11250</v>
      </c>
      <c r="M3509" s="73"/>
      <c r="N3509" s="171"/>
      <c r="O3509" s="169" t="s">
        <v>6923</v>
      </c>
      <c r="P3509" s="168" t="s">
        <v>3112</v>
      </c>
      <c r="Q3509" s="161">
        <v>940000.0</v>
      </c>
      <c r="R3509" s="173"/>
      <c r="S3509" s="173"/>
      <c r="T3509" s="173"/>
      <c r="U3509" s="173"/>
      <c r="V3509" s="169"/>
      <c r="W3509" s="171"/>
      <c r="X3509" s="171"/>
    </row>
    <row r="3510" ht="15.0" customHeight="1">
      <c r="A3510" s="127">
        <v>46118.0</v>
      </c>
      <c r="B3510" s="476" t="s">
        <v>11248</v>
      </c>
      <c r="C3510" s="56" t="s">
        <v>2954</v>
      </c>
      <c r="D3510" s="73" t="str">
        <f>IFERROR(VLOOKUP(C3510,Stock,3,FALSE),"")</f>
        <v>Transport</v>
      </c>
      <c r="E3510" s="56">
        <v>1.0</v>
      </c>
      <c r="F3510" s="161">
        <v>75000.0</v>
      </c>
      <c r="G3510" s="162">
        <f t="shared" si="47"/>
        <v>75000</v>
      </c>
      <c r="H3510" s="194"/>
      <c r="I3510" s="161">
        <f t="shared" si="45"/>
        <v>75000</v>
      </c>
      <c r="J3510" s="164">
        <f t="shared" si="46"/>
        <v>75000</v>
      </c>
      <c r="K3510" s="56" t="s">
        <v>11249</v>
      </c>
      <c r="L3510" s="165" t="s">
        <v>11250</v>
      </c>
      <c r="M3510" s="73"/>
      <c r="N3510" s="171"/>
      <c r="O3510" s="169" t="s">
        <v>6923</v>
      </c>
      <c r="P3510" s="168" t="s">
        <v>3112</v>
      </c>
      <c r="Q3510" s="161">
        <v>75000.0</v>
      </c>
      <c r="R3510" s="173"/>
      <c r="S3510" s="173"/>
      <c r="T3510" s="173"/>
      <c r="U3510" s="173"/>
      <c r="V3510" s="169"/>
      <c r="W3510" s="171"/>
      <c r="X3510" s="171"/>
    </row>
    <row r="3511" ht="15.0" customHeight="1">
      <c r="A3511" s="127">
        <v>46118.0</v>
      </c>
      <c r="B3511" s="476" t="s">
        <v>11251</v>
      </c>
      <c r="C3511" s="56" t="s">
        <v>2565</v>
      </c>
      <c r="D3511" s="73" t="str">
        <f>IFERROR(VLOOKUP(C3511,Stock,3,FALSE),"")</f>
        <v>Toyota Avanza / Xenia 03-11 1st Gen</v>
      </c>
      <c r="E3511" s="56">
        <v>1.0</v>
      </c>
      <c r="F3511" s="161">
        <v>1200000.0</v>
      </c>
      <c r="G3511" s="162">
        <f t="shared" si="47"/>
        <v>1200000</v>
      </c>
      <c r="H3511" s="194"/>
      <c r="I3511" s="161">
        <f t="shared" si="45"/>
        <v>1200000</v>
      </c>
      <c r="J3511" s="164">
        <f t="shared" si="46"/>
        <v>1200000</v>
      </c>
      <c r="K3511" s="56" t="s">
        <v>11252</v>
      </c>
      <c r="L3511" s="165" t="s">
        <v>11253</v>
      </c>
      <c r="M3511" s="73"/>
      <c r="N3511" s="171"/>
      <c r="O3511" s="169" t="s">
        <v>6923</v>
      </c>
      <c r="P3511" s="168" t="s">
        <v>3112</v>
      </c>
      <c r="Q3511" s="161">
        <v>1200000.0</v>
      </c>
      <c r="R3511" s="173"/>
      <c r="S3511" s="173"/>
      <c r="T3511" s="173"/>
      <c r="U3511" s="173"/>
      <c r="V3511" s="169"/>
      <c r="W3511" s="171"/>
      <c r="X3511" s="171"/>
    </row>
    <row r="3512" ht="15.0" customHeight="1">
      <c r="A3512" s="127">
        <v>46118.0</v>
      </c>
      <c r="B3512" s="476" t="s">
        <v>11251</v>
      </c>
      <c r="C3512" s="56" t="s">
        <v>3083</v>
      </c>
      <c r="D3512" s="73" t="str">
        <f>IFERROR(VLOOKUP(C3512,Stock,3,FALSE),"")</f>
        <v>List Kaca Depan Code 04</v>
      </c>
      <c r="E3512" s="56">
        <v>1.0</v>
      </c>
      <c r="F3512" s="161">
        <v>275000.0</v>
      </c>
      <c r="G3512" s="162">
        <f t="shared" si="47"/>
        <v>275000</v>
      </c>
      <c r="H3512" s="194"/>
      <c r="I3512" s="161">
        <f t="shared" si="45"/>
        <v>275000</v>
      </c>
      <c r="J3512" s="164">
        <f t="shared" si="46"/>
        <v>275000</v>
      </c>
      <c r="K3512" s="56" t="s">
        <v>11252</v>
      </c>
      <c r="L3512" s="165" t="s">
        <v>11253</v>
      </c>
      <c r="M3512" s="73"/>
      <c r="N3512" s="171"/>
      <c r="O3512" s="169" t="s">
        <v>6923</v>
      </c>
      <c r="P3512" s="168" t="s">
        <v>3112</v>
      </c>
      <c r="Q3512" s="161">
        <v>275000.0</v>
      </c>
      <c r="R3512" s="173"/>
      <c r="S3512" s="173"/>
      <c r="T3512" s="173"/>
      <c r="U3512" s="173"/>
      <c r="V3512" s="169"/>
      <c r="W3512" s="171"/>
      <c r="X3512" s="171"/>
    </row>
    <row r="3513" ht="15.0" customHeight="1">
      <c r="A3513" s="127">
        <v>46118.0</v>
      </c>
      <c r="B3513" s="476" t="s">
        <v>11251</v>
      </c>
      <c r="C3513" s="56" t="s">
        <v>10233</v>
      </c>
      <c r="D3513" s="73" t="str">
        <f>IFERROR(VLOOKUP(C3513,Stock,3,FALSE),"")</f>
        <v>Automotive Film Standard - Black 60%       </v>
      </c>
      <c r="E3513" s="56">
        <v>1.0</v>
      </c>
      <c r="F3513" s="161">
        <v>200000.0</v>
      </c>
      <c r="G3513" s="162">
        <f t="shared" si="47"/>
        <v>200000</v>
      </c>
      <c r="H3513" s="194"/>
      <c r="I3513" s="161">
        <f t="shared" si="45"/>
        <v>200000</v>
      </c>
      <c r="J3513" s="164">
        <f t="shared" si="46"/>
        <v>200000</v>
      </c>
      <c r="K3513" s="56" t="s">
        <v>11252</v>
      </c>
      <c r="L3513" s="165" t="s">
        <v>11253</v>
      </c>
      <c r="M3513" s="73"/>
      <c r="N3513" s="171"/>
      <c r="O3513" s="169" t="s">
        <v>6923</v>
      </c>
      <c r="P3513" s="168" t="s">
        <v>3112</v>
      </c>
      <c r="Q3513" s="161">
        <v>200000.0</v>
      </c>
      <c r="R3513" s="173"/>
      <c r="S3513" s="173"/>
      <c r="T3513" s="173"/>
      <c r="U3513" s="173"/>
      <c r="V3513" s="169"/>
      <c r="W3513" s="171"/>
      <c r="X3513" s="171"/>
    </row>
    <row r="3514" ht="15.0" customHeight="1">
      <c r="A3514" s="127">
        <v>46118.0</v>
      </c>
      <c r="B3514" s="476" t="s">
        <v>11254</v>
      </c>
      <c r="C3514" s="56" t="s">
        <v>2744</v>
      </c>
      <c r="D3514" s="73" t="str">
        <f>IFERROR(VLOOKUP(C3514,Stock,3,FALSE),"")</f>
        <v>Toyota Fortuner 05-15 1st Gen (Hitam)</v>
      </c>
      <c r="E3514" s="56">
        <v>1.0</v>
      </c>
      <c r="F3514" s="161">
        <v>2050000.0</v>
      </c>
      <c r="G3514" s="162">
        <f t="shared" si="47"/>
        <v>2050000</v>
      </c>
      <c r="H3514" s="194"/>
      <c r="I3514" s="161">
        <f t="shared" si="45"/>
        <v>2050000</v>
      </c>
      <c r="J3514" s="164">
        <f t="shared" si="46"/>
        <v>2050000</v>
      </c>
      <c r="K3514" s="56" t="s">
        <v>11255</v>
      </c>
      <c r="L3514" s="56" t="s">
        <v>11255</v>
      </c>
      <c r="M3514" s="73"/>
      <c r="N3514" s="171"/>
      <c r="O3514" s="169" t="s">
        <v>6923</v>
      </c>
      <c r="P3514" s="168" t="s">
        <v>3112</v>
      </c>
      <c r="Q3514" s="173"/>
      <c r="R3514" s="161">
        <v>2050000.0</v>
      </c>
      <c r="S3514" s="173"/>
      <c r="T3514" s="173"/>
      <c r="U3514" s="173"/>
      <c r="V3514" s="169"/>
      <c r="W3514" s="171"/>
      <c r="X3514" s="171"/>
    </row>
    <row r="3515" ht="15.0" customHeight="1">
      <c r="A3515" s="127">
        <v>46118.0</v>
      </c>
      <c r="B3515" s="476" t="s">
        <v>11254</v>
      </c>
      <c r="C3515" s="56" t="s">
        <v>2954</v>
      </c>
      <c r="D3515" s="73" t="str">
        <f>IFERROR(VLOOKUP(C3515,Stock,3,FALSE),"")</f>
        <v>Transport</v>
      </c>
      <c r="E3515" s="56">
        <v>1.0</v>
      </c>
      <c r="F3515" s="161">
        <v>100000.0</v>
      </c>
      <c r="G3515" s="162">
        <f t="shared" si="47"/>
        <v>100000</v>
      </c>
      <c r="H3515" s="194"/>
      <c r="I3515" s="161">
        <f t="shared" si="45"/>
        <v>100000</v>
      </c>
      <c r="J3515" s="164">
        <f t="shared" si="46"/>
        <v>100000</v>
      </c>
      <c r="K3515" s="56" t="s">
        <v>11255</v>
      </c>
      <c r="L3515" s="56" t="s">
        <v>11255</v>
      </c>
      <c r="M3515" s="73"/>
      <c r="N3515" s="171"/>
      <c r="O3515" s="169" t="s">
        <v>6923</v>
      </c>
      <c r="P3515" s="168" t="s">
        <v>3112</v>
      </c>
      <c r="Q3515" s="173"/>
      <c r="R3515" s="161">
        <v>100000.0</v>
      </c>
      <c r="S3515" s="173"/>
      <c r="T3515" s="173"/>
      <c r="U3515" s="173"/>
      <c r="V3515" s="169"/>
      <c r="W3515" s="171"/>
      <c r="X3515" s="171"/>
    </row>
    <row r="3516" ht="15.0" customHeight="1">
      <c r="A3516" s="127">
        <v>46118.0</v>
      </c>
      <c r="B3516" s="476" t="s">
        <v>11254</v>
      </c>
      <c r="C3516" s="56" t="s">
        <v>2934</v>
      </c>
      <c r="D3516" s="73" t="str">
        <f>IFERROR(VLOOKUP(C3516,Stock,3,FALSE),"")</f>
        <v>Peti Kayu</v>
      </c>
      <c r="E3516" s="56">
        <v>1.0</v>
      </c>
      <c r="F3516" s="161">
        <v>200000.0</v>
      </c>
      <c r="G3516" s="162">
        <f t="shared" si="47"/>
        <v>200000</v>
      </c>
      <c r="H3516" s="194"/>
      <c r="I3516" s="161">
        <f t="shared" si="45"/>
        <v>200000</v>
      </c>
      <c r="J3516" s="164">
        <f t="shared" si="46"/>
        <v>200000</v>
      </c>
      <c r="K3516" s="56" t="s">
        <v>11255</v>
      </c>
      <c r="L3516" s="56" t="s">
        <v>11255</v>
      </c>
      <c r="M3516" s="73"/>
      <c r="N3516" s="171"/>
      <c r="O3516" s="169" t="s">
        <v>6923</v>
      </c>
      <c r="P3516" s="168" t="s">
        <v>3112</v>
      </c>
      <c r="Q3516" s="173"/>
      <c r="R3516" s="161">
        <v>200000.0</v>
      </c>
      <c r="S3516" s="173"/>
      <c r="T3516" s="173"/>
      <c r="U3516" s="173"/>
      <c r="V3516" s="169"/>
      <c r="W3516" s="171"/>
      <c r="X3516" s="171"/>
    </row>
    <row r="3517" ht="15.0" customHeight="1">
      <c r="A3517" s="127">
        <v>46119.0</v>
      </c>
      <c r="B3517" s="476" t="s">
        <v>11256</v>
      </c>
      <c r="C3517" s="56" t="s">
        <v>3045</v>
      </c>
      <c r="D3517" s="73" t="str">
        <f>IFERROR(VLOOKUP(C3517,Stock,3,FALSE),"")</f>
        <v>Pemasangan Kaca Mobil Depan</v>
      </c>
      <c r="E3517" s="56">
        <v>1.0</v>
      </c>
      <c r="F3517" s="161">
        <v>500000.0</v>
      </c>
      <c r="G3517" s="162">
        <f t="shared" si="47"/>
        <v>500000</v>
      </c>
      <c r="H3517" s="194"/>
      <c r="I3517" s="161">
        <f t="shared" si="45"/>
        <v>500000</v>
      </c>
      <c r="J3517" s="164">
        <f t="shared" si="46"/>
        <v>500000</v>
      </c>
      <c r="K3517" s="56" t="s">
        <v>4077</v>
      </c>
      <c r="L3517" s="165" t="s">
        <v>8775</v>
      </c>
      <c r="M3517" s="73"/>
      <c r="N3517" s="171"/>
      <c r="O3517" s="169" t="s">
        <v>6923</v>
      </c>
      <c r="P3517" s="168" t="s">
        <v>3112</v>
      </c>
      <c r="Q3517" s="173"/>
      <c r="R3517" s="161">
        <v>500000.0</v>
      </c>
      <c r="S3517" s="173"/>
      <c r="T3517" s="173"/>
      <c r="U3517" s="173"/>
      <c r="V3517" s="169"/>
      <c r="W3517" s="171"/>
      <c r="X3517" s="171"/>
    </row>
    <row r="3518" ht="15.0" customHeight="1">
      <c r="A3518" s="127">
        <v>46119.0</v>
      </c>
      <c r="B3518" s="476" t="s">
        <v>11257</v>
      </c>
      <c r="C3518" s="56" t="s">
        <v>11258</v>
      </c>
      <c r="D3518" s="73" t="str">
        <f>IFERROR(VLOOKUP(C3518,Stock,3,FALSE),"")</f>
        <v>Mitsubishi Strada Triton 23- (Keramik Kecil)</v>
      </c>
      <c r="E3518" s="56">
        <v>1.0</v>
      </c>
      <c r="F3518" s="161">
        <v>7600000.0</v>
      </c>
      <c r="G3518" s="162">
        <f t="shared" si="47"/>
        <v>7600000</v>
      </c>
      <c r="H3518" s="194"/>
      <c r="I3518" s="161">
        <f t="shared" si="45"/>
        <v>7600000</v>
      </c>
      <c r="J3518" s="164">
        <f t="shared" si="46"/>
        <v>7600000</v>
      </c>
      <c r="K3518" s="56" t="s">
        <v>11259</v>
      </c>
      <c r="L3518" s="165" t="s">
        <v>11260</v>
      </c>
      <c r="M3518" s="73"/>
      <c r="N3518" s="171"/>
      <c r="O3518" s="169" t="s">
        <v>6923</v>
      </c>
      <c r="P3518" s="168" t="s">
        <v>3112</v>
      </c>
      <c r="Q3518" s="173"/>
      <c r="R3518" s="161">
        <v>7600000.0</v>
      </c>
      <c r="S3518" s="173"/>
      <c r="T3518" s="173"/>
      <c r="U3518" s="173"/>
      <c r="V3518" s="169"/>
      <c r="W3518" s="171"/>
      <c r="X3518" s="171"/>
    </row>
    <row r="3519" ht="15.0" customHeight="1">
      <c r="A3519" s="127">
        <v>46119.0</v>
      </c>
      <c r="B3519" s="476" t="s">
        <v>11261</v>
      </c>
      <c r="C3519" s="56" t="s">
        <v>7897</v>
      </c>
      <c r="D3519" s="73" t="str">
        <f>IFERROR(VLOOKUP(C3519,Stock,3,FALSE),"")</f>
        <v>Honda Jazz 07-13 2nd Gen</v>
      </c>
      <c r="E3519" s="56">
        <v>1.0</v>
      </c>
      <c r="F3519" s="161">
        <v>1668000.0</v>
      </c>
      <c r="G3519" s="162">
        <f t="shared" si="47"/>
        <v>1668000</v>
      </c>
      <c r="H3519" s="194"/>
      <c r="I3519" s="161">
        <f t="shared" si="45"/>
        <v>1668000</v>
      </c>
      <c r="J3519" s="164">
        <f t="shared" si="46"/>
        <v>1668000</v>
      </c>
      <c r="K3519" s="56" t="s">
        <v>11262</v>
      </c>
      <c r="L3519" s="165" t="s">
        <v>11263</v>
      </c>
      <c r="M3519" s="73"/>
      <c r="N3519" s="171"/>
      <c r="O3519" s="169" t="s">
        <v>6923</v>
      </c>
      <c r="P3519" s="168" t="s">
        <v>3112</v>
      </c>
      <c r="Q3519" s="173"/>
      <c r="R3519" s="161">
        <v>1668000.0</v>
      </c>
      <c r="S3519" s="173"/>
      <c r="T3519" s="173"/>
      <c r="U3519" s="173"/>
      <c r="V3519" s="169"/>
      <c r="W3519" s="171"/>
      <c r="X3519" s="171"/>
    </row>
    <row r="3520" ht="15.0" customHeight="1">
      <c r="A3520" s="127">
        <v>46119.0</v>
      </c>
      <c r="B3520" s="476" t="s">
        <v>11261</v>
      </c>
      <c r="C3520" s="56" t="s">
        <v>6424</v>
      </c>
      <c r="D3520" s="73" t="str">
        <f>IFERROR(VLOOKUP(C3520,Stock,3,FALSE),"")</f>
        <v>Automotive Film Standard - Black 40%                                </v>
      </c>
      <c r="E3520" s="56">
        <v>1.0</v>
      </c>
      <c r="F3520" s="161">
        <v>350000.0</v>
      </c>
      <c r="G3520" s="162">
        <f t="shared" si="47"/>
        <v>350000</v>
      </c>
      <c r="H3520" s="194"/>
      <c r="I3520" s="161">
        <f t="shared" si="45"/>
        <v>350000</v>
      </c>
      <c r="J3520" s="164">
        <f t="shared" si="46"/>
        <v>350000</v>
      </c>
      <c r="K3520" s="56" t="s">
        <v>11262</v>
      </c>
      <c r="L3520" s="165" t="s">
        <v>11263</v>
      </c>
      <c r="M3520" s="73"/>
      <c r="N3520" s="171"/>
      <c r="O3520" s="169" t="s">
        <v>6923</v>
      </c>
      <c r="P3520" s="168" t="s">
        <v>3112</v>
      </c>
      <c r="Q3520" s="173"/>
      <c r="R3520" s="161">
        <v>350000.0</v>
      </c>
      <c r="S3520" s="173"/>
      <c r="T3520" s="173"/>
      <c r="U3520" s="173"/>
      <c r="V3520" s="169"/>
      <c r="W3520" s="171"/>
      <c r="X3520" s="171"/>
    </row>
    <row r="3521" ht="15.0" customHeight="1">
      <c r="A3521" s="127">
        <v>46119.0</v>
      </c>
      <c r="B3521" s="476" t="s">
        <v>11264</v>
      </c>
      <c r="C3521" s="56" t="s">
        <v>6693</v>
      </c>
      <c r="D3521" s="73" t="str">
        <f>IFERROR(VLOOKUP(C3521,Stock,3,FALSE),"")</f>
        <v>Toyota Yaris 05-13 XP90 1st Gen</v>
      </c>
      <c r="E3521" s="56">
        <v>1.0</v>
      </c>
      <c r="F3521" s="161">
        <v>1038000.0</v>
      </c>
      <c r="G3521" s="162">
        <f t="shared" si="47"/>
        <v>1038000</v>
      </c>
      <c r="H3521" s="194"/>
      <c r="I3521" s="161">
        <f t="shared" si="45"/>
        <v>1038000</v>
      </c>
      <c r="J3521" s="164">
        <f t="shared" si="46"/>
        <v>1038000</v>
      </c>
      <c r="K3521" s="56" t="s">
        <v>9412</v>
      </c>
      <c r="L3521" s="165" t="s">
        <v>7737</v>
      </c>
      <c r="M3521" s="73"/>
      <c r="N3521" s="171"/>
      <c r="O3521" s="169" t="s">
        <v>6923</v>
      </c>
      <c r="P3521" s="168" t="s">
        <v>3112</v>
      </c>
      <c r="Q3521" s="161">
        <v>1038000.0</v>
      </c>
      <c r="R3521" s="173"/>
      <c r="S3521" s="173"/>
      <c r="T3521" s="173"/>
      <c r="U3521" s="173"/>
      <c r="V3521" s="169"/>
      <c r="W3521" s="171"/>
      <c r="X3521" s="171"/>
    </row>
    <row r="3522" ht="15.0" customHeight="1">
      <c r="A3522" s="127">
        <v>46120.0</v>
      </c>
      <c r="B3522" s="476" t="s">
        <v>11265</v>
      </c>
      <c r="C3522" s="56" t="s">
        <v>11266</v>
      </c>
      <c r="D3522" s="73" t="str">
        <f>IFERROR(VLOOKUP(C3522,Stock,3,FALSE),"")</f>
        <v>Toyota Innova 15-22 2nd Gen</v>
      </c>
      <c r="E3522" s="56">
        <v>1.0</v>
      </c>
      <c r="F3522" s="161">
        <v>445000.0</v>
      </c>
      <c r="G3522" s="162">
        <f t="shared" si="47"/>
        <v>445000</v>
      </c>
      <c r="H3522" s="194"/>
      <c r="I3522" s="161">
        <f t="shared" si="45"/>
        <v>445000</v>
      </c>
      <c r="J3522" s="164">
        <f t="shared" si="46"/>
        <v>445000</v>
      </c>
      <c r="K3522" s="56" t="s">
        <v>11267</v>
      </c>
      <c r="L3522" s="165" t="s">
        <v>11268</v>
      </c>
      <c r="M3522" s="73"/>
      <c r="N3522" s="171"/>
      <c r="O3522" s="169" t="s">
        <v>6923</v>
      </c>
      <c r="P3522" s="168" t="s">
        <v>3112</v>
      </c>
      <c r="Q3522" s="173"/>
      <c r="R3522" s="161">
        <v>445000.0</v>
      </c>
      <c r="S3522" s="173"/>
      <c r="T3522" s="173"/>
      <c r="U3522" s="173"/>
      <c r="V3522" s="169"/>
      <c r="W3522" s="171"/>
      <c r="X3522" s="171"/>
    </row>
    <row r="3523" ht="15.0" customHeight="1">
      <c r="A3523" s="127">
        <v>46120.0</v>
      </c>
      <c r="B3523" s="476" t="s">
        <v>11265</v>
      </c>
      <c r="C3523" s="56" t="s">
        <v>2954</v>
      </c>
      <c r="D3523" s="73" t="str">
        <f>IFERROR(VLOOKUP(C3523,Stock,3,FALSE),"")</f>
        <v>Transport</v>
      </c>
      <c r="E3523" s="56">
        <v>1.0</v>
      </c>
      <c r="F3523" s="161">
        <v>100000.0</v>
      </c>
      <c r="G3523" s="162">
        <f t="shared" si="47"/>
        <v>100000</v>
      </c>
      <c r="H3523" s="194"/>
      <c r="I3523" s="161">
        <f t="shared" si="45"/>
        <v>100000</v>
      </c>
      <c r="J3523" s="164">
        <f t="shared" si="46"/>
        <v>100000</v>
      </c>
      <c r="K3523" s="56" t="s">
        <v>11267</v>
      </c>
      <c r="L3523" s="165" t="s">
        <v>11268</v>
      </c>
      <c r="M3523" s="73"/>
      <c r="N3523" s="171"/>
      <c r="O3523" s="169" t="s">
        <v>6923</v>
      </c>
      <c r="P3523" s="168" t="s">
        <v>3112</v>
      </c>
      <c r="Q3523" s="173"/>
      <c r="R3523" s="161">
        <v>100000.0</v>
      </c>
      <c r="S3523" s="173"/>
      <c r="T3523" s="173"/>
      <c r="U3523" s="173"/>
      <c r="V3523" s="169"/>
      <c r="W3523" s="171"/>
      <c r="X3523" s="171"/>
    </row>
    <row r="3524" ht="15.0" customHeight="1">
      <c r="A3524" s="127">
        <v>46120.0</v>
      </c>
      <c r="B3524" s="476" t="s">
        <v>11269</v>
      </c>
      <c r="C3524" s="56" t="s">
        <v>2954</v>
      </c>
      <c r="D3524" s="73" t="str">
        <f>IFERROR(VLOOKUP(C3524,Stock,3,FALSE),"")</f>
        <v>Transport</v>
      </c>
      <c r="E3524" s="56">
        <v>1.0</v>
      </c>
      <c r="F3524" s="161">
        <v>50000.0</v>
      </c>
      <c r="G3524" s="162">
        <f t="shared" si="47"/>
        <v>50000</v>
      </c>
      <c r="H3524" s="194"/>
      <c r="I3524" s="161">
        <f t="shared" si="45"/>
        <v>50000</v>
      </c>
      <c r="J3524" s="164">
        <f t="shared" si="46"/>
        <v>50000</v>
      </c>
      <c r="K3524" s="56" t="s">
        <v>5767</v>
      </c>
      <c r="L3524" s="421" t="s">
        <v>5768</v>
      </c>
      <c r="M3524" s="73"/>
      <c r="N3524" s="171"/>
      <c r="O3524" s="169" t="s">
        <v>6923</v>
      </c>
      <c r="P3524" s="168" t="s">
        <v>3112</v>
      </c>
      <c r="Q3524" s="173"/>
      <c r="R3524" s="161">
        <v>50000.0</v>
      </c>
      <c r="S3524" s="173"/>
      <c r="T3524" s="173"/>
      <c r="U3524" s="173"/>
      <c r="V3524" s="169"/>
      <c r="W3524" s="171"/>
      <c r="X3524" s="171"/>
    </row>
    <row r="3525" ht="15.0" customHeight="1">
      <c r="A3525" s="127">
        <v>46121.0</v>
      </c>
      <c r="B3525" s="476" t="s">
        <v>11270</v>
      </c>
      <c r="C3525" s="56" t="s">
        <v>3045</v>
      </c>
      <c r="D3525" s="73" t="str">
        <f>IFERROR(VLOOKUP(C3525,Stock,3,FALSE),"")</f>
        <v>Pemasangan Kaca Mobil Depan</v>
      </c>
      <c r="E3525" s="56">
        <v>1.0</v>
      </c>
      <c r="F3525" s="161">
        <v>650000.0</v>
      </c>
      <c r="G3525" s="162">
        <f t="shared" si="47"/>
        <v>650000</v>
      </c>
      <c r="H3525" s="194"/>
      <c r="I3525" s="161">
        <f t="shared" si="45"/>
        <v>650000</v>
      </c>
      <c r="J3525" s="164">
        <f t="shared" si="46"/>
        <v>650000</v>
      </c>
      <c r="K3525" s="56" t="s">
        <v>11271</v>
      </c>
      <c r="L3525" s="165" t="s">
        <v>11272</v>
      </c>
      <c r="M3525" s="73"/>
      <c r="N3525" s="171"/>
      <c r="O3525" s="169" t="s">
        <v>6923</v>
      </c>
      <c r="P3525" s="168" t="s">
        <v>3112</v>
      </c>
      <c r="Q3525" s="173"/>
      <c r="R3525" s="161">
        <v>650000.0</v>
      </c>
      <c r="S3525" s="173"/>
      <c r="T3525" s="173"/>
      <c r="U3525" s="173"/>
      <c r="V3525" s="169"/>
      <c r="W3525" s="171"/>
      <c r="X3525" s="171"/>
    </row>
    <row r="3526" ht="15.0" customHeight="1">
      <c r="A3526" s="127">
        <v>46122.0</v>
      </c>
      <c r="B3526" s="476" t="s">
        <v>11273</v>
      </c>
      <c r="C3526" s="56" t="s">
        <v>7322</v>
      </c>
      <c r="D3526" s="73" t="str">
        <f>IFERROR(VLOOKUP(C3526,Stock,3,FALSE),"")</f>
        <v>Isuzu D-Max 12-19 2nd Gen</v>
      </c>
      <c r="E3526" s="56">
        <v>1.0</v>
      </c>
      <c r="F3526" s="161">
        <v>1748000.0</v>
      </c>
      <c r="G3526" s="162">
        <f t="shared" si="47"/>
        <v>1748000</v>
      </c>
      <c r="H3526" s="194"/>
      <c r="I3526" s="161">
        <f t="shared" si="45"/>
        <v>1748000</v>
      </c>
      <c r="J3526" s="164">
        <f t="shared" si="46"/>
        <v>1748000</v>
      </c>
      <c r="K3526" s="56" t="s">
        <v>11274</v>
      </c>
      <c r="L3526" s="165" t="s">
        <v>11275</v>
      </c>
      <c r="M3526" s="73"/>
      <c r="N3526" s="171"/>
      <c r="O3526" s="169" t="s">
        <v>6923</v>
      </c>
      <c r="P3526" s="168" t="s">
        <v>3112</v>
      </c>
      <c r="Q3526" s="173"/>
      <c r="R3526" s="161">
        <v>1748000.0</v>
      </c>
      <c r="S3526" s="173"/>
      <c r="T3526" s="173"/>
      <c r="U3526" s="173"/>
      <c r="V3526" s="169"/>
      <c r="W3526" s="171"/>
      <c r="X3526" s="171"/>
    </row>
    <row r="3527" ht="15.0" customHeight="1">
      <c r="A3527" s="127">
        <v>46122.0</v>
      </c>
      <c r="B3527" s="476" t="s">
        <v>11273</v>
      </c>
      <c r="C3527" s="56" t="s">
        <v>2934</v>
      </c>
      <c r="D3527" s="73" t="str">
        <f>IFERROR(VLOOKUP(C3527,Stock,3,FALSE),"")</f>
        <v>Peti Kayu</v>
      </c>
      <c r="E3527" s="56">
        <v>1.0</v>
      </c>
      <c r="F3527" s="161">
        <v>200000.0</v>
      </c>
      <c r="G3527" s="162">
        <f t="shared" si="47"/>
        <v>200000</v>
      </c>
      <c r="H3527" s="194"/>
      <c r="I3527" s="161">
        <f t="shared" si="45"/>
        <v>200000</v>
      </c>
      <c r="J3527" s="164">
        <f t="shared" si="46"/>
        <v>200000</v>
      </c>
      <c r="K3527" s="56" t="s">
        <v>11274</v>
      </c>
      <c r="L3527" s="165" t="s">
        <v>11275</v>
      </c>
      <c r="M3527" s="73"/>
      <c r="N3527" s="171"/>
      <c r="O3527" s="169" t="s">
        <v>6923</v>
      </c>
      <c r="P3527" s="168" t="s">
        <v>3112</v>
      </c>
      <c r="Q3527" s="173"/>
      <c r="R3527" s="161">
        <v>200000.0</v>
      </c>
      <c r="S3527" s="173"/>
      <c r="T3527" s="173"/>
      <c r="U3527" s="173"/>
      <c r="V3527" s="169"/>
      <c r="W3527" s="171"/>
      <c r="X3527" s="171"/>
    </row>
    <row r="3528" ht="15.0" customHeight="1">
      <c r="A3528" s="127">
        <v>46122.0</v>
      </c>
      <c r="B3528" s="476" t="s">
        <v>11273</v>
      </c>
      <c r="C3528" s="56" t="s">
        <v>2954</v>
      </c>
      <c r="D3528" s="73" t="str">
        <f>IFERROR(VLOOKUP(C3528,Stock,3,FALSE),"")</f>
        <v>Transport</v>
      </c>
      <c r="E3528" s="56">
        <v>1.0</v>
      </c>
      <c r="F3528" s="161">
        <v>100000.0</v>
      </c>
      <c r="G3528" s="162">
        <f t="shared" si="47"/>
        <v>100000</v>
      </c>
      <c r="H3528" s="194"/>
      <c r="I3528" s="161">
        <f t="shared" si="45"/>
        <v>100000</v>
      </c>
      <c r="J3528" s="164">
        <f t="shared" si="46"/>
        <v>100000</v>
      </c>
      <c r="K3528" s="56" t="s">
        <v>11274</v>
      </c>
      <c r="L3528" s="165" t="s">
        <v>11275</v>
      </c>
      <c r="M3528" s="73"/>
      <c r="N3528" s="171"/>
      <c r="O3528" s="169" t="s">
        <v>6923</v>
      </c>
      <c r="P3528" s="168" t="s">
        <v>3112</v>
      </c>
      <c r="Q3528" s="173"/>
      <c r="R3528" s="161">
        <v>100000.0</v>
      </c>
      <c r="S3528" s="173"/>
      <c r="T3528" s="173"/>
      <c r="U3528" s="173"/>
      <c r="V3528" s="169"/>
      <c r="W3528" s="171"/>
      <c r="X3528" s="171"/>
    </row>
    <row r="3529" ht="15.0" customHeight="1">
      <c r="A3529" s="127">
        <v>46122.0</v>
      </c>
      <c r="B3529" s="476" t="s">
        <v>11276</v>
      </c>
      <c r="C3529" s="56" t="s">
        <v>3382</v>
      </c>
      <c r="D3529" s="73" t="str">
        <f>IFERROR(VLOOKUP(C3529,Stock,3,FALSE),"")</f>
        <v>Toyota Avanza / Xenia 11-15 2nd Gen / 15-21 3rd Gen</v>
      </c>
      <c r="E3529" s="56">
        <v>1.0</v>
      </c>
      <c r="F3529" s="161">
        <v>500000.0</v>
      </c>
      <c r="G3529" s="162">
        <f t="shared" si="47"/>
        <v>500000</v>
      </c>
      <c r="H3529" s="194"/>
      <c r="I3529" s="161">
        <f t="shared" si="45"/>
        <v>500000</v>
      </c>
      <c r="J3529" s="164">
        <f t="shared" si="46"/>
        <v>500000</v>
      </c>
      <c r="K3529" s="56" t="s">
        <v>5392</v>
      </c>
      <c r="L3529" s="165" t="s">
        <v>11277</v>
      </c>
      <c r="M3529" s="73"/>
      <c r="N3529" s="171"/>
      <c r="O3529" s="169" t="s">
        <v>6923</v>
      </c>
      <c r="P3529" s="168" t="s">
        <v>3112</v>
      </c>
      <c r="Q3529" s="161">
        <v>500000.0</v>
      </c>
      <c r="R3529" s="173"/>
      <c r="S3529" s="173"/>
      <c r="T3529" s="173"/>
      <c r="U3529" s="173"/>
      <c r="V3529" s="169"/>
      <c r="W3529" s="171"/>
      <c r="X3529" s="171"/>
    </row>
    <row r="3530" ht="15.0" customHeight="1">
      <c r="A3530" s="127">
        <v>46122.0</v>
      </c>
      <c r="B3530" s="476" t="s">
        <v>11276</v>
      </c>
      <c r="C3530" s="56" t="s">
        <v>10233</v>
      </c>
      <c r="D3530" s="73" t="str">
        <f>IFERROR(VLOOKUP(C3530,Stock,3,FALSE),"")</f>
        <v>Automotive Film Standard - Black 60%       </v>
      </c>
      <c r="E3530" s="56">
        <v>1.0</v>
      </c>
      <c r="F3530" s="161">
        <v>150000.0</v>
      </c>
      <c r="G3530" s="162">
        <f t="shared" si="47"/>
        <v>150000</v>
      </c>
      <c r="H3530" s="194"/>
      <c r="I3530" s="161">
        <f t="shared" si="45"/>
        <v>150000</v>
      </c>
      <c r="J3530" s="164">
        <f t="shared" si="46"/>
        <v>150000</v>
      </c>
      <c r="K3530" s="56" t="s">
        <v>5392</v>
      </c>
      <c r="L3530" s="165" t="s">
        <v>11277</v>
      </c>
      <c r="M3530" s="73"/>
      <c r="N3530" s="171"/>
      <c r="O3530" s="169" t="s">
        <v>6923</v>
      </c>
      <c r="P3530" s="168" t="s">
        <v>3112</v>
      </c>
      <c r="Q3530" s="161">
        <v>150000.0</v>
      </c>
      <c r="R3530" s="173"/>
      <c r="S3530" s="173"/>
      <c r="T3530" s="173"/>
      <c r="U3530" s="173"/>
      <c r="V3530" s="169"/>
      <c r="W3530" s="171"/>
      <c r="X3530" s="171"/>
    </row>
    <row r="3531" ht="15.0" customHeight="1">
      <c r="A3531" s="183">
        <v>46122.0</v>
      </c>
      <c r="B3531" s="477" t="s">
        <v>11278</v>
      </c>
      <c r="C3531" s="184" t="s">
        <v>7322</v>
      </c>
      <c r="D3531" s="186" t="str">
        <f>IFERROR(VLOOKUP(C3531,Stock,3,FALSE),"")</f>
        <v>Isuzu D-Max 12-19 2nd Gen</v>
      </c>
      <c r="E3531" s="184"/>
      <c r="F3531" s="187"/>
      <c r="G3531" s="188"/>
      <c r="H3531" s="210"/>
      <c r="I3531" s="187">
        <f t="shared" si="45"/>
        <v>0</v>
      </c>
      <c r="J3531" s="189"/>
      <c r="K3531" s="184" t="s">
        <v>11279</v>
      </c>
      <c r="L3531" s="184"/>
      <c r="M3531" s="186"/>
      <c r="N3531" s="212"/>
      <c r="O3531" s="193" t="s">
        <v>6923</v>
      </c>
      <c r="P3531" s="192" t="s">
        <v>3112</v>
      </c>
      <c r="Q3531" s="213"/>
      <c r="R3531" s="187"/>
      <c r="S3531" s="173"/>
      <c r="T3531" s="173"/>
      <c r="U3531" s="173"/>
      <c r="V3531" s="169"/>
      <c r="W3531" s="171"/>
      <c r="X3531" s="171"/>
    </row>
    <row r="3532" ht="15.0" customHeight="1">
      <c r="A3532" s="127">
        <v>46123.0</v>
      </c>
      <c r="B3532" s="476" t="s">
        <v>11280</v>
      </c>
      <c r="C3532" s="56" t="s">
        <v>10603</v>
      </c>
      <c r="D3532" s="73" t="str">
        <f>IFERROR(VLOOKUP(C3532,Stock,3,FALSE),"")</f>
        <v>Honda CR-V 12-16 4th Gen [Lengkung]</v>
      </c>
      <c r="E3532" s="56">
        <v>1.0</v>
      </c>
      <c r="F3532" s="161">
        <v>1396000.0</v>
      </c>
      <c r="G3532" s="162">
        <f t="shared" ref="G3532:G3629" si="48">E3532*F3532</f>
        <v>1396000</v>
      </c>
      <c r="H3532" s="194"/>
      <c r="I3532" s="161">
        <f t="shared" si="45"/>
        <v>1396000</v>
      </c>
      <c r="J3532" s="164">
        <f t="shared" ref="J3532:J3634" si="49">I3532</f>
        <v>1396000</v>
      </c>
      <c r="K3532" s="56" t="s">
        <v>11281</v>
      </c>
      <c r="L3532" s="165" t="s">
        <v>11282</v>
      </c>
      <c r="M3532" s="73"/>
      <c r="N3532" s="171"/>
      <c r="O3532" s="169" t="s">
        <v>6923</v>
      </c>
      <c r="P3532" s="168" t="s">
        <v>3112</v>
      </c>
      <c r="Q3532" s="173"/>
      <c r="R3532" s="161">
        <v>1396000.0</v>
      </c>
      <c r="S3532" s="173"/>
      <c r="T3532" s="173"/>
      <c r="U3532" s="173"/>
      <c r="V3532" s="169"/>
      <c r="W3532" s="171"/>
      <c r="X3532" s="171"/>
    </row>
    <row r="3533" ht="15.0" customHeight="1">
      <c r="A3533" s="127">
        <v>46123.0</v>
      </c>
      <c r="B3533" s="476" t="s">
        <v>11280</v>
      </c>
      <c r="C3533" s="56" t="s">
        <v>3513</v>
      </c>
      <c r="D3533" s="73" t="str">
        <f>IFERROR(VLOOKUP(C3533,Stock,3,FALSE),"")</f>
        <v>Lembur</v>
      </c>
      <c r="E3533" s="56">
        <v>1.0</v>
      </c>
      <c r="F3533" s="161">
        <v>150000.0</v>
      </c>
      <c r="G3533" s="162">
        <f t="shared" si="48"/>
        <v>150000</v>
      </c>
      <c r="H3533" s="194"/>
      <c r="I3533" s="161">
        <f t="shared" si="45"/>
        <v>150000</v>
      </c>
      <c r="J3533" s="164">
        <f t="shared" si="49"/>
        <v>150000</v>
      </c>
      <c r="K3533" s="56" t="s">
        <v>11281</v>
      </c>
      <c r="L3533" s="165" t="s">
        <v>11282</v>
      </c>
      <c r="M3533" s="73"/>
      <c r="N3533" s="171"/>
      <c r="O3533" s="169" t="s">
        <v>6923</v>
      </c>
      <c r="P3533" s="168" t="s">
        <v>3112</v>
      </c>
      <c r="Q3533" s="173"/>
      <c r="R3533" s="161">
        <v>160000.0</v>
      </c>
      <c r="S3533" s="173"/>
      <c r="T3533" s="173"/>
      <c r="U3533" s="173"/>
      <c r="V3533" s="169"/>
      <c r="W3533" s="171"/>
      <c r="X3533" s="171"/>
    </row>
    <row r="3534" ht="15.0" customHeight="1">
      <c r="A3534" s="127">
        <v>46123.0</v>
      </c>
      <c r="B3534" s="476" t="s">
        <v>11283</v>
      </c>
      <c r="C3534" s="56" t="s">
        <v>2690</v>
      </c>
      <c r="D3534" s="73" t="str">
        <f>IFERROR(VLOOKUP(C3534,Stock,3,FALSE),"")</f>
        <v>Suzuki APV 03- Pickup/ Van</v>
      </c>
      <c r="E3534" s="56">
        <v>1.0</v>
      </c>
      <c r="F3534" s="161">
        <v>1144000.0</v>
      </c>
      <c r="G3534" s="162">
        <f t="shared" si="48"/>
        <v>1144000</v>
      </c>
      <c r="H3534" s="194"/>
      <c r="I3534" s="161">
        <f t="shared" si="45"/>
        <v>1144000</v>
      </c>
      <c r="J3534" s="164">
        <f t="shared" si="49"/>
        <v>1144000</v>
      </c>
      <c r="K3534" s="56" t="s">
        <v>11284</v>
      </c>
      <c r="L3534" s="165" t="s">
        <v>11285</v>
      </c>
      <c r="M3534" s="73"/>
      <c r="N3534" s="171"/>
      <c r="O3534" s="169" t="s">
        <v>6923</v>
      </c>
      <c r="P3534" s="168" t="s">
        <v>3112</v>
      </c>
      <c r="Q3534" s="173"/>
      <c r="R3534" s="161">
        <v>1144000.0</v>
      </c>
      <c r="S3534" s="173"/>
      <c r="T3534" s="173"/>
      <c r="U3534" s="173"/>
      <c r="V3534" s="169"/>
      <c r="W3534" s="171"/>
      <c r="X3534" s="171"/>
    </row>
    <row r="3535" ht="15.0" customHeight="1">
      <c r="A3535" s="127">
        <v>46123.0</v>
      </c>
      <c r="B3535" s="476" t="s">
        <v>11286</v>
      </c>
      <c r="C3535" s="56" t="s">
        <v>3745</v>
      </c>
      <c r="D3535" s="73" t="str">
        <f>IFERROR(VLOOKUP(C3535,Stock,3,FALSE),"")</f>
        <v>Honda Brio 10- / Mobilio 11-</v>
      </c>
      <c r="E3535" s="56">
        <v>1.0</v>
      </c>
      <c r="F3535" s="161">
        <v>1772000.0</v>
      </c>
      <c r="G3535" s="162">
        <f t="shared" si="48"/>
        <v>1772000</v>
      </c>
      <c r="H3535" s="194"/>
      <c r="I3535" s="161">
        <f t="shared" si="45"/>
        <v>1772000</v>
      </c>
      <c r="J3535" s="164">
        <f t="shared" si="49"/>
        <v>1772000</v>
      </c>
      <c r="K3535" s="56" t="s">
        <v>11287</v>
      </c>
      <c r="L3535" s="165" t="s">
        <v>11288</v>
      </c>
      <c r="M3535" s="73"/>
      <c r="N3535" s="171"/>
      <c r="O3535" s="169" t="s">
        <v>6923</v>
      </c>
      <c r="P3535" s="168" t="s">
        <v>3112</v>
      </c>
      <c r="Q3535" s="173"/>
      <c r="R3535" s="161">
        <v>1772000.0</v>
      </c>
      <c r="S3535" s="173"/>
      <c r="T3535" s="173"/>
      <c r="U3535" s="173"/>
      <c r="V3535" s="169"/>
      <c r="W3535" s="171"/>
      <c r="X3535" s="171"/>
    </row>
    <row r="3536" ht="15.0" customHeight="1">
      <c r="A3536" s="127">
        <v>46123.0</v>
      </c>
      <c r="B3536" s="476" t="s">
        <v>11286</v>
      </c>
      <c r="C3536" s="56" t="s">
        <v>6424</v>
      </c>
      <c r="D3536" s="73" t="str">
        <f>IFERROR(VLOOKUP(C3536,Stock,3,FALSE),"")</f>
        <v>Automotive Film Standard - Black 40%                                </v>
      </c>
      <c r="E3536" s="56">
        <v>1.0</v>
      </c>
      <c r="F3536" s="161">
        <v>350000.0</v>
      </c>
      <c r="G3536" s="162">
        <f t="shared" si="48"/>
        <v>350000</v>
      </c>
      <c r="H3536" s="194"/>
      <c r="I3536" s="161">
        <f t="shared" si="45"/>
        <v>350000</v>
      </c>
      <c r="J3536" s="164">
        <f t="shared" si="49"/>
        <v>350000</v>
      </c>
      <c r="K3536" s="56" t="s">
        <v>11287</v>
      </c>
      <c r="L3536" s="165" t="s">
        <v>11288</v>
      </c>
      <c r="M3536" s="73"/>
      <c r="N3536" s="171"/>
      <c r="O3536" s="169" t="s">
        <v>6923</v>
      </c>
      <c r="P3536" s="168" t="s">
        <v>3112</v>
      </c>
      <c r="Q3536" s="173"/>
      <c r="R3536" s="161">
        <v>350000.0</v>
      </c>
      <c r="S3536" s="173"/>
      <c r="T3536" s="173"/>
      <c r="U3536" s="173"/>
      <c r="V3536" s="169"/>
      <c r="W3536" s="171"/>
      <c r="X3536" s="171"/>
    </row>
    <row r="3537" ht="15.0" customHeight="1">
      <c r="A3537" s="127">
        <v>46123.0</v>
      </c>
      <c r="B3537" s="476" t="s">
        <v>11289</v>
      </c>
      <c r="C3537" s="56" t="s">
        <v>10514</v>
      </c>
      <c r="D3537" s="73" t="str">
        <f>IFERROR(VLOOKUP(C3537,Stock,3,FALSE),"")</f>
        <v>Toyota Rush / Terios 06-17</v>
      </c>
      <c r="E3537" s="56">
        <v>1.0</v>
      </c>
      <c r="F3537" s="161">
        <v>1250000.0</v>
      </c>
      <c r="G3537" s="162">
        <f t="shared" si="48"/>
        <v>1250000</v>
      </c>
      <c r="H3537" s="194"/>
      <c r="I3537" s="161">
        <f t="shared" si="45"/>
        <v>1250000</v>
      </c>
      <c r="J3537" s="164">
        <f t="shared" si="49"/>
        <v>1250000</v>
      </c>
      <c r="K3537" s="56" t="s">
        <v>9824</v>
      </c>
      <c r="L3537" s="165" t="s">
        <v>11290</v>
      </c>
      <c r="M3537" s="73"/>
      <c r="N3537" s="171"/>
      <c r="O3537" s="169" t="s">
        <v>6923</v>
      </c>
      <c r="P3537" s="168" t="s">
        <v>3112</v>
      </c>
      <c r="Q3537" s="161">
        <v>1250000.0</v>
      </c>
      <c r="R3537" s="173"/>
      <c r="S3537" s="173"/>
      <c r="T3537" s="173"/>
      <c r="U3537" s="173"/>
      <c r="V3537" s="169"/>
      <c r="W3537" s="171"/>
      <c r="X3537" s="171"/>
    </row>
    <row r="3538" ht="15.0" customHeight="1">
      <c r="A3538" s="127">
        <v>46123.0</v>
      </c>
      <c r="B3538" s="476" t="s">
        <v>11291</v>
      </c>
      <c r="C3538" s="56" t="s">
        <v>3313</v>
      </c>
      <c r="D3538" s="73" t="str">
        <f>IFERROR(VLOOKUP(C3538,Stock,3,FALSE),"")</f>
        <v>Toyota Avanza / Xenia 21- 4th Gen (Non sensor)</v>
      </c>
      <c r="E3538" s="56">
        <v>1.0</v>
      </c>
      <c r="F3538" s="161">
        <v>1390000.0</v>
      </c>
      <c r="G3538" s="162">
        <f t="shared" si="48"/>
        <v>1390000</v>
      </c>
      <c r="H3538" s="194"/>
      <c r="I3538" s="161">
        <f t="shared" si="45"/>
        <v>1390000</v>
      </c>
      <c r="J3538" s="164">
        <f t="shared" si="49"/>
        <v>1390000</v>
      </c>
      <c r="K3538" s="487" t="s">
        <v>10861</v>
      </c>
      <c r="L3538" s="165" t="s">
        <v>5016</v>
      </c>
      <c r="M3538" s="73"/>
      <c r="N3538" s="171"/>
      <c r="O3538" s="169" t="s">
        <v>6923</v>
      </c>
      <c r="P3538" s="168" t="s">
        <v>3112</v>
      </c>
      <c r="Q3538" s="173"/>
      <c r="R3538" s="161">
        <v>1390000.0</v>
      </c>
      <c r="S3538" s="173"/>
      <c r="T3538" s="173"/>
      <c r="U3538" s="173"/>
      <c r="V3538" s="169"/>
      <c r="W3538" s="171"/>
      <c r="X3538" s="171"/>
    </row>
    <row r="3539" ht="15.0" customHeight="1">
      <c r="A3539" s="127">
        <v>46123.0</v>
      </c>
      <c r="B3539" s="476" t="s">
        <v>11291</v>
      </c>
      <c r="C3539" s="56" t="s">
        <v>6424</v>
      </c>
      <c r="D3539" s="73" t="str">
        <f>IFERROR(VLOOKUP(C3539,Stock,3,FALSE),"")</f>
        <v>Automotive Film Standard - Black 40%                                </v>
      </c>
      <c r="E3539" s="56">
        <v>1.0</v>
      </c>
      <c r="F3539" s="161">
        <v>350000.0</v>
      </c>
      <c r="G3539" s="162">
        <f t="shared" si="48"/>
        <v>350000</v>
      </c>
      <c r="H3539" s="194"/>
      <c r="I3539" s="161">
        <f t="shared" si="45"/>
        <v>350000</v>
      </c>
      <c r="J3539" s="164">
        <f t="shared" si="49"/>
        <v>350000</v>
      </c>
      <c r="K3539" s="56" t="s">
        <v>10861</v>
      </c>
      <c r="L3539" s="165" t="s">
        <v>5016</v>
      </c>
      <c r="M3539" s="73"/>
      <c r="N3539" s="171"/>
      <c r="O3539" s="169" t="s">
        <v>6923</v>
      </c>
      <c r="P3539" s="168" t="s">
        <v>3112</v>
      </c>
      <c r="Q3539" s="173"/>
      <c r="R3539" s="161">
        <v>350000.0</v>
      </c>
      <c r="S3539" s="173"/>
      <c r="T3539" s="173"/>
      <c r="U3539" s="173"/>
      <c r="V3539" s="169"/>
      <c r="W3539" s="171"/>
      <c r="X3539" s="171"/>
    </row>
    <row r="3540" ht="15.0" customHeight="1">
      <c r="A3540" s="127">
        <v>46123.0</v>
      </c>
      <c r="B3540" s="476" t="s">
        <v>11292</v>
      </c>
      <c r="C3540" s="56" t="s">
        <v>2784</v>
      </c>
      <c r="D3540" s="73" t="str">
        <f>IFERROR(VLOOKUP(C3540,Stock,3,FALSE),"")</f>
        <v>Honda City 19- GN</v>
      </c>
      <c r="E3540" s="56">
        <v>1.0</v>
      </c>
      <c r="F3540" s="161">
        <v>2522000.0</v>
      </c>
      <c r="G3540" s="162">
        <f t="shared" si="48"/>
        <v>2522000</v>
      </c>
      <c r="H3540" s="194"/>
      <c r="I3540" s="161">
        <f t="shared" si="45"/>
        <v>2522000</v>
      </c>
      <c r="J3540" s="164">
        <f t="shared" si="49"/>
        <v>2522000</v>
      </c>
      <c r="K3540" s="56" t="s">
        <v>11293</v>
      </c>
      <c r="L3540" s="165" t="s">
        <v>11294</v>
      </c>
      <c r="M3540" s="73"/>
      <c r="N3540" s="171"/>
      <c r="O3540" s="169" t="s">
        <v>6923</v>
      </c>
      <c r="P3540" s="168" t="s">
        <v>3112</v>
      </c>
      <c r="Q3540" s="173"/>
      <c r="R3540" s="161">
        <v>2522000.0</v>
      </c>
      <c r="S3540" s="173"/>
      <c r="T3540" s="173"/>
      <c r="U3540" s="173"/>
      <c r="V3540" s="169"/>
      <c r="W3540" s="171"/>
      <c r="X3540" s="171"/>
    </row>
    <row r="3541" ht="15.0" customHeight="1">
      <c r="A3541" s="127">
        <v>46123.0</v>
      </c>
      <c r="B3541" s="476" t="s">
        <v>11295</v>
      </c>
      <c r="C3541" s="56" t="s">
        <v>7063</v>
      </c>
      <c r="D3541" s="73" t="str">
        <f>IFERROR(VLOOKUP(C3541,Stock,3,FALSE),"")</f>
        <v>Wuling Confero (Tanpa Spionnya)</v>
      </c>
      <c r="E3541" s="56">
        <v>1.0</v>
      </c>
      <c r="F3541" s="161">
        <v>1440000.0</v>
      </c>
      <c r="G3541" s="162">
        <f t="shared" si="48"/>
        <v>1440000</v>
      </c>
      <c r="H3541" s="201">
        <v>100000.0</v>
      </c>
      <c r="I3541" s="161">
        <f t="shared" si="45"/>
        <v>1340000</v>
      </c>
      <c r="J3541" s="164">
        <f t="shared" si="49"/>
        <v>1340000</v>
      </c>
      <c r="K3541" s="56" t="s">
        <v>10368</v>
      </c>
      <c r="L3541" s="165" t="s">
        <v>11296</v>
      </c>
      <c r="M3541" s="73"/>
      <c r="N3541" s="171"/>
      <c r="O3541" s="169" t="s">
        <v>6923</v>
      </c>
      <c r="P3541" s="168" t="s">
        <v>3112</v>
      </c>
      <c r="Q3541" s="167">
        <v>700000.0</v>
      </c>
      <c r="R3541" s="167">
        <v>990000.0</v>
      </c>
      <c r="S3541" s="173"/>
      <c r="T3541" s="173"/>
      <c r="U3541" s="173"/>
      <c r="V3541" s="169"/>
      <c r="W3541" s="171"/>
      <c r="X3541" s="171"/>
    </row>
    <row r="3542" ht="15.0" customHeight="1">
      <c r="A3542" s="127">
        <v>46123.0</v>
      </c>
      <c r="B3542" s="476" t="s">
        <v>11295</v>
      </c>
      <c r="C3542" s="56" t="s">
        <v>10233</v>
      </c>
      <c r="D3542" s="73" t="str">
        <f>IFERROR(VLOOKUP(C3542,Stock,3,FALSE),"")</f>
        <v>Automotive Film Standard - Black 60%       </v>
      </c>
      <c r="E3542" s="56">
        <v>1.0</v>
      </c>
      <c r="F3542" s="161">
        <v>350000.0</v>
      </c>
      <c r="G3542" s="162">
        <f t="shared" si="48"/>
        <v>350000</v>
      </c>
      <c r="H3542" s="194"/>
      <c r="I3542" s="161">
        <f t="shared" si="45"/>
        <v>350000</v>
      </c>
      <c r="J3542" s="164">
        <f t="shared" si="49"/>
        <v>350000</v>
      </c>
      <c r="K3542" s="56" t="s">
        <v>10368</v>
      </c>
      <c r="L3542" s="165" t="s">
        <v>11296</v>
      </c>
      <c r="M3542" s="73"/>
      <c r="N3542" s="171"/>
      <c r="O3542" s="169" t="s">
        <v>6923</v>
      </c>
      <c r="P3542" s="168" t="s">
        <v>3112</v>
      </c>
      <c r="Q3542" s="173"/>
      <c r="R3542" s="173"/>
      <c r="S3542" s="173"/>
      <c r="T3542" s="173"/>
      <c r="U3542" s="173"/>
      <c r="V3542" s="169"/>
      <c r="W3542" s="171"/>
      <c r="X3542" s="171"/>
    </row>
    <row r="3543" ht="15.0" customHeight="1">
      <c r="A3543" s="127">
        <v>46124.0</v>
      </c>
      <c r="B3543" s="476" t="s">
        <v>11297</v>
      </c>
      <c r="C3543" s="56" t="s">
        <v>3871</v>
      </c>
      <c r="D3543" s="73" t="str">
        <f>IFERROR(VLOOKUP(C3543,Stock,3,FALSE),"")</f>
        <v>Suzuki Swift 04-11 1st Gen</v>
      </c>
      <c r="E3543" s="56">
        <v>1.0</v>
      </c>
      <c r="F3543" s="161">
        <v>1494000.0</v>
      </c>
      <c r="G3543" s="162">
        <f t="shared" si="48"/>
        <v>1494000</v>
      </c>
      <c r="H3543" s="194"/>
      <c r="I3543" s="161">
        <f t="shared" si="45"/>
        <v>1494000</v>
      </c>
      <c r="J3543" s="164">
        <f t="shared" si="49"/>
        <v>1494000</v>
      </c>
      <c r="K3543" s="56" t="s">
        <v>11298</v>
      </c>
      <c r="L3543" s="165" t="s">
        <v>11299</v>
      </c>
      <c r="M3543" s="73"/>
      <c r="N3543" s="171"/>
      <c r="O3543" s="169" t="s">
        <v>6923</v>
      </c>
      <c r="P3543" s="168" t="s">
        <v>3112</v>
      </c>
      <c r="Q3543" s="173"/>
      <c r="R3543" s="161">
        <v>1494000.0</v>
      </c>
      <c r="S3543" s="173"/>
      <c r="T3543" s="173"/>
      <c r="U3543" s="173"/>
      <c r="V3543" s="169"/>
      <c r="W3543" s="171"/>
      <c r="X3543" s="171"/>
    </row>
    <row r="3544" ht="15.0" customHeight="1">
      <c r="A3544" s="127">
        <v>46124.0</v>
      </c>
      <c r="B3544" s="476" t="s">
        <v>11300</v>
      </c>
      <c r="C3544" s="56" t="s">
        <v>2936</v>
      </c>
      <c r="D3544" s="73" t="str">
        <f>IFERROR(VLOOKUP(C3544,Stock,3,FALSE),"")</f>
        <v>Toyota Calya / Sigra 16-</v>
      </c>
      <c r="E3544" s="56">
        <v>1.0</v>
      </c>
      <c r="F3544" s="161">
        <v>839000.0</v>
      </c>
      <c r="G3544" s="162">
        <f t="shared" si="48"/>
        <v>839000</v>
      </c>
      <c r="H3544" s="194"/>
      <c r="I3544" s="161">
        <f t="shared" si="45"/>
        <v>839000</v>
      </c>
      <c r="J3544" s="164">
        <f t="shared" si="49"/>
        <v>839000</v>
      </c>
      <c r="K3544" s="56" t="s">
        <v>11301</v>
      </c>
      <c r="L3544" s="165" t="s">
        <v>11302</v>
      </c>
      <c r="M3544" s="73"/>
      <c r="N3544" s="171"/>
      <c r="O3544" s="169" t="s">
        <v>6923</v>
      </c>
      <c r="P3544" s="168" t="s">
        <v>3112</v>
      </c>
      <c r="Q3544" s="161">
        <v>839000.0</v>
      </c>
      <c r="R3544" s="173"/>
      <c r="S3544" s="173"/>
      <c r="T3544" s="173"/>
      <c r="U3544" s="173"/>
      <c r="V3544" s="169"/>
      <c r="W3544" s="171"/>
      <c r="X3544" s="171"/>
    </row>
    <row r="3545" ht="15.0" customHeight="1">
      <c r="A3545" s="127">
        <v>46124.0</v>
      </c>
      <c r="B3545" s="476" t="s">
        <v>11303</v>
      </c>
      <c r="C3545" s="56" t="s">
        <v>11304</v>
      </c>
      <c r="D3545" s="73" t="str">
        <f>IFERROR(VLOOKUP(C3545,Stock,3,FALSE),"")</f>
        <v>Hyundai Santa Fe 18-23 (thn 21-23) (2 Sensor / /\ O)</v>
      </c>
      <c r="E3545" s="56">
        <v>1.0</v>
      </c>
      <c r="F3545" s="161">
        <v>3750000.0</v>
      </c>
      <c r="G3545" s="162">
        <f t="shared" si="48"/>
        <v>3750000</v>
      </c>
      <c r="H3545" s="194"/>
      <c r="I3545" s="161">
        <f t="shared" si="45"/>
        <v>3750000</v>
      </c>
      <c r="J3545" s="164">
        <f t="shared" si="49"/>
        <v>3750000</v>
      </c>
      <c r="K3545" s="56" t="s">
        <v>11305</v>
      </c>
      <c r="L3545" s="165" t="s">
        <v>11306</v>
      </c>
      <c r="M3545" s="73"/>
      <c r="N3545" s="171"/>
      <c r="O3545" s="169" t="s">
        <v>6923</v>
      </c>
      <c r="P3545" s="168" t="s">
        <v>3112</v>
      </c>
      <c r="Q3545" s="173"/>
      <c r="R3545" s="161">
        <v>3750000.0</v>
      </c>
      <c r="S3545" s="173"/>
      <c r="T3545" s="173"/>
      <c r="U3545" s="173"/>
      <c r="V3545" s="169"/>
      <c r="W3545" s="171"/>
      <c r="X3545" s="171"/>
    </row>
    <row r="3546" ht="15.0" customHeight="1">
      <c r="A3546" s="127">
        <v>46124.0</v>
      </c>
      <c r="B3546" s="181" t="s">
        <v>11303</v>
      </c>
      <c r="C3546" s="56" t="s">
        <v>2934</v>
      </c>
      <c r="D3546" s="73" t="str">
        <f>IFERROR(VLOOKUP(C3546,Stock,3,FALSE),"")</f>
        <v>Peti Kayu</v>
      </c>
      <c r="E3546" s="56">
        <v>1.0</v>
      </c>
      <c r="F3546" s="161">
        <v>200000.0</v>
      </c>
      <c r="G3546" s="162">
        <f t="shared" si="48"/>
        <v>200000</v>
      </c>
      <c r="H3546" s="194"/>
      <c r="I3546" s="161">
        <f t="shared" si="45"/>
        <v>200000</v>
      </c>
      <c r="J3546" s="164">
        <f t="shared" si="49"/>
        <v>200000</v>
      </c>
      <c r="K3546" s="56" t="s">
        <v>11305</v>
      </c>
      <c r="L3546" s="165" t="s">
        <v>11306</v>
      </c>
      <c r="M3546" s="73"/>
      <c r="N3546" s="171"/>
      <c r="O3546" s="169" t="s">
        <v>6923</v>
      </c>
      <c r="P3546" s="168" t="s">
        <v>3112</v>
      </c>
      <c r="Q3546" s="173"/>
      <c r="R3546" s="161">
        <v>200000.0</v>
      </c>
      <c r="S3546" s="173"/>
      <c r="T3546" s="173"/>
      <c r="U3546" s="173"/>
      <c r="V3546" s="169"/>
      <c r="W3546" s="171"/>
      <c r="X3546" s="171"/>
    </row>
    <row r="3547" ht="15.0" customHeight="1">
      <c r="A3547" s="127">
        <v>46124.0</v>
      </c>
      <c r="B3547" s="181" t="s">
        <v>11307</v>
      </c>
      <c r="C3547" s="56" t="s">
        <v>3176</v>
      </c>
      <c r="D3547" s="73" t="str">
        <f>IFERROR(VLOOKUP(C3547,Stock,3,FALSE),"")</f>
        <v>Toyota Avanza / Xenia 11-15 2nd Gen / 15-21 3rd Gen</v>
      </c>
      <c r="E3547" s="56">
        <v>1.0</v>
      </c>
      <c r="F3547" s="161">
        <v>700000.0</v>
      </c>
      <c r="G3547" s="162">
        <f t="shared" si="48"/>
        <v>700000</v>
      </c>
      <c r="H3547" s="194"/>
      <c r="I3547" s="161">
        <f t="shared" si="45"/>
        <v>700000</v>
      </c>
      <c r="J3547" s="164">
        <f t="shared" si="49"/>
        <v>700000</v>
      </c>
      <c r="K3547" s="56" t="s">
        <v>11308</v>
      </c>
      <c r="L3547" s="165" t="s">
        <v>11309</v>
      </c>
      <c r="M3547" s="73"/>
      <c r="N3547" s="171"/>
      <c r="O3547" s="169" t="s">
        <v>6923</v>
      </c>
      <c r="P3547" s="168" t="s">
        <v>3112</v>
      </c>
      <c r="Q3547" s="161">
        <v>700000.0</v>
      </c>
      <c r="R3547" s="173"/>
      <c r="S3547" s="173"/>
      <c r="T3547" s="173"/>
      <c r="U3547" s="173"/>
      <c r="V3547" s="169"/>
      <c r="W3547" s="171"/>
      <c r="X3547" s="171"/>
    </row>
    <row r="3548" ht="15.0" customHeight="1">
      <c r="A3548" s="127">
        <v>46124.0</v>
      </c>
      <c r="B3548" s="181" t="s">
        <v>11307</v>
      </c>
      <c r="C3548" s="56" t="s">
        <v>2934</v>
      </c>
      <c r="D3548" s="73" t="str">
        <f>IFERROR(VLOOKUP(C3548,Stock,3,FALSE),"")</f>
        <v>Peti Kayu</v>
      </c>
      <c r="E3548" s="56">
        <v>1.0</v>
      </c>
      <c r="F3548" s="161">
        <v>200000.0</v>
      </c>
      <c r="G3548" s="162">
        <f t="shared" si="48"/>
        <v>200000</v>
      </c>
      <c r="H3548" s="194"/>
      <c r="I3548" s="161">
        <f t="shared" si="45"/>
        <v>200000</v>
      </c>
      <c r="J3548" s="164">
        <f t="shared" si="49"/>
        <v>200000</v>
      </c>
      <c r="K3548" s="56" t="s">
        <v>11308</v>
      </c>
      <c r="L3548" s="165" t="s">
        <v>11309</v>
      </c>
      <c r="M3548" s="73"/>
      <c r="N3548" s="171"/>
      <c r="O3548" s="169" t="s">
        <v>6923</v>
      </c>
      <c r="P3548" s="168" t="s">
        <v>3112</v>
      </c>
      <c r="Q3548" s="173"/>
      <c r="R3548" s="161">
        <v>200000.0</v>
      </c>
      <c r="S3548" s="173"/>
      <c r="T3548" s="173"/>
      <c r="U3548" s="173"/>
      <c r="V3548" s="169"/>
      <c r="W3548" s="171"/>
      <c r="X3548" s="171"/>
    </row>
    <row r="3549" ht="15.0" customHeight="1">
      <c r="A3549" s="127">
        <v>46124.0</v>
      </c>
      <c r="B3549" s="181" t="s">
        <v>11310</v>
      </c>
      <c r="C3549" s="56" t="s">
        <v>3398</v>
      </c>
      <c r="D3549" s="73" t="str">
        <f>IFERROR(VLOOKUP(C3549,Stock,3,FALSE),"")</f>
        <v>Pemasangan Kaca Mobil Samping</v>
      </c>
      <c r="E3549" s="56">
        <v>1.0</v>
      </c>
      <c r="F3549" s="161">
        <v>450000.0</v>
      </c>
      <c r="G3549" s="162">
        <f t="shared" si="48"/>
        <v>450000</v>
      </c>
      <c r="H3549" s="194"/>
      <c r="I3549" s="161">
        <f t="shared" si="45"/>
        <v>450000</v>
      </c>
      <c r="J3549" s="164">
        <f t="shared" si="49"/>
        <v>450000</v>
      </c>
      <c r="K3549" s="56" t="s">
        <v>11311</v>
      </c>
      <c r="L3549" s="165" t="s">
        <v>11312</v>
      </c>
      <c r="M3549" s="73"/>
      <c r="N3549" s="171"/>
      <c r="O3549" s="169" t="s">
        <v>6923</v>
      </c>
      <c r="P3549" s="168" t="s">
        <v>3112</v>
      </c>
      <c r="Q3549" s="173"/>
      <c r="R3549" s="161">
        <v>450000.0</v>
      </c>
      <c r="S3549" s="173"/>
      <c r="T3549" s="173"/>
      <c r="U3549" s="173"/>
      <c r="V3549" s="169"/>
      <c r="W3549" s="171"/>
      <c r="X3549" s="171"/>
    </row>
    <row r="3550" ht="15.0" customHeight="1">
      <c r="A3550" s="127">
        <v>46125.0</v>
      </c>
      <c r="B3550" s="181" t="s">
        <v>11313</v>
      </c>
      <c r="C3550" s="56" t="s">
        <v>6892</v>
      </c>
      <c r="D3550" s="73" t="str">
        <f>IFERROR(VLOOKUP(C3550,Stock,3,FALSE),"")</f>
        <v>Isuzu Elf  93- NKR NHR </v>
      </c>
      <c r="E3550" s="56">
        <v>1.0</v>
      </c>
      <c r="F3550" s="161">
        <v>690000.0</v>
      </c>
      <c r="G3550" s="162">
        <f t="shared" si="48"/>
        <v>690000</v>
      </c>
      <c r="H3550" s="194"/>
      <c r="I3550" s="161">
        <f t="shared" si="45"/>
        <v>690000</v>
      </c>
      <c r="J3550" s="164">
        <f t="shared" si="49"/>
        <v>690000</v>
      </c>
      <c r="K3550" s="56" t="s">
        <v>11314</v>
      </c>
      <c r="L3550" s="165" t="s">
        <v>11315</v>
      </c>
      <c r="M3550" s="73"/>
      <c r="N3550" s="171"/>
      <c r="O3550" s="169" t="s">
        <v>6923</v>
      </c>
      <c r="P3550" s="168" t="s">
        <v>3112</v>
      </c>
      <c r="Q3550" s="173"/>
      <c r="R3550" s="167">
        <v>690000.0</v>
      </c>
      <c r="S3550" s="173"/>
      <c r="T3550" s="173"/>
      <c r="U3550" s="173"/>
      <c r="V3550" s="169"/>
      <c r="W3550" s="171"/>
      <c r="X3550" s="171"/>
    </row>
    <row r="3551" ht="15.0" customHeight="1">
      <c r="A3551" s="127">
        <v>46125.0</v>
      </c>
      <c r="B3551" s="181" t="s">
        <v>11316</v>
      </c>
      <c r="C3551" s="56" t="s">
        <v>5528</v>
      </c>
      <c r="D3551" s="73" t="str">
        <f>IFERROR(VLOOKUP(C3551,Stock,3,FALSE),"")</f>
        <v>Toyota Innova 15-22 2nd Gen (Toyota)</v>
      </c>
      <c r="E3551" s="56">
        <v>1.0</v>
      </c>
      <c r="F3551" s="161">
        <v>2889000.0</v>
      </c>
      <c r="G3551" s="162">
        <f t="shared" si="48"/>
        <v>2889000</v>
      </c>
      <c r="H3551" s="194"/>
      <c r="I3551" s="161">
        <f t="shared" si="45"/>
        <v>2889000</v>
      </c>
      <c r="J3551" s="164">
        <f t="shared" si="49"/>
        <v>2889000</v>
      </c>
      <c r="K3551" s="56" t="s">
        <v>6698</v>
      </c>
      <c r="L3551" s="73"/>
      <c r="M3551" s="73"/>
      <c r="N3551" s="171"/>
      <c r="O3551" s="169" t="s">
        <v>6923</v>
      </c>
      <c r="P3551" s="168" t="s">
        <v>3112</v>
      </c>
      <c r="Q3551" s="173"/>
      <c r="R3551" s="161">
        <v>2889000.0</v>
      </c>
      <c r="S3551" s="173"/>
      <c r="T3551" s="173"/>
      <c r="U3551" s="173"/>
      <c r="V3551" s="169"/>
      <c r="W3551" s="171"/>
      <c r="X3551" s="171"/>
    </row>
    <row r="3552" ht="15.0" customHeight="1">
      <c r="A3552" s="127">
        <v>46125.0</v>
      </c>
      <c r="B3552" s="181" t="s">
        <v>11317</v>
      </c>
      <c r="C3552" s="56" t="s">
        <v>10480</v>
      </c>
      <c r="D3552" s="73" t="str">
        <f>IFERROR(VLOOKUP(C3552,Stock,3,FALSE),"")</f>
        <v>Toyota Innova 15- 2nd Gen</v>
      </c>
      <c r="E3552" s="56">
        <v>1.0</v>
      </c>
      <c r="F3552" s="161">
        <v>1600000.0</v>
      </c>
      <c r="G3552" s="162">
        <f t="shared" si="48"/>
        <v>1600000</v>
      </c>
      <c r="H3552" s="194"/>
      <c r="I3552" s="161">
        <f t="shared" si="45"/>
        <v>1600000</v>
      </c>
      <c r="J3552" s="164">
        <f t="shared" si="49"/>
        <v>1600000</v>
      </c>
      <c r="K3552" s="56" t="s">
        <v>4252</v>
      </c>
      <c r="L3552" s="165" t="s">
        <v>11318</v>
      </c>
      <c r="M3552" s="73"/>
      <c r="N3552" s="171"/>
      <c r="O3552" s="169" t="s">
        <v>6923</v>
      </c>
      <c r="P3552" s="168" t="s">
        <v>3112</v>
      </c>
      <c r="Q3552" s="173"/>
      <c r="R3552" s="161">
        <v>1600000.0</v>
      </c>
      <c r="S3552" s="173"/>
      <c r="T3552" s="173"/>
      <c r="U3552" s="173"/>
      <c r="V3552" s="169"/>
      <c r="W3552" s="171"/>
      <c r="X3552" s="171"/>
    </row>
    <row r="3553" ht="15.0" customHeight="1">
      <c r="A3553" s="127">
        <v>46125.0</v>
      </c>
      <c r="B3553" s="181" t="s">
        <v>11319</v>
      </c>
      <c r="C3553" s="56" t="s">
        <v>4386</v>
      </c>
      <c r="D3553" s="73" t="str">
        <f>IFERROR(VLOOKUP(C3553,Stock,3,FALSE),"")</f>
        <v>Toyota Calya / Sigra 16-</v>
      </c>
      <c r="E3553" s="56">
        <v>1.0</v>
      </c>
      <c r="F3553" s="161">
        <v>500000.0</v>
      </c>
      <c r="G3553" s="162">
        <f t="shared" si="48"/>
        <v>500000</v>
      </c>
      <c r="H3553" s="194"/>
      <c r="I3553" s="161">
        <f t="shared" si="45"/>
        <v>500000</v>
      </c>
      <c r="J3553" s="164">
        <f t="shared" si="49"/>
        <v>500000</v>
      </c>
      <c r="K3553" s="56" t="s">
        <v>11320</v>
      </c>
      <c r="L3553" s="165" t="s">
        <v>11321</v>
      </c>
      <c r="M3553" s="73"/>
      <c r="N3553" s="171"/>
      <c r="O3553" s="169" t="s">
        <v>6923</v>
      </c>
      <c r="P3553" s="168" t="s">
        <v>3112</v>
      </c>
      <c r="Q3553" s="173"/>
      <c r="R3553" s="161">
        <v>500000.0</v>
      </c>
      <c r="S3553" s="173"/>
      <c r="T3553" s="173"/>
      <c r="U3553" s="173"/>
      <c r="V3553" s="169"/>
      <c r="W3553" s="171"/>
      <c r="X3553" s="171"/>
    </row>
    <row r="3554" ht="15.0" customHeight="1">
      <c r="A3554" s="127">
        <v>46125.0</v>
      </c>
      <c r="B3554" s="181" t="s">
        <v>11322</v>
      </c>
      <c r="C3554" s="56" t="s">
        <v>10976</v>
      </c>
      <c r="D3554" s="73" t="str">
        <f>IFERROR(VLOOKUP(C3554,Stock,3,FALSE),"")</f>
        <v>Mitsubishi Xpander 17-</v>
      </c>
      <c r="E3554" s="56">
        <v>1.0</v>
      </c>
      <c r="F3554" s="161">
        <v>1550000.0</v>
      </c>
      <c r="G3554" s="162">
        <f t="shared" si="48"/>
        <v>1550000</v>
      </c>
      <c r="H3554" s="194"/>
      <c r="I3554" s="161">
        <f t="shared" si="45"/>
        <v>1550000</v>
      </c>
      <c r="J3554" s="164">
        <f t="shared" si="49"/>
        <v>1550000</v>
      </c>
      <c r="K3554" s="56" t="s">
        <v>11323</v>
      </c>
      <c r="L3554" s="165" t="s">
        <v>11324</v>
      </c>
      <c r="M3554" s="73"/>
      <c r="N3554" s="171"/>
      <c r="O3554" s="169" t="s">
        <v>6923</v>
      </c>
      <c r="P3554" s="168" t="s">
        <v>3112</v>
      </c>
      <c r="Q3554" s="161">
        <v>1550000.0</v>
      </c>
      <c r="R3554" s="173"/>
      <c r="S3554" s="173"/>
      <c r="T3554" s="173"/>
      <c r="U3554" s="173"/>
      <c r="V3554" s="169"/>
      <c r="W3554" s="171"/>
      <c r="X3554" s="171"/>
    </row>
    <row r="3555" ht="15.0" customHeight="1">
      <c r="A3555" s="127">
        <v>46125.0</v>
      </c>
      <c r="B3555" s="181" t="s">
        <v>11325</v>
      </c>
      <c r="C3555" s="56" t="s">
        <v>6624</v>
      </c>
      <c r="D3555" s="73" t="str">
        <f>IFERROR(VLOOKUP(C3555,Stock,3,FALSE),"")</f>
        <v>Toyota Innova 04-15 1st Gen (Toyota)</v>
      </c>
      <c r="E3555" s="56">
        <v>1.0</v>
      </c>
      <c r="F3555" s="161">
        <v>2788000.0</v>
      </c>
      <c r="G3555" s="162">
        <f t="shared" si="48"/>
        <v>2788000</v>
      </c>
      <c r="H3555" s="194"/>
      <c r="I3555" s="161">
        <f t="shared" si="45"/>
        <v>2788000</v>
      </c>
      <c r="J3555" s="164">
        <f t="shared" si="49"/>
        <v>2788000</v>
      </c>
      <c r="K3555" s="56" t="s">
        <v>6335</v>
      </c>
      <c r="L3555" s="165" t="s">
        <v>11326</v>
      </c>
      <c r="M3555" s="73"/>
      <c r="N3555" s="171"/>
      <c r="O3555" s="169" t="s">
        <v>6923</v>
      </c>
      <c r="P3555" s="168" t="s">
        <v>3112</v>
      </c>
      <c r="Q3555" s="173"/>
      <c r="R3555" s="161">
        <v>2788000.0</v>
      </c>
      <c r="S3555" s="173"/>
      <c r="T3555" s="173"/>
      <c r="U3555" s="173"/>
      <c r="V3555" s="169"/>
      <c r="W3555" s="171"/>
      <c r="X3555" s="171"/>
    </row>
    <row r="3556" ht="15.0" customHeight="1">
      <c r="A3556" s="127">
        <v>46125.0</v>
      </c>
      <c r="B3556" s="181" t="s">
        <v>11325</v>
      </c>
      <c r="C3556" s="56" t="s">
        <v>3355</v>
      </c>
      <c r="D3556" s="73" t="str">
        <f>IFERROR(VLOOKUP(C3556,Stock,3,FALSE),"")</f>
        <v>List Kaca Depan INV</v>
      </c>
      <c r="E3556" s="56">
        <v>1.0</v>
      </c>
      <c r="F3556" s="161">
        <v>315000.0</v>
      </c>
      <c r="G3556" s="162">
        <f t="shared" si="48"/>
        <v>315000</v>
      </c>
      <c r="H3556" s="194"/>
      <c r="I3556" s="161">
        <f t="shared" si="45"/>
        <v>315000</v>
      </c>
      <c r="J3556" s="164">
        <f t="shared" si="49"/>
        <v>315000</v>
      </c>
      <c r="K3556" s="56" t="s">
        <v>6335</v>
      </c>
      <c r="L3556" s="165" t="s">
        <v>11326</v>
      </c>
      <c r="M3556" s="73"/>
      <c r="N3556" s="171"/>
      <c r="O3556" s="169" t="s">
        <v>6923</v>
      </c>
      <c r="P3556" s="168" t="s">
        <v>3112</v>
      </c>
      <c r="Q3556" s="173"/>
      <c r="R3556" s="161">
        <v>315000.0</v>
      </c>
      <c r="S3556" s="173"/>
      <c r="T3556" s="173"/>
      <c r="U3556" s="173"/>
      <c r="V3556" s="169"/>
      <c r="W3556" s="171"/>
      <c r="X3556" s="171"/>
    </row>
    <row r="3557" ht="15.0" customHeight="1">
      <c r="A3557" s="127">
        <v>46125.0</v>
      </c>
      <c r="B3557" s="181" t="s">
        <v>11327</v>
      </c>
      <c r="C3557" s="56" t="s">
        <v>3186</v>
      </c>
      <c r="D3557" s="73" t="str">
        <f>IFERROR(VLOOKUP(C3557,Stock,3,FALSE),"")</f>
        <v>Daihatsu Gran Max / Luxio 07-</v>
      </c>
      <c r="E3557" s="56">
        <v>10.0</v>
      </c>
      <c r="F3557" s="161">
        <v>684000.0</v>
      </c>
      <c r="G3557" s="162">
        <f t="shared" si="48"/>
        <v>6840000</v>
      </c>
      <c r="H3557" s="194"/>
      <c r="I3557" s="161">
        <f t="shared" si="45"/>
        <v>6840000</v>
      </c>
      <c r="J3557" s="164">
        <f t="shared" si="49"/>
        <v>6840000</v>
      </c>
      <c r="K3557" s="56" t="s">
        <v>7470</v>
      </c>
      <c r="L3557" s="165" t="s">
        <v>6633</v>
      </c>
      <c r="M3557" s="73"/>
      <c r="N3557" s="171"/>
      <c r="O3557" s="169" t="s">
        <v>6923</v>
      </c>
      <c r="P3557" s="168" t="s">
        <v>3112</v>
      </c>
      <c r="Q3557" s="173"/>
      <c r="R3557" s="195">
        <v>6840000.0</v>
      </c>
      <c r="S3557" s="173"/>
      <c r="T3557" s="173"/>
      <c r="U3557" s="173"/>
      <c r="V3557" s="169"/>
      <c r="W3557" s="171"/>
      <c r="X3557" s="171"/>
    </row>
    <row r="3558" ht="15.0" customHeight="1">
      <c r="A3558" s="127">
        <v>46126.0</v>
      </c>
      <c r="B3558" s="181" t="s">
        <v>11328</v>
      </c>
      <c r="C3558" s="56" t="s">
        <v>3045</v>
      </c>
      <c r="D3558" s="73" t="str">
        <f>IFERROR(VLOOKUP(C3558,Stock,3,FALSE),"")</f>
        <v>Pemasangan Kaca Mobil Depan</v>
      </c>
      <c r="E3558" s="56">
        <v>1.0</v>
      </c>
      <c r="F3558" s="161">
        <v>600000.0</v>
      </c>
      <c r="G3558" s="162">
        <f t="shared" si="48"/>
        <v>600000</v>
      </c>
      <c r="H3558" s="194"/>
      <c r="I3558" s="161">
        <f t="shared" si="45"/>
        <v>600000</v>
      </c>
      <c r="J3558" s="164">
        <f t="shared" si="49"/>
        <v>600000</v>
      </c>
      <c r="K3558" s="56" t="s">
        <v>5767</v>
      </c>
      <c r="L3558" s="165" t="s">
        <v>5768</v>
      </c>
      <c r="M3558" s="73"/>
      <c r="N3558" s="171"/>
      <c r="O3558" s="169" t="s">
        <v>6923</v>
      </c>
      <c r="P3558" s="168" t="s">
        <v>3112</v>
      </c>
      <c r="Q3558" s="173"/>
      <c r="R3558" s="161">
        <v>600000.0</v>
      </c>
      <c r="S3558" s="173"/>
      <c r="T3558" s="173"/>
      <c r="U3558" s="173"/>
      <c r="V3558" s="169"/>
      <c r="W3558" s="171"/>
      <c r="X3558" s="171"/>
    </row>
    <row r="3559" ht="15.0" customHeight="1">
      <c r="A3559" s="127">
        <v>46126.0</v>
      </c>
      <c r="B3559" s="181" t="s">
        <v>11329</v>
      </c>
      <c r="C3559" s="56" t="s">
        <v>10480</v>
      </c>
      <c r="D3559" s="73" t="str">
        <f>IFERROR(VLOOKUP(C3559,Stock,3,FALSE),"")</f>
        <v>Toyota Innova 15- 2nd Gen</v>
      </c>
      <c r="E3559" s="56">
        <v>1.0</v>
      </c>
      <c r="F3559" s="161">
        <v>1600000.0</v>
      </c>
      <c r="G3559" s="162">
        <f t="shared" si="48"/>
        <v>1600000</v>
      </c>
      <c r="H3559" s="194"/>
      <c r="I3559" s="161">
        <f t="shared" si="45"/>
        <v>1600000</v>
      </c>
      <c r="J3559" s="164">
        <f t="shared" si="49"/>
        <v>1600000</v>
      </c>
      <c r="K3559" s="56" t="s">
        <v>7284</v>
      </c>
      <c r="L3559" s="165" t="s">
        <v>11330</v>
      </c>
      <c r="M3559" s="73"/>
      <c r="N3559" s="171"/>
      <c r="O3559" s="169" t="s">
        <v>6923</v>
      </c>
      <c r="P3559" s="168" t="s">
        <v>3112</v>
      </c>
      <c r="Q3559" s="173"/>
      <c r="R3559" s="161">
        <v>1600000.0</v>
      </c>
      <c r="S3559" s="173"/>
      <c r="T3559" s="173"/>
      <c r="U3559" s="173"/>
      <c r="V3559" s="169"/>
      <c r="W3559" s="171"/>
      <c r="X3559" s="171"/>
    </row>
    <row r="3560" ht="15.0" customHeight="1">
      <c r="A3560" s="127">
        <v>46126.0</v>
      </c>
      <c r="B3560" s="181" t="s">
        <v>11331</v>
      </c>
      <c r="C3560" s="56" t="s">
        <v>7234</v>
      </c>
      <c r="D3560" s="73" t="str">
        <f>IFERROR(VLOOKUP(C3560,Stock,3,FALSE),"")</f>
        <v>DFSK Supercab 20-</v>
      </c>
      <c r="E3560" s="56">
        <v>1.0</v>
      </c>
      <c r="F3560" s="161">
        <v>1750000.0</v>
      </c>
      <c r="G3560" s="162">
        <f t="shared" si="48"/>
        <v>1750000</v>
      </c>
      <c r="H3560" s="194"/>
      <c r="I3560" s="161">
        <f t="shared" si="45"/>
        <v>1750000</v>
      </c>
      <c r="J3560" s="164">
        <f t="shared" si="49"/>
        <v>1750000</v>
      </c>
      <c r="K3560" s="56" t="s">
        <v>11332</v>
      </c>
      <c r="L3560" s="165" t="s">
        <v>11333</v>
      </c>
      <c r="M3560" s="73"/>
      <c r="N3560" s="171"/>
      <c r="O3560" s="169" t="s">
        <v>6923</v>
      </c>
      <c r="P3560" s="168" t="s">
        <v>3112</v>
      </c>
      <c r="Q3560" s="173"/>
      <c r="R3560" s="161">
        <v>1750000.0</v>
      </c>
      <c r="S3560" s="173"/>
      <c r="T3560" s="173"/>
      <c r="U3560" s="173"/>
      <c r="V3560" s="169"/>
      <c r="W3560" s="171"/>
      <c r="X3560" s="171"/>
    </row>
    <row r="3561" ht="15.0" customHeight="1">
      <c r="A3561" s="127">
        <v>46126.0</v>
      </c>
      <c r="B3561" s="181" t="s">
        <v>11334</v>
      </c>
      <c r="C3561" s="56" t="s">
        <v>11335</v>
      </c>
      <c r="D3561" s="73" t="str">
        <f>IFERROR(VLOOKUP(C3561,Stock,3,FALSE),"")</f>
        <v>Mers-Benz C-Class 14 - W205 (3 Sensor/ Δ□Δ)</v>
      </c>
      <c r="E3561" s="56">
        <v>1.0</v>
      </c>
      <c r="F3561" s="161">
        <v>4265000.0</v>
      </c>
      <c r="G3561" s="162">
        <f t="shared" si="48"/>
        <v>4265000</v>
      </c>
      <c r="H3561" s="194"/>
      <c r="I3561" s="161">
        <f t="shared" si="45"/>
        <v>4265000</v>
      </c>
      <c r="J3561" s="164">
        <f t="shared" si="49"/>
        <v>4265000</v>
      </c>
      <c r="K3561" s="56" t="s">
        <v>11336</v>
      </c>
      <c r="L3561" s="165" t="s">
        <v>11337</v>
      </c>
      <c r="M3561" s="73"/>
      <c r="N3561" s="171"/>
      <c r="O3561" s="169" t="s">
        <v>6923</v>
      </c>
      <c r="P3561" s="168" t="s">
        <v>3112</v>
      </c>
      <c r="Q3561" s="173"/>
      <c r="R3561" s="161">
        <v>4265000.0</v>
      </c>
      <c r="S3561" s="173"/>
      <c r="T3561" s="173"/>
      <c r="U3561" s="173"/>
      <c r="V3561" s="169"/>
      <c r="W3561" s="171"/>
      <c r="X3561" s="171"/>
    </row>
    <row r="3562" ht="15.0" customHeight="1">
      <c r="A3562" s="127">
        <v>46126.0</v>
      </c>
      <c r="B3562" s="181" t="s">
        <v>11338</v>
      </c>
      <c r="C3562" s="56" t="s">
        <v>2562</v>
      </c>
      <c r="D3562" s="73" t="str">
        <f>IFERROR(VLOOKUP(C3562,Stock,3,FALSE),"")</f>
        <v>Toyota Avanza / Xenia 15-21 3rd Gen</v>
      </c>
      <c r="E3562" s="56">
        <v>1.0</v>
      </c>
      <c r="F3562" s="161">
        <v>1200000.0</v>
      </c>
      <c r="G3562" s="162">
        <f t="shared" si="48"/>
        <v>1200000</v>
      </c>
      <c r="H3562" s="194"/>
      <c r="I3562" s="161">
        <f t="shared" si="45"/>
        <v>1200000</v>
      </c>
      <c r="J3562" s="164">
        <f t="shared" si="49"/>
        <v>1200000</v>
      </c>
      <c r="K3562" s="56" t="s">
        <v>5658</v>
      </c>
      <c r="L3562" s="56" t="s">
        <v>5658</v>
      </c>
      <c r="M3562" s="73"/>
      <c r="N3562" s="171"/>
      <c r="O3562" s="169" t="s">
        <v>6923</v>
      </c>
      <c r="P3562" s="168" t="s">
        <v>3112</v>
      </c>
      <c r="Q3562" s="173"/>
      <c r="R3562" s="161">
        <v>1200000.0</v>
      </c>
      <c r="S3562" s="173"/>
      <c r="T3562" s="173"/>
      <c r="U3562" s="173"/>
      <c r="V3562" s="169"/>
      <c r="W3562" s="171"/>
      <c r="X3562" s="171"/>
    </row>
    <row r="3563" ht="15.0" customHeight="1">
      <c r="A3563" s="127">
        <v>46126.0</v>
      </c>
      <c r="B3563" s="181" t="s">
        <v>11339</v>
      </c>
      <c r="C3563" s="56" t="s">
        <v>2723</v>
      </c>
      <c r="D3563" s="73" t="str">
        <f>IFERROR(VLOOKUP(C3563,Stock,3,FALSE),"")</f>
        <v>Suzuki Carry New 19-</v>
      </c>
      <c r="E3563" s="56">
        <v>1.0</v>
      </c>
      <c r="F3563" s="161">
        <v>1148200.0</v>
      </c>
      <c r="G3563" s="162">
        <f t="shared" si="48"/>
        <v>1148200</v>
      </c>
      <c r="H3563" s="194"/>
      <c r="I3563" s="161">
        <f t="shared" si="45"/>
        <v>1148200</v>
      </c>
      <c r="J3563" s="164">
        <f t="shared" si="49"/>
        <v>1148200</v>
      </c>
      <c r="K3563" s="56" t="s">
        <v>11340</v>
      </c>
      <c r="L3563" s="56" t="s">
        <v>2958</v>
      </c>
      <c r="M3563" s="73"/>
      <c r="N3563" s="171"/>
      <c r="O3563" s="169" t="s">
        <v>6923</v>
      </c>
      <c r="P3563" s="168" t="s">
        <v>3112</v>
      </c>
      <c r="Q3563" s="173"/>
      <c r="R3563" s="173"/>
      <c r="S3563" s="161">
        <v>1148200.0</v>
      </c>
      <c r="T3563" s="173"/>
      <c r="U3563" s="173"/>
      <c r="V3563" s="169"/>
      <c r="W3563" s="171"/>
      <c r="X3563" s="171"/>
    </row>
    <row r="3564" ht="15.0" customHeight="1">
      <c r="A3564" s="127">
        <v>46127.0</v>
      </c>
      <c r="B3564" s="181" t="s">
        <v>11341</v>
      </c>
      <c r="C3564" s="56" t="s">
        <v>3411</v>
      </c>
      <c r="D3564" s="73" t="str">
        <f>IFERROR(VLOOKUP(C3564,Stock,3,FALSE),"")</f>
        <v>Toyota Agya/Ayla 13-22 1st Gen</v>
      </c>
      <c r="E3564" s="56">
        <v>1.0</v>
      </c>
      <c r="F3564" s="161">
        <v>950000.0</v>
      </c>
      <c r="G3564" s="162">
        <f t="shared" si="48"/>
        <v>950000</v>
      </c>
      <c r="H3564" s="194"/>
      <c r="I3564" s="161">
        <f t="shared" si="45"/>
        <v>950000</v>
      </c>
      <c r="J3564" s="164">
        <f t="shared" si="49"/>
        <v>950000</v>
      </c>
      <c r="K3564" s="56" t="s">
        <v>11342</v>
      </c>
      <c r="L3564" s="165" t="s">
        <v>11343</v>
      </c>
      <c r="M3564" s="73"/>
      <c r="N3564" s="171"/>
      <c r="O3564" s="169" t="s">
        <v>6923</v>
      </c>
      <c r="P3564" s="168" t="s">
        <v>3112</v>
      </c>
      <c r="Q3564" s="161">
        <v>950000.0</v>
      </c>
      <c r="R3564" s="173"/>
      <c r="S3564" s="173"/>
      <c r="T3564" s="173"/>
      <c r="U3564" s="173"/>
      <c r="V3564" s="169"/>
      <c r="W3564" s="171"/>
      <c r="X3564" s="171"/>
    </row>
    <row r="3565" ht="15.0" customHeight="1">
      <c r="A3565" s="127">
        <v>46128.0</v>
      </c>
      <c r="B3565" s="181" t="s">
        <v>11344</v>
      </c>
      <c r="C3565" s="56" t="s">
        <v>3638</v>
      </c>
      <c r="D3565" s="73" t="str">
        <f>IFERROR(VLOOKUP(C3565,Stock,3,FALSE),"")</f>
        <v>Mitsubishi Xpander 17-21</v>
      </c>
      <c r="E3565" s="56">
        <v>1.0</v>
      </c>
      <c r="F3565" s="161">
        <v>900000.0</v>
      </c>
      <c r="G3565" s="162">
        <f t="shared" si="48"/>
        <v>900000</v>
      </c>
      <c r="H3565" s="194"/>
      <c r="I3565" s="161">
        <f t="shared" si="45"/>
        <v>900000</v>
      </c>
      <c r="J3565" s="164">
        <f t="shared" si="49"/>
        <v>900000</v>
      </c>
      <c r="K3565" s="56" t="s">
        <v>11345</v>
      </c>
      <c r="L3565" s="165" t="s">
        <v>11346</v>
      </c>
      <c r="M3565" s="73"/>
      <c r="N3565" s="171"/>
      <c r="O3565" s="169" t="s">
        <v>6923</v>
      </c>
      <c r="P3565" s="168" t="s">
        <v>3112</v>
      </c>
      <c r="Q3565" s="173"/>
      <c r="R3565" s="161">
        <v>900000.0</v>
      </c>
      <c r="S3565" s="173"/>
      <c r="T3565" s="173"/>
      <c r="U3565" s="173"/>
      <c r="V3565" s="169"/>
      <c r="W3565" s="171"/>
      <c r="X3565" s="171"/>
    </row>
    <row r="3566" ht="15.0" customHeight="1">
      <c r="A3566" s="127">
        <v>46128.0</v>
      </c>
      <c r="B3566" s="181" t="s">
        <v>11344</v>
      </c>
      <c r="C3566" s="56" t="s">
        <v>2954</v>
      </c>
      <c r="D3566" s="73" t="str">
        <f>IFERROR(VLOOKUP(C3566,Stock,3,FALSE),"")</f>
        <v>Transport</v>
      </c>
      <c r="E3566" s="56">
        <v>1.0</v>
      </c>
      <c r="F3566" s="161">
        <v>70000.0</v>
      </c>
      <c r="G3566" s="162">
        <f t="shared" si="48"/>
        <v>70000</v>
      </c>
      <c r="H3566" s="194"/>
      <c r="I3566" s="161">
        <f t="shared" si="45"/>
        <v>70000</v>
      </c>
      <c r="J3566" s="164">
        <f t="shared" si="49"/>
        <v>70000</v>
      </c>
      <c r="K3566" s="56" t="s">
        <v>11345</v>
      </c>
      <c r="L3566" s="165" t="s">
        <v>11346</v>
      </c>
      <c r="M3566" s="73"/>
      <c r="N3566" s="171"/>
      <c r="O3566" s="169" t="s">
        <v>6923</v>
      </c>
      <c r="P3566" s="168" t="s">
        <v>3112</v>
      </c>
      <c r="Q3566" s="173"/>
      <c r="R3566" s="161">
        <v>70000.0</v>
      </c>
      <c r="S3566" s="173"/>
      <c r="T3566" s="173"/>
      <c r="U3566" s="173"/>
      <c r="V3566" s="169"/>
      <c r="W3566" s="171"/>
      <c r="X3566" s="171"/>
    </row>
    <row r="3567" ht="15.0" customHeight="1">
      <c r="A3567" s="127">
        <v>46128.0</v>
      </c>
      <c r="B3567" s="181" t="s">
        <v>11347</v>
      </c>
      <c r="C3567" s="56" t="s">
        <v>2682</v>
      </c>
      <c r="D3567" s="73" t="str">
        <f>IFERROR(VLOOKUP(C3567,Stock,3,FALSE),"")</f>
        <v>Toyota Yaris 05-13 XP90 1st Gen</v>
      </c>
      <c r="E3567" s="56">
        <v>1.0</v>
      </c>
      <c r="F3567" s="161">
        <v>1449000.0</v>
      </c>
      <c r="G3567" s="162">
        <f t="shared" si="48"/>
        <v>1449000</v>
      </c>
      <c r="H3567" s="194"/>
      <c r="I3567" s="161">
        <f t="shared" si="45"/>
        <v>1449000</v>
      </c>
      <c r="J3567" s="164">
        <f t="shared" si="49"/>
        <v>1449000</v>
      </c>
      <c r="K3567" s="56" t="s">
        <v>11348</v>
      </c>
      <c r="L3567" s="165" t="s">
        <v>11349</v>
      </c>
      <c r="M3567" s="73"/>
      <c r="N3567" s="171"/>
      <c r="O3567" s="169" t="s">
        <v>6923</v>
      </c>
      <c r="P3567" s="168" t="s">
        <v>3112</v>
      </c>
      <c r="Q3567" s="173"/>
      <c r="R3567" s="161">
        <v>1449000.0</v>
      </c>
      <c r="S3567" s="173"/>
      <c r="T3567" s="173"/>
      <c r="U3567" s="173"/>
      <c r="V3567" s="169"/>
      <c r="W3567" s="171"/>
      <c r="X3567" s="171"/>
    </row>
    <row r="3568" ht="15.0" customHeight="1">
      <c r="A3568" s="127">
        <v>46128.0</v>
      </c>
      <c r="B3568" s="181" t="s">
        <v>11350</v>
      </c>
      <c r="C3568" s="56" t="s">
        <v>4644</v>
      </c>
      <c r="D3568" s="73" t="str">
        <f>IFERROR(VLOOKUP(C3568,Stock,3,FALSE),"")</f>
        <v>Toyota LandCruiser 02-07 FJ78 / FJ79</v>
      </c>
      <c r="E3568" s="56">
        <v>1.0</v>
      </c>
      <c r="F3568" s="161">
        <v>3485000.0</v>
      </c>
      <c r="G3568" s="162">
        <f t="shared" si="48"/>
        <v>3485000</v>
      </c>
      <c r="H3568" s="194"/>
      <c r="I3568" s="161">
        <f t="shared" si="45"/>
        <v>3485000</v>
      </c>
      <c r="J3568" s="164">
        <f t="shared" si="49"/>
        <v>3485000</v>
      </c>
      <c r="K3568" s="56" t="s">
        <v>11351</v>
      </c>
      <c r="L3568" s="165" t="s">
        <v>5768</v>
      </c>
      <c r="M3568" s="73"/>
      <c r="N3568" s="171"/>
      <c r="O3568" s="169" t="s">
        <v>6923</v>
      </c>
      <c r="P3568" s="168" t="s">
        <v>3112</v>
      </c>
      <c r="Q3568" s="173"/>
      <c r="R3568" s="161">
        <v>3485000.0</v>
      </c>
      <c r="S3568" s="173"/>
      <c r="T3568" s="173"/>
      <c r="U3568" s="173"/>
      <c r="V3568" s="169"/>
      <c r="W3568" s="171"/>
      <c r="X3568" s="171"/>
    </row>
    <row r="3569" ht="15.0" customHeight="1">
      <c r="A3569" s="127">
        <v>46128.0</v>
      </c>
      <c r="B3569" s="181" t="s">
        <v>11350</v>
      </c>
      <c r="C3569" s="56" t="s">
        <v>2934</v>
      </c>
      <c r="D3569" s="73" t="str">
        <f>IFERROR(VLOOKUP(C3569,Stock,3,FALSE),"")</f>
        <v>Peti Kayu</v>
      </c>
      <c r="E3569" s="56">
        <v>1.0</v>
      </c>
      <c r="F3569" s="161">
        <v>200000.0</v>
      </c>
      <c r="G3569" s="162">
        <f t="shared" si="48"/>
        <v>200000</v>
      </c>
      <c r="H3569" s="194"/>
      <c r="I3569" s="161">
        <f t="shared" si="45"/>
        <v>200000</v>
      </c>
      <c r="J3569" s="164">
        <f t="shared" si="49"/>
        <v>200000</v>
      </c>
      <c r="K3569" s="56" t="s">
        <v>11351</v>
      </c>
      <c r="L3569" s="165" t="s">
        <v>5768</v>
      </c>
      <c r="M3569" s="73"/>
      <c r="N3569" s="171"/>
      <c r="O3569" s="169" t="s">
        <v>6923</v>
      </c>
      <c r="P3569" s="168" t="s">
        <v>3112</v>
      </c>
      <c r="Q3569" s="173"/>
      <c r="R3569" s="161">
        <v>200000.0</v>
      </c>
      <c r="S3569" s="173"/>
      <c r="T3569" s="173"/>
      <c r="U3569" s="173"/>
      <c r="V3569" s="169"/>
      <c r="W3569" s="171"/>
      <c r="X3569" s="171"/>
    </row>
    <row r="3570" ht="15.0" customHeight="1">
      <c r="A3570" s="127">
        <v>46128.0</v>
      </c>
      <c r="B3570" s="181" t="s">
        <v>11352</v>
      </c>
      <c r="C3570" s="56" t="s">
        <v>2738</v>
      </c>
      <c r="D3570" s="73" t="str">
        <f>IFERROR(VLOOKUP(C3570,Stock,3,FALSE),"")</f>
        <v>Toyota Alphard 08-15 ANH20 2nd Gen (Hitam)</v>
      </c>
      <c r="E3570" s="56">
        <v>1.0</v>
      </c>
      <c r="F3570" s="161">
        <v>2844000.0</v>
      </c>
      <c r="G3570" s="162">
        <f t="shared" si="48"/>
        <v>2844000</v>
      </c>
      <c r="H3570" s="194"/>
      <c r="I3570" s="161">
        <f t="shared" si="45"/>
        <v>2844000</v>
      </c>
      <c r="J3570" s="164">
        <f t="shared" si="49"/>
        <v>2844000</v>
      </c>
      <c r="K3570" s="56" t="s">
        <v>11353</v>
      </c>
      <c r="L3570" s="165" t="s">
        <v>11354</v>
      </c>
      <c r="M3570" s="73"/>
      <c r="N3570" s="171"/>
      <c r="O3570" s="169" t="s">
        <v>6923</v>
      </c>
      <c r="P3570" s="168" t="s">
        <v>3112</v>
      </c>
      <c r="Q3570" s="173"/>
      <c r="R3570" s="161">
        <v>2844000.0</v>
      </c>
      <c r="S3570" s="173"/>
      <c r="T3570" s="173"/>
      <c r="U3570" s="173"/>
      <c r="V3570" s="169"/>
      <c r="W3570" s="171"/>
      <c r="X3570" s="171"/>
    </row>
    <row r="3571" ht="15.0" customHeight="1">
      <c r="A3571" s="127">
        <v>46128.0</v>
      </c>
      <c r="B3571" s="181" t="s">
        <v>11355</v>
      </c>
      <c r="C3571" s="56" t="s">
        <v>10976</v>
      </c>
      <c r="D3571" s="73" t="str">
        <f>IFERROR(VLOOKUP(C3571,Stock,3,FALSE),"")</f>
        <v>Mitsubishi Xpander 17-</v>
      </c>
      <c r="E3571" s="56">
        <v>1.0</v>
      </c>
      <c r="F3571" s="161">
        <v>1344000.0</v>
      </c>
      <c r="G3571" s="162">
        <f t="shared" si="48"/>
        <v>1344000</v>
      </c>
      <c r="H3571" s="194"/>
      <c r="I3571" s="161">
        <f t="shared" si="45"/>
        <v>1344000</v>
      </c>
      <c r="J3571" s="164">
        <f t="shared" si="49"/>
        <v>1344000</v>
      </c>
      <c r="K3571" s="56" t="s">
        <v>11356</v>
      </c>
      <c r="L3571" s="165" t="s">
        <v>9794</v>
      </c>
      <c r="M3571" s="73"/>
      <c r="N3571" s="171"/>
      <c r="O3571" s="169" t="s">
        <v>6923</v>
      </c>
      <c r="P3571" s="168" t="s">
        <v>3112</v>
      </c>
      <c r="Q3571" s="173"/>
      <c r="R3571" s="161">
        <v>1344000.0</v>
      </c>
      <c r="S3571" s="173"/>
      <c r="T3571" s="173"/>
      <c r="U3571" s="173"/>
      <c r="V3571" s="169"/>
      <c r="W3571" s="171"/>
      <c r="X3571" s="171"/>
    </row>
    <row r="3572" ht="15.0" customHeight="1">
      <c r="A3572" s="127">
        <v>46128.0</v>
      </c>
      <c r="B3572" s="181" t="s">
        <v>11357</v>
      </c>
      <c r="C3572" s="56" t="s">
        <v>3795</v>
      </c>
      <c r="D3572" s="73" t="str">
        <f>IFERROR(VLOOKUP(C3572,Stock,3,FALSE),"")</f>
        <v>Toyota Innova 04-15 1st Gen</v>
      </c>
      <c r="E3572" s="56">
        <v>1.0</v>
      </c>
      <c r="F3572" s="161">
        <v>1250000.0</v>
      </c>
      <c r="G3572" s="162">
        <f t="shared" si="48"/>
        <v>1250000</v>
      </c>
      <c r="H3572" s="194"/>
      <c r="I3572" s="161">
        <f t="shared" si="45"/>
        <v>1250000</v>
      </c>
      <c r="J3572" s="164">
        <f t="shared" si="49"/>
        <v>1250000</v>
      </c>
      <c r="K3572" s="56" t="s">
        <v>11358</v>
      </c>
      <c r="L3572" s="165" t="s">
        <v>11359</v>
      </c>
      <c r="M3572" s="73"/>
      <c r="N3572" s="171"/>
      <c r="O3572" s="169" t="s">
        <v>6923</v>
      </c>
      <c r="P3572" s="168" t="s">
        <v>3112</v>
      </c>
      <c r="Q3572" s="173"/>
      <c r="R3572" s="161">
        <v>1250000.0</v>
      </c>
      <c r="S3572" s="173"/>
      <c r="T3572" s="173"/>
      <c r="U3572" s="173"/>
      <c r="V3572" s="169"/>
      <c r="W3572" s="171"/>
      <c r="X3572" s="171"/>
    </row>
    <row r="3573" ht="15.0" customHeight="1">
      <c r="A3573" s="127">
        <v>46129.0</v>
      </c>
      <c r="B3573" s="181" t="s">
        <v>11360</v>
      </c>
      <c r="C3573" s="56" t="s">
        <v>3360</v>
      </c>
      <c r="D3573" s="73" t="str">
        <f>IFERROR(VLOOKUP(C3573,Stock,3,FALSE),"")</f>
        <v>Mitsubishi Xpander 17-</v>
      </c>
      <c r="E3573" s="56">
        <v>1.0</v>
      </c>
      <c r="F3573" s="161">
        <v>1550000.0</v>
      </c>
      <c r="G3573" s="162">
        <f t="shared" si="48"/>
        <v>1550000</v>
      </c>
      <c r="H3573" s="194"/>
      <c r="I3573" s="161">
        <f t="shared" si="45"/>
        <v>1550000</v>
      </c>
      <c r="J3573" s="164">
        <f t="shared" si="49"/>
        <v>1550000</v>
      </c>
      <c r="K3573" s="56" t="s">
        <v>11361</v>
      </c>
      <c r="L3573" s="165" t="s">
        <v>11362</v>
      </c>
      <c r="M3573" s="73"/>
      <c r="N3573" s="171"/>
      <c r="O3573" s="169" t="s">
        <v>6923</v>
      </c>
      <c r="P3573" s="168" t="s">
        <v>3112</v>
      </c>
      <c r="Q3573" s="161">
        <v>1550000.0</v>
      </c>
      <c r="R3573" s="173"/>
      <c r="S3573" s="173"/>
      <c r="T3573" s="173"/>
      <c r="U3573" s="173"/>
      <c r="V3573" s="169"/>
      <c r="W3573" s="171"/>
      <c r="X3573" s="171"/>
    </row>
    <row r="3574" ht="15.0" customHeight="1">
      <c r="A3574" s="127">
        <v>46129.0</v>
      </c>
      <c r="B3574" s="181" t="s">
        <v>11360</v>
      </c>
      <c r="C3574" s="56" t="s">
        <v>2954</v>
      </c>
      <c r="D3574" s="73" t="str">
        <f>IFERROR(VLOOKUP(C3574,Stock,3,FALSE),"")</f>
        <v>Transport</v>
      </c>
      <c r="E3574" s="56">
        <v>1.0</v>
      </c>
      <c r="F3574" s="161">
        <v>100000.0</v>
      </c>
      <c r="G3574" s="162">
        <f t="shared" si="48"/>
        <v>100000</v>
      </c>
      <c r="H3574" s="194"/>
      <c r="I3574" s="161">
        <f t="shared" si="45"/>
        <v>100000</v>
      </c>
      <c r="J3574" s="164">
        <f t="shared" si="49"/>
        <v>100000</v>
      </c>
      <c r="K3574" s="56" t="s">
        <v>11361</v>
      </c>
      <c r="L3574" s="165" t="s">
        <v>11362</v>
      </c>
      <c r="M3574" s="73"/>
      <c r="N3574" s="171"/>
      <c r="O3574" s="169" t="s">
        <v>6923</v>
      </c>
      <c r="P3574" s="168" t="s">
        <v>3112</v>
      </c>
      <c r="Q3574" s="173"/>
      <c r="R3574" s="161">
        <v>100000.0</v>
      </c>
      <c r="S3574" s="173"/>
      <c r="T3574" s="173"/>
      <c r="U3574" s="173"/>
      <c r="V3574" s="169"/>
      <c r="W3574" s="171"/>
      <c r="X3574" s="171"/>
    </row>
    <row r="3575" ht="15.0" customHeight="1">
      <c r="A3575" s="127">
        <v>46129.0</v>
      </c>
      <c r="B3575" s="181" t="s">
        <v>11363</v>
      </c>
      <c r="C3575" s="56" t="s">
        <v>3127</v>
      </c>
      <c r="D3575" s="73" t="str">
        <f>IFERROR(VLOOKUP(C3575,Stock,3,FALSE),"")</f>
        <v>Toyota Avanza / Xenia 03-11 1st Gen</v>
      </c>
      <c r="E3575" s="56">
        <v>1.0</v>
      </c>
      <c r="F3575" s="161">
        <v>839000.0</v>
      </c>
      <c r="G3575" s="162">
        <f t="shared" si="48"/>
        <v>839000</v>
      </c>
      <c r="H3575" s="194"/>
      <c r="I3575" s="161">
        <f t="shared" si="45"/>
        <v>839000</v>
      </c>
      <c r="J3575" s="164">
        <f t="shared" si="49"/>
        <v>839000</v>
      </c>
      <c r="K3575" s="56" t="s">
        <v>11364</v>
      </c>
      <c r="L3575" s="165" t="s">
        <v>11365</v>
      </c>
      <c r="M3575" s="73"/>
      <c r="N3575" s="171"/>
      <c r="O3575" s="169" t="s">
        <v>3213</v>
      </c>
      <c r="P3575" s="168" t="s">
        <v>3112</v>
      </c>
      <c r="Q3575" s="161">
        <v>839000.0</v>
      </c>
      <c r="R3575" s="173"/>
      <c r="S3575" s="173"/>
      <c r="T3575" s="173"/>
      <c r="U3575" s="173"/>
      <c r="V3575" s="169"/>
      <c r="W3575" s="171"/>
      <c r="X3575" s="171"/>
    </row>
    <row r="3576" ht="15.0" customHeight="1">
      <c r="A3576" s="127">
        <v>46129.0</v>
      </c>
      <c r="B3576" s="181" t="s">
        <v>11366</v>
      </c>
      <c r="C3576" s="56" t="s">
        <v>3186</v>
      </c>
      <c r="D3576" s="73" t="str">
        <f>IFERROR(VLOOKUP(C3576,Stock,3,FALSE),"")</f>
        <v>Daihatsu Gran Max / Luxio 07-</v>
      </c>
      <c r="E3576" s="56">
        <v>1.0</v>
      </c>
      <c r="F3576" s="161">
        <v>1000000.0</v>
      </c>
      <c r="G3576" s="162">
        <f t="shared" si="48"/>
        <v>1000000</v>
      </c>
      <c r="H3576" s="194"/>
      <c r="I3576" s="161">
        <f t="shared" si="45"/>
        <v>1000000</v>
      </c>
      <c r="J3576" s="164">
        <f t="shared" si="49"/>
        <v>1000000</v>
      </c>
      <c r="K3576" s="56" t="s">
        <v>11367</v>
      </c>
      <c r="L3576" s="165" t="s">
        <v>11368</v>
      </c>
      <c r="M3576" s="73"/>
      <c r="N3576" s="171"/>
      <c r="O3576" s="169" t="s">
        <v>3213</v>
      </c>
      <c r="P3576" s="168" t="s">
        <v>3112</v>
      </c>
      <c r="Q3576" s="161">
        <v>1000000.0</v>
      </c>
      <c r="R3576" s="173"/>
      <c r="S3576" s="173"/>
      <c r="T3576" s="173"/>
      <c r="U3576" s="173"/>
      <c r="V3576" s="169"/>
      <c r="W3576" s="171"/>
      <c r="X3576" s="171"/>
    </row>
    <row r="3577" ht="15.0" customHeight="1">
      <c r="A3577" s="127">
        <v>46129.0</v>
      </c>
      <c r="B3577" s="181" t="s">
        <v>11366</v>
      </c>
      <c r="C3577" s="56" t="s">
        <v>3083</v>
      </c>
      <c r="D3577" s="73" t="str">
        <f>IFERROR(VLOOKUP(C3577,Stock,3,FALSE),"")</f>
        <v>List Kaca Depan Code 04</v>
      </c>
      <c r="E3577" s="56">
        <v>1.0</v>
      </c>
      <c r="F3577" s="161">
        <v>275000.0</v>
      </c>
      <c r="G3577" s="162">
        <f t="shared" si="48"/>
        <v>275000</v>
      </c>
      <c r="H3577" s="194"/>
      <c r="I3577" s="161">
        <f t="shared" si="45"/>
        <v>275000</v>
      </c>
      <c r="J3577" s="164">
        <f t="shared" si="49"/>
        <v>275000</v>
      </c>
      <c r="K3577" s="56" t="s">
        <v>11367</v>
      </c>
      <c r="L3577" s="165" t="s">
        <v>11368</v>
      </c>
      <c r="M3577" s="73"/>
      <c r="N3577" s="171"/>
      <c r="O3577" s="169" t="s">
        <v>3213</v>
      </c>
      <c r="P3577" s="168" t="s">
        <v>3112</v>
      </c>
      <c r="Q3577" s="161">
        <v>275000.0</v>
      </c>
      <c r="R3577" s="173"/>
      <c r="S3577" s="173"/>
      <c r="T3577" s="173"/>
      <c r="U3577" s="173"/>
      <c r="V3577" s="169"/>
      <c r="W3577" s="171"/>
      <c r="X3577" s="171"/>
    </row>
    <row r="3578" ht="15.0" customHeight="1">
      <c r="A3578" s="127">
        <v>46129.0</v>
      </c>
      <c r="B3578" s="181" t="s">
        <v>11369</v>
      </c>
      <c r="C3578" s="56" t="s">
        <v>5528</v>
      </c>
      <c r="D3578" s="73" t="str">
        <f>IFERROR(VLOOKUP(C3578,Stock,3,FALSE),"")</f>
        <v>Toyota Innova 15-22 2nd Gen (Toyota)</v>
      </c>
      <c r="E3578" s="56">
        <v>1.0</v>
      </c>
      <c r="F3578" s="161">
        <v>2889000.0</v>
      </c>
      <c r="G3578" s="162">
        <f t="shared" si="48"/>
        <v>2889000</v>
      </c>
      <c r="H3578" s="194"/>
      <c r="I3578" s="161">
        <f t="shared" si="45"/>
        <v>2889000</v>
      </c>
      <c r="J3578" s="164">
        <f t="shared" si="49"/>
        <v>2889000</v>
      </c>
      <c r="K3578" s="56" t="s">
        <v>7045</v>
      </c>
      <c r="L3578" s="165" t="s">
        <v>11370</v>
      </c>
      <c r="M3578" s="73"/>
      <c r="N3578" s="171"/>
      <c r="O3578" s="169" t="s">
        <v>6923</v>
      </c>
      <c r="P3578" s="168" t="s">
        <v>3112</v>
      </c>
      <c r="Q3578" s="161">
        <v>2789000.0</v>
      </c>
      <c r="R3578" s="167">
        <v>100000.0</v>
      </c>
      <c r="S3578" s="173"/>
      <c r="T3578" s="173"/>
      <c r="U3578" s="173"/>
      <c r="V3578" s="169"/>
      <c r="W3578" s="171"/>
      <c r="X3578" s="171"/>
    </row>
    <row r="3579" ht="15.0" customHeight="1">
      <c r="A3579" s="127">
        <v>46129.0</v>
      </c>
      <c r="B3579" s="181" t="s">
        <v>11369</v>
      </c>
      <c r="C3579" s="56" t="s">
        <v>2954</v>
      </c>
      <c r="D3579" s="73" t="str">
        <f>IFERROR(VLOOKUP(C3579,Stock,3,FALSE),"")</f>
        <v>Transport</v>
      </c>
      <c r="E3579" s="56">
        <v>1.0</v>
      </c>
      <c r="F3579" s="161">
        <v>80000.0</v>
      </c>
      <c r="G3579" s="162">
        <f t="shared" si="48"/>
        <v>80000</v>
      </c>
      <c r="H3579" s="194"/>
      <c r="I3579" s="161">
        <f t="shared" si="45"/>
        <v>80000</v>
      </c>
      <c r="J3579" s="164">
        <f t="shared" si="49"/>
        <v>80000</v>
      </c>
      <c r="K3579" s="56" t="s">
        <v>7045</v>
      </c>
      <c r="L3579" s="165" t="s">
        <v>11370</v>
      </c>
      <c r="M3579" s="73"/>
      <c r="N3579" s="171"/>
      <c r="O3579" s="169" t="s">
        <v>6923</v>
      </c>
      <c r="P3579" s="168" t="s">
        <v>3112</v>
      </c>
      <c r="Q3579" s="167">
        <v>80000.0</v>
      </c>
      <c r="R3579" s="173"/>
      <c r="S3579" s="173"/>
      <c r="T3579" s="173"/>
      <c r="U3579" s="173"/>
      <c r="V3579" s="169"/>
      <c r="W3579" s="171"/>
      <c r="X3579" s="171"/>
    </row>
    <row r="3580" ht="15.0" customHeight="1">
      <c r="A3580" s="127">
        <v>46129.0</v>
      </c>
      <c r="B3580" s="181" t="s">
        <v>11371</v>
      </c>
      <c r="C3580" s="56" t="s">
        <v>3099</v>
      </c>
      <c r="D3580" s="73" t="str">
        <f>IFERROR(VLOOKUP(C3580,Stock,3,FALSE),"")</f>
        <v>Toyota Calya / Sigra 16-</v>
      </c>
      <c r="E3580" s="56">
        <v>1.0</v>
      </c>
      <c r="F3580" s="161">
        <v>1200000.0</v>
      </c>
      <c r="G3580" s="162">
        <f t="shared" si="48"/>
        <v>1200000</v>
      </c>
      <c r="H3580" s="194"/>
      <c r="I3580" s="161">
        <f t="shared" si="45"/>
        <v>1200000</v>
      </c>
      <c r="J3580" s="164">
        <f t="shared" si="49"/>
        <v>1200000</v>
      </c>
      <c r="K3580" s="56" t="s">
        <v>11372</v>
      </c>
      <c r="L3580" s="165" t="s">
        <v>11370</v>
      </c>
      <c r="M3580" s="73"/>
      <c r="N3580" s="171"/>
      <c r="O3580" s="169" t="s">
        <v>6923</v>
      </c>
      <c r="P3580" s="168" t="s">
        <v>3112</v>
      </c>
      <c r="Q3580" s="173"/>
      <c r="R3580" s="161">
        <v>1200000.0</v>
      </c>
      <c r="S3580" s="173"/>
      <c r="T3580" s="173"/>
      <c r="U3580" s="173"/>
      <c r="V3580" s="169"/>
      <c r="W3580" s="171"/>
      <c r="X3580" s="171"/>
    </row>
    <row r="3581" ht="15.0" customHeight="1">
      <c r="A3581" s="127">
        <v>46130.0</v>
      </c>
      <c r="B3581" s="181" t="s">
        <v>11373</v>
      </c>
      <c r="C3581" s="56" t="s">
        <v>7063</v>
      </c>
      <c r="D3581" s="73" t="str">
        <f>IFERROR(VLOOKUP(C3581,Stock,3,FALSE),"")</f>
        <v>Wuling Confero (Tanpa Spionnya)</v>
      </c>
      <c r="E3581" s="56">
        <v>1.0</v>
      </c>
      <c r="F3581" s="161">
        <v>1440000.0</v>
      </c>
      <c r="G3581" s="162">
        <f t="shared" si="48"/>
        <v>1440000</v>
      </c>
      <c r="H3581" s="194"/>
      <c r="I3581" s="161">
        <f t="shared" si="45"/>
        <v>1440000</v>
      </c>
      <c r="J3581" s="164">
        <f t="shared" si="49"/>
        <v>1440000</v>
      </c>
      <c r="K3581" s="56" t="s">
        <v>11374</v>
      </c>
      <c r="L3581" s="165" t="s">
        <v>11375</v>
      </c>
      <c r="M3581" s="73"/>
      <c r="N3581" s="171"/>
      <c r="O3581" s="169" t="s">
        <v>6923</v>
      </c>
      <c r="P3581" s="168" t="s">
        <v>3112</v>
      </c>
      <c r="Q3581" s="173"/>
      <c r="R3581" s="161">
        <v>1440000.0</v>
      </c>
      <c r="S3581" s="173"/>
      <c r="T3581" s="173"/>
      <c r="U3581" s="173"/>
      <c r="V3581" s="169"/>
      <c r="W3581" s="171"/>
      <c r="X3581" s="171"/>
    </row>
    <row r="3582" ht="15.0" customHeight="1">
      <c r="A3582" s="127">
        <v>46130.0</v>
      </c>
      <c r="B3582" s="181" t="s">
        <v>11376</v>
      </c>
      <c r="C3582" s="56" t="s">
        <v>3127</v>
      </c>
      <c r="D3582" s="73" t="str">
        <f>IFERROR(VLOOKUP(C3582,Stock,3,FALSE),"")</f>
        <v>Toyota Avanza / Xenia 03-11 1st Gen</v>
      </c>
      <c r="E3582" s="56">
        <v>1.0</v>
      </c>
      <c r="F3582" s="161">
        <v>839000.0</v>
      </c>
      <c r="G3582" s="162">
        <f t="shared" si="48"/>
        <v>839000</v>
      </c>
      <c r="H3582" s="194"/>
      <c r="I3582" s="161">
        <f t="shared" si="45"/>
        <v>839000</v>
      </c>
      <c r="J3582" s="164">
        <f t="shared" si="49"/>
        <v>839000</v>
      </c>
      <c r="K3582" s="56" t="s">
        <v>7051</v>
      </c>
      <c r="L3582" s="165" t="s">
        <v>11377</v>
      </c>
      <c r="M3582" s="73"/>
      <c r="N3582" s="171"/>
      <c r="O3582" s="169" t="s">
        <v>6923</v>
      </c>
      <c r="P3582" s="168" t="s">
        <v>3112</v>
      </c>
      <c r="Q3582" s="161">
        <v>839000.0</v>
      </c>
      <c r="R3582" s="173"/>
      <c r="S3582" s="173"/>
      <c r="T3582" s="173"/>
      <c r="U3582" s="173"/>
      <c r="V3582" s="169"/>
      <c r="W3582" s="171"/>
      <c r="X3582" s="171"/>
    </row>
    <row r="3583" ht="15.0" customHeight="1">
      <c r="A3583" s="127">
        <v>46130.0</v>
      </c>
      <c r="B3583" s="181" t="s">
        <v>11378</v>
      </c>
      <c r="C3583" s="56" t="s">
        <v>11379</v>
      </c>
      <c r="D3583" s="73" t="str">
        <f>IFERROR(VLOOKUP(C3583,Stock,3,FALSE),"")</f>
        <v>Toyota LandCruiser 07-21 FJ200 / Lexus (1 Sensor / I I )</v>
      </c>
      <c r="E3583" s="56">
        <v>1.0</v>
      </c>
      <c r="F3583" s="161">
        <v>3280000.0</v>
      </c>
      <c r="G3583" s="162">
        <f t="shared" si="48"/>
        <v>3280000</v>
      </c>
      <c r="H3583" s="194"/>
      <c r="I3583" s="161">
        <f t="shared" si="45"/>
        <v>3280000</v>
      </c>
      <c r="J3583" s="164">
        <f t="shared" si="49"/>
        <v>3280000</v>
      </c>
      <c r="K3583" s="56" t="s">
        <v>9334</v>
      </c>
      <c r="L3583" s="165" t="s">
        <v>11380</v>
      </c>
      <c r="M3583" s="73"/>
      <c r="N3583" s="171"/>
      <c r="O3583" s="169" t="s">
        <v>6923</v>
      </c>
      <c r="P3583" s="168" t="s">
        <v>3112</v>
      </c>
      <c r="Q3583" s="173"/>
      <c r="R3583" s="161">
        <v>3280000.0</v>
      </c>
      <c r="S3583" s="173"/>
      <c r="T3583" s="173"/>
      <c r="U3583" s="173"/>
      <c r="V3583" s="169"/>
      <c r="W3583" s="171"/>
      <c r="X3583" s="171"/>
    </row>
    <row r="3584" ht="15.0" customHeight="1">
      <c r="A3584" s="127">
        <v>46130.0</v>
      </c>
      <c r="B3584" s="181" t="s">
        <v>11378</v>
      </c>
      <c r="C3584" s="56" t="s">
        <v>2954</v>
      </c>
      <c r="D3584" s="73" t="str">
        <f>IFERROR(VLOOKUP(C3584,Stock,3,FALSE),"")</f>
        <v>Transport</v>
      </c>
      <c r="E3584" s="56">
        <v>1.0</v>
      </c>
      <c r="F3584" s="161">
        <v>150000.0</v>
      </c>
      <c r="G3584" s="162">
        <f t="shared" si="48"/>
        <v>150000</v>
      </c>
      <c r="H3584" s="194"/>
      <c r="I3584" s="161">
        <f t="shared" si="45"/>
        <v>150000</v>
      </c>
      <c r="J3584" s="164">
        <f t="shared" si="49"/>
        <v>150000</v>
      </c>
      <c r="K3584" s="56" t="s">
        <v>9334</v>
      </c>
      <c r="L3584" s="165" t="s">
        <v>11380</v>
      </c>
      <c r="M3584" s="73"/>
      <c r="N3584" s="171"/>
      <c r="O3584" s="169" t="s">
        <v>6923</v>
      </c>
      <c r="P3584" s="168" t="s">
        <v>3112</v>
      </c>
      <c r="Q3584" s="173"/>
      <c r="R3584" s="161">
        <v>150000.0</v>
      </c>
      <c r="S3584" s="173"/>
      <c r="T3584" s="173"/>
      <c r="U3584" s="173"/>
      <c r="V3584" s="169"/>
      <c r="W3584" s="171"/>
      <c r="X3584" s="171"/>
    </row>
    <row r="3585" ht="15.0" customHeight="1">
      <c r="A3585" s="127">
        <v>46130.0</v>
      </c>
      <c r="B3585" s="181" t="s">
        <v>11381</v>
      </c>
      <c r="C3585" s="56" t="s">
        <v>2742</v>
      </c>
      <c r="D3585" s="73" t="str">
        <f>IFERROR(VLOOKUP(C3585,Stock,3,FALSE),"")</f>
        <v>Toyota Alphard 02-08 ANH10 1st Gen (Hitam)</v>
      </c>
      <c r="E3585" s="56">
        <v>1.0</v>
      </c>
      <c r="F3585" s="161">
        <v>3224000.0</v>
      </c>
      <c r="G3585" s="162">
        <f t="shared" si="48"/>
        <v>3224000</v>
      </c>
      <c r="H3585" s="194"/>
      <c r="I3585" s="161">
        <f t="shared" si="45"/>
        <v>3224000</v>
      </c>
      <c r="J3585" s="164">
        <f t="shared" si="49"/>
        <v>3224000</v>
      </c>
      <c r="K3585" s="56" t="s">
        <v>11382</v>
      </c>
      <c r="L3585" s="165" t="s">
        <v>11383</v>
      </c>
      <c r="M3585" s="73"/>
      <c r="N3585" s="171"/>
      <c r="O3585" s="169" t="s">
        <v>6923</v>
      </c>
      <c r="P3585" s="168" t="s">
        <v>3112</v>
      </c>
      <c r="Q3585" s="173"/>
      <c r="R3585" s="161">
        <v>3224000.0</v>
      </c>
      <c r="S3585" s="173"/>
      <c r="T3585" s="173"/>
      <c r="U3585" s="173"/>
      <c r="V3585" s="169"/>
      <c r="W3585" s="171"/>
      <c r="X3585" s="171"/>
    </row>
    <row r="3586" ht="15.0" customHeight="1">
      <c r="A3586" s="127">
        <v>46131.0</v>
      </c>
      <c r="B3586" s="181" t="s">
        <v>11384</v>
      </c>
      <c r="C3586" s="56" t="s">
        <v>10430</v>
      </c>
      <c r="D3586" s="73" t="str">
        <f>IFERROR(VLOOKUP(C3586,Stock,3,FALSE),"")</f>
        <v>Honda Brio 10- / Mobilio 11-</v>
      </c>
      <c r="E3586" s="56">
        <v>1.0</v>
      </c>
      <c r="F3586" s="161">
        <v>1250000.0</v>
      </c>
      <c r="G3586" s="162">
        <f t="shared" si="48"/>
        <v>1250000</v>
      </c>
      <c r="H3586" s="194"/>
      <c r="I3586" s="161">
        <f t="shared" si="45"/>
        <v>1250000</v>
      </c>
      <c r="J3586" s="164">
        <f t="shared" si="49"/>
        <v>1250000</v>
      </c>
      <c r="K3586" s="73"/>
      <c r="L3586" s="73"/>
      <c r="M3586" s="73"/>
      <c r="N3586" s="171"/>
      <c r="O3586" s="169" t="s">
        <v>6923</v>
      </c>
      <c r="P3586" s="168" t="s">
        <v>3112</v>
      </c>
      <c r="Q3586" s="173"/>
      <c r="R3586" s="161">
        <v>1250000.0</v>
      </c>
      <c r="S3586" s="173"/>
      <c r="T3586" s="173"/>
      <c r="U3586" s="173"/>
      <c r="V3586" s="169"/>
      <c r="W3586" s="171"/>
      <c r="X3586" s="171"/>
    </row>
    <row r="3587" ht="15.0" customHeight="1">
      <c r="A3587" s="127">
        <v>46131.0</v>
      </c>
      <c r="B3587" s="181" t="s">
        <v>11385</v>
      </c>
      <c r="C3587" s="56" t="s">
        <v>7660</v>
      </c>
      <c r="D3587" s="73" t="str">
        <f>IFERROR(VLOOKUP(C3587,Stock,3,FALSE),"")</f>
        <v>Suzuki Ertiga 12-18 1st Gen MPV</v>
      </c>
      <c r="E3587" s="56">
        <v>1.0</v>
      </c>
      <c r="F3587" s="161">
        <v>1160000.0</v>
      </c>
      <c r="G3587" s="162">
        <f t="shared" si="48"/>
        <v>1160000</v>
      </c>
      <c r="H3587" s="194"/>
      <c r="I3587" s="161">
        <f t="shared" si="45"/>
        <v>1160000</v>
      </c>
      <c r="J3587" s="164">
        <f t="shared" si="49"/>
        <v>1160000</v>
      </c>
      <c r="K3587" s="73"/>
      <c r="L3587" s="73"/>
      <c r="M3587" s="73"/>
      <c r="N3587" s="171"/>
      <c r="O3587" s="169" t="s">
        <v>6923</v>
      </c>
      <c r="P3587" s="168" t="s">
        <v>3112</v>
      </c>
      <c r="Q3587" s="173"/>
      <c r="R3587" s="161">
        <v>1160000.0</v>
      </c>
      <c r="S3587" s="173"/>
      <c r="T3587" s="173"/>
      <c r="U3587" s="173"/>
      <c r="V3587" s="169"/>
      <c r="W3587" s="171"/>
      <c r="X3587" s="171"/>
    </row>
    <row r="3588" ht="15.0" customHeight="1">
      <c r="A3588" s="127">
        <v>46132.0</v>
      </c>
      <c r="B3588" s="181" t="s">
        <v>11386</v>
      </c>
      <c r="C3588" s="56" t="s">
        <v>3045</v>
      </c>
      <c r="D3588" s="73" t="str">
        <f>IFERROR(VLOOKUP(C3588,Stock,3,FALSE),"")</f>
        <v>Pemasangan Kaca Mobil Depan</v>
      </c>
      <c r="E3588" s="56">
        <v>1.0</v>
      </c>
      <c r="F3588" s="161">
        <v>800000.0</v>
      </c>
      <c r="G3588" s="162">
        <f t="shared" si="48"/>
        <v>800000</v>
      </c>
      <c r="H3588" s="194"/>
      <c r="I3588" s="161">
        <f t="shared" si="45"/>
        <v>800000</v>
      </c>
      <c r="J3588" s="164">
        <f t="shared" si="49"/>
        <v>800000</v>
      </c>
      <c r="K3588" s="56" t="s">
        <v>11387</v>
      </c>
      <c r="L3588" s="165" t="s">
        <v>5795</v>
      </c>
      <c r="M3588" s="73"/>
      <c r="N3588" s="171"/>
      <c r="O3588" s="169" t="s">
        <v>6923</v>
      </c>
      <c r="P3588" s="168" t="s">
        <v>3112</v>
      </c>
      <c r="Q3588" s="173"/>
      <c r="R3588" s="161">
        <v>800000.0</v>
      </c>
      <c r="S3588" s="173"/>
      <c r="T3588" s="173"/>
      <c r="U3588" s="173"/>
      <c r="V3588" s="169"/>
      <c r="W3588" s="171"/>
      <c r="X3588" s="171"/>
    </row>
    <row r="3589" ht="15.0" customHeight="1">
      <c r="A3589" s="127">
        <v>46132.0</v>
      </c>
      <c r="B3589" s="181" t="s">
        <v>11388</v>
      </c>
      <c r="C3589" s="56" t="s">
        <v>3186</v>
      </c>
      <c r="D3589" s="73" t="str">
        <f>IFERROR(VLOOKUP(C3589,Stock,3,FALSE),"")</f>
        <v>Daihatsu Gran Max / Luxio 07-</v>
      </c>
      <c r="E3589" s="56">
        <v>1.0</v>
      </c>
      <c r="F3589" s="161">
        <v>1000000.0</v>
      </c>
      <c r="G3589" s="162">
        <f t="shared" si="48"/>
        <v>1000000</v>
      </c>
      <c r="H3589" s="194"/>
      <c r="I3589" s="161">
        <f t="shared" si="45"/>
        <v>1000000</v>
      </c>
      <c r="J3589" s="164">
        <f t="shared" si="49"/>
        <v>1000000</v>
      </c>
      <c r="K3589" s="56" t="s">
        <v>11389</v>
      </c>
      <c r="L3589" s="165" t="s">
        <v>11390</v>
      </c>
      <c r="M3589" s="73"/>
      <c r="N3589" s="171"/>
      <c r="O3589" s="169" t="s">
        <v>6923</v>
      </c>
      <c r="P3589" s="168" t="s">
        <v>3112</v>
      </c>
      <c r="Q3589" s="173"/>
      <c r="R3589" s="161">
        <v>1000000.0</v>
      </c>
      <c r="S3589" s="173"/>
      <c r="T3589" s="173"/>
      <c r="U3589" s="173"/>
      <c r="V3589" s="169"/>
      <c r="W3589" s="171"/>
      <c r="X3589" s="171"/>
    </row>
    <row r="3590" ht="15.0" customHeight="1">
      <c r="A3590" s="127">
        <v>46132.0</v>
      </c>
      <c r="B3590" s="181" t="s">
        <v>11388</v>
      </c>
      <c r="C3590" s="56" t="s">
        <v>3083</v>
      </c>
      <c r="D3590" s="73" t="str">
        <f>IFERROR(VLOOKUP(C3590,Stock,3,FALSE),"")</f>
        <v>List Kaca Depan Code 04</v>
      </c>
      <c r="E3590" s="56">
        <v>1.0</v>
      </c>
      <c r="F3590" s="161">
        <v>275000.0</v>
      </c>
      <c r="G3590" s="162">
        <f t="shared" si="48"/>
        <v>275000</v>
      </c>
      <c r="H3590" s="194"/>
      <c r="I3590" s="161">
        <f t="shared" si="45"/>
        <v>275000</v>
      </c>
      <c r="J3590" s="164">
        <f t="shared" si="49"/>
        <v>275000</v>
      </c>
      <c r="K3590" s="56" t="s">
        <v>11389</v>
      </c>
      <c r="L3590" s="165" t="s">
        <v>11390</v>
      </c>
      <c r="M3590" s="73"/>
      <c r="N3590" s="171"/>
      <c r="O3590" s="169" t="s">
        <v>6923</v>
      </c>
      <c r="P3590" s="168" t="s">
        <v>3112</v>
      </c>
      <c r="Q3590" s="173"/>
      <c r="R3590" s="161">
        <v>275000.0</v>
      </c>
      <c r="S3590" s="173"/>
      <c r="T3590" s="173"/>
      <c r="U3590" s="173"/>
      <c r="V3590" s="169"/>
      <c r="W3590" s="171"/>
      <c r="X3590" s="171"/>
    </row>
    <row r="3591" ht="15.0" customHeight="1">
      <c r="A3591" s="127">
        <v>46133.0</v>
      </c>
      <c r="B3591" s="181" t="s">
        <v>11391</v>
      </c>
      <c r="C3591" s="56" t="s">
        <v>6624</v>
      </c>
      <c r="D3591" s="73" t="str">
        <f>IFERROR(VLOOKUP(C3591,Stock,3,FALSE),"")</f>
        <v>Toyota Innova 04-15 1st Gen (Toyota)</v>
      </c>
      <c r="E3591" s="56">
        <v>1.0</v>
      </c>
      <c r="F3591" s="161">
        <v>2788000.0</v>
      </c>
      <c r="G3591" s="162">
        <f t="shared" si="48"/>
        <v>2788000</v>
      </c>
      <c r="H3591" s="194"/>
      <c r="I3591" s="161">
        <f t="shared" si="45"/>
        <v>2788000</v>
      </c>
      <c r="J3591" s="164">
        <f t="shared" si="49"/>
        <v>2788000</v>
      </c>
      <c r="K3591" s="56" t="s">
        <v>11392</v>
      </c>
      <c r="L3591" s="165" t="s">
        <v>11393</v>
      </c>
      <c r="M3591" s="73"/>
      <c r="N3591" s="171"/>
      <c r="O3591" s="169" t="s">
        <v>6923</v>
      </c>
      <c r="P3591" s="168" t="s">
        <v>3112</v>
      </c>
      <c r="Q3591" s="173"/>
      <c r="R3591" s="161">
        <v>2788000.0</v>
      </c>
      <c r="S3591" s="173"/>
      <c r="T3591" s="173"/>
      <c r="U3591" s="173"/>
      <c r="V3591" s="169"/>
      <c r="W3591" s="171"/>
      <c r="X3591" s="171"/>
    </row>
    <row r="3592" ht="15.0" customHeight="1">
      <c r="A3592" s="127">
        <v>46133.0</v>
      </c>
      <c r="B3592" s="181" t="s">
        <v>11394</v>
      </c>
      <c r="C3592" s="56" t="s">
        <v>2663</v>
      </c>
      <c r="D3592" s="73" t="str">
        <f>IFERROR(VLOOKUP(C3592,Stock,3,FALSE),"")</f>
        <v>Chevrolet Captiva 06-18 1st gen C100</v>
      </c>
      <c r="E3592" s="56">
        <v>1.0</v>
      </c>
      <c r="F3592" s="161">
        <v>1802000.0</v>
      </c>
      <c r="G3592" s="162">
        <f t="shared" si="48"/>
        <v>1802000</v>
      </c>
      <c r="H3592" s="194"/>
      <c r="I3592" s="161">
        <f t="shared" si="45"/>
        <v>1802000</v>
      </c>
      <c r="J3592" s="164">
        <f t="shared" si="49"/>
        <v>1802000</v>
      </c>
      <c r="K3592" s="56" t="s">
        <v>11395</v>
      </c>
      <c r="L3592" s="73"/>
      <c r="M3592" s="73"/>
      <c r="N3592" s="171"/>
      <c r="O3592" s="169" t="s">
        <v>6923</v>
      </c>
      <c r="P3592" s="169" t="s">
        <v>5077</v>
      </c>
      <c r="Q3592" s="173"/>
      <c r="R3592" s="173"/>
      <c r="S3592" s="161">
        <v>1802000.0</v>
      </c>
      <c r="T3592" s="173"/>
      <c r="U3592" s="173"/>
      <c r="V3592" s="169"/>
      <c r="W3592" s="171"/>
      <c r="X3592" s="171"/>
    </row>
    <row r="3593" ht="15.0" customHeight="1">
      <c r="A3593" s="127">
        <v>46134.0</v>
      </c>
      <c r="B3593" s="181" t="s">
        <v>11396</v>
      </c>
      <c r="C3593" s="56" t="s">
        <v>2576</v>
      </c>
      <c r="D3593" s="73" t="str">
        <f>IFERROR(VLOOKUP(C3593,Stock,3,FALSE),"")</f>
        <v>Toyota Camry 06-11 XV40 4th Gen</v>
      </c>
      <c r="E3593" s="56">
        <v>1.0</v>
      </c>
      <c r="F3593" s="161">
        <v>3073000.0</v>
      </c>
      <c r="G3593" s="162">
        <f t="shared" si="48"/>
        <v>3073000</v>
      </c>
      <c r="H3593" s="194"/>
      <c r="I3593" s="161">
        <f t="shared" si="45"/>
        <v>3073000</v>
      </c>
      <c r="J3593" s="164">
        <f t="shared" si="49"/>
        <v>3073000</v>
      </c>
      <c r="K3593" s="56" t="s">
        <v>11397</v>
      </c>
      <c r="L3593" s="165" t="s">
        <v>11398</v>
      </c>
      <c r="M3593" s="73"/>
      <c r="N3593" s="171"/>
      <c r="O3593" s="169" t="s">
        <v>9699</v>
      </c>
      <c r="P3593" s="168" t="s">
        <v>3112</v>
      </c>
      <c r="Q3593" s="173"/>
      <c r="R3593" s="161">
        <v>3078000.0</v>
      </c>
      <c r="S3593" s="173"/>
      <c r="T3593" s="173"/>
      <c r="U3593" s="173"/>
      <c r="V3593" s="169"/>
      <c r="W3593" s="171"/>
      <c r="X3593" s="171"/>
    </row>
    <row r="3594" ht="15.0" customHeight="1">
      <c r="A3594" s="127">
        <v>46134.0</v>
      </c>
      <c r="B3594" s="181" t="s">
        <v>11399</v>
      </c>
      <c r="C3594" s="56" t="s">
        <v>6822</v>
      </c>
      <c r="D3594" s="73" t="str">
        <f>IFERROR(VLOOKUP(C3594,Stock,3,FALSE),"")</f>
        <v>Toyota Agya/Ayla 13-22 1st Gen</v>
      </c>
      <c r="E3594" s="56">
        <v>1.0</v>
      </c>
      <c r="F3594" s="161">
        <v>500000.0</v>
      </c>
      <c r="G3594" s="162">
        <f t="shared" si="48"/>
        <v>500000</v>
      </c>
      <c r="H3594" s="194"/>
      <c r="I3594" s="161">
        <f t="shared" si="45"/>
        <v>500000</v>
      </c>
      <c r="J3594" s="164">
        <f t="shared" si="49"/>
        <v>500000</v>
      </c>
      <c r="K3594" s="56" t="s">
        <v>11400</v>
      </c>
      <c r="L3594" s="165" t="s">
        <v>11401</v>
      </c>
      <c r="M3594" s="73"/>
      <c r="N3594" s="171"/>
      <c r="O3594" s="169" t="s">
        <v>11402</v>
      </c>
      <c r="P3594" s="168" t="s">
        <v>3112</v>
      </c>
      <c r="Q3594" s="161">
        <v>500000.0</v>
      </c>
      <c r="R3594" s="173"/>
      <c r="S3594" s="173"/>
      <c r="T3594" s="173"/>
      <c r="U3594" s="173"/>
      <c r="V3594" s="169"/>
      <c r="W3594" s="171"/>
      <c r="X3594" s="171"/>
    </row>
    <row r="3595" ht="15.0" customHeight="1">
      <c r="A3595" s="127">
        <v>46134.0</v>
      </c>
      <c r="B3595" s="181" t="s">
        <v>11399</v>
      </c>
      <c r="C3595" s="56" t="s">
        <v>6424</v>
      </c>
      <c r="D3595" s="73" t="str">
        <f>IFERROR(VLOOKUP(C3595,Stock,3,FALSE),"")</f>
        <v>Automotive Film Standard - Black 40%                                </v>
      </c>
      <c r="E3595" s="56">
        <v>1.0</v>
      </c>
      <c r="F3595" s="161">
        <v>150000.0</v>
      </c>
      <c r="G3595" s="162">
        <f t="shared" si="48"/>
        <v>150000</v>
      </c>
      <c r="H3595" s="194"/>
      <c r="I3595" s="161">
        <f t="shared" si="45"/>
        <v>150000</v>
      </c>
      <c r="J3595" s="164">
        <f t="shared" si="49"/>
        <v>150000</v>
      </c>
      <c r="K3595" s="56" t="s">
        <v>11400</v>
      </c>
      <c r="L3595" s="165" t="s">
        <v>11401</v>
      </c>
      <c r="M3595" s="73"/>
      <c r="N3595" s="171"/>
      <c r="O3595" s="169" t="s">
        <v>11402</v>
      </c>
      <c r="P3595" s="168" t="s">
        <v>3112</v>
      </c>
      <c r="Q3595" s="161">
        <v>150000.0</v>
      </c>
      <c r="R3595" s="173"/>
      <c r="S3595" s="173"/>
      <c r="T3595" s="173"/>
      <c r="U3595" s="173"/>
      <c r="V3595" s="169"/>
      <c r="W3595" s="171"/>
      <c r="X3595" s="171"/>
    </row>
    <row r="3596" ht="15.0" customHeight="1">
      <c r="A3596" s="127">
        <v>46135.0</v>
      </c>
      <c r="B3596" s="181" t="s">
        <v>11403</v>
      </c>
      <c r="C3596" s="56" t="s">
        <v>2691</v>
      </c>
      <c r="D3596" s="73" t="str">
        <f>IFERROR(VLOOKUP(C3596,Stock,3,FALSE),"")</f>
        <v>Suzuki Ertiga 12-18 1st Gen MPV</v>
      </c>
      <c r="E3596" s="56">
        <v>1.0</v>
      </c>
      <c r="F3596" s="161">
        <v>1450000.0</v>
      </c>
      <c r="G3596" s="162">
        <f t="shared" si="48"/>
        <v>1450000</v>
      </c>
      <c r="H3596" s="194"/>
      <c r="I3596" s="161">
        <f t="shared" si="45"/>
        <v>1450000</v>
      </c>
      <c r="J3596" s="164">
        <f t="shared" si="49"/>
        <v>1450000</v>
      </c>
      <c r="K3596" s="56" t="s">
        <v>11404</v>
      </c>
      <c r="L3596" s="165" t="s">
        <v>11405</v>
      </c>
      <c r="M3596" s="73"/>
      <c r="N3596" s="171"/>
      <c r="O3596" s="169" t="s">
        <v>6923</v>
      </c>
      <c r="P3596" s="168" t="s">
        <v>3112</v>
      </c>
      <c r="Q3596" s="173"/>
      <c r="R3596" s="161">
        <v>1450000.0</v>
      </c>
      <c r="S3596" s="173"/>
      <c r="T3596" s="173"/>
      <c r="U3596" s="173"/>
      <c r="V3596" s="169"/>
      <c r="W3596" s="171"/>
      <c r="X3596" s="171"/>
    </row>
    <row r="3597" ht="15.0" customHeight="1">
      <c r="A3597" s="127">
        <v>46135.0</v>
      </c>
      <c r="B3597" s="181" t="s">
        <v>11403</v>
      </c>
      <c r="C3597" s="56" t="s">
        <v>6424</v>
      </c>
      <c r="D3597" s="73" t="str">
        <f>IFERROR(VLOOKUP(C3597,Stock,3,FALSE),"")</f>
        <v>Automotive Film Standard - Black 40%                                </v>
      </c>
      <c r="E3597" s="56">
        <v>1.0</v>
      </c>
      <c r="F3597" s="161">
        <v>400000.0</v>
      </c>
      <c r="G3597" s="162">
        <f t="shared" si="48"/>
        <v>400000</v>
      </c>
      <c r="H3597" s="194"/>
      <c r="I3597" s="161">
        <f t="shared" si="45"/>
        <v>400000</v>
      </c>
      <c r="J3597" s="164">
        <f t="shared" si="49"/>
        <v>400000</v>
      </c>
      <c r="K3597" s="56" t="s">
        <v>11404</v>
      </c>
      <c r="L3597" s="165" t="s">
        <v>11405</v>
      </c>
      <c r="M3597" s="73"/>
      <c r="N3597" s="171"/>
      <c r="O3597" s="169" t="s">
        <v>6923</v>
      </c>
      <c r="P3597" s="168" t="s">
        <v>3112</v>
      </c>
      <c r="Q3597" s="173"/>
      <c r="R3597" s="161">
        <v>400000.0</v>
      </c>
      <c r="S3597" s="173"/>
      <c r="T3597" s="173"/>
      <c r="U3597" s="173"/>
      <c r="V3597" s="169"/>
      <c r="W3597" s="171"/>
      <c r="X3597" s="171"/>
    </row>
    <row r="3598" ht="15.0" customHeight="1">
      <c r="A3598" s="127">
        <v>46135.0</v>
      </c>
      <c r="B3598" s="181" t="s">
        <v>11403</v>
      </c>
      <c r="C3598" s="56" t="s">
        <v>2954</v>
      </c>
      <c r="D3598" s="73" t="str">
        <f>IFERROR(VLOOKUP(C3598,Stock,3,FALSE),"")</f>
        <v>Transport</v>
      </c>
      <c r="E3598" s="56">
        <v>1.0</v>
      </c>
      <c r="F3598" s="161">
        <v>50000.0</v>
      </c>
      <c r="G3598" s="162">
        <f t="shared" si="48"/>
        <v>50000</v>
      </c>
      <c r="H3598" s="194"/>
      <c r="I3598" s="161">
        <f t="shared" si="45"/>
        <v>50000</v>
      </c>
      <c r="J3598" s="164">
        <f t="shared" si="49"/>
        <v>50000</v>
      </c>
      <c r="K3598" s="56" t="s">
        <v>11404</v>
      </c>
      <c r="L3598" s="165" t="s">
        <v>11405</v>
      </c>
      <c r="M3598" s="73"/>
      <c r="N3598" s="171"/>
      <c r="O3598" s="169" t="s">
        <v>6923</v>
      </c>
      <c r="P3598" s="168" t="s">
        <v>3112</v>
      </c>
      <c r="Q3598" s="173"/>
      <c r="R3598" s="161">
        <v>50000.0</v>
      </c>
      <c r="S3598" s="173"/>
      <c r="T3598" s="173"/>
      <c r="U3598" s="173"/>
      <c r="V3598" s="169"/>
      <c r="W3598" s="171"/>
      <c r="X3598" s="171"/>
    </row>
    <row r="3599" ht="15.0" customHeight="1">
      <c r="A3599" s="127">
        <v>46135.0</v>
      </c>
      <c r="B3599" s="181" t="s">
        <v>11406</v>
      </c>
      <c r="C3599" s="56" t="s">
        <v>10430</v>
      </c>
      <c r="D3599" s="73" t="str">
        <f>IFERROR(VLOOKUP(C3599,Stock,3,FALSE),"")</f>
        <v>Honda Brio 10- / Mobilio 11-</v>
      </c>
      <c r="E3599" s="56">
        <v>1.0</v>
      </c>
      <c r="F3599" s="161">
        <v>1250000.0</v>
      </c>
      <c r="G3599" s="162">
        <f t="shared" si="48"/>
        <v>1250000</v>
      </c>
      <c r="H3599" s="194"/>
      <c r="I3599" s="161">
        <f t="shared" si="45"/>
        <v>1250000</v>
      </c>
      <c r="J3599" s="164">
        <f t="shared" si="49"/>
        <v>1250000</v>
      </c>
      <c r="K3599" s="56" t="s">
        <v>11407</v>
      </c>
      <c r="L3599" s="165" t="s">
        <v>11408</v>
      </c>
      <c r="M3599" s="73"/>
      <c r="N3599" s="171"/>
      <c r="O3599" s="169" t="s">
        <v>6923</v>
      </c>
      <c r="P3599" s="168" t="s">
        <v>3112</v>
      </c>
      <c r="Q3599" s="173"/>
      <c r="R3599" s="161">
        <v>1250000.0</v>
      </c>
      <c r="S3599" s="173"/>
      <c r="T3599" s="173"/>
      <c r="U3599" s="173"/>
      <c r="V3599" s="169"/>
      <c r="W3599" s="171"/>
      <c r="X3599" s="171"/>
    </row>
    <row r="3600" ht="15.0" customHeight="1">
      <c r="A3600" s="127">
        <v>46135.0</v>
      </c>
      <c r="B3600" s="181" t="s">
        <v>11409</v>
      </c>
      <c r="C3600" s="56" t="s">
        <v>2734</v>
      </c>
      <c r="D3600" s="73" t="str">
        <f>IFERROR(VLOOKUP(C3600,Stock,3,FALSE),"")</f>
        <v>Honda Jazz 07-13 2nd Gen</v>
      </c>
      <c r="E3600" s="56">
        <v>1.0</v>
      </c>
      <c r="F3600" s="161">
        <v>1568000.0</v>
      </c>
      <c r="G3600" s="162">
        <f t="shared" si="48"/>
        <v>1568000</v>
      </c>
      <c r="H3600" s="194"/>
      <c r="I3600" s="161">
        <f t="shared" si="45"/>
        <v>1568000</v>
      </c>
      <c r="J3600" s="164">
        <f t="shared" si="49"/>
        <v>1568000</v>
      </c>
      <c r="K3600" s="56" t="s">
        <v>11410</v>
      </c>
      <c r="L3600" s="165" t="s">
        <v>11411</v>
      </c>
      <c r="M3600" s="73"/>
      <c r="N3600" s="171"/>
      <c r="O3600" s="169" t="s">
        <v>6923</v>
      </c>
      <c r="P3600" s="168" t="s">
        <v>3112</v>
      </c>
      <c r="Q3600" s="173"/>
      <c r="R3600" s="161">
        <v>1568000.0</v>
      </c>
      <c r="S3600" s="173"/>
      <c r="T3600" s="173"/>
      <c r="U3600" s="173"/>
      <c r="V3600" s="169"/>
      <c r="W3600" s="171"/>
      <c r="X3600" s="171"/>
    </row>
    <row r="3601" ht="15.0" customHeight="1">
      <c r="A3601" s="127">
        <v>46136.0</v>
      </c>
      <c r="B3601" s="181" t="s">
        <v>11412</v>
      </c>
      <c r="C3601" s="56" t="s">
        <v>3045</v>
      </c>
      <c r="D3601" s="73" t="str">
        <f>IFERROR(VLOOKUP(C3601,Stock,3,FALSE),"")</f>
        <v>Pemasangan Kaca Mobil Depan</v>
      </c>
      <c r="E3601" s="56">
        <v>1.0</v>
      </c>
      <c r="F3601" s="161">
        <v>800000.0</v>
      </c>
      <c r="G3601" s="162">
        <f t="shared" si="48"/>
        <v>800000</v>
      </c>
      <c r="H3601" s="194"/>
      <c r="I3601" s="161">
        <f t="shared" si="45"/>
        <v>800000</v>
      </c>
      <c r="J3601" s="164">
        <f t="shared" si="49"/>
        <v>800000</v>
      </c>
      <c r="K3601" s="56" t="s">
        <v>11413</v>
      </c>
      <c r="L3601" s="165" t="s">
        <v>11414</v>
      </c>
      <c r="M3601" s="73"/>
      <c r="N3601" s="171"/>
      <c r="O3601" s="169" t="s">
        <v>6923</v>
      </c>
      <c r="P3601" s="168" t="s">
        <v>3112</v>
      </c>
      <c r="Q3601" s="173"/>
      <c r="R3601" s="161">
        <v>800000.0</v>
      </c>
      <c r="S3601" s="173"/>
      <c r="T3601" s="173"/>
      <c r="U3601" s="173"/>
      <c r="V3601" s="169"/>
      <c r="W3601" s="171"/>
      <c r="X3601" s="171"/>
    </row>
    <row r="3602" ht="15.0" customHeight="1">
      <c r="A3602" s="127">
        <v>46136.0</v>
      </c>
      <c r="B3602" s="181" t="s">
        <v>11415</v>
      </c>
      <c r="C3602" s="56" t="s">
        <v>5587</v>
      </c>
      <c r="D3602" s="73" t="str">
        <f>IFERROR(VLOOKUP(C3602,Stock,3,FALSE),"")</f>
        <v>Honda CR-V 02-04 2nd Gen (Spion Jepit)</v>
      </c>
      <c r="E3602" s="56">
        <v>1.0</v>
      </c>
      <c r="F3602" s="161">
        <v>1732000.0</v>
      </c>
      <c r="G3602" s="162">
        <f t="shared" si="48"/>
        <v>1732000</v>
      </c>
      <c r="H3602" s="194"/>
      <c r="I3602" s="161">
        <f t="shared" si="45"/>
        <v>1732000</v>
      </c>
      <c r="J3602" s="164">
        <f t="shared" si="49"/>
        <v>1732000</v>
      </c>
      <c r="K3602" s="56" t="s">
        <v>11416</v>
      </c>
      <c r="L3602" s="165" t="s">
        <v>11417</v>
      </c>
      <c r="M3602" s="73"/>
      <c r="N3602" s="171"/>
      <c r="O3602" s="169" t="s">
        <v>6923</v>
      </c>
      <c r="P3602" s="168" t="s">
        <v>3112</v>
      </c>
      <c r="Q3602" s="173"/>
      <c r="R3602" s="161">
        <v>1732000.0</v>
      </c>
      <c r="S3602" s="173"/>
      <c r="T3602" s="173"/>
      <c r="U3602" s="173"/>
      <c r="V3602" s="169"/>
      <c r="W3602" s="171"/>
      <c r="X3602" s="171"/>
    </row>
    <row r="3603" ht="15.0" customHeight="1">
      <c r="A3603" s="127">
        <v>46136.0</v>
      </c>
      <c r="B3603" s="181" t="s">
        <v>11418</v>
      </c>
      <c r="C3603" s="56" t="s">
        <v>3099</v>
      </c>
      <c r="D3603" s="73" t="str">
        <f>IFERROR(VLOOKUP(C3603,Stock,3,FALSE),"")</f>
        <v>Toyota Calya / Sigra 16-</v>
      </c>
      <c r="E3603" s="56">
        <v>1.0</v>
      </c>
      <c r="F3603" s="161">
        <v>945000.0</v>
      </c>
      <c r="G3603" s="162">
        <f t="shared" si="48"/>
        <v>945000</v>
      </c>
      <c r="H3603" s="194"/>
      <c r="I3603" s="161">
        <f t="shared" si="45"/>
        <v>945000</v>
      </c>
      <c r="J3603" s="164">
        <f t="shared" si="49"/>
        <v>945000</v>
      </c>
      <c r="K3603" s="56" t="s">
        <v>11167</v>
      </c>
      <c r="L3603" s="165" t="s">
        <v>7274</v>
      </c>
      <c r="M3603" s="73"/>
      <c r="N3603" s="171"/>
      <c r="O3603" s="169" t="s">
        <v>6923</v>
      </c>
      <c r="P3603" s="168" t="s">
        <v>3112</v>
      </c>
      <c r="Q3603" s="173"/>
      <c r="R3603" s="161">
        <v>945000.0</v>
      </c>
      <c r="S3603" s="173"/>
      <c r="T3603" s="173"/>
      <c r="U3603" s="173"/>
      <c r="V3603" s="169"/>
      <c r="W3603" s="171"/>
      <c r="X3603" s="171"/>
    </row>
    <row r="3604" ht="15.0" customHeight="1">
      <c r="A3604" s="127">
        <v>46137.0</v>
      </c>
      <c r="B3604" s="181" t="s">
        <v>11419</v>
      </c>
      <c r="C3604" s="56" t="s">
        <v>3582</v>
      </c>
      <c r="D3604" s="73" t="str">
        <f>IFERROR(VLOOKUP(C3604,Stock,3,FALSE),"")</f>
        <v>Honda CR-V 12-16 4th Gen</v>
      </c>
      <c r="E3604" s="56">
        <v>1.0</v>
      </c>
      <c r="F3604" s="161">
        <v>1799000.0</v>
      </c>
      <c r="G3604" s="162">
        <f t="shared" si="48"/>
        <v>1799000</v>
      </c>
      <c r="H3604" s="194"/>
      <c r="I3604" s="161">
        <f t="shared" si="45"/>
        <v>1799000</v>
      </c>
      <c r="J3604" s="164">
        <f t="shared" si="49"/>
        <v>1799000</v>
      </c>
      <c r="K3604" s="56" t="s">
        <v>11420</v>
      </c>
      <c r="L3604" s="165" t="s">
        <v>11421</v>
      </c>
      <c r="M3604" s="73"/>
      <c r="N3604" s="171"/>
      <c r="O3604" s="169" t="s">
        <v>6923</v>
      </c>
      <c r="P3604" s="168" t="s">
        <v>3112</v>
      </c>
      <c r="Q3604" s="173"/>
      <c r="R3604" s="161">
        <v>1799000.0</v>
      </c>
      <c r="S3604" s="161"/>
      <c r="T3604" s="173"/>
      <c r="U3604" s="173"/>
      <c r="V3604" s="169"/>
      <c r="W3604" s="171"/>
      <c r="X3604" s="171"/>
    </row>
    <row r="3605" ht="15.0" customHeight="1">
      <c r="A3605" s="127">
        <v>46137.0</v>
      </c>
      <c r="B3605" s="181" t="s">
        <v>11422</v>
      </c>
      <c r="C3605" s="56" t="s">
        <v>11423</v>
      </c>
      <c r="D3605" s="73" t="str">
        <f>IFERROR(VLOOKUP(C3605,Stock,3,FALSE),"")</f>
        <v>Toyota Alphard 15-17 ANH30 3rd Gen (Sensor atas keramik)</v>
      </c>
      <c r="E3605" s="56">
        <v>1.0</v>
      </c>
      <c r="F3605" s="161">
        <v>3568000.0</v>
      </c>
      <c r="G3605" s="162">
        <f t="shared" si="48"/>
        <v>3568000</v>
      </c>
      <c r="H3605" s="194"/>
      <c r="I3605" s="161">
        <f t="shared" si="45"/>
        <v>3568000</v>
      </c>
      <c r="J3605" s="164">
        <f t="shared" si="49"/>
        <v>3568000</v>
      </c>
      <c r="K3605" s="56" t="s">
        <v>11424</v>
      </c>
      <c r="L3605" s="165" t="s">
        <v>11425</v>
      </c>
      <c r="M3605" s="73"/>
      <c r="N3605" s="171"/>
      <c r="O3605" s="169" t="s">
        <v>6923</v>
      </c>
      <c r="P3605" s="168" t="s">
        <v>3112</v>
      </c>
      <c r="Q3605" s="173"/>
      <c r="R3605" s="161">
        <v>3568000.0</v>
      </c>
      <c r="S3605" s="173"/>
      <c r="T3605" s="173"/>
      <c r="U3605" s="173"/>
      <c r="V3605" s="169"/>
      <c r="W3605" s="171"/>
      <c r="X3605" s="171"/>
    </row>
    <row r="3606" ht="15.0" customHeight="1">
      <c r="A3606" s="127">
        <v>46137.0</v>
      </c>
      <c r="B3606" s="181" t="s">
        <v>11422</v>
      </c>
      <c r="C3606" s="56" t="s">
        <v>2954</v>
      </c>
      <c r="D3606" s="73" t="str">
        <f>IFERROR(VLOOKUP(C3606,Stock,3,FALSE),"")</f>
        <v>Transport</v>
      </c>
      <c r="E3606" s="56">
        <v>1.0</v>
      </c>
      <c r="F3606" s="161">
        <v>100000.0</v>
      </c>
      <c r="G3606" s="162">
        <f t="shared" si="48"/>
        <v>100000</v>
      </c>
      <c r="H3606" s="194"/>
      <c r="I3606" s="161">
        <f t="shared" si="45"/>
        <v>100000</v>
      </c>
      <c r="J3606" s="164">
        <f t="shared" si="49"/>
        <v>100000</v>
      </c>
      <c r="K3606" s="56" t="s">
        <v>11424</v>
      </c>
      <c r="L3606" s="165" t="s">
        <v>11425</v>
      </c>
      <c r="M3606" s="73"/>
      <c r="N3606" s="171"/>
      <c r="O3606" s="169" t="s">
        <v>6923</v>
      </c>
      <c r="P3606" s="168" t="s">
        <v>3112</v>
      </c>
      <c r="Q3606" s="173"/>
      <c r="R3606" s="161">
        <v>100000.0</v>
      </c>
      <c r="S3606" s="173"/>
      <c r="T3606" s="173"/>
      <c r="U3606" s="173"/>
      <c r="V3606" s="169"/>
      <c r="W3606" s="171"/>
      <c r="X3606" s="171"/>
    </row>
    <row r="3607" ht="15.0" customHeight="1">
      <c r="A3607" s="127">
        <v>46137.0</v>
      </c>
      <c r="B3607" s="181" t="s">
        <v>11426</v>
      </c>
      <c r="C3607" s="56" t="s">
        <v>11427</v>
      </c>
      <c r="D3607" s="73" t="str">
        <f>IFERROR(VLOOKUP(C3607,Stock,3,FALSE),"")</f>
        <v>BMW 3 Series 90-99 E36</v>
      </c>
      <c r="E3607" s="56">
        <v>1.0</v>
      </c>
      <c r="F3607" s="161">
        <v>1491100.0</v>
      </c>
      <c r="G3607" s="162">
        <f t="shared" si="48"/>
        <v>1491100</v>
      </c>
      <c r="H3607" s="194"/>
      <c r="I3607" s="161">
        <f t="shared" si="45"/>
        <v>1491100</v>
      </c>
      <c r="J3607" s="164">
        <f t="shared" si="49"/>
        <v>1491100</v>
      </c>
      <c r="K3607" s="73"/>
      <c r="L3607" s="73"/>
      <c r="M3607" s="73"/>
      <c r="N3607" s="171"/>
      <c r="O3607" s="169" t="s">
        <v>11428</v>
      </c>
      <c r="P3607" s="169" t="s">
        <v>5077</v>
      </c>
      <c r="Q3607" s="173"/>
      <c r="R3607" s="161"/>
      <c r="S3607" s="161">
        <v>1491100.0</v>
      </c>
      <c r="T3607" s="173"/>
      <c r="U3607" s="173"/>
      <c r="V3607" s="169"/>
      <c r="W3607" s="171"/>
      <c r="X3607" s="171"/>
    </row>
    <row r="3608" ht="15.0" customHeight="1">
      <c r="A3608" s="127">
        <v>46137.0</v>
      </c>
      <c r="B3608" s="181" t="s">
        <v>11429</v>
      </c>
      <c r="C3608" s="56" t="s">
        <v>11430</v>
      </c>
      <c r="D3608" s="73" t="str">
        <f>IFERROR(VLOOKUP(C3608,Stock,3,FALSE),"")</f>
        <v/>
      </c>
      <c r="E3608" s="56">
        <v>1.0</v>
      </c>
      <c r="F3608" s="161">
        <v>2148000.0</v>
      </c>
      <c r="G3608" s="162">
        <f t="shared" si="48"/>
        <v>2148000</v>
      </c>
      <c r="H3608" s="194"/>
      <c r="I3608" s="161">
        <f t="shared" si="45"/>
        <v>2148000</v>
      </c>
      <c r="J3608" s="164">
        <f t="shared" si="49"/>
        <v>2148000</v>
      </c>
      <c r="K3608" s="56" t="s">
        <v>4240</v>
      </c>
      <c r="L3608" s="165" t="s">
        <v>11431</v>
      </c>
      <c r="M3608" s="73"/>
      <c r="N3608" s="171"/>
      <c r="O3608" s="169" t="s">
        <v>11432</v>
      </c>
      <c r="P3608" s="169" t="s">
        <v>5077</v>
      </c>
      <c r="Q3608" s="173"/>
      <c r="R3608" s="173"/>
      <c r="S3608" s="161">
        <v>2148000.0</v>
      </c>
      <c r="T3608" s="173"/>
      <c r="U3608" s="173"/>
      <c r="V3608" s="169"/>
      <c r="W3608" s="171"/>
      <c r="X3608" s="171"/>
    </row>
    <row r="3609" ht="15.0" customHeight="1">
      <c r="A3609" s="127">
        <v>46138.0</v>
      </c>
      <c r="B3609" s="181" t="s">
        <v>11433</v>
      </c>
      <c r="C3609" s="56" t="s">
        <v>3712</v>
      </c>
      <c r="D3609" s="73" t="str">
        <f>IFERROR(VLOOKUP(C3609,Stock,3,FALSE),"")</f>
        <v>Toyota Soluna AL50 00-</v>
      </c>
      <c r="E3609" s="56">
        <v>1.0</v>
      </c>
      <c r="F3609" s="161">
        <v>1599000.0</v>
      </c>
      <c r="G3609" s="162">
        <f t="shared" si="48"/>
        <v>1599000</v>
      </c>
      <c r="H3609" s="194"/>
      <c r="I3609" s="161">
        <f t="shared" si="45"/>
        <v>1599000</v>
      </c>
      <c r="J3609" s="164">
        <f t="shared" si="49"/>
        <v>1599000</v>
      </c>
      <c r="K3609" s="56" t="s">
        <v>11434</v>
      </c>
      <c r="L3609" s="165" t="s">
        <v>11435</v>
      </c>
      <c r="M3609" s="73"/>
      <c r="N3609" s="171"/>
      <c r="O3609" s="169" t="s">
        <v>6923</v>
      </c>
      <c r="P3609" s="168" t="s">
        <v>3112</v>
      </c>
      <c r="Q3609" s="173"/>
      <c r="R3609" s="173"/>
      <c r="S3609" s="173"/>
      <c r="T3609" s="173"/>
      <c r="U3609" s="173"/>
      <c r="V3609" s="169"/>
      <c r="W3609" s="171"/>
      <c r="X3609" s="171"/>
    </row>
    <row r="3610" ht="15.0" customHeight="1">
      <c r="A3610" s="127">
        <v>46139.0</v>
      </c>
      <c r="B3610" s="181" t="s">
        <v>11436</v>
      </c>
      <c r="C3610" s="56" t="s">
        <v>3273</v>
      </c>
      <c r="D3610" s="73" t="str">
        <f>IFERROR(VLOOKUP(C3610,Stock,3,FALSE),"")</f>
        <v>Pemasangan Kaca Mobil Belakang</v>
      </c>
      <c r="E3610" s="56">
        <v>1.0</v>
      </c>
      <c r="F3610" s="161">
        <v>450000.0</v>
      </c>
      <c r="G3610" s="162">
        <f t="shared" si="48"/>
        <v>450000</v>
      </c>
      <c r="H3610" s="194"/>
      <c r="I3610" s="161">
        <f t="shared" si="45"/>
        <v>450000</v>
      </c>
      <c r="J3610" s="164">
        <f t="shared" si="49"/>
        <v>450000</v>
      </c>
      <c r="K3610" s="56" t="s">
        <v>5767</v>
      </c>
      <c r="L3610" s="165" t="s">
        <v>5768</v>
      </c>
      <c r="M3610" s="73"/>
      <c r="N3610" s="171"/>
      <c r="O3610" s="169" t="s">
        <v>6923</v>
      </c>
      <c r="P3610" s="168" t="s">
        <v>3112</v>
      </c>
      <c r="Q3610" s="173"/>
      <c r="R3610" s="173"/>
      <c r="S3610" s="173"/>
      <c r="T3610" s="173"/>
      <c r="U3610" s="173"/>
      <c r="V3610" s="169"/>
      <c r="W3610" s="171"/>
      <c r="X3610" s="171"/>
    </row>
    <row r="3611" ht="15.0" customHeight="1">
      <c r="A3611" s="506"/>
      <c r="B3611" s="181" t="s">
        <v>11437</v>
      </c>
      <c r="C3611" s="56" t="s">
        <v>4946</v>
      </c>
      <c r="D3611" s="73" t="str">
        <f>IFERROR(VLOOKUP(C3611,Stock,3,FALSE),"")</f>
        <v>Nissan Terra 18-</v>
      </c>
      <c r="E3611" s="56">
        <v>1.0</v>
      </c>
      <c r="F3611" s="161">
        <v>3000000.0</v>
      </c>
      <c r="G3611" s="162">
        <f t="shared" si="48"/>
        <v>3000000</v>
      </c>
      <c r="H3611" s="194"/>
      <c r="I3611" s="161">
        <f t="shared" si="45"/>
        <v>3000000</v>
      </c>
      <c r="J3611" s="164">
        <f t="shared" si="49"/>
        <v>3000000</v>
      </c>
      <c r="K3611" s="56" t="s">
        <v>11438</v>
      </c>
      <c r="L3611" s="165" t="s">
        <v>11439</v>
      </c>
      <c r="M3611" s="73"/>
      <c r="N3611" s="171"/>
      <c r="O3611" s="171"/>
      <c r="P3611" s="171"/>
      <c r="Q3611" s="173"/>
      <c r="R3611" s="167">
        <v>1600000.0</v>
      </c>
      <c r="S3611" s="173"/>
      <c r="T3611" s="173"/>
      <c r="U3611" s="173"/>
      <c r="V3611" s="169"/>
      <c r="W3611" s="171"/>
      <c r="X3611" s="171"/>
    </row>
    <row r="3612" ht="15.0" customHeight="1">
      <c r="A3612" s="506"/>
      <c r="B3612" s="181" t="s">
        <v>11437</v>
      </c>
      <c r="C3612" s="56" t="s">
        <v>2934</v>
      </c>
      <c r="D3612" s="73" t="str">
        <f>IFERROR(VLOOKUP(C3612,Stock,3,FALSE),"")</f>
        <v>Peti Kayu</v>
      </c>
      <c r="E3612" s="56">
        <v>1.0</v>
      </c>
      <c r="F3612" s="161">
        <v>200000.0</v>
      </c>
      <c r="G3612" s="162">
        <f t="shared" si="48"/>
        <v>200000</v>
      </c>
      <c r="H3612" s="194"/>
      <c r="I3612" s="161">
        <f t="shared" si="45"/>
        <v>200000</v>
      </c>
      <c r="J3612" s="164">
        <f t="shared" si="49"/>
        <v>200000</v>
      </c>
      <c r="K3612" s="56" t="s">
        <v>11438</v>
      </c>
      <c r="L3612" s="165" t="s">
        <v>11439</v>
      </c>
      <c r="M3612" s="73"/>
      <c r="N3612" s="171"/>
      <c r="O3612" s="171"/>
      <c r="P3612" s="171"/>
      <c r="Q3612" s="173"/>
      <c r="R3612" s="173"/>
      <c r="S3612" s="173"/>
      <c r="T3612" s="173"/>
      <c r="U3612" s="173"/>
      <c r="V3612" s="169"/>
      <c r="W3612" s="171"/>
      <c r="X3612" s="171"/>
    </row>
    <row r="3613" ht="15.0" customHeight="1">
      <c r="A3613" s="506"/>
      <c r="B3613" s="181" t="s">
        <v>11440</v>
      </c>
      <c r="C3613" s="56" t="s">
        <v>2693</v>
      </c>
      <c r="D3613" s="73" t="str">
        <f>IFERROR(VLOOKUP(C3613,Stock,3,FALSE),"")</f>
        <v>Nissan X-Trail 01-07 T30</v>
      </c>
      <c r="E3613" s="56">
        <v>1.0</v>
      </c>
      <c r="F3613" s="161">
        <v>1521000.0</v>
      </c>
      <c r="G3613" s="162">
        <f t="shared" si="48"/>
        <v>1521000</v>
      </c>
      <c r="H3613" s="194"/>
      <c r="I3613" s="161">
        <f t="shared" si="45"/>
        <v>1521000</v>
      </c>
      <c r="J3613" s="164">
        <f t="shared" si="49"/>
        <v>1521000</v>
      </c>
      <c r="K3613" s="56" t="s">
        <v>4989</v>
      </c>
      <c r="L3613" s="165" t="s">
        <v>11441</v>
      </c>
      <c r="M3613" s="73"/>
      <c r="N3613" s="171"/>
      <c r="O3613" s="171"/>
      <c r="P3613" s="171"/>
      <c r="Q3613" s="173"/>
      <c r="R3613" s="173"/>
      <c r="S3613" s="173"/>
      <c r="T3613" s="173"/>
      <c r="U3613" s="173"/>
      <c r="V3613" s="169"/>
      <c r="W3613" s="171"/>
      <c r="X3613" s="171"/>
    </row>
    <row r="3614" ht="15.0" customHeight="1">
      <c r="A3614" s="506"/>
      <c r="B3614" s="181" t="s">
        <v>11440</v>
      </c>
      <c r="C3614" s="56" t="s">
        <v>2934</v>
      </c>
      <c r="D3614" s="73" t="str">
        <f>IFERROR(VLOOKUP(C3614,Stock,3,FALSE),"")</f>
        <v>Peti Kayu</v>
      </c>
      <c r="E3614" s="56">
        <v>1.0</v>
      </c>
      <c r="F3614" s="161">
        <v>200000.0</v>
      </c>
      <c r="G3614" s="162">
        <f t="shared" si="48"/>
        <v>200000</v>
      </c>
      <c r="H3614" s="194"/>
      <c r="I3614" s="161">
        <f t="shared" si="45"/>
        <v>200000</v>
      </c>
      <c r="J3614" s="164">
        <f t="shared" si="49"/>
        <v>200000</v>
      </c>
      <c r="K3614" s="73"/>
      <c r="L3614" s="73"/>
      <c r="M3614" s="73"/>
      <c r="N3614" s="171"/>
      <c r="O3614" s="171"/>
      <c r="P3614" s="171"/>
      <c r="Q3614" s="173"/>
      <c r="R3614" s="173"/>
      <c r="S3614" s="173"/>
      <c r="T3614" s="173"/>
      <c r="U3614" s="173"/>
      <c r="V3614" s="169"/>
      <c r="W3614" s="171"/>
      <c r="X3614" s="171"/>
    </row>
    <row r="3615" ht="15.0" customHeight="1">
      <c r="A3615" s="506"/>
      <c r="B3615" s="200"/>
      <c r="C3615" s="73"/>
      <c r="D3615" s="73"/>
      <c r="E3615" s="73"/>
      <c r="F3615" s="162"/>
      <c r="G3615" s="162">
        <f t="shared" si="48"/>
        <v>0</v>
      </c>
      <c r="H3615" s="194"/>
      <c r="I3615" s="161">
        <f t="shared" si="45"/>
        <v>0</v>
      </c>
      <c r="J3615" s="164">
        <f t="shared" si="49"/>
        <v>0</v>
      </c>
      <c r="K3615" s="73"/>
      <c r="L3615" s="73"/>
      <c r="M3615" s="73"/>
      <c r="N3615" s="171"/>
      <c r="O3615" s="171"/>
      <c r="P3615" s="171"/>
      <c r="Q3615" s="173"/>
      <c r="R3615" s="173"/>
      <c r="S3615" s="173"/>
      <c r="T3615" s="173"/>
      <c r="U3615" s="173"/>
      <c r="V3615" s="169"/>
      <c r="W3615" s="171"/>
      <c r="X3615" s="171"/>
    </row>
    <row r="3616" ht="15.0" customHeight="1">
      <c r="A3616" s="506"/>
      <c r="B3616" s="200"/>
      <c r="C3616" s="73"/>
      <c r="D3616" s="73"/>
      <c r="E3616" s="73"/>
      <c r="F3616" s="162"/>
      <c r="G3616" s="162">
        <f t="shared" si="48"/>
        <v>0</v>
      </c>
      <c r="H3616" s="194"/>
      <c r="I3616" s="161">
        <f t="shared" si="45"/>
        <v>0</v>
      </c>
      <c r="J3616" s="164">
        <f t="shared" si="49"/>
        <v>0</v>
      </c>
      <c r="K3616" s="73"/>
      <c r="L3616" s="73"/>
      <c r="M3616" s="73"/>
      <c r="N3616" s="171"/>
      <c r="O3616" s="171"/>
      <c r="P3616" s="171"/>
      <c r="Q3616" s="173"/>
      <c r="R3616" s="173"/>
      <c r="S3616" s="173"/>
      <c r="T3616" s="173"/>
      <c r="U3616" s="173"/>
      <c r="V3616" s="169"/>
      <c r="W3616" s="171"/>
      <c r="X3616" s="171"/>
    </row>
    <row r="3617" ht="15.0" customHeight="1">
      <c r="A3617" s="506"/>
      <c r="B3617" s="200"/>
      <c r="C3617" s="73"/>
      <c r="D3617" s="73"/>
      <c r="E3617" s="73"/>
      <c r="F3617" s="162"/>
      <c r="G3617" s="162">
        <f t="shared" si="48"/>
        <v>0</v>
      </c>
      <c r="H3617" s="194"/>
      <c r="I3617" s="161">
        <f t="shared" si="45"/>
        <v>0</v>
      </c>
      <c r="J3617" s="164">
        <f t="shared" si="49"/>
        <v>0</v>
      </c>
      <c r="K3617" s="73"/>
      <c r="L3617" s="73"/>
      <c r="M3617" s="73"/>
      <c r="N3617" s="171"/>
      <c r="O3617" s="171"/>
      <c r="P3617" s="171"/>
      <c r="Q3617" s="173"/>
      <c r="R3617" s="173"/>
      <c r="S3617" s="173"/>
      <c r="T3617" s="173"/>
      <c r="U3617" s="173"/>
      <c r="V3617" s="169"/>
      <c r="W3617" s="171"/>
      <c r="X3617" s="171"/>
    </row>
    <row r="3618" ht="15.0" customHeight="1">
      <c r="A3618" s="506"/>
      <c r="B3618" s="200"/>
      <c r="C3618" s="73"/>
      <c r="D3618" s="73"/>
      <c r="E3618" s="73"/>
      <c r="F3618" s="162"/>
      <c r="G3618" s="162">
        <f t="shared" si="48"/>
        <v>0</v>
      </c>
      <c r="H3618" s="194"/>
      <c r="I3618" s="161">
        <f t="shared" si="45"/>
        <v>0</v>
      </c>
      <c r="J3618" s="164">
        <f t="shared" si="49"/>
        <v>0</v>
      </c>
      <c r="K3618" s="73"/>
      <c r="L3618" s="73"/>
      <c r="M3618" s="73"/>
      <c r="N3618" s="171"/>
      <c r="O3618" s="171"/>
      <c r="P3618" s="171"/>
      <c r="Q3618" s="173"/>
      <c r="R3618" s="173"/>
      <c r="S3618" s="173"/>
      <c r="T3618" s="173"/>
      <c r="U3618" s="173"/>
      <c r="V3618" s="169"/>
      <c r="W3618" s="171"/>
      <c r="X3618" s="171"/>
    </row>
    <row r="3619" ht="15.0" customHeight="1">
      <c r="A3619" s="506"/>
      <c r="B3619" s="200"/>
      <c r="C3619" s="73"/>
      <c r="D3619" s="73"/>
      <c r="E3619" s="73"/>
      <c r="F3619" s="162"/>
      <c r="G3619" s="162">
        <f t="shared" si="48"/>
        <v>0</v>
      </c>
      <c r="H3619" s="194"/>
      <c r="I3619" s="161">
        <f t="shared" si="45"/>
        <v>0</v>
      </c>
      <c r="J3619" s="164">
        <f t="shared" si="49"/>
        <v>0</v>
      </c>
      <c r="K3619" s="73"/>
      <c r="L3619" s="73"/>
      <c r="M3619" s="73"/>
      <c r="N3619" s="171"/>
      <c r="O3619" s="171"/>
      <c r="P3619" s="171"/>
      <c r="Q3619" s="173"/>
      <c r="R3619" s="173"/>
      <c r="S3619" s="173"/>
      <c r="T3619" s="173"/>
      <c r="U3619" s="173"/>
      <c r="V3619" s="169"/>
      <c r="W3619" s="171"/>
      <c r="X3619" s="171"/>
    </row>
    <row r="3620" ht="15.0" customHeight="1">
      <c r="A3620" s="506"/>
      <c r="B3620" s="200"/>
      <c r="C3620" s="73"/>
      <c r="D3620" s="73"/>
      <c r="E3620" s="73"/>
      <c r="F3620" s="162"/>
      <c r="G3620" s="162">
        <f t="shared" si="48"/>
        <v>0</v>
      </c>
      <c r="H3620" s="194"/>
      <c r="I3620" s="161">
        <f t="shared" si="45"/>
        <v>0</v>
      </c>
      <c r="J3620" s="164">
        <f t="shared" si="49"/>
        <v>0</v>
      </c>
      <c r="K3620" s="73"/>
      <c r="L3620" s="73"/>
      <c r="M3620" s="73"/>
      <c r="N3620" s="171"/>
      <c r="O3620" s="171"/>
      <c r="P3620" s="171"/>
      <c r="Q3620" s="173"/>
      <c r="R3620" s="173"/>
      <c r="S3620" s="173"/>
      <c r="T3620" s="173"/>
      <c r="U3620" s="173"/>
      <c r="V3620" s="169"/>
      <c r="W3620" s="171"/>
      <c r="X3620" s="171"/>
    </row>
    <row r="3621" ht="15.0" customHeight="1">
      <c r="A3621" s="506"/>
      <c r="B3621" s="200"/>
      <c r="C3621" s="73"/>
      <c r="D3621" s="73"/>
      <c r="E3621" s="73"/>
      <c r="F3621" s="162"/>
      <c r="G3621" s="162">
        <f t="shared" si="48"/>
        <v>0</v>
      </c>
      <c r="H3621" s="194"/>
      <c r="I3621" s="161">
        <f t="shared" si="45"/>
        <v>0</v>
      </c>
      <c r="J3621" s="164">
        <f t="shared" si="49"/>
        <v>0</v>
      </c>
      <c r="K3621" s="73"/>
      <c r="L3621" s="73"/>
      <c r="M3621" s="73"/>
      <c r="N3621" s="171"/>
      <c r="O3621" s="171"/>
      <c r="P3621" s="171"/>
      <c r="Q3621" s="173"/>
      <c r="R3621" s="173"/>
      <c r="S3621" s="173"/>
      <c r="T3621" s="173"/>
      <c r="U3621" s="173"/>
      <c r="V3621" s="169"/>
      <c r="W3621" s="171"/>
      <c r="X3621" s="171"/>
    </row>
    <row r="3622" ht="15.0" customHeight="1">
      <c r="A3622" s="506"/>
      <c r="B3622" s="200"/>
      <c r="C3622" s="73"/>
      <c r="D3622" s="73"/>
      <c r="E3622" s="73"/>
      <c r="F3622" s="162"/>
      <c r="G3622" s="162">
        <f t="shared" si="48"/>
        <v>0</v>
      </c>
      <c r="H3622" s="194"/>
      <c r="I3622" s="161">
        <f t="shared" si="45"/>
        <v>0</v>
      </c>
      <c r="J3622" s="164">
        <f t="shared" si="49"/>
        <v>0</v>
      </c>
      <c r="K3622" s="73"/>
      <c r="L3622" s="73"/>
      <c r="M3622" s="73"/>
      <c r="N3622" s="171"/>
      <c r="O3622" s="171"/>
      <c r="P3622" s="171"/>
      <c r="Q3622" s="173"/>
      <c r="R3622" s="173"/>
      <c r="S3622" s="173"/>
      <c r="T3622" s="173"/>
      <c r="U3622" s="173"/>
      <c r="V3622" s="169"/>
      <c r="W3622" s="171"/>
      <c r="X3622" s="171"/>
    </row>
    <row r="3623" ht="15.0" customHeight="1">
      <c r="A3623" s="506"/>
      <c r="B3623" s="200"/>
      <c r="C3623" s="73"/>
      <c r="D3623" s="73"/>
      <c r="E3623" s="73"/>
      <c r="F3623" s="162"/>
      <c r="G3623" s="162">
        <f t="shared" si="48"/>
        <v>0</v>
      </c>
      <c r="H3623" s="194"/>
      <c r="I3623" s="161">
        <f t="shared" si="45"/>
        <v>0</v>
      </c>
      <c r="J3623" s="164">
        <f t="shared" si="49"/>
        <v>0</v>
      </c>
      <c r="K3623" s="73"/>
      <c r="L3623" s="73"/>
      <c r="M3623" s="73"/>
      <c r="N3623" s="171"/>
      <c r="O3623" s="171"/>
      <c r="P3623" s="171"/>
      <c r="Q3623" s="173"/>
      <c r="R3623" s="173"/>
      <c r="S3623" s="173"/>
      <c r="T3623" s="173"/>
      <c r="U3623" s="173"/>
      <c r="V3623" s="169"/>
      <c r="W3623" s="171"/>
      <c r="X3623" s="171"/>
    </row>
    <row r="3624" ht="15.0" customHeight="1">
      <c r="A3624" s="506"/>
      <c r="B3624" s="200"/>
      <c r="C3624" s="73"/>
      <c r="D3624" s="56" t="s">
        <v>1484</v>
      </c>
      <c r="E3624" s="73"/>
      <c r="F3624" s="162"/>
      <c r="G3624" s="162">
        <f t="shared" si="48"/>
        <v>0</v>
      </c>
      <c r="H3624" s="194"/>
      <c r="I3624" s="161">
        <f t="shared" si="45"/>
        <v>0</v>
      </c>
      <c r="J3624" s="164">
        <f t="shared" si="49"/>
        <v>0</v>
      </c>
      <c r="K3624" s="73"/>
      <c r="L3624" s="73"/>
      <c r="M3624" s="73"/>
      <c r="N3624" s="171"/>
      <c r="O3624" s="171"/>
      <c r="P3624" s="171"/>
      <c r="Q3624" s="173"/>
      <c r="R3624" s="173"/>
      <c r="S3624" s="173"/>
      <c r="T3624" s="173"/>
      <c r="U3624" s="173"/>
      <c r="V3624" s="169"/>
      <c r="W3624" s="171"/>
      <c r="X3624" s="171"/>
    </row>
    <row r="3625" ht="15.0" customHeight="1">
      <c r="A3625" s="506"/>
      <c r="B3625" s="200"/>
      <c r="C3625" s="73"/>
      <c r="D3625" s="73"/>
      <c r="E3625" s="73"/>
      <c r="F3625" s="162"/>
      <c r="G3625" s="162">
        <f t="shared" si="48"/>
        <v>0</v>
      </c>
      <c r="H3625" s="194"/>
      <c r="I3625" s="161">
        <f t="shared" si="45"/>
        <v>0</v>
      </c>
      <c r="J3625" s="164">
        <f t="shared" si="49"/>
        <v>0</v>
      </c>
      <c r="K3625" s="73"/>
      <c r="L3625" s="73"/>
      <c r="M3625" s="73"/>
      <c r="N3625" s="171"/>
      <c r="O3625" s="171"/>
      <c r="P3625" s="171"/>
      <c r="Q3625" s="173"/>
      <c r="R3625" s="173"/>
      <c r="S3625" s="173"/>
      <c r="T3625" s="173"/>
      <c r="U3625" s="173"/>
      <c r="V3625" s="169"/>
      <c r="W3625" s="171"/>
      <c r="X3625" s="171"/>
    </row>
    <row r="3626" ht="15.0" customHeight="1">
      <c r="A3626" s="506"/>
      <c r="B3626" s="200"/>
      <c r="C3626" s="73"/>
      <c r="D3626" s="73"/>
      <c r="E3626" s="73"/>
      <c r="F3626" s="162"/>
      <c r="G3626" s="162">
        <f t="shared" si="48"/>
        <v>0</v>
      </c>
      <c r="H3626" s="194"/>
      <c r="I3626" s="161">
        <f t="shared" si="45"/>
        <v>0</v>
      </c>
      <c r="J3626" s="164">
        <f t="shared" si="49"/>
        <v>0</v>
      </c>
      <c r="K3626" s="73"/>
      <c r="L3626" s="73"/>
      <c r="M3626" s="73"/>
      <c r="N3626" s="171"/>
      <c r="O3626" s="171"/>
      <c r="P3626" s="171"/>
      <c r="Q3626" s="173"/>
      <c r="R3626" s="173"/>
      <c r="S3626" s="173"/>
      <c r="T3626" s="173"/>
      <c r="U3626" s="173"/>
      <c r="V3626" s="169"/>
      <c r="W3626" s="171"/>
      <c r="X3626" s="171"/>
    </row>
    <row r="3627" ht="15.0" customHeight="1">
      <c r="A3627" s="506"/>
      <c r="B3627" s="200"/>
      <c r="C3627" s="73"/>
      <c r="D3627" s="73"/>
      <c r="E3627" s="73"/>
      <c r="F3627" s="162"/>
      <c r="G3627" s="162">
        <f t="shared" si="48"/>
        <v>0</v>
      </c>
      <c r="H3627" s="194"/>
      <c r="I3627" s="161">
        <f t="shared" si="45"/>
        <v>0</v>
      </c>
      <c r="J3627" s="164">
        <f t="shared" si="49"/>
        <v>0</v>
      </c>
      <c r="K3627" s="73"/>
      <c r="L3627" s="73"/>
      <c r="M3627" s="73"/>
      <c r="N3627" s="171"/>
      <c r="O3627" s="171"/>
      <c r="P3627" s="171"/>
      <c r="Q3627" s="173"/>
      <c r="R3627" s="173"/>
      <c r="S3627" s="173"/>
      <c r="T3627" s="173"/>
      <c r="U3627" s="173"/>
      <c r="V3627" s="169"/>
      <c r="W3627" s="171"/>
      <c r="X3627" s="171"/>
    </row>
    <row r="3628" ht="15.0" customHeight="1">
      <c r="A3628" s="506"/>
      <c r="B3628" s="200"/>
      <c r="C3628" s="73"/>
      <c r="D3628" s="73"/>
      <c r="E3628" s="73"/>
      <c r="F3628" s="162"/>
      <c r="G3628" s="162">
        <f t="shared" si="48"/>
        <v>0</v>
      </c>
      <c r="H3628" s="194"/>
      <c r="I3628" s="161">
        <f t="shared" si="45"/>
        <v>0</v>
      </c>
      <c r="J3628" s="164">
        <f t="shared" si="49"/>
        <v>0</v>
      </c>
      <c r="K3628" s="73"/>
      <c r="L3628" s="73"/>
      <c r="M3628" s="73"/>
      <c r="N3628" s="171"/>
      <c r="O3628" s="171"/>
      <c r="P3628" s="171"/>
      <c r="Q3628" s="173"/>
      <c r="R3628" s="173"/>
      <c r="S3628" s="173"/>
      <c r="T3628" s="173"/>
      <c r="U3628" s="173"/>
      <c r="V3628" s="169"/>
      <c r="W3628" s="171"/>
      <c r="X3628" s="171"/>
    </row>
    <row r="3629" ht="15.0" customHeight="1">
      <c r="A3629" s="506"/>
      <c r="B3629" s="200"/>
      <c r="C3629" s="73"/>
      <c r="D3629" s="73"/>
      <c r="E3629" s="73"/>
      <c r="F3629" s="162"/>
      <c r="G3629" s="162">
        <f t="shared" si="48"/>
        <v>0</v>
      </c>
      <c r="H3629" s="194"/>
      <c r="I3629" s="161">
        <f t="shared" si="45"/>
        <v>0</v>
      </c>
      <c r="J3629" s="164">
        <f t="shared" si="49"/>
        <v>0</v>
      </c>
      <c r="K3629" s="73"/>
      <c r="L3629" s="73"/>
      <c r="M3629" s="73"/>
      <c r="N3629" s="171"/>
      <c r="O3629" s="171"/>
      <c r="P3629" s="171"/>
      <c r="Q3629" s="173"/>
      <c r="R3629" s="173"/>
      <c r="S3629" s="173"/>
      <c r="T3629" s="173"/>
      <c r="U3629" s="173"/>
      <c r="V3629" s="169"/>
      <c r="W3629" s="171"/>
      <c r="X3629" s="171"/>
    </row>
    <row r="3630" ht="15.0" customHeight="1">
      <c r="A3630" s="506"/>
      <c r="B3630" s="200"/>
      <c r="C3630" s="73"/>
      <c r="D3630" s="73"/>
      <c r="E3630" s="73"/>
      <c r="F3630" s="162"/>
      <c r="G3630" s="162"/>
      <c r="H3630" s="194"/>
      <c r="I3630" s="161">
        <f t="shared" si="45"/>
        <v>0</v>
      </c>
      <c r="J3630" s="164">
        <f t="shared" si="49"/>
        <v>0</v>
      </c>
      <c r="K3630" s="73"/>
      <c r="L3630" s="73"/>
      <c r="M3630" s="73"/>
      <c r="N3630" s="171"/>
      <c r="O3630" s="171"/>
      <c r="P3630" s="171"/>
      <c r="Q3630" s="173"/>
      <c r="R3630" s="173"/>
      <c r="S3630" s="173"/>
      <c r="T3630" s="173"/>
      <c r="U3630" s="173"/>
      <c r="V3630" s="169"/>
      <c r="W3630" s="171"/>
      <c r="X3630" s="171"/>
    </row>
    <row r="3631" ht="15.0" customHeight="1">
      <c r="A3631" s="506"/>
      <c r="B3631" s="200"/>
      <c r="C3631" s="73"/>
      <c r="D3631" s="73"/>
      <c r="E3631" s="73"/>
      <c r="F3631" s="162"/>
      <c r="G3631" s="162"/>
      <c r="H3631" s="194"/>
      <c r="I3631" s="161">
        <f t="shared" si="45"/>
        <v>0</v>
      </c>
      <c r="J3631" s="164">
        <f t="shared" si="49"/>
        <v>0</v>
      </c>
      <c r="K3631" s="73"/>
      <c r="L3631" s="73"/>
      <c r="M3631" s="73"/>
      <c r="N3631" s="171"/>
      <c r="O3631" s="171"/>
      <c r="P3631" s="171"/>
      <c r="Q3631" s="173"/>
      <c r="R3631" s="173"/>
      <c r="S3631" s="173"/>
      <c r="T3631" s="173"/>
      <c r="U3631" s="173"/>
      <c r="V3631" s="169"/>
      <c r="W3631" s="171"/>
      <c r="X3631" s="171"/>
    </row>
    <row r="3632" ht="15.0" customHeight="1">
      <c r="A3632" s="506"/>
      <c r="B3632" s="200"/>
      <c r="C3632" s="73"/>
      <c r="D3632" s="73"/>
      <c r="E3632" s="73"/>
      <c r="F3632" s="162"/>
      <c r="G3632" s="162"/>
      <c r="H3632" s="194"/>
      <c r="I3632" s="161"/>
      <c r="J3632" s="164" t="str">
        <f t="shared" si="49"/>
        <v/>
      </c>
      <c r="K3632" s="73"/>
      <c r="L3632" s="73"/>
      <c r="M3632" s="73"/>
      <c r="N3632" s="171"/>
      <c r="O3632" s="171"/>
      <c r="P3632" s="171"/>
      <c r="Q3632" s="173"/>
      <c r="R3632" s="173"/>
      <c r="S3632" s="173"/>
      <c r="T3632" s="173"/>
      <c r="U3632" s="173"/>
      <c r="V3632" s="169"/>
      <c r="W3632" s="171"/>
      <c r="X3632" s="171"/>
    </row>
    <row r="3633" ht="15.0" customHeight="1">
      <c r="A3633" s="506"/>
      <c r="B3633" s="200"/>
      <c r="C3633" s="73"/>
      <c r="D3633" s="73"/>
      <c r="E3633" s="73"/>
      <c r="F3633" s="162"/>
      <c r="G3633" s="162"/>
      <c r="H3633" s="194"/>
      <c r="I3633" s="161"/>
      <c r="J3633" s="164" t="str">
        <f t="shared" si="49"/>
        <v/>
      </c>
      <c r="K3633" s="73"/>
      <c r="L3633" s="73"/>
      <c r="M3633" s="73"/>
      <c r="N3633" s="171"/>
      <c r="O3633" s="171"/>
      <c r="P3633" s="171"/>
      <c r="Q3633" s="173"/>
      <c r="R3633" s="173"/>
      <c r="S3633" s="173"/>
      <c r="T3633" s="173"/>
      <c r="U3633" s="173"/>
      <c r="V3633" s="169"/>
      <c r="W3633" s="171"/>
      <c r="X3633" s="171"/>
    </row>
    <row r="3634" ht="15.0" customHeight="1">
      <c r="A3634" s="506"/>
      <c r="B3634" s="200"/>
      <c r="C3634" s="73"/>
      <c r="D3634" s="73"/>
      <c r="E3634" s="73"/>
      <c r="F3634" s="162"/>
      <c r="G3634" s="162"/>
      <c r="H3634" s="194"/>
      <c r="I3634" s="161"/>
      <c r="J3634" s="164" t="str">
        <f t="shared" si="49"/>
        <v/>
      </c>
      <c r="K3634" s="73"/>
      <c r="L3634" s="73"/>
      <c r="M3634" s="73"/>
      <c r="N3634" s="171"/>
      <c r="O3634" s="171"/>
      <c r="P3634" s="171"/>
      <c r="Q3634" s="173"/>
      <c r="R3634" s="173"/>
      <c r="S3634" s="173"/>
      <c r="T3634" s="173"/>
      <c r="U3634" s="173"/>
      <c r="V3634" s="169"/>
      <c r="W3634" s="171"/>
      <c r="X3634" s="171"/>
    </row>
    <row r="3635" ht="15.0" customHeight="1">
      <c r="A3635" s="506"/>
      <c r="B3635" s="200"/>
      <c r="C3635" s="73"/>
      <c r="D3635" s="73"/>
      <c r="E3635" s="73"/>
      <c r="F3635" s="162"/>
      <c r="G3635" s="162"/>
      <c r="H3635" s="194"/>
      <c r="I3635" s="161"/>
      <c r="J3635" s="162"/>
      <c r="K3635" s="73"/>
      <c r="L3635" s="73"/>
      <c r="M3635" s="73"/>
      <c r="N3635" s="171"/>
      <c r="O3635" s="171"/>
      <c r="P3635" s="171"/>
      <c r="Q3635" s="173"/>
      <c r="R3635" s="173"/>
      <c r="S3635" s="173"/>
      <c r="T3635" s="173"/>
      <c r="U3635" s="173"/>
      <c r="V3635" s="169"/>
      <c r="W3635" s="171"/>
      <c r="X3635" s="171"/>
    </row>
    <row r="3636" ht="15.0" customHeight="1">
      <c r="A3636" s="506"/>
      <c r="B3636" s="200"/>
      <c r="C3636" s="73"/>
      <c r="D3636" s="73"/>
      <c r="E3636" s="73"/>
      <c r="F3636" s="162"/>
      <c r="G3636" s="162"/>
      <c r="H3636" s="194"/>
      <c r="I3636" s="161"/>
      <c r="J3636" s="162"/>
      <c r="K3636" s="73"/>
      <c r="L3636" s="73"/>
      <c r="M3636" s="73"/>
      <c r="N3636" s="171"/>
      <c r="O3636" s="171"/>
      <c r="P3636" s="171"/>
      <c r="Q3636" s="173"/>
      <c r="R3636" s="173"/>
      <c r="S3636" s="173"/>
      <c r="T3636" s="173"/>
      <c r="U3636" s="173"/>
      <c r="V3636" s="169"/>
      <c r="W3636" s="171"/>
      <c r="X3636" s="171"/>
    </row>
    <row r="3637" ht="15.0" customHeight="1">
      <c r="A3637" s="506"/>
      <c r="B3637" s="200"/>
      <c r="C3637" s="73"/>
      <c r="D3637" s="73"/>
      <c r="E3637" s="73"/>
      <c r="F3637" s="162"/>
      <c r="G3637" s="162"/>
      <c r="H3637" s="194"/>
      <c r="I3637" s="161"/>
      <c r="J3637" s="162"/>
      <c r="K3637" s="73"/>
      <c r="L3637" s="73"/>
      <c r="M3637" s="73"/>
      <c r="N3637" s="171"/>
      <c r="O3637" s="171"/>
      <c r="P3637" s="171"/>
      <c r="Q3637" s="173"/>
      <c r="R3637" s="173"/>
      <c r="S3637" s="173"/>
      <c r="T3637" s="173"/>
      <c r="U3637" s="173"/>
      <c r="V3637" s="169"/>
      <c r="W3637" s="171"/>
      <c r="X3637" s="171"/>
    </row>
    <row r="3638" ht="15.0" customHeight="1">
      <c r="A3638" s="506"/>
      <c r="B3638" s="200"/>
      <c r="C3638" s="73"/>
      <c r="D3638" s="73"/>
      <c r="E3638" s="73"/>
      <c r="F3638" s="162"/>
      <c r="G3638" s="162"/>
      <c r="H3638" s="194"/>
      <c r="I3638" s="161"/>
      <c r="J3638" s="162"/>
      <c r="K3638" s="73"/>
      <c r="L3638" s="73"/>
      <c r="M3638" s="73"/>
      <c r="N3638" s="171"/>
      <c r="O3638" s="171"/>
      <c r="P3638" s="171"/>
      <c r="Q3638" s="173"/>
      <c r="R3638" s="173"/>
      <c r="S3638" s="173"/>
      <c r="T3638" s="173"/>
      <c r="U3638" s="173"/>
      <c r="V3638" s="169"/>
      <c r="W3638" s="171"/>
      <c r="X3638" s="171"/>
    </row>
    <row r="3639" ht="15.0" customHeight="1">
      <c r="A3639" s="506"/>
      <c r="B3639" s="200"/>
      <c r="C3639" s="73"/>
      <c r="D3639" s="73"/>
      <c r="E3639" s="73"/>
      <c r="F3639" s="162"/>
      <c r="G3639" s="162"/>
      <c r="H3639" s="194"/>
      <c r="I3639" s="161"/>
      <c r="J3639" s="162"/>
      <c r="K3639" s="73"/>
      <c r="L3639" s="73"/>
      <c r="M3639" s="73"/>
      <c r="N3639" s="171"/>
      <c r="O3639" s="171"/>
      <c r="P3639" s="171"/>
      <c r="Q3639" s="173"/>
      <c r="R3639" s="173"/>
      <c r="S3639" s="173"/>
      <c r="T3639" s="173"/>
      <c r="U3639" s="173"/>
      <c r="V3639" s="169"/>
      <c r="W3639" s="171"/>
      <c r="X3639" s="171"/>
    </row>
    <row r="3640" ht="15.0" customHeight="1">
      <c r="A3640" s="506"/>
      <c r="B3640" s="200"/>
      <c r="C3640" s="73"/>
      <c r="D3640" s="73"/>
      <c r="E3640" s="73"/>
      <c r="F3640" s="162"/>
      <c r="G3640" s="162"/>
      <c r="H3640" s="194"/>
      <c r="I3640" s="161"/>
      <c r="J3640" s="162"/>
      <c r="K3640" s="73"/>
      <c r="L3640" s="73"/>
      <c r="M3640" s="73"/>
      <c r="N3640" s="171"/>
      <c r="O3640" s="171"/>
      <c r="P3640" s="171"/>
      <c r="Q3640" s="173"/>
      <c r="R3640" s="173"/>
      <c r="S3640" s="173"/>
      <c r="T3640" s="173"/>
      <c r="U3640" s="173"/>
      <c r="V3640" s="169"/>
      <c r="W3640" s="171"/>
      <c r="X3640" s="171"/>
    </row>
    <row r="3641" ht="15.0" customHeight="1">
      <c r="A3641" s="506"/>
      <c r="B3641" s="200"/>
      <c r="C3641" s="73"/>
      <c r="D3641" s="73"/>
      <c r="E3641" s="73"/>
      <c r="F3641" s="162"/>
      <c r="G3641" s="162"/>
      <c r="H3641" s="194"/>
      <c r="I3641" s="161"/>
      <c r="J3641" s="162"/>
      <c r="K3641" s="73"/>
      <c r="L3641" s="73"/>
      <c r="M3641" s="73"/>
      <c r="N3641" s="171"/>
      <c r="O3641" s="171"/>
      <c r="P3641" s="171"/>
      <c r="Q3641" s="173"/>
      <c r="R3641" s="173"/>
      <c r="S3641" s="173"/>
      <c r="T3641" s="173"/>
      <c r="U3641" s="173"/>
      <c r="V3641" s="169"/>
      <c r="W3641" s="171"/>
      <c r="X3641" s="171"/>
    </row>
    <row r="3642" ht="15.0" customHeight="1">
      <c r="A3642" s="506"/>
      <c r="B3642" s="200"/>
      <c r="C3642" s="73"/>
      <c r="D3642" s="73"/>
      <c r="E3642" s="73"/>
      <c r="F3642" s="162"/>
      <c r="G3642" s="162"/>
      <c r="H3642" s="194"/>
      <c r="I3642" s="161"/>
      <c r="J3642" s="162"/>
      <c r="K3642" s="73"/>
      <c r="L3642" s="73"/>
      <c r="M3642" s="73"/>
      <c r="N3642" s="171"/>
      <c r="O3642" s="171"/>
      <c r="P3642" s="171"/>
      <c r="Q3642" s="173"/>
      <c r="R3642" s="173"/>
      <c r="S3642" s="173"/>
      <c r="T3642" s="173"/>
      <c r="U3642" s="173"/>
      <c r="V3642" s="169"/>
      <c r="W3642" s="171"/>
      <c r="X3642" s="171"/>
    </row>
    <row r="3643" ht="15.0" customHeight="1">
      <c r="A3643" s="506"/>
      <c r="B3643" s="200"/>
      <c r="C3643" s="73"/>
      <c r="D3643" s="73"/>
      <c r="E3643" s="73"/>
      <c r="F3643" s="162"/>
      <c r="G3643" s="162"/>
      <c r="H3643" s="194"/>
      <c r="I3643" s="161"/>
      <c r="J3643" s="162"/>
      <c r="K3643" s="73"/>
      <c r="L3643" s="73"/>
      <c r="M3643" s="73"/>
      <c r="N3643" s="171"/>
      <c r="O3643" s="171"/>
      <c r="P3643" s="171"/>
      <c r="Q3643" s="173"/>
      <c r="R3643" s="173"/>
      <c r="S3643" s="173"/>
      <c r="T3643" s="173"/>
      <c r="U3643" s="173"/>
      <c r="V3643" s="169"/>
      <c r="W3643" s="171"/>
      <c r="X3643" s="171"/>
    </row>
    <row r="3644" ht="15.0" customHeight="1">
      <c r="A3644" s="506"/>
      <c r="B3644" s="200"/>
      <c r="C3644" s="73"/>
      <c r="D3644" s="73"/>
      <c r="E3644" s="73"/>
      <c r="F3644" s="162"/>
      <c r="G3644" s="162"/>
      <c r="H3644" s="194"/>
      <c r="I3644" s="161"/>
      <c r="J3644" s="162"/>
      <c r="K3644" s="73"/>
      <c r="L3644" s="73"/>
      <c r="M3644" s="73"/>
      <c r="N3644" s="171"/>
      <c r="O3644" s="171"/>
      <c r="P3644" s="171"/>
      <c r="Q3644" s="173"/>
      <c r="R3644" s="173"/>
      <c r="S3644" s="173"/>
      <c r="T3644" s="173"/>
      <c r="U3644" s="173"/>
      <c r="V3644" s="169"/>
      <c r="W3644" s="171"/>
      <c r="X3644" s="171"/>
    </row>
    <row r="3645" ht="15.0" customHeight="1">
      <c r="A3645" s="506"/>
      <c r="B3645" s="200"/>
      <c r="C3645" s="73"/>
      <c r="D3645" s="73"/>
      <c r="E3645" s="73"/>
      <c r="F3645" s="162"/>
      <c r="G3645" s="162"/>
      <c r="H3645" s="194"/>
      <c r="I3645" s="161"/>
      <c r="J3645" s="162"/>
      <c r="K3645" s="73"/>
      <c r="L3645" s="73"/>
      <c r="M3645" s="73"/>
      <c r="N3645" s="171"/>
      <c r="O3645" s="171"/>
      <c r="P3645" s="171"/>
      <c r="Q3645" s="173"/>
      <c r="R3645" s="173"/>
      <c r="S3645" s="173"/>
      <c r="T3645" s="173"/>
      <c r="U3645" s="173"/>
      <c r="V3645" s="169"/>
      <c r="W3645" s="171"/>
      <c r="X3645" s="171"/>
    </row>
    <row r="3646" ht="15.0" customHeight="1">
      <c r="A3646" s="506"/>
      <c r="B3646" s="200"/>
      <c r="C3646" s="73"/>
      <c r="D3646" s="73"/>
      <c r="E3646" s="73"/>
      <c r="F3646" s="162"/>
      <c r="G3646" s="162"/>
      <c r="H3646" s="194"/>
      <c r="I3646" s="161"/>
      <c r="J3646" s="162"/>
      <c r="K3646" s="73"/>
      <c r="L3646" s="73"/>
      <c r="M3646" s="73"/>
      <c r="N3646" s="171"/>
      <c r="O3646" s="171"/>
      <c r="P3646" s="171"/>
      <c r="Q3646" s="173"/>
      <c r="R3646" s="173"/>
      <c r="S3646" s="173"/>
      <c r="T3646" s="173"/>
      <c r="U3646" s="173"/>
      <c r="V3646" s="169"/>
      <c r="W3646" s="171"/>
      <c r="X3646" s="171"/>
    </row>
    <row r="3647" ht="15.0" customHeight="1">
      <c r="A3647" s="506"/>
      <c r="B3647" s="200"/>
      <c r="C3647" s="73"/>
      <c r="D3647" s="73"/>
      <c r="E3647" s="73"/>
      <c r="F3647" s="162"/>
      <c r="G3647" s="162"/>
      <c r="H3647" s="194"/>
      <c r="I3647" s="161"/>
      <c r="J3647" s="162"/>
      <c r="K3647" s="73"/>
      <c r="L3647" s="73"/>
      <c r="M3647" s="73"/>
      <c r="N3647" s="171"/>
      <c r="O3647" s="171"/>
      <c r="P3647" s="171"/>
      <c r="Q3647" s="173"/>
      <c r="R3647" s="173"/>
      <c r="S3647" s="173"/>
      <c r="T3647" s="173"/>
      <c r="U3647" s="173"/>
      <c r="V3647" s="169"/>
      <c r="W3647" s="171"/>
      <c r="X3647" s="171"/>
    </row>
    <row r="3648" ht="15.0" customHeight="1">
      <c r="A3648" s="506"/>
      <c r="B3648" s="200"/>
      <c r="C3648" s="73"/>
      <c r="D3648" s="73"/>
      <c r="E3648" s="73"/>
      <c r="F3648" s="162"/>
      <c r="G3648" s="162"/>
      <c r="H3648" s="194"/>
      <c r="I3648" s="161"/>
      <c r="J3648" s="162"/>
      <c r="K3648" s="73"/>
      <c r="L3648" s="73"/>
      <c r="M3648" s="73"/>
      <c r="N3648" s="171"/>
      <c r="O3648" s="171"/>
      <c r="P3648" s="171"/>
      <c r="Q3648" s="173"/>
      <c r="R3648" s="173"/>
      <c r="S3648" s="173"/>
      <c r="T3648" s="173"/>
      <c r="U3648" s="173"/>
      <c r="V3648" s="169"/>
      <c r="W3648" s="171"/>
      <c r="X3648" s="171"/>
    </row>
    <row r="3649" ht="15.0" customHeight="1">
      <c r="A3649" s="506"/>
      <c r="B3649" s="200"/>
      <c r="C3649" s="73"/>
      <c r="D3649" s="73"/>
      <c r="E3649" s="73"/>
      <c r="F3649" s="162"/>
      <c r="G3649" s="162"/>
      <c r="H3649" s="194"/>
      <c r="I3649" s="161"/>
      <c r="J3649" s="162"/>
      <c r="K3649" s="73"/>
      <c r="L3649" s="73"/>
      <c r="M3649" s="73"/>
      <c r="N3649" s="171"/>
      <c r="O3649" s="171"/>
      <c r="P3649" s="171"/>
      <c r="Q3649" s="173"/>
      <c r="R3649" s="173"/>
      <c r="S3649" s="173"/>
      <c r="T3649" s="173"/>
      <c r="U3649" s="173"/>
      <c r="V3649" s="169"/>
      <c r="W3649" s="171"/>
      <c r="X3649" s="171"/>
    </row>
    <row r="3650" ht="15.0" customHeight="1">
      <c r="A3650" s="506"/>
      <c r="B3650" s="200"/>
      <c r="C3650" s="73"/>
      <c r="D3650" s="73"/>
      <c r="E3650" s="73"/>
      <c r="F3650" s="162"/>
      <c r="G3650" s="162"/>
      <c r="H3650" s="194"/>
      <c r="I3650" s="161"/>
      <c r="J3650" s="162"/>
      <c r="K3650" s="73"/>
      <c r="L3650" s="73"/>
      <c r="M3650" s="73"/>
      <c r="N3650" s="171"/>
      <c r="O3650" s="171"/>
      <c r="P3650" s="171"/>
      <c r="Q3650" s="173"/>
      <c r="R3650" s="173"/>
      <c r="S3650" s="173"/>
      <c r="T3650" s="173"/>
      <c r="U3650" s="173"/>
      <c r="V3650" s="169"/>
      <c r="W3650" s="171"/>
      <c r="X3650" s="171"/>
    </row>
    <row r="3651" ht="15.0" customHeight="1">
      <c r="A3651" s="506"/>
      <c r="B3651" s="200"/>
      <c r="C3651" s="73"/>
      <c r="D3651" s="73"/>
      <c r="E3651" s="73"/>
      <c r="F3651" s="162"/>
      <c r="G3651" s="162"/>
      <c r="H3651" s="194"/>
      <c r="I3651" s="161"/>
      <c r="J3651" s="162"/>
      <c r="K3651" s="73"/>
      <c r="L3651" s="73"/>
      <c r="M3651" s="73"/>
      <c r="N3651" s="171"/>
      <c r="O3651" s="171"/>
      <c r="P3651" s="171"/>
      <c r="Q3651" s="173"/>
      <c r="R3651" s="173"/>
      <c r="S3651" s="173"/>
      <c r="T3651" s="173"/>
      <c r="U3651" s="173"/>
      <c r="V3651" s="169"/>
      <c r="W3651" s="171"/>
      <c r="X3651" s="171"/>
    </row>
    <row r="3652" ht="15.0" customHeight="1">
      <c r="A3652" s="506"/>
      <c r="B3652" s="200"/>
      <c r="C3652" s="73"/>
      <c r="D3652" s="73"/>
      <c r="E3652" s="73"/>
      <c r="F3652" s="162"/>
      <c r="G3652" s="162"/>
      <c r="H3652" s="194"/>
      <c r="I3652" s="161"/>
      <c r="J3652" s="162"/>
      <c r="K3652" s="73"/>
      <c r="L3652" s="73"/>
      <c r="M3652" s="73"/>
      <c r="N3652" s="171"/>
      <c r="O3652" s="171"/>
      <c r="P3652" s="171"/>
      <c r="Q3652" s="173"/>
      <c r="R3652" s="173"/>
      <c r="S3652" s="173"/>
      <c r="T3652" s="173"/>
      <c r="U3652" s="173"/>
      <c r="V3652" s="169"/>
      <c r="W3652" s="171"/>
      <c r="X3652" s="171"/>
    </row>
    <row r="3653" ht="15.0" customHeight="1">
      <c r="A3653" s="506"/>
      <c r="B3653" s="200"/>
      <c r="C3653" s="73"/>
      <c r="D3653" s="73"/>
      <c r="E3653" s="73"/>
      <c r="F3653" s="162"/>
      <c r="G3653" s="162"/>
      <c r="H3653" s="194"/>
      <c r="I3653" s="161"/>
      <c r="J3653" s="162"/>
      <c r="K3653" s="73"/>
      <c r="L3653" s="73"/>
      <c r="M3653" s="73"/>
      <c r="N3653" s="171"/>
      <c r="O3653" s="171"/>
      <c r="P3653" s="171"/>
      <c r="Q3653" s="173"/>
      <c r="R3653" s="173"/>
      <c r="S3653" s="173"/>
      <c r="T3653" s="173"/>
      <c r="U3653" s="173"/>
      <c r="V3653" s="169"/>
      <c r="W3653" s="171"/>
      <c r="X3653" s="171"/>
    </row>
    <row r="3654" ht="15.0" customHeight="1">
      <c r="A3654" s="506"/>
      <c r="B3654" s="200"/>
      <c r="C3654" s="73"/>
      <c r="D3654" s="73"/>
      <c r="E3654" s="73"/>
      <c r="F3654" s="162"/>
      <c r="G3654" s="162"/>
      <c r="H3654" s="194"/>
      <c r="I3654" s="161"/>
      <c r="J3654" s="162"/>
      <c r="K3654" s="73"/>
      <c r="L3654" s="73"/>
      <c r="M3654" s="73"/>
      <c r="N3654" s="171"/>
      <c r="O3654" s="171"/>
      <c r="P3654" s="171"/>
      <c r="Q3654" s="173"/>
      <c r="R3654" s="173"/>
      <c r="S3654" s="173"/>
      <c r="T3654" s="173"/>
      <c r="U3654" s="173"/>
      <c r="V3654" s="169"/>
      <c r="W3654" s="171"/>
      <c r="X3654" s="171"/>
    </row>
    <row r="3655" ht="15.0" customHeight="1">
      <c r="A3655" s="506"/>
      <c r="B3655" s="200"/>
      <c r="C3655" s="73"/>
      <c r="D3655" s="73"/>
      <c r="E3655" s="73"/>
      <c r="F3655" s="162"/>
      <c r="G3655" s="162"/>
      <c r="H3655" s="194"/>
      <c r="I3655" s="161"/>
      <c r="J3655" s="162"/>
      <c r="K3655" s="73"/>
      <c r="L3655" s="73"/>
      <c r="M3655" s="73"/>
      <c r="N3655" s="171"/>
      <c r="O3655" s="171"/>
      <c r="P3655" s="171"/>
      <c r="Q3655" s="173"/>
      <c r="R3655" s="173"/>
      <c r="S3655" s="173"/>
      <c r="T3655" s="173"/>
      <c r="U3655" s="173"/>
      <c r="V3655" s="169"/>
      <c r="W3655" s="171"/>
      <c r="X3655" s="171"/>
    </row>
    <row r="3656" ht="15.0" customHeight="1">
      <c r="A3656" s="506"/>
      <c r="B3656" s="200"/>
      <c r="C3656" s="73"/>
      <c r="D3656" s="73"/>
      <c r="E3656" s="73"/>
      <c r="F3656" s="162"/>
      <c r="G3656" s="162"/>
      <c r="H3656" s="194"/>
      <c r="I3656" s="161"/>
      <c r="J3656" s="162"/>
      <c r="K3656" s="73"/>
      <c r="L3656" s="73"/>
      <c r="M3656" s="73"/>
      <c r="N3656" s="171"/>
      <c r="O3656" s="171"/>
      <c r="P3656" s="171"/>
      <c r="Q3656" s="173"/>
      <c r="R3656" s="173"/>
      <c r="S3656" s="173"/>
      <c r="T3656" s="173"/>
      <c r="U3656" s="173"/>
      <c r="V3656" s="169"/>
      <c r="W3656" s="171"/>
      <c r="X3656" s="171"/>
    </row>
    <row r="3657" ht="15.0" customHeight="1">
      <c r="A3657" s="506"/>
      <c r="B3657" s="200"/>
      <c r="C3657" s="73"/>
      <c r="D3657" s="73"/>
      <c r="E3657" s="73"/>
      <c r="F3657" s="162"/>
      <c r="G3657" s="162"/>
      <c r="H3657" s="194"/>
      <c r="I3657" s="161"/>
      <c r="J3657" s="162"/>
      <c r="K3657" s="73"/>
      <c r="L3657" s="73"/>
      <c r="M3657" s="73"/>
      <c r="N3657" s="171"/>
      <c r="O3657" s="171"/>
      <c r="P3657" s="171"/>
      <c r="Q3657" s="173"/>
      <c r="R3657" s="173"/>
      <c r="S3657" s="173"/>
      <c r="T3657" s="173"/>
      <c r="U3657" s="173"/>
      <c r="V3657" s="169"/>
      <c r="W3657" s="171"/>
      <c r="X3657" s="171"/>
    </row>
    <row r="3658" ht="15.0" customHeight="1">
      <c r="A3658" s="506"/>
      <c r="B3658" s="200"/>
      <c r="C3658" s="73"/>
      <c r="D3658" s="73"/>
      <c r="E3658" s="73"/>
      <c r="F3658" s="162"/>
      <c r="G3658" s="162"/>
      <c r="H3658" s="194"/>
      <c r="I3658" s="161"/>
      <c r="J3658" s="162"/>
      <c r="K3658" s="73"/>
      <c r="L3658" s="73"/>
      <c r="M3658" s="73"/>
      <c r="N3658" s="171"/>
      <c r="O3658" s="171"/>
      <c r="P3658" s="171"/>
      <c r="Q3658" s="173"/>
      <c r="R3658" s="173"/>
      <c r="S3658" s="173"/>
      <c r="T3658" s="173"/>
      <c r="U3658" s="173"/>
      <c r="V3658" s="169"/>
      <c r="W3658" s="171"/>
      <c r="X3658" s="171"/>
    </row>
    <row r="3659" ht="15.0" customHeight="1">
      <c r="A3659" s="506"/>
      <c r="B3659" s="200"/>
      <c r="C3659" s="73"/>
      <c r="D3659" s="73"/>
      <c r="E3659" s="73"/>
      <c r="F3659" s="162"/>
      <c r="G3659" s="162"/>
      <c r="H3659" s="194"/>
      <c r="I3659" s="161"/>
      <c r="J3659" s="162"/>
      <c r="K3659" s="73"/>
      <c r="L3659" s="73"/>
      <c r="M3659" s="73"/>
      <c r="N3659" s="171"/>
      <c r="O3659" s="171"/>
      <c r="P3659" s="171"/>
      <c r="Q3659" s="173"/>
      <c r="R3659" s="173"/>
      <c r="S3659" s="173"/>
      <c r="T3659" s="173"/>
      <c r="U3659" s="173"/>
      <c r="V3659" s="169"/>
      <c r="W3659" s="171"/>
      <c r="X3659" s="171"/>
    </row>
    <row r="3660" ht="15.0" customHeight="1">
      <c r="A3660" s="506"/>
      <c r="B3660" s="200"/>
      <c r="C3660" s="73"/>
      <c r="D3660" s="73"/>
      <c r="E3660" s="73"/>
      <c r="F3660" s="162"/>
      <c r="G3660" s="162"/>
      <c r="H3660" s="194"/>
      <c r="I3660" s="161"/>
      <c r="J3660" s="162"/>
      <c r="K3660" s="73"/>
      <c r="L3660" s="73"/>
      <c r="M3660" s="73"/>
      <c r="N3660" s="171"/>
      <c r="O3660" s="171"/>
      <c r="P3660" s="171"/>
      <c r="Q3660" s="173"/>
      <c r="R3660" s="173"/>
      <c r="S3660" s="173"/>
      <c r="T3660" s="173"/>
      <c r="U3660" s="173"/>
      <c r="V3660" s="169"/>
      <c r="W3660" s="171"/>
      <c r="X3660" s="171"/>
    </row>
    <row r="3661" ht="15.0" customHeight="1">
      <c r="A3661" s="506"/>
      <c r="B3661" s="200"/>
      <c r="C3661" s="73"/>
      <c r="D3661" s="73"/>
      <c r="E3661" s="73"/>
      <c r="F3661" s="162"/>
      <c r="G3661" s="162"/>
      <c r="H3661" s="194"/>
      <c r="I3661" s="161"/>
      <c r="J3661" s="162"/>
      <c r="K3661" s="73"/>
      <c r="L3661" s="73"/>
      <c r="M3661" s="73"/>
      <c r="N3661" s="171"/>
      <c r="O3661" s="171"/>
      <c r="P3661" s="171"/>
      <c r="Q3661" s="173"/>
      <c r="R3661" s="173"/>
      <c r="S3661" s="173"/>
      <c r="T3661" s="173"/>
      <c r="U3661" s="173"/>
      <c r="V3661" s="169"/>
      <c r="W3661" s="171"/>
      <c r="X3661" s="171"/>
    </row>
    <row r="3662" ht="15.0" customHeight="1">
      <c r="A3662" s="506"/>
      <c r="B3662" s="200"/>
      <c r="C3662" s="73"/>
      <c r="D3662" s="73"/>
      <c r="E3662" s="73"/>
      <c r="F3662" s="162"/>
      <c r="G3662" s="162"/>
      <c r="H3662" s="194"/>
      <c r="I3662" s="161"/>
      <c r="J3662" s="162"/>
      <c r="K3662" s="73"/>
      <c r="L3662" s="73"/>
      <c r="M3662" s="73"/>
      <c r="N3662" s="171"/>
      <c r="O3662" s="171"/>
      <c r="P3662" s="171"/>
      <c r="Q3662" s="173"/>
      <c r="R3662" s="173"/>
      <c r="S3662" s="173"/>
      <c r="T3662" s="173"/>
      <c r="U3662" s="173"/>
      <c r="V3662" s="169"/>
      <c r="W3662" s="171"/>
      <c r="X3662" s="171"/>
    </row>
    <row r="3663" ht="15.0" customHeight="1">
      <c r="A3663" s="506"/>
      <c r="B3663" s="200"/>
      <c r="C3663" s="73"/>
      <c r="D3663" s="73"/>
      <c r="E3663" s="73"/>
      <c r="F3663" s="162"/>
      <c r="G3663" s="162"/>
      <c r="H3663" s="194"/>
      <c r="I3663" s="161"/>
      <c r="J3663" s="162"/>
      <c r="K3663" s="73"/>
      <c r="L3663" s="73"/>
      <c r="M3663" s="73"/>
      <c r="N3663" s="171"/>
      <c r="O3663" s="171"/>
      <c r="P3663" s="171"/>
      <c r="Q3663" s="173"/>
      <c r="R3663" s="173"/>
      <c r="S3663" s="173"/>
      <c r="T3663" s="173"/>
      <c r="U3663" s="173"/>
      <c r="V3663" s="169"/>
      <c r="W3663" s="171"/>
      <c r="X3663" s="171"/>
    </row>
    <row r="3664" ht="15.0" customHeight="1">
      <c r="A3664" s="506"/>
      <c r="B3664" s="200"/>
      <c r="C3664" s="73"/>
      <c r="D3664" s="73"/>
      <c r="E3664" s="73"/>
      <c r="F3664" s="162"/>
      <c r="G3664" s="162"/>
      <c r="H3664" s="194"/>
      <c r="I3664" s="161"/>
      <c r="J3664" s="162"/>
      <c r="K3664" s="73"/>
      <c r="L3664" s="73"/>
      <c r="M3664" s="73"/>
      <c r="N3664" s="171"/>
      <c r="O3664" s="171"/>
      <c r="P3664" s="171"/>
      <c r="Q3664" s="173"/>
      <c r="R3664" s="173"/>
      <c r="S3664" s="173"/>
      <c r="T3664" s="173"/>
      <c r="U3664" s="173"/>
      <c r="V3664" s="169"/>
      <c r="W3664" s="171"/>
      <c r="X3664" s="171"/>
    </row>
    <row r="3665" ht="15.0" customHeight="1">
      <c r="A3665" s="506"/>
      <c r="B3665" s="200"/>
      <c r="C3665" s="73"/>
      <c r="D3665" s="73"/>
      <c r="E3665" s="73"/>
      <c r="F3665" s="162"/>
      <c r="G3665" s="162"/>
      <c r="H3665" s="194"/>
      <c r="I3665" s="161"/>
      <c r="J3665" s="162"/>
      <c r="K3665" s="73"/>
      <c r="L3665" s="73"/>
      <c r="M3665" s="73"/>
      <c r="N3665" s="171"/>
      <c r="O3665" s="171"/>
      <c r="P3665" s="171"/>
      <c r="Q3665" s="173"/>
      <c r="R3665" s="173"/>
      <c r="S3665" s="173"/>
      <c r="T3665" s="173"/>
      <c r="U3665" s="173"/>
      <c r="V3665" s="169"/>
      <c r="W3665" s="171"/>
      <c r="X3665" s="171"/>
    </row>
    <row r="3666" ht="15.0" customHeight="1">
      <c r="A3666" s="506"/>
      <c r="B3666" s="200"/>
      <c r="C3666" s="73"/>
      <c r="D3666" s="73"/>
      <c r="E3666" s="73"/>
      <c r="F3666" s="162"/>
      <c r="G3666" s="162"/>
      <c r="H3666" s="194"/>
      <c r="I3666" s="161"/>
      <c r="J3666" s="162"/>
      <c r="K3666" s="73"/>
      <c r="L3666" s="73"/>
      <c r="M3666" s="73"/>
      <c r="N3666" s="171"/>
      <c r="O3666" s="171"/>
      <c r="P3666" s="171"/>
      <c r="Q3666" s="173"/>
      <c r="R3666" s="173"/>
      <c r="S3666" s="173"/>
      <c r="T3666" s="173"/>
      <c r="U3666" s="173"/>
      <c r="V3666" s="169"/>
      <c r="W3666" s="171"/>
      <c r="X3666" s="171"/>
    </row>
    <row r="3667" ht="15.0" customHeight="1">
      <c r="A3667" s="506"/>
      <c r="B3667" s="200"/>
      <c r="C3667" s="73"/>
      <c r="D3667" s="73"/>
      <c r="E3667" s="73"/>
      <c r="F3667" s="162"/>
      <c r="G3667" s="162"/>
      <c r="H3667" s="194"/>
      <c r="I3667" s="161"/>
      <c r="J3667" s="162"/>
      <c r="K3667" s="73"/>
      <c r="L3667" s="73"/>
      <c r="M3667" s="73"/>
      <c r="N3667" s="171"/>
      <c r="O3667" s="171"/>
      <c r="P3667" s="171"/>
      <c r="Q3667" s="173"/>
      <c r="R3667" s="173"/>
      <c r="S3667" s="173"/>
      <c r="T3667" s="173"/>
      <c r="U3667" s="173"/>
      <c r="V3667" s="169"/>
      <c r="W3667" s="171"/>
      <c r="X3667" s="171"/>
    </row>
    <row r="3668" ht="15.0" customHeight="1">
      <c r="A3668" s="506"/>
      <c r="B3668" s="200"/>
      <c r="C3668" s="73"/>
      <c r="D3668" s="73"/>
      <c r="E3668" s="73"/>
      <c r="F3668" s="162"/>
      <c r="G3668" s="162"/>
      <c r="H3668" s="194"/>
      <c r="I3668" s="161"/>
      <c r="J3668" s="162"/>
      <c r="K3668" s="73"/>
      <c r="L3668" s="73"/>
      <c r="M3668" s="73"/>
      <c r="N3668" s="171"/>
      <c r="O3668" s="171"/>
      <c r="P3668" s="171"/>
      <c r="Q3668" s="173"/>
      <c r="R3668" s="173"/>
      <c r="S3668" s="173"/>
      <c r="T3668" s="173"/>
      <c r="U3668" s="173"/>
      <c r="V3668" s="169"/>
      <c r="W3668" s="171"/>
      <c r="X3668" s="171"/>
    </row>
    <row r="3669" ht="15.0" customHeight="1">
      <c r="A3669" s="506"/>
      <c r="B3669" s="200"/>
      <c r="C3669" s="73"/>
      <c r="D3669" s="73"/>
      <c r="E3669" s="73"/>
      <c r="F3669" s="162"/>
      <c r="G3669" s="162"/>
      <c r="H3669" s="194"/>
      <c r="I3669" s="161"/>
      <c r="J3669" s="162"/>
      <c r="K3669" s="73"/>
      <c r="L3669" s="73"/>
      <c r="M3669" s="73"/>
      <c r="N3669" s="171"/>
      <c r="O3669" s="171"/>
      <c r="P3669" s="171"/>
      <c r="Q3669" s="173"/>
      <c r="R3669" s="173"/>
      <c r="S3669" s="173"/>
      <c r="T3669" s="173"/>
      <c r="U3669" s="173"/>
      <c r="V3669" s="169"/>
      <c r="W3669" s="171"/>
      <c r="X3669" s="171"/>
    </row>
    <row r="3670" ht="15.0" customHeight="1">
      <c r="A3670" s="506"/>
      <c r="B3670" s="200"/>
      <c r="C3670" s="73"/>
      <c r="D3670" s="73"/>
      <c r="E3670" s="73"/>
      <c r="F3670" s="162"/>
      <c r="G3670" s="162"/>
      <c r="H3670" s="194"/>
      <c r="I3670" s="161"/>
      <c r="J3670" s="162"/>
      <c r="K3670" s="73"/>
      <c r="L3670" s="73"/>
      <c r="M3670" s="73"/>
      <c r="N3670" s="171"/>
      <c r="O3670" s="171"/>
      <c r="P3670" s="171"/>
      <c r="Q3670" s="173"/>
      <c r="R3670" s="173"/>
      <c r="S3670" s="173"/>
      <c r="T3670" s="173"/>
      <c r="U3670" s="173"/>
      <c r="V3670" s="169"/>
      <c r="W3670" s="171"/>
      <c r="X3670" s="171"/>
    </row>
    <row r="3671" ht="15.0" customHeight="1">
      <c r="A3671" s="506"/>
      <c r="B3671" s="200"/>
      <c r="C3671" s="73"/>
      <c r="D3671" s="73"/>
      <c r="E3671" s="73"/>
      <c r="F3671" s="162"/>
      <c r="G3671" s="162"/>
      <c r="H3671" s="194"/>
      <c r="I3671" s="161"/>
      <c r="J3671" s="162"/>
      <c r="K3671" s="73"/>
      <c r="L3671" s="73"/>
      <c r="M3671" s="73"/>
      <c r="N3671" s="171"/>
      <c r="O3671" s="171"/>
      <c r="P3671" s="171"/>
      <c r="Q3671" s="173"/>
      <c r="R3671" s="173"/>
      <c r="S3671" s="173"/>
      <c r="T3671" s="173"/>
      <c r="U3671" s="173"/>
      <c r="V3671" s="169"/>
      <c r="W3671" s="171"/>
      <c r="X3671" s="171"/>
    </row>
    <row r="3672" ht="15.0" customHeight="1">
      <c r="A3672" s="506"/>
      <c r="B3672" s="200"/>
      <c r="C3672" s="73"/>
      <c r="D3672" s="73"/>
      <c r="E3672" s="73"/>
      <c r="F3672" s="162"/>
      <c r="G3672" s="162"/>
      <c r="H3672" s="194"/>
      <c r="I3672" s="161"/>
      <c r="J3672" s="162"/>
      <c r="K3672" s="73"/>
      <c r="L3672" s="73"/>
      <c r="M3672" s="73"/>
      <c r="N3672" s="171"/>
      <c r="O3672" s="171"/>
      <c r="P3672" s="171"/>
      <c r="Q3672" s="173"/>
      <c r="R3672" s="173"/>
      <c r="S3672" s="173"/>
      <c r="T3672" s="173"/>
      <c r="U3672" s="173"/>
      <c r="V3672" s="169"/>
      <c r="W3672" s="171"/>
      <c r="X3672" s="171"/>
    </row>
    <row r="3673" ht="15.0" customHeight="1">
      <c r="A3673" s="506"/>
      <c r="B3673" s="200"/>
      <c r="C3673" s="73"/>
      <c r="D3673" s="73"/>
      <c r="E3673" s="73"/>
      <c r="F3673" s="162"/>
      <c r="G3673" s="162"/>
      <c r="H3673" s="194"/>
      <c r="I3673" s="161"/>
      <c r="J3673" s="162"/>
      <c r="K3673" s="73"/>
      <c r="L3673" s="73"/>
      <c r="M3673" s="73"/>
      <c r="N3673" s="171"/>
      <c r="O3673" s="171"/>
      <c r="P3673" s="171"/>
      <c r="Q3673" s="173"/>
      <c r="R3673" s="173"/>
      <c r="S3673" s="173"/>
      <c r="T3673" s="173"/>
      <c r="U3673" s="173"/>
      <c r="V3673" s="169"/>
      <c r="W3673" s="171"/>
      <c r="X3673" s="171"/>
    </row>
    <row r="3674" ht="15.0" customHeight="1">
      <c r="A3674" s="506"/>
      <c r="B3674" s="200"/>
      <c r="C3674" s="73"/>
      <c r="D3674" s="73"/>
      <c r="E3674" s="73"/>
      <c r="F3674" s="162"/>
      <c r="G3674" s="162"/>
      <c r="H3674" s="194"/>
      <c r="I3674" s="161"/>
      <c r="J3674" s="162"/>
      <c r="K3674" s="73"/>
      <c r="L3674" s="73"/>
      <c r="M3674" s="73"/>
      <c r="N3674" s="171"/>
      <c r="O3674" s="171"/>
      <c r="P3674" s="171"/>
      <c r="Q3674" s="173"/>
      <c r="R3674" s="173"/>
      <c r="S3674" s="173"/>
      <c r="T3674" s="173"/>
      <c r="U3674" s="173"/>
      <c r="V3674" s="169"/>
      <c r="W3674" s="171"/>
      <c r="X3674" s="171"/>
    </row>
    <row r="3675" ht="15.0" customHeight="1">
      <c r="A3675" s="506"/>
      <c r="B3675" s="200"/>
      <c r="C3675" s="73"/>
      <c r="D3675" s="73"/>
      <c r="E3675" s="73"/>
      <c r="F3675" s="162"/>
      <c r="G3675" s="162"/>
      <c r="H3675" s="194"/>
      <c r="I3675" s="161"/>
      <c r="J3675" s="162"/>
      <c r="K3675" s="73"/>
      <c r="L3675" s="73"/>
      <c r="M3675" s="73"/>
      <c r="N3675" s="171"/>
      <c r="O3675" s="171"/>
      <c r="P3675" s="171"/>
      <c r="Q3675" s="173"/>
      <c r="R3675" s="173"/>
      <c r="S3675" s="173"/>
      <c r="T3675" s="173"/>
      <c r="U3675" s="173"/>
      <c r="V3675" s="169"/>
      <c r="W3675" s="171"/>
      <c r="X3675" s="171"/>
    </row>
    <row r="3676" ht="15.0" customHeight="1">
      <c r="A3676" s="506"/>
      <c r="B3676" s="200"/>
      <c r="C3676" s="73"/>
      <c r="D3676" s="73"/>
      <c r="E3676" s="73"/>
      <c r="F3676" s="162"/>
      <c r="G3676" s="162"/>
      <c r="H3676" s="194"/>
      <c r="I3676" s="161"/>
      <c r="J3676" s="162"/>
      <c r="K3676" s="73"/>
      <c r="L3676" s="73"/>
      <c r="M3676" s="73"/>
      <c r="N3676" s="171"/>
      <c r="O3676" s="171"/>
      <c r="P3676" s="171"/>
      <c r="Q3676" s="173"/>
      <c r="R3676" s="173"/>
      <c r="S3676" s="173"/>
      <c r="T3676" s="173"/>
      <c r="U3676" s="173"/>
      <c r="V3676" s="169"/>
      <c r="W3676" s="171"/>
      <c r="X3676" s="171"/>
    </row>
    <row r="3677" ht="15.0" customHeight="1">
      <c r="A3677" s="506"/>
      <c r="B3677" s="200"/>
      <c r="C3677" s="73"/>
      <c r="D3677" s="73"/>
      <c r="E3677" s="73"/>
      <c r="F3677" s="162"/>
      <c r="G3677" s="162"/>
      <c r="H3677" s="194"/>
      <c r="I3677" s="161"/>
      <c r="J3677" s="162"/>
      <c r="K3677" s="73"/>
      <c r="L3677" s="73"/>
      <c r="M3677" s="73"/>
      <c r="N3677" s="171"/>
      <c r="O3677" s="171"/>
      <c r="P3677" s="171"/>
      <c r="Q3677" s="173"/>
      <c r="R3677" s="173"/>
      <c r="S3677" s="173"/>
      <c r="T3677" s="173"/>
      <c r="U3677" s="173"/>
      <c r="V3677" s="169"/>
      <c r="W3677" s="171"/>
      <c r="X3677" s="171"/>
    </row>
    <row r="3678" ht="15.0" customHeight="1">
      <c r="A3678" s="506"/>
      <c r="B3678" s="200"/>
      <c r="C3678" s="73"/>
      <c r="D3678" s="73"/>
      <c r="E3678" s="73"/>
      <c r="F3678" s="162"/>
      <c r="G3678" s="162"/>
      <c r="H3678" s="194"/>
      <c r="I3678" s="161"/>
      <c r="J3678" s="162"/>
      <c r="K3678" s="73"/>
      <c r="L3678" s="73"/>
      <c r="M3678" s="73"/>
      <c r="N3678" s="171"/>
      <c r="O3678" s="171"/>
      <c r="P3678" s="171"/>
      <c r="Q3678" s="173"/>
      <c r="R3678" s="173"/>
      <c r="S3678" s="173"/>
      <c r="T3678" s="173"/>
      <c r="U3678" s="173"/>
      <c r="V3678" s="169"/>
      <c r="W3678" s="171"/>
      <c r="X3678" s="171"/>
    </row>
    <row r="3679" ht="15.0" customHeight="1">
      <c r="A3679" s="506"/>
      <c r="B3679" s="200"/>
      <c r="C3679" s="73"/>
      <c r="D3679" s="73"/>
      <c r="E3679" s="73"/>
      <c r="F3679" s="162"/>
      <c r="G3679" s="162"/>
      <c r="H3679" s="194"/>
      <c r="I3679" s="161"/>
      <c r="J3679" s="162"/>
      <c r="K3679" s="73"/>
      <c r="L3679" s="73"/>
      <c r="M3679" s="73"/>
      <c r="N3679" s="171"/>
      <c r="O3679" s="171"/>
      <c r="P3679" s="171"/>
      <c r="Q3679" s="173"/>
      <c r="R3679" s="173"/>
      <c r="S3679" s="173"/>
      <c r="T3679" s="173"/>
      <c r="U3679" s="173"/>
      <c r="V3679" s="169"/>
      <c r="W3679" s="171"/>
      <c r="X3679" s="171"/>
    </row>
    <row r="3680" ht="15.0" customHeight="1">
      <c r="A3680" s="506"/>
      <c r="B3680" s="200"/>
      <c r="C3680" s="73"/>
      <c r="D3680" s="73"/>
      <c r="E3680" s="73"/>
      <c r="F3680" s="162"/>
      <c r="G3680" s="162"/>
      <c r="H3680" s="194"/>
      <c r="I3680" s="161"/>
      <c r="J3680" s="162"/>
      <c r="K3680" s="73"/>
      <c r="L3680" s="73"/>
      <c r="M3680" s="73"/>
      <c r="N3680" s="171"/>
      <c r="O3680" s="171"/>
      <c r="P3680" s="171"/>
      <c r="Q3680" s="173"/>
      <c r="R3680" s="173"/>
      <c r="S3680" s="173"/>
      <c r="T3680" s="173"/>
      <c r="U3680" s="173"/>
      <c r="V3680" s="169"/>
      <c r="W3680" s="171"/>
      <c r="X3680" s="171"/>
    </row>
    <row r="3681" ht="15.0" customHeight="1">
      <c r="A3681" s="506"/>
      <c r="B3681" s="200"/>
      <c r="C3681" s="73"/>
      <c r="D3681" s="73"/>
      <c r="E3681" s="73"/>
      <c r="F3681" s="162"/>
      <c r="G3681" s="162"/>
      <c r="H3681" s="194"/>
      <c r="I3681" s="161"/>
      <c r="J3681" s="162"/>
      <c r="K3681" s="73"/>
      <c r="L3681" s="73"/>
      <c r="M3681" s="73"/>
      <c r="N3681" s="171"/>
      <c r="O3681" s="171"/>
      <c r="P3681" s="171"/>
      <c r="Q3681" s="173"/>
      <c r="R3681" s="173"/>
      <c r="S3681" s="173"/>
      <c r="T3681" s="173"/>
      <c r="U3681" s="173"/>
      <c r="V3681" s="169"/>
      <c r="W3681" s="171"/>
      <c r="X3681" s="171"/>
    </row>
    <row r="3682" ht="15.0" customHeight="1">
      <c r="A3682" s="506"/>
      <c r="B3682" s="200"/>
      <c r="C3682" s="73"/>
      <c r="D3682" s="73"/>
      <c r="E3682" s="73"/>
      <c r="F3682" s="162"/>
      <c r="G3682" s="162"/>
      <c r="H3682" s="194"/>
      <c r="I3682" s="161"/>
      <c r="J3682" s="162"/>
      <c r="K3682" s="73"/>
      <c r="L3682" s="73"/>
      <c r="M3682" s="73"/>
      <c r="N3682" s="171"/>
      <c r="O3682" s="171"/>
      <c r="P3682" s="171"/>
      <c r="Q3682" s="173"/>
      <c r="R3682" s="173"/>
      <c r="S3682" s="173"/>
      <c r="T3682" s="173"/>
      <c r="U3682" s="173"/>
      <c r="V3682" s="169"/>
      <c r="W3682" s="171"/>
      <c r="X3682" s="171"/>
    </row>
    <row r="3683" ht="15.0" customHeight="1">
      <c r="A3683" s="506"/>
      <c r="B3683" s="200"/>
      <c r="C3683" s="73"/>
      <c r="D3683" s="73"/>
      <c r="E3683" s="73"/>
      <c r="F3683" s="162"/>
      <c r="G3683" s="162"/>
      <c r="H3683" s="194"/>
      <c r="I3683" s="161"/>
      <c r="J3683" s="162"/>
      <c r="K3683" s="73"/>
      <c r="L3683" s="73"/>
      <c r="M3683" s="73"/>
      <c r="N3683" s="171"/>
      <c r="O3683" s="171"/>
      <c r="P3683" s="171"/>
      <c r="Q3683" s="173"/>
      <c r="R3683" s="173"/>
      <c r="S3683" s="173"/>
      <c r="T3683" s="173"/>
      <c r="U3683" s="173"/>
      <c r="V3683" s="169"/>
      <c r="W3683" s="171"/>
      <c r="X3683" s="171"/>
    </row>
    <row r="3684" ht="15.0" customHeight="1">
      <c r="A3684" s="506"/>
      <c r="B3684" s="200"/>
      <c r="C3684" s="73"/>
      <c r="D3684" s="73"/>
      <c r="E3684" s="73"/>
      <c r="F3684" s="162"/>
      <c r="G3684" s="162"/>
      <c r="H3684" s="194"/>
      <c r="I3684" s="161"/>
      <c r="J3684" s="162"/>
      <c r="K3684" s="73"/>
      <c r="L3684" s="73"/>
      <c r="M3684" s="73"/>
      <c r="N3684" s="171"/>
      <c r="O3684" s="171"/>
      <c r="P3684" s="171"/>
      <c r="Q3684" s="173"/>
      <c r="R3684" s="173"/>
      <c r="S3684" s="173"/>
      <c r="T3684" s="173"/>
      <c r="U3684" s="173"/>
      <c r="V3684" s="169"/>
      <c r="W3684" s="171"/>
      <c r="X3684" s="171"/>
    </row>
    <row r="3685" ht="15.0" customHeight="1">
      <c r="A3685" s="506"/>
      <c r="B3685" s="200"/>
      <c r="C3685" s="73"/>
      <c r="D3685" s="73"/>
      <c r="E3685" s="73"/>
      <c r="F3685" s="162"/>
      <c r="G3685" s="162"/>
      <c r="H3685" s="194"/>
      <c r="I3685" s="161"/>
      <c r="J3685" s="162"/>
      <c r="K3685" s="73"/>
      <c r="L3685" s="73"/>
      <c r="M3685" s="73"/>
      <c r="N3685" s="171"/>
      <c r="O3685" s="171"/>
      <c r="P3685" s="171"/>
      <c r="Q3685" s="173"/>
      <c r="R3685" s="173"/>
      <c r="S3685" s="173"/>
      <c r="T3685" s="173"/>
      <c r="U3685" s="173"/>
      <c r="V3685" s="169"/>
      <c r="W3685" s="171"/>
      <c r="X3685" s="171"/>
    </row>
    <row r="3686" ht="15.0" customHeight="1">
      <c r="A3686" s="506"/>
      <c r="B3686" s="200"/>
      <c r="C3686" s="73"/>
      <c r="D3686" s="73"/>
      <c r="E3686" s="73"/>
      <c r="F3686" s="162"/>
      <c r="G3686" s="162"/>
      <c r="H3686" s="194"/>
      <c r="I3686" s="161"/>
      <c r="J3686" s="162"/>
      <c r="K3686" s="73"/>
      <c r="L3686" s="73"/>
      <c r="M3686" s="73"/>
      <c r="N3686" s="171"/>
      <c r="O3686" s="171"/>
      <c r="P3686" s="171"/>
      <c r="Q3686" s="173"/>
      <c r="R3686" s="173"/>
      <c r="S3686" s="173"/>
      <c r="T3686" s="173"/>
      <c r="U3686" s="173"/>
      <c r="V3686" s="169"/>
      <c r="W3686" s="171"/>
      <c r="X3686" s="171"/>
    </row>
    <row r="3687" ht="15.0" customHeight="1">
      <c r="A3687" s="506"/>
      <c r="B3687" s="200"/>
      <c r="C3687" s="73"/>
      <c r="D3687" s="73"/>
      <c r="E3687" s="73"/>
      <c r="F3687" s="162"/>
      <c r="G3687" s="162"/>
      <c r="H3687" s="194"/>
      <c r="I3687" s="161"/>
      <c r="J3687" s="162"/>
      <c r="K3687" s="73"/>
      <c r="L3687" s="73"/>
      <c r="M3687" s="73"/>
      <c r="N3687" s="171"/>
      <c r="O3687" s="171"/>
      <c r="P3687" s="171"/>
      <c r="Q3687" s="173"/>
      <c r="R3687" s="173"/>
      <c r="S3687" s="173"/>
      <c r="T3687" s="173"/>
      <c r="U3687" s="173"/>
      <c r="V3687" s="169"/>
      <c r="W3687" s="171"/>
      <c r="X3687" s="171"/>
    </row>
    <row r="3688" ht="15.0" customHeight="1">
      <c r="A3688" s="506"/>
      <c r="B3688" s="200"/>
      <c r="C3688" s="73"/>
      <c r="D3688" s="73"/>
      <c r="E3688" s="73"/>
      <c r="F3688" s="162"/>
      <c r="G3688" s="162"/>
      <c r="H3688" s="194"/>
      <c r="I3688" s="161"/>
      <c r="J3688" s="162"/>
      <c r="K3688" s="73"/>
      <c r="L3688" s="73"/>
      <c r="M3688" s="73"/>
      <c r="N3688" s="171"/>
      <c r="O3688" s="171"/>
      <c r="P3688" s="171"/>
      <c r="Q3688" s="173"/>
      <c r="R3688" s="173"/>
      <c r="S3688" s="173"/>
      <c r="T3688" s="173"/>
      <c r="U3688" s="173"/>
      <c r="V3688" s="169"/>
      <c r="W3688" s="171"/>
      <c r="X3688" s="171"/>
    </row>
    <row r="3689" ht="15.0" customHeight="1">
      <c r="A3689" s="506"/>
      <c r="B3689" s="200"/>
      <c r="C3689" s="73"/>
      <c r="D3689" s="73"/>
      <c r="E3689" s="73"/>
      <c r="F3689" s="162"/>
      <c r="G3689" s="162"/>
      <c r="H3689" s="194"/>
      <c r="I3689" s="161"/>
      <c r="J3689" s="162"/>
      <c r="K3689" s="73"/>
      <c r="L3689" s="73"/>
      <c r="M3689" s="73"/>
      <c r="N3689" s="171"/>
      <c r="O3689" s="171"/>
      <c r="P3689" s="171"/>
      <c r="Q3689" s="173"/>
      <c r="R3689" s="173"/>
      <c r="S3689" s="173"/>
      <c r="T3689" s="173"/>
      <c r="U3689" s="173"/>
      <c r="V3689" s="169"/>
      <c r="W3689" s="171"/>
      <c r="X3689" s="171"/>
    </row>
    <row r="3690" ht="15.0" customHeight="1">
      <c r="A3690" s="506"/>
      <c r="B3690" s="200"/>
      <c r="C3690" s="73"/>
      <c r="D3690" s="73"/>
      <c r="E3690" s="73"/>
      <c r="F3690" s="162"/>
      <c r="G3690" s="162"/>
      <c r="H3690" s="194"/>
      <c r="I3690" s="161"/>
      <c r="J3690" s="162"/>
      <c r="K3690" s="73"/>
      <c r="L3690" s="73"/>
      <c r="M3690" s="73"/>
      <c r="N3690" s="171"/>
      <c r="O3690" s="171"/>
      <c r="P3690" s="171"/>
      <c r="Q3690" s="173"/>
      <c r="R3690" s="173"/>
      <c r="S3690" s="173"/>
      <c r="T3690" s="173"/>
      <c r="U3690" s="173"/>
      <c r="V3690" s="169"/>
      <c r="W3690" s="171"/>
      <c r="X3690" s="171"/>
    </row>
    <row r="3691" ht="15.0" customHeight="1">
      <c r="A3691" s="506"/>
      <c r="B3691" s="200"/>
      <c r="C3691" s="73"/>
      <c r="D3691" s="73"/>
      <c r="E3691" s="73"/>
      <c r="F3691" s="162"/>
      <c r="G3691" s="162"/>
      <c r="H3691" s="194"/>
      <c r="I3691" s="161"/>
      <c r="J3691" s="162"/>
      <c r="K3691" s="73"/>
      <c r="L3691" s="73"/>
      <c r="M3691" s="73"/>
      <c r="N3691" s="171"/>
      <c r="O3691" s="171"/>
      <c r="P3691" s="171"/>
      <c r="Q3691" s="173"/>
      <c r="R3691" s="173"/>
      <c r="S3691" s="173"/>
      <c r="T3691" s="173"/>
      <c r="U3691" s="173"/>
      <c r="V3691" s="169"/>
      <c r="W3691" s="171"/>
      <c r="X3691" s="171"/>
    </row>
    <row r="3692" ht="15.0" customHeight="1">
      <c r="A3692" s="506"/>
      <c r="B3692" s="200"/>
      <c r="C3692" s="73"/>
      <c r="D3692" s="73"/>
      <c r="E3692" s="73"/>
      <c r="F3692" s="162"/>
      <c r="G3692" s="162"/>
      <c r="H3692" s="194"/>
      <c r="I3692" s="161"/>
      <c r="J3692" s="162"/>
      <c r="K3692" s="73"/>
      <c r="L3692" s="73"/>
      <c r="M3692" s="73"/>
      <c r="N3692" s="171"/>
      <c r="O3692" s="171"/>
      <c r="P3692" s="171"/>
      <c r="Q3692" s="173"/>
      <c r="R3692" s="173"/>
      <c r="S3692" s="173"/>
      <c r="T3692" s="173"/>
      <c r="U3692" s="173"/>
      <c r="V3692" s="169"/>
      <c r="W3692" s="171"/>
      <c r="X3692" s="171"/>
    </row>
    <row r="3693" ht="15.0" customHeight="1">
      <c r="A3693" s="506"/>
      <c r="B3693" s="200"/>
      <c r="C3693" s="73"/>
      <c r="D3693" s="73"/>
      <c r="E3693" s="73"/>
      <c r="F3693" s="162"/>
      <c r="G3693" s="162"/>
      <c r="H3693" s="194"/>
      <c r="I3693" s="161"/>
      <c r="J3693" s="162"/>
      <c r="K3693" s="73"/>
      <c r="L3693" s="73"/>
      <c r="M3693" s="73"/>
      <c r="N3693" s="171"/>
      <c r="O3693" s="171"/>
      <c r="P3693" s="171"/>
      <c r="Q3693" s="173"/>
      <c r="R3693" s="173"/>
      <c r="S3693" s="173"/>
      <c r="T3693" s="173"/>
      <c r="U3693" s="173"/>
      <c r="V3693" s="169"/>
      <c r="W3693" s="171"/>
      <c r="X3693" s="171"/>
    </row>
    <row r="3694" ht="15.0" customHeight="1">
      <c r="A3694" s="506"/>
      <c r="B3694" s="200"/>
      <c r="C3694" s="73"/>
      <c r="D3694" s="73"/>
      <c r="E3694" s="73"/>
      <c r="F3694" s="162"/>
      <c r="G3694" s="162"/>
      <c r="H3694" s="194"/>
      <c r="I3694" s="161"/>
      <c r="J3694" s="162"/>
      <c r="K3694" s="73"/>
      <c r="L3694" s="73"/>
      <c r="M3694" s="73"/>
      <c r="N3694" s="171"/>
      <c r="O3694" s="171"/>
      <c r="P3694" s="171"/>
      <c r="Q3694" s="173"/>
      <c r="R3694" s="173"/>
      <c r="S3694" s="173"/>
      <c r="T3694" s="173"/>
      <c r="U3694" s="173"/>
      <c r="V3694" s="169"/>
      <c r="W3694" s="171"/>
      <c r="X3694" s="171"/>
    </row>
    <row r="3695" ht="15.0" customHeight="1">
      <c r="A3695" s="506"/>
      <c r="B3695" s="200"/>
      <c r="C3695" s="73"/>
      <c r="D3695" s="73"/>
      <c r="E3695" s="73"/>
      <c r="F3695" s="162"/>
      <c r="G3695" s="162"/>
      <c r="H3695" s="194"/>
      <c r="I3695" s="161"/>
      <c r="J3695" s="162"/>
      <c r="K3695" s="73"/>
      <c r="L3695" s="73"/>
      <c r="M3695" s="73"/>
      <c r="N3695" s="171"/>
      <c r="O3695" s="171"/>
      <c r="P3695" s="171"/>
      <c r="Q3695" s="173"/>
      <c r="R3695" s="173"/>
      <c r="S3695" s="173"/>
      <c r="T3695" s="173"/>
      <c r="U3695" s="173"/>
      <c r="V3695" s="169"/>
      <c r="W3695" s="171"/>
      <c r="X3695" s="171"/>
    </row>
    <row r="3696" ht="15.0" customHeight="1">
      <c r="A3696" s="506"/>
      <c r="B3696" s="200"/>
      <c r="C3696" s="73"/>
      <c r="D3696" s="73"/>
      <c r="E3696" s="73"/>
      <c r="F3696" s="162"/>
      <c r="G3696" s="162"/>
      <c r="H3696" s="194"/>
      <c r="I3696" s="161"/>
      <c r="J3696" s="162"/>
      <c r="K3696" s="73"/>
      <c r="L3696" s="73"/>
      <c r="M3696" s="73"/>
      <c r="N3696" s="171"/>
      <c r="O3696" s="171"/>
      <c r="P3696" s="171"/>
      <c r="Q3696" s="173"/>
      <c r="R3696" s="173"/>
      <c r="S3696" s="173"/>
      <c r="T3696" s="173"/>
      <c r="U3696" s="173"/>
      <c r="V3696" s="169"/>
      <c r="W3696" s="171"/>
      <c r="X3696" s="171"/>
    </row>
    <row r="3697" ht="15.0" customHeight="1">
      <c r="A3697" s="506"/>
      <c r="B3697" s="200"/>
      <c r="C3697" s="73"/>
      <c r="D3697" s="73"/>
      <c r="E3697" s="73"/>
      <c r="F3697" s="162"/>
      <c r="G3697" s="162"/>
      <c r="H3697" s="194"/>
      <c r="I3697" s="161"/>
      <c r="J3697" s="162"/>
      <c r="K3697" s="73"/>
      <c r="L3697" s="73"/>
      <c r="M3697" s="73"/>
      <c r="N3697" s="171"/>
      <c r="O3697" s="171"/>
      <c r="P3697" s="171"/>
      <c r="Q3697" s="173"/>
      <c r="R3697" s="173"/>
      <c r="S3697" s="173"/>
      <c r="T3697" s="173"/>
      <c r="U3697" s="173"/>
      <c r="V3697" s="169"/>
      <c r="W3697" s="171"/>
      <c r="X3697" s="171"/>
    </row>
    <row r="3698" ht="15.0" customHeight="1">
      <c r="A3698" s="506"/>
      <c r="B3698" s="200"/>
      <c r="C3698" s="73"/>
      <c r="D3698" s="73"/>
      <c r="E3698" s="73"/>
      <c r="F3698" s="162"/>
      <c r="G3698" s="162"/>
      <c r="H3698" s="194"/>
      <c r="I3698" s="161"/>
      <c r="J3698" s="162"/>
      <c r="K3698" s="73"/>
      <c r="L3698" s="73"/>
      <c r="M3698" s="73"/>
      <c r="N3698" s="171"/>
      <c r="O3698" s="171"/>
      <c r="P3698" s="171"/>
      <c r="Q3698" s="173"/>
      <c r="R3698" s="173"/>
      <c r="S3698" s="173"/>
      <c r="T3698" s="173"/>
      <c r="U3698" s="173"/>
      <c r="V3698" s="169"/>
      <c r="W3698" s="171"/>
      <c r="X3698" s="171"/>
    </row>
    <row r="3699" ht="15.0" customHeight="1">
      <c r="A3699" s="506"/>
      <c r="B3699" s="200"/>
      <c r="C3699" s="73"/>
      <c r="D3699" s="73"/>
      <c r="E3699" s="73"/>
      <c r="F3699" s="162"/>
      <c r="G3699" s="162"/>
      <c r="H3699" s="194"/>
      <c r="I3699" s="161"/>
      <c r="J3699" s="162"/>
      <c r="K3699" s="73"/>
      <c r="L3699" s="73"/>
      <c r="M3699" s="73"/>
      <c r="N3699" s="171"/>
      <c r="O3699" s="171"/>
      <c r="P3699" s="171"/>
      <c r="Q3699" s="173"/>
      <c r="R3699" s="173"/>
      <c r="S3699" s="173"/>
      <c r="T3699" s="173"/>
      <c r="U3699" s="173"/>
      <c r="V3699" s="169"/>
      <c r="W3699" s="171"/>
      <c r="X3699" s="171"/>
    </row>
    <row r="3700" ht="15.0" customHeight="1">
      <c r="A3700" s="506"/>
      <c r="B3700" s="200"/>
      <c r="C3700" s="73"/>
      <c r="D3700" s="73"/>
      <c r="E3700" s="73"/>
      <c r="F3700" s="162"/>
      <c r="G3700" s="162"/>
      <c r="H3700" s="194"/>
      <c r="I3700" s="161"/>
      <c r="J3700" s="162"/>
      <c r="K3700" s="73"/>
      <c r="L3700" s="73"/>
      <c r="M3700" s="73"/>
      <c r="N3700" s="171"/>
      <c r="O3700" s="171"/>
      <c r="P3700" s="171"/>
      <c r="Q3700" s="173"/>
      <c r="R3700" s="173"/>
      <c r="S3700" s="173"/>
      <c r="T3700" s="173"/>
      <c r="U3700" s="173"/>
      <c r="V3700" s="169"/>
      <c r="W3700" s="171"/>
      <c r="X3700" s="171"/>
    </row>
    <row r="3701" ht="15.0" customHeight="1">
      <c r="A3701" s="506"/>
      <c r="B3701" s="200"/>
      <c r="C3701" s="73"/>
      <c r="D3701" s="73"/>
      <c r="E3701" s="73"/>
      <c r="F3701" s="162"/>
      <c r="G3701" s="162"/>
      <c r="H3701" s="194"/>
      <c r="I3701" s="161"/>
      <c r="J3701" s="162"/>
      <c r="K3701" s="73"/>
      <c r="L3701" s="73"/>
      <c r="M3701" s="73"/>
      <c r="N3701" s="171"/>
      <c r="O3701" s="171"/>
      <c r="P3701" s="171"/>
      <c r="Q3701" s="173"/>
      <c r="R3701" s="173"/>
      <c r="S3701" s="173"/>
      <c r="T3701" s="173"/>
      <c r="U3701" s="173"/>
      <c r="V3701" s="169"/>
      <c r="W3701" s="171"/>
      <c r="X3701" s="171"/>
    </row>
    <row r="3702" ht="15.0" customHeight="1">
      <c r="A3702" s="506"/>
      <c r="B3702" s="200"/>
      <c r="C3702" s="73"/>
      <c r="D3702" s="73"/>
      <c r="E3702" s="73"/>
      <c r="F3702" s="162"/>
      <c r="G3702" s="162"/>
      <c r="H3702" s="194"/>
      <c r="I3702" s="161"/>
      <c r="J3702" s="162"/>
      <c r="K3702" s="73"/>
      <c r="L3702" s="73"/>
      <c r="M3702" s="73"/>
      <c r="N3702" s="171"/>
      <c r="O3702" s="171"/>
      <c r="P3702" s="171"/>
      <c r="Q3702" s="173"/>
      <c r="R3702" s="173"/>
      <c r="S3702" s="173"/>
      <c r="T3702" s="173"/>
      <c r="U3702" s="173"/>
      <c r="V3702" s="169"/>
      <c r="W3702" s="171"/>
      <c r="X3702" s="171"/>
    </row>
    <row r="3703" ht="15.0" customHeight="1">
      <c r="A3703" s="506"/>
      <c r="B3703" s="200"/>
      <c r="C3703" s="73"/>
      <c r="D3703" s="73"/>
      <c r="E3703" s="73"/>
      <c r="F3703" s="162"/>
      <c r="G3703" s="162"/>
      <c r="H3703" s="194"/>
      <c r="I3703" s="161"/>
      <c r="J3703" s="162"/>
      <c r="K3703" s="73"/>
      <c r="L3703" s="73"/>
      <c r="M3703" s="73"/>
      <c r="N3703" s="171"/>
      <c r="O3703" s="171"/>
      <c r="P3703" s="171"/>
      <c r="Q3703" s="173"/>
      <c r="R3703" s="173"/>
      <c r="S3703" s="173"/>
      <c r="T3703" s="173"/>
      <c r="U3703" s="173"/>
      <c r="V3703" s="169"/>
      <c r="W3703" s="171"/>
      <c r="X3703" s="171"/>
    </row>
    <row r="3704" ht="15.0" customHeight="1">
      <c r="A3704" s="506"/>
      <c r="B3704" s="200"/>
      <c r="C3704" s="73"/>
      <c r="D3704" s="73"/>
      <c r="E3704" s="73"/>
      <c r="F3704" s="162"/>
      <c r="G3704" s="162"/>
      <c r="H3704" s="194"/>
      <c r="I3704" s="161"/>
      <c r="J3704" s="162"/>
      <c r="K3704" s="73"/>
      <c r="L3704" s="73"/>
      <c r="M3704" s="73"/>
      <c r="N3704" s="171"/>
      <c r="O3704" s="171"/>
      <c r="P3704" s="171"/>
      <c r="Q3704" s="173"/>
      <c r="R3704" s="173"/>
      <c r="S3704" s="173"/>
      <c r="T3704" s="173"/>
      <c r="U3704" s="173"/>
      <c r="V3704" s="169"/>
      <c r="W3704" s="171"/>
      <c r="X3704" s="171"/>
    </row>
    <row r="3705" ht="15.0" customHeight="1">
      <c r="A3705" s="506"/>
      <c r="B3705" s="200"/>
      <c r="C3705" s="73"/>
      <c r="D3705" s="73"/>
      <c r="E3705" s="73"/>
      <c r="F3705" s="162"/>
      <c r="G3705" s="162"/>
      <c r="H3705" s="194"/>
      <c r="I3705" s="161"/>
      <c r="J3705" s="162"/>
      <c r="K3705" s="73"/>
      <c r="L3705" s="73"/>
      <c r="M3705" s="73"/>
      <c r="N3705" s="171"/>
      <c r="O3705" s="171"/>
      <c r="P3705" s="171"/>
      <c r="Q3705" s="173"/>
      <c r="R3705" s="173"/>
      <c r="S3705" s="173"/>
      <c r="T3705" s="173"/>
      <c r="U3705" s="173"/>
      <c r="V3705" s="169"/>
      <c r="W3705" s="171"/>
      <c r="X3705" s="171"/>
    </row>
    <row r="3706" ht="15.0" customHeight="1">
      <c r="A3706" s="506"/>
      <c r="B3706" s="200"/>
      <c r="C3706" s="73"/>
      <c r="D3706" s="73"/>
      <c r="E3706" s="73"/>
      <c r="F3706" s="162"/>
      <c r="G3706" s="162"/>
      <c r="H3706" s="194"/>
      <c r="I3706" s="161"/>
      <c r="J3706" s="162"/>
      <c r="K3706" s="73"/>
      <c r="L3706" s="73"/>
      <c r="M3706" s="73"/>
      <c r="N3706" s="171"/>
      <c r="O3706" s="171"/>
      <c r="P3706" s="171"/>
      <c r="Q3706" s="173"/>
      <c r="R3706" s="173"/>
      <c r="S3706" s="173"/>
      <c r="T3706" s="173"/>
      <c r="U3706" s="173"/>
      <c r="V3706" s="169"/>
      <c r="W3706" s="171"/>
      <c r="X3706" s="171"/>
    </row>
    <row r="3707" ht="15.0" customHeight="1">
      <c r="A3707" s="506"/>
      <c r="B3707" s="200"/>
      <c r="C3707" s="73"/>
      <c r="D3707" s="73"/>
      <c r="E3707" s="73"/>
      <c r="F3707" s="162"/>
      <c r="G3707" s="162"/>
      <c r="H3707" s="194"/>
      <c r="I3707" s="161"/>
      <c r="J3707" s="162"/>
      <c r="K3707" s="73"/>
      <c r="L3707" s="73"/>
      <c r="M3707" s="73"/>
      <c r="N3707" s="171"/>
      <c r="O3707" s="171"/>
      <c r="P3707" s="171"/>
      <c r="Q3707" s="173"/>
      <c r="R3707" s="173"/>
      <c r="S3707" s="173"/>
      <c r="T3707" s="173"/>
      <c r="U3707" s="173"/>
      <c r="V3707" s="169"/>
      <c r="W3707" s="171"/>
      <c r="X3707" s="171"/>
    </row>
    <row r="3708" ht="15.0" customHeight="1">
      <c r="A3708" s="506"/>
      <c r="B3708" s="200"/>
      <c r="C3708" s="73"/>
      <c r="D3708" s="73"/>
      <c r="E3708" s="73"/>
      <c r="F3708" s="162"/>
      <c r="G3708" s="162"/>
      <c r="H3708" s="194"/>
      <c r="I3708" s="161"/>
      <c r="J3708" s="162"/>
      <c r="K3708" s="73"/>
      <c r="L3708" s="73"/>
      <c r="M3708" s="73"/>
      <c r="N3708" s="171"/>
      <c r="O3708" s="171"/>
      <c r="P3708" s="171"/>
      <c r="Q3708" s="173"/>
      <c r="R3708" s="173"/>
      <c r="S3708" s="173"/>
      <c r="T3708" s="173"/>
      <c r="U3708" s="173"/>
      <c r="V3708" s="169"/>
      <c r="W3708" s="171"/>
      <c r="X3708" s="171"/>
    </row>
    <row r="3709" ht="15.0" customHeight="1">
      <c r="A3709" s="506"/>
      <c r="B3709" s="200"/>
      <c r="C3709" s="73"/>
      <c r="D3709" s="73"/>
      <c r="E3709" s="73"/>
      <c r="F3709" s="162"/>
      <c r="G3709" s="162"/>
      <c r="H3709" s="194"/>
      <c r="I3709" s="161"/>
      <c r="J3709" s="162"/>
      <c r="K3709" s="73"/>
      <c r="L3709" s="73"/>
      <c r="M3709" s="73"/>
      <c r="N3709" s="171"/>
      <c r="O3709" s="171"/>
      <c r="P3709" s="171"/>
      <c r="Q3709" s="173"/>
      <c r="R3709" s="173"/>
      <c r="S3709" s="173"/>
      <c r="T3709" s="173"/>
      <c r="U3709" s="173"/>
      <c r="V3709" s="169"/>
      <c r="W3709" s="171"/>
      <c r="X3709" s="171"/>
    </row>
    <row r="3710" ht="15.0" customHeight="1">
      <c r="A3710" s="506"/>
      <c r="B3710" s="200"/>
      <c r="C3710" s="73"/>
      <c r="D3710" s="73"/>
      <c r="E3710" s="73"/>
      <c r="F3710" s="162"/>
      <c r="G3710" s="162"/>
      <c r="H3710" s="194"/>
      <c r="I3710" s="161"/>
      <c r="J3710" s="162"/>
      <c r="K3710" s="73"/>
      <c r="L3710" s="73"/>
      <c r="M3710" s="73"/>
      <c r="N3710" s="171"/>
      <c r="O3710" s="171"/>
      <c r="P3710" s="171"/>
      <c r="Q3710" s="173"/>
      <c r="R3710" s="173"/>
      <c r="S3710" s="173"/>
      <c r="T3710" s="173"/>
      <c r="U3710" s="173"/>
      <c r="V3710" s="169"/>
      <c r="W3710" s="171"/>
      <c r="X3710" s="171"/>
    </row>
    <row r="3711" ht="15.0" customHeight="1">
      <c r="A3711" s="506"/>
      <c r="B3711" s="200"/>
      <c r="C3711" s="73"/>
      <c r="D3711" s="73"/>
      <c r="E3711" s="73"/>
      <c r="F3711" s="162"/>
      <c r="G3711" s="162"/>
      <c r="H3711" s="194"/>
      <c r="I3711" s="161"/>
      <c r="J3711" s="162"/>
      <c r="K3711" s="73"/>
      <c r="L3711" s="73"/>
      <c r="M3711" s="73"/>
      <c r="N3711" s="171"/>
      <c r="O3711" s="171"/>
      <c r="P3711" s="171"/>
      <c r="Q3711" s="173"/>
      <c r="R3711" s="173"/>
      <c r="S3711" s="173"/>
      <c r="T3711" s="173"/>
      <c r="U3711" s="173"/>
      <c r="V3711" s="169"/>
      <c r="W3711" s="171"/>
      <c r="X3711" s="171"/>
    </row>
    <row r="3712" ht="15.0" customHeight="1">
      <c r="A3712" s="506"/>
      <c r="B3712" s="200"/>
      <c r="C3712" s="73"/>
      <c r="D3712" s="73"/>
      <c r="E3712" s="73"/>
      <c r="F3712" s="162"/>
      <c r="G3712" s="162"/>
      <c r="H3712" s="194"/>
      <c r="I3712" s="161"/>
      <c r="J3712" s="162"/>
      <c r="K3712" s="73"/>
      <c r="L3712" s="73"/>
      <c r="M3712" s="73"/>
      <c r="N3712" s="171"/>
      <c r="O3712" s="171"/>
      <c r="P3712" s="171"/>
      <c r="Q3712" s="173"/>
      <c r="R3712" s="173"/>
      <c r="S3712" s="173"/>
      <c r="T3712" s="173"/>
      <c r="U3712" s="173"/>
      <c r="V3712" s="169"/>
      <c r="W3712" s="171"/>
      <c r="X3712" s="171"/>
    </row>
    <row r="3713" ht="15.0" customHeight="1">
      <c r="A3713" s="506"/>
      <c r="B3713" s="200"/>
      <c r="C3713" s="73"/>
      <c r="D3713" s="73"/>
      <c r="E3713" s="73"/>
      <c r="F3713" s="162"/>
      <c r="G3713" s="162"/>
      <c r="H3713" s="194"/>
      <c r="I3713" s="161"/>
      <c r="J3713" s="162"/>
      <c r="K3713" s="73"/>
      <c r="L3713" s="73"/>
      <c r="M3713" s="73"/>
      <c r="N3713" s="171"/>
      <c r="O3713" s="171"/>
      <c r="P3713" s="171"/>
      <c r="Q3713" s="173"/>
      <c r="R3713" s="173"/>
      <c r="S3713" s="173"/>
      <c r="T3713" s="173"/>
      <c r="U3713" s="173"/>
      <c r="V3713" s="169"/>
      <c r="W3713" s="171"/>
      <c r="X3713" s="171"/>
    </row>
    <row r="3714" ht="15.0" customHeight="1">
      <c r="A3714" s="506"/>
      <c r="B3714" s="200"/>
      <c r="C3714" s="73"/>
      <c r="D3714" s="73"/>
      <c r="E3714" s="73"/>
      <c r="F3714" s="162"/>
      <c r="G3714" s="162"/>
      <c r="H3714" s="194"/>
      <c r="I3714" s="161"/>
      <c r="J3714" s="162"/>
      <c r="K3714" s="73"/>
      <c r="L3714" s="73"/>
      <c r="M3714" s="73"/>
      <c r="N3714" s="171"/>
      <c r="O3714" s="171"/>
      <c r="P3714" s="171"/>
      <c r="Q3714" s="173"/>
      <c r="R3714" s="173"/>
      <c r="S3714" s="173"/>
      <c r="T3714" s="173"/>
      <c r="U3714" s="173"/>
      <c r="V3714" s="169"/>
      <c r="W3714" s="171"/>
      <c r="X3714" s="171"/>
    </row>
    <row r="3715" ht="15.0" customHeight="1">
      <c r="A3715" s="506"/>
      <c r="B3715" s="200"/>
      <c r="C3715" s="73"/>
      <c r="D3715" s="73"/>
      <c r="E3715" s="73"/>
      <c r="F3715" s="162"/>
      <c r="G3715" s="162"/>
      <c r="H3715" s="194"/>
      <c r="I3715" s="161"/>
      <c r="J3715" s="162"/>
      <c r="K3715" s="73"/>
      <c r="L3715" s="73"/>
      <c r="M3715" s="73"/>
      <c r="N3715" s="171"/>
      <c r="O3715" s="171"/>
      <c r="P3715" s="171"/>
      <c r="Q3715" s="173"/>
      <c r="R3715" s="173"/>
      <c r="S3715" s="173"/>
      <c r="T3715" s="173"/>
      <c r="U3715" s="173"/>
      <c r="V3715" s="169"/>
      <c r="W3715" s="171"/>
      <c r="X3715" s="171"/>
    </row>
    <row r="3716" ht="15.0" customHeight="1">
      <c r="A3716" s="506"/>
      <c r="B3716" s="200"/>
      <c r="C3716" s="73"/>
      <c r="D3716" s="73"/>
      <c r="E3716" s="73"/>
      <c r="F3716" s="162"/>
      <c r="G3716" s="162"/>
      <c r="H3716" s="194"/>
      <c r="I3716" s="161"/>
      <c r="J3716" s="162"/>
      <c r="K3716" s="73"/>
      <c r="L3716" s="73"/>
      <c r="M3716" s="73"/>
      <c r="N3716" s="171"/>
      <c r="O3716" s="171"/>
      <c r="P3716" s="171"/>
      <c r="Q3716" s="173"/>
      <c r="R3716" s="173"/>
      <c r="S3716" s="173"/>
      <c r="T3716" s="173"/>
      <c r="U3716" s="173"/>
      <c r="V3716" s="169"/>
      <c r="W3716" s="171"/>
      <c r="X3716" s="171"/>
    </row>
    <row r="3717" ht="15.0" customHeight="1">
      <c r="A3717" s="506"/>
      <c r="B3717" s="200"/>
      <c r="C3717" s="73"/>
      <c r="D3717" s="73"/>
      <c r="E3717" s="73"/>
      <c r="F3717" s="162"/>
      <c r="G3717" s="162"/>
      <c r="H3717" s="194"/>
      <c r="I3717" s="161"/>
      <c r="J3717" s="162"/>
      <c r="K3717" s="73"/>
      <c r="L3717" s="73"/>
      <c r="M3717" s="73"/>
      <c r="N3717" s="171"/>
      <c r="O3717" s="171"/>
      <c r="P3717" s="171"/>
      <c r="Q3717" s="173"/>
      <c r="R3717" s="173"/>
      <c r="S3717" s="173"/>
      <c r="T3717" s="173"/>
      <c r="U3717" s="173"/>
      <c r="V3717" s="169"/>
      <c r="W3717" s="171"/>
      <c r="X3717" s="171"/>
    </row>
    <row r="3718" ht="15.0" customHeight="1">
      <c r="A3718" s="506"/>
      <c r="B3718" s="200"/>
      <c r="C3718" s="73"/>
      <c r="D3718" s="73"/>
      <c r="E3718" s="73"/>
      <c r="F3718" s="162"/>
      <c r="G3718" s="162"/>
      <c r="H3718" s="194"/>
      <c r="I3718" s="161"/>
      <c r="J3718" s="162"/>
      <c r="K3718" s="73"/>
      <c r="L3718" s="73"/>
      <c r="M3718" s="73"/>
      <c r="N3718" s="171"/>
      <c r="O3718" s="171"/>
      <c r="P3718" s="171"/>
      <c r="Q3718" s="173"/>
      <c r="R3718" s="173"/>
      <c r="S3718" s="173"/>
      <c r="T3718" s="173"/>
      <c r="U3718" s="173"/>
      <c r="V3718" s="169"/>
      <c r="W3718" s="171"/>
      <c r="X3718" s="171"/>
    </row>
    <row r="3719" ht="15.0" customHeight="1">
      <c r="A3719" s="506"/>
      <c r="B3719" s="200"/>
      <c r="C3719" s="73"/>
      <c r="D3719" s="73"/>
      <c r="E3719" s="73"/>
      <c r="F3719" s="162"/>
      <c r="G3719" s="162"/>
      <c r="H3719" s="194"/>
      <c r="I3719" s="161"/>
      <c r="J3719" s="162"/>
      <c r="K3719" s="73"/>
      <c r="L3719" s="73"/>
      <c r="M3719" s="73"/>
      <c r="N3719" s="171"/>
      <c r="O3719" s="171"/>
      <c r="P3719" s="171"/>
      <c r="Q3719" s="173"/>
      <c r="R3719" s="173"/>
      <c r="S3719" s="173"/>
      <c r="T3719" s="173"/>
      <c r="U3719" s="173"/>
      <c r="V3719" s="169"/>
      <c r="W3719" s="171"/>
      <c r="X3719" s="171"/>
    </row>
    <row r="3720" ht="15.0" customHeight="1">
      <c r="A3720" s="506"/>
      <c r="B3720" s="200"/>
      <c r="C3720" s="73"/>
      <c r="D3720" s="73"/>
      <c r="E3720" s="73"/>
      <c r="F3720" s="162"/>
      <c r="G3720" s="162"/>
      <c r="H3720" s="194"/>
      <c r="I3720" s="161"/>
      <c r="J3720" s="162"/>
      <c r="K3720" s="73"/>
      <c r="L3720" s="73"/>
      <c r="M3720" s="73"/>
      <c r="N3720" s="171"/>
      <c r="O3720" s="171"/>
      <c r="P3720" s="171"/>
      <c r="Q3720" s="173"/>
      <c r="R3720" s="173"/>
      <c r="S3720" s="173"/>
      <c r="T3720" s="173"/>
      <c r="U3720" s="173"/>
      <c r="V3720" s="169"/>
      <c r="W3720" s="171"/>
      <c r="X3720" s="171"/>
    </row>
    <row r="3721" ht="15.0" customHeight="1">
      <c r="A3721" s="506"/>
      <c r="B3721" s="200"/>
      <c r="C3721" s="73"/>
      <c r="D3721" s="73"/>
      <c r="E3721" s="73"/>
      <c r="F3721" s="162"/>
      <c r="G3721" s="162"/>
      <c r="H3721" s="194"/>
      <c r="I3721" s="161"/>
      <c r="J3721" s="162"/>
      <c r="K3721" s="73"/>
      <c r="L3721" s="73"/>
      <c r="M3721" s="73"/>
      <c r="N3721" s="171"/>
      <c r="O3721" s="171"/>
      <c r="P3721" s="171"/>
      <c r="Q3721" s="173"/>
      <c r="R3721" s="173"/>
      <c r="S3721" s="173"/>
      <c r="T3721" s="173"/>
      <c r="U3721" s="173"/>
      <c r="V3721" s="169"/>
      <c r="W3721" s="171"/>
      <c r="X3721" s="171"/>
    </row>
    <row r="3722" ht="15.0" customHeight="1">
      <c r="A3722" s="506"/>
      <c r="B3722" s="200"/>
      <c r="C3722" s="73"/>
      <c r="D3722" s="73"/>
      <c r="E3722" s="73"/>
      <c r="F3722" s="162"/>
      <c r="G3722" s="162"/>
      <c r="H3722" s="194"/>
      <c r="I3722" s="161"/>
      <c r="J3722" s="162"/>
      <c r="K3722" s="73"/>
      <c r="L3722" s="73"/>
      <c r="M3722" s="73"/>
      <c r="N3722" s="171"/>
      <c r="O3722" s="171"/>
      <c r="P3722" s="171"/>
      <c r="Q3722" s="173"/>
      <c r="R3722" s="173"/>
      <c r="S3722" s="173"/>
      <c r="T3722" s="173"/>
      <c r="U3722" s="173"/>
      <c r="V3722" s="169"/>
      <c r="W3722" s="171"/>
      <c r="X3722" s="171"/>
    </row>
    <row r="3723" ht="15.0" customHeight="1">
      <c r="A3723" s="506"/>
      <c r="B3723" s="200"/>
      <c r="C3723" s="73"/>
      <c r="D3723" s="73"/>
      <c r="E3723" s="73"/>
      <c r="F3723" s="162"/>
      <c r="G3723" s="162"/>
      <c r="H3723" s="194"/>
      <c r="I3723" s="161"/>
      <c r="J3723" s="162"/>
      <c r="K3723" s="73"/>
      <c r="L3723" s="73"/>
      <c r="M3723" s="73"/>
      <c r="N3723" s="171"/>
      <c r="O3723" s="171"/>
      <c r="P3723" s="171"/>
      <c r="Q3723" s="173"/>
      <c r="R3723" s="173"/>
      <c r="S3723" s="173"/>
      <c r="T3723" s="173"/>
      <c r="U3723" s="173"/>
      <c r="V3723" s="169"/>
      <c r="W3723" s="171"/>
      <c r="X3723" s="171"/>
    </row>
    <row r="3724" ht="15.0" customHeight="1">
      <c r="A3724" s="506"/>
      <c r="B3724" s="200"/>
      <c r="C3724" s="73"/>
      <c r="D3724" s="73"/>
      <c r="E3724" s="73"/>
      <c r="F3724" s="162"/>
      <c r="G3724" s="162"/>
      <c r="H3724" s="194"/>
      <c r="I3724" s="161"/>
      <c r="J3724" s="162"/>
      <c r="K3724" s="73"/>
      <c r="L3724" s="73"/>
      <c r="M3724" s="73"/>
      <c r="N3724" s="171"/>
      <c r="O3724" s="171"/>
      <c r="P3724" s="171"/>
      <c r="Q3724" s="173"/>
      <c r="R3724" s="173"/>
      <c r="S3724" s="173"/>
      <c r="T3724" s="173"/>
      <c r="U3724" s="173"/>
      <c r="V3724" s="169"/>
      <c r="W3724" s="171"/>
      <c r="X3724" s="171"/>
    </row>
    <row r="3725" ht="15.0" customHeight="1">
      <c r="A3725" s="506"/>
      <c r="B3725" s="200"/>
      <c r="C3725" s="73"/>
      <c r="D3725" s="73"/>
      <c r="E3725" s="73"/>
      <c r="F3725" s="162"/>
      <c r="G3725" s="162"/>
      <c r="H3725" s="194"/>
      <c r="I3725" s="161"/>
      <c r="J3725" s="162"/>
      <c r="K3725" s="73"/>
      <c r="L3725" s="73"/>
      <c r="M3725" s="73"/>
      <c r="N3725" s="171"/>
      <c r="O3725" s="171"/>
      <c r="P3725" s="171"/>
      <c r="Q3725" s="173"/>
      <c r="R3725" s="173"/>
      <c r="S3725" s="173"/>
      <c r="T3725" s="173"/>
      <c r="U3725" s="173"/>
      <c r="V3725" s="169"/>
      <c r="W3725" s="171"/>
      <c r="X3725" s="171"/>
    </row>
    <row r="3726" ht="15.0" customHeight="1">
      <c r="A3726" s="506"/>
      <c r="B3726" s="200"/>
      <c r="C3726" s="73"/>
      <c r="D3726" s="73"/>
      <c r="E3726" s="73"/>
      <c r="F3726" s="162"/>
      <c r="G3726" s="162"/>
      <c r="H3726" s="194"/>
      <c r="I3726" s="161"/>
      <c r="J3726" s="162"/>
      <c r="K3726" s="73"/>
      <c r="L3726" s="73"/>
      <c r="M3726" s="73"/>
      <c r="N3726" s="171"/>
      <c r="O3726" s="171"/>
      <c r="P3726" s="171"/>
      <c r="Q3726" s="173"/>
      <c r="R3726" s="173"/>
      <c r="S3726" s="173"/>
      <c r="T3726" s="173"/>
      <c r="U3726" s="173"/>
      <c r="V3726" s="169"/>
      <c r="W3726" s="171"/>
      <c r="X3726" s="171"/>
    </row>
    <row r="3727" ht="15.0" customHeight="1">
      <c r="A3727" s="506"/>
      <c r="B3727" s="200"/>
      <c r="C3727" s="73"/>
      <c r="D3727" s="73"/>
      <c r="E3727" s="73"/>
      <c r="F3727" s="162"/>
      <c r="G3727" s="162"/>
      <c r="H3727" s="194"/>
      <c r="I3727" s="161"/>
      <c r="J3727" s="162"/>
      <c r="K3727" s="73"/>
      <c r="L3727" s="73"/>
      <c r="M3727" s="73"/>
      <c r="N3727" s="171"/>
      <c r="O3727" s="171"/>
      <c r="P3727" s="171"/>
      <c r="Q3727" s="173"/>
      <c r="R3727" s="173"/>
      <c r="S3727" s="173"/>
      <c r="T3727" s="173"/>
      <c r="U3727" s="173"/>
      <c r="V3727" s="169"/>
      <c r="W3727" s="171"/>
      <c r="X3727" s="171"/>
    </row>
    <row r="3728" ht="15.0" customHeight="1">
      <c r="A3728" s="506"/>
      <c r="B3728" s="200"/>
      <c r="C3728" s="73"/>
      <c r="D3728" s="73"/>
      <c r="E3728" s="73"/>
      <c r="F3728" s="162"/>
      <c r="G3728" s="162"/>
      <c r="H3728" s="194"/>
      <c r="I3728" s="161"/>
      <c r="J3728" s="162"/>
      <c r="K3728" s="73"/>
      <c r="L3728" s="73"/>
      <c r="M3728" s="73"/>
      <c r="N3728" s="171"/>
      <c r="O3728" s="171"/>
      <c r="P3728" s="171"/>
      <c r="Q3728" s="173"/>
      <c r="R3728" s="173"/>
      <c r="S3728" s="173"/>
      <c r="T3728" s="173"/>
      <c r="U3728" s="173"/>
      <c r="V3728" s="169"/>
      <c r="W3728" s="171"/>
      <c r="X3728" s="171"/>
    </row>
    <row r="3729" ht="15.0" customHeight="1">
      <c r="A3729" s="506"/>
      <c r="B3729" s="200"/>
      <c r="C3729" s="73"/>
      <c r="D3729" s="73"/>
      <c r="E3729" s="73"/>
      <c r="F3729" s="162"/>
      <c r="G3729" s="162"/>
      <c r="H3729" s="194"/>
      <c r="I3729" s="161"/>
      <c r="J3729" s="162"/>
      <c r="K3729" s="73"/>
      <c r="L3729" s="73"/>
      <c r="M3729" s="73"/>
      <c r="N3729" s="171"/>
      <c r="O3729" s="171"/>
      <c r="P3729" s="171"/>
      <c r="Q3729" s="173"/>
      <c r="R3729" s="173"/>
      <c r="S3729" s="173"/>
      <c r="T3729" s="173"/>
      <c r="U3729" s="173"/>
      <c r="V3729" s="169"/>
      <c r="W3729" s="171"/>
      <c r="X3729" s="171"/>
    </row>
    <row r="3730" ht="15.0" customHeight="1">
      <c r="A3730" s="506"/>
      <c r="B3730" s="200"/>
      <c r="C3730" s="73"/>
      <c r="D3730" s="73"/>
      <c r="E3730" s="73"/>
      <c r="F3730" s="162"/>
      <c r="G3730" s="162"/>
      <c r="H3730" s="194"/>
      <c r="I3730" s="161"/>
      <c r="J3730" s="162"/>
      <c r="K3730" s="73"/>
      <c r="L3730" s="73"/>
      <c r="M3730" s="73"/>
      <c r="N3730" s="171"/>
      <c r="O3730" s="171"/>
      <c r="P3730" s="171"/>
      <c r="Q3730" s="173"/>
      <c r="R3730" s="173"/>
      <c r="S3730" s="173"/>
      <c r="T3730" s="173"/>
      <c r="U3730" s="173"/>
      <c r="V3730" s="169"/>
      <c r="W3730" s="171"/>
      <c r="X3730" s="171"/>
    </row>
    <row r="3731" ht="15.0" customHeight="1">
      <c r="A3731" s="506"/>
      <c r="B3731" s="200"/>
      <c r="C3731" s="73"/>
      <c r="D3731" s="73"/>
      <c r="E3731" s="73"/>
      <c r="F3731" s="162"/>
      <c r="G3731" s="162"/>
      <c r="H3731" s="194"/>
      <c r="I3731" s="161"/>
      <c r="J3731" s="162"/>
      <c r="K3731" s="73"/>
      <c r="L3731" s="73"/>
      <c r="M3731" s="73"/>
      <c r="N3731" s="171"/>
      <c r="O3731" s="171"/>
      <c r="P3731" s="171"/>
      <c r="Q3731" s="173"/>
      <c r="R3731" s="173"/>
      <c r="S3731" s="173"/>
      <c r="T3731" s="173"/>
      <c r="U3731" s="173"/>
      <c r="V3731" s="169"/>
      <c r="W3731" s="171"/>
      <c r="X3731" s="171"/>
    </row>
    <row r="3732" ht="15.0" customHeight="1">
      <c r="A3732" s="506"/>
      <c r="B3732" s="200"/>
      <c r="C3732" s="73"/>
      <c r="D3732" s="73"/>
      <c r="E3732" s="73"/>
      <c r="F3732" s="162"/>
      <c r="G3732" s="162"/>
      <c r="H3732" s="194"/>
      <c r="I3732" s="161"/>
      <c r="J3732" s="162"/>
      <c r="K3732" s="73"/>
      <c r="L3732" s="73"/>
      <c r="M3732" s="73"/>
      <c r="N3732" s="171"/>
      <c r="O3732" s="171"/>
      <c r="P3732" s="171"/>
      <c r="Q3732" s="173"/>
      <c r="R3732" s="173"/>
      <c r="S3732" s="173"/>
      <c r="T3732" s="173"/>
      <c r="U3732" s="173"/>
      <c r="V3732" s="169"/>
      <c r="W3732" s="171"/>
      <c r="X3732" s="171"/>
    </row>
    <row r="3733" ht="15.0" customHeight="1">
      <c r="A3733" s="506"/>
      <c r="B3733" s="200"/>
      <c r="C3733" s="73"/>
      <c r="D3733" s="73"/>
      <c r="E3733" s="73"/>
      <c r="F3733" s="162"/>
      <c r="G3733" s="162"/>
      <c r="H3733" s="194"/>
      <c r="I3733" s="161"/>
      <c r="J3733" s="162"/>
      <c r="K3733" s="73"/>
      <c r="L3733" s="73"/>
      <c r="M3733" s="73"/>
      <c r="N3733" s="171"/>
      <c r="O3733" s="171"/>
      <c r="P3733" s="171"/>
      <c r="Q3733" s="173"/>
      <c r="R3733" s="173"/>
      <c r="S3733" s="173"/>
      <c r="T3733" s="173"/>
      <c r="U3733" s="173"/>
      <c r="V3733" s="169"/>
      <c r="W3733" s="171"/>
      <c r="X3733" s="171"/>
    </row>
    <row r="3734" ht="15.0" customHeight="1">
      <c r="A3734" s="506"/>
      <c r="B3734" s="200"/>
      <c r="C3734" s="73"/>
      <c r="D3734" s="73"/>
      <c r="E3734" s="73"/>
      <c r="F3734" s="162"/>
      <c r="G3734" s="162"/>
      <c r="H3734" s="194"/>
      <c r="I3734" s="161"/>
      <c r="J3734" s="162"/>
      <c r="K3734" s="73"/>
      <c r="L3734" s="73"/>
      <c r="M3734" s="73"/>
      <c r="N3734" s="171"/>
      <c r="O3734" s="171"/>
      <c r="P3734" s="171"/>
      <c r="Q3734" s="173"/>
      <c r="R3734" s="173"/>
      <c r="S3734" s="173"/>
      <c r="T3734" s="173"/>
      <c r="U3734" s="173"/>
      <c r="V3734" s="169"/>
      <c r="W3734" s="171"/>
      <c r="X3734" s="171"/>
    </row>
    <row r="3735" ht="15.0" customHeight="1">
      <c r="A3735" s="506"/>
      <c r="B3735" s="200"/>
      <c r="C3735" s="73"/>
      <c r="D3735" s="73"/>
      <c r="E3735" s="73"/>
      <c r="F3735" s="162"/>
      <c r="G3735" s="162"/>
      <c r="H3735" s="194"/>
      <c r="I3735" s="161"/>
      <c r="J3735" s="162"/>
      <c r="K3735" s="73"/>
      <c r="L3735" s="73"/>
      <c r="M3735" s="73"/>
      <c r="N3735" s="171"/>
      <c r="O3735" s="171"/>
      <c r="P3735" s="171"/>
      <c r="Q3735" s="173"/>
      <c r="R3735" s="173"/>
      <c r="S3735" s="173"/>
      <c r="T3735" s="173"/>
      <c r="U3735" s="173"/>
      <c r="V3735" s="169"/>
      <c r="W3735" s="171"/>
      <c r="X3735" s="171"/>
    </row>
    <row r="3736" ht="15.0" customHeight="1">
      <c r="A3736" s="506"/>
      <c r="B3736" s="200"/>
      <c r="C3736" s="73"/>
      <c r="D3736" s="73"/>
      <c r="E3736" s="73"/>
      <c r="F3736" s="162"/>
      <c r="G3736" s="162"/>
      <c r="H3736" s="194"/>
      <c r="I3736" s="161"/>
      <c r="J3736" s="162"/>
      <c r="K3736" s="73"/>
      <c r="L3736" s="73"/>
      <c r="M3736" s="73"/>
      <c r="N3736" s="171"/>
      <c r="O3736" s="171"/>
      <c r="P3736" s="171"/>
      <c r="Q3736" s="173"/>
      <c r="R3736" s="173"/>
      <c r="S3736" s="173"/>
      <c r="T3736" s="173"/>
      <c r="U3736" s="173"/>
      <c r="V3736" s="169"/>
      <c r="W3736" s="171"/>
      <c r="X3736" s="171"/>
    </row>
    <row r="3737" ht="15.0" customHeight="1">
      <c r="A3737" s="506"/>
      <c r="B3737" s="200"/>
      <c r="C3737" s="73"/>
      <c r="D3737" s="73"/>
      <c r="E3737" s="73"/>
      <c r="F3737" s="162"/>
      <c r="G3737" s="162"/>
      <c r="H3737" s="194"/>
      <c r="I3737" s="161"/>
      <c r="J3737" s="162"/>
      <c r="K3737" s="73"/>
      <c r="L3737" s="73"/>
      <c r="M3737" s="73"/>
      <c r="N3737" s="171"/>
      <c r="O3737" s="171"/>
      <c r="P3737" s="171"/>
      <c r="Q3737" s="173"/>
      <c r="R3737" s="173"/>
      <c r="S3737" s="173"/>
      <c r="T3737" s="173"/>
      <c r="U3737" s="173"/>
      <c r="V3737" s="169"/>
      <c r="W3737" s="171"/>
      <c r="X3737" s="171"/>
    </row>
    <row r="3738" ht="15.0" customHeight="1">
      <c r="A3738" s="506"/>
      <c r="B3738" s="200"/>
      <c r="C3738" s="73"/>
      <c r="D3738" s="73"/>
      <c r="E3738" s="73"/>
      <c r="F3738" s="162"/>
      <c r="G3738" s="162"/>
      <c r="H3738" s="194"/>
      <c r="I3738" s="161"/>
      <c r="J3738" s="162"/>
      <c r="K3738" s="73"/>
      <c r="L3738" s="73"/>
      <c r="M3738" s="73"/>
      <c r="N3738" s="171"/>
      <c r="O3738" s="171"/>
      <c r="P3738" s="171"/>
      <c r="Q3738" s="173"/>
      <c r="R3738" s="173"/>
      <c r="S3738" s="173"/>
      <c r="T3738" s="173"/>
      <c r="U3738" s="173"/>
      <c r="V3738" s="169"/>
      <c r="W3738" s="171"/>
      <c r="X3738" s="171"/>
    </row>
    <row r="3739" ht="15.0" customHeight="1">
      <c r="A3739" s="506"/>
      <c r="B3739" s="200"/>
      <c r="C3739" s="73"/>
      <c r="D3739" s="73"/>
      <c r="E3739" s="73"/>
      <c r="F3739" s="162"/>
      <c r="G3739" s="162"/>
      <c r="H3739" s="194"/>
      <c r="I3739" s="161"/>
      <c r="J3739" s="162"/>
      <c r="K3739" s="73"/>
      <c r="L3739" s="73"/>
      <c r="M3739" s="73"/>
      <c r="N3739" s="171"/>
      <c r="O3739" s="171"/>
      <c r="P3739" s="171"/>
      <c r="Q3739" s="173"/>
      <c r="R3739" s="173"/>
      <c r="S3739" s="173"/>
      <c r="T3739" s="173"/>
      <c r="U3739" s="173"/>
      <c r="V3739" s="169"/>
      <c r="W3739" s="171"/>
      <c r="X3739" s="171"/>
    </row>
    <row r="3740" ht="15.0" customHeight="1">
      <c r="A3740" s="506"/>
      <c r="B3740" s="200"/>
      <c r="C3740" s="73"/>
      <c r="D3740" s="73"/>
      <c r="E3740" s="73"/>
      <c r="F3740" s="162"/>
      <c r="G3740" s="162"/>
      <c r="H3740" s="194"/>
      <c r="I3740" s="161"/>
      <c r="J3740" s="162"/>
      <c r="K3740" s="73"/>
      <c r="L3740" s="73"/>
      <c r="M3740" s="73"/>
      <c r="N3740" s="171"/>
      <c r="O3740" s="171"/>
      <c r="P3740" s="171"/>
      <c r="Q3740" s="173"/>
      <c r="R3740" s="173"/>
      <c r="S3740" s="173"/>
      <c r="T3740" s="173"/>
      <c r="U3740" s="173"/>
      <c r="V3740" s="169"/>
      <c r="W3740" s="171"/>
      <c r="X3740" s="171"/>
    </row>
    <row r="3741" ht="15.0" customHeight="1">
      <c r="A3741" s="506"/>
      <c r="B3741" s="200"/>
      <c r="C3741" s="73"/>
      <c r="D3741" s="73"/>
      <c r="E3741" s="73"/>
      <c r="F3741" s="162"/>
      <c r="G3741" s="162"/>
      <c r="H3741" s="194"/>
      <c r="I3741" s="161"/>
      <c r="J3741" s="162"/>
      <c r="K3741" s="73"/>
      <c r="L3741" s="73"/>
      <c r="M3741" s="73"/>
      <c r="N3741" s="171"/>
      <c r="O3741" s="171"/>
      <c r="P3741" s="171"/>
      <c r="Q3741" s="173"/>
      <c r="R3741" s="173"/>
      <c r="S3741" s="173"/>
      <c r="T3741" s="173"/>
      <c r="U3741" s="173"/>
      <c r="V3741" s="169"/>
      <c r="W3741" s="171"/>
      <c r="X3741" s="171"/>
    </row>
    <row r="3742" ht="15.0" customHeight="1">
      <c r="A3742" s="506"/>
      <c r="B3742" s="200"/>
      <c r="C3742" s="73"/>
      <c r="D3742" s="73"/>
      <c r="E3742" s="73"/>
      <c r="F3742" s="162"/>
      <c r="G3742" s="162"/>
      <c r="H3742" s="194"/>
      <c r="I3742" s="161"/>
      <c r="J3742" s="162"/>
      <c r="K3742" s="73"/>
      <c r="L3742" s="73"/>
      <c r="M3742" s="73"/>
      <c r="N3742" s="171"/>
      <c r="O3742" s="171"/>
      <c r="P3742" s="171"/>
      <c r="Q3742" s="173"/>
      <c r="R3742" s="173"/>
      <c r="S3742" s="173"/>
      <c r="T3742" s="173"/>
      <c r="U3742" s="173"/>
      <c r="V3742" s="169"/>
      <c r="W3742" s="171"/>
      <c r="X3742" s="171"/>
    </row>
    <row r="3743" ht="15.0" customHeight="1">
      <c r="A3743" s="506"/>
      <c r="B3743" s="200"/>
      <c r="C3743" s="73"/>
      <c r="D3743" s="73"/>
      <c r="E3743" s="73"/>
      <c r="F3743" s="162"/>
      <c r="G3743" s="162"/>
      <c r="H3743" s="194"/>
      <c r="I3743" s="161"/>
      <c r="J3743" s="162"/>
      <c r="K3743" s="73"/>
      <c r="L3743" s="73"/>
      <c r="M3743" s="73"/>
      <c r="N3743" s="171"/>
      <c r="O3743" s="171"/>
      <c r="P3743" s="171"/>
      <c r="Q3743" s="173"/>
      <c r="R3743" s="173"/>
      <c r="S3743" s="173"/>
      <c r="T3743" s="173"/>
      <c r="U3743" s="173"/>
      <c r="V3743" s="169"/>
      <c r="W3743" s="171"/>
      <c r="X3743" s="171"/>
    </row>
    <row r="3744" ht="15.0" customHeight="1">
      <c r="A3744" s="506"/>
      <c r="B3744" s="200"/>
      <c r="C3744" s="73"/>
      <c r="D3744" s="73"/>
      <c r="E3744" s="73"/>
      <c r="F3744" s="162"/>
      <c r="G3744" s="162"/>
      <c r="H3744" s="194"/>
      <c r="I3744" s="161"/>
      <c r="J3744" s="162"/>
      <c r="K3744" s="73"/>
      <c r="L3744" s="73"/>
      <c r="M3744" s="73"/>
      <c r="N3744" s="171"/>
      <c r="O3744" s="171"/>
      <c r="P3744" s="171"/>
      <c r="Q3744" s="173"/>
      <c r="R3744" s="173"/>
      <c r="S3744" s="173"/>
      <c r="T3744" s="173"/>
      <c r="U3744" s="173"/>
      <c r="V3744" s="169"/>
      <c r="W3744" s="171"/>
      <c r="X3744" s="171"/>
    </row>
    <row r="3745" ht="15.0" customHeight="1">
      <c r="A3745" s="506"/>
      <c r="B3745" s="200"/>
      <c r="C3745" s="73"/>
      <c r="D3745" s="73"/>
      <c r="E3745" s="73"/>
      <c r="F3745" s="162"/>
      <c r="G3745" s="162"/>
      <c r="H3745" s="194"/>
      <c r="I3745" s="161"/>
      <c r="J3745" s="162"/>
      <c r="K3745" s="73"/>
      <c r="L3745" s="73"/>
      <c r="M3745" s="73"/>
      <c r="N3745" s="171"/>
      <c r="O3745" s="171"/>
      <c r="P3745" s="171"/>
      <c r="Q3745" s="173"/>
      <c r="R3745" s="173"/>
      <c r="S3745" s="173"/>
      <c r="T3745" s="173"/>
      <c r="U3745" s="173"/>
      <c r="V3745" s="169"/>
      <c r="W3745" s="171"/>
      <c r="X3745" s="171"/>
    </row>
    <row r="3746" ht="15.0" customHeight="1">
      <c r="A3746" s="506"/>
      <c r="B3746" s="200"/>
      <c r="C3746" s="73"/>
      <c r="D3746" s="73"/>
      <c r="E3746" s="73"/>
      <c r="F3746" s="162"/>
      <c r="G3746" s="162"/>
      <c r="H3746" s="194"/>
      <c r="I3746" s="161"/>
      <c r="J3746" s="162"/>
      <c r="K3746" s="73"/>
      <c r="L3746" s="73"/>
      <c r="M3746" s="73"/>
      <c r="N3746" s="171"/>
      <c r="O3746" s="171"/>
      <c r="P3746" s="171"/>
      <c r="Q3746" s="173"/>
      <c r="R3746" s="173"/>
      <c r="S3746" s="173"/>
      <c r="T3746" s="173"/>
      <c r="U3746" s="173"/>
      <c r="V3746" s="169"/>
      <c r="W3746" s="171"/>
      <c r="X3746" s="171"/>
    </row>
    <row r="3747" ht="15.0" customHeight="1">
      <c r="A3747" s="506"/>
      <c r="B3747" s="200"/>
      <c r="C3747" s="73"/>
      <c r="D3747" s="73"/>
      <c r="E3747" s="73"/>
      <c r="F3747" s="162"/>
      <c r="G3747" s="162"/>
      <c r="H3747" s="194"/>
      <c r="I3747" s="161"/>
      <c r="J3747" s="162"/>
      <c r="K3747" s="73"/>
      <c r="L3747" s="73"/>
      <c r="M3747" s="73"/>
      <c r="N3747" s="171"/>
      <c r="O3747" s="171"/>
      <c r="P3747" s="171"/>
      <c r="Q3747" s="173"/>
      <c r="R3747" s="173"/>
      <c r="S3747" s="173"/>
      <c r="T3747" s="173"/>
      <c r="U3747" s="173"/>
      <c r="V3747" s="169"/>
      <c r="W3747" s="171"/>
      <c r="X3747" s="171"/>
    </row>
    <row r="3748" ht="15.0" customHeight="1">
      <c r="A3748" s="506"/>
      <c r="B3748" s="200"/>
      <c r="C3748" s="73"/>
      <c r="D3748" s="73"/>
      <c r="E3748" s="73"/>
      <c r="F3748" s="162"/>
      <c r="G3748" s="162"/>
      <c r="H3748" s="194"/>
      <c r="I3748" s="161"/>
      <c r="J3748" s="162"/>
      <c r="K3748" s="73"/>
      <c r="L3748" s="73"/>
      <c r="M3748" s="73"/>
      <c r="N3748" s="171"/>
      <c r="O3748" s="171"/>
      <c r="P3748" s="171"/>
      <c r="Q3748" s="173"/>
      <c r="R3748" s="173"/>
      <c r="S3748" s="173"/>
      <c r="T3748" s="173"/>
      <c r="U3748" s="173"/>
      <c r="V3748" s="169"/>
      <c r="W3748" s="171"/>
      <c r="X3748" s="171"/>
    </row>
    <row r="3749" ht="15.0" customHeight="1">
      <c r="A3749" s="506"/>
      <c r="B3749" s="200"/>
      <c r="C3749" s="73"/>
      <c r="D3749" s="73"/>
      <c r="E3749" s="73"/>
      <c r="F3749" s="162"/>
      <c r="G3749" s="162"/>
      <c r="H3749" s="194"/>
      <c r="I3749" s="161"/>
      <c r="J3749" s="162"/>
      <c r="K3749" s="73"/>
      <c r="L3749" s="73"/>
      <c r="M3749" s="73"/>
      <c r="N3749" s="171"/>
      <c r="O3749" s="171"/>
      <c r="P3749" s="171"/>
      <c r="Q3749" s="173"/>
      <c r="R3749" s="173"/>
      <c r="S3749" s="173"/>
      <c r="T3749" s="173"/>
      <c r="U3749" s="173"/>
      <c r="V3749" s="169"/>
      <c r="W3749" s="171"/>
      <c r="X3749" s="171"/>
    </row>
    <row r="3750" ht="15.0" customHeight="1">
      <c r="A3750" s="506"/>
      <c r="B3750" s="200"/>
      <c r="C3750" s="73"/>
      <c r="D3750" s="73"/>
      <c r="E3750" s="73"/>
      <c r="F3750" s="162"/>
      <c r="G3750" s="162"/>
      <c r="H3750" s="194"/>
      <c r="I3750" s="161"/>
      <c r="J3750" s="162"/>
      <c r="K3750" s="73"/>
      <c r="L3750" s="73"/>
      <c r="M3750" s="73"/>
      <c r="N3750" s="171"/>
      <c r="O3750" s="171"/>
      <c r="P3750" s="171"/>
      <c r="Q3750" s="173"/>
      <c r="R3750" s="173"/>
      <c r="S3750" s="173"/>
      <c r="T3750" s="173"/>
      <c r="U3750" s="173"/>
      <c r="V3750" s="169"/>
      <c r="W3750" s="171"/>
      <c r="X3750" s="171"/>
    </row>
    <row r="3751" ht="15.0" customHeight="1">
      <c r="A3751" s="506"/>
      <c r="B3751" s="200"/>
      <c r="C3751" s="73"/>
      <c r="D3751" s="73"/>
      <c r="E3751" s="73"/>
      <c r="F3751" s="162"/>
      <c r="G3751" s="162"/>
      <c r="H3751" s="194"/>
      <c r="I3751" s="161"/>
      <c r="J3751" s="162"/>
      <c r="K3751" s="73"/>
      <c r="L3751" s="73"/>
      <c r="M3751" s="73"/>
      <c r="N3751" s="171"/>
      <c r="O3751" s="171"/>
      <c r="P3751" s="171"/>
      <c r="Q3751" s="173"/>
      <c r="R3751" s="173"/>
      <c r="S3751" s="173"/>
      <c r="T3751" s="173"/>
      <c r="U3751" s="173"/>
      <c r="V3751" s="169"/>
      <c r="W3751" s="171"/>
      <c r="X3751" s="171"/>
    </row>
    <row r="3752" ht="15.0" customHeight="1">
      <c r="A3752" s="506"/>
      <c r="B3752" s="200"/>
      <c r="C3752" s="73"/>
      <c r="D3752" s="73"/>
      <c r="E3752" s="73"/>
      <c r="F3752" s="162"/>
      <c r="G3752" s="162"/>
      <c r="H3752" s="194"/>
      <c r="I3752" s="161"/>
      <c r="J3752" s="162"/>
      <c r="K3752" s="73"/>
      <c r="L3752" s="73"/>
      <c r="M3752" s="73"/>
      <c r="N3752" s="171"/>
      <c r="O3752" s="171"/>
      <c r="P3752" s="171"/>
      <c r="Q3752" s="173"/>
      <c r="R3752" s="173"/>
      <c r="S3752" s="173"/>
      <c r="T3752" s="173"/>
      <c r="U3752" s="173"/>
      <c r="V3752" s="169"/>
      <c r="W3752" s="171"/>
      <c r="X3752" s="171"/>
    </row>
    <row r="3753" ht="15.0" customHeight="1">
      <c r="A3753" s="506"/>
      <c r="B3753" s="200"/>
      <c r="C3753" s="73"/>
      <c r="D3753" s="73"/>
      <c r="E3753" s="73"/>
      <c r="F3753" s="162"/>
      <c r="G3753" s="162"/>
      <c r="H3753" s="194"/>
      <c r="I3753" s="161"/>
      <c r="J3753" s="162"/>
      <c r="K3753" s="73"/>
      <c r="L3753" s="73"/>
      <c r="M3753" s="73"/>
      <c r="N3753" s="171"/>
      <c r="O3753" s="171"/>
      <c r="P3753" s="171"/>
      <c r="Q3753" s="173"/>
      <c r="R3753" s="173"/>
      <c r="S3753" s="173"/>
      <c r="T3753" s="173"/>
      <c r="U3753" s="173"/>
      <c r="V3753" s="169"/>
      <c r="W3753" s="171"/>
      <c r="X3753" s="171"/>
    </row>
    <row r="3754" ht="15.0" customHeight="1">
      <c r="A3754" s="506"/>
      <c r="B3754" s="200"/>
      <c r="C3754" s="73"/>
      <c r="D3754" s="73"/>
      <c r="E3754" s="73"/>
      <c r="F3754" s="162"/>
      <c r="G3754" s="162"/>
      <c r="H3754" s="194"/>
      <c r="I3754" s="161"/>
      <c r="J3754" s="162"/>
      <c r="K3754" s="73"/>
      <c r="L3754" s="73"/>
      <c r="M3754" s="73"/>
      <c r="N3754" s="171"/>
      <c r="O3754" s="171"/>
      <c r="P3754" s="171"/>
      <c r="Q3754" s="173"/>
      <c r="R3754" s="173"/>
      <c r="S3754" s="173"/>
      <c r="T3754" s="173"/>
      <c r="U3754" s="173"/>
      <c r="V3754" s="169"/>
      <c r="W3754" s="171"/>
      <c r="X3754" s="171"/>
    </row>
    <row r="3755" ht="15.0" customHeight="1">
      <c r="A3755" s="506"/>
      <c r="B3755" s="200"/>
      <c r="C3755" s="73"/>
      <c r="D3755" s="73"/>
      <c r="E3755" s="73"/>
      <c r="F3755" s="162"/>
      <c r="G3755" s="162"/>
      <c r="H3755" s="194"/>
      <c r="I3755" s="161"/>
      <c r="J3755" s="162"/>
      <c r="K3755" s="73"/>
      <c r="L3755" s="73"/>
      <c r="M3755" s="73"/>
      <c r="N3755" s="171"/>
      <c r="O3755" s="171"/>
      <c r="P3755" s="171"/>
      <c r="Q3755" s="173"/>
      <c r="R3755" s="173"/>
      <c r="S3755" s="173"/>
      <c r="T3755" s="173"/>
      <c r="U3755" s="173"/>
      <c r="V3755" s="169"/>
      <c r="W3755" s="171"/>
      <c r="X3755" s="171"/>
    </row>
    <row r="3756" ht="15.0" customHeight="1">
      <c r="A3756" s="506"/>
      <c r="B3756" s="200"/>
      <c r="C3756" s="73"/>
      <c r="D3756" s="73"/>
      <c r="E3756" s="73"/>
      <c r="F3756" s="162"/>
      <c r="G3756" s="162"/>
      <c r="H3756" s="194"/>
      <c r="I3756" s="161"/>
      <c r="J3756" s="162"/>
      <c r="K3756" s="73"/>
      <c r="L3756" s="73"/>
      <c r="M3756" s="73"/>
      <c r="N3756" s="171"/>
      <c r="O3756" s="171"/>
      <c r="P3756" s="171"/>
      <c r="Q3756" s="173"/>
      <c r="R3756" s="173"/>
      <c r="S3756" s="173"/>
      <c r="T3756" s="173"/>
      <c r="U3756" s="173"/>
      <c r="V3756" s="169"/>
      <c r="W3756" s="171"/>
      <c r="X3756" s="171"/>
    </row>
    <row r="3757" ht="15.0" customHeight="1">
      <c r="A3757" s="506"/>
      <c r="B3757" s="200"/>
      <c r="C3757" s="73"/>
      <c r="D3757" s="73"/>
      <c r="E3757" s="73"/>
      <c r="F3757" s="162"/>
      <c r="G3757" s="162"/>
      <c r="H3757" s="194"/>
      <c r="I3757" s="161"/>
      <c r="J3757" s="162"/>
      <c r="K3757" s="73"/>
      <c r="L3757" s="73"/>
      <c r="M3757" s="73"/>
      <c r="N3757" s="171"/>
      <c r="O3757" s="171"/>
      <c r="P3757" s="171"/>
      <c r="Q3757" s="173"/>
      <c r="R3757" s="173"/>
      <c r="S3757" s="173"/>
      <c r="T3757" s="173"/>
      <c r="U3757" s="173"/>
      <c r="V3757" s="169"/>
      <c r="W3757" s="171"/>
      <c r="X3757" s="171"/>
    </row>
    <row r="3758" ht="15.0" customHeight="1">
      <c r="A3758" s="506"/>
      <c r="B3758" s="200"/>
      <c r="C3758" s="73"/>
      <c r="D3758" s="73"/>
      <c r="E3758" s="73"/>
      <c r="F3758" s="162"/>
      <c r="G3758" s="162"/>
      <c r="H3758" s="194"/>
      <c r="I3758" s="161"/>
      <c r="J3758" s="162"/>
      <c r="K3758" s="73"/>
      <c r="L3758" s="73"/>
      <c r="M3758" s="73"/>
      <c r="N3758" s="171"/>
      <c r="O3758" s="171"/>
      <c r="P3758" s="171"/>
      <c r="Q3758" s="173"/>
      <c r="R3758" s="173"/>
      <c r="S3758" s="173"/>
      <c r="T3758" s="173"/>
      <c r="U3758" s="173"/>
      <c r="V3758" s="169"/>
      <c r="W3758" s="171"/>
      <c r="X3758" s="171"/>
    </row>
    <row r="3759" ht="15.0" customHeight="1">
      <c r="A3759" s="506"/>
      <c r="B3759" s="200"/>
      <c r="C3759" s="73"/>
      <c r="D3759" s="73"/>
      <c r="E3759" s="73"/>
      <c r="F3759" s="162"/>
      <c r="G3759" s="162"/>
      <c r="H3759" s="194"/>
      <c r="I3759" s="161"/>
      <c r="J3759" s="162"/>
      <c r="K3759" s="73"/>
      <c r="L3759" s="73"/>
      <c r="M3759" s="73"/>
      <c r="N3759" s="171"/>
      <c r="O3759" s="171"/>
      <c r="P3759" s="171"/>
      <c r="Q3759" s="173"/>
      <c r="R3759" s="173"/>
      <c r="S3759" s="173"/>
      <c r="T3759" s="173"/>
      <c r="U3759" s="173"/>
      <c r="V3759" s="169"/>
      <c r="W3759" s="171"/>
      <c r="X3759" s="171"/>
    </row>
    <row r="3760" ht="15.0" customHeight="1">
      <c r="A3760" s="506"/>
      <c r="B3760" s="200"/>
      <c r="C3760" s="73"/>
      <c r="D3760" s="73"/>
      <c r="E3760" s="73"/>
      <c r="F3760" s="162"/>
      <c r="G3760" s="162"/>
      <c r="H3760" s="194"/>
      <c r="I3760" s="161"/>
      <c r="J3760" s="162"/>
      <c r="K3760" s="73"/>
      <c r="L3760" s="73"/>
      <c r="M3760" s="73"/>
      <c r="N3760" s="171"/>
      <c r="O3760" s="171"/>
      <c r="P3760" s="171"/>
      <c r="Q3760" s="173"/>
      <c r="R3760" s="173"/>
      <c r="S3760" s="173"/>
      <c r="T3760" s="173"/>
      <c r="U3760" s="173"/>
      <c r="V3760" s="169"/>
      <c r="W3760" s="171"/>
      <c r="X3760" s="171"/>
    </row>
    <row r="3761" ht="15.0" customHeight="1">
      <c r="A3761" s="506"/>
      <c r="B3761" s="200"/>
      <c r="C3761" s="73"/>
      <c r="D3761" s="73"/>
      <c r="E3761" s="73"/>
      <c r="F3761" s="162"/>
      <c r="G3761" s="162"/>
      <c r="H3761" s="194"/>
      <c r="I3761" s="161"/>
      <c r="J3761" s="162"/>
      <c r="K3761" s="73"/>
      <c r="L3761" s="73"/>
      <c r="M3761" s="73"/>
      <c r="N3761" s="171"/>
      <c r="O3761" s="171"/>
      <c r="P3761" s="171"/>
      <c r="Q3761" s="173"/>
      <c r="R3761" s="173"/>
      <c r="S3761" s="173"/>
      <c r="T3761" s="173"/>
      <c r="U3761" s="173"/>
      <c r="V3761" s="169"/>
      <c r="W3761" s="171"/>
      <c r="X3761" s="171"/>
    </row>
    <row r="3762" ht="15.0" customHeight="1">
      <c r="A3762" s="506"/>
      <c r="B3762" s="200"/>
      <c r="C3762" s="73"/>
      <c r="D3762" s="73"/>
      <c r="E3762" s="73"/>
      <c r="F3762" s="162"/>
      <c r="G3762" s="162"/>
      <c r="H3762" s="194"/>
      <c r="I3762" s="161"/>
      <c r="J3762" s="162"/>
      <c r="K3762" s="73"/>
      <c r="L3762" s="73"/>
      <c r="M3762" s="73"/>
      <c r="N3762" s="171"/>
      <c r="O3762" s="171"/>
      <c r="P3762" s="171"/>
      <c r="Q3762" s="173"/>
      <c r="R3762" s="173"/>
      <c r="S3762" s="173"/>
      <c r="T3762" s="173"/>
      <c r="U3762" s="173"/>
      <c r="V3762" s="169"/>
      <c r="W3762" s="171"/>
      <c r="X3762" s="171"/>
    </row>
    <row r="3763" ht="15.0" customHeight="1">
      <c r="A3763" s="506"/>
      <c r="B3763" s="200"/>
      <c r="C3763" s="73"/>
      <c r="D3763" s="73"/>
      <c r="E3763" s="73"/>
      <c r="F3763" s="162"/>
      <c r="G3763" s="162"/>
      <c r="H3763" s="194"/>
      <c r="I3763" s="161"/>
      <c r="J3763" s="162"/>
      <c r="K3763" s="73"/>
      <c r="L3763" s="73"/>
      <c r="M3763" s="73"/>
      <c r="N3763" s="171"/>
      <c r="O3763" s="171"/>
      <c r="P3763" s="171"/>
      <c r="Q3763" s="173"/>
      <c r="R3763" s="173"/>
      <c r="S3763" s="173"/>
      <c r="T3763" s="173"/>
      <c r="U3763" s="173"/>
      <c r="V3763" s="169"/>
      <c r="W3763" s="171"/>
      <c r="X3763" s="171"/>
    </row>
    <row r="3764" ht="15.0" customHeight="1">
      <c r="A3764" s="506"/>
      <c r="B3764" s="200"/>
      <c r="C3764" s="73"/>
      <c r="D3764" s="73"/>
      <c r="E3764" s="73"/>
      <c r="F3764" s="162"/>
      <c r="G3764" s="162"/>
      <c r="H3764" s="194"/>
      <c r="I3764" s="161"/>
      <c r="J3764" s="162"/>
      <c r="K3764" s="73"/>
      <c r="L3764" s="73"/>
      <c r="M3764" s="73"/>
      <c r="N3764" s="171"/>
      <c r="O3764" s="171"/>
      <c r="P3764" s="171"/>
      <c r="Q3764" s="173"/>
      <c r="R3764" s="173"/>
      <c r="S3764" s="173"/>
      <c r="T3764" s="173"/>
      <c r="U3764" s="173"/>
      <c r="V3764" s="169"/>
      <c r="W3764" s="171"/>
      <c r="X3764" s="171"/>
    </row>
    <row r="3765" ht="15.0" customHeight="1">
      <c r="A3765" s="506"/>
      <c r="B3765" s="200"/>
      <c r="C3765" s="73"/>
      <c r="D3765" s="73"/>
      <c r="E3765" s="73"/>
      <c r="F3765" s="162"/>
      <c r="G3765" s="162"/>
      <c r="H3765" s="194"/>
      <c r="I3765" s="161"/>
      <c r="J3765" s="162"/>
      <c r="K3765" s="73"/>
      <c r="L3765" s="73"/>
      <c r="M3765" s="73"/>
      <c r="N3765" s="171"/>
      <c r="O3765" s="171"/>
      <c r="P3765" s="171"/>
      <c r="Q3765" s="173"/>
      <c r="R3765" s="173"/>
      <c r="S3765" s="173"/>
      <c r="T3765" s="173"/>
      <c r="U3765" s="173"/>
      <c r="V3765" s="169"/>
      <c r="W3765" s="171"/>
      <c r="X3765" s="171"/>
    </row>
    <row r="3766" ht="15.0" customHeight="1">
      <c r="A3766" s="506"/>
      <c r="B3766" s="200"/>
      <c r="C3766" s="73"/>
      <c r="D3766" s="73"/>
      <c r="E3766" s="73"/>
      <c r="F3766" s="162"/>
      <c r="G3766" s="162"/>
      <c r="H3766" s="194"/>
      <c r="I3766" s="161"/>
      <c r="J3766" s="162"/>
      <c r="K3766" s="73"/>
      <c r="L3766" s="73"/>
      <c r="M3766" s="73"/>
      <c r="N3766" s="171"/>
      <c r="O3766" s="171"/>
      <c r="P3766" s="171"/>
      <c r="Q3766" s="173"/>
      <c r="R3766" s="173"/>
      <c r="S3766" s="173"/>
      <c r="T3766" s="173"/>
      <c r="U3766" s="173"/>
      <c r="V3766" s="169"/>
      <c r="W3766" s="171"/>
      <c r="X3766" s="171"/>
    </row>
    <row r="3767" ht="15.0" customHeight="1">
      <c r="A3767" s="506"/>
      <c r="B3767" s="200"/>
      <c r="C3767" s="73"/>
      <c r="D3767" s="73"/>
      <c r="E3767" s="73"/>
      <c r="F3767" s="162"/>
      <c r="G3767" s="162"/>
      <c r="H3767" s="194"/>
      <c r="I3767" s="161"/>
      <c r="J3767" s="162"/>
      <c r="K3767" s="73"/>
      <c r="L3767" s="73"/>
      <c r="M3767" s="73"/>
      <c r="N3767" s="171"/>
      <c r="O3767" s="171"/>
      <c r="P3767" s="171"/>
      <c r="Q3767" s="173"/>
      <c r="R3767" s="173"/>
      <c r="S3767" s="173"/>
      <c r="T3767" s="173"/>
      <c r="U3767" s="173"/>
      <c r="V3767" s="169"/>
      <c r="W3767" s="171"/>
      <c r="X3767" s="171"/>
    </row>
    <row r="3768" ht="15.0" customHeight="1">
      <c r="A3768" s="506"/>
      <c r="B3768" s="200"/>
      <c r="C3768" s="73"/>
      <c r="D3768" s="73"/>
      <c r="E3768" s="73"/>
      <c r="F3768" s="162"/>
      <c r="G3768" s="162"/>
      <c r="H3768" s="194"/>
      <c r="I3768" s="161"/>
      <c r="J3768" s="162"/>
      <c r="K3768" s="73"/>
      <c r="L3768" s="73"/>
      <c r="M3768" s="73"/>
      <c r="N3768" s="171"/>
      <c r="O3768" s="171"/>
      <c r="P3768" s="171"/>
      <c r="Q3768" s="173"/>
      <c r="R3768" s="173"/>
      <c r="S3768" s="173"/>
      <c r="T3768" s="173"/>
      <c r="U3768" s="173"/>
      <c r="V3768" s="169"/>
      <c r="W3768" s="171"/>
      <c r="X3768" s="171"/>
    </row>
    <row r="3769" ht="15.0" customHeight="1">
      <c r="A3769" s="506"/>
      <c r="B3769" s="200"/>
      <c r="C3769" s="73"/>
      <c r="D3769" s="73"/>
      <c r="E3769" s="73"/>
      <c r="F3769" s="162"/>
      <c r="G3769" s="162"/>
      <c r="H3769" s="194"/>
      <c r="I3769" s="161"/>
      <c r="J3769" s="162"/>
      <c r="K3769" s="73"/>
      <c r="L3769" s="73"/>
      <c r="M3769" s="73"/>
      <c r="N3769" s="171"/>
      <c r="O3769" s="171"/>
      <c r="P3769" s="171"/>
      <c r="Q3769" s="173"/>
      <c r="R3769" s="173"/>
      <c r="S3769" s="173"/>
      <c r="T3769" s="173"/>
      <c r="U3769" s="173"/>
      <c r="V3769" s="169"/>
      <c r="W3769" s="171"/>
      <c r="X3769" s="171"/>
    </row>
    <row r="3770" ht="15.0" customHeight="1">
      <c r="A3770" s="506"/>
      <c r="B3770" s="200"/>
      <c r="C3770" s="73"/>
      <c r="D3770" s="73"/>
      <c r="E3770" s="73"/>
      <c r="F3770" s="162"/>
      <c r="G3770" s="162"/>
      <c r="H3770" s="194"/>
      <c r="I3770" s="161"/>
      <c r="J3770" s="162"/>
      <c r="K3770" s="73"/>
      <c r="L3770" s="73"/>
      <c r="M3770" s="73"/>
      <c r="N3770" s="171"/>
      <c r="O3770" s="171"/>
      <c r="P3770" s="171"/>
      <c r="Q3770" s="173"/>
      <c r="R3770" s="173"/>
      <c r="S3770" s="173"/>
      <c r="T3770" s="173"/>
      <c r="U3770" s="173"/>
      <c r="V3770" s="169"/>
      <c r="W3770" s="171"/>
      <c r="X3770" s="171"/>
    </row>
    <row r="3771" ht="15.0" customHeight="1">
      <c r="A3771" s="506"/>
      <c r="B3771" s="200"/>
      <c r="C3771" s="73"/>
      <c r="D3771" s="73"/>
      <c r="E3771" s="73"/>
      <c r="F3771" s="162"/>
      <c r="G3771" s="162"/>
      <c r="H3771" s="194"/>
      <c r="I3771" s="161"/>
      <c r="J3771" s="162"/>
      <c r="K3771" s="73"/>
      <c r="L3771" s="73"/>
      <c r="M3771" s="73"/>
      <c r="N3771" s="171"/>
      <c r="O3771" s="171"/>
      <c r="P3771" s="171"/>
      <c r="Q3771" s="173"/>
      <c r="R3771" s="173"/>
      <c r="S3771" s="173"/>
      <c r="T3771" s="173"/>
      <c r="U3771" s="173"/>
      <c r="V3771" s="169"/>
      <c r="W3771" s="171"/>
      <c r="X3771" s="171"/>
    </row>
    <row r="3772" ht="15.0" customHeight="1">
      <c r="A3772" s="506"/>
      <c r="B3772" s="200"/>
      <c r="C3772" s="73"/>
      <c r="D3772" s="73"/>
      <c r="E3772" s="73"/>
      <c r="F3772" s="162"/>
      <c r="G3772" s="162"/>
      <c r="H3772" s="194"/>
      <c r="I3772" s="161"/>
      <c r="J3772" s="162"/>
      <c r="K3772" s="73"/>
      <c r="L3772" s="73"/>
      <c r="M3772" s="73"/>
      <c r="N3772" s="171"/>
      <c r="O3772" s="171"/>
      <c r="P3772" s="171"/>
      <c r="Q3772" s="173"/>
      <c r="R3772" s="173"/>
      <c r="S3772" s="173"/>
      <c r="T3772" s="173"/>
      <c r="U3772" s="173"/>
      <c r="V3772" s="169"/>
      <c r="W3772" s="171"/>
      <c r="X3772" s="171"/>
    </row>
    <row r="3773" ht="15.0" customHeight="1">
      <c r="A3773" s="506"/>
      <c r="B3773" s="200"/>
      <c r="C3773" s="73"/>
      <c r="D3773" s="73"/>
      <c r="E3773" s="73"/>
      <c r="F3773" s="162"/>
      <c r="G3773" s="162"/>
      <c r="H3773" s="194"/>
      <c r="I3773" s="161"/>
      <c r="J3773" s="162"/>
      <c r="K3773" s="73"/>
      <c r="L3773" s="73"/>
      <c r="M3773" s="73"/>
      <c r="N3773" s="171"/>
      <c r="O3773" s="171"/>
      <c r="P3773" s="171"/>
      <c r="Q3773" s="173"/>
      <c r="R3773" s="173"/>
      <c r="S3773" s="173"/>
      <c r="T3773" s="173"/>
      <c r="U3773" s="173"/>
      <c r="V3773" s="169"/>
      <c r="W3773" s="171"/>
      <c r="X3773" s="171"/>
    </row>
    <row r="3774" ht="15.0" customHeight="1">
      <c r="A3774" s="506"/>
      <c r="B3774" s="200"/>
      <c r="C3774" s="73"/>
      <c r="D3774" s="73"/>
      <c r="E3774" s="73"/>
      <c r="F3774" s="162"/>
      <c r="G3774" s="162"/>
      <c r="H3774" s="194"/>
      <c r="I3774" s="161"/>
      <c r="J3774" s="162"/>
      <c r="K3774" s="73"/>
      <c r="L3774" s="73"/>
      <c r="M3774" s="73"/>
      <c r="N3774" s="171"/>
      <c r="O3774" s="171"/>
      <c r="P3774" s="171"/>
      <c r="Q3774" s="173"/>
      <c r="R3774" s="173"/>
      <c r="S3774" s="173"/>
      <c r="T3774" s="173"/>
      <c r="U3774" s="173"/>
      <c r="V3774" s="169"/>
      <c r="W3774" s="171"/>
      <c r="X3774" s="171"/>
    </row>
    <row r="3775" ht="15.0" customHeight="1">
      <c r="A3775" s="506"/>
      <c r="B3775" s="200"/>
      <c r="C3775" s="73"/>
      <c r="D3775" s="73"/>
      <c r="E3775" s="73"/>
      <c r="F3775" s="162"/>
      <c r="G3775" s="162"/>
      <c r="H3775" s="194"/>
      <c r="I3775" s="161"/>
      <c r="J3775" s="162"/>
      <c r="K3775" s="73"/>
      <c r="L3775" s="73"/>
      <c r="M3775" s="73"/>
      <c r="N3775" s="171"/>
      <c r="O3775" s="171"/>
      <c r="P3775" s="171"/>
      <c r="Q3775" s="173"/>
      <c r="R3775" s="173"/>
      <c r="S3775" s="173"/>
      <c r="T3775" s="173"/>
      <c r="U3775" s="173"/>
      <c r="V3775" s="169"/>
      <c r="W3775" s="171"/>
      <c r="X3775" s="171"/>
    </row>
    <row r="3776" ht="15.0" customHeight="1">
      <c r="A3776" s="506"/>
      <c r="B3776" s="200"/>
      <c r="C3776" s="73"/>
      <c r="D3776" s="73"/>
      <c r="E3776" s="73"/>
      <c r="F3776" s="162"/>
      <c r="G3776" s="162"/>
      <c r="H3776" s="194"/>
      <c r="I3776" s="161"/>
      <c r="J3776" s="162"/>
      <c r="K3776" s="73"/>
      <c r="L3776" s="73"/>
      <c r="M3776" s="73"/>
      <c r="N3776" s="171"/>
      <c r="O3776" s="171"/>
      <c r="P3776" s="171"/>
      <c r="Q3776" s="173"/>
      <c r="R3776" s="173"/>
      <c r="S3776" s="173"/>
      <c r="T3776" s="173"/>
      <c r="U3776" s="173"/>
      <c r="V3776" s="169"/>
      <c r="W3776" s="171"/>
      <c r="X3776" s="171"/>
    </row>
    <row r="3777" ht="15.0" customHeight="1">
      <c r="A3777" s="506"/>
      <c r="B3777" s="200"/>
      <c r="C3777" s="73"/>
      <c r="D3777" s="73"/>
      <c r="E3777" s="73"/>
      <c r="F3777" s="162"/>
      <c r="G3777" s="162"/>
      <c r="H3777" s="194"/>
      <c r="I3777" s="161"/>
      <c r="J3777" s="162"/>
      <c r="K3777" s="73"/>
      <c r="L3777" s="73"/>
      <c r="M3777" s="73"/>
      <c r="N3777" s="171"/>
      <c r="O3777" s="171"/>
      <c r="P3777" s="171"/>
      <c r="Q3777" s="173"/>
      <c r="R3777" s="173"/>
      <c r="S3777" s="173"/>
      <c r="T3777" s="173"/>
      <c r="U3777" s="173"/>
      <c r="V3777" s="169"/>
      <c r="W3777" s="171"/>
      <c r="X3777" s="171"/>
    </row>
    <row r="3778" ht="15.0" customHeight="1">
      <c r="A3778" s="506"/>
      <c r="B3778" s="200"/>
      <c r="C3778" s="73"/>
      <c r="D3778" s="73"/>
      <c r="E3778" s="73"/>
      <c r="F3778" s="162"/>
      <c r="G3778" s="162"/>
      <c r="H3778" s="194"/>
      <c r="I3778" s="161"/>
      <c r="J3778" s="162"/>
      <c r="K3778" s="73"/>
      <c r="L3778" s="73"/>
      <c r="M3778" s="73"/>
      <c r="N3778" s="171"/>
      <c r="O3778" s="171"/>
      <c r="P3778" s="171"/>
      <c r="Q3778" s="173"/>
      <c r="R3778" s="173"/>
      <c r="S3778" s="173"/>
      <c r="T3778" s="173"/>
      <c r="U3778" s="173"/>
      <c r="V3778" s="169"/>
      <c r="W3778" s="171"/>
      <c r="X3778" s="171"/>
    </row>
    <row r="3779" ht="15.0" customHeight="1">
      <c r="A3779" s="506"/>
      <c r="B3779" s="200"/>
      <c r="C3779" s="73"/>
      <c r="D3779" s="73"/>
      <c r="E3779" s="73"/>
      <c r="F3779" s="162"/>
      <c r="G3779" s="162"/>
      <c r="H3779" s="194"/>
      <c r="I3779" s="161"/>
      <c r="J3779" s="162"/>
      <c r="K3779" s="73"/>
      <c r="L3779" s="73"/>
      <c r="M3779" s="73"/>
      <c r="N3779" s="171"/>
      <c r="O3779" s="171"/>
      <c r="P3779" s="171"/>
      <c r="Q3779" s="173"/>
      <c r="R3779" s="173"/>
      <c r="S3779" s="173"/>
      <c r="T3779" s="173"/>
      <c r="U3779" s="173"/>
      <c r="V3779" s="169"/>
      <c r="W3779" s="171"/>
      <c r="X3779" s="171"/>
    </row>
    <row r="3780" ht="15.0" customHeight="1">
      <c r="A3780" s="506"/>
      <c r="B3780" s="200"/>
      <c r="C3780" s="73"/>
      <c r="D3780" s="73"/>
      <c r="E3780" s="73"/>
      <c r="F3780" s="162"/>
      <c r="G3780" s="162"/>
      <c r="H3780" s="194"/>
      <c r="I3780" s="161"/>
      <c r="J3780" s="162"/>
      <c r="K3780" s="73"/>
      <c r="L3780" s="73"/>
      <c r="M3780" s="73"/>
      <c r="N3780" s="171"/>
      <c r="O3780" s="171"/>
      <c r="P3780" s="171"/>
      <c r="Q3780" s="173"/>
      <c r="R3780" s="173"/>
      <c r="S3780" s="173"/>
      <c r="T3780" s="173"/>
      <c r="U3780" s="173"/>
      <c r="V3780" s="169"/>
      <c r="W3780" s="171"/>
      <c r="X3780" s="171"/>
    </row>
    <row r="3781" ht="15.0" customHeight="1">
      <c r="A3781" s="506"/>
      <c r="B3781" s="200"/>
      <c r="C3781" s="73"/>
      <c r="D3781" s="73"/>
      <c r="E3781" s="73"/>
      <c r="F3781" s="162"/>
      <c r="G3781" s="162"/>
      <c r="H3781" s="194"/>
      <c r="I3781" s="161"/>
      <c r="J3781" s="162"/>
      <c r="K3781" s="73"/>
      <c r="L3781" s="73"/>
      <c r="M3781" s="73"/>
      <c r="N3781" s="171"/>
      <c r="O3781" s="171"/>
      <c r="P3781" s="171"/>
      <c r="Q3781" s="173"/>
      <c r="R3781" s="173"/>
      <c r="S3781" s="173"/>
      <c r="T3781" s="173"/>
      <c r="U3781" s="173"/>
      <c r="V3781" s="169"/>
      <c r="W3781" s="171"/>
      <c r="X3781" s="171"/>
    </row>
    <row r="3782" ht="15.0" customHeight="1">
      <c r="A3782" s="506"/>
      <c r="B3782" s="200"/>
      <c r="C3782" s="73"/>
      <c r="D3782" s="73"/>
      <c r="E3782" s="73"/>
      <c r="F3782" s="162"/>
      <c r="G3782" s="162"/>
      <c r="H3782" s="194"/>
      <c r="I3782" s="161"/>
      <c r="J3782" s="162"/>
      <c r="K3782" s="73"/>
      <c r="L3782" s="73"/>
      <c r="M3782" s="73"/>
      <c r="N3782" s="171"/>
      <c r="O3782" s="171"/>
      <c r="P3782" s="171"/>
      <c r="Q3782" s="173"/>
      <c r="R3782" s="173"/>
      <c r="S3782" s="173"/>
      <c r="T3782" s="173"/>
      <c r="U3782" s="173"/>
      <c r="V3782" s="169"/>
      <c r="W3782" s="171"/>
      <c r="X3782" s="171"/>
    </row>
    <row r="3783" ht="15.0" customHeight="1">
      <c r="A3783" s="506"/>
      <c r="B3783" s="200"/>
      <c r="C3783" s="73"/>
      <c r="D3783" s="73"/>
      <c r="E3783" s="73"/>
      <c r="F3783" s="162"/>
      <c r="G3783" s="162"/>
      <c r="H3783" s="194"/>
      <c r="I3783" s="161"/>
      <c r="J3783" s="162"/>
      <c r="K3783" s="73"/>
      <c r="L3783" s="73"/>
      <c r="M3783" s="73"/>
      <c r="N3783" s="171"/>
      <c r="O3783" s="171"/>
      <c r="P3783" s="171"/>
      <c r="Q3783" s="173"/>
      <c r="R3783" s="173"/>
      <c r="S3783" s="173"/>
      <c r="T3783" s="173"/>
      <c r="U3783" s="173"/>
      <c r="V3783" s="169"/>
      <c r="W3783" s="171"/>
      <c r="X3783" s="171"/>
    </row>
    <row r="3784" ht="15.0" customHeight="1">
      <c r="A3784" s="506"/>
      <c r="B3784" s="200"/>
      <c r="C3784" s="73"/>
      <c r="D3784" s="73"/>
      <c r="E3784" s="73"/>
      <c r="F3784" s="162"/>
      <c r="G3784" s="162"/>
      <c r="H3784" s="194"/>
      <c r="I3784" s="161"/>
      <c r="J3784" s="162"/>
      <c r="K3784" s="73"/>
      <c r="L3784" s="73"/>
      <c r="M3784" s="73"/>
      <c r="N3784" s="171"/>
      <c r="O3784" s="171"/>
      <c r="P3784" s="171"/>
      <c r="Q3784" s="173"/>
      <c r="R3784" s="173"/>
      <c r="S3784" s="173"/>
      <c r="T3784" s="173"/>
      <c r="U3784" s="173"/>
      <c r="V3784" s="169"/>
      <c r="W3784" s="171"/>
      <c r="X3784" s="171"/>
    </row>
    <row r="3785" ht="15.0" customHeight="1">
      <c r="A3785" s="506"/>
      <c r="B3785" s="200"/>
      <c r="C3785" s="73"/>
      <c r="D3785" s="73"/>
      <c r="E3785" s="73"/>
      <c r="F3785" s="162"/>
      <c r="G3785" s="162"/>
      <c r="H3785" s="194"/>
      <c r="I3785" s="161"/>
      <c r="J3785" s="162"/>
      <c r="K3785" s="73"/>
      <c r="L3785" s="73"/>
      <c r="M3785" s="73"/>
      <c r="N3785" s="171"/>
      <c r="O3785" s="171"/>
      <c r="P3785" s="171"/>
      <c r="Q3785" s="173"/>
      <c r="R3785" s="173"/>
      <c r="S3785" s="173"/>
      <c r="T3785" s="173"/>
      <c r="U3785" s="173"/>
      <c r="V3785" s="169"/>
      <c r="W3785" s="171"/>
      <c r="X3785" s="171"/>
    </row>
    <row r="3786" ht="15.0" customHeight="1">
      <c r="A3786" s="506"/>
      <c r="B3786" s="200"/>
      <c r="C3786" s="73"/>
      <c r="D3786" s="73"/>
      <c r="E3786" s="73"/>
      <c r="F3786" s="162"/>
      <c r="G3786" s="162"/>
      <c r="H3786" s="194"/>
      <c r="I3786" s="161"/>
      <c r="J3786" s="162"/>
      <c r="K3786" s="73"/>
      <c r="L3786" s="73"/>
      <c r="M3786" s="73"/>
      <c r="N3786" s="171"/>
      <c r="O3786" s="171"/>
      <c r="P3786" s="171"/>
      <c r="Q3786" s="173"/>
      <c r="R3786" s="173"/>
      <c r="S3786" s="173"/>
      <c r="T3786" s="173"/>
      <c r="U3786" s="173"/>
      <c r="V3786" s="169"/>
      <c r="W3786" s="171"/>
      <c r="X3786" s="171"/>
    </row>
    <row r="3787" ht="15.0" customHeight="1">
      <c r="A3787" s="506"/>
      <c r="B3787" s="200"/>
      <c r="C3787" s="73"/>
      <c r="D3787" s="73"/>
      <c r="E3787" s="73"/>
      <c r="F3787" s="162"/>
      <c r="G3787" s="162"/>
      <c r="H3787" s="194"/>
      <c r="I3787" s="161"/>
      <c r="J3787" s="162"/>
      <c r="K3787" s="73"/>
      <c r="L3787" s="73"/>
      <c r="M3787" s="73"/>
      <c r="N3787" s="171"/>
      <c r="O3787" s="171"/>
      <c r="P3787" s="171"/>
      <c r="Q3787" s="173"/>
      <c r="R3787" s="173"/>
      <c r="S3787" s="173"/>
      <c r="T3787" s="173"/>
      <c r="U3787" s="173"/>
      <c r="V3787" s="169"/>
      <c r="W3787" s="171"/>
      <c r="X3787" s="171"/>
    </row>
    <row r="3788" ht="15.0" customHeight="1">
      <c r="A3788" s="506"/>
      <c r="B3788" s="200"/>
      <c r="C3788" s="73"/>
      <c r="D3788" s="73"/>
      <c r="E3788" s="73"/>
      <c r="F3788" s="162"/>
      <c r="G3788" s="162"/>
      <c r="H3788" s="194"/>
      <c r="I3788" s="161"/>
      <c r="J3788" s="162"/>
      <c r="K3788" s="73"/>
      <c r="L3788" s="73"/>
      <c r="M3788" s="73"/>
      <c r="N3788" s="171"/>
      <c r="O3788" s="171"/>
      <c r="P3788" s="171"/>
      <c r="Q3788" s="173"/>
      <c r="R3788" s="173"/>
      <c r="S3788" s="173"/>
      <c r="T3788" s="173"/>
      <c r="U3788" s="173"/>
      <c r="V3788" s="169"/>
      <c r="W3788" s="171"/>
      <c r="X3788" s="171"/>
    </row>
    <row r="3789" ht="15.0" customHeight="1">
      <c r="A3789" s="506"/>
      <c r="B3789" s="200"/>
      <c r="C3789" s="73"/>
      <c r="D3789" s="73"/>
      <c r="E3789" s="73"/>
      <c r="F3789" s="162"/>
      <c r="G3789" s="162"/>
      <c r="H3789" s="194"/>
      <c r="I3789" s="161"/>
      <c r="J3789" s="162"/>
      <c r="K3789" s="73"/>
      <c r="L3789" s="73"/>
      <c r="M3789" s="73"/>
      <c r="N3789" s="171"/>
      <c r="O3789" s="171"/>
      <c r="P3789" s="171"/>
      <c r="Q3789" s="173"/>
      <c r="R3789" s="173"/>
      <c r="S3789" s="173"/>
      <c r="T3789" s="173"/>
      <c r="U3789" s="173"/>
      <c r="V3789" s="169"/>
      <c r="W3789" s="171"/>
      <c r="X3789" s="171"/>
    </row>
    <row r="3790" ht="15.0" customHeight="1">
      <c r="A3790" s="506"/>
      <c r="B3790" s="200"/>
      <c r="C3790" s="73"/>
      <c r="D3790" s="73"/>
      <c r="E3790" s="73"/>
      <c r="F3790" s="162"/>
      <c r="G3790" s="162"/>
      <c r="H3790" s="194"/>
      <c r="I3790" s="161"/>
      <c r="J3790" s="162"/>
      <c r="K3790" s="73"/>
      <c r="L3790" s="73"/>
      <c r="M3790" s="73"/>
      <c r="N3790" s="171"/>
      <c r="O3790" s="171"/>
      <c r="P3790" s="171"/>
      <c r="Q3790" s="173"/>
      <c r="R3790" s="173"/>
      <c r="S3790" s="173"/>
      <c r="T3790" s="173"/>
      <c r="U3790" s="173"/>
      <c r="V3790" s="169"/>
      <c r="W3790" s="171"/>
      <c r="X3790" s="171"/>
    </row>
    <row r="3791" ht="15.0" customHeight="1">
      <c r="A3791" s="506"/>
      <c r="B3791" s="200"/>
      <c r="C3791" s="73"/>
      <c r="D3791" s="73"/>
      <c r="E3791" s="73"/>
      <c r="F3791" s="162"/>
      <c r="G3791" s="162"/>
      <c r="H3791" s="194"/>
      <c r="I3791" s="161"/>
      <c r="J3791" s="162"/>
      <c r="K3791" s="73"/>
      <c r="L3791" s="73"/>
      <c r="M3791" s="73"/>
      <c r="N3791" s="171"/>
      <c r="O3791" s="171"/>
      <c r="P3791" s="171"/>
      <c r="Q3791" s="173"/>
      <c r="R3791" s="173"/>
      <c r="S3791" s="173"/>
      <c r="T3791" s="173"/>
      <c r="U3791" s="173"/>
      <c r="V3791" s="169"/>
      <c r="W3791" s="171"/>
      <c r="X3791" s="171"/>
    </row>
    <row r="3792" ht="15.0" customHeight="1">
      <c r="A3792" s="506"/>
      <c r="B3792" s="200"/>
      <c r="C3792" s="73"/>
      <c r="D3792" s="73"/>
      <c r="E3792" s="73"/>
      <c r="F3792" s="162"/>
      <c r="G3792" s="162"/>
      <c r="H3792" s="194"/>
      <c r="I3792" s="161"/>
      <c r="J3792" s="162"/>
      <c r="K3792" s="73"/>
      <c r="L3792" s="73"/>
      <c r="M3792" s="73"/>
      <c r="N3792" s="171"/>
      <c r="O3792" s="171"/>
      <c r="P3792" s="171"/>
      <c r="Q3792" s="173"/>
      <c r="R3792" s="173"/>
      <c r="S3792" s="173"/>
      <c r="T3792" s="173"/>
      <c r="U3792" s="173"/>
      <c r="V3792" s="169"/>
      <c r="W3792" s="171"/>
      <c r="X3792" s="171"/>
    </row>
    <row r="3793" ht="15.0" customHeight="1">
      <c r="A3793" s="506"/>
      <c r="B3793" s="200"/>
      <c r="C3793" s="73"/>
      <c r="D3793" s="73"/>
      <c r="E3793" s="73"/>
      <c r="F3793" s="162"/>
      <c r="G3793" s="162"/>
      <c r="H3793" s="194"/>
      <c r="I3793" s="161"/>
      <c r="J3793" s="162"/>
      <c r="K3793" s="73"/>
      <c r="L3793" s="73"/>
      <c r="M3793" s="73"/>
      <c r="N3793" s="171"/>
      <c r="O3793" s="171"/>
      <c r="P3793" s="171"/>
      <c r="Q3793" s="173"/>
      <c r="R3793" s="173"/>
      <c r="S3793" s="173"/>
      <c r="T3793" s="173"/>
      <c r="U3793" s="173"/>
      <c r="V3793" s="169"/>
      <c r="W3793" s="171"/>
      <c r="X3793" s="171"/>
    </row>
    <row r="3794" ht="15.0" customHeight="1">
      <c r="A3794" s="506"/>
      <c r="B3794" s="200"/>
      <c r="C3794" s="73"/>
      <c r="D3794" s="73"/>
      <c r="E3794" s="73"/>
      <c r="F3794" s="162"/>
      <c r="G3794" s="162"/>
      <c r="H3794" s="194"/>
      <c r="I3794" s="161"/>
      <c r="J3794" s="162"/>
      <c r="K3794" s="73"/>
      <c r="L3794" s="73"/>
      <c r="M3794" s="73"/>
      <c r="N3794" s="171"/>
      <c r="O3794" s="171"/>
      <c r="P3794" s="171"/>
      <c r="Q3794" s="173"/>
      <c r="R3794" s="173"/>
      <c r="S3794" s="173"/>
      <c r="T3794" s="173"/>
      <c r="U3794" s="173"/>
      <c r="V3794" s="169"/>
      <c r="W3794" s="171"/>
      <c r="X3794" s="171"/>
    </row>
    <row r="3795" ht="15.0" customHeight="1">
      <c r="A3795" s="506"/>
      <c r="B3795" s="200"/>
      <c r="C3795" s="73"/>
      <c r="D3795" s="73"/>
      <c r="E3795" s="73"/>
      <c r="F3795" s="162"/>
      <c r="G3795" s="162"/>
      <c r="H3795" s="194"/>
      <c r="I3795" s="161"/>
      <c r="J3795" s="162"/>
      <c r="K3795" s="73"/>
      <c r="L3795" s="73"/>
      <c r="M3795" s="73"/>
      <c r="N3795" s="171"/>
      <c r="O3795" s="171"/>
      <c r="P3795" s="171"/>
      <c r="Q3795" s="173"/>
      <c r="R3795" s="173"/>
      <c r="S3795" s="173"/>
      <c r="T3795" s="173"/>
      <c r="U3795" s="173"/>
      <c r="V3795" s="169"/>
      <c r="W3795" s="171"/>
      <c r="X3795" s="171"/>
    </row>
    <row r="3796" ht="15.0" customHeight="1">
      <c r="A3796" s="506"/>
      <c r="B3796" s="200"/>
      <c r="C3796" s="73"/>
      <c r="D3796" s="73"/>
      <c r="E3796" s="73"/>
      <c r="F3796" s="162"/>
      <c r="G3796" s="162"/>
      <c r="H3796" s="194"/>
      <c r="I3796" s="161"/>
      <c r="J3796" s="162"/>
      <c r="K3796" s="73"/>
      <c r="L3796" s="73"/>
      <c r="M3796" s="73"/>
      <c r="N3796" s="171"/>
      <c r="O3796" s="171"/>
      <c r="P3796" s="171"/>
      <c r="Q3796" s="173"/>
      <c r="R3796" s="173"/>
      <c r="S3796" s="173"/>
      <c r="T3796" s="173"/>
      <c r="U3796" s="173"/>
      <c r="V3796" s="169"/>
      <c r="W3796" s="171"/>
      <c r="X3796" s="171"/>
    </row>
    <row r="3797" ht="15.0" customHeight="1">
      <c r="A3797" s="506"/>
      <c r="B3797" s="200"/>
      <c r="C3797" s="73"/>
      <c r="D3797" s="73"/>
      <c r="E3797" s="73"/>
      <c r="F3797" s="162"/>
      <c r="G3797" s="162"/>
      <c r="H3797" s="194"/>
      <c r="I3797" s="161"/>
      <c r="J3797" s="162"/>
      <c r="K3797" s="73"/>
      <c r="L3797" s="73"/>
      <c r="M3797" s="73"/>
      <c r="N3797" s="171"/>
      <c r="O3797" s="171"/>
      <c r="P3797" s="171"/>
      <c r="Q3797" s="173"/>
      <c r="R3797" s="173"/>
      <c r="S3797" s="173"/>
      <c r="T3797" s="173"/>
      <c r="U3797" s="173"/>
      <c r="V3797" s="169"/>
      <c r="W3797" s="171"/>
      <c r="X3797" s="171"/>
    </row>
    <row r="3798" ht="15.0" customHeight="1">
      <c r="A3798" s="506"/>
      <c r="B3798" s="200"/>
      <c r="C3798" s="73"/>
      <c r="D3798" s="73"/>
      <c r="E3798" s="73"/>
      <c r="F3798" s="162"/>
      <c r="G3798" s="162"/>
      <c r="H3798" s="194"/>
      <c r="I3798" s="161"/>
      <c r="J3798" s="162"/>
      <c r="K3798" s="73"/>
      <c r="L3798" s="73"/>
      <c r="M3798" s="73"/>
      <c r="N3798" s="171"/>
      <c r="O3798" s="171"/>
      <c r="P3798" s="171"/>
      <c r="Q3798" s="173"/>
      <c r="R3798" s="173"/>
      <c r="S3798" s="173"/>
      <c r="T3798" s="173"/>
      <c r="U3798" s="173"/>
      <c r="V3798" s="169"/>
      <c r="W3798" s="171"/>
      <c r="X3798" s="171"/>
    </row>
    <row r="3799" ht="15.0" customHeight="1">
      <c r="A3799" s="506"/>
      <c r="B3799" s="200"/>
      <c r="C3799" s="73"/>
      <c r="D3799" s="73"/>
      <c r="E3799" s="73"/>
      <c r="F3799" s="162"/>
      <c r="G3799" s="162"/>
      <c r="H3799" s="194"/>
      <c r="I3799" s="161"/>
      <c r="J3799" s="162"/>
      <c r="K3799" s="73"/>
      <c r="L3799" s="73"/>
      <c r="M3799" s="73"/>
      <c r="N3799" s="171"/>
      <c r="O3799" s="171"/>
      <c r="P3799" s="171"/>
      <c r="Q3799" s="173"/>
      <c r="R3799" s="173"/>
      <c r="S3799" s="173"/>
      <c r="T3799" s="173"/>
      <c r="U3799" s="173"/>
      <c r="V3799" s="169"/>
      <c r="W3799" s="171"/>
      <c r="X3799" s="171"/>
    </row>
    <row r="3800" ht="15.0" customHeight="1">
      <c r="A3800" s="506"/>
      <c r="B3800" s="200"/>
      <c r="C3800" s="73"/>
      <c r="D3800" s="73"/>
      <c r="E3800" s="73"/>
      <c r="F3800" s="162"/>
      <c r="G3800" s="162"/>
      <c r="H3800" s="194"/>
      <c r="I3800" s="161"/>
      <c r="J3800" s="162"/>
      <c r="K3800" s="73"/>
      <c r="L3800" s="73"/>
      <c r="M3800" s="73"/>
      <c r="N3800" s="171"/>
      <c r="O3800" s="171"/>
      <c r="P3800" s="171"/>
      <c r="Q3800" s="173"/>
      <c r="R3800" s="173"/>
      <c r="S3800" s="173"/>
      <c r="T3800" s="173"/>
      <c r="U3800" s="173"/>
      <c r="V3800" s="169"/>
      <c r="W3800" s="171"/>
      <c r="X3800" s="171"/>
    </row>
    <row r="3801" ht="15.0" customHeight="1">
      <c r="A3801" s="506"/>
      <c r="B3801" s="200"/>
      <c r="C3801" s="73"/>
      <c r="D3801" s="73"/>
      <c r="E3801" s="73"/>
      <c r="F3801" s="162"/>
      <c r="G3801" s="162"/>
      <c r="H3801" s="194"/>
      <c r="I3801" s="161"/>
      <c r="J3801" s="162"/>
      <c r="K3801" s="73"/>
      <c r="L3801" s="73"/>
      <c r="M3801" s="73"/>
      <c r="N3801" s="171"/>
      <c r="O3801" s="171"/>
      <c r="P3801" s="171"/>
      <c r="Q3801" s="173"/>
      <c r="R3801" s="173"/>
      <c r="S3801" s="173"/>
      <c r="T3801" s="173"/>
      <c r="U3801" s="173"/>
      <c r="V3801" s="169"/>
      <c r="W3801" s="171"/>
      <c r="X3801" s="171"/>
    </row>
    <row r="3802" ht="15.0" customHeight="1">
      <c r="A3802" s="506"/>
      <c r="B3802" s="200"/>
      <c r="C3802" s="73"/>
      <c r="D3802" s="73"/>
      <c r="E3802" s="73"/>
      <c r="F3802" s="162"/>
      <c r="G3802" s="162"/>
      <c r="H3802" s="194"/>
      <c r="I3802" s="161"/>
      <c r="J3802" s="162"/>
      <c r="K3802" s="73"/>
      <c r="L3802" s="73"/>
      <c r="M3802" s="73"/>
      <c r="N3802" s="171"/>
      <c r="O3802" s="171"/>
      <c r="P3802" s="171"/>
      <c r="Q3802" s="173"/>
      <c r="R3802" s="173"/>
      <c r="S3802" s="173"/>
      <c r="T3802" s="173"/>
      <c r="U3802" s="173"/>
      <c r="V3802" s="169"/>
      <c r="W3802" s="171"/>
      <c r="X3802" s="171"/>
    </row>
    <row r="3803" ht="15.0" customHeight="1">
      <c r="A3803" s="506"/>
      <c r="B3803" s="200"/>
      <c r="C3803" s="73"/>
      <c r="D3803" s="73"/>
      <c r="E3803" s="73"/>
      <c r="F3803" s="162"/>
      <c r="G3803" s="162"/>
      <c r="H3803" s="194"/>
      <c r="I3803" s="161"/>
      <c r="J3803" s="162"/>
      <c r="K3803" s="73"/>
      <c r="L3803" s="73"/>
      <c r="M3803" s="73"/>
      <c r="N3803" s="171"/>
      <c r="O3803" s="171"/>
      <c r="P3803" s="171"/>
      <c r="Q3803" s="173"/>
      <c r="R3803" s="173"/>
      <c r="S3803" s="173"/>
      <c r="T3803" s="173"/>
      <c r="U3803" s="173"/>
      <c r="V3803" s="169"/>
      <c r="W3803" s="171"/>
      <c r="X3803" s="171"/>
    </row>
    <row r="3804" ht="15.0" customHeight="1">
      <c r="A3804" s="506"/>
      <c r="B3804" s="200"/>
      <c r="C3804" s="73"/>
      <c r="D3804" s="73"/>
      <c r="E3804" s="73"/>
      <c r="F3804" s="162"/>
      <c r="G3804" s="162"/>
      <c r="H3804" s="194"/>
      <c r="I3804" s="161"/>
      <c r="J3804" s="162"/>
      <c r="K3804" s="73"/>
      <c r="L3804" s="73"/>
      <c r="M3804" s="73"/>
      <c r="N3804" s="171"/>
      <c r="O3804" s="171"/>
      <c r="P3804" s="171"/>
      <c r="Q3804" s="173"/>
      <c r="R3804" s="173"/>
      <c r="S3804" s="173"/>
      <c r="T3804" s="173"/>
      <c r="U3804" s="173"/>
      <c r="V3804" s="169"/>
      <c r="W3804" s="171"/>
      <c r="X3804" s="171"/>
    </row>
    <row r="3805" ht="15.0" customHeight="1">
      <c r="A3805" s="506"/>
      <c r="B3805" s="200"/>
      <c r="C3805" s="73"/>
      <c r="D3805" s="73"/>
      <c r="E3805" s="73"/>
      <c r="F3805" s="162"/>
      <c r="G3805" s="162"/>
      <c r="H3805" s="194"/>
      <c r="I3805" s="161"/>
      <c r="J3805" s="162"/>
      <c r="K3805" s="73"/>
      <c r="L3805" s="73"/>
      <c r="M3805" s="73"/>
      <c r="N3805" s="171"/>
      <c r="O3805" s="171"/>
      <c r="P3805" s="171"/>
      <c r="Q3805" s="173"/>
      <c r="R3805" s="173"/>
      <c r="S3805" s="173"/>
      <c r="T3805" s="173"/>
      <c r="U3805" s="173"/>
      <c r="V3805" s="169"/>
      <c r="W3805" s="171"/>
      <c r="X3805" s="171"/>
    </row>
    <row r="3806" ht="15.0" customHeight="1">
      <c r="A3806" s="506"/>
      <c r="B3806" s="200"/>
      <c r="C3806" s="73"/>
      <c r="D3806" s="73"/>
      <c r="E3806" s="73"/>
      <c r="F3806" s="162"/>
      <c r="G3806" s="162"/>
      <c r="H3806" s="194"/>
      <c r="I3806" s="161"/>
      <c r="J3806" s="162"/>
      <c r="K3806" s="73"/>
      <c r="L3806" s="73"/>
      <c r="M3806" s="73"/>
      <c r="N3806" s="171"/>
      <c r="O3806" s="171"/>
      <c r="P3806" s="171"/>
      <c r="Q3806" s="173"/>
      <c r="R3806" s="173"/>
      <c r="S3806" s="173"/>
      <c r="T3806" s="173"/>
      <c r="U3806" s="173"/>
      <c r="V3806" s="169"/>
      <c r="W3806" s="171"/>
      <c r="X3806" s="171"/>
    </row>
    <row r="3807" ht="15.0" customHeight="1">
      <c r="A3807" s="506"/>
      <c r="B3807" s="200"/>
      <c r="C3807" s="73"/>
      <c r="D3807" s="73"/>
      <c r="E3807" s="73"/>
      <c r="F3807" s="162"/>
      <c r="G3807" s="162"/>
      <c r="H3807" s="194"/>
      <c r="I3807" s="161"/>
      <c r="J3807" s="162"/>
      <c r="K3807" s="73"/>
      <c r="L3807" s="73"/>
      <c r="M3807" s="73"/>
      <c r="N3807" s="171"/>
      <c r="O3807" s="171"/>
      <c r="P3807" s="171"/>
      <c r="Q3807" s="173"/>
      <c r="R3807" s="173"/>
      <c r="S3807" s="173"/>
      <c r="T3807" s="173"/>
      <c r="U3807" s="173"/>
      <c r="V3807" s="169"/>
      <c r="W3807" s="171"/>
      <c r="X3807" s="171"/>
    </row>
    <row r="3808" ht="15.0" customHeight="1">
      <c r="A3808" s="506"/>
      <c r="B3808" s="200"/>
      <c r="C3808" s="73"/>
      <c r="D3808" s="73"/>
      <c r="E3808" s="73"/>
      <c r="F3808" s="162"/>
      <c r="G3808" s="162"/>
      <c r="H3808" s="194"/>
      <c r="I3808" s="161"/>
      <c r="J3808" s="162"/>
      <c r="K3808" s="73"/>
      <c r="L3808" s="73"/>
      <c r="M3808" s="73"/>
      <c r="N3808" s="171"/>
      <c r="O3808" s="171"/>
      <c r="P3808" s="171"/>
      <c r="Q3808" s="173"/>
      <c r="R3808" s="173"/>
      <c r="S3808" s="173"/>
      <c r="T3808" s="173"/>
      <c r="U3808" s="173"/>
      <c r="V3808" s="169"/>
      <c r="W3808" s="171"/>
      <c r="X3808" s="171"/>
    </row>
    <row r="3809" ht="15.0" customHeight="1">
      <c r="A3809" s="506"/>
      <c r="B3809" s="200"/>
      <c r="C3809" s="73"/>
      <c r="D3809" s="73"/>
      <c r="E3809" s="73"/>
      <c r="F3809" s="162"/>
      <c r="G3809" s="162"/>
      <c r="H3809" s="194"/>
      <c r="I3809" s="161"/>
      <c r="J3809" s="162"/>
      <c r="K3809" s="73"/>
      <c r="L3809" s="73"/>
      <c r="M3809" s="73"/>
      <c r="N3809" s="171"/>
      <c r="O3809" s="171"/>
      <c r="P3809" s="171"/>
      <c r="Q3809" s="173"/>
      <c r="R3809" s="173"/>
      <c r="S3809" s="173"/>
      <c r="T3809" s="173"/>
      <c r="U3809" s="173"/>
      <c r="V3809" s="169"/>
      <c r="W3809" s="171"/>
      <c r="X3809" s="171"/>
    </row>
    <row r="3810" ht="15.0" customHeight="1">
      <c r="A3810" s="506"/>
      <c r="B3810" s="200"/>
      <c r="C3810" s="73"/>
      <c r="D3810" s="73"/>
      <c r="E3810" s="73"/>
      <c r="F3810" s="162"/>
      <c r="G3810" s="162"/>
      <c r="H3810" s="194"/>
      <c r="I3810" s="161"/>
      <c r="J3810" s="162"/>
      <c r="K3810" s="73"/>
      <c r="L3810" s="73"/>
      <c r="M3810" s="73"/>
      <c r="N3810" s="171"/>
      <c r="O3810" s="171"/>
      <c r="P3810" s="171"/>
      <c r="Q3810" s="173"/>
      <c r="R3810" s="173"/>
      <c r="S3810" s="173"/>
      <c r="T3810" s="173"/>
      <c r="U3810" s="173"/>
      <c r="V3810" s="169"/>
      <c r="W3810" s="171"/>
      <c r="X3810" s="171"/>
    </row>
    <row r="3811" ht="15.0" customHeight="1">
      <c r="A3811" s="506"/>
      <c r="B3811" s="200"/>
      <c r="C3811" s="73"/>
      <c r="D3811" s="73"/>
      <c r="E3811" s="73"/>
      <c r="F3811" s="162"/>
      <c r="G3811" s="162"/>
      <c r="H3811" s="194"/>
      <c r="I3811" s="161"/>
      <c r="J3811" s="162"/>
      <c r="K3811" s="73"/>
      <c r="L3811" s="73"/>
      <c r="M3811" s="73"/>
      <c r="N3811" s="171"/>
      <c r="O3811" s="171"/>
      <c r="P3811" s="171"/>
      <c r="Q3811" s="173"/>
      <c r="R3811" s="173"/>
      <c r="S3811" s="173"/>
      <c r="T3811" s="173"/>
      <c r="U3811" s="173"/>
      <c r="V3811" s="169"/>
      <c r="W3811" s="171"/>
      <c r="X3811" s="171"/>
    </row>
    <row r="3812" ht="15.0" customHeight="1">
      <c r="A3812" s="506"/>
      <c r="B3812" s="200"/>
      <c r="C3812" s="73"/>
      <c r="D3812" s="73"/>
      <c r="E3812" s="73"/>
      <c r="F3812" s="162"/>
      <c r="G3812" s="162"/>
      <c r="H3812" s="194"/>
      <c r="I3812" s="161"/>
      <c r="J3812" s="162"/>
      <c r="K3812" s="73"/>
      <c r="L3812" s="73"/>
      <c r="M3812" s="73"/>
      <c r="N3812" s="171"/>
      <c r="O3812" s="171"/>
      <c r="P3812" s="171"/>
      <c r="Q3812" s="173"/>
      <c r="R3812" s="173"/>
      <c r="S3812" s="173"/>
      <c r="T3812" s="173"/>
      <c r="U3812" s="173"/>
      <c r="V3812" s="169"/>
      <c r="W3812" s="171"/>
      <c r="X3812" s="171"/>
    </row>
    <row r="3813" ht="15.0" customHeight="1">
      <c r="A3813" s="506"/>
      <c r="B3813" s="200"/>
      <c r="C3813" s="73"/>
      <c r="D3813" s="73"/>
      <c r="E3813" s="73"/>
      <c r="F3813" s="162"/>
      <c r="G3813" s="162"/>
      <c r="H3813" s="194"/>
      <c r="I3813" s="161"/>
      <c r="J3813" s="162"/>
      <c r="K3813" s="73"/>
      <c r="L3813" s="73"/>
      <c r="M3813" s="73"/>
      <c r="N3813" s="171"/>
      <c r="O3813" s="171"/>
      <c r="P3813" s="171"/>
      <c r="Q3813" s="173"/>
      <c r="R3813" s="173"/>
      <c r="S3813" s="173"/>
      <c r="T3813" s="173"/>
      <c r="U3813" s="173"/>
      <c r="V3813" s="169"/>
      <c r="W3813" s="171"/>
      <c r="X3813" s="171"/>
    </row>
    <row r="3814" ht="15.0" customHeight="1">
      <c r="A3814" s="506"/>
      <c r="B3814" s="200"/>
      <c r="C3814" s="73"/>
      <c r="D3814" s="73"/>
      <c r="E3814" s="73"/>
      <c r="F3814" s="162"/>
      <c r="G3814" s="162"/>
      <c r="H3814" s="194"/>
      <c r="I3814" s="161"/>
      <c r="J3814" s="162"/>
      <c r="K3814" s="73"/>
      <c r="L3814" s="73"/>
      <c r="M3814" s="73"/>
      <c r="N3814" s="171"/>
      <c r="O3814" s="171"/>
      <c r="P3814" s="171"/>
      <c r="Q3814" s="173"/>
      <c r="R3814" s="173"/>
      <c r="S3814" s="173"/>
      <c r="T3814" s="173"/>
      <c r="U3814" s="173"/>
      <c r="V3814" s="169"/>
      <c r="W3814" s="171"/>
      <c r="X3814" s="171"/>
    </row>
    <row r="3815" ht="15.0" customHeight="1">
      <c r="A3815" s="506"/>
      <c r="B3815" s="200"/>
      <c r="C3815" s="73"/>
      <c r="D3815" s="73"/>
      <c r="E3815" s="73"/>
      <c r="F3815" s="162"/>
      <c r="G3815" s="162"/>
      <c r="H3815" s="194"/>
      <c r="I3815" s="161"/>
      <c r="J3815" s="162"/>
      <c r="K3815" s="73"/>
      <c r="L3815" s="73"/>
      <c r="M3815" s="73"/>
      <c r="N3815" s="171"/>
      <c r="O3815" s="171"/>
      <c r="P3815" s="171"/>
      <c r="Q3815" s="173"/>
      <c r="R3815" s="173"/>
      <c r="S3815" s="173"/>
      <c r="T3815" s="173"/>
      <c r="U3815" s="173"/>
      <c r="V3815" s="169"/>
      <c r="W3815" s="171"/>
      <c r="X3815" s="171"/>
    </row>
    <row r="3816" ht="15.0" customHeight="1">
      <c r="A3816" s="506"/>
      <c r="B3816" s="200"/>
      <c r="C3816" s="73"/>
      <c r="D3816" s="73"/>
      <c r="E3816" s="73"/>
      <c r="F3816" s="162"/>
      <c r="G3816" s="162"/>
      <c r="H3816" s="194"/>
      <c r="I3816" s="161"/>
      <c r="J3816" s="162"/>
      <c r="K3816" s="73"/>
      <c r="L3816" s="73"/>
      <c r="M3816" s="73"/>
      <c r="N3816" s="171"/>
      <c r="O3816" s="171"/>
      <c r="P3816" s="171"/>
      <c r="Q3816" s="173"/>
      <c r="R3816" s="173"/>
      <c r="S3816" s="173"/>
      <c r="T3816" s="173"/>
      <c r="U3816" s="173"/>
      <c r="V3816" s="169"/>
      <c r="W3816" s="171"/>
      <c r="X3816" s="171"/>
    </row>
    <row r="3817" ht="15.0" customHeight="1">
      <c r="A3817" s="506"/>
      <c r="B3817" s="200"/>
      <c r="C3817" s="73"/>
      <c r="D3817" s="73"/>
      <c r="E3817" s="73"/>
      <c r="F3817" s="162"/>
      <c r="G3817" s="162"/>
      <c r="H3817" s="194"/>
      <c r="I3817" s="161"/>
      <c r="J3817" s="162"/>
      <c r="K3817" s="73"/>
      <c r="L3817" s="73"/>
      <c r="M3817" s="73"/>
      <c r="N3817" s="171"/>
      <c r="O3817" s="171"/>
      <c r="P3817" s="171"/>
      <c r="Q3817" s="173"/>
      <c r="R3817" s="173"/>
      <c r="S3817" s="173"/>
      <c r="T3817" s="173"/>
      <c r="U3817" s="173"/>
      <c r="V3817" s="169"/>
      <c r="W3817" s="171"/>
      <c r="X3817" s="171"/>
    </row>
    <row r="3818" ht="15.0" customHeight="1">
      <c r="A3818" s="506"/>
      <c r="B3818" s="200"/>
      <c r="C3818" s="73"/>
      <c r="D3818" s="73"/>
      <c r="E3818" s="73"/>
      <c r="F3818" s="162"/>
      <c r="G3818" s="162"/>
      <c r="H3818" s="194"/>
      <c r="I3818" s="161"/>
      <c r="J3818" s="162"/>
      <c r="K3818" s="73"/>
      <c r="L3818" s="73"/>
      <c r="M3818" s="73"/>
      <c r="N3818" s="171"/>
      <c r="O3818" s="171"/>
      <c r="P3818" s="171"/>
      <c r="Q3818" s="173"/>
      <c r="R3818" s="173"/>
      <c r="S3818" s="173"/>
      <c r="T3818" s="173"/>
      <c r="U3818" s="173"/>
      <c r="V3818" s="169"/>
      <c r="W3818" s="171"/>
      <c r="X3818" s="171"/>
    </row>
    <row r="3819" ht="15.0" customHeight="1">
      <c r="A3819" s="506"/>
      <c r="B3819" s="200"/>
      <c r="C3819" s="73"/>
      <c r="D3819" s="73"/>
      <c r="E3819" s="73"/>
      <c r="F3819" s="162"/>
      <c r="G3819" s="162"/>
      <c r="H3819" s="194"/>
      <c r="I3819" s="161"/>
      <c r="J3819" s="162"/>
      <c r="K3819" s="73"/>
      <c r="L3819" s="73"/>
      <c r="M3819" s="73"/>
      <c r="N3819" s="171"/>
      <c r="O3819" s="171"/>
      <c r="P3819" s="171"/>
      <c r="Q3819" s="173"/>
      <c r="R3819" s="173"/>
      <c r="S3819" s="173"/>
      <c r="T3819" s="173"/>
      <c r="U3819" s="173"/>
      <c r="V3819" s="169"/>
      <c r="W3819" s="171"/>
      <c r="X3819" s="171"/>
    </row>
    <row r="3820" ht="15.0" customHeight="1">
      <c r="A3820" s="506"/>
      <c r="B3820" s="200"/>
      <c r="C3820" s="73"/>
      <c r="D3820" s="73"/>
      <c r="E3820" s="73"/>
      <c r="F3820" s="162"/>
      <c r="G3820" s="162"/>
      <c r="H3820" s="194"/>
      <c r="I3820" s="161"/>
      <c r="J3820" s="162"/>
      <c r="K3820" s="73"/>
      <c r="L3820" s="73"/>
      <c r="M3820" s="73"/>
      <c r="N3820" s="171"/>
      <c r="O3820" s="171"/>
      <c r="P3820" s="171"/>
      <c r="Q3820" s="173"/>
      <c r="R3820" s="173"/>
      <c r="S3820" s="173"/>
      <c r="T3820" s="173"/>
      <c r="U3820" s="173"/>
      <c r="V3820" s="169"/>
      <c r="W3820" s="171"/>
      <c r="X3820" s="171"/>
    </row>
    <row r="3821" ht="15.0" customHeight="1">
      <c r="A3821" s="506"/>
      <c r="B3821" s="200"/>
      <c r="C3821" s="73"/>
      <c r="D3821" s="73"/>
      <c r="E3821" s="73"/>
      <c r="F3821" s="162"/>
      <c r="G3821" s="162"/>
      <c r="H3821" s="194"/>
      <c r="I3821" s="161"/>
      <c r="J3821" s="162"/>
      <c r="K3821" s="73"/>
      <c r="L3821" s="73"/>
      <c r="M3821" s="73"/>
      <c r="N3821" s="171"/>
      <c r="O3821" s="171"/>
      <c r="P3821" s="171"/>
      <c r="Q3821" s="173"/>
      <c r="R3821" s="173"/>
      <c r="S3821" s="173"/>
      <c r="T3821" s="173"/>
      <c r="U3821" s="173"/>
      <c r="V3821" s="169"/>
      <c r="W3821" s="171"/>
      <c r="X3821" s="171"/>
    </row>
    <row r="3822" ht="15.0" customHeight="1">
      <c r="A3822" s="506"/>
      <c r="B3822" s="200"/>
      <c r="C3822" s="73"/>
      <c r="D3822" s="73"/>
      <c r="E3822" s="73"/>
      <c r="F3822" s="162"/>
      <c r="G3822" s="162"/>
      <c r="H3822" s="194"/>
      <c r="I3822" s="161"/>
      <c r="J3822" s="162"/>
      <c r="K3822" s="73"/>
      <c r="L3822" s="73"/>
      <c r="M3822" s="73"/>
      <c r="N3822" s="171"/>
      <c r="O3822" s="171"/>
      <c r="P3822" s="171"/>
      <c r="Q3822" s="173"/>
      <c r="R3822" s="173"/>
      <c r="S3822" s="173"/>
      <c r="T3822" s="173"/>
      <c r="U3822" s="173"/>
      <c r="V3822" s="169"/>
      <c r="W3822" s="171"/>
      <c r="X3822" s="171"/>
    </row>
    <row r="3823" ht="15.0" customHeight="1">
      <c r="A3823" s="506"/>
      <c r="B3823" s="200"/>
      <c r="C3823" s="73"/>
      <c r="D3823" s="73"/>
      <c r="E3823" s="73"/>
      <c r="F3823" s="162"/>
      <c r="G3823" s="162"/>
      <c r="H3823" s="194"/>
      <c r="I3823" s="161"/>
      <c r="J3823" s="162"/>
      <c r="K3823" s="73"/>
      <c r="L3823" s="73"/>
      <c r="M3823" s="73"/>
      <c r="N3823" s="171"/>
      <c r="O3823" s="171"/>
      <c r="P3823" s="171"/>
      <c r="Q3823" s="173"/>
      <c r="R3823" s="173"/>
      <c r="S3823" s="173"/>
      <c r="T3823" s="173"/>
      <c r="U3823" s="173"/>
      <c r="V3823" s="169"/>
      <c r="W3823" s="171"/>
      <c r="X3823" s="171"/>
    </row>
    <row r="3824" ht="15.0" customHeight="1">
      <c r="A3824" s="506"/>
      <c r="B3824" s="200"/>
      <c r="C3824" s="73"/>
      <c r="D3824" s="73"/>
      <c r="E3824" s="73"/>
      <c r="F3824" s="162"/>
      <c r="G3824" s="162"/>
      <c r="H3824" s="194"/>
      <c r="I3824" s="161"/>
      <c r="J3824" s="162"/>
      <c r="K3824" s="73"/>
      <c r="L3824" s="73"/>
      <c r="M3824" s="73"/>
      <c r="N3824" s="171"/>
      <c r="O3824" s="171"/>
      <c r="P3824" s="171"/>
      <c r="Q3824" s="173"/>
      <c r="R3824" s="173"/>
      <c r="S3824" s="173"/>
      <c r="T3824" s="173"/>
      <c r="U3824" s="173"/>
      <c r="V3824" s="169"/>
      <c r="W3824" s="171"/>
      <c r="X3824" s="171"/>
    </row>
    <row r="3825" ht="15.0" customHeight="1">
      <c r="A3825" s="506"/>
      <c r="B3825" s="200"/>
      <c r="C3825" s="73"/>
      <c r="D3825" s="73"/>
      <c r="E3825" s="73"/>
      <c r="F3825" s="162"/>
      <c r="G3825" s="162"/>
      <c r="H3825" s="194"/>
      <c r="I3825" s="161"/>
      <c r="J3825" s="162"/>
      <c r="K3825" s="73"/>
      <c r="L3825" s="73"/>
      <c r="M3825" s="73"/>
      <c r="N3825" s="171"/>
      <c r="O3825" s="171"/>
      <c r="P3825" s="171"/>
      <c r="Q3825" s="173"/>
      <c r="R3825" s="173"/>
      <c r="S3825" s="173"/>
      <c r="T3825" s="173"/>
      <c r="U3825" s="173"/>
      <c r="V3825" s="169"/>
      <c r="W3825" s="171"/>
      <c r="X3825" s="171"/>
    </row>
    <row r="3826" ht="15.0" customHeight="1">
      <c r="A3826" s="506"/>
      <c r="B3826" s="200"/>
      <c r="C3826" s="73"/>
      <c r="D3826" s="73"/>
      <c r="E3826" s="73"/>
      <c r="F3826" s="162"/>
      <c r="G3826" s="162"/>
      <c r="H3826" s="194"/>
      <c r="I3826" s="161"/>
      <c r="J3826" s="162"/>
      <c r="K3826" s="73"/>
      <c r="L3826" s="73"/>
      <c r="M3826" s="73"/>
      <c r="N3826" s="171"/>
      <c r="O3826" s="171"/>
      <c r="P3826" s="171"/>
      <c r="Q3826" s="173"/>
      <c r="R3826" s="173"/>
      <c r="S3826" s="173"/>
      <c r="T3826" s="173"/>
      <c r="U3826" s="173"/>
      <c r="V3826" s="169"/>
      <c r="W3826" s="171"/>
      <c r="X3826" s="171"/>
    </row>
    <row r="3827" ht="15.0" customHeight="1">
      <c r="A3827" s="506"/>
      <c r="B3827" s="200"/>
      <c r="C3827" s="73"/>
      <c r="D3827" s="73"/>
      <c r="E3827" s="73"/>
      <c r="F3827" s="162"/>
      <c r="G3827" s="162"/>
      <c r="H3827" s="194"/>
      <c r="I3827" s="161"/>
      <c r="J3827" s="162"/>
      <c r="K3827" s="73"/>
      <c r="L3827" s="73"/>
      <c r="M3827" s="73"/>
      <c r="N3827" s="171"/>
      <c r="O3827" s="171"/>
      <c r="P3827" s="171"/>
      <c r="Q3827" s="173"/>
      <c r="R3827" s="173"/>
      <c r="S3827" s="173"/>
      <c r="T3827" s="173"/>
      <c r="U3827" s="173"/>
      <c r="V3827" s="169"/>
      <c r="W3827" s="171"/>
      <c r="X3827" s="171"/>
    </row>
    <row r="3828" ht="15.0" customHeight="1">
      <c r="A3828" s="506"/>
      <c r="B3828" s="200"/>
      <c r="C3828" s="73"/>
      <c r="D3828" s="73"/>
      <c r="E3828" s="73"/>
      <c r="F3828" s="162"/>
      <c r="G3828" s="162"/>
      <c r="H3828" s="194"/>
      <c r="I3828" s="161"/>
      <c r="J3828" s="162"/>
      <c r="K3828" s="73"/>
      <c r="L3828" s="73"/>
      <c r="M3828" s="73"/>
      <c r="N3828" s="171"/>
      <c r="O3828" s="171"/>
      <c r="P3828" s="171"/>
      <c r="Q3828" s="173"/>
      <c r="R3828" s="173"/>
      <c r="S3828" s="173"/>
      <c r="T3828" s="173"/>
      <c r="U3828" s="173"/>
      <c r="V3828" s="169"/>
      <c r="W3828" s="171"/>
      <c r="X3828" s="171"/>
    </row>
    <row r="3829" ht="15.0" customHeight="1">
      <c r="A3829" s="506"/>
      <c r="B3829" s="200"/>
      <c r="C3829" s="73"/>
      <c r="D3829" s="73"/>
      <c r="E3829" s="73"/>
      <c r="F3829" s="162"/>
      <c r="G3829" s="162"/>
      <c r="H3829" s="194"/>
      <c r="I3829" s="161"/>
      <c r="J3829" s="162"/>
      <c r="K3829" s="73"/>
      <c r="L3829" s="73"/>
      <c r="M3829" s="73"/>
      <c r="N3829" s="171"/>
      <c r="O3829" s="171"/>
      <c r="P3829" s="171"/>
      <c r="Q3829" s="173"/>
      <c r="R3829" s="173"/>
      <c r="S3829" s="173"/>
      <c r="T3829" s="173"/>
      <c r="U3829" s="173"/>
      <c r="V3829" s="169"/>
      <c r="W3829" s="171"/>
      <c r="X3829" s="171"/>
    </row>
    <row r="3830" ht="15.0" customHeight="1">
      <c r="A3830" s="506"/>
      <c r="B3830" s="200"/>
      <c r="C3830" s="73"/>
      <c r="D3830" s="73"/>
      <c r="E3830" s="73"/>
      <c r="F3830" s="162"/>
      <c r="G3830" s="162"/>
      <c r="H3830" s="194"/>
      <c r="I3830" s="161"/>
      <c r="J3830" s="162"/>
      <c r="K3830" s="73"/>
      <c r="L3830" s="73"/>
      <c r="M3830" s="73"/>
      <c r="N3830" s="171"/>
      <c r="O3830" s="171"/>
      <c r="P3830" s="171"/>
      <c r="Q3830" s="173"/>
      <c r="R3830" s="173"/>
      <c r="S3830" s="173"/>
      <c r="T3830" s="173"/>
      <c r="U3830" s="173"/>
      <c r="V3830" s="169"/>
      <c r="W3830" s="171"/>
      <c r="X3830" s="171"/>
    </row>
    <row r="3831" ht="15.0" customHeight="1">
      <c r="A3831" s="506"/>
      <c r="B3831" s="200"/>
      <c r="C3831" s="73"/>
      <c r="D3831" s="73"/>
      <c r="E3831" s="73"/>
      <c r="F3831" s="162"/>
      <c r="G3831" s="162"/>
      <c r="H3831" s="194"/>
      <c r="I3831" s="161"/>
      <c r="J3831" s="162"/>
      <c r="K3831" s="73"/>
      <c r="L3831" s="73"/>
      <c r="M3831" s="73"/>
      <c r="N3831" s="171"/>
      <c r="O3831" s="171"/>
      <c r="P3831" s="171"/>
      <c r="Q3831" s="173"/>
      <c r="R3831" s="173"/>
      <c r="S3831" s="173"/>
      <c r="T3831" s="173"/>
      <c r="U3831" s="173"/>
      <c r="V3831" s="169"/>
      <c r="W3831" s="171"/>
      <c r="X3831" s="171"/>
    </row>
    <row r="3832" ht="15.0" customHeight="1">
      <c r="A3832" s="506"/>
      <c r="B3832" s="200"/>
      <c r="C3832" s="73"/>
      <c r="D3832" s="73"/>
      <c r="E3832" s="73"/>
      <c r="F3832" s="162"/>
      <c r="G3832" s="162"/>
      <c r="H3832" s="194"/>
      <c r="I3832" s="161"/>
      <c r="J3832" s="162"/>
      <c r="K3832" s="73"/>
      <c r="L3832" s="73"/>
      <c r="M3832" s="73"/>
      <c r="N3832" s="171"/>
      <c r="O3832" s="171"/>
      <c r="P3832" s="171"/>
      <c r="Q3832" s="173"/>
      <c r="R3832" s="173"/>
      <c r="S3832" s="173"/>
      <c r="T3832" s="173"/>
      <c r="U3832" s="173"/>
      <c r="V3832" s="169"/>
      <c r="W3832" s="171"/>
      <c r="X3832" s="171"/>
    </row>
    <row r="3833" ht="15.0" customHeight="1">
      <c r="A3833" s="506"/>
      <c r="B3833" s="200"/>
      <c r="C3833" s="73"/>
      <c r="D3833" s="73"/>
      <c r="E3833" s="73"/>
      <c r="F3833" s="162"/>
      <c r="G3833" s="162"/>
      <c r="H3833" s="194"/>
      <c r="I3833" s="161"/>
      <c r="J3833" s="162"/>
      <c r="K3833" s="73"/>
      <c r="L3833" s="73"/>
      <c r="M3833" s="73"/>
      <c r="N3833" s="171"/>
      <c r="O3833" s="171"/>
      <c r="P3833" s="171"/>
      <c r="Q3833" s="173"/>
      <c r="R3833" s="173"/>
      <c r="S3833" s="173"/>
      <c r="T3833" s="173"/>
      <c r="U3833" s="173"/>
      <c r="V3833" s="169"/>
      <c r="W3833" s="171"/>
      <c r="X3833" s="171"/>
    </row>
    <row r="3834" ht="15.0" customHeight="1">
      <c r="A3834" s="506"/>
      <c r="B3834" s="200"/>
      <c r="C3834" s="73"/>
      <c r="D3834" s="73"/>
      <c r="E3834" s="73"/>
      <c r="F3834" s="162"/>
      <c r="G3834" s="162"/>
      <c r="H3834" s="194"/>
      <c r="I3834" s="161"/>
      <c r="J3834" s="162"/>
      <c r="K3834" s="73"/>
      <c r="L3834" s="73"/>
      <c r="M3834" s="73"/>
      <c r="N3834" s="171"/>
      <c r="O3834" s="171"/>
      <c r="P3834" s="171"/>
      <c r="Q3834" s="173"/>
      <c r="R3834" s="173"/>
      <c r="S3834" s="173"/>
      <c r="T3834" s="173"/>
      <c r="U3834" s="173"/>
      <c r="V3834" s="169"/>
      <c r="W3834" s="171"/>
      <c r="X3834" s="171"/>
    </row>
    <row r="3835" ht="15.0" customHeight="1">
      <c r="A3835" s="506"/>
      <c r="B3835" s="200"/>
      <c r="C3835" s="73"/>
      <c r="D3835" s="73"/>
      <c r="E3835" s="73"/>
      <c r="F3835" s="162"/>
      <c r="G3835" s="162"/>
      <c r="H3835" s="194"/>
      <c r="I3835" s="161"/>
      <c r="J3835" s="162"/>
      <c r="K3835" s="73"/>
      <c r="L3835" s="73"/>
      <c r="M3835" s="73"/>
      <c r="N3835" s="171"/>
      <c r="O3835" s="171"/>
      <c r="P3835" s="171"/>
      <c r="Q3835" s="173"/>
      <c r="R3835" s="173"/>
      <c r="S3835" s="173"/>
      <c r="T3835" s="173"/>
      <c r="U3835" s="173"/>
      <c r="V3835" s="169"/>
      <c r="W3835" s="171"/>
      <c r="X3835" s="171"/>
    </row>
    <row r="3836" ht="15.0" customHeight="1">
      <c r="A3836" s="506"/>
      <c r="B3836" s="200"/>
      <c r="C3836" s="73"/>
      <c r="D3836" s="73"/>
      <c r="E3836" s="73"/>
      <c r="F3836" s="162"/>
      <c r="G3836" s="162"/>
      <c r="H3836" s="194"/>
      <c r="I3836" s="161"/>
      <c r="J3836" s="162"/>
      <c r="K3836" s="73"/>
      <c r="L3836" s="73"/>
      <c r="M3836" s="73"/>
      <c r="N3836" s="171"/>
      <c r="O3836" s="171"/>
      <c r="P3836" s="171"/>
      <c r="Q3836" s="173"/>
      <c r="R3836" s="173"/>
      <c r="S3836" s="173"/>
      <c r="T3836" s="173"/>
      <c r="U3836" s="173"/>
      <c r="V3836" s="169"/>
      <c r="W3836" s="171"/>
      <c r="X3836" s="171"/>
    </row>
    <row r="3837" ht="15.0" customHeight="1">
      <c r="A3837" s="506"/>
      <c r="B3837" s="200"/>
      <c r="C3837" s="73"/>
      <c r="D3837" s="73"/>
      <c r="E3837" s="73"/>
      <c r="F3837" s="162"/>
      <c r="G3837" s="162"/>
      <c r="H3837" s="194"/>
      <c r="I3837" s="161"/>
      <c r="J3837" s="162"/>
      <c r="K3837" s="73"/>
      <c r="L3837" s="73"/>
      <c r="M3837" s="73"/>
      <c r="N3837" s="171"/>
      <c r="O3837" s="171"/>
      <c r="P3837" s="171"/>
      <c r="Q3837" s="173"/>
      <c r="R3837" s="173"/>
      <c r="S3837" s="173"/>
      <c r="T3837" s="173"/>
      <c r="U3837" s="173"/>
      <c r="V3837" s="169"/>
      <c r="W3837" s="171"/>
      <c r="X3837" s="171"/>
    </row>
    <row r="3838" ht="15.0" customHeight="1">
      <c r="A3838" s="506"/>
      <c r="B3838" s="200"/>
      <c r="C3838" s="73"/>
      <c r="D3838" s="73"/>
      <c r="E3838" s="73"/>
      <c r="F3838" s="162"/>
      <c r="G3838" s="162"/>
      <c r="H3838" s="194"/>
      <c r="I3838" s="161"/>
      <c r="J3838" s="162"/>
      <c r="K3838" s="73"/>
      <c r="L3838" s="73"/>
      <c r="M3838" s="73"/>
      <c r="N3838" s="171"/>
      <c r="O3838" s="171"/>
      <c r="P3838" s="171"/>
      <c r="Q3838" s="173"/>
      <c r="R3838" s="173"/>
      <c r="S3838" s="173"/>
      <c r="T3838" s="173"/>
      <c r="U3838" s="173"/>
      <c r="V3838" s="169"/>
      <c r="W3838" s="171"/>
      <c r="X3838" s="171"/>
    </row>
    <row r="3839" ht="15.0" customHeight="1">
      <c r="A3839" s="506"/>
      <c r="B3839" s="200"/>
      <c r="C3839" s="73"/>
      <c r="D3839" s="73"/>
      <c r="E3839" s="73"/>
      <c r="F3839" s="162"/>
      <c r="G3839" s="162"/>
      <c r="H3839" s="194"/>
      <c r="I3839" s="161"/>
      <c r="J3839" s="162"/>
      <c r="K3839" s="73"/>
      <c r="L3839" s="73"/>
      <c r="M3839" s="73"/>
      <c r="N3839" s="171"/>
      <c r="O3839" s="171"/>
      <c r="P3839" s="171"/>
      <c r="Q3839" s="173"/>
      <c r="R3839" s="173"/>
      <c r="S3839" s="173"/>
      <c r="T3839" s="173"/>
      <c r="U3839" s="173"/>
      <c r="V3839" s="169"/>
      <c r="W3839" s="171"/>
      <c r="X3839" s="171"/>
    </row>
    <row r="3840" ht="15.0" customHeight="1">
      <c r="A3840" s="506"/>
      <c r="B3840" s="200"/>
      <c r="C3840" s="73"/>
      <c r="D3840" s="73"/>
      <c r="E3840" s="73"/>
      <c r="F3840" s="162"/>
      <c r="G3840" s="162"/>
      <c r="H3840" s="194"/>
      <c r="I3840" s="161"/>
      <c r="J3840" s="162"/>
      <c r="K3840" s="73"/>
      <c r="L3840" s="73"/>
      <c r="M3840" s="73"/>
      <c r="N3840" s="171"/>
      <c r="O3840" s="171"/>
      <c r="P3840" s="171"/>
      <c r="Q3840" s="173"/>
      <c r="R3840" s="173"/>
      <c r="S3840" s="173"/>
      <c r="T3840" s="173"/>
      <c r="U3840" s="173"/>
      <c r="V3840" s="169"/>
      <c r="W3840" s="171"/>
      <c r="X3840" s="171"/>
    </row>
    <row r="3841" ht="15.0" customHeight="1">
      <c r="A3841" s="506"/>
      <c r="B3841" s="200"/>
      <c r="C3841" s="73"/>
      <c r="D3841" s="73"/>
      <c r="E3841" s="73"/>
      <c r="F3841" s="162"/>
      <c r="G3841" s="162"/>
      <c r="H3841" s="194"/>
      <c r="I3841" s="161"/>
      <c r="J3841" s="162"/>
      <c r="K3841" s="73"/>
      <c r="L3841" s="73"/>
      <c r="M3841" s="73"/>
      <c r="N3841" s="171"/>
      <c r="O3841" s="171"/>
      <c r="P3841" s="171"/>
      <c r="Q3841" s="173"/>
      <c r="R3841" s="173"/>
      <c r="S3841" s="173"/>
      <c r="T3841" s="173"/>
      <c r="U3841" s="173"/>
      <c r="V3841" s="169"/>
      <c r="W3841" s="171"/>
      <c r="X3841" s="171"/>
    </row>
    <row r="3842" ht="15.0" customHeight="1">
      <c r="A3842" s="506"/>
      <c r="B3842" s="200"/>
      <c r="C3842" s="73"/>
      <c r="D3842" s="73"/>
      <c r="E3842" s="73"/>
      <c r="F3842" s="162"/>
      <c r="G3842" s="162"/>
      <c r="H3842" s="194"/>
      <c r="I3842" s="161"/>
      <c r="J3842" s="162"/>
      <c r="K3842" s="73"/>
      <c r="L3842" s="73"/>
      <c r="M3842" s="73"/>
      <c r="N3842" s="171"/>
      <c r="O3842" s="171"/>
      <c r="P3842" s="171"/>
      <c r="Q3842" s="173"/>
      <c r="R3842" s="173"/>
      <c r="S3842" s="173"/>
      <c r="T3842" s="173"/>
      <c r="U3842" s="173"/>
      <c r="V3842" s="169"/>
      <c r="W3842" s="171"/>
      <c r="X3842" s="171"/>
    </row>
    <row r="3843" ht="15.0" customHeight="1">
      <c r="A3843" s="506"/>
      <c r="B3843" s="200"/>
      <c r="C3843" s="73"/>
      <c r="D3843" s="73"/>
      <c r="E3843" s="73"/>
      <c r="F3843" s="162"/>
      <c r="G3843" s="162"/>
      <c r="H3843" s="194"/>
      <c r="I3843" s="161"/>
      <c r="J3843" s="162"/>
      <c r="K3843" s="73"/>
      <c r="L3843" s="73"/>
      <c r="M3843" s="73"/>
      <c r="N3843" s="171"/>
      <c r="O3843" s="171"/>
      <c r="P3843" s="171"/>
      <c r="Q3843" s="173"/>
      <c r="R3843" s="173"/>
      <c r="S3843" s="173"/>
      <c r="T3843" s="173"/>
      <c r="U3843" s="173"/>
      <c r="V3843" s="169"/>
      <c r="W3843" s="171"/>
      <c r="X3843" s="171"/>
    </row>
    <row r="3844" ht="15.0" customHeight="1">
      <c r="A3844" s="506"/>
      <c r="B3844" s="200"/>
      <c r="C3844" s="73"/>
      <c r="D3844" s="73"/>
      <c r="E3844" s="73"/>
      <c r="F3844" s="162"/>
      <c r="G3844" s="162"/>
      <c r="H3844" s="194"/>
      <c r="I3844" s="161"/>
      <c r="J3844" s="162"/>
      <c r="K3844" s="73"/>
      <c r="L3844" s="73"/>
      <c r="M3844" s="73"/>
      <c r="N3844" s="171"/>
      <c r="O3844" s="171"/>
      <c r="P3844" s="171"/>
      <c r="Q3844" s="173"/>
      <c r="R3844" s="173"/>
      <c r="S3844" s="173"/>
      <c r="T3844" s="173"/>
      <c r="U3844" s="173"/>
      <c r="V3844" s="169"/>
      <c r="W3844" s="171"/>
      <c r="X3844" s="171"/>
    </row>
    <row r="3845" ht="15.0" customHeight="1">
      <c r="A3845" s="506"/>
      <c r="B3845" s="200"/>
      <c r="C3845" s="73"/>
      <c r="D3845" s="73"/>
      <c r="E3845" s="73"/>
      <c r="F3845" s="162"/>
      <c r="G3845" s="162"/>
      <c r="H3845" s="194"/>
      <c r="I3845" s="161"/>
      <c r="J3845" s="162"/>
      <c r="K3845" s="73"/>
      <c r="L3845" s="73"/>
      <c r="M3845" s="73"/>
      <c r="N3845" s="171"/>
      <c r="O3845" s="171"/>
      <c r="P3845" s="171"/>
      <c r="Q3845" s="173"/>
      <c r="R3845" s="173"/>
      <c r="S3845" s="173"/>
      <c r="T3845" s="173"/>
      <c r="U3845" s="173"/>
      <c r="V3845" s="169"/>
      <c r="W3845" s="171"/>
      <c r="X3845" s="171"/>
    </row>
    <row r="3846" ht="15.0" customHeight="1">
      <c r="A3846" s="506"/>
      <c r="B3846" s="200"/>
      <c r="C3846" s="73"/>
      <c r="D3846" s="73"/>
      <c r="E3846" s="73"/>
      <c r="F3846" s="162"/>
      <c r="G3846" s="162"/>
      <c r="H3846" s="194"/>
      <c r="I3846" s="161"/>
      <c r="J3846" s="162"/>
      <c r="K3846" s="73"/>
      <c r="L3846" s="73"/>
      <c r="M3846" s="73"/>
      <c r="N3846" s="171"/>
      <c r="O3846" s="171"/>
      <c r="P3846" s="171"/>
      <c r="Q3846" s="173"/>
      <c r="R3846" s="173"/>
      <c r="S3846" s="173"/>
      <c r="T3846" s="173"/>
      <c r="U3846" s="173"/>
      <c r="V3846" s="169"/>
      <c r="W3846" s="171"/>
      <c r="X3846" s="171"/>
    </row>
    <row r="3847" ht="15.0" customHeight="1">
      <c r="A3847" s="506"/>
      <c r="B3847" s="200"/>
      <c r="C3847" s="73"/>
      <c r="D3847" s="73"/>
      <c r="E3847" s="73"/>
      <c r="F3847" s="162"/>
      <c r="G3847" s="162"/>
      <c r="H3847" s="194"/>
      <c r="I3847" s="161"/>
      <c r="J3847" s="162"/>
      <c r="K3847" s="73"/>
      <c r="L3847" s="73"/>
      <c r="M3847" s="73"/>
      <c r="N3847" s="171"/>
      <c r="O3847" s="171"/>
      <c r="P3847" s="171"/>
      <c r="Q3847" s="173"/>
      <c r="R3847" s="173"/>
      <c r="S3847" s="173"/>
      <c r="T3847" s="173"/>
      <c r="U3847" s="173"/>
      <c r="V3847" s="169"/>
      <c r="W3847" s="171"/>
      <c r="X3847" s="171"/>
    </row>
    <row r="3848" ht="15.0" customHeight="1">
      <c r="A3848" s="506"/>
      <c r="B3848" s="200"/>
      <c r="C3848" s="73"/>
      <c r="D3848" s="73"/>
      <c r="E3848" s="73"/>
      <c r="F3848" s="162"/>
      <c r="G3848" s="162"/>
      <c r="H3848" s="194"/>
      <c r="I3848" s="161"/>
      <c r="J3848" s="162"/>
      <c r="K3848" s="73"/>
      <c r="L3848" s="73"/>
      <c r="M3848" s="73"/>
      <c r="N3848" s="171"/>
      <c r="O3848" s="171"/>
      <c r="P3848" s="171"/>
      <c r="Q3848" s="173"/>
      <c r="R3848" s="173"/>
      <c r="S3848" s="173"/>
      <c r="T3848" s="173"/>
      <c r="U3848" s="173"/>
      <c r="V3848" s="169"/>
      <c r="W3848" s="171"/>
      <c r="X3848" s="171"/>
    </row>
    <row r="3849" ht="15.0" customHeight="1">
      <c r="A3849" s="506"/>
      <c r="B3849" s="200"/>
      <c r="C3849" s="73"/>
      <c r="D3849" s="73"/>
      <c r="E3849" s="73"/>
      <c r="F3849" s="162"/>
      <c r="G3849" s="162"/>
      <c r="H3849" s="194"/>
      <c r="I3849" s="161"/>
      <c r="J3849" s="162"/>
      <c r="K3849" s="73"/>
      <c r="L3849" s="73"/>
      <c r="M3849" s="73"/>
      <c r="N3849" s="171"/>
      <c r="O3849" s="171"/>
      <c r="P3849" s="171"/>
      <c r="Q3849" s="173"/>
      <c r="R3849" s="173"/>
      <c r="S3849" s="173"/>
      <c r="T3849" s="173"/>
      <c r="U3849" s="173"/>
      <c r="V3849" s="169"/>
      <c r="W3849" s="171"/>
      <c r="X3849" s="171"/>
    </row>
    <row r="3850" ht="15.0" customHeight="1">
      <c r="A3850" s="506"/>
      <c r="B3850" s="200"/>
      <c r="C3850" s="73"/>
      <c r="D3850" s="73"/>
      <c r="E3850" s="73"/>
      <c r="F3850" s="162"/>
      <c r="G3850" s="162"/>
      <c r="H3850" s="194"/>
      <c r="I3850" s="161"/>
      <c r="J3850" s="162"/>
      <c r="K3850" s="73"/>
      <c r="L3850" s="73"/>
      <c r="M3850" s="73"/>
      <c r="N3850" s="171"/>
      <c r="O3850" s="171"/>
      <c r="P3850" s="171"/>
      <c r="Q3850" s="173"/>
      <c r="R3850" s="173"/>
      <c r="S3850" s="173"/>
      <c r="T3850" s="173"/>
      <c r="U3850" s="173"/>
      <c r="V3850" s="169"/>
      <c r="W3850" s="171"/>
      <c r="X3850" s="171"/>
    </row>
    <row r="3851" ht="15.0" customHeight="1">
      <c r="A3851" s="506"/>
      <c r="B3851" s="200"/>
      <c r="C3851" s="73"/>
      <c r="D3851" s="73"/>
      <c r="E3851" s="73"/>
      <c r="F3851" s="162"/>
      <c r="G3851" s="162"/>
      <c r="H3851" s="194"/>
      <c r="I3851" s="161"/>
      <c r="J3851" s="162"/>
      <c r="K3851" s="73"/>
      <c r="L3851" s="73"/>
      <c r="M3851" s="73"/>
      <c r="N3851" s="171"/>
      <c r="O3851" s="171"/>
      <c r="P3851" s="171"/>
      <c r="Q3851" s="173"/>
      <c r="R3851" s="173"/>
      <c r="S3851" s="173"/>
      <c r="T3851" s="173"/>
      <c r="U3851" s="173"/>
      <c r="V3851" s="169"/>
      <c r="W3851" s="171"/>
      <c r="X3851" s="171"/>
    </row>
    <row r="3852" ht="15.0" customHeight="1">
      <c r="A3852" s="506"/>
      <c r="B3852" s="200"/>
      <c r="C3852" s="73"/>
      <c r="D3852" s="73"/>
      <c r="E3852" s="73"/>
      <c r="F3852" s="162"/>
      <c r="G3852" s="162"/>
      <c r="H3852" s="194"/>
      <c r="I3852" s="161"/>
      <c r="J3852" s="162"/>
      <c r="K3852" s="73"/>
      <c r="L3852" s="73"/>
      <c r="M3852" s="73"/>
      <c r="N3852" s="171"/>
      <c r="O3852" s="171"/>
      <c r="P3852" s="171"/>
      <c r="Q3852" s="173"/>
      <c r="R3852" s="173"/>
      <c r="S3852" s="173"/>
      <c r="T3852" s="173"/>
      <c r="U3852" s="173"/>
      <c r="V3852" s="169"/>
      <c r="W3852" s="171"/>
      <c r="X3852" s="171"/>
    </row>
    <row r="3853" ht="15.0" customHeight="1">
      <c r="A3853" s="506"/>
      <c r="B3853" s="200"/>
      <c r="C3853" s="73"/>
      <c r="D3853" s="73"/>
      <c r="E3853" s="73"/>
      <c r="F3853" s="162"/>
      <c r="G3853" s="162"/>
      <c r="H3853" s="194"/>
      <c r="I3853" s="161"/>
      <c r="J3853" s="162"/>
      <c r="K3853" s="73"/>
      <c r="L3853" s="73"/>
      <c r="M3853" s="73"/>
      <c r="N3853" s="171"/>
      <c r="O3853" s="171"/>
      <c r="P3853" s="171"/>
      <c r="Q3853" s="173"/>
      <c r="R3853" s="173"/>
      <c r="S3853" s="173"/>
      <c r="T3853" s="173"/>
      <c r="U3853" s="173"/>
      <c r="V3853" s="169"/>
      <c r="W3853" s="171"/>
      <c r="X3853" s="171"/>
    </row>
    <row r="3854" ht="15.0" customHeight="1">
      <c r="A3854" s="506"/>
      <c r="B3854" s="200"/>
      <c r="C3854" s="73"/>
      <c r="D3854" s="73"/>
      <c r="E3854" s="73"/>
      <c r="F3854" s="162"/>
      <c r="G3854" s="162"/>
      <c r="H3854" s="194"/>
      <c r="I3854" s="161"/>
      <c r="J3854" s="162"/>
      <c r="K3854" s="73"/>
      <c r="L3854" s="73"/>
      <c r="M3854" s="73"/>
      <c r="N3854" s="171"/>
      <c r="O3854" s="171"/>
      <c r="P3854" s="171"/>
      <c r="Q3854" s="173"/>
      <c r="R3854" s="173"/>
      <c r="S3854" s="173"/>
      <c r="T3854" s="173"/>
      <c r="U3854" s="173"/>
      <c r="V3854" s="169"/>
      <c r="W3854" s="171"/>
      <c r="X3854" s="171"/>
    </row>
    <row r="3855" ht="15.0" customHeight="1">
      <c r="A3855" s="506"/>
      <c r="B3855" s="200"/>
      <c r="C3855" s="73"/>
      <c r="D3855" s="73"/>
      <c r="E3855" s="73"/>
      <c r="F3855" s="162"/>
      <c r="G3855" s="162"/>
      <c r="H3855" s="194"/>
      <c r="I3855" s="161"/>
      <c r="J3855" s="162"/>
      <c r="K3855" s="73"/>
      <c r="L3855" s="73"/>
      <c r="M3855" s="73"/>
      <c r="N3855" s="171"/>
      <c r="O3855" s="171"/>
      <c r="P3855" s="171"/>
      <c r="Q3855" s="173"/>
      <c r="R3855" s="173"/>
      <c r="S3855" s="173"/>
      <c r="T3855" s="173"/>
      <c r="U3855" s="173"/>
      <c r="V3855" s="169"/>
      <c r="W3855" s="171"/>
      <c r="X3855" s="171"/>
    </row>
    <row r="3856" ht="15.0" customHeight="1">
      <c r="A3856" s="506"/>
      <c r="B3856" s="200"/>
      <c r="C3856" s="73"/>
      <c r="D3856" s="73"/>
      <c r="E3856" s="73"/>
      <c r="F3856" s="162"/>
      <c r="G3856" s="162"/>
      <c r="H3856" s="194"/>
      <c r="I3856" s="161"/>
      <c r="J3856" s="162"/>
      <c r="K3856" s="73"/>
      <c r="L3856" s="73"/>
      <c r="M3856" s="73"/>
      <c r="N3856" s="171"/>
      <c r="O3856" s="171"/>
      <c r="P3856" s="171"/>
      <c r="Q3856" s="173"/>
      <c r="R3856" s="173"/>
      <c r="S3856" s="173"/>
      <c r="T3856" s="173"/>
      <c r="U3856" s="173"/>
      <c r="V3856" s="169"/>
      <c r="W3856" s="171"/>
      <c r="X3856" s="171"/>
    </row>
    <row r="3857" ht="15.0" customHeight="1">
      <c r="A3857" s="506"/>
      <c r="B3857" s="200"/>
      <c r="C3857" s="73"/>
      <c r="D3857" s="73"/>
      <c r="E3857" s="73"/>
      <c r="F3857" s="162"/>
      <c r="G3857" s="162"/>
      <c r="H3857" s="194"/>
      <c r="I3857" s="161"/>
      <c r="J3857" s="162"/>
      <c r="K3857" s="73"/>
      <c r="L3857" s="73"/>
      <c r="M3857" s="73"/>
      <c r="N3857" s="171"/>
      <c r="O3857" s="171"/>
      <c r="P3857" s="171"/>
      <c r="Q3857" s="173"/>
      <c r="R3857" s="173"/>
      <c r="S3857" s="173"/>
      <c r="T3857" s="173"/>
      <c r="U3857" s="173"/>
      <c r="V3857" s="169"/>
      <c r="W3857" s="171"/>
      <c r="X3857" s="171"/>
    </row>
    <row r="3858" ht="15.0" customHeight="1">
      <c r="A3858" s="506"/>
      <c r="B3858" s="200"/>
      <c r="C3858" s="73"/>
      <c r="D3858" s="73"/>
      <c r="E3858" s="73"/>
      <c r="F3858" s="162"/>
      <c r="G3858" s="162"/>
      <c r="H3858" s="194"/>
      <c r="I3858" s="161"/>
      <c r="J3858" s="162"/>
      <c r="K3858" s="73"/>
      <c r="L3858" s="73"/>
      <c r="M3858" s="73"/>
      <c r="N3858" s="171"/>
      <c r="O3858" s="171"/>
      <c r="P3858" s="171"/>
      <c r="Q3858" s="173"/>
      <c r="R3858" s="173"/>
      <c r="S3858" s="173"/>
      <c r="T3858" s="173"/>
      <c r="U3858" s="173"/>
      <c r="V3858" s="169"/>
      <c r="W3858" s="171"/>
      <c r="X3858" s="171"/>
    </row>
    <row r="3859" ht="15.0" customHeight="1">
      <c r="A3859" s="506"/>
      <c r="B3859" s="200"/>
      <c r="C3859" s="73"/>
      <c r="D3859" s="73"/>
      <c r="E3859" s="73"/>
      <c r="F3859" s="162"/>
      <c r="G3859" s="162"/>
      <c r="H3859" s="194"/>
      <c r="I3859" s="161"/>
      <c r="J3859" s="162"/>
      <c r="K3859" s="73"/>
      <c r="L3859" s="73"/>
      <c r="M3859" s="73"/>
      <c r="N3859" s="171"/>
      <c r="O3859" s="171"/>
      <c r="P3859" s="171"/>
      <c r="Q3859" s="173"/>
      <c r="R3859" s="173"/>
      <c r="S3859" s="173"/>
      <c r="T3859" s="173"/>
      <c r="U3859" s="173"/>
      <c r="V3859" s="169"/>
      <c r="W3859" s="171"/>
      <c r="X3859" s="171"/>
    </row>
    <row r="3860" ht="15.0" customHeight="1">
      <c r="A3860" s="506"/>
      <c r="B3860" s="200"/>
      <c r="C3860" s="73"/>
      <c r="D3860" s="73"/>
      <c r="E3860" s="73"/>
      <c r="F3860" s="162"/>
      <c r="G3860" s="162"/>
      <c r="H3860" s="194"/>
      <c r="I3860" s="161"/>
      <c r="J3860" s="162"/>
      <c r="K3860" s="73"/>
      <c r="L3860" s="73"/>
      <c r="M3860" s="73"/>
      <c r="N3860" s="171"/>
      <c r="O3860" s="171"/>
      <c r="P3860" s="171"/>
      <c r="Q3860" s="173"/>
      <c r="R3860" s="173"/>
      <c r="S3860" s="173"/>
      <c r="T3860" s="173"/>
      <c r="U3860" s="173"/>
      <c r="V3860" s="169"/>
      <c r="W3860" s="171"/>
      <c r="X3860" s="171"/>
    </row>
    <row r="3861" ht="15.0" customHeight="1">
      <c r="A3861" s="506"/>
      <c r="B3861" s="200"/>
      <c r="C3861" s="73"/>
      <c r="D3861" s="73"/>
      <c r="E3861" s="73"/>
      <c r="F3861" s="162"/>
      <c r="G3861" s="162"/>
      <c r="H3861" s="194"/>
      <c r="I3861" s="161"/>
      <c r="J3861" s="162"/>
      <c r="K3861" s="73"/>
      <c r="L3861" s="73"/>
      <c r="M3861" s="73"/>
      <c r="N3861" s="171"/>
      <c r="O3861" s="171"/>
      <c r="P3861" s="171"/>
      <c r="Q3861" s="173"/>
      <c r="R3861" s="173"/>
      <c r="S3861" s="173"/>
      <c r="T3861" s="173"/>
      <c r="U3861" s="173"/>
      <c r="V3861" s="169"/>
      <c r="W3861" s="171"/>
      <c r="X3861" s="171"/>
    </row>
    <row r="3862" ht="15.0" customHeight="1">
      <c r="A3862" s="506"/>
      <c r="B3862" s="200"/>
      <c r="C3862" s="73"/>
      <c r="D3862" s="73"/>
      <c r="E3862" s="73"/>
      <c r="F3862" s="162"/>
      <c r="G3862" s="162"/>
      <c r="H3862" s="194"/>
      <c r="I3862" s="161"/>
      <c r="J3862" s="162"/>
      <c r="K3862" s="73"/>
      <c r="L3862" s="73"/>
      <c r="M3862" s="73"/>
      <c r="N3862" s="171"/>
      <c r="O3862" s="171"/>
      <c r="P3862" s="171"/>
      <c r="Q3862" s="173"/>
      <c r="R3862" s="173"/>
      <c r="S3862" s="173"/>
      <c r="T3862" s="173"/>
      <c r="U3862" s="173"/>
      <c r="V3862" s="169"/>
      <c r="W3862" s="171"/>
      <c r="X3862" s="171"/>
    </row>
    <row r="3863" ht="15.0" customHeight="1">
      <c r="A3863" s="506"/>
      <c r="B3863" s="200"/>
      <c r="C3863" s="73"/>
      <c r="D3863" s="73"/>
      <c r="E3863" s="73"/>
      <c r="F3863" s="162"/>
      <c r="G3863" s="162"/>
      <c r="H3863" s="194"/>
      <c r="I3863" s="161"/>
      <c r="J3863" s="162"/>
      <c r="K3863" s="73"/>
      <c r="L3863" s="73"/>
      <c r="M3863" s="73"/>
      <c r="N3863" s="171"/>
      <c r="O3863" s="171"/>
      <c r="P3863" s="171"/>
      <c r="Q3863" s="173"/>
      <c r="R3863" s="173"/>
      <c r="S3863" s="173"/>
      <c r="T3863" s="173"/>
      <c r="U3863" s="173"/>
      <c r="V3863" s="169"/>
      <c r="W3863" s="171"/>
      <c r="X3863" s="171"/>
    </row>
    <row r="3864" ht="15.0" customHeight="1">
      <c r="A3864" s="506"/>
      <c r="B3864" s="200"/>
      <c r="C3864" s="73"/>
      <c r="D3864" s="73"/>
      <c r="E3864" s="73"/>
      <c r="F3864" s="162"/>
      <c r="G3864" s="162"/>
      <c r="H3864" s="194"/>
      <c r="I3864" s="161"/>
      <c r="J3864" s="162"/>
      <c r="K3864" s="73"/>
      <c r="L3864" s="73"/>
      <c r="M3864" s="73"/>
      <c r="N3864" s="171"/>
      <c r="O3864" s="171"/>
      <c r="P3864" s="171"/>
      <c r="Q3864" s="173"/>
      <c r="R3864" s="173"/>
      <c r="S3864" s="173"/>
      <c r="T3864" s="173"/>
      <c r="U3864" s="173"/>
      <c r="V3864" s="169"/>
      <c r="W3864" s="171"/>
      <c r="X3864" s="171"/>
    </row>
    <row r="3865" ht="15.0" customHeight="1">
      <c r="A3865" s="506"/>
      <c r="B3865" s="200"/>
      <c r="C3865" s="73"/>
      <c r="D3865" s="73"/>
      <c r="E3865" s="73"/>
      <c r="F3865" s="162"/>
      <c r="G3865" s="162"/>
      <c r="H3865" s="194"/>
      <c r="I3865" s="161"/>
      <c r="J3865" s="162"/>
      <c r="K3865" s="73"/>
      <c r="L3865" s="73"/>
      <c r="M3865" s="73"/>
      <c r="N3865" s="171"/>
      <c r="O3865" s="171"/>
      <c r="P3865" s="171"/>
      <c r="Q3865" s="173"/>
      <c r="R3865" s="173"/>
      <c r="S3865" s="173"/>
      <c r="T3865" s="173"/>
      <c r="U3865" s="173"/>
      <c r="V3865" s="169"/>
      <c r="W3865" s="171"/>
      <c r="X3865" s="171"/>
    </row>
    <row r="3866" ht="15.0" customHeight="1">
      <c r="A3866" s="506"/>
      <c r="B3866" s="200"/>
      <c r="C3866" s="73"/>
      <c r="D3866" s="73"/>
      <c r="E3866" s="73"/>
      <c r="F3866" s="162"/>
      <c r="G3866" s="162"/>
      <c r="H3866" s="194"/>
      <c r="I3866" s="161"/>
      <c r="J3866" s="162"/>
      <c r="K3866" s="73"/>
      <c r="L3866" s="73"/>
      <c r="M3866" s="73"/>
      <c r="N3866" s="171"/>
      <c r="O3866" s="171"/>
      <c r="P3866" s="171"/>
      <c r="Q3866" s="173"/>
      <c r="R3866" s="173"/>
      <c r="S3866" s="173"/>
      <c r="T3866" s="173"/>
      <c r="U3866" s="173"/>
      <c r="V3866" s="169"/>
      <c r="W3866" s="171"/>
      <c r="X3866" s="171"/>
    </row>
    <row r="3867" ht="15.0" customHeight="1">
      <c r="A3867" s="506"/>
      <c r="B3867" s="200"/>
      <c r="C3867" s="73"/>
      <c r="D3867" s="73"/>
      <c r="E3867" s="73"/>
      <c r="F3867" s="162"/>
      <c r="G3867" s="162"/>
      <c r="H3867" s="194"/>
      <c r="I3867" s="161"/>
      <c r="J3867" s="162"/>
      <c r="K3867" s="73"/>
      <c r="L3867" s="73"/>
      <c r="M3867" s="73"/>
      <c r="N3867" s="171"/>
      <c r="O3867" s="171"/>
      <c r="P3867" s="171"/>
      <c r="Q3867" s="173"/>
      <c r="R3867" s="173"/>
      <c r="S3867" s="173"/>
      <c r="T3867" s="173"/>
      <c r="U3867" s="173"/>
      <c r="V3867" s="169"/>
      <c r="W3867" s="171"/>
      <c r="X3867" s="171"/>
    </row>
    <row r="3868" ht="15.0" customHeight="1">
      <c r="A3868" s="506"/>
      <c r="B3868" s="200"/>
      <c r="C3868" s="73"/>
      <c r="D3868" s="73"/>
      <c r="E3868" s="73"/>
      <c r="F3868" s="162"/>
      <c r="G3868" s="162"/>
      <c r="H3868" s="194"/>
      <c r="I3868" s="161"/>
      <c r="J3868" s="162"/>
      <c r="K3868" s="73"/>
      <c r="L3868" s="73"/>
      <c r="M3868" s="73"/>
      <c r="N3868" s="171"/>
      <c r="O3868" s="171"/>
      <c r="P3868" s="171"/>
      <c r="Q3868" s="173"/>
      <c r="R3868" s="173"/>
      <c r="S3868" s="173"/>
      <c r="T3868" s="173"/>
      <c r="U3868" s="173"/>
      <c r="V3868" s="169"/>
      <c r="W3868" s="171"/>
      <c r="X3868" s="171"/>
    </row>
    <row r="3869" ht="15.0" customHeight="1">
      <c r="A3869" s="506"/>
      <c r="B3869" s="200"/>
      <c r="C3869" s="73"/>
      <c r="D3869" s="73"/>
      <c r="E3869" s="73"/>
      <c r="F3869" s="162"/>
      <c r="G3869" s="162"/>
      <c r="H3869" s="194"/>
      <c r="I3869" s="161"/>
      <c r="J3869" s="162"/>
      <c r="K3869" s="73"/>
      <c r="L3869" s="73"/>
      <c r="M3869" s="73"/>
      <c r="N3869" s="171"/>
      <c r="O3869" s="171"/>
      <c r="P3869" s="171"/>
      <c r="Q3869" s="173"/>
      <c r="R3869" s="173"/>
      <c r="S3869" s="173"/>
      <c r="T3869" s="173"/>
      <c r="U3869" s="173"/>
      <c r="V3869" s="169"/>
      <c r="W3869" s="171"/>
      <c r="X3869" s="171"/>
    </row>
    <row r="3870" ht="15.0" customHeight="1">
      <c r="A3870" s="506"/>
      <c r="B3870" s="200"/>
      <c r="C3870" s="73"/>
      <c r="D3870" s="73"/>
      <c r="E3870" s="73"/>
      <c r="F3870" s="162"/>
      <c r="G3870" s="162"/>
      <c r="H3870" s="194"/>
      <c r="I3870" s="161"/>
      <c r="J3870" s="162"/>
      <c r="K3870" s="73"/>
      <c r="L3870" s="73"/>
      <c r="M3870" s="73"/>
      <c r="N3870" s="171"/>
      <c r="O3870" s="171"/>
      <c r="P3870" s="171"/>
      <c r="Q3870" s="173"/>
      <c r="R3870" s="173"/>
      <c r="S3870" s="173"/>
      <c r="T3870" s="173"/>
      <c r="U3870" s="173"/>
      <c r="V3870" s="169"/>
      <c r="W3870" s="171"/>
      <c r="X3870" s="171"/>
    </row>
    <row r="3871" ht="15.0" customHeight="1">
      <c r="A3871" s="506"/>
      <c r="B3871" s="200"/>
      <c r="C3871" s="73"/>
      <c r="D3871" s="73"/>
      <c r="E3871" s="73"/>
      <c r="F3871" s="162"/>
      <c r="G3871" s="162"/>
      <c r="H3871" s="194"/>
      <c r="I3871" s="161"/>
      <c r="J3871" s="162"/>
      <c r="K3871" s="73"/>
      <c r="L3871" s="73"/>
      <c r="M3871" s="73"/>
      <c r="N3871" s="171"/>
      <c r="O3871" s="171"/>
      <c r="P3871" s="171"/>
      <c r="Q3871" s="173"/>
      <c r="R3871" s="173"/>
      <c r="S3871" s="173"/>
      <c r="T3871" s="173"/>
      <c r="U3871" s="173"/>
      <c r="V3871" s="169"/>
      <c r="W3871" s="171"/>
      <c r="X3871" s="171"/>
    </row>
    <row r="3872" ht="15.0" customHeight="1">
      <c r="A3872" s="506"/>
      <c r="B3872" s="200"/>
      <c r="C3872" s="73"/>
      <c r="D3872" s="73"/>
      <c r="E3872" s="73"/>
      <c r="F3872" s="162"/>
      <c r="G3872" s="162"/>
      <c r="H3872" s="194"/>
      <c r="I3872" s="161"/>
      <c r="J3872" s="162"/>
      <c r="K3872" s="73"/>
      <c r="L3872" s="73"/>
      <c r="M3872" s="73"/>
      <c r="N3872" s="171"/>
      <c r="O3872" s="171"/>
      <c r="P3872" s="171"/>
      <c r="Q3872" s="173"/>
      <c r="R3872" s="173"/>
      <c r="S3872" s="173"/>
      <c r="T3872" s="173"/>
      <c r="U3872" s="173"/>
      <c r="V3872" s="169"/>
      <c r="W3872" s="171"/>
      <c r="X3872" s="171"/>
    </row>
    <row r="3873" ht="15.0" customHeight="1">
      <c r="A3873" s="506"/>
      <c r="B3873" s="200"/>
      <c r="C3873" s="73"/>
      <c r="D3873" s="73"/>
      <c r="E3873" s="73"/>
      <c r="F3873" s="162"/>
      <c r="G3873" s="162"/>
      <c r="H3873" s="194"/>
      <c r="I3873" s="161"/>
      <c r="J3873" s="162"/>
      <c r="K3873" s="73"/>
      <c r="L3873" s="73"/>
      <c r="M3873" s="73"/>
      <c r="N3873" s="171"/>
      <c r="O3873" s="171"/>
      <c r="P3873" s="171"/>
      <c r="Q3873" s="173"/>
      <c r="R3873" s="173"/>
      <c r="S3873" s="173"/>
      <c r="T3873" s="173"/>
      <c r="U3873" s="173"/>
      <c r="V3873" s="169"/>
      <c r="W3873" s="171"/>
      <c r="X3873" s="171"/>
    </row>
    <row r="3874" ht="15.0" customHeight="1">
      <c r="A3874" s="506"/>
      <c r="B3874" s="200"/>
      <c r="C3874" s="73"/>
      <c r="D3874" s="73"/>
      <c r="E3874" s="73"/>
      <c r="F3874" s="162"/>
      <c r="G3874" s="162"/>
      <c r="H3874" s="194"/>
      <c r="I3874" s="161"/>
      <c r="J3874" s="162"/>
      <c r="K3874" s="73"/>
      <c r="L3874" s="73"/>
      <c r="M3874" s="73"/>
      <c r="N3874" s="171"/>
      <c r="O3874" s="171"/>
      <c r="P3874" s="171"/>
      <c r="Q3874" s="173"/>
      <c r="R3874" s="173"/>
      <c r="S3874" s="173"/>
      <c r="T3874" s="173"/>
      <c r="U3874" s="173"/>
      <c r="V3874" s="169"/>
      <c r="W3874" s="171"/>
      <c r="X3874" s="171"/>
    </row>
    <row r="3875" ht="15.0" customHeight="1">
      <c r="A3875" s="506"/>
      <c r="B3875" s="200"/>
      <c r="C3875" s="73"/>
      <c r="D3875" s="73"/>
      <c r="E3875" s="73"/>
      <c r="F3875" s="162"/>
      <c r="G3875" s="162"/>
      <c r="H3875" s="194"/>
      <c r="I3875" s="161"/>
      <c r="J3875" s="162"/>
      <c r="K3875" s="73"/>
      <c r="L3875" s="73"/>
      <c r="M3875" s="73"/>
      <c r="N3875" s="171"/>
      <c r="O3875" s="171"/>
      <c r="P3875" s="171"/>
      <c r="Q3875" s="173"/>
      <c r="R3875" s="173"/>
      <c r="S3875" s="173"/>
      <c r="T3875" s="173"/>
      <c r="U3875" s="173"/>
      <c r="V3875" s="169"/>
      <c r="W3875" s="171"/>
      <c r="X3875" s="171"/>
    </row>
    <row r="3876" ht="15.0" customHeight="1">
      <c r="A3876" s="506"/>
      <c r="B3876" s="200"/>
      <c r="C3876" s="73"/>
      <c r="D3876" s="73"/>
      <c r="E3876" s="73"/>
      <c r="F3876" s="162"/>
      <c r="G3876" s="162"/>
      <c r="H3876" s="194"/>
      <c r="I3876" s="161"/>
      <c r="J3876" s="162"/>
      <c r="K3876" s="73"/>
      <c r="L3876" s="73"/>
      <c r="M3876" s="73"/>
      <c r="N3876" s="171"/>
      <c r="O3876" s="171"/>
      <c r="P3876" s="171"/>
      <c r="Q3876" s="173"/>
      <c r="R3876" s="173"/>
      <c r="S3876" s="173"/>
      <c r="T3876" s="173"/>
      <c r="U3876" s="173"/>
      <c r="V3876" s="169"/>
      <c r="W3876" s="171"/>
      <c r="X3876" s="171"/>
    </row>
    <row r="3877" ht="15.0" customHeight="1">
      <c r="A3877" s="506"/>
      <c r="B3877" s="200"/>
      <c r="C3877" s="73"/>
      <c r="D3877" s="73"/>
      <c r="E3877" s="73"/>
      <c r="F3877" s="162"/>
      <c r="G3877" s="162"/>
      <c r="H3877" s="194"/>
      <c r="I3877" s="161"/>
      <c r="J3877" s="162"/>
      <c r="K3877" s="73"/>
      <c r="L3877" s="73"/>
      <c r="M3877" s="73"/>
      <c r="N3877" s="171"/>
      <c r="O3877" s="171"/>
      <c r="P3877" s="171"/>
      <c r="Q3877" s="173"/>
      <c r="R3877" s="173"/>
      <c r="S3877" s="173"/>
      <c r="T3877" s="173"/>
      <c r="U3877" s="173"/>
      <c r="V3877" s="169"/>
      <c r="W3877" s="171"/>
      <c r="X3877" s="171"/>
    </row>
    <row r="3878" ht="15.0" customHeight="1">
      <c r="A3878" s="506"/>
      <c r="B3878" s="200"/>
      <c r="C3878" s="73"/>
      <c r="D3878" s="73"/>
      <c r="E3878" s="73"/>
      <c r="F3878" s="162"/>
      <c r="G3878" s="162"/>
      <c r="H3878" s="194"/>
      <c r="I3878" s="161"/>
      <c r="J3878" s="162"/>
      <c r="K3878" s="73"/>
      <c r="L3878" s="73"/>
      <c r="M3878" s="73"/>
      <c r="N3878" s="171"/>
      <c r="O3878" s="171"/>
      <c r="P3878" s="171"/>
      <c r="Q3878" s="173"/>
      <c r="R3878" s="173"/>
      <c r="S3878" s="173"/>
      <c r="T3878" s="173"/>
      <c r="U3878" s="173"/>
      <c r="V3878" s="169"/>
      <c r="W3878" s="171"/>
      <c r="X3878" s="171"/>
    </row>
    <row r="3879" ht="15.0" customHeight="1">
      <c r="A3879" s="506"/>
      <c r="B3879" s="200"/>
      <c r="C3879" s="73"/>
      <c r="D3879" s="73"/>
      <c r="E3879" s="73"/>
      <c r="F3879" s="162"/>
      <c r="G3879" s="162"/>
      <c r="H3879" s="194"/>
      <c r="I3879" s="161"/>
      <c r="J3879" s="162"/>
      <c r="K3879" s="73"/>
      <c r="L3879" s="73"/>
      <c r="M3879" s="73"/>
      <c r="N3879" s="171"/>
      <c r="O3879" s="171"/>
      <c r="P3879" s="171"/>
      <c r="Q3879" s="173"/>
      <c r="R3879" s="173"/>
      <c r="S3879" s="173"/>
      <c r="T3879" s="173"/>
      <c r="U3879" s="173"/>
      <c r="V3879" s="169"/>
      <c r="W3879" s="171"/>
      <c r="X3879" s="171"/>
    </row>
    <row r="3880" ht="15.0" customHeight="1">
      <c r="A3880" s="506"/>
      <c r="B3880" s="200"/>
      <c r="C3880" s="73"/>
      <c r="D3880" s="73"/>
      <c r="E3880" s="73"/>
      <c r="F3880" s="162"/>
      <c r="G3880" s="162"/>
      <c r="H3880" s="194"/>
      <c r="I3880" s="161"/>
      <c r="J3880" s="162"/>
      <c r="K3880" s="73"/>
      <c r="L3880" s="73"/>
      <c r="M3880" s="73"/>
      <c r="N3880" s="171"/>
      <c r="O3880" s="171"/>
      <c r="P3880" s="171"/>
      <c r="Q3880" s="173"/>
      <c r="R3880" s="173"/>
      <c r="S3880" s="173"/>
      <c r="T3880" s="173"/>
      <c r="U3880" s="173"/>
      <c r="V3880" s="169"/>
      <c r="W3880" s="171"/>
      <c r="X3880" s="171"/>
    </row>
    <row r="3881" ht="15.0" customHeight="1">
      <c r="A3881" s="506"/>
      <c r="B3881" s="200"/>
      <c r="C3881" s="73"/>
      <c r="D3881" s="73"/>
      <c r="E3881" s="73"/>
      <c r="F3881" s="162"/>
      <c r="G3881" s="162"/>
      <c r="H3881" s="194"/>
      <c r="I3881" s="161"/>
      <c r="J3881" s="162"/>
      <c r="K3881" s="73"/>
      <c r="L3881" s="73"/>
      <c r="M3881" s="73"/>
      <c r="N3881" s="171"/>
      <c r="O3881" s="171"/>
      <c r="P3881" s="171"/>
      <c r="Q3881" s="173"/>
      <c r="R3881" s="173"/>
      <c r="S3881" s="173"/>
      <c r="T3881" s="173"/>
      <c r="U3881" s="173"/>
      <c r="V3881" s="169"/>
      <c r="W3881" s="171"/>
      <c r="X3881" s="171"/>
    </row>
    <row r="3882" ht="15.0" customHeight="1">
      <c r="A3882" s="506"/>
      <c r="B3882" s="200"/>
      <c r="C3882" s="73"/>
      <c r="D3882" s="73"/>
      <c r="E3882" s="73"/>
      <c r="F3882" s="162"/>
      <c r="G3882" s="162"/>
      <c r="H3882" s="194"/>
      <c r="I3882" s="161"/>
      <c r="J3882" s="162"/>
      <c r="K3882" s="73"/>
      <c r="L3882" s="73"/>
      <c r="M3882" s="73"/>
      <c r="N3882" s="171"/>
      <c r="O3882" s="171"/>
      <c r="P3882" s="171"/>
      <c r="Q3882" s="173"/>
      <c r="R3882" s="173"/>
      <c r="S3882" s="173"/>
      <c r="T3882" s="173"/>
      <c r="U3882" s="173"/>
      <c r="V3882" s="169"/>
      <c r="W3882" s="171"/>
      <c r="X3882" s="171"/>
    </row>
    <row r="3883" ht="15.0" customHeight="1">
      <c r="A3883" s="506"/>
      <c r="B3883" s="200"/>
      <c r="C3883" s="73"/>
      <c r="D3883" s="73"/>
      <c r="E3883" s="73"/>
      <c r="F3883" s="162"/>
      <c r="G3883" s="162"/>
      <c r="H3883" s="194"/>
      <c r="I3883" s="161"/>
      <c r="J3883" s="162"/>
      <c r="K3883" s="73"/>
      <c r="L3883" s="73"/>
      <c r="M3883" s="73"/>
      <c r="N3883" s="171"/>
      <c r="O3883" s="171"/>
      <c r="P3883" s="171"/>
      <c r="Q3883" s="173"/>
      <c r="R3883" s="173"/>
      <c r="S3883" s="173"/>
      <c r="T3883" s="173"/>
      <c r="U3883" s="173"/>
      <c r="V3883" s="169"/>
      <c r="W3883" s="171"/>
      <c r="X3883" s="171"/>
    </row>
    <row r="3884" ht="15.0" customHeight="1">
      <c r="A3884" s="506"/>
      <c r="B3884" s="200"/>
      <c r="C3884" s="73"/>
      <c r="D3884" s="73"/>
      <c r="E3884" s="73"/>
      <c r="F3884" s="162"/>
      <c r="G3884" s="162"/>
      <c r="H3884" s="194"/>
      <c r="I3884" s="161"/>
      <c r="J3884" s="162"/>
      <c r="K3884" s="73"/>
      <c r="L3884" s="73"/>
      <c r="M3884" s="73"/>
      <c r="N3884" s="171"/>
      <c r="O3884" s="171"/>
      <c r="P3884" s="171"/>
      <c r="Q3884" s="173"/>
      <c r="R3884" s="173"/>
      <c r="S3884" s="173"/>
      <c r="T3884" s="173"/>
      <c r="U3884" s="173"/>
      <c r="V3884" s="169"/>
      <c r="W3884" s="171"/>
      <c r="X3884" s="171"/>
    </row>
    <row r="3885" ht="15.0" customHeight="1">
      <c r="A3885" s="506"/>
      <c r="B3885" s="200"/>
      <c r="C3885" s="73"/>
      <c r="D3885" s="73"/>
      <c r="E3885" s="73"/>
      <c r="F3885" s="162"/>
      <c r="G3885" s="162"/>
      <c r="H3885" s="194"/>
      <c r="I3885" s="161"/>
      <c r="J3885" s="162"/>
      <c r="K3885" s="73"/>
      <c r="L3885" s="73"/>
      <c r="M3885" s="73"/>
      <c r="N3885" s="171"/>
      <c r="O3885" s="171"/>
      <c r="P3885" s="171"/>
      <c r="Q3885" s="173"/>
      <c r="R3885" s="173"/>
      <c r="S3885" s="173"/>
      <c r="T3885" s="173"/>
      <c r="U3885" s="173"/>
      <c r="V3885" s="169"/>
      <c r="W3885" s="171"/>
      <c r="X3885" s="171"/>
    </row>
    <row r="3886" ht="15.0" customHeight="1">
      <c r="A3886" s="506"/>
      <c r="B3886" s="200"/>
      <c r="C3886" s="73"/>
      <c r="D3886" s="73"/>
      <c r="E3886" s="73"/>
      <c r="F3886" s="162"/>
      <c r="G3886" s="162"/>
      <c r="H3886" s="194"/>
      <c r="I3886" s="161"/>
      <c r="J3886" s="162"/>
      <c r="K3886" s="73"/>
      <c r="L3886" s="73"/>
      <c r="M3886" s="73"/>
      <c r="N3886" s="171"/>
      <c r="O3886" s="171"/>
      <c r="P3886" s="171"/>
      <c r="Q3886" s="173"/>
      <c r="R3886" s="173"/>
      <c r="S3886" s="173"/>
      <c r="T3886" s="173"/>
      <c r="U3886" s="173"/>
      <c r="V3886" s="169"/>
      <c r="W3886" s="171"/>
      <c r="X3886" s="171"/>
    </row>
    <row r="3887" ht="15.0" customHeight="1">
      <c r="A3887" s="506"/>
      <c r="B3887" s="200"/>
      <c r="C3887" s="73"/>
      <c r="D3887" s="73"/>
      <c r="E3887" s="73"/>
      <c r="F3887" s="162"/>
      <c r="G3887" s="162"/>
      <c r="H3887" s="194"/>
      <c r="I3887" s="161"/>
      <c r="J3887" s="162"/>
      <c r="K3887" s="73"/>
      <c r="L3887" s="73"/>
      <c r="M3887" s="73"/>
      <c r="N3887" s="171"/>
      <c r="O3887" s="171"/>
      <c r="P3887" s="171"/>
      <c r="Q3887" s="173"/>
      <c r="R3887" s="173"/>
      <c r="S3887" s="173"/>
      <c r="T3887" s="173"/>
      <c r="U3887" s="173"/>
      <c r="V3887" s="169"/>
      <c r="W3887" s="171"/>
      <c r="X3887" s="171"/>
    </row>
    <row r="3888" ht="15.0" customHeight="1">
      <c r="A3888" s="506"/>
      <c r="B3888" s="200"/>
      <c r="C3888" s="73"/>
      <c r="D3888" s="73"/>
      <c r="E3888" s="73"/>
      <c r="F3888" s="162"/>
      <c r="G3888" s="162"/>
      <c r="H3888" s="194"/>
      <c r="I3888" s="161"/>
      <c r="J3888" s="162"/>
      <c r="K3888" s="73"/>
      <c r="L3888" s="73"/>
      <c r="M3888" s="73"/>
      <c r="N3888" s="171"/>
      <c r="O3888" s="171"/>
      <c r="P3888" s="171"/>
      <c r="Q3888" s="173"/>
      <c r="R3888" s="173"/>
      <c r="S3888" s="173"/>
      <c r="T3888" s="173"/>
      <c r="U3888" s="173"/>
      <c r="V3888" s="169"/>
      <c r="W3888" s="171"/>
      <c r="X3888" s="171"/>
    </row>
    <row r="3889" ht="15.0" customHeight="1">
      <c r="A3889" s="506"/>
      <c r="B3889" s="200"/>
      <c r="C3889" s="73"/>
      <c r="D3889" s="73"/>
      <c r="E3889" s="73"/>
      <c r="F3889" s="162"/>
      <c r="G3889" s="162"/>
      <c r="H3889" s="194"/>
      <c r="I3889" s="161"/>
      <c r="J3889" s="162"/>
      <c r="K3889" s="73"/>
      <c r="L3889" s="73"/>
      <c r="M3889" s="73"/>
      <c r="N3889" s="171"/>
      <c r="O3889" s="171"/>
      <c r="P3889" s="171"/>
      <c r="Q3889" s="173"/>
      <c r="R3889" s="173"/>
      <c r="S3889" s="173"/>
      <c r="T3889" s="173"/>
      <c r="U3889" s="173"/>
      <c r="V3889" s="169"/>
      <c r="W3889" s="171"/>
      <c r="X3889" s="171"/>
    </row>
    <row r="3890" ht="15.0" customHeight="1">
      <c r="A3890" s="506"/>
      <c r="B3890" s="200"/>
      <c r="C3890" s="73"/>
      <c r="D3890" s="73"/>
      <c r="E3890" s="73"/>
      <c r="F3890" s="162"/>
      <c r="G3890" s="162"/>
      <c r="H3890" s="194"/>
      <c r="I3890" s="161"/>
      <c r="J3890" s="162"/>
      <c r="K3890" s="73"/>
      <c r="L3890" s="73"/>
      <c r="M3890" s="73"/>
      <c r="N3890" s="171"/>
      <c r="O3890" s="171"/>
      <c r="P3890" s="171"/>
      <c r="Q3890" s="173"/>
      <c r="R3890" s="173"/>
      <c r="S3890" s="173"/>
      <c r="T3890" s="173"/>
      <c r="U3890" s="173"/>
      <c r="V3890" s="169"/>
      <c r="W3890" s="171"/>
      <c r="X3890" s="171"/>
    </row>
    <row r="3891" ht="15.0" customHeight="1">
      <c r="A3891" s="506"/>
      <c r="B3891" s="200"/>
      <c r="C3891" s="73"/>
      <c r="D3891" s="73"/>
      <c r="E3891" s="73"/>
      <c r="F3891" s="162"/>
      <c r="G3891" s="162"/>
      <c r="H3891" s="194"/>
      <c r="I3891" s="161"/>
      <c r="J3891" s="162"/>
      <c r="K3891" s="73"/>
      <c r="L3891" s="73"/>
      <c r="M3891" s="73"/>
      <c r="N3891" s="171"/>
      <c r="O3891" s="171"/>
      <c r="P3891" s="171"/>
      <c r="Q3891" s="173"/>
      <c r="R3891" s="173"/>
      <c r="S3891" s="173"/>
      <c r="T3891" s="173"/>
      <c r="U3891" s="173"/>
      <c r="V3891" s="169"/>
      <c r="W3891" s="171"/>
      <c r="X3891" s="171"/>
    </row>
    <row r="3892" ht="15.0" customHeight="1">
      <c r="A3892" s="506"/>
      <c r="B3892" s="200"/>
      <c r="C3892" s="73"/>
      <c r="D3892" s="73"/>
      <c r="E3892" s="73"/>
      <c r="F3892" s="162"/>
      <c r="G3892" s="162"/>
      <c r="H3892" s="194"/>
      <c r="I3892" s="161"/>
      <c r="J3892" s="162"/>
      <c r="K3892" s="73"/>
      <c r="L3892" s="73"/>
      <c r="M3892" s="73"/>
      <c r="N3892" s="171"/>
      <c r="O3892" s="171"/>
      <c r="P3892" s="171"/>
      <c r="Q3892" s="173"/>
      <c r="R3892" s="173"/>
      <c r="S3892" s="173"/>
      <c r="T3892" s="173"/>
      <c r="U3892" s="173"/>
      <c r="V3892" s="169"/>
      <c r="W3892" s="171"/>
      <c r="X3892" s="171"/>
    </row>
    <row r="3893" ht="15.0" customHeight="1">
      <c r="A3893" s="506"/>
      <c r="B3893" s="200"/>
      <c r="C3893" s="73"/>
      <c r="D3893" s="73"/>
      <c r="E3893" s="73"/>
      <c r="F3893" s="162"/>
      <c r="G3893" s="162"/>
      <c r="H3893" s="194"/>
      <c r="I3893" s="161"/>
      <c r="J3893" s="162"/>
      <c r="K3893" s="73"/>
      <c r="L3893" s="73"/>
      <c r="M3893" s="73"/>
      <c r="N3893" s="171"/>
      <c r="O3893" s="171"/>
      <c r="P3893" s="171"/>
      <c r="Q3893" s="173"/>
      <c r="R3893" s="173"/>
      <c r="S3893" s="173"/>
      <c r="T3893" s="173"/>
      <c r="U3893" s="173"/>
      <c r="V3893" s="169"/>
      <c r="W3893" s="171"/>
      <c r="X3893" s="171"/>
    </row>
    <row r="3894" ht="15.0" customHeight="1">
      <c r="A3894" s="506"/>
      <c r="B3894" s="200"/>
      <c r="C3894" s="73"/>
      <c r="D3894" s="73"/>
      <c r="E3894" s="73"/>
      <c r="F3894" s="162"/>
      <c r="G3894" s="162"/>
      <c r="H3894" s="194"/>
      <c r="I3894" s="161"/>
      <c r="J3894" s="162"/>
      <c r="K3894" s="73"/>
      <c r="L3894" s="73"/>
      <c r="M3894" s="73"/>
      <c r="N3894" s="171"/>
      <c r="O3894" s="171"/>
      <c r="P3894" s="171"/>
      <c r="Q3894" s="173"/>
      <c r="R3894" s="173"/>
      <c r="S3894" s="173"/>
      <c r="T3894" s="173"/>
      <c r="U3894" s="173"/>
      <c r="V3894" s="169"/>
      <c r="W3894" s="171"/>
      <c r="X3894" s="171"/>
    </row>
    <row r="3895" ht="15.0" customHeight="1">
      <c r="A3895" s="506"/>
      <c r="B3895" s="200"/>
      <c r="C3895" s="73"/>
      <c r="D3895" s="73"/>
      <c r="E3895" s="73"/>
      <c r="F3895" s="162"/>
      <c r="G3895" s="162"/>
      <c r="H3895" s="194"/>
      <c r="I3895" s="161"/>
      <c r="J3895" s="162"/>
      <c r="K3895" s="73"/>
      <c r="L3895" s="73"/>
      <c r="M3895" s="73"/>
      <c r="N3895" s="171"/>
      <c r="O3895" s="171"/>
      <c r="P3895" s="171"/>
      <c r="Q3895" s="173"/>
      <c r="R3895" s="173"/>
      <c r="S3895" s="173"/>
      <c r="T3895" s="173"/>
      <c r="U3895" s="173"/>
      <c r="V3895" s="169"/>
      <c r="W3895" s="171"/>
      <c r="X3895" s="171"/>
    </row>
    <row r="3896" ht="15.0" customHeight="1">
      <c r="A3896" s="506"/>
      <c r="B3896" s="200"/>
      <c r="C3896" s="73"/>
      <c r="D3896" s="73"/>
      <c r="E3896" s="73"/>
      <c r="F3896" s="162"/>
      <c r="G3896" s="162"/>
      <c r="H3896" s="194"/>
      <c r="I3896" s="161"/>
      <c r="J3896" s="162"/>
      <c r="K3896" s="73"/>
      <c r="L3896" s="73"/>
      <c r="M3896" s="73"/>
      <c r="N3896" s="171"/>
      <c r="O3896" s="171"/>
      <c r="P3896" s="171"/>
      <c r="Q3896" s="173"/>
      <c r="R3896" s="173"/>
      <c r="S3896" s="173"/>
      <c r="T3896" s="173"/>
      <c r="U3896" s="173"/>
      <c r="V3896" s="169"/>
      <c r="W3896" s="171"/>
      <c r="X3896" s="171"/>
    </row>
    <row r="3897" ht="15.0" customHeight="1">
      <c r="A3897" s="506"/>
      <c r="B3897" s="200"/>
      <c r="C3897" s="73"/>
      <c r="D3897" s="73"/>
      <c r="E3897" s="73"/>
      <c r="F3897" s="162"/>
      <c r="G3897" s="162"/>
      <c r="H3897" s="194"/>
      <c r="I3897" s="161"/>
      <c r="J3897" s="162"/>
      <c r="K3897" s="73"/>
      <c r="L3897" s="73"/>
      <c r="M3897" s="73"/>
      <c r="N3897" s="171"/>
      <c r="O3897" s="171"/>
      <c r="P3897" s="171"/>
      <c r="Q3897" s="173"/>
      <c r="R3897" s="173"/>
      <c r="S3897" s="173"/>
      <c r="T3897" s="173"/>
      <c r="U3897" s="173"/>
      <c r="V3897" s="169"/>
      <c r="W3897" s="171"/>
      <c r="X3897" s="171"/>
    </row>
    <row r="3898" ht="15.0" customHeight="1">
      <c r="A3898" s="506"/>
      <c r="B3898" s="200"/>
      <c r="C3898" s="73"/>
      <c r="D3898" s="73"/>
      <c r="E3898" s="73"/>
      <c r="F3898" s="162"/>
      <c r="G3898" s="162"/>
      <c r="H3898" s="194"/>
      <c r="I3898" s="161"/>
      <c r="J3898" s="162"/>
      <c r="K3898" s="73"/>
      <c r="L3898" s="73"/>
      <c r="M3898" s="73"/>
      <c r="N3898" s="171"/>
      <c r="O3898" s="171"/>
      <c r="P3898" s="171"/>
      <c r="Q3898" s="173"/>
      <c r="R3898" s="173"/>
      <c r="S3898" s="173"/>
      <c r="T3898" s="173"/>
      <c r="U3898" s="173"/>
      <c r="V3898" s="169"/>
      <c r="W3898" s="171"/>
      <c r="X3898" s="171"/>
    </row>
    <row r="3899" ht="15.0" customHeight="1">
      <c r="A3899" s="506"/>
      <c r="B3899" s="200"/>
      <c r="C3899" s="73"/>
      <c r="D3899" s="73"/>
      <c r="E3899" s="73"/>
      <c r="F3899" s="162"/>
      <c r="G3899" s="162"/>
      <c r="H3899" s="194"/>
      <c r="I3899" s="161"/>
      <c r="J3899" s="162"/>
      <c r="K3899" s="73"/>
      <c r="L3899" s="73"/>
      <c r="M3899" s="73"/>
      <c r="N3899" s="171"/>
      <c r="O3899" s="171"/>
      <c r="P3899" s="171"/>
      <c r="Q3899" s="173"/>
      <c r="R3899" s="173"/>
      <c r="S3899" s="173"/>
      <c r="T3899" s="173"/>
      <c r="U3899" s="173"/>
      <c r="V3899" s="169"/>
      <c r="W3899" s="171"/>
      <c r="X3899" s="171"/>
    </row>
    <row r="3900" ht="15.0" customHeight="1">
      <c r="A3900" s="506"/>
      <c r="B3900" s="200"/>
      <c r="C3900" s="73"/>
      <c r="D3900" s="73"/>
      <c r="E3900" s="73"/>
      <c r="F3900" s="162"/>
      <c r="G3900" s="162"/>
      <c r="H3900" s="194"/>
      <c r="I3900" s="161"/>
      <c r="J3900" s="162"/>
      <c r="K3900" s="73"/>
      <c r="L3900" s="73"/>
      <c r="M3900" s="73"/>
      <c r="N3900" s="171"/>
      <c r="O3900" s="171"/>
      <c r="P3900" s="171"/>
      <c r="Q3900" s="173"/>
      <c r="R3900" s="173"/>
      <c r="S3900" s="173"/>
      <c r="T3900" s="173"/>
      <c r="U3900" s="173"/>
      <c r="V3900" s="169"/>
      <c r="W3900" s="171"/>
      <c r="X3900" s="171"/>
    </row>
    <row r="3901" ht="15.0" customHeight="1">
      <c r="A3901" s="506"/>
      <c r="B3901" s="200"/>
      <c r="C3901" s="73"/>
      <c r="D3901" s="73"/>
      <c r="E3901" s="73"/>
      <c r="F3901" s="162"/>
      <c r="G3901" s="162"/>
      <c r="H3901" s="194"/>
      <c r="I3901" s="161"/>
      <c r="J3901" s="162"/>
      <c r="K3901" s="73"/>
      <c r="L3901" s="73"/>
      <c r="M3901" s="73"/>
      <c r="N3901" s="171"/>
      <c r="O3901" s="171"/>
      <c r="P3901" s="171"/>
      <c r="Q3901" s="173"/>
      <c r="R3901" s="173"/>
      <c r="S3901" s="173"/>
      <c r="T3901" s="173"/>
      <c r="U3901" s="173"/>
      <c r="V3901" s="169"/>
      <c r="W3901" s="171"/>
      <c r="X3901" s="171"/>
    </row>
    <row r="3902" ht="15.0" customHeight="1">
      <c r="A3902" s="506"/>
      <c r="B3902" s="200"/>
      <c r="C3902" s="73"/>
      <c r="D3902" s="73"/>
      <c r="E3902" s="73"/>
      <c r="F3902" s="162"/>
      <c r="G3902" s="162"/>
      <c r="H3902" s="194"/>
      <c r="I3902" s="161"/>
      <c r="J3902" s="162"/>
      <c r="K3902" s="73"/>
      <c r="L3902" s="73"/>
      <c r="M3902" s="73"/>
      <c r="N3902" s="171"/>
      <c r="O3902" s="171"/>
      <c r="P3902" s="171"/>
      <c r="Q3902" s="173"/>
      <c r="R3902" s="173"/>
      <c r="S3902" s="173"/>
      <c r="T3902" s="173"/>
      <c r="U3902" s="173"/>
      <c r="V3902" s="169"/>
      <c r="W3902" s="171"/>
      <c r="X3902" s="171"/>
    </row>
    <row r="3903" ht="15.0" customHeight="1">
      <c r="A3903" s="506"/>
      <c r="B3903" s="200"/>
      <c r="C3903" s="73"/>
      <c r="D3903" s="73"/>
      <c r="E3903" s="73"/>
      <c r="F3903" s="162"/>
      <c r="G3903" s="162"/>
      <c r="H3903" s="194"/>
      <c r="I3903" s="161"/>
      <c r="J3903" s="162"/>
      <c r="K3903" s="73"/>
      <c r="L3903" s="73"/>
      <c r="M3903" s="73"/>
      <c r="N3903" s="171"/>
      <c r="O3903" s="171"/>
      <c r="P3903" s="171"/>
      <c r="Q3903" s="173"/>
      <c r="R3903" s="173"/>
      <c r="S3903" s="173"/>
      <c r="T3903" s="173"/>
      <c r="U3903" s="173"/>
      <c r="V3903" s="169"/>
      <c r="W3903" s="171"/>
      <c r="X3903" s="171"/>
    </row>
    <row r="3904" ht="15.0" customHeight="1">
      <c r="A3904" s="506"/>
      <c r="B3904" s="200"/>
      <c r="C3904" s="73"/>
      <c r="D3904" s="73"/>
      <c r="E3904" s="73"/>
      <c r="F3904" s="162"/>
      <c r="G3904" s="162"/>
      <c r="H3904" s="194"/>
      <c r="I3904" s="161"/>
      <c r="J3904" s="162"/>
      <c r="K3904" s="73"/>
      <c r="L3904" s="73"/>
      <c r="M3904" s="73"/>
      <c r="N3904" s="171"/>
      <c r="O3904" s="171"/>
      <c r="P3904" s="171"/>
      <c r="Q3904" s="173"/>
      <c r="R3904" s="173"/>
      <c r="S3904" s="173"/>
      <c r="T3904" s="173"/>
      <c r="U3904" s="173"/>
      <c r="V3904" s="169"/>
      <c r="W3904" s="171"/>
      <c r="X3904" s="171"/>
    </row>
    <row r="3905" ht="15.0" customHeight="1">
      <c r="A3905" s="506"/>
      <c r="B3905" s="200"/>
      <c r="C3905" s="73"/>
      <c r="D3905" s="73"/>
      <c r="E3905" s="73"/>
      <c r="F3905" s="162"/>
      <c r="G3905" s="162"/>
      <c r="H3905" s="194"/>
      <c r="I3905" s="161"/>
      <c r="J3905" s="162"/>
      <c r="K3905" s="73"/>
      <c r="L3905" s="73"/>
      <c r="M3905" s="73"/>
      <c r="N3905" s="171"/>
      <c r="O3905" s="171"/>
      <c r="P3905" s="171"/>
      <c r="Q3905" s="173"/>
      <c r="R3905" s="173"/>
      <c r="S3905" s="173"/>
      <c r="T3905" s="173"/>
      <c r="U3905" s="173"/>
      <c r="V3905" s="169"/>
      <c r="W3905" s="171"/>
      <c r="X3905" s="171"/>
    </row>
    <row r="3906" ht="15.0" customHeight="1">
      <c r="A3906" s="506"/>
      <c r="B3906" s="200"/>
      <c r="C3906" s="73"/>
      <c r="D3906" s="73"/>
      <c r="E3906" s="73"/>
      <c r="F3906" s="162"/>
      <c r="G3906" s="162"/>
      <c r="H3906" s="194"/>
      <c r="I3906" s="161"/>
      <c r="J3906" s="162"/>
      <c r="K3906" s="73"/>
      <c r="L3906" s="73"/>
      <c r="M3906" s="73"/>
      <c r="N3906" s="171"/>
      <c r="O3906" s="171"/>
      <c r="P3906" s="171"/>
      <c r="Q3906" s="173"/>
      <c r="R3906" s="173"/>
      <c r="S3906" s="173"/>
      <c r="T3906" s="173"/>
      <c r="U3906" s="173"/>
      <c r="V3906" s="169"/>
      <c r="W3906" s="171"/>
      <c r="X3906" s="171"/>
    </row>
    <row r="3907" ht="15.0" customHeight="1">
      <c r="A3907" s="506"/>
      <c r="B3907" s="200"/>
      <c r="C3907" s="73"/>
      <c r="D3907" s="73"/>
      <c r="E3907" s="73"/>
      <c r="F3907" s="162"/>
      <c r="G3907" s="162"/>
      <c r="H3907" s="194"/>
      <c r="I3907" s="161"/>
      <c r="J3907" s="162"/>
      <c r="K3907" s="73"/>
      <c r="L3907" s="73"/>
      <c r="M3907" s="73"/>
      <c r="N3907" s="171"/>
      <c r="O3907" s="171"/>
      <c r="P3907" s="171"/>
      <c r="Q3907" s="173"/>
      <c r="R3907" s="173"/>
      <c r="S3907" s="173"/>
      <c r="T3907" s="173"/>
      <c r="U3907" s="173"/>
      <c r="V3907" s="169"/>
      <c r="W3907" s="171"/>
      <c r="X3907" s="171"/>
    </row>
    <row r="3908" ht="15.0" customHeight="1">
      <c r="A3908" s="506"/>
      <c r="B3908" s="200"/>
      <c r="C3908" s="73"/>
      <c r="D3908" s="73"/>
      <c r="E3908" s="73"/>
      <c r="F3908" s="162"/>
      <c r="G3908" s="162"/>
      <c r="H3908" s="194"/>
      <c r="I3908" s="161"/>
      <c r="J3908" s="162"/>
      <c r="K3908" s="73"/>
      <c r="L3908" s="73"/>
      <c r="M3908" s="73"/>
      <c r="N3908" s="171"/>
      <c r="O3908" s="171"/>
      <c r="P3908" s="171"/>
      <c r="Q3908" s="173"/>
      <c r="R3908" s="173"/>
      <c r="S3908" s="173"/>
      <c r="T3908" s="173"/>
      <c r="U3908" s="173"/>
      <c r="V3908" s="169"/>
      <c r="W3908" s="171"/>
      <c r="X3908" s="171"/>
    </row>
    <row r="3909" ht="15.0" customHeight="1">
      <c r="A3909" s="506"/>
      <c r="B3909" s="200"/>
      <c r="C3909" s="73"/>
      <c r="D3909" s="73"/>
      <c r="E3909" s="73"/>
      <c r="F3909" s="162"/>
      <c r="G3909" s="162"/>
      <c r="H3909" s="194"/>
      <c r="I3909" s="161"/>
      <c r="J3909" s="162"/>
      <c r="K3909" s="73"/>
      <c r="L3909" s="73"/>
      <c r="M3909" s="73"/>
      <c r="N3909" s="171"/>
      <c r="O3909" s="171"/>
      <c r="P3909" s="171"/>
      <c r="Q3909" s="173"/>
      <c r="R3909" s="173"/>
      <c r="S3909" s="173"/>
      <c r="T3909" s="173"/>
      <c r="U3909" s="173"/>
      <c r="V3909" s="169"/>
      <c r="W3909" s="171"/>
      <c r="X3909" s="171"/>
    </row>
    <row r="3910" ht="15.0" customHeight="1">
      <c r="A3910" s="506"/>
      <c r="B3910" s="200"/>
      <c r="C3910" s="73"/>
      <c r="D3910" s="73"/>
      <c r="E3910" s="73"/>
      <c r="F3910" s="162"/>
      <c r="G3910" s="162"/>
      <c r="H3910" s="194"/>
      <c r="I3910" s="161"/>
      <c r="J3910" s="162"/>
      <c r="K3910" s="73"/>
      <c r="L3910" s="73"/>
      <c r="M3910" s="73"/>
      <c r="N3910" s="171"/>
      <c r="O3910" s="171"/>
      <c r="P3910" s="171"/>
      <c r="Q3910" s="173"/>
      <c r="R3910" s="173"/>
      <c r="S3910" s="173"/>
      <c r="T3910" s="173"/>
      <c r="U3910" s="173"/>
      <c r="V3910" s="169"/>
      <c r="W3910" s="171"/>
      <c r="X3910" s="171"/>
    </row>
    <row r="3911" ht="15.0" customHeight="1">
      <c r="A3911" s="506"/>
      <c r="B3911" s="200"/>
      <c r="C3911" s="73"/>
      <c r="D3911" s="73"/>
      <c r="E3911" s="73"/>
      <c r="F3911" s="162"/>
      <c r="G3911" s="162"/>
      <c r="H3911" s="194"/>
      <c r="I3911" s="161"/>
      <c r="J3911" s="162"/>
      <c r="K3911" s="73"/>
      <c r="L3911" s="73"/>
      <c r="M3911" s="73"/>
      <c r="N3911" s="171"/>
      <c r="O3911" s="171"/>
      <c r="P3911" s="171"/>
      <c r="Q3911" s="173"/>
      <c r="R3911" s="173"/>
      <c r="S3911" s="173"/>
      <c r="T3911" s="173"/>
      <c r="U3911" s="173"/>
      <c r="V3911" s="169"/>
      <c r="W3911" s="171"/>
      <c r="X3911" s="171"/>
    </row>
    <row r="3912" ht="15.0" customHeight="1">
      <c r="A3912" s="506"/>
      <c r="B3912" s="200"/>
      <c r="C3912" s="73"/>
      <c r="D3912" s="73"/>
      <c r="E3912" s="73"/>
      <c r="F3912" s="162"/>
      <c r="G3912" s="162"/>
      <c r="H3912" s="194"/>
      <c r="I3912" s="161"/>
      <c r="J3912" s="162"/>
      <c r="K3912" s="73"/>
      <c r="L3912" s="73"/>
      <c r="M3912" s="73"/>
      <c r="N3912" s="171"/>
      <c r="O3912" s="171"/>
      <c r="P3912" s="171"/>
      <c r="Q3912" s="173"/>
      <c r="R3912" s="173"/>
      <c r="S3912" s="173"/>
      <c r="T3912" s="173"/>
      <c r="U3912" s="173"/>
      <c r="V3912" s="169"/>
      <c r="W3912" s="171"/>
      <c r="X3912" s="171"/>
    </row>
    <row r="3913" ht="15.0" customHeight="1">
      <c r="A3913" s="506"/>
      <c r="B3913" s="200"/>
      <c r="C3913" s="73"/>
      <c r="D3913" s="73"/>
      <c r="E3913" s="73"/>
      <c r="F3913" s="162"/>
      <c r="G3913" s="162"/>
      <c r="H3913" s="194"/>
      <c r="I3913" s="161"/>
      <c r="J3913" s="162"/>
      <c r="K3913" s="73"/>
      <c r="L3913" s="73"/>
      <c r="M3913" s="73"/>
      <c r="N3913" s="171"/>
      <c r="O3913" s="171"/>
      <c r="P3913" s="171"/>
      <c r="Q3913" s="173"/>
      <c r="R3913" s="173"/>
      <c r="S3913" s="173"/>
      <c r="T3913" s="173"/>
      <c r="U3913" s="173"/>
      <c r="V3913" s="169"/>
      <c r="W3913" s="171"/>
      <c r="X3913" s="171"/>
    </row>
    <row r="3914" ht="15.0" customHeight="1">
      <c r="A3914" s="506"/>
      <c r="B3914" s="200"/>
      <c r="C3914" s="73"/>
      <c r="D3914" s="73"/>
      <c r="E3914" s="73"/>
      <c r="F3914" s="162"/>
      <c r="G3914" s="162"/>
      <c r="H3914" s="194"/>
      <c r="I3914" s="161"/>
      <c r="J3914" s="162"/>
      <c r="K3914" s="73"/>
      <c r="L3914" s="73"/>
      <c r="M3914" s="73"/>
      <c r="N3914" s="171"/>
      <c r="O3914" s="171"/>
      <c r="P3914" s="171"/>
      <c r="Q3914" s="173"/>
      <c r="R3914" s="173"/>
      <c r="S3914" s="173"/>
      <c r="T3914" s="173"/>
      <c r="U3914" s="173"/>
      <c r="V3914" s="169"/>
      <c r="W3914" s="171"/>
      <c r="X3914" s="171"/>
    </row>
    <row r="3915" ht="15.0" customHeight="1">
      <c r="A3915" s="506"/>
      <c r="B3915" s="200"/>
      <c r="C3915" s="73"/>
      <c r="D3915" s="73"/>
      <c r="E3915" s="73"/>
      <c r="F3915" s="162"/>
      <c r="G3915" s="162"/>
      <c r="H3915" s="194"/>
      <c r="I3915" s="161"/>
      <c r="J3915" s="162"/>
      <c r="K3915" s="73"/>
      <c r="L3915" s="73"/>
      <c r="M3915" s="73"/>
      <c r="N3915" s="171"/>
      <c r="O3915" s="171"/>
      <c r="P3915" s="171"/>
      <c r="Q3915" s="173"/>
      <c r="R3915" s="173"/>
      <c r="S3915" s="173"/>
      <c r="T3915" s="173"/>
      <c r="U3915" s="173"/>
      <c r="V3915" s="169"/>
      <c r="W3915" s="171"/>
      <c r="X3915" s="171"/>
    </row>
    <row r="3916" ht="15.0" customHeight="1">
      <c r="A3916" s="506"/>
      <c r="B3916" s="200"/>
      <c r="C3916" s="73"/>
      <c r="D3916" s="73"/>
      <c r="E3916" s="73"/>
      <c r="F3916" s="162"/>
      <c r="G3916" s="162"/>
      <c r="H3916" s="194"/>
      <c r="I3916" s="161"/>
      <c r="J3916" s="162"/>
      <c r="K3916" s="73"/>
      <c r="L3916" s="73"/>
      <c r="M3916" s="73"/>
      <c r="N3916" s="171"/>
      <c r="O3916" s="171"/>
      <c r="P3916" s="171"/>
      <c r="Q3916" s="173"/>
      <c r="R3916" s="173"/>
      <c r="S3916" s="173"/>
      <c r="T3916" s="173"/>
      <c r="U3916" s="173"/>
      <c r="V3916" s="169"/>
      <c r="W3916" s="171"/>
      <c r="X3916" s="171"/>
    </row>
    <row r="3917" ht="15.0" customHeight="1">
      <c r="A3917" s="506"/>
      <c r="B3917" s="200"/>
      <c r="C3917" s="73"/>
      <c r="D3917" s="73"/>
      <c r="E3917" s="73"/>
      <c r="F3917" s="162"/>
      <c r="G3917" s="162"/>
      <c r="H3917" s="194"/>
      <c r="I3917" s="161"/>
      <c r="J3917" s="162"/>
      <c r="K3917" s="73"/>
      <c r="L3917" s="73"/>
      <c r="M3917" s="73"/>
      <c r="N3917" s="171"/>
      <c r="O3917" s="171"/>
      <c r="P3917" s="171"/>
      <c r="Q3917" s="173"/>
      <c r="R3917" s="173"/>
      <c r="S3917" s="173"/>
      <c r="T3917" s="173"/>
      <c r="U3917" s="173"/>
      <c r="V3917" s="169"/>
      <c r="W3917" s="171"/>
      <c r="X3917" s="171"/>
    </row>
    <row r="3918" ht="15.0" customHeight="1">
      <c r="A3918" s="506"/>
      <c r="B3918" s="200"/>
      <c r="C3918" s="73"/>
      <c r="D3918" s="73"/>
      <c r="E3918" s="73"/>
      <c r="F3918" s="162"/>
      <c r="G3918" s="162"/>
      <c r="H3918" s="194"/>
      <c r="I3918" s="161"/>
      <c r="J3918" s="162"/>
      <c r="K3918" s="73"/>
      <c r="L3918" s="73"/>
      <c r="M3918" s="73"/>
      <c r="N3918" s="171"/>
      <c r="O3918" s="171"/>
      <c r="P3918" s="171"/>
      <c r="Q3918" s="173"/>
      <c r="R3918" s="173"/>
      <c r="S3918" s="173"/>
      <c r="T3918" s="173"/>
      <c r="U3918" s="173"/>
      <c r="V3918" s="169"/>
      <c r="W3918" s="171"/>
      <c r="X3918" s="171"/>
    </row>
    <row r="3919" ht="15.0" customHeight="1">
      <c r="A3919" s="506"/>
      <c r="B3919" s="200"/>
      <c r="C3919" s="73"/>
      <c r="D3919" s="73"/>
      <c r="E3919" s="73"/>
      <c r="F3919" s="162"/>
      <c r="G3919" s="162"/>
      <c r="H3919" s="194"/>
      <c r="I3919" s="161"/>
      <c r="J3919" s="162"/>
      <c r="K3919" s="73"/>
      <c r="L3919" s="73"/>
      <c r="M3919" s="73"/>
      <c r="N3919" s="171"/>
      <c r="O3919" s="171"/>
      <c r="P3919" s="171"/>
      <c r="Q3919" s="173"/>
      <c r="R3919" s="173"/>
      <c r="S3919" s="173"/>
      <c r="T3919" s="173"/>
      <c r="U3919" s="173"/>
      <c r="V3919" s="169"/>
      <c r="W3919" s="171"/>
      <c r="X3919" s="171"/>
    </row>
    <row r="3920" ht="15.0" customHeight="1">
      <c r="A3920" s="506"/>
      <c r="B3920" s="200"/>
      <c r="C3920" s="73"/>
      <c r="D3920" s="73"/>
      <c r="E3920" s="73"/>
      <c r="F3920" s="162"/>
      <c r="G3920" s="162"/>
      <c r="H3920" s="194"/>
      <c r="I3920" s="161"/>
      <c r="J3920" s="162"/>
      <c r="K3920" s="73"/>
      <c r="L3920" s="73"/>
      <c r="M3920" s="73"/>
      <c r="N3920" s="171"/>
      <c r="O3920" s="171"/>
      <c r="P3920" s="171"/>
      <c r="Q3920" s="173"/>
      <c r="R3920" s="173"/>
      <c r="S3920" s="173"/>
      <c r="T3920" s="173"/>
      <c r="U3920" s="173"/>
      <c r="V3920" s="169"/>
      <c r="W3920" s="171"/>
      <c r="X3920" s="171"/>
    </row>
    <row r="3921" ht="15.0" customHeight="1">
      <c r="A3921" s="506"/>
      <c r="B3921" s="200"/>
      <c r="C3921" s="73"/>
      <c r="D3921" s="73"/>
      <c r="E3921" s="73"/>
      <c r="F3921" s="162"/>
      <c r="G3921" s="162"/>
      <c r="H3921" s="194"/>
      <c r="I3921" s="161"/>
      <c r="J3921" s="162"/>
      <c r="K3921" s="73"/>
      <c r="L3921" s="73"/>
      <c r="M3921" s="73"/>
      <c r="N3921" s="171"/>
      <c r="O3921" s="171"/>
      <c r="P3921" s="171"/>
      <c r="Q3921" s="173"/>
      <c r="R3921" s="173"/>
      <c r="S3921" s="173"/>
      <c r="T3921" s="173"/>
      <c r="U3921" s="173"/>
      <c r="V3921" s="169"/>
      <c r="W3921" s="171"/>
      <c r="X3921" s="171"/>
    </row>
    <row r="3922" ht="15.0" customHeight="1">
      <c r="A3922" s="506"/>
      <c r="B3922" s="200"/>
      <c r="C3922" s="73"/>
      <c r="D3922" s="73"/>
      <c r="E3922" s="73"/>
      <c r="F3922" s="162"/>
      <c r="G3922" s="162"/>
      <c r="H3922" s="194"/>
      <c r="I3922" s="161"/>
      <c r="J3922" s="162"/>
      <c r="K3922" s="73"/>
      <c r="L3922" s="73"/>
      <c r="M3922" s="73"/>
      <c r="N3922" s="171"/>
      <c r="O3922" s="171"/>
      <c r="P3922" s="171"/>
      <c r="Q3922" s="173"/>
      <c r="R3922" s="173"/>
      <c r="S3922" s="173"/>
      <c r="T3922" s="173"/>
      <c r="U3922" s="173"/>
      <c r="V3922" s="169"/>
      <c r="W3922" s="171"/>
      <c r="X3922" s="171"/>
    </row>
    <row r="3923" ht="15.0" customHeight="1">
      <c r="A3923" s="506"/>
      <c r="B3923" s="200"/>
      <c r="C3923" s="73"/>
      <c r="D3923" s="73"/>
      <c r="E3923" s="73"/>
      <c r="F3923" s="162"/>
      <c r="G3923" s="162"/>
      <c r="H3923" s="194"/>
      <c r="I3923" s="161"/>
      <c r="J3923" s="162"/>
      <c r="K3923" s="73"/>
      <c r="L3923" s="73"/>
      <c r="M3923" s="73"/>
      <c r="N3923" s="171"/>
      <c r="O3923" s="171"/>
      <c r="P3923" s="171"/>
      <c r="Q3923" s="173"/>
      <c r="R3923" s="173"/>
      <c r="S3923" s="173"/>
      <c r="T3923" s="173"/>
      <c r="U3923" s="173"/>
      <c r="V3923" s="169"/>
      <c r="W3923" s="171"/>
      <c r="X3923" s="171"/>
    </row>
    <row r="3924" ht="15.0" customHeight="1">
      <c r="A3924" s="506"/>
      <c r="B3924" s="200"/>
      <c r="C3924" s="73"/>
      <c r="D3924" s="73"/>
      <c r="E3924" s="73"/>
      <c r="F3924" s="162"/>
      <c r="G3924" s="162"/>
      <c r="H3924" s="194"/>
      <c r="I3924" s="161"/>
      <c r="J3924" s="162"/>
      <c r="K3924" s="73"/>
      <c r="L3924" s="73"/>
      <c r="M3924" s="73"/>
      <c r="N3924" s="171"/>
      <c r="O3924" s="171"/>
      <c r="P3924" s="171"/>
      <c r="Q3924" s="173"/>
      <c r="R3924" s="173"/>
      <c r="S3924" s="173"/>
      <c r="T3924" s="173"/>
      <c r="U3924" s="173"/>
      <c r="V3924" s="169"/>
      <c r="W3924" s="171"/>
      <c r="X3924" s="171"/>
    </row>
    <row r="3925" ht="15.0" customHeight="1">
      <c r="A3925" s="506"/>
      <c r="B3925" s="200"/>
      <c r="C3925" s="73"/>
      <c r="D3925" s="73"/>
      <c r="E3925" s="73"/>
      <c r="F3925" s="162"/>
      <c r="G3925" s="162"/>
      <c r="H3925" s="194"/>
      <c r="I3925" s="161"/>
      <c r="J3925" s="162"/>
      <c r="K3925" s="73"/>
      <c r="L3925" s="73"/>
      <c r="M3925" s="73"/>
      <c r="N3925" s="171"/>
      <c r="O3925" s="171"/>
      <c r="P3925" s="171"/>
      <c r="Q3925" s="173"/>
      <c r="R3925" s="173"/>
      <c r="S3925" s="173"/>
      <c r="T3925" s="173"/>
      <c r="U3925" s="173"/>
      <c r="V3925" s="169"/>
      <c r="W3925" s="171"/>
      <c r="X3925" s="171"/>
    </row>
    <row r="3926" ht="15.0" customHeight="1">
      <c r="A3926" s="506"/>
      <c r="B3926" s="200"/>
      <c r="C3926" s="73"/>
      <c r="D3926" s="73"/>
      <c r="E3926" s="73"/>
      <c r="F3926" s="162"/>
      <c r="G3926" s="162"/>
      <c r="H3926" s="194"/>
      <c r="I3926" s="161"/>
      <c r="J3926" s="162"/>
      <c r="K3926" s="73"/>
      <c r="L3926" s="73"/>
      <c r="M3926" s="73"/>
      <c r="N3926" s="171"/>
      <c r="O3926" s="171"/>
      <c r="P3926" s="171"/>
      <c r="Q3926" s="173"/>
      <c r="R3926" s="173"/>
      <c r="S3926" s="173"/>
      <c r="T3926" s="173"/>
      <c r="U3926" s="173"/>
      <c r="V3926" s="169"/>
      <c r="W3926" s="171"/>
      <c r="X3926" s="171"/>
    </row>
    <row r="3927" ht="15.0" customHeight="1">
      <c r="A3927" s="506"/>
      <c r="B3927" s="200"/>
      <c r="C3927" s="73"/>
      <c r="D3927" s="73"/>
      <c r="E3927" s="73"/>
      <c r="F3927" s="162"/>
      <c r="G3927" s="162"/>
      <c r="H3927" s="194"/>
      <c r="I3927" s="161"/>
      <c r="J3927" s="162"/>
      <c r="K3927" s="73"/>
      <c r="L3927" s="73"/>
      <c r="M3927" s="73"/>
      <c r="N3927" s="171"/>
      <c r="O3927" s="171"/>
      <c r="P3927" s="171"/>
      <c r="Q3927" s="173"/>
      <c r="R3927" s="173"/>
      <c r="S3927" s="173"/>
      <c r="T3927" s="173"/>
      <c r="U3927" s="173"/>
      <c r="V3927" s="169"/>
      <c r="W3927" s="171"/>
      <c r="X3927" s="171"/>
    </row>
    <row r="3928" ht="15.0" customHeight="1">
      <c r="A3928" s="506"/>
      <c r="B3928" s="200"/>
      <c r="C3928" s="73"/>
      <c r="D3928" s="73"/>
      <c r="E3928" s="73"/>
      <c r="F3928" s="162"/>
      <c r="G3928" s="162"/>
      <c r="H3928" s="194"/>
      <c r="I3928" s="161"/>
      <c r="J3928" s="162"/>
      <c r="K3928" s="73"/>
      <c r="L3928" s="73"/>
      <c r="M3928" s="73"/>
      <c r="N3928" s="171"/>
      <c r="O3928" s="171"/>
      <c r="P3928" s="171"/>
      <c r="Q3928" s="173"/>
      <c r="R3928" s="173"/>
      <c r="S3928" s="173"/>
      <c r="T3928" s="173"/>
      <c r="U3928" s="173"/>
      <c r="V3928" s="169"/>
      <c r="W3928" s="171"/>
      <c r="X3928" s="171"/>
    </row>
    <row r="3929" ht="15.0" customHeight="1">
      <c r="A3929" s="506"/>
      <c r="B3929" s="200"/>
      <c r="C3929" s="73"/>
      <c r="D3929" s="73"/>
      <c r="E3929" s="73"/>
      <c r="F3929" s="162"/>
      <c r="G3929" s="162"/>
      <c r="H3929" s="194"/>
      <c r="I3929" s="161"/>
      <c r="J3929" s="162"/>
      <c r="K3929" s="73"/>
      <c r="L3929" s="73"/>
      <c r="M3929" s="73"/>
      <c r="N3929" s="171"/>
      <c r="O3929" s="171"/>
      <c r="P3929" s="171"/>
      <c r="Q3929" s="173"/>
      <c r="R3929" s="173"/>
      <c r="S3929" s="173"/>
      <c r="T3929" s="173"/>
      <c r="U3929" s="173"/>
      <c r="V3929" s="169"/>
      <c r="W3929" s="171"/>
      <c r="X3929" s="171"/>
    </row>
    <row r="3930" ht="15.0" customHeight="1">
      <c r="A3930" s="506"/>
      <c r="B3930" s="200"/>
      <c r="C3930" s="73"/>
      <c r="D3930" s="73"/>
      <c r="E3930" s="73"/>
      <c r="F3930" s="162"/>
      <c r="G3930" s="162"/>
      <c r="H3930" s="194"/>
      <c r="I3930" s="161"/>
      <c r="J3930" s="162"/>
      <c r="K3930" s="73"/>
      <c r="L3930" s="73"/>
      <c r="M3930" s="73"/>
      <c r="N3930" s="171"/>
      <c r="O3930" s="171"/>
      <c r="P3930" s="171"/>
      <c r="Q3930" s="173"/>
      <c r="R3930" s="173"/>
      <c r="S3930" s="173"/>
      <c r="T3930" s="173"/>
      <c r="U3930" s="173"/>
      <c r="V3930" s="169"/>
      <c r="W3930" s="171"/>
      <c r="X3930" s="171"/>
    </row>
    <row r="3931" ht="15.0" customHeight="1">
      <c r="A3931" s="506"/>
      <c r="B3931" s="200"/>
      <c r="C3931" s="73"/>
      <c r="D3931" s="73"/>
      <c r="E3931" s="73"/>
      <c r="F3931" s="162"/>
      <c r="G3931" s="162"/>
      <c r="H3931" s="194"/>
      <c r="I3931" s="161"/>
      <c r="J3931" s="162"/>
      <c r="K3931" s="73"/>
      <c r="L3931" s="73"/>
      <c r="M3931" s="73"/>
      <c r="N3931" s="171"/>
      <c r="O3931" s="171"/>
      <c r="P3931" s="171"/>
      <c r="Q3931" s="173"/>
      <c r="R3931" s="173"/>
      <c r="S3931" s="173"/>
      <c r="T3931" s="173"/>
      <c r="U3931" s="173"/>
      <c r="V3931" s="169"/>
      <c r="W3931" s="171"/>
      <c r="X3931" s="171"/>
    </row>
    <row r="3932" ht="15.0" customHeight="1">
      <c r="A3932" s="506"/>
      <c r="B3932" s="200"/>
      <c r="C3932" s="73"/>
      <c r="D3932" s="73"/>
      <c r="E3932" s="73"/>
      <c r="F3932" s="162"/>
      <c r="G3932" s="162"/>
      <c r="H3932" s="194"/>
      <c r="I3932" s="161"/>
      <c r="J3932" s="162"/>
      <c r="K3932" s="73"/>
      <c r="L3932" s="73"/>
      <c r="M3932" s="73"/>
      <c r="N3932" s="171"/>
      <c r="O3932" s="171"/>
      <c r="P3932" s="171"/>
      <c r="Q3932" s="173"/>
      <c r="R3932" s="173"/>
      <c r="S3932" s="173"/>
      <c r="T3932" s="173"/>
      <c r="U3932" s="173"/>
      <c r="V3932" s="169"/>
      <c r="W3932" s="171"/>
      <c r="X3932" s="171"/>
    </row>
    <row r="3933" ht="15.0" customHeight="1">
      <c r="A3933" s="506"/>
      <c r="B3933" s="200"/>
      <c r="C3933" s="73"/>
      <c r="D3933" s="73"/>
      <c r="E3933" s="73"/>
      <c r="F3933" s="162"/>
      <c r="G3933" s="162"/>
      <c r="H3933" s="194"/>
      <c r="I3933" s="161"/>
      <c r="J3933" s="162"/>
      <c r="K3933" s="73"/>
      <c r="L3933" s="73"/>
      <c r="M3933" s="73"/>
      <c r="N3933" s="171"/>
      <c r="O3933" s="171"/>
      <c r="P3933" s="171"/>
      <c r="Q3933" s="173"/>
      <c r="R3933" s="173"/>
      <c r="S3933" s="173"/>
      <c r="T3933" s="173"/>
      <c r="U3933" s="173"/>
      <c r="V3933" s="169"/>
      <c r="W3933" s="171"/>
      <c r="X3933" s="171"/>
    </row>
    <row r="3934" ht="15.0" customHeight="1">
      <c r="A3934" s="506"/>
      <c r="B3934" s="200"/>
      <c r="C3934" s="73"/>
      <c r="D3934" s="73"/>
      <c r="E3934" s="73"/>
      <c r="F3934" s="162"/>
      <c r="G3934" s="162"/>
      <c r="H3934" s="194"/>
      <c r="I3934" s="161"/>
      <c r="J3934" s="162"/>
      <c r="K3934" s="73"/>
      <c r="L3934" s="73"/>
      <c r="M3934" s="73"/>
      <c r="N3934" s="171"/>
      <c r="O3934" s="171"/>
      <c r="P3934" s="171"/>
      <c r="Q3934" s="173"/>
      <c r="R3934" s="173"/>
      <c r="S3934" s="173"/>
      <c r="T3934" s="173"/>
      <c r="U3934" s="173"/>
      <c r="V3934" s="169"/>
      <c r="W3934" s="171"/>
      <c r="X3934" s="171"/>
    </row>
    <row r="3935" ht="15.0" customHeight="1">
      <c r="A3935" s="506"/>
      <c r="B3935" s="200"/>
      <c r="C3935" s="73"/>
      <c r="D3935" s="73"/>
      <c r="E3935" s="73"/>
      <c r="F3935" s="162"/>
      <c r="G3935" s="162"/>
      <c r="H3935" s="194"/>
      <c r="I3935" s="161"/>
      <c r="J3935" s="162"/>
      <c r="K3935" s="73"/>
      <c r="L3935" s="73"/>
      <c r="M3935" s="73"/>
      <c r="N3935" s="171"/>
      <c r="O3935" s="171"/>
      <c r="P3935" s="171"/>
      <c r="Q3935" s="173"/>
      <c r="R3935" s="173"/>
      <c r="S3935" s="173"/>
      <c r="T3935" s="173"/>
      <c r="U3935" s="173"/>
      <c r="V3935" s="169"/>
      <c r="W3935" s="171"/>
      <c r="X3935" s="171"/>
    </row>
    <row r="3936" ht="15.0" customHeight="1">
      <c r="A3936" s="506"/>
      <c r="B3936" s="200"/>
      <c r="C3936" s="73"/>
      <c r="D3936" s="73"/>
      <c r="E3936" s="73"/>
      <c r="F3936" s="162"/>
      <c r="G3936" s="162"/>
      <c r="H3936" s="194"/>
      <c r="I3936" s="161"/>
      <c r="J3936" s="162"/>
      <c r="K3936" s="73"/>
      <c r="L3936" s="73"/>
      <c r="M3936" s="73"/>
      <c r="N3936" s="171"/>
      <c r="O3936" s="171"/>
      <c r="P3936" s="171"/>
      <c r="Q3936" s="173"/>
      <c r="R3936" s="173"/>
      <c r="S3936" s="173"/>
      <c r="T3936" s="173"/>
      <c r="U3936" s="173"/>
      <c r="V3936" s="169"/>
      <c r="W3936" s="171"/>
      <c r="X3936" s="171"/>
    </row>
    <row r="3937" ht="15.0" customHeight="1">
      <c r="A3937" s="506"/>
      <c r="B3937" s="200"/>
      <c r="C3937" s="73"/>
      <c r="D3937" s="73"/>
      <c r="E3937" s="73"/>
      <c r="F3937" s="162"/>
      <c r="G3937" s="162"/>
      <c r="H3937" s="194"/>
      <c r="I3937" s="161"/>
      <c r="J3937" s="162"/>
      <c r="K3937" s="73"/>
      <c r="L3937" s="73"/>
      <c r="M3937" s="73"/>
      <c r="N3937" s="171"/>
      <c r="O3937" s="171"/>
      <c r="P3937" s="171"/>
      <c r="Q3937" s="173"/>
      <c r="R3937" s="173"/>
      <c r="S3937" s="173"/>
      <c r="T3937" s="173"/>
      <c r="U3937" s="173"/>
      <c r="V3937" s="169"/>
      <c r="W3937" s="171"/>
      <c r="X3937" s="171"/>
    </row>
    <row r="3938" ht="15.0" customHeight="1">
      <c r="A3938" s="506"/>
      <c r="B3938" s="200"/>
      <c r="C3938" s="73"/>
      <c r="D3938" s="73"/>
      <c r="E3938" s="73"/>
      <c r="F3938" s="162"/>
      <c r="G3938" s="162"/>
      <c r="H3938" s="194"/>
      <c r="I3938" s="161"/>
      <c r="J3938" s="162"/>
      <c r="K3938" s="73"/>
      <c r="L3938" s="73"/>
      <c r="M3938" s="73"/>
      <c r="N3938" s="171"/>
      <c r="O3938" s="171"/>
      <c r="P3938" s="171"/>
      <c r="Q3938" s="173"/>
      <c r="R3938" s="173"/>
      <c r="S3938" s="173"/>
      <c r="T3938" s="173"/>
      <c r="U3938" s="173"/>
      <c r="V3938" s="169"/>
      <c r="W3938" s="171"/>
      <c r="X3938" s="171"/>
    </row>
    <row r="3939" ht="15.0" customHeight="1">
      <c r="A3939" s="506"/>
      <c r="B3939" s="200"/>
      <c r="C3939" s="73"/>
      <c r="D3939" s="73"/>
      <c r="E3939" s="73"/>
      <c r="F3939" s="162"/>
      <c r="G3939" s="162"/>
      <c r="H3939" s="194"/>
      <c r="I3939" s="161"/>
      <c r="J3939" s="162"/>
      <c r="K3939" s="73"/>
      <c r="L3939" s="73"/>
      <c r="M3939" s="73"/>
      <c r="N3939" s="171"/>
      <c r="O3939" s="171"/>
      <c r="P3939" s="171"/>
      <c r="Q3939" s="173"/>
      <c r="R3939" s="173"/>
      <c r="S3939" s="173"/>
      <c r="T3939" s="173"/>
      <c r="U3939" s="173"/>
      <c r="V3939" s="169"/>
      <c r="W3939" s="171"/>
      <c r="X3939" s="171"/>
    </row>
    <row r="3940" ht="15.0" customHeight="1">
      <c r="A3940" s="506"/>
      <c r="B3940" s="200"/>
      <c r="C3940" s="73"/>
      <c r="D3940" s="73"/>
      <c r="E3940" s="73"/>
      <c r="F3940" s="162"/>
      <c r="G3940" s="162"/>
      <c r="H3940" s="194"/>
      <c r="I3940" s="161"/>
      <c r="J3940" s="162"/>
      <c r="K3940" s="73"/>
      <c r="L3940" s="73"/>
      <c r="M3940" s="73"/>
      <c r="N3940" s="171"/>
      <c r="O3940" s="171"/>
      <c r="P3940" s="171"/>
      <c r="Q3940" s="173"/>
      <c r="R3940" s="173"/>
      <c r="S3940" s="173"/>
      <c r="T3940" s="173"/>
      <c r="U3940" s="173"/>
      <c r="V3940" s="169"/>
      <c r="W3940" s="171"/>
      <c r="X3940" s="171"/>
    </row>
    <row r="3941" ht="15.0" customHeight="1">
      <c r="A3941" s="506"/>
      <c r="B3941" s="200"/>
      <c r="C3941" s="73"/>
      <c r="D3941" s="73"/>
      <c r="E3941" s="73"/>
      <c r="F3941" s="162"/>
      <c r="G3941" s="162"/>
      <c r="H3941" s="194"/>
      <c r="I3941" s="161"/>
      <c r="J3941" s="162"/>
      <c r="K3941" s="73"/>
      <c r="L3941" s="73"/>
      <c r="M3941" s="73"/>
      <c r="N3941" s="171"/>
      <c r="O3941" s="171"/>
      <c r="P3941" s="171"/>
      <c r="Q3941" s="173"/>
      <c r="R3941" s="173"/>
      <c r="S3941" s="173"/>
      <c r="T3941" s="173"/>
      <c r="U3941" s="173"/>
      <c r="V3941" s="169"/>
      <c r="W3941" s="171"/>
      <c r="X3941" s="171"/>
    </row>
    <row r="3942" ht="15.0" customHeight="1">
      <c r="A3942" s="506"/>
      <c r="B3942" s="200"/>
      <c r="C3942" s="73"/>
      <c r="D3942" s="73"/>
      <c r="E3942" s="73"/>
      <c r="F3942" s="162"/>
      <c r="G3942" s="162"/>
      <c r="H3942" s="194"/>
      <c r="I3942" s="161"/>
      <c r="J3942" s="162"/>
      <c r="K3942" s="73"/>
      <c r="L3942" s="73"/>
      <c r="M3942" s="73"/>
      <c r="N3942" s="171"/>
      <c r="O3942" s="171"/>
      <c r="P3942" s="171"/>
      <c r="Q3942" s="173"/>
      <c r="R3942" s="173"/>
      <c r="S3942" s="173"/>
      <c r="T3942" s="173"/>
      <c r="U3942" s="173"/>
      <c r="V3942" s="169"/>
      <c r="W3942" s="171"/>
      <c r="X3942" s="171"/>
    </row>
    <row r="3943" ht="15.0" customHeight="1">
      <c r="A3943" s="506"/>
      <c r="B3943" s="200"/>
      <c r="C3943" s="73"/>
      <c r="D3943" s="73"/>
      <c r="E3943" s="73"/>
      <c r="F3943" s="162"/>
      <c r="G3943" s="162"/>
      <c r="H3943" s="194"/>
      <c r="I3943" s="161"/>
      <c r="J3943" s="162"/>
      <c r="K3943" s="73"/>
      <c r="L3943" s="73"/>
      <c r="M3943" s="73"/>
      <c r="N3943" s="171"/>
      <c r="O3943" s="171"/>
      <c r="P3943" s="171"/>
      <c r="Q3943" s="173"/>
      <c r="R3943" s="173"/>
      <c r="S3943" s="173"/>
      <c r="T3943" s="173"/>
      <c r="U3943" s="173"/>
      <c r="V3943" s="169"/>
      <c r="W3943" s="171"/>
      <c r="X3943" s="171"/>
    </row>
    <row r="3944" ht="15.0" customHeight="1">
      <c r="A3944" s="506"/>
      <c r="B3944" s="200"/>
      <c r="C3944" s="73"/>
      <c r="D3944" s="73"/>
      <c r="E3944" s="73"/>
      <c r="F3944" s="162"/>
      <c r="G3944" s="162"/>
      <c r="H3944" s="194"/>
      <c r="I3944" s="161"/>
      <c r="J3944" s="162"/>
      <c r="K3944" s="73"/>
      <c r="L3944" s="73"/>
      <c r="M3944" s="73"/>
      <c r="N3944" s="171"/>
      <c r="O3944" s="171"/>
      <c r="P3944" s="171"/>
      <c r="Q3944" s="173"/>
      <c r="R3944" s="173"/>
      <c r="S3944" s="173"/>
      <c r="T3944" s="173"/>
      <c r="U3944" s="173"/>
      <c r="V3944" s="169"/>
      <c r="W3944" s="171"/>
      <c r="X3944" s="171"/>
    </row>
    <row r="3945" ht="15.0" customHeight="1">
      <c r="A3945" s="506"/>
      <c r="B3945" s="200"/>
      <c r="C3945" s="73"/>
      <c r="D3945" s="73"/>
      <c r="E3945" s="73"/>
      <c r="F3945" s="162"/>
      <c r="G3945" s="162"/>
      <c r="H3945" s="194"/>
      <c r="I3945" s="161"/>
      <c r="J3945" s="162"/>
      <c r="K3945" s="73"/>
      <c r="L3945" s="73"/>
      <c r="M3945" s="73"/>
      <c r="N3945" s="171"/>
      <c r="O3945" s="171"/>
      <c r="P3945" s="171"/>
      <c r="Q3945" s="173"/>
      <c r="R3945" s="173"/>
      <c r="S3945" s="173"/>
      <c r="T3945" s="173"/>
      <c r="U3945" s="173"/>
      <c r="V3945" s="169"/>
      <c r="W3945" s="171"/>
      <c r="X3945" s="171"/>
    </row>
    <row r="3946" ht="15.0" customHeight="1">
      <c r="A3946" s="506"/>
      <c r="B3946" s="200"/>
      <c r="C3946" s="73"/>
      <c r="D3946" s="73"/>
      <c r="E3946" s="73"/>
      <c r="F3946" s="162"/>
      <c r="G3946" s="162"/>
      <c r="H3946" s="194"/>
      <c r="I3946" s="161"/>
      <c r="J3946" s="162"/>
      <c r="K3946" s="73"/>
      <c r="L3946" s="73"/>
      <c r="M3946" s="73"/>
      <c r="N3946" s="171"/>
      <c r="O3946" s="171"/>
      <c r="P3946" s="171"/>
      <c r="Q3946" s="173"/>
      <c r="R3946" s="173"/>
      <c r="S3946" s="173"/>
      <c r="T3946" s="173"/>
      <c r="U3946" s="173"/>
      <c r="V3946" s="169"/>
      <c r="W3946" s="171"/>
      <c r="X3946" s="171"/>
    </row>
    <row r="3947" ht="15.0" customHeight="1">
      <c r="A3947" s="506"/>
      <c r="B3947" s="200"/>
      <c r="C3947" s="73"/>
      <c r="D3947" s="73"/>
      <c r="E3947" s="73"/>
      <c r="F3947" s="162"/>
      <c r="G3947" s="162"/>
      <c r="H3947" s="194"/>
      <c r="I3947" s="161"/>
      <c r="J3947" s="162"/>
      <c r="K3947" s="73"/>
      <c r="L3947" s="73"/>
      <c r="M3947" s="73"/>
      <c r="N3947" s="171"/>
      <c r="O3947" s="171"/>
      <c r="P3947" s="171"/>
      <c r="Q3947" s="173"/>
      <c r="R3947" s="173"/>
      <c r="S3947" s="173"/>
      <c r="T3947" s="173"/>
      <c r="U3947" s="173"/>
      <c r="V3947" s="169"/>
      <c r="W3947" s="171"/>
      <c r="X3947" s="171"/>
    </row>
    <row r="3948" ht="15.0" customHeight="1">
      <c r="A3948" s="506"/>
      <c r="B3948" s="200"/>
      <c r="C3948" s="73"/>
      <c r="D3948" s="73"/>
      <c r="E3948" s="73"/>
      <c r="F3948" s="162"/>
      <c r="G3948" s="162"/>
      <c r="H3948" s="194"/>
      <c r="I3948" s="161"/>
      <c r="J3948" s="162"/>
      <c r="K3948" s="73"/>
      <c r="L3948" s="73"/>
      <c r="M3948" s="73"/>
      <c r="N3948" s="171"/>
      <c r="O3948" s="171"/>
      <c r="P3948" s="171"/>
      <c r="Q3948" s="173"/>
      <c r="R3948" s="173"/>
      <c r="S3948" s="173"/>
      <c r="T3948" s="173"/>
      <c r="U3948" s="173"/>
      <c r="V3948" s="169"/>
      <c r="W3948" s="171"/>
      <c r="X3948" s="171"/>
    </row>
    <row r="3949" ht="15.0" customHeight="1">
      <c r="A3949" s="506"/>
      <c r="B3949" s="200"/>
      <c r="C3949" s="73"/>
      <c r="D3949" s="73"/>
      <c r="E3949" s="73"/>
      <c r="F3949" s="162"/>
      <c r="G3949" s="162"/>
      <c r="H3949" s="194"/>
      <c r="I3949" s="161"/>
      <c r="J3949" s="162"/>
      <c r="K3949" s="73"/>
      <c r="L3949" s="73"/>
      <c r="M3949" s="73"/>
      <c r="N3949" s="171"/>
      <c r="O3949" s="171"/>
      <c r="P3949" s="171"/>
      <c r="Q3949" s="173"/>
      <c r="R3949" s="173"/>
      <c r="S3949" s="173"/>
      <c r="T3949" s="173"/>
      <c r="U3949" s="173"/>
      <c r="V3949" s="169"/>
      <c r="W3949" s="171"/>
      <c r="X3949" s="171"/>
    </row>
    <row r="3950" ht="15.0" customHeight="1">
      <c r="A3950" s="506"/>
      <c r="B3950" s="200"/>
      <c r="C3950" s="73"/>
      <c r="D3950" s="73"/>
      <c r="E3950" s="73"/>
      <c r="F3950" s="162"/>
      <c r="G3950" s="162"/>
      <c r="H3950" s="194"/>
      <c r="I3950" s="161"/>
      <c r="J3950" s="162"/>
      <c r="K3950" s="73"/>
      <c r="L3950" s="73"/>
      <c r="M3950" s="73"/>
      <c r="N3950" s="171"/>
      <c r="O3950" s="171"/>
      <c r="P3950" s="171"/>
      <c r="Q3950" s="173"/>
      <c r="R3950" s="173"/>
      <c r="S3950" s="173"/>
      <c r="T3950" s="173"/>
      <c r="U3950" s="173"/>
      <c r="V3950" s="169"/>
      <c r="W3950" s="171"/>
      <c r="X3950" s="171"/>
    </row>
    <row r="3951" ht="15.0" customHeight="1">
      <c r="A3951" s="506"/>
      <c r="B3951" s="200"/>
      <c r="C3951" s="73"/>
      <c r="D3951" s="73"/>
      <c r="E3951" s="73"/>
      <c r="F3951" s="162"/>
      <c r="G3951" s="162"/>
      <c r="H3951" s="194"/>
      <c r="I3951" s="161"/>
      <c r="J3951" s="162"/>
      <c r="K3951" s="73"/>
      <c r="L3951" s="73"/>
      <c r="M3951" s="73"/>
      <c r="N3951" s="171"/>
      <c r="O3951" s="171"/>
      <c r="P3951" s="171"/>
      <c r="Q3951" s="173"/>
      <c r="R3951" s="173"/>
      <c r="S3951" s="173"/>
      <c r="T3951" s="173"/>
      <c r="U3951" s="173"/>
      <c r="V3951" s="169"/>
      <c r="W3951" s="171"/>
      <c r="X3951" s="171"/>
    </row>
    <row r="3952" ht="15.0" customHeight="1">
      <c r="A3952" s="506"/>
      <c r="B3952" s="200"/>
      <c r="C3952" s="73"/>
      <c r="D3952" s="73"/>
      <c r="E3952" s="73"/>
      <c r="F3952" s="162"/>
      <c r="G3952" s="162"/>
      <c r="H3952" s="194"/>
      <c r="I3952" s="161"/>
      <c r="J3952" s="162"/>
      <c r="K3952" s="73"/>
      <c r="L3952" s="73"/>
      <c r="M3952" s="73"/>
      <c r="N3952" s="171"/>
      <c r="O3952" s="171"/>
      <c r="P3952" s="171"/>
      <c r="Q3952" s="173"/>
      <c r="R3952" s="173"/>
      <c r="S3952" s="173"/>
      <c r="T3952" s="173"/>
      <c r="U3952" s="173"/>
      <c r="V3952" s="169"/>
      <c r="W3952" s="171"/>
      <c r="X3952" s="171"/>
    </row>
    <row r="3953" ht="15.0" customHeight="1">
      <c r="A3953" s="506"/>
      <c r="B3953" s="200"/>
      <c r="C3953" s="73"/>
      <c r="D3953" s="73"/>
      <c r="E3953" s="73"/>
      <c r="F3953" s="162"/>
      <c r="G3953" s="162"/>
      <c r="H3953" s="194"/>
      <c r="I3953" s="161"/>
      <c r="J3953" s="162"/>
      <c r="K3953" s="73"/>
      <c r="L3953" s="73"/>
      <c r="M3953" s="73"/>
      <c r="N3953" s="171"/>
      <c r="O3953" s="171"/>
      <c r="P3953" s="171"/>
      <c r="Q3953" s="173"/>
      <c r="R3953" s="173"/>
      <c r="S3953" s="173"/>
      <c r="T3953" s="173"/>
      <c r="U3953" s="173"/>
      <c r="V3953" s="169"/>
      <c r="W3953" s="171"/>
      <c r="X3953" s="171"/>
    </row>
    <row r="3954" ht="15.0" customHeight="1">
      <c r="A3954" s="506"/>
      <c r="B3954" s="200"/>
      <c r="C3954" s="73"/>
      <c r="D3954" s="73"/>
      <c r="E3954" s="73"/>
      <c r="F3954" s="162"/>
      <c r="G3954" s="162"/>
      <c r="H3954" s="194"/>
      <c r="I3954" s="161"/>
      <c r="J3954" s="162"/>
      <c r="K3954" s="73"/>
      <c r="L3954" s="73"/>
      <c r="M3954" s="73"/>
      <c r="N3954" s="171"/>
      <c r="O3954" s="171"/>
      <c r="P3954" s="171"/>
      <c r="Q3954" s="173"/>
      <c r="R3954" s="173"/>
      <c r="S3954" s="173"/>
      <c r="T3954" s="173"/>
      <c r="U3954" s="173"/>
      <c r="V3954" s="169"/>
      <c r="W3954" s="171"/>
      <c r="X3954" s="171"/>
    </row>
    <row r="3955" ht="15.0" customHeight="1">
      <c r="A3955" s="506"/>
      <c r="B3955" s="200"/>
      <c r="C3955" s="73"/>
      <c r="D3955" s="73"/>
      <c r="E3955" s="73"/>
      <c r="F3955" s="162"/>
      <c r="G3955" s="162"/>
      <c r="H3955" s="194"/>
      <c r="I3955" s="161"/>
      <c r="J3955" s="162"/>
      <c r="K3955" s="73"/>
      <c r="L3955" s="73"/>
      <c r="M3955" s="73"/>
      <c r="N3955" s="171"/>
      <c r="O3955" s="171"/>
      <c r="P3955" s="171"/>
      <c r="Q3955" s="173"/>
      <c r="R3955" s="173"/>
      <c r="S3955" s="173"/>
      <c r="T3955" s="173"/>
      <c r="U3955" s="173"/>
      <c r="V3955" s="169"/>
      <c r="W3955" s="171"/>
      <c r="X3955" s="171"/>
    </row>
    <row r="3956" ht="15.0" customHeight="1">
      <c r="A3956" s="506"/>
      <c r="B3956" s="200"/>
      <c r="C3956" s="73"/>
      <c r="D3956" s="73"/>
      <c r="E3956" s="73"/>
      <c r="F3956" s="162"/>
      <c r="G3956" s="162"/>
      <c r="H3956" s="194"/>
      <c r="I3956" s="161"/>
      <c r="J3956" s="162"/>
      <c r="K3956" s="73"/>
      <c r="L3956" s="73"/>
      <c r="M3956" s="73"/>
      <c r="N3956" s="171"/>
      <c r="O3956" s="171"/>
      <c r="P3956" s="171"/>
      <c r="Q3956" s="173"/>
      <c r="R3956" s="173"/>
      <c r="S3956" s="173"/>
      <c r="T3956" s="173"/>
      <c r="U3956" s="173"/>
      <c r="V3956" s="169"/>
      <c r="W3956" s="171"/>
      <c r="X3956" s="171"/>
    </row>
    <row r="3957" ht="15.0" customHeight="1">
      <c r="A3957" s="506"/>
      <c r="B3957" s="200"/>
      <c r="C3957" s="73"/>
      <c r="D3957" s="73"/>
      <c r="E3957" s="73"/>
      <c r="F3957" s="162"/>
      <c r="G3957" s="162"/>
      <c r="H3957" s="194"/>
      <c r="I3957" s="161"/>
      <c r="J3957" s="162"/>
      <c r="K3957" s="73"/>
      <c r="L3957" s="73"/>
      <c r="M3957" s="73"/>
      <c r="N3957" s="171"/>
      <c r="O3957" s="171"/>
      <c r="P3957" s="171"/>
      <c r="Q3957" s="173"/>
      <c r="R3957" s="173"/>
      <c r="S3957" s="173"/>
      <c r="T3957" s="173"/>
      <c r="U3957" s="173"/>
      <c r="V3957" s="169"/>
      <c r="W3957" s="171"/>
      <c r="X3957" s="171"/>
    </row>
    <row r="3958" ht="15.0" customHeight="1">
      <c r="A3958" s="506"/>
      <c r="B3958" s="200"/>
      <c r="C3958" s="73"/>
      <c r="D3958" s="73"/>
      <c r="E3958" s="73"/>
      <c r="F3958" s="162"/>
      <c r="G3958" s="162"/>
      <c r="H3958" s="194"/>
      <c r="I3958" s="161"/>
      <c r="J3958" s="162"/>
      <c r="K3958" s="73"/>
      <c r="L3958" s="73"/>
      <c r="M3958" s="73"/>
      <c r="N3958" s="171"/>
      <c r="O3958" s="171"/>
      <c r="P3958" s="171"/>
      <c r="Q3958" s="173"/>
      <c r="R3958" s="173"/>
      <c r="S3958" s="173"/>
      <c r="T3958" s="173"/>
      <c r="U3958" s="173"/>
      <c r="V3958" s="169"/>
      <c r="W3958" s="171"/>
      <c r="X3958" s="171"/>
    </row>
    <row r="3959" ht="15.0" customHeight="1">
      <c r="A3959" s="506"/>
      <c r="B3959" s="200"/>
      <c r="C3959" s="73"/>
      <c r="D3959" s="73"/>
      <c r="E3959" s="73"/>
      <c r="F3959" s="162"/>
      <c r="G3959" s="162"/>
      <c r="H3959" s="194"/>
      <c r="I3959" s="161"/>
      <c r="J3959" s="162"/>
      <c r="K3959" s="73"/>
      <c r="L3959" s="73"/>
      <c r="M3959" s="73"/>
      <c r="N3959" s="171"/>
      <c r="O3959" s="171"/>
      <c r="P3959" s="171"/>
      <c r="Q3959" s="173"/>
      <c r="R3959" s="173"/>
      <c r="S3959" s="173"/>
      <c r="T3959" s="173"/>
      <c r="U3959" s="173"/>
      <c r="V3959" s="169"/>
      <c r="W3959" s="171"/>
      <c r="X3959" s="171"/>
    </row>
    <row r="3960" ht="15.0" customHeight="1">
      <c r="A3960" s="506"/>
      <c r="B3960" s="200"/>
      <c r="C3960" s="73"/>
      <c r="D3960" s="73"/>
      <c r="E3960" s="73"/>
      <c r="F3960" s="162"/>
      <c r="G3960" s="162"/>
      <c r="H3960" s="194"/>
      <c r="I3960" s="161"/>
      <c r="J3960" s="162"/>
      <c r="K3960" s="73"/>
      <c r="L3960" s="73"/>
      <c r="M3960" s="73"/>
      <c r="N3960" s="171"/>
      <c r="O3960" s="171"/>
      <c r="P3960" s="171"/>
      <c r="Q3960" s="173"/>
      <c r="R3960" s="173"/>
      <c r="S3960" s="173"/>
      <c r="T3960" s="173"/>
      <c r="U3960" s="173"/>
      <c r="V3960" s="169"/>
      <c r="W3960" s="171"/>
      <c r="X3960" s="171"/>
    </row>
    <row r="3961" ht="15.0" customHeight="1">
      <c r="A3961" s="506"/>
      <c r="B3961" s="200"/>
      <c r="C3961" s="73"/>
      <c r="D3961" s="73"/>
      <c r="E3961" s="73"/>
      <c r="F3961" s="162"/>
      <c r="G3961" s="162"/>
      <c r="H3961" s="194"/>
      <c r="I3961" s="161"/>
      <c r="J3961" s="162"/>
      <c r="K3961" s="73"/>
      <c r="L3961" s="73"/>
      <c r="M3961" s="73"/>
      <c r="N3961" s="171"/>
      <c r="O3961" s="171"/>
      <c r="P3961" s="171"/>
      <c r="Q3961" s="173"/>
      <c r="R3961" s="173"/>
      <c r="S3961" s="173"/>
      <c r="T3961" s="173"/>
      <c r="U3961" s="173"/>
      <c r="V3961" s="169"/>
      <c r="W3961" s="171"/>
      <c r="X3961" s="171"/>
    </row>
    <row r="3962" ht="15.0" customHeight="1">
      <c r="A3962" s="506"/>
      <c r="B3962" s="200"/>
      <c r="C3962" s="73"/>
      <c r="D3962" s="73"/>
      <c r="E3962" s="73"/>
      <c r="F3962" s="162"/>
      <c r="G3962" s="162"/>
      <c r="H3962" s="194"/>
      <c r="I3962" s="161"/>
      <c r="J3962" s="162"/>
      <c r="K3962" s="73"/>
      <c r="L3962" s="73"/>
      <c r="M3962" s="73"/>
      <c r="N3962" s="171"/>
      <c r="O3962" s="171"/>
      <c r="P3962" s="171"/>
      <c r="Q3962" s="173"/>
      <c r="R3962" s="173"/>
      <c r="S3962" s="173"/>
      <c r="T3962" s="173"/>
      <c r="U3962" s="173"/>
      <c r="V3962" s="169"/>
      <c r="W3962" s="171"/>
      <c r="X3962" s="171"/>
    </row>
    <row r="3963" ht="15.0" customHeight="1">
      <c r="A3963" s="506"/>
      <c r="B3963" s="200"/>
      <c r="C3963" s="73"/>
      <c r="D3963" s="73"/>
      <c r="E3963" s="73"/>
      <c r="F3963" s="162"/>
      <c r="G3963" s="162"/>
      <c r="H3963" s="194"/>
      <c r="I3963" s="161"/>
      <c r="J3963" s="162"/>
      <c r="K3963" s="73"/>
      <c r="L3963" s="73"/>
      <c r="M3963" s="73"/>
      <c r="N3963" s="171"/>
      <c r="O3963" s="171"/>
      <c r="P3963" s="171"/>
      <c r="Q3963" s="173"/>
      <c r="R3963" s="173"/>
      <c r="S3963" s="173"/>
      <c r="T3963" s="173"/>
      <c r="U3963" s="173"/>
      <c r="V3963" s="169"/>
      <c r="W3963" s="171"/>
      <c r="X3963" s="171"/>
    </row>
    <row r="3964" ht="15.0" customHeight="1">
      <c r="A3964" s="506"/>
      <c r="B3964" s="200"/>
      <c r="C3964" s="73"/>
      <c r="D3964" s="73"/>
      <c r="E3964" s="73"/>
      <c r="F3964" s="162"/>
      <c r="G3964" s="162"/>
      <c r="H3964" s="194"/>
      <c r="I3964" s="161"/>
      <c r="J3964" s="162"/>
      <c r="K3964" s="73"/>
      <c r="L3964" s="73"/>
      <c r="M3964" s="73"/>
      <c r="N3964" s="171"/>
      <c r="O3964" s="171"/>
      <c r="P3964" s="171"/>
      <c r="Q3964" s="173"/>
      <c r="R3964" s="173"/>
      <c r="S3964" s="173"/>
      <c r="T3964" s="173"/>
      <c r="U3964" s="173"/>
      <c r="V3964" s="169"/>
      <c r="W3964" s="171"/>
      <c r="X3964" s="171"/>
    </row>
    <row r="3965" ht="15.0" customHeight="1">
      <c r="A3965" s="506"/>
      <c r="B3965" s="200"/>
      <c r="C3965" s="73"/>
      <c r="D3965" s="73"/>
      <c r="E3965" s="73"/>
      <c r="F3965" s="162"/>
      <c r="G3965" s="162"/>
      <c r="H3965" s="194"/>
      <c r="I3965" s="161"/>
      <c r="J3965" s="162"/>
      <c r="K3965" s="73"/>
      <c r="L3965" s="73"/>
      <c r="M3965" s="73"/>
      <c r="N3965" s="171"/>
      <c r="O3965" s="171"/>
      <c r="P3965" s="171"/>
      <c r="Q3965" s="173"/>
      <c r="R3965" s="173"/>
      <c r="S3965" s="173"/>
      <c r="T3965" s="173"/>
      <c r="U3965" s="173"/>
      <c r="V3965" s="169"/>
      <c r="W3965" s="171"/>
      <c r="X3965" s="171"/>
    </row>
    <row r="3966" ht="15.0" customHeight="1">
      <c r="A3966" s="506"/>
      <c r="B3966" s="200"/>
      <c r="C3966" s="73"/>
      <c r="D3966" s="73"/>
      <c r="E3966" s="73"/>
      <c r="F3966" s="162"/>
      <c r="G3966" s="162"/>
      <c r="H3966" s="194"/>
      <c r="I3966" s="161"/>
      <c r="J3966" s="162"/>
      <c r="K3966" s="73"/>
      <c r="L3966" s="73"/>
      <c r="M3966" s="73"/>
      <c r="N3966" s="171"/>
      <c r="O3966" s="171"/>
      <c r="P3966" s="171"/>
      <c r="Q3966" s="173"/>
      <c r="R3966" s="173"/>
      <c r="S3966" s="173"/>
      <c r="T3966" s="173"/>
      <c r="U3966" s="173"/>
      <c r="V3966" s="169"/>
      <c r="W3966" s="171"/>
      <c r="X3966" s="171"/>
    </row>
    <row r="3967" ht="15.0" customHeight="1">
      <c r="A3967" s="506"/>
      <c r="B3967" s="200"/>
      <c r="C3967" s="73"/>
      <c r="D3967" s="73"/>
      <c r="E3967" s="73"/>
      <c r="F3967" s="162"/>
      <c r="G3967" s="162"/>
      <c r="H3967" s="194"/>
      <c r="I3967" s="161"/>
      <c r="J3967" s="162"/>
      <c r="K3967" s="73"/>
      <c r="L3967" s="73"/>
      <c r="M3967" s="73"/>
      <c r="N3967" s="171"/>
      <c r="O3967" s="171"/>
      <c r="P3967" s="171"/>
      <c r="Q3967" s="173"/>
      <c r="R3967" s="173"/>
      <c r="S3967" s="173"/>
      <c r="T3967" s="173"/>
      <c r="U3967" s="173"/>
      <c r="V3967" s="169"/>
      <c r="W3967" s="171"/>
      <c r="X3967" s="171"/>
    </row>
    <row r="3968" ht="15.0" customHeight="1">
      <c r="A3968" s="506"/>
      <c r="B3968" s="200"/>
      <c r="C3968" s="73"/>
      <c r="D3968" s="73"/>
      <c r="E3968" s="73"/>
      <c r="F3968" s="162"/>
      <c r="G3968" s="162"/>
      <c r="H3968" s="194"/>
      <c r="I3968" s="161"/>
      <c r="J3968" s="162"/>
      <c r="K3968" s="73"/>
      <c r="L3968" s="73"/>
      <c r="M3968" s="73"/>
      <c r="N3968" s="171"/>
      <c r="O3968" s="171"/>
      <c r="P3968" s="171"/>
      <c r="Q3968" s="173"/>
      <c r="R3968" s="173"/>
      <c r="S3968" s="173"/>
      <c r="T3968" s="173"/>
      <c r="U3968" s="173"/>
      <c r="V3968" s="169"/>
      <c r="W3968" s="171"/>
      <c r="X3968" s="171"/>
    </row>
    <row r="3969" ht="15.0" customHeight="1">
      <c r="A3969" s="506"/>
      <c r="B3969" s="200"/>
      <c r="C3969" s="73"/>
      <c r="D3969" s="73"/>
      <c r="E3969" s="73"/>
      <c r="F3969" s="162"/>
      <c r="G3969" s="162"/>
      <c r="H3969" s="194"/>
      <c r="I3969" s="161"/>
      <c r="J3969" s="162"/>
      <c r="K3969" s="73"/>
      <c r="L3969" s="73"/>
      <c r="M3969" s="73"/>
      <c r="N3969" s="171"/>
      <c r="O3969" s="171"/>
      <c r="P3969" s="171"/>
      <c r="Q3969" s="173"/>
      <c r="R3969" s="173"/>
      <c r="S3969" s="173"/>
      <c r="T3969" s="173"/>
      <c r="U3969" s="173"/>
      <c r="V3969" s="169"/>
      <c r="W3969" s="171"/>
      <c r="X3969" s="171"/>
    </row>
    <row r="3970" ht="15.0" customHeight="1">
      <c r="A3970" s="506"/>
      <c r="B3970" s="200"/>
      <c r="C3970" s="73"/>
      <c r="D3970" s="73"/>
      <c r="E3970" s="73"/>
      <c r="F3970" s="162"/>
      <c r="G3970" s="162"/>
      <c r="H3970" s="194"/>
      <c r="I3970" s="161"/>
      <c r="J3970" s="162"/>
      <c r="K3970" s="73"/>
      <c r="L3970" s="73"/>
      <c r="M3970" s="73"/>
      <c r="N3970" s="171"/>
      <c r="O3970" s="171"/>
      <c r="P3970" s="171"/>
      <c r="Q3970" s="173"/>
      <c r="R3970" s="173"/>
      <c r="S3970" s="173"/>
      <c r="T3970" s="173"/>
      <c r="U3970" s="173"/>
      <c r="V3970" s="169"/>
      <c r="W3970" s="171"/>
      <c r="X3970" s="171"/>
    </row>
    <row r="3971" ht="15.0" customHeight="1">
      <c r="A3971" s="506"/>
      <c r="B3971" s="200"/>
      <c r="C3971" s="73"/>
      <c r="D3971" s="73"/>
      <c r="E3971" s="73"/>
      <c r="F3971" s="162"/>
      <c r="G3971" s="162"/>
      <c r="H3971" s="194"/>
      <c r="I3971" s="161"/>
      <c r="J3971" s="162"/>
      <c r="K3971" s="73"/>
      <c r="L3971" s="73"/>
      <c r="M3971" s="73"/>
      <c r="N3971" s="171"/>
      <c r="O3971" s="171"/>
      <c r="P3971" s="171"/>
      <c r="Q3971" s="173"/>
      <c r="R3971" s="173"/>
      <c r="S3971" s="173"/>
      <c r="T3971" s="173"/>
      <c r="U3971" s="173"/>
      <c r="V3971" s="169"/>
      <c r="W3971" s="171"/>
      <c r="X3971" s="171"/>
    </row>
    <row r="3972" ht="15.0" customHeight="1">
      <c r="A3972" s="506"/>
      <c r="B3972" s="200"/>
      <c r="C3972" s="73"/>
      <c r="D3972" s="73"/>
      <c r="E3972" s="73"/>
      <c r="F3972" s="162"/>
      <c r="G3972" s="162"/>
      <c r="H3972" s="194"/>
      <c r="I3972" s="161"/>
      <c r="J3972" s="162"/>
      <c r="K3972" s="73"/>
      <c r="L3972" s="73"/>
      <c r="M3972" s="73"/>
      <c r="N3972" s="171"/>
      <c r="O3972" s="171"/>
      <c r="P3972" s="171"/>
      <c r="Q3972" s="173"/>
      <c r="R3972" s="173"/>
      <c r="S3972" s="173"/>
      <c r="T3972" s="173"/>
      <c r="U3972" s="173"/>
      <c r="V3972" s="169"/>
      <c r="W3972" s="171"/>
      <c r="X3972" s="171"/>
    </row>
    <row r="3973" ht="15.0" customHeight="1">
      <c r="A3973" s="506"/>
      <c r="B3973" s="200"/>
      <c r="C3973" s="73"/>
      <c r="D3973" s="73"/>
      <c r="E3973" s="73"/>
      <c r="F3973" s="162"/>
      <c r="G3973" s="162"/>
      <c r="H3973" s="194"/>
      <c r="I3973" s="161"/>
      <c r="J3973" s="162"/>
      <c r="K3973" s="73"/>
      <c r="L3973" s="73"/>
      <c r="M3973" s="73"/>
      <c r="N3973" s="171"/>
      <c r="O3973" s="171"/>
      <c r="P3973" s="171"/>
      <c r="Q3973" s="173"/>
      <c r="R3973" s="173"/>
      <c r="S3973" s="173"/>
      <c r="T3973" s="173"/>
      <c r="U3973" s="173"/>
      <c r="V3973" s="169"/>
      <c r="W3973" s="171"/>
      <c r="X3973" s="171"/>
    </row>
    <row r="3974" ht="15.0" customHeight="1">
      <c r="A3974" s="506"/>
      <c r="B3974" s="200"/>
      <c r="C3974" s="73"/>
      <c r="D3974" s="73"/>
      <c r="E3974" s="73"/>
      <c r="F3974" s="162"/>
      <c r="G3974" s="162"/>
      <c r="H3974" s="194"/>
      <c r="I3974" s="161"/>
      <c r="J3974" s="162"/>
      <c r="K3974" s="73"/>
      <c r="L3974" s="73"/>
      <c r="M3974" s="73"/>
      <c r="N3974" s="171"/>
      <c r="O3974" s="171"/>
      <c r="P3974" s="171"/>
      <c r="Q3974" s="173"/>
      <c r="R3974" s="173"/>
      <c r="S3974" s="173"/>
      <c r="T3974" s="173"/>
      <c r="U3974" s="173"/>
      <c r="V3974" s="169"/>
      <c r="W3974" s="171"/>
      <c r="X3974" s="171"/>
    </row>
    <row r="3975" ht="15.0" customHeight="1">
      <c r="A3975" s="506"/>
      <c r="B3975" s="200"/>
      <c r="C3975" s="73"/>
      <c r="D3975" s="73"/>
      <c r="E3975" s="73"/>
      <c r="F3975" s="162"/>
      <c r="G3975" s="162"/>
      <c r="H3975" s="194"/>
      <c r="I3975" s="161"/>
      <c r="J3975" s="162"/>
      <c r="K3975" s="73"/>
      <c r="L3975" s="73"/>
      <c r="M3975" s="73"/>
      <c r="N3975" s="171"/>
      <c r="O3975" s="171"/>
      <c r="P3975" s="171"/>
      <c r="Q3975" s="173"/>
      <c r="R3975" s="173"/>
      <c r="S3975" s="173"/>
      <c r="T3975" s="173"/>
      <c r="U3975" s="173"/>
      <c r="V3975" s="169"/>
      <c r="W3975" s="171"/>
      <c r="X3975" s="171"/>
    </row>
    <row r="3976" ht="15.0" customHeight="1">
      <c r="A3976" s="506"/>
      <c r="B3976" s="200"/>
      <c r="C3976" s="73"/>
      <c r="D3976" s="73"/>
      <c r="E3976" s="73"/>
      <c r="F3976" s="162"/>
      <c r="G3976" s="162"/>
      <c r="H3976" s="194"/>
      <c r="I3976" s="161"/>
      <c r="J3976" s="162"/>
      <c r="K3976" s="73"/>
      <c r="L3976" s="73"/>
      <c r="M3976" s="73"/>
      <c r="N3976" s="171"/>
      <c r="O3976" s="171"/>
      <c r="P3976" s="171"/>
      <c r="Q3976" s="173"/>
      <c r="R3976" s="173"/>
      <c r="S3976" s="173"/>
      <c r="T3976" s="173"/>
      <c r="U3976" s="173"/>
      <c r="V3976" s="169"/>
      <c r="W3976" s="171"/>
      <c r="X3976" s="171"/>
    </row>
    <row r="3977" ht="15.0" customHeight="1">
      <c r="A3977" s="506"/>
      <c r="B3977" s="200"/>
      <c r="C3977" s="73"/>
      <c r="D3977" s="73"/>
      <c r="E3977" s="73"/>
      <c r="F3977" s="162"/>
      <c r="G3977" s="162"/>
      <c r="H3977" s="194"/>
      <c r="I3977" s="161"/>
      <c r="J3977" s="162"/>
      <c r="K3977" s="73"/>
      <c r="L3977" s="73"/>
      <c r="M3977" s="73"/>
      <c r="N3977" s="171"/>
      <c r="O3977" s="171"/>
      <c r="P3977" s="171"/>
      <c r="Q3977" s="173"/>
      <c r="R3977" s="173"/>
      <c r="S3977" s="173"/>
      <c r="T3977" s="173"/>
      <c r="U3977" s="173"/>
      <c r="V3977" s="169"/>
      <c r="W3977" s="171"/>
      <c r="X3977" s="171"/>
    </row>
    <row r="3978" ht="15.0" customHeight="1">
      <c r="A3978" s="506"/>
      <c r="B3978" s="200"/>
      <c r="C3978" s="73"/>
      <c r="D3978" s="73"/>
      <c r="E3978" s="73"/>
      <c r="F3978" s="162"/>
      <c r="G3978" s="162"/>
      <c r="H3978" s="194"/>
      <c r="I3978" s="161"/>
      <c r="J3978" s="162"/>
      <c r="K3978" s="73"/>
      <c r="L3978" s="73"/>
      <c r="M3978" s="73"/>
      <c r="N3978" s="171"/>
      <c r="O3978" s="171"/>
      <c r="P3978" s="171"/>
      <c r="Q3978" s="173"/>
      <c r="R3978" s="173"/>
      <c r="S3978" s="173"/>
      <c r="T3978" s="173"/>
      <c r="U3978" s="173"/>
      <c r="V3978" s="169"/>
      <c r="W3978" s="171"/>
      <c r="X3978" s="171"/>
    </row>
    <row r="3979" ht="15.0" customHeight="1">
      <c r="A3979" s="506"/>
      <c r="B3979" s="200"/>
      <c r="C3979" s="73"/>
      <c r="D3979" s="73"/>
      <c r="E3979" s="73"/>
      <c r="F3979" s="162"/>
      <c r="G3979" s="162"/>
      <c r="H3979" s="194"/>
      <c r="I3979" s="161"/>
      <c r="J3979" s="162"/>
      <c r="K3979" s="73"/>
      <c r="L3979" s="73"/>
      <c r="M3979" s="73"/>
      <c r="N3979" s="171"/>
      <c r="O3979" s="171"/>
      <c r="P3979" s="171"/>
      <c r="Q3979" s="173"/>
      <c r="R3979" s="173"/>
      <c r="S3979" s="173"/>
      <c r="T3979" s="173"/>
      <c r="U3979" s="173"/>
      <c r="V3979" s="169"/>
      <c r="W3979" s="171"/>
      <c r="X3979" s="171"/>
    </row>
    <row r="3980" ht="15.0" customHeight="1">
      <c r="A3980" s="506"/>
      <c r="B3980" s="200"/>
      <c r="C3980" s="73"/>
      <c r="D3980" s="73"/>
      <c r="E3980" s="73"/>
      <c r="F3980" s="162"/>
      <c r="G3980" s="162"/>
      <c r="H3980" s="194"/>
      <c r="I3980" s="161"/>
      <c r="J3980" s="162"/>
      <c r="K3980" s="73"/>
      <c r="L3980" s="73"/>
      <c r="M3980" s="73"/>
      <c r="N3980" s="171"/>
      <c r="O3980" s="171"/>
      <c r="P3980" s="171"/>
      <c r="Q3980" s="173"/>
      <c r="R3980" s="173"/>
      <c r="S3980" s="173"/>
      <c r="T3980" s="173"/>
      <c r="U3980" s="173"/>
      <c r="V3980" s="169"/>
      <c r="W3980" s="171"/>
      <c r="X3980" s="171"/>
    </row>
    <row r="3981" ht="15.0" customHeight="1">
      <c r="A3981" s="506"/>
      <c r="B3981" s="200"/>
      <c r="C3981" s="73"/>
      <c r="D3981" s="73"/>
      <c r="E3981" s="73"/>
      <c r="F3981" s="162"/>
      <c r="G3981" s="162"/>
      <c r="H3981" s="194"/>
      <c r="I3981" s="161"/>
      <c r="J3981" s="162"/>
      <c r="K3981" s="73"/>
      <c r="L3981" s="73"/>
      <c r="M3981" s="73"/>
      <c r="N3981" s="171"/>
      <c r="O3981" s="171"/>
      <c r="P3981" s="171"/>
      <c r="Q3981" s="173"/>
      <c r="R3981" s="173"/>
      <c r="S3981" s="173"/>
      <c r="T3981" s="173"/>
      <c r="U3981" s="173"/>
      <c r="V3981" s="169"/>
      <c r="W3981" s="171"/>
      <c r="X3981" s="171"/>
    </row>
    <row r="3982" ht="15.0" customHeight="1">
      <c r="A3982" s="506"/>
      <c r="B3982" s="200"/>
      <c r="C3982" s="73"/>
      <c r="D3982" s="73"/>
      <c r="E3982" s="73"/>
      <c r="F3982" s="162"/>
      <c r="G3982" s="162"/>
      <c r="H3982" s="194"/>
      <c r="I3982" s="161"/>
      <c r="J3982" s="162"/>
      <c r="K3982" s="73"/>
      <c r="L3982" s="73"/>
      <c r="M3982" s="73"/>
      <c r="N3982" s="171"/>
      <c r="O3982" s="171"/>
      <c r="P3982" s="171"/>
      <c r="Q3982" s="173"/>
      <c r="R3982" s="173"/>
      <c r="S3982" s="173"/>
      <c r="T3982" s="173"/>
      <c r="U3982" s="173"/>
      <c r="V3982" s="169"/>
      <c r="W3982" s="171"/>
      <c r="X3982" s="171"/>
    </row>
    <row r="3983" ht="15.0" customHeight="1">
      <c r="A3983" s="506"/>
      <c r="B3983" s="200"/>
      <c r="C3983" s="73"/>
      <c r="D3983" s="73"/>
      <c r="E3983" s="73"/>
      <c r="F3983" s="162"/>
      <c r="G3983" s="162"/>
      <c r="H3983" s="194"/>
      <c r="I3983" s="161"/>
      <c r="J3983" s="162"/>
      <c r="K3983" s="73"/>
      <c r="L3983" s="73"/>
      <c r="M3983" s="73"/>
      <c r="N3983" s="171"/>
      <c r="O3983" s="171"/>
      <c r="P3983" s="171"/>
      <c r="Q3983" s="173"/>
      <c r="R3983" s="173"/>
      <c r="S3983" s="173"/>
      <c r="T3983" s="173"/>
      <c r="U3983" s="173"/>
      <c r="V3983" s="169"/>
      <c r="W3983" s="171"/>
      <c r="X3983" s="171"/>
    </row>
    <row r="3984" ht="15.0" customHeight="1">
      <c r="A3984" s="506"/>
      <c r="B3984" s="200"/>
      <c r="C3984" s="73"/>
      <c r="D3984" s="73"/>
      <c r="E3984" s="73"/>
      <c r="F3984" s="162"/>
      <c r="G3984" s="162"/>
      <c r="H3984" s="194"/>
      <c r="I3984" s="161"/>
      <c r="J3984" s="162"/>
      <c r="K3984" s="73"/>
      <c r="L3984" s="73"/>
      <c r="M3984" s="73"/>
      <c r="N3984" s="171"/>
      <c r="O3984" s="171"/>
      <c r="P3984" s="171"/>
      <c r="Q3984" s="173"/>
      <c r="R3984" s="173"/>
      <c r="S3984" s="173"/>
      <c r="T3984" s="173"/>
      <c r="U3984" s="173"/>
      <c r="V3984" s="169"/>
      <c r="W3984" s="171"/>
      <c r="X3984" s="171"/>
    </row>
    <row r="3985" ht="15.0" customHeight="1">
      <c r="A3985" s="506"/>
      <c r="B3985" s="200"/>
      <c r="C3985" s="73"/>
      <c r="D3985" s="73"/>
      <c r="E3985" s="73"/>
      <c r="F3985" s="162"/>
      <c r="G3985" s="162"/>
      <c r="H3985" s="194"/>
      <c r="I3985" s="161"/>
      <c r="J3985" s="162"/>
      <c r="K3985" s="73"/>
      <c r="L3985" s="73"/>
      <c r="M3985" s="73"/>
      <c r="N3985" s="171"/>
      <c r="O3985" s="171"/>
      <c r="P3985" s="171"/>
      <c r="Q3985" s="173"/>
      <c r="R3985" s="173"/>
      <c r="S3985" s="173"/>
      <c r="T3985" s="173"/>
      <c r="U3985" s="173"/>
      <c r="V3985" s="169"/>
      <c r="W3985" s="171"/>
      <c r="X3985" s="171"/>
    </row>
    <row r="3986" ht="15.0" customHeight="1">
      <c r="A3986" s="506"/>
      <c r="B3986" s="200"/>
      <c r="C3986" s="73"/>
      <c r="D3986" s="73"/>
      <c r="E3986" s="73"/>
      <c r="F3986" s="162"/>
      <c r="G3986" s="162"/>
      <c r="H3986" s="194"/>
      <c r="I3986" s="161"/>
      <c r="J3986" s="162"/>
      <c r="K3986" s="73"/>
      <c r="L3986" s="73"/>
      <c r="M3986" s="73"/>
      <c r="N3986" s="171"/>
      <c r="O3986" s="171"/>
      <c r="P3986" s="171"/>
      <c r="Q3986" s="173"/>
      <c r="R3986" s="173"/>
      <c r="S3986" s="173"/>
      <c r="T3986" s="173"/>
      <c r="U3986" s="173"/>
      <c r="V3986" s="169"/>
      <c r="W3986" s="171"/>
      <c r="X3986" s="171"/>
    </row>
    <row r="3987" ht="15.0" customHeight="1">
      <c r="A3987" s="506"/>
      <c r="B3987" s="200"/>
      <c r="C3987" s="73"/>
      <c r="D3987" s="73"/>
      <c r="E3987" s="73"/>
      <c r="F3987" s="162"/>
      <c r="G3987" s="162"/>
      <c r="H3987" s="194"/>
      <c r="I3987" s="161"/>
      <c r="J3987" s="162"/>
      <c r="K3987" s="73"/>
      <c r="L3987" s="73"/>
      <c r="M3987" s="73"/>
      <c r="N3987" s="171"/>
      <c r="O3987" s="171"/>
      <c r="P3987" s="171"/>
      <c r="Q3987" s="173"/>
      <c r="R3987" s="173"/>
      <c r="S3987" s="173"/>
      <c r="T3987" s="173"/>
      <c r="U3987" s="173"/>
      <c r="V3987" s="169"/>
      <c r="W3987" s="171"/>
      <c r="X3987" s="171"/>
    </row>
    <row r="3988" ht="15.0" customHeight="1">
      <c r="A3988" s="506"/>
      <c r="B3988" s="200"/>
      <c r="C3988" s="73"/>
      <c r="D3988" s="73"/>
      <c r="E3988" s="73"/>
      <c r="F3988" s="162"/>
      <c r="G3988" s="162"/>
      <c r="H3988" s="194"/>
      <c r="I3988" s="161"/>
      <c r="J3988" s="162"/>
      <c r="K3988" s="73"/>
      <c r="L3988" s="73"/>
      <c r="M3988" s="73"/>
      <c r="N3988" s="171"/>
      <c r="O3988" s="171"/>
      <c r="P3988" s="171"/>
      <c r="Q3988" s="173"/>
      <c r="R3988" s="173"/>
      <c r="S3988" s="173"/>
      <c r="T3988" s="173"/>
      <c r="U3988" s="173"/>
      <c r="V3988" s="169"/>
      <c r="W3988" s="171"/>
      <c r="X3988" s="171"/>
    </row>
    <row r="3989" ht="15.0" customHeight="1">
      <c r="A3989" s="506"/>
      <c r="B3989" s="200"/>
      <c r="C3989" s="73"/>
      <c r="D3989" s="73"/>
      <c r="E3989" s="73"/>
      <c r="F3989" s="162"/>
      <c r="G3989" s="162"/>
      <c r="H3989" s="194"/>
      <c r="I3989" s="161"/>
      <c r="J3989" s="162"/>
      <c r="K3989" s="73"/>
      <c r="L3989" s="73"/>
      <c r="M3989" s="73"/>
      <c r="N3989" s="171"/>
      <c r="O3989" s="171"/>
      <c r="P3989" s="171"/>
      <c r="Q3989" s="173"/>
      <c r="R3989" s="173"/>
      <c r="S3989" s="173"/>
      <c r="T3989" s="173"/>
      <c r="U3989" s="173"/>
      <c r="V3989" s="169"/>
      <c r="W3989" s="171"/>
      <c r="X3989" s="171"/>
    </row>
    <row r="3990" ht="15.0" customHeight="1">
      <c r="A3990" s="506"/>
      <c r="B3990" s="200"/>
      <c r="C3990" s="73"/>
      <c r="D3990" s="73"/>
      <c r="E3990" s="73"/>
      <c r="F3990" s="162"/>
      <c r="G3990" s="162"/>
      <c r="H3990" s="194"/>
      <c r="I3990" s="161"/>
      <c r="J3990" s="162"/>
      <c r="K3990" s="73"/>
      <c r="L3990" s="73"/>
      <c r="M3990" s="73"/>
      <c r="N3990" s="171"/>
      <c r="O3990" s="171"/>
      <c r="P3990" s="171"/>
      <c r="Q3990" s="173"/>
      <c r="R3990" s="173"/>
      <c r="S3990" s="173"/>
      <c r="T3990" s="173"/>
      <c r="U3990" s="173"/>
      <c r="V3990" s="169"/>
      <c r="W3990" s="171"/>
      <c r="X3990" s="171"/>
    </row>
    <row r="3991" ht="15.0" customHeight="1">
      <c r="A3991" s="506"/>
      <c r="B3991" s="200"/>
      <c r="C3991" s="73"/>
      <c r="D3991" s="73"/>
      <c r="E3991" s="73"/>
      <c r="F3991" s="162"/>
      <c r="G3991" s="162"/>
      <c r="H3991" s="194"/>
      <c r="I3991" s="161"/>
      <c r="J3991" s="162"/>
      <c r="K3991" s="73"/>
      <c r="L3991" s="73"/>
      <c r="M3991" s="73"/>
      <c r="N3991" s="171"/>
      <c r="O3991" s="171"/>
      <c r="P3991" s="171"/>
      <c r="Q3991" s="173"/>
      <c r="R3991" s="173"/>
      <c r="S3991" s="173"/>
      <c r="T3991" s="173"/>
      <c r="U3991" s="173"/>
      <c r="V3991" s="169"/>
      <c r="W3991" s="171"/>
      <c r="X3991" s="171"/>
    </row>
    <row r="3992" ht="15.0" customHeight="1">
      <c r="A3992" s="506"/>
      <c r="B3992" s="200"/>
      <c r="C3992" s="73"/>
      <c r="D3992" s="73"/>
      <c r="E3992" s="73"/>
      <c r="F3992" s="162"/>
      <c r="G3992" s="162"/>
      <c r="H3992" s="194"/>
      <c r="I3992" s="161"/>
      <c r="J3992" s="162"/>
      <c r="K3992" s="73"/>
      <c r="L3992" s="73"/>
      <c r="M3992" s="73"/>
      <c r="N3992" s="171"/>
      <c r="O3992" s="171"/>
      <c r="P3992" s="171"/>
      <c r="Q3992" s="173"/>
      <c r="R3992" s="173"/>
      <c r="S3992" s="173"/>
      <c r="T3992" s="173"/>
      <c r="U3992" s="173"/>
      <c r="V3992" s="169"/>
      <c r="W3992" s="171"/>
      <c r="X3992" s="171"/>
    </row>
    <row r="3993" ht="15.0" customHeight="1">
      <c r="A3993" s="506"/>
      <c r="B3993" s="200"/>
      <c r="C3993" s="73"/>
      <c r="D3993" s="73"/>
      <c r="E3993" s="73"/>
      <c r="F3993" s="162"/>
      <c r="G3993" s="162"/>
      <c r="H3993" s="194"/>
      <c r="I3993" s="161"/>
      <c r="J3993" s="162"/>
      <c r="K3993" s="73"/>
      <c r="L3993" s="73"/>
      <c r="M3993" s="73"/>
      <c r="N3993" s="171"/>
      <c r="O3993" s="171"/>
      <c r="P3993" s="171"/>
      <c r="Q3993" s="173"/>
      <c r="R3993" s="173"/>
      <c r="S3993" s="173"/>
      <c r="T3993" s="173"/>
      <c r="U3993" s="173"/>
      <c r="V3993" s="169"/>
      <c r="W3993" s="171"/>
      <c r="X3993" s="171"/>
    </row>
    <row r="3994" ht="15.0" customHeight="1">
      <c r="A3994" s="506"/>
      <c r="B3994" s="200"/>
      <c r="C3994" s="73"/>
      <c r="D3994" s="73"/>
      <c r="E3994" s="73"/>
      <c r="F3994" s="162"/>
      <c r="G3994" s="162"/>
      <c r="H3994" s="194"/>
      <c r="I3994" s="161"/>
      <c r="J3994" s="162"/>
      <c r="K3994" s="73"/>
      <c r="L3994" s="73"/>
      <c r="M3994" s="73"/>
      <c r="N3994" s="171"/>
      <c r="O3994" s="171"/>
      <c r="P3994" s="171"/>
      <c r="Q3994" s="173"/>
      <c r="R3994" s="173"/>
      <c r="S3994" s="173"/>
      <c r="T3994" s="173"/>
      <c r="U3994" s="173"/>
      <c r="V3994" s="169"/>
      <c r="W3994" s="171"/>
      <c r="X3994" s="171"/>
    </row>
    <row r="3995" ht="15.0" customHeight="1">
      <c r="A3995" s="506"/>
      <c r="B3995" s="200"/>
      <c r="C3995" s="73"/>
      <c r="D3995" s="73"/>
      <c r="E3995" s="73"/>
      <c r="F3995" s="162"/>
      <c r="G3995" s="162"/>
      <c r="H3995" s="194"/>
      <c r="I3995" s="161"/>
      <c r="J3995" s="162"/>
      <c r="K3995" s="73"/>
      <c r="L3995" s="73"/>
      <c r="M3995" s="73"/>
      <c r="N3995" s="171"/>
      <c r="O3995" s="171"/>
      <c r="P3995" s="171"/>
      <c r="Q3995" s="173"/>
      <c r="R3995" s="173"/>
      <c r="S3995" s="173"/>
      <c r="T3995" s="173"/>
      <c r="U3995" s="173"/>
      <c r="V3995" s="169"/>
      <c r="W3995" s="171"/>
      <c r="X3995" s="171"/>
    </row>
    <row r="3996" ht="15.0" customHeight="1">
      <c r="A3996" s="506"/>
      <c r="B3996" s="200"/>
      <c r="C3996" s="73"/>
      <c r="D3996" s="73"/>
      <c r="E3996" s="73"/>
      <c r="F3996" s="162"/>
      <c r="G3996" s="162"/>
      <c r="H3996" s="194"/>
      <c r="I3996" s="161"/>
      <c r="J3996" s="162"/>
      <c r="K3996" s="73"/>
      <c r="L3996" s="73"/>
      <c r="M3996" s="73"/>
      <c r="N3996" s="171"/>
      <c r="O3996" s="171"/>
      <c r="P3996" s="171"/>
      <c r="Q3996" s="173"/>
      <c r="R3996" s="173"/>
      <c r="S3996" s="173"/>
      <c r="T3996" s="173"/>
      <c r="U3996" s="173"/>
      <c r="V3996" s="169"/>
      <c r="W3996" s="171"/>
      <c r="X3996" s="171"/>
    </row>
    <row r="3997" ht="15.0" customHeight="1">
      <c r="A3997" s="506"/>
      <c r="B3997" s="200"/>
      <c r="C3997" s="73"/>
      <c r="D3997" s="73"/>
      <c r="E3997" s="73"/>
      <c r="F3997" s="162"/>
      <c r="G3997" s="162"/>
      <c r="H3997" s="194"/>
      <c r="I3997" s="161"/>
      <c r="J3997" s="162"/>
      <c r="K3997" s="73"/>
      <c r="L3997" s="73"/>
      <c r="M3997" s="73"/>
      <c r="N3997" s="171"/>
      <c r="O3997" s="171"/>
      <c r="P3997" s="171"/>
      <c r="Q3997" s="173"/>
      <c r="R3997" s="173"/>
      <c r="S3997" s="173"/>
      <c r="T3997" s="173"/>
      <c r="U3997" s="173"/>
      <c r="V3997" s="169"/>
      <c r="W3997" s="171"/>
      <c r="X3997" s="171"/>
    </row>
    <row r="3998" ht="15.0" customHeight="1">
      <c r="A3998" s="506"/>
      <c r="B3998" s="200"/>
      <c r="C3998" s="73"/>
      <c r="D3998" s="73"/>
      <c r="E3998" s="73"/>
      <c r="F3998" s="162"/>
      <c r="G3998" s="162"/>
      <c r="H3998" s="194"/>
      <c r="I3998" s="161"/>
      <c r="J3998" s="162"/>
      <c r="K3998" s="73"/>
      <c r="L3998" s="73"/>
      <c r="M3998" s="73"/>
      <c r="N3998" s="171"/>
      <c r="O3998" s="171"/>
      <c r="P3998" s="171"/>
      <c r="Q3998" s="173"/>
      <c r="R3998" s="173"/>
      <c r="S3998" s="173"/>
      <c r="T3998" s="173"/>
      <c r="U3998" s="173"/>
      <c r="V3998" s="169"/>
      <c r="W3998" s="171"/>
      <c r="X3998" s="171"/>
    </row>
    <row r="3999" ht="15.0" customHeight="1">
      <c r="A3999" s="506"/>
      <c r="B3999" s="200"/>
      <c r="C3999" s="73"/>
      <c r="D3999" s="73"/>
      <c r="E3999" s="73"/>
      <c r="F3999" s="162"/>
      <c r="G3999" s="162"/>
      <c r="H3999" s="194"/>
      <c r="I3999" s="161"/>
      <c r="J3999" s="162"/>
      <c r="K3999" s="73"/>
      <c r="L3999" s="73"/>
      <c r="M3999" s="73"/>
      <c r="N3999" s="171"/>
      <c r="O3999" s="171"/>
      <c r="P3999" s="171"/>
      <c r="Q3999" s="173"/>
      <c r="R3999" s="173"/>
      <c r="S3999" s="173"/>
      <c r="T3999" s="173"/>
      <c r="U3999" s="173"/>
      <c r="V3999" s="169"/>
      <c r="W3999" s="171"/>
      <c r="X3999" s="171"/>
    </row>
    <row r="4000" ht="15.0" customHeight="1">
      <c r="A4000" s="506"/>
      <c r="B4000" s="200"/>
      <c r="C4000" s="73"/>
      <c r="D4000" s="73"/>
      <c r="E4000" s="73"/>
      <c r="F4000" s="162"/>
      <c r="G4000" s="162"/>
      <c r="H4000" s="194"/>
      <c r="I4000" s="161"/>
      <c r="J4000" s="162"/>
      <c r="K4000" s="73"/>
      <c r="L4000" s="73"/>
      <c r="M4000" s="73"/>
      <c r="N4000" s="171"/>
      <c r="O4000" s="171"/>
      <c r="P4000" s="171"/>
      <c r="Q4000" s="173"/>
      <c r="R4000" s="173"/>
      <c r="S4000" s="173"/>
      <c r="T4000" s="173"/>
      <c r="U4000" s="173"/>
      <c r="V4000" s="169"/>
      <c r="W4000" s="171"/>
      <c r="X4000" s="171"/>
    </row>
    <row r="4001" ht="15.0" customHeight="1">
      <c r="A4001" s="506"/>
      <c r="B4001" s="200"/>
      <c r="C4001" s="73"/>
      <c r="D4001" s="73"/>
      <c r="E4001" s="73"/>
      <c r="F4001" s="162"/>
      <c r="G4001" s="162"/>
      <c r="H4001" s="194"/>
      <c r="I4001" s="161"/>
      <c r="J4001" s="162"/>
      <c r="K4001" s="73"/>
      <c r="L4001" s="73"/>
      <c r="M4001" s="73"/>
      <c r="N4001" s="171"/>
      <c r="O4001" s="171"/>
      <c r="P4001" s="171"/>
      <c r="Q4001" s="173"/>
      <c r="R4001" s="173"/>
      <c r="S4001" s="173"/>
      <c r="T4001" s="173"/>
      <c r="U4001" s="173"/>
      <c r="V4001" s="169"/>
      <c r="W4001" s="171"/>
      <c r="X4001" s="171"/>
    </row>
    <row r="4002" ht="15.0" customHeight="1">
      <c r="A4002" s="506"/>
      <c r="B4002" s="200"/>
      <c r="C4002" s="73"/>
      <c r="D4002" s="73"/>
      <c r="E4002" s="73"/>
      <c r="F4002" s="162"/>
      <c r="G4002" s="162"/>
      <c r="H4002" s="194"/>
      <c r="I4002" s="161"/>
      <c r="J4002" s="162"/>
      <c r="K4002" s="73"/>
      <c r="L4002" s="73"/>
      <c r="M4002" s="73"/>
      <c r="N4002" s="171"/>
      <c r="O4002" s="171"/>
      <c r="P4002" s="171"/>
      <c r="Q4002" s="173"/>
      <c r="R4002" s="173"/>
      <c r="S4002" s="173"/>
      <c r="T4002" s="173"/>
      <c r="U4002" s="173"/>
      <c r="V4002" s="169"/>
      <c r="W4002" s="171"/>
      <c r="X4002" s="171"/>
    </row>
    <row r="4003" ht="15.0" customHeight="1">
      <c r="A4003" s="506"/>
      <c r="B4003" s="200"/>
      <c r="C4003" s="73"/>
      <c r="D4003" s="73"/>
      <c r="E4003" s="73"/>
      <c r="F4003" s="162"/>
      <c r="G4003" s="162"/>
      <c r="H4003" s="194"/>
      <c r="I4003" s="161"/>
      <c r="J4003" s="162"/>
      <c r="K4003" s="73"/>
      <c r="L4003" s="73"/>
      <c r="M4003" s="73"/>
      <c r="N4003" s="171"/>
      <c r="O4003" s="171"/>
      <c r="P4003" s="171"/>
      <c r="Q4003" s="173"/>
      <c r="R4003" s="173"/>
      <c r="S4003" s="173"/>
      <c r="T4003" s="173"/>
      <c r="U4003" s="173"/>
      <c r="V4003" s="169"/>
      <c r="W4003" s="171"/>
      <c r="X4003" s="171"/>
    </row>
    <row r="4004" ht="15.0" customHeight="1">
      <c r="A4004" s="506"/>
      <c r="B4004" s="200"/>
      <c r="C4004" s="73"/>
      <c r="D4004" s="73"/>
      <c r="E4004" s="73"/>
      <c r="F4004" s="162"/>
      <c r="G4004" s="162"/>
      <c r="H4004" s="194"/>
      <c r="I4004" s="161"/>
      <c r="J4004" s="162"/>
      <c r="K4004" s="73"/>
      <c r="L4004" s="73"/>
      <c r="M4004" s="73"/>
      <c r="N4004" s="171"/>
      <c r="O4004" s="171"/>
      <c r="P4004" s="171"/>
      <c r="Q4004" s="173"/>
      <c r="R4004" s="173"/>
      <c r="S4004" s="173"/>
      <c r="T4004" s="173"/>
      <c r="U4004" s="173"/>
      <c r="V4004" s="169"/>
      <c r="W4004" s="171"/>
      <c r="X4004" s="171"/>
    </row>
    <row r="4005" ht="15.0" customHeight="1">
      <c r="A4005" s="506"/>
      <c r="B4005" s="200"/>
      <c r="C4005" s="73"/>
      <c r="D4005" s="73"/>
      <c r="E4005" s="73"/>
      <c r="F4005" s="162"/>
      <c r="G4005" s="162"/>
      <c r="H4005" s="194"/>
      <c r="I4005" s="161"/>
      <c r="J4005" s="162"/>
      <c r="K4005" s="73"/>
      <c r="L4005" s="73"/>
      <c r="M4005" s="73"/>
      <c r="N4005" s="171"/>
      <c r="O4005" s="171"/>
      <c r="P4005" s="171"/>
      <c r="Q4005" s="173"/>
      <c r="R4005" s="173"/>
      <c r="S4005" s="173"/>
      <c r="T4005" s="173"/>
      <c r="U4005" s="173"/>
      <c r="V4005" s="169"/>
      <c r="W4005" s="171"/>
      <c r="X4005" s="171"/>
    </row>
    <row r="4006" ht="15.0" customHeight="1">
      <c r="A4006" s="506"/>
      <c r="B4006" s="200"/>
      <c r="C4006" s="73"/>
      <c r="D4006" s="73"/>
      <c r="E4006" s="73"/>
      <c r="F4006" s="162"/>
      <c r="G4006" s="162"/>
      <c r="H4006" s="194"/>
      <c r="I4006" s="161"/>
      <c r="J4006" s="162"/>
      <c r="K4006" s="73"/>
      <c r="L4006" s="73"/>
      <c r="M4006" s="73"/>
      <c r="N4006" s="171"/>
      <c r="O4006" s="171"/>
      <c r="P4006" s="171"/>
      <c r="Q4006" s="173"/>
      <c r="R4006" s="173"/>
      <c r="S4006" s="173"/>
      <c r="T4006" s="173"/>
      <c r="U4006" s="173"/>
      <c r="V4006" s="169"/>
      <c r="W4006" s="171"/>
      <c r="X4006" s="171"/>
    </row>
    <row r="4007" ht="15.0" customHeight="1">
      <c r="A4007" s="506"/>
      <c r="B4007" s="200"/>
      <c r="C4007" s="73"/>
      <c r="D4007" s="73"/>
      <c r="E4007" s="73"/>
      <c r="F4007" s="162"/>
      <c r="G4007" s="162"/>
      <c r="H4007" s="194"/>
      <c r="I4007" s="161"/>
      <c r="J4007" s="162"/>
      <c r="K4007" s="73"/>
      <c r="L4007" s="73"/>
      <c r="M4007" s="73"/>
      <c r="N4007" s="171"/>
      <c r="O4007" s="171"/>
      <c r="P4007" s="171"/>
      <c r="Q4007" s="173"/>
      <c r="R4007" s="173"/>
      <c r="S4007" s="173"/>
      <c r="T4007" s="173"/>
      <c r="U4007" s="173"/>
      <c r="V4007" s="169"/>
      <c r="W4007" s="171"/>
      <c r="X4007" s="171"/>
    </row>
    <row r="4008" ht="15.0" customHeight="1">
      <c r="A4008" s="506"/>
      <c r="B4008" s="200"/>
      <c r="C4008" s="73"/>
      <c r="D4008" s="73"/>
      <c r="E4008" s="73"/>
      <c r="F4008" s="162"/>
      <c r="G4008" s="162"/>
      <c r="H4008" s="194"/>
      <c r="I4008" s="161"/>
      <c r="J4008" s="162"/>
      <c r="K4008" s="73"/>
      <c r="L4008" s="73"/>
      <c r="M4008" s="73"/>
      <c r="N4008" s="171"/>
      <c r="O4008" s="171"/>
      <c r="P4008" s="171"/>
      <c r="Q4008" s="173"/>
      <c r="R4008" s="173"/>
      <c r="S4008" s="173"/>
      <c r="T4008" s="173"/>
      <c r="U4008" s="173"/>
      <c r="V4008" s="169"/>
      <c r="W4008" s="171"/>
      <c r="X4008" s="171"/>
    </row>
    <row r="4009" ht="15.0" customHeight="1">
      <c r="A4009" s="506"/>
      <c r="B4009" s="200"/>
      <c r="C4009" s="73"/>
      <c r="D4009" s="73"/>
      <c r="E4009" s="73"/>
      <c r="F4009" s="162"/>
      <c r="G4009" s="162"/>
      <c r="H4009" s="194"/>
      <c r="I4009" s="161"/>
      <c r="J4009" s="162"/>
      <c r="K4009" s="73"/>
      <c r="L4009" s="73"/>
      <c r="M4009" s="73"/>
      <c r="N4009" s="171"/>
      <c r="O4009" s="171"/>
      <c r="P4009" s="171"/>
      <c r="Q4009" s="173"/>
      <c r="R4009" s="173"/>
      <c r="S4009" s="173"/>
      <c r="T4009" s="173"/>
      <c r="U4009" s="173"/>
      <c r="V4009" s="169"/>
      <c r="W4009" s="171"/>
      <c r="X4009" s="171"/>
    </row>
    <row r="4010" ht="15.0" customHeight="1">
      <c r="A4010" s="506"/>
      <c r="B4010" s="200"/>
      <c r="C4010" s="73"/>
      <c r="D4010" s="73"/>
      <c r="E4010" s="73"/>
      <c r="F4010" s="162"/>
      <c r="G4010" s="162"/>
      <c r="H4010" s="194"/>
      <c r="I4010" s="161"/>
      <c r="J4010" s="162"/>
      <c r="K4010" s="73"/>
      <c r="L4010" s="73"/>
      <c r="M4010" s="73"/>
      <c r="N4010" s="171"/>
      <c r="O4010" s="171"/>
      <c r="P4010" s="171"/>
      <c r="Q4010" s="173"/>
      <c r="R4010" s="173"/>
      <c r="S4010" s="173"/>
      <c r="T4010" s="173"/>
      <c r="U4010" s="173"/>
      <c r="V4010" s="169"/>
      <c r="W4010" s="171"/>
      <c r="X4010" s="171"/>
    </row>
    <row r="4011" ht="15.0" customHeight="1">
      <c r="A4011" s="506"/>
      <c r="B4011" s="200"/>
      <c r="C4011" s="73"/>
      <c r="D4011" s="73"/>
      <c r="E4011" s="73"/>
      <c r="F4011" s="162"/>
      <c r="G4011" s="162"/>
      <c r="H4011" s="194"/>
      <c r="I4011" s="161"/>
      <c r="J4011" s="162"/>
      <c r="K4011" s="73"/>
      <c r="L4011" s="73"/>
      <c r="M4011" s="73"/>
      <c r="N4011" s="171"/>
      <c r="O4011" s="171"/>
      <c r="P4011" s="171"/>
      <c r="Q4011" s="173"/>
      <c r="R4011" s="173"/>
      <c r="S4011" s="173"/>
      <c r="T4011" s="173"/>
      <c r="U4011" s="173"/>
      <c r="V4011" s="169"/>
      <c r="W4011" s="171"/>
      <c r="X4011" s="171"/>
    </row>
    <row r="4012" ht="15.0" customHeight="1">
      <c r="A4012" s="506"/>
      <c r="B4012" s="200"/>
      <c r="C4012" s="73"/>
      <c r="D4012" s="73"/>
      <c r="E4012" s="73"/>
      <c r="F4012" s="162"/>
      <c r="G4012" s="162"/>
      <c r="H4012" s="194"/>
      <c r="I4012" s="161"/>
      <c r="J4012" s="162"/>
      <c r="K4012" s="73"/>
      <c r="L4012" s="73"/>
      <c r="M4012" s="73"/>
      <c r="N4012" s="171"/>
      <c r="O4012" s="171"/>
      <c r="P4012" s="171"/>
      <c r="Q4012" s="173"/>
      <c r="R4012" s="173"/>
      <c r="S4012" s="173"/>
      <c r="T4012" s="173"/>
      <c r="U4012" s="173"/>
      <c r="V4012" s="169"/>
      <c r="W4012" s="171"/>
      <c r="X4012" s="171"/>
    </row>
    <row r="4013" ht="15.0" customHeight="1">
      <c r="A4013" s="506"/>
      <c r="B4013" s="200"/>
      <c r="C4013" s="73"/>
      <c r="D4013" s="73"/>
      <c r="E4013" s="73"/>
      <c r="F4013" s="162"/>
      <c r="G4013" s="162"/>
      <c r="H4013" s="194"/>
      <c r="I4013" s="161"/>
      <c r="J4013" s="162"/>
      <c r="K4013" s="73"/>
      <c r="L4013" s="73"/>
      <c r="M4013" s="73"/>
      <c r="N4013" s="171"/>
      <c r="O4013" s="171"/>
      <c r="P4013" s="171"/>
      <c r="Q4013" s="173"/>
      <c r="R4013" s="173"/>
      <c r="S4013" s="173"/>
      <c r="T4013" s="173"/>
      <c r="U4013" s="173"/>
      <c r="V4013" s="169"/>
      <c r="W4013" s="171"/>
      <c r="X4013" s="171"/>
    </row>
    <row r="4014" ht="15.0" customHeight="1">
      <c r="A4014" s="506"/>
      <c r="B4014" s="200"/>
      <c r="C4014" s="73"/>
      <c r="D4014" s="73"/>
      <c r="E4014" s="73"/>
      <c r="F4014" s="162"/>
      <c r="G4014" s="162"/>
      <c r="H4014" s="194"/>
      <c r="I4014" s="161"/>
      <c r="J4014" s="162"/>
      <c r="K4014" s="73"/>
      <c r="L4014" s="73"/>
      <c r="M4014" s="73"/>
      <c r="N4014" s="171"/>
      <c r="O4014" s="171"/>
      <c r="P4014" s="171"/>
      <c r="Q4014" s="173"/>
      <c r="R4014" s="173"/>
      <c r="S4014" s="173"/>
      <c r="T4014" s="173"/>
      <c r="U4014" s="173"/>
      <c r="V4014" s="169"/>
      <c r="W4014" s="171"/>
      <c r="X4014" s="171"/>
    </row>
    <row r="4015" ht="15.0" customHeight="1">
      <c r="A4015" s="506"/>
      <c r="B4015" s="200"/>
      <c r="C4015" s="73"/>
      <c r="D4015" s="73"/>
      <c r="E4015" s="73"/>
      <c r="F4015" s="162"/>
      <c r="G4015" s="162"/>
      <c r="H4015" s="194"/>
      <c r="I4015" s="161"/>
      <c r="J4015" s="162"/>
      <c r="K4015" s="73"/>
      <c r="L4015" s="73"/>
      <c r="M4015" s="73"/>
      <c r="N4015" s="171"/>
      <c r="O4015" s="171"/>
      <c r="P4015" s="171"/>
      <c r="Q4015" s="173"/>
      <c r="R4015" s="173"/>
      <c r="S4015" s="173"/>
      <c r="T4015" s="173"/>
      <c r="U4015" s="173"/>
      <c r="V4015" s="169"/>
      <c r="W4015" s="171"/>
      <c r="X4015" s="171"/>
    </row>
    <row r="4016" ht="15.0" customHeight="1">
      <c r="A4016" s="506"/>
      <c r="B4016" s="200"/>
      <c r="C4016" s="73"/>
      <c r="D4016" s="73"/>
      <c r="E4016" s="73"/>
      <c r="F4016" s="162"/>
      <c r="G4016" s="162"/>
      <c r="H4016" s="194"/>
      <c r="I4016" s="161"/>
      <c r="J4016" s="162"/>
      <c r="K4016" s="73"/>
      <c r="L4016" s="73"/>
      <c r="M4016" s="73"/>
      <c r="N4016" s="171"/>
      <c r="O4016" s="171"/>
      <c r="P4016" s="171"/>
      <c r="Q4016" s="173"/>
      <c r="R4016" s="173"/>
      <c r="S4016" s="173"/>
      <c r="T4016" s="173"/>
      <c r="U4016" s="173"/>
      <c r="V4016" s="169"/>
      <c r="W4016" s="171"/>
      <c r="X4016" s="171"/>
    </row>
    <row r="4017" ht="15.0" customHeight="1">
      <c r="A4017" s="506"/>
      <c r="B4017" s="200"/>
      <c r="C4017" s="73"/>
      <c r="D4017" s="73"/>
      <c r="E4017" s="73"/>
      <c r="F4017" s="162"/>
      <c r="G4017" s="162"/>
      <c r="H4017" s="194"/>
      <c r="I4017" s="161"/>
      <c r="J4017" s="162"/>
      <c r="K4017" s="73"/>
      <c r="L4017" s="73"/>
      <c r="M4017" s="73"/>
      <c r="N4017" s="171"/>
      <c r="O4017" s="171"/>
      <c r="P4017" s="171"/>
      <c r="Q4017" s="173"/>
      <c r="R4017" s="173"/>
      <c r="S4017" s="173"/>
      <c r="T4017" s="173"/>
      <c r="U4017" s="173"/>
      <c r="V4017" s="169"/>
      <c r="W4017" s="171"/>
      <c r="X4017" s="171"/>
    </row>
    <row r="4018" ht="15.0" customHeight="1">
      <c r="A4018" s="506"/>
      <c r="B4018" s="200"/>
      <c r="C4018" s="73"/>
      <c r="D4018" s="73"/>
      <c r="E4018" s="73"/>
      <c r="F4018" s="162"/>
      <c r="G4018" s="162"/>
      <c r="H4018" s="194"/>
      <c r="I4018" s="161"/>
      <c r="J4018" s="162"/>
      <c r="K4018" s="73"/>
      <c r="L4018" s="73"/>
      <c r="M4018" s="73"/>
      <c r="N4018" s="171"/>
      <c r="O4018" s="171"/>
      <c r="P4018" s="171"/>
      <c r="Q4018" s="173"/>
      <c r="R4018" s="173"/>
      <c r="S4018" s="173"/>
      <c r="T4018" s="173"/>
      <c r="U4018" s="173"/>
      <c r="V4018" s="169"/>
      <c r="W4018" s="171"/>
      <c r="X4018" s="171"/>
    </row>
    <row r="4019" ht="15.0" customHeight="1">
      <c r="A4019" s="506"/>
      <c r="B4019" s="200"/>
      <c r="C4019" s="73"/>
      <c r="D4019" s="73"/>
      <c r="E4019" s="73"/>
      <c r="F4019" s="162"/>
      <c r="G4019" s="162"/>
      <c r="H4019" s="194"/>
      <c r="I4019" s="161"/>
      <c r="J4019" s="162"/>
      <c r="K4019" s="73"/>
      <c r="L4019" s="73"/>
      <c r="M4019" s="73"/>
      <c r="N4019" s="171"/>
      <c r="O4019" s="171"/>
      <c r="P4019" s="171"/>
      <c r="Q4019" s="173"/>
      <c r="R4019" s="173"/>
      <c r="S4019" s="173"/>
      <c r="T4019" s="173"/>
      <c r="U4019" s="173"/>
      <c r="V4019" s="169"/>
      <c r="W4019" s="171"/>
      <c r="X4019" s="171"/>
    </row>
    <row r="4020" ht="15.0" customHeight="1">
      <c r="A4020" s="506"/>
      <c r="B4020" s="200"/>
      <c r="C4020" s="73"/>
      <c r="D4020" s="73"/>
      <c r="E4020" s="73"/>
      <c r="F4020" s="162"/>
      <c r="G4020" s="162"/>
      <c r="H4020" s="194"/>
      <c r="I4020" s="161"/>
      <c r="J4020" s="162"/>
      <c r="K4020" s="73"/>
      <c r="L4020" s="73"/>
      <c r="M4020" s="73"/>
      <c r="N4020" s="171"/>
      <c r="O4020" s="171"/>
      <c r="P4020" s="171"/>
      <c r="Q4020" s="173"/>
      <c r="R4020" s="173"/>
      <c r="S4020" s="173"/>
      <c r="T4020" s="173"/>
      <c r="U4020" s="173"/>
      <c r="V4020" s="169"/>
      <c r="W4020" s="171"/>
      <c r="X4020" s="171"/>
    </row>
    <row r="4021" ht="15.0" customHeight="1">
      <c r="A4021" s="506"/>
      <c r="B4021" s="200"/>
      <c r="C4021" s="73"/>
      <c r="D4021" s="73"/>
      <c r="E4021" s="73"/>
      <c r="F4021" s="162"/>
      <c r="G4021" s="162"/>
      <c r="H4021" s="194"/>
      <c r="I4021" s="161"/>
      <c r="J4021" s="162"/>
      <c r="K4021" s="73"/>
      <c r="L4021" s="73"/>
      <c r="M4021" s="73"/>
      <c r="N4021" s="171"/>
      <c r="O4021" s="171"/>
      <c r="P4021" s="171"/>
      <c r="Q4021" s="173"/>
      <c r="R4021" s="173"/>
      <c r="S4021" s="173"/>
      <c r="T4021" s="173"/>
      <c r="U4021" s="173"/>
      <c r="V4021" s="169"/>
      <c r="W4021" s="171"/>
      <c r="X4021" s="171"/>
    </row>
    <row r="4022" ht="15.0" customHeight="1">
      <c r="A4022" s="506"/>
      <c r="B4022" s="200"/>
      <c r="C4022" s="73"/>
      <c r="D4022" s="73"/>
      <c r="E4022" s="73"/>
      <c r="F4022" s="162"/>
      <c r="G4022" s="162"/>
      <c r="H4022" s="194"/>
      <c r="I4022" s="161"/>
      <c r="J4022" s="162"/>
      <c r="K4022" s="73"/>
      <c r="L4022" s="73"/>
      <c r="M4022" s="73"/>
      <c r="N4022" s="171"/>
      <c r="O4022" s="171"/>
      <c r="P4022" s="171"/>
      <c r="Q4022" s="173"/>
      <c r="R4022" s="173"/>
      <c r="S4022" s="173"/>
      <c r="T4022" s="173"/>
      <c r="U4022" s="173"/>
      <c r="V4022" s="169"/>
      <c r="W4022" s="171"/>
      <c r="X4022" s="171"/>
    </row>
    <row r="4023" ht="15.0" customHeight="1">
      <c r="A4023" s="506"/>
      <c r="B4023" s="200"/>
      <c r="C4023" s="73"/>
      <c r="D4023" s="73"/>
      <c r="E4023" s="73"/>
      <c r="F4023" s="162"/>
      <c r="G4023" s="162"/>
      <c r="H4023" s="194"/>
      <c r="I4023" s="161"/>
      <c r="J4023" s="162"/>
      <c r="K4023" s="73"/>
      <c r="L4023" s="73"/>
      <c r="M4023" s="73"/>
      <c r="N4023" s="171"/>
      <c r="O4023" s="171"/>
      <c r="P4023" s="171"/>
      <c r="Q4023" s="173"/>
      <c r="R4023" s="173"/>
      <c r="S4023" s="173"/>
      <c r="T4023" s="173"/>
      <c r="U4023" s="173"/>
      <c r="V4023" s="169"/>
      <c r="W4023" s="171"/>
      <c r="X4023" s="171"/>
    </row>
    <row r="4024" ht="15.0" customHeight="1">
      <c r="A4024" s="506"/>
      <c r="B4024" s="200"/>
      <c r="C4024" s="73"/>
      <c r="D4024" s="73"/>
      <c r="E4024" s="73"/>
      <c r="F4024" s="162"/>
      <c r="G4024" s="162"/>
      <c r="H4024" s="194"/>
      <c r="I4024" s="161"/>
      <c r="J4024" s="162"/>
      <c r="K4024" s="73"/>
      <c r="L4024" s="73"/>
      <c r="M4024" s="73"/>
      <c r="N4024" s="171"/>
      <c r="O4024" s="171"/>
      <c r="P4024" s="171"/>
      <c r="Q4024" s="173"/>
      <c r="R4024" s="173"/>
      <c r="S4024" s="173"/>
      <c r="T4024" s="173"/>
      <c r="U4024" s="173"/>
      <c r="V4024" s="169"/>
      <c r="W4024" s="171"/>
      <c r="X4024" s="171"/>
    </row>
    <row r="4025" ht="15.0" customHeight="1">
      <c r="A4025" s="506"/>
      <c r="B4025" s="200"/>
      <c r="C4025" s="73"/>
      <c r="D4025" s="73"/>
      <c r="E4025" s="73"/>
      <c r="F4025" s="162"/>
      <c r="G4025" s="162"/>
      <c r="H4025" s="194"/>
      <c r="I4025" s="161"/>
      <c r="J4025" s="162"/>
      <c r="K4025" s="73"/>
      <c r="L4025" s="73"/>
      <c r="M4025" s="73"/>
      <c r="N4025" s="171"/>
      <c r="O4025" s="171"/>
      <c r="P4025" s="171"/>
      <c r="Q4025" s="173"/>
      <c r="R4025" s="173"/>
      <c r="S4025" s="173"/>
      <c r="T4025" s="173"/>
      <c r="U4025" s="173"/>
      <c r="V4025" s="169"/>
      <c r="W4025" s="171"/>
      <c r="X4025" s="171"/>
    </row>
    <row r="4026" ht="15.0" customHeight="1">
      <c r="A4026" s="506"/>
      <c r="B4026" s="200"/>
      <c r="C4026" s="73"/>
      <c r="D4026" s="73"/>
      <c r="E4026" s="73"/>
      <c r="F4026" s="162"/>
      <c r="G4026" s="162"/>
      <c r="H4026" s="194"/>
      <c r="I4026" s="161"/>
      <c r="J4026" s="162"/>
      <c r="K4026" s="73"/>
      <c r="L4026" s="73"/>
      <c r="M4026" s="73"/>
      <c r="N4026" s="171"/>
      <c r="O4026" s="171"/>
      <c r="P4026" s="171"/>
      <c r="Q4026" s="173"/>
      <c r="R4026" s="173"/>
      <c r="S4026" s="173"/>
      <c r="T4026" s="173"/>
      <c r="U4026" s="173"/>
      <c r="V4026" s="169"/>
      <c r="W4026" s="171"/>
      <c r="X4026" s="171"/>
    </row>
    <row r="4027" ht="15.0" customHeight="1">
      <c r="A4027" s="506"/>
      <c r="B4027" s="200"/>
      <c r="C4027" s="73"/>
      <c r="D4027" s="73"/>
      <c r="E4027" s="73"/>
      <c r="F4027" s="162"/>
      <c r="G4027" s="162"/>
      <c r="H4027" s="194"/>
      <c r="I4027" s="161"/>
      <c r="J4027" s="162"/>
      <c r="K4027" s="73"/>
      <c r="L4027" s="73"/>
      <c r="M4027" s="73"/>
      <c r="N4027" s="171"/>
      <c r="O4027" s="171"/>
      <c r="P4027" s="171"/>
      <c r="Q4027" s="173"/>
      <c r="R4027" s="173"/>
      <c r="S4027" s="173"/>
      <c r="T4027" s="173"/>
      <c r="U4027" s="173"/>
      <c r="V4027" s="169"/>
      <c r="W4027" s="171"/>
      <c r="X4027" s="171"/>
    </row>
    <row r="4028" ht="15.0" customHeight="1">
      <c r="A4028" s="506"/>
      <c r="B4028" s="200"/>
      <c r="C4028" s="73"/>
      <c r="D4028" s="73"/>
      <c r="E4028" s="73"/>
      <c r="F4028" s="162"/>
      <c r="G4028" s="162"/>
      <c r="H4028" s="194"/>
      <c r="I4028" s="161"/>
      <c r="J4028" s="162"/>
      <c r="K4028" s="73"/>
      <c r="L4028" s="73"/>
      <c r="M4028" s="73"/>
      <c r="N4028" s="171"/>
      <c r="O4028" s="171"/>
      <c r="P4028" s="171"/>
      <c r="Q4028" s="173"/>
      <c r="R4028" s="173"/>
      <c r="S4028" s="173"/>
      <c r="T4028" s="173"/>
      <c r="U4028" s="173"/>
      <c r="V4028" s="169"/>
      <c r="W4028" s="171"/>
      <c r="X4028" s="171"/>
    </row>
    <row r="4029" ht="15.0" customHeight="1">
      <c r="A4029" s="506"/>
      <c r="B4029" s="200"/>
      <c r="C4029" s="73"/>
      <c r="D4029" s="73"/>
      <c r="E4029" s="73"/>
      <c r="F4029" s="162"/>
      <c r="G4029" s="162"/>
      <c r="H4029" s="194"/>
      <c r="I4029" s="161"/>
      <c r="J4029" s="162"/>
      <c r="K4029" s="73"/>
      <c r="L4029" s="73"/>
      <c r="M4029" s="73"/>
      <c r="N4029" s="171"/>
      <c r="O4029" s="171"/>
      <c r="P4029" s="171"/>
      <c r="Q4029" s="173"/>
      <c r="R4029" s="173"/>
      <c r="S4029" s="173"/>
      <c r="T4029" s="173"/>
      <c r="U4029" s="173"/>
      <c r="V4029" s="169"/>
      <c r="W4029" s="171"/>
      <c r="X4029" s="171"/>
    </row>
    <row r="4030" ht="15.0" customHeight="1">
      <c r="A4030" s="506"/>
      <c r="B4030" s="200"/>
      <c r="C4030" s="73"/>
      <c r="D4030" s="73"/>
      <c r="E4030" s="73"/>
      <c r="F4030" s="162"/>
      <c r="G4030" s="162"/>
      <c r="H4030" s="194"/>
      <c r="I4030" s="161"/>
      <c r="J4030" s="162"/>
      <c r="K4030" s="73"/>
      <c r="L4030" s="73"/>
      <c r="M4030" s="73"/>
      <c r="N4030" s="171"/>
      <c r="O4030" s="171"/>
      <c r="P4030" s="171"/>
      <c r="Q4030" s="173"/>
      <c r="R4030" s="173"/>
      <c r="S4030" s="173"/>
      <c r="T4030" s="173"/>
      <c r="U4030" s="173"/>
      <c r="V4030" s="169"/>
      <c r="W4030" s="171"/>
      <c r="X4030" s="171"/>
    </row>
    <row r="4031" ht="15.0" customHeight="1">
      <c r="A4031" s="506"/>
      <c r="B4031" s="200"/>
      <c r="C4031" s="73"/>
      <c r="D4031" s="73"/>
      <c r="E4031" s="73"/>
      <c r="F4031" s="162"/>
      <c r="G4031" s="162"/>
      <c r="H4031" s="194"/>
      <c r="I4031" s="161"/>
      <c r="J4031" s="162"/>
      <c r="K4031" s="73"/>
      <c r="L4031" s="73"/>
      <c r="M4031" s="73"/>
      <c r="N4031" s="171"/>
      <c r="O4031" s="171"/>
      <c r="P4031" s="171"/>
      <c r="Q4031" s="173"/>
      <c r="R4031" s="173"/>
      <c r="S4031" s="173"/>
      <c r="T4031" s="173"/>
      <c r="U4031" s="173"/>
      <c r="V4031" s="169"/>
      <c r="W4031" s="171"/>
      <c r="X4031" s="171"/>
    </row>
    <row r="4032" ht="15.0" customHeight="1">
      <c r="A4032" s="506"/>
      <c r="B4032" s="200"/>
      <c r="C4032" s="73"/>
      <c r="D4032" s="73"/>
      <c r="E4032" s="73"/>
      <c r="F4032" s="162"/>
      <c r="G4032" s="162"/>
      <c r="H4032" s="194"/>
      <c r="I4032" s="161"/>
      <c r="J4032" s="162"/>
      <c r="K4032" s="73"/>
      <c r="L4032" s="73"/>
      <c r="M4032" s="73"/>
      <c r="N4032" s="171"/>
      <c r="O4032" s="171"/>
      <c r="P4032" s="171"/>
      <c r="Q4032" s="173"/>
      <c r="R4032" s="173"/>
      <c r="S4032" s="173"/>
      <c r="T4032" s="173"/>
      <c r="U4032" s="173"/>
      <c r="V4032" s="169"/>
      <c r="W4032" s="171"/>
      <c r="X4032" s="171"/>
    </row>
    <row r="4033" ht="15.0" customHeight="1">
      <c r="A4033" s="506"/>
      <c r="B4033" s="200"/>
      <c r="C4033" s="73"/>
      <c r="D4033" s="73"/>
      <c r="E4033" s="73"/>
      <c r="F4033" s="162"/>
      <c r="G4033" s="162"/>
      <c r="H4033" s="194"/>
      <c r="I4033" s="161"/>
      <c r="J4033" s="162"/>
      <c r="K4033" s="73"/>
      <c r="L4033" s="73"/>
      <c r="M4033" s="73"/>
      <c r="N4033" s="171"/>
      <c r="O4033" s="171"/>
      <c r="P4033" s="171"/>
      <c r="Q4033" s="173"/>
      <c r="R4033" s="173"/>
      <c r="S4033" s="173"/>
      <c r="T4033" s="173"/>
      <c r="U4033" s="173"/>
      <c r="V4033" s="169"/>
      <c r="W4033" s="171"/>
      <c r="X4033" s="171"/>
    </row>
    <row r="4034" ht="15.0" customHeight="1">
      <c r="A4034" s="506"/>
      <c r="B4034" s="200"/>
      <c r="C4034" s="73"/>
      <c r="D4034" s="73"/>
      <c r="E4034" s="73"/>
      <c r="F4034" s="162"/>
      <c r="G4034" s="162"/>
      <c r="H4034" s="194"/>
      <c r="I4034" s="161"/>
      <c r="J4034" s="162"/>
      <c r="K4034" s="73"/>
      <c r="L4034" s="73"/>
      <c r="M4034" s="73"/>
      <c r="N4034" s="171"/>
      <c r="O4034" s="171"/>
      <c r="P4034" s="171"/>
      <c r="Q4034" s="173"/>
      <c r="R4034" s="173"/>
      <c r="S4034" s="173"/>
      <c r="T4034" s="173"/>
      <c r="U4034" s="173"/>
      <c r="V4034" s="169"/>
      <c r="W4034" s="171"/>
      <c r="X4034" s="171"/>
    </row>
    <row r="4035" ht="15.0" customHeight="1">
      <c r="A4035" s="506"/>
      <c r="B4035" s="200"/>
      <c r="C4035" s="73"/>
      <c r="D4035" s="73"/>
      <c r="E4035" s="73"/>
      <c r="F4035" s="162"/>
      <c r="G4035" s="162"/>
      <c r="H4035" s="194"/>
      <c r="I4035" s="161"/>
      <c r="J4035" s="162"/>
      <c r="K4035" s="73"/>
      <c r="L4035" s="73"/>
      <c r="M4035" s="73"/>
      <c r="N4035" s="171"/>
      <c r="O4035" s="171"/>
      <c r="P4035" s="171"/>
      <c r="Q4035" s="173"/>
      <c r="R4035" s="173"/>
      <c r="S4035" s="173"/>
      <c r="T4035" s="173"/>
      <c r="U4035" s="173"/>
      <c r="V4035" s="169"/>
      <c r="W4035" s="171"/>
      <c r="X4035" s="171"/>
    </row>
    <row r="4036" ht="15.0" customHeight="1">
      <c r="A4036" s="506"/>
      <c r="B4036" s="200"/>
      <c r="C4036" s="73"/>
      <c r="D4036" s="73"/>
      <c r="E4036" s="73"/>
      <c r="F4036" s="162"/>
      <c r="G4036" s="162"/>
      <c r="H4036" s="194"/>
      <c r="I4036" s="161"/>
      <c r="J4036" s="162"/>
      <c r="K4036" s="73"/>
      <c r="L4036" s="73"/>
      <c r="M4036" s="73"/>
      <c r="N4036" s="171"/>
      <c r="O4036" s="171"/>
      <c r="P4036" s="171"/>
      <c r="Q4036" s="173"/>
      <c r="R4036" s="173"/>
      <c r="S4036" s="173"/>
      <c r="T4036" s="173"/>
      <c r="U4036" s="173"/>
      <c r="V4036" s="169"/>
      <c r="W4036" s="171"/>
      <c r="X4036" s="171"/>
    </row>
    <row r="4037" ht="15.0" customHeight="1">
      <c r="A4037" s="506"/>
      <c r="B4037" s="200"/>
      <c r="C4037" s="73"/>
      <c r="D4037" s="73"/>
      <c r="E4037" s="73"/>
      <c r="F4037" s="162"/>
      <c r="G4037" s="162"/>
      <c r="H4037" s="194"/>
      <c r="I4037" s="161"/>
      <c r="J4037" s="162"/>
      <c r="K4037" s="73"/>
      <c r="L4037" s="73"/>
      <c r="M4037" s="73"/>
      <c r="N4037" s="171"/>
      <c r="O4037" s="171"/>
      <c r="P4037" s="171"/>
      <c r="Q4037" s="173"/>
      <c r="R4037" s="173"/>
      <c r="S4037" s="173"/>
      <c r="T4037" s="173"/>
      <c r="U4037" s="173"/>
      <c r="V4037" s="169"/>
      <c r="W4037" s="171"/>
      <c r="X4037" s="171"/>
    </row>
    <row r="4038" ht="15.0" customHeight="1">
      <c r="A4038" s="506"/>
      <c r="B4038" s="200"/>
      <c r="C4038" s="73"/>
      <c r="D4038" s="73"/>
      <c r="E4038" s="73"/>
      <c r="F4038" s="162"/>
      <c r="G4038" s="162"/>
      <c r="H4038" s="194"/>
      <c r="I4038" s="161"/>
      <c r="J4038" s="162"/>
      <c r="K4038" s="73"/>
      <c r="L4038" s="73"/>
      <c r="M4038" s="73"/>
      <c r="N4038" s="171"/>
      <c r="O4038" s="171"/>
      <c r="P4038" s="171"/>
      <c r="Q4038" s="173"/>
      <c r="R4038" s="173"/>
      <c r="S4038" s="173"/>
      <c r="T4038" s="173"/>
      <c r="U4038" s="173"/>
      <c r="V4038" s="169"/>
      <c r="W4038" s="171"/>
      <c r="X4038" s="171"/>
    </row>
    <row r="4039" ht="15.0" customHeight="1">
      <c r="A4039" s="506"/>
      <c r="B4039" s="200"/>
      <c r="C4039" s="73"/>
      <c r="D4039" s="73"/>
      <c r="E4039" s="73"/>
      <c r="F4039" s="162"/>
      <c r="G4039" s="162"/>
      <c r="H4039" s="194"/>
      <c r="I4039" s="161"/>
      <c r="J4039" s="162"/>
      <c r="K4039" s="73"/>
      <c r="L4039" s="73"/>
      <c r="M4039" s="73"/>
      <c r="N4039" s="171"/>
      <c r="O4039" s="171"/>
      <c r="P4039" s="171"/>
      <c r="Q4039" s="173"/>
      <c r="R4039" s="173"/>
      <c r="S4039" s="173"/>
      <c r="T4039" s="173"/>
      <c r="U4039" s="173"/>
      <c r="V4039" s="169"/>
      <c r="W4039" s="171"/>
      <c r="X4039" s="171"/>
    </row>
    <row r="4040" ht="15.0" customHeight="1">
      <c r="A4040" s="506"/>
      <c r="B4040" s="200"/>
      <c r="C4040" s="73"/>
      <c r="D4040" s="73"/>
      <c r="E4040" s="73"/>
      <c r="F4040" s="162"/>
      <c r="G4040" s="162"/>
      <c r="H4040" s="194"/>
      <c r="I4040" s="161"/>
      <c r="J4040" s="162"/>
      <c r="K4040" s="73"/>
      <c r="L4040" s="73"/>
      <c r="M4040" s="73"/>
      <c r="N4040" s="171"/>
      <c r="O4040" s="171"/>
      <c r="P4040" s="171"/>
      <c r="Q4040" s="173"/>
      <c r="R4040" s="173"/>
      <c r="S4040" s="173"/>
      <c r="T4040" s="173"/>
      <c r="U4040" s="173"/>
      <c r="V4040" s="169"/>
      <c r="W4040" s="171"/>
      <c r="X4040" s="171"/>
    </row>
    <row r="4041" ht="15.0" customHeight="1">
      <c r="A4041" s="506"/>
      <c r="B4041" s="200"/>
      <c r="C4041" s="73"/>
      <c r="D4041" s="73"/>
      <c r="E4041" s="73"/>
      <c r="F4041" s="162"/>
      <c r="G4041" s="162"/>
      <c r="H4041" s="194"/>
      <c r="I4041" s="161"/>
      <c r="J4041" s="162"/>
      <c r="K4041" s="73"/>
      <c r="L4041" s="73"/>
      <c r="M4041" s="73"/>
      <c r="N4041" s="171"/>
      <c r="O4041" s="171"/>
      <c r="P4041" s="171"/>
      <c r="Q4041" s="173"/>
      <c r="R4041" s="173"/>
      <c r="S4041" s="173"/>
      <c r="T4041" s="173"/>
      <c r="U4041" s="173"/>
      <c r="V4041" s="169"/>
      <c r="W4041" s="171"/>
      <c r="X4041" s="171"/>
    </row>
    <row r="4042" ht="15.0" customHeight="1">
      <c r="A4042" s="506"/>
      <c r="B4042" s="200"/>
      <c r="C4042" s="73"/>
      <c r="D4042" s="73"/>
      <c r="E4042" s="73"/>
      <c r="F4042" s="162"/>
      <c r="G4042" s="162"/>
      <c r="H4042" s="194"/>
      <c r="I4042" s="161"/>
      <c r="J4042" s="162"/>
      <c r="K4042" s="73"/>
      <c r="L4042" s="73"/>
      <c r="M4042" s="73"/>
      <c r="N4042" s="171"/>
      <c r="O4042" s="171"/>
      <c r="P4042" s="171"/>
      <c r="Q4042" s="173"/>
      <c r="R4042" s="173"/>
      <c r="S4042" s="173"/>
      <c r="T4042" s="173"/>
      <c r="U4042" s="173"/>
      <c r="V4042" s="169"/>
      <c r="W4042" s="171"/>
      <c r="X4042" s="171"/>
    </row>
    <row r="4043" ht="15.0" customHeight="1">
      <c r="A4043" s="506"/>
      <c r="B4043" s="200"/>
      <c r="C4043" s="73"/>
      <c r="D4043" s="73"/>
      <c r="E4043" s="73"/>
      <c r="F4043" s="162"/>
      <c r="G4043" s="162"/>
      <c r="H4043" s="194"/>
      <c r="I4043" s="161"/>
      <c r="J4043" s="162"/>
      <c r="K4043" s="73"/>
      <c r="L4043" s="73"/>
      <c r="M4043" s="73"/>
      <c r="N4043" s="171"/>
      <c r="O4043" s="171"/>
      <c r="P4043" s="171"/>
      <c r="Q4043" s="173"/>
      <c r="R4043" s="173"/>
      <c r="S4043" s="173"/>
      <c r="T4043" s="173"/>
      <c r="U4043" s="173"/>
      <c r="V4043" s="169"/>
      <c r="W4043" s="171"/>
      <c r="X4043" s="171"/>
    </row>
    <row r="4044" ht="15.0" customHeight="1">
      <c r="A4044" s="506"/>
      <c r="B4044" s="200"/>
      <c r="C4044" s="73"/>
      <c r="D4044" s="73"/>
      <c r="E4044" s="73"/>
      <c r="F4044" s="162"/>
      <c r="G4044" s="162"/>
      <c r="H4044" s="194"/>
      <c r="I4044" s="161"/>
      <c r="J4044" s="162"/>
      <c r="K4044" s="73"/>
      <c r="L4044" s="73"/>
      <c r="M4044" s="73"/>
      <c r="N4044" s="171"/>
      <c r="O4044" s="171"/>
      <c r="P4044" s="171"/>
      <c r="Q4044" s="173"/>
      <c r="R4044" s="173"/>
      <c r="S4044" s="173"/>
      <c r="T4044" s="173"/>
      <c r="U4044" s="173"/>
      <c r="V4044" s="169"/>
      <c r="W4044" s="171"/>
      <c r="X4044" s="171"/>
    </row>
    <row r="4045" ht="15.0" customHeight="1">
      <c r="A4045" s="506"/>
      <c r="B4045" s="200"/>
      <c r="C4045" s="73"/>
      <c r="D4045" s="73"/>
      <c r="E4045" s="73"/>
      <c r="F4045" s="162"/>
      <c r="G4045" s="162"/>
      <c r="H4045" s="194"/>
      <c r="I4045" s="161"/>
      <c r="J4045" s="162"/>
      <c r="K4045" s="73"/>
      <c r="L4045" s="73"/>
      <c r="M4045" s="73"/>
      <c r="N4045" s="171"/>
      <c r="O4045" s="171"/>
      <c r="P4045" s="171"/>
      <c r="Q4045" s="173"/>
      <c r="R4045" s="173"/>
      <c r="S4045" s="173"/>
      <c r="T4045" s="173"/>
      <c r="U4045" s="173"/>
      <c r="V4045" s="169"/>
      <c r="W4045" s="171"/>
      <c r="X4045" s="171"/>
    </row>
    <row r="4046" ht="15.0" customHeight="1">
      <c r="A4046" s="506"/>
      <c r="B4046" s="200"/>
      <c r="C4046" s="73"/>
      <c r="D4046" s="73"/>
      <c r="E4046" s="73"/>
      <c r="F4046" s="162"/>
      <c r="G4046" s="162"/>
      <c r="H4046" s="194"/>
      <c r="I4046" s="161"/>
      <c r="J4046" s="162"/>
      <c r="K4046" s="73"/>
      <c r="L4046" s="73"/>
      <c r="M4046" s="73"/>
      <c r="N4046" s="171"/>
      <c r="O4046" s="171"/>
      <c r="P4046" s="171"/>
      <c r="Q4046" s="173"/>
      <c r="R4046" s="173"/>
      <c r="S4046" s="173"/>
      <c r="T4046" s="173"/>
      <c r="U4046" s="173"/>
      <c r="V4046" s="169"/>
      <c r="W4046" s="171"/>
      <c r="X4046" s="171"/>
    </row>
    <row r="4047" ht="15.0" customHeight="1">
      <c r="A4047" s="506"/>
      <c r="B4047" s="200"/>
      <c r="C4047" s="73"/>
      <c r="D4047" s="73"/>
      <c r="E4047" s="73"/>
      <c r="F4047" s="162"/>
      <c r="G4047" s="162"/>
      <c r="H4047" s="194"/>
      <c r="I4047" s="161"/>
      <c r="J4047" s="162"/>
      <c r="K4047" s="73"/>
      <c r="L4047" s="73"/>
      <c r="M4047" s="73"/>
      <c r="N4047" s="171"/>
      <c r="O4047" s="171"/>
      <c r="P4047" s="171"/>
      <c r="Q4047" s="173"/>
      <c r="R4047" s="173"/>
      <c r="S4047" s="173"/>
      <c r="T4047" s="173"/>
      <c r="U4047" s="173"/>
      <c r="V4047" s="169"/>
      <c r="W4047" s="171"/>
      <c r="X4047" s="171"/>
    </row>
    <row r="4048" ht="15.0" customHeight="1">
      <c r="A4048" s="506"/>
      <c r="B4048" s="200"/>
      <c r="C4048" s="73"/>
      <c r="D4048" s="73"/>
      <c r="E4048" s="73"/>
      <c r="F4048" s="162"/>
      <c r="G4048" s="162"/>
      <c r="H4048" s="194"/>
      <c r="I4048" s="161"/>
      <c r="J4048" s="162"/>
      <c r="K4048" s="73"/>
      <c r="L4048" s="73"/>
      <c r="M4048" s="73"/>
      <c r="N4048" s="171"/>
      <c r="O4048" s="171"/>
      <c r="P4048" s="171"/>
      <c r="Q4048" s="173"/>
      <c r="R4048" s="173"/>
      <c r="S4048" s="173"/>
      <c r="T4048" s="173"/>
      <c r="U4048" s="173"/>
      <c r="V4048" s="169"/>
      <c r="W4048" s="171"/>
      <c r="X4048" s="171"/>
    </row>
    <row r="4049" ht="15.0" customHeight="1">
      <c r="A4049" s="506"/>
      <c r="B4049" s="200"/>
      <c r="C4049" s="73"/>
      <c r="D4049" s="73"/>
      <c r="E4049" s="73"/>
      <c r="F4049" s="162"/>
      <c r="G4049" s="162"/>
      <c r="H4049" s="194"/>
      <c r="I4049" s="161"/>
      <c r="J4049" s="162"/>
      <c r="K4049" s="73"/>
      <c r="L4049" s="73"/>
      <c r="M4049" s="73"/>
      <c r="N4049" s="171"/>
      <c r="O4049" s="171"/>
      <c r="P4049" s="171"/>
      <c r="Q4049" s="173"/>
      <c r="R4049" s="173"/>
      <c r="S4049" s="173"/>
      <c r="T4049" s="173"/>
      <c r="U4049" s="173"/>
      <c r="V4049" s="169"/>
      <c r="W4049" s="171"/>
      <c r="X4049" s="171"/>
    </row>
    <row r="4050" ht="15.0" customHeight="1">
      <c r="A4050" s="506"/>
      <c r="B4050" s="200"/>
      <c r="C4050" s="73"/>
      <c r="D4050" s="73"/>
      <c r="E4050" s="73"/>
      <c r="F4050" s="162"/>
      <c r="G4050" s="162"/>
      <c r="H4050" s="194"/>
      <c r="I4050" s="161"/>
      <c r="J4050" s="162"/>
      <c r="K4050" s="73"/>
      <c r="L4050" s="73"/>
      <c r="M4050" s="73"/>
      <c r="N4050" s="171"/>
      <c r="O4050" s="171"/>
      <c r="P4050" s="171"/>
      <c r="Q4050" s="173"/>
      <c r="R4050" s="173"/>
      <c r="S4050" s="173"/>
      <c r="T4050" s="173"/>
      <c r="U4050" s="173"/>
      <c r="V4050" s="169"/>
      <c r="W4050" s="171"/>
      <c r="X4050" s="171"/>
    </row>
    <row r="4051" ht="15.0" customHeight="1">
      <c r="A4051" s="506"/>
      <c r="B4051" s="200"/>
      <c r="C4051" s="73"/>
      <c r="D4051" s="73"/>
      <c r="E4051" s="73"/>
      <c r="F4051" s="162"/>
      <c r="G4051" s="162"/>
      <c r="H4051" s="194"/>
      <c r="I4051" s="161"/>
      <c r="J4051" s="162"/>
      <c r="K4051" s="73"/>
      <c r="L4051" s="73"/>
      <c r="M4051" s="73"/>
      <c r="N4051" s="171"/>
      <c r="O4051" s="171"/>
      <c r="P4051" s="171"/>
      <c r="Q4051" s="173"/>
      <c r="R4051" s="173"/>
      <c r="S4051" s="173"/>
      <c r="T4051" s="173"/>
      <c r="U4051" s="173"/>
      <c r="V4051" s="169"/>
      <c r="W4051" s="171"/>
      <c r="X4051" s="171"/>
    </row>
    <row r="4052" ht="15.0" customHeight="1">
      <c r="A4052" s="506"/>
      <c r="B4052" s="200"/>
      <c r="C4052" s="73"/>
      <c r="D4052" s="73"/>
      <c r="E4052" s="73"/>
      <c r="F4052" s="162"/>
      <c r="G4052" s="162"/>
      <c r="H4052" s="194"/>
      <c r="I4052" s="161"/>
      <c r="J4052" s="162"/>
      <c r="K4052" s="73"/>
      <c r="L4052" s="73"/>
      <c r="M4052" s="73"/>
      <c r="N4052" s="171"/>
      <c r="O4052" s="171"/>
      <c r="P4052" s="171"/>
      <c r="Q4052" s="173"/>
      <c r="R4052" s="173"/>
      <c r="S4052" s="173"/>
      <c r="T4052" s="173"/>
      <c r="U4052" s="173"/>
      <c r="V4052" s="169"/>
      <c r="W4052" s="171"/>
      <c r="X4052" s="171"/>
    </row>
    <row r="4053" ht="15.0" customHeight="1">
      <c r="A4053" s="506"/>
      <c r="B4053" s="200"/>
      <c r="C4053" s="73"/>
      <c r="D4053" s="73"/>
      <c r="E4053" s="73"/>
      <c r="F4053" s="162"/>
      <c r="G4053" s="162"/>
      <c r="H4053" s="194"/>
      <c r="I4053" s="161"/>
      <c r="J4053" s="162"/>
      <c r="K4053" s="73"/>
      <c r="L4053" s="73"/>
      <c r="M4053" s="73"/>
      <c r="N4053" s="171"/>
      <c r="O4053" s="171"/>
      <c r="P4053" s="171"/>
      <c r="Q4053" s="173"/>
      <c r="R4053" s="173"/>
      <c r="S4053" s="173"/>
      <c r="T4053" s="173"/>
      <c r="U4053" s="173"/>
      <c r="V4053" s="169"/>
      <c r="W4053" s="171"/>
      <c r="X4053" s="171"/>
    </row>
    <row r="4054" ht="15.0" customHeight="1">
      <c r="A4054" s="506"/>
      <c r="B4054" s="200"/>
      <c r="C4054" s="73"/>
      <c r="D4054" s="73"/>
      <c r="E4054" s="73"/>
      <c r="F4054" s="162"/>
      <c r="G4054" s="162"/>
      <c r="H4054" s="194"/>
      <c r="I4054" s="161"/>
      <c r="J4054" s="162"/>
      <c r="K4054" s="73"/>
      <c r="L4054" s="73"/>
      <c r="M4054" s="73"/>
      <c r="N4054" s="171"/>
      <c r="O4054" s="171"/>
      <c r="P4054" s="171"/>
      <c r="Q4054" s="173"/>
      <c r="R4054" s="173"/>
      <c r="S4054" s="173"/>
      <c r="T4054" s="173"/>
      <c r="U4054" s="173"/>
      <c r="V4054" s="169"/>
      <c r="W4054" s="171"/>
      <c r="X4054" s="171"/>
    </row>
    <row r="4055" ht="15.0" customHeight="1">
      <c r="A4055" s="506"/>
      <c r="B4055" s="200"/>
      <c r="C4055" s="73"/>
      <c r="D4055" s="73"/>
      <c r="E4055" s="73"/>
      <c r="F4055" s="162"/>
      <c r="G4055" s="162"/>
      <c r="H4055" s="194"/>
      <c r="I4055" s="161"/>
      <c r="J4055" s="162"/>
      <c r="K4055" s="73"/>
      <c r="L4055" s="73"/>
      <c r="M4055" s="73"/>
      <c r="N4055" s="171"/>
      <c r="O4055" s="171"/>
      <c r="P4055" s="171"/>
      <c r="Q4055" s="173"/>
      <c r="R4055" s="173"/>
      <c r="S4055" s="173"/>
      <c r="T4055" s="173"/>
      <c r="U4055" s="173"/>
      <c r="V4055" s="169"/>
      <c r="W4055" s="171"/>
      <c r="X4055" s="171"/>
    </row>
    <row r="4056" ht="15.0" customHeight="1">
      <c r="A4056" s="506"/>
      <c r="B4056" s="200"/>
      <c r="C4056" s="73"/>
      <c r="D4056" s="73"/>
      <c r="E4056" s="73"/>
      <c r="F4056" s="162"/>
      <c r="G4056" s="162"/>
      <c r="H4056" s="194"/>
      <c r="I4056" s="161"/>
      <c r="J4056" s="162"/>
      <c r="K4056" s="73"/>
      <c r="L4056" s="73"/>
      <c r="M4056" s="73"/>
      <c r="N4056" s="171"/>
      <c r="O4056" s="171"/>
      <c r="P4056" s="171"/>
      <c r="Q4056" s="173"/>
      <c r="R4056" s="173"/>
      <c r="S4056" s="173"/>
      <c r="T4056" s="173"/>
      <c r="U4056" s="173"/>
      <c r="V4056" s="169"/>
      <c r="W4056" s="171"/>
      <c r="X4056" s="171"/>
    </row>
    <row r="4057" ht="15.0" customHeight="1">
      <c r="A4057" s="506"/>
      <c r="B4057" s="200"/>
      <c r="C4057" s="73"/>
      <c r="D4057" s="73"/>
      <c r="E4057" s="73"/>
      <c r="F4057" s="162"/>
      <c r="G4057" s="162"/>
      <c r="H4057" s="194"/>
      <c r="I4057" s="161"/>
      <c r="J4057" s="162"/>
      <c r="K4057" s="73"/>
      <c r="L4057" s="73"/>
      <c r="M4057" s="73"/>
      <c r="N4057" s="171"/>
      <c r="O4057" s="171"/>
      <c r="P4057" s="171"/>
      <c r="Q4057" s="173"/>
      <c r="R4057" s="173"/>
      <c r="S4057" s="173"/>
      <c r="T4057" s="173"/>
      <c r="U4057" s="173"/>
      <c r="V4057" s="169"/>
      <c r="W4057" s="171"/>
      <c r="X4057" s="171"/>
    </row>
    <row r="4058" ht="15.0" customHeight="1">
      <c r="A4058" s="506"/>
      <c r="B4058" s="200"/>
      <c r="C4058" s="73"/>
      <c r="D4058" s="73"/>
      <c r="E4058" s="73"/>
      <c r="F4058" s="162"/>
      <c r="G4058" s="162"/>
      <c r="H4058" s="194"/>
      <c r="I4058" s="161"/>
      <c r="J4058" s="162"/>
      <c r="K4058" s="73"/>
      <c r="L4058" s="73"/>
      <c r="M4058" s="73"/>
      <c r="N4058" s="171"/>
      <c r="O4058" s="171"/>
      <c r="P4058" s="171"/>
      <c r="Q4058" s="173"/>
      <c r="R4058" s="173"/>
      <c r="S4058" s="173"/>
      <c r="T4058" s="173"/>
      <c r="U4058" s="173"/>
      <c r="V4058" s="169"/>
      <c r="W4058" s="171"/>
      <c r="X4058" s="171"/>
    </row>
    <row r="4059" ht="15.0" customHeight="1">
      <c r="A4059" s="506"/>
      <c r="B4059" s="200"/>
      <c r="C4059" s="73"/>
      <c r="D4059" s="73"/>
      <c r="E4059" s="73"/>
      <c r="F4059" s="162"/>
      <c r="G4059" s="162"/>
      <c r="H4059" s="194"/>
      <c r="I4059" s="161"/>
      <c r="J4059" s="162"/>
      <c r="K4059" s="73"/>
      <c r="L4059" s="73"/>
      <c r="M4059" s="73"/>
      <c r="N4059" s="171"/>
      <c r="O4059" s="171"/>
      <c r="P4059" s="171"/>
      <c r="Q4059" s="173"/>
      <c r="R4059" s="173"/>
      <c r="S4059" s="173"/>
      <c r="T4059" s="173"/>
      <c r="U4059" s="173"/>
      <c r="V4059" s="169"/>
      <c r="W4059" s="171"/>
      <c r="X4059" s="171"/>
    </row>
    <row r="4060" ht="15.0" customHeight="1">
      <c r="A4060" s="506"/>
      <c r="B4060" s="200"/>
      <c r="C4060" s="73"/>
      <c r="D4060" s="73"/>
      <c r="E4060" s="73"/>
      <c r="F4060" s="162"/>
      <c r="G4060" s="162"/>
      <c r="H4060" s="194"/>
      <c r="I4060" s="161"/>
      <c r="J4060" s="162"/>
      <c r="K4060" s="73"/>
      <c r="L4060" s="73"/>
      <c r="M4060" s="73"/>
      <c r="N4060" s="171"/>
      <c r="O4060" s="171"/>
      <c r="P4060" s="171"/>
      <c r="Q4060" s="173"/>
      <c r="R4060" s="173"/>
      <c r="S4060" s="173"/>
      <c r="T4060" s="173"/>
      <c r="U4060" s="173"/>
      <c r="V4060" s="169"/>
      <c r="W4060" s="171"/>
      <c r="X4060" s="171"/>
    </row>
    <row r="4061" ht="15.0" customHeight="1">
      <c r="A4061" s="506"/>
      <c r="B4061" s="200"/>
      <c r="C4061" s="73"/>
      <c r="D4061" s="73"/>
      <c r="E4061" s="73"/>
      <c r="F4061" s="162"/>
      <c r="G4061" s="162"/>
      <c r="H4061" s="194"/>
      <c r="I4061" s="161"/>
      <c r="J4061" s="162"/>
      <c r="K4061" s="73"/>
      <c r="L4061" s="73"/>
      <c r="M4061" s="73"/>
      <c r="N4061" s="171"/>
      <c r="O4061" s="171"/>
      <c r="P4061" s="171"/>
      <c r="Q4061" s="173"/>
      <c r="R4061" s="173"/>
      <c r="S4061" s="173"/>
      <c r="T4061" s="173"/>
      <c r="U4061" s="173"/>
      <c r="V4061" s="169"/>
      <c r="W4061" s="171"/>
      <c r="X4061" s="171"/>
    </row>
    <row r="4062" ht="15.0" customHeight="1">
      <c r="A4062" s="506"/>
      <c r="B4062" s="200"/>
      <c r="C4062" s="73"/>
      <c r="D4062" s="73"/>
      <c r="E4062" s="73"/>
      <c r="F4062" s="162"/>
      <c r="G4062" s="162"/>
      <c r="H4062" s="194"/>
      <c r="I4062" s="161"/>
      <c r="J4062" s="162"/>
      <c r="K4062" s="73"/>
      <c r="L4062" s="73"/>
      <c r="M4062" s="73"/>
      <c r="N4062" s="171"/>
      <c r="O4062" s="171"/>
      <c r="P4062" s="171"/>
      <c r="Q4062" s="173"/>
      <c r="R4062" s="173"/>
      <c r="S4062" s="173"/>
      <c r="T4062" s="173"/>
      <c r="U4062" s="173"/>
      <c r="V4062" s="169"/>
      <c r="W4062" s="171"/>
      <c r="X4062" s="171"/>
    </row>
    <row r="4063" ht="15.0" customHeight="1">
      <c r="A4063" s="506"/>
      <c r="B4063" s="200"/>
      <c r="C4063" s="73"/>
      <c r="D4063" s="73"/>
      <c r="E4063" s="73"/>
      <c r="F4063" s="162"/>
      <c r="G4063" s="162"/>
      <c r="H4063" s="194"/>
      <c r="I4063" s="161"/>
      <c r="J4063" s="162"/>
      <c r="K4063" s="73"/>
      <c r="L4063" s="73"/>
      <c r="M4063" s="73"/>
      <c r="N4063" s="171"/>
      <c r="O4063" s="171"/>
      <c r="P4063" s="171"/>
      <c r="Q4063" s="173"/>
      <c r="R4063" s="173"/>
      <c r="S4063" s="173"/>
      <c r="T4063" s="173"/>
      <c r="U4063" s="173"/>
      <c r="V4063" s="169"/>
      <c r="W4063" s="171"/>
      <c r="X4063" s="171"/>
    </row>
    <row r="4064" ht="15.0" customHeight="1">
      <c r="A4064" s="506"/>
      <c r="B4064" s="200"/>
      <c r="C4064" s="73"/>
      <c r="D4064" s="73"/>
      <c r="E4064" s="73"/>
      <c r="F4064" s="162"/>
      <c r="G4064" s="162"/>
      <c r="H4064" s="194"/>
      <c r="I4064" s="161"/>
      <c r="J4064" s="162"/>
      <c r="K4064" s="73"/>
      <c r="L4064" s="73"/>
      <c r="M4064" s="73"/>
      <c r="N4064" s="171"/>
      <c r="O4064" s="171"/>
      <c r="P4064" s="171"/>
      <c r="Q4064" s="173"/>
      <c r="R4064" s="173"/>
      <c r="S4064" s="173"/>
      <c r="T4064" s="173"/>
      <c r="U4064" s="173"/>
      <c r="V4064" s="169"/>
      <c r="W4064" s="171"/>
      <c r="X4064" s="171"/>
    </row>
    <row r="4065" ht="15.0" customHeight="1">
      <c r="A4065" s="506"/>
      <c r="B4065" s="200"/>
      <c r="C4065" s="73"/>
      <c r="D4065" s="73"/>
      <c r="E4065" s="73"/>
      <c r="F4065" s="162"/>
      <c r="G4065" s="162"/>
      <c r="H4065" s="194"/>
      <c r="I4065" s="161"/>
      <c r="J4065" s="162"/>
      <c r="K4065" s="73"/>
      <c r="L4065" s="73"/>
      <c r="M4065" s="73"/>
      <c r="N4065" s="171"/>
      <c r="O4065" s="171"/>
      <c r="P4065" s="171"/>
      <c r="Q4065" s="173"/>
      <c r="R4065" s="173"/>
      <c r="S4065" s="173"/>
      <c r="T4065" s="173"/>
      <c r="U4065" s="173"/>
      <c r="V4065" s="169"/>
      <c r="W4065" s="171"/>
      <c r="X4065" s="171"/>
    </row>
    <row r="4066" ht="15.0" customHeight="1">
      <c r="A4066" s="506"/>
      <c r="B4066" s="200"/>
      <c r="C4066" s="73"/>
      <c r="D4066" s="73"/>
      <c r="E4066" s="73"/>
      <c r="F4066" s="162"/>
      <c r="G4066" s="162"/>
      <c r="H4066" s="194"/>
      <c r="I4066" s="161"/>
      <c r="J4066" s="162"/>
      <c r="K4066" s="73"/>
      <c r="L4066" s="73"/>
      <c r="M4066" s="73"/>
      <c r="N4066" s="171"/>
      <c r="O4066" s="171"/>
      <c r="P4066" s="171"/>
      <c r="Q4066" s="173"/>
      <c r="R4066" s="173"/>
      <c r="S4066" s="173"/>
      <c r="T4066" s="173"/>
      <c r="U4066" s="173"/>
      <c r="V4066" s="169"/>
      <c r="W4066" s="171"/>
      <c r="X4066" s="171"/>
    </row>
    <row r="4067" ht="15.0" customHeight="1">
      <c r="A4067" s="506"/>
      <c r="B4067" s="200"/>
      <c r="C4067" s="73"/>
      <c r="D4067" s="73"/>
      <c r="E4067" s="73"/>
      <c r="F4067" s="162"/>
      <c r="G4067" s="162"/>
      <c r="H4067" s="194"/>
      <c r="I4067" s="161"/>
      <c r="J4067" s="162"/>
      <c r="K4067" s="73"/>
      <c r="L4067" s="73"/>
      <c r="M4067" s="73"/>
      <c r="N4067" s="171"/>
      <c r="O4067" s="171"/>
      <c r="P4067" s="171"/>
      <c r="Q4067" s="173"/>
      <c r="R4067" s="173"/>
      <c r="S4067" s="173"/>
      <c r="T4067" s="173"/>
      <c r="U4067" s="173"/>
      <c r="V4067" s="169"/>
      <c r="W4067" s="171"/>
      <c r="X4067" s="171"/>
    </row>
    <row r="4068" ht="15.0" customHeight="1">
      <c r="A4068" s="506"/>
      <c r="B4068" s="200"/>
      <c r="C4068" s="73"/>
      <c r="D4068" s="73"/>
      <c r="E4068" s="73"/>
      <c r="F4068" s="162"/>
      <c r="G4068" s="162"/>
      <c r="H4068" s="194"/>
      <c r="I4068" s="161"/>
      <c r="J4068" s="162"/>
      <c r="K4068" s="73"/>
      <c r="L4068" s="73"/>
      <c r="M4068" s="73"/>
      <c r="N4068" s="171"/>
      <c r="O4068" s="171"/>
      <c r="P4068" s="171"/>
      <c r="Q4068" s="173"/>
      <c r="R4068" s="173"/>
      <c r="S4068" s="173"/>
      <c r="T4068" s="173"/>
      <c r="U4068" s="173"/>
      <c r="V4068" s="169"/>
      <c r="W4068" s="171"/>
      <c r="X4068" s="171"/>
    </row>
    <row r="4069" ht="15.0" customHeight="1">
      <c r="A4069" s="506"/>
      <c r="B4069" s="200"/>
      <c r="C4069" s="73"/>
      <c r="D4069" s="73"/>
      <c r="E4069" s="73"/>
      <c r="F4069" s="162"/>
      <c r="G4069" s="162"/>
      <c r="H4069" s="194"/>
      <c r="I4069" s="161"/>
      <c r="J4069" s="162"/>
      <c r="K4069" s="73"/>
      <c r="L4069" s="73"/>
      <c r="M4069" s="73"/>
      <c r="N4069" s="171"/>
      <c r="O4069" s="171"/>
      <c r="P4069" s="171"/>
      <c r="Q4069" s="173"/>
      <c r="R4069" s="173"/>
      <c r="S4069" s="173"/>
      <c r="T4069" s="173"/>
      <c r="U4069" s="173"/>
      <c r="V4069" s="169"/>
      <c r="W4069" s="171"/>
      <c r="X4069" s="171"/>
    </row>
    <row r="4070" ht="15.0" customHeight="1">
      <c r="A4070" s="506"/>
      <c r="B4070" s="200"/>
      <c r="C4070" s="73"/>
      <c r="D4070" s="73"/>
      <c r="E4070" s="73"/>
      <c r="F4070" s="162"/>
      <c r="G4070" s="162"/>
      <c r="H4070" s="194"/>
      <c r="I4070" s="161"/>
      <c r="J4070" s="162"/>
      <c r="K4070" s="73"/>
      <c r="L4070" s="73"/>
      <c r="M4070" s="73"/>
      <c r="N4070" s="171"/>
      <c r="O4070" s="171"/>
      <c r="P4070" s="171"/>
      <c r="Q4070" s="173"/>
      <c r="R4070" s="173"/>
      <c r="S4070" s="173"/>
      <c r="T4070" s="173"/>
      <c r="U4070" s="173"/>
      <c r="V4070" s="169"/>
      <c r="W4070" s="171"/>
      <c r="X4070" s="171"/>
    </row>
    <row r="4071" ht="15.0" customHeight="1">
      <c r="A4071" s="506"/>
      <c r="B4071" s="200"/>
      <c r="C4071" s="73"/>
      <c r="D4071" s="73"/>
      <c r="E4071" s="73"/>
      <c r="F4071" s="162"/>
      <c r="G4071" s="162"/>
      <c r="H4071" s="194"/>
      <c r="I4071" s="161"/>
      <c r="J4071" s="162"/>
      <c r="K4071" s="73"/>
      <c r="L4071" s="73"/>
      <c r="M4071" s="73"/>
      <c r="N4071" s="171"/>
      <c r="O4071" s="171"/>
      <c r="P4071" s="171"/>
      <c r="Q4071" s="173"/>
      <c r="R4071" s="173"/>
      <c r="S4071" s="173"/>
      <c r="T4071" s="173"/>
      <c r="U4071" s="173"/>
      <c r="V4071" s="169"/>
      <c r="W4071" s="171"/>
      <c r="X4071" s="171"/>
    </row>
    <row r="4072" ht="15.0" customHeight="1">
      <c r="A4072" s="506"/>
      <c r="B4072" s="200"/>
      <c r="C4072" s="73"/>
      <c r="D4072" s="73"/>
      <c r="E4072" s="73"/>
      <c r="F4072" s="162"/>
      <c r="G4072" s="162"/>
      <c r="H4072" s="194"/>
      <c r="I4072" s="161"/>
      <c r="J4072" s="162"/>
      <c r="K4072" s="73"/>
      <c r="L4072" s="73"/>
      <c r="M4072" s="73"/>
      <c r="N4072" s="171"/>
      <c r="O4072" s="171"/>
      <c r="P4072" s="171"/>
      <c r="Q4072" s="173"/>
      <c r="R4072" s="173"/>
      <c r="S4072" s="173"/>
      <c r="T4072" s="173"/>
      <c r="U4072" s="173"/>
      <c r="V4072" s="169"/>
      <c r="W4072" s="171"/>
      <c r="X4072" s="171"/>
    </row>
    <row r="4073" ht="15.0" customHeight="1">
      <c r="A4073" s="506"/>
      <c r="B4073" s="200"/>
      <c r="C4073" s="73"/>
      <c r="D4073" s="73"/>
      <c r="E4073" s="73"/>
      <c r="F4073" s="162"/>
      <c r="G4073" s="162"/>
      <c r="H4073" s="194"/>
      <c r="I4073" s="161"/>
      <c r="J4073" s="162"/>
      <c r="K4073" s="73"/>
      <c r="L4073" s="73"/>
      <c r="M4073" s="73"/>
      <c r="N4073" s="171"/>
      <c r="O4073" s="171"/>
      <c r="P4073" s="171"/>
      <c r="Q4073" s="173"/>
      <c r="R4073" s="173"/>
      <c r="S4073" s="173"/>
      <c r="T4073" s="173"/>
      <c r="U4073" s="173"/>
      <c r="V4073" s="169"/>
      <c r="W4073" s="171"/>
      <c r="X4073" s="171"/>
    </row>
    <row r="4074" ht="15.0" customHeight="1">
      <c r="A4074" s="506"/>
      <c r="B4074" s="200"/>
      <c r="C4074" s="73"/>
      <c r="D4074" s="73"/>
      <c r="E4074" s="73"/>
      <c r="F4074" s="162"/>
      <c r="G4074" s="162"/>
      <c r="H4074" s="194"/>
      <c r="I4074" s="161"/>
      <c r="J4074" s="162"/>
      <c r="K4074" s="73"/>
      <c r="L4074" s="73"/>
      <c r="M4074" s="73"/>
      <c r="N4074" s="171"/>
      <c r="O4074" s="171"/>
      <c r="P4074" s="171"/>
      <c r="Q4074" s="173"/>
      <c r="R4074" s="173"/>
      <c r="S4074" s="173"/>
      <c r="T4074" s="173"/>
      <c r="U4074" s="173"/>
      <c r="V4074" s="169"/>
      <c r="W4074" s="171"/>
      <c r="X4074" s="171"/>
    </row>
    <row r="4075" ht="15.0" customHeight="1">
      <c r="A4075" s="506"/>
      <c r="B4075" s="200"/>
      <c r="C4075" s="73"/>
      <c r="D4075" s="73"/>
      <c r="E4075" s="73"/>
      <c r="F4075" s="162"/>
      <c r="G4075" s="162"/>
      <c r="H4075" s="194"/>
      <c r="I4075" s="161"/>
      <c r="J4075" s="162"/>
      <c r="K4075" s="73"/>
      <c r="L4075" s="73"/>
      <c r="M4075" s="73"/>
      <c r="N4075" s="171"/>
      <c r="O4075" s="171"/>
      <c r="P4075" s="171"/>
      <c r="Q4075" s="173"/>
      <c r="R4075" s="173"/>
      <c r="S4075" s="173"/>
      <c r="T4075" s="173"/>
      <c r="U4075" s="173"/>
      <c r="V4075" s="169"/>
      <c r="W4075" s="171"/>
      <c r="X4075" s="171"/>
    </row>
    <row r="4076" ht="15.0" customHeight="1">
      <c r="A4076" s="506"/>
      <c r="B4076" s="200"/>
      <c r="C4076" s="73"/>
      <c r="D4076" s="73"/>
      <c r="E4076" s="73"/>
      <c r="F4076" s="162"/>
      <c r="G4076" s="162"/>
      <c r="H4076" s="194"/>
      <c r="I4076" s="161"/>
      <c r="J4076" s="162"/>
      <c r="K4076" s="73"/>
      <c r="L4076" s="73"/>
      <c r="M4076" s="73"/>
      <c r="N4076" s="171"/>
      <c r="O4076" s="171"/>
      <c r="P4076" s="171"/>
      <c r="Q4076" s="173"/>
      <c r="R4076" s="173"/>
      <c r="S4076" s="173"/>
      <c r="T4076" s="173"/>
      <c r="U4076" s="173"/>
      <c r="V4076" s="169"/>
      <c r="W4076" s="171"/>
      <c r="X4076" s="171"/>
    </row>
    <row r="4077" ht="15.0" customHeight="1">
      <c r="A4077" s="506"/>
      <c r="B4077" s="200"/>
      <c r="C4077" s="73"/>
      <c r="D4077" s="73"/>
      <c r="E4077" s="73"/>
      <c r="F4077" s="162"/>
      <c r="G4077" s="162"/>
      <c r="H4077" s="194"/>
      <c r="I4077" s="161"/>
      <c r="J4077" s="162"/>
      <c r="K4077" s="73"/>
      <c r="L4077" s="73"/>
      <c r="M4077" s="73"/>
      <c r="N4077" s="171"/>
      <c r="O4077" s="171"/>
      <c r="P4077" s="171"/>
      <c r="Q4077" s="173"/>
      <c r="R4077" s="173"/>
      <c r="S4077" s="173"/>
      <c r="T4077" s="173"/>
      <c r="U4077" s="173"/>
      <c r="V4077" s="169"/>
      <c r="W4077" s="171"/>
      <c r="X4077" s="171"/>
    </row>
    <row r="4078" ht="15.0" customHeight="1">
      <c r="A4078" s="506"/>
      <c r="B4078" s="200"/>
      <c r="C4078" s="73"/>
      <c r="D4078" s="73"/>
      <c r="E4078" s="73"/>
      <c r="F4078" s="162"/>
      <c r="G4078" s="162"/>
      <c r="H4078" s="194"/>
      <c r="I4078" s="161"/>
      <c r="J4078" s="162"/>
      <c r="K4078" s="73"/>
      <c r="L4078" s="73"/>
      <c r="M4078" s="73"/>
      <c r="N4078" s="171"/>
      <c r="O4078" s="171"/>
      <c r="P4078" s="171"/>
      <c r="Q4078" s="173"/>
      <c r="R4078" s="173"/>
      <c r="S4078" s="173"/>
      <c r="T4078" s="173"/>
      <c r="U4078" s="173"/>
      <c r="V4078" s="169"/>
      <c r="W4078" s="171"/>
      <c r="X4078" s="171"/>
    </row>
    <row r="4079" ht="15.0" customHeight="1">
      <c r="A4079" s="506"/>
      <c r="B4079" s="200"/>
      <c r="C4079" s="73"/>
      <c r="D4079" s="73"/>
      <c r="E4079" s="73"/>
      <c r="F4079" s="162"/>
      <c r="G4079" s="162"/>
      <c r="H4079" s="194"/>
      <c r="I4079" s="161"/>
      <c r="J4079" s="162"/>
      <c r="K4079" s="73"/>
      <c r="L4079" s="73"/>
      <c r="M4079" s="73"/>
      <c r="N4079" s="171"/>
      <c r="O4079" s="171"/>
      <c r="P4079" s="171"/>
      <c r="Q4079" s="173"/>
      <c r="R4079" s="173"/>
      <c r="S4079" s="173"/>
      <c r="T4079" s="173"/>
      <c r="U4079" s="173"/>
      <c r="V4079" s="169"/>
      <c r="W4079" s="171"/>
      <c r="X4079" s="171"/>
    </row>
    <row r="4080" ht="15.0" customHeight="1">
      <c r="A4080" s="506"/>
      <c r="B4080" s="200"/>
      <c r="C4080" s="73"/>
      <c r="D4080" s="73"/>
      <c r="E4080" s="73"/>
      <c r="F4080" s="162"/>
      <c r="G4080" s="162"/>
      <c r="H4080" s="194"/>
      <c r="I4080" s="161"/>
      <c r="J4080" s="162"/>
      <c r="K4080" s="73"/>
      <c r="L4080" s="73"/>
      <c r="M4080" s="73"/>
      <c r="N4080" s="171"/>
      <c r="O4080" s="171"/>
      <c r="P4080" s="171"/>
      <c r="Q4080" s="173"/>
      <c r="R4080" s="173"/>
      <c r="S4080" s="173"/>
      <c r="T4080" s="173"/>
      <c r="U4080" s="173"/>
      <c r="V4080" s="169"/>
      <c r="W4080" s="171"/>
      <c r="X4080" s="171"/>
    </row>
    <row r="4081" ht="15.0" customHeight="1">
      <c r="A4081" s="506"/>
      <c r="B4081" s="200"/>
      <c r="C4081" s="73"/>
      <c r="D4081" s="73"/>
      <c r="E4081" s="73"/>
      <c r="F4081" s="162"/>
      <c r="G4081" s="162"/>
      <c r="H4081" s="194"/>
      <c r="I4081" s="161"/>
      <c r="J4081" s="162"/>
      <c r="K4081" s="73"/>
      <c r="L4081" s="73"/>
      <c r="M4081" s="73"/>
      <c r="N4081" s="171"/>
      <c r="O4081" s="171"/>
      <c r="P4081" s="171"/>
      <c r="Q4081" s="173"/>
      <c r="R4081" s="173"/>
      <c r="S4081" s="173"/>
      <c r="T4081" s="173"/>
      <c r="U4081" s="173"/>
      <c r="V4081" s="169"/>
      <c r="W4081" s="171"/>
      <c r="X4081" s="171"/>
    </row>
    <row r="4082" ht="15.0" customHeight="1">
      <c r="A4082" s="506"/>
      <c r="B4082" s="200"/>
      <c r="C4082" s="73"/>
      <c r="D4082" s="73"/>
      <c r="E4082" s="73"/>
      <c r="F4082" s="162"/>
      <c r="G4082" s="162"/>
      <c r="H4082" s="194"/>
      <c r="I4082" s="161"/>
      <c r="J4082" s="162"/>
      <c r="K4082" s="73"/>
      <c r="L4082" s="73"/>
      <c r="M4082" s="73"/>
      <c r="N4082" s="171"/>
      <c r="O4082" s="171"/>
      <c r="P4082" s="171"/>
      <c r="Q4082" s="173"/>
      <c r="R4082" s="173"/>
      <c r="S4082" s="173"/>
      <c r="T4082" s="173"/>
      <c r="U4082" s="173"/>
      <c r="V4082" s="169"/>
      <c r="W4082" s="171"/>
      <c r="X4082" s="171"/>
    </row>
    <row r="4083" ht="15.0" customHeight="1">
      <c r="A4083" s="506"/>
      <c r="B4083" s="200"/>
      <c r="C4083" s="73"/>
      <c r="D4083" s="73"/>
      <c r="E4083" s="73"/>
      <c r="F4083" s="162"/>
      <c r="G4083" s="162"/>
      <c r="H4083" s="194"/>
      <c r="I4083" s="161"/>
      <c r="J4083" s="162"/>
      <c r="K4083" s="73"/>
      <c r="L4083" s="73"/>
      <c r="M4083" s="73"/>
      <c r="N4083" s="171"/>
      <c r="O4083" s="171"/>
      <c r="P4083" s="171"/>
      <c r="Q4083" s="173"/>
      <c r="R4083" s="173"/>
      <c r="S4083" s="173"/>
      <c r="T4083" s="173"/>
      <c r="U4083" s="173"/>
      <c r="V4083" s="169"/>
      <c r="W4083" s="171"/>
      <c r="X4083" s="171"/>
    </row>
    <row r="4084" ht="15.0" customHeight="1">
      <c r="A4084" s="506"/>
      <c r="B4084" s="200"/>
      <c r="C4084" s="73"/>
      <c r="D4084" s="73"/>
      <c r="E4084" s="73"/>
      <c r="F4084" s="162"/>
      <c r="G4084" s="162"/>
      <c r="H4084" s="194"/>
      <c r="I4084" s="161"/>
      <c r="J4084" s="162"/>
      <c r="K4084" s="73"/>
      <c r="L4084" s="73"/>
      <c r="M4084" s="73"/>
      <c r="N4084" s="171"/>
      <c r="O4084" s="171"/>
      <c r="P4084" s="171"/>
      <c r="Q4084" s="173"/>
      <c r="R4084" s="173"/>
      <c r="S4084" s="173"/>
      <c r="T4084" s="173"/>
      <c r="U4084" s="173"/>
      <c r="V4084" s="169"/>
      <c r="W4084" s="171"/>
      <c r="X4084" s="171"/>
    </row>
    <row r="4085" ht="15.0" customHeight="1">
      <c r="A4085" s="506"/>
      <c r="B4085" s="200"/>
      <c r="C4085" s="73"/>
      <c r="D4085" s="73"/>
      <c r="E4085" s="73"/>
      <c r="F4085" s="162"/>
      <c r="G4085" s="162"/>
      <c r="H4085" s="194"/>
      <c r="I4085" s="161"/>
      <c r="J4085" s="162"/>
      <c r="K4085" s="73"/>
      <c r="L4085" s="73"/>
      <c r="M4085" s="73"/>
      <c r="N4085" s="171"/>
      <c r="O4085" s="171"/>
      <c r="P4085" s="171"/>
      <c r="Q4085" s="173"/>
      <c r="R4085" s="173"/>
      <c r="S4085" s="173"/>
      <c r="T4085" s="173"/>
      <c r="U4085" s="173"/>
      <c r="V4085" s="169"/>
      <c r="W4085" s="171"/>
      <c r="X4085" s="171"/>
    </row>
    <row r="4086" ht="15.0" customHeight="1">
      <c r="A4086" s="506"/>
      <c r="B4086" s="200"/>
      <c r="C4086" s="73"/>
      <c r="D4086" s="73"/>
      <c r="E4086" s="73"/>
      <c r="F4086" s="162"/>
      <c r="G4086" s="162"/>
      <c r="H4086" s="194"/>
      <c r="I4086" s="161"/>
      <c r="J4086" s="162"/>
      <c r="K4086" s="73"/>
      <c r="L4086" s="73"/>
      <c r="M4086" s="73"/>
      <c r="N4086" s="171"/>
      <c r="O4086" s="171"/>
      <c r="P4086" s="171"/>
      <c r="Q4086" s="173"/>
      <c r="R4086" s="173"/>
      <c r="S4086" s="173"/>
      <c r="T4086" s="173"/>
      <c r="U4086" s="173"/>
      <c r="V4086" s="169"/>
      <c r="W4086" s="171"/>
      <c r="X4086" s="171"/>
    </row>
    <row r="4087" ht="15.0" customHeight="1">
      <c r="A4087" s="506"/>
      <c r="B4087" s="200"/>
      <c r="C4087" s="73"/>
      <c r="D4087" s="73"/>
      <c r="E4087" s="73"/>
      <c r="F4087" s="162"/>
      <c r="G4087" s="162"/>
      <c r="H4087" s="194"/>
      <c r="I4087" s="161"/>
      <c r="J4087" s="162"/>
      <c r="K4087" s="73"/>
      <c r="L4087" s="73"/>
      <c r="M4087" s="73"/>
      <c r="N4087" s="171"/>
      <c r="O4087" s="171"/>
      <c r="P4087" s="171"/>
      <c r="Q4087" s="173"/>
      <c r="R4087" s="173"/>
      <c r="S4087" s="173"/>
      <c r="T4087" s="173"/>
      <c r="U4087" s="173"/>
      <c r="V4087" s="169"/>
      <c r="W4087" s="171"/>
      <c r="X4087" s="171"/>
    </row>
    <row r="4088" ht="15.0" customHeight="1">
      <c r="A4088" s="506"/>
      <c r="B4088" s="200"/>
      <c r="C4088" s="73"/>
      <c r="D4088" s="73"/>
      <c r="E4088" s="73"/>
      <c r="F4088" s="162"/>
      <c r="G4088" s="162"/>
      <c r="H4088" s="194"/>
      <c r="I4088" s="161"/>
      <c r="J4088" s="162"/>
      <c r="K4088" s="73"/>
      <c r="L4088" s="73"/>
      <c r="M4088" s="73"/>
      <c r="N4088" s="171"/>
      <c r="O4088" s="171"/>
      <c r="P4088" s="171"/>
      <c r="Q4088" s="173"/>
      <c r="R4088" s="173"/>
      <c r="S4088" s="173"/>
      <c r="T4088" s="173"/>
      <c r="U4088" s="173"/>
      <c r="V4088" s="169"/>
      <c r="W4088" s="171"/>
      <c r="X4088" s="171"/>
    </row>
    <row r="4089" ht="15.0" customHeight="1">
      <c r="A4089" s="506"/>
      <c r="B4089" s="200"/>
      <c r="C4089" s="73"/>
      <c r="D4089" s="73"/>
      <c r="E4089" s="73"/>
      <c r="F4089" s="162"/>
      <c r="G4089" s="162"/>
      <c r="H4089" s="194"/>
      <c r="I4089" s="161"/>
      <c r="J4089" s="162"/>
      <c r="K4089" s="73"/>
      <c r="L4089" s="73"/>
      <c r="M4089" s="73"/>
      <c r="N4089" s="171"/>
      <c r="O4089" s="171"/>
      <c r="P4089" s="171"/>
      <c r="Q4089" s="173"/>
      <c r="R4089" s="173"/>
      <c r="S4089" s="173"/>
      <c r="T4089" s="173"/>
      <c r="U4089" s="173"/>
      <c r="V4089" s="169"/>
      <c r="W4089" s="171"/>
      <c r="X4089" s="171"/>
    </row>
    <row r="4090" ht="15.0" customHeight="1">
      <c r="A4090" s="506"/>
      <c r="B4090" s="200"/>
      <c r="C4090" s="73"/>
      <c r="D4090" s="73"/>
      <c r="E4090" s="73"/>
      <c r="F4090" s="162"/>
      <c r="G4090" s="162"/>
      <c r="H4090" s="194"/>
      <c r="I4090" s="161"/>
      <c r="J4090" s="162"/>
      <c r="K4090" s="73"/>
      <c r="L4090" s="73"/>
      <c r="M4090" s="73"/>
      <c r="N4090" s="171"/>
      <c r="O4090" s="171"/>
      <c r="P4090" s="171"/>
      <c r="Q4090" s="173"/>
      <c r="R4090" s="173"/>
      <c r="S4090" s="173"/>
      <c r="T4090" s="173"/>
      <c r="U4090" s="173"/>
      <c r="V4090" s="169"/>
      <c r="W4090" s="171"/>
      <c r="X4090" s="171"/>
    </row>
    <row r="4091" ht="15.0" customHeight="1">
      <c r="A4091" s="506"/>
      <c r="B4091" s="200"/>
      <c r="C4091" s="73"/>
      <c r="D4091" s="73"/>
      <c r="E4091" s="73"/>
      <c r="F4091" s="162"/>
      <c r="G4091" s="162"/>
      <c r="H4091" s="194"/>
      <c r="I4091" s="161"/>
      <c r="J4091" s="162"/>
      <c r="K4091" s="73"/>
      <c r="L4091" s="73"/>
      <c r="M4091" s="73"/>
      <c r="N4091" s="171"/>
      <c r="O4091" s="171"/>
      <c r="P4091" s="171"/>
      <c r="Q4091" s="173"/>
      <c r="R4091" s="173"/>
      <c r="S4091" s="173"/>
      <c r="T4091" s="173"/>
      <c r="U4091" s="173"/>
      <c r="V4091" s="169"/>
      <c r="W4091" s="171"/>
      <c r="X4091" s="171"/>
    </row>
    <row r="4092" ht="15.0" customHeight="1">
      <c r="A4092" s="506"/>
      <c r="B4092" s="200"/>
      <c r="C4092" s="73"/>
      <c r="D4092" s="73"/>
      <c r="E4092" s="73"/>
      <c r="F4092" s="162"/>
      <c r="G4092" s="162"/>
      <c r="H4092" s="194"/>
      <c r="I4092" s="161"/>
      <c r="J4092" s="162"/>
      <c r="K4092" s="73"/>
      <c r="L4092" s="73"/>
      <c r="M4092" s="73"/>
      <c r="N4092" s="171"/>
      <c r="O4092" s="171"/>
      <c r="P4092" s="171"/>
      <c r="Q4092" s="173"/>
      <c r="R4092" s="173"/>
      <c r="S4092" s="173"/>
      <c r="T4092" s="173"/>
      <c r="U4092" s="173"/>
      <c r="V4092" s="169"/>
      <c r="W4092" s="171"/>
      <c r="X4092" s="171"/>
    </row>
    <row r="4093" ht="15.0" customHeight="1">
      <c r="A4093" s="506"/>
      <c r="B4093" s="200"/>
      <c r="C4093" s="73"/>
      <c r="D4093" s="73"/>
      <c r="E4093" s="73"/>
      <c r="F4093" s="162"/>
      <c r="G4093" s="162"/>
      <c r="H4093" s="194"/>
      <c r="I4093" s="161"/>
      <c r="J4093" s="162"/>
      <c r="K4093" s="73"/>
      <c r="L4093" s="73"/>
      <c r="M4093" s="73"/>
      <c r="N4093" s="171"/>
      <c r="O4093" s="171"/>
      <c r="P4093" s="171"/>
      <c r="Q4093" s="173"/>
      <c r="R4093" s="173"/>
      <c r="S4093" s="173"/>
      <c r="T4093" s="173"/>
      <c r="U4093" s="173"/>
      <c r="V4093" s="169"/>
      <c r="W4093" s="171"/>
      <c r="X4093" s="171"/>
    </row>
    <row r="4094" ht="15.0" customHeight="1">
      <c r="A4094" s="506"/>
      <c r="B4094" s="200"/>
      <c r="C4094" s="73"/>
      <c r="D4094" s="73"/>
      <c r="E4094" s="73"/>
      <c r="F4094" s="162"/>
      <c r="G4094" s="162"/>
      <c r="H4094" s="194"/>
      <c r="I4094" s="161"/>
      <c r="J4094" s="162"/>
      <c r="K4094" s="73"/>
      <c r="L4094" s="73"/>
      <c r="M4094" s="73"/>
      <c r="N4094" s="171"/>
      <c r="O4094" s="171"/>
      <c r="P4094" s="171"/>
      <c r="Q4094" s="173"/>
      <c r="R4094" s="173"/>
      <c r="S4094" s="173"/>
      <c r="T4094" s="173"/>
      <c r="U4094" s="173"/>
      <c r="V4094" s="169"/>
      <c r="W4094" s="171"/>
      <c r="X4094" s="171"/>
    </row>
    <row r="4095" ht="15.0" customHeight="1">
      <c r="A4095" s="506"/>
      <c r="B4095" s="200"/>
      <c r="C4095" s="73"/>
      <c r="D4095" s="73"/>
      <c r="E4095" s="73"/>
      <c r="F4095" s="162"/>
      <c r="G4095" s="162"/>
      <c r="H4095" s="194"/>
      <c r="I4095" s="161"/>
      <c r="J4095" s="162"/>
      <c r="K4095" s="73"/>
      <c r="L4095" s="73"/>
      <c r="M4095" s="73"/>
      <c r="N4095" s="171"/>
      <c r="O4095" s="171"/>
      <c r="P4095" s="171"/>
      <c r="Q4095" s="173"/>
      <c r="R4095" s="173"/>
      <c r="S4095" s="173"/>
      <c r="T4095" s="173"/>
      <c r="U4095" s="173"/>
      <c r="V4095" s="169"/>
      <c r="W4095" s="171"/>
      <c r="X4095" s="171"/>
    </row>
    <row r="4096" ht="15.0" customHeight="1">
      <c r="A4096" s="506"/>
      <c r="B4096" s="200"/>
      <c r="C4096" s="73"/>
      <c r="D4096" s="73"/>
      <c r="E4096" s="73"/>
      <c r="F4096" s="162"/>
      <c r="G4096" s="162"/>
      <c r="H4096" s="194"/>
      <c r="I4096" s="161"/>
      <c r="J4096" s="162"/>
      <c r="K4096" s="73"/>
      <c r="L4096" s="73"/>
      <c r="M4096" s="73"/>
      <c r="N4096" s="171"/>
      <c r="O4096" s="171"/>
      <c r="P4096" s="171"/>
      <c r="Q4096" s="173"/>
      <c r="R4096" s="173"/>
      <c r="S4096" s="173"/>
      <c r="T4096" s="173"/>
      <c r="U4096" s="173"/>
      <c r="V4096" s="169"/>
      <c r="W4096" s="171"/>
      <c r="X4096" s="171"/>
    </row>
    <row r="4097" ht="15.0" customHeight="1">
      <c r="A4097" s="506"/>
      <c r="B4097" s="200"/>
      <c r="C4097" s="73"/>
      <c r="D4097" s="73"/>
      <c r="E4097" s="73"/>
      <c r="F4097" s="162"/>
      <c r="G4097" s="162"/>
      <c r="H4097" s="194"/>
      <c r="I4097" s="161"/>
      <c r="J4097" s="162"/>
      <c r="K4097" s="73"/>
      <c r="L4097" s="73"/>
      <c r="M4097" s="73"/>
      <c r="N4097" s="171"/>
      <c r="O4097" s="171"/>
      <c r="P4097" s="171"/>
      <c r="Q4097" s="173"/>
      <c r="R4097" s="173"/>
      <c r="S4097" s="173"/>
      <c r="T4097" s="173"/>
      <c r="U4097" s="173"/>
      <c r="V4097" s="169"/>
      <c r="W4097" s="171"/>
      <c r="X4097" s="171"/>
    </row>
    <row r="4098" ht="15.0" customHeight="1">
      <c r="A4098" s="506"/>
      <c r="B4098" s="200"/>
      <c r="C4098" s="73"/>
      <c r="D4098" s="73"/>
      <c r="E4098" s="73"/>
      <c r="F4098" s="162"/>
      <c r="G4098" s="162"/>
      <c r="H4098" s="194"/>
      <c r="I4098" s="161"/>
      <c r="J4098" s="162"/>
      <c r="K4098" s="73"/>
      <c r="L4098" s="73"/>
      <c r="M4098" s="73"/>
      <c r="N4098" s="171"/>
      <c r="O4098" s="171"/>
      <c r="P4098" s="171"/>
      <c r="Q4098" s="173"/>
      <c r="R4098" s="173"/>
      <c r="S4098" s="173"/>
      <c r="T4098" s="173"/>
      <c r="U4098" s="173"/>
      <c r="V4098" s="169"/>
      <c r="W4098" s="171"/>
      <c r="X4098" s="171"/>
    </row>
    <row r="4099" ht="15.0" customHeight="1">
      <c r="A4099" s="506"/>
      <c r="B4099" s="200"/>
      <c r="C4099" s="73"/>
      <c r="D4099" s="73"/>
      <c r="E4099" s="73"/>
      <c r="F4099" s="162"/>
      <c r="G4099" s="162"/>
      <c r="H4099" s="194"/>
      <c r="I4099" s="161"/>
      <c r="J4099" s="162"/>
      <c r="K4099" s="73"/>
      <c r="L4099" s="73"/>
      <c r="M4099" s="73"/>
      <c r="N4099" s="171"/>
      <c r="O4099" s="171"/>
      <c r="P4099" s="171"/>
      <c r="Q4099" s="173"/>
      <c r="R4099" s="173"/>
      <c r="S4099" s="173"/>
      <c r="T4099" s="173"/>
      <c r="U4099" s="173"/>
      <c r="V4099" s="169"/>
      <c r="W4099" s="171"/>
      <c r="X4099" s="171"/>
    </row>
    <row r="4100" ht="15.0" customHeight="1">
      <c r="A4100" s="506"/>
      <c r="B4100" s="200"/>
      <c r="C4100" s="73"/>
      <c r="D4100" s="73"/>
      <c r="E4100" s="73"/>
      <c r="F4100" s="162"/>
      <c r="G4100" s="162"/>
      <c r="H4100" s="194"/>
      <c r="I4100" s="161"/>
      <c r="J4100" s="162"/>
      <c r="K4100" s="73"/>
      <c r="L4100" s="73"/>
      <c r="M4100" s="73"/>
      <c r="N4100" s="171"/>
      <c r="O4100" s="171"/>
      <c r="P4100" s="171"/>
      <c r="Q4100" s="173"/>
      <c r="R4100" s="173"/>
      <c r="S4100" s="173"/>
      <c r="T4100" s="173"/>
      <c r="U4100" s="173"/>
      <c r="V4100" s="169"/>
      <c r="W4100" s="171"/>
      <c r="X4100" s="171"/>
    </row>
    <row r="4101" ht="15.0" customHeight="1">
      <c r="A4101" s="506"/>
      <c r="B4101" s="200"/>
      <c r="C4101" s="73"/>
      <c r="D4101" s="73"/>
      <c r="E4101" s="73"/>
      <c r="F4101" s="162"/>
      <c r="G4101" s="162"/>
      <c r="H4101" s="194"/>
      <c r="I4101" s="161"/>
      <c r="J4101" s="162"/>
      <c r="K4101" s="73"/>
      <c r="L4101" s="73"/>
      <c r="M4101" s="73"/>
      <c r="N4101" s="171"/>
      <c r="O4101" s="171"/>
      <c r="P4101" s="171"/>
      <c r="Q4101" s="173"/>
      <c r="R4101" s="173"/>
      <c r="S4101" s="173"/>
      <c r="T4101" s="173"/>
      <c r="U4101" s="173"/>
      <c r="V4101" s="169"/>
      <c r="W4101" s="171"/>
      <c r="X4101" s="171"/>
    </row>
    <row r="4102" ht="15.0" customHeight="1">
      <c r="A4102" s="506"/>
      <c r="B4102" s="200"/>
      <c r="C4102" s="73"/>
      <c r="D4102" s="73"/>
      <c r="E4102" s="73"/>
      <c r="F4102" s="162"/>
      <c r="G4102" s="162"/>
      <c r="H4102" s="194"/>
      <c r="I4102" s="161"/>
      <c r="J4102" s="162"/>
      <c r="K4102" s="73"/>
      <c r="L4102" s="73"/>
      <c r="M4102" s="73"/>
      <c r="N4102" s="171"/>
      <c r="O4102" s="171"/>
      <c r="P4102" s="171"/>
      <c r="Q4102" s="173"/>
      <c r="R4102" s="173"/>
      <c r="S4102" s="173"/>
      <c r="T4102" s="173"/>
      <c r="U4102" s="173"/>
      <c r="V4102" s="169"/>
      <c r="W4102" s="171"/>
      <c r="X4102" s="171"/>
    </row>
    <row r="4103" ht="15.0" customHeight="1">
      <c r="A4103" s="506"/>
      <c r="B4103" s="200"/>
      <c r="C4103" s="73"/>
      <c r="D4103" s="73"/>
      <c r="E4103" s="73"/>
      <c r="F4103" s="162"/>
      <c r="G4103" s="162"/>
      <c r="H4103" s="194"/>
      <c r="I4103" s="161"/>
      <c r="J4103" s="162"/>
      <c r="K4103" s="73"/>
      <c r="L4103" s="73"/>
      <c r="M4103" s="73"/>
      <c r="N4103" s="171"/>
      <c r="O4103" s="171"/>
      <c r="P4103" s="171"/>
      <c r="Q4103" s="173"/>
      <c r="R4103" s="173"/>
      <c r="S4103" s="173"/>
      <c r="T4103" s="173"/>
      <c r="U4103" s="173"/>
      <c r="V4103" s="169"/>
      <c r="W4103" s="171"/>
      <c r="X4103" s="171"/>
    </row>
    <row r="4104" ht="15.0" customHeight="1">
      <c r="A4104" s="506"/>
      <c r="B4104" s="200"/>
      <c r="C4104" s="73"/>
      <c r="D4104" s="73"/>
      <c r="E4104" s="73"/>
      <c r="F4104" s="162"/>
      <c r="G4104" s="162"/>
      <c r="H4104" s="194"/>
      <c r="I4104" s="161"/>
      <c r="J4104" s="162"/>
      <c r="K4104" s="73"/>
      <c r="L4104" s="73"/>
      <c r="M4104" s="73"/>
      <c r="N4104" s="171"/>
      <c r="O4104" s="171"/>
      <c r="P4104" s="171"/>
      <c r="Q4104" s="173"/>
      <c r="R4104" s="173"/>
      <c r="S4104" s="173"/>
      <c r="T4104" s="173"/>
      <c r="U4104" s="173"/>
      <c r="V4104" s="169"/>
      <c r="W4104" s="171"/>
      <c r="X4104" s="171"/>
    </row>
    <row r="4105" ht="15.0" customHeight="1">
      <c r="A4105" s="506"/>
      <c r="B4105" s="200"/>
      <c r="C4105" s="73"/>
      <c r="D4105" s="73"/>
      <c r="E4105" s="73"/>
      <c r="F4105" s="162"/>
      <c r="G4105" s="162"/>
      <c r="H4105" s="194"/>
      <c r="I4105" s="161"/>
      <c r="J4105" s="162"/>
      <c r="K4105" s="73"/>
      <c r="L4105" s="73"/>
      <c r="M4105" s="73"/>
      <c r="N4105" s="171"/>
      <c r="O4105" s="171"/>
      <c r="P4105" s="171"/>
      <c r="Q4105" s="173"/>
      <c r="R4105" s="173"/>
      <c r="S4105" s="173"/>
      <c r="T4105" s="173"/>
      <c r="U4105" s="173"/>
      <c r="V4105" s="169"/>
      <c r="W4105" s="171"/>
      <c r="X4105" s="171"/>
    </row>
    <row r="4106" ht="15.0" customHeight="1">
      <c r="A4106" s="506"/>
      <c r="B4106" s="200"/>
      <c r="C4106" s="73"/>
      <c r="D4106" s="73"/>
      <c r="E4106" s="73"/>
      <c r="F4106" s="162"/>
      <c r="G4106" s="162"/>
      <c r="H4106" s="194"/>
      <c r="I4106" s="161"/>
      <c r="J4106" s="162"/>
      <c r="K4106" s="73"/>
      <c r="L4106" s="73"/>
      <c r="M4106" s="73"/>
      <c r="N4106" s="171"/>
      <c r="O4106" s="171"/>
      <c r="P4106" s="171"/>
      <c r="Q4106" s="173"/>
      <c r="R4106" s="173"/>
      <c r="S4106" s="173"/>
      <c r="T4106" s="173"/>
      <c r="U4106" s="173"/>
      <c r="V4106" s="169"/>
      <c r="W4106" s="171"/>
      <c r="X4106" s="171"/>
    </row>
    <row r="4107" ht="15.0" customHeight="1">
      <c r="A4107" s="506"/>
      <c r="B4107" s="200"/>
      <c r="C4107" s="73"/>
      <c r="D4107" s="73"/>
      <c r="E4107" s="73"/>
      <c r="F4107" s="162"/>
      <c r="G4107" s="162"/>
      <c r="H4107" s="194"/>
      <c r="I4107" s="161"/>
      <c r="J4107" s="162"/>
      <c r="K4107" s="73"/>
      <c r="L4107" s="73"/>
      <c r="M4107" s="73"/>
      <c r="N4107" s="171"/>
      <c r="O4107" s="171"/>
      <c r="P4107" s="171"/>
      <c r="Q4107" s="173"/>
      <c r="R4107" s="173"/>
      <c r="S4107" s="173"/>
      <c r="T4107" s="173"/>
      <c r="U4107" s="173"/>
      <c r="V4107" s="169"/>
      <c r="W4107" s="171"/>
      <c r="X4107" s="171"/>
    </row>
    <row r="4108" ht="15.0" customHeight="1">
      <c r="A4108" s="506"/>
      <c r="B4108" s="200"/>
      <c r="C4108" s="73"/>
      <c r="D4108" s="73"/>
      <c r="E4108" s="73"/>
      <c r="F4108" s="162"/>
      <c r="G4108" s="162"/>
      <c r="H4108" s="194"/>
      <c r="I4108" s="161"/>
      <c r="J4108" s="162"/>
      <c r="K4108" s="73"/>
      <c r="L4108" s="73"/>
      <c r="M4108" s="73"/>
      <c r="N4108" s="171"/>
      <c r="O4108" s="171"/>
      <c r="P4108" s="171"/>
      <c r="Q4108" s="173"/>
      <c r="R4108" s="173"/>
      <c r="S4108" s="173"/>
      <c r="T4108" s="173"/>
      <c r="U4108" s="173"/>
      <c r="V4108" s="169"/>
      <c r="W4108" s="171"/>
      <c r="X4108" s="171"/>
    </row>
    <row r="4109" ht="15.0" customHeight="1">
      <c r="A4109" s="506"/>
      <c r="B4109" s="200"/>
      <c r="C4109" s="73"/>
      <c r="D4109" s="73"/>
      <c r="E4109" s="73"/>
      <c r="F4109" s="162"/>
      <c r="G4109" s="162"/>
      <c r="H4109" s="194"/>
      <c r="I4109" s="161"/>
      <c r="J4109" s="162"/>
      <c r="K4109" s="73"/>
      <c r="L4109" s="73"/>
      <c r="M4109" s="73"/>
      <c r="N4109" s="171"/>
      <c r="O4109" s="171"/>
      <c r="P4109" s="171"/>
      <c r="Q4109" s="173"/>
      <c r="R4109" s="173"/>
      <c r="S4109" s="173"/>
      <c r="T4109" s="173"/>
      <c r="U4109" s="173"/>
      <c r="V4109" s="169"/>
      <c r="W4109" s="171"/>
      <c r="X4109" s="171"/>
    </row>
    <row r="4110" ht="15.0" customHeight="1">
      <c r="A4110" s="506"/>
      <c r="B4110" s="200"/>
      <c r="C4110" s="73"/>
      <c r="D4110" s="73"/>
      <c r="E4110" s="73"/>
      <c r="F4110" s="162"/>
      <c r="G4110" s="162"/>
      <c r="H4110" s="194"/>
      <c r="I4110" s="161"/>
      <c r="J4110" s="162"/>
      <c r="K4110" s="73"/>
      <c r="L4110" s="73"/>
      <c r="M4110" s="73"/>
      <c r="N4110" s="171"/>
      <c r="O4110" s="171"/>
      <c r="P4110" s="171"/>
      <c r="Q4110" s="173"/>
      <c r="R4110" s="173"/>
      <c r="S4110" s="173"/>
      <c r="T4110" s="173"/>
      <c r="U4110" s="173"/>
      <c r="V4110" s="169"/>
      <c r="W4110" s="171"/>
      <c r="X4110" s="171"/>
    </row>
    <row r="4111" ht="15.0" customHeight="1">
      <c r="A4111" s="506"/>
      <c r="B4111" s="200"/>
      <c r="C4111" s="73"/>
      <c r="D4111" s="73"/>
      <c r="E4111" s="73"/>
      <c r="F4111" s="162"/>
      <c r="G4111" s="162"/>
      <c r="H4111" s="194"/>
      <c r="I4111" s="161"/>
      <c r="J4111" s="162"/>
      <c r="K4111" s="73"/>
      <c r="L4111" s="73"/>
      <c r="M4111" s="73"/>
      <c r="N4111" s="171"/>
      <c r="O4111" s="171"/>
      <c r="P4111" s="171"/>
      <c r="Q4111" s="173"/>
      <c r="R4111" s="173"/>
      <c r="S4111" s="173"/>
      <c r="T4111" s="173"/>
      <c r="U4111" s="173"/>
      <c r="V4111" s="169"/>
      <c r="W4111" s="171"/>
      <c r="X4111" s="171"/>
    </row>
    <row r="4112" ht="15.0" customHeight="1">
      <c r="A4112" s="506"/>
      <c r="B4112" s="200"/>
      <c r="C4112" s="73"/>
      <c r="D4112" s="73"/>
      <c r="E4112" s="73"/>
      <c r="F4112" s="162"/>
      <c r="G4112" s="162"/>
      <c r="H4112" s="194"/>
      <c r="I4112" s="161"/>
      <c r="J4112" s="162"/>
      <c r="K4112" s="73"/>
      <c r="L4112" s="73"/>
      <c r="M4112" s="73"/>
      <c r="N4112" s="171"/>
      <c r="O4112" s="171"/>
      <c r="P4112" s="171"/>
      <c r="Q4112" s="173"/>
      <c r="R4112" s="173"/>
      <c r="S4112" s="173"/>
      <c r="T4112" s="173"/>
      <c r="U4112" s="173"/>
      <c r="V4112" s="169"/>
      <c r="W4112" s="171"/>
      <c r="X4112" s="171"/>
    </row>
    <row r="4113" ht="15.0" customHeight="1">
      <c r="A4113" s="506"/>
      <c r="B4113" s="200"/>
      <c r="C4113" s="73"/>
      <c r="D4113" s="73"/>
      <c r="E4113" s="73"/>
      <c r="F4113" s="162"/>
      <c r="G4113" s="162"/>
      <c r="H4113" s="194"/>
      <c r="I4113" s="161"/>
      <c r="J4113" s="162"/>
      <c r="K4113" s="73"/>
      <c r="L4113" s="73"/>
      <c r="M4113" s="73"/>
      <c r="N4113" s="171"/>
      <c r="O4113" s="171"/>
      <c r="P4113" s="171"/>
      <c r="Q4113" s="173"/>
      <c r="R4113" s="173"/>
      <c r="S4113" s="173"/>
      <c r="T4113" s="173"/>
      <c r="U4113" s="173"/>
      <c r="V4113" s="169"/>
      <c r="W4113" s="171"/>
      <c r="X4113" s="171"/>
    </row>
    <row r="4114" ht="15.0" customHeight="1">
      <c r="A4114" s="506"/>
      <c r="B4114" s="200"/>
      <c r="C4114" s="73"/>
      <c r="D4114" s="73"/>
      <c r="E4114" s="73"/>
      <c r="F4114" s="162"/>
      <c r="G4114" s="162"/>
      <c r="H4114" s="194"/>
      <c r="I4114" s="161"/>
      <c r="J4114" s="162"/>
      <c r="K4114" s="73"/>
      <c r="L4114" s="73"/>
      <c r="M4114" s="73"/>
      <c r="N4114" s="171"/>
      <c r="O4114" s="171"/>
      <c r="P4114" s="171"/>
      <c r="Q4114" s="173"/>
      <c r="R4114" s="173"/>
      <c r="S4114" s="173"/>
      <c r="T4114" s="173"/>
      <c r="U4114" s="173"/>
      <c r="V4114" s="169"/>
      <c r="W4114" s="171"/>
      <c r="X4114" s="171"/>
    </row>
    <row r="4115" ht="15.0" customHeight="1">
      <c r="A4115" s="506"/>
      <c r="B4115" s="200"/>
      <c r="C4115" s="73"/>
      <c r="D4115" s="73"/>
      <c r="E4115" s="73"/>
      <c r="F4115" s="162"/>
      <c r="G4115" s="162"/>
      <c r="H4115" s="194"/>
      <c r="I4115" s="161"/>
      <c r="J4115" s="162"/>
      <c r="K4115" s="73"/>
      <c r="L4115" s="73"/>
      <c r="M4115" s="73"/>
      <c r="N4115" s="171"/>
      <c r="O4115" s="171"/>
      <c r="P4115" s="171"/>
      <c r="Q4115" s="173"/>
      <c r="R4115" s="173"/>
      <c r="S4115" s="173"/>
      <c r="T4115" s="173"/>
      <c r="U4115" s="173"/>
      <c r="V4115" s="169"/>
      <c r="W4115" s="171"/>
      <c r="X4115" s="171"/>
    </row>
    <row r="4116" ht="15.0" customHeight="1">
      <c r="A4116" s="506"/>
      <c r="B4116" s="200"/>
      <c r="C4116" s="73"/>
      <c r="D4116" s="73"/>
      <c r="E4116" s="73"/>
      <c r="F4116" s="162"/>
      <c r="G4116" s="162"/>
      <c r="H4116" s="194"/>
      <c r="I4116" s="161"/>
      <c r="J4116" s="162"/>
      <c r="K4116" s="73"/>
      <c r="L4116" s="73"/>
      <c r="M4116" s="73"/>
      <c r="N4116" s="171"/>
      <c r="O4116" s="171"/>
      <c r="P4116" s="171"/>
      <c r="Q4116" s="173"/>
      <c r="R4116" s="173"/>
      <c r="S4116" s="173"/>
      <c r="T4116" s="173"/>
      <c r="U4116" s="173"/>
      <c r="V4116" s="169"/>
      <c r="W4116" s="171"/>
      <c r="X4116" s="171"/>
    </row>
    <row r="4117" ht="15.0" customHeight="1">
      <c r="A4117" s="506"/>
      <c r="B4117" s="200"/>
      <c r="C4117" s="73"/>
      <c r="D4117" s="73"/>
      <c r="E4117" s="73"/>
      <c r="F4117" s="162"/>
      <c r="G4117" s="162"/>
      <c r="H4117" s="194"/>
      <c r="I4117" s="161"/>
      <c r="J4117" s="162"/>
      <c r="K4117" s="73"/>
      <c r="L4117" s="73"/>
      <c r="M4117" s="73"/>
      <c r="N4117" s="171"/>
      <c r="O4117" s="171"/>
      <c r="P4117" s="171"/>
      <c r="Q4117" s="173"/>
      <c r="R4117" s="173"/>
      <c r="S4117" s="173"/>
      <c r="T4117" s="173"/>
      <c r="U4117" s="173"/>
      <c r="V4117" s="169"/>
      <c r="W4117" s="171"/>
      <c r="X4117" s="171"/>
    </row>
    <row r="4118" ht="15.0" customHeight="1">
      <c r="A4118" s="506"/>
      <c r="B4118" s="200"/>
      <c r="C4118" s="73"/>
      <c r="D4118" s="73"/>
      <c r="E4118" s="73"/>
      <c r="F4118" s="162"/>
      <c r="G4118" s="162"/>
      <c r="H4118" s="194"/>
      <c r="I4118" s="161"/>
      <c r="J4118" s="162"/>
      <c r="K4118" s="73"/>
      <c r="L4118" s="73"/>
      <c r="M4118" s="73"/>
      <c r="N4118" s="171"/>
      <c r="O4118" s="171"/>
      <c r="P4118" s="171"/>
      <c r="Q4118" s="173"/>
      <c r="R4118" s="173"/>
      <c r="S4118" s="173"/>
      <c r="T4118" s="173"/>
      <c r="U4118" s="173"/>
      <c r="V4118" s="169"/>
      <c r="W4118" s="171"/>
      <c r="X4118" s="171"/>
    </row>
    <row r="4119" ht="15.0" customHeight="1">
      <c r="A4119" s="506"/>
      <c r="B4119" s="200"/>
      <c r="C4119" s="73"/>
      <c r="D4119" s="73"/>
      <c r="E4119" s="73"/>
      <c r="F4119" s="162"/>
      <c r="G4119" s="162"/>
      <c r="H4119" s="194"/>
      <c r="I4119" s="161"/>
      <c r="J4119" s="162"/>
      <c r="K4119" s="73"/>
      <c r="L4119" s="73"/>
      <c r="M4119" s="73"/>
      <c r="N4119" s="171"/>
      <c r="O4119" s="171"/>
      <c r="P4119" s="171"/>
      <c r="Q4119" s="173"/>
      <c r="R4119" s="173"/>
      <c r="S4119" s="173"/>
      <c r="T4119" s="173"/>
      <c r="U4119" s="173"/>
      <c r="V4119" s="169"/>
      <c r="W4119" s="171"/>
      <c r="X4119" s="171"/>
    </row>
    <row r="4120" ht="15.0" customHeight="1">
      <c r="A4120" s="506"/>
      <c r="B4120" s="200"/>
      <c r="C4120" s="73"/>
      <c r="D4120" s="73"/>
      <c r="E4120" s="73"/>
      <c r="F4120" s="162"/>
      <c r="G4120" s="162"/>
      <c r="H4120" s="194"/>
      <c r="I4120" s="161"/>
      <c r="J4120" s="162"/>
      <c r="K4120" s="73"/>
      <c r="L4120" s="73"/>
      <c r="M4120" s="73"/>
      <c r="N4120" s="171"/>
      <c r="O4120" s="171"/>
      <c r="P4120" s="171"/>
      <c r="Q4120" s="173"/>
      <c r="R4120" s="173"/>
      <c r="S4120" s="173"/>
      <c r="T4120" s="173"/>
      <c r="U4120" s="173"/>
      <c r="V4120" s="169"/>
      <c r="W4120" s="171"/>
      <c r="X4120" s="171"/>
    </row>
    <row r="4121" ht="15.0" customHeight="1">
      <c r="A4121" s="506"/>
      <c r="B4121" s="200"/>
      <c r="C4121" s="73"/>
      <c r="D4121" s="73"/>
      <c r="E4121" s="73"/>
      <c r="F4121" s="162"/>
      <c r="G4121" s="162"/>
      <c r="H4121" s="194"/>
      <c r="I4121" s="161"/>
      <c r="J4121" s="162"/>
      <c r="K4121" s="73"/>
      <c r="L4121" s="73"/>
      <c r="M4121" s="73"/>
      <c r="N4121" s="171"/>
      <c r="O4121" s="171"/>
      <c r="P4121" s="171"/>
      <c r="Q4121" s="173"/>
      <c r="R4121" s="173"/>
      <c r="S4121" s="173"/>
      <c r="T4121" s="173"/>
      <c r="U4121" s="173"/>
      <c r="V4121" s="169"/>
      <c r="W4121" s="171"/>
      <c r="X4121" s="171"/>
    </row>
    <row r="4122" ht="15.0" customHeight="1">
      <c r="A4122" s="506"/>
      <c r="B4122" s="200"/>
      <c r="C4122" s="73"/>
      <c r="D4122" s="73"/>
      <c r="E4122" s="73"/>
      <c r="F4122" s="162"/>
      <c r="G4122" s="162"/>
      <c r="H4122" s="194"/>
      <c r="I4122" s="161"/>
      <c r="J4122" s="162"/>
      <c r="K4122" s="73"/>
      <c r="L4122" s="73"/>
      <c r="M4122" s="73"/>
      <c r="N4122" s="171"/>
      <c r="O4122" s="171"/>
      <c r="P4122" s="171"/>
      <c r="Q4122" s="173"/>
      <c r="R4122" s="173"/>
      <c r="S4122" s="173"/>
      <c r="T4122" s="173"/>
      <c r="U4122" s="173"/>
      <c r="V4122" s="169"/>
      <c r="W4122" s="171"/>
      <c r="X4122" s="171"/>
    </row>
    <row r="4123" ht="15.0" customHeight="1">
      <c r="A4123" s="506"/>
      <c r="B4123" s="200"/>
      <c r="C4123" s="73"/>
      <c r="D4123" s="73"/>
      <c r="E4123" s="73"/>
      <c r="F4123" s="162"/>
      <c r="G4123" s="162"/>
      <c r="H4123" s="194"/>
      <c r="I4123" s="161"/>
      <c r="J4123" s="162"/>
      <c r="K4123" s="73"/>
      <c r="L4123" s="73"/>
      <c r="M4123" s="73"/>
      <c r="N4123" s="171"/>
      <c r="O4123" s="171"/>
      <c r="P4123" s="171"/>
      <c r="Q4123" s="173"/>
      <c r="R4123" s="173"/>
      <c r="S4123" s="173"/>
      <c r="T4123" s="173"/>
      <c r="U4123" s="173"/>
      <c r="V4123" s="169"/>
      <c r="W4123" s="171"/>
      <c r="X4123" s="171"/>
    </row>
    <row r="4124" ht="15.0" customHeight="1">
      <c r="A4124" s="506"/>
      <c r="B4124" s="200"/>
      <c r="C4124" s="73"/>
      <c r="D4124" s="73"/>
      <c r="E4124" s="73"/>
      <c r="F4124" s="162"/>
      <c r="G4124" s="162"/>
      <c r="H4124" s="194"/>
      <c r="I4124" s="161"/>
      <c r="J4124" s="162"/>
      <c r="K4124" s="73"/>
      <c r="L4124" s="73"/>
      <c r="M4124" s="73"/>
      <c r="N4124" s="171"/>
      <c r="O4124" s="171"/>
      <c r="P4124" s="171"/>
      <c r="Q4124" s="173"/>
      <c r="R4124" s="173"/>
      <c r="S4124" s="173"/>
      <c r="T4124" s="173"/>
      <c r="U4124" s="173"/>
      <c r="V4124" s="169"/>
      <c r="W4124" s="171"/>
      <c r="X4124" s="171"/>
    </row>
    <row r="4125" ht="15.0" customHeight="1">
      <c r="A4125" s="506"/>
      <c r="B4125" s="200"/>
      <c r="C4125" s="73"/>
      <c r="D4125" s="73"/>
      <c r="E4125" s="73"/>
      <c r="F4125" s="162"/>
      <c r="G4125" s="162"/>
      <c r="H4125" s="194"/>
      <c r="I4125" s="161"/>
      <c r="J4125" s="162"/>
      <c r="K4125" s="73"/>
      <c r="L4125" s="73"/>
      <c r="M4125" s="73"/>
      <c r="N4125" s="171"/>
      <c r="O4125" s="171"/>
      <c r="P4125" s="171"/>
      <c r="Q4125" s="173"/>
      <c r="R4125" s="173"/>
      <c r="S4125" s="173"/>
      <c r="T4125" s="173"/>
      <c r="U4125" s="173"/>
      <c r="V4125" s="169"/>
      <c r="W4125" s="171"/>
      <c r="X4125" s="171"/>
    </row>
    <row r="4126" ht="15.0" customHeight="1">
      <c r="A4126" s="506"/>
      <c r="B4126" s="200"/>
      <c r="C4126" s="73"/>
      <c r="D4126" s="73"/>
      <c r="E4126" s="73"/>
      <c r="F4126" s="162"/>
      <c r="G4126" s="162"/>
      <c r="H4126" s="194"/>
      <c r="I4126" s="161"/>
      <c r="J4126" s="162"/>
      <c r="K4126" s="73"/>
      <c r="L4126" s="73"/>
      <c r="M4126" s="73"/>
      <c r="N4126" s="171"/>
      <c r="O4126" s="171"/>
      <c r="P4126" s="171"/>
      <c r="Q4126" s="173"/>
      <c r="R4126" s="173"/>
      <c r="S4126" s="173"/>
      <c r="T4126" s="173"/>
      <c r="U4126" s="173"/>
      <c r="V4126" s="169"/>
      <c r="W4126" s="171"/>
      <c r="X4126" s="171"/>
    </row>
    <row r="4127" ht="15.0" customHeight="1">
      <c r="A4127" s="506"/>
      <c r="B4127" s="200"/>
      <c r="C4127" s="73"/>
      <c r="D4127" s="73"/>
      <c r="E4127" s="73"/>
      <c r="F4127" s="162"/>
      <c r="G4127" s="162"/>
      <c r="H4127" s="194"/>
      <c r="I4127" s="161"/>
      <c r="J4127" s="162"/>
      <c r="K4127" s="73"/>
      <c r="L4127" s="73"/>
      <c r="M4127" s="73"/>
      <c r="N4127" s="171"/>
      <c r="O4127" s="171"/>
      <c r="P4127" s="171"/>
      <c r="Q4127" s="173"/>
      <c r="R4127" s="173"/>
      <c r="S4127" s="173"/>
      <c r="T4127" s="173"/>
      <c r="U4127" s="173"/>
      <c r="V4127" s="169"/>
      <c r="W4127" s="171"/>
      <c r="X4127" s="171"/>
    </row>
    <row r="4128" ht="15.0" customHeight="1">
      <c r="A4128" s="506"/>
      <c r="B4128" s="200"/>
      <c r="C4128" s="73"/>
      <c r="D4128" s="73"/>
      <c r="E4128" s="73"/>
      <c r="F4128" s="162"/>
      <c r="G4128" s="162"/>
      <c r="H4128" s="194"/>
      <c r="I4128" s="161"/>
      <c r="J4128" s="162"/>
      <c r="K4128" s="73"/>
      <c r="L4128" s="73"/>
      <c r="M4128" s="73"/>
      <c r="N4128" s="171"/>
      <c r="O4128" s="171"/>
      <c r="P4128" s="171"/>
      <c r="Q4128" s="173"/>
      <c r="R4128" s="173"/>
      <c r="S4128" s="173"/>
      <c r="T4128" s="173"/>
      <c r="U4128" s="173"/>
      <c r="V4128" s="169"/>
      <c r="W4128" s="171"/>
      <c r="X4128" s="171"/>
    </row>
    <row r="4129" ht="15.0" customHeight="1">
      <c r="A4129" s="506"/>
      <c r="B4129" s="200"/>
      <c r="C4129" s="73"/>
      <c r="D4129" s="73"/>
      <c r="E4129" s="73"/>
      <c r="F4129" s="162"/>
      <c r="G4129" s="162"/>
      <c r="H4129" s="194"/>
      <c r="I4129" s="161"/>
      <c r="J4129" s="162"/>
      <c r="K4129" s="73"/>
      <c r="L4129" s="73"/>
      <c r="M4129" s="73"/>
      <c r="N4129" s="171"/>
      <c r="O4129" s="171"/>
      <c r="P4129" s="171"/>
      <c r="Q4129" s="173"/>
      <c r="R4129" s="173"/>
      <c r="S4129" s="173"/>
      <c r="T4129" s="173"/>
      <c r="U4129" s="173"/>
      <c r="V4129" s="169"/>
      <c r="W4129" s="171"/>
      <c r="X4129" s="171"/>
    </row>
    <row r="4130" ht="15.0" customHeight="1">
      <c r="A4130" s="506"/>
      <c r="B4130" s="200"/>
      <c r="C4130" s="73"/>
      <c r="D4130" s="73"/>
      <c r="E4130" s="73"/>
      <c r="F4130" s="162"/>
      <c r="G4130" s="162"/>
      <c r="H4130" s="194"/>
      <c r="I4130" s="161"/>
      <c r="J4130" s="162"/>
      <c r="K4130" s="73"/>
      <c r="L4130" s="73"/>
      <c r="M4130" s="73"/>
      <c r="N4130" s="171"/>
      <c r="O4130" s="171"/>
      <c r="P4130" s="171"/>
      <c r="Q4130" s="173"/>
      <c r="R4130" s="173"/>
      <c r="S4130" s="173"/>
      <c r="T4130" s="173"/>
      <c r="U4130" s="173"/>
      <c r="V4130" s="169"/>
      <c r="W4130" s="171"/>
      <c r="X4130" s="171"/>
    </row>
    <row r="4131" ht="15.0" customHeight="1">
      <c r="A4131" s="506"/>
      <c r="B4131" s="200"/>
      <c r="C4131" s="73"/>
      <c r="D4131" s="73"/>
      <c r="E4131" s="73"/>
      <c r="F4131" s="162"/>
      <c r="G4131" s="162"/>
      <c r="H4131" s="194"/>
      <c r="I4131" s="161"/>
      <c r="J4131" s="162"/>
      <c r="K4131" s="73"/>
      <c r="L4131" s="73"/>
      <c r="M4131" s="73"/>
      <c r="N4131" s="171"/>
      <c r="O4131" s="171"/>
      <c r="P4131" s="171"/>
      <c r="Q4131" s="173"/>
      <c r="R4131" s="173"/>
      <c r="S4131" s="173"/>
      <c r="T4131" s="173"/>
      <c r="U4131" s="173"/>
      <c r="V4131" s="169"/>
      <c r="W4131" s="171"/>
      <c r="X4131" s="171"/>
    </row>
    <row r="4132" ht="15.0" customHeight="1">
      <c r="A4132" s="506"/>
      <c r="B4132" s="200"/>
      <c r="C4132" s="73"/>
      <c r="D4132" s="73"/>
      <c r="E4132" s="73"/>
      <c r="F4132" s="162"/>
      <c r="G4132" s="162"/>
      <c r="H4132" s="194"/>
      <c r="I4132" s="161"/>
      <c r="J4132" s="162"/>
      <c r="K4132" s="73"/>
      <c r="L4132" s="73"/>
      <c r="M4132" s="73"/>
      <c r="N4132" s="171"/>
      <c r="O4132" s="171"/>
      <c r="P4132" s="171"/>
      <c r="Q4132" s="173"/>
      <c r="R4132" s="173"/>
      <c r="S4132" s="173"/>
      <c r="T4132" s="173"/>
      <c r="U4132" s="173"/>
      <c r="V4132" s="169"/>
      <c r="W4132" s="171"/>
      <c r="X4132" s="171"/>
    </row>
    <row r="4133" ht="15.0" customHeight="1">
      <c r="A4133" s="506"/>
      <c r="B4133" s="200"/>
      <c r="C4133" s="73"/>
      <c r="D4133" s="73"/>
      <c r="E4133" s="73"/>
      <c r="F4133" s="162"/>
      <c r="G4133" s="162"/>
      <c r="H4133" s="194"/>
      <c r="I4133" s="161"/>
      <c r="J4133" s="162"/>
      <c r="K4133" s="73"/>
      <c r="L4133" s="73"/>
      <c r="M4133" s="73"/>
      <c r="N4133" s="171"/>
      <c r="O4133" s="171"/>
      <c r="P4133" s="171"/>
      <c r="Q4133" s="173"/>
      <c r="R4133" s="173"/>
      <c r="S4133" s="173"/>
      <c r="T4133" s="173"/>
      <c r="U4133" s="173"/>
      <c r="V4133" s="169"/>
      <c r="W4133" s="171"/>
      <c r="X4133" s="171"/>
    </row>
    <row r="4134" ht="15.0" customHeight="1">
      <c r="A4134" s="506"/>
      <c r="B4134" s="200"/>
      <c r="C4134" s="73"/>
      <c r="D4134" s="73"/>
      <c r="E4134" s="73"/>
      <c r="F4134" s="162"/>
      <c r="G4134" s="162"/>
      <c r="H4134" s="194"/>
      <c r="I4134" s="161"/>
      <c r="J4134" s="162"/>
      <c r="K4134" s="73"/>
      <c r="L4134" s="73"/>
      <c r="M4134" s="73"/>
      <c r="N4134" s="171"/>
      <c r="O4134" s="171"/>
      <c r="P4134" s="171"/>
      <c r="Q4134" s="173"/>
      <c r="R4134" s="173"/>
      <c r="S4134" s="173"/>
      <c r="T4134" s="173"/>
      <c r="U4134" s="173"/>
      <c r="V4134" s="169"/>
      <c r="W4134" s="171"/>
      <c r="X4134" s="171"/>
    </row>
    <row r="4135" ht="15.0" customHeight="1">
      <c r="A4135" s="506"/>
      <c r="B4135" s="200"/>
      <c r="C4135" s="73"/>
      <c r="D4135" s="73"/>
      <c r="E4135" s="73"/>
      <c r="F4135" s="162"/>
      <c r="G4135" s="162"/>
      <c r="H4135" s="194"/>
      <c r="I4135" s="161"/>
      <c r="J4135" s="162"/>
      <c r="K4135" s="73"/>
      <c r="L4135" s="73"/>
      <c r="M4135" s="73"/>
      <c r="N4135" s="171"/>
      <c r="O4135" s="171"/>
      <c r="P4135" s="171"/>
      <c r="Q4135" s="173"/>
      <c r="R4135" s="173"/>
      <c r="S4135" s="173"/>
      <c r="T4135" s="173"/>
      <c r="U4135" s="173"/>
      <c r="V4135" s="169"/>
      <c r="W4135" s="171"/>
      <c r="X4135" s="171"/>
    </row>
    <row r="4136" ht="15.0" customHeight="1">
      <c r="A4136" s="506"/>
      <c r="B4136" s="200"/>
      <c r="C4136" s="73"/>
      <c r="D4136" s="73"/>
      <c r="E4136" s="73"/>
      <c r="F4136" s="162"/>
      <c r="G4136" s="162"/>
      <c r="H4136" s="194"/>
      <c r="I4136" s="161"/>
      <c r="J4136" s="162"/>
      <c r="K4136" s="73"/>
      <c r="L4136" s="73"/>
      <c r="M4136" s="73"/>
      <c r="N4136" s="171"/>
      <c r="O4136" s="171"/>
      <c r="P4136" s="171"/>
      <c r="Q4136" s="173"/>
      <c r="R4136" s="173"/>
      <c r="S4136" s="173"/>
      <c r="T4136" s="173"/>
      <c r="U4136" s="173"/>
      <c r="V4136" s="169"/>
      <c r="W4136" s="171"/>
      <c r="X4136" s="171"/>
    </row>
    <row r="4137" ht="15.0" customHeight="1">
      <c r="A4137" s="506"/>
      <c r="B4137" s="200"/>
      <c r="C4137" s="73"/>
      <c r="D4137" s="73"/>
      <c r="E4137" s="73"/>
      <c r="F4137" s="162"/>
      <c r="G4137" s="162"/>
      <c r="H4137" s="194"/>
      <c r="I4137" s="161"/>
      <c r="J4137" s="162"/>
      <c r="K4137" s="73"/>
      <c r="L4137" s="73"/>
      <c r="M4137" s="73"/>
      <c r="N4137" s="171"/>
      <c r="O4137" s="171"/>
      <c r="P4137" s="171"/>
      <c r="Q4137" s="173"/>
      <c r="R4137" s="173"/>
      <c r="S4137" s="173"/>
      <c r="T4137" s="173"/>
      <c r="U4137" s="173"/>
      <c r="V4137" s="169"/>
      <c r="W4137" s="171"/>
      <c r="X4137" s="171"/>
    </row>
    <row r="4138" ht="15.0" customHeight="1">
      <c r="A4138" s="506"/>
      <c r="B4138" s="200"/>
      <c r="C4138" s="73"/>
      <c r="D4138" s="73"/>
      <c r="E4138" s="73"/>
      <c r="F4138" s="162"/>
      <c r="G4138" s="162"/>
      <c r="H4138" s="194"/>
      <c r="I4138" s="161"/>
      <c r="J4138" s="162"/>
      <c r="K4138" s="73"/>
      <c r="L4138" s="73"/>
      <c r="M4138" s="73"/>
      <c r="N4138" s="171"/>
      <c r="O4138" s="171"/>
      <c r="P4138" s="171"/>
      <c r="Q4138" s="173"/>
      <c r="R4138" s="173"/>
      <c r="S4138" s="173"/>
      <c r="T4138" s="173"/>
      <c r="U4138" s="173"/>
      <c r="V4138" s="169"/>
      <c r="W4138" s="171"/>
      <c r="X4138" s="171"/>
    </row>
    <row r="4139" ht="15.0" customHeight="1">
      <c r="A4139" s="506"/>
      <c r="B4139" s="200"/>
      <c r="C4139" s="73"/>
      <c r="D4139" s="73"/>
      <c r="E4139" s="73"/>
      <c r="F4139" s="162"/>
      <c r="G4139" s="162"/>
      <c r="H4139" s="194"/>
      <c r="I4139" s="161"/>
      <c r="J4139" s="162"/>
      <c r="K4139" s="73"/>
      <c r="L4139" s="73"/>
      <c r="M4139" s="73"/>
      <c r="N4139" s="171"/>
      <c r="O4139" s="171"/>
      <c r="P4139" s="171"/>
      <c r="Q4139" s="173"/>
      <c r="R4139" s="173"/>
      <c r="S4139" s="173"/>
      <c r="T4139" s="173"/>
      <c r="U4139" s="173"/>
      <c r="V4139" s="169"/>
      <c r="W4139" s="171"/>
      <c r="X4139" s="171"/>
    </row>
    <row r="4140" ht="15.0" customHeight="1">
      <c r="A4140" s="506"/>
      <c r="B4140" s="200"/>
      <c r="C4140" s="73"/>
      <c r="D4140" s="73"/>
      <c r="E4140" s="73"/>
      <c r="F4140" s="162"/>
      <c r="G4140" s="162"/>
      <c r="H4140" s="194"/>
      <c r="I4140" s="161"/>
      <c r="J4140" s="162"/>
      <c r="K4140" s="73"/>
      <c r="L4140" s="73"/>
      <c r="M4140" s="73"/>
      <c r="N4140" s="171"/>
      <c r="O4140" s="171"/>
      <c r="P4140" s="171"/>
      <c r="Q4140" s="173"/>
      <c r="R4140" s="173"/>
      <c r="S4140" s="173"/>
      <c r="T4140" s="173"/>
      <c r="U4140" s="173"/>
      <c r="V4140" s="169"/>
      <c r="W4140" s="171"/>
      <c r="X4140" s="171"/>
    </row>
    <row r="4141" ht="15.0" customHeight="1">
      <c r="A4141" s="506"/>
      <c r="B4141" s="200"/>
      <c r="C4141" s="73"/>
      <c r="D4141" s="73"/>
      <c r="E4141" s="73"/>
      <c r="F4141" s="162"/>
      <c r="G4141" s="162"/>
      <c r="H4141" s="194"/>
      <c r="I4141" s="161"/>
      <c r="J4141" s="162"/>
      <c r="K4141" s="73"/>
      <c r="L4141" s="73"/>
      <c r="M4141" s="73"/>
      <c r="N4141" s="171"/>
      <c r="O4141" s="171"/>
      <c r="P4141" s="171"/>
      <c r="Q4141" s="173"/>
      <c r="R4141" s="173"/>
      <c r="S4141" s="173"/>
      <c r="T4141" s="173"/>
      <c r="U4141" s="173"/>
      <c r="V4141" s="169"/>
      <c r="W4141" s="171"/>
      <c r="X4141" s="171"/>
    </row>
    <row r="4142" ht="15.0" customHeight="1">
      <c r="A4142" s="506"/>
      <c r="B4142" s="200"/>
      <c r="C4142" s="73"/>
      <c r="D4142" s="73"/>
      <c r="E4142" s="73"/>
      <c r="F4142" s="162"/>
      <c r="G4142" s="162"/>
      <c r="H4142" s="194"/>
      <c r="I4142" s="161"/>
      <c r="J4142" s="162"/>
      <c r="K4142" s="73"/>
      <c r="L4142" s="73"/>
      <c r="M4142" s="73"/>
      <c r="N4142" s="171"/>
      <c r="O4142" s="171"/>
      <c r="P4142" s="171"/>
      <c r="Q4142" s="173"/>
      <c r="R4142" s="173"/>
      <c r="S4142" s="173"/>
      <c r="T4142" s="173"/>
      <c r="U4142" s="173"/>
      <c r="V4142" s="169"/>
      <c r="W4142" s="171"/>
      <c r="X4142" s="171"/>
    </row>
    <row r="4143" ht="15.0" customHeight="1">
      <c r="A4143" s="506"/>
      <c r="B4143" s="200"/>
      <c r="C4143" s="73"/>
      <c r="D4143" s="73"/>
      <c r="E4143" s="73"/>
      <c r="F4143" s="162"/>
      <c r="G4143" s="162"/>
      <c r="H4143" s="194"/>
      <c r="I4143" s="161"/>
      <c r="J4143" s="162"/>
      <c r="K4143" s="73"/>
      <c r="L4143" s="73"/>
      <c r="M4143" s="73"/>
      <c r="N4143" s="171"/>
      <c r="O4143" s="171"/>
      <c r="P4143" s="171"/>
      <c r="Q4143" s="173"/>
      <c r="R4143" s="173"/>
      <c r="S4143" s="173"/>
      <c r="T4143" s="173"/>
      <c r="U4143" s="173"/>
      <c r="V4143" s="169"/>
      <c r="W4143" s="171"/>
      <c r="X4143" s="171"/>
    </row>
    <row r="4144" ht="15.0" customHeight="1">
      <c r="A4144" s="506"/>
      <c r="B4144" s="200"/>
      <c r="C4144" s="73"/>
      <c r="D4144" s="73"/>
      <c r="E4144" s="73"/>
      <c r="F4144" s="162"/>
      <c r="G4144" s="162"/>
      <c r="H4144" s="194"/>
      <c r="I4144" s="161"/>
      <c r="J4144" s="162"/>
      <c r="K4144" s="73"/>
      <c r="L4144" s="73"/>
      <c r="M4144" s="73"/>
      <c r="N4144" s="171"/>
      <c r="O4144" s="171"/>
      <c r="P4144" s="171"/>
      <c r="Q4144" s="173"/>
      <c r="R4144" s="173"/>
      <c r="S4144" s="173"/>
      <c r="T4144" s="173"/>
      <c r="U4144" s="173"/>
      <c r="V4144" s="169"/>
      <c r="W4144" s="171"/>
      <c r="X4144" s="171"/>
    </row>
    <row r="4145" ht="15.0" customHeight="1">
      <c r="A4145" s="506"/>
      <c r="B4145" s="200"/>
      <c r="C4145" s="73"/>
      <c r="D4145" s="73"/>
      <c r="E4145" s="73"/>
      <c r="F4145" s="162"/>
      <c r="G4145" s="162"/>
      <c r="H4145" s="194"/>
      <c r="I4145" s="161"/>
      <c r="J4145" s="162"/>
      <c r="K4145" s="73"/>
      <c r="L4145" s="73"/>
      <c r="M4145" s="73"/>
      <c r="N4145" s="171"/>
      <c r="O4145" s="171"/>
      <c r="P4145" s="171"/>
      <c r="Q4145" s="173"/>
      <c r="R4145" s="173"/>
      <c r="S4145" s="173"/>
      <c r="T4145" s="173"/>
      <c r="U4145" s="173"/>
      <c r="V4145" s="169"/>
      <c r="W4145" s="171"/>
      <c r="X4145" s="171"/>
    </row>
    <row r="4146" ht="15.0" customHeight="1">
      <c r="A4146" s="506"/>
      <c r="B4146" s="200"/>
      <c r="C4146" s="73"/>
      <c r="D4146" s="73"/>
      <c r="E4146" s="73"/>
      <c r="F4146" s="162"/>
      <c r="G4146" s="162"/>
      <c r="H4146" s="194"/>
      <c r="I4146" s="161"/>
      <c r="J4146" s="162"/>
      <c r="K4146" s="73"/>
      <c r="L4146" s="73"/>
      <c r="M4146" s="73"/>
      <c r="N4146" s="171"/>
      <c r="O4146" s="171"/>
      <c r="P4146" s="171"/>
      <c r="Q4146" s="173"/>
      <c r="R4146" s="173"/>
      <c r="S4146" s="173"/>
      <c r="T4146" s="173"/>
      <c r="U4146" s="173"/>
      <c r="V4146" s="169"/>
      <c r="W4146" s="171"/>
      <c r="X4146" s="171"/>
    </row>
    <row r="4147" ht="15.0" customHeight="1">
      <c r="A4147" s="506"/>
      <c r="B4147" s="200"/>
      <c r="C4147" s="73"/>
      <c r="D4147" s="73"/>
      <c r="E4147" s="73"/>
      <c r="F4147" s="162"/>
      <c r="G4147" s="162"/>
      <c r="H4147" s="194"/>
      <c r="I4147" s="161"/>
      <c r="J4147" s="162"/>
      <c r="K4147" s="73"/>
      <c r="L4147" s="73"/>
      <c r="M4147" s="73"/>
      <c r="N4147" s="171"/>
      <c r="O4147" s="171"/>
      <c r="P4147" s="171"/>
      <c r="Q4147" s="173"/>
      <c r="R4147" s="173"/>
      <c r="S4147" s="173"/>
      <c r="T4147" s="173"/>
      <c r="U4147" s="173"/>
      <c r="V4147" s="169"/>
      <c r="W4147" s="171"/>
      <c r="X4147" s="171"/>
    </row>
    <row r="4148" ht="15.0" customHeight="1">
      <c r="A4148" s="506"/>
      <c r="B4148" s="200"/>
      <c r="C4148" s="73"/>
      <c r="D4148" s="73"/>
      <c r="E4148" s="73"/>
      <c r="F4148" s="162"/>
      <c r="G4148" s="162"/>
      <c r="H4148" s="194"/>
      <c r="I4148" s="161"/>
      <c r="J4148" s="162"/>
      <c r="K4148" s="73"/>
      <c r="L4148" s="73"/>
      <c r="M4148" s="73"/>
      <c r="N4148" s="171"/>
      <c r="O4148" s="171"/>
      <c r="P4148" s="171"/>
      <c r="Q4148" s="173"/>
      <c r="R4148" s="173"/>
      <c r="S4148" s="173"/>
      <c r="T4148" s="173"/>
      <c r="U4148" s="173"/>
      <c r="V4148" s="169"/>
      <c r="W4148" s="171"/>
      <c r="X4148" s="171"/>
    </row>
    <row r="4149" ht="15.0" customHeight="1">
      <c r="A4149" s="506"/>
      <c r="B4149" s="200"/>
      <c r="C4149" s="73"/>
      <c r="D4149" s="73"/>
      <c r="E4149" s="73"/>
      <c r="F4149" s="162"/>
      <c r="G4149" s="162"/>
      <c r="H4149" s="194"/>
      <c r="I4149" s="161"/>
      <c r="J4149" s="162"/>
      <c r="K4149" s="73"/>
      <c r="L4149" s="73"/>
      <c r="M4149" s="73"/>
      <c r="N4149" s="171"/>
      <c r="O4149" s="171"/>
      <c r="P4149" s="171"/>
      <c r="Q4149" s="173"/>
      <c r="R4149" s="173"/>
      <c r="S4149" s="173"/>
      <c r="T4149" s="173"/>
      <c r="U4149" s="173"/>
      <c r="V4149" s="169"/>
      <c r="W4149" s="171"/>
      <c r="X4149" s="171"/>
    </row>
    <row r="4150" ht="15.0" customHeight="1">
      <c r="A4150" s="506"/>
      <c r="B4150" s="200"/>
      <c r="C4150" s="73"/>
      <c r="D4150" s="73"/>
      <c r="E4150" s="73"/>
      <c r="F4150" s="162"/>
      <c r="G4150" s="162"/>
      <c r="H4150" s="194"/>
      <c r="I4150" s="161"/>
      <c r="J4150" s="162"/>
      <c r="K4150" s="73"/>
      <c r="L4150" s="73"/>
      <c r="M4150" s="73"/>
      <c r="N4150" s="171"/>
      <c r="O4150" s="171"/>
      <c r="P4150" s="171"/>
      <c r="Q4150" s="173"/>
      <c r="R4150" s="173"/>
      <c r="S4150" s="173"/>
      <c r="T4150" s="173"/>
      <c r="U4150" s="173"/>
      <c r="V4150" s="169"/>
      <c r="W4150" s="171"/>
      <c r="X4150" s="171"/>
    </row>
    <row r="4151" ht="15.0" customHeight="1">
      <c r="A4151" s="506"/>
      <c r="B4151" s="200"/>
      <c r="C4151" s="73"/>
      <c r="D4151" s="73"/>
      <c r="E4151" s="73"/>
      <c r="F4151" s="162"/>
      <c r="G4151" s="162"/>
      <c r="H4151" s="194"/>
      <c r="I4151" s="161"/>
      <c r="J4151" s="162"/>
      <c r="K4151" s="73"/>
      <c r="L4151" s="73"/>
      <c r="M4151" s="73"/>
      <c r="N4151" s="171"/>
      <c r="O4151" s="171"/>
      <c r="P4151" s="171"/>
      <c r="Q4151" s="173"/>
      <c r="R4151" s="173"/>
      <c r="S4151" s="173"/>
      <c r="T4151" s="173"/>
      <c r="U4151" s="173"/>
      <c r="V4151" s="169"/>
      <c r="W4151" s="171"/>
      <c r="X4151" s="171"/>
    </row>
    <row r="4152" ht="15.0" customHeight="1">
      <c r="A4152" s="506"/>
      <c r="B4152" s="200"/>
      <c r="C4152" s="73"/>
      <c r="D4152" s="73"/>
      <c r="E4152" s="73"/>
      <c r="F4152" s="162"/>
      <c r="G4152" s="162"/>
      <c r="H4152" s="194"/>
      <c r="I4152" s="161"/>
      <c r="J4152" s="162"/>
      <c r="K4152" s="73"/>
      <c r="L4152" s="73"/>
      <c r="M4152" s="73"/>
      <c r="N4152" s="171"/>
      <c r="O4152" s="171"/>
      <c r="P4152" s="171"/>
      <c r="Q4152" s="173"/>
      <c r="R4152" s="173"/>
      <c r="S4152" s="173"/>
      <c r="T4152" s="173"/>
      <c r="U4152" s="173"/>
      <c r="V4152" s="169"/>
      <c r="W4152" s="171"/>
      <c r="X4152" s="171"/>
    </row>
    <row r="4153" ht="15.0" customHeight="1">
      <c r="A4153" s="506"/>
      <c r="B4153" s="200"/>
      <c r="C4153" s="73"/>
      <c r="D4153" s="73"/>
      <c r="E4153" s="73"/>
      <c r="F4153" s="162"/>
      <c r="G4153" s="162"/>
      <c r="H4153" s="194"/>
      <c r="I4153" s="161"/>
      <c r="J4153" s="162"/>
      <c r="K4153" s="73"/>
      <c r="L4153" s="73"/>
      <c r="M4153" s="73"/>
      <c r="N4153" s="171"/>
      <c r="O4153" s="171"/>
      <c r="P4153" s="171"/>
      <c r="Q4153" s="173"/>
      <c r="R4153" s="173"/>
      <c r="S4153" s="173"/>
      <c r="T4153" s="173"/>
      <c r="U4153" s="173"/>
      <c r="V4153" s="169"/>
      <c r="W4153" s="171"/>
      <c r="X4153" s="171"/>
    </row>
    <row r="4154" ht="15.0" customHeight="1">
      <c r="A4154" s="506"/>
      <c r="B4154" s="200"/>
      <c r="C4154" s="73"/>
      <c r="D4154" s="73"/>
      <c r="E4154" s="73"/>
      <c r="F4154" s="162"/>
      <c r="G4154" s="162"/>
      <c r="H4154" s="194"/>
      <c r="I4154" s="161"/>
      <c r="J4154" s="162"/>
      <c r="K4154" s="73"/>
      <c r="L4154" s="73"/>
      <c r="M4154" s="73"/>
      <c r="N4154" s="171"/>
      <c r="O4154" s="171"/>
      <c r="P4154" s="171"/>
      <c r="Q4154" s="173"/>
      <c r="R4154" s="173"/>
      <c r="S4154" s="173"/>
      <c r="T4154" s="173"/>
      <c r="U4154" s="173"/>
      <c r="V4154" s="169"/>
      <c r="W4154" s="171"/>
      <c r="X4154" s="171"/>
    </row>
    <row r="4155" ht="15.0" customHeight="1">
      <c r="A4155" s="506"/>
      <c r="B4155" s="200"/>
      <c r="C4155" s="73"/>
      <c r="D4155" s="73"/>
      <c r="E4155" s="73"/>
      <c r="F4155" s="162"/>
      <c r="G4155" s="162"/>
      <c r="H4155" s="194"/>
      <c r="I4155" s="161"/>
      <c r="J4155" s="162"/>
      <c r="K4155" s="73"/>
      <c r="L4155" s="73"/>
      <c r="M4155" s="73"/>
      <c r="N4155" s="171"/>
      <c r="O4155" s="171"/>
      <c r="P4155" s="171"/>
      <c r="Q4155" s="173"/>
      <c r="R4155" s="173"/>
      <c r="S4155" s="173"/>
      <c r="T4155" s="173"/>
      <c r="U4155" s="173"/>
      <c r="V4155" s="169"/>
      <c r="W4155" s="171"/>
      <c r="X4155" s="171"/>
    </row>
    <row r="4156" ht="15.0" customHeight="1">
      <c r="A4156" s="506"/>
      <c r="B4156" s="200"/>
      <c r="C4156" s="73"/>
      <c r="D4156" s="73"/>
      <c r="E4156" s="73"/>
      <c r="F4156" s="162"/>
      <c r="G4156" s="162"/>
      <c r="H4156" s="194"/>
      <c r="I4156" s="161"/>
      <c r="J4156" s="162"/>
      <c r="K4156" s="73"/>
      <c r="L4156" s="73"/>
      <c r="M4156" s="73"/>
      <c r="N4156" s="171"/>
      <c r="O4156" s="171"/>
      <c r="P4156" s="171"/>
      <c r="Q4156" s="173"/>
      <c r="R4156" s="173"/>
      <c r="S4156" s="173"/>
      <c r="T4156" s="173"/>
      <c r="U4156" s="173"/>
      <c r="V4156" s="169"/>
      <c r="W4156" s="171"/>
      <c r="X4156" s="171"/>
    </row>
    <row r="4157" ht="15.0" customHeight="1">
      <c r="A4157" s="506"/>
      <c r="B4157" s="200"/>
      <c r="C4157" s="73"/>
      <c r="D4157" s="73"/>
      <c r="E4157" s="73"/>
      <c r="F4157" s="162"/>
      <c r="G4157" s="162"/>
      <c r="H4157" s="194"/>
      <c r="I4157" s="161"/>
      <c r="J4157" s="162"/>
      <c r="K4157" s="73"/>
      <c r="L4157" s="73"/>
      <c r="M4157" s="73"/>
      <c r="N4157" s="171"/>
      <c r="O4157" s="171"/>
      <c r="P4157" s="171"/>
      <c r="Q4157" s="173"/>
      <c r="R4157" s="173"/>
      <c r="S4157" s="173"/>
      <c r="T4157" s="173"/>
      <c r="U4157" s="173"/>
      <c r="V4157" s="169"/>
      <c r="W4157" s="171"/>
      <c r="X4157" s="171"/>
    </row>
    <row r="4158" ht="15.0" customHeight="1">
      <c r="A4158" s="506"/>
      <c r="B4158" s="200"/>
      <c r="C4158" s="73"/>
      <c r="D4158" s="73"/>
      <c r="E4158" s="73"/>
      <c r="F4158" s="162"/>
      <c r="G4158" s="162"/>
      <c r="H4158" s="194"/>
      <c r="I4158" s="161"/>
      <c r="J4158" s="162"/>
      <c r="K4158" s="73"/>
      <c r="L4158" s="73"/>
      <c r="M4158" s="73"/>
      <c r="N4158" s="171"/>
      <c r="O4158" s="171"/>
      <c r="P4158" s="171"/>
      <c r="Q4158" s="173"/>
      <c r="R4158" s="173"/>
      <c r="S4158" s="173"/>
      <c r="T4158" s="173"/>
      <c r="U4158" s="173"/>
      <c r="V4158" s="169"/>
      <c r="W4158" s="171"/>
      <c r="X4158" s="171"/>
    </row>
    <row r="4159" ht="15.0" customHeight="1">
      <c r="A4159" s="506"/>
      <c r="B4159" s="200"/>
      <c r="C4159" s="73"/>
      <c r="D4159" s="73"/>
      <c r="E4159" s="73"/>
      <c r="F4159" s="162"/>
      <c r="G4159" s="162"/>
      <c r="H4159" s="194"/>
      <c r="I4159" s="161"/>
      <c r="J4159" s="162"/>
      <c r="K4159" s="73"/>
      <c r="L4159" s="73"/>
      <c r="M4159" s="73"/>
      <c r="N4159" s="171"/>
      <c r="O4159" s="171"/>
      <c r="P4159" s="171"/>
      <c r="Q4159" s="173"/>
      <c r="R4159" s="173"/>
      <c r="S4159" s="173"/>
      <c r="T4159" s="173"/>
      <c r="U4159" s="173"/>
      <c r="V4159" s="169"/>
      <c r="W4159" s="171"/>
      <c r="X4159" s="171"/>
    </row>
    <row r="4160" ht="15.0" customHeight="1">
      <c r="A4160" s="506"/>
      <c r="B4160" s="200"/>
      <c r="C4160" s="73"/>
      <c r="D4160" s="73"/>
      <c r="E4160" s="73"/>
      <c r="F4160" s="162"/>
      <c r="G4160" s="162"/>
      <c r="H4160" s="194"/>
      <c r="I4160" s="161"/>
      <c r="J4160" s="162"/>
      <c r="K4160" s="73"/>
      <c r="L4160" s="73"/>
      <c r="M4160" s="73"/>
      <c r="N4160" s="171"/>
      <c r="O4160" s="171"/>
      <c r="P4160" s="171"/>
      <c r="Q4160" s="173"/>
      <c r="R4160" s="173"/>
      <c r="S4160" s="173"/>
      <c r="T4160" s="173"/>
      <c r="U4160" s="173"/>
      <c r="V4160" s="169"/>
      <c r="W4160" s="171"/>
      <c r="X4160" s="171"/>
    </row>
    <row r="4161" ht="15.0" customHeight="1">
      <c r="A4161" s="506"/>
      <c r="B4161" s="200"/>
      <c r="C4161" s="73"/>
      <c r="D4161" s="73"/>
      <c r="E4161" s="73"/>
      <c r="F4161" s="162"/>
      <c r="G4161" s="162"/>
      <c r="H4161" s="194"/>
      <c r="I4161" s="161"/>
      <c r="J4161" s="162"/>
      <c r="K4161" s="73"/>
      <c r="L4161" s="73"/>
      <c r="M4161" s="73"/>
      <c r="N4161" s="171"/>
      <c r="O4161" s="171"/>
      <c r="P4161" s="171"/>
      <c r="Q4161" s="173"/>
      <c r="R4161" s="173"/>
      <c r="S4161" s="173"/>
      <c r="T4161" s="173"/>
      <c r="U4161" s="173"/>
      <c r="V4161" s="169"/>
      <c r="W4161" s="171"/>
      <c r="X4161" s="171"/>
    </row>
    <row r="4162" ht="15.0" customHeight="1">
      <c r="A4162" s="506"/>
      <c r="B4162" s="200"/>
      <c r="C4162" s="73"/>
      <c r="D4162" s="73"/>
      <c r="E4162" s="73"/>
      <c r="F4162" s="162"/>
      <c r="G4162" s="162"/>
      <c r="H4162" s="194"/>
      <c r="I4162" s="161"/>
      <c r="J4162" s="162"/>
      <c r="K4162" s="73"/>
      <c r="L4162" s="73"/>
      <c r="M4162" s="73"/>
      <c r="N4162" s="171"/>
      <c r="O4162" s="171"/>
      <c r="P4162" s="171"/>
      <c r="Q4162" s="173"/>
      <c r="R4162" s="173"/>
      <c r="S4162" s="173"/>
      <c r="T4162" s="173"/>
      <c r="U4162" s="173"/>
      <c r="V4162" s="169"/>
      <c r="W4162" s="171"/>
      <c r="X4162" s="171"/>
    </row>
    <row r="4163" ht="15.0" customHeight="1">
      <c r="A4163" s="506"/>
      <c r="B4163" s="200"/>
      <c r="C4163" s="73"/>
      <c r="D4163" s="73"/>
      <c r="E4163" s="73"/>
      <c r="F4163" s="162"/>
      <c r="G4163" s="162"/>
      <c r="H4163" s="194"/>
      <c r="I4163" s="161"/>
      <c r="J4163" s="162"/>
      <c r="K4163" s="73"/>
      <c r="L4163" s="73"/>
      <c r="M4163" s="73"/>
      <c r="N4163" s="171"/>
      <c r="O4163" s="171"/>
      <c r="P4163" s="171"/>
      <c r="Q4163" s="173"/>
      <c r="R4163" s="173"/>
      <c r="S4163" s="173"/>
      <c r="T4163" s="173"/>
      <c r="U4163" s="173"/>
      <c r="V4163" s="169"/>
      <c r="W4163" s="171"/>
      <c r="X4163" s="171"/>
    </row>
    <row r="4164" ht="15.0" customHeight="1">
      <c r="A4164" s="506"/>
      <c r="B4164" s="200"/>
      <c r="C4164" s="73"/>
      <c r="D4164" s="73"/>
      <c r="E4164" s="73"/>
      <c r="F4164" s="162"/>
      <c r="G4164" s="162"/>
      <c r="H4164" s="194"/>
      <c r="I4164" s="161"/>
      <c r="J4164" s="162"/>
      <c r="K4164" s="73"/>
      <c r="L4164" s="73"/>
      <c r="M4164" s="73"/>
      <c r="N4164" s="171"/>
      <c r="O4164" s="171"/>
      <c r="P4164" s="171"/>
      <c r="Q4164" s="173"/>
      <c r="R4164" s="173"/>
      <c r="S4164" s="173"/>
      <c r="T4164" s="173"/>
      <c r="U4164" s="173"/>
      <c r="V4164" s="169"/>
      <c r="W4164" s="171"/>
      <c r="X4164" s="171"/>
    </row>
    <row r="4165" ht="15.0" customHeight="1">
      <c r="A4165" s="506"/>
      <c r="B4165" s="200"/>
      <c r="C4165" s="73"/>
      <c r="D4165" s="73"/>
      <c r="E4165" s="73"/>
      <c r="F4165" s="162"/>
      <c r="G4165" s="162"/>
      <c r="H4165" s="194"/>
      <c r="I4165" s="161"/>
      <c r="J4165" s="162"/>
      <c r="K4165" s="73"/>
      <c r="L4165" s="73"/>
      <c r="M4165" s="73"/>
      <c r="N4165" s="171"/>
      <c r="O4165" s="171"/>
      <c r="P4165" s="171"/>
      <c r="Q4165" s="173"/>
      <c r="R4165" s="173"/>
      <c r="S4165" s="173"/>
      <c r="T4165" s="173"/>
      <c r="U4165" s="173"/>
      <c r="V4165" s="169"/>
      <c r="W4165" s="171"/>
      <c r="X4165" s="171"/>
    </row>
    <row r="4166" ht="15.0" customHeight="1">
      <c r="A4166" s="506"/>
      <c r="B4166" s="200"/>
      <c r="C4166" s="73"/>
      <c r="D4166" s="73"/>
      <c r="E4166" s="73"/>
      <c r="F4166" s="162"/>
      <c r="G4166" s="162"/>
      <c r="H4166" s="194"/>
      <c r="I4166" s="161"/>
      <c r="J4166" s="162"/>
      <c r="K4166" s="73"/>
      <c r="L4166" s="73"/>
      <c r="M4166" s="73"/>
      <c r="N4166" s="171"/>
      <c r="O4166" s="171"/>
      <c r="P4166" s="171"/>
      <c r="Q4166" s="173"/>
      <c r="R4166" s="173"/>
      <c r="S4166" s="173"/>
      <c r="T4166" s="173"/>
      <c r="U4166" s="173"/>
      <c r="V4166" s="169"/>
      <c r="W4166" s="171"/>
      <c r="X4166" s="171"/>
    </row>
    <row r="4167" ht="15.0" customHeight="1">
      <c r="A4167" s="506"/>
      <c r="B4167" s="200"/>
      <c r="C4167" s="73"/>
      <c r="D4167" s="73"/>
      <c r="E4167" s="73"/>
      <c r="F4167" s="162"/>
      <c r="G4167" s="162"/>
      <c r="H4167" s="194"/>
      <c r="I4167" s="161"/>
      <c r="J4167" s="162"/>
      <c r="K4167" s="73"/>
      <c r="L4167" s="73"/>
      <c r="M4167" s="73"/>
      <c r="N4167" s="171"/>
      <c r="O4167" s="171"/>
      <c r="P4167" s="171"/>
      <c r="Q4167" s="173"/>
      <c r="R4167" s="173"/>
      <c r="S4167" s="173"/>
      <c r="T4167" s="173"/>
      <c r="U4167" s="173"/>
      <c r="V4167" s="169"/>
      <c r="W4167" s="171"/>
      <c r="X4167" s="171"/>
    </row>
    <row r="4168" ht="15.0" customHeight="1">
      <c r="A4168" s="506"/>
      <c r="B4168" s="200"/>
      <c r="C4168" s="73"/>
      <c r="D4168" s="73"/>
      <c r="E4168" s="73"/>
      <c r="F4168" s="162"/>
      <c r="G4168" s="162"/>
      <c r="H4168" s="194"/>
      <c r="I4168" s="161"/>
      <c r="J4168" s="162"/>
      <c r="K4168" s="73"/>
      <c r="L4168" s="73"/>
      <c r="M4168" s="73"/>
      <c r="N4168" s="171"/>
      <c r="O4168" s="171"/>
      <c r="P4168" s="171"/>
      <c r="Q4168" s="173"/>
      <c r="R4168" s="173"/>
      <c r="S4168" s="173"/>
      <c r="T4168" s="173"/>
      <c r="U4168" s="173"/>
      <c r="V4168" s="169"/>
      <c r="W4168" s="171"/>
      <c r="X4168" s="171"/>
    </row>
    <row r="4169" ht="15.0" customHeight="1">
      <c r="A4169" s="506"/>
      <c r="B4169" s="200"/>
      <c r="C4169" s="73"/>
      <c r="D4169" s="73"/>
      <c r="E4169" s="73"/>
      <c r="F4169" s="162"/>
      <c r="G4169" s="162"/>
      <c r="H4169" s="194"/>
      <c r="I4169" s="161"/>
      <c r="J4169" s="162"/>
      <c r="K4169" s="73"/>
      <c r="L4169" s="73"/>
      <c r="M4169" s="73"/>
      <c r="N4169" s="171"/>
      <c r="O4169" s="171"/>
      <c r="P4169" s="171"/>
      <c r="Q4169" s="173"/>
      <c r="R4169" s="173"/>
      <c r="S4169" s="173"/>
      <c r="T4169" s="173"/>
      <c r="U4169" s="173"/>
      <c r="V4169" s="169"/>
      <c r="W4169" s="171"/>
      <c r="X4169" s="171"/>
    </row>
    <row r="4170" ht="15.0" customHeight="1">
      <c r="A4170" s="506"/>
      <c r="B4170" s="200"/>
      <c r="C4170" s="73"/>
      <c r="D4170" s="73"/>
      <c r="E4170" s="73"/>
      <c r="F4170" s="162"/>
      <c r="G4170" s="162"/>
      <c r="H4170" s="194"/>
      <c r="I4170" s="161"/>
      <c r="J4170" s="162"/>
      <c r="K4170" s="73"/>
      <c r="L4170" s="73"/>
      <c r="M4170" s="73"/>
      <c r="N4170" s="171"/>
      <c r="O4170" s="171"/>
      <c r="P4170" s="171"/>
      <c r="Q4170" s="173"/>
      <c r="R4170" s="173"/>
      <c r="S4170" s="173"/>
      <c r="T4170" s="173"/>
      <c r="U4170" s="173"/>
      <c r="V4170" s="169"/>
      <c r="W4170" s="171"/>
      <c r="X4170" s="171"/>
    </row>
    <row r="4171" ht="15.0" customHeight="1">
      <c r="A4171" s="506"/>
      <c r="B4171" s="200"/>
      <c r="C4171" s="73"/>
      <c r="D4171" s="73"/>
      <c r="E4171" s="73"/>
      <c r="F4171" s="162"/>
      <c r="G4171" s="162"/>
      <c r="H4171" s="194"/>
      <c r="I4171" s="161"/>
      <c r="J4171" s="162"/>
      <c r="K4171" s="73"/>
      <c r="L4171" s="73"/>
      <c r="M4171" s="73"/>
      <c r="N4171" s="171"/>
      <c r="O4171" s="171"/>
      <c r="P4171" s="171"/>
      <c r="Q4171" s="173"/>
      <c r="R4171" s="173"/>
      <c r="S4171" s="173"/>
      <c r="T4171" s="173"/>
      <c r="U4171" s="173"/>
      <c r="V4171" s="169"/>
      <c r="W4171" s="171"/>
      <c r="X4171" s="171"/>
    </row>
    <row r="4172" ht="15.0" customHeight="1">
      <c r="A4172" s="506"/>
      <c r="B4172" s="200"/>
      <c r="C4172" s="73"/>
      <c r="D4172" s="73"/>
      <c r="E4172" s="73"/>
      <c r="F4172" s="162"/>
      <c r="G4172" s="162"/>
      <c r="H4172" s="194"/>
      <c r="I4172" s="161"/>
      <c r="J4172" s="162"/>
      <c r="K4172" s="73"/>
      <c r="L4172" s="73"/>
      <c r="M4172" s="73"/>
      <c r="N4172" s="171"/>
      <c r="O4172" s="171"/>
      <c r="P4172" s="171"/>
      <c r="Q4172" s="173"/>
      <c r="R4172" s="173"/>
      <c r="S4172" s="173"/>
      <c r="T4172" s="173"/>
      <c r="U4172" s="173"/>
      <c r="V4172" s="169"/>
      <c r="W4172" s="171"/>
      <c r="X4172" s="171"/>
    </row>
  </sheetData>
  <mergeCells count="15">
    <mergeCell ref="K2:O2"/>
    <mergeCell ref="Q2:T2"/>
    <mergeCell ref="L322:N322"/>
    <mergeCell ref="L323:N323"/>
    <mergeCell ref="L324:N324"/>
    <mergeCell ref="V2:V3"/>
    <mergeCell ref="W2:W3"/>
    <mergeCell ref="A1:X1"/>
    <mergeCell ref="A2:A3"/>
    <mergeCell ref="B2:B3"/>
    <mergeCell ref="C2:D2"/>
    <mergeCell ref="E2:E3"/>
    <mergeCell ref="F2:J2"/>
    <mergeCell ref="P2:P3"/>
    <mergeCell ref="X2:X3"/>
  </mergeCells>
  <dataValidations>
    <dataValidation type="list" allowBlank="1" showErrorMessage="1" sqref="C1379:C1380">
      <formula1>'Current Stock'!$A$3:$A$1790</formula1>
    </dataValidation>
  </dataValidations>
  <hyperlinks>
    <hyperlink r:id="rId4" ref="M871"/>
    <hyperlink r:id="rId5" ref="M882"/>
    <hyperlink r:id="rId6" ref="M884"/>
    <hyperlink r:id="rId7" ref="M910"/>
    <hyperlink r:id="rId8" ref="M956"/>
    <hyperlink r:id="rId9" ref="M969"/>
    <hyperlink r:id="rId10" ref="M970"/>
    <hyperlink r:id="rId11" ref="M971"/>
    <hyperlink r:id="rId12" ref="M972"/>
    <hyperlink r:id="rId13" ref="M989"/>
    <hyperlink r:id="rId14" ref="M990"/>
    <hyperlink r:id="rId15" ref="M991"/>
    <hyperlink r:id="rId16" ref="M992"/>
    <hyperlink r:id="rId17" ref="M993"/>
    <hyperlink r:id="rId18" ref="M997"/>
    <hyperlink r:id="rId19" ref="M1002"/>
    <hyperlink r:id="rId20" ref="M1004"/>
    <hyperlink r:id="rId21" ref="M1006"/>
    <hyperlink r:id="rId22" ref="M1007"/>
    <hyperlink r:id="rId23" ref="M1011"/>
    <hyperlink r:id="rId24" ref="M1015"/>
    <hyperlink r:id="rId25" ref="M1028"/>
    <hyperlink r:id="rId26" ref="M1031"/>
    <hyperlink r:id="rId27" ref="M1034"/>
    <hyperlink r:id="rId28" ref="M1035"/>
    <hyperlink r:id="rId29" ref="M1036"/>
    <hyperlink r:id="rId30" ref="M1227"/>
    <hyperlink r:id="rId31" ref="M1293"/>
    <hyperlink r:id="rId32" ref="M1468"/>
    <hyperlink r:id="rId33" ref="M1480"/>
    <hyperlink r:id="rId34" ref="M1481"/>
    <hyperlink r:id="rId35" ref="M1530"/>
    <hyperlink r:id="rId36" ref="M1533"/>
    <hyperlink r:id="rId37" ref="M1534"/>
    <hyperlink r:id="rId38" ref="M1547"/>
    <hyperlink r:id="rId39" ref="M1595"/>
    <hyperlink r:id="rId40" ref="M1596"/>
    <hyperlink r:id="rId41" ref="M1602"/>
    <hyperlink r:id="rId42" ref="M1603"/>
    <hyperlink r:id="rId43" ref="M1604"/>
    <hyperlink r:id="rId44" ref="M1609"/>
    <hyperlink r:id="rId45" ref="M1610"/>
    <hyperlink r:id="rId46" ref="M1611"/>
    <hyperlink r:id="rId47" ref="M1612"/>
    <hyperlink r:id="rId48" ref="M1613"/>
    <hyperlink r:id="rId49" ref="M1615"/>
    <hyperlink r:id="rId50" ref="M1616"/>
    <hyperlink r:id="rId51" ref="M1620"/>
    <hyperlink r:id="rId52" ref="M1621"/>
    <hyperlink r:id="rId53" ref="M1622"/>
    <hyperlink r:id="rId54" ref="M1624"/>
    <hyperlink r:id="rId55" ref="M1625"/>
    <hyperlink r:id="rId56" ref="M1626"/>
    <hyperlink r:id="rId57" ref="M1627"/>
    <hyperlink r:id="rId58" ref="M1628"/>
    <hyperlink r:id="rId59" ref="M1629"/>
    <hyperlink r:id="rId60" ref="M1630"/>
    <hyperlink r:id="rId61" ref="M1725"/>
    <hyperlink r:id="rId62" ref="M1726"/>
  </hyperlinks>
  <printOptions/>
  <pageMargins bottom="0.75" footer="0.0" header="0.0" left="0.7" right="0.7" top="0.75"/>
  <pageSetup orientation="portrait"/>
  <drawing r:id="rId63"/>
  <legacyDrawing r:id="rId6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3.0"/>
    <col customWidth="1" min="3" max="3" width="8.71"/>
    <col customWidth="1" min="4" max="4" width="11.43"/>
    <col customWidth="1" min="5" max="5" width="8.71"/>
    <col customWidth="1" min="6" max="6" width="6.71"/>
    <col customWidth="1" min="7" max="7" width="7.71"/>
    <col customWidth="1" min="8" max="8" width="3.57"/>
    <col customWidth="1" min="9" max="9" width="3.43"/>
    <col customWidth="1" min="10" max="10" width="7.14"/>
    <col customWidth="1" min="11" max="11" width="7.71"/>
    <col customWidth="1" min="12" max="12" width="13.86"/>
  </cols>
  <sheetData>
    <row r="1" ht="13.5" customHeight="1">
      <c r="A1" s="507" t="s">
        <v>11442</v>
      </c>
      <c r="B1" s="508"/>
      <c r="C1" s="509"/>
      <c r="D1" s="509"/>
      <c r="E1" s="509"/>
      <c r="F1" s="510"/>
      <c r="G1" s="509"/>
      <c r="H1" s="509"/>
      <c r="I1" s="509"/>
      <c r="J1" s="511" t="s">
        <v>2867</v>
      </c>
      <c r="L1" s="512">
        <v>46139.0</v>
      </c>
    </row>
    <row r="2" ht="13.5" customHeight="1">
      <c r="A2" s="513" t="s">
        <v>11443</v>
      </c>
      <c r="B2" s="514"/>
      <c r="C2" s="515"/>
      <c r="D2" s="515"/>
      <c r="E2" s="515"/>
      <c r="F2" s="509"/>
      <c r="G2" s="509"/>
      <c r="H2" s="509"/>
      <c r="I2" s="509"/>
      <c r="J2" s="511" t="s">
        <v>11444</v>
      </c>
      <c r="L2" s="516"/>
    </row>
    <row r="3" ht="13.5" customHeight="1">
      <c r="A3" s="517" t="s">
        <v>11445</v>
      </c>
      <c r="B3" s="518"/>
      <c r="C3" s="509"/>
      <c r="D3" s="519"/>
      <c r="E3" s="519"/>
      <c r="F3" s="519"/>
      <c r="G3" s="519"/>
      <c r="H3" s="519"/>
      <c r="I3" s="519"/>
      <c r="J3" s="487" t="s">
        <v>5767</v>
      </c>
      <c r="K3" s="56"/>
      <c r="L3" s="131"/>
    </row>
    <row r="4" ht="13.5" customHeight="1">
      <c r="A4" s="520"/>
      <c r="B4" s="520"/>
      <c r="C4" s="509"/>
      <c r="D4" s="519"/>
      <c r="E4" s="519"/>
      <c r="F4" s="519"/>
      <c r="G4" s="519"/>
      <c r="H4" s="519"/>
      <c r="I4" s="519"/>
      <c r="J4" s="421" t="s">
        <v>5768</v>
      </c>
      <c r="K4" s="131"/>
      <c r="L4" s="131"/>
    </row>
    <row r="5" ht="13.5" customHeight="1">
      <c r="A5" s="520"/>
      <c r="B5" s="520"/>
      <c r="C5" s="509"/>
      <c r="D5" s="519"/>
      <c r="E5" s="519"/>
      <c r="F5" s="519"/>
      <c r="G5" s="519"/>
      <c r="H5" s="519"/>
      <c r="I5" s="519"/>
      <c r="J5" s="329" t="s">
        <v>2958</v>
      </c>
      <c r="K5" s="131"/>
      <c r="L5" s="521"/>
    </row>
    <row r="6" ht="13.5" customHeight="1">
      <c r="A6" s="520"/>
      <c r="B6" s="520"/>
      <c r="C6" s="509"/>
      <c r="D6" s="519"/>
      <c r="E6" s="519"/>
      <c r="F6" s="519"/>
      <c r="G6" s="519"/>
      <c r="H6" s="519"/>
      <c r="I6" s="519"/>
      <c r="J6" s="329"/>
      <c r="K6" s="131"/>
      <c r="L6" s="522"/>
    </row>
    <row r="7" ht="13.5" customHeight="1">
      <c r="A7" s="520"/>
      <c r="B7" s="520"/>
      <c r="C7" s="509"/>
      <c r="D7" s="523" t="s">
        <v>11446</v>
      </c>
      <c r="G7" s="519"/>
      <c r="H7" s="519"/>
      <c r="I7" s="519"/>
      <c r="J7" s="524"/>
      <c r="K7" s="524"/>
      <c r="L7" s="525" t="s">
        <v>1484</v>
      </c>
    </row>
    <row r="8" ht="13.5" customHeight="1">
      <c r="A8" s="73"/>
      <c r="B8" s="518"/>
      <c r="C8" s="73"/>
      <c r="D8" s="526"/>
      <c r="E8" s="526"/>
      <c r="F8" s="526"/>
      <c r="G8" s="73"/>
      <c r="H8" s="73"/>
      <c r="I8" s="73"/>
      <c r="J8" s="527"/>
      <c r="K8" s="527"/>
    </row>
    <row r="9" ht="13.5" customHeight="1">
      <c r="A9" s="528" t="s">
        <v>2892</v>
      </c>
      <c r="B9" s="476" t="s">
        <v>11436</v>
      </c>
      <c r="C9" s="73"/>
      <c r="D9" s="529"/>
      <c r="E9" s="73"/>
      <c r="F9" s="73"/>
      <c r="G9" s="73"/>
      <c r="H9" s="530"/>
      <c r="I9" s="531"/>
      <c r="J9" s="530" t="s">
        <v>11447</v>
      </c>
      <c r="K9" s="531"/>
      <c r="L9" s="289"/>
    </row>
    <row r="10" ht="13.5" customHeight="1">
      <c r="A10" s="532" t="s">
        <v>11448</v>
      </c>
      <c r="B10" s="533" t="s">
        <v>11449</v>
      </c>
      <c r="C10" s="534" t="str">
        <f>IFERROR(VLOOKUP(B10,Stock,3,FALSE),"")</f>
        <v/>
      </c>
      <c r="D10" s="2"/>
      <c r="E10" s="2"/>
      <c r="F10" s="2"/>
      <c r="G10" s="2"/>
      <c r="H10" s="535" t="s">
        <v>11450</v>
      </c>
      <c r="I10" s="536"/>
      <c r="J10" s="535" t="s">
        <v>11451</v>
      </c>
      <c r="K10" s="536"/>
      <c r="L10" s="532" t="s">
        <v>2905</v>
      </c>
    </row>
    <row r="11" ht="12.75" customHeight="1">
      <c r="A11" s="537">
        <v>1.0</v>
      </c>
      <c r="B11" s="56" t="s">
        <v>3273</v>
      </c>
      <c r="C11" s="475" t="str">
        <f>IFERROR(VLOOKUP(B11,Stock,3,FALSE),"")</f>
        <v>Pemasangan Kaca Mobil Belakang</v>
      </c>
      <c r="H11" s="538">
        <v>1.0</v>
      </c>
      <c r="I11" s="538" t="s">
        <v>2894</v>
      </c>
      <c r="J11" s="539">
        <v>450000.0</v>
      </c>
      <c r="K11" s="536"/>
      <c r="L11" s="540">
        <f t="shared" ref="L11:L17" si="1">H11*J11</f>
        <v>450000</v>
      </c>
    </row>
    <row r="12" ht="13.5" customHeight="1">
      <c r="A12" s="541"/>
      <c r="B12" s="56"/>
      <c r="C12" s="475" t="str">
        <f>IFERROR(VLOOKUP(B12,Stock,3,FALSE),"")</f>
        <v/>
      </c>
      <c r="H12" s="203"/>
      <c r="I12" s="203"/>
      <c r="J12" s="388"/>
      <c r="L12" s="540">
        <f t="shared" si="1"/>
        <v>0</v>
      </c>
    </row>
    <row r="13" ht="13.5" customHeight="1">
      <c r="A13" s="541"/>
      <c r="B13" s="56"/>
      <c r="C13" s="475" t="str">
        <f>IFERROR(VLOOKUP(B13,Stock,3,FALSE),"")</f>
        <v/>
      </c>
      <c r="H13" s="203"/>
      <c r="I13" s="203"/>
      <c r="J13" s="542"/>
      <c r="L13" s="540">
        <f t="shared" si="1"/>
        <v>0</v>
      </c>
    </row>
    <row r="14" ht="13.5" customHeight="1">
      <c r="A14" s="541"/>
      <c r="B14" s="56"/>
      <c r="C14" s="475" t="str">
        <f>IFERROR(VLOOKUP(B14,Stock,3,FALSE),"")</f>
        <v/>
      </c>
      <c r="H14" s="203"/>
      <c r="I14" s="203"/>
      <c r="J14" s="388"/>
      <c r="L14" s="540">
        <f t="shared" si="1"/>
        <v>0</v>
      </c>
    </row>
    <row r="15" ht="13.5" customHeight="1">
      <c r="A15" s="203"/>
      <c r="B15" s="56"/>
      <c r="C15" s="475" t="str">
        <f>IFERROR(VLOOKUP(B15,Stock,3,FALSE),"")</f>
        <v/>
      </c>
      <c r="H15" s="203"/>
      <c r="I15" s="203"/>
      <c r="J15" s="542"/>
      <c r="L15" s="540">
        <f t="shared" si="1"/>
        <v>0</v>
      </c>
    </row>
    <row r="16" ht="13.5" customHeight="1">
      <c r="A16" s="203"/>
      <c r="B16" s="175"/>
      <c r="C16" s="475" t="str">
        <f>IFERROR(VLOOKUP(B16,Stock,3,FALSE),"")</f>
        <v/>
      </c>
      <c r="H16" s="203"/>
      <c r="I16" s="203"/>
      <c r="J16" s="542"/>
      <c r="L16" s="540">
        <f t="shared" si="1"/>
        <v>0</v>
      </c>
    </row>
    <row r="17" ht="13.5" customHeight="1">
      <c r="A17" s="543"/>
      <c r="B17" s="544" t="s">
        <v>11452</v>
      </c>
      <c r="C17" s="531"/>
      <c r="D17" s="531"/>
      <c r="E17" s="531"/>
      <c r="F17" s="531"/>
      <c r="G17" s="531"/>
      <c r="H17" s="530"/>
      <c r="I17" s="530"/>
      <c r="J17" s="545"/>
      <c r="K17" s="531"/>
      <c r="L17" s="540">
        <f t="shared" si="1"/>
        <v>0</v>
      </c>
    </row>
    <row r="18" ht="13.5" customHeight="1">
      <c r="A18" s="546"/>
      <c r="B18" s="536"/>
      <c r="C18" s="536"/>
      <c r="D18" s="536"/>
      <c r="E18" s="547"/>
      <c r="F18" s="547"/>
      <c r="G18" s="547"/>
      <c r="H18" s="548"/>
      <c r="I18" s="516"/>
      <c r="J18" s="549"/>
      <c r="K18" s="200" t="s">
        <v>11453</v>
      </c>
      <c r="L18" s="550">
        <f>SUM(L11:L17)</f>
        <v>450000</v>
      </c>
    </row>
    <row r="19" ht="13.5" customHeight="1">
      <c r="A19" s="551"/>
      <c r="D19" s="552" t="s">
        <v>11454</v>
      </c>
      <c r="E19" s="553"/>
      <c r="F19" s="554" t="s">
        <v>11455</v>
      </c>
      <c r="J19" s="555"/>
      <c r="K19" s="181" t="s">
        <v>11456</v>
      </c>
      <c r="L19" s="556"/>
    </row>
    <row r="20" ht="13.5" customHeight="1">
      <c r="A20" s="509"/>
      <c r="B20" s="557"/>
      <c r="C20" s="557"/>
      <c r="D20" s="557"/>
      <c r="E20" s="558" t="s">
        <v>1484</v>
      </c>
      <c r="J20" s="559"/>
      <c r="K20" s="560" t="s">
        <v>11457</v>
      </c>
      <c r="L20" s="561">
        <f>L18-L19</f>
        <v>450000</v>
      </c>
    </row>
    <row r="21" ht="13.5" customHeight="1">
      <c r="A21" s="509"/>
      <c r="B21" s="520"/>
      <c r="C21" s="562" t="s">
        <v>3066</v>
      </c>
      <c r="D21" s="563"/>
      <c r="E21" s="553"/>
      <c r="J21" s="564"/>
      <c r="K21" s="200"/>
      <c r="L21" s="565"/>
    </row>
    <row r="22" ht="13.5" customHeight="1">
      <c r="A22" s="509"/>
      <c r="B22" s="520"/>
      <c r="C22" s="520"/>
      <c r="D22" s="520"/>
      <c r="E22" s="520"/>
      <c r="J22" s="566"/>
      <c r="K22" s="566" t="s">
        <v>11458</v>
      </c>
      <c r="L22" s="566"/>
    </row>
    <row r="23" ht="13.5" customHeight="1">
      <c r="A23" s="567" t="s">
        <v>11459</v>
      </c>
      <c r="B23" s="508"/>
      <c r="C23" s="568" t="s">
        <v>1484</v>
      </c>
      <c r="D23" s="563" t="s">
        <v>11460</v>
      </c>
      <c r="E23" s="520"/>
      <c r="F23" s="569"/>
      <c r="G23" s="569"/>
      <c r="H23" s="569"/>
      <c r="I23" s="569"/>
      <c r="J23" s="570"/>
      <c r="K23" s="571" t="s">
        <v>11461</v>
      </c>
    </row>
    <row r="24" ht="15.75" customHeight="1">
      <c r="G24" s="6" t="s">
        <v>1484</v>
      </c>
      <c r="K24" s="572"/>
    </row>
    <row r="25" ht="15.75" customHeight="1">
      <c r="F25" s="6" t="s">
        <v>1484</v>
      </c>
    </row>
    <row r="26" ht="15.75" customHeight="1">
      <c r="F26" s="6" t="s">
        <v>1484</v>
      </c>
      <c r="J26" s="6"/>
    </row>
    <row r="27" ht="15.75" customHeight="1">
      <c r="D27" s="6" t="s">
        <v>1484</v>
      </c>
    </row>
    <row r="28" ht="15.75" customHeight="1"/>
    <row r="29" ht="13.5" customHeight="1">
      <c r="A29" s="507" t="s">
        <v>11442</v>
      </c>
      <c r="B29" s="508"/>
      <c r="C29" s="509"/>
      <c r="D29" s="509"/>
      <c r="E29" s="573"/>
      <c r="F29" s="510"/>
      <c r="G29" s="509"/>
      <c r="H29" s="509"/>
      <c r="I29" s="509"/>
      <c r="J29" s="511" t="s">
        <v>2867</v>
      </c>
      <c r="L29" s="512">
        <f>L1</f>
        <v>46139</v>
      </c>
    </row>
    <row r="30" ht="13.5" customHeight="1">
      <c r="A30" s="513" t="str">
        <f>A2</f>
        <v>Jl. Bratang Gede No.138, Ngagelrejo, Kec. Wonokromo, Surabaya, Jawa Timur 60245</v>
      </c>
      <c r="B30" s="514"/>
      <c r="C30" s="515"/>
      <c r="D30" s="515"/>
      <c r="E30" s="515"/>
      <c r="F30" s="509"/>
      <c r="G30" s="509"/>
      <c r="H30" s="509"/>
      <c r="I30" s="509"/>
      <c r="J30" s="511" t="s">
        <v>11444</v>
      </c>
      <c r="L30" s="516"/>
    </row>
    <row r="31" ht="13.5" customHeight="1">
      <c r="A31" s="517" t="s">
        <v>11445</v>
      </c>
      <c r="B31" s="518"/>
      <c r="C31" s="509"/>
      <c r="D31" s="519"/>
      <c r="E31" s="519"/>
      <c r="F31" s="519"/>
      <c r="G31" s="519"/>
      <c r="H31" s="519"/>
      <c r="I31" s="519"/>
      <c r="J31" s="307" t="str">
        <f t="shared" ref="J31:J33" si="2">J3</f>
        <v>Auto77</v>
      </c>
      <c r="K31" s="131"/>
      <c r="L31" s="131"/>
    </row>
    <row r="32" ht="13.5" customHeight="1">
      <c r="A32" s="520"/>
      <c r="B32" s="520"/>
      <c r="C32" s="509"/>
      <c r="D32" s="519"/>
      <c r="E32" s="519"/>
      <c r="F32" s="519"/>
      <c r="G32" s="519"/>
      <c r="H32" s="519"/>
      <c r="I32" s="519"/>
      <c r="J32" s="6" t="str">
        <f t="shared" si="2"/>
        <v>+62 856-0608-8887</v>
      </c>
      <c r="K32" s="131"/>
      <c r="L32" s="131"/>
    </row>
    <row r="33" ht="13.5" customHeight="1">
      <c r="A33" s="520"/>
      <c r="B33" s="520"/>
      <c r="C33" s="509"/>
      <c r="D33" s="519"/>
      <c r="E33" s="519"/>
      <c r="F33" s="519"/>
      <c r="G33" s="519"/>
      <c r="H33" s="519"/>
      <c r="I33" s="519"/>
      <c r="J33" s="521" t="str">
        <f t="shared" si="2"/>
        <v>Surabaya</v>
      </c>
    </row>
    <row r="34" ht="13.5" customHeight="1">
      <c r="A34" s="520"/>
      <c r="B34" s="520"/>
      <c r="C34" s="509"/>
      <c r="D34" s="519"/>
      <c r="E34" s="519"/>
      <c r="F34" s="519"/>
      <c r="G34" s="519"/>
      <c r="H34" s="519"/>
      <c r="I34" s="519"/>
      <c r="J34" s="329" t="s">
        <v>3066</v>
      </c>
      <c r="K34" s="522"/>
      <c r="L34" s="522"/>
    </row>
    <row r="35" ht="13.5" customHeight="1">
      <c r="A35" s="520"/>
      <c r="B35" s="520"/>
      <c r="C35" s="509"/>
      <c r="D35" s="523" t="s">
        <v>11446</v>
      </c>
      <c r="G35" s="519"/>
      <c r="H35" s="519"/>
      <c r="I35" s="519"/>
      <c r="J35" s="524"/>
      <c r="K35" s="524"/>
      <c r="L35" s="524"/>
    </row>
    <row r="36" ht="13.5" customHeight="1">
      <c r="A36" s="73"/>
      <c r="B36" s="518"/>
      <c r="C36" s="73"/>
      <c r="D36" s="526"/>
      <c r="E36" s="526"/>
      <c r="F36" s="526"/>
      <c r="G36" s="73"/>
      <c r="H36" s="73"/>
      <c r="I36" s="73"/>
      <c r="J36" s="527"/>
      <c r="K36" s="527"/>
    </row>
    <row r="37" ht="13.5" customHeight="1">
      <c r="A37" s="528" t="s">
        <v>2892</v>
      </c>
      <c r="B37" s="496" t="str">
        <f>B9</f>
        <v>D260092</v>
      </c>
      <c r="C37" s="73"/>
      <c r="D37" s="529"/>
      <c r="E37" s="73"/>
      <c r="F37" s="73"/>
      <c r="G37" s="73"/>
      <c r="H37" s="557"/>
      <c r="J37" s="557" t="s">
        <v>11447</v>
      </c>
      <c r="L37" s="223" t="str">
        <f>L9</f>
        <v/>
      </c>
    </row>
    <row r="38" ht="13.5" customHeight="1">
      <c r="A38" s="532" t="s">
        <v>11448</v>
      </c>
      <c r="B38" s="533" t="s">
        <v>11449</v>
      </c>
      <c r="C38" s="532" t="s">
        <v>11462</v>
      </c>
      <c r="D38" s="2"/>
      <c r="E38" s="2"/>
      <c r="F38" s="2"/>
      <c r="G38" s="2"/>
      <c r="H38" s="532" t="s">
        <v>11450</v>
      </c>
      <c r="I38" s="2"/>
      <c r="J38" s="532" t="s">
        <v>11451</v>
      </c>
      <c r="K38" s="2"/>
      <c r="L38" s="532" t="s">
        <v>2905</v>
      </c>
    </row>
    <row r="39" ht="13.5" customHeight="1">
      <c r="A39" s="537">
        <v>1.0</v>
      </c>
      <c r="B39" s="513" t="str">
        <f>B11</f>
        <v>OTH-RPLXTRW</v>
      </c>
      <c r="C39" s="56" t="str">
        <f>IFERROR(VLOOKUP(B39,Stock,3,FALSE),"")</f>
        <v>Pemasangan Kaca Mobil Belakang</v>
      </c>
      <c r="H39" s="538">
        <f t="shared" ref="H39:H43" si="4">H11</f>
        <v>1</v>
      </c>
      <c r="I39" s="538" t="s">
        <v>2894</v>
      </c>
      <c r="J39" s="539">
        <f>J11</f>
        <v>450000</v>
      </c>
      <c r="K39" s="536"/>
      <c r="L39" s="540">
        <f t="shared" ref="L39:L44" si="6">H39*J39</f>
        <v>450000</v>
      </c>
    </row>
    <row r="40" ht="13.5" customHeight="1">
      <c r="A40" s="537" t="str">
        <f t="shared" ref="A40:B40" si="3">A12</f>
        <v/>
      </c>
      <c r="B40" s="56" t="str">
        <f t="shared" si="3"/>
        <v/>
      </c>
      <c r="C40" s="56" t="str">
        <f>IFERROR(VLOOKUP(B40,Stock,3,FALSE),"")</f>
        <v/>
      </c>
      <c r="H40" s="574" t="str">
        <f t="shared" si="4"/>
        <v/>
      </c>
      <c r="I40" s="203" t="str">
        <f t="shared" ref="I40:J40" si="5">I12</f>
        <v/>
      </c>
      <c r="J40" s="388" t="str">
        <f t="shared" si="5"/>
        <v/>
      </c>
      <c r="L40" s="540">
        <f t="shared" si="6"/>
        <v>0</v>
      </c>
    </row>
    <row r="41" ht="13.5" customHeight="1">
      <c r="A41" s="541" t="str">
        <f t="shared" ref="A41:B41" si="7">A13</f>
        <v/>
      </c>
      <c r="B41" s="56" t="str">
        <f t="shared" si="7"/>
        <v/>
      </c>
      <c r="C41" s="56" t="str">
        <f>IFERROR(VLOOKUP(B41,Stock,3,FALSE),"")</f>
        <v/>
      </c>
      <c r="H41" s="574" t="str">
        <f t="shared" si="4"/>
        <v/>
      </c>
      <c r="I41" s="203" t="str">
        <f t="shared" ref="I41:J41" si="8">I13</f>
        <v/>
      </c>
      <c r="J41" s="388" t="str">
        <f t="shared" si="8"/>
        <v/>
      </c>
      <c r="L41" s="540">
        <f t="shared" si="6"/>
        <v>0</v>
      </c>
    </row>
    <row r="42" ht="13.5" customHeight="1">
      <c r="A42" s="541" t="str">
        <f t="shared" ref="A42:B42" si="9">A14</f>
        <v/>
      </c>
      <c r="B42" s="169" t="str">
        <f t="shared" si="9"/>
        <v/>
      </c>
      <c r="C42" s="56" t="str">
        <f>IFERROR(VLOOKUP(B42,Stock,3,FALSE),"")</f>
        <v/>
      </c>
      <c r="H42" s="203" t="str">
        <f t="shared" si="4"/>
        <v/>
      </c>
      <c r="I42" s="203" t="str">
        <f t="shared" ref="I42:J42" si="10">I14</f>
        <v/>
      </c>
      <c r="J42" s="388" t="str">
        <f t="shared" si="10"/>
        <v/>
      </c>
      <c r="L42" s="540">
        <f t="shared" si="6"/>
        <v>0</v>
      </c>
    </row>
    <row r="43" ht="13.5" customHeight="1">
      <c r="A43" s="203" t="str">
        <f t="shared" ref="A43:B43" si="11">A15</f>
        <v/>
      </c>
      <c r="B43" s="175" t="str">
        <f t="shared" si="11"/>
        <v/>
      </c>
      <c r="C43" s="56" t="str">
        <f>IFERROR(VLOOKUP(B43,Stock,3,FALSE),"")</f>
        <v/>
      </c>
      <c r="H43" s="203" t="str">
        <f t="shared" si="4"/>
        <v/>
      </c>
      <c r="I43" s="203" t="str">
        <f t="shared" ref="I43:J43" si="12">I15</f>
        <v/>
      </c>
      <c r="J43" s="542" t="str">
        <f t="shared" si="12"/>
        <v/>
      </c>
      <c r="L43" s="540">
        <f t="shared" si="6"/>
        <v>0</v>
      </c>
    </row>
    <row r="44" ht="13.5" customHeight="1">
      <c r="A44" s="203"/>
      <c r="B44" s="175"/>
      <c r="C44" s="56"/>
      <c r="H44" s="203"/>
      <c r="I44" s="203"/>
      <c r="J44" s="542"/>
      <c r="L44" s="540">
        <f t="shared" si="6"/>
        <v>0</v>
      </c>
    </row>
    <row r="45" ht="13.5" customHeight="1">
      <c r="A45" s="543" t="str">
        <f t="shared" ref="A45:B45" si="13">A17</f>
        <v/>
      </c>
      <c r="B45" s="544" t="str">
        <f t="shared" si="13"/>
        <v>BCA 6041794388 an Alvin Wijaya                                        </v>
      </c>
      <c r="C45" s="531"/>
      <c r="D45" s="531"/>
      <c r="E45" s="531"/>
      <c r="F45" s="531"/>
      <c r="G45" s="531"/>
      <c r="H45" s="530"/>
      <c r="I45" s="530" t="str">
        <f t="shared" ref="I45:J45" si="14">I17</f>
        <v/>
      </c>
      <c r="J45" s="545" t="str">
        <f t="shared" si="14"/>
        <v/>
      </c>
      <c r="K45" s="531"/>
      <c r="L45" s="540">
        <f t="shared" ref="L45:L46" si="15">L17</f>
        <v>0</v>
      </c>
    </row>
    <row r="46" ht="13.5" customHeight="1">
      <c r="A46" s="546"/>
      <c r="B46" s="536"/>
      <c r="C46" s="536"/>
      <c r="D46" s="536"/>
      <c r="E46" s="547"/>
      <c r="F46" s="547"/>
      <c r="G46" s="547"/>
      <c r="H46" s="548"/>
      <c r="I46" s="516"/>
      <c r="J46" s="549"/>
      <c r="K46" s="200" t="s">
        <v>11453</v>
      </c>
      <c r="L46" s="575">
        <f t="shared" si="15"/>
        <v>450000</v>
      </c>
    </row>
    <row r="47" ht="13.5" customHeight="1">
      <c r="A47" s="551"/>
      <c r="D47" s="552" t="s">
        <v>11454</v>
      </c>
      <c r="E47" s="553"/>
      <c r="F47" s="554" t="s">
        <v>11455</v>
      </c>
      <c r="J47" s="555"/>
      <c r="K47" s="181" t="str">
        <f t="shared" ref="K47:L47" si="16">K19</f>
        <v>DP</v>
      </c>
      <c r="L47" s="556" t="str">
        <f t="shared" si="16"/>
        <v/>
      </c>
    </row>
    <row r="48" ht="13.5" customHeight="1">
      <c r="A48" s="509"/>
      <c r="B48" s="557"/>
      <c r="C48" s="557"/>
      <c r="D48" s="557"/>
      <c r="E48" s="558" t="s">
        <v>1484</v>
      </c>
      <c r="J48" s="559"/>
      <c r="K48" s="560" t="s">
        <v>11457</v>
      </c>
      <c r="L48" s="561">
        <f>L20</f>
        <v>450000</v>
      </c>
    </row>
    <row r="49" ht="13.5" customHeight="1">
      <c r="A49" s="509"/>
      <c r="B49" s="520"/>
      <c r="C49" s="520"/>
      <c r="D49" s="563"/>
      <c r="E49" s="553"/>
      <c r="J49" s="564"/>
      <c r="K49" s="200"/>
      <c r="L49" s="565"/>
    </row>
    <row r="50" ht="13.5" customHeight="1">
      <c r="A50" s="509"/>
      <c r="B50" s="520"/>
      <c r="C50" s="520"/>
      <c r="D50" s="520"/>
      <c r="E50" s="520"/>
      <c r="J50" s="566"/>
      <c r="K50" s="566" t="s">
        <v>11458</v>
      </c>
      <c r="L50" s="566"/>
    </row>
    <row r="51" ht="13.5" customHeight="1">
      <c r="A51" s="567" t="s">
        <v>11459</v>
      </c>
      <c r="B51" s="508"/>
      <c r="C51" s="508"/>
      <c r="D51" s="563" t="s">
        <v>11460</v>
      </c>
      <c r="E51" s="520"/>
      <c r="F51" s="569"/>
      <c r="G51" s="569"/>
      <c r="H51" s="569"/>
      <c r="I51" s="569"/>
      <c r="J51" s="570"/>
      <c r="K51" s="576" t="str">
        <f t="shared" ref="K51:K52" si="17">K23</f>
        <v>JASA BONGKAR </v>
      </c>
    </row>
    <row r="52" ht="15.75" customHeight="1">
      <c r="K52" s="577" t="str">
        <f t="shared" si="17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</sheetData>
  <mergeCells count="49">
    <mergeCell ref="D7:F7"/>
    <mergeCell ref="H9:I9"/>
    <mergeCell ref="J9:K9"/>
    <mergeCell ref="C10:G10"/>
    <mergeCell ref="H10:I10"/>
    <mergeCell ref="J10:K10"/>
    <mergeCell ref="J11:K11"/>
    <mergeCell ref="C16:G16"/>
    <mergeCell ref="J16:K16"/>
    <mergeCell ref="B17:G17"/>
    <mergeCell ref="J17:K17"/>
    <mergeCell ref="A18:D18"/>
    <mergeCell ref="A19:C19"/>
    <mergeCell ref="F19:I22"/>
    <mergeCell ref="K23:L23"/>
    <mergeCell ref="C11:G11"/>
    <mergeCell ref="C12:G12"/>
    <mergeCell ref="J12:K12"/>
    <mergeCell ref="C13:G13"/>
    <mergeCell ref="J13:K13"/>
    <mergeCell ref="C14:G14"/>
    <mergeCell ref="C15:G15"/>
    <mergeCell ref="H38:I38"/>
    <mergeCell ref="J38:K38"/>
    <mergeCell ref="J14:K14"/>
    <mergeCell ref="J15:K15"/>
    <mergeCell ref="J33:L33"/>
    <mergeCell ref="D35:F35"/>
    <mergeCell ref="H37:I37"/>
    <mergeCell ref="J37:K37"/>
    <mergeCell ref="C38:G38"/>
    <mergeCell ref="C39:G39"/>
    <mergeCell ref="J39:K39"/>
    <mergeCell ref="C40:G40"/>
    <mergeCell ref="J40:K40"/>
    <mergeCell ref="C41:G41"/>
    <mergeCell ref="J41:K41"/>
    <mergeCell ref="J42:K42"/>
    <mergeCell ref="A46:D46"/>
    <mergeCell ref="A47:C47"/>
    <mergeCell ref="F47:I50"/>
    <mergeCell ref="K51:L51"/>
    <mergeCell ref="C42:G42"/>
    <mergeCell ref="C43:G43"/>
    <mergeCell ref="J43:K43"/>
    <mergeCell ref="C44:G44"/>
    <mergeCell ref="J44:K44"/>
    <mergeCell ref="B45:G45"/>
    <mergeCell ref="J45:K45"/>
  </mergeCells>
  <printOptions horizontalCentered="1"/>
  <pageMargins bottom="0.75" footer="0.0" header="0.0" left="0.25" right="0.25" top="0.75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3.29"/>
    <col customWidth="1" min="3" max="3" width="8.71"/>
    <col customWidth="1" min="4" max="4" width="10.57"/>
    <col customWidth="1" min="5" max="5" width="8.71"/>
    <col customWidth="1" min="6" max="6" width="6.71"/>
    <col customWidth="1" min="7" max="7" width="7.57"/>
    <col customWidth="1" min="8" max="8" width="3.57"/>
    <col customWidth="1" min="9" max="9" width="3.43"/>
    <col customWidth="1" min="10" max="10" width="7.29"/>
    <col customWidth="1" min="11" max="11" width="7.0"/>
    <col customWidth="1" min="12" max="12" width="12.86"/>
  </cols>
  <sheetData>
    <row r="1" ht="13.5" customHeight="1">
      <c r="A1" s="507" t="s">
        <v>11442</v>
      </c>
      <c r="B1" s="508"/>
      <c r="C1" s="509"/>
      <c r="D1" s="509"/>
      <c r="E1" s="509"/>
      <c r="F1" s="510"/>
      <c r="G1" s="509"/>
      <c r="H1" s="509"/>
      <c r="I1" s="509"/>
      <c r="J1" s="511" t="s">
        <v>2867</v>
      </c>
      <c r="L1" s="512">
        <v>46139.0</v>
      </c>
    </row>
    <row r="2" ht="13.5" customHeight="1">
      <c r="A2" s="513" t="s">
        <v>11443</v>
      </c>
      <c r="B2" s="514"/>
      <c r="C2" s="515"/>
      <c r="D2" s="515"/>
      <c r="E2" s="515"/>
      <c r="F2" s="509"/>
      <c r="G2" s="509"/>
      <c r="H2" s="509"/>
      <c r="I2" s="509"/>
      <c r="J2" s="511" t="s">
        <v>11444</v>
      </c>
      <c r="L2" s="516"/>
    </row>
    <row r="3" ht="13.5" customHeight="1">
      <c r="A3" s="517" t="s">
        <v>11445</v>
      </c>
      <c r="B3" s="518"/>
      <c r="C3" s="509"/>
      <c r="D3" s="519"/>
      <c r="E3" s="519"/>
      <c r="F3" s="519"/>
      <c r="G3" s="519"/>
      <c r="H3" s="519"/>
      <c r="I3" s="519"/>
      <c r="J3" s="487" t="s">
        <v>11438</v>
      </c>
      <c r="K3" s="131"/>
      <c r="L3" s="131"/>
    </row>
    <row r="4" ht="13.5" customHeight="1">
      <c r="A4" s="520"/>
      <c r="B4" s="520"/>
      <c r="C4" s="509"/>
      <c r="D4" s="519"/>
      <c r="E4" s="507" t="s">
        <v>1484</v>
      </c>
      <c r="F4" s="519"/>
      <c r="G4" s="519"/>
      <c r="H4" s="519"/>
      <c r="I4" s="519"/>
      <c r="J4" s="421" t="s">
        <v>11439</v>
      </c>
      <c r="K4" s="131"/>
      <c r="L4" s="131"/>
    </row>
    <row r="5" ht="13.5" customHeight="1">
      <c r="A5" s="520"/>
      <c r="B5" s="520"/>
      <c r="C5" s="509"/>
      <c r="D5" s="519"/>
      <c r="E5" s="519"/>
      <c r="F5" s="519"/>
      <c r="G5" s="519"/>
      <c r="H5" s="519"/>
      <c r="I5" s="519"/>
      <c r="J5" s="329" t="s">
        <v>2958</v>
      </c>
      <c r="K5" s="131"/>
      <c r="L5" s="521"/>
    </row>
    <row r="6" ht="13.5" customHeight="1">
      <c r="A6" s="520"/>
      <c r="B6" s="520"/>
      <c r="C6" s="509"/>
      <c r="D6" s="519"/>
      <c r="E6" s="519"/>
      <c r="F6" s="519"/>
      <c r="G6" s="519"/>
      <c r="H6" s="519"/>
      <c r="I6" s="519"/>
      <c r="J6" s="329"/>
      <c r="K6" s="131"/>
      <c r="L6" s="522"/>
    </row>
    <row r="7" ht="13.5" customHeight="1">
      <c r="A7" s="520"/>
      <c r="B7" s="520"/>
      <c r="C7" s="509"/>
      <c r="D7" s="523" t="s">
        <v>11446</v>
      </c>
      <c r="G7" s="519"/>
      <c r="H7" s="519"/>
      <c r="I7" s="519"/>
      <c r="J7" s="524"/>
      <c r="K7" s="524"/>
      <c r="L7" s="524"/>
    </row>
    <row r="8" ht="13.5" customHeight="1">
      <c r="A8" s="73"/>
      <c r="B8" s="476"/>
      <c r="C8" s="73"/>
      <c r="D8" s="526"/>
      <c r="E8" s="526"/>
      <c r="F8" s="526"/>
      <c r="G8" s="73"/>
      <c r="H8" s="73"/>
      <c r="I8" s="73"/>
      <c r="J8" s="527"/>
      <c r="K8" s="527"/>
    </row>
    <row r="9" ht="13.5" customHeight="1">
      <c r="A9" s="528" t="s">
        <v>2892</v>
      </c>
      <c r="B9" s="476" t="s">
        <v>11436</v>
      </c>
      <c r="C9" s="73"/>
      <c r="D9" s="529"/>
      <c r="E9" s="73"/>
      <c r="F9" s="73"/>
      <c r="G9" s="73"/>
      <c r="H9" s="530"/>
      <c r="I9" s="531"/>
      <c r="J9" s="530" t="s">
        <v>11447</v>
      </c>
      <c r="K9" s="531"/>
      <c r="L9" s="289"/>
    </row>
    <row r="10" ht="13.5" customHeight="1">
      <c r="A10" s="532" t="s">
        <v>11448</v>
      </c>
      <c r="B10" s="533" t="s">
        <v>11449</v>
      </c>
      <c r="C10" s="532" t="s">
        <v>11462</v>
      </c>
      <c r="D10" s="2"/>
      <c r="E10" s="2"/>
      <c r="F10" s="2"/>
      <c r="G10" s="2"/>
      <c r="H10" s="532" t="s">
        <v>11450</v>
      </c>
      <c r="I10" s="2"/>
      <c r="J10" s="535" t="s">
        <v>11451</v>
      </c>
      <c r="K10" s="536"/>
      <c r="L10" s="532" t="s">
        <v>2905</v>
      </c>
    </row>
    <row r="11" ht="13.5" customHeight="1">
      <c r="A11" s="537">
        <v>1.0</v>
      </c>
      <c r="B11" s="56" t="s">
        <v>4946</v>
      </c>
      <c r="C11" s="475" t="str">
        <f>IFERROR(VLOOKUP(B11,Stock,3,FALSE),"")</f>
        <v>Nissan Terra 18-</v>
      </c>
      <c r="H11" s="557">
        <v>1.0</v>
      </c>
      <c r="I11" s="557" t="s">
        <v>2894</v>
      </c>
      <c r="J11" s="539">
        <v>3000000.0</v>
      </c>
      <c r="K11" s="536"/>
      <c r="L11" s="578">
        <f t="shared" ref="L11:L16" si="1">H11*J11</f>
        <v>3000000</v>
      </c>
    </row>
    <row r="12" ht="13.5" customHeight="1">
      <c r="A12" s="541">
        <v>2.0</v>
      </c>
      <c r="B12" s="56" t="s">
        <v>2934</v>
      </c>
      <c r="C12" s="475" t="str">
        <f>IFERROR(VLOOKUP(B12,Stock,3,FALSE),"")</f>
        <v>Peti Kayu</v>
      </c>
      <c r="H12" s="203">
        <v>1.0</v>
      </c>
      <c r="I12" s="203" t="s">
        <v>97</v>
      </c>
      <c r="J12" s="388">
        <v>200000.0</v>
      </c>
      <c r="L12" s="540">
        <f t="shared" si="1"/>
        <v>200000</v>
      </c>
    </row>
    <row r="13" ht="13.5" customHeight="1">
      <c r="A13" s="537"/>
      <c r="B13" s="56"/>
      <c r="C13" s="475" t="str">
        <f>IFERROR(VLOOKUP(B13,Stock,3,FALSE),"")</f>
        <v/>
      </c>
      <c r="H13" s="203"/>
      <c r="I13" s="203"/>
      <c r="J13" s="542"/>
      <c r="L13" s="540">
        <f t="shared" si="1"/>
        <v>0</v>
      </c>
    </row>
    <row r="14" ht="13.5" customHeight="1">
      <c r="A14" s="541"/>
      <c r="B14" s="169"/>
      <c r="C14" s="475" t="str">
        <f>IFERROR(VLOOKUP(B14,Stock,3,FALSE),"")</f>
        <v/>
      </c>
      <c r="H14" s="203"/>
      <c r="I14" s="203"/>
      <c r="J14" s="388"/>
      <c r="L14" s="540">
        <f t="shared" si="1"/>
        <v>0</v>
      </c>
    </row>
    <row r="15" ht="13.5" customHeight="1">
      <c r="A15" s="541"/>
      <c r="B15" s="304"/>
      <c r="C15" s="475" t="str">
        <f>IFERROR(VLOOKUP(B15,Stock,3,FALSE),"")</f>
        <v/>
      </c>
      <c r="H15" s="203"/>
      <c r="I15" s="203"/>
      <c r="J15" s="542"/>
      <c r="L15" s="540">
        <f t="shared" si="1"/>
        <v>0</v>
      </c>
    </row>
    <row r="16" ht="13.5" customHeight="1">
      <c r="A16" s="203"/>
      <c r="B16" s="175"/>
      <c r="C16" s="475" t="str">
        <f>IFERROR(VLOOKUP(B16,Stock,3,FALSE),"")</f>
        <v/>
      </c>
      <c r="H16" s="203"/>
      <c r="I16" s="203"/>
      <c r="J16" s="542"/>
      <c r="L16" s="540">
        <f t="shared" si="1"/>
        <v>0</v>
      </c>
    </row>
    <row r="17" ht="13.5" customHeight="1">
      <c r="A17" s="203"/>
      <c r="B17" s="175"/>
      <c r="C17" s="475" t="str">
        <f>IFERROR(VLOOKUP(B17,Stock,3,FALSE),"")</f>
        <v/>
      </c>
      <c r="H17" s="203"/>
      <c r="I17" s="203"/>
      <c r="J17" s="542"/>
      <c r="K17" s="542"/>
      <c r="L17" s="540"/>
    </row>
    <row r="18" ht="13.5" customHeight="1">
      <c r="A18" s="543"/>
      <c r="B18" s="544" t="s">
        <v>11452</v>
      </c>
      <c r="C18" s="531"/>
      <c r="D18" s="531"/>
      <c r="E18" s="531"/>
      <c r="F18" s="531"/>
      <c r="G18" s="531"/>
      <c r="H18" s="530"/>
      <c r="I18" s="530"/>
      <c r="J18" s="545"/>
      <c r="K18" s="531"/>
      <c r="L18" s="540">
        <f>H18*J18</f>
        <v>0</v>
      </c>
    </row>
    <row r="19" ht="13.5" customHeight="1">
      <c r="A19" s="579"/>
      <c r="B19" s="536"/>
      <c r="C19" s="536"/>
      <c r="D19" s="536"/>
      <c r="E19" s="547"/>
      <c r="F19" s="547"/>
      <c r="G19" s="547"/>
      <c r="H19" s="548"/>
      <c r="I19" s="516"/>
      <c r="J19" s="549"/>
      <c r="K19" s="200" t="s">
        <v>11453</v>
      </c>
      <c r="L19" s="575">
        <f>SUM(L11:L18)</f>
        <v>3200000</v>
      </c>
    </row>
    <row r="20" ht="13.5" customHeight="1">
      <c r="A20" s="551"/>
      <c r="D20" s="552" t="s">
        <v>11454</v>
      </c>
      <c r="E20" s="553"/>
      <c r="F20" s="554" t="s">
        <v>11455</v>
      </c>
      <c r="J20" s="555"/>
      <c r="K20" s="181" t="s">
        <v>11456</v>
      </c>
      <c r="L20" s="556">
        <v>1600000.0</v>
      </c>
    </row>
    <row r="21" ht="13.5" customHeight="1">
      <c r="A21" s="509"/>
      <c r="B21" s="557"/>
      <c r="C21" s="557"/>
      <c r="D21" s="557"/>
      <c r="E21" s="558" t="s">
        <v>1484</v>
      </c>
      <c r="J21" s="559"/>
      <c r="K21" s="560" t="s">
        <v>11457</v>
      </c>
      <c r="L21" s="561">
        <f>L19-L20</f>
        <v>1600000</v>
      </c>
    </row>
    <row r="22" ht="13.5" customHeight="1">
      <c r="A22" s="509"/>
      <c r="B22" s="520"/>
      <c r="C22" s="520"/>
      <c r="D22" s="563"/>
      <c r="E22" s="553"/>
      <c r="J22" s="564"/>
      <c r="K22" s="200"/>
      <c r="L22" s="565"/>
    </row>
    <row r="23" ht="13.5" customHeight="1">
      <c r="A23" s="509"/>
      <c r="B23" s="520"/>
      <c r="C23" s="520"/>
      <c r="D23" s="520"/>
      <c r="E23" s="520"/>
      <c r="J23" s="566"/>
      <c r="K23" s="566" t="s">
        <v>11458</v>
      </c>
      <c r="L23" s="566"/>
    </row>
    <row r="24" ht="13.5" customHeight="1">
      <c r="A24" s="567" t="s">
        <v>11459</v>
      </c>
      <c r="B24" s="508"/>
      <c r="C24" s="508"/>
      <c r="D24" s="563" t="s">
        <v>11460</v>
      </c>
      <c r="E24" s="520"/>
      <c r="F24" s="569"/>
      <c r="G24" s="569"/>
      <c r="H24" s="569"/>
      <c r="I24" s="569"/>
      <c r="J24" s="570"/>
      <c r="K24" s="580" t="s">
        <v>11463</v>
      </c>
    </row>
    <row r="25" ht="15.75" customHeight="1">
      <c r="G25" s="6" t="s">
        <v>1484</v>
      </c>
      <c r="H25" s="6" t="s">
        <v>3066</v>
      </c>
      <c r="K25" s="572"/>
    </row>
    <row r="26" ht="15.75" customHeight="1"/>
    <row r="27" ht="15.75" customHeight="1"/>
    <row r="28" ht="15.75" customHeight="1"/>
    <row r="29" ht="15.75" customHeight="1"/>
    <row r="30" ht="13.5" customHeight="1">
      <c r="A30" s="507" t="s">
        <v>11442</v>
      </c>
      <c r="B30" s="508"/>
      <c r="C30" s="509"/>
      <c r="D30" s="509"/>
      <c r="E30" s="573"/>
      <c r="F30" s="510"/>
      <c r="G30" s="509"/>
      <c r="H30" s="509"/>
      <c r="I30" s="509"/>
      <c r="J30" s="511" t="s">
        <v>2867</v>
      </c>
      <c r="L30" s="512">
        <f>L1</f>
        <v>46139</v>
      </c>
    </row>
    <row r="31" ht="13.5" customHeight="1">
      <c r="A31" s="513" t="str">
        <f>A2</f>
        <v>Jl. Bratang Gede No.138, Ngagelrejo, Kec. Wonokromo, Surabaya, Jawa Timur 60245</v>
      </c>
      <c r="B31" s="514"/>
      <c r="C31" s="515"/>
      <c r="D31" s="515"/>
      <c r="E31" s="515"/>
      <c r="F31" s="509"/>
      <c r="G31" s="509"/>
      <c r="H31" s="509"/>
      <c r="I31" s="509"/>
      <c r="J31" s="511" t="s">
        <v>11444</v>
      </c>
      <c r="L31" s="516"/>
    </row>
    <row r="32" ht="13.5" customHeight="1">
      <c r="A32" s="517" t="s">
        <v>11445</v>
      </c>
      <c r="B32" s="518"/>
      <c r="C32" s="509"/>
      <c r="D32" s="519"/>
      <c r="E32" s="519"/>
      <c r="F32" s="519"/>
      <c r="G32" s="507"/>
      <c r="H32" s="519"/>
      <c r="I32" s="519"/>
      <c r="J32" s="307" t="str">
        <f t="shared" ref="J32:J35" si="2">J3</f>
        <v>Bpk Piter candra</v>
      </c>
      <c r="K32" s="131"/>
      <c r="L32" s="131"/>
    </row>
    <row r="33" ht="13.5" customHeight="1">
      <c r="A33" s="520"/>
      <c r="B33" s="520"/>
      <c r="C33" s="509"/>
      <c r="D33" s="519"/>
      <c r="E33" s="519"/>
      <c r="F33" s="519"/>
      <c r="G33" s="519"/>
      <c r="H33" s="519"/>
      <c r="I33" s="519"/>
      <c r="J33" s="6" t="str">
        <f t="shared" si="2"/>
        <v>+62 818-542-003</v>
      </c>
      <c r="K33" s="131"/>
      <c r="L33" s="131"/>
    </row>
    <row r="34" ht="13.5" customHeight="1">
      <c r="A34" s="520"/>
      <c r="B34" s="520"/>
      <c r="C34" s="509"/>
      <c r="D34" s="519"/>
      <c r="E34" s="519"/>
      <c r="F34" s="519"/>
      <c r="G34" s="519"/>
      <c r="H34" s="519"/>
      <c r="I34" s="519"/>
      <c r="J34" s="521" t="str">
        <f t="shared" si="2"/>
        <v>Surabaya</v>
      </c>
    </row>
    <row r="35" ht="13.5" customHeight="1">
      <c r="A35" s="520"/>
      <c r="B35" s="520"/>
      <c r="C35" s="509"/>
      <c r="D35" s="519"/>
      <c r="E35" s="519"/>
      <c r="F35" s="519"/>
      <c r="G35" s="519"/>
      <c r="H35" s="519"/>
      <c r="I35" s="519"/>
      <c r="J35" s="329" t="str">
        <f t="shared" si="2"/>
        <v/>
      </c>
      <c r="K35" s="522"/>
      <c r="L35" s="522"/>
    </row>
    <row r="36" ht="13.5" customHeight="1">
      <c r="A36" s="520"/>
      <c r="B36" s="520"/>
      <c r="C36" s="509"/>
      <c r="D36" s="523" t="s">
        <v>11446</v>
      </c>
      <c r="G36" s="519"/>
      <c r="H36" s="519"/>
      <c r="I36" s="519"/>
      <c r="J36" s="524"/>
      <c r="K36" s="524"/>
      <c r="L36" s="524"/>
    </row>
    <row r="37" ht="13.5" customHeight="1">
      <c r="A37" s="73"/>
      <c r="B37" s="518"/>
      <c r="C37" s="73"/>
      <c r="D37" s="526"/>
      <c r="E37" s="526"/>
      <c r="F37" s="526"/>
      <c r="G37" s="73"/>
      <c r="H37" s="73"/>
      <c r="I37" s="73"/>
      <c r="J37" s="527"/>
      <c r="K37" s="527"/>
    </row>
    <row r="38" ht="13.5" customHeight="1">
      <c r="A38" s="528" t="s">
        <v>2892</v>
      </c>
      <c r="B38" s="496" t="str">
        <f>B9</f>
        <v>D260092</v>
      </c>
      <c r="C38" s="73"/>
      <c r="D38" s="529"/>
      <c r="E38" s="73"/>
      <c r="F38" s="73"/>
      <c r="G38" s="73"/>
      <c r="H38" s="557"/>
      <c r="J38" s="557" t="s">
        <v>11447</v>
      </c>
      <c r="L38" s="223" t="str">
        <f>L9</f>
        <v/>
      </c>
    </row>
    <row r="39" ht="13.5" customHeight="1">
      <c r="A39" s="532" t="s">
        <v>11448</v>
      </c>
      <c r="B39" s="533" t="s">
        <v>11449</v>
      </c>
      <c r="C39" s="532" t="s">
        <v>11462</v>
      </c>
      <c r="D39" s="2"/>
      <c r="E39" s="2"/>
      <c r="F39" s="2"/>
      <c r="G39" s="2"/>
      <c r="H39" s="532" t="s">
        <v>11450</v>
      </c>
      <c r="I39" s="2"/>
      <c r="J39" s="532" t="s">
        <v>11451</v>
      </c>
      <c r="K39" s="2"/>
      <c r="L39" s="532" t="s">
        <v>2905</v>
      </c>
    </row>
    <row r="40" ht="13.5" customHeight="1">
      <c r="A40" s="537">
        <f t="shared" ref="A40:B40" si="3">A11</f>
        <v>1</v>
      </c>
      <c r="B40" s="513" t="str">
        <f t="shared" si="3"/>
        <v>LFW-TERRA18RSXYG</v>
      </c>
      <c r="C40" s="87" t="str">
        <f>IFERROR(VLOOKUP(B40,Stock,3,FALSE),"")</f>
        <v>Nissan Terra 18-</v>
      </c>
      <c r="H40" s="538">
        <f t="shared" ref="H40:H44" si="5">H11</f>
        <v>1</v>
      </c>
      <c r="I40" s="538" t="s">
        <v>2894</v>
      </c>
      <c r="J40" s="539">
        <f>J11</f>
        <v>3000000</v>
      </c>
      <c r="K40" s="536"/>
      <c r="L40" s="540">
        <f t="shared" ref="L40:L45" si="7">H40*J40</f>
        <v>3000000</v>
      </c>
    </row>
    <row r="41" ht="13.5" customHeight="1">
      <c r="A41" s="537">
        <f t="shared" ref="A41:B41" si="4">A12</f>
        <v>2</v>
      </c>
      <c r="B41" s="56" t="str">
        <f t="shared" si="4"/>
        <v>OTH-PETIKAYU</v>
      </c>
      <c r="C41" s="87" t="str">
        <f>IFERROR(VLOOKUP(B41,Stock,3,FALSE),"")</f>
        <v>Peti Kayu</v>
      </c>
      <c r="H41" s="574">
        <f t="shared" si="5"/>
        <v>1</v>
      </c>
      <c r="I41" s="203" t="str">
        <f t="shared" ref="I41:J41" si="6">I12</f>
        <v>X</v>
      </c>
      <c r="J41" s="388">
        <f t="shared" si="6"/>
        <v>200000</v>
      </c>
      <c r="L41" s="540">
        <f t="shared" si="7"/>
        <v>200000</v>
      </c>
    </row>
    <row r="42" ht="13.5" customHeight="1">
      <c r="A42" s="537" t="str">
        <f t="shared" ref="A42:B42" si="8">A13</f>
        <v/>
      </c>
      <c r="B42" s="56" t="str">
        <f t="shared" si="8"/>
        <v/>
      </c>
      <c r="C42" s="87" t="str">
        <f>IFERROR(VLOOKUP(B42,Stock,3,FALSE),"")</f>
        <v/>
      </c>
      <c r="H42" s="203" t="str">
        <f t="shared" si="5"/>
        <v/>
      </c>
      <c r="I42" s="203" t="str">
        <f t="shared" ref="I42:J42" si="9">I13</f>
        <v/>
      </c>
      <c r="J42" s="388" t="str">
        <f t="shared" si="9"/>
        <v/>
      </c>
      <c r="L42" s="540">
        <f t="shared" si="7"/>
        <v>0</v>
      </c>
    </row>
    <row r="43" ht="13.5" customHeight="1">
      <c r="A43" s="537" t="str">
        <f t="shared" ref="A43:B43" si="10">A14</f>
        <v/>
      </c>
      <c r="B43" s="56" t="str">
        <f t="shared" si="10"/>
        <v/>
      </c>
      <c r="C43" s="87" t="str">
        <f>IFERROR(VLOOKUP(B43,Stock,3,FALSE),"")</f>
        <v/>
      </c>
      <c r="H43" s="203" t="str">
        <f t="shared" si="5"/>
        <v/>
      </c>
      <c r="I43" s="203" t="str">
        <f t="shared" ref="I43:J43" si="11">I14</f>
        <v/>
      </c>
      <c r="J43" s="388" t="str">
        <f t="shared" si="11"/>
        <v/>
      </c>
      <c r="L43" s="540">
        <f t="shared" si="7"/>
        <v>0</v>
      </c>
    </row>
    <row r="44" ht="13.5" customHeight="1">
      <c r="A44" s="537" t="str">
        <f t="shared" ref="A44:B44" si="12">A15</f>
        <v/>
      </c>
      <c r="B44" s="56" t="str">
        <f t="shared" si="12"/>
        <v/>
      </c>
      <c r="C44" s="87" t="str">
        <f>IFERROR(VLOOKUP(B44,Stock,3,FALSE),"")</f>
        <v/>
      </c>
      <c r="H44" s="203" t="str">
        <f t="shared" si="5"/>
        <v/>
      </c>
      <c r="I44" s="203" t="str">
        <f t="shared" ref="I44:J44" si="13">I15</f>
        <v/>
      </c>
      <c r="J44" s="542" t="str">
        <f t="shared" si="13"/>
        <v/>
      </c>
      <c r="L44" s="540">
        <f t="shared" si="7"/>
        <v>0</v>
      </c>
    </row>
    <row r="45" ht="13.5" customHeight="1">
      <c r="A45" s="203"/>
      <c r="B45" s="56" t="str">
        <f>B16</f>
        <v/>
      </c>
      <c r="C45" s="56"/>
      <c r="D45" s="56"/>
      <c r="E45" s="56"/>
      <c r="F45" s="56"/>
      <c r="G45" s="56"/>
      <c r="H45" s="203"/>
      <c r="I45" s="203"/>
      <c r="J45" s="542"/>
      <c r="K45" s="542"/>
      <c r="L45" s="540">
        <f t="shared" si="7"/>
        <v>0</v>
      </c>
    </row>
    <row r="46" ht="13.5" customHeight="1">
      <c r="A46" s="543" t="str">
        <f t="shared" ref="A46:B46" si="14">A18</f>
        <v/>
      </c>
      <c r="B46" s="544" t="str">
        <f t="shared" si="14"/>
        <v>BCA 6041794388 an Alvin Wijaya                                        </v>
      </c>
      <c r="C46" s="531"/>
      <c r="D46" s="531"/>
      <c r="E46" s="531"/>
      <c r="F46" s="531"/>
      <c r="G46" s="531"/>
      <c r="H46" s="530"/>
      <c r="I46" s="530" t="str">
        <f t="shared" ref="I46:J46" si="15">I18</f>
        <v/>
      </c>
      <c r="J46" s="545" t="str">
        <f t="shared" si="15"/>
        <v/>
      </c>
      <c r="K46" s="531"/>
      <c r="L46" s="540">
        <f t="shared" ref="L46:L47" si="16">L18</f>
        <v>0</v>
      </c>
    </row>
    <row r="47" ht="13.5" customHeight="1">
      <c r="A47" s="579"/>
      <c r="B47" s="536"/>
      <c r="C47" s="536"/>
      <c r="D47" s="536"/>
      <c r="E47" s="547"/>
      <c r="F47" s="547"/>
      <c r="G47" s="547"/>
      <c r="H47" s="548"/>
      <c r="I47" s="516"/>
      <c r="J47" s="549"/>
      <c r="K47" s="200" t="s">
        <v>11453</v>
      </c>
      <c r="L47" s="575">
        <f t="shared" si="16"/>
        <v>3200000</v>
      </c>
    </row>
    <row r="48" ht="13.5" customHeight="1">
      <c r="A48" s="551"/>
      <c r="D48" s="552" t="s">
        <v>11454</v>
      </c>
      <c r="E48" s="553"/>
      <c r="F48" s="554" t="s">
        <v>11455</v>
      </c>
      <c r="J48" s="555"/>
      <c r="K48" s="181" t="str">
        <f t="shared" ref="K48:L48" si="17">K20</f>
        <v>DP</v>
      </c>
      <c r="L48" s="556">
        <f t="shared" si="17"/>
        <v>1600000</v>
      </c>
    </row>
    <row r="49" ht="13.5" customHeight="1">
      <c r="A49" s="509"/>
      <c r="B49" s="557"/>
      <c r="C49" s="557"/>
      <c r="D49" s="557"/>
      <c r="E49" s="558" t="s">
        <v>1484</v>
      </c>
      <c r="J49" s="559"/>
      <c r="K49" s="560" t="s">
        <v>11457</v>
      </c>
      <c r="L49" s="561">
        <f>L21</f>
        <v>1600000</v>
      </c>
    </row>
    <row r="50" ht="13.5" customHeight="1">
      <c r="A50" s="509"/>
      <c r="B50" s="520"/>
      <c r="C50" s="520"/>
      <c r="D50" s="563"/>
      <c r="E50" s="553"/>
      <c r="J50" s="564"/>
      <c r="K50" s="200"/>
      <c r="L50" s="565"/>
    </row>
    <row r="51" ht="13.5" customHeight="1">
      <c r="A51" s="509"/>
      <c r="B51" s="520"/>
      <c r="C51" s="520"/>
      <c r="D51" s="520"/>
      <c r="E51" s="520"/>
      <c r="J51" s="566"/>
      <c r="K51" s="566" t="s">
        <v>11458</v>
      </c>
      <c r="L51" s="566"/>
    </row>
    <row r="52" ht="13.5" customHeight="1">
      <c r="A52" s="567" t="s">
        <v>11459</v>
      </c>
      <c r="B52" s="508"/>
      <c r="C52" s="508"/>
      <c r="D52" s="563" t="s">
        <v>11460</v>
      </c>
      <c r="E52" s="520"/>
      <c r="F52" s="569"/>
      <c r="G52" s="569"/>
      <c r="H52" s="569"/>
      <c r="I52" s="569"/>
      <c r="J52" s="570"/>
      <c r="K52" s="576" t="str">
        <f t="shared" ref="K52:K53" si="18">K24</f>
        <v>EXCLUDE BIAYA CARGO</v>
      </c>
    </row>
    <row r="53" ht="15.75" customHeight="1">
      <c r="J53" s="6" t="s">
        <v>11464</v>
      </c>
      <c r="K53" s="101" t="str">
        <f t="shared" si="18"/>
        <v/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</sheetData>
  <mergeCells count="48">
    <mergeCell ref="D7:F7"/>
    <mergeCell ref="H9:I9"/>
    <mergeCell ref="J9:K9"/>
    <mergeCell ref="C10:G10"/>
    <mergeCell ref="H10:I10"/>
    <mergeCell ref="J10:K10"/>
    <mergeCell ref="J11:K11"/>
    <mergeCell ref="J14:K14"/>
    <mergeCell ref="J15:K15"/>
    <mergeCell ref="J34:L34"/>
    <mergeCell ref="K24:L24"/>
    <mergeCell ref="C11:G11"/>
    <mergeCell ref="C12:G12"/>
    <mergeCell ref="J12:K12"/>
    <mergeCell ref="C13:G13"/>
    <mergeCell ref="J13:K13"/>
    <mergeCell ref="C14:G14"/>
    <mergeCell ref="C15:G15"/>
    <mergeCell ref="C16:G16"/>
    <mergeCell ref="J16:K16"/>
    <mergeCell ref="C17:G17"/>
    <mergeCell ref="B18:G18"/>
    <mergeCell ref="J18:K18"/>
    <mergeCell ref="A19:D19"/>
    <mergeCell ref="A20:C20"/>
    <mergeCell ref="F20:I23"/>
    <mergeCell ref="D36:F36"/>
    <mergeCell ref="H38:I38"/>
    <mergeCell ref="J38:K38"/>
    <mergeCell ref="H39:I39"/>
    <mergeCell ref="J39:K39"/>
    <mergeCell ref="J42:K42"/>
    <mergeCell ref="J43:K43"/>
    <mergeCell ref="C44:G44"/>
    <mergeCell ref="J44:K44"/>
    <mergeCell ref="B46:G46"/>
    <mergeCell ref="J46:K46"/>
    <mergeCell ref="A47:D47"/>
    <mergeCell ref="A48:C48"/>
    <mergeCell ref="F48:I51"/>
    <mergeCell ref="K52:L52"/>
    <mergeCell ref="C39:G39"/>
    <mergeCell ref="C40:G40"/>
    <mergeCell ref="J40:K40"/>
    <mergeCell ref="C41:G41"/>
    <mergeCell ref="J41:K41"/>
    <mergeCell ref="C42:G42"/>
    <mergeCell ref="C43:G43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5.0"/>
    <col customWidth="1" min="3" max="3" width="23.29"/>
    <col customWidth="1" min="4" max="4" width="8.71"/>
    <col customWidth="1" min="5" max="5" width="11.43"/>
    <col customWidth="1" min="6" max="6" width="8.71"/>
    <col customWidth="1" min="7" max="7" width="6.71"/>
    <col customWidth="1" min="8" max="8" width="7.57"/>
    <col customWidth="1" min="9" max="9" width="3.57"/>
    <col customWidth="1" min="10" max="10" width="3.43"/>
    <col customWidth="1" min="11" max="11" width="7.29"/>
    <col customWidth="1" min="12" max="12" width="7.0"/>
    <col customWidth="1" min="13" max="13" width="12.0"/>
  </cols>
  <sheetData>
    <row r="1" ht="13.5" customHeight="1">
      <c r="A1" s="507"/>
      <c r="B1" s="507" t="s">
        <v>11442</v>
      </c>
      <c r="C1" s="508"/>
      <c r="D1" s="509"/>
      <c r="E1" s="509"/>
      <c r="F1" s="509"/>
      <c r="G1" s="510"/>
      <c r="H1" s="509"/>
      <c r="I1" s="509"/>
      <c r="J1" s="509"/>
      <c r="K1" s="511" t="s">
        <v>2867</v>
      </c>
      <c r="M1" s="512">
        <v>46139.0</v>
      </c>
    </row>
    <row r="2" ht="13.5" customHeight="1">
      <c r="A2" s="56"/>
      <c r="B2" s="513" t="s">
        <v>11443</v>
      </c>
      <c r="C2" s="514"/>
      <c r="D2" s="515"/>
      <c r="E2" s="515"/>
      <c r="F2" s="515"/>
      <c r="G2" s="509"/>
      <c r="H2" s="509"/>
      <c r="I2" s="509"/>
      <c r="J2" s="509"/>
      <c r="K2" s="511" t="s">
        <v>11444</v>
      </c>
      <c r="M2" s="516"/>
    </row>
    <row r="3" ht="13.5" customHeight="1">
      <c r="A3" s="517"/>
      <c r="B3" s="517" t="s">
        <v>11445</v>
      </c>
      <c r="C3" s="518"/>
      <c r="D3" s="509"/>
      <c r="E3" s="519"/>
      <c r="F3" s="519"/>
      <c r="G3" s="519"/>
      <c r="H3" s="519"/>
      <c r="I3" s="519"/>
      <c r="J3" s="519"/>
      <c r="K3" s="487" t="s">
        <v>4989</v>
      </c>
      <c r="L3" s="131"/>
      <c r="M3" s="131"/>
    </row>
    <row r="4" ht="13.5" customHeight="1">
      <c r="A4" s="520"/>
      <c r="B4" s="520"/>
      <c r="C4" s="520"/>
      <c r="D4" s="509"/>
      <c r="E4" s="519"/>
      <c r="F4" s="519"/>
      <c r="G4" s="519"/>
      <c r="H4" s="519"/>
      <c r="I4" s="519"/>
      <c r="J4" s="519"/>
      <c r="K4" s="421" t="s">
        <v>11441</v>
      </c>
      <c r="L4" s="131"/>
      <c r="M4" s="131"/>
    </row>
    <row r="5" ht="13.5" customHeight="1">
      <c r="A5" s="520"/>
      <c r="B5" s="520"/>
      <c r="C5" s="520"/>
      <c r="D5" s="509"/>
      <c r="E5" s="519"/>
      <c r="F5" s="519"/>
      <c r="G5" s="519"/>
      <c r="H5" s="519"/>
      <c r="I5" s="519"/>
      <c r="J5" s="519"/>
      <c r="K5" s="329" t="s">
        <v>2958</v>
      </c>
      <c r="L5" s="131"/>
      <c r="M5" s="521"/>
    </row>
    <row r="6" ht="13.5" customHeight="1">
      <c r="A6" s="520"/>
      <c r="B6" s="520"/>
      <c r="C6" s="520"/>
      <c r="D6" s="509"/>
      <c r="E6" s="523"/>
      <c r="F6" s="523"/>
      <c r="G6" s="523"/>
      <c r="H6" s="519"/>
      <c r="I6" s="519"/>
      <c r="J6" s="519"/>
      <c r="K6" s="524"/>
      <c r="L6" s="524"/>
      <c r="M6" s="524"/>
    </row>
    <row r="7" ht="13.5" customHeight="1">
      <c r="A7" s="520"/>
      <c r="B7" s="520"/>
      <c r="C7" s="520"/>
      <c r="D7" s="509"/>
      <c r="E7" s="523" t="s">
        <v>11446</v>
      </c>
      <c r="H7" s="519"/>
      <c r="I7" s="519"/>
      <c r="J7" s="519"/>
      <c r="K7" s="524"/>
      <c r="L7" s="524"/>
      <c r="M7" s="524"/>
    </row>
    <row r="8" ht="13.5" customHeight="1">
      <c r="A8" s="73"/>
      <c r="B8" s="73"/>
      <c r="C8" s="518"/>
      <c r="D8" s="73"/>
      <c r="E8" s="526"/>
      <c r="F8" s="526"/>
      <c r="G8" s="526"/>
      <c r="H8" s="73"/>
      <c r="I8" s="73"/>
      <c r="J8" s="73"/>
      <c r="K8" s="527"/>
      <c r="L8" s="527"/>
    </row>
    <row r="9" ht="13.5" customHeight="1">
      <c r="A9" s="581"/>
      <c r="B9" s="528" t="s">
        <v>2892</v>
      </c>
      <c r="C9" s="476" t="s">
        <v>11440</v>
      </c>
      <c r="D9" s="73"/>
      <c r="E9" s="529"/>
      <c r="F9" s="73"/>
      <c r="G9" s="73"/>
      <c r="H9" s="73"/>
      <c r="I9" s="530"/>
      <c r="J9" s="531"/>
      <c r="K9" s="530" t="s">
        <v>11447</v>
      </c>
      <c r="L9" s="531"/>
      <c r="M9" s="289"/>
    </row>
    <row r="10" ht="13.5" customHeight="1">
      <c r="A10" s="557"/>
      <c r="B10" s="532" t="s">
        <v>11448</v>
      </c>
      <c r="C10" s="533" t="s">
        <v>11449</v>
      </c>
      <c r="D10" s="532" t="s">
        <v>11462</v>
      </c>
      <c r="E10" s="2"/>
      <c r="F10" s="2"/>
      <c r="G10" s="2"/>
      <c r="H10" s="2"/>
      <c r="I10" s="532" t="s">
        <v>11450</v>
      </c>
      <c r="J10" s="2"/>
      <c r="K10" s="535" t="s">
        <v>11451</v>
      </c>
      <c r="L10" s="536"/>
      <c r="M10" s="532" t="s">
        <v>2905</v>
      </c>
    </row>
    <row r="11" ht="13.5" customHeight="1">
      <c r="A11" s="537"/>
      <c r="B11" s="537">
        <v>1.0</v>
      </c>
      <c r="C11" s="56" t="s">
        <v>2693</v>
      </c>
      <c r="D11" s="475" t="str">
        <f>IFERROR(VLOOKUP(C11,Stock,3,FALSE),"")</f>
        <v>Nissan X-Trail 01-07 T30</v>
      </c>
      <c r="I11" s="557">
        <v>1.0</v>
      </c>
      <c r="J11" s="557" t="s">
        <v>2894</v>
      </c>
      <c r="K11" s="539">
        <v>1521000.0</v>
      </c>
      <c r="L11" s="536"/>
      <c r="M11" s="540">
        <f t="shared" ref="M11:M16" si="1">I11*K11</f>
        <v>1521000</v>
      </c>
    </row>
    <row r="12" ht="13.5" customHeight="1">
      <c r="A12" s="541"/>
      <c r="B12" s="541">
        <v>2.0</v>
      </c>
      <c r="C12" s="56" t="s">
        <v>2934</v>
      </c>
      <c r="D12" s="475" t="str">
        <f>IFERROR(VLOOKUP(C12,Stock,3,FALSE),"")</f>
        <v>Peti Kayu</v>
      </c>
      <c r="I12" s="203">
        <v>1.0</v>
      </c>
      <c r="J12" s="203" t="s">
        <v>97</v>
      </c>
      <c r="K12" s="388">
        <v>200000.0</v>
      </c>
      <c r="M12" s="540">
        <f t="shared" si="1"/>
        <v>200000</v>
      </c>
    </row>
    <row r="13" ht="13.5" customHeight="1">
      <c r="A13" s="537"/>
      <c r="B13" s="541"/>
      <c r="C13" s="56"/>
      <c r="D13" s="475" t="str">
        <f>IFERROR(VLOOKUP(C13,Stock,3,FALSE),"")</f>
        <v/>
      </c>
      <c r="I13" s="203"/>
      <c r="J13" s="203"/>
      <c r="K13" s="542"/>
      <c r="M13" s="540">
        <f t="shared" si="1"/>
        <v>0</v>
      </c>
    </row>
    <row r="14" ht="13.5" customHeight="1">
      <c r="A14" s="541"/>
      <c r="B14" s="541"/>
      <c r="C14" s="56"/>
      <c r="D14" s="475" t="str">
        <f>IFERROR(VLOOKUP(C14,Stock,3,FALSE),"")</f>
        <v/>
      </c>
      <c r="I14" s="203"/>
      <c r="J14" s="203"/>
      <c r="K14" s="388"/>
      <c r="M14" s="540">
        <f t="shared" si="1"/>
        <v>0</v>
      </c>
    </row>
    <row r="15" ht="13.5" customHeight="1">
      <c r="A15" s="541"/>
      <c r="B15" s="541"/>
      <c r="C15" s="56"/>
      <c r="D15" s="475" t="str">
        <f>IFERROR(VLOOKUP(C15,Stock,3,FALSE),"")</f>
        <v/>
      </c>
      <c r="I15" s="203"/>
      <c r="J15" s="203"/>
      <c r="K15" s="388"/>
      <c r="M15" s="540">
        <f t="shared" si="1"/>
        <v>0</v>
      </c>
    </row>
    <row r="16" ht="13.5" customHeight="1">
      <c r="A16" s="543"/>
      <c r="B16" s="582"/>
      <c r="C16" s="544" t="s">
        <v>11452</v>
      </c>
      <c r="D16" s="531"/>
      <c r="E16" s="531"/>
      <c r="F16" s="531"/>
      <c r="G16" s="531"/>
      <c r="H16" s="531"/>
      <c r="I16" s="530"/>
      <c r="J16" s="530"/>
      <c r="K16" s="545"/>
      <c r="L16" s="531"/>
      <c r="M16" s="540">
        <f t="shared" si="1"/>
        <v>0</v>
      </c>
    </row>
    <row r="17" ht="13.5" customHeight="1">
      <c r="A17" s="583"/>
      <c r="B17" s="584"/>
      <c r="F17" s="584"/>
      <c r="J17" s="516"/>
      <c r="K17" s="549"/>
      <c r="L17" s="200" t="s">
        <v>11453</v>
      </c>
      <c r="M17" s="575">
        <f>SUM(M11:M16)</f>
        <v>1721000</v>
      </c>
    </row>
    <row r="18" ht="13.5" customHeight="1">
      <c r="A18" s="551"/>
      <c r="B18" s="551"/>
      <c r="E18" s="552" t="s">
        <v>11454</v>
      </c>
      <c r="F18" s="553"/>
      <c r="G18" s="554" t="s">
        <v>11455</v>
      </c>
      <c r="K18" s="555"/>
      <c r="L18" s="181" t="s">
        <v>11456</v>
      </c>
      <c r="M18" s="556"/>
    </row>
    <row r="19" ht="13.5" customHeight="1">
      <c r="A19" s="509"/>
      <c r="B19" s="509"/>
      <c r="C19" s="557"/>
      <c r="D19" s="557"/>
      <c r="E19" s="557"/>
      <c r="F19" s="558" t="s">
        <v>1484</v>
      </c>
      <c r="K19" s="559"/>
      <c r="L19" s="560" t="s">
        <v>11457</v>
      </c>
      <c r="M19" s="561">
        <f>M17-M18</f>
        <v>1721000</v>
      </c>
    </row>
    <row r="20" ht="13.5" customHeight="1">
      <c r="A20" s="509"/>
      <c r="B20" s="509"/>
      <c r="C20" s="520"/>
      <c r="D20" s="520"/>
      <c r="E20" s="563"/>
      <c r="F20" s="553"/>
      <c r="K20" s="564"/>
      <c r="L20" s="200"/>
      <c r="M20" s="565"/>
    </row>
    <row r="21" ht="13.5" customHeight="1">
      <c r="A21" s="509"/>
      <c r="B21" s="509"/>
      <c r="C21" s="520"/>
      <c r="D21" s="520"/>
      <c r="E21" s="520"/>
      <c r="F21" s="520"/>
      <c r="K21" s="566"/>
      <c r="L21" s="566" t="s">
        <v>11458</v>
      </c>
      <c r="M21" s="566"/>
    </row>
    <row r="22" ht="13.5" customHeight="1">
      <c r="A22" s="508"/>
      <c r="B22" s="567" t="s">
        <v>11459</v>
      </c>
      <c r="C22" s="508"/>
      <c r="D22" s="508"/>
      <c r="E22" s="563" t="s">
        <v>11460</v>
      </c>
      <c r="F22" s="520"/>
      <c r="G22" s="569"/>
      <c r="H22" s="569"/>
      <c r="I22" s="569"/>
      <c r="J22" s="569"/>
      <c r="K22" s="570"/>
      <c r="L22" s="580" t="s">
        <v>11465</v>
      </c>
    </row>
    <row r="23" ht="15.75" customHeight="1">
      <c r="H23" s="6" t="s">
        <v>1484</v>
      </c>
      <c r="L23" s="572"/>
    </row>
    <row r="24" ht="15.75" customHeight="1"/>
    <row r="25" ht="15.75" customHeight="1"/>
    <row r="26" ht="15.75" customHeight="1">
      <c r="E26" s="6" t="s">
        <v>3066</v>
      </c>
    </row>
    <row r="27" ht="13.5" customHeight="1">
      <c r="A27" s="507"/>
      <c r="B27" s="507"/>
      <c r="C27" s="508"/>
      <c r="D27" s="509"/>
      <c r="E27" s="509"/>
      <c r="F27" s="573"/>
      <c r="G27" s="509"/>
      <c r="H27" s="509"/>
      <c r="I27" s="509"/>
      <c r="J27" s="509"/>
      <c r="K27" s="511"/>
      <c r="M27" s="512"/>
    </row>
    <row r="28" ht="13.5" customHeight="1">
      <c r="A28" s="56"/>
      <c r="B28" s="56"/>
      <c r="C28" s="518"/>
      <c r="D28" s="509"/>
      <c r="E28" s="509"/>
      <c r="F28" s="509"/>
      <c r="G28" s="509"/>
      <c r="H28" s="509"/>
      <c r="I28" s="509"/>
      <c r="J28" s="509"/>
      <c r="K28" s="511"/>
      <c r="M28" s="516"/>
    </row>
    <row r="29" ht="13.5" customHeight="1">
      <c r="A29" s="517"/>
      <c r="B29" s="517"/>
      <c r="C29" s="518"/>
      <c r="D29" s="509"/>
      <c r="E29" s="519"/>
      <c r="F29" s="519"/>
      <c r="G29" s="519"/>
      <c r="H29" s="519"/>
      <c r="I29" s="519"/>
      <c r="J29" s="519"/>
      <c r="K29" s="307"/>
      <c r="L29" s="131"/>
      <c r="M29" s="131"/>
    </row>
    <row r="30" ht="13.5" customHeight="1">
      <c r="A30" s="520"/>
      <c r="B30" s="520"/>
      <c r="C30" s="520"/>
      <c r="D30" s="509"/>
      <c r="E30" s="519"/>
      <c r="F30" s="519"/>
      <c r="G30" s="519"/>
      <c r="H30" s="519"/>
      <c r="I30" s="519"/>
      <c r="J30" s="519"/>
      <c r="L30" s="131"/>
      <c r="M30" s="131"/>
    </row>
    <row r="31" ht="13.5" customHeight="1">
      <c r="A31" s="520"/>
      <c r="B31" s="520"/>
      <c r="C31" s="520"/>
      <c r="D31" s="509"/>
      <c r="E31" s="519"/>
      <c r="F31" s="519"/>
      <c r="G31" s="519"/>
      <c r="H31" s="519"/>
      <c r="I31" s="519"/>
      <c r="J31" s="519"/>
      <c r="K31" s="521"/>
    </row>
    <row r="32" ht="13.5" customHeight="1">
      <c r="A32" s="520"/>
      <c r="B32" s="520"/>
      <c r="C32" s="520"/>
      <c r="D32" s="509"/>
      <c r="E32" s="519"/>
      <c r="F32" s="519"/>
      <c r="G32" s="519"/>
      <c r="H32" s="519"/>
      <c r="I32" s="519"/>
      <c r="J32" s="519"/>
      <c r="K32" s="329"/>
      <c r="L32" s="522"/>
      <c r="M32" s="522"/>
    </row>
    <row r="33" ht="13.5" customHeight="1">
      <c r="A33" s="520"/>
      <c r="B33" s="520"/>
      <c r="C33" s="520"/>
      <c r="D33" s="509"/>
      <c r="E33" s="523"/>
      <c r="H33" s="519"/>
      <c r="I33" s="519"/>
      <c r="J33" s="519"/>
      <c r="K33" s="524"/>
      <c r="L33" s="524"/>
      <c r="M33" s="524"/>
    </row>
    <row r="34" ht="13.5" customHeight="1">
      <c r="A34" s="73"/>
      <c r="B34" s="73"/>
      <c r="C34" s="518"/>
      <c r="D34" s="73"/>
      <c r="E34" s="526"/>
      <c r="F34" s="526"/>
      <c r="G34" s="526"/>
      <c r="H34" s="73"/>
      <c r="I34" s="73"/>
      <c r="J34" s="73"/>
      <c r="K34" s="527"/>
      <c r="L34" s="527"/>
    </row>
    <row r="35" ht="13.5" customHeight="1">
      <c r="A35" s="581"/>
      <c r="B35" s="581"/>
      <c r="C35" s="496"/>
      <c r="D35" s="73"/>
      <c r="E35" s="529"/>
      <c r="F35" s="73"/>
      <c r="G35" s="73"/>
      <c r="H35" s="73"/>
      <c r="I35" s="557"/>
      <c r="K35" s="557"/>
      <c r="M35" s="223"/>
    </row>
    <row r="36" ht="13.5" customHeight="1">
      <c r="A36" s="557"/>
      <c r="B36" s="557"/>
      <c r="C36" s="585"/>
      <c r="D36" s="557"/>
      <c r="I36" s="557"/>
      <c r="K36" s="557"/>
      <c r="M36" s="557"/>
    </row>
    <row r="37" ht="13.5" customHeight="1">
      <c r="A37" s="537"/>
      <c r="B37" s="537"/>
      <c r="C37" s="56"/>
      <c r="D37" s="475"/>
      <c r="I37" s="203"/>
      <c r="J37" s="203"/>
      <c r="K37" s="388"/>
      <c r="M37" s="540"/>
    </row>
    <row r="38" ht="13.5" customHeight="1">
      <c r="A38" s="541"/>
      <c r="B38" s="541"/>
      <c r="C38" s="56"/>
      <c r="D38" s="87"/>
      <c r="I38" s="574"/>
      <c r="J38" s="203"/>
      <c r="K38" s="388"/>
      <c r="M38" s="540"/>
    </row>
    <row r="39" ht="13.5" customHeight="1">
      <c r="A39" s="537"/>
      <c r="B39" s="537"/>
      <c r="C39" s="56"/>
      <c r="D39" s="87"/>
      <c r="I39" s="203"/>
      <c r="J39" s="203"/>
      <c r="K39" s="388"/>
      <c r="M39" s="540"/>
    </row>
    <row r="40" ht="13.5" customHeight="1">
      <c r="A40" s="541"/>
      <c r="B40" s="541"/>
      <c r="C40" s="169"/>
      <c r="D40" s="87"/>
      <c r="I40" s="203"/>
      <c r="J40" s="203"/>
      <c r="K40" s="388"/>
      <c r="M40" s="540"/>
    </row>
    <row r="41" ht="13.5" customHeight="1">
      <c r="A41" s="541"/>
      <c r="B41" s="541"/>
      <c r="C41" s="56"/>
      <c r="D41" s="87"/>
      <c r="I41" s="203"/>
      <c r="J41" s="203"/>
      <c r="K41" s="542"/>
      <c r="M41" s="540"/>
    </row>
    <row r="42" ht="13.5" customHeight="1">
      <c r="A42" s="203"/>
      <c r="B42" s="203"/>
      <c r="C42" s="175"/>
      <c r="D42" s="56"/>
      <c r="I42" s="203"/>
      <c r="J42" s="203"/>
      <c r="K42" s="542"/>
      <c r="M42" s="540"/>
    </row>
    <row r="43" ht="13.5" customHeight="1">
      <c r="A43" s="203"/>
      <c r="B43" s="203"/>
      <c r="C43" s="175"/>
      <c r="D43" s="56"/>
      <c r="E43" s="56"/>
      <c r="F43" s="56"/>
      <c r="G43" s="56"/>
      <c r="H43" s="56"/>
      <c r="I43" s="203"/>
      <c r="J43" s="203"/>
      <c r="K43" s="542"/>
      <c r="L43" s="542"/>
      <c r="M43" s="540"/>
    </row>
    <row r="44" ht="13.5" customHeight="1">
      <c r="A44" s="543"/>
      <c r="B44" s="543"/>
      <c r="C44" s="175"/>
      <c r="I44" s="557"/>
      <c r="J44" s="557"/>
      <c r="K44" s="586"/>
      <c r="M44" s="540"/>
    </row>
    <row r="45" ht="13.5" customHeight="1">
      <c r="A45" s="587"/>
      <c r="B45" s="587"/>
      <c r="F45" s="588"/>
      <c r="G45" s="588"/>
      <c r="H45" s="588"/>
      <c r="I45" s="548"/>
      <c r="J45" s="516"/>
      <c r="K45" s="549"/>
      <c r="L45" s="200"/>
      <c r="M45" s="589"/>
    </row>
    <row r="46" ht="13.5" customHeight="1">
      <c r="A46" s="551"/>
      <c r="B46" s="551"/>
      <c r="E46" s="552"/>
      <c r="F46" s="553"/>
      <c r="G46" s="554"/>
      <c r="K46" s="555"/>
      <c r="L46" s="200"/>
      <c r="M46" s="590"/>
    </row>
    <row r="47" ht="13.5" customHeight="1">
      <c r="A47" s="509"/>
      <c r="B47" s="509"/>
      <c r="C47" s="557"/>
      <c r="D47" s="557"/>
      <c r="E47" s="557"/>
      <c r="F47" s="558"/>
      <c r="K47" s="559"/>
      <c r="L47" s="560"/>
      <c r="M47" s="591"/>
    </row>
    <row r="48" ht="13.5" customHeight="1">
      <c r="A48" s="509"/>
      <c r="B48" s="509"/>
      <c r="C48" s="520"/>
      <c r="D48" s="520"/>
      <c r="E48" s="563"/>
      <c r="F48" s="553"/>
      <c r="K48" s="564"/>
      <c r="L48" s="200"/>
      <c r="M48" s="565"/>
    </row>
    <row r="49" ht="13.5" customHeight="1">
      <c r="A49" s="509"/>
      <c r="B49" s="509"/>
      <c r="C49" s="520"/>
      <c r="D49" s="520"/>
      <c r="E49" s="520"/>
      <c r="F49" s="520"/>
      <c r="K49" s="566"/>
      <c r="L49" s="566"/>
      <c r="M49" s="566"/>
    </row>
    <row r="50" ht="13.5" customHeight="1">
      <c r="A50" s="508"/>
      <c r="B50" s="508"/>
      <c r="C50" s="508"/>
      <c r="D50" s="508"/>
      <c r="E50" s="563"/>
      <c r="F50" s="520"/>
      <c r="G50" s="569"/>
      <c r="H50" s="569"/>
      <c r="I50" s="569"/>
      <c r="J50" s="569"/>
      <c r="K50" s="570"/>
      <c r="L50" s="576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</sheetData>
  <mergeCells count="48">
    <mergeCell ref="E7:G7"/>
    <mergeCell ref="I9:J9"/>
    <mergeCell ref="K9:L9"/>
    <mergeCell ref="D10:H10"/>
    <mergeCell ref="I10:J10"/>
    <mergeCell ref="K10:L10"/>
    <mergeCell ref="K11:L11"/>
    <mergeCell ref="D11:H11"/>
    <mergeCell ref="C16:H16"/>
    <mergeCell ref="K16:L16"/>
    <mergeCell ref="B17:E17"/>
    <mergeCell ref="F17:I17"/>
    <mergeCell ref="B18:D18"/>
    <mergeCell ref="G18:J21"/>
    <mergeCell ref="L22:M22"/>
    <mergeCell ref="D12:H12"/>
    <mergeCell ref="D13:H13"/>
    <mergeCell ref="K13:L13"/>
    <mergeCell ref="D14:H14"/>
    <mergeCell ref="D15:H15"/>
    <mergeCell ref="K12:L12"/>
    <mergeCell ref="I36:J36"/>
    <mergeCell ref="K36:L36"/>
    <mergeCell ref="K14:L14"/>
    <mergeCell ref="K15:L15"/>
    <mergeCell ref="K31:M31"/>
    <mergeCell ref="E33:G33"/>
    <mergeCell ref="I35:J35"/>
    <mergeCell ref="K35:L35"/>
    <mergeCell ref="D36:H36"/>
    <mergeCell ref="D37:H37"/>
    <mergeCell ref="K37:L37"/>
    <mergeCell ref="D38:H38"/>
    <mergeCell ref="K38:L38"/>
    <mergeCell ref="D39:H39"/>
    <mergeCell ref="K39:L39"/>
    <mergeCell ref="K40:L40"/>
    <mergeCell ref="B45:E45"/>
    <mergeCell ref="B46:D46"/>
    <mergeCell ref="G46:J49"/>
    <mergeCell ref="L50:M50"/>
    <mergeCell ref="D40:H40"/>
    <mergeCell ref="D41:H41"/>
    <mergeCell ref="K41:L41"/>
    <mergeCell ref="D42:H42"/>
    <mergeCell ref="K42:L42"/>
    <mergeCell ref="C44:H44"/>
    <mergeCell ref="K44:L44"/>
  </mergeCells>
  <printOptions horizontalCentered="1"/>
  <pageMargins bottom="0.75" footer="0.0" header="0.0" left="0.25" right="0.25" top="0.75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1.71"/>
    <col customWidth="1" min="3" max="3" width="8.71"/>
    <col customWidth="1" min="4" max="4" width="11.43"/>
    <col customWidth="1" min="5" max="5" width="8.71"/>
    <col customWidth="1" min="6" max="6" width="6.71"/>
    <col customWidth="1" min="7" max="7" width="7.29"/>
    <col customWidth="1" min="8" max="8" width="3.57"/>
    <col customWidth="1" min="9" max="9" width="3.43"/>
    <col customWidth="1" min="10" max="10" width="6.43"/>
    <col customWidth="1" min="11" max="11" width="9.71"/>
    <col customWidth="1" min="12" max="12" width="12.0"/>
    <col customWidth="1" min="13" max="16" width="8.71"/>
  </cols>
  <sheetData>
    <row r="1" ht="13.5" customHeight="1">
      <c r="A1" s="507" t="s">
        <v>11442</v>
      </c>
      <c r="B1" s="508"/>
      <c r="C1" s="509"/>
      <c r="D1" s="509"/>
      <c r="E1" s="509"/>
      <c r="F1" s="510"/>
      <c r="G1" s="509"/>
      <c r="H1" s="509"/>
      <c r="I1" s="509"/>
      <c r="J1" s="511" t="s">
        <v>2867</v>
      </c>
      <c r="L1" s="592">
        <v>46133.0</v>
      </c>
    </row>
    <row r="2" ht="13.5" customHeight="1">
      <c r="A2" s="513" t="s">
        <v>11443</v>
      </c>
      <c r="B2" s="514"/>
      <c r="C2" s="515"/>
      <c r="D2" s="515"/>
      <c r="E2" s="515"/>
      <c r="F2" s="509"/>
      <c r="G2" s="509"/>
      <c r="H2" s="509"/>
      <c r="I2" s="509"/>
      <c r="J2" s="511" t="s">
        <v>11444</v>
      </c>
      <c r="L2" s="516"/>
    </row>
    <row r="3" ht="13.5" customHeight="1">
      <c r="A3" s="517" t="s">
        <v>11445</v>
      </c>
      <c r="B3" s="518"/>
      <c r="C3" s="509"/>
      <c r="D3" s="519"/>
      <c r="E3" s="519"/>
      <c r="F3" s="519"/>
      <c r="G3" s="519"/>
      <c r="H3" s="519"/>
      <c r="I3" s="519"/>
      <c r="J3" s="307" t="s">
        <v>11395</v>
      </c>
      <c r="K3" s="284"/>
      <c r="L3" s="284"/>
    </row>
    <row r="4" ht="13.5" customHeight="1">
      <c r="A4" s="520"/>
      <c r="B4" s="520"/>
      <c r="C4" s="509"/>
      <c r="D4" s="519"/>
      <c r="E4" s="519"/>
      <c r="F4" s="519"/>
      <c r="G4" s="519"/>
      <c r="H4" s="519"/>
      <c r="I4" s="519"/>
      <c r="J4" s="329" t="s">
        <v>2958</v>
      </c>
    </row>
    <row r="5" ht="13.5" customHeight="1">
      <c r="A5" s="520"/>
      <c r="B5" s="520"/>
      <c r="C5" s="509"/>
      <c r="D5" s="519"/>
      <c r="E5" s="519"/>
      <c r="F5" s="519"/>
      <c r="G5" s="519"/>
      <c r="H5" s="519"/>
      <c r="I5" s="519"/>
      <c r="J5" s="329"/>
      <c r="K5" s="329"/>
      <c r="L5" s="329"/>
    </row>
    <row r="6" ht="13.5" customHeight="1">
      <c r="A6" s="520"/>
      <c r="B6" s="520"/>
      <c r="C6" s="509"/>
      <c r="D6" s="519"/>
      <c r="E6" s="519"/>
      <c r="F6" s="519"/>
      <c r="G6" s="519"/>
      <c r="H6" s="519"/>
      <c r="I6" s="519"/>
      <c r="J6" s="307"/>
    </row>
    <row r="7" ht="13.5" customHeight="1">
      <c r="A7" s="520"/>
      <c r="B7" s="520"/>
      <c r="C7" s="509"/>
      <c r="D7" s="523" t="s">
        <v>11446</v>
      </c>
      <c r="G7" s="519"/>
      <c r="H7" s="519"/>
      <c r="I7" s="519"/>
      <c r="J7" s="524"/>
      <c r="K7" s="524"/>
      <c r="L7" s="524"/>
    </row>
    <row r="8" ht="13.5" customHeight="1">
      <c r="A8" s="73"/>
      <c r="B8" s="518"/>
      <c r="C8" s="73"/>
      <c r="D8" s="526"/>
      <c r="E8" s="526"/>
      <c r="F8" s="526"/>
      <c r="G8" s="73"/>
      <c r="H8" s="73"/>
      <c r="I8" s="73"/>
      <c r="J8" s="527"/>
      <c r="K8" s="527"/>
      <c r="L8" s="527"/>
    </row>
    <row r="9" ht="13.5" customHeight="1">
      <c r="A9" s="528" t="s">
        <v>2892</v>
      </c>
      <c r="B9" s="476" t="s">
        <v>11394</v>
      </c>
      <c r="C9" s="73"/>
      <c r="D9" s="529"/>
      <c r="E9" s="73"/>
      <c r="F9" s="73"/>
      <c r="G9" s="73"/>
      <c r="H9" s="530"/>
      <c r="I9" s="531"/>
      <c r="J9" s="530" t="s">
        <v>11447</v>
      </c>
      <c r="K9" s="531"/>
      <c r="L9" s="593"/>
    </row>
    <row r="10" ht="13.5" customHeight="1">
      <c r="A10" s="532" t="s">
        <v>11448</v>
      </c>
      <c r="B10" s="533" t="s">
        <v>11449</v>
      </c>
      <c r="C10" s="532" t="s">
        <v>11462</v>
      </c>
      <c r="D10" s="2"/>
      <c r="E10" s="2"/>
      <c r="F10" s="2"/>
      <c r="G10" s="2"/>
      <c r="H10" s="532" t="s">
        <v>11450</v>
      </c>
      <c r="I10" s="2"/>
      <c r="J10" s="535" t="s">
        <v>11451</v>
      </c>
      <c r="K10" s="536"/>
      <c r="L10" s="532" t="s">
        <v>2905</v>
      </c>
    </row>
    <row r="11" ht="13.5" customHeight="1">
      <c r="A11" s="537">
        <v>1.0</v>
      </c>
      <c r="B11" s="56" t="s">
        <v>2663</v>
      </c>
      <c r="C11" s="594" t="str">
        <f>IFERROR(VLOOKUP(B11,Stock,3,FALSE),"")</f>
        <v>Chevrolet Captiva 06-18 1st gen C100</v>
      </c>
      <c r="H11" s="538">
        <v>1.0</v>
      </c>
      <c r="I11" s="538" t="s">
        <v>2894</v>
      </c>
      <c r="J11" s="539">
        <v>1802000.0</v>
      </c>
      <c r="K11" s="536"/>
      <c r="L11" s="595">
        <f t="shared" ref="L11:L15" si="1">H11*J11</f>
        <v>1802000</v>
      </c>
    </row>
    <row r="12" ht="13.5" customHeight="1">
      <c r="A12" s="541"/>
      <c r="B12" s="56"/>
      <c r="C12" s="594" t="str">
        <f>IFERROR(VLOOKUP(B12,Stock,3,FALSE),"")</f>
        <v/>
      </c>
      <c r="H12" s="574"/>
      <c r="I12" s="203"/>
      <c r="J12" s="388"/>
      <c r="L12" s="595">
        <f t="shared" si="1"/>
        <v>0</v>
      </c>
    </row>
    <row r="13" ht="13.5" customHeight="1">
      <c r="A13" s="541"/>
      <c r="B13" s="56"/>
      <c r="C13" s="594" t="str">
        <f>IFERROR(VLOOKUP(B13,Stock,3,FALSE),"")</f>
        <v/>
      </c>
      <c r="H13" s="203"/>
      <c r="I13" s="203"/>
      <c r="J13" s="542"/>
      <c r="L13" s="595">
        <f t="shared" si="1"/>
        <v>0</v>
      </c>
      <c r="P13" s="73"/>
    </row>
    <row r="14" ht="13.5" customHeight="1">
      <c r="A14" s="596"/>
      <c r="B14" s="474"/>
      <c r="C14" s="594" t="str">
        <f>IFERROR(VLOOKUP(B14,Stock,3,FALSE),"")</f>
        <v/>
      </c>
      <c r="H14" s="596"/>
      <c r="I14" s="596"/>
      <c r="J14" s="597"/>
      <c r="L14" s="595">
        <f t="shared" si="1"/>
        <v>0</v>
      </c>
    </row>
    <row r="15" ht="13.5" customHeight="1">
      <c r="A15" s="543"/>
      <c r="B15" s="598"/>
      <c r="C15" s="531"/>
      <c r="D15" s="531"/>
      <c r="E15" s="531"/>
      <c r="F15" s="531"/>
      <c r="G15" s="531"/>
      <c r="H15" s="557"/>
      <c r="I15" s="557"/>
      <c r="J15" s="545"/>
      <c r="K15" s="531"/>
      <c r="L15" s="595">
        <f t="shared" si="1"/>
        <v>0</v>
      </c>
    </row>
    <row r="16" ht="13.5" customHeight="1">
      <c r="A16" s="546"/>
      <c r="B16" s="536"/>
      <c r="C16" s="536"/>
      <c r="D16" s="536"/>
      <c r="E16" s="547"/>
      <c r="F16" s="547"/>
      <c r="G16" s="547"/>
      <c r="H16" s="599"/>
      <c r="I16" s="600"/>
      <c r="J16" s="549"/>
      <c r="K16" s="200" t="s">
        <v>11453</v>
      </c>
      <c r="L16" s="601">
        <f>SUM(L11:L15)</f>
        <v>1802000</v>
      </c>
    </row>
    <row r="17" ht="13.5" customHeight="1">
      <c r="A17" s="551"/>
      <c r="D17" s="552"/>
      <c r="E17" s="553"/>
      <c r="F17" s="554" t="s">
        <v>11455</v>
      </c>
      <c r="J17" s="555"/>
      <c r="K17" s="181" t="s">
        <v>11456</v>
      </c>
      <c r="L17" s="602"/>
    </row>
    <row r="18" ht="13.5" customHeight="1">
      <c r="A18" s="509"/>
      <c r="B18" s="557"/>
      <c r="C18" s="557"/>
      <c r="D18" s="557"/>
      <c r="E18" s="553"/>
      <c r="J18" s="559"/>
      <c r="K18" s="560" t="s">
        <v>11457</v>
      </c>
      <c r="L18" s="603">
        <f>L16-L17</f>
        <v>1802000</v>
      </c>
    </row>
    <row r="19" ht="13.5" customHeight="1">
      <c r="A19" s="509"/>
      <c r="B19" s="520"/>
      <c r="C19" s="520"/>
      <c r="D19" s="563"/>
      <c r="E19" s="553"/>
      <c r="J19" s="564"/>
      <c r="K19" s="200"/>
      <c r="L19" s="565"/>
    </row>
    <row r="20" ht="13.5" customHeight="1">
      <c r="A20" s="509"/>
      <c r="B20" s="520"/>
      <c r="C20" s="520"/>
      <c r="D20" s="520"/>
      <c r="E20" s="520"/>
      <c r="J20" s="604" t="s">
        <v>1484</v>
      </c>
      <c r="K20" s="566" t="s">
        <v>11458</v>
      </c>
      <c r="L20" s="566"/>
    </row>
    <row r="21" ht="13.5" customHeight="1">
      <c r="A21" s="567" t="s">
        <v>11459</v>
      </c>
      <c r="B21" s="508"/>
      <c r="C21" s="508"/>
      <c r="D21" s="563"/>
      <c r="E21" s="520"/>
      <c r="F21" s="569"/>
      <c r="G21" s="569"/>
      <c r="H21" s="569"/>
      <c r="I21" s="569"/>
      <c r="J21" s="570"/>
      <c r="K21" s="576" t="s">
        <v>11466</v>
      </c>
    </row>
    <row r="22" ht="13.5" customHeight="1">
      <c r="B22" s="605"/>
      <c r="F22" s="131"/>
      <c r="H22" s="606"/>
      <c r="I22" s="606"/>
      <c r="J22" s="564"/>
      <c r="K22" s="607"/>
      <c r="L22" s="559"/>
    </row>
    <row r="23" ht="13.5" customHeight="1">
      <c r="K23" s="608"/>
      <c r="L23" s="608"/>
    </row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21">
    <mergeCell ref="J10:K10"/>
    <mergeCell ref="J11:K11"/>
    <mergeCell ref="J6:L6"/>
    <mergeCell ref="D7:F7"/>
    <mergeCell ref="H9:I9"/>
    <mergeCell ref="J9:K9"/>
    <mergeCell ref="C10:G10"/>
    <mergeCell ref="H10:I10"/>
    <mergeCell ref="C11:G11"/>
    <mergeCell ref="B15:G15"/>
    <mergeCell ref="A16:D16"/>
    <mergeCell ref="A17:C17"/>
    <mergeCell ref="F17:I20"/>
    <mergeCell ref="K21:L21"/>
    <mergeCell ref="C12:G12"/>
    <mergeCell ref="J12:K12"/>
    <mergeCell ref="C13:G13"/>
    <mergeCell ref="J13:K13"/>
    <mergeCell ref="C14:G14"/>
    <mergeCell ref="J14:K14"/>
    <mergeCell ref="J15:K15"/>
  </mergeCells>
  <printOptions horizontalCentered="1"/>
  <pageMargins bottom="0.75" footer="0.0" header="0.0" left="0.25" right="0.25" top="0.75"/>
  <pageSetup paperSize="11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23.71"/>
    <col customWidth="1" min="3" max="3" width="8.71"/>
    <col customWidth="1" min="4" max="4" width="11.43"/>
    <col customWidth="1" min="5" max="5" width="8.71"/>
    <col customWidth="1" min="6" max="6" width="0.71"/>
    <col customWidth="1" min="7" max="7" width="5.14"/>
    <col customWidth="1" min="8" max="8" width="2.43"/>
    <col customWidth="1" min="9" max="9" width="7.14"/>
    <col customWidth="1" min="10" max="10" width="6.43"/>
    <col customWidth="1" min="11" max="11" width="8.14"/>
    <col customWidth="1" min="12" max="12" width="14.14"/>
    <col customWidth="1" min="13" max="20" width="8.71"/>
  </cols>
  <sheetData>
    <row r="1" ht="13.5" customHeight="1">
      <c r="A1" s="507" t="s">
        <v>11442</v>
      </c>
      <c r="B1" s="508"/>
      <c r="C1" s="509"/>
      <c r="D1" s="509"/>
      <c r="E1" s="509"/>
      <c r="F1" s="509"/>
      <c r="G1" s="509"/>
      <c r="H1" s="509"/>
      <c r="I1" s="609" t="s">
        <v>2867</v>
      </c>
      <c r="L1" s="610">
        <v>46128.0</v>
      </c>
    </row>
    <row r="2" ht="13.5" customHeight="1">
      <c r="A2" s="513" t="s">
        <v>11467</v>
      </c>
      <c r="B2" s="514"/>
      <c r="C2" s="515"/>
      <c r="D2" s="515"/>
      <c r="E2" s="515"/>
      <c r="F2" s="509"/>
      <c r="G2" s="509"/>
      <c r="H2" s="509"/>
      <c r="I2" s="609" t="s">
        <v>11444</v>
      </c>
    </row>
    <row r="3" ht="13.5" customHeight="1">
      <c r="A3" s="517" t="s">
        <v>11445</v>
      </c>
      <c r="B3" s="518"/>
      <c r="C3" s="509"/>
      <c r="D3" s="519"/>
      <c r="E3" s="519"/>
      <c r="F3" s="519"/>
      <c r="G3" s="519"/>
      <c r="H3" s="519"/>
      <c r="I3" s="56" t="s">
        <v>11340</v>
      </c>
      <c r="K3" s="516"/>
      <c r="L3" s="131"/>
    </row>
    <row r="4" ht="13.5" customHeight="1">
      <c r="A4" s="520"/>
      <c r="B4" s="520"/>
      <c r="C4" s="509"/>
      <c r="D4" s="519"/>
      <c r="E4" s="519"/>
      <c r="F4" s="519"/>
      <c r="G4" s="519"/>
      <c r="H4" s="519"/>
      <c r="I4" s="329" t="s">
        <v>2958</v>
      </c>
      <c r="J4" s="611"/>
      <c r="K4" s="611"/>
      <c r="L4" s="493"/>
    </row>
    <row r="5" ht="13.5" customHeight="1">
      <c r="A5" s="520"/>
      <c r="B5" s="520"/>
      <c r="C5" s="509"/>
      <c r="D5" s="523"/>
      <c r="E5" s="523"/>
      <c r="F5" s="523"/>
      <c r="G5" s="519"/>
      <c r="H5" s="519"/>
      <c r="I5" s="329"/>
      <c r="J5" s="527"/>
      <c r="K5" s="527"/>
      <c r="L5" s="527"/>
    </row>
    <row r="6" ht="13.5" customHeight="1">
      <c r="A6" s="520"/>
      <c r="B6" s="520"/>
      <c r="C6" s="509"/>
      <c r="D6" s="523"/>
      <c r="E6" s="523"/>
      <c r="F6" s="523"/>
      <c r="G6" s="519"/>
      <c r="H6" s="519"/>
      <c r="I6" s="612"/>
      <c r="J6" s="527"/>
      <c r="K6" s="527"/>
      <c r="L6" s="527"/>
    </row>
    <row r="7" ht="13.5" customHeight="1">
      <c r="A7" s="520"/>
      <c r="B7" s="520"/>
      <c r="C7" s="509"/>
      <c r="D7" s="523"/>
      <c r="E7" s="523"/>
      <c r="F7" s="523"/>
      <c r="G7" s="519"/>
      <c r="H7" s="519"/>
      <c r="I7" s="169"/>
      <c r="J7" s="527"/>
      <c r="K7" s="527"/>
      <c r="L7" s="527"/>
    </row>
    <row r="8" ht="13.5" customHeight="1">
      <c r="A8" s="520"/>
      <c r="B8" s="520"/>
      <c r="C8" s="509"/>
      <c r="D8" s="523"/>
      <c r="E8" s="523"/>
      <c r="F8" s="523"/>
      <c r="G8" s="519"/>
      <c r="H8" s="519"/>
      <c r="I8" s="519"/>
      <c r="J8" s="527"/>
      <c r="K8" s="527"/>
      <c r="L8" s="527"/>
    </row>
    <row r="9" ht="13.5" customHeight="1">
      <c r="A9" s="520"/>
      <c r="B9" s="520"/>
      <c r="C9" s="509"/>
      <c r="D9" s="523" t="s">
        <v>11468</v>
      </c>
      <c r="G9" s="519"/>
      <c r="H9" s="519"/>
      <c r="I9" s="519"/>
      <c r="J9" s="527"/>
      <c r="K9" s="527"/>
      <c r="L9" s="527"/>
    </row>
    <row r="10" ht="13.5" customHeight="1">
      <c r="A10" s="528" t="s">
        <v>11469</v>
      </c>
      <c r="B10" s="476" t="s">
        <v>11339</v>
      </c>
      <c r="C10" s="73"/>
      <c r="D10" s="529"/>
      <c r="E10" s="73"/>
      <c r="F10" s="73"/>
      <c r="G10" s="73"/>
      <c r="H10" s="530"/>
      <c r="I10" s="531"/>
      <c r="J10" s="530"/>
      <c r="K10" s="531"/>
      <c r="L10" s="530"/>
    </row>
    <row r="11" ht="13.5" customHeight="1">
      <c r="A11" s="532" t="s">
        <v>11448</v>
      </c>
      <c r="B11" s="533" t="s">
        <v>11449</v>
      </c>
      <c r="C11" s="532" t="s">
        <v>11462</v>
      </c>
      <c r="D11" s="2"/>
      <c r="E11" s="2"/>
      <c r="F11" s="2"/>
      <c r="G11" s="2"/>
      <c r="H11" s="532" t="s">
        <v>2540</v>
      </c>
      <c r="I11" s="2"/>
      <c r="J11" s="2"/>
      <c r="K11" s="2"/>
      <c r="L11" s="532" t="s">
        <v>11470</v>
      </c>
    </row>
    <row r="12" ht="13.5" customHeight="1">
      <c r="A12" s="537">
        <v>1.0</v>
      </c>
      <c r="B12" s="56" t="s">
        <v>2723</v>
      </c>
      <c r="C12" s="613" t="str">
        <f>IFERROR(VLOOKUP(B12,Stock,3,FALSE),"")</f>
        <v>Suzuki Carry New 19-</v>
      </c>
      <c r="L12" s="56">
        <v>1.0</v>
      </c>
    </row>
    <row r="13" ht="13.5" customHeight="1">
      <c r="A13" s="541"/>
      <c r="B13" s="56"/>
      <c r="C13" s="614"/>
      <c r="L13" s="56"/>
    </row>
    <row r="14" ht="13.5" customHeight="1">
      <c r="A14" s="537"/>
      <c r="B14" s="56"/>
      <c r="C14" s="613" t="str">
        <f>IFERROR(VLOOKUP(B14,Stock,3,FALSE),"")</f>
        <v/>
      </c>
      <c r="L14" s="56"/>
    </row>
    <row r="15" ht="13.5" customHeight="1">
      <c r="A15" s="203"/>
      <c r="B15" s="169"/>
      <c r="C15" s="613" t="str">
        <f>IFERROR(VLOOKUP(B15,Stock,3,FALSE),"")</f>
        <v/>
      </c>
      <c r="L15" s="56"/>
    </row>
    <row r="16" ht="13.5" customHeight="1">
      <c r="A16" s="593"/>
      <c r="B16" s="615"/>
      <c r="C16" s="616" t="str">
        <f>IFERROR(VLOOKUP(B16,Stock,3,FALSE),"")</f>
        <v/>
      </c>
      <c r="D16" s="531"/>
      <c r="E16" s="531"/>
      <c r="F16" s="531"/>
      <c r="G16" s="531"/>
      <c r="H16" s="531"/>
      <c r="I16" s="531"/>
      <c r="J16" s="531"/>
      <c r="K16" s="531"/>
      <c r="L16" s="617"/>
    </row>
    <row r="17" ht="13.5" customHeight="1">
      <c r="A17" s="588"/>
      <c r="B17" s="175"/>
      <c r="C17" s="588"/>
      <c r="D17" s="588"/>
      <c r="E17" s="588"/>
      <c r="F17" s="588"/>
      <c r="G17" s="588"/>
      <c r="H17" s="618"/>
      <c r="I17" s="516"/>
      <c r="J17" s="549"/>
      <c r="K17" s="181" t="s">
        <v>11471</v>
      </c>
      <c r="L17" s="619"/>
    </row>
    <row r="18" ht="13.5" customHeight="1">
      <c r="A18" s="516"/>
      <c r="B18" s="557"/>
      <c r="C18" s="516"/>
      <c r="D18" s="557"/>
      <c r="E18" s="557" t="s">
        <v>11454</v>
      </c>
      <c r="F18" s="524"/>
      <c r="G18" s="620"/>
      <c r="H18" s="620"/>
      <c r="I18" s="620"/>
      <c r="J18" s="621" t="s">
        <v>11472</v>
      </c>
      <c r="K18" s="536"/>
      <c r="L18" s="622"/>
    </row>
    <row r="19" ht="13.5" customHeight="1">
      <c r="A19" s="509"/>
      <c r="B19" s="557"/>
      <c r="C19" s="557"/>
      <c r="D19" s="557"/>
      <c r="E19" s="557"/>
      <c r="F19" s="620"/>
      <c r="G19" s="620"/>
      <c r="H19" s="620"/>
      <c r="I19" s="620"/>
      <c r="J19" s="623"/>
      <c r="K19" s="531"/>
      <c r="L19" s="160"/>
    </row>
    <row r="20" ht="13.5" customHeight="1">
      <c r="A20" s="509"/>
      <c r="B20" s="624" t="s">
        <v>11459</v>
      </c>
      <c r="C20" s="520"/>
      <c r="D20" s="563"/>
      <c r="E20" s="563"/>
      <c r="F20" s="620"/>
      <c r="G20" s="620"/>
      <c r="H20" s="620"/>
      <c r="I20" s="620"/>
      <c r="J20" s="564"/>
      <c r="K20" s="200"/>
      <c r="L20" s="565"/>
    </row>
    <row r="21" ht="13.5" customHeight="1">
      <c r="A21" s="509"/>
      <c r="B21" s="625"/>
      <c r="C21" s="520"/>
      <c r="D21" s="520"/>
      <c r="E21" s="520" t="s">
        <v>11460</v>
      </c>
      <c r="G21" s="620"/>
      <c r="H21" s="620"/>
      <c r="I21" s="626"/>
      <c r="J21" s="626"/>
      <c r="K21" s="576" t="s">
        <v>11473</v>
      </c>
      <c r="L21" s="627"/>
    </row>
    <row r="22" ht="13.5" customHeight="1">
      <c r="A22" s="509"/>
      <c r="B22" s="628"/>
      <c r="E22" s="520"/>
      <c r="G22" s="569"/>
      <c r="H22" s="569"/>
      <c r="I22" s="569"/>
      <c r="J22" s="564"/>
      <c r="K22" s="576" t="s">
        <v>11466</v>
      </c>
      <c r="L22" s="629"/>
    </row>
    <row r="23" ht="13.5" customHeight="1">
      <c r="B23" s="605"/>
      <c r="H23" s="606"/>
      <c r="I23" s="606"/>
      <c r="J23" s="564"/>
      <c r="K23" s="559"/>
      <c r="L23" s="559"/>
    </row>
    <row r="24" ht="13.5" customHeight="1">
      <c r="B24" s="605"/>
      <c r="G24" s="630"/>
      <c r="L24" s="631"/>
    </row>
    <row r="25" ht="13.5" customHeight="1">
      <c r="B25" s="605"/>
      <c r="L25" s="632"/>
    </row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L31" s="6" t="s">
        <v>1484</v>
      </c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12:K12"/>
    <mergeCell ref="C13:K13"/>
    <mergeCell ref="C14:K14"/>
    <mergeCell ref="C15:K15"/>
    <mergeCell ref="C16:K16"/>
    <mergeCell ref="J18:L19"/>
    <mergeCell ref="B22:D22"/>
    <mergeCell ref="I1:K1"/>
    <mergeCell ref="I2:L2"/>
    <mergeCell ref="D9:F9"/>
    <mergeCell ref="H10:I10"/>
    <mergeCell ref="J10:K10"/>
    <mergeCell ref="C11:G11"/>
    <mergeCell ref="H11:K11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43"/>
    <col customWidth="1" min="2" max="2" width="8.14"/>
    <col customWidth="1" min="3" max="3" width="27.29"/>
    <col customWidth="1" min="4" max="4" width="56.0"/>
    <col customWidth="1" min="5" max="5" width="3.29"/>
    <col customWidth="1" min="8" max="8" width="10.71"/>
    <col customWidth="1" min="9" max="9" width="3.29"/>
  </cols>
  <sheetData>
    <row r="1">
      <c r="A1" s="633" t="s">
        <v>2813</v>
      </c>
      <c r="B1" s="2"/>
      <c r="C1" s="2"/>
      <c r="D1" s="2"/>
      <c r="E1" s="2"/>
      <c r="F1" s="2"/>
      <c r="G1" s="3"/>
      <c r="H1" s="634" t="s">
        <v>11474</v>
      </c>
      <c r="I1" s="2"/>
      <c r="J1" s="3"/>
      <c r="K1" s="635" t="s">
        <v>11475</v>
      </c>
    </row>
    <row r="2">
      <c r="A2" s="636" t="s">
        <v>2867</v>
      </c>
      <c r="B2" s="636" t="s">
        <v>11476</v>
      </c>
      <c r="C2" s="636" t="s">
        <v>11449</v>
      </c>
      <c r="D2" s="636" t="s">
        <v>11462</v>
      </c>
      <c r="E2" s="636" t="s">
        <v>2894</v>
      </c>
      <c r="F2" s="636"/>
      <c r="G2" s="636" t="s">
        <v>2540</v>
      </c>
      <c r="H2" s="637" t="s">
        <v>2867</v>
      </c>
      <c r="I2" s="637" t="s">
        <v>2894</v>
      </c>
      <c r="J2" s="637" t="s">
        <v>11477</v>
      </c>
      <c r="K2" s="638"/>
    </row>
    <row r="3">
      <c r="A3" s="113">
        <v>45784.0</v>
      </c>
      <c r="B3" s="6" t="s">
        <v>11478</v>
      </c>
      <c r="C3" s="6" t="s">
        <v>2615</v>
      </c>
      <c r="D3" s="101" t="str">
        <f>IFERROR(VLOOKUP(C3,Stock,3,FALSE),"")</f>
        <v>Mazda 2 09-14 3rd Gen</v>
      </c>
      <c r="E3" s="6">
        <v>2.0</v>
      </c>
      <c r="F3" s="6"/>
      <c r="G3" s="308" t="s">
        <v>11479</v>
      </c>
      <c r="H3" s="113">
        <v>45785.0</v>
      </c>
      <c r="I3" s="6">
        <v>2.0</v>
      </c>
      <c r="K3" s="639" t="b">
        <v>1</v>
      </c>
    </row>
    <row r="4">
      <c r="A4" s="113">
        <v>45784.0</v>
      </c>
      <c r="B4" s="6" t="s">
        <v>11478</v>
      </c>
      <c r="C4" s="6" t="s">
        <v>2682</v>
      </c>
      <c r="D4" s="101" t="str">
        <f>IFERROR(VLOOKUP(C4,Stock,3,FALSE),"")</f>
        <v>Toyota Yaris 05-13 XP90 1st Gen</v>
      </c>
      <c r="E4" s="6">
        <v>2.0</v>
      </c>
      <c r="F4" s="6"/>
      <c r="G4" s="308" t="s">
        <v>11479</v>
      </c>
      <c r="H4" s="113">
        <v>45785.0</v>
      </c>
      <c r="I4" s="6">
        <v>2.0</v>
      </c>
      <c r="K4" s="639" t="b">
        <v>1</v>
      </c>
    </row>
    <row r="5">
      <c r="A5" s="113">
        <v>45784.0</v>
      </c>
      <c r="B5" s="6" t="s">
        <v>11478</v>
      </c>
      <c r="C5" s="6" t="s">
        <v>3085</v>
      </c>
      <c r="D5" s="101" t="str">
        <f>IFERROR(VLOOKUP(C5,Stock,3,FALSE),"")</f>
        <v>Honda Jazz 07-13 2nd Gen</v>
      </c>
      <c r="E5" s="6">
        <v>2.0</v>
      </c>
      <c r="F5" s="6"/>
      <c r="G5" s="308" t="s">
        <v>11480</v>
      </c>
      <c r="K5" s="640" t="b">
        <v>0</v>
      </c>
    </row>
    <row r="6">
      <c r="A6" s="113">
        <v>45775.0</v>
      </c>
      <c r="B6" s="6" t="s">
        <v>11478</v>
      </c>
      <c r="C6" s="6" t="s">
        <v>7063</v>
      </c>
      <c r="D6" s="101" t="str">
        <f>IFERROR(VLOOKUP(C6,Stock,3,FALSE),"")</f>
        <v>Wuling Confero (Tanpa Spionnya)</v>
      </c>
      <c r="E6" s="6">
        <v>2.0</v>
      </c>
      <c r="F6" s="6"/>
      <c r="G6" s="308" t="s">
        <v>11480</v>
      </c>
      <c r="K6" s="640" t="b">
        <v>0</v>
      </c>
    </row>
    <row r="7">
      <c r="A7" s="113">
        <v>45775.0</v>
      </c>
      <c r="B7" s="6" t="s">
        <v>11478</v>
      </c>
      <c r="C7" s="6" t="s">
        <v>7127</v>
      </c>
      <c r="D7" s="101" t="str">
        <f>IFERROR(VLOOKUP(C7,Stock,3,FALSE),"")</f>
        <v>Toyota Rush / Terios 18-</v>
      </c>
      <c r="E7" s="6">
        <v>3.0</v>
      </c>
      <c r="F7" s="6"/>
      <c r="G7" s="308" t="s">
        <v>11480</v>
      </c>
      <c r="K7" s="640" t="b">
        <v>0</v>
      </c>
    </row>
    <row r="8">
      <c r="A8" s="113">
        <v>45775.0</v>
      </c>
      <c r="B8" s="6" t="s">
        <v>11478</v>
      </c>
      <c r="C8" s="6" t="s">
        <v>3127</v>
      </c>
      <c r="D8" s="101" t="str">
        <f>IFERROR(VLOOKUP(C8,Stock,3,FALSE),"")</f>
        <v>Toyota Avanza / Xenia 03-11 1st Gen</v>
      </c>
      <c r="E8" s="6">
        <v>5.0</v>
      </c>
      <c r="F8" s="6"/>
      <c r="G8" s="308" t="s">
        <v>11480</v>
      </c>
      <c r="K8" s="640" t="b">
        <v>0</v>
      </c>
    </row>
    <row r="9">
      <c r="A9" s="113">
        <v>45775.0</v>
      </c>
      <c r="B9" s="6" t="s">
        <v>11478</v>
      </c>
      <c r="C9" s="6" t="s">
        <v>6740</v>
      </c>
      <c r="D9" s="101" t="str">
        <f>IFERROR(VLOOKUP(C9,Stock,3,FALSE),"")</f>
        <v>Toyota Yaris 13- 2nd Gen (Lampu C) XP150</v>
      </c>
      <c r="E9" s="6">
        <v>1.0</v>
      </c>
      <c r="F9" s="6"/>
      <c r="G9" s="308" t="s">
        <v>11480</v>
      </c>
      <c r="K9" s="640" t="b">
        <v>0</v>
      </c>
    </row>
    <row r="10">
      <c r="A10" s="113">
        <v>45775.0</v>
      </c>
      <c r="B10" s="6" t="s">
        <v>11478</v>
      </c>
      <c r="C10" s="6" t="s">
        <v>6741</v>
      </c>
      <c r="D10" s="101" t="str">
        <f>IFERROR(VLOOKUP(C10,Stock,3,FALSE),"")</f>
        <v>Honda Jazz 01-07 1st Gen</v>
      </c>
      <c r="E10" s="6">
        <v>1.0</v>
      </c>
      <c r="F10" s="6"/>
      <c r="G10" s="308" t="s">
        <v>11480</v>
      </c>
      <c r="K10" s="640" t="b">
        <v>0</v>
      </c>
    </row>
    <row r="11">
      <c r="A11" s="113">
        <v>45775.0</v>
      </c>
      <c r="B11" s="6" t="s">
        <v>11478</v>
      </c>
      <c r="C11" s="6" t="s">
        <v>5241</v>
      </c>
      <c r="D11" s="101" t="str">
        <f>IFERROR(VLOOKUP(C11,Stock,3,FALSE),"")</f>
        <v>Honda Brio 18-</v>
      </c>
      <c r="E11" s="6">
        <v>2.0</v>
      </c>
      <c r="F11" s="6"/>
      <c r="G11" s="308" t="s">
        <v>11480</v>
      </c>
      <c r="K11" s="640" t="b">
        <v>0</v>
      </c>
    </row>
    <row r="12">
      <c r="A12" s="113">
        <v>45775.0</v>
      </c>
      <c r="B12" s="6" t="s">
        <v>11478</v>
      </c>
      <c r="C12" s="6" t="s">
        <v>4907</v>
      </c>
      <c r="D12" s="101" t="str">
        <f>IFERROR(VLOOKUP(C12,Stock,3,FALSE),"")</f>
        <v>Nissan Livina 07-12 L10 (Tanpa Lubang)</v>
      </c>
      <c r="E12" s="6">
        <v>3.0</v>
      </c>
      <c r="F12" s="6"/>
      <c r="G12" s="308" t="s">
        <v>11480</v>
      </c>
      <c r="K12" s="640" t="b">
        <v>0</v>
      </c>
    </row>
    <row r="13">
      <c r="A13" s="113">
        <v>45785.0</v>
      </c>
      <c r="B13" s="6" t="s">
        <v>11478</v>
      </c>
      <c r="C13" s="6" t="s">
        <v>7732</v>
      </c>
      <c r="D13" s="101" t="str">
        <f>IFERROR(VLOOKUP(C13,Stock,3,FALSE),"")</f>
        <v>Toyota Altis 06-13 E140 10th Gen</v>
      </c>
      <c r="E13" s="6">
        <v>1.0</v>
      </c>
      <c r="G13" s="308" t="s">
        <v>11480</v>
      </c>
      <c r="K13" s="640" t="b">
        <v>0</v>
      </c>
    </row>
    <row r="14">
      <c r="A14" s="113">
        <v>45786.0</v>
      </c>
      <c r="B14" s="6" t="s">
        <v>11478</v>
      </c>
      <c r="C14" s="6" t="s">
        <v>3837</v>
      </c>
      <c r="D14" s="101" t="str">
        <f>IFERROR(VLOOKUP(C14,Stock,3,FALSE),"")</f>
        <v>Toyota Yaris 13- 2nd Gen / Vios 14- 3rd Gen</v>
      </c>
      <c r="E14" s="6">
        <v>3.0</v>
      </c>
      <c r="G14" s="308" t="s">
        <v>11479</v>
      </c>
      <c r="K14" s="640" t="b">
        <v>0</v>
      </c>
    </row>
    <row r="15">
      <c r="C15" s="6" t="s">
        <v>3726</v>
      </c>
      <c r="D15" s="101" t="str">
        <f>IFERROR(VLOOKUP(C15,Stock,3,FALSE),"")</f>
        <v>Mazda CX-5 .14-17 1st Gen KE Facelift - (3 Sensor/ /\8 )</v>
      </c>
      <c r="E15" s="6">
        <v>1.0</v>
      </c>
      <c r="G15" s="478"/>
      <c r="K15" s="640" t="b">
        <v>0</v>
      </c>
    </row>
    <row r="16">
      <c r="C16" s="6" t="s">
        <v>5052</v>
      </c>
      <c r="D16" s="101" t="str">
        <f>IFERROR(VLOOKUP(C16,Stock,3,FALSE),"")</f>
        <v>BMW X1 Series 09-14 E84 (1 Sensor / [] )</v>
      </c>
      <c r="E16" s="6">
        <v>1.0</v>
      </c>
      <c r="G16" s="478"/>
      <c r="K16" s="640" t="b">
        <v>0</v>
      </c>
    </row>
    <row r="17">
      <c r="C17" s="6" t="s">
        <v>6739</v>
      </c>
      <c r="D17" s="101" t="str">
        <f>IFERROR(VLOOKUP(C17,Stock,3,FALSE),"")</f>
        <v>Daihatsu Sirion 04-10 1st Gen</v>
      </c>
      <c r="E17" s="6">
        <v>1.0</v>
      </c>
      <c r="G17" s="478"/>
      <c r="K17" s="640" t="b">
        <v>0</v>
      </c>
    </row>
    <row r="18">
      <c r="C18" s="6" t="s">
        <v>2655</v>
      </c>
      <c r="D18" s="101" t="str">
        <f>IFERROR(VLOOKUP(C18,Stock,3,FALSE),"")</f>
        <v>Ford EcoSport 13- B515</v>
      </c>
      <c r="E18" s="6">
        <v>1.0</v>
      </c>
      <c r="G18" s="478"/>
      <c r="K18" s="640" t="b">
        <v>0</v>
      </c>
    </row>
    <row r="19">
      <c r="C19" s="6" t="s">
        <v>2698</v>
      </c>
      <c r="D19" s="101" t="str">
        <f>IFERROR(VLOOKUP(C19,Stock,3,FALSE),"")</f>
        <v>Honda CR-V 17- 5th Gen</v>
      </c>
      <c r="E19" s="6">
        <v>1.0</v>
      </c>
      <c r="G19" s="478"/>
      <c r="K19" s="640" t="b">
        <v>0</v>
      </c>
    </row>
    <row r="20">
      <c r="C20" s="6" t="s">
        <v>2729</v>
      </c>
      <c r="D20" s="101" t="str">
        <f>IFERROR(VLOOKUP(C20,Stock,3,FALSE),"")</f>
        <v>Honda HR-V 14-21 5D SUV</v>
      </c>
      <c r="E20" s="6">
        <v>1.0</v>
      </c>
      <c r="G20" s="478"/>
      <c r="K20" s="640" t="b">
        <v>0</v>
      </c>
    </row>
    <row r="21">
      <c r="C21" s="6" t="s">
        <v>3085</v>
      </c>
      <c r="D21" s="101" t="str">
        <f>IFERROR(VLOOKUP(C21,Stock,3,FALSE),"")</f>
        <v>Honda Jazz 07-13 2nd Gen</v>
      </c>
      <c r="E21" s="6">
        <v>2.0</v>
      </c>
      <c r="G21" s="478"/>
      <c r="K21" s="640" t="b">
        <v>0</v>
      </c>
    </row>
    <row r="22">
      <c r="C22" s="6" t="s">
        <v>2732</v>
      </c>
      <c r="D22" s="101" t="str">
        <f>IFERROR(VLOOKUP(C22,Stock,3,FALSE),"")</f>
        <v>Honda Jazz 13- 3rd Gen</v>
      </c>
      <c r="E22" s="6">
        <v>1.0</v>
      </c>
      <c r="G22" s="478"/>
      <c r="K22" s="640" t="b">
        <v>0</v>
      </c>
    </row>
    <row r="23">
      <c r="C23" s="6" t="s">
        <v>7159</v>
      </c>
      <c r="D23" s="101" t="str">
        <f>IFERROR(VLOOKUP(C23,Stock,3,FALSE),"")</f>
        <v>Hyundai Grand Avega 11-16 RB</v>
      </c>
      <c r="E23" s="6">
        <v>1.0</v>
      </c>
      <c r="G23" s="478"/>
      <c r="K23" s="640" t="b">
        <v>0</v>
      </c>
    </row>
    <row r="24">
      <c r="C24" s="6" t="s">
        <v>7322</v>
      </c>
      <c r="D24" s="101" t="str">
        <f>IFERROR(VLOOKUP(C24,Stock,3,FALSE),"")</f>
        <v>Isuzu D-Max 12-19 2nd Gen</v>
      </c>
      <c r="E24" s="6">
        <v>1.0</v>
      </c>
      <c r="G24" s="478"/>
      <c r="K24" s="640" t="b">
        <v>0</v>
      </c>
    </row>
    <row r="25">
      <c r="C25" s="6" t="s">
        <v>4266</v>
      </c>
      <c r="D25" s="101" t="str">
        <f>IFERROR(VLOOKUP(C25,Stock,3,FALSE),"")</f>
        <v>Kia Rio 11-17 UB Hatchback</v>
      </c>
      <c r="E25" s="6">
        <v>1.0</v>
      </c>
      <c r="G25" s="478"/>
      <c r="K25" s="640" t="b">
        <v>0</v>
      </c>
    </row>
    <row r="26">
      <c r="C26" s="6" t="s">
        <v>6639</v>
      </c>
      <c r="D26" s="101" t="str">
        <f>IFERROR(VLOOKUP(C26,Stock,3,FALSE),"")</f>
        <v>Kia Sportage 10-15 SL</v>
      </c>
      <c r="E26" s="6">
        <v>1.0</v>
      </c>
      <c r="G26" s="478"/>
      <c r="K26" s="640" t="b">
        <v>0</v>
      </c>
    </row>
    <row r="27">
      <c r="C27" s="6" t="s">
        <v>4628</v>
      </c>
      <c r="D27" s="101" t="str">
        <f>IFERROR(VLOOKUP(C27,Stock,3,FALSE),"")</f>
        <v>Mazda 2 09-14 3rd Gen Hatchback</v>
      </c>
      <c r="E27" s="6">
        <v>1.0</v>
      </c>
      <c r="G27" s="478"/>
      <c r="K27" s="640" t="b">
        <v>0</v>
      </c>
    </row>
    <row r="28">
      <c r="C28" s="6" t="s">
        <v>4942</v>
      </c>
      <c r="D28" s="101" t="str">
        <f>IFERROR(VLOOKUP(C28,Stock,3,FALSE),"")</f>
        <v>Mazda Biante 08- (Hitam)</v>
      </c>
      <c r="E28" s="6">
        <v>1.0</v>
      </c>
      <c r="G28" s="478"/>
      <c r="K28" s="640" t="b">
        <v>0</v>
      </c>
    </row>
    <row r="29">
      <c r="C29" s="6" t="s">
        <v>6984</v>
      </c>
      <c r="D29" s="101" t="str">
        <f>IFERROR(VLOOKUP(C29,Stock,3,FALSE),"")</f>
        <v>Mitsubishi Mirage 12-</v>
      </c>
      <c r="E29" s="6">
        <v>1.0</v>
      </c>
      <c r="G29" s="478"/>
      <c r="K29" s="640" t="b">
        <v>0</v>
      </c>
    </row>
    <row r="30">
      <c r="C30" s="6" t="s">
        <v>5881</v>
      </c>
      <c r="D30" s="101" t="str">
        <f>IFERROR(VLOOKUP(C30,Stock,3,FALSE),"")</f>
        <v>Nissan Serena 99-10 MKII C24</v>
      </c>
      <c r="E30" s="6">
        <v>1.0</v>
      </c>
      <c r="G30" s="478"/>
      <c r="K30" s="640" t="b">
        <v>0</v>
      </c>
    </row>
    <row r="31">
      <c r="C31" s="6" t="s">
        <v>7476</v>
      </c>
      <c r="D31" s="101" t="str">
        <f>IFERROR(VLOOKUP(C31,Stock,3,FALSE),"")</f>
        <v>Nissan Serena 19- MKV C27</v>
      </c>
      <c r="E31" s="6">
        <v>1.0</v>
      </c>
      <c r="G31" s="478"/>
      <c r="K31" s="640" t="b">
        <v>0</v>
      </c>
    </row>
    <row r="32">
      <c r="C32" s="6" t="s">
        <v>2986</v>
      </c>
      <c r="D32" s="101" t="str">
        <f>IFERROR(VLOOKUP(C32,Stock,3,FALSE),"")</f>
        <v>Nissan X-Trail 01-07 T30</v>
      </c>
      <c r="E32" s="6">
        <v>1.0</v>
      </c>
      <c r="G32" s="478"/>
      <c r="K32" s="640" t="b">
        <v>0</v>
      </c>
    </row>
    <row r="33">
      <c r="C33" s="6" t="s">
        <v>3871</v>
      </c>
      <c r="D33" s="101" t="str">
        <f>IFERROR(VLOOKUP(C33,Stock,3,FALSE),"")</f>
        <v>Suzuki Swift 04-11 1st Gen</v>
      </c>
      <c r="E33" s="6">
        <v>1.0</v>
      </c>
      <c r="G33" s="478"/>
      <c r="K33" s="640" t="b">
        <v>0</v>
      </c>
    </row>
    <row r="34">
      <c r="C34" s="6" t="s">
        <v>6742</v>
      </c>
      <c r="D34" s="101" t="str">
        <f>IFERROR(VLOOKUP(C34,Stock,3,FALSE),"")</f>
        <v>Suzuki Wagon R 12-</v>
      </c>
      <c r="E34" s="6">
        <v>1.0</v>
      </c>
      <c r="G34" s="478"/>
      <c r="K34" s="640" t="b">
        <v>0</v>
      </c>
    </row>
    <row r="35">
      <c r="C35" s="6" t="s">
        <v>2977</v>
      </c>
      <c r="D35" s="101" t="str">
        <f>IFERROR(VLOOKUP(C35,Stock,3,FALSE),"")</f>
        <v>Toyota Alphard 08-15 ANH20 2nd Gen (Hitam)</v>
      </c>
      <c r="E35" s="6">
        <v>1.0</v>
      </c>
      <c r="G35" s="478"/>
      <c r="K35" s="640" t="b">
        <v>0</v>
      </c>
    </row>
    <row r="36">
      <c r="C36" s="6" t="s">
        <v>7228</v>
      </c>
      <c r="D36" s="101" t="str">
        <f>IFERROR(VLOOKUP(C36,Stock,3,FALSE),"")</f>
        <v>Toyota Camry 02-06 ACV30 3rd Gen</v>
      </c>
      <c r="E36" s="6">
        <v>1.0</v>
      </c>
      <c r="G36" s="478"/>
      <c r="K36" s="640" t="b">
        <v>0</v>
      </c>
    </row>
    <row r="37">
      <c r="C37" s="6" t="s">
        <v>4391</v>
      </c>
      <c r="D37" s="101" t="str">
        <f>IFERROR(VLOOKUP(C37,Stock,3,FALSE),"")</f>
        <v>Toyota NAV1/Noah 07-17</v>
      </c>
      <c r="E37" s="6">
        <v>1.0</v>
      </c>
      <c r="G37" s="478"/>
      <c r="K37" s="640" t="b">
        <v>0</v>
      </c>
    </row>
    <row r="38">
      <c r="C38" s="6" t="s">
        <v>3072</v>
      </c>
      <c r="D38" s="101" t="str">
        <f>IFERROR(VLOOKUP(C38,Stock,3,FALSE),"")</f>
        <v>Toyota NAV1/Noah 07-17</v>
      </c>
      <c r="E38" s="6">
        <v>1.0</v>
      </c>
      <c r="G38" s="478"/>
      <c r="K38" s="640" t="b">
        <v>0</v>
      </c>
    </row>
    <row r="39">
      <c r="C39" s="6" t="s">
        <v>7069</v>
      </c>
      <c r="D39" s="101" t="str">
        <f>IFERROR(VLOOKUP(C39,Stock,3,FALSE),"")</f>
        <v>Toyota Raize / Daihatsu Rocky 20- [Sensor]</v>
      </c>
      <c r="E39" s="6">
        <v>1.0</v>
      </c>
      <c r="G39" s="478"/>
      <c r="K39" s="640" t="b">
        <v>0</v>
      </c>
    </row>
    <row r="40">
      <c r="C40" s="6" t="s">
        <v>6156</v>
      </c>
      <c r="D40" s="101" t="str">
        <f>IFERROR(VLOOKUP(C40,Stock,3,FALSE),"")</f>
        <v>Toyota Voxy 17- (Hitam)</v>
      </c>
      <c r="E40" s="6">
        <v>1.0</v>
      </c>
      <c r="G40" s="478"/>
      <c r="K40" s="640" t="b">
        <v>0</v>
      </c>
    </row>
    <row r="41">
      <c r="C41" s="6" t="s">
        <v>2662</v>
      </c>
      <c r="D41" s="101" t="str">
        <f>IFERROR(VLOOKUP(C41,Stock,3,FALSE),"")</f>
        <v>Wuling Almaz (Sensor)</v>
      </c>
      <c r="E41" s="6">
        <v>1.0</v>
      </c>
      <c r="G41" s="478"/>
      <c r="K41" s="640" t="b">
        <v>0</v>
      </c>
    </row>
    <row r="42">
      <c r="C42" s="6" t="s">
        <v>3606</v>
      </c>
      <c r="D42" s="101" t="str">
        <f>IFERROR(VLOOKUP(C42,Stock,3,FALSE),"")</f>
        <v>Wuling Confero (Heater)</v>
      </c>
      <c r="E42" s="6">
        <v>2.0</v>
      </c>
      <c r="G42" s="478"/>
      <c r="K42" s="640" t="b">
        <v>0</v>
      </c>
    </row>
    <row r="43">
      <c r="C43" s="6" t="s">
        <v>5683</v>
      </c>
      <c r="D43" s="101" t="str">
        <f>IFERROR(VLOOKUP(C43,Stock,3,FALSE),"")</f>
        <v>Wuling Cortez</v>
      </c>
      <c r="E43" s="6">
        <v>1.0</v>
      </c>
      <c r="G43" s="478"/>
      <c r="K43" s="640" t="b">
        <v>0</v>
      </c>
    </row>
    <row r="44">
      <c r="C44" s="6" t="s">
        <v>2706</v>
      </c>
      <c r="D44" s="101" t="str">
        <f>IFERROR(VLOOKUP(C44,Stock,3,FALSE),"")</f>
        <v>Isuzu Elf 17- New NMR NLR</v>
      </c>
      <c r="E44" s="6">
        <v>2.0</v>
      </c>
      <c r="G44" s="478"/>
      <c r="K44" s="640" t="b">
        <v>0</v>
      </c>
    </row>
    <row r="45">
      <c r="C45" s="6" t="s">
        <v>3948</v>
      </c>
      <c r="D45" s="101" t="str">
        <f>IFERROR(VLOOKUP(C45,Stock,3,FALSE),"")</f>
        <v>BMW 3 Series 90-99 E36</v>
      </c>
      <c r="E45" s="6">
        <v>1.0</v>
      </c>
      <c r="G45" s="478"/>
      <c r="K45" s="640" t="b">
        <v>0</v>
      </c>
    </row>
    <row r="46">
      <c r="C46" s="6" t="s">
        <v>6145</v>
      </c>
      <c r="D46" s="101" t="str">
        <f>IFERROR(VLOOKUP(C46,Stock,3,FALSE),"")</f>
        <v>BMW 3 Series 98-06 E46</v>
      </c>
      <c r="E46" s="6">
        <v>1.0</v>
      </c>
      <c r="G46" s="478"/>
      <c r="K46" s="640" t="b">
        <v>0</v>
      </c>
    </row>
    <row r="47">
      <c r="C47" s="6" t="s">
        <v>4437</v>
      </c>
      <c r="D47" s="101" t="str">
        <f>IFERROR(VLOOKUP(C47,Stock,3,FALSE),"")</f>
        <v>Chery QQ 03-15 S11 5D / Spark 98-05</v>
      </c>
      <c r="E47" s="6">
        <v>1.0</v>
      </c>
      <c r="G47" s="478"/>
      <c r="K47" s="640" t="b">
        <v>0</v>
      </c>
    </row>
    <row r="48">
      <c r="C48" s="6" t="s">
        <v>6544</v>
      </c>
      <c r="D48" s="101" t="str">
        <f>IFERROR(VLOOKUP(C48,Stock,3,FALSE),"")</f>
        <v>Daihatsu Taruna</v>
      </c>
      <c r="E48" s="6">
        <v>1.0</v>
      </c>
      <c r="G48" s="478"/>
      <c r="K48" s="640" t="b">
        <v>0</v>
      </c>
    </row>
    <row r="49">
      <c r="C49" s="6" t="s">
        <v>2588</v>
      </c>
      <c r="D49" s="101" t="str">
        <f>IFERROR(VLOOKUP(C49,Stock,3,FALSE),"")</f>
        <v>Ford Fiesta 09-17</v>
      </c>
      <c r="E49" s="6">
        <v>1.0</v>
      </c>
      <c r="G49" s="478"/>
      <c r="K49" s="640" t="b">
        <v>0</v>
      </c>
    </row>
    <row r="50">
      <c r="C50" s="6" t="s">
        <v>4964</v>
      </c>
      <c r="D50" s="101" t="str">
        <f>IFERROR(VLOOKUP(C50,Stock,3,FALSE),"")</f>
        <v>Honda Civic 96-00 SO4/SO6 (Ferio)</v>
      </c>
      <c r="E50" s="6">
        <v>1.0</v>
      </c>
      <c r="G50" s="478"/>
      <c r="K50" s="640" t="b">
        <v>0</v>
      </c>
    </row>
    <row r="51">
      <c r="C51" s="6" t="s">
        <v>3456</v>
      </c>
      <c r="D51" s="101" t="str">
        <f>IFERROR(VLOOKUP(C51,Stock,3,FALSE),"")</f>
        <v>Hyundai Atoz</v>
      </c>
      <c r="E51" s="6">
        <v>1.0</v>
      </c>
      <c r="G51" s="478"/>
      <c r="K51" s="640" t="b">
        <v>0</v>
      </c>
    </row>
    <row r="52">
      <c r="C52" s="6" t="s">
        <v>4512</v>
      </c>
      <c r="D52" s="101" t="str">
        <f>IFERROR(VLOOKUP(C52,Stock,3,FALSE),"")</f>
        <v>Suzuki Splash 09-16</v>
      </c>
      <c r="E52" s="6">
        <v>1.0</v>
      </c>
      <c r="G52" s="478"/>
      <c r="K52" s="640" t="b">
        <v>0</v>
      </c>
    </row>
    <row r="53">
      <c r="C53" s="6" t="s">
        <v>6757</v>
      </c>
      <c r="D53" s="101" t="str">
        <f>IFERROR(VLOOKUP(C53,Stock,3,FALSE),"")</f>
        <v>Toyota Agya/Ayla 23- 2nd Gen</v>
      </c>
      <c r="E53" s="6">
        <v>1.0</v>
      </c>
      <c r="G53" s="478"/>
      <c r="K53" s="640" t="b">
        <v>0</v>
      </c>
    </row>
    <row r="54">
      <c r="C54" s="6" t="s">
        <v>6756</v>
      </c>
      <c r="D54" s="101" t="str">
        <f>IFERROR(VLOOKUP(C54,Stock,3,FALSE),"")</f>
        <v>Toyota Raize / Daihatsu Rocky 20-</v>
      </c>
      <c r="E54" s="6">
        <v>1.0</v>
      </c>
      <c r="G54" s="478"/>
      <c r="K54" s="640" t="b">
        <v>0</v>
      </c>
    </row>
    <row r="55">
      <c r="C55" s="6" t="s">
        <v>3712</v>
      </c>
      <c r="D55" s="101" t="str">
        <f>IFERROR(VLOOKUP(C55,Stock,3,FALSE),"")</f>
        <v>Toyota Soluna AL50 00-</v>
      </c>
      <c r="E55" s="6">
        <v>1.0</v>
      </c>
      <c r="G55" s="478"/>
      <c r="K55" s="640" t="b">
        <v>0</v>
      </c>
    </row>
    <row r="56">
      <c r="C56" s="6" t="s">
        <v>2682</v>
      </c>
      <c r="D56" s="101" t="str">
        <f>IFERROR(VLOOKUP(C56,Stock,3,FALSE),"")</f>
        <v>Toyota Yaris 05-13 XP90 1st Gen</v>
      </c>
      <c r="E56" s="6">
        <v>1.0</v>
      </c>
      <c r="G56" s="478"/>
      <c r="K56" s="640" t="b">
        <v>0</v>
      </c>
    </row>
    <row r="57">
      <c r="C57" s="6" t="s">
        <v>2826</v>
      </c>
      <c r="D57" s="101" t="str">
        <f>IFERROR(VLOOKUP(C57,Stock,3,FALSE),"")</f>
        <v>Toyota Kijang 02-04 Kapsul Lem Efi </v>
      </c>
      <c r="E57" s="6">
        <v>5.0</v>
      </c>
      <c r="G57" s="478"/>
      <c r="K57" s="639" t="b">
        <v>1</v>
      </c>
    </row>
    <row r="58">
      <c r="C58" s="6" t="s">
        <v>3522</v>
      </c>
      <c r="D58" s="101" t="str">
        <f>IFERROR(VLOOKUP(C58,Stock,3,FALSE),"")</f>
        <v>Chevrolet Spark 10-15 M300 3rd Gen (1200cc)</v>
      </c>
      <c r="E58" s="6">
        <v>1.0</v>
      </c>
      <c r="G58" s="478"/>
      <c r="K58" s="640" t="b">
        <v>0</v>
      </c>
    </row>
    <row r="59">
      <c r="A59" s="113">
        <v>45796.0</v>
      </c>
      <c r="B59" s="6" t="s">
        <v>11481</v>
      </c>
      <c r="C59" s="6" t="s">
        <v>2555</v>
      </c>
      <c r="D59" s="101" t="str">
        <f>IFERROR(VLOOKUP(C59,Stock,3,FALSE),"")</f>
        <v>Toyota Fortuner 15-  2nd Gen (Toyota)</v>
      </c>
      <c r="E59" s="6">
        <v>3.0</v>
      </c>
      <c r="G59" s="308" t="s">
        <v>11482</v>
      </c>
      <c r="H59" s="113">
        <v>45798.0</v>
      </c>
      <c r="I59" s="6">
        <v>2.0</v>
      </c>
      <c r="J59" s="6" t="s">
        <v>11483</v>
      </c>
      <c r="K59" s="639" t="b">
        <v>1</v>
      </c>
    </row>
    <row r="60">
      <c r="A60" s="113">
        <v>45804.0</v>
      </c>
      <c r="B60" s="6" t="s">
        <v>11484</v>
      </c>
      <c r="C60" s="6" t="s">
        <v>2714</v>
      </c>
      <c r="D60" s="101" t="str">
        <f>IFERROR(VLOOKUP(C60,Stock,3,FALSE),"")</f>
        <v>Mitsubishi Canter FE700 01- (PS110,125)</v>
      </c>
      <c r="E60" s="6">
        <v>2.0</v>
      </c>
      <c r="G60" s="478"/>
      <c r="K60" s="640" t="b">
        <v>0</v>
      </c>
    </row>
    <row r="61">
      <c r="D61" s="101" t="str">
        <f>IFERROR(VLOOKUP(C61,Stock,3,FALSE),"")</f>
        <v/>
      </c>
      <c r="G61" s="478"/>
      <c r="K61" s="640" t="b">
        <v>0</v>
      </c>
    </row>
    <row r="62">
      <c r="D62" s="101" t="str">
        <f>IFERROR(VLOOKUP(C62,Stock,3,FALSE),"")</f>
        <v/>
      </c>
      <c r="G62" s="478"/>
      <c r="K62" s="640" t="b">
        <v>0</v>
      </c>
    </row>
    <row r="63">
      <c r="D63" s="101" t="str">
        <f>IFERROR(VLOOKUP(C63,Stock,3,FALSE),"")</f>
        <v/>
      </c>
      <c r="G63" s="478"/>
      <c r="K63" s="640" t="b">
        <v>0</v>
      </c>
    </row>
    <row r="64">
      <c r="D64" s="101" t="str">
        <f>IFERROR(VLOOKUP(C64,Stock,3,FALSE),"")</f>
        <v/>
      </c>
      <c r="G64" s="478"/>
      <c r="K64" s="640" t="b">
        <v>0</v>
      </c>
    </row>
    <row r="65">
      <c r="G65" s="478"/>
      <c r="K65" s="640" t="b">
        <v>0</v>
      </c>
    </row>
    <row r="66">
      <c r="G66" s="478"/>
      <c r="K66" s="640" t="b">
        <v>0</v>
      </c>
    </row>
    <row r="67">
      <c r="G67" s="478"/>
      <c r="K67" s="640" t="b">
        <v>0</v>
      </c>
    </row>
    <row r="68">
      <c r="G68" s="478"/>
      <c r="K68" s="640" t="b">
        <v>0</v>
      </c>
    </row>
    <row r="69">
      <c r="G69" s="478"/>
      <c r="K69" s="640" t="b">
        <v>0</v>
      </c>
    </row>
    <row r="70">
      <c r="G70" s="478"/>
      <c r="K70" s="640" t="b">
        <v>0</v>
      </c>
    </row>
    <row r="71">
      <c r="G71" s="478"/>
      <c r="K71" s="640" t="b">
        <v>0</v>
      </c>
    </row>
    <row r="72">
      <c r="G72" s="478"/>
      <c r="K72" s="640" t="b">
        <v>0</v>
      </c>
    </row>
    <row r="73">
      <c r="G73" s="478"/>
      <c r="K73" s="640" t="b">
        <v>0</v>
      </c>
    </row>
    <row r="74">
      <c r="G74" s="478"/>
      <c r="K74" s="640" t="b">
        <v>0</v>
      </c>
    </row>
    <row r="75">
      <c r="G75" s="478"/>
      <c r="K75" s="640" t="b">
        <v>0</v>
      </c>
    </row>
    <row r="76">
      <c r="G76" s="478"/>
      <c r="K76" s="640" t="b">
        <v>0</v>
      </c>
    </row>
    <row r="77">
      <c r="G77" s="478"/>
      <c r="K77" s="640" t="b">
        <v>0</v>
      </c>
    </row>
    <row r="78">
      <c r="G78" s="478"/>
      <c r="K78" s="640" t="b">
        <v>0</v>
      </c>
    </row>
    <row r="79">
      <c r="G79" s="478"/>
      <c r="K79" s="640" t="b">
        <v>0</v>
      </c>
    </row>
    <row r="80">
      <c r="G80" s="478"/>
      <c r="K80" s="640" t="b">
        <v>0</v>
      </c>
    </row>
    <row r="81">
      <c r="G81" s="478"/>
      <c r="K81" s="640" t="b">
        <v>0</v>
      </c>
    </row>
    <row r="82">
      <c r="G82" s="478"/>
      <c r="K82" s="640" t="b">
        <v>0</v>
      </c>
    </row>
    <row r="83">
      <c r="G83" s="478"/>
      <c r="K83" s="640" t="b">
        <v>0</v>
      </c>
    </row>
    <row r="84">
      <c r="G84" s="478"/>
      <c r="K84" s="640" t="b">
        <v>0</v>
      </c>
    </row>
    <row r="85">
      <c r="G85" s="478"/>
      <c r="K85" s="640" t="b">
        <v>0</v>
      </c>
    </row>
    <row r="86">
      <c r="G86" s="478"/>
      <c r="K86" s="640" t="b">
        <v>0</v>
      </c>
    </row>
    <row r="87">
      <c r="G87" s="478"/>
      <c r="K87" s="640" t="b">
        <v>0</v>
      </c>
    </row>
    <row r="88">
      <c r="G88" s="478"/>
      <c r="K88" s="640" t="b">
        <v>0</v>
      </c>
    </row>
    <row r="89">
      <c r="G89" s="478"/>
      <c r="K89" s="640" t="b">
        <v>0</v>
      </c>
    </row>
    <row r="90">
      <c r="G90" s="478"/>
      <c r="K90" s="640" t="b">
        <v>0</v>
      </c>
    </row>
    <row r="91">
      <c r="G91" s="478"/>
      <c r="K91" s="640" t="b">
        <v>0</v>
      </c>
    </row>
    <row r="92">
      <c r="G92" s="478"/>
      <c r="K92" s="640" t="b">
        <v>0</v>
      </c>
    </row>
    <row r="93">
      <c r="G93" s="478"/>
      <c r="K93" s="640" t="b">
        <v>0</v>
      </c>
    </row>
    <row r="94">
      <c r="G94" s="478"/>
      <c r="K94" s="640" t="b">
        <v>0</v>
      </c>
    </row>
    <row r="95">
      <c r="G95" s="478"/>
      <c r="K95" s="640" t="b">
        <v>0</v>
      </c>
    </row>
    <row r="96">
      <c r="G96" s="478"/>
      <c r="K96" s="640" t="b">
        <v>0</v>
      </c>
    </row>
    <row r="97">
      <c r="G97" s="478"/>
      <c r="K97" s="640" t="b">
        <v>0</v>
      </c>
    </row>
    <row r="98">
      <c r="G98" s="478"/>
      <c r="K98" s="640" t="b">
        <v>0</v>
      </c>
    </row>
    <row r="99">
      <c r="G99" s="478"/>
      <c r="K99" s="640" t="b">
        <v>0</v>
      </c>
    </row>
    <row r="100">
      <c r="G100" s="478"/>
      <c r="K100" s="640" t="b">
        <v>0</v>
      </c>
    </row>
    <row r="101">
      <c r="G101" s="478"/>
      <c r="K101" s="640" t="b">
        <v>0</v>
      </c>
    </row>
    <row r="102">
      <c r="G102" s="478"/>
      <c r="K102" s="640" t="b">
        <v>0</v>
      </c>
    </row>
    <row r="103">
      <c r="G103" s="478"/>
      <c r="K103" s="640" t="b">
        <v>0</v>
      </c>
    </row>
    <row r="104">
      <c r="G104" s="478"/>
      <c r="K104" s="640" t="b">
        <v>0</v>
      </c>
    </row>
    <row r="105">
      <c r="G105" s="478"/>
      <c r="K105" s="640" t="b">
        <v>0</v>
      </c>
    </row>
    <row r="106">
      <c r="G106" s="478"/>
      <c r="K106" s="640" t="b">
        <v>0</v>
      </c>
    </row>
    <row r="107">
      <c r="G107" s="478"/>
      <c r="K107" s="640" t="b">
        <v>0</v>
      </c>
    </row>
    <row r="108">
      <c r="G108" s="478"/>
      <c r="K108" s="640" t="b">
        <v>0</v>
      </c>
    </row>
    <row r="109">
      <c r="G109" s="478"/>
      <c r="K109" s="640" t="b">
        <v>0</v>
      </c>
    </row>
    <row r="110">
      <c r="G110" s="478"/>
      <c r="K110" s="640" t="b">
        <v>0</v>
      </c>
    </row>
    <row r="111">
      <c r="G111" s="478"/>
      <c r="K111" s="640" t="b">
        <v>0</v>
      </c>
    </row>
    <row r="112">
      <c r="G112" s="478"/>
      <c r="K112" s="640" t="b">
        <v>0</v>
      </c>
    </row>
    <row r="113">
      <c r="G113" s="478"/>
      <c r="K113" s="640" t="b">
        <v>0</v>
      </c>
    </row>
    <row r="114">
      <c r="G114" s="478"/>
      <c r="K114" s="640" t="b">
        <v>0</v>
      </c>
    </row>
    <row r="115">
      <c r="G115" s="478"/>
      <c r="K115" s="640" t="b">
        <v>0</v>
      </c>
    </row>
    <row r="116">
      <c r="G116" s="478"/>
      <c r="K116" s="640" t="b">
        <v>0</v>
      </c>
    </row>
    <row r="117">
      <c r="G117" s="478"/>
      <c r="K117" s="640" t="b">
        <v>0</v>
      </c>
    </row>
    <row r="118">
      <c r="G118" s="478"/>
      <c r="K118" s="640" t="b">
        <v>0</v>
      </c>
    </row>
    <row r="119">
      <c r="G119" s="478"/>
      <c r="K119" s="640" t="b">
        <v>0</v>
      </c>
    </row>
    <row r="120">
      <c r="G120" s="478"/>
      <c r="K120" s="640" t="b">
        <v>0</v>
      </c>
    </row>
    <row r="121">
      <c r="G121" s="478"/>
      <c r="K121" s="640" t="b">
        <v>0</v>
      </c>
    </row>
    <row r="122">
      <c r="G122" s="478"/>
      <c r="K122" s="640" t="b">
        <v>0</v>
      </c>
    </row>
    <row r="123">
      <c r="G123" s="478"/>
      <c r="K123" s="640" t="b">
        <v>0</v>
      </c>
    </row>
    <row r="124">
      <c r="G124" s="478"/>
      <c r="K124" s="640" t="b">
        <v>0</v>
      </c>
    </row>
    <row r="125">
      <c r="G125" s="478"/>
      <c r="K125" s="640" t="b">
        <v>0</v>
      </c>
    </row>
    <row r="126">
      <c r="G126" s="478"/>
      <c r="K126" s="640" t="b">
        <v>0</v>
      </c>
    </row>
    <row r="127">
      <c r="G127" s="478"/>
      <c r="K127" s="640" t="b">
        <v>0</v>
      </c>
    </row>
    <row r="128">
      <c r="G128" s="478"/>
      <c r="K128" s="640" t="b">
        <v>0</v>
      </c>
    </row>
    <row r="129">
      <c r="G129" s="478"/>
      <c r="K129" s="640" t="b">
        <v>0</v>
      </c>
    </row>
    <row r="130">
      <c r="G130" s="478"/>
      <c r="K130" s="640" t="b">
        <v>0</v>
      </c>
    </row>
    <row r="131">
      <c r="G131" s="478"/>
      <c r="K131" s="640" t="b">
        <v>0</v>
      </c>
    </row>
    <row r="132">
      <c r="G132" s="478"/>
      <c r="K132" s="640" t="b">
        <v>0</v>
      </c>
    </row>
    <row r="133">
      <c r="G133" s="478"/>
      <c r="K133" s="640" t="b">
        <v>0</v>
      </c>
    </row>
    <row r="134">
      <c r="G134" s="478"/>
      <c r="K134" s="640" t="b">
        <v>0</v>
      </c>
    </row>
    <row r="135">
      <c r="G135" s="478"/>
      <c r="K135" s="640" t="b">
        <v>0</v>
      </c>
    </row>
    <row r="136">
      <c r="G136" s="478"/>
      <c r="K136" s="640" t="b">
        <v>0</v>
      </c>
    </row>
    <row r="137">
      <c r="G137" s="478"/>
      <c r="K137" s="640" t="b">
        <v>0</v>
      </c>
    </row>
    <row r="138">
      <c r="G138" s="478"/>
      <c r="K138" s="640" t="b">
        <v>0</v>
      </c>
    </row>
    <row r="139">
      <c r="G139" s="478"/>
      <c r="K139" s="640" t="b">
        <v>0</v>
      </c>
    </row>
    <row r="140">
      <c r="G140" s="478"/>
      <c r="K140" s="640" t="b">
        <v>0</v>
      </c>
    </row>
    <row r="141">
      <c r="G141" s="478"/>
      <c r="K141" s="640" t="b">
        <v>0</v>
      </c>
    </row>
    <row r="142">
      <c r="G142" s="478"/>
      <c r="K142" s="640" t="b">
        <v>0</v>
      </c>
    </row>
    <row r="143">
      <c r="G143" s="478"/>
      <c r="K143" s="640" t="b">
        <v>0</v>
      </c>
    </row>
    <row r="144">
      <c r="G144" s="478"/>
      <c r="K144" s="640" t="b">
        <v>0</v>
      </c>
    </row>
    <row r="145">
      <c r="G145" s="478"/>
      <c r="K145" s="640" t="b">
        <v>0</v>
      </c>
    </row>
    <row r="146">
      <c r="G146" s="478"/>
      <c r="K146" s="640" t="b">
        <v>0</v>
      </c>
    </row>
    <row r="147">
      <c r="G147" s="478"/>
      <c r="K147" s="640" t="b">
        <v>0</v>
      </c>
    </row>
    <row r="148">
      <c r="G148" s="478"/>
      <c r="K148" s="640" t="b">
        <v>0</v>
      </c>
    </row>
    <row r="149">
      <c r="G149" s="478"/>
      <c r="K149" s="640" t="b">
        <v>0</v>
      </c>
    </row>
    <row r="150">
      <c r="G150" s="478"/>
      <c r="K150" s="640" t="b">
        <v>0</v>
      </c>
    </row>
    <row r="151">
      <c r="G151" s="478"/>
      <c r="K151" s="640" t="b">
        <v>0</v>
      </c>
    </row>
    <row r="152">
      <c r="G152" s="478"/>
      <c r="K152" s="640" t="b">
        <v>0</v>
      </c>
    </row>
    <row r="153">
      <c r="G153" s="478"/>
      <c r="K153" s="640" t="b">
        <v>0</v>
      </c>
    </row>
    <row r="154">
      <c r="G154" s="478"/>
      <c r="K154" s="640" t="b">
        <v>0</v>
      </c>
    </row>
    <row r="155">
      <c r="G155" s="478"/>
      <c r="K155" s="640" t="b">
        <v>0</v>
      </c>
    </row>
    <row r="156">
      <c r="G156" s="478"/>
      <c r="K156" s="640" t="b">
        <v>0</v>
      </c>
    </row>
    <row r="157">
      <c r="G157" s="478"/>
      <c r="K157" s="640" t="b">
        <v>0</v>
      </c>
    </row>
    <row r="158">
      <c r="G158" s="478"/>
      <c r="K158" s="640" t="b">
        <v>0</v>
      </c>
    </row>
    <row r="159">
      <c r="G159" s="478"/>
      <c r="K159" s="640" t="b">
        <v>0</v>
      </c>
    </row>
    <row r="160">
      <c r="G160" s="478"/>
      <c r="K160" s="640" t="b">
        <v>0</v>
      </c>
    </row>
    <row r="161">
      <c r="G161" s="478"/>
      <c r="K161" s="640" t="b">
        <v>0</v>
      </c>
    </row>
    <row r="162">
      <c r="G162" s="478"/>
      <c r="K162" s="640" t="b">
        <v>0</v>
      </c>
    </row>
    <row r="163">
      <c r="G163" s="478"/>
      <c r="K163" s="640" t="b">
        <v>0</v>
      </c>
    </row>
    <row r="164">
      <c r="G164" s="478"/>
      <c r="K164" s="640" t="b">
        <v>0</v>
      </c>
    </row>
    <row r="165">
      <c r="G165" s="478"/>
      <c r="K165" s="640" t="b">
        <v>0</v>
      </c>
    </row>
    <row r="166">
      <c r="G166" s="478"/>
      <c r="K166" s="640" t="b">
        <v>0</v>
      </c>
    </row>
    <row r="167">
      <c r="G167" s="478"/>
      <c r="K167" s="640" t="b">
        <v>0</v>
      </c>
    </row>
    <row r="168">
      <c r="G168" s="478"/>
      <c r="K168" s="640" t="b">
        <v>0</v>
      </c>
    </row>
    <row r="169">
      <c r="G169" s="478"/>
      <c r="K169" s="640" t="b">
        <v>0</v>
      </c>
    </row>
    <row r="170">
      <c r="G170" s="478"/>
      <c r="K170" s="640" t="b">
        <v>0</v>
      </c>
    </row>
    <row r="171">
      <c r="G171" s="478"/>
      <c r="K171" s="640" t="b">
        <v>0</v>
      </c>
    </row>
    <row r="172">
      <c r="G172" s="478"/>
      <c r="K172" s="640" t="b">
        <v>0</v>
      </c>
    </row>
    <row r="173">
      <c r="G173" s="478"/>
      <c r="K173" s="640" t="b">
        <v>0</v>
      </c>
    </row>
    <row r="174">
      <c r="G174" s="478"/>
      <c r="K174" s="640" t="b">
        <v>0</v>
      </c>
    </row>
    <row r="175">
      <c r="G175" s="478"/>
      <c r="K175" s="640" t="b">
        <v>0</v>
      </c>
    </row>
    <row r="176">
      <c r="G176" s="478"/>
      <c r="K176" s="640" t="b">
        <v>0</v>
      </c>
    </row>
    <row r="177">
      <c r="G177" s="478"/>
      <c r="K177" s="640" t="b">
        <v>0</v>
      </c>
    </row>
    <row r="178">
      <c r="G178" s="478"/>
      <c r="K178" s="640" t="b">
        <v>0</v>
      </c>
    </row>
    <row r="179">
      <c r="G179" s="478"/>
      <c r="K179" s="640" t="b">
        <v>0</v>
      </c>
    </row>
    <row r="180">
      <c r="G180" s="478"/>
      <c r="K180" s="640" t="b">
        <v>0</v>
      </c>
    </row>
    <row r="181">
      <c r="G181" s="478"/>
      <c r="K181" s="640" t="b">
        <v>0</v>
      </c>
    </row>
    <row r="182">
      <c r="G182" s="478"/>
      <c r="K182" s="640" t="b">
        <v>0</v>
      </c>
    </row>
    <row r="183">
      <c r="G183" s="478"/>
      <c r="K183" s="640" t="b">
        <v>0</v>
      </c>
    </row>
    <row r="184">
      <c r="G184" s="478"/>
      <c r="K184" s="640" t="b">
        <v>0</v>
      </c>
    </row>
    <row r="185">
      <c r="G185" s="478"/>
      <c r="K185" s="640" t="b">
        <v>0</v>
      </c>
    </row>
    <row r="186">
      <c r="G186" s="478"/>
      <c r="K186" s="640" t="b">
        <v>0</v>
      </c>
    </row>
    <row r="187">
      <c r="G187" s="478"/>
      <c r="K187" s="640" t="b">
        <v>0</v>
      </c>
    </row>
    <row r="188">
      <c r="G188" s="478"/>
      <c r="K188" s="640" t="b">
        <v>0</v>
      </c>
    </row>
    <row r="189">
      <c r="G189" s="478"/>
      <c r="K189" s="640" t="b">
        <v>0</v>
      </c>
    </row>
    <row r="190">
      <c r="G190" s="478"/>
      <c r="K190" s="640" t="b">
        <v>0</v>
      </c>
    </row>
    <row r="191">
      <c r="G191" s="478"/>
      <c r="K191" s="640" t="b">
        <v>0</v>
      </c>
    </row>
    <row r="192">
      <c r="G192" s="478"/>
      <c r="K192" s="640" t="b">
        <v>0</v>
      </c>
    </row>
    <row r="193">
      <c r="G193" s="478"/>
      <c r="K193" s="640" t="b">
        <v>0</v>
      </c>
    </row>
    <row r="194">
      <c r="G194" s="478"/>
      <c r="K194" s="640" t="b">
        <v>0</v>
      </c>
    </row>
    <row r="195">
      <c r="G195" s="478"/>
      <c r="K195" s="640" t="b">
        <v>0</v>
      </c>
    </row>
    <row r="196">
      <c r="G196" s="478"/>
      <c r="K196" s="640" t="b">
        <v>0</v>
      </c>
    </row>
    <row r="197">
      <c r="G197" s="478"/>
      <c r="K197" s="640" t="b">
        <v>0</v>
      </c>
    </row>
    <row r="198">
      <c r="G198" s="478"/>
      <c r="K198" s="640" t="b">
        <v>0</v>
      </c>
    </row>
    <row r="199">
      <c r="G199" s="478"/>
      <c r="K199" s="640" t="b">
        <v>0</v>
      </c>
    </row>
    <row r="200">
      <c r="G200" s="478"/>
      <c r="K200" s="640" t="b">
        <v>0</v>
      </c>
    </row>
    <row r="201">
      <c r="G201" s="478"/>
      <c r="K201" s="640" t="b">
        <v>0</v>
      </c>
    </row>
    <row r="202">
      <c r="G202" s="478"/>
      <c r="K202" s="640" t="b">
        <v>0</v>
      </c>
    </row>
    <row r="203">
      <c r="G203" s="478"/>
      <c r="K203" s="640" t="b">
        <v>0</v>
      </c>
    </row>
    <row r="204">
      <c r="G204" s="478"/>
      <c r="K204" s="640" t="b">
        <v>0</v>
      </c>
    </row>
    <row r="205">
      <c r="G205" s="478"/>
      <c r="K205" s="640" t="b">
        <v>0</v>
      </c>
    </row>
    <row r="206">
      <c r="G206" s="478"/>
      <c r="K206" s="640" t="b">
        <v>0</v>
      </c>
    </row>
    <row r="207">
      <c r="G207" s="478"/>
      <c r="K207" s="640" t="b">
        <v>0</v>
      </c>
    </row>
    <row r="208">
      <c r="G208" s="478"/>
      <c r="K208" s="640" t="b">
        <v>0</v>
      </c>
    </row>
    <row r="209">
      <c r="G209" s="478"/>
      <c r="K209" s="640" t="b">
        <v>0</v>
      </c>
    </row>
    <row r="210">
      <c r="G210" s="478"/>
      <c r="K210" s="640" t="b">
        <v>0</v>
      </c>
    </row>
    <row r="211">
      <c r="G211" s="478"/>
      <c r="K211" s="640" t="b">
        <v>0</v>
      </c>
    </row>
    <row r="212">
      <c r="G212" s="478"/>
      <c r="K212" s="640" t="b">
        <v>0</v>
      </c>
    </row>
    <row r="213">
      <c r="G213" s="478"/>
      <c r="K213" s="640" t="b">
        <v>0</v>
      </c>
    </row>
    <row r="214">
      <c r="G214" s="478"/>
      <c r="K214" s="640" t="b">
        <v>0</v>
      </c>
    </row>
    <row r="215">
      <c r="G215" s="478"/>
      <c r="K215" s="640" t="b">
        <v>0</v>
      </c>
    </row>
    <row r="216">
      <c r="G216" s="478"/>
      <c r="K216" s="640" t="b">
        <v>0</v>
      </c>
    </row>
    <row r="217">
      <c r="G217" s="478"/>
      <c r="K217" s="640" t="b">
        <v>0</v>
      </c>
    </row>
    <row r="218">
      <c r="G218" s="478"/>
      <c r="K218" s="640" t="b">
        <v>0</v>
      </c>
    </row>
    <row r="219">
      <c r="G219" s="478"/>
      <c r="K219" s="640" t="b">
        <v>0</v>
      </c>
    </row>
    <row r="220">
      <c r="G220" s="478"/>
      <c r="K220" s="640" t="b">
        <v>0</v>
      </c>
    </row>
    <row r="221">
      <c r="G221" s="478"/>
      <c r="K221" s="640" t="b">
        <v>0</v>
      </c>
    </row>
    <row r="222">
      <c r="G222" s="478"/>
      <c r="K222" s="640" t="b">
        <v>0</v>
      </c>
    </row>
    <row r="223">
      <c r="G223" s="478"/>
      <c r="K223" s="640" t="b">
        <v>0</v>
      </c>
    </row>
    <row r="224">
      <c r="G224" s="478"/>
      <c r="K224" s="640" t="b">
        <v>0</v>
      </c>
    </row>
    <row r="225">
      <c r="G225" s="478"/>
      <c r="K225" s="640" t="b">
        <v>0</v>
      </c>
    </row>
    <row r="226">
      <c r="G226" s="478"/>
      <c r="K226" s="640" t="b">
        <v>0</v>
      </c>
    </row>
    <row r="227">
      <c r="G227" s="478"/>
      <c r="K227" s="640" t="b">
        <v>0</v>
      </c>
    </row>
    <row r="228">
      <c r="G228" s="478"/>
      <c r="K228" s="640" t="b">
        <v>0</v>
      </c>
    </row>
    <row r="229">
      <c r="G229" s="478"/>
      <c r="K229" s="640" t="b">
        <v>0</v>
      </c>
    </row>
    <row r="230">
      <c r="G230" s="478"/>
      <c r="K230" s="640" t="b">
        <v>0</v>
      </c>
    </row>
    <row r="231">
      <c r="G231" s="478"/>
      <c r="K231" s="640" t="b">
        <v>0</v>
      </c>
    </row>
    <row r="232">
      <c r="G232" s="478"/>
      <c r="K232" s="640" t="b">
        <v>0</v>
      </c>
    </row>
    <row r="233">
      <c r="G233" s="478"/>
      <c r="K233" s="640" t="b">
        <v>0</v>
      </c>
    </row>
    <row r="234">
      <c r="G234" s="478"/>
      <c r="K234" s="640" t="b">
        <v>0</v>
      </c>
    </row>
    <row r="235">
      <c r="G235" s="478"/>
      <c r="K235" s="640" t="b">
        <v>0</v>
      </c>
    </row>
    <row r="236">
      <c r="G236" s="478"/>
      <c r="K236" s="640" t="b">
        <v>0</v>
      </c>
    </row>
    <row r="237">
      <c r="G237" s="478"/>
      <c r="K237" s="640" t="b">
        <v>0</v>
      </c>
    </row>
    <row r="238">
      <c r="G238" s="478"/>
      <c r="K238" s="640" t="b">
        <v>0</v>
      </c>
    </row>
    <row r="239">
      <c r="G239" s="478"/>
      <c r="K239" s="640" t="b">
        <v>0</v>
      </c>
    </row>
    <row r="240">
      <c r="G240" s="478"/>
      <c r="K240" s="640" t="b">
        <v>0</v>
      </c>
    </row>
    <row r="241">
      <c r="G241" s="478"/>
      <c r="K241" s="640" t="b">
        <v>0</v>
      </c>
    </row>
    <row r="242">
      <c r="G242" s="478"/>
      <c r="K242" s="640" t="b">
        <v>0</v>
      </c>
    </row>
    <row r="243">
      <c r="G243" s="478"/>
      <c r="K243" s="640" t="b">
        <v>0</v>
      </c>
    </row>
    <row r="244">
      <c r="G244" s="478"/>
      <c r="K244" s="640" t="b">
        <v>0</v>
      </c>
    </row>
    <row r="245">
      <c r="G245" s="478"/>
      <c r="K245" s="640" t="b">
        <v>0</v>
      </c>
    </row>
    <row r="246">
      <c r="G246" s="478"/>
      <c r="K246" s="640" t="b">
        <v>0</v>
      </c>
    </row>
    <row r="247">
      <c r="G247" s="478"/>
      <c r="K247" s="640" t="b">
        <v>0</v>
      </c>
    </row>
    <row r="248">
      <c r="G248" s="478"/>
      <c r="K248" s="640" t="b">
        <v>0</v>
      </c>
    </row>
    <row r="249">
      <c r="G249" s="478"/>
      <c r="K249" s="640" t="b">
        <v>0</v>
      </c>
    </row>
    <row r="250">
      <c r="G250" s="478"/>
      <c r="K250" s="640" t="b">
        <v>0</v>
      </c>
    </row>
    <row r="251">
      <c r="G251" s="478"/>
      <c r="K251" s="640" t="b">
        <v>0</v>
      </c>
    </row>
    <row r="252">
      <c r="G252" s="478"/>
      <c r="K252" s="640" t="b">
        <v>0</v>
      </c>
    </row>
    <row r="253">
      <c r="G253" s="478"/>
      <c r="K253" s="640" t="b">
        <v>0</v>
      </c>
    </row>
    <row r="254">
      <c r="G254" s="478"/>
      <c r="K254" s="640" t="b">
        <v>0</v>
      </c>
    </row>
    <row r="255">
      <c r="G255" s="478"/>
      <c r="K255" s="640" t="b">
        <v>0</v>
      </c>
    </row>
    <row r="256">
      <c r="G256" s="478"/>
      <c r="K256" s="640" t="b">
        <v>0</v>
      </c>
    </row>
    <row r="257">
      <c r="G257" s="478"/>
      <c r="K257" s="640" t="b">
        <v>0</v>
      </c>
    </row>
    <row r="258">
      <c r="G258" s="478"/>
      <c r="K258" s="640" t="b">
        <v>0</v>
      </c>
    </row>
    <row r="259">
      <c r="G259" s="478"/>
      <c r="K259" s="640" t="b">
        <v>0</v>
      </c>
    </row>
    <row r="260">
      <c r="G260" s="478"/>
      <c r="K260" s="640" t="b">
        <v>0</v>
      </c>
    </row>
    <row r="261">
      <c r="G261" s="478"/>
      <c r="K261" s="640" t="b">
        <v>0</v>
      </c>
    </row>
    <row r="262">
      <c r="G262" s="478"/>
      <c r="K262" s="640" t="b">
        <v>0</v>
      </c>
    </row>
    <row r="263">
      <c r="G263" s="478"/>
      <c r="K263" s="640" t="b">
        <v>0</v>
      </c>
    </row>
    <row r="264">
      <c r="G264" s="478"/>
      <c r="K264" s="640" t="b">
        <v>0</v>
      </c>
    </row>
    <row r="265">
      <c r="G265" s="478"/>
      <c r="K265" s="640" t="b">
        <v>0</v>
      </c>
    </row>
    <row r="266">
      <c r="G266" s="478"/>
      <c r="K266" s="640" t="b">
        <v>0</v>
      </c>
    </row>
    <row r="267">
      <c r="G267" s="478"/>
      <c r="K267" s="640" t="b">
        <v>0</v>
      </c>
    </row>
    <row r="268">
      <c r="G268" s="478"/>
      <c r="K268" s="640" t="b">
        <v>0</v>
      </c>
    </row>
    <row r="269">
      <c r="G269" s="478"/>
      <c r="K269" s="640" t="b">
        <v>0</v>
      </c>
    </row>
    <row r="270">
      <c r="G270" s="478"/>
      <c r="K270" s="640" t="b">
        <v>0</v>
      </c>
    </row>
    <row r="271">
      <c r="G271" s="478"/>
      <c r="K271" s="640" t="b">
        <v>0</v>
      </c>
    </row>
    <row r="272">
      <c r="G272" s="478"/>
      <c r="K272" s="640" t="b">
        <v>0</v>
      </c>
    </row>
    <row r="273">
      <c r="G273" s="478"/>
      <c r="K273" s="640" t="b">
        <v>0</v>
      </c>
    </row>
    <row r="274">
      <c r="G274" s="478"/>
      <c r="K274" s="640" t="b">
        <v>0</v>
      </c>
    </row>
    <row r="275">
      <c r="G275" s="478"/>
      <c r="K275" s="640" t="b">
        <v>0</v>
      </c>
    </row>
    <row r="276">
      <c r="G276" s="478"/>
      <c r="K276" s="640" t="b">
        <v>0</v>
      </c>
    </row>
    <row r="277">
      <c r="G277" s="478"/>
      <c r="K277" s="640" t="b">
        <v>0</v>
      </c>
    </row>
    <row r="278">
      <c r="G278" s="478"/>
      <c r="K278" s="640" t="b">
        <v>0</v>
      </c>
    </row>
    <row r="279">
      <c r="G279" s="478"/>
      <c r="K279" s="640" t="b">
        <v>0</v>
      </c>
    </row>
    <row r="280">
      <c r="G280" s="478"/>
      <c r="K280" s="640" t="b">
        <v>0</v>
      </c>
    </row>
    <row r="281">
      <c r="G281" s="478"/>
      <c r="K281" s="640" t="b">
        <v>0</v>
      </c>
    </row>
    <row r="282">
      <c r="G282" s="478"/>
      <c r="K282" s="640" t="b">
        <v>0</v>
      </c>
    </row>
    <row r="283">
      <c r="G283" s="478"/>
      <c r="K283" s="640" t="b">
        <v>0</v>
      </c>
    </row>
    <row r="284">
      <c r="G284" s="478"/>
      <c r="K284" s="640" t="b">
        <v>0</v>
      </c>
    </row>
    <row r="285">
      <c r="G285" s="478"/>
      <c r="K285" s="640" t="b">
        <v>0</v>
      </c>
    </row>
    <row r="286">
      <c r="G286" s="478"/>
      <c r="K286" s="640" t="b">
        <v>0</v>
      </c>
    </row>
    <row r="287">
      <c r="G287" s="478"/>
      <c r="K287" s="640" t="b">
        <v>0</v>
      </c>
    </row>
    <row r="288">
      <c r="G288" s="478"/>
      <c r="K288" s="640" t="b">
        <v>0</v>
      </c>
    </row>
    <row r="289">
      <c r="G289" s="478"/>
      <c r="K289" s="640" t="b">
        <v>0</v>
      </c>
    </row>
    <row r="290">
      <c r="G290" s="478"/>
      <c r="K290" s="640" t="b">
        <v>0</v>
      </c>
    </row>
    <row r="291">
      <c r="G291" s="478"/>
      <c r="K291" s="640" t="b">
        <v>0</v>
      </c>
    </row>
    <row r="292">
      <c r="G292" s="478"/>
      <c r="K292" s="640" t="b">
        <v>0</v>
      </c>
    </row>
    <row r="293">
      <c r="G293" s="478"/>
      <c r="K293" s="640" t="b">
        <v>0</v>
      </c>
    </row>
    <row r="294">
      <c r="G294" s="478"/>
      <c r="K294" s="640" t="b">
        <v>0</v>
      </c>
    </row>
    <row r="295">
      <c r="G295" s="478"/>
      <c r="K295" s="640" t="b">
        <v>0</v>
      </c>
    </row>
    <row r="296">
      <c r="G296" s="478"/>
      <c r="K296" s="640" t="b">
        <v>0</v>
      </c>
    </row>
    <row r="297">
      <c r="G297" s="478"/>
      <c r="K297" s="640" t="b">
        <v>0</v>
      </c>
    </row>
    <row r="298">
      <c r="G298" s="478"/>
      <c r="K298" s="640" t="b">
        <v>0</v>
      </c>
    </row>
    <row r="299">
      <c r="G299" s="478"/>
      <c r="K299" s="640" t="b">
        <v>0</v>
      </c>
    </row>
    <row r="300">
      <c r="G300" s="478"/>
      <c r="K300" s="640" t="b">
        <v>0</v>
      </c>
    </row>
    <row r="301">
      <c r="G301" s="478"/>
      <c r="K301" s="640" t="b">
        <v>0</v>
      </c>
    </row>
    <row r="302">
      <c r="G302" s="478"/>
      <c r="K302" s="640" t="b">
        <v>0</v>
      </c>
    </row>
    <row r="303">
      <c r="G303" s="478"/>
      <c r="K303" s="640" t="b">
        <v>0</v>
      </c>
    </row>
    <row r="304">
      <c r="G304" s="478"/>
      <c r="K304" s="640" t="b">
        <v>0</v>
      </c>
    </row>
    <row r="305">
      <c r="G305" s="478"/>
      <c r="K305" s="640" t="b">
        <v>0</v>
      </c>
    </row>
    <row r="306">
      <c r="G306" s="478"/>
      <c r="K306" s="640" t="b">
        <v>0</v>
      </c>
    </row>
    <row r="307">
      <c r="G307" s="478"/>
      <c r="K307" s="640" t="b">
        <v>0</v>
      </c>
    </row>
    <row r="308">
      <c r="G308" s="478"/>
      <c r="K308" s="640" t="b">
        <v>0</v>
      </c>
    </row>
    <row r="309">
      <c r="G309" s="478"/>
      <c r="K309" s="640" t="b">
        <v>0</v>
      </c>
    </row>
    <row r="310">
      <c r="G310" s="478"/>
      <c r="K310" s="640" t="b">
        <v>0</v>
      </c>
    </row>
    <row r="311">
      <c r="G311" s="478"/>
      <c r="K311" s="640" t="b">
        <v>0</v>
      </c>
    </row>
    <row r="312">
      <c r="G312" s="478"/>
      <c r="K312" s="640" t="b">
        <v>0</v>
      </c>
    </row>
    <row r="313">
      <c r="G313" s="478"/>
      <c r="K313" s="640" t="b">
        <v>0</v>
      </c>
    </row>
    <row r="314">
      <c r="G314" s="478"/>
      <c r="K314" s="640" t="b">
        <v>0</v>
      </c>
    </row>
    <row r="315">
      <c r="G315" s="478"/>
      <c r="K315" s="640" t="b">
        <v>0</v>
      </c>
    </row>
    <row r="316">
      <c r="G316" s="478"/>
      <c r="K316" s="640" t="b">
        <v>0</v>
      </c>
    </row>
    <row r="317">
      <c r="G317" s="478"/>
      <c r="K317" s="640" t="b">
        <v>0</v>
      </c>
    </row>
    <row r="318">
      <c r="G318" s="478"/>
      <c r="K318" s="640" t="b">
        <v>0</v>
      </c>
    </row>
    <row r="319">
      <c r="G319" s="478"/>
      <c r="K319" s="640" t="b">
        <v>0</v>
      </c>
    </row>
    <row r="320">
      <c r="G320" s="478"/>
      <c r="K320" s="640" t="b">
        <v>0</v>
      </c>
    </row>
    <row r="321">
      <c r="G321" s="478"/>
      <c r="K321" s="640" t="b">
        <v>0</v>
      </c>
    </row>
    <row r="322">
      <c r="G322" s="478"/>
      <c r="K322" s="640" t="b">
        <v>0</v>
      </c>
    </row>
    <row r="323">
      <c r="G323" s="478"/>
      <c r="K323" s="640" t="b">
        <v>0</v>
      </c>
    </row>
    <row r="324">
      <c r="G324" s="478"/>
      <c r="K324" s="640" t="b">
        <v>0</v>
      </c>
    </row>
    <row r="325">
      <c r="G325" s="478"/>
      <c r="K325" s="640" t="b">
        <v>0</v>
      </c>
    </row>
    <row r="326">
      <c r="G326" s="478"/>
      <c r="K326" s="640" t="b">
        <v>0</v>
      </c>
    </row>
    <row r="327">
      <c r="G327" s="478"/>
      <c r="K327" s="640" t="b">
        <v>0</v>
      </c>
    </row>
    <row r="328">
      <c r="G328" s="478"/>
      <c r="K328" s="640" t="b">
        <v>0</v>
      </c>
    </row>
    <row r="329">
      <c r="G329" s="478"/>
      <c r="K329" s="640" t="b">
        <v>0</v>
      </c>
    </row>
    <row r="330">
      <c r="G330" s="478"/>
      <c r="K330" s="640" t="b">
        <v>0</v>
      </c>
    </row>
    <row r="331">
      <c r="G331" s="478"/>
      <c r="K331" s="640" t="b">
        <v>0</v>
      </c>
    </row>
    <row r="332">
      <c r="G332" s="478"/>
      <c r="K332" s="640" t="b">
        <v>0</v>
      </c>
    </row>
    <row r="333">
      <c r="G333" s="478"/>
      <c r="K333" s="640" t="b">
        <v>0</v>
      </c>
    </row>
    <row r="334">
      <c r="G334" s="478"/>
      <c r="K334" s="640" t="b">
        <v>0</v>
      </c>
    </row>
    <row r="335">
      <c r="G335" s="478"/>
      <c r="K335" s="640" t="b">
        <v>0</v>
      </c>
    </row>
    <row r="336">
      <c r="G336" s="478"/>
      <c r="K336" s="640" t="b">
        <v>0</v>
      </c>
    </row>
    <row r="337">
      <c r="G337" s="478"/>
      <c r="K337" s="640" t="b">
        <v>0</v>
      </c>
    </row>
    <row r="338">
      <c r="G338" s="478"/>
      <c r="K338" s="640" t="b">
        <v>0</v>
      </c>
    </row>
    <row r="339">
      <c r="G339" s="478"/>
      <c r="K339" s="640" t="b">
        <v>0</v>
      </c>
    </row>
    <row r="340">
      <c r="G340" s="478"/>
      <c r="K340" s="640" t="b">
        <v>0</v>
      </c>
    </row>
    <row r="341">
      <c r="G341" s="478"/>
      <c r="K341" s="640" t="b">
        <v>0</v>
      </c>
    </row>
    <row r="342">
      <c r="G342" s="478"/>
      <c r="K342" s="640" t="b">
        <v>0</v>
      </c>
    </row>
    <row r="343">
      <c r="G343" s="478"/>
      <c r="K343" s="640" t="b">
        <v>0</v>
      </c>
    </row>
    <row r="344">
      <c r="G344" s="478"/>
      <c r="K344" s="640" t="b">
        <v>0</v>
      </c>
    </row>
    <row r="345">
      <c r="G345" s="478"/>
      <c r="K345" s="640" t="b">
        <v>0</v>
      </c>
    </row>
    <row r="346">
      <c r="G346" s="478"/>
      <c r="K346" s="640" t="b">
        <v>0</v>
      </c>
    </row>
    <row r="347">
      <c r="G347" s="478"/>
      <c r="K347" s="640" t="b">
        <v>0</v>
      </c>
    </row>
    <row r="348">
      <c r="G348" s="478"/>
      <c r="K348" s="640" t="b">
        <v>0</v>
      </c>
    </row>
    <row r="349">
      <c r="G349" s="478"/>
      <c r="K349" s="640" t="b">
        <v>0</v>
      </c>
    </row>
    <row r="350">
      <c r="G350" s="478"/>
      <c r="K350" s="640" t="b">
        <v>0</v>
      </c>
    </row>
    <row r="351">
      <c r="G351" s="478"/>
      <c r="K351" s="640" t="b">
        <v>0</v>
      </c>
    </row>
    <row r="352">
      <c r="G352" s="478"/>
      <c r="K352" s="640" t="b">
        <v>0</v>
      </c>
    </row>
    <row r="353">
      <c r="G353" s="478"/>
      <c r="K353" s="640" t="b">
        <v>0</v>
      </c>
    </row>
    <row r="354">
      <c r="G354" s="478"/>
      <c r="K354" s="640" t="b">
        <v>0</v>
      </c>
    </row>
    <row r="355">
      <c r="G355" s="478"/>
      <c r="K355" s="640" t="b">
        <v>0</v>
      </c>
    </row>
    <row r="356">
      <c r="G356" s="478"/>
      <c r="K356" s="640" t="b">
        <v>0</v>
      </c>
    </row>
    <row r="357">
      <c r="G357" s="478"/>
      <c r="K357" s="640" t="b">
        <v>0</v>
      </c>
    </row>
    <row r="358">
      <c r="G358" s="478"/>
      <c r="K358" s="640" t="b">
        <v>0</v>
      </c>
    </row>
    <row r="359">
      <c r="G359" s="478"/>
      <c r="K359" s="640" t="b">
        <v>0</v>
      </c>
    </row>
    <row r="360">
      <c r="G360" s="478"/>
      <c r="K360" s="640" t="b">
        <v>0</v>
      </c>
    </row>
    <row r="361">
      <c r="G361" s="478"/>
      <c r="K361" s="640" t="b">
        <v>0</v>
      </c>
    </row>
    <row r="362">
      <c r="G362" s="478"/>
      <c r="K362" s="640" t="b">
        <v>0</v>
      </c>
    </row>
    <row r="363">
      <c r="G363" s="478"/>
      <c r="K363" s="640" t="b">
        <v>0</v>
      </c>
    </row>
    <row r="364">
      <c r="G364" s="478"/>
      <c r="K364" s="640" t="b">
        <v>0</v>
      </c>
    </row>
    <row r="365">
      <c r="G365" s="478"/>
      <c r="K365" s="640" t="b">
        <v>0</v>
      </c>
    </row>
    <row r="366">
      <c r="G366" s="478"/>
      <c r="K366" s="640" t="b">
        <v>0</v>
      </c>
    </row>
    <row r="367">
      <c r="G367" s="478"/>
      <c r="K367" s="640" t="b">
        <v>0</v>
      </c>
    </row>
    <row r="368">
      <c r="G368" s="478"/>
      <c r="K368" s="640" t="b">
        <v>0</v>
      </c>
    </row>
    <row r="369">
      <c r="G369" s="478"/>
      <c r="K369" s="640" t="b">
        <v>0</v>
      </c>
    </row>
    <row r="370">
      <c r="G370" s="478"/>
      <c r="K370" s="640" t="b">
        <v>0</v>
      </c>
    </row>
    <row r="371">
      <c r="G371" s="478"/>
      <c r="K371" s="640" t="b">
        <v>0</v>
      </c>
    </row>
    <row r="372">
      <c r="G372" s="478"/>
      <c r="K372" s="640" t="b">
        <v>0</v>
      </c>
    </row>
    <row r="373">
      <c r="G373" s="478"/>
      <c r="K373" s="640" t="b">
        <v>0</v>
      </c>
    </row>
    <row r="374">
      <c r="G374" s="478"/>
      <c r="K374" s="640" t="b">
        <v>0</v>
      </c>
    </row>
    <row r="375">
      <c r="G375" s="478"/>
      <c r="K375" s="640" t="b">
        <v>0</v>
      </c>
    </row>
    <row r="376">
      <c r="G376" s="478"/>
      <c r="K376" s="640" t="b">
        <v>0</v>
      </c>
    </row>
    <row r="377">
      <c r="G377" s="478"/>
      <c r="K377" s="640" t="b">
        <v>0</v>
      </c>
    </row>
    <row r="378">
      <c r="G378" s="478"/>
      <c r="K378" s="640" t="b">
        <v>0</v>
      </c>
    </row>
    <row r="379">
      <c r="G379" s="478"/>
      <c r="K379" s="640" t="b">
        <v>0</v>
      </c>
    </row>
    <row r="380">
      <c r="G380" s="478"/>
      <c r="K380" s="640" t="b">
        <v>0</v>
      </c>
    </row>
    <row r="381">
      <c r="G381" s="478"/>
      <c r="K381" s="640" t="b">
        <v>0</v>
      </c>
    </row>
    <row r="382">
      <c r="G382" s="478"/>
      <c r="K382" s="640" t="b">
        <v>0</v>
      </c>
    </row>
    <row r="383">
      <c r="G383" s="478"/>
      <c r="K383" s="640" t="b">
        <v>0</v>
      </c>
    </row>
    <row r="384">
      <c r="G384" s="478"/>
      <c r="K384" s="640" t="b">
        <v>0</v>
      </c>
    </row>
    <row r="385">
      <c r="G385" s="478"/>
      <c r="K385" s="640" t="b">
        <v>0</v>
      </c>
    </row>
    <row r="386">
      <c r="G386" s="478"/>
      <c r="K386" s="640" t="b">
        <v>0</v>
      </c>
    </row>
    <row r="387">
      <c r="G387" s="478"/>
      <c r="K387" s="640" t="b">
        <v>0</v>
      </c>
    </row>
    <row r="388">
      <c r="G388" s="478"/>
      <c r="K388" s="640" t="b">
        <v>0</v>
      </c>
    </row>
    <row r="389">
      <c r="G389" s="478"/>
      <c r="K389" s="640" t="b">
        <v>0</v>
      </c>
    </row>
    <row r="390">
      <c r="G390" s="478"/>
      <c r="K390" s="640" t="b">
        <v>0</v>
      </c>
    </row>
    <row r="391">
      <c r="G391" s="478"/>
      <c r="K391" s="640" t="b">
        <v>0</v>
      </c>
    </row>
    <row r="392">
      <c r="G392" s="478"/>
      <c r="K392" s="640" t="b">
        <v>0</v>
      </c>
    </row>
    <row r="393">
      <c r="G393" s="478"/>
      <c r="K393" s="640" t="b">
        <v>0</v>
      </c>
    </row>
    <row r="394">
      <c r="G394" s="478"/>
      <c r="K394" s="640" t="b">
        <v>0</v>
      </c>
    </row>
    <row r="395">
      <c r="G395" s="478"/>
      <c r="K395" s="640" t="b">
        <v>0</v>
      </c>
    </row>
    <row r="396">
      <c r="G396" s="478"/>
      <c r="K396" s="640" t="b">
        <v>0</v>
      </c>
    </row>
    <row r="397">
      <c r="G397" s="478"/>
      <c r="K397" s="640" t="b">
        <v>0</v>
      </c>
    </row>
    <row r="398">
      <c r="G398" s="478"/>
      <c r="K398" s="640" t="b">
        <v>0</v>
      </c>
    </row>
    <row r="399">
      <c r="G399" s="478"/>
      <c r="K399" s="640" t="b">
        <v>0</v>
      </c>
    </row>
    <row r="400">
      <c r="G400" s="478"/>
      <c r="K400" s="640" t="b">
        <v>0</v>
      </c>
    </row>
    <row r="401">
      <c r="G401" s="478"/>
      <c r="K401" s="640" t="b">
        <v>0</v>
      </c>
    </row>
    <row r="402">
      <c r="G402" s="478"/>
      <c r="K402" s="640" t="b">
        <v>0</v>
      </c>
    </row>
    <row r="403">
      <c r="G403" s="478"/>
      <c r="K403" s="640" t="b">
        <v>0</v>
      </c>
    </row>
    <row r="404">
      <c r="G404" s="478"/>
      <c r="K404" s="640" t="b">
        <v>0</v>
      </c>
    </row>
    <row r="405">
      <c r="G405" s="478"/>
      <c r="K405" s="640" t="b">
        <v>0</v>
      </c>
    </row>
    <row r="406">
      <c r="G406" s="478"/>
      <c r="K406" s="640" t="b">
        <v>0</v>
      </c>
    </row>
    <row r="407">
      <c r="G407" s="478"/>
      <c r="K407" s="640" t="b">
        <v>0</v>
      </c>
    </row>
    <row r="408">
      <c r="G408" s="478"/>
      <c r="K408" s="640" t="b">
        <v>0</v>
      </c>
    </row>
    <row r="409">
      <c r="G409" s="478"/>
      <c r="K409" s="640" t="b">
        <v>0</v>
      </c>
    </row>
    <row r="410">
      <c r="G410" s="478"/>
      <c r="K410" s="640" t="b">
        <v>0</v>
      </c>
    </row>
    <row r="411">
      <c r="G411" s="478"/>
      <c r="K411" s="640" t="b">
        <v>0</v>
      </c>
    </row>
    <row r="412">
      <c r="G412" s="478"/>
      <c r="K412" s="640" t="b">
        <v>0</v>
      </c>
    </row>
    <row r="413">
      <c r="G413" s="478"/>
      <c r="K413" s="640" t="b">
        <v>0</v>
      </c>
    </row>
    <row r="414">
      <c r="G414" s="478"/>
      <c r="K414" s="640" t="b">
        <v>0</v>
      </c>
    </row>
    <row r="415">
      <c r="G415" s="478"/>
      <c r="K415" s="640" t="b">
        <v>0</v>
      </c>
    </row>
    <row r="416">
      <c r="G416" s="478"/>
      <c r="K416" s="640" t="b">
        <v>0</v>
      </c>
    </row>
    <row r="417">
      <c r="G417" s="478"/>
      <c r="K417" s="640" t="b">
        <v>0</v>
      </c>
    </row>
    <row r="418">
      <c r="G418" s="478"/>
      <c r="K418" s="640" t="b">
        <v>0</v>
      </c>
    </row>
    <row r="419">
      <c r="G419" s="478"/>
      <c r="K419" s="640" t="b">
        <v>0</v>
      </c>
    </row>
    <row r="420">
      <c r="G420" s="478"/>
      <c r="K420" s="640" t="b">
        <v>0</v>
      </c>
    </row>
    <row r="421">
      <c r="G421" s="478"/>
      <c r="K421" s="640" t="b">
        <v>0</v>
      </c>
    </row>
    <row r="422">
      <c r="G422" s="478"/>
      <c r="K422" s="640" t="b">
        <v>0</v>
      </c>
    </row>
    <row r="423">
      <c r="G423" s="478"/>
      <c r="K423" s="640" t="b">
        <v>0</v>
      </c>
    </row>
    <row r="424">
      <c r="G424" s="478"/>
      <c r="K424" s="640" t="b">
        <v>0</v>
      </c>
    </row>
    <row r="425">
      <c r="G425" s="478"/>
      <c r="K425" s="640" t="b">
        <v>0</v>
      </c>
    </row>
    <row r="426">
      <c r="G426" s="478"/>
      <c r="K426" s="640" t="b">
        <v>0</v>
      </c>
    </row>
    <row r="427">
      <c r="G427" s="478"/>
      <c r="K427" s="640" t="b">
        <v>0</v>
      </c>
    </row>
    <row r="428">
      <c r="G428" s="478"/>
      <c r="K428" s="640" t="b">
        <v>0</v>
      </c>
    </row>
    <row r="429">
      <c r="G429" s="478"/>
      <c r="K429" s="640" t="b">
        <v>0</v>
      </c>
    </row>
    <row r="430">
      <c r="G430" s="478"/>
      <c r="K430" s="640" t="b">
        <v>0</v>
      </c>
    </row>
    <row r="431">
      <c r="G431" s="478"/>
      <c r="K431" s="640" t="b">
        <v>0</v>
      </c>
    </row>
    <row r="432">
      <c r="G432" s="478"/>
      <c r="K432" s="640" t="b">
        <v>0</v>
      </c>
    </row>
    <row r="433">
      <c r="G433" s="478"/>
      <c r="K433" s="640" t="b">
        <v>0</v>
      </c>
    </row>
    <row r="434">
      <c r="G434" s="478"/>
      <c r="K434" s="640" t="b">
        <v>0</v>
      </c>
    </row>
    <row r="435">
      <c r="G435" s="478"/>
      <c r="K435" s="640" t="b">
        <v>0</v>
      </c>
    </row>
    <row r="436">
      <c r="G436" s="478"/>
      <c r="K436" s="640" t="b">
        <v>0</v>
      </c>
    </row>
    <row r="437">
      <c r="G437" s="478"/>
      <c r="K437" s="640" t="b">
        <v>0</v>
      </c>
    </row>
    <row r="438">
      <c r="G438" s="478"/>
      <c r="K438" s="640" t="b">
        <v>0</v>
      </c>
    </row>
    <row r="439">
      <c r="G439" s="478"/>
      <c r="K439" s="640" t="b">
        <v>0</v>
      </c>
    </row>
    <row r="440">
      <c r="G440" s="478"/>
      <c r="K440" s="640" t="b">
        <v>0</v>
      </c>
    </row>
    <row r="441">
      <c r="G441" s="478"/>
      <c r="K441" s="640" t="b">
        <v>0</v>
      </c>
    </row>
    <row r="442">
      <c r="G442" s="478"/>
      <c r="K442" s="640" t="b">
        <v>0</v>
      </c>
    </row>
    <row r="443">
      <c r="G443" s="478"/>
      <c r="K443" s="640" t="b">
        <v>0</v>
      </c>
    </row>
    <row r="444">
      <c r="G444" s="478"/>
      <c r="K444" s="640" t="b">
        <v>0</v>
      </c>
    </row>
    <row r="445">
      <c r="G445" s="478"/>
      <c r="K445" s="640" t="b">
        <v>0</v>
      </c>
    </row>
    <row r="446">
      <c r="G446" s="478"/>
      <c r="K446" s="640" t="b">
        <v>0</v>
      </c>
    </row>
    <row r="447">
      <c r="G447" s="478"/>
      <c r="K447" s="640" t="b">
        <v>0</v>
      </c>
    </row>
    <row r="448">
      <c r="G448" s="478"/>
      <c r="K448" s="640" t="b">
        <v>0</v>
      </c>
    </row>
    <row r="449">
      <c r="G449" s="478"/>
      <c r="K449" s="640" t="b">
        <v>0</v>
      </c>
    </row>
    <row r="450">
      <c r="G450" s="478"/>
      <c r="K450" s="640" t="b">
        <v>0</v>
      </c>
    </row>
    <row r="451">
      <c r="G451" s="478"/>
      <c r="K451" s="640" t="b">
        <v>0</v>
      </c>
    </row>
    <row r="452">
      <c r="G452" s="478"/>
      <c r="K452" s="640" t="b">
        <v>0</v>
      </c>
    </row>
    <row r="453">
      <c r="G453" s="478"/>
      <c r="K453" s="640" t="b">
        <v>0</v>
      </c>
    </row>
    <row r="454">
      <c r="G454" s="478"/>
      <c r="K454" s="640" t="b">
        <v>0</v>
      </c>
    </row>
    <row r="455">
      <c r="G455" s="478"/>
      <c r="K455" s="640" t="b">
        <v>0</v>
      </c>
    </row>
    <row r="456">
      <c r="G456" s="478"/>
      <c r="K456" s="640" t="b">
        <v>0</v>
      </c>
    </row>
    <row r="457">
      <c r="G457" s="478"/>
      <c r="K457" s="640" t="b">
        <v>0</v>
      </c>
    </row>
    <row r="458">
      <c r="G458" s="478"/>
      <c r="K458" s="640" t="b">
        <v>0</v>
      </c>
    </row>
    <row r="459">
      <c r="G459" s="478"/>
      <c r="K459" s="640" t="b">
        <v>0</v>
      </c>
    </row>
    <row r="460">
      <c r="G460" s="478"/>
      <c r="K460" s="640" t="b">
        <v>0</v>
      </c>
    </row>
    <row r="461">
      <c r="G461" s="478"/>
      <c r="K461" s="640" t="b">
        <v>0</v>
      </c>
    </row>
    <row r="462">
      <c r="G462" s="478"/>
      <c r="K462" s="640" t="b">
        <v>0</v>
      </c>
    </row>
    <row r="463">
      <c r="G463" s="478"/>
      <c r="K463" s="640" t="b">
        <v>0</v>
      </c>
    </row>
    <row r="464">
      <c r="G464" s="478"/>
      <c r="K464" s="640" t="b">
        <v>0</v>
      </c>
    </row>
    <row r="465">
      <c r="G465" s="478"/>
      <c r="K465" s="640" t="b">
        <v>0</v>
      </c>
    </row>
    <row r="466">
      <c r="G466" s="478"/>
      <c r="K466" s="640" t="b">
        <v>0</v>
      </c>
    </row>
    <row r="467">
      <c r="G467" s="478"/>
      <c r="K467" s="640" t="b">
        <v>0</v>
      </c>
    </row>
    <row r="468">
      <c r="G468" s="478"/>
      <c r="K468" s="640" t="b">
        <v>0</v>
      </c>
    </row>
    <row r="469">
      <c r="G469" s="478"/>
      <c r="K469" s="640" t="b">
        <v>0</v>
      </c>
    </row>
    <row r="470">
      <c r="G470" s="478"/>
      <c r="K470" s="640" t="b">
        <v>0</v>
      </c>
    </row>
    <row r="471">
      <c r="G471" s="478"/>
      <c r="K471" s="640" t="b">
        <v>0</v>
      </c>
    </row>
    <row r="472">
      <c r="G472" s="478"/>
      <c r="K472" s="640" t="b">
        <v>0</v>
      </c>
    </row>
    <row r="473">
      <c r="G473" s="478"/>
      <c r="K473" s="640" t="b">
        <v>0</v>
      </c>
    </row>
    <row r="474">
      <c r="G474" s="478"/>
      <c r="K474" s="640" t="b">
        <v>0</v>
      </c>
    </row>
    <row r="475">
      <c r="G475" s="478"/>
      <c r="K475" s="640" t="b">
        <v>0</v>
      </c>
    </row>
    <row r="476">
      <c r="G476" s="478"/>
      <c r="K476" s="640" t="b">
        <v>0</v>
      </c>
    </row>
    <row r="477">
      <c r="G477" s="478"/>
      <c r="K477" s="640" t="b">
        <v>0</v>
      </c>
    </row>
    <row r="478">
      <c r="G478" s="478"/>
      <c r="K478" s="640" t="b">
        <v>0</v>
      </c>
    </row>
    <row r="479">
      <c r="G479" s="478"/>
      <c r="K479" s="640" t="b">
        <v>0</v>
      </c>
    </row>
    <row r="480">
      <c r="G480" s="478"/>
      <c r="K480" s="640" t="b">
        <v>0</v>
      </c>
    </row>
    <row r="481">
      <c r="G481" s="478"/>
      <c r="K481" s="640" t="b">
        <v>0</v>
      </c>
    </row>
    <row r="482">
      <c r="G482" s="478"/>
      <c r="K482" s="640" t="b">
        <v>0</v>
      </c>
    </row>
    <row r="483">
      <c r="G483" s="478"/>
      <c r="K483" s="640" t="b">
        <v>0</v>
      </c>
    </row>
    <row r="484">
      <c r="G484" s="478"/>
      <c r="K484" s="640" t="b">
        <v>0</v>
      </c>
    </row>
    <row r="485">
      <c r="G485" s="478"/>
      <c r="K485" s="640" t="b">
        <v>0</v>
      </c>
    </row>
    <row r="486">
      <c r="G486" s="478"/>
      <c r="K486" s="640" t="b">
        <v>0</v>
      </c>
    </row>
    <row r="487">
      <c r="G487" s="478"/>
      <c r="K487" s="640" t="b">
        <v>0</v>
      </c>
    </row>
    <row r="488">
      <c r="G488" s="478"/>
      <c r="K488" s="640" t="b">
        <v>0</v>
      </c>
    </row>
    <row r="489">
      <c r="G489" s="478"/>
      <c r="K489" s="640" t="b">
        <v>0</v>
      </c>
    </row>
    <row r="490">
      <c r="G490" s="478"/>
      <c r="K490" s="640" t="b">
        <v>0</v>
      </c>
    </row>
    <row r="491">
      <c r="G491" s="478"/>
      <c r="K491" s="640" t="b">
        <v>0</v>
      </c>
    </row>
    <row r="492">
      <c r="G492" s="478"/>
      <c r="K492" s="640" t="b">
        <v>0</v>
      </c>
    </row>
    <row r="493">
      <c r="G493" s="478"/>
      <c r="K493" s="640" t="b">
        <v>0</v>
      </c>
    </row>
    <row r="494">
      <c r="G494" s="478"/>
      <c r="K494" s="640" t="b">
        <v>0</v>
      </c>
    </row>
    <row r="495">
      <c r="G495" s="478"/>
      <c r="K495" s="640" t="b">
        <v>0</v>
      </c>
    </row>
    <row r="496">
      <c r="G496" s="478"/>
      <c r="K496" s="640" t="b">
        <v>0</v>
      </c>
    </row>
    <row r="497">
      <c r="G497" s="478"/>
      <c r="K497" s="640" t="b">
        <v>0</v>
      </c>
    </row>
    <row r="498">
      <c r="G498" s="478"/>
      <c r="K498" s="640" t="b">
        <v>0</v>
      </c>
    </row>
    <row r="499">
      <c r="G499" s="478"/>
      <c r="K499" s="640" t="b">
        <v>0</v>
      </c>
    </row>
    <row r="500">
      <c r="G500" s="478"/>
      <c r="K500" s="640" t="b">
        <v>0</v>
      </c>
    </row>
    <row r="501">
      <c r="G501" s="478"/>
      <c r="K501" s="640" t="b">
        <v>0</v>
      </c>
    </row>
    <row r="502">
      <c r="G502" s="478"/>
      <c r="K502" s="640" t="b">
        <v>0</v>
      </c>
    </row>
    <row r="503">
      <c r="G503" s="478"/>
      <c r="K503" s="640" t="b">
        <v>0</v>
      </c>
    </row>
    <row r="504">
      <c r="G504" s="478"/>
      <c r="K504" s="640" t="b">
        <v>0</v>
      </c>
    </row>
    <row r="505">
      <c r="G505" s="478"/>
      <c r="K505" s="640" t="b">
        <v>0</v>
      </c>
    </row>
    <row r="506">
      <c r="G506" s="478"/>
      <c r="K506" s="640" t="b">
        <v>0</v>
      </c>
    </row>
    <row r="507">
      <c r="G507" s="478"/>
      <c r="K507" s="640" t="b">
        <v>0</v>
      </c>
    </row>
    <row r="508">
      <c r="G508" s="478"/>
      <c r="K508" s="640" t="b">
        <v>0</v>
      </c>
    </row>
    <row r="509">
      <c r="G509" s="478"/>
      <c r="K509" s="640" t="b">
        <v>0</v>
      </c>
    </row>
    <row r="510">
      <c r="G510" s="478"/>
      <c r="K510" s="640" t="b">
        <v>0</v>
      </c>
    </row>
    <row r="511">
      <c r="G511" s="478"/>
      <c r="K511" s="640" t="b">
        <v>0</v>
      </c>
    </row>
    <row r="512">
      <c r="G512" s="478"/>
      <c r="K512" s="640" t="b">
        <v>0</v>
      </c>
    </row>
    <row r="513">
      <c r="G513" s="478"/>
      <c r="K513" s="640" t="b">
        <v>0</v>
      </c>
    </row>
    <row r="514">
      <c r="G514" s="478"/>
      <c r="K514" s="640" t="b">
        <v>0</v>
      </c>
    </row>
    <row r="515">
      <c r="G515" s="478"/>
      <c r="K515" s="640" t="b">
        <v>0</v>
      </c>
    </row>
    <row r="516">
      <c r="G516" s="478"/>
      <c r="K516" s="640" t="b">
        <v>0</v>
      </c>
    </row>
    <row r="517">
      <c r="G517" s="478"/>
      <c r="K517" s="640" t="b">
        <v>0</v>
      </c>
    </row>
    <row r="518">
      <c r="G518" s="478"/>
      <c r="K518" s="640" t="b">
        <v>0</v>
      </c>
    </row>
    <row r="519">
      <c r="G519" s="478"/>
      <c r="K519" s="640" t="b">
        <v>0</v>
      </c>
    </row>
    <row r="520">
      <c r="G520" s="478"/>
      <c r="K520" s="640" t="b">
        <v>0</v>
      </c>
    </row>
    <row r="521">
      <c r="G521" s="478"/>
      <c r="K521" s="640" t="b">
        <v>0</v>
      </c>
    </row>
    <row r="522">
      <c r="G522" s="478"/>
      <c r="K522" s="640" t="b">
        <v>0</v>
      </c>
    </row>
    <row r="523">
      <c r="G523" s="478"/>
      <c r="K523" s="640" t="b">
        <v>0</v>
      </c>
    </row>
    <row r="524">
      <c r="G524" s="478"/>
      <c r="K524" s="640" t="b">
        <v>0</v>
      </c>
    </row>
    <row r="525">
      <c r="G525" s="478"/>
      <c r="K525" s="640" t="b">
        <v>0</v>
      </c>
    </row>
    <row r="526">
      <c r="G526" s="478"/>
      <c r="K526" s="640" t="b">
        <v>0</v>
      </c>
    </row>
    <row r="527">
      <c r="G527" s="478"/>
      <c r="K527" s="640" t="b">
        <v>0</v>
      </c>
    </row>
    <row r="528">
      <c r="G528" s="478"/>
      <c r="K528" s="640" t="b">
        <v>0</v>
      </c>
    </row>
    <row r="529">
      <c r="G529" s="478"/>
      <c r="K529" s="640" t="b">
        <v>0</v>
      </c>
    </row>
    <row r="530">
      <c r="G530" s="478"/>
      <c r="K530" s="640" t="b">
        <v>0</v>
      </c>
    </row>
    <row r="531">
      <c r="G531" s="478"/>
      <c r="K531" s="640" t="b">
        <v>0</v>
      </c>
    </row>
    <row r="532">
      <c r="G532" s="478"/>
      <c r="K532" s="640" t="b">
        <v>0</v>
      </c>
    </row>
    <row r="533">
      <c r="G533" s="478"/>
      <c r="K533" s="640" t="b">
        <v>0</v>
      </c>
    </row>
    <row r="534">
      <c r="G534" s="478"/>
      <c r="K534" s="640" t="b">
        <v>0</v>
      </c>
    </row>
    <row r="535">
      <c r="G535" s="478"/>
      <c r="K535" s="640" t="b">
        <v>0</v>
      </c>
    </row>
    <row r="536">
      <c r="G536" s="478"/>
      <c r="K536" s="640" t="b">
        <v>0</v>
      </c>
    </row>
    <row r="537">
      <c r="G537" s="478"/>
      <c r="K537" s="640" t="b">
        <v>0</v>
      </c>
    </row>
    <row r="538">
      <c r="G538" s="478"/>
      <c r="K538" s="640" t="b">
        <v>0</v>
      </c>
    </row>
    <row r="539">
      <c r="G539" s="478"/>
      <c r="K539" s="640" t="b">
        <v>0</v>
      </c>
    </row>
    <row r="540">
      <c r="G540" s="478"/>
      <c r="K540" s="640" t="b">
        <v>0</v>
      </c>
    </row>
    <row r="541">
      <c r="G541" s="478"/>
      <c r="K541" s="640" t="b">
        <v>0</v>
      </c>
    </row>
    <row r="542">
      <c r="G542" s="478"/>
      <c r="K542" s="640" t="b">
        <v>0</v>
      </c>
    </row>
    <row r="543">
      <c r="G543" s="478"/>
      <c r="K543" s="640" t="b">
        <v>0</v>
      </c>
    </row>
    <row r="544">
      <c r="G544" s="478"/>
      <c r="K544" s="640" t="b">
        <v>0</v>
      </c>
    </row>
    <row r="545">
      <c r="G545" s="478"/>
      <c r="K545" s="640" t="b">
        <v>0</v>
      </c>
    </row>
    <row r="546">
      <c r="G546" s="478"/>
      <c r="K546" s="640" t="b">
        <v>0</v>
      </c>
    </row>
    <row r="547">
      <c r="G547" s="478"/>
      <c r="K547" s="640" t="b">
        <v>0</v>
      </c>
    </row>
    <row r="548">
      <c r="G548" s="478"/>
      <c r="K548" s="640" t="b">
        <v>0</v>
      </c>
    </row>
    <row r="549">
      <c r="G549" s="478"/>
      <c r="K549" s="640" t="b">
        <v>0</v>
      </c>
    </row>
    <row r="550">
      <c r="G550" s="478"/>
      <c r="K550" s="640" t="b">
        <v>0</v>
      </c>
    </row>
    <row r="551">
      <c r="G551" s="478"/>
      <c r="K551" s="640" t="b">
        <v>0</v>
      </c>
    </row>
    <row r="552">
      <c r="G552" s="478"/>
      <c r="K552" s="640" t="b">
        <v>0</v>
      </c>
    </row>
    <row r="553">
      <c r="G553" s="478"/>
      <c r="K553" s="640" t="b">
        <v>0</v>
      </c>
    </row>
    <row r="554">
      <c r="G554" s="478"/>
      <c r="K554" s="640" t="b">
        <v>0</v>
      </c>
    </row>
    <row r="555">
      <c r="G555" s="478"/>
      <c r="K555" s="640" t="b">
        <v>0</v>
      </c>
    </row>
    <row r="556">
      <c r="G556" s="478"/>
      <c r="K556" s="640" t="b">
        <v>0</v>
      </c>
    </row>
    <row r="557">
      <c r="G557" s="478"/>
      <c r="K557" s="640" t="b">
        <v>0</v>
      </c>
    </row>
    <row r="558">
      <c r="G558" s="478"/>
      <c r="K558" s="640" t="b">
        <v>0</v>
      </c>
    </row>
    <row r="559">
      <c r="G559" s="478"/>
      <c r="K559" s="640" t="b">
        <v>0</v>
      </c>
    </row>
    <row r="560">
      <c r="G560" s="478"/>
      <c r="K560" s="640" t="b">
        <v>0</v>
      </c>
    </row>
    <row r="561">
      <c r="G561" s="478"/>
      <c r="K561" s="640" t="b">
        <v>0</v>
      </c>
    </row>
    <row r="562">
      <c r="G562" s="478"/>
      <c r="K562" s="640" t="b">
        <v>0</v>
      </c>
    </row>
    <row r="563">
      <c r="G563" s="478"/>
      <c r="K563" s="640" t="b">
        <v>0</v>
      </c>
    </row>
    <row r="564">
      <c r="G564" s="478"/>
      <c r="K564" s="640" t="b">
        <v>0</v>
      </c>
    </row>
    <row r="565">
      <c r="G565" s="478"/>
      <c r="K565" s="640" t="b">
        <v>0</v>
      </c>
    </row>
    <row r="566">
      <c r="G566" s="478"/>
      <c r="K566" s="640" t="b">
        <v>0</v>
      </c>
    </row>
    <row r="567">
      <c r="G567" s="478"/>
      <c r="K567" s="640" t="b">
        <v>0</v>
      </c>
    </row>
    <row r="568">
      <c r="G568" s="478"/>
      <c r="K568" s="640" t="b">
        <v>0</v>
      </c>
    </row>
    <row r="569">
      <c r="G569" s="478"/>
      <c r="K569" s="640" t="b">
        <v>0</v>
      </c>
    </row>
    <row r="570">
      <c r="G570" s="478"/>
      <c r="K570" s="640" t="b">
        <v>0</v>
      </c>
    </row>
    <row r="571">
      <c r="G571" s="478"/>
      <c r="K571" s="640" t="b">
        <v>0</v>
      </c>
    </row>
    <row r="572">
      <c r="G572" s="478"/>
      <c r="K572" s="640" t="b">
        <v>0</v>
      </c>
    </row>
    <row r="573">
      <c r="G573" s="478"/>
      <c r="K573" s="640" t="b">
        <v>0</v>
      </c>
    </row>
    <row r="574">
      <c r="G574" s="478"/>
      <c r="K574" s="640" t="b">
        <v>0</v>
      </c>
    </row>
    <row r="575">
      <c r="G575" s="478"/>
      <c r="K575" s="640" t="b">
        <v>0</v>
      </c>
    </row>
    <row r="576">
      <c r="G576" s="478"/>
      <c r="K576" s="640" t="b">
        <v>0</v>
      </c>
    </row>
    <row r="577">
      <c r="G577" s="478"/>
      <c r="K577" s="640" t="b">
        <v>0</v>
      </c>
    </row>
    <row r="578">
      <c r="G578" s="478"/>
      <c r="K578" s="640" t="b">
        <v>0</v>
      </c>
    </row>
    <row r="579">
      <c r="G579" s="478"/>
      <c r="K579" s="640" t="b">
        <v>0</v>
      </c>
    </row>
    <row r="580">
      <c r="G580" s="478"/>
      <c r="K580" s="640" t="b">
        <v>0</v>
      </c>
    </row>
    <row r="581">
      <c r="G581" s="478"/>
      <c r="K581" s="640" t="b">
        <v>0</v>
      </c>
    </row>
    <row r="582">
      <c r="G582" s="478"/>
      <c r="K582" s="640" t="b">
        <v>0</v>
      </c>
    </row>
    <row r="583">
      <c r="G583" s="478"/>
      <c r="K583" s="640" t="b">
        <v>0</v>
      </c>
    </row>
    <row r="584">
      <c r="G584" s="478"/>
      <c r="K584" s="640" t="b">
        <v>0</v>
      </c>
    </row>
    <row r="585">
      <c r="G585" s="478"/>
      <c r="K585" s="640" t="b">
        <v>0</v>
      </c>
    </row>
    <row r="586">
      <c r="G586" s="478"/>
      <c r="K586" s="640" t="b">
        <v>0</v>
      </c>
    </row>
    <row r="587">
      <c r="G587" s="478"/>
      <c r="K587" s="640" t="b">
        <v>0</v>
      </c>
    </row>
    <row r="588">
      <c r="G588" s="478"/>
      <c r="K588" s="640" t="b">
        <v>0</v>
      </c>
    </row>
    <row r="589">
      <c r="G589" s="478"/>
      <c r="K589" s="640" t="b">
        <v>0</v>
      </c>
    </row>
    <row r="590">
      <c r="G590" s="478"/>
      <c r="K590" s="640" t="b">
        <v>0</v>
      </c>
    </row>
    <row r="591">
      <c r="G591" s="478"/>
      <c r="K591" s="640" t="b">
        <v>0</v>
      </c>
    </row>
    <row r="592">
      <c r="G592" s="478"/>
      <c r="K592" s="640" t="b">
        <v>0</v>
      </c>
    </row>
    <row r="593">
      <c r="G593" s="478"/>
      <c r="K593" s="640" t="b">
        <v>0</v>
      </c>
    </row>
    <row r="594">
      <c r="G594" s="478"/>
      <c r="K594" s="640" t="b">
        <v>0</v>
      </c>
    </row>
    <row r="595">
      <c r="G595" s="478"/>
      <c r="K595" s="640" t="b">
        <v>0</v>
      </c>
    </row>
    <row r="596">
      <c r="G596" s="478"/>
      <c r="K596" s="640" t="b">
        <v>0</v>
      </c>
    </row>
    <row r="597">
      <c r="G597" s="478"/>
      <c r="K597" s="640" t="b">
        <v>0</v>
      </c>
    </row>
    <row r="598">
      <c r="G598" s="478"/>
      <c r="K598" s="640" t="b">
        <v>0</v>
      </c>
    </row>
    <row r="599">
      <c r="G599" s="478"/>
      <c r="K599" s="640" t="b">
        <v>0</v>
      </c>
    </row>
    <row r="600">
      <c r="G600" s="478"/>
      <c r="K600" s="640" t="b">
        <v>0</v>
      </c>
    </row>
    <row r="601">
      <c r="G601" s="478"/>
      <c r="K601" s="640" t="b">
        <v>0</v>
      </c>
    </row>
    <row r="602">
      <c r="G602" s="478"/>
      <c r="K602" s="640" t="b">
        <v>0</v>
      </c>
    </row>
    <row r="603">
      <c r="G603" s="478"/>
      <c r="K603" s="640" t="b">
        <v>0</v>
      </c>
    </row>
    <row r="604">
      <c r="G604" s="478"/>
      <c r="K604" s="640" t="b">
        <v>0</v>
      </c>
    </row>
    <row r="605">
      <c r="G605" s="478"/>
      <c r="K605" s="640" t="b">
        <v>0</v>
      </c>
    </row>
    <row r="606">
      <c r="G606" s="478"/>
      <c r="K606" s="640" t="b">
        <v>0</v>
      </c>
    </row>
    <row r="607">
      <c r="G607" s="478"/>
      <c r="K607" s="640" t="b">
        <v>0</v>
      </c>
    </row>
    <row r="608">
      <c r="G608" s="478"/>
      <c r="K608" s="640" t="b">
        <v>0</v>
      </c>
    </row>
    <row r="609">
      <c r="G609" s="478"/>
      <c r="K609" s="640" t="b">
        <v>0</v>
      </c>
    </row>
    <row r="610">
      <c r="G610" s="478"/>
      <c r="K610" s="640" t="b">
        <v>0</v>
      </c>
    </row>
    <row r="611">
      <c r="G611" s="478"/>
      <c r="K611" s="640" t="b">
        <v>0</v>
      </c>
    </row>
    <row r="612">
      <c r="G612" s="478"/>
      <c r="K612" s="640" t="b">
        <v>0</v>
      </c>
    </row>
    <row r="613">
      <c r="G613" s="478"/>
      <c r="K613" s="640" t="b">
        <v>0</v>
      </c>
    </row>
    <row r="614">
      <c r="G614" s="478"/>
      <c r="K614" s="640" t="b">
        <v>0</v>
      </c>
    </row>
    <row r="615">
      <c r="G615" s="478"/>
      <c r="K615" s="640" t="b">
        <v>0</v>
      </c>
    </row>
    <row r="616">
      <c r="G616" s="478"/>
      <c r="K616" s="640" t="b">
        <v>0</v>
      </c>
    </row>
    <row r="617">
      <c r="G617" s="478"/>
      <c r="K617" s="640" t="b">
        <v>0</v>
      </c>
    </row>
    <row r="618">
      <c r="G618" s="478"/>
      <c r="K618" s="640" t="b">
        <v>0</v>
      </c>
    </row>
    <row r="619">
      <c r="G619" s="478"/>
      <c r="K619" s="640" t="b">
        <v>0</v>
      </c>
    </row>
    <row r="620">
      <c r="G620" s="478"/>
      <c r="K620" s="640" t="b">
        <v>0</v>
      </c>
    </row>
    <row r="621">
      <c r="G621" s="478"/>
      <c r="K621" s="640" t="b">
        <v>0</v>
      </c>
    </row>
    <row r="622">
      <c r="G622" s="478"/>
      <c r="K622" s="640" t="b">
        <v>0</v>
      </c>
    </row>
    <row r="623">
      <c r="G623" s="478"/>
      <c r="K623" s="640" t="b">
        <v>0</v>
      </c>
    </row>
    <row r="624">
      <c r="G624" s="478"/>
      <c r="K624" s="640" t="b">
        <v>0</v>
      </c>
    </row>
    <row r="625">
      <c r="G625" s="478"/>
      <c r="K625" s="640" t="b">
        <v>0</v>
      </c>
    </row>
    <row r="626">
      <c r="G626" s="478"/>
      <c r="K626" s="640" t="b">
        <v>0</v>
      </c>
    </row>
    <row r="627">
      <c r="G627" s="478"/>
      <c r="K627" s="640" t="b">
        <v>0</v>
      </c>
    </row>
    <row r="628">
      <c r="G628" s="478"/>
      <c r="K628" s="640" t="b">
        <v>0</v>
      </c>
    </row>
    <row r="629">
      <c r="G629" s="478"/>
      <c r="K629" s="640" t="b">
        <v>0</v>
      </c>
    </row>
    <row r="630">
      <c r="G630" s="478"/>
      <c r="K630" s="640" t="b">
        <v>0</v>
      </c>
    </row>
    <row r="631">
      <c r="G631" s="478"/>
      <c r="K631" s="640" t="b">
        <v>0</v>
      </c>
    </row>
    <row r="632">
      <c r="G632" s="478"/>
      <c r="K632" s="640" t="b">
        <v>0</v>
      </c>
    </row>
    <row r="633">
      <c r="G633" s="478"/>
      <c r="K633" s="640" t="b">
        <v>0</v>
      </c>
    </row>
    <row r="634">
      <c r="G634" s="478"/>
      <c r="K634" s="640" t="b">
        <v>0</v>
      </c>
    </row>
    <row r="635">
      <c r="G635" s="478"/>
      <c r="K635" s="640" t="b">
        <v>0</v>
      </c>
    </row>
    <row r="636">
      <c r="G636" s="478"/>
      <c r="K636" s="640" t="b">
        <v>0</v>
      </c>
    </row>
    <row r="637">
      <c r="G637" s="478"/>
      <c r="K637" s="640" t="b">
        <v>0</v>
      </c>
    </row>
    <row r="638">
      <c r="G638" s="478"/>
      <c r="K638" s="640" t="b">
        <v>0</v>
      </c>
    </row>
    <row r="639">
      <c r="G639" s="478"/>
      <c r="K639" s="640" t="b">
        <v>0</v>
      </c>
    </row>
    <row r="640">
      <c r="G640" s="478"/>
      <c r="K640" s="640" t="b">
        <v>0</v>
      </c>
    </row>
    <row r="641">
      <c r="G641" s="478"/>
      <c r="K641" s="640" t="b">
        <v>0</v>
      </c>
    </row>
    <row r="642">
      <c r="G642" s="478"/>
      <c r="K642" s="640" t="b">
        <v>0</v>
      </c>
    </row>
    <row r="643">
      <c r="G643" s="478"/>
      <c r="K643" s="640" t="b">
        <v>0</v>
      </c>
    </row>
    <row r="644">
      <c r="G644" s="478"/>
      <c r="K644" s="640" t="b">
        <v>0</v>
      </c>
    </row>
    <row r="645">
      <c r="G645" s="478"/>
      <c r="K645" s="640" t="b">
        <v>0</v>
      </c>
    </row>
    <row r="646">
      <c r="G646" s="478"/>
      <c r="K646" s="640" t="b">
        <v>0</v>
      </c>
    </row>
    <row r="647">
      <c r="G647" s="478"/>
      <c r="K647" s="640" t="b">
        <v>0</v>
      </c>
    </row>
    <row r="648">
      <c r="G648" s="478"/>
      <c r="K648" s="640" t="b">
        <v>0</v>
      </c>
    </row>
    <row r="649">
      <c r="G649" s="478"/>
      <c r="K649" s="640" t="b">
        <v>0</v>
      </c>
    </row>
    <row r="650">
      <c r="G650" s="478"/>
      <c r="K650" s="640" t="b">
        <v>0</v>
      </c>
    </row>
    <row r="651">
      <c r="G651" s="478"/>
      <c r="K651" s="640" t="b">
        <v>0</v>
      </c>
    </row>
    <row r="652">
      <c r="G652" s="478"/>
      <c r="K652" s="640" t="b">
        <v>0</v>
      </c>
    </row>
    <row r="653">
      <c r="G653" s="478"/>
      <c r="K653" s="640" t="b">
        <v>0</v>
      </c>
    </row>
    <row r="654">
      <c r="G654" s="478"/>
      <c r="K654" s="640" t="b">
        <v>0</v>
      </c>
    </row>
    <row r="655">
      <c r="G655" s="478"/>
      <c r="K655" s="640" t="b">
        <v>0</v>
      </c>
    </row>
    <row r="656">
      <c r="G656" s="478"/>
      <c r="K656" s="640" t="b">
        <v>0</v>
      </c>
    </row>
    <row r="657">
      <c r="G657" s="478"/>
      <c r="K657" s="640" t="b">
        <v>0</v>
      </c>
    </row>
    <row r="658">
      <c r="G658" s="478"/>
      <c r="K658" s="640" t="b">
        <v>0</v>
      </c>
    </row>
    <row r="659">
      <c r="G659" s="478"/>
      <c r="K659" s="640" t="b">
        <v>0</v>
      </c>
    </row>
    <row r="660">
      <c r="G660" s="478"/>
      <c r="K660" s="640" t="b">
        <v>0</v>
      </c>
    </row>
    <row r="661">
      <c r="G661" s="478"/>
      <c r="K661" s="640" t="b">
        <v>0</v>
      </c>
    </row>
    <row r="662">
      <c r="G662" s="478"/>
      <c r="K662" s="640" t="b">
        <v>0</v>
      </c>
    </row>
    <row r="663">
      <c r="G663" s="478"/>
      <c r="K663" s="640" t="b">
        <v>0</v>
      </c>
    </row>
    <row r="664">
      <c r="G664" s="478"/>
      <c r="K664" s="640" t="b">
        <v>0</v>
      </c>
    </row>
    <row r="665">
      <c r="G665" s="478"/>
      <c r="K665" s="640" t="b">
        <v>0</v>
      </c>
    </row>
    <row r="666">
      <c r="G666" s="478"/>
      <c r="K666" s="640" t="b">
        <v>0</v>
      </c>
    </row>
    <row r="667">
      <c r="G667" s="478"/>
      <c r="K667" s="640" t="b">
        <v>0</v>
      </c>
    </row>
    <row r="668">
      <c r="G668" s="478"/>
      <c r="K668" s="640" t="b">
        <v>0</v>
      </c>
    </row>
    <row r="669">
      <c r="G669" s="478"/>
      <c r="K669" s="640" t="b">
        <v>0</v>
      </c>
    </row>
    <row r="670">
      <c r="G670" s="478"/>
      <c r="K670" s="640" t="b">
        <v>0</v>
      </c>
    </row>
    <row r="671">
      <c r="G671" s="478"/>
      <c r="K671" s="640" t="b">
        <v>0</v>
      </c>
    </row>
    <row r="672">
      <c r="G672" s="478"/>
      <c r="K672" s="640" t="b">
        <v>0</v>
      </c>
    </row>
    <row r="673">
      <c r="G673" s="478"/>
      <c r="K673" s="640" t="b">
        <v>0</v>
      </c>
    </row>
    <row r="674">
      <c r="G674" s="478"/>
      <c r="K674" s="640" t="b">
        <v>0</v>
      </c>
    </row>
    <row r="675">
      <c r="G675" s="478"/>
      <c r="K675" s="640" t="b">
        <v>0</v>
      </c>
    </row>
    <row r="676">
      <c r="G676" s="478"/>
      <c r="K676" s="640" t="b">
        <v>0</v>
      </c>
    </row>
    <row r="677">
      <c r="G677" s="478"/>
      <c r="K677" s="640" t="b">
        <v>0</v>
      </c>
    </row>
    <row r="678">
      <c r="G678" s="478"/>
      <c r="K678" s="640" t="b">
        <v>0</v>
      </c>
    </row>
    <row r="679">
      <c r="G679" s="478"/>
      <c r="K679" s="640" t="b">
        <v>0</v>
      </c>
    </row>
    <row r="680">
      <c r="G680" s="478"/>
      <c r="K680" s="640" t="b">
        <v>0</v>
      </c>
    </row>
    <row r="681">
      <c r="G681" s="478"/>
      <c r="K681" s="640" t="b">
        <v>0</v>
      </c>
    </row>
    <row r="682">
      <c r="G682" s="478"/>
      <c r="K682" s="640" t="b">
        <v>0</v>
      </c>
    </row>
    <row r="683">
      <c r="G683" s="478"/>
      <c r="K683" s="640" t="b">
        <v>0</v>
      </c>
    </row>
    <row r="684">
      <c r="G684" s="478"/>
      <c r="K684" s="640" t="b">
        <v>0</v>
      </c>
    </row>
    <row r="685">
      <c r="G685" s="478"/>
      <c r="K685" s="640" t="b">
        <v>0</v>
      </c>
    </row>
    <row r="686">
      <c r="G686" s="478"/>
      <c r="K686" s="640" t="b">
        <v>0</v>
      </c>
    </row>
    <row r="687">
      <c r="G687" s="478"/>
      <c r="K687" s="640" t="b">
        <v>0</v>
      </c>
    </row>
    <row r="688">
      <c r="G688" s="478"/>
      <c r="K688" s="640" t="b">
        <v>0</v>
      </c>
    </row>
    <row r="689">
      <c r="G689" s="478"/>
      <c r="K689" s="640" t="b">
        <v>0</v>
      </c>
    </row>
    <row r="690">
      <c r="G690" s="478"/>
      <c r="K690" s="640" t="b">
        <v>0</v>
      </c>
    </row>
    <row r="691">
      <c r="G691" s="478"/>
      <c r="K691" s="640" t="b">
        <v>0</v>
      </c>
    </row>
    <row r="692">
      <c r="G692" s="478"/>
      <c r="K692" s="640" t="b">
        <v>0</v>
      </c>
    </row>
    <row r="693">
      <c r="G693" s="478"/>
      <c r="K693" s="640" t="b">
        <v>0</v>
      </c>
    </row>
    <row r="694">
      <c r="G694" s="478"/>
      <c r="K694" s="640" t="b">
        <v>0</v>
      </c>
    </row>
    <row r="695">
      <c r="G695" s="478"/>
      <c r="K695" s="640" t="b">
        <v>0</v>
      </c>
    </row>
    <row r="696">
      <c r="G696" s="478"/>
      <c r="K696" s="640" t="b">
        <v>0</v>
      </c>
    </row>
    <row r="697">
      <c r="G697" s="478"/>
      <c r="K697" s="640" t="b">
        <v>0</v>
      </c>
    </row>
    <row r="698">
      <c r="G698" s="478"/>
      <c r="K698" s="640" t="b">
        <v>0</v>
      </c>
    </row>
    <row r="699">
      <c r="G699" s="478"/>
      <c r="K699" s="640" t="b">
        <v>0</v>
      </c>
    </row>
    <row r="700">
      <c r="G700" s="478"/>
      <c r="K700" s="640" t="b">
        <v>0</v>
      </c>
    </row>
    <row r="701">
      <c r="G701" s="478"/>
      <c r="K701" s="640" t="b">
        <v>0</v>
      </c>
    </row>
    <row r="702">
      <c r="G702" s="478"/>
      <c r="K702" s="640" t="b">
        <v>0</v>
      </c>
    </row>
    <row r="703">
      <c r="G703" s="478"/>
      <c r="K703" s="640" t="b">
        <v>0</v>
      </c>
    </row>
    <row r="704">
      <c r="G704" s="478"/>
      <c r="K704" s="640" t="b">
        <v>0</v>
      </c>
    </row>
    <row r="705">
      <c r="G705" s="478"/>
      <c r="K705" s="640" t="b">
        <v>0</v>
      </c>
    </row>
    <row r="706">
      <c r="G706" s="478"/>
      <c r="K706" s="640" t="b">
        <v>0</v>
      </c>
    </row>
    <row r="707">
      <c r="G707" s="478"/>
      <c r="K707" s="640" t="b">
        <v>0</v>
      </c>
    </row>
    <row r="708">
      <c r="G708" s="478"/>
      <c r="K708" s="640" t="b">
        <v>0</v>
      </c>
    </row>
    <row r="709">
      <c r="G709" s="478"/>
      <c r="K709" s="640" t="b">
        <v>0</v>
      </c>
    </row>
    <row r="710">
      <c r="G710" s="478"/>
      <c r="K710" s="640" t="b">
        <v>0</v>
      </c>
    </row>
    <row r="711">
      <c r="G711" s="478"/>
      <c r="K711" s="640" t="b">
        <v>0</v>
      </c>
    </row>
    <row r="712">
      <c r="G712" s="478"/>
      <c r="K712" s="640" t="b">
        <v>0</v>
      </c>
    </row>
    <row r="713">
      <c r="G713" s="478"/>
      <c r="K713" s="640" t="b">
        <v>0</v>
      </c>
    </row>
    <row r="714">
      <c r="G714" s="478"/>
      <c r="K714" s="640" t="b">
        <v>0</v>
      </c>
    </row>
    <row r="715">
      <c r="G715" s="478"/>
      <c r="K715" s="640" t="b">
        <v>0</v>
      </c>
    </row>
    <row r="716">
      <c r="G716" s="478"/>
      <c r="K716" s="640" t="b">
        <v>0</v>
      </c>
    </row>
    <row r="717">
      <c r="G717" s="478"/>
      <c r="K717" s="640" t="b">
        <v>0</v>
      </c>
    </row>
    <row r="718">
      <c r="G718" s="478"/>
      <c r="K718" s="640" t="b">
        <v>0</v>
      </c>
    </row>
    <row r="719">
      <c r="G719" s="478"/>
      <c r="K719" s="640" t="b">
        <v>0</v>
      </c>
    </row>
    <row r="720">
      <c r="G720" s="478"/>
      <c r="K720" s="640" t="b">
        <v>0</v>
      </c>
    </row>
    <row r="721">
      <c r="G721" s="478"/>
      <c r="K721" s="640" t="b">
        <v>0</v>
      </c>
    </row>
    <row r="722">
      <c r="G722" s="478"/>
      <c r="K722" s="640" t="b">
        <v>0</v>
      </c>
    </row>
    <row r="723">
      <c r="G723" s="478"/>
      <c r="K723" s="640" t="b">
        <v>0</v>
      </c>
    </row>
    <row r="724">
      <c r="G724" s="478"/>
      <c r="K724" s="640" t="b">
        <v>0</v>
      </c>
    </row>
    <row r="725">
      <c r="G725" s="478"/>
      <c r="K725" s="640" t="b">
        <v>0</v>
      </c>
    </row>
    <row r="726">
      <c r="G726" s="478"/>
      <c r="K726" s="640" t="b">
        <v>0</v>
      </c>
    </row>
    <row r="727">
      <c r="G727" s="478"/>
      <c r="K727" s="640" t="b">
        <v>0</v>
      </c>
    </row>
    <row r="728">
      <c r="G728" s="478"/>
      <c r="K728" s="640" t="b">
        <v>0</v>
      </c>
    </row>
    <row r="729">
      <c r="G729" s="478"/>
      <c r="K729" s="640" t="b">
        <v>0</v>
      </c>
    </row>
    <row r="730">
      <c r="G730" s="478"/>
      <c r="K730" s="640" t="b">
        <v>0</v>
      </c>
    </row>
    <row r="731">
      <c r="G731" s="478"/>
      <c r="K731" s="640" t="b">
        <v>0</v>
      </c>
    </row>
    <row r="732">
      <c r="G732" s="478"/>
      <c r="K732" s="640" t="b">
        <v>0</v>
      </c>
    </row>
    <row r="733">
      <c r="G733" s="478"/>
      <c r="K733" s="640" t="b">
        <v>0</v>
      </c>
    </row>
    <row r="734">
      <c r="G734" s="478"/>
      <c r="K734" s="640" t="b">
        <v>0</v>
      </c>
    </row>
    <row r="735">
      <c r="G735" s="478"/>
      <c r="K735" s="640" t="b">
        <v>0</v>
      </c>
    </row>
    <row r="736">
      <c r="G736" s="478"/>
      <c r="K736" s="640" t="b">
        <v>0</v>
      </c>
    </row>
    <row r="737">
      <c r="G737" s="478"/>
      <c r="K737" s="640" t="b">
        <v>0</v>
      </c>
    </row>
    <row r="738">
      <c r="G738" s="478"/>
      <c r="K738" s="640" t="b">
        <v>0</v>
      </c>
    </row>
    <row r="739">
      <c r="G739" s="478"/>
      <c r="K739" s="640" t="b">
        <v>0</v>
      </c>
    </row>
    <row r="740">
      <c r="G740" s="478"/>
      <c r="K740" s="640" t="b">
        <v>0</v>
      </c>
    </row>
    <row r="741">
      <c r="G741" s="478"/>
      <c r="K741" s="640" t="b">
        <v>0</v>
      </c>
    </row>
    <row r="742">
      <c r="G742" s="478"/>
      <c r="K742" s="640" t="b">
        <v>0</v>
      </c>
    </row>
    <row r="743">
      <c r="G743" s="478"/>
      <c r="K743" s="640" t="b">
        <v>0</v>
      </c>
    </row>
    <row r="744">
      <c r="G744" s="478"/>
      <c r="K744" s="640" t="b">
        <v>0</v>
      </c>
    </row>
    <row r="745">
      <c r="G745" s="478"/>
      <c r="K745" s="640" t="b">
        <v>0</v>
      </c>
    </row>
    <row r="746">
      <c r="G746" s="478"/>
      <c r="K746" s="640" t="b">
        <v>0</v>
      </c>
    </row>
    <row r="747">
      <c r="G747" s="478"/>
      <c r="K747" s="640" t="b">
        <v>0</v>
      </c>
    </row>
    <row r="748">
      <c r="G748" s="478"/>
      <c r="K748" s="640" t="b">
        <v>0</v>
      </c>
    </row>
    <row r="749">
      <c r="G749" s="478"/>
      <c r="K749" s="640" t="b">
        <v>0</v>
      </c>
    </row>
    <row r="750">
      <c r="G750" s="478"/>
      <c r="K750" s="640" t="b">
        <v>0</v>
      </c>
    </row>
    <row r="751">
      <c r="G751" s="478"/>
      <c r="K751" s="640" t="b">
        <v>0</v>
      </c>
    </row>
    <row r="752">
      <c r="G752" s="478"/>
      <c r="K752" s="640" t="b">
        <v>0</v>
      </c>
    </row>
    <row r="753">
      <c r="G753" s="478"/>
      <c r="K753" s="640" t="b">
        <v>0</v>
      </c>
    </row>
    <row r="754">
      <c r="G754" s="478"/>
      <c r="K754" s="640" t="b">
        <v>0</v>
      </c>
    </row>
    <row r="755">
      <c r="G755" s="478"/>
      <c r="K755" s="640" t="b">
        <v>0</v>
      </c>
    </row>
    <row r="756">
      <c r="G756" s="478"/>
      <c r="K756" s="640" t="b">
        <v>0</v>
      </c>
    </row>
    <row r="757">
      <c r="G757" s="478"/>
      <c r="K757" s="640" t="b">
        <v>0</v>
      </c>
    </row>
    <row r="758">
      <c r="G758" s="478"/>
      <c r="K758" s="640" t="b">
        <v>0</v>
      </c>
    </row>
    <row r="759">
      <c r="G759" s="478"/>
      <c r="K759" s="640" t="b">
        <v>0</v>
      </c>
    </row>
    <row r="760">
      <c r="G760" s="478"/>
      <c r="K760" s="640" t="b">
        <v>0</v>
      </c>
    </row>
    <row r="761">
      <c r="G761" s="478"/>
      <c r="K761" s="640" t="b">
        <v>0</v>
      </c>
    </row>
    <row r="762">
      <c r="G762" s="478"/>
      <c r="K762" s="640" t="b">
        <v>0</v>
      </c>
    </row>
    <row r="763">
      <c r="G763" s="478"/>
      <c r="K763" s="640" t="b">
        <v>0</v>
      </c>
    </row>
    <row r="764">
      <c r="G764" s="478"/>
      <c r="K764" s="640" t="b">
        <v>0</v>
      </c>
    </row>
    <row r="765">
      <c r="G765" s="478"/>
      <c r="K765" s="640" t="b">
        <v>0</v>
      </c>
    </row>
    <row r="766">
      <c r="G766" s="478"/>
      <c r="K766" s="640" t="b">
        <v>0</v>
      </c>
    </row>
    <row r="767">
      <c r="G767" s="478"/>
      <c r="K767" s="640" t="b">
        <v>0</v>
      </c>
    </row>
    <row r="768">
      <c r="G768" s="478"/>
      <c r="K768" s="640" t="b">
        <v>0</v>
      </c>
    </row>
    <row r="769">
      <c r="G769" s="478"/>
      <c r="K769" s="640" t="b">
        <v>0</v>
      </c>
    </row>
    <row r="770">
      <c r="G770" s="478"/>
      <c r="K770" s="640" t="b">
        <v>0</v>
      </c>
    </row>
    <row r="771">
      <c r="G771" s="478"/>
      <c r="K771" s="640" t="b">
        <v>0</v>
      </c>
    </row>
    <row r="772">
      <c r="G772" s="478"/>
      <c r="K772" s="640" t="b">
        <v>0</v>
      </c>
    </row>
    <row r="773">
      <c r="G773" s="478"/>
      <c r="K773" s="640" t="b">
        <v>0</v>
      </c>
    </row>
    <row r="774">
      <c r="G774" s="478"/>
      <c r="K774" s="640" t="b">
        <v>0</v>
      </c>
    </row>
    <row r="775">
      <c r="G775" s="478"/>
      <c r="K775" s="640" t="b">
        <v>0</v>
      </c>
    </row>
    <row r="776">
      <c r="G776" s="478"/>
      <c r="K776" s="640" t="b">
        <v>0</v>
      </c>
    </row>
    <row r="777">
      <c r="G777" s="478"/>
      <c r="K777" s="640" t="b">
        <v>0</v>
      </c>
    </row>
    <row r="778">
      <c r="G778" s="478"/>
      <c r="K778" s="640" t="b">
        <v>0</v>
      </c>
    </row>
    <row r="779">
      <c r="G779" s="478"/>
      <c r="K779" s="640" t="b">
        <v>0</v>
      </c>
    </row>
    <row r="780">
      <c r="G780" s="478"/>
      <c r="K780" s="640" t="b">
        <v>0</v>
      </c>
    </row>
    <row r="781">
      <c r="G781" s="478"/>
      <c r="K781" s="640" t="b">
        <v>0</v>
      </c>
    </row>
    <row r="782">
      <c r="G782" s="478"/>
      <c r="K782" s="640" t="b">
        <v>0</v>
      </c>
    </row>
    <row r="783">
      <c r="G783" s="478"/>
      <c r="K783" s="640" t="b">
        <v>0</v>
      </c>
    </row>
    <row r="784">
      <c r="G784" s="478"/>
      <c r="K784" s="640" t="b">
        <v>0</v>
      </c>
    </row>
    <row r="785">
      <c r="G785" s="478"/>
      <c r="K785" s="640" t="b">
        <v>0</v>
      </c>
    </row>
    <row r="786">
      <c r="G786" s="478"/>
      <c r="K786" s="640" t="b">
        <v>0</v>
      </c>
    </row>
    <row r="787">
      <c r="G787" s="478"/>
      <c r="K787" s="640" t="b">
        <v>0</v>
      </c>
    </row>
    <row r="788">
      <c r="G788" s="478"/>
      <c r="K788" s="640" t="b">
        <v>0</v>
      </c>
    </row>
    <row r="789">
      <c r="G789" s="478"/>
      <c r="K789" s="640" t="b">
        <v>0</v>
      </c>
    </row>
    <row r="790">
      <c r="G790" s="478"/>
      <c r="K790" s="640" t="b">
        <v>0</v>
      </c>
    </row>
    <row r="791">
      <c r="G791" s="478"/>
      <c r="K791" s="640" t="b">
        <v>0</v>
      </c>
    </row>
    <row r="792">
      <c r="G792" s="478"/>
      <c r="K792" s="640" t="b">
        <v>0</v>
      </c>
    </row>
    <row r="793">
      <c r="G793" s="478"/>
      <c r="K793" s="640" t="b">
        <v>0</v>
      </c>
    </row>
    <row r="794">
      <c r="G794" s="478"/>
      <c r="K794" s="640" t="b">
        <v>0</v>
      </c>
    </row>
    <row r="795">
      <c r="G795" s="478"/>
      <c r="K795" s="640" t="b">
        <v>0</v>
      </c>
    </row>
    <row r="796">
      <c r="G796" s="478"/>
      <c r="K796" s="640" t="b">
        <v>0</v>
      </c>
    </row>
    <row r="797">
      <c r="G797" s="478"/>
      <c r="K797" s="640" t="b">
        <v>0</v>
      </c>
    </row>
    <row r="798">
      <c r="G798" s="478"/>
      <c r="K798" s="640" t="b">
        <v>0</v>
      </c>
    </row>
    <row r="799">
      <c r="G799" s="478"/>
      <c r="K799" s="640" t="b">
        <v>0</v>
      </c>
    </row>
    <row r="800">
      <c r="G800" s="478"/>
      <c r="K800" s="640" t="b">
        <v>0</v>
      </c>
    </row>
    <row r="801">
      <c r="G801" s="478"/>
      <c r="K801" s="640" t="b">
        <v>0</v>
      </c>
    </row>
    <row r="802">
      <c r="G802" s="478"/>
      <c r="K802" s="640" t="b">
        <v>0</v>
      </c>
    </row>
    <row r="803">
      <c r="G803" s="478"/>
      <c r="K803" s="640" t="b">
        <v>0</v>
      </c>
    </row>
    <row r="804">
      <c r="G804" s="478"/>
      <c r="K804" s="640" t="b">
        <v>0</v>
      </c>
    </row>
    <row r="805">
      <c r="G805" s="478"/>
      <c r="K805" s="640" t="b">
        <v>0</v>
      </c>
    </row>
    <row r="806">
      <c r="G806" s="478"/>
      <c r="K806" s="640" t="b">
        <v>0</v>
      </c>
    </row>
    <row r="807">
      <c r="G807" s="478"/>
      <c r="K807" s="640" t="b">
        <v>0</v>
      </c>
    </row>
    <row r="808">
      <c r="G808" s="478"/>
      <c r="K808" s="640" t="b">
        <v>0</v>
      </c>
    </row>
    <row r="809">
      <c r="G809" s="478"/>
      <c r="K809" s="640" t="b">
        <v>0</v>
      </c>
    </row>
    <row r="810">
      <c r="G810" s="478"/>
      <c r="K810" s="640" t="b">
        <v>0</v>
      </c>
    </row>
    <row r="811">
      <c r="G811" s="478"/>
      <c r="K811" s="640" t="b">
        <v>0</v>
      </c>
    </row>
    <row r="812">
      <c r="G812" s="478"/>
      <c r="K812" s="640" t="b">
        <v>0</v>
      </c>
    </row>
    <row r="813">
      <c r="G813" s="478"/>
      <c r="K813" s="640" t="b">
        <v>0</v>
      </c>
    </row>
    <row r="814">
      <c r="G814" s="478"/>
      <c r="K814" s="640" t="b">
        <v>0</v>
      </c>
    </row>
    <row r="815">
      <c r="G815" s="478"/>
      <c r="K815" s="640" t="b">
        <v>0</v>
      </c>
    </row>
    <row r="816">
      <c r="G816" s="478"/>
      <c r="K816" s="640" t="b">
        <v>0</v>
      </c>
    </row>
    <row r="817">
      <c r="G817" s="478"/>
      <c r="K817" s="640" t="b">
        <v>0</v>
      </c>
    </row>
    <row r="818">
      <c r="G818" s="478"/>
      <c r="K818" s="640" t="b">
        <v>0</v>
      </c>
    </row>
    <row r="819">
      <c r="G819" s="478"/>
      <c r="K819" s="640" t="b">
        <v>0</v>
      </c>
    </row>
    <row r="820">
      <c r="G820" s="478"/>
      <c r="K820" s="640" t="b">
        <v>0</v>
      </c>
    </row>
    <row r="821">
      <c r="G821" s="478"/>
      <c r="K821" s="640" t="b">
        <v>0</v>
      </c>
    </row>
    <row r="822">
      <c r="G822" s="478"/>
      <c r="K822" s="640" t="b">
        <v>0</v>
      </c>
    </row>
    <row r="823">
      <c r="G823" s="478"/>
      <c r="K823" s="640" t="b">
        <v>0</v>
      </c>
    </row>
    <row r="824">
      <c r="G824" s="478"/>
      <c r="K824" s="640" t="b">
        <v>0</v>
      </c>
    </row>
    <row r="825">
      <c r="G825" s="478"/>
      <c r="K825" s="640" t="b">
        <v>0</v>
      </c>
    </row>
    <row r="826">
      <c r="G826" s="478"/>
      <c r="K826" s="640" t="b">
        <v>0</v>
      </c>
    </row>
    <row r="827">
      <c r="G827" s="478"/>
      <c r="K827" s="640" t="b">
        <v>0</v>
      </c>
    </row>
    <row r="828">
      <c r="G828" s="478"/>
      <c r="K828" s="640" t="b">
        <v>0</v>
      </c>
    </row>
    <row r="829">
      <c r="G829" s="478"/>
      <c r="K829" s="640" t="b">
        <v>0</v>
      </c>
    </row>
    <row r="830">
      <c r="G830" s="478"/>
      <c r="K830" s="640" t="b">
        <v>0</v>
      </c>
    </row>
    <row r="831">
      <c r="G831" s="478"/>
      <c r="K831" s="640" t="b">
        <v>0</v>
      </c>
    </row>
    <row r="832">
      <c r="G832" s="478"/>
      <c r="K832" s="640" t="b">
        <v>0</v>
      </c>
    </row>
    <row r="833">
      <c r="G833" s="478"/>
      <c r="K833" s="640" t="b">
        <v>0</v>
      </c>
    </row>
    <row r="834">
      <c r="G834" s="478"/>
      <c r="K834" s="640" t="b">
        <v>0</v>
      </c>
    </row>
    <row r="835">
      <c r="G835" s="478"/>
      <c r="K835" s="640" t="b">
        <v>0</v>
      </c>
    </row>
    <row r="836">
      <c r="G836" s="478"/>
      <c r="K836" s="640" t="b">
        <v>0</v>
      </c>
    </row>
    <row r="837">
      <c r="G837" s="478"/>
      <c r="K837" s="640" t="b">
        <v>0</v>
      </c>
    </row>
    <row r="838">
      <c r="G838" s="478"/>
      <c r="K838" s="640" t="b">
        <v>0</v>
      </c>
    </row>
    <row r="839">
      <c r="G839" s="478"/>
      <c r="K839" s="640" t="b">
        <v>0</v>
      </c>
    </row>
    <row r="840">
      <c r="G840" s="478"/>
      <c r="K840" s="640" t="b">
        <v>0</v>
      </c>
    </row>
    <row r="841">
      <c r="G841" s="478"/>
      <c r="K841" s="640" t="b">
        <v>0</v>
      </c>
    </row>
    <row r="842">
      <c r="G842" s="478"/>
      <c r="K842" s="640" t="b">
        <v>0</v>
      </c>
    </row>
    <row r="843">
      <c r="G843" s="478"/>
      <c r="K843" s="640" t="b">
        <v>0</v>
      </c>
    </row>
    <row r="844">
      <c r="G844" s="478"/>
      <c r="K844" s="640" t="b">
        <v>0</v>
      </c>
    </row>
    <row r="845">
      <c r="G845" s="478"/>
      <c r="K845" s="640" t="b">
        <v>0</v>
      </c>
    </row>
    <row r="846">
      <c r="G846" s="478"/>
      <c r="K846" s="640" t="b">
        <v>0</v>
      </c>
    </row>
    <row r="847">
      <c r="G847" s="478"/>
      <c r="K847" s="640" t="b">
        <v>0</v>
      </c>
    </row>
    <row r="848">
      <c r="G848" s="478"/>
      <c r="K848" s="640" t="b">
        <v>0</v>
      </c>
    </row>
    <row r="849">
      <c r="G849" s="478"/>
      <c r="K849" s="640" t="b">
        <v>0</v>
      </c>
    </row>
    <row r="850">
      <c r="G850" s="478"/>
      <c r="K850" s="640" t="b">
        <v>0</v>
      </c>
    </row>
    <row r="851">
      <c r="G851" s="478"/>
      <c r="K851" s="640" t="b">
        <v>0</v>
      </c>
    </row>
    <row r="852">
      <c r="G852" s="478"/>
      <c r="K852" s="640" t="b">
        <v>0</v>
      </c>
    </row>
    <row r="853">
      <c r="G853" s="478"/>
      <c r="K853" s="640" t="b">
        <v>0</v>
      </c>
    </row>
    <row r="854">
      <c r="G854" s="478"/>
      <c r="K854" s="640" t="b">
        <v>0</v>
      </c>
    </row>
    <row r="855">
      <c r="G855" s="478"/>
      <c r="K855" s="640" t="b">
        <v>0</v>
      </c>
    </row>
    <row r="856">
      <c r="G856" s="478"/>
      <c r="K856" s="640" t="b">
        <v>0</v>
      </c>
    </row>
    <row r="857">
      <c r="G857" s="478"/>
      <c r="K857" s="640" t="b">
        <v>0</v>
      </c>
    </row>
    <row r="858">
      <c r="G858" s="478"/>
      <c r="K858" s="640" t="b">
        <v>0</v>
      </c>
    </row>
    <row r="859">
      <c r="G859" s="478"/>
      <c r="K859" s="640" t="b">
        <v>0</v>
      </c>
    </row>
    <row r="860">
      <c r="G860" s="478"/>
      <c r="K860" s="640" t="b">
        <v>0</v>
      </c>
    </row>
    <row r="861">
      <c r="G861" s="478"/>
      <c r="K861" s="640" t="b">
        <v>0</v>
      </c>
    </row>
    <row r="862">
      <c r="G862" s="478"/>
      <c r="K862" s="640" t="b">
        <v>0</v>
      </c>
    </row>
    <row r="863">
      <c r="G863" s="478"/>
      <c r="K863" s="640" t="b">
        <v>0</v>
      </c>
    </row>
    <row r="864">
      <c r="G864" s="478"/>
      <c r="K864" s="640" t="b">
        <v>0</v>
      </c>
    </row>
    <row r="865">
      <c r="G865" s="478"/>
      <c r="K865" s="640" t="b">
        <v>0</v>
      </c>
    </row>
    <row r="866">
      <c r="G866" s="478"/>
      <c r="K866" s="640" t="b">
        <v>0</v>
      </c>
    </row>
    <row r="867">
      <c r="G867" s="478"/>
      <c r="K867" s="640" t="b">
        <v>0</v>
      </c>
    </row>
    <row r="868">
      <c r="G868" s="478"/>
      <c r="K868" s="640" t="b">
        <v>0</v>
      </c>
    </row>
    <row r="869">
      <c r="G869" s="478"/>
      <c r="K869" s="640" t="b">
        <v>0</v>
      </c>
    </row>
    <row r="870">
      <c r="G870" s="478"/>
      <c r="K870" s="640" t="b">
        <v>0</v>
      </c>
    </row>
    <row r="871">
      <c r="G871" s="478"/>
      <c r="K871" s="640" t="b">
        <v>0</v>
      </c>
    </row>
    <row r="872">
      <c r="G872" s="478"/>
      <c r="K872" s="640" t="b">
        <v>0</v>
      </c>
    </row>
    <row r="873">
      <c r="G873" s="478"/>
      <c r="K873" s="640" t="b">
        <v>0</v>
      </c>
    </row>
    <row r="874">
      <c r="G874" s="478"/>
      <c r="K874" s="640" t="b">
        <v>0</v>
      </c>
    </row>
    <row r="875">
      <c r="G875" s="478"/>
      <c r="K875" s="640" t="b">
        <v>0</v>
      </c>
    </row>
    <row r="876">
      <c r="G876" s="478"/>
      <c r="K876" s="640" t="b">
        <v>0</v>
      </c>
    </row>
    <row r="877">
      <c r="G877" s="478"/>
      <c r="K877" s="640" t="b">
        <v>0</v>
      </c>
    </row>
    <row r="878">
      <c r="G878" s="478"/>
      <c r="K878" s="640" t="b">
        <v>0</v>
      </c>
    </row>
    <row r="879">
      <c r="G879" s="478"/>
      <c r="K879" s="640" t="b">
        <v>0</v>
      </c>
    </row>
    <row r="880">
      <c r="G880" s="478"/>
      <c r="K880" s="640" t="b">
        <v>0</v>
      </c>
    </row>
    <row r="881">
      <c r="G881" s="478"/>
      <c r="K881" s="640" t="b">
        <v>0</v>
      </c>
    </row>
    <row r="882">
      <c r="G882" s="478"/>
      <c r="K882" s="640" t="b">
        <v>0</v>
      </c>
    </row>
    <row r="883">
      <c r="G883" s="478"/>
      <c r="K883" s="640" t="b">
        <v>0</v>
      </c>
    </row>
    <row r="884">
      <c r="G884" s="478"/>
      <c r="K884" s="640" t="b">
        <v>0</v>
      </c>
    </row>
    <row r="885">
      <c r="G885" s="478"/>
      <c r="K885" s="640" t="b">
        <v>0</v>
      </c>
    </row>
    <row r="886">
      <c r="G886" s="478"/>
      <c r="K886" s="640" t="b">
        <v>0</v>
      </c>
    </row>
    <row r="887">
      <c r="G887" s="478"/>
      <c r="K887" s="640" t="b">
        <v>0</v>
      </c>
    </row>
    <row r="888">
      <c r="G888" s="478"/>
      <c r="K888" s="640" t="b">
        <v>0</v>
      </c>
    </row>
    <row r="889">
      <c r="G889" s="478"/>
      <c r="K889" s="640" t="b">
        <v>0</v>
      </c>
    </row>
    <row r="890">
      <c r="G890" s="478"/>
      <c r="K890" s="640" t="b">
        <v>0</v>
      </c>
    </row>
    <row r="891">
      <c r="G891" s="478"/>
      <c r="K891" s="640" t="b">
        <v>0</v>
      </c>
    </row>
    <row r="892">
      <c r="G892" s="478"/>
      <c r="K892" s="640" t="b">
        <v>0</v>
      </c>
    </row>
    <row r="893">
      <c r="G893" s="478"/>
      <c r="K893" s="640" t="b">
        <v>0</v>
      </c>
    </row>
    <row r="894">
      <c r="G894" s="478"/>
      <c r="K894" s="640" t="b">
        <v>0</v>
      </c>
    </row>
    <row r="895">
      <c r="G895" s="478"/>
      <c r="K895" s="640" t="b">
        <v>0</v>
      </c>
    </row>
    <row r="896">
      <c r="G896" s="478"/>
      <c r="K896" s="640" t="b">
        <v>0</v>
      </c>
    </row>
    <row r="897">
      <c r="G897" s="478"/>
      <c r="K897" s="640" t="b">
        <v>0</v>
      </c>
    </row>
    <row r="898">
      <c r="G898" s="478"/>
      <c r="K898" s="640" t="b">
        <v>0</v>
      </c>
    </row>
    <row r="899">
      <c r="G899" s="478"/>
      <c r="K899" s="640" t="b">
        <v>0</v>
      </c>
    </row>
    <row r="900">
      <c r="G900" s="478"/>
      <c r="K900" s="640" t="b">
        <v>0</v>
      </c>
    </row>
    <row r="901">
      <c r="G901" s="478"/>
      <c r="K901" s="640" t="b">
        <v>0</v>
      </c>
    </row>
    <row r="902">
      <c r="G902" s="478"/>
      <c r="K902" s="640" t="b">
        <v>0</v>
      </c>
    </row>
    <row r="903">
      <c r="G903" s="478"/>
      <c r="K903" s="640" t="b">
        <v>0</v>
      </c>
    </row>
    <row r="904">
      <c r="G904" s="478"/>
      <c r="K904" s="640" t="b">
        <v>0</v>
      </c>
    </row>
    <row r="905">
      <c r="G905" s="478"/>
      <c r="K905" s="640" t="b">
        <v>0</v>
      </c>
    </row>
    <row r="906">
      <c r="G906" s="478"/>
      <c r="K906" s="640" t="b">
        <v>0</v>
      </c>
    </row>
    <row r="907">
      <c r="G907" s="478"/>
      <c r="K907" s="640" t="b">
        <v>0</v>
      </c>
    </row>
    <row r="908">
      <c r="G908" s="478"/>
      <c r="K908" s="640" t="b">
        <v>0</v>
      </c>
    </row>
    <row r="909">
      <c r="G909" s="478"/>
      <c r="K909" s="640" t="b">
        <v>0</v>
      </c>
    </row>
    <row r="910">
      <c r="G910" s="478"/>
      <c r="K910" s="640" t="b">
        <v>0</v>
      </c>
    </row>
    <row r="911">
      <c r="G911" s="478"/>
      <c r="K911" s="640" t="b">
        <v>0</v>
      </c>
    </row>
    <row r="912">
      <c r="G912" s="478"/>
      <c r="K912" s="640" t="b">
        <v>0</v>
      </c>
    </row>
    <row r="913">
      <c r="G913" s="478"/>
      <c r="K913" s="640" t="b">
        <v>0</v>
      </c>
    </row>
    <row r="914">
      <c r="G914" s="478"/>
      <c r="K914" s="640" t="b">
        <v>0</v>
      </c>
    </row>
    <row r="915">
      <c r="G915" s="478"/>
      <c r="K915" s="640" t="b">
        <v>0</v>
      </c>
    </row>
    <row r="916">
      <c r="G916" s="478"/>
      <c r="K916" s="640" t="b">
        <v>0</v>
      </c>
    </row>
    <row r="917">
      <c r="G917" s="478"/>
      <c r="K917" s="640" t="b">
        <v>0</v>
      </c>
    </row>
    <row r="918">
      <c r="G918" s="478"/>
      <c r="K918" s="640" t="b">
        <v>0</v>
      </c>
    </row>
    <row r="919">
      <c r="G919" s="478"/>
      <c r="K919" s="640" t="b">
        <v>0</v>
      </c>
    </row>
    <row r="920">
      <c r="G920" s="478"/>
      <c r="K920" s="640" t="b">
        <v>0</v>
      </c>
    </row>
    <row r="921">
      <c r="G921" s="478"/>
      <c r="K921" s="640" t="b">
        <v>0</v>
      </c>
    </row>
    <row r="922">
      <c r="G922" s="478"/>
      <c r="K922" s="640" t="b">
        <v>0</v>
      </c>
    </row>
    <row r="923">
      <c r="G923" s="478"/>
      <c r="K923" s="640" t="b">
        <v>0</v>
      </c>
    </row>
    <row r="924">
      <c r="G924" s="478"/>
      <c r="K924" s="640" t="b">
        <v>0</v>
      </c>
    </row>
    <row r="925">
      <c r="G925" s="478"/>
      <c r="K925" s="640" t="b">
        <v>0</v>
      </c>
    </row>
    <row r="926">
      <c r="G926" s="478"/>
      <c r="K926" s="640" t="b">
        <v>0</v>
      </c>
    </row>
    <row r="927">
      <c r="G927" s="478"/>
      <c r="K927" s="640" t="b">
        <v>0</v>
      </c>
    </row>
    <row r="928">
      <c r="G928" s="478"/>
      <c r="K928" s="640" t="b">
        <v>0</v>
      </c>
    </row>
    <row r="929">
      <c r="G929" s="478"/>
      <c r="K929" s="640" t="b">
        <v>0</v>
      </c>
    </row>
    <row r="930">
      <c r="G930" s="478"/>
      <c r="K930" s="640" t="b">
        <v>0</v>
      </c>
    </row>
    <row r="931">
      <c r="G931" s="478"/>
      <c r="K931" s="640" t="b">
        <v>0</v>
      </c>
    </row>
    <row r="932">
      <c r="G932" s="478"/>
      <c r="K932" s="640" t="b">
        <v>0</v>
      </c>
    </row>
    <row r="933">
      <c r="G933" s="478"/>
      <c r="K933" s="640" t="b">
        <v>0</v>
      </c>
    </row>
    <row r="934">
      <c r="G934" s="478"/>
      <c r="K934" s="640" t="b">
        <v>0</v>
      </c>
    </row>
    <row r="935">
      <c r="G935" s="478"/>
      <c r="K935" s="640" t="b">
        <v>0</v>
      </c>
    </row>
    <row r="936">
      <c r="G936" s="478"/>
      <c r="K936" s="640" t="b">
        <v>0</v>
      </c>
    </row>
    <row r="937">
      <c r="G937" s="478"/>
      <c r="K937" s="640" t="b">
        <v>0</v>
      </c>
    </row>
    <row r="938">
      <c r="G938" s="478"/>
      <c r="K938" s="640" t="b">
        <v>0</v>
      </c>
    </row>
    <row r="939">
      <c r="G939" s="478"/>
      <c r="K939" s="640" t="b">
        <v>0</v>
      </c>
    </row>
    <row r="940">
      <c r="G940" s="478"/>
      <c r="K940" s="640" t="b">
        <v>0</v>
      </c>
    </row>
    <row r="941">
      <c r="G941" s="478"/>
      <c r="K941" s="640" t="b">
        <v>0</v>
      </c>
    </row>
    <row r="942">
      <c r="G942" s="478"/>
      <c r="K942" s="640" t="b">
        <v>0</v>
      </c>
    </row>
    <row r="943">
      <c r="G943" s="478"/>
      <c r="K943" s="640" t="b">
        <v>0</v>
      </c>
    </row>
    <row r="944">
      <c r="G944" s="478"/>
      <c r="K944" s="640" t="b">
        <v>0</v>
      </c>
    </row>
    <row r="945">
      <c r="G945" s="478"/>
      <c r="K945" s="640" t="b">
        <v>0</v>
      </c>
    </row>
    <row r="946">
      <c r="G946" s="478"/>
      <c r="K946" s="640" t="b">
        <v>0</v>
      </c>
    </row>
    <row r="947">
      <c r="G947" s="478"/>
      <c r="K947" s="640" t="b">
        <v>0</v>
      </c>
    </row>
    <row r="948">
      <c r="G948" s="478"/>
      <c r="K948" s="640" t="b">
        <v>0</v>
      </c>
    </row>
    <row r="949">
      <c r="G949" s="478"/>
      <c r="K949" s="640" t="b">
        <v>0</v>
      </c>
    </row>
    <row r="950">
      <c r="G950" s="478"/>
      <c r="K950" s="640" t="b">
        <v>0</v>
      </c>
    </row>
    <row r="951">
      <c r="G951" s="478"/>
      <c r="K951" s="640" t="b">
        <v>0</v>
      </c>
    </row>
    <row r="952">
      <c r="G952" s="478"/>
      <c r="K952" s="640" t="b">
        <v>0</v>
      </c>
    </row>
    <row r="953">
      <c r="G953" s="478"/>
      <c r="K953" s="640" t="b">
        <v>0</v>
      </c>
    </row>
    <row r="954">
      <c r="G954" s="478"/>
      <c r="K954" s="640" t="b">
        <v>0</v>
      </c>
    </row>
    <row r="955">
      <c r="G955" s="478"/>
      <c r="K955" s="640" t="b">
        <v>0</v>
      </c>
    </row>
    <row r="956">
      <c r="G956" s="478"/>
      <c r="K956" s="640" t="b">
        <v>0</v>
      </c>
    </row>
    <row r="957">
      <c r="G957" s="478"/>
      <c r="K957" s="640" t="b">
        <v>0</v>
      </c>
    </row>
    <row r="958">
      <c r="G958" s="478"/>
      <c r="K958" s="640" t="b">
        <v>0</v>
      </c>
    </row>
    <row r="959">
      <c r="G959" s="478"/>
      <c r="K959" s="640" t="b">
        <v>0</v>
      </c>
    </row>
    <row r="960">
      <c r="G960" s="478"/>
      <c r="K960" s="640" t="b">
        <v>0</v>
      </c>
    </row>
    <row r="961">
      <c r="G961" s="478"/>
      <c r="K961" s="640" t="b">
        <v>0</v>
      </c>
    </row>
    <row r="962">
      <c r="G962" s="478"/>
      <c r="K962" s="640" t="b">
        <v>0</v>
      </c>
    </row>
    <row r="963">
      <c r="G963" s="478"/>
      <c r="K963" s="640" t="b">
        <v>0</v>
      </c>
    </row>
    <row r="964">
      <c r="G964" s="478"/>
      <c r="K964" s="640" t="b">
        <v>0</v>
      </c>
    </row>
    <row r="965">
      <c r="G965" s="478"/>
      <c r="K965" s="640" t="b">
        <v>0</v>
      </c>
    </row>
    <row r="966">
      <c r="G966" s="478"/>
      <c r="K966" s="640" t="b">
        <v>0</v>
      </c>
    </row>
    <row r="967">
      <c r="G967" s="478"/>
      <c r="K967" s="640" t="b">
        <v>0</v>
      </c>
    </row>
    <row r="968">
      <c r="G968" s="478"/>
      <c r="K968" s="640" t="b">
        <v>0</v>
      </c>
    </row>
    <row r="969">
      <c r="G969" s="478"/>
      <c r="K969" s="640" t="b">
        <v>0</v>
      </c>
    </row>
    <row r="970">
      <c r="G970" s="478"/>
      <c r="K970" s="640" t="b">
        <v>0</v>
      </c>
    </row>
    <row r="971">
      <c r="G971" s="478"/>
      <c r="K971" s="640" t="b">
        <v>0</v>
      </c>
    </row>
    <row r="972">
      <c r="G972" s="478"/>
      <c r="K972" s="640" t="b">
        <v>0</v>
      </c>
    </row>
    <row r="973">
      <c r="G973" s="478"/>
      <c r="K973" s="640" t="b">
        <v>0</v>
      </c>
    </row>
    <row r="974">
      <c r="G974" s="478"/>
      <c r="K974" s="640" t="b">
        <v>0</v>
      </c>
    </row>
    <row r="975">
      <c r="G975" s="478"/>
      <c r="K975" s="640" t="b">
        <v>0</v>
      </c>
    </row>
    <row r="976">
      <c r="G976" s="478"/>
      <c r="K976" s="640" t="b">
        <v>0</v>
      </c>
    </row>
    <row r="977">
      <c r="G977" s="478"/>
      <c r="K977" s="640" t="b">
        <v>0</v>
      </c>
    </row>
    <row r="978">
      <c r="G978" s="478"/>
      <c r="K978" s="640" t="b">
        <v>0</v>
      </c>
    </row>
    <row r="979">
      <c r="G979" s="478"/>
      <c r="K979" s="640" t="b">
        <v>0</v>
      </c>
    </row>
    <row r="980">
      <c r="G980" s="478"/>
      <c r="K980" s="640" t="b">
        <v>0</v>
      </c>
    </row>
    <row r="981">
      <c r="G981" s="478"/>
      <c r="K981" s="640" t="b">
        <v>0</v>
      </c>
    </row>
    <row r="982">
      <c r="G982" s="478"/>
      <c r="K982" s="640" t="b">
        <v>0</v>
      </c>
    </row>
    <row r="983">
      <c r="G983" s="478"/>
      <c r="K983" s="640" t="b">
        <v>0</v>
      </c>
    </row>
    <row r="984">
      <c r="G984" s="478"/>
      <c r="K984" s="640" t="b">
        <v>0</v>
      </c>
    </row>
    <row r="985">
      <c r="G985" s="478"/>
      <c r="K985" s="640" t="b">
        <v>0</v>
      </c>
    </row>
    <row r="986">
      <c r="G986" s="478"/>
      <c r="K986" s="640" t="b">
        <v>0</v>
      </c>
    </row>
    <row r="987">
      <c r="G987" s="478"/>
      <c r="K987" s="640" t="b">
        <v>0</v>
      </c>
    </row>
    <row r="988">
      <c r="G988" s="478"/>
      <c r="K988" s="640" t="b">
        <v>0</v>
      </c>
    </row>
    <row r="989">
      <c r="G989" s="478"/>
      <c r="K989" s="640" t="b">
        <v>0</v>
      </c>
    </row>
    <row r="990">
      <c r="G990" s="478"/>
      <c r="K990" s="640" t="b">
        <v>0</v>
      </c>
    </row>
    <row r="991">
      <c r="G991" s="478"/>
      <c r="K991" s="640" t="b">
        <v>0</v>
      </c>
    </row>
    <row r="992">
      <c r="G992" s="478"/>
      <c r="K992" s="640" t="b">
        <v>0</v>
      </c>
    </row>
    <row r="993">
      <c r="G993" s="478"/>
      <c r="K993" s="640" t="b">
        <v>0</v>
      </c>
    </row>
    <row r="994">
      <c r="G994" s="478"/>
      <c r="K994" s="640" t="b">
        <v>0</v>
      </c>
    </row>
    <row r="995">
      <c r="G995" s="478"/>
      <c r="K995" s="640" t="b">
        <v>0</v>
      </c>
    </row>
    <row r="996">
      <c r="G996" s="478"/>
      <c r="K996" s="640" t="b">
        <v>0</v>
      </c>
    </row>
  </sheetData>
  <mergeCells count="3">
    <mergeCell ref="A1:G1"/>
    <mergeCell ref="H1:J1"/>
    <mergeCell ref="K1:K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1.0"/>
    <col customWidth="1" min="3" max="3" width="8.71"/>
    <col customWidth="1" min="4" max="4" width="11.43"/>
    <col customWidth="1" min="5" max="5" width="8.71"/>
    <col customWidth="1" min="6" max="6" width="6.71"/>
    <col customWidth="1" min="7" max="7" width="7.57"/>
    <col customWidth="1" min="8" max="8" width="3.57"/>
    <col customWidth="1" min="9" max="9" width="3.43"/>
    <col customWidth="1" min="10" max="10" width="6.43"/>
    <col customWidth="1" min="11" max="11" width="7.0"/>
    <col customWidth="1" min="12" max="12" width="12.0"/>
    <col customWidth="1" min="13" max="16" width="8.71"/>
  </cols>
  <sheetData>
    <row r="1" ht="13.5" customHeight="1">
      <c r="A1" s="519"/>
      <c r="B1" s="508"/>
      <c r="C1" s="509"/>
      <c r="D1" s="509"/>
      <c r="E1" s="509"/>
      <c r="F1" s="509"/>
      <c r="G1" s="509"/>
      <c r="H1" s="509"/>
      <c r="I1" s="509"/>
      <c r="J1" s="511" t="s">
        <v>2867</v>
      </c>
      <c r="L1" s="592">
        <v>46134.0</v>
      </c>
    </row>
    <row r="2" ht="13.5" customHeight="1">
      <c r="A2" s="73"/>
      <c r="B2" s="518"/>
      <c r="C2" s="509"/>
      <c r="D2" s="509"/>
      <c r="E2" s="509"/>
      <c r="F2" s="509"/>
      <c r="G2" s="509"/>
      <c r="H2" s="509"/>
      <c r="I2" s="509"/>
      <c r="J2" s="511" t="s">
        <v>11444</v>
      </c>
      <c r="L2" s="516"/>
    </row>
    <row r="3" ht="13.5" customHeight="1">
      <c r="A3" s="518"/>
      <c r="B3" s="518"/>
      <c r="C3" s="509"/>
      <c r="D3" s="519"/>
      <c r="E3" s="519"/>
      <c r="F3" s="519"/>
      <c r="G3" s="519"/>
      <c r="H3" s="519"/>
      <c r="I3" s="519"/>
      <c r="J3" s="487" t="s">
        <v>11397</v>
      </c>
      <c r="K3" s="284"/>
      <c r="L3" s="284"/>
    </row>
    <row r="4" ht="13.5" customHeight="1">
      <c r="A4" s="520"/>
      <c r="B4" s="520"/>
      <c r="C4" s="509"/>
      <c r="D4" s="519"/>
      <c r="E4" s="519"/>
      <c r="F4" s="519"/>
      <c r="G4" s="519"/>
      <c r="H4" s="519"/>
      <c r="I4" s="519"/>
      <c r="J4" s="421" t="s">
        <v>11485</v>
      </c>
    </row>
    <row r="5" ht="13.5" customHeight="1">
      <c r="A5" s="520"/>
      <c r="B5" s="520"/>
      <c r="C5" s="509"/>
      <c r="D5" s="519"/>
      <c r="E5" s="519"/>
      <c r="F5" s="519"/>
      <c r="G5" s="519"/>
      <c r="H5" s="519"/>
      <c r="I5" s="519"/>
      <c r="J5" s="329" t="s">
        <v>3204</v>
      </c>
    </row>
    <row r="6" ht="13.5" customHeight="1">
      <c r="A6" s="520"/>
      <c r="B6" s="520"/>
      <c r="C6" s="509"/>
      <c r="D6" s="519"/>
      <c r="E6" s="519"/>
      <c r="F6" s="519"/>
      <c r="G6" s="519"/>
      <c r="H6" s="519"/>
      <c r="I6" s="519"/>
      <c r="J6" s="641"/>
    </row>
    <row r="7" ht="13.5" customHeight="1">
      <c r="A7" s="520"/>
      <c r="B7" s="520"/>
      <c r="C7" s="509"/>
      <c r="D7" s="523" t="s">
        <v>11446</v>
      </c>
      <c r="G7" s="519"/>
      <c r="H7" s="519"/>
      <c r="I7" s="519"/>
      <c r="J7" s="641"/>
    </row>
    <row r="8" ht="13.5" customHeight="1">
      <c r="A8" s="73"/>
      <c r="B8" s="518"/>
      <c r="C8" s="73"/>
      <c r="D8" s="526"/>
      <c r="E8" s="526"/>
      <c r="F8" s="526"/>
      <c r="G8" s="73"/>
      <c r="H8" s="73"/>
      <c r="I8" s="73"/>
      <c r="J8" s="527"/>
      <c r="K8" s="527"/>
      <c r="L8" s="527"/>
    </row>
    <row r="9" ht="13.5" customHeight="1">
      <c r="A9" s="528" t="s">
        <v>2892</v>
      </c>
      <c r="B9" s="476" t="s">
        <v>11396</v>
      </c>
      <c r="C9" s="73"/>
      <c r="D9" s="529"/>
      <c r="E9" s="73"/>
      <c r="F9" s="73"/>
      <c r="G9" s="73"/>
      <c r="H9" s="530"/>
      <c r="I9" s="531"/>
      <c r="J9" s="593" t="s">
        <v>11447</v>
      </c>
      <c r="K9" s="531"/>
      <c r="L9" s="289"/>
    </row>
    <row r="10" ht="13.5" customHeight="1">
      <c r="A10" s="532" t="s">
        <v>11448</v>
      </c>
      <c r="B10" s="533" t="s">
        <v>11449</v>
      </c>
      <c r="C10" s="532" t="s">
        <v>11462</v>
      </c>
      <c r="D10" s="2"/>
      <c r="E10" s="2"/>
      <c r="F10" s="2"/>
      <c r="G10" s="2"/>
      <c r="H10" s="532" t="s">
        <v>11450</v>
      </c>
      <c r="I10" s="2"/>
      <c r="J10" s="532" t="s">
        <v>11451</v>
      </c>
      <c r="K10" s="2"/>
      <c r="L10" s="532" t="s">
        <v>2905</v>
      </c>
    </row>
    <row r="11" ht="13.5" customHeight="1">
      <c r="A11" s="537">
        <v>1.0</v>
      </c>
      <c r="B11" s="56" t="s">
        <v>2576</v>
      </c>
      <c r="C11" s="642" t="str">
        <f>IFERROR(VLOOKUP(B11,Stock,3,FALSE),"")</f>
        <v>Toyota Camry 06-11 XV40 4th Gen</v>
      </c>
      <c r="H11" s="538">
        <v>1.0</v>
      </c>
      <c r="I11" s="538" t="s">
        <v>2894</v>
      </c>
      <c r="J11" s="539">
        <v>3223000.0</v>
      </c>
      <c r="K11" s="536"/>
      <c r="L11" s="540">
        <f t="shared" ref="L11:L15" si="1">H11*J11</f>
        <v>3223000</v>
      </c>
    </row>
    <row r="12" ht="13.5" customHeight="1">
      <c r="A12" s="541"/>
      <c r="B12" s="56"/>
      <c r="C12" s="642" t="str">
        <f>IFERROR(VLOOKUP(B12,Stock,3,FALSE),"")</f>
        <v/>
      </c>
      <c r="H12" s="203"/>
      <c r="I12" s="203"/>
      <c r="J12" s="388"/>
      <c r="L12" s="540">
        <f t="shared" si="1"/>
        <v>0</v>
      </c>
    </row>
    <row r="13" ht="13.5" customHeight="1">
      <c r="A13" s="541"/>
      <c r="B13" s="56"/>
      <c r="C13" s="642" t="str">
        <f>IFERROR(VLOOKUP(B13,Stock,3,FALSE),"")</f>
        <v/>
      </c>
      <c r="H13" s="203"/>
      <c r="I13" s="203"/>
      <c r="J13" s="542"/>
      <c r="L13" s="540">
        <f t="shared" si="1"/>
        <v>0</v>
      </c>
      <c r="P13" s="73"/>
    </row>
    <row r="14" ht="13.5" customHeight="1">
      <c r="A14" s="541"/>
      <c r="B14" s="304"/>
      <c r="C14" s="642" t="str">
        <f>IFERROR(VLOOKUP(B14,Stock,3,FALSE),"")</f>
        <v/>
      </c>
      <c r="H14" s="203"/>
      <c r="I14" s="203"/>
      <c r="J14" s="388"/>
      <c r="L14" s="540">
        <f t="shared" si="1"/>
        <v>0</v>
      </c>
    </row>
    <row r="15" ht="13.5" customHeight="1">
      <c r="A15" s="557"/>
      <c r="B15" s="557"/>
      <c r="C15" s="642"/>
      <c r="H15" s="557"/>
      <c r="I15" s="557"/>
      <c r="J15" s="586"/>
      <c r="L15" s="540">
        <f t="shared" si="1"/>
        <v>0</v>
      </c>
    </row>
    <row r="16" ht="13.5" customHeight="1">
      <c r="A16" s="543"/>
      <c r="B16" s="73"/>
      <c r="C16" s="643"/>
      <c r="D16" s="531"/>
      <c r="E16" s="531"/>
      <c r="F16" s="531"/>
      <c r="G16" s="531"/>
      <c r="H16" s="557"/>
      <c r="I16" s="557"/>
      <c r="J16" s="545"/>
      <c r="K16" s="531"/>
      <c r="L16" s="540"/>
    </row>
    <row r="17" ht="13.5" customHeight="1">
      <c r="A17" s="547"/>
      <c r="B17" s="644"/>
      <c r="C17" s="547"/>
      <c r="D17" s="547"/>
      <c r="E17" s="547"/>
      <c r="F17" s="547"/>
      <c r="G17" s="547"/>
      <c r="H17" s="645"/>
      <c r="I17" s="600"/>
      <c r="J17" s="549"/>
      <c r="K17" s="200" t="s">
        <v>11453</v>
      </c>
      <c r="L17" s="601">
        <f>SUM(L11:L16)</f>
        <v>3223000</v>
      </c>
    </row>
    <row r="18" ht="13.5" customHeight="1">
      <c r="A18" s="516"/>
      <c r="B18" s="557"/>
      <c r="C18" s="646" t="s">
        <v>11454</v>
      </c>
      <c r="D18" s="557"/>
      <c r="E18" s="553"/>
      <c r="F18" s="554" t="s">
        <v>11455</v>
      </c>
      <c r="J18" s="555"/>
      <c r="K18" s="181" t="s">
        <v>11486</v>
      </c>
      <c r="L18" s="602"/>
    </row>
    <row r="19" ht="13.5" customHeight="1">
      <c r="A19" s="509"/>
      <c r="B19" s="557"/>
      <c r="C19" s="557"/>
      <c r="D19" s="557"/>
      <c r="E19" s="553"/>
      <c r="J19" s="559"/>
      <c r="K19" s="560" t="s">
        <v>11457</v>
      </c>
      <c r="L19" s="603">
        <f>L17-L18</f>
        <v>3223000</v>
      </c>
    </row>
    <row r="20" ht="13.5" customHeight="1">
      <c r="A20" s="509"/>
      <c r="B20" s="520"/>
      <c r="C20" s="520"/>
      <c r="D20" s="563"/>
      <c r="E20" s="553"/>
      <c r="J20" s="564"/>
      <c r="K20" s="200"/>
      <c r="L20" s="565"/>
    </row>
    <row r="21" ht="13.5" customHeight="1">
      <c r="A21" s="509"/>
      <c r="B21" s="520"/>
      <c r="C21" s="562" t="s">
        <v>11487</v>
      </c>
      <c r="D21" s="520"/>
      <c r="E21" s="553"/>
      <c r="J21" s="564"/>
      <c r="K21" s="566" t="s">
        <v>11458</v>
      </c>
      <c r="L21" s="627"/>
    </row>
    <row r="22" ht="13.5" customHeight="1">
      <c r="A22" s="509"/>
      <c r="B22" s="520"/>
      <c r="C22" s="520"/>
      <c r="D22" s="520"/>
      <c r="E22" s="553"/>
      <c r="F22" s="569"/>
      <c r="G22" s="569"/>
      <c r="H22" s="569"/>
      <c r="I22" s="569"/>
      <c r="J22" s="564"/>
      <c r="K22" s="576"/>
    </row>
    <row r="23" ht="13.5" customHeight="1">
      <c r="B23" s="605"/>
      <c r="F23" s="511" t="s">
        <v>1484</v>
      </c>
      <c r="H23" s="606"/>
      <c r="I23" s="606"/>
      <c r="J23" s="564"/>
      <c r="K23" s="559"/>
      <c r="L23" s="559"/>
    </row>
    <row r="24" ht="13.5" customHeight="1">
      <c r="B24" s="605"/>
      <c r="L24" s="631"/>
    </row>
    <row r="25" ht="13.5" customHeight="1">
      <c r="B25" s="605"/>
      <c r="L25" s="632"/>
    </row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>
      <c r="L37" s="6" t="s">
        <v>10644</v>
      </c>
    </row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J6:L6"/>
    <mergeCell ref="D7:F7"/>
    <mergeCell ref="J7:L7"/>
    <mergeCell ref="H9:I9"/>
    <mergeCell ref="J9:K9"/>
    <mergeCell ref="H10:I10"/>
    <mergeCell ref="J10:K10"/>
    <mergeCell ref="J13:K13"/>
    <mergeCell ref="J14:K14"/>
    <mergeCell ref="C15:G15"/>
    <mergeCell ref="J15:K15"/>
    <mergeCell ref="C16:G16"/>
    <mergeCell ref="J16:K16"/>
    <mergeCell ref="F18:I21"/>
    <mergeCell ref="K22:L22"/>
    <mergeCell ref="C10:G10"/>
    <mergeCell ref="C11:G11"/>
    <mergeCell ref="J11:K11"/>
    <mergeCell ref="C12:G12"/>
    <mergeCell ref="J12:K12"/>
    <mergeCell ref="C13:G13"/>
    <mergeCell ref="C14:G14"/>
  </mergeCells>
  <printOptions/>
  <pageMargins bottom="0.75" footer="0.0" header="0.0" left="0.25" right="0.25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2.86"/>
    <col customWidth="1" min="3" max="3" width="8.71"/>
    <col customWidth="1" min="4" max="4" width="11.43"/>
    <col customWidth="1" min="5" max="5" width="8.71"/>
    <col customWidth="1" min="6" max="6" width="6.71"/>
    <col customWidth="1" min="7" max="7" width="7.57"/>
    <col customWidth="1" min="8" max="8" width="3.57"/>
    <col customWidth="1" min="9" max="9" width="3.43"/>
    <col customWidth="1" min="10" max="10" width="7.29"/>
    <col customWidth="1" min="11" max="11" width="7.0"/>
    <col customWidth="1" min="12" max="12" width="12.0"/>
  </cols>
  <sheetData>
    <row r="1" ht="13.5" customHeight="1">
      <c r="A1" s="507" t="s">
        <v>11442</v>
      </c>
      <c r="B1" s="508"/>
      <c r="C1" s="509"/>
      <c r="D1" s="509"/>
      <c r="E1" s="509"/>
      <c r="F1" s="510"/>
      <c r="G1" s="509"/>
      <c r="H1" s="509"/>
      <c r="I1" s="509"/>
      <c r="J1" s="511" t="s">
        <v>2867</v>
      </c>
      <c r="L1" s="512">
        <v>45740.0</v>
      </c>
    </row>
    <row r="2" ht="13.5" customHeight="1">
      <c r="A2" s="513" t="s">
        <v>11488</v>
      </c>
      <c r="B2" s="514"/>
      <c r="C2" s="515"/>
      <c r="D2" s="515"/>
      <c r="E2" s="515"/>
      <c r="F2" s="509"/>
      <c r="G2" s="509"/>
      <c r="H2" s="509"/>
      <c r="I2" s="509"/>
      <c r="J2" s="511" t="s">
        <v>11444</v>
      </c>
      <c r="L2" s="516"/>
    </row>
    <row r="3" ht="13.5" customHeight="1">
      <c r="A3" s="517" t="s">
        <v>11445</v>
      </c>
      <c r="B3" s="518"/>
      <c r="C3" s="509"/>
      <c r="D3" s="519"/>
      <c r="E3" s="519"/>
      <c r="F3" s="519"/>
      <c r="G3" s="519"/>
      <c r="H3" s="519"/>
      <c r="I3" s="519"/>
      <c r="J3" s="288" t="s">
        <v>4093</v>
      </c>
      <c r="K3" s="647"/>
      <c r="L3" s="647"/>
    </row>
    <row r="4" ht="13.5" customHeight="1">
      <c r="A4" s="520"/>
      <c r="B4" s="520"/>
      <c r="C4" s="509"/>
      <c r="D4" s="519"/>
      <c r="E4" s="519"/>
      <c r="F4" s="519"/>
      <c r="G4" s="519"/>
      <c r="H4" s="519"/>
      <c r="I4" s="519"/>
      <c r="J4" s="648" t="s">
        <v>7361</v>
      </c>
      <c r="K4" s="131"/>
      <c r="L4" s="131"/>
    </row>
    <row r="5" ht="13.5" customHeight="1">
      <c r="A5" s="520"/>
      <c r="B5" s="520"/>
      <c r="C5" s="509"/>
      <c r="D5" s="519"/>
      <c r="E5" s="519"/>
      <c r="F5" s="519"/>
      <c r="G5" s="519"/>
      <c r="H5" s="519"/>
      <c r="I5" s="519"/>
      <c r="J5" s="6" t="s">
        <v>2958</v>
      </c>
      <c r="K5" s="521"/>
      <c r="L5" s="521"/>
    </row>
    <row r="6" ht="13.5" customHeight="1">
      <c r="A6" s="520"/>
      <c r="B6" s="520"/>
      <c r="C6" s="509"/>
      <c r="D6" s="519"/>
      <c r="E6" s="519"/>
      <c r="F6" s="519"/>
      <c r="G6" s="519"/>
      <c r="H6" s="519"/>
      <c r="I6" s="519"/>
      <c r="J6" s="329"/>
      <c r="K6" s="522"/>
      <c r="L6" s="522"/>
    </row>
    <row r="7" ht="13.5" customHeight="1">
      <c r="A7" s="520"/>
      <c r="B7" s="520"/>
      <c r="C7" s="509"/>
      <c r="D7" s="523" t="s">
        <v>11446</v>
      </c>
      <c r="G7" s="519"/>
      <c r="H7" s="519"/>
      <c r="I7" s="519"/>
      <c r="J7" s="524"/>
      <c r="K7" s="524"/>
      <c r="L7" s="524"/>
    </row>
    <row r="8" ht="13.5" customHeight="1">
      <c r="A8" s="73"/>
      <c r="B8" s="518"/>
      <c r="C8" s="73"/>
      <c r="D8" s="526"/>
      <c r="E8" s="526"/>
      <c r="F8" s="526"/>
      <c r="G8" s="73"/>
      <c r="H8" s="73"/>
      <c r="I8" s="73"/>
      <c r="J8" s="527"/>
      <c r="K8" s="527"/>
    </row>
    <row r="9" ht="13.5" customHeight="1">
      <c r="A9" s="528" t="s">
        <v>2892</v>
      </c>
      <c r="B9" s="496" t="s">
        <v>7360</v>
      </c>
      <c r="C9" s="73"/>
      <c r="D9" s="529"/>
      <c r="E9" s="73"/>
      <c r="F9" s="73"/>
      <c r="G9" s="73"/>
      <c r="H9" s="530"/>
      <c r="I9" s="531"/>
      <c r="J9" s="530" t="s">
        <v>11447</v>
      </c>
      <c r="K9" s="531"/>
      <c r="L9" s="289"/>
    </row>
    <row r="10" ht="13.5" customHeight="1">
      <c r="A10" s="532" t="s">
        <v>11448</v>
      </c>
      <c r="B10" s="649" t="s">
        <v>11449</v>
      </c>
      <c r="C10" s="532" t="s">
        <v>11462</v>
      </c>
      <c r="D10" s="2"/>
      <c r="E10" s="2"/>
      <c r="F10" s="2"/>
      <c r="G10" s="2"/>
      <c r="H10" s="535" t="s">
        <v>11450</v>
      </c>
      <c r="I10" s="536"/>
      <c r="J10" s="535" t="s">
        <v>11451</v>
      </c>
      <c r="K10" s="536"/>
      <c r="L10" s="532" t="s">
        <v>2905</v>
      </c>
    </row>
    <row r="11" ht="13.5" customHeight="1">
      <c r="A11" s="650">
        <v>1.0</v>
      </c>
      <c r="B11" s="513" t="s">
        <v>2562</v>
      </c>
      <c r="C11" s="475" t="str">
        <f>IFERROR(VLOOKUP(B11,Stock,3,FALSE),"")</f>
        <v>Toyota Avanza / Xenia 15-21 3rd Gen</v>
      </c>
      <c r="H11" s="538">
        <v>1.0</v>
      </c>
      <c r="I11" s="538" t="s">
        <v>2894</v>
      </c>
      <c r="J11" s="539">
        <v>1050000.0</v>
      </c>
      <c r="K11" s="536"/>
      <c r="L11" s="540">
        <f t="shared" ref="L11:L17" si="1">H11*J11</f>
        <v>1050000</v>
      </c>
    </row>
    <row r="12" ht="13.5" customHeight="1">
      <c r="A12" s="651">
        <v>2.0</v>
      </c>
      <c r="B12" s="56" t="s">
        <v>6424</v>
      </c>
      <c r="C12" s="475" t="str">
        <f>IFERROR(VLOOKUP(B12,Stock,3,FALSE),"")</f>
        <v>Automotive Film Standard - Black 40%                                </v>
      </c>
      <c r="H12" s="574">
        <v>1.0</v>
      </c>
      <c r="I12" s="203" t="s">
        <v>97</v>
      </c>
      <c r="J12" s="388">
        <v>350000.0</v>
      </c>
      <c r="L12" s="540">
        <f t="shared" si="1"/>
        <v>350000</v>
      </c>
    </row>
    <row r="13" ht="13.5" customHeight="1">
      <c r="A13" s="537"/>
      <c r="B13" s="169"/>
      <c r="C13" s="475" t="str">
        <f>IFERROR(VLOOKUP(B13,Stock,3,FALSE),"")</f>
        <v/>
      </c>
      <c r="H13" s="203"/>
      <c r="I13" s="203"/>
      <c r="J13" s="388"/>
      <c r="L13" s="540">
        <f t="shared" si="1"/>
        <v>0</v>
      </c>
    </row>
    <row r="14" ht="13.5" customHeight="1">
      <c r="A14" s="203"/>
      <c r="B14" s="169"/>
      <c r="C14" s="475" t="str">
        <f>IFERROR(VLOOKUP(B14,Stock,3,FALSE),"")</f>
        <v/>
      </c>
      <c r="H14" s="203"/>
      <c r="I14" s="203"/>
      <c r="J14" s="388"/>
      <c r="L14" s="540">
        <f t="shared" si="1"/>
        <v>0</v>
      </c>
    </row>
    <row r="15" ht="13.5" customHeight="1">
      <c r="A15" s="203"/>
      <c r="B15" s="175"/>
      <c r="C15" s="475" t="str">
        <f>IFERROR(VLOOKUP(B15,Stock,3,FALSE),"")</f>
        <v/>
      </c>
      <c r="H15" s="203"/>
      <c r="I15" s="203"/>
      <c r="J15" s="542"/>
      <c r="L15" s="540">
        <f t="shared" si="1"/>
        <v>0</v>
      </c>
    </row>
    <row r="16" ht="13.5" customHeight="1">
      <c r="A16" s="203"/>
      <c r="B16" s="169"/>
      <c r="C16" s="475"/>
      <c r="H16" s="203"/>
      <c r="I16" s="203"/>
      <c r="J16" s="542"/>
      <c r="L16" s="540">
        <f t="shared" si="1"/>
        <v>0</v>
      </c>
    </row>
    <row r="17" ht="13.5" customHeight="1">
      <c r="A17" s="543"/>
      <c r="B17" s="544" t="s">
        <v>11489</v>
      </c>
      <c r="C17" s="531"/>
      <c r="D17" s="531"/>
      <c r="E17" s="531"/>
      <c r="F17" s="531"/>
      <c r="G17" s="531"/>
      <c r="H17" s="530"/>
      <c r="I17" s="530"/>
      <c r="J17" s="545"/>
      <c r="K17" s="531"/>
      <c r="L17" s="540">
        <f t="shared" si="1"/>
        <v>0</v>
      </c>
    </row>
    <row r="18" ht="13.5" customHeight="1">
      <c r="A18" s="546"/>
      <c r="B18" s="536"/>
      <c r="C18" s="536"/>
      <c r="D18" s="536"/>
      <c r="E18" s="547"/>
      <c r="F18" s="547"/>
      <c r="G18" s="547"/>
      <c r="H18" s="548"/>
      <c r="I18" s="516"/>
      <c r="J18" s="549"/>
      <c r="K18" s="200" t="s">
        <v>11453</v>
      </c>
      <c r="L18" s="575">
        <f>SUM(L11:L17)</f>
        <v>1400000</v>
      </c>
    </row>
    <row r="19" ht="13.5" customHeight="1">
      <c r="A19" s="551"/>
      <c r="D19" s="552" t="s">
        <v>11454</v>
      </c>
      <c r="E19" s="553"/>
      <c r="F19" s="554" t="s">
        <v>11490</v>
      </c>
      <c r="J19" s="555"/>
      <c r="K19" s="200" t="s">
        <v>11491</v>
      </c>
      <c r="L19" s="556">
        <v>150000.0</v>
      </c>
    </row>
    <row r="20" ht="13.5" customHeight="1">
      <c r="A20" s="509"/>
      <c r="B20" s="557"/>
      <c r="C20" s="557"/>
      <c r="D20" s="557"/>
      <c r="E20" s="558" t="s">
        <v>1484</v>
      </c>
      <c r="J20" s="559"/>
      <c r="K20" s="560" t="s">
        <v>11457</v>
      </c>
      <c r="L20" s="561">
        <f>L18-L19</f>
        <v>1250000</v>
      </c>
    </row>
    <row r="21" ht="13.5" customHeight="1">
      <c r="A21" s="509"/>
      <c r="B21" s="520"/>
      <c r="C21" s="520"/>
      <c r="D21" s="563"/>
      <c r="E21" s="553"/>
      <c r="J21" s="564"/>
      <c r="K21" s="200"/>
      <c r="L21" s="565"/>
    </row>
    <row r="22" ht="13.5" customHeight="1">
      <c r="A22" s="509"/>
      <c r="B22" s="520"/>
      <c r="C22" s="520"/>
      <c r="D22" s="520"/>
      <c r="E22" s="520"/>
      <c r="J22" s="566"/>
      <c r="K22" s="566" t="s">
        <v>11458</v>
      </c>
      <c r="L22" s="566"/>
    </row>
    <row r="23" ht="13.5" customHeight="1">
      <c r="A23" s="567" t="s">
        <v>11459</v>
      </c>
      <c r="B23" s="508"/>
      <c r="C23" s="508"/>
      <c r="D23" s="563" t="s">
        <v>11460</v>
      </c>
      <c r="E23" s="520"/>
      <c r="F23" s="569"/>
      <c r="G23" s="569"/>
      <c r="H23" s="569"/>
      <c r="I23" s="569"/>
      <c r="J23" s="570"/>
      <c r="K23" s="572"/>
    </row>
    <row r="24" ht="15.75" customHeight="1">
      <c r="G24" s="6" t="s">
        <v>1484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3.5" customHeight="1">
      <c r="A31" s="507" t="s">
        <v>11442</v>
      </c>
      <c r="B31" s="508"/>
      <c r="C31" s="509"/>
      <c r="D31" s="509"/>
      <c r="E31" s="509"/>
      <c r="F31" s="510"/>
      <c r="G31" s="509"/>
      <c r="H31" s="509"/>
      <c r="I31" s="509"/>
      <c r="J31" s="511" t="s">
        <v>2867</v>
      </c>
      <c r="L31" s="512">
        <f>L1</f>
        <v>45740</v>
      </c>
    </row>
    <row r="32" ht="13.5" customHeight="1">
      <c r="A32" s="513" t="s">
        <v>11488</v>
      </c>
      <c r="B32" s="514"/>
      <c r="C32" s="515"/>
      <c r="D32" s="515"/>
      <c r="E32" s="515"/>
      <c r="F32" s="509"/>
      <c r="G32" s="509"/>
      <c r="H32" s="509"/>
      <c r="I32" s="509"/>
      <c r="J32" s="511" t="s">
        <v>11444</v>
      </c>
      <c r="L32" s="516"/>
    </row>
    <row r="33" ht="13.5" customHeight="1">
      <c r="A33" s="517" t="s">
        <v>11445</v>
      </c>
      <c r="B33" s="518"/>
      <c r="C33" s="509"/>
      <c r="D33" s="519"/>
      <c r="E33" s="519"/>
      <c r="F33" s="519"/>
      <c r="G33" s="519"/>
      <c r="H33" s="519"/>
      <c r="I33" s="519"/>
      <c r="J33" s="307" t="str">
        <f t="shared" ref="J33:J35" si="2">J3</f>
        <v>P. Deny</v>
      </c>
      <c r="K33" s="131"/>
      <c r="L33" s="131"/>
    </row>
    <row r="34" ht="13.5" customHeight="1">
      <c r="A34" s="520"/>
      <c r="B34" s="520"/>
      <c r="C34" s="509"/>
      <c r="D34" s="519"/>
      <c r="E34" s="519"/>
      <c r="F34" s="519"/>
      <c r="G34" s="519"/>
      <c r="H34" s="519"/>
      <c r="I34" s="519"/>
      <c r="J34" s="6" t="str">
        <f t="shared" si="2"/>
        <v>+62 877-6251-4735</v>
      </c>
      <c r="K34" s="131"/>
      <c r="L34" s="131"/>
    </row>
    <row r="35" ht="13.5" customHeight="1">
      <c r="A35" s="520"/>
      <c r="B35" s="520"/>
      <c r="C35" s="509"/>
      <c r="D35" s="519"/>
      <c r="E35" s="519"/>
      <c r="F35" s="519"/>
      <c r="G35" s="519"/>
      <c r="H35" s="519"/>
      <c r="I35" s="519"/>
      <c r="J35" s="521" t="str">
        <f t="shared" si="2"/>
        <v>Surabaya</v>
      </c>
    </row>
    <row r="36" ht="13.5" customHeight="1">
      <c r="A36" s="520"/>
      <c r="B36" s="520"/>
      <c r="C36" s="509"/>
      <c r="D36" s="519"/>
      <c r="E36" s="519"/>
      <c r="F36" s="519"/>
      <c r="G36" s="519"/>
      <c r="H36" s="519"/>
      <c r="I36" s="519"/>
      <c r="J36" s="329"/>
      <c r="K36" s="522"/>
      <c r="L36" s="522"/>
    </row>
    <row r="37" ht="13.5" customHeight="1">
      <c r="A37" s="520"/>
      <c r="B37" s="520"/>
      <c r="C37" s="509"/>
      <c r="D37" s="523" t="s">
        <v>11446</v>
      </c>
      <c r="G37" s="519"/>
      <c r="H37" s="519"/>
      <c r="I37" s="519"/>
      <c r="J37" s="524"/>
      <c r="K37" s="524"/>
      <c r="L37" s="524"/>
    </row>
    <row r="38" ht="13.5" customHeight="1">
      <c r="A38" s="73"/>
      <c r="B38" s="518"/>
      <c r="C38" s="73"/>
      <c r="D38" s="526"/>
      <c r="E38" s="526"/>
      <c r="F38" s="526"/>
      <c r="G38" s="73"/>
      <c r="H38" s="73"/>
      <c r="I38" s="73"/>
      <c r="J38" s="527"/>
      <c r="K38" s="527"/>
    </row>
    <row r="39" ht="13.5" customHeight="1">
      <c r="A39" s="528" t="s">
        <v>2892</v>
      </c>
      <c r="B39" s="496" t="str">
        <f>B9</f>
        <v>C250081</v>
      </c>
      <c r="C39" s="73"/>
      <c r="D39" s="529"/>
      <c r="E39" s="73"/>
      <c r="F39" s="73"/>
      <c r="G39" s="73"/>
      <c r="H39" s="557"/>
      <c r="J39" s="557" t="s">
        <v>11447</v>
      </c>
      <c r="L39" s="223" t="str">
        <f>L9</f>
        <v/>
      </c>
    </row>
    <row r="40" ht="13.5" customHeight="1">
      <c r="A40" s="532" t="s">
        <v>11448</v>
      </c>
      <c r="B40" s="533" t="s">
        <v>11449</v>
      </c>
      <c r="C40" s="532" t="s">
        <v>11462</v>
      </c>
      <c r="D40" s="2"/>
      <c r="E40" s="2"/>
      <c r="F40" s="2"/>
      <c r="G40" s="2"/>
      <c r="H40" s="532" t="s">
        <v>11450</v>
      </c>
      <c r="I40" s="2"/>
      <c r="J40" s="532" t="s">
        <v>11451</v>
      </c>
      <c r="K40" s="2"/>
      <c r="L40" s="532" t="s">
        <v>2905</v>
      </c>
    </row>
    <row r="41" ht="13.5" customHeight="1">
      <c r="A41" s="650">
        <v>1.0</v>
      </c>
      <c r="B41" s="56" t="str">
        <f t="shared" ref="B41:C41" si="3">B11</f>
        <v>LFW-AVANZA16MU</v>
      </c>
      <c r="C41" s="56" t="str">
        <f t="shared" si="3"/>
        <v>Toyota Avanza / Xenia 15-21 3rd Gen</v>
      </c>
      <c r="H41" s="203">
        <f t="shared" ref="H41:J41" si="4">H11</f>
        <v>1</v>
      </c>
      <c r="I41" s="203" t="str">
        <f t="shared" si="4"/>
        <v>PC</v>
      </c>
      <c r="J41" s="388">
        <f t="shared" si="4"/>
        <v>1050000</v>
      </c>
      <c r="L41" s="578">
        <f>H41*J41</f>
        <v>1050000</v>
      </c>
    </row>
    <row r="42" ht="13.5" customHeight="1">
      <c r="A42" s="651">
        <f t="shared" ref="A42:B42" si="5">A12</f>
        <v>2</v>
      </c>
      <c r="B42" s="56" t="str">
        <f t="shared" si="5"/>
        <v>FILM-40STD</v>
      </c>
      <c r="C42" s="56" t="str">
        <f>IFERROR(VLOOKUP(B42,Stock,3,FALSE),"")</f>
        <v>Automotive Film Standard - Black 40%                                </v>
      </c>
      <c r="H42" s="203">
        <f t="shared" ref="H42:J42" si="6">H12</f>
        <v>1</v>
      </c>
      <c r="I42" s="203" t="str">
        <f t="shared" si="6"/>
        <v>X</v>
      </c>
      <c r="J42" s="388">
        <f t="shared" si="6"/>
        <v>350000</v>
      </c>
      <c r="L42" s="578">
        <f t="shared" ref="L42:L50" si="9">L12</f>
        <v>350000</v>
      </c>
    </row>
    <row r="43" ht="13.5" customHeight="1">
      <c r="A43" s="650" t="str">
        <f t="shared" ref="A43:B43" si="7">A13</f>
        <v/>
      </c>
      <c r="B43" s="56" t="str">
        <f t="shared" si="7"/>
        <v/>
      </c>
      <c r="C43" s="56" t="str">
        <f>IFERROR(VLOOKUP(B43,Stock,3,FALSE),"")</f>
        <v/>
      </c>
      <c r="H43" s="203" t="str">
        <f t="shared" ref="H43:J43" si="8">H13</f>
        <v/>
      </c>
      <c r="I43" s="203" t="str">
        <f t="shared" si="8"/>
        <v/>
      </c>
      <c r="J43" s="388" t="str">
        <f t="shared" si="8"/>
        <v/>
      </c>
      <c r="L43" s="540">
        <f t="shared" si="9"/>
        <v>0</v>
      </c>
    </row>
    <row r="44" ht="13.5" customHeight="1">
      <c r="A44" s="203" t="str">
        <f t="shared" ref="A44:B44" si="10">A14</f>
        <v/>
      </c>
      <c r="B44" s="56" t="str">
        <f t="shared" si="10"/>
        <v/>
      </c>
      <c r="C44" s="56" t="str">
        <f>IFERROR(VLOOKUP(B44,Stock,3,FALSE),"")</f>
        <v/>
      </c>
      <c r="H44" s="203" t="str">
        <f t="shared" ref="H44:J44" si="11">H14</f>
        <v/>
      </c>
      <c r="I44" s="203" t="str">
        <f t="shared" si="11"/>
        <v/>
      </c>
      <c r="J44" s="388" t="str">
        <f t="shared" si="11"/>
        <v/>
      </c>
      <c r="L44" s="540">
        <f t="shared" si="9"/>
        <v>0</v>
      </c>
    </row>
    <row r="45" ht="13.5" customHeight="1">
      <c r="A45" s="203" t="str">
        <f t="shared" ref="A45:B45" si="12">A15</f>
        <v/>
      </c>
      <c r="B45" s="175" t="str">
        <f t="shared" si="12"/>
        <v/>
      </c>
      <c r="C45" s="56" t="str">
        <f>IFERROR(VLOOKUP(B45,Stock,3,FALSE),"")</f>
        <v/>
      </c>
      <c r="H45" s="203" t="str">
        <f t="shared" ref="H45:J45" si="13">H15</f>
        <v/>
      </c>
      <c r="I45" s="203" t="str">
        <f t="shared" si="13"/>
        <v/>
      </c>
      <c r="J45" s="542" t="str">
        <f t="shared" si="13"/>
        <v/>
      </c>
      <c r="L45" s="540">
        <f t="shared" si="9"/>
        <v>0</v>
      </c>
    </row>
    <row r="46" ht="13.5" customHeight="1">
      <c r="A46" s="203" t="str">
        <f t="shared" ref="A46:B46" si="14">A16</f>
        <v/>
      </c>
      <c r="B46" s="175" t="str">
        <f t="shared" si="14"/>
        <v/>
      </c>
      <c r="C46" s="56" t="str">
        <f>IFERROR(VLOOKUP(B46,Stock,3,FALSE),"")</f>
        <v/>
      </c>
      <c r="H46" s="203" t="str">
        <f t="shared" ref="H46:J46" si="15">H16</f>
        <v/>
      </c>
      <c r="I46" s="203" t="str">
        <f t="shared" si="15"/>
        <v/>
      </c>
      <c r="J46" s="542" t="str">
        <f t="shared" si="15"/>
        <v/>
      </c>
      <c r="L46" s="540">
        <f t="shared" si="9"/>
        <v>0</v>
      </c>
    </row>
    <row r="47" ht="13.5" customHeight="1">
      <c r="A47" s="543" t="str">
        <f t="shared" ref="A47:B47" si="16">A17</f>
        <v/>
      </c>
      <c r="B47" s="544" t="str">
        <f t="shared" si="16"/>
        <v>BCA 6041794388 an Alvin Wijaya</v>
      </c>
      <c r="C47" s="531"/>
      <c r="D47" s="531"/>
      <c r="E47" s="531"/>
      <c r="F47" s="531"/>
      <c r="G47" s="531"/>
      <c r="H47" s="530" t="str">
        <f t="shared" ref="H47:J47" si="17">H17</f>
        <v/>
      </c>
      <c r="I47" s="530" t="str">
        <f t="shared" si="17"/>
        <v/>
      </c>
      <c r="J47" s="545" t="str">
        <f t="shared" si="17"/>
        <v/>
      </c>
      <c r="K47" s="531"/>
      <c r="L47" s="540">
        <f t="shared" si="9"/>
        <v>0</v>
      </c>
    </row>
    <row r="48" ht="13.5" customHeight="1">
      <c r="A48" s="546"/>
      <c r="B48" s="536"/>
      <c r="C48" s="536"/>
      <c r="D48" s="536"/>
      <c r="E48" s="547"/>
      <c r="F48" s="547"/>
      <c r="G48" s="547"/>
      <c r="H48" s="548"/>
      <c r="I48" s="516"/>
      <c r="J48" s="549"/>
      <c r="K48" s="200" t="s">
        <v>11453</v>
      </c>
      <c r="L48" s="575">
        <f t="shared" si="9"/>
        <v>1400000</v>
      </c>
    </row>
    <row r="49" ht="13.5" customHeight="1">
      <c r="A49" s="551"/>
      <c r="D49" s="552" t="s">
        <v>11454</v>
      </c>
      <c r="E49" s="553"/>
      <c r="F49" s="554" t="s">
        <v>11490</v>
      </c>
      <c r="J49" s="555"/>
      <c r="K49" s="200" t="s">
        <v>11491</v>
      </c>
      <c r="L49" s="556">
        <f t="shared" si="9"/>
        <v>150000</v>
      </c>
    </row>
    <row r="50" ht="13.5" customHeight="1">
      <c r="A50" s="509"/>
      <c r="B50" s="557"/>
      <c r="C50" s="557"/>
      <c r="D50" s="557"/>
      <c r="E50" s="558" t="s">
        <v>1484</v>
      </c>
      <c r="J50" s="559"/>
      <c r="K50" s="560" t="s">
        <v>11457</v>
      </c>
      <c r="L50" s="561">
        <f t="shared" si="9"/>
        <v>1250000</v>
      </c>
    </row>
    <row r="51" ht="13.5" customHeight="1">
      <c r="A51" s="509"/>
      <c r="B51" s="520"/>
      <c r="C51" s="520"/>
      <c r="D51" s="563"/>
      <c r="E51" s="553"/>
      <c r="J51" s="564"/>
      <c r="K51" s="200"/>
      <c r="L51" s="565"/>
    </row>
    <row r="52" ht="13.5" customHeight="1">
      <c r="A52" s="509"/>
      <c r="B52" s="520"/>
      <c r="C52" s="520"/>
      <c r="D52" s="520"/>
      <c r="E52" s="520"/>
      <c r="J52" s="566"/>
      <c r="K52" s="566" t="s">
        <v>11458</v>
      </c>
      <c r="L52" s="566"/>
    </row>
    <row r="53" ht="13.5" customHeight="1">
      <c r="A53" s="567" t="s">
        <v>11459</v>
      </c>
      <c r="B53" s="508"/>
      <c r="C53" s="508"/>
      <c r="D53" s="563" t="s">
        <v>11460</v>
      </c>
      <c r="E53" s="520"/>
      <c r="F53" s="569"/>
      <c r="G53" s="569"/>
      <c r="H53" s="569"/>
      <c r="I53" s="569"/>
      <c r="J53" s="570"/>
      <c r="K53" s="652" t="str">
        <f>K23</f>
        <v/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</sheetData>
  <mergeCells count="49">
    <mergeCell ref="D7:F7"/>
    <mergeCell ref="H9:I9"/>
    <mergeCell ref="J9:K9"/>
    <mergeCell ref="C10:G10"/>
    <mergeCell ref="H10:I10"/>
    <mergeCell ref="J10:K10"/>
    <mergeCell ref="J11:K11"/>
    <mergeCell ref="C16:G16"/>
    <mergeCell ref="J16:K16"/>
    <mergeCell ref="B17:G17"/>
    <mergeCell ref="J17:K17"/>
    <mergeCell ref="A18:D18"/>
    <mergeCell ref="A19:C19"/>
    <mergeCell ref="F19:I22"/>
    <mergeCell ref="K23:L23"/>
    <mergeCell ref="C11:G11"/>
    <mergeCell ref="C12:G12"/>
    <mergeCell ref="J12:K12"/>
    <mergeCell ref="C13:G13"/>
    <mergeCell ref="J13:K13"/>
    <mergeCell ref="C14:G14"/>
    <mergeCell ref="C15:G15"/>
    <mergeCell ref="H40:I40"/>
    <mergeCell ref="J40:K40"/>
    <mergeCell ref="J14:K14"/>
    <mergeCell ref="J15:K15"/>
    <mergeCell ref="J35:L35"/>
    <mergeCell ref="D37:F37"/>
    <mergeCell ref="H39:I39"/>
    <mergeCell ref="J39:K39"/>
    <mergeCell ref="C40:G40"/>
    <mergeCell ref="C41:G41"/>
    <mergeCell ref="J41:K41"/>
    <mergeCell ref="C42:G42"/>
    <mergeCell ref="J42:K42"/>
    <mergeCell ref="C43:G43"/>
    <mergeCell ref="J43:K43"/>
    <mergeCell ref="J44:K44"/>
    <mergeCell ref="A48:D48"/>
    <mergeCell ref="A49:C49"/>
    <mergeCell ref="F49:I52"/>
    <mergeCell ref="K53:L53"/>
    <mergeCell ref="C44:G44"/>
    <mergeCell ref="C45:G45"/>
    <mergeCell ref="J45:K45"/>
    <mergeCell ref="C46:G46"/>
    <mergeCell ref="J46:K46"/>
    <mergeCell ref="B47:G47"/>
    <mergeCell ref="J47:K47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71"/>
    <col customWidth="1" min="2" max="2" width="20.71"/>
    <col customWidth="1" min="3" max="3" width="53.43"/>
    <col customWidth="1" min="4" max="4" width="6.29"/>
    <col customWidth="1" min="5" max="5" width="10.43"/>
    <col customWidth="1" min="6" max="6" width="23.57"/>
    <col customWidth="1" min="7" max="8" width="6.71"/>
    <col customWidth="1" min="9" max="9" width="6.57"/>
    <col customWidth="1" min="10" max="10" width="5.71"/>
    <col customWidth="1" min="11" max="11" width="25.43"/>
    <col customWidth="1" min="12" max="12" width="3.29"/>
    <col customWidth="1" min="13" max="13" width="6.57"/>
    <col customWidth="1" min="14" max="14" width="35.14"/>
  </cols>
  <sheetData>
    <row r="1" ht="13.5" customHeight="1">
      <c r="A1" s="1"/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5"/>
      <c r="N1" s="4"/>
    </row>
    <row r="2" ht="13.5" customHeight="1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653" t="s">
        <v>11492</v>
      </c>
      <c r="H2" s="9" t="s">
        <v>6</v>
      </c>
      <c r="I2" s="9" t="s">
        <v>7</v>
      </c>
      <c r="J2" s="10" t="s">
        <v>8</v>
      </c>
      <c r="K2" s="11" t="s">
        <v>9</v>
      </c>
      <c r="L2" s="11" t="s">
        <v>10</v>
      </c>
      <c r="M2" s="12" t="s">
        <v>11</v>
      </c>
      <c r="N2" s="13" t="s">
        <v>12</v>
      </c>
    </row>
    <row r="3" ht="13.5" hidden="1" customHeight="1">
      <c r="A3" s="4" t="str">
        <f t="shared" ref="A3:A2086" si="1">CONCATENATE(B3,E3)</f>
        <v>OTH-SEALANTXYG</v>
      </c>
      <c r="B3" s="14" t="s">
        <v>13</v>
      </c>
      <c r="C3" s="15" t="s">
        <v>14</v>
      </c>
      <c r="D3" s="4" t="s">
        <v>15</v>
      </c>
      <c r="E3" s="4" t="s">
        <v>16</v>
      </c>
      <c r="F3" s="4"/>
      <c r="G3" s="4"/>
      <c r="H3" s="4">
        <f>SUMIFS(X!$F$5:$F$2005,X!$D$5:$D$2005,'CEK CICI'!A3)</f>
        <v>1067</v>
      </c>
      <c r="I3" s="4">
        <f>SUMIFS(PENJUALAN!$E$4:$E$4288,PENJUALAN!$C$4:$C$4288,'CEK CICI'!A3)</f>
        <v>271</v>
      </c>
      <c r="J3" s="16">
        <f t="shared" ref="J3:J2093" si="2">H3-I3</f>
        <v>796</v>
      </c>
      <c r="K3" s="4"/>
      <c r="L3" s="4"/>
      <c r="M3" s="5">
        <v>10.0</v>
      </c>
      <c r="N3" s="4"/>
    </row>
    <row r="4" ht="13.5" hidden="1" customHeight="1">
      <c r="A4" s="4" t="str">
        <f t="shared" si="1"/>
        <v>OTH-PETIKAYU</v>
      </c>
      <c r="B4" s="14" t="s">
        <v>17</v>
      </c>
      <c r="C4" s="4" t="s">
        <v>18</v>
      </c>
      <c r="D4" s="4" t="s">
        <v>15</v>
      </c>
      <c r="E4" s="4" t="s">
        <v>19</v>
      </c>
      <c r="F4" s="4"/>
      <c r="G4" s="4"/>
      <c r="H4" s="4">
        <f>SUMIFS(X!$F$5:$F$2005,X!$D$5:$D$2005,'CEK CICI'!A4)</f>
        <v>32</v>
      </c>
      <c r="I4" s="4">
        <f>SUMIFS(PENJUALAN!$E$4:$E$4288,PENJUALAN!$C$4:$C$4288,'CEK CICI'!A4)</f>
        <v>211</v>
      </c>
      <c r="J4" s="16">
        <f t="shared" si="2"/>
        <v>-179</v>
      </c>
      <c r="K4" s="4"/>
      <c r="L4" s="4"/>
      <c r="M4" s="5">
        <v>10.0</v>
      </c>
      <c r="N4" s="4"/>
    </row>
    <row r="5" ht="13.5" hidden="1" customHeight="1">
      <c r="A5" s="4" t="str">
        <f t="shared" si="1"/>
        <v>OTH-SERTR</v>
      </c>
      <c r="B5" s="19" t="s">
        <v>24</v>
      </c>
      <c r="C5" s="15" t="s">
        <v>2416</v>
      </c>
      <c r="D5" s="4" t="s">
        <v>15</v>
      </c>
      <c r="E5" s="15" t="s">
        <v>2417</v>
      </c>
      <c r="F5" s="4"/>
      <c r="G5" s="4"/>
      <c r="H5" s="4">
        <f>SUMIFS(X!$F$5:$F$2005,X!$D$5:$D$2005,'CEK CICI'!A5)</f>
        <v>20</v>
      </c>
      <c r="I5" s="4">
        <f>SUMIFS(PENJUALAN!$E$4:$E$4288,PENJUALAN!$C$4:$C$4288,'CEK CICI'!A5)</f>
        <v>18</v>
      </c>
      <c r="J5" s="16">
        <f t="shared" si="2"/>
        <v>2</v>
      </c>
      <c r="K5" s="4"/>
      <c r="L5" s="4"/>
      <c r="M5" s="5"/>
      <c r="N5" s="4"/>
    </row>
    <row r="6" ht="13.5" hidden="1" customHeight="1">
      <c r="A6" s="4" t="str">
        <f t="shared" si="1"/>
        <v>OTH-SERBY</v>
      </c>
      <c r="B6" s="19" t="s">
        <v>24</v>
      </c>
      <c r="C6" s="15" t="s">
        <v>27</v>
      </c>
      <c r="D6" s="15" t="s">
        <v>15</v>
      </c>
      <c r="E6" s="15" t="s">
        <v>28</v>
      </c>
      <c r="F6" s="4"/>
      <c r="G6" s="4"/>
      <c r="H6" s="4">
        <f>SUMIFS(X!$F$5:$F$2005,X!$D$5:$D$2005,'CEK CICI'!A6)</f>
        <v>780</v>
      </c>
      <c r="I6" s="4">
        <f>SUMIFS(PENJUALAN!$E$4:$E$4288,PENJUALAN!$C$4:$C$4288,'CEK CICI'!A6)</f>
        <v>156</v>
      </c>
      <c r="J6" s="16">
        <f t="shared" si="2"/>
        <v>624</v>
      </c>
      <c r="K6" s="4"/>
      <c r="L6" s="4"/>
      <c r="M6" s="5"/>
      <c r="N6" s="4"/>
    </row>
    <row r="7" ht="13.5" hidden="1" customHeight="1">
      <c r="A7" s="4" t="str">
        <f t="shared" si="1"/>
        <v>OTH-SERTRANSPORT</v>
      </c>
      <c r="B7" s="19" t="s">
        <v>24</v>
      </c>
      <c r="C7" s="15" t="s">
        <v>29</v>
      </c>
      <c r="D7" s="4" t="s">
        <v>15</v>
      </c>
      <c r="E7" s="15" t="s">
        <v>30</v>
      </c>
      <c r="F7" s="4"/>
      <c r="G7" s="4"/>
      <c r="H7" s="4">
        <f>SUMIFS(X!$F$5:$F$2005,X!$D$5:$D$2005,'CEK CICI'!A7)</f>
        <v>0</v>
      </c>
      <c r="I7" s="4">
        <f>SUMIFS(PENJUALAN!$E$4:$E$4288,PENJUALAN!$C$4:$C$4288,'CEK CICI'!A7)</f>
        <v>358</v>
      </c>
      <c r="J7" s="16">
        <f t="shared" si="2"/>
        <v>-358</v>
      </c>
      <c r="K7" s="4"/>
      <c r="L7" s="4"/>
      <c r="M7" s="5"/>
      <c r="N7" s="4"/>
    </row>
    <row r="8" ht="13.5" hidden="1" customHeight="1">
      <c r="A8" s="4" t="str">
        <f t="shared" si="1"/>
        <v>OTH-LIST04TOYDAI</v>
      </c>
      <c r="B8" s="14" t="s">
        <v>31</v>
      </c>
      <c r="C8" s="15" t="s">
        <v>32</v>
      </c>
      <c r="D8" s="4" t="s">
        <v>15</v>
      </c>
      <c r="E8" s="4" t="s">
        <v>33</v>
      </c>
      <c r="F8" s="4"/>
      <c r="G8" s="4"/>
      <c r="H8" s="4">
        <f>SUMIFS(X!$F$5:$F$2005,X!$D$5:$D$2005,'CEK CICI'!A8)</f>
        <v>60</v>
      </c>
      <c r="I8" s="4">
        <f>SUMIFS(PENJUALAN!$E$4:$E$4288,PENJUALAN!$C$4:$C$4288,'CEK CICI'!A8)</f>
        <v>58</v>
      </c>
      <c r="J8" s="16">
        <f t="shared" si="2"/>
        <v>2</v>
      </c>
      <c r="K8" s="4"/>
      <c r="L8" s="4"/>
      <c r="M8" s="5">
        <v>2.0</v>
      </c>
      <c r="N8" s="4"/>
    </row>
    <row r="9" ht="13.5" hidden="1" customHeight="1">
      <c r="A9" s="4" t="str">
        <f t="shared" si="1"/>
        <v>OTH-LIST11TOYDAI</v>
      </c>
      <c r="B9" s="14" t="s">
        <v>34</v>
      </c>
      <c r="C9" s="15" t="s">
        <v>35</v>
      </c>
      <c r="D9" s="4" t="s">
        <v>15</v>
      </c>
      <c r="E9" s="4" t="s">
        <v>33</v>
      </c>
      <c r="F9" s="4"/>
      <c r="G9" s="4"/>
      <c r="H9" s="4">
        <f>SUMIFS(X!$F$5:$F$2005,X!$D$5:$D$2005,'CEK CICI'!A9)</f>
        <v>37</v>
      </c>
      <c r="I9" s="4">
        <f>SUMIFS(PENJUALAN!$E$4:$E$4288,PENJUALAN!$C$4:$C$4288,'CEK CICI'!A9)</f>
        <v>32</v>
      </c>
      <c r="J9" s="16">
        <f t="shared" si="2"/>
        <v>5</v>
      </c>
      <c r="K9" s="4"/>
      <c r="L9" s="4"/>
      <c r="M9" s="5">
        <v>2.0</v>
      </c>
      <c r="N9" s="4"/>
    </row>
    <row r="10" ht="13.5" hidden="1" customHeight="1">
      <c r="A10" s="4" t="str">
        <f t="shared" si="1"/>
        <v>OTH-LISTINVTOY</v>
      </c>
      <c r="B10" s="14" t="s">
        <v>36</v>
      </c>
      <c r="C10" s="4" t="s">
        <v>37</v>
      </c>
      <c r="D10" s="4" t="s">
        <v>15</v>
      </c>
      <c r="E10" s="4" t="s">
        <v>38</v>
      </c>
      <c r="F10" s="4"/>
      <c r="G10" s="4"/>
      <c r="H10" s="4">
        <f>SUMIFS(X!$F$5:$F$2005,X!$D$5:$D$2005,'CEK CICI'!A10)</f>
        <v>30</v>
      </c>
      <c r="I10" s="4">
        <f>SUMIFS(PENJUALAN!$E$4:$E$4288,PENJUALAN!$C$4:$C$4288,'CEK CICI'!A10)</f>
        <v>27</v>
      </c>
      <c r="J10" s="16">
        <f t="shared" si="2"/>
        <v>3</v>
      </c>
      <c r="K10" s="4"/>
      <c r="L10" s="4"/>
      <c r="M10" s="5">
        <v>2.0</v>
      </c>
      <c r="N10" s="4"/>
    </row>
    <row r="11" ht="13.5" hidden="1" customHeight="1">
      <c r="A11" s="4" t="str">
        <f t="shared" si="1"/>
        <v>OTH-LISTWSERT12SGP</v>
      </c>
      <c r="B11" s="19" t="s">
        <v>2226</v>
      </c>
      <c r="C11" s="15" t="s">
        <v>2227</v>
      </c>
      <c r="D11" s="15" t="s">
        <v>15</v>
      </c>
      <c r="E11" s="15" t="s">
        <v>2228</v>
      </c>
      <c r="F11" s="4"/>
      <c r="G11" s="4"/>
      <c r="H11" s="4">
        <f>SUMIFS(X!$F$5:$F$2005,X!$D$5:$D$2005,'CEK CICI'!A11)</f>
        <v>2</v>
      </c>
      <c r="I11" s="4">
        <f>SUMIFS(PENJUALAN!$E$4:$E$4288,PENJUALAN!$C$4:$C$4288,'CEK CICI'!A11)</f>
        <v>2</v>
      </c>
      <c r="J11" s="16">
        <f t="shared" si="2"/>
        <v>0</v>
      </c>
      <c r="K11" s="4"/>
      <c r="L11" s="4"/>
      <c r="M11" s="5"/>
      <c r="N11" s="4"/>
    </row>
    <row r="12" ht="13.5" hidden="1" customHeight="1">
      <c r="A12" s="4" t="str">
        <f t="shared" si="1"/>
        <v>OTH-LISTPJR16MIT</v>
      </c>
      <c r="B12" s="19" t="s">
        <v>2094</v>
      </c>
      <c r="C12" s="15" t="s">
        <v>2095</v>
      </c>
      <c r="D12" s="15" t="s">
        <v>15</v>
      </c>
      <c r="E12" s="15" t="s">
        <v>2096</v>
      </c>
      <c r="F12" s="4"/>
      <c r="G12" s="4"/>
      <c r="H12" s="4">
        <f>SUMIFS(X!$F$5:$F$2005,X!$D$5:$D$2005,'CEK CICI'!A12)</f>
        <v>2</v>
      </c>
      <c r="I12" s="4">
        <f>SUMIFS(PENJUALAN!$E$4:$E$4288,PENJUALAN!$C$4:$C$4288,'CEK CICI'!A12)</f>
        <v>1</v>
      </c>
      <c r="J12" s="16">
        <f t="shared" si="2"/>
        <v>1</v>
      </c>
      <c r="K12" s="4"/>
      <c r="L12" s="4"/>
      <c r="M12" s="5"/>
      <c r="N12" s="4"/>
    </row>
    <row r="13" ht="13.5" hidden="1" customHeight="1">
      <c r="A13" s="4" t="str">
        <f t="shared" si="1"/>
        <v>OTH-RPLXLFW</v>
      </c>
      <c r="B13" s="19" t="s">
        <v>49</v>
      </c>
      <c r="C13" s="4" t="s">
        <v>50</v>
      </c>
      <c r="D13" s="4" t="s">
        <v>15</v>
      </c>
      <c r="E13" s="15" t="s">
        <v>22</v>
      </c>
      <c r="F13" s="4"/>
      <c r="G13" s="4"/>
      <c r="H13" s="4">
        <f>SUMIFS(X!$F$5:$F$2005,X!$D$5:$D$2005,'CEK CICI'!A13)</f>
        <v>0</v>
      </c>
      <c r="I13" s="4">
        <f>SUMIFS(PENJUALAN!$E$4:$E$4288,PENJUALAN!$C$4:$C$4288,'CEK CICI'!A13)</f>
        <v>101</v>
      </c>
      <c r="J13" s="16">
        <f t="shared" si="2"/>
        <v>-101</v>
      </c>
      <c r="K13" s="4"/>
      <c r="L13" s="4"/>
      <c r="M13" s="5">
        <v>100.0</v>
      </c>
      <c r="N13" s="4"/>
    </row>
    <row r="14" ht="13.5" hidden="1" customHeight="1">
      <c r="A14" s="4" t="str">
        <f t="shared" si="1"/>
        <v>OTH-RPLXTRW</v>
      </c>
      <c r="B14" s="19" t="s">
        <v>49</v>
      </c>
      <c r="C14" s="4" t="s">
        <v>51</v>
      </c>
      <c r="D14" s="4" t="s">
        <v>15</v>
      </c>
      <c r="E14" s="15" t="s">
        <v>41</v>
      </c>
      <c r="F14" s="4"/>
      <c r="G14" s="4"/>
      <c r="H14" s="4">
        <f>SUMIFS(X!$F$5:$F$2005,X!$D$5:$D$2005,'CEK CICI'!A14)</f>
        <v>0</v>
      </c>
      <c r="I14" s="4">
        <f>SUMIFS(PENJUALAN!$E$4:$E$4288,PENJUALAN!$C$4:$C$4288,'CEK CICI'!A14)</f>
        <v>26</v>
      </c>
      <c r="J14" s="16">
        <f t="shared" si="2"/>
        <v>-26</v>
      </c>
      <c r="K14" s="4"/>
      <c r="L14" s="4"/>
      <c r="M14" s="5">
        <v>100.0</v>
      </c>
      <c r="N14" s="4"/>
    </row>
    <row r="15" ht="13.5" hidden="1" customHeight="1">
      <c r="A15" s="4" t="str">
        <f t="shared" si="1"/>
        <v>OTH-RPLXSIDE</v>
      </c>
      <c r="B15" s="19" t="s">
        <v>49</v>
      </c>
      <c r="C15" s="4" t="s">
        <v>52</v>
      </c>
      <c r="D15" s="4" t="s">
        <v>15</v>
      </c>
      <c r="E15" s="4" t="s">
        <v>53</v>
      </c>
      <c r="F15" s="4"/>
      <c r="G15" s="4"/>
      <c r="H15" s="4">
        <f>SUMIFS(X!$F$5:$F$2005,X!$D$5:$D$2005,'CEK CICI'!A15)</f>
        <v>0</v>
      </c>
      <c r="I15" s="4">
        <f>SUMIFS(PENJUALAN!$E$4:$E$4288,PENJUALAN!$C$4:$C$4288,'CEK CICI'!A15)</f>
        <v>12</v>
      </c>
      <c r="J15" s="16">
        <f t="shared" si="2"/>
        <v>-12</v>
      </c>
      <c r="K15" s="4"/>
      <c r="L15" s="4"/>
      <c r="M15" s="5">
        <v>100.0</v>
      </c>
      <c r="N15" s="4"/>
    </row>
    <row r="16" ht="13.5" hidden="1" customHeight="1">
      <c r="A16" s="4" t="str">
        <f t="shared" si="1"/>
        <v>OTH-SERLMB</v>
      </c>
      <c r="B16" s="19" t="s">
        <v>24</v>
      </c>
      <c r="C16" s="15" t="s">
        <v>54</v>
      </c>
      <c r="D16" s="15" t="s">
        <v>15</v>
      </c>
      <c r="E16" s="15" t="s">
        <v>55</v>
      </c>
      <c r="F16" s="4"/>
      <c r="G16" s="4"/>
      <c r="H16" s="4">
        <f>SUMIFS(X!$F$5:$F$2005,X!$D$5:$D$2005,'CEK CICI'!A16)</f>
        <v>0</v>
      </c>
      <c r="I16" s="4">
        <f>SUMIFS(PENJUALAN!$E$4:$E$4288,PENJUALAN!$C$4:$C$4288,'CEK CICI'!A16)</f>
        <v>37</v>
      </c>
      <c r="J16" s="16">
        <f t="shared" si="2"/>
        <v>-37</v>
      </c>
      <c r="K16" s="4"/>
      <c r="L16" s="4"/>
      <c r="M16" s="5"/>
      <c r="N16" s="4"/>
    </row>
    <row r="17" ht="13.5" hidden="1" customHeight="1">
      <c r="A17" s="4" t="str">
        <f t="shared" si="1"/>
        <v>FILM-40STD</v>
      </c>
      <c r="B17" s="19" t="s">
        <v>56</v>
      </c>
      <c r="C17" s="15" t="s">
        <v>11493</v>
      </c>
      <c r="D17" s="15" t="s">
        <v>58</v>
      </c>
      <c r="E17" s="15" t="s">
        <v>59</v>
      </c>
      <c r="F17" s="4"/>
      <c r="G17" s="4"/>
      <c r="H17" s="4">
        <f>SUMIFS(X!$F$5:$F$2005,X!$D$5:$D$2005,'CEK CICI'!A17)</f>
        <v>0</v>
      </c>
      <c r="I17" s="4">
        <f>SUMIFS(PENJUALAN!$E$4:$E$4288,PENJUALAN!$C$4:$C$4288,'CEK CICI'!A17)</f>
        <v>17</v>
      </c>
      <c r="J17" s="16">
        <f t="shared" si="2"/>
        <v>-17</v>
      </c>
      <c r="K17" s="4"/>
      <c r="L17" s="4"/>
      <c r="M17" s="5"/>
      <c r="N17" s="4"/>
    </row>
    <row r="18" ht="13.5" hidden="1" customHeight="1">
      <c r="A18" s="4" t="str">
        <f t="shared" si="1"/>
        <v>TRW-AVANZA03HAUTO</v>
      </c>
      <c r="B18" s="14" t="s">
        <v>64</v>
      </c>
      <c r="C18" s="4" t="s">
        <v>65</v>
      </c>
      <c r="D18" s="4" t="s">
        <v>41</v>
      </c>
      <c r="E18" s="4" t="s">
        <v>66</v>
      </c>
      <c r="F18" s="4" t="s">
        <v>67</v>
      </c>
      <c r="G18" s="4"/>
      <c r="H18" s="4">
        <f>SUMIFS(X!$F$5:$F$2005,X!$D$5:$D$2005,'CEK CICI'!A18)</f>
        <v>0</v>
      </c>
      <c r="I18" s="4">
        <f>SUMIFS(PENJUALAN!$E$4:$E$4288,PENJUALAN!$C$4:$C$4288,'CEK CICI'!A18)</f>
        <v>0</v>
      </c>
      <c r="J18" s="16">
        <f t="shared" si="2"/>
        <v>0</v>
      </c>
      <c r="K18" s="4"/>
      <c r="L18" s="4"/>
      <c r="M18" s="5"/>
      <c r="N18" s="4"/>
    </row>
    <row r="19" ht="13.5" hidden="1" customHeight="1">
      <c r="A19" s="4" t="str">
        <f t="shared" si="1"/>
        <v>RDR-CRV12SG</v>
      </c>
      <c r="B19" s="14" t="s">
        <v>68</v>
      </c>
      <c r="C19" s="4" t="s">
        <v>69</v>
      </c>
      <c r="D19" s="4" t="s">
        <v>70</v>
      </c>
      <c r="E19" s="4" t="s">
        <v>71</v>
      </c>
      <c r="F19" s="4"/>
      <c r="G19" s="4"/>
      <c r="H19" s="4">
        <f>SUMIFS(X!$F$5:$F$2005,X!$D$5:$D$2005,'CEK CICI'!A19)</f>
        <v>0</v>
      </c>
      <c r="I19" s="4">
        <f>SUMIFS(PENJUALAN!$E$4:$E$4288,PENJUALAN!$C$4:$C$4288,'CEK CICI'!A19)</f>
        <v>0</v>
      </c>
      <c r="J19" s="16">
        <f t="shared" si="2"/>
        <v>0</v>
      </c>
      <c r="K19" s="4"/>
      <c r="L19" s="4"/>
      <c r="M19" s="5"/>
      <c r="N19" s="4"/>
    </row>
    <row r="20" ht="13.5" hidden="1" customHeight="1">
      <c r="A20" s="4" t="str">
        <f t="shared" si="1"/>
        <v>LFW-ALPHARD08RSPIL</v>
      </c>
      <c r="B20" s="14" t="s">
        <v>72</v>
      </c>
      <c r="C20" s="4" t="s">
        <v>73</v>
      </c>
      <c r="D20" s="4" t="s">
        <v>22</v>
      </c>
      <c r="E20" s="4" t="s">
        <v>74</v>
      </c>
      <c r="F20" s="4" t="s">
        <v>75</v>
      </c>
      <c r="G20" s="4"/>
      <c r="H20" s="4">
        <f>SUMIFS(X!$F$5:$F$2005,X!$D$5:$D$2005,'CEK CICI'!A20)</f>
        <v>0</v>
      </c>
      <c r="I20" s="4">
        <f>SUMIFS(PENJUALAN!$E$4:$E$4288,PENJUALAN!$C$4:$C$4288,'CEK CICI'!A20)</f>
        <v>0</v>
      </c>
      <c r="J20" s="16">
        <f t="shared" si="2"/>
        <v>0</v>
      </c>
      <c r="K20" s="4"/>
      <c r="L20" s="4"/>
      <c r="M20" s="5"/>
      <c r="N20" s="4"/>
    </row>
    <row r="21" ht="13.5" hidden="1" customHeight="1">
      <c r="A21" s="20" t="str">
        <f t="shared" si="1"/>
        <v>RDL-AVANZA03ASH</v>
      </c>
      <c r="B21" s="21" t="s">
        <v>1881</v>
      </c>
      <c r="C21" s="20" t="s">
        <v>65</v>
      </c>
      <c r="D21" s="20" t="s">
        <v>47</v>
      </c>
      <c r="E21" s="20" t="s">
        <v>82</v>
      </c>
      <c r="F21" s="20"/>
      <c r="G21" s="20"/>
      <c r="H21" s="20">
        <f>SUMIFS(X!$F$5:$F$2005,X!$D$5:$D$2005,'CEK CICI'!A21)</f>
        <v>5</v>
      </c>
      <c r="I21" s="20">
        <f>SUMIFS(PENJUALAN!$E$4:$E$4288,PENJUALAN!$C$4:$C$4288,'CEK CICI'!A21)</f>
        <v>3</v>
      </c>
      <c r="J21" s="16">
        <f t="shared" si="2"/>
        <v>2</v>
      </c>
      <c r="K21" s="22" t="s">
        <v>86</v>
      </c>
      <c r="L21" s="22"/>
      <c r="M21" s="23"/>
      <c r="N21" s="20"/>
    </row>
    <row r="22" ht="13.5" hidden="1" customHeight="1">
      <c r="A22" s="20" t="str">
        <f t="shared" si="1"/>
        <v>RDR-AVANZA11ASH</v>
      </c>
      <c r="B22" s="21" t="s">
        <v>80</v>
      </c>
      <c r="C22" s="20" t="s">
        <v>81</v>
      </c>
      <c r="D22" s="20" t="s">
        <v>70</v>
      </c>
      <c r="E22" s="20" t="s">
        <v>82</v>
      </c>
      <c r="F22" s="20"/>
      <c r="G22" s="20"/>
      <c r="H22" s="20">
        <f>SUMIFS(X!$F$5:$F$2005,X!$D$5:$D$2005,'CEK CICI'!A22)</f>
        <v>10</v>
      </c>
      <c r="I22" s="20">
        <f>SUMIFS(PENJUALAN!$E$4:$E$4288,PENJUALAN!$C$4:$C$4288,'CEK CICI'!A22)</f>
        <v>9</v>
      </c>
      <c r="J22" s="16">
        <f t="shared" si="2"/>
        <v>1</v>
      </c>
      <c r="K22" s="22" t="s">
        <v>2133</v>
      </c>
      <c r="L22" s="22"/>
      <c r="M22" s="23"/>
      <c r="N22" s="20"/>
    </row>
    <row r="23" ht="13.5" hidden="1" customHeight="1">
      <c r="A23" s="20" t="str">
        <f t="shared" si="1"/>
        <v>RDL-AVANZA11ASH</v>
      </c>
      <c r="B23" s="83" t="s">
        <v>91</v>
      </c>
      <c r="C23" s="20" t="s">
        <v>81</v>
      </c>
      <c r="D23" s="22" t="s">
        <v>47</v>
      </c>
      <c r="E23" s="20" t="s">
        <v>82</v>
      </c>
      <c r="F23" s="20"/>
      <c r="G23" s="20"/>
      <c r="H23" s="20">
        <f>SUMIFS(X!$F$5:$F$2005,X!$D$5:$D$2005,'CEK CICI'!A23)</f>
        <v>5</v>
      </c>
      <c r="I23" s="20">
        <f>SUMIFS(PENJUALAN!$E$4:$E$4288,PENJUALAN!$C$4:$C$4288,'CEK CICI'!A23)</f>
        <v>3</v>
      </c>
      <c r="J23" s="16">
        <f t="shared" si="2"/>
        <v>2</v>
      </c>
      <c r="K23" s="22" t="s">
        <v>2133</v>
      </c>
      <c r="L23" s="22"/>
      <c r="M23" s="23"/>
      <c r="N23" s="20"/>
    </row>
    <row r="24" ht="13.5" hidden="1" customHeight="1">
      <c r="A24" s="4" t="str">
        <f t="shared" si="1"/>
        <v>TRW-AVANZA11ORI</v>
      </c>
      <c r="B24" s="14" t="s">
        <v>87</v>
      </c>
      <c r="C24" s="4" t="s">
        <v>88</v>
      </c>
      <c r="D24" s="4" t="s">
        <v>41</v>
      </c>
      <c r="E24" s="4" t="s">
        <v>89</v>
      </c>
      <c r="F24" s="4" t="s">
        <v>90</v>
      </c>
      <c r="G24" s="4"/>
      <c r="H24" s="4">
        <f>SUMIFS(X!$F$5:$F$2005,X!$D$5:$D$2005,'CEK CICI'!A24)</f>
        <v>0</v>
      </c>
      <c r="I24" s="4">
        <f>SUMIFS(PENJUALAN!$E$4:$E$4288,PENJUALAN!$C$4:$C$4288,'CEK CICI'!A24)</f>
        <v>0</v>
      </c>
      <c r="J24" s="16">
        <f t="shared" si="2"/>
        <v>0</v>
      </c>
      <c r="K24" s="4"/>
      <c r="L24" s="4"/>
      <c r="M24" s="5"/>
      <c r="N24" s="4"/>
    </row>
    <row r="25" ht="13.5" hidden="1" customHeight="1">
      <c r="A25" s="4" t="str">
        <f t="shared" si="1"/>
        <v>RDL-AVANZA11ORI</v>
      </c>
      <c r="B25" s="14" t="s">
        <v>91</v>
      </c>
      <c r="C25" s="4" t="s">
        <v>88</v>
      </c>
      <c r="D25" s="4" t="s">
        <v>47</v>
      </c>
      <c r="E25" s="4" t="s">
        <v>89</v>
      </c>
      <c r="F25" s="4"/>
      <c r="G25" s="4"/>
      <c r="H25" s="4">
        <f>SUMIFS(X!$F$5:$F$2005,X!$D$5:$D$2005,'CEK CICI'!A25)</f>
        <v>0</v>
      </c>
      <c r="I25" s="4">
        <f>SUMIFS(PENJUALAN!$E$4:$E$4288,PENJUALAN!$C$4:$C$4288,'CEK CICI'!A25)</f>
        <v>0</v>
      </c>
      <c r="J25" s="16">
        <f t="shared" si="2"/>
        <v>0</v>
      </c>
      <c r="K25" s="4"/>
      <c r="L25" s="4"/>
      <c r="M25" s="5"/>
      <c r="N25" s="4"/>
    </row>
    <row r="26" ht="13.5" hidden="1" customHeight="1">
      <c r="A26" s="4" t="str">
        <f t="shared" si="1"/>
        <v>RDR-AVANZA11ORI</v>
      </c>
      <c r="B26" s="14" t="s">
        <v>80</v>
      </c>
      <c r="C26" s="4" t="s">
        <v>88</v>
      </c>
      <c r="D26" s="4" t="s">
        <v>70</v>
      </c>
      <c r="E26" s="4" t="s">
        <v>89</v>
      </c>
      <c r="F26" s="4"/>
      <c r="G26" s="4"/>
      <c r="H26" s="4">
        <f>SUMIFS(X!$F$5:$F$2005,X!$D$5:$D$2005,'CEK CICI'!A26)</f>
        <v>0</v>
      </c>
      <c r="I26" s="4">
        <f>SUMIFS(PENJUALAN!$E$4:$E$4288,PENJUALAN!$C$4:$C$4288,'CEK CICI'!A26)</f>
        <v>0</v>
      </c>
      <c r="J26" s="16">
        <f t="shared" si="2"/>
        <v>0</v>
      </c>
      <c r="K26" s="4"/>
      <c r="L26" s="4"/>
      <c r="M26" s="5"/>
      <c r="N26" s="4"/>
    </row>
    <row r="27" ht="13.5" hidden="1" customHeight="1">
      <c r="A27" s="4" t="str">
        <f t="shared" si="1"/>
        <v>FDL-AVANZA11ORI</v>
      </c>
      <c r="B27" s="14" t="s">
        <v>92</v>
      </c>
      <c r="C27" s="4" t="s">
        <v>88</v>
      </c>
      <c r="D27" s="4" t="s">
        <v>93</v>
      </c>
      <c r="E27" s="4" t="s">
        <v>89</v>
      </c>
      <c r="F27" s="4"/>
      <c r="G27" s="4"/>
      <c r="H27" s="4">
        <f>SUMIFS(X!$F$5:$F$2005,X!$D$5:$D$2005,'CEK CICI'!A27)</f>
        <v>0</v>
      </c>
      <c r="I27" s="4">
        <f>SUMIFS(PENJUALAN!$E$4:$E$4288,PENJUALAN!$C$4:$C$4288,'CEK CICI'!A27)</f>
        <v>0</v>
      </c>
      <c r="J27" s="16">
        <f t="shared" si="2"/>
        <v>0</v>
      </c>
      <c r="K27" s="4"/>
      <c r="L27" s="4"/>
      <c r="M27" s="5"/>
      <c r="N27" s="4"/>
    </row>
    <row r="28" ht="13.5" hidden="1" customHeight="1">
      <c r="A28" s="4" t="str">
        <f t="shared" si="1"/>
        <v>FDR-AVANZA11ORI</v>
      </c>
      <c r="B28" s="14" t="s">
        <v>94</v>
      </c>
      <c r="C28" s="4" t="s">
        <v>88</v>
      </c>
      <c r="D28" s="4" t="s">
        <v>45</v>
      </c>
      <c r="E28" s="4" t="s">
        <v>89</v>
      </c>
      <c r="F28" s="4"/>
      <c r="G28" s="4"/>
      <c r="H28" s="4">
        <f>SUMIFS(X!$F$5:$F$2005,X!$D$5:$D$2005,'CEK CICI'!A28)</f>
        <v>0</v>
      </c>
      <c r="I28" s="4">
        <f>SUMIFS(PENJUALAN!$E$4:$E$4288,PENJUALAN!$C$4:$C$4288,'CEK CICI'!A28)</f>
        <v>0</v>
      </c>
      <c r="J28" s="16">
        <f t="shared" si="2"/>
        <v>0</v>
      </c>
      <c r="K28" s="4"/>
      <c r="L28" s="4"/>
      <c r="M28" s="5"/>
      <c r="N28" s="4"/>
    </row>
    <row r="29" ht="13.5" hidden="1" customHeight="1">
      <c r="A29" s="4" t="str">
        <f t="shared" si="1"/>
        <v>LFW-ETIOSASH</v>
      </c>
      <c r="B29" s="14" t="s">
        <v>95</v>
      </c>
      <c r="C29" s="4" t="s">
        <v>96</v>
      </c>
      <c r="D29" s="4" t="s">
        <v>22</v>
      </c>
      <c r="E29" s="4" t="s">
        <v>82</v>
      </c>
      <c r="F29" s="4" t="s">
        <v>97</v>
      </c>
      <c r="G29" s="4"/>
      <c r="H29" s="4">
        <f>SUMIFS(X!$F$5:$F$2005,X!$D$5:$D$2005,'CEK CICI'!A29)</f>
        <v>0</v>
      </c>
      <c r="I29" s="4">
        <f>SUMIFS(PENJUALAN!$E$4:$E$4288,PENJUALAN!$C$4:$C$4288,'CEK CICI'!A29)</f>
        <v>0</v>
      </c>
      <c r="J29" s="16">
        <f t="shared" si="2"/>
        <v>0</v>
      </c>
      <c r="K29" s="26"/>
      <c r="L29" s="26"/>
      <c r="M29" s="5">
        <v>1.0</v>
      </c>
      <c r="N29" s="4"/>
    </row>
    <row r="30" ht="13.5" hidden="1" customHeight="1">
      <c r="A30" s="4" t="str">
        <f t="shared" si="1"/>
        <v>TRW-LUXIODAIHATSU</v>
      </c>
      <c r="B30" s="14" t="s">
        <v>2391</v>
      </c>
      <c r="C30" s="4" t="s">
        <v>1862</v>
      </c>
      <c r="D30" s="4" t="s">
        <v>41</v>
      </c>
      <c r="E30" s="4" t="s">
        <v>2392</v>
      </c>
      <c r="F30" s="4" t="s">
        <v>90</v>
      </c>
      <c r="G30" s="4"/>
      <c r="H30" s="4">
        <f>SUMIFS(X!$F$5:$F$2005,X!$D$5:$D$2005,'CEK CICI'!A30)</f>
        <v>12</v>
      </c>
      <c r="I30" s="4">
        <f>SUMIFS(PENJUALAN!$E$4:$E$4288,PENJUALAN!$C$4:$C$4288,'CEK CICI'!A30)</f>
        <v>7</v>
      </c>
      <c r="J30" s="16">
        <f t="shared" si="2"/>
        <v>5</v>
      </c>
      <c r="K30" s="15" t="s">
        <v>1445</v>
      </c>
      <c r="L30" s="15"/>
      <c r="M30" s="5">
        <v>1.0</v>
      </c>
      <c r="N30" s="4"/>
    </row>
    <row r="31" ht="13.5" hidden="1" customHeight="1">
      <c r="A31" s="4" t="str">
        <f t="shared" si="1"/>
        <v>SWR-RAIZEORI</v>
      </c>
      <c r="B31" s="14" t="s">
        <v>102</v>
      </c>
      <c r="C31" s="4" t="s">
        <v>103</v>
      </c>
      <c r="D31" s="4" t="s">
        <v>104</v>
      </c>
      <c r="E31" s="4" t="s">
        <v>89</v>
      </c>
      <c r="F31" s="4" t="s">
        <v>97</v>
      </c>
      <c r="G31" s="4"/>
      <c r="H31" s="4">
        <f>SUMIFS(X!$F$5:$F$2005,X!$D$5:$D$2005,'CEK CICI'!A31)</f>
        <v>0</v>
      </c>
      <c r="I31" s="4">
        <f>SUMIFS(PENJUALAN!$E$4:$E$4288,PENJUALAN!$C$4:$C$4288,'CEK CICI'!A31)</f>
        <v>0</v>
      </c>
      <c r="J31" s="16">
        <f t="shared" si="2"/>
        <v>0</v>
      </c>
      <c r="K31" s="4"/>
      <c r="L31" s="4"/>
      <c r="M31" s="5">
        <v>1.0</v>
      </c>
      <c r="N31" s="4"/>
    </row>
    <row r="32" ht="13.5" hidden="1" customHeight="1">
      <c r="A32" s="4" t="str">
        <f t="shared" si="1"/>
        <v>TRW-BRV16HONDA</v>
      </c>
      <c r="B32" s="14" t="s">
        <v>105</v>
      </c>
      <c r="C32" s="28" t="s">
        <v>106</v>
      </c>
      <c r="D32" s="4" t="s">
        <v>41</v>
      </c>
      <c r="E32" s="4" t="s">
        <v>107</v>
      </c>
      <c r="F32" s="4" t="s">
        <v>108</v>
      </c>
      <c r="G32" s="4"/>
      <c r="H32" s="4">
        <f>SUMIFS(X!$F$5:$F$2005,X!$D$5:$D$2005,'CEK CICI'!A32)</f>
        <v>0</v>
      </c>
      <c r="I32" s="4">
        <f>SUMIFS(PENJUALAN!$E$4:$E$4288,PENJUALAN!$C$4:$C$4288,'CEK CICI'!A32)</f>
        <v>0</v>
      </c>
      <c r="J32" s="16">
        <f t="shared" si="2"/>
        <v>0</v>
      </c>
      <c r="K32" s="4"/>
      <c r="L32" s="4"/>
      <c r="M32" s="5">
        <v>1.0</v>
      </c>
      <c r="N32" s="4"/>
    </row>
    <row r="33" ht="13.5" hidden="1" customHeight="1">
      <c r="A33" s="4" t="str">
        <f t="shared" si="1"/>
        <v>LFW-AUDIB8FY</v>
      </c>
      <c r="B33" s="29" t="s">
        <v>109</v>
      </c>
      <c r="C33" s="28" t="s">
        <v>110</v>
      </c>
      <c r="D33" s="28" t="s">
        <v>22</v>
      </c>
      <c r="E33" s="4" t="s">
        <v>111</v>
      </c>
      <c r="F33" s="28" t="s">
        <v>112</v>
      </c>
      <c r="G33" s="4"/>
      <c r="H33" s="4">
        <f>SUMIFS(X!$F$5:$F$2005,X!$D$5:$D$2005,'CEK CICI'!A33)</f>
        <v>0</v>
      </c>
      <c r="I33" s="4">
        <f>SUMIFS(PENJUALAN!$E$4:$E$4288,PENJUALAN!$C$4:$C$4288,'CEK CICI'!A33)</f>
        <v>0</v>
      </c>
      <c r="J33" s="16">
        <f t="shared" si="2"/>
        <v>0</v>
      </c>
      <c r="K33" s="4"/>
      <c r="L33" s="4"/>
      <c r="M33" s="4"/>
      <c r="N33" s="4"/>
    </row>
    <row r="34" ht="13.5" hidden="1" customHeight="1">
      <c r="A34" s="4" t="str">
        <f t="shared" si="1"/>
        <v>TRW-AUDIB8FY</v>
      </c>
      <c r="B34" s="29" t="s">
        <v>113</v>
      </c>
      <c r="C34" s="29" t="s">
        <v>113</v>
      </c>
      <c r="D34" s="28" t="s">
        <v>41</v>
      </c>
      <c r="E34" s="4" t="s">
        <v>111</v>
      </c>
      <c r="F34" s="28" t="s">
        <v>114</v>
      </c>
      <c r="G34" s="4"/>
      <c r="H34" s="4">
        <f>SUMIFS(X!$F$5:$F$2005,X!$D$5:$D$2005,'CEK CICI'!A34)</f>
        <v>0</v>
      </c>
      <c r="I34" s="4">
        <f>SUMIFS(PENJUALAN!$E$4:$E$4288,PENJUALAN!$C$4:$C$4288,'CEK CICI'!A34)</f>
        <v>0</v>
      </c>
      <c r="J34" s="16">
        <f t="shared" si="2"/>
        <v>0</v>
      </c>
      <c r="K34" s="4"/>
      <c r="L34" s="4"/>
      <c r="M34" s="4"/>
      <c r="N34" s="4"/>
    </row>
    <row r="35" ht="13.5" hidden="1" customHeight="1">
      <c r="A35" s="4" t="str">
        <f t="shared" si="1"/>
        <v>LFW-AUDIC7FY</v>
      </c>
      <c r="B35" s="29" t="s">
        <v>115</v>
      </c>
      <c r="C35" s="28" t="s">
        <v>116</v>
      </c>
      <c r="D35" s="28" t="s">
        <v>22</v>
      </c>
      <c r="E35" s="4" t="s">
        <v>111</v>
      </c>
      <c r="F35" s="28" t="s">
        <v>112</v>
      </c>
      <c r="G35" s="4"/>
      <c r="H35" s="4">
        <f>SUMIFS(X!$F$5:$F$2005,X!$D$5:$D$2005,'CEK CICI'!A35)</f>
        <v>0</v>
      </c>
      <c r="I35" s="4">
        <f>SUMIFS(PENJUALAN!$E$4:$E$4288,PENJUALAN!$C$4:$C$4288,'CEK CICI'!A35)</f>
        <v>0</v>
      </c>
      <c r="J35" s="16">
        <f t="shared" si="2"/>
        <v>0</v>
      </c>
      <c r="K35" s="4"/>
      <c r="L35" s="4"/>
      <c r="M35" s="4"/>
      <c r="N35" s="4"/>
    </row>
    <row r="36" ht="13.5" hidden="1" customHeight="1">
      <c r="A36" s="4" t="str">
        <f t="shared" si="1"/>
        <v>TRW-AUDIC7FY</v>
      </c>
      <c r="B36" s="29" t="s">
        <v>117</v>
      </c>
      <c r="C36" s="28" t="s">
        <v>116</v>
      </c>
      <c r="D36" s="28" t="s">
        <v>41</v>
      </c>
      <c r="E36" s="4" t="s">
        <v>111</v>
      </c>
      <c r="F36" s="28" t="s">
        <v>118</v>
      </c>
      <c r="G36" s="4"/>
      <c r="H36" s="4">
        <f>SUMIFS(X!$F$5:$F$2005,X!$D$5:$D$2005,'CEK CICI'!A36)</f>
        <v>0</v>
      </c>
      <c r="I36" s="4">
        <f>SUMIFS(PENJUALAN!$E$4:$E$4288,PENJUALAN!$C$4:$C$4288,'CEK CICI'!A36)</f>
        <v>0</v>
      </c>
      <c r="J36" s="16">
        <f t="shared" si="2"/>
        <v>0</v>
      </c>
      <c r="K36" s="4"/>
      <c r="L36" s="4"/>
      <c r="M36" s="4"/>
      <c r="N36" s="4"/>
    </row>
    <row r="37" ht="13.5" hidden="1" customHeight="1">
      <c r="A37" s="4" t="str">
        <f t="shared" si="1"/>
        <v>LFW-E30FY</v>
      </c>
      <c r="B37" s="29" t="s">
        <v>119</v>
      </c>
      <c r="C37" s="28" t="s">
        <v>120</v>
      </c>
      <c r="D37" s="28" t="s">
        <v>22</v>
      </c>
      <c r="E37" s="4" t="s">
        <v>111</v>
      </c>
      <c r="F37" s="28"/>
      <c r="G37" s="4"/>
      <c r="H37" s="4">
        <f>SUMIFS(X!$F$5:$F$2005,X!$D$5:$D$2005,'CEK CICI'!A37)</f>
        <v>0</v>
      </c>
      <c r="I37" s="4">
        <f>SUMIFS(PENJUALAN!$E$4:$E$4288,PENJUALAN!$C$4:$C$4288,'CEK CICI'!A37)</f>
        <v>0</v>
      </c>
      <c r="J37" s="16">
        <f t="shared" si="2"/>
        <v>0</v>
      </c>
      <c r="K37" s="4"/>
      <c r="L37" s="4"/>
      <c r="M37" s="4"/>
      <c r="N37" s="4"/>
    </row>
    <row r="38" ht="13.5" hidden="1" customHeight="1">
      <c r="A38" s="4" t="str">
        <f t="shared" si="1"/>
        <v>TRW-E30FY</v>
      </c>
      <c r="B38" s="29" t="s">
        <v>121</v>
      </c>
      <c r="C38" s="28" t="s">
        <v>120</v>
      </c>
      <c r="D38" s="28" t="s">
        <v>41</v>
      </c>
      <c r="E38" s="4" t="s">
        <v>111</v>
      </c>
      <c r="F38" s="28" t="s">
        <v>122</v>
      </c>
      <c r="G38" s="4"/>
      <c r="H38" s="4">
        <f>SUMIFS(X!$F$5:$F$2005,X!$D$5:$D$2005,'CEK CICI'!A38)</f>
        <v>0</v>
      </c>
      <c r="I38" s="4">
        <f>SUMIFS(PENJUALAN!$E$4:$E$4288,PENJUALAN!$C$4:$C$4288,'CEK CICI'!A38)</f>
        <v>0</v>
      </c>
      <c r="J38" s="16">
        <f t="shared" si="2"/>
        <v>0</v>
      </c>
      <c r="K38" s="4"/>
      <c r="L38" s="4"/>
      <c r="M38" s="4"/>
      <c r="N38" s="4"/>
    </row>
    <row r="39" ht="13.5" hidden="1" customHeight="1">
      <c r="A39" s="4" t="str">
        <f t="shared" si="1"/>
        <v>LFW-E36FY</v>
      </c>
      <c r="B39" s="29" t="s">
        <v>123</v>
      </c>
      <c r="C39" s="28" t="s">
        <v>124</v>
      </c>
      <c r="D39" s="28" t="s">
        <v>22</v>
      </c>
      <c r="E39" s="4" t="s">
        <v>111</v>
      </c>
      <c r="F39" s="28" t="s">
        <v>125</v>
      </c>
      <c r="G39" s="4"/>
      <c r="H39" s="4">
        <f>SUMIFS(X!$F$5:$F$2005,X!$D$5:$D$2005,'CEK CICI'!A39)</f>
        <v>0</v>
      </c>
      <c r="I39" s="4">
        <f>SUMIFS(PENJUALAN!$E$4:$E$4288,PENJUALAN!$C$4:$C$4288,'CEK CICI'!A39)</f>
        <v>0</v>
      </c>
      <c r="J39" s="16">
        <f t="shared" si="2"/>
        <v>0</v>
      </c>
      <c r="K39" s="4"/>
      <c r="L39" s="4"/>
      <c r="M39" s="4"/>
      <c r="N39" s="4"/>
    </row>
    <row r="40" ht="13.5" hidden="1" customHeight="1">
      <c r="A40" s="4" t="str">
        <f t="shared" si="1"/>
        <v>TRW-E36FY</v>
      </c>
      <c r="B40" s="29" t="s">
        <v>126</v>
      </c>
      <c r="C40" s="28" t="s">
        <v>124</v>
      </c>
      <c r="D40" s="28" t="s">
        <v>41</v>
      </c>
      <c r="E40" s="4" t="s">
        <v>111</v>
      </c>
      <c r="F40" s="28" t="s">
        <v>67</v>
      </c>
      <c r="G40" s="4"/>
      <c r="H40" s="4">
        <f>SUMIFS(X!$F$5:$F$2005,X!$D$5:$D$2005,'CEK CICI'!A40)</f>
        <v>0</v>
      </c>
      <c r="I40" s="4">
        <f>SUMIFS(PENJUALAN!$E$4:$E$4288,PENJUALAN!$C$4:$C$4288,'CEK CICI'!A40)</f>
        <v>0</v>
      </c>
      <c r="J40" s="16">
        <f t="shared" si="2"/>
        <v>0</v>
      </c>
      <c r="K40" s="4"/>
      <c r="L40" s="4"/>
      <c r="M40" s="4"/>
      <c r="N40" s="4"/>
    </row>
    <row r="41" ht="13.5" hidden="1" customHeight="1">
      <c r="A41" s="4" t="str">
        <f t="shared" si="1"/>
        <v>FDL-E36FY</v>
      </c>
      <c r="B41" s="29" t="s">
        <v>127</v>
      </c>
      <c r="C41" s="28" t="s">
        <v>124</v>
      </c>
      <c r="D41" s="28" t="s">
        <v>128</v>
      </c>
      <c r="E41" s="4" t="s">
        <v>111</v>
      </c>
      <c r="F41" s="28"/>
      <c r="G41" s="4"/>
      <c r="H41" s="4">
        <f>SUMIFS(X!$F$5:$F$2005,X!$D$5:$D$2005,'CEK CICI'!A41)</f>
        <v>0</v>
      </c>
      <c r="I41" s="4">
        <f>SUMIFS(PENJUALAN!$E$4:$E$4288,PENJUALAN!$C$4:$C$4288,'CEK CICI'!A41)</f>
        <v>0</v>
      </c>
      <c r="J41" s="16">
        <f t="shared" si="2"/>
        <v>0</v>
      </c>
      <c r="K41" s="4"/>
      <c r="L41" s="4"/>
      <c r="M41" s="4"/>
      <c r="N41" s="4"/>
    </row>
    <row r="42" ht="13.5" hidden="1" customHeight="1">
      <c r="A42" s="4" t="str">
        <f t="shared" si="1"/>
        <v>FDR-E36FY</v>
      </c>
      <c r="B42" s="29" t="s">
        <v>129</v>
      </c>
      <c r="C42" s="28" t="s">
        <v>124</v>
      </c>
      <c r="D42" s="28" t="s">
        <v>130</v>
      </c>
      <c r="E42" s="4" t="s">
        <v>111</v>
      </c>
      <c r="F42" s="28"/>
      <c r="G42" s="4"/>
      <c r="H42" s="4">
        <f>SUMIFS(X!$F$5:$F$2005,X!$D$5:$D$2005,'CEK CICI'!A42)</f>
        <v>0</v>
      </c>
      <c r="I42" s="4">
        <f>SUMIFS(PENJUALAN!$E$4:$E$4288,PENJUALAN!$C$4:$C$4288,'CEK CICI'!A42)</f>
        <v>0</v>
      </c>
      <c r="J42" s="16">
        <f t="shared" si="2"/>
        <v>0</v>
      </c>
      <c r="K42" s="4"/>
      <c r="L42" s="4"/>
      <c r="M42" s="4"/>
      <c r="N42" s="4"/>
    </row>
    <row r="43" ht="13.5" hidden="1" customHeight="1">
      <c r="A43" s="4" t="str">
        <f t="shared" si="1"/>
        <v>RDL-E36FY</v>
      </c>
      <c r="B43" s="29" t="s">
        <v>131</v>
      </c>
      <c r="C43" s="28" t="s">
        <v>124</v>
      </c>
      <c r="D43" s="28" t="s">
        <v>132</v>
      </c>
      <c r="E43" s="4" t="s">
        <v>111</v>
      </c>
      <c r="F43" s="28"/>
      <c r="G43" s="4"/>
      <c r="H43" s="4">
        <f>SUMIFS(X!$F$5:$F$2005,X!$D$5:$D$2005,'CEK CICI'!A43)</f>
        <v>0</v>
      </c>
      <c r="I43" s="4">
        <f>SUMIFS(PENJUALAN!$E$4:$E$4288,PENJUALAN!$C$4:$C$4288,'CEK CICI'!A43)</f>
        <v>0</v>
      </c>
      <c r="J43" s="16">
        <f t="shared" si="2"/>
        <v>0</v>
      </c>
      <c r="K43" s="4"/>
      <c r="L43" s="4"/>
      <c r="M43" s="4"/>
      <c r="N43" s="4"/>
    </row>
    <row r="44" ht="13.5" hidden="1" customHeight="1">
      <c r="A44" s="4" t="str">
        <f t="shared" si="1"/>
        <v>RDR-E36FY</v>
      </c>
      <c r="B44" s="29" t="s">
        <v>133</v>
      </c>
      <c r="C44" s="28" t="s">
        <v>124</v>
      </c>
      <c r="D44" s="28" t="s">
        <v>134</v>
      </c>
      <c r="E44" s="4" t="s">
        <v>111</v>
      </c>
      <c r="F44" s="28"/>
      <c r="G44" s="4"/>
      <c r="H44" s="4">
        <f>SUMIFS(X!$F$5:$F$2005,X!$D$5:$D$2005,'CEK CICI'!A44)</f>
        <v>0</v>
      </c>
      <c r="I44" s="4">
        <f>SUMIFS(PENJUALAN!$E$4:$E$4288,PENJUALAN!$C$4:$C$4288,'CEK CICI'!A44)</f>
        <v>0</v>
      </c>
      <c r="J44" s="16">
        <f t="shared" si="2"/>
        <v>0</v>
      </c>
      <c r="K44" s="4"/>
      <c r="L44" s="4"/>
      <c r="M44" s="4"/>
      <c r="N44" s="4"/>
    </row>
    <row r="45" ht="13.5" hidden="1" customHeight="1">
      <c r="A45" s="4" t="str">
        <f t="shared" si="1"/>
        <v>LFW-E46RSFY</v>
      </c>
      <c r="B45" s="29" t="s">
        <v>135</v>
      </c>
      <c r="C45" s="28" t="s">
        <v>136</v>
      </c>
      <c r="D45" s="28" t="s">
        <v>22</v>
      </c>
      <c r="E45" s="4" t="s">
        <v>111</v>
      </c>
      <c r="F45" s="28" t="s">
        <v>75</v>
      </c>
      <c r="G45" s="4"/>
      <c r="H45" s="4">
        <f>SUMIFS(X!$F$5:$F$2005,X!$D$5:$D$2005,'CEK CICI'!A45)</f>
        <v>0</v>
      </c>
      <c r="I45" s="4">
        <f>SUMIFS(PENJUALAN!$E$4:$E$4288,PENJUALAN!$C$4:$C$4288,'CEK CICI'!A45)</f>
        <v>0</v>
      </c>
      <c r="J45" s="16">
        <f t="shared" si="2"/>
        <v>0</v>
      </c>
      <c r="K45" s="4"/>
      <c r="L45" s="4"/>
      <c r="M45" s="4"/>
      <c r="N45" s="4"/>
    </row>
    <row r="46" ht="13.5" hidden="1" customHeight="1">
      <c r="A46" s="4" t="str">
        <f t="shared" si="1"/>
        <v>LFW-E46FY</v>
      </c>
      <c r="B46" s="29" t="s">
        <v>137</v>
      </c>
      <c r="C46" s="28" t="s">
        <v>136</v>
      </c>
      <c r="D46" s="28" t="s">
        <v>22</v>
      </c>
      <c r="E46" s="4" t="s">
        <v>111</v>
      </c>
      <c r="F46" s="28" t="s">
        <v>125</v>
      </c>
      <c r="G46" s="4"/>
      <c r="H46" s="4">
        <f>SUMIFS(X!$F$5:$F$2005,X!$D$5:$D$2005,'CEK CICI'!A46)</f>
        <v>0</v>
      </c>
      <c r="I46" s="4">
        <f>SUMIFS(PENJUALAN!$E$4:$E$4288,PENJUALAN!$C$4:$C$4288,'CEK CICI'!A46)</f>
        <v>0</v>
      </c>
      <c r="J46" s="16">
        <f t="shared" si="2"/>
        <v>0</v>
      </c>
      <c r="K46" s="4"/>
      <c r="L46" s="4"/>
      <c r="M46" s="4"/>
      <c r="N46" s="4"/>
    </row>
    <row r="47" ht="13.5" hidden="1" customHeight="1">
      <c r="A47" s="4" t="str">
        <f t="shared" si="1"/>
        <v>TRW-E46FY</v>
      </c>
      <c r="B47" s="29" t="s">
        <v>138</v>
      </c>
      <c r="C47" s="28" t="s">
        <v>136</v>
      </c>
      <c r="D47" s="28" t="s">
        <v>41</v>
      </c>
      <c r="E47" s="4" t="s">
        <v>111</v>
      </c>
      <c r="F47" s="28" t="s">
        <v>67</v>
      </c>
      <c r="G47" s="4"/>
      <c r="H47" s="4">
        <f>SUMIFS(X!$F$5:$F$2005,X!$D$5:$D$2005,'CEK CICI'!A47)</f>
        <v>2</v>
      </c>
      <c r="I47" s="4">
        <f>SUMIFS(PENJUALAN!$E$4:$E$4288,PENJUALAN!$C$4:$C$4288,'CEK CICI'!A47)</f>
        <v>0</v>
      </c>
      <c r="J47" s="16">
        <f t="shared" si="2"/>
        <v>2</v>
      </c>
      <c r="K47" s="15" t="s">
        <v>139</v>
      </c>
      <c r="L47" s="15"/>
      <c r="M47" s="4"/>
      <c r="N47" s="4"/>
    </row>
    <row r="48" ht="13.5" hidden="1" customHeight="1">
      <c r="A48" s="4" t="str">
        <f t="shared" si="1"/>
        <v>FDL-E46FY</v>
      </c>
      <c r="B48" s="29" t="s">
        <v>140</v>
      </c>
      <c r="C48" s="28" t="s">
        <v>136</v>
      </c>
      <c r="D48" s="28" t="s">
        <v>128</v>
      </c>
      <c r="E48" s="4" t="s">
        <v>111</v>
      </c>
      <c r="F48" s="28" t="s">
        <v>141</v>
      </c>
      <c r="G48" s="4"/>
      <c r="H48" s="4">
        <f>SUMIFS(X!$F$5:$F$2005,X!$D$5:$D$2005,'CEK CICI'!A48)</f>
        <v>0</v>
      </c>
      <c r="I48" s="4">
        <f>SUMIFS(PENJUALAN!$E$4:$E$4288,PENJUALAN!$C$4:$C$4288,'CEK CICI'!A48)</f>
        <v>0</v>
      </c>
      <c r="J48" s="16">
        <f t="shared" si="2"/>
        <v>0</v>
      </c>
      <c r="K48" s="4"/>
      <c r="L48" s="4"/>
      <c r="M48" s="4"/>
      <c r="N48" s="4"/>
    </row>
    <row r="49" ht="13.5" hidden="1" customHeight="1">
      <c r="A49" s="4" t="str">
        <f t="shared" si="1"/>
        <v>FDR-E46FY</v>
      </c>
      <c r="B49" s="29" t="s">
        <v>142</v>
      </c>
      <c r="C49" s="28" t="s">
        <v>136</v>
      </c>
      <c r="D49" s="28" t="s">
        <v>130</v>
      </c>
      <c r="E49" s="4" t="s">
        <v>111</v>
      </c>
      <c r="F49" s="28" t="s">
        <v>141</v>
      </c>
      <c r="G49" s="4"/>
      <c r="H49" s="4">
        <f>SUMIFS(X!$F$5:$F$2005,X!$D$5:$D$2005,'CEK CICI'!A49)</f>
        <v>0</v>
      </c>
      <c r="I49" s="4">
        <f>SUMIFS(PENJUALAN!$E$4:$E$4288,PENJUALAN!$C$4:$C$4288,'CEK CICI'!A49)</f>
        <v>0</v>
      </c>
      <c r="J49" s="16">
        <f t="shared" si="2"/>
        <v>0</v>
      </c>
      <c r="K49" s="4"/>
      <c r="L49" s="4"/>
      <c r="M49" s="4"/>
      <c r="N49" s="4"/>
    </row>
    <row r="50" ht="13.5" hidden="1" customHeight="1">
      <c r="A50" s="4" t="str">
        <f t="shared" si="1"/>
        <v>RDL-E46FY</v>
      </c>
      <c r="B50" s="29" t="s">
        <v>143</v>
      </c>
      <c r="C50" s="28" t="s">
        <v>136</v>
      </c>
      <c r="D50" s="28" t="s">
        <v>132</v>
      </c>
      <c r="E50" s="4" t="s">
        <v>111</v>
      </c>
      <c r="F50" s="28" t="s">
        <v>144</v>
      </c>
      <c r="G50" s="4"/>
      <c r="H50" s="4">
        <f>SUMIFS(X!$F$5:$F$2005,X!$D$5:$D$2005,'CEK CICI'!A50)</f>
        <v>0</v>
      </c>
      <c r="I50" s="4">
        <f>SUMIFS(PENJUALAN!$E$4:$E$4288,PENJUALAN!$C$4:$C$4288,'CEK CICI'!A50)</f>
        <v>0</v>
      </c>
      <c r="J50" s="16">
        <f t="shared" si="2"/>
        <v>0</v>
      </c>
      <c r="K50" s="4"/>
      <c r="L50" s="4"/>
      <c r="M50" s="4"/>
      <c r="N50" s="4"/>
    </row>
    <row r="51" ht="13.5" hidden="1" customHeight="1">
      <c r="A51" s="4" t="str">
        <f t="shared" si="1"/>
        <v>RDR-E46FY</v>
      </c>
      <c r="B51" s="29" t="s">
        <v>145</v>
      </c>
      <c r="C51" s="28" t="s">
        <v>136</v>
      </c>
      <c r="D51" s="28" t="s">
        <v>134</v>
      </c>
      <c r="E51" s="4" t="s">
        <v>111</v>
      </c>
      <c r="F51" s="28" t="s">
        <v>144</v>
      </c>
      <c r="G51" s="4"/>
      <c r="H51" s="4">
        <f>SUMIFS(X!$F$5:$F$2005,X!$D$5:$D$2005,'CEK CICI'!A51)</f>
        <v>0</v>
      </c>
      <c r="I51" s="4">
        <f>SUMIFS(PENJUALAN!$E$4:$E$4288,PENJUALAN!$C$4:$C$4288,'CEK CICI'!A51)</f>
        <v>0</v>
      </c>
      <c r="J51" s="16">
        <f t="shared" si="2"/>
        <v>0</v>
      </c>
      <c r="K51" s="4"/>
      <c r="L51" s="4"/>
      <c r="M51" s="4"/>
      <c r="N51" s="4"/>
    </row>
    <row r="52" ht="13.5" hidden="1" customHeight="1">
      <c r="A52" s="4" t="str">
        <f t="shared" si="1"/>
        <v>LFW-E46RS2DOORFY</v>
      </c>
      <c r="B52" s="29" t="s">
        <v>146</v>
      </c>
      <c r="C52" s="28" t="s">
        <v>147</v>
      </c>
      <c r="D52" s="28" t="s">
        <v>22</v>
      </c>
      <c r="E52" s="4" t="s">
        <v>111</v>
      </c>
      <c r="F52" s="28" t="s">
        <v>125</v>
      </c>
      <c r="G52" s="4"/>
      <c r="H52" s="4">
        <f>SUMIFS(X!$F$5:$F$2005,X!$D$5:$D$2005,'CEK CICI'!A52)</f>
        <v>0</v>
      </c>
      <c r="I52" s="4">
        <f>SUMIFS(PENJUALAN!$E$4:$E$4288,PENJUALAN!$C$4:$C$4288,'CEK CICI'!A52)</f>
        <v>0</v>
      </c>
      <c r="J52" s="16">
        <f t="shared" si="2"/>
        <v>0</v>
      </c>
      <c r="K52" s="4"/>
      <c r="L52" s="4"/>
      <c r="M52" s="4"/>
      <c r="N52" s="4"/>
    </row>
    <row r="53" ht="13.5" hidden="1" customHeight="1">
      <c r="A53" s="4" t="str">
        <f t="shared" si="1"/>
        <v>LFW-E90RSFY</v>
      </c>
      <c r="B53" s="29" t="s">
        <v>148</v>
      </c>
      <c r="C53" s="28" t="s">
        <v>149</v>
      </c>
      <c r="D53" s="28" t="s">
        <v>22</v>
      </c>
      <c r="E53" s="4" t="s">
        <v>111</v>
      </c>
      <c r="F53" s="28" t="s">
        <v>75</v>
      </c>
      <c r="G53" s="4"/>
      <c r="H53" s="4">
        <f>SUMIFS(X!$F$5:$F$2005,X!$D$5:$D$2005,'CEK CICI'!A53)</f>
        <v>0</v>
      </c>
      <c r="I53" s="4">
        <f>SUMIFS(PENJUALAN!$E$4:$E$4288,PENJUALAN!$C$4:$C$4288,'CEK CICI'!A53)</f>
        <v>0</v>
      </c>
      <c r="J53" s="16">
        <f t="shared" si="2"/>
        <v>0</v>
      </c>
      <c r="K53" s="4"/>
      <c r="L53" s="4"/>
      <c r="M53" s="4"/>
      <c r="N53" s="4"/>
    </row>
    <row r="54" ht="13.5" hidden="1" customHeight="1">
      <c r="A54" s="4" t="str">
        <f t="shared" si="1"/>
        <v>LFW-E90FY</v>
      </c>
      <c r="B54" s="29" t="s">
        <v>150</v>
      </c>
      <c r="C54" s="28" t="s">
        <v>149</v>
      </c>
      <c r="D54" s="28" t="s">
        <v>22</v>
      </c>
      <c r="E54" s="4" t="s">
        <v>111</v>
      </c>
      <c r="F54" s="28" t="s">
        <v>125</v>
      </c>
      <c r="G54" s="4"/>
      <c r="H54" s="4">
        <f>SUMIFS(X!$F$5:$F$2005,X!$D$5:$D$2005,'CEK CICI'!A54)</f>
        <v>0</v>
      </c>
      <c r="I54" s="4">
        <f>SUMIFS(PENJUALAN!$E$4:$E$4288,PENJUALAN!$C$4:$C$4288,'CEK CICI'!A54)</f>
        <v>0</v>
      </c>
      <c r="J54" s="16">
        <f t="shared" si="2"/>
        <v>0</v>
      </c>
      <c r="K54" s="4"/>
      <c r="L54" s="4"/>
      <c r="M54" s="4"/>
      <c r="N54" s="4"/>
    </row>
    <row r="55" ht="13.5" hidden="1" customHeight="1">
      <c r="A55" s="4" t="str">
        <f t="shared" si="1"/>
        <v>TRW-E90FY</v>
      </c>
      <c r="B55" s="29" t="s">
        <v>151</v>
      </c>
      <c r="C55" s="28" t="s">
        <v>149</v>
      </c>
      <c r="D55" s="28" t="s">
        <v>41</v>
      </c>
      <c r="E55" s="4" t="s">
        <v>111</v>
      </c>
      <c r="F55" s="28" t="s">
        <v>67</v>
      </c>
      <c r="G55" s="4"/>
      <c r="H55" s="4">
        <f>SUMIFS(X!$F$5:$F$2005,X!$D$5:$D$2005,'CEK CICI'!A55)</f>
        <v>0</v>
      </c>
      <c r="I55" s="4">
        <f>SUMIFS(PENJUALAN!$E$4:$E$4288,PENJUALAN!$C$4:$C$4288,'CEK CICI'!A55)</f>
        <v>0</v>
      </c>
      <c r="J55" s="16">
        <f t="shared" si="2"/>
        <v>0</v>
      </c>
      <c r="K55" s="4"/>
      <c r="L55" s="4"/>
      <c r="M55" s="4"/>
      <c r="N55" s="4"/>
    </row>
    <row r="56" ht="13.5" hidden="1" customHeight="1">
      <c r="A56" s="4" t="str">
        <f t="shared" si="1"/>
        <v>FDL-E90FY</v>
      </c>
      <c r="B56" s="29" t="s">
        <v>152</v>
      </c>
      <c r="C56" s="28" t="s">
        <v>149</v>
      </c>
      <c r="D56" s="28" t="s">
        <v>128</v>
      </c>
      <c r="E56" s="4" t="s">
        <v>111</v>
      </c>
      <c r="F56" s="28" t="s">
        <v>141</v>
      </c>
      <c r="G56" s="4"/>
      <c r="H56" s="4">
        <f>SUMIFS(X!$F$5:$F$2005,X!$D$5:$D$2005,'CEK CICI'!A56)</f>
        <v>0</v>
      </c>
      <c r="I56" s="4">
        <f>SUMIFS(PENJUALAN!$E$4:$E$4288,PENJUALAN!$C$4:$C$4288,'CEK CICI'!A56)</f>
        <v>0</v>
      </c>
      <c r="J56" s="16">
        <f t="shared" si="2"/>
        <v>0</v>
      </c>
      <c r="K56" s="4"/>
      <c r="L56" s="4"/>
      <c r="M56" s="4"/>
      <c r="N56" s="4"/>
    </row>
    <row r="57" ht="13.5" hidden="1" customHeight="1">
      <c r="A57" s="4" t="str">
        <f t="shared" si="1"/>
        <v>FDR-E90FY</v>
      </c>
      <c r="B57" s="29" t="s">
        <v>153</v>
      </c>
      <c r="C57" s="28" t="s">
        <v>149</v>
      </c>
      <c r="D57" s="28" t="s">
        <v>130</v>
      </c>
      <c r="E57" s="4" t="s">
        <v>111</v>
      </c>
      <c r="F57" s="28" t="s">
        <v>141</v>
      </c>
      <c r="G57" s="4"/>
      <c r="H57" s="4">
        <f>SUMIFS(X!$F$5:$F$2005,X!$D$5:$D$2005,'CEK CICI'!A57)</f>
        <v>0</v>
      </c>
      <c r="I57" s="4">
        <f>SUMIFS(PENJUALAN!$E$4:$E$4288,PENJUALAN!$C$4:$C$4288,'CEK CICI'!A57)</f>
        <v>0</v>
      </c>
      <c r="J57" s="16">
        <f t="shared" si="2"/>
        <v>0</v>
      </c>
      <c r="K57" s="4"/>
      <c r="L57" s="4"/>
      <c r="M57" s="4"/>
      <c r="N57" s="4"/>
    </row>
    <row r="58" ht="13.5" hidden="1" customHeight="1">
      <c r="A58" s="4" t="str">
        <f t="shared" si="1"/>
        <v>RDL-E90FY</v>
      </c>
      <c r="B58" s="29" t="s">
        <v>154</v>
      </c>
      <c r="C58" s="28" t="s">
        <v>149</v>
      </c>
      <c r="D58" s="28" t="s">
        <v>132</v>
      </c>
      <c r="E58" s="4" t="s">
        <v>111</v>
      </c>
      <c r="F58" s="28" t="s">
        <v>144</v>
      </c>
      <c r="G58" s="4"/>
      <c r="H58" s="4">
        <f>SUMIFS(X!$F$5:$F$2005,X!$D$5:$D$2005,'CEK CICI'!A58)</f>
        <v>0</v>
      </c>
      <c r="I58" s="4">
        <f>SUMIFS(PENJUALAN!$E$4:$E$4288,PENJUALAN!$C$4:$C$4288,'CEK CICI'!A58)</f>
        <v>0</v>
      </c>
      <c r="J58" s="16">
        <f t="shared" si="2"/>
        <v>0</v>
      </c>
      <c r="K58" s="4"/>
      <c r="L58" s="4"/>
      <c r="M58" s="4"/>
      <c r="N58" s="4"/>
    </row>
    <row r="59" ht="13.5" hidden="1" customHeight="1">
      <c r="A59" s="4" t="str">
        <f t="shared" si="1"/>
        <v>RDR-E90FY</v>
      </c>
      <c r="B59" s="29" t="s">
        <v>155</v>
      </c>
      <c r="C59" s="28" t="s">
        <v>149</v>
      </c>
      <c r="D59" s="28" t="s">
        <v>134</v>
      </c>
      <c r="E59" s="4" t="s">
        <v>111</v>
      </c>
      <c r="F59" s="28" t="s">
        <v>144</v>
      </c>
      <c r="G59" s="4"/>
      <c r="H59" s="4">
        <f>SUMIFS(X!$F$5:$F$2005,X!$D$5:$D$2005,'CEK CICI'!A59)</f>
        <v>0</v>
      </c>
      <c r="I59" s="4">
        <f>SUMIFS(PENJUALAN!$E$4:$E$4288,PENJUALAN!$C$4:$C$4288,'CEK CICI'!A59)</f>
        <v>0</v>
      </c>
      <c r="J59" s="16">
        <f t="shared" si="2"/>
        <v>0</v>
      </c>
      <c r="K59" s="4"/>
      <c r="L59" s="4"/>
      <c r="M59" s="4"/>
      <c r="N59" s="4"/>
    </row>
    <row r="60" ht="13.5" hidden="1" customHeight="1">
      <c r="A60" s="4" t="str">
        <f t="shared" si="1"/>
        <v>LFW-F30FY</v>
      </c>
      <c r="B60" s="29" t="s">
        <v>156</v>
      </c>
      <c r="C60" s="28" t="s">
        <v>157</v>
      </c>
      <c r="D60" s="28" t="s">
        <v>22</v>
      </c>
      <c r="E60" s="4" t="s">
        <v>111</v>
      </c>
      <c r="F60" s="28" t="s">
        <v>112</v>
      </c>
      <c r="G60" s="4"/>
      <c r="H60" s="4">
        <f>SUMIFS(X!$F$5:$F$2005,X!$D$5:$D$2005,'CEK CICI'!A60)</f>
        <v>1</v>
      </c>
      <c r="I60" s="4">
        <f>SUMIFS(PENJUALAN!$E$4:$E$4288,PENJUALAN!$C$4:$C$4288,'CEK CICI'!A60)</f>
        <v>0</v>
      </c>
      <c r="J60" s="16">
        <f t="shared" si="2"/>
        <v>1</v>
      </c>
      <c r="K60" s="4"/>
      <c r="L60" s="4"/>
      <c r="M60" s="4"/>
      <c r="N60" s="4"/>
    </row>
    <row r="61" ht="13.5" hidden="1" customHeight="1">
      <c r="A61" s="4" t="str">
        <f t="shared" si="1"/>
        <v>TRW-F30FY</v>
      </c>
      <c r="B61" s="29" t="s">
        <v>2422</v>
      </c>
      <c r="C61" s="28" t="s">
        <v>157</v>
      </c>
      <c r="D61" s="28" t="s">
        <v>41</v>
      </c>
      <c r="E61" s="4" t="s">
        <v>111</v>
      </c>
      <c r="F61" s="28" t="s">
        <v>67</v>
      </c>
      <c r="G61" s="4"/>
      <c r="H61" s="4">
        <f>SUMIFS(X!$F$5:$F$2005,X!$D$5:$D$2005,'CEK CICI'!A61)</f>
        <v>2</v>
      </c>
      <c r="I61" s="4">
        <f>SUMIFS(PENJUALAN!$E$4:$E$4288,PENJUALAN!$C$4:$C$4288,'CEK CICI'!A61)</f>
        <v>2</v>
      </c>
      <c r="J61" s="16">
        <f t="shared" si="2"/>
        <v>0</v>
      </c>
      <c r="K61" s="15" t="s">
        <v>1378</v>
      </c>
      <c r="L61" s="4"/>
      <c r="M61" s="4"/>
      <c r="N61" s="4"/>
    </row>
    <row r="62" ht="13.5" hidden="1" customHeight="1">
      <c r="A62" s="4" t="str">
        <f t="shared" si="1"/>
        <v>FDL-F30FY</v>
      </c>
      <c r="B62" s="29" t="s">
        <v>162</v>
      </c>
      <c r="C62" s="28" t="s">
        <v>157</v>
      </c>
      <c r="D62" s="28" t="s">
        <v>128</v>
      </c>
      <c r="E62" s="4" t="s">
        <v>111</v>
      </c>
      <c r="F62" s="28" t="s">
        <v>141</v>
      </c>
      <c r="G62" s="4"/>
      <c r="H62" s="4">
        <f>SUMIFS(X!$F$5:$F$2005,X!$D$5:$D$2005,'CEK CICI'!A62)</f>
        <v>0</v>
      </c>
      <c r="I62" s="4">
        <f>SUMIFS(PENJUALAN!$E$4:$E$4288,PENJUALAN!$C$4:$C$4288,'CEK CICI'!A62)</f>
        <v>0</v>
      </c>
      <c r="J62" s="16">
        <f t="shared" si="2"/>
        <v>0</v>
      </c>
      <c r="K62" s="4"/>
      <c r="L62" s="4"/>
      <c r="M62" s="4"/>
      <c r="N62" s="4"/>
    </row>
    <row r="63" ht="13.5" hidden="1" customHeight="1">
      <c r="A63" s="4" t="str">
        <f t="shared" si="1"/>
        <v>FDR-F30FY</v>
      </c>
      <c r="B63" s="29" t="s">
        <v>163</v>
      </c>
      <c r="C63" s="28" t="s">
        <v>157</v>
      </c>
      <c r="D63" s="28" t="s">
        <v>130</v>
      </c>
      <c r="E63" s="4" t="s">
        <v>111</v>
      </c>
      <c r="F63" s="28" t="s">
        <v>141</v>
      </c>
      <c r="G63" s="4"/>
      <c r="H63" s="4">
        <f>SUMIFS(X!$F$5:$F$2005,X!$D$5:$D$2005,'CEK CICI'!A63)</f>
        <v>0</v>
      </c>
      <c r="I63" s="4">
        <f>SUMIFS(PENJUALAN!$E$4:$E$4288,PENJUALAN!$C$4:$C$4288,'CEK CICI'!A63)</f>
        <v>0</v>
      </c>
      <c r="J63" s="16">
        <f t="shared" si="2"/>
        <v>0</v>
      </c>
      <c r="K63" s="4"/>
      <c r="L63" s="4"/>
      <c r="M63" s="4"/>
      <c r="N63" s="4"/>
    </row>
    <row r="64" ht="13.5" hidden="1" customHeight="1">
      <c r="A64" s="4" t="str">
        <f t="shared" si="1"/>
        <v>RDL-F30FY</v>
      </c>
      <c r="B64" s="29" t="s">
        <v>164</v>
      </c>
      <c r="C64" s="28" t="s">
        <v>157</v>
      </c>
      <c r="D64" s="28" t="s">
        <v>132</v>
      </c>
      <c r="E64" s="4" t="s">
        <v>111</v>
      </c>
      <c r="F64" s="28" t="s">
        <v>144</v>
      </c>
      <c r="G64" s="4"/>
      <c r="H64" s="4">
        <f>SUMIFS(X!$F$5:$F$2005,X!$D$5:$D$2005,'CEK CICI'!A64)</f>
        <v>0</v>
      </c>
      <c r="I64" s="4">
        <f>SUMIFS(PENJUALAN!$E$4:$E$4288,PENJUALAN!$C$4:$C$4288,'CEK CICI'!A64)</f>
        <v>0</v>
      </c>
      <c r="J64" s="16">
        <f t="shared" si="2"/>
        <v>0</v>
      </c>
      <c r="K64" s="4"/>
      <c r="L64" s="4"/>
      <c r="M64" s="4"/>
      <c r="N64" s="4"/>
    </row>
    <row r="65" ht="13.5" hidden="1" customHeight="1">
      <c r="A65" s="4" t="str">
        <f t="shared" si="1"/>
        <v>RDR-F30FY</v>
      </c>
      <c r="B65" s="29" t="s">
        <v>165</v>
      </c>
      <c r="C65" s="28" t="s">
        <v>157</v>
      </c>
      <c r="D65" s="28" t="s">
        <v>134</v>
      </c>
      <c r="E65" s="4" t="s">
        <v>111</v>
      </c>
      <c r="F65" s="28" t="s">
        <v>144</v>
      </c>
      <c r="G65" s="4"/>
      <c r="H65" s="4">
        <f>SUMIFS(X!$F$5:$F$2005,X!$D$5:$D$2005,'CEK CICI'!A65)</f>
        <v>0</v>
      </c>
      <c r="I65" s="4">
        <f>SUMIFS(PENJUALAN!$E$4:$E$4288,PENJUALAN!$C$4:$C$4288,'CEK CICI'!A65)</f>
        <v>0</v>
      </c>
      <c r="J65" s="16">
        <f t="shared" si="2"/>
        <v>0</v>
      </c>
      <c r="K65" s="4"/>
      <c r="L65" s="4"/>
      <c r="M65" s="4"/>
      <c r="N65" s="4"/>
    </row>
    <row r="66" ht="13.5" hidden="1" customHeight="1">
      <c r="A66" s="4" t="str">
        <f t="shared" si="1"/>
        <v>LFW-E60RSKFY</v>
      </c>
      <c r="B66" s="29" t="s">
        <v>166</v>
      </c>
      <c r="C66" s="28" t="s">
        <v>167</v>
      </c>
      <c r="D66" s="28" t="s">
        <v>22</v>
      </c>
      <c r="E66" s="4" t="s">
        <v>111</v>
      </c>
      <c r="F66" s="28" t="s">
        <v>75</v>
      </c>
      <c r="G66" s="4"/>
      <c r="H66" s="4">
        <f>SUMIFS(X!$F$5:$F$2005,X!$D$5:$D$2005,'CEK CICI'!A66)</f>
        <v>0</v>
      </c>
      <c r="I66" s="4">
        <f>SUMIFS(PENJUALAN!$E$4:$E$4288,PENJUALAN!$C$4:$C$4288,'CEK CICI'!A66)</f>
        <v>0</v>
      </c>
      <c r="J66" s="16">
        <f t="shared" si="2"/>
        <v>0</v>
      </c>
      <c r="K66" s="4"/>
      <c r="L66" s="4"/>
      <c r="M66" s="4"/>
      <c r="N66" s="4"/>
    </row>
    <row r="67" ht="13.5" hidden="1" customHeight="1">
      <c r="A67" s="4" t="str">
        <f t="shared" si="1"/>
        <v>LFW-E60RSOFY</v>
      </c>
      <c r="B67" s="29" t="s">
        <v>168</v>
      </c>
      <c r="C67" s="28" t="s">
        <v>169</v>
      </c>
      <c r="D67" s="28" t="s">
        <v>22</v>
      </c>
      <c r="E67" s="4" t="s">
        <v>111</v>
      </c>
      <c r="F67" s="28" t="s">
        <v>75</v>
      </c>
      <c r="G67" s="4"/>
      <c r="H67" s="4">
        <f>SUMIFS(X!$F$5:$F$2005,X!$D$5:$D$2005,'CEK CICI'!A67)</f>
        <v>0</v>
      </c>
      <c r="I67" s="4">
        <f>SUMIFS(PENJUALAN!$E$4:$E$4288,PENJUALAN!$C$4:$C$4288,'CEK CICI'!A67)</f>
        <v>0</v>
      </c>
      <c r="J67" s="16">
        <f t="shared" si="2"/>
        <v>0</v>
      </c>
      <c r="K67" s="4"/>
      <c r="L67" s="4"/>
      <c r="M67" s="4"/>
      <c r="N67" s="4"/>
    </row>
    <row r="68" ht="13.5" hidden="1" customHeight="1">
      <c r="A68" s="4" t="str">
        <f t="shared" si="1"/>
        <v>TRW-E60FY</v>
      </c>
      <c r="B68" s="29" t="s">
        <v>170</v>
      </c>
      <c r="C68" s="28" t="s">
        <v>171</v>
      </c>
      <c r="D68" s="28" t="s">
        <v>41</v>
      </c>
      <c r="E68" s="4" t="s">
        <v>111</v>
      </c>
      <c r="F68" s="28" t="s">
        <v>67</v>
      </c>
      <c r="G68" s="4"/>
      <c r="H68" s="4">
        <f>SUMIFS(X!$F$5:$F$2005,X!$D$5:$D$2005,'CEK CICI'!A68)</f>
        <v>0</v>
      </c>
      <c r="I68" s="4">
        <f>SUMIFS(PENJUALAN!$E$4:$E$4288,PENJUALAN!$C$4:$C$4288,'CEK CICI'!A68)</f>
        <v>0</v>
      </c>
      <c r="J68" s="16">
        <f t="shared" si="2"/>
        <v>0</v>
      </c>
      <c r="K68" s="4"/>
      <c r="L68" s="4"/>
      <c r="M68" s="4"/>
      <c r="N68" s="4"/>
    </row>
    <row r="69" ht="13.5" hidden="1" customHeight="1">
      <c r="A69" s="4" t="str">
        <f t="shared" si="1"/>
        <v>FDL-E60FY</v>
      </c>
      <c r="B69" s="29" t="s">
        <v>172</v>
      </c>
      <c r="C69" s="28" t="s">
        <v>171</v>
      </c>
      <c r="D69" s="28" t="s">
        <v>128</v>
      </c>
      <c r="E69" s="4" t="s">
        <v>111</v>
      </c>
      <c r="F69" s="28"/>
      <c r="G69" s="4"/>
      <c r="H69" s="4">
        <f>SUMIFS(X!$F$5:$F$2005,X!$D$5:$D$2005,'CEK CICI'!A69)</f>
        <v>0</v>
      </c>
      <c r="I69" s="4">
        <f>SUMIFS(PENJUALAN!$E$4:$E$4288,PENJUALAN!$C$4:$C$4288,'CEK CICI'!A69)</f>
        <v>0</v>
      </c>
      <c r="J69" s="16">
        <f t="shared" si="2"/>
        <v>0</v>
      </c>
      <c r="K69" s="4"/>
      <c r="L69" s="4"/>
      <c r="M69" s="4"/>
      <c r="N69" s="4"/>
    </row>
    <row r="70" ht="13.5" hidden="1" customHeight="1">
      <c r="A70" s="4" t="str">
        <f t="shared" si="1"/>
        <v>FDR-E60FY</v>
      </c>
      <c r="B70" s="29" t="s">
        <v>173</v>
      </c>
      <c r="C70" s="28" t="s">
        <v>171</v>
      </c>
      <c r="D70" s="28" t="s">
        <v>130</v>
      </c>
      <c r="E70" s="4" t="s">
        <v>111</v>
      </c>
      <c r="F70" s="28"/>
      <c r="G70" s="4"/>
      <c r="H70" s="4">
        <f>SUMIFS(X!$F$5:$F$2005,X!$D$5:$D$2005,'CEK CICI'!A70)</f>
        <v>0</v>
      </c>
      <c r="I70" s="4">
        <f>SUMIFS(PENJUALAN!$E$4:$E$4288,PENJUALAN!$C$4:$C$4288,'CEK CICI'!A70)</f>
        <v>0</v>
      </c>
      <c r="J70" s="16">
        <f t="shared" si="2"/>
        <v>0</v>
      </c>
      <c r="K70" s="4"/>
      <c r="L70" s="4"/>
      <c r="M70" s="4"/>
      <c r="N70" s="4"/>
    </row>
    <row r="71" ht="13.5" hidden="1" customHeight="1">
      <c r="A71" s="4" t="str">
        <f t="shared" si="1"/>
        <v>RDL-E60FY</v>
      </c>
      <c r="B71" s="29" t="s">
        <v>174</v>
      </c>
      <c r="C71" s="28" t="s">
        <v>171</v>
      </c>
      <c r="D71" s="28" t="s">
        <v>132</v>
      </c>
      <c r="E71" s="4" t="s">
        <v>111</v>
      </c>
      <c r="F71" s="28" t="s">
        <v>144</v>
      </c>
      <c r="G71" s="4"/>
      <c r="H71" s="4">
        <f>SUMIFS(X!$F$5:$F$2005,X!$D$5:$D$2005,'CEK CICI'!A71)</f>
        <v>0</v>
      </c>
      <c r="I71" s="4">
        <f>SUMIFS(PENJUALAN!$E$4:$E$4288,PENJUALAN!$C$4:$C$4288,'CEK CICI'!A71)</f>
        <v>0</v>
      </c>
      <c r="J71" s="16">
        <f t="shared" si="2"/>
        <v>0</v>
      </c>
      <c r="K71" s="4"/>
      <c r="L71" s="4"/>
      <c r="M71" s="4"/>
      <c r="N71" s="4"/>
    </row>
    <row r="72" ht="13.5" hidden="1" customHeight="1">
      <c r="A72" s="4" t="str">
        <f t="shared" si="1"/>
        <v>RDR-E60FY</v>
      </c>
      <c r="B72" s="29" t="s">
        <v>175</v>
      </c>
      <c r="C72" s="28" t="s">
        <v>171</v>
      </c>
      <c r="D72" s="28" t="s">
        <v>134</v>
      </c>
      <c r="E72" s="4" t="s">
        <v>111</v>
      </c>
      <c r="F72" s="28" t="s">
        <v>144</v>
      </c>
      <c r="G72" s="4"/>
      <c r="H72" s="4">
        <f>SUMIFS(X!$F$5:$F$2005,X!$D$5:$D$2005,'CEK CICI'!A72)</f>
        <v>0</v>
      </c>
      <c r="I72" s="4">
        <f>SUMIFS(PENJUALAN!$E$4:$E$4288,PENJUALAN!$C$4:$C$4288,'CEK CICI'!A72)</f>
        <v>0</v>
      </c>
      <c r="J72" s="16">
        <f t="shared" si="2"/>
        <v>0</v>
      </c>
      <c r="K72" s="4"/>
      <c r="L72" s="4"/>
      <c r="M72" s="4"/>
      <c r="N72" s="4"/>
    </row>
    <row r="73" ht="13.5" hidden="1" customHeight="1">
      <c r="A73" s="4" t="str">
        <f t="shared" si="1"/>
        <v>LFW-F10FY</v>
      </c>
      <c r="B73" s="29" t="s">
        <v>176</v>
      </c>
      <c r="C73" s="28" t="s">
        <v>177</v>
      </c>
      <c r="D73" s="28" t="s">
        <v>22</v>
      </c>
      <c r="E73" s="4" t="s">
        <v>111</v>
      </c>
      <c r="F73" s="28" t="s">
        <v>75</v>
      </c>
      <c r="G73" s="4"/>
      <c r="H73" s="4">
        <f>SUMIFS(X!$F$5:$F$2005,X!$D$5:$D$2005,'CEK CICI'!A73)</f>
        <v>0</v>
      </c>
      <c r="I73" s="4">
        <f>SUMIFS(PENJUALAN!$E$4:$E$4288,PENJUALAN!$C$4:$C$4288,'CEK CICI'!A73)</f>
        <v>0</v>
      </c>
      <c r="J73" s="16">
        <f t="shared" si="2"/>
        <v>0</v>
      </c>
      <c r="K73" s="4"/>
      <c r="L73" s="4"/>
      <c r="M73" s="4"/>
      <c r="N73" s="4"/>
    </row>
    <row r="74" ht="13.5" hidden="1" customHeight="1">
      <c r="A74" s="4" t="str">
        <f t="shared" si="1"/>
        <v>FDL-F10FY</v>
      </c>
      <c r="B74" s="29" t="s">
        <v>178</v>
      </c>
      <c r="C74" s="28" t="s">
        <v>179</v>
      </c>
      <c r="D74" s="28" t="s">
        <v>128</v>
      </c>
      <c r="E74" s="4" t="s">
        <v>111</v>
      </c>
      <c r="F74" s="28" t="s">
        <v>141</v>
      </c>
      <c r="G74" s="4"/>
      <c r="H74" s="4">
        <f>SUMIFS(X!$F$5:$F$2005,X!$D$5:$D$2005,'CEK CICI'!A74)</f>
        <v>0</v>
      </c>
      <c r="I74" s="4">
        <f>SUMIFS(PENJUALAN!$E$4:$E$4288,PENJUALAN!$C$4:$C$4288,'CEK CICI'!A74)</f>
        <v>0</v>
      </c>
      <c r="J74" s="16">
        <f t="shared" si="2"/>
        <v>0</v>
      </c>
      <c r="K74" s="4"/>
      <c r="L74" s="4"/>
      <c r="M74" s="4"/>
      <c r="N74" s="4"/>
    </row>
    <row r="75" ht="13.5" hidden="1" customHeight="1">
      <c r="A75" s="4" t="str">
        <f t="shared" si="1"/>
        <v>FDR-F10FY</v>
      </c>
      <c r="B75" s="29" t="s">
        <v>180</v>
      </c>
      <c r="C75" s="28" t="s">
        <v>179</v>
      </c>
      <c r="D75" s="28" t="s">
        <v>130</v>
      </c>
      <c r="E75" s="4" t="s">
        <v>111</v>
      </c>
      <c r="F75" s="28" t="s">
        <v>141</v>
      </c>
      <c r="G75" s="4"/>
      <c r="H75" s="4">
        <f>SUMIFS(X!$F$5:$F$2005,X!$D$5:$D$2005,'CEK CICI'!A75)</f>
        <v>0</v>
      </c>
      <c r="I75" s="4">
        <f>SUMIFS(PENJUALAN!$E$4:$E$4288,PENJUALAN!$C$4:$C$4288,'CEK CICI'!A75)</f>
        <v>0</v>
      </c>
      <c r="J75" s="16">
        <f t="shared" si="2"/>
        <v>0</v>
      </c>
      <c r="K75" s="4"/>
      <c r="L75" s="4"/>
      <c r="M75" s="4"/>
      <c r="N75" s="4"/>
    </row>
    <row r="76" ht="13.5" hidden="1" customHeight="1">
      <c r="A76" s="4" t="str">
        <f t="shared" si="1"/>
        <v>RDL-F10FY</v>
      </c>
      <c r="B76" s="29" t="s">
        <v>181</v>
      </c>
      <c r="C76" s="28" t="s">
        <v>179</v>
      </c>
      <c r="D76" s="28" t="s">
        <v>132</v>
      </c>
      <c r="E76" s="4" t="s">
        <v>111</v>
      </c>
      <c r="F76" s="28" t="s">
        <v>144</v>
      </c>
      <c r="G76" s="4"/>
      <c r="H76" s="4">
        <f>SUMIFS(X!$F$5:$F$2005,X!$D$5:$D$2005,'CEK CICI'!A76)</f>
        <v>0</v>
      </c>
      <c r="I76" s="4">
        <f>SUMIFS(PENJUALAN!$E$4:$E$4288,PENJUALAN!$C$4:$C$4288,'CEK CICI'!A76)</f>
        <v>0</v>
      </c>
      <c r="J76" s="16">
        <f t="shared" si="2"/>
        <v>0</v>
      </c>
      <c r="K76" s="4"/>
      <c r="L76" s="4"/>
      <c r="M76" s="4"/>
      <c r="N76" s="4"/>
    </row>
    <row r="77" ht="13.5" hidden="1" customHeight="1">
      <c r="A77" s="4" t="str">
        <f t="shared" si="1"/>
        <v>RDR-F10FY</v>
      </c>
      <c r="B77" s="29" t="s">
        <v>182</v>
      </c>
      <c r="C77" s="28" t="s">
        <v>179</v>
      </c>
      <c r="D77" s="28" t="s">
        <v>134</v>
      </c>
      <c r="E77" s="4" t="s">
        <v>111</v>
      </c>
      <c r="F77" s="28" t="s">
        <v>144</v>
      </c>
      <c r="G77" s="4"/>
      <c r="H77" s="4">
        <f>SUMIFS(X!$F$5:$F$2005,X!$D$5:$D$2005,'CEK CICI'!A77)</f>
        <v>0</v>
      </c>
      <c r="I77" s="4">
        <f>SUMIFS(PENJUALAN!$E$4:$E$4288,PENJUALAN!$C$4:$C$4288,'CEK CICI'!A77)</f>
        <v>0</v>
      </c>
      <c r="J77" s="16">
        <f t="shared" si="2"/>
        <v>0</v>
      </c>
      <c r="K77" s="4"/>
      <c r="L77" s="4"/>
      <c r="M77" s="4"/>
      <c r="N77" s="4"/>
    </row>
    <row r="78" ht="13.5" hidden="1" customHeight="1">
      <c r="A78" s="4" t="str">
        <f t="shared" si="1"/>
        <v>LFW-E84FY</v>
      </c>
      <c r="B78" s="29" t="s">
        <v>183</v>
      </c>
      <c r="C78" s="28" t="s">
        <v>184</v>
      </c>
      <c r="D78" s="28" t="s">
        <v>22</v>
      </c>
      <c r="E78" s="4" t="s">
        <v>111</v>
      </c>
      <c r="F78" s="28" t="s">
        <v>75</v>
      </c>
      <c r="G78" s="4"/>
      <c r="H78" s="4">
        <f>SUMIFS(X!$F$5:$F$2005,X!$D$5:$D$2005,'CEK CICI'!A78)</f>
        <v>0</v>
      </c>
      <c r="I78" s="4">
        <f>SUMIFS(PENJUALAN!$E$4:$E$4288,PENJUALAN!$C$4:$C$4288,'CEK CICI'!A78)</f>
        <v>0</v>
      </c>
      <c r="J78" s="16">
        <f t="shared" si="2"/>
        <v>0</v>
      </c>
      <c r="K78" s="4"/>
      <c r="L78" s="4"/>
      <c r="M78" s="4"/>
      <c r="N78" s="4"/>
    </row>
    <row r="79" ht="13.5" hidden="1" customHeight="1">
      <c r="A79" s="4" t="str">
        <f t="shared" si="1"/>
        <v>TRW-E84FY</v>
      </c>
      <c r="B79" s="29" t="s">
        <v>185</v>
      </c>
      <c r="C79" s="28" t="s">
        <v>186</v>
      </c>
      <c r="D79" s="28" t="s">
        <v>41</v>
      </c>
      <c r="E79" s="4" t="s">
        <v>111</v>
      </c>
      <c r="F79" s="28" t="s">
        <v>67</v>
      </c>
      <c r="G79" s="4"/>
      <c r="H79" s="4">
        <f>SUMIFS(X!$F$5:$F$2005,X!$D$5:$D$2005,'CEK CICI'!A79)</f>
        <v>0</v>
      </c>
      <c r="I79" s="4">
        <f>SUMIFS(PENJUALAN!$E$4:$E$4288,PENJUALAN!$C$4:$C$4288,'CEK CICI'!A79)</f>
        <v>0</v>
      </c>
      <c r="J79" s="16">
        <f t="shared" si="2"/>
        <v>0</v>
      </c>
      <c r="K79" s="4"/>
      <c r="L79" s="4"/>
      <c r="M79" s="4"/>
      <c r="N79" s="4"/>
    </row>
    <row r="80" ht="13.5" hidden="1" customHeight="1">
      <c r="A80" s="4" t="str">
        <f t="shared" si="1"/>
        <v>LFW-F48FY</v>
      </c>
      <c r="B80" s="29" t="s">
        <v>187</v>
      </c>
      <c r="C80" s="28" t="s">
        <v>188</v>
      </c>
      <c r="D80" s="28" t="s">
        <v>22</v>
      </c>
      <c r="E80" s="4" t="s">
        <v>111</v>
      </c>
      <c r="F80" s="28" t="s">
        <v>189</v>
      </c>
      <c r="G80" s="4"/>
      <c r="H80" s="4">
        <f>SUMIFS(X!$F$5:$F$2005,X!$D$5:$D$2005,'CEK CICI'!A80)</f>
        <v>0</v>
      </c>
      <c r="I80" s="4">
        <f>SUMIFS(PENJUALAN!$E$4:$E$4288,PENJUALAN!$C$4:$C$4288,'CEK CICI'!A80)</f>
        <v>0</v>
      </c>
      <c r="J80" s="16">
        <f t="shared" si="2"/>
        <v>0</v>
      </c>
      <c r="K80" s="4"/>
      <c r="L80" s="4"/>
      <c r="M80" s="4"/>
      <c r="N80" s="4"/>
    </row>
    <row r="81" ht="13.5" hidden="1" customHeight="1">
      <c r="A81" s="4" t="str">
        <f t="shared" si="1"/>
        <v>LFW-E53FY</v>
      </c>
      <c r="B81" s="29" t="s">
        <v>190</v>
      </c>
      <c r="C81" s="28" t="s">
        <v>191</v>
      </c>
      <c r="D81" s="28" t="s">
        <v>22</v>
      </c>
      <c r="E81" s="4" t="s">
        <v>111</v>
      </c>
      <c r="F81" s="28" t="s">
        <v>75</v>
      </c>
      <c r="G81" s="4"/>
      <c r="H81" s="4">
        <f>SUMIFS(X!$F$5:$F$2005,X!$D$5:$D$2005,'CEK CICI'!A81)</f>
        <v>0</v>
      </c>
      <c r="I81" s="4">
        <f>SUMIFS(PENJUALAN!$E$4:$E$4288,PENJUALAN!$C$4:$C$4288,'CEK CICI'!A81)</f>
        <v>0</v>
      </c>
      <c r="J81" s="16">
        <f t="shared" si="2"/>
        <v>0</v>
      </c>
      <c r="K81" s="4"/>
      <c r="L81" s="4"/>
      <c r="M81" s="4"/>
      <c r="N81" s="4"/>
    </row>
    <row r="82" ht="13.5" hidden="1" customHeight="1">
      <c r="A82" s="4" t="str">
        <f t="shared" si="1"/>
        <v>TRW-E53BLACKFY</v>
      </c>
      <c r="B82" s="29" t="s">
        <v>192</v>
      </c>
      <c r="C82" s="28" t="s">
        <v>193</v>
      </c>
      <c r="D82" s="28" t="s">
        <v>41</v>
      </c>
      <c r="E82" s="4" t="s">
        <v>111</v>
      </c>
      <c r="F82" s="28" t="s">
        <v>194</v>
      </c>
      <c r="G82" s="4"/>
      <c r="H82" s="4">
        <f>SUMIFS(X!$F$5:$F$2005,X!$D$5:$D$2005,'CEK CICI'!A82)</f>
        <v>0</v>
      </c>
      <c r="I82" s="4">
        <f>SUMIFS(PENJUALAN!$E$4:$E$4288,PENJUALAN!$C$4:$C$4288,'CEK CICI'!A82)</f>
        <v>0</v>
      </c>
      <c r="J82" s="16">
        <f t="shared" si="2"/>
        <v>0</v>
      </c>
      <c r="K82" s="4"/>
      <c r="L82" s="4"/>
      <c r="M82" s="4"/>
      <c r="N82" s="4"/>
    </row>
    <row r="83" ht="13.5" hidden="1" customHeight="1">
      <c r="A83" s="4" t="str">
        <f t="shared" si="1"/>
        <v>LFW-E70RSFY</v>
      </c>
      <c r="B83" s="29" t="s">
        <v>195</v>
      </c>
      <c r="C83" s="28" t="s">
        <v>196</v>
      </c>
      <c r="D83" s="28" t="s">
        <v>22</v>
      </c>
      <c r="E83" s="4" t="s">
        <v>111</v>
      </c>
      <c r="F83" s="28" t="s">
        <v>75</v>
      </c>
      <c r="G83" s="4"/>
      <c r="H83" s="4">
        <f>SUMIFS(X!$F$5:$F$2005,X!$D$5:$D$2005,'CEK CICI'!A83)</f>
        <v>0</v>
      </c>
      <c r="I83" s="4">
        <f>SUMIFS(PENJUALAN!$E$4:$E$4288,PENJUALAN!$C$4:$C$4288,'CEK CICI'!A83)</f>
        <v>0</v>
      </c>
      <c r="J83" s="16">
        <f t="shared" si="2"/>
        <v>0</v>
      </c>
      <c r="K83" s="4"/>
      <c r="L83" s="4"/>
      <c r="M83" s="4"/>
      <c r="N83" s="4"/>
    </row>
    <row r="84" ht="13.5" hidden="1" customHeight="1">
      <c r="A84" s="4" t="str">
        <f t="shared" si="1"/>
        <v>TRW-E70FY</v>
      </c>
      <c r="B84" s="29" t="s">
        <v>197</v>
      </c>
      <c r="C84" s="28" t="s">
        <v>198</v>
      </c>
      <c r="D84" s="28" t="s">
        <v>41</v>
      </c>
      <c r="E84" s="4" t="s">
        <v>111</v>
      </c>
      <c r="F84" s="28" t="s">
        <v>199</v>
      </c>
      <c r="G84" s="4"/>
      <c r="H84" s="4">
        <f>SUMIFS(X!$F$5:$F$2005,X!$D$5:$D$2005,'CEK CICI'!A84)</f>
        <v>0</v>
      </c>
      <c r="I84" s="4">
        <f>SUMIFS(PENJUALAN!$E$4:$E$4288,PENJUALAN!$C$4:$C$4288,'CEK CICI'!A84)</f>
        <v>0</v>
      </c>
      <c r="J84" s="16">
        <f t="shared" si="2"/>
        <v>0</v>
      </c>
      <c r="K84" s="4"/>
      <c r="L84" s="4"/>
      <c r="M84" s="4"/>
      <c r="N84" s="4"/>
    </row>
    <row r="85" ht="13.5" hidden="1" customHeight="1">
      <c r="A85" s="4" t="str">
        <f t="shared" si="1"/>
        <v>RDL-E70FY</v>
      </c>
      <c r="B85" s="29" t="s">
        <v>200</v>
      </c>
      <c r="C85" s="28" t="s">
        <v>198</v>
      </c>
      <c r="D85" s="28" t="s">
        <v>132</v>
      </c>
      <c r="E85" s="4" t="s">
        <v>111</v>
      </c>
      <c r="F85" s="28" t="s">
        <v>144</v>
      </c>
      <c r="G85" s="4"/>
      <c r="H85" s="4">
        <f>SUMIFS(X!$F$5:$F$2005,X!$D$5:$D$2005,'CEK CICI'!A85)</f>
        <v>0</v>
      </c>
      <c r="I85" s="4">
        <f>SUMIFS(PENJUALAN!$E$4:$E$4288,PENJUALAN!$C$4:$C$4288,'CEK CICI'!A85)</f>
        <v>0</v>
      </c>
      <c r="J85" s="16">
        <f t="shared" si="2"/>
        <v>0</v>
      </c>
      <c r="K85" s="4"/>
      <c r="L85" s="4"/>
      <c r="M85" s="4"/>
      <c r="N85" s="4"/>
    </row>
    <row r="86" ht="13.5" hidden="1" customHeight="1">
      <c r="A86" s="4" t="str">
        <f t="shared" si="1"/>
        <v>SWL-E70FY</v>
      </c>
      <c r="B86" s="29" t="s">
        <v>201</v>
      </c>
      <c r="C86" s="28" t="s">
        <v>198</v>
      </c>
      <c r="D86" s="28" t="s">
        <v>202</v>
      </c>
      <c r="E86" s="4" t="s">
        <v>111</v>
      </c>
      <c r="F86" s="28" t="s">
        <v>97</v>
      </c>
      <c r="G86" s="4"/>
      <c r="H86" s="4">
        <f>SUMIFS(X!$F$5:$F$2005,X!$D$5:$D$2005,'CEK CICI'!A86)</f>
        <v>0</v>
      </c>
      <c r="I86" s="4">
        <f>SUMIFS(PENJUALAN!$E$4:$E$4288,PENJUALAN!$C$4:$C$4288,'CEK CICI'!A86)</f>
        <v>0</v>
      </c>
      <c r="J86" s="16">
        <f t="shared" si="2"/>
        <v>0</v>
      </c>
      <c r="K86" s="4"/>
      <c r="L86" s="4"/>
      <c r="M86" s="4"/>
      <c r="N86" s="4"/>
    </row>
    <row r="87" ht="13.5" hidden="1" customHeight="1">
      <c r="A87" s="4" t="str">
        <f t="shared" si="1"/>
        <v>LFW-F15FY</v>
      </c>
      <c r="B87" s="29" t="s">
        <v>203</v>
      </c>
      <c r="C87" s="28" t="s">
        <v>204</v>
      </c>
      <c r="D87" s="28" t="s">
        <v>22</v>
      </c>
      <c r="E87" s="4" t="s">
        <v>111</v>
      </c>
      <c r="F87" s="28" t="s">
        <v>189</v>
      </c>
      <c r="G87" s="4"/>
      <c r="H87" s="4">
        <f>SUMIFS(X!$F$5:$F$2005,X!$D$5:$D$2005,'CEK CICI'!A87)</f>
        <v>0</v>
      </c>
      <c r="I87" s="4">
        <f>SUMIFS(PENJUALAN!$E$4:$E$4288,PENJUALAN!$C$4:$C$4288,'CEK CICI'!A87)</f>
        <v>0</v>
      </c>
      <c r="J87" s="16">
        <f t="shared" si="2"/>
        <v>0</v>
      </c>
      <c r="K87" s="4"/>
      <c r="L87" s="4"/>
      <c r="M87" s="4"/>
      <c r="N87" s="4"/>
    </row>
    <row r="88" ht="13.5" hidden="1" customHeight="1">
      <c r="A88" s="4" t="str">
        <f t="shared" si="1"/>
        <v>RDL-F15FY</v>
      </c>
      <c r="B88" s="29" t="s">
        <v>205</v>
      </c>
      <c r="C88" s="28" t="s">
        <v>204</v>
      </c>
      <c r="D88" s="28" t="s">
        <v>132</v>
      </c>
      <c r="E88" s="4" t="s">
        <v>111</v>
      </c>
      <c r="F88" s="28" t="s">
        <v>144</v>
      </c>
      <c r="G88" s="4"/>
      <c r="H88" s="4">
        <f>SUMIFS(X!$F$5:$F$2005,X!$D$5:$D$2005,'CEK CICI'!A88)</f>
        <v>0</v>
      </c>
      <c r="I88" s="4">
        <f>SUMIFS(PENJUALAN!$E$4:$E$4288,PENJUALAN!$C$4:$C$4288,'CEK CICI'!A88)</f>
        <v>0</v>
      </c>
      <c r="J88" s="16">
        <f t="shared" si="2"/>
        <v>0</v>
      </c>
      <c r="K88" s="4"/>
      <c r="L88" s="4"/>
      <c r="M88" s="4"/>
      <c r="N88" s="4"/>
    </row>
    <row r="89" ht="13.5" hidden="1" customHeight="1">
      <c r="A89" s="4" t="str">
        <f t="shared" si="1"/>
        <v>RDR-F15FY</v>
      </c>
      <c r="B89" s="29" t="s">
        <v>206</v>
      </c>
      <c r="C89" s="28" t="s">
        <v>204</v>
      </c>
      <c r="D89" s="28" t="s">
        <v>134</v>
      </c>
      <c r="E89" s="4" t="s">
        <v>111</v>
      </c>
      <c r="F89" s="28" t="s">
        <v>144</v>
      </c>
      <c r="G89" s="4"/>
      <c r="H89" s="4">
        <f>SUMIFS(X!$F$5:$F$2005,X!$D$5:$D$2005,'CEK CICI'!A89)</f>
        <v>0</v>
      </c>
      <c r="I89" s="4">
        <f>SUMIFS(PENJUALAN!$E$4:$E$4288,PENJUALAN!$C$4:$C$4288,'CEK CICI'!A89)</f>
        <v>0</v>
      </c>
      <c r="J89" s="16">
        <f t="shared" si="2"/>
        <v>0</v>
      </c>
      <c r="K89" s="4"/>
      <c r="L89" s="4"/>
      <c r="M89" s="4"/>
      <c r="N89" s="4"/>
    </row>
    <row r="90" ht="13.5" hidden="1" customHeight="1">
      <c r="A90" s="4" t="str">
        <f t="shared" si="1"/>
        <v>LFW-QQ03FY</v>
      </c>
      <c r="B90" s="29" t="s">
        <v>207</v>
      </c>
      <c r="C90" s="28" t="s">
        <v>208</v>
      </c>
      <c r="D90" s="28" t="s">
        <v>22</v>
      </c>
      <c r="E90" s="4" t="s">
        <v>111</v>
      </c>
      <c r="F90" s="28" t="s">
        <v>125</v>
      </c>
      <c r="G90" s="4"/>
      <c r="H90" s="4">
        <f>SUMIFS(X!$F$5:$F$2005,X!$D$5:$D$2005,'CEK CICI'!A90)</f>
        <v>0</v>
      </c>
      <c r="I90" s="4">
        <f>SUMIFS(PENJUALAN!$E$4:$E$4288,PENJUALAN!$C$4:$C$4288,'CEK CICI'!A90)</f>
        <v>0</v>
      </c>
      <c r="J90" s="16">
        <f t="shared" si="2"/>
        <v>0</v>
      </c>
      <c r="K90" s="4"/>
      <c r="L90" s="4"/>
      <c r="M90" s="4"/>
      <c r="N90" s="4"/>
    </row>
    <row r="91" ht="13.5" hidden="1" customHeight="1">
      <c r="A91" s="4" t="str">
        <f t="shared" si="1"/>
        <v>TRW-QQ03FY</v>
      </c>
      <c r="B91" s="29" t="s">
        <v>209</v>
      </c>
      <c r="C91" s="28" t="s">
        <v>208</v>
      </c>
      <c r="D91" s="28" t="s">
        <v>41</v>
      </c>
      <c r="E91" s="4" t="s">
        <v>111</v>
      </c>
      <c r="F91" s="28" t="s">
        <v>67</v>
      </c>
      <c r="G91" s="4"/>
      <c r="H91" s="4">
        <f>SUMIFS(X!$F$5:$F$2005,X!$D$5:$D$2005,'CEK CICI'!A91)</f>
        <v>0</v>
      </c>
      <c r="I91" s="4">
        <f>SUMIFS(PENJUALAN!$E$4:$E$4288,PENJUALAN!$C$4:$C$4288,'CEK CICI'!A91)</f>
        <v>0</v>
      </c>
      <c r="J91" s="16">
        <f t="shared" si="2"/>
        <v>0</v>
      </c>
      <c r="K91" s="4"/>
      <c r="L91" s="4"/>
      <c r="M91" s="4"/>
      <c r="N91" s="4"/>
    </row>
    <row r="92" ht="13.5" hidden="1" customHeight="1">
      <c r="A92" s="4" t="str">
        <f t="shared" si="1"/>
        <v>LFW-AVEO99FY</v>
      </c>
      <c r="B92" s="29" t="s">
        <v>210</v>
      </c>
      <c r="C92" s="28" t="s">
        <v>211</v>
      </c>
      <c r="D92" s="28" t="s">
        <v>22</v>
      </c>
      <c r="E92" s="4" t="s">
        <v>111</v>
      </c>
      <c r="F92" s="28" t="s">
        <v>125</v>
      </c>
      <c r="G92" s="4"/>
      <c r="H92" s="4">
        <f>SUMIFS(X!$F$5:$F$2005,X!$D$5:$D$2005,'CEK CICI'!A92)</f>
        <v>0</v>
      </c>
      <c r="I92" s="4">
        <f>SUMIFS(PENJUALAN!$E$4:$E$4288,PENJUALAN!$C$4:$C$4288,'CEK CICI'!A92)</f>
        <v>0</v>
      </c>
      <c r="J92" s="16">
        <f t="shared" si="2"/>
        <v>0</v>
      </c>
      <c r="K92" s="4"/>
      <c r="L92" s="4"/>
      <c r="M92" s="4"/>
      <c r="N92" s="4"/>
    </row>
    <row r="93" ht="13.5" hidden="1" customHeight="1">
      <c r="A93" s="4" t="str">
        <f t="shared" si="1"/>
        <v>FDL-AVEO99FY</v>
      </c>
      <c r="B93" s="29" t="s">
        <v>212</v>
      </c>
      <c r="C93" s="28" t="s">
        <v>213</v>
      </c>
      <c r="D93" s="28" t="s">
        <v>128</v>
      </c>
      <c r="E93" s="4" t="s">
        <v>111</v>
      </c>
      <c r="F93" s="28" t="s">
        <v>141</v>
      </c>
      <c r="G93" s="4"/>
      <c r="H93" s="4">
        <f>SUMIFS(X!$F$5:$F$2005,X!$D$5:$D$2005,'CEK CICI'!A93)</f>
        <v>0</v>
      </c>
      <c r="I93" s="4">
        <f>SUMIFS(PENJUALAN!$E$4:$E$4288,PENJUALAN!$C$4:$C$4288,'CEK CICI'!A93)</f>
        <v>0</v>
      </c>
      <c r="J93" s="16">
        <f t="shared" si="2"/>
        <v>0</v>
      </c>
      <c r="K93" s="4"/>
      <c r="L93" s="4"/>
      <c r="M93" s="4"/>
      <c r="N93" s="4"/>
    </row>
    <row r="94" ht="13.5" hidden="1" customHeight="1">
      <c r="A94" s="4" t="str">
        <f t="shared" si="1"/>
        <v>FDR-AVEO99FY</v>
      </c>
      <c r="B94" s="29" t="s">
        <v>214</v>
      </c>
      <c r="C94" s="28" t="s">
        <v>213</v>
      </c>
      <c r="D94" s="28" t="s">
        <v>130</v>
      </c>
      <c r="E94" s="4" t="s">
        <v>111</v>
      </c>
      <c r="F94" s="28" t="s">
        <v>141</v>
      </c>
      <c r="G94" s="4"/>
      <c r="H94" s="4">
        <f>SUMIFS(X!$F$5:$F$2005,X!$D$5:$D$2005,'CEK CICI'!A94)</f>
        <v>0</v>
      </c>
      <c r="I94" s="4">
        <f>SUMIFS(PENJUALAN!$E$4:$E$4288,PENJUALAN!$C$4:$C$4288,'CEK CICI'!A94)</f>
        <v>0</v>
      </c>
      <c r="J94" s="16">
        <f t="shared" si="2"/>
        <v>0</v>
      </c>
      <c r="K94" s="4"/>
      <c r="L94" s="4"/>
      <c r="M94" s="4"/>
      <c r="N94" s="4"/>
    </row>
    <row r="95" ht="13.5" hidden="1" customHeight="1">
      <c r="A95" s="4" t="str">
        <f t="shared" si="1"/>
        <v>TRW-AVEO99FY</v>
      </c>
      <c r="B95" s="29" t="s">
        <v>215</v>
      </c>
      <c r="C95" s="28" t="s">
        <v>213</v>
      </c>
      <c r="D95" s="28" t="s">
        <v>41</v>
      </c>
      <c r="E95" s="4" t="s">
        <v>111</v>
      </c>
      <c r="F95" s="28" t="s">
        <v>67</v>
      </c>
      <c r="G95" s="4"/>
      <c r="H95" s="4">
        <f>SUMIFS(X!$F$5:$F$2005,X!$D$5:$D$2005,'CEK CICI'!A95)</f>
        <v>0</v>
      </c>
      <c r="I95" s="4">
        <f>SUMIFS(PENJUALAN!$E$4:$E$4288,PENJUALAN!$C$4:$C$4288,'CEK CICI'!A95)</f>
        <v>0</v>
      </c>
      <c r="J95" s="16">
        <f t="shared" si="2"/>
        <v>0</v>
      </c>
      <c r="K95" s="4"/>
      <c r="L95" s="4"/>
      <c r="M95" s="4"/>
      <c r="N95" s="4"/>
    </row>
    <row r="96" ht="13.5" hidden="1" customHeight="1">
      <c r="A96" s="4" t="str">
        <f t="shared" si="1"/>
        <v>LFW-AVEO08FY</v>
      </c>
      <c r="B96" s="29" t="s">
        <v>216</v>
      </c>
      <c r="C96" s="28" t="s">
        <v>217</v>
      </c>
      <c r="D96" s="28" t="s">
        <v>22</v>
      </c>
      <c r="E96" s="4" t="s">
        <v>111</v>
      </c>
      <c r="F96" s="28" t="s">
        <v>125</v>
      </c>
      <c r="G96" s="4"/>
      <c r="H96" s="4">
        <f>SUMIFS(X!$F$5:$F$2005,X!$D$5:$D$2005,'CEK CICI'!A96)</f>
        <v>0</v>
      </c>
      <c r="I96" s="4">
        <f>SUMIFS(PENJUALAN!$E$4:$E$4288,PENJUALAN!$C$4:$C$4288,'CEK CICI'!A96)</f>
        <v>0</v>
      </c>
      <c r="J96" s="16">
        <f t="shared" si="2"/>
        <v>0</v>
      </c>
      <c r="K96" s="4"/>
      <c r="L96" s="4"/>
      <c r="M96" s="4"/>
      <c r="N96" s="4"/>
    </row>
    <row r="97" ht="13.5" hidden="1" customHeight="1">
      <c r="A97" s="4" t="str">
        <f t="shared" si="1"/>
        <v>LFW-AVEO11FY</v>
      </c>
      <c r="B97" s="29" t="s">
        <v>218</v>
      </c>
      <c r="C97" s="28" t="s">
        <v>219</v>
      </c>
      <c r="D97" s="28" t="s">
        <v>22</v>
      </c>
      <c r="E97" s="4" t="s">
        <v>111</v>
      </c>
      <c r="F97" s="28" t="s">
        <v>125</v>
      </c>
      <c r="G97" s="4"/>
      <c r="H97" s="4">
        <f>SUMIFS(X!$F$5:$F$2005,X!$D$5:$D$2005,'CEK CICI'!A97)</f>
        <v>0</v>
      </c>
      <c r="I97" s="4">
        <f>SUMIFS(PENJUALAN!$E$4:$E$4288,PENJUALAN!$C$4:$C$4288,'CEK CICI'!A97)</f>
        <v>0</v>
      </c>
      <c r="J97" s="16">
        <f t="shared" si="2"/>
        <v>0</v>
      </c>
      <c r="K97" s="4"/>
      <c r="L97" s="4"/>
      <c r="M97" s="4"/>
      <c r="N97" s="4"/>
    </row>
    <row r="98" ht="13.5" hidden="1" customHeight="1">
      <c r="A98" s="4" t="str">
        <f t="shared" si="1"/>
        <v>TRW-AVEO11FY</v>
      </c>
      <c r="B98" s="29" t="s">
        <v>220</v>
      </c>
      <c r="C98" s="28" t="s">
        <v>219</v>
      </c>
      <c r="D98" s="28" t="s">
        <v>41</v>
      </c>
      <c r="E98" s="4" t="s">
        <v>111</v>
      </c>
      <c r="F98" s="28" t="s">
        <v>221</v>
      </c>
      <c r="G98" s="4"/>
      <c r="H98" s="4">
        <f>SUMIFS(X!$F$5:$F$2005,X!$D$5:$D$2005,'CEK CICI'!A98)</f>
        <v>0</v>
      </c>
      <c r="I98" s="4">
        <f>SUMIFS(PENJUALAN!$E$4:$E$4288,PENJUALAN!$C$4:$C$4288,'CEK CICI'!A98)</f>
        <v>0</v>
      </c>
      <c r="J98" s="16">
        <f t="shared" si="2"/>
        <v>0</v>
      </c>
      <c r="K98" s="4"/>
      <c r="L98" s="4"/>
      <c r="M98" s="4"/>
      <c r="N98" s="4"/>
    </row>
    <row r="99" ht="13.5" hidden="1" customHeight="1">
      <c r="A99" s="4" t="str">
        <f t="shared" si="1"/>
        <v>LFW-CAPTIVARSAUTO</v>
      </c>
      <c r="B99" s="29" t="s">
        <v>222</v>
      </c>
      <c r="C99" s="28" t="s">
        <v>223</v>
      </c>
      <c r="D99" s="28" t="s">
        <v>22</v>
      </c>
      <c r="E99" s="4" t="s">
        <v>66</v>
      </c>
      <c r="F99" s="28" t="s">
        <v>224</v>
      </c>
      <c r="G99" s="4"/>
      <c r="H99" s="4">
        <f>SUMIFS(X!$F$5:$F$2005,X!$D$5:$D$2005,'CEK CICI'!A99)</f>
        <v>0</v>
      </c>
      <c r="I99" s="4">
        <f>SUMIFS(PENJUALAN!$E$4:$E$4288,PENJUALAN!$C$4:$C$4288,'CEK CICI'!A99)</f>
        <v>0</v>
      </c>
      <c r="J99" s="16">
        <f t="shared" si="2"/>
        <v>0</v>
      </c>
      <c r="K99" s="4"/>
      <c r="L99" s="4"/>
      <c r="M99" s="4"/>
      <c r="N99" s="4"/>
    </row>
    <row r="100" ht="13.5" hidden="1" customHeight="1">
      <c r="A100" s="4" t="str">
        <f t="shared" si="1"/>
        <v>LFW-CAPTIVAFY</v>
      </c>
      <c r="B100" s="29" t="s">
        <v>225</v>
      </c>
      <c r="C100" s="28" t="s">
        <v>223</v>
      </c>
      <c r="D100" s="28" t="s">
        <v>22</v>
      </c>
      <c r="E100" s="4" t="s">
        <v>111</v>
      </c>
      <c r="F100" s="28" t="s">
        <v>125</v>
      </c>
      <c r="G100" s="4"/>
      <c r="H100" s="4">
        <f>SUMIFS(X!$F$5:$F$2005,X!$D$5:$D$2005,'CEK CICI'!A100)</f>
        <v>0</v>
      </c>
      <c r="I100" s="4">
        <f>SUMIFS(PENJUALAN!$E$4:$E$4288,PENJUALAN!$C$4:$C$4288,'CEK CICI'!A100)</f>
        <v>0</v>
      </c>
      <c r="J100" s="16">
        <f t="shared" si="2"/>
        <v>0</v>
      </c>
      <c r="K100" s="4"/>
      <c r="L100" s="4"/>
      <c r="M100" s="4"/>
      <c r="N100" s="4"/>
    </row>
    <row r="101" ht="13.5" hidden="1" customHeight="1">
      <c r="A101" s="4" t="str">
        <f t="shared" si="1"/>
        <v>LFW-CAPTIVARSFY</v>
      </c>
      <c r="B101" s="29" t="s">
        <v>222</v>
      </c>
      <c r="C101" s="28" t="s">
        <v>223</v>
      </c>
      <c r="D101" s="28" t="s">
        <v>22</v>
      </c>
      <c r="E101" s="4" t="s">
        <v>111</v>
      </c>
      <c r="F101" s="28" t="s">
        <v>75</v>
      </c>
      <c r="G101" s="4"/>
      <c r="H101" s="4">
        <f>SUMIFS(X!$F$5:$F$2005,X!$D$5:$D$2005,'CEK CICI'!A101)</f>
        <v>0</v>
      </c>
      <c r="I101" s="4">
        <f>SUMIFS(PENJUALAN!$E$4:$E$4288,PENJUALAN!$C$4:$C$4288,'CEK CICI'!A101)</f>
        <v>0</v>
      </c>
      <c r="J101" s="16">
        <f t="shared" si="2"/>
        <v>0</v>
      </c>
      <c r="K101" s="4"/>
      <c r="L101" s="4"/>
      <c r="M101" s="4"/>
      <c r="N101" s="4"/>
    </row>
    <row r="102" ht="13.5" hidden="1" customHeight="1">
      <c r="A102" s="4" t="str">
        <f t="shared" si="1"/>
        <v>TRW-CAPTIVA6HOLEFY</v>
      </c>
      <c r="B102" s="29" t="s">
        <v>226</v>
      </c>
      <c r="C102" s="28" t="s">
        <v>223</v>
      </c>
      <c r="D102" s="28" t="s">
        <v>41</v>
      </c>
      <c r="E102" s="4" t="s">
        <v>111</v>
      </c>
      <c r="F102" s="28" t="s">
        <v>227</v>
      </c>
      <c r="G102" s="4"/>
      <c r="H102" s="4">
        <f>SUMIFS(X!$F$5:$F$2005,X!$D$5:$D$2005,'CEK CICI'!A102)</f>
        <v>0</v>
      </c>
      <c r="I102" s="4">
        <f>SUMIFS(PENJUALAN!$E$4:$E$4288,PENJUALAN!$C$4:$C$4288,'CEK CICI'!A102)</f>
        <v>0</v>
      </c>
      <c r="J102" s="16">
        <f t="shared" si="2"/>
        <v>0</v>
      </c>
      <c r="K102" s="4"/>
      <c r="L102" s="4"/>
      <c r="M102" s="4"/>
      <c r="N102" s="4"/>
    </row>
    <row r="103" ht="13.5" hidden="1" customHeight="1">
      <c r="A103" s="4" t="str">
        <f t="shared" si="1"/>
        <v>TRW-CAPTIVAFY</v>
      </c>
      <c r="B103" s="29" t="s">
        <v>228</v>
      </c>
      <c r="C103" s="28" t="s">
        <v>223</v>
      </c>
      <c r="D103" s="28" t="s">
        <v>41</v>
      </c>
      <c r="E103" s="4" t="s">
        <v>111</v>
      </c>
      <c r="F103" s="28" t="s">
        <v>67</v>
      </c>
      <c r="G103" s="4"/>
      <c r="H103" s="4">
        <f>SUMIFS(X!$F$5:$F$2005,X!$D$5:$D$2005,'CEK CICI'!A103)</f>
        <v>0</v>
      </c>
      <c r="I103" s="4">
        <f>SUMIFS(PENJUALAN!$E$4:$E$4288,PENJUALAN!$C$4:$C$4288,'CEK CICI'!A103)</f>
        <v>0</v>
      </c>
      <c r="J103" s="16">
        <f t="shared" si="2"/>
        <v>0</v>
      </c>
      <c r="K103" s="4"/>
      <c r="L103" s="4"/>
      <c r="M103" s="4"/>
      <c r="N103" s="4"/>
    </row>
    <row r="104" ht="13.5" hidden="1" customHeight="1">
      <c r="A104" s="4" t="str">
        <f t="shared" si="1"/>
        <v>FDL2-CAPTIVAFY</v>
      </c>
      <c r="B104" s="29" t="s">
        <v>229</v>
      </c>
      <c r="C104" s="28" t="s">
        <v>223</v>
      </c>
      <c r="D104" s="28" t="s">
        <v>128</v>
      </c>
      <c r="E104" s="4" t="s">
        <v>111</v>
      </c>
      <c r="F104" s="28" t="s">
        <v>141</v>
      </c>
      <c r="G104" s="4"/>
      <c r="H104" s="4">
        <f>SUMIFS(X!$F$5:$F$2005,X!$D$5:$D$2005,'CEK CICI'!A104)</f>
        <v>0</v>
      </c>
      <c r="I104" s="4">
        <f>SUMIFS(PENJUALAN!$E$4:$E$4288,PENJUALAN!$C$4:$C$4288,'CEK CICI'!A104)</f>
        <v>0</v>
      </c>
      <c r="J104" s="16">
        <f t="shared" si="2"/>
        <v>0</v>
      </c>
      <c r="K104" s="4"/>
      <c r="L104" s="4"/>
      <c r="M104" s="4"/>
      <c r="N104" s="4"/>
    </row>
    <row r="105" ht="13.5" hidden="1" customHeight="1">
      <c r="A105" s="4" t="str">
        <f t="shared" si="1"/>
        <v>FDR2-CAPTIVAFY</v>
      </c>
      <c r="B105" s="29" t="s">
        <v>230</v>
      </c>
      <c r="C105" s="28" t="s">
        <v>223</v>
      </c>
      <c r="D105" s="28" t="s">
        <v>130</v>
      </c>
      <c r="E105" s="4" t="s">
        <v>111</v>
      </c>
      <c r="F105" s="28" t="s">
        <v>141</v>
      </c>
      <c r="G105" s="4"/>
      <c r="H105" s="4">
        <f>SUMIFS(X!$F$5:$F$2005,X!$D$5:$D$2005,'CEK CICI'!A105)</f>
        <v>0</v>
      </c>
      <c r="I105" s="4">
        <f>SUMIFS(PENJUALAN!$E$4:$E$4288,PENJUALAN!$C$4:$C$4288,'CEK CICI'!A105)</f>
        <v>0</v>
      </c>
      <c r="J105" s="16">
        <f t="shared" si="2"/>
        <v>0</v>
      </c>
      <c r="K105" s="4"/>
      <c r="L105" s="4"/>
      <c r="M105" s="4"/>
      <c r="N105" s="4"/>
    </row>
    <row r="106" ht="13.5" hidden="1" customHeight="1">
      <c r="A106" s="4" t="str">
        <f t="shared" si="1"/>
        <v>RDL2-CAPTIVAFY</v>
      </c>
      <c r="B106" s="29" t="s">
        <v>231</v>
      </c>
      <c r="C106" s="28" t="s">
        <v>223</v>
      </c>
      <c r="D106" s="28" t="s">
        <v>132</v>
      </c>
      <c r="E106" s="4" t="s">
        <v>111</v>
      </c>
      <c r="F106" s="28" t="s">
        <v>141</v>
      </c>
      <c r="G106" s="4"/>
      <c r="H106" s="4">
        <f>SUMIFS(X!$F$5:$F$2005,X!$D$5:$D$2005,'CEK CICI'!A106)</f>
        <v>0</v>
      </c>
      <c r="I106" s="4">
        <f>SUMIFS(PENJUALAN!$E$4:$E$4288,PENJUALAN!$C$4:$C$4288,'CEK CICI'!A106)</f>
        <v>0</v>
      </c>
      <c r="J106" s="16">
        <f t="shared" si="2"/>
        <v>0</v>
      </c>
      <c r="K106" s="4"/>
      <c r="L106" s="4"/>
      <c r="M106" s="4"/>
      <c r="N106" s="4"/>
    </row>
    <row r="107" ht="13.5" hidden="1" customHeight="1">
      <c r="A107" s="4" t="str">
        <f t="shared" si="1"/>
        <v>RDR2-CAPTIVAFY</v>
      </c>
      <c r="B107" s="29" t="s">
        <v>232</v>
      </c>
      <c r="C107" s="28" t="s">
        <v>223</v>
      </c>
      <c r="D107" s="28" t="s">
        <v>134</v>
      </c>
      <c r="E107" s="4" t="s">
        <v>111</v>
      </c>
      <c r="F107" s="28" t="s">
        <v>141</v>
      </c>
      <c r="G107" s="4"/>
      <c r="H107" s="4">
        <f>SUMIFS(X!$F$5:$F$2005,X!$D$5:$D$2005,'CEK CICI'!A107)</f>
        <v>0</v>
      </c>
      <c r="I107" s="4">
        <f>SUMIFS(PENJUALAN!$E$4:$E$4288,PENJUALAN!$C$4:$C$4288,'CEK CICI'!A107)</f>
        <v>0</v>
      </c>
      <c r="J107" s="16">
        <f t="shared" si="2"/>
        <v>0</v>
      </c>
      <c r="K107" s="4"/>
      <c r="L107" s="4"/>
      <c r="M107" s="4"/>
      <c r="N107" s="4"/>
    </row>
    <row r="108" ht="13.5" hidden="1" customHeight="1">
      <c r="A108" s="4" t="str">
        <f t="shared" si="1"/>
        <v>RQL-CAPTIVAFY</v>
      </c>
      <c r="B108" s="29" t="s">
        <v>233</v>
      </c>
      <c r="C108" s="28" t="s">
        <v>223</v>
      </c>
      <c r="D108" s="28" t="s">
        <v>202</v>
      </c>
      <c r="E108" s="4" t="s">
        <v>111</v>
      </c>
      <c r="F108" s="28" t="s">
        <v>234</v>
      </c>
      <c r="G108" s="4"/>
      <c r="H108" s="4">
        <f>SUMIFS(X!$F$5:$F$2005,X!$D$5:$D$2005,'CEK CICI'!A108)</f>
        <v>0</v>
      </c>
      <c r="I108" s="4">
        <f>SUMIFS(PENJUALAN!$E$4:$E$4288,PENJUALAN!$C$4:$C$4288,'CEK CICI'!A108)</f>
        <v>0</v>
      </c>
      <c r="J108" s="16">
        <f t="shared" si="2"/>
        <v>0</v>
      </c>
      <c r="K108" s="4"/>
      <c r="L108" s="4"/>
      <c r="M108" s="4"/>
      <c r="N108" s="4"/>
    </row>
    <row r="109" ht="13.5" hidden="1" customHeight="1">
      <c r="A109" s="4" t="str">
        <f t="shared" si="1"/>
        <v>RQR-CAPTIVAFY</v>
      </c>
      <c r="B109" s="29" t="s">
        <v>235</v>
      </c>
      <c r="C109" s="28" t="s">
        <v>223</v>
      </c>
      <c r="D109" s="28" t="s">
        <v>236</v>
      </c>
      <c r="E109" s="4" t="s">
        <v>111</v>
      </c>
      <c r="F109" s="28" t="s">
        <v>97</v>
      </c>
      <c r="G109" s="4"/>
      <c r="H109" s="4">
        <f>SUMIFS(X!$F$5:$F$2005,X!$D$5:$D$2005,'CEK CICI'!A109)</f>
        <v>0</v>
      </c>
      <c r="I109" s="4">
        <f>SUMIFS(PENJUALAN!$E$4:$E$4288,PENJUALAN!$C$4:$C$4288,'CEK CICI'!A109)</f>
        <v>0</v>
      </c>
      <c r="J109" s="16">
        <f t="shared" si="2"/>
        <v>0</v>
      </c>
      <c r="K109" s="4"/>
      <c r="L109" s="4"/>
      <c r="M109" s="4"/>
      <c r="N109" s="4"/>
    </row>
    <row r="110" ht="13.5" hidden="1" customHeight="1">
      <c r="A110" s="4" t="str">
        <f t="shared" si="1"/>
        <v>LFW-OPTRAFY</v>
      </c>
      <c r="B110" s="29" t="s">
        <v>237</v>
      </c>
      <c r="C110" s="28" t="s">
        <v>238</v>
      </c>
      <c r="D110" s="28" t="s">
        <v>22</v>
      </c>
      <c r="E110" s="4" t="s">
        <v>111</v>
      </c>
      <c r="F110" s="28" t="s">
        <v>125</v>
      </c>
      <c r="G110" s="4"/>
      <c r="H110" s="4">
        <f>SUMIFS(X!$F$5:$F$2005,X!$D$5:$D$2005,'CEK CICI'!A110)</f>
        <v>0</v>
      </c>
      <c r="I110" s="4">
        <f>SUMIFS(PENJUALAN!$E$4:$E$4288,PENJUALAN!$C$4:$C$4288,'CEK CICI'!A110)</f>
        <v>0</v>
      </c>
      <c r="J110" s="16">
        <f t="shared" si="2"/>
        <v>0</v>
      </c>
      <c r="K110" s="4"/>
      <c r="L110" s="4"/>
      <c r="M110" s="4"/>
      <c r="N110" s="4"/>
    </row>
    <row r="111" ht="13.5" hidden="1" customHeight="1">
      <c r="A111" s="4" t="str">
        <f t="shared" si="1"/>
        <v>LFW-ORLANDORSFY</v>
      </c>
      <c r="B111" s="29" t="s">
        <v>239</v>
      </c>
      <c r="C111" s="28" t="s">
        <v>240</v>
      </c>
      <c r="D111" s="28" t="s">
        <v>22</v>
      </c>
      <c r="E111" s="4" t="s">
        <v>111</v>
      </c>
      <c r="F111" s="28" t="s">
        <v>75</v>
      </c>
      <c r="G111" s="4"/>
      <c r="H111" s="4">
        <f>SUMIFS(X!$F$5:$F$2005,X!$D$5:$D$2005,'CEK CICI'!A111)</f>
        <v>0</v>
      </c>
      <c r="I111" s="4">
        <f>SUMIFS(PENJUALAN!$E$4:$E$4288,PENJUALAN!$C$4:$C$4288,'CEK CICI'!A111)</f>
        <v>0</v>
      </c>
      <c r="J111" s="16">
        <f t="shared" si="2"/>
        <v>0</v>
      </c>
      <c r="K111" s="4"/>
      <c r="L111" s="4"/>
      <c r="M111" s="4"/>
      <c r="N111" s="4"/>
    </row>
    <row r="112" ht="13.5" hidden="1" customHeight="1">
      <c r="A112" s="4" t="str">
        <f t="shared" si="1"/>
        <v>LFW-ORLANDOFY</v>
      </c>
      <c r="B112" s="29" t="s">
        <v>241</v>
      </c>
      <c r="C112" s="28" t="s">
        <v>240</v>
      </c>
      <c r="D112" s="28" t="s">
        <v>22</v>
      </c>
      <c r="E112" s="4" t="s">
        <v>111</v>
      </c>
      <c r="F112" s="28" t="s">
        <v>125</v>
      </c>
      <c r="G112" s="4"/>
      <c r="H112" s="4">
        <f>SUMIFS(X!$F$5:$F$2005,X!$D$5:$D$2005,'CEK CICI'!A112)</f>
        <v>0</v>
      </c>
      <c r="I112" s="4">
        <f>SUMIFS(PENJUALAN!$E$4:$E$4288,PENJUALAN!$C$4:$C$4288,'CEK CICI'!A112)</f>
        <v>0</v>
      </c>
      <c r="J112" s="16">
        <f t="shared" si="2"/>
        <v>0</v>
      </c>
      <c r="K112" s="4"/>
      <c r="L112" s="4"/>
      <c r="M112" s="4"/>
      <c r="N112" s="4"/>
    </row>
    <row r="113" ht="13.5" hidden="1" customHeight="1">
      <c r="A113" s="4" t="str">
        <f t="shared" si="1"/>
        <v>FDR-ORLANDOFY</v>
      </c>
      <c r="B113" s="29" t="s">
        <v>242</v>
      </c>
      <c r="C113" s="28" t="s">
        <v>240</v>
      </c>
      <c r="D113" s="28" t="s">
        <v>130</v>
      </c>
      <c r="E113" s="4" t="s">
        <v>111</v>
      </c>
      <c r="F113" s="28"/>
      <c r="G113" s="4"/>
      <c r="H113" s="4">
        <f>SUMIFS(X!$F$5:$F$2005,X!$D$5:$D$2005,'CEK CICI'!A113)</f>
        <v>0</v>
      </c>
      <c r="I113" s="4">
        <f>SUMIFS(PENJUALAN!$E$4:$E$4288,PENJUALAN!$C$4:$C$4288,'CEK CICI'!A113)</f>
        <v>0</v>
      </c>
      <c r="J113" s="16">
        <f t="shared" si="2"/>
        <v>0</v>
      </c>
      <c r="K113" s="4"/>
      <c r="L113" s="4"/>
      <c r="M113" s="4"/>
      <c r="N113" s="4"/>
    </row>
    <row r="114" ht="13.5" hidden="1" customHeight="1">
      <c r="A114" s="4" t="str">
        <f t="shared" si="1"/>
        <v>RDL-ORLANDOFY</v>
      </c>
      <c r="B114" s="29" t="s">
        <v>243</v>
      </c>
      <c r="C114" s="28" t="s">
        <v>240</v>
      </c>
      <c r="D114" s="28" t="s">
        <v>132</v>
      </c>
      <c r="E114" s="4" t="s">
        <v>111</v>
      </c>
      <c r="F114" s="28"/>
      <c r="G114" s="4"/>
      <c r="H114" s="4">
        <f>SUMIFS(X!$F$5:$F$2005,X!$D$5:$D$2005,'CEK CICI'!A114)</f>
        <v>0</v>
      </c>
      <c r="I114" s="4">
        <f>SUMIFS(PENJUALAN!$E$4:$E$4288,PENJUALAN!$C$4:$C$4288,'CEK CICI'!A114)</f>
        <v>0</v>
      </c>
      <c r="J114" s="16">
        <f t="shared" si="2"/>
        <v>0</v>
      </c>
      <c r="K114" s="4"/>
      <c r="L114" s="4"/>
      <c r="M114" s="4"/>
      <c r="N114" s="4"/>
    </row>
    <row r="115" ht="13.5" hidden="1" customHeight="1">
      <c r="A115" s="4" t="str">
        <f t="shared" si="1"/>
        <v>LFW-SPARK98FY</v>
      </c>
      <c r="B115" s="29" t="s">
        <v>244</v>
      </c>
      <c r="C115" s="28" t="s">
        <v>245</v>
      </c>
      <c r="D115" s="28" t="s">
        <v>22</v>
      </c>
      <c r="E115" s="4" t="s">
        <v>111</v>
      </c>
      <c r="F115" s="28" t="s">
        <v>125</v>
      </c>
      <c r="G115" s="4"/>
      <c r="H115" s="4">
        <f>SUMIFS(X!$F$5:$F$2005,X!$D$5:$D$2005,'CEK CICI'!A115)</f>
        <v>0</v>
      </c>
      <c r="I115" s="4">
        <f>SUMIFS(PENJUALAN!$E$4:$E$4288,PENJUALAN!$C$4:$C$4288,'CEK CICI'!A115)</f>
        <v>0</v>
      </c>
      <c r="J115" s="16">
        <f t="shared" si="2"/>
        <v>0</v>
      </c>
      <c r="K115" s="4"/>
      <c r="L115" s="4"/>
      <c r="M115" s="4"/>
      <c r="N115" s="4"/>
    </row>
    <row r="116" ht="13.5" hidden="1" customHeight="1">
      <c r="A116" s="4" t="str">
        <f t="shared" si="1"/>
        <v>TRW-SPARK98FY</v>
      </c>
      <c r="B116" s="29" t="s">
        <v>246</v>
      </c>
      <c r="C116" s="28" t="s">
        <v>245</v>
      </c>
      <c r="D116" s="28" t="s">
        <v>41</v>
      </c>
      <c r="E116" s="4" t="s">
        <v>111</v>
      </c>
      <c r="F116" s="28" t="s">
        <v>67</v>
      </c>
      <c r="G116" s="4"/>
      <c r="H116" s="4">
        <f>SUMIFS(X!$F$5:$F$2005,X!$D$5:$D$2005,'CEK CICI'!A116)</f>
        <v>0</v>
      </c>
      <c r="I116" s="4">
        <f>SUMIFS(PENJUALAN!$E$4:$E$4288,PENJUALAN!$C$4:$C$4288,'CEK CICI'!A116)</f>
        <v>0</v>
      </c>
      <c r="J116" s="16">
        <f t="shared" si="2"/>
        <v>0</v>
      </c>
      <c r="K116" s="4"/>
      <c r="L116" s="4"/>
      <c r="M116" s="4"/>
      <c r="N116" s="4"/>
    </row>
    <row r="117" ht="13.5" hidden="1" customHeight="1">
      <c r="A117" s="4" t="str">
        <f t="shared" si="1"/>
        <v>LFW-SPARK05FY</v>
      </c>
      <c r="B117" s="29" t="s">
        <v>247</v>
      </c>
      <c r="C117" s="28" t="s">
        <v>248</v>
      </c>
      <c r="D117" s="28" t="s">
        <v>22</v>
      </c>
      <c r="E117" s="4" t="s">
        <v>111</v>
      </c>
      <c r="F117" s="28" t="s">
        <v>125</v>
      </c>
      <c r="G117" s="4"/>
      <c r="H117" s="4">
        <f>SUMIFS(X!$F$5:$F$2005,X!$D$5:$D$2005,'CEK CICI'!A117)</f>
        <v>0</v>
      </c>
      <c r="I117" s="4">
        <f>SUMIFS(PENJUALAN!$E$4:$E$4288,PENJUALAN!$C$4:$C$4288,'CEK CICI'!A117)</f>
        <v>0</v>
      </c>
      <c r="J117" s="16">
        <f t="shared" si="2"/>
        <v>0</v>
      </c>
      <c r="K117" s="4"/>
      <c r="L117" s="4"/>
      <c r="M117" s="4"/>
      <c r="N117" s="4"/>
    </row>
    <row r="118" ht="13.5" hidden="1" customHeight="1">
      <c r="A118" s="4" t="str">
        <f t="shared" si="1"/>
        <v>TRW-SPARK05FY</v>
      </c>
      <c r="B118" s="29" t="s">
        <v>249</v>
      </c>
      <c r="C118" s="28" t="s">
        <v>248</v>
      </c>
      <c r="D118" s="28" t="s">
        <v>41</v>
      </c>
      <c r="E118" s="4" t="s">
        <v>111</v>
      </c>
      <c r="F118" s="28" t="s">
        <v>67</v>
      </c>
      <c r="G118" s="4"/>
      <c r="H118" s="4">
        <f>SUMIFS(X!$F$5:$F$2005,X!$D$5:$D$2005,'CEK CICI'!A118)</f>
        <v>0</v>
      </c>
      <c r="I118" s="4">
        <f>SUMIFS(PENJUALAN!$E$4:$E$4288,PENJUALAN!$C$4:$C$4288,'CEK CICI'!A118)</f>
        <v>0</v>
      </c>
      <c r="J118" s="16">
        <f t="shared" si="2"/>
        <v>0</v>
      </c>
      <c r="K118" s="4"/>
      <c r="L118" s="4"/>
      <c r="M118" s="4"/>
      <c r="N118" s="4"/>
    </row>
    <row r="119" ht="13.5" hidden="1" customHeight="1">
      <c r="A119" s="4" t="str">
        <f t="shared" si="1"/>
        <v>FDL-SPARK05FY</v>
      </c>
      <c r="B119" s="29" t="s">
        <v>250</v>
      </c>
      <c r="C119" s="28" t="s">
        <v>248</v>
      </c>
      <c r="D119" s="28" t="s">
        <v>128</v>
      </c>
      <c r="E119" s="4" t="s">
        <v>111</v>
      </c>
      <c r="F119" s="28" t="s">
        <v>141</v>
      </c>
      <c r="G119" s="4"/>
      <c r="H119" s="4">
        <f>SUMIFS(X!$F$5:$F$2005,X!$D$5:$D$2005,'CEK CICI'!A119)</f>
        <v>0</v>
      </c>
      <c r="I119" s="4">
        <f>SUMIFS(PENJUALAN!$E$4:$E$4288,PENJUALAN!$C$4:$C$4288,'CEK CICI'!A119)</f>
        <v>0</v>
      </c>
      <c r="J119" s="16">
        <f t="shared" si="2"/>
        <v>0</v>
      </c>
      <c r="K119" s="4"/>
      <c r="L119" s="4"/>
      <c r="M119" s="4"/>
      <c r="N119" s="4"/>
    </row>
    <row r="120" ht="13.5" hidden="1" customHeight="1">
      <c r="A120" s="4" t="str">
        <f t="shared" si="1"/>
        <v>FDR-SPARK05FY</v>
      </c>
      <c r="B120" s="29" t="s">
        <v>251</v>
      </c>
      <c r="C120" s="28" t="s">
        <v>248</v>
      </c>
      <c r="D120" s="28" t="s">
        <v>130</v>
      </c>
      <c r="E120" s="4" t="s">
        <v>111</v>
      </c>
      <c r="F120" s="28" t="s">
        <v>141</v>
      </c>
      <c r="G120" s="4"/>
      <c r="H120" s="4">
        <f>SUMIFS(X!$F$5:$F$2005,X!$D$5:$D$2005,'CEK CICI'!A120)</f>
        <v>0</v>
      </c>
      <c r="I120" s="4">
        <f>SUMIFS(PENJUALAN!$E$4:$E$4288,PENJUALAN!$C$4:$C$4288,'CEK CICI'!A120)</f>
        <v>0</v>
      </c>
      <c r="J120" s="16">
        <f t="shared" si="2"/>
        <v>0</v>
      </c>
      <c r="K120" s="4"/>
      <c r="L120" s="4"/>
      <c r="M120" s="4"/>
      <c r="N120" s="4"/>
    </row>
    <row r="121" ht="13.5" hidden="1" customHeight="1">
      <c r="A121" s="4" t="str">
        <f t="shared" si="1"/>
        <v>RDR-SPARK05FY</v>
      </c>
      <c r="B121" s="29" t="s">
        <v>252</v>
      </c>
      <c r="C121" s="28" t="s">
        <v>248</v>
      </c>
      <c r="D121" s="28" t="s">
        <v>134</v>
      </c>
      <c r="E121" s="4" t="s">
        <v>111</v>
      </c>
      <c r="F121" s="28"/>
      <c r="G121" s="4"/>
      <c r="H121" s="4">
        <f>SUMIFS(X!$F$5:$F$2005,X!$D$5:$D$2005,'CEK CICI'!A121)</f>
        <v>0</v>
      </c>
      <c r="I121" s="4">
        <f>SUMIFS(PENJUALAN!$E$4:$E$4288,PENJUALAN!$C$4:$C$4288,'CEK CICI'!A121)</f>
        <v>0</v>
      </c>
      <c r="J121" s="16">
        <f t="shared" si="2"/>
        <v>0</v>
      </c>
      <c r="K121" s="4"/>
      <c r="L121" s="4"/>
      <c r="M121" s="4"/>
      <c r="N121" s="4"/>
    </row>
    <row r="122" ht="13.5" hidden="1" customHeight="1">
      <c r="A122" s="4" t="str">
        <f t="shared" si="1"/>
        <v>LFW-SPARK10FY</v>
      </c>
      <c r="B122" s="29" t="s">
        <v>253</v>
      </c>
      <c r="C122" s="28" t="s">
        <v>254</v>
      </c>
      <c r="D122" s="28" t="s">
        <v>22</v>
      </c>
      <c r="E122" s="4" t="s">
        <v>111</v>
      </c>
      <c r="F122" s="28" t="s">
        <v>125</v>
      </c>
      <c r="G122" s="4"/>
      <c r="H122" s="4">
        <f>SUMIFS(X!$F$5:$F$2005,X!$D$5:$D$2005,'CEK CICI'!A122)</f>
        <v>0</v>
      </c>
      <c r="I122" s="4">
        <f>SUMIFS(PENJUALAN!$E$4:$E$4288,PENJUALAN!$C$4:$C$4288,'CEK CICI'!A122)</f>
        <v>0</v>
      </c>
      <c r="J122" s="16">
        <f t="shared" si="2"/>
        <v>0</v>
      </c>
      <c r="K122" s="4"/>
      <c r="L122" s="4"/>
      <c r="M122" s="4"/>
      <c r="N122" s="4"/>
    </row>
    <row r="123" ht="13.5" hidden="1" customHeight="1">
      <c r="A123" s="4" t="str">
        <f t="shared" si="1"/>
        <v>TRW-SPARK10FY</v>
      </c>
      <c r="B123" s="29" t="s">
        <v>255</v>
      </c>
      <c r="C123" s="28" t="s">
        <v>254</v>
      </c>
      <c r="D123" s="28" t="s">
        <v>41</v>
      </c>
      <c r="E123" s="4" t="s">
        <v>111</v>
      </c>
      <c r="F123" s="28" t="s">
        <v>67</v>
      </c>
      <c r="G123" s="4"/>
      <c r="H123" s="4">
        <f>SUMIFS(X!$F$5:$F$2005,X!$D$5:$D$2005,'CEK CICI'!A123)</f>
        <v>0</v>
      </c>
      <c r="I123" s="4">
        <f>SUMIFS(PENJUALAN!$E$4:$E$4288,PENJUALAN!$C$4:$C$4288,'CEK CICI'!A123)</f>
        <v>0</v>
      </c>
      <c r="J123" s="16">
        <f t="shared" si="2"/>
        <v>0</v>
      </c>
      <c r="K123" s="4"/>
      <c r="L123" s="4"/>
      <c r="M123" s="4"/>
      <c r="N123" s="4"/>
    </row>
    <row r="124" ht="13.5" hidden="1" customHeight="1">
      <c r="A124" s="4" t="str">
        <f t="shared" si="1"/>
        <v>FDL-SPARK10FY</v>
      </c>
      <c r="B124" s="29" t="s">
        <v>256</v>
      </c>
      <c r="C124" s="28" t="s">
        <v>254</v>
      </c>
      <c r="D124" s="28" t="s">
        <v>128</v>
      </c>
      <c r="E124" s="4" t="s">
        <v>111</v>
      </c>
      <c r="F124" s="28" t="s">
        <v>141</v>
      </c>
      <c r="G124" s="4"/>
      <c r="H124" s="4">
        <f>SUMIFS(X!$F$5:$F$2005,X!$D$5:$D$2005,'CEK CICI'!A124)</f>
        <v>0</v>
      </c>
      <c r="I124" s="4">
        <f>SUMIFS(PENJUALAN!$E$4:$E$4288,PENJUALAN!$C$4:$C$4288,'CEK CICI'!A124)</f>
        <v>0</v>
      </c>
      <c r="J124" s="16">
        <f t="shared" si="2"/>
        <v>0</v>
      </c>
      <c r="K124" s="4"/>
      <c r="L124" s="4"/>
      <c r="M124" s="4"/>
      <c r="N124" s="4"/>
    </row>
    <row r="125" ht="13.5" hidden="1" customHeight="1">
      <c r="A125" s="4" t="str">
        <f t="shared" si="1"/>
        <v>FDR-SPARK10FY</v>
      </c>
      <c r="B125" s="29" t="s">
        <v>257</v>
      </c>
      <c r="C125" s="28" t="s">
        <v>254</v>
      </c>
      <c r="D125" s="28" t="s">
        <v>130</v>
      </c>
      <c r="E125" s="4" t="s">
        <v>111</v>
      </c>
      <c r="F125" s="28" t="s">
        <v>141</v>
      </c>
      <c r="G125" s="4"/>
      <c r="H125" s="4">
        <f>SUMIFS(X!$F$5:$F$2005,X!$D$5:$D$2005,'CEK CICI'!A125)</f>
        <v>0</v>
      </c>
      <c r="I125" s="4">
        <f>SUMIFS(PENJUALAN!$E$4:$E$4288,PENJUALAN!$C$4:$C$4288,'CEK CICI'!A125)</f>
        <v>0</v>
      </c>
      <c r="J125" s="16">
        <f t="shared" si="2"/>
        <v>0</v>
      </c>
      <c r="K125" s="4"/>
      <c r="L125" s="4"/>
      <c r="M125" s="4"/>
      <c r="N125" s="4"/>
    </row>
    <row r="126" ht="13.5" hidden="1" customHeight="1">
      <c r="A126" s="4" t="str">
        <f t="shared" si="1"/>
        <v>RDL-SPARK10FY</v>
      </c>
      <c r="B126" s="29" t="s">
        <v>258</v>
      </c>
      <c r="C126" s="28" t="s">
        <v>254</v>
      </c>
      <c r="D126" s="28" t="s">
        <v>132</v>
      </c>
      <c r="E126" s="4" t="s">
        <v>111</v>
      </c>
      <c r="F126" s="28" t="s">
        <v>141</v>
      </c>
      <c r="G126" s="4"/>
      <c r="H126" s="4">
        <f>SUMIFS(X!$F$5:$F$2005,X!$D$5:$D$2005,'CEK CICI'!A126)</f>
        <v>0</v>
      </c>
      <c r="I126" s="4">
        <f>SUMIFS(PENJUALAN!$E$4:$E$4288,PENJUALAN!$C$4:$C$4288,'CEK CICI'!A126)</f>
        <v>0</v>
      </c>
      <c r="J126" s="16">
        <f t="shared" si="2"/>
        <v>0</v>
      </c>
      <c r="K126" s="4"/>
      <c r="L126" s="4"/>
      <c r="M126" s="4"/>
      <c r="N126" s="4"/>
    </row>
    <row r="127" ht="13.5" hidden="1" customHeight="1">
      <c r="A127" s="4" t="str">
        <f t="shared" si="1"/>
        <v>RDR-SPARK10FY</v>
      </c>
      <c r="B127" s="29" t="s">
        <v>259</v>
      </c>
      <c r="C127" s="28" t="s">
        <v>254</v>
      </c>
      <c r="D127" s="28" t="s">
        <v>134</v>
      </c>
      <c r="E127" s="4" t="s">
        <v>111</v>
      </c>
      <c r="F127" s="28" t="s">
        <v>141</v>
      </c>
      <c r="G127" s="4"/>
      <c r="H127" s="4">
        <f>SUMIFS(X!$F$5:$F$2005,X!$D$5:$D$2005,'CEK CICI'!A127)</f>
        <v>0</v>
      </c>
      <c r="I127" s="4">
        <f>SUMIFS(PENJUALAN!$E$4:$E$4288,PENJUALAN!$C$4:$C$4288,'CEK CICI'!A127)</f>
        <v>0</v>
      </c>
      <c r="J127" s="16">
        <f t="shared" si="2"/>
        <v>0</v>
      </c>
      <c r="K127" s="4"/>
      <c r="L127" s="4"/>
      <c r="M127" s="4"/>
      <c r="N127" s="4"/>
    </row>
    <row r="128" ht="13.5" hidden="1" customHeight="1">
      <c r="A128" s="4" t="str">
        <f t="shared" si="1"/>
        <v>LFW-SPINFY</v>
      </c>
      <c r="B128" s="29" t="s">
        <v>260</v>
      </c>
      <c r="C128" s="28" t="s">
        <v>261</v>
      </c>
      <c r="D128" s="28" t="s">
        <v>22</v>
      </c>
      <c r="E128" s="4" t="s">
        <v>111</v>
      </c>
      <c r="F128" s="28" t="s">
        <v>125</v>
      </c>
      <c r="G128" s="4"/>
      <c r="H128" s="4">
        <f>SUMIFS(X!$F$5:$F$2005,X!$D$5:$D$2005,'CEK CICI'!A128)</f>
        <v>0</v>
      </c>
      <c r="I128" s="4">
        <f>SUMIFS(PENJUALAN!$E$4:$E$4288,PENJUALAN!$C$4:$C$4288,'CEK CICI'!A128)</f>
        <v>0</v>
      </c>
      <c r="J128" s="16">
        <f t="shared" si="2"/>
        <v>0</v>
      </c>
      <c r="K128" s="4"/>
      <c r="L128" s="4"/>
      <c r="M128" s="4"/>
      <c r="N128" s="4"/>
    </row>
    <row r="129" ht="13.5" hidden="1" customHeight="1">
      <c r="A129" s="4" t="str">
        <f t="shared" si="1"/>
        <v>RDL-TRAILBLAZERFY</v>
      </c>
      <c r="B129" s="29" t="s">
        <v>262</v>
      </c>
      <c r="C129" s="28" t="s">
        <v>263</v>
      </c>
      <c r="D129" s="28" t="s">
        <v>132</v>
      </c>
      <c r="E129" s="4" t="s">
        <v>111</v>
      </c>
      <c r="F129" s="28"/>
      <c r="G129" s="4"/>
      <c r="H129" s="4">
        <f>SUMIFS(X!$F$5:$F$2005,X!$D$5:$D$2005,'CEK CICI'!A129)</f>
        <v>0</v>
      </c>
      <c r="I129" s="4">
        <f>SUMIFS(PENJUALAN!$E$4:$E$4288,PENJUALAN!$C$4:$C$4288,'CEK CICI'!A129)</f>
        <v>0</v>
      </c>
      <c r="J129" s="16">
        <f t="shared" si="2"/>
        <v>0</v>
      </c>
      <c r="K129" s="4"/>
      <c r="L129" s="4"/>
      <c r="M129" s="4"/>
      <c r="N129" s="4"/>
    </row>
    <row r="130" ht="13.5" hidden="1" customHeight="1">
      <c r="A130" s="4" t="str">
        <f t="shared" si="1"/>
        <v>RDR-TRAILBLAZERFY</v>
      </c>
      <c r="B130" s="29" t="s">
        <v>264</v>
      </c>
      <c r="C130" s="28" t="s">
        <v>263</v>
      </c>
      <c r="D130" s="28" t="s">
        <v>134</v>
      </c>
      <c r="E130" s="4" t="s">
        <v>111</v>
      </c>
      <c r="F130" s="28"/>
      <c r="G130" s="4"/>
      <c r="H130" s="4">
        <f>SUMIFS(X!$F$5:$F$2005,X!$D$5:$D$2005,'CEK CICI'!A130)</f>
        <v>0</v>
      </c>
      <c r="I130" s="4">
        <f>SUMIFS(PENJUALAN!$E$4:$E$4288,PENJUALAN!$C$4:$C$4288,'CEK CICI'!A130)</f>
        <v>0</v>
      </c>
      <c r="J130" s="16">
        <f t="shared" si="2"/>
        <v>0</v>
      </c>
      <c r="K130" s="4"/>
      <c r="L130" s="4"/>
      <c r="M130" s="4"/>
      <c r="N130" s="4"/>
    </row>
    <row r="131" ht="13.5" hidden="1" customHeight="1">
      <c r="A131" s="4" t="str">
        <f t="shared" si="1"/>
        <v>TRW-TRAILBLAZERFY</v>
      </c>
      <c r="B131" s="29" t="s">
        <v>265</v>
      </c>
      <c r="C131" s="28" t="s">
        <v>266</v>
      </c>
      <c r="D131" s="28" t="s">
        <v>41</v>
      </c>
      <c r="E131" s="4" t="s">
        <v>111</v>
      </c>
      <c r="F131" s="28" t="s">
        <v>221</v>
      </c>
      <c r="G131" s="4"/>
      <c r="H131" s="4">
        <f>SUMIFS(X!$F$5:$F$2005,X!$D$5:$D$2005,'CEK CICI'!A131)</f>
        <v>0</v>
      </c>
      <c r="I131" s="4">
        <f>SUMIFS(PENJUALAN!$E$4:$E$4288,PENJUALAN!$C$4:$C$4288,'CEK CICI'!A131)</f>
        <v>0</v>
      </c>
      <c r="J131" s="16">
        <f t="shared" si="2"/>
        <v>0</v>
      </c>
      <c r="K131" s="4"/>
      <c r="L131" s="4"/>
      <c r="M131" s="4"/>
      <c r="N131" s="4"/>
    </row>
    <row r="132" ht="13.5" hidden="1" customHeight="1">
      <c r="A132" s="4" t="str">
        <f t="shared" si="1"/>
        <v>LFW-TRAXFY</v>
      </c>
      <c r="B132" s="29" t="s">
        <v>267</v>
      </c>
      <c r="C132" s="28" t="s">
        <v>268</v>
      </c>
      <c r="D132" s="28" t="s">
        <v>22</v>
      </c>
      <c r="E132" s="4" t="s">
        <v>111</v>
      </c>
      <c r="F132" s="28" t="s">
        <v>125</v>
      </c>
      <c r="G132" s="4"/>
      <c r="H132" s="4">
        <f>SUMIFS(X!$F$5:$F$2005,X!$D$5:$D$2005,'CEK CICI'!A132)</f>
        <v>0</v>
      </c>
      <c r="I132" s="4">
        <f>SUMIFS(PENJUALAN!$E$4:$E$4288,PENJUALAN!$C$4:$C$4288,'CEK CICI'!A132)</f>
        <v>0</v>
      </c>
      <c r="J132" s="16">
        <f t="shared" si="2"/>
        <v>0</v>
      </c>
      <c r="K132" s="4"/>
      <c r="L132" s="4"/>
      <c r="M132" s="4"/>
      <c r="N132" s="4"/>
    </row>
    <row r="133" ht="13.5" hidden="1" customHeight="1">
      <c r="A133" s="4" t="str">
        <f t="shared" si="1"/>
        <v>TRW-TRAXFY</v>
      </c>
      <c r="B133" s="29" t="s">
        <v>269</v>
      </c>
      <c r="C133" s="28" t="s">
        <v>270</v>
      </c>
      <c r="D133" s="28" t="s">
        <v>41</v>
      </c>
      <c r="E133" s="4" t="s">
        <v>111</v>
      </c>
      <c r="F133" s="28" t="s">
        <v>221</v>
      </c>
      <c r="G133" s="4"/>
      <c r="H133" s="4">
        <f>SUMIFS(X!$F$5:$F$2005,X!$D$5:$D$2005,'CEK CICI'!A133)</f>
        <v>0</v>
      </c>
      <c r="I133" s="4">
        <f>SUMIFS(PENJUALAN!$E$4:$E$4288,PENJUALAN!$C$4:$C$4288,'CEK CICI'!A133)</f>
        <v>0</v>
      </c>
      <c r="J133" s="16">
        <f t="shared" si="2"/>
        <v>0</v>
      </c>
      <c r="K133" s="4"/>
      <c r="L133" s="4"/>
      <c r="M133" s="4"/>
      <c r="N133" s="4"/>
    </row>
    <row r="134" ht="13.5" hidden="1" customHeight="1">
      <c r="A134" s="4" t="str">
        <f t="shared" si="1"/>
        <v>LFW-ZAFIRAFY</v>
      </c>
      <c r="B134" s="29" t="s">
        <v>271</v>
      </c>
      <c r="C134" s="28" t="s">
        <v>272</v>
      </c>
      <c r="D134" s="28" t="s">
        <v>22</v>
      </c>
      <c r="E134" s="4" t="s">
        <v>111</v>
      </c>
      <c r="F134" s="28" t="s">
        <v>125</v>
      </c>
      <c r="G134" s="4"/>
      <c r="H134" s="4">
        <f>SUMIFS(X!$F$5:$F$2005,X!$D$5:$D$2005,'CEK CICI'!A134)</f>
        <v>0</v>
      </c>
      <c r="I134" s="4">
        <f>SUMIFS(PENJUALAN!$E$4:$E$4288,PENJUALAN!$C$4:$C$4288,'CEK CICI'!A134)</f>
        <v>0</v>
      </c>
      <c r="J134" s="16">
        <f t="shared" si="2"/>
        <v>0</v>
      </c>
      <c r="K134" s="4"/>
      <c r="L134" s="4"/>
      <c r="M134" s="4"/>
      <c r="N134" s="4"/>
    </row>
    <row r="135" ht="13.5" hidden="1" customHeight="1">
      <c r="A135" s="4" t="str">
        <f t="shared" si="1"/>
        <v>TRW-ZAFIRAFY</v>
      </c>
      <c r="B135" s="29" t="s">
        <v>273</v>
      </c>
      <c r="C135" s="28" t="s">
        <v>272</v>
      </c>
      <c r="D135" s="28" t="s">
        <v>41</v>
      </c>
      <c r="E135" s="4" t="s">
        <v>111</v>
      </c>
      <c r="F135" s="28" t="s">
        <v>67</v>
      </c>
      <c r="G135" s="4"/>
      <c r="H135" s="4">
        <f>SUMIFS(X!$F$5:$F$2005,X!$D$5:$D$2005,'CEK CICI'!A135)</f>
        <v>0</v>
      </c>
      <c r="I135" s="4">
        <f>SUMIFS(PENJUALAN!$E$4:$E$4288,PENJUALAN!$C$4:$C$4288,'CEK CICI'!A135)</f>
        <v>0</v>
      </c>
      <c r="J135" s="16">
        <f t="shared" si="2"/>
        <v>0</v>
      </c>
      <c r="K135" s="4"/>
      <c r="L135" s="4"/>
      <c r="M135" s="4"/>
      <c r="N135" s="4"/>
    </row>
    <row r="136" ht="13.5" hidden="1" customHeight="1">
      <c r="A136" s="4" t="str">
        <f t="shared" si="1"/>
        <v>LFW-GRANMAXFY</v>
      </c>
      <c r="B136" s="29" t="s">
        <v>274</v>
      </c>
      <c r="C136" s="28" t="s">
        <v>275</v>
      </c>
      <c r="D136" s="28" t="s">
        <v>22</v>
      </c>
      <c r="E136" s="4" t="s">
        <v>111</v>
      </c>
      <c r="F136" s="28" t="s">
        <v>97</v>
      </c>
      <c r="G136" s="4"/>
      <c r="H136" s="4">
        <f>SUMIFS(X!$F$5:$F$2005,X!$D$5:$D$2005,'CEK CICI'!A136)</f>
        <v>0</v>
      </c>
      <c r="I136" s="4">
        <f>SUMIFS(PENJUALAN!$E$4:$E$4288,PENJUALAN!$C$4:$C$4288,'CEK CICI'!A136)</f>
        <v>0</v>
      </c>
      <c r="J136" s="16">
        <f t="shared" si="2"/>
        <v>0</v>
      </c>
      <c r="K136" s="4"/>
      <c r="L136" s="4"/>
      <c r="M136" s="4"/>
      <c r="N136" s="4"/>
    </row>
    <row r="137" ht="13.5" hidden="1" customHeight="1">
      <c r="A137" s="4" t="str">
        <f t="shared" si="1"/>
        <v>TRW-SIRION1FY</v>
      </c>
      <c r="B137" s="29" t="s">
        <v>276</v>
      </c>
      <c r="C137" s="28" t="s">
        <v>277</v>
      </c>
      <c r="D137" s="28" t="s">
        <v>41</v>
      </c>
      <c r="E137" s="4" t="s">
        <v>111</v>
      </c>
      <c r="F137" s="28" t="s">
        <v>67</v>
      </c>
      <c r="G137" s="4"/>
      <c r="H137" s="4">
        <f>SUMIFS(X!$F$5:$F$2005,X!$D$5:$D$2005,'CEK CICI'!A137)</f>
        <v>0</v>
      </c>
      <c r="I137" s="4">
        <f>SUMIFS(PENJUALAN!$E$4:$E$4288,PENJUALAN!$C$4:$C$4288,'CEK CICI'!A137)</f>
        <v>0</v>
      </c>
      <c r="J137" s="16">
        <f t="shared" si="2"/>
        <v>0</v>
      </c>
      <c r="K137" s="4"/>
      <c r="L137" s="4"/>
      <c r="M137" s="4"/>
      <c r="N137" s="4"/>
    </row>
    <row r="138" ht="13.5" hidden="1" customHeight="1">
      <c r="A138" s="4" t="str">
        <f t="shared" si="1"/>
        <v>LFW-YRVFY</v>
      </c>
      <c r="B138" s="29" t="s">
        <v>278</v>
      </c>
      <c r="C138" s="28" t="s">
        <v>279</v>
      </c>
      <c r="D138" s="28" t="s">
        <v>22</v>
      </c>
      <c r="E138" s="4" t="s">
        <v>111</v>
      </c>
      <c r="F138" s="28" t="s">
        <v>97</v>
      </c>
      <c r="G138" s="4"/>
      <c r="H138" s="4">
        <f>SUMIFS(X!$F$5:$F$2005,X!$D$5:$D$2005,'CEK CICI'!A138)</f>
        <v>0</v>
      </c>
      <c r="I138" s="4">
        <f>SUMIFS(PENJUALAN!$E$4:$E$4288,PENJUALAN!$C$4:$C$4288,'CEK CICI'!A138)</f>
        <v>0</v>
      </c>
      <c r="J138" s="16">
        <f t="shared" si="2"/>
        <v>0</v>
      </c>
      <c r="K138" s="4"/>
      <c r="L138" s="4"/>
      <c r="M138" s="4"/>
      <c r="N138" s="4"/>
    </row>
    <row r="139" ht="13.5" hidden="1" customHeight="1">
      <c r="A139" s="4" t="str">
        <f t="shared" si="1"/>
        <v>LFW-DODGEFY</v>
      </c>
      <c r="B139" s="29" t="s">
        <v>280</v>
      </c>
      <c r="C139" s="28" t="s">
        <v>281</v>
      </c>
      <c r="D139" s="28" t="s">
        <v>22</v>
      </c>
      <c r="E139" s="4" t="s">
        <v>111</v>
      </c>
      <c r="F139" s="28" t="s">
        <v>125</v>
      </c>
      <c r="G139" s="4"/>
      <c r="H139" s="4">
        <f>SUMIFS(X!$F$5:$F$2005,X!$D$5:$D$2005,'CEK CICI'!A139)</f>
        <v>0</v>
      </c>
      <c r="I139" s="4">
        <f>SUMIFS(PENJUALAN!$E$4:$E$4288,PENJUALAN!$C$4:$C$4288,'CEK CICI'!A139)</f>
        <v>0</v>
      </c>
      <c r="J139" s="16">
        <f t="shared" si="2"/>
        <v>0</v>
      </c>
      <c r="K139" s="4"/>
      <c r="L139" s="4"/>
      <c r="M139" s="4"/>
      <c r="N139" s="4"/>
    </row>
    <row r="140" ht="13.5" hidden="1" customHeight="1">
      <c r="A140" s="4" t="str">
        <f t="shared" si="1"/>
        <v>TRW-DODGEFY</v>
      </c>
      <c r="B140" s="29" t="s">
        <v>282</v>
      </c>
      <c r="C140" s="28" t="s">
        <v>281</v>
      </c>
      <c r="D140" s="28" t="s">
        <v>41</v>
      </c>
      <c r="E140" s="4" t="s">
        <v>111</v>
      </c>
      <c r="F140" s="28" t="s">
        <v>67</v>
      </c>
      <c r="G140" s="4"/>
      <c r="H140" s="4">
        <f>SUMIFS(X!$F$5:$F$2005,X!$D$5:$D$2005,'CEK CICI'!A140)</f>
        <v>0</v>
      </c>
      <c r="I140" s="4">
        <f>SUMIFS(PENJUALAN!$E$4:$E$4288,PENJUALAN!$C$4:$C$4288,'CEK CICI'!A140)</f>
        <v>0</v>
      </c>
      <c r="J140" s="16">
        <f t="shared" si="2"/>
        <v>0</v>
      </c>
      <c r="K140" s="4"/>
      <c r="L140" s="4"/>
      <c r="M140" s="4"/>
      <c r="N140" s="4"/>
    </row>
    <row r="141" ht="13.5" hidden="1" customHeight="1">
      <c r="A141" s="4" t="str">
        <f t="shared" si="1"/>
        <v>LFW-ECOSPORTFY</v>
      </c>
      <c r="B141" s="29" t="s">
        <v>283</v>
      </c>
      <c r="C141" s="28" t="s">
        <v>284</v>
      </c>
      <c r="D141" s="28" t="s">
        <v>22</v>
      </c>
      <c r="E141" s="4" t="s">
        <v>111</v>
      </c>
      <c r="F141" s="28" t="s">
        <v>125</v>
      </c>
      <c r="G141" s="4"/>
      <c r="H141" s="4">
        <f>SUMIFS(X!$F$5:$F$2005,X!$D$5:$D$2005,'CEK CICI'!A141)</f>
        <v>0</v>
      </c>
      <c r="I141" s="4">
        <f>SUMIFS(PENJUALAN!$E$4:$E$4288,PENJUALAN!$C$4:$C$4288,'CEK CICI'!A141)</f>
        <v>0</v>
      </c>
      <c r="J141" s="16">
        <f t="shared" si="2"/>
        <v>0</v>
      </c>
      <c r="K141" s="4"/>
      <c r="L141" s="4"/>
      <c r="M141" s="4"/>
      <c r="N141" s="4"/>
    </row>
    <row r="142" ht="13.5" hidden="1" customHeight="1">
      <c r="A142" s="4" t="str">
        <f t="shared" si="1"/>
        <v>LFW-ECOSPORTRSFY</v>
      </c>
      <c r="B142" s="29" t="s">
        <v>285</v>
      </c>
      <c r="C142" s="28" t="s">
        <v>284</v>
      </c>
      <c r="D142" s="28" t="s">
        <v>22</v>
      </c>
      <c r="E142" s="4" t="s">
        <v>111</v>
      </c>
      <c r="F142" s="28" t="s">
        <v>75</v>
      </c>
      <c r="G142" s="4"/>
      <c r="H142" s="4">
        <f>SUMIFS(X!$F$5:$F$2005,X!$D$5:$D$2005,'CEK CICI'!A142)</f>
        <v>0</v>
      </c>
      <c r="I142" s="4">
        <f>SUMIFS(PENJUALAN!$E$4:$E$4288,PENJUALAN!$C$4:$C$4288,'CEK CICI'!A142)</f>
        <v>0</v>
      </c>
      <c r="J142" s="16">
        <f t="shared" si="2"/>
        <v>0</v>
      </c>
      <c r="K142" s="4"/>
      <c r="L142" s="4"/>
      <c r="M142" s="4"/>
      <c r="N142" s="4"/>
    </row>
    <row r="143" ht="13.5" hidden="1" customHeight="1">
      <c r="A143" s="4" t="str">
        <f t="shared" si="1"/>
        <v>TRW-ECOSPORTFY</v>
      </c>
      <c r="B143" s="29" t="s">
        <v>286</v>
      </c>
      <c r="C143" s="28" t="s">
        <v>284</v>
      </c>
      <c r="D143" s="28" t="s">
        <v>41</v>
      </c>
      <c r="E143" s="4" t="s">
        <v>111</v>
      </c>
      <c r="F143" s="28" t="s">
        <v>221</v>
      </c>
      <c r="G143" s="4"/>
      <c r="H143" s="4">
        <f>SUMIFS(X!$F$5:$F$2005,X!$D$5:$D$2005,'CEK CICI'!A143)</f>
        <v>0</v>
      </c>
      <c r="I143" s="4">
        <f>SUMIFS(PENJUALAN!$E$4:$E$4288,PENJUALAN!$C$4:$C$4288,'CEK CICI'!A143)</f>
        <v>0</v>
      </c>
      <c r="J143" s="16">
        <f t="shared" si="2"/>
        <v>0</v>
      </c>
      <c r="K143" s="4"/>
      <c r="L143" s="4"/>
      <c r="M143" s="4"/>
      <c r="N143" s="4"/>
    </row>
    <row r="144" ht="13.5" hidden="1" customHeight="1">
      <c r="A144" s="4" t="str">
        <f t="shared" si="1"/>
        <v>FDL-ECOSPORTFY</v>
      </c>
      <c r="B144" s="29" t="s">
        <v>287</v>
      </c>
      <c r="C144" s="28" t="s">
        <v>284</v>
      </c>
      <c r="D144" s="28" t="s">
        <v>128</v>
      </c>
      <c r="E144" s="4" t="s">
        <v>111</v>
      </c>
      <c r="F144" s="28"/>
      <c r="G144" s="4"/>
      <c r="H144" s="4">
        <f>SUMIFS(X!$F$5:$F$2005,X!$D$5:$D$2005,'CEK CICI'!A144)</f>
        <v>0</v>
      </c>
      <c r="I144" s="4">
        <f>SUMIFS(PENJUALAN!$E$4:$E$4288,PENJUALAN!$C$4:$C$4288,'CEK CICI'!A144)</f>
        <v>0</v>
      </c>
      <c r="J144" s="16">
        <f t="shared" si="2"/>
        <v>0</v>
      </c>
      <c r="K144" s="4"/>
      <c r="L144" s="4"/>
      <c r="M144" s="4"/>
      <c r="N144" s="4"/>
    </row>
    <row r="145" ht="13.5" hidden="1" customHeight="1">
      <c r="A145" s="4" t="str">
        <f t="shared" si="1"/>
        <v>FDR-ECOSPORTFY</v>
      </c>
      <c r="B145" s="29" t="s">
        <v>288</v>
      </c>
      <c r="C145" s="28" t="s">
        <v>284</v>
      </c>
      <c r="D145" s="28" t="s">
        <v>130</v>
      </c>
      <c r="E145" s="4" t="s">
        <v>111</v>
      </c>
      <c r="F145" s="28"/>
      <c r="G145" s="4"/>
      <c r="H145" s="4">
        <f>SUMIFS(X!$F$5:$F$2005,X!$D$5:$D$2005,'CEK CICI'!A145)</f>
        <v>0</v>
      </c>
      <c r="I145" s="4">
        <f>SUMIFS(PENJUALAN!$E$4:$E$4288,PENJUALAN!$C$4:$C$4288,'CEK CICI'!A145)</f>
        <v>0</v>
      </c>
      <c r="J145" s="16">
        <f t="shared" si="2"/>
        <v>0</v>
      </c>
      <c r="K145" s="4"/>
      <c r="L145" s="4"/>
      <c r="M145" s="4"/>
      <c r="N145" s="4"/>
    </row>
    <row r="146" ht="13.5" hidden="1" customHeight="1">
      <c r="A146" s="4" t="str">
        <f t="shared" si="1"/>
        <v>RDL-ECOSPORTFY</v>
      </c>
      <c r="B146" s="29" t="s">
        <v>289</v>
      </c>
      <c r="C146" s="28" t="s">
        <v>284</v>
      </c>
      <c r="D146" s="28" t="s">
        <v>132</v>
      </c>
      <c r="E146" s="4" t="s">
        <v>111</v>
      </c>
      <c r="F146" s="28" t="s">
        <v>144</v>
      </c>
      <c r="G146" s="4"/>
      <c r="H146" s="4">
        <f>SUMIFS(X!$F$5:$F$2005,X!$D$5:$D$2005,'CEK CICI'!A146)</f>
        <v>0</v>
      </c>
      <c r="I146" s="4">
        <f>SUMIFS(PENJUALAN!$E$4:$E$4288,PENJUALAN!$C$4:$C$4288,'CEK CICI'!A146)</f>
        <v>0</v>
      </c>
      <c r="J146" s="16">
        <f t="shared" si="2"/>
        <v>0</v>
      </c>
      <c r="K146" s="4"/>
      <c r="L146" s="4"/>
      <c r="M146" s="4"/>
      <c r="N146" s="4"/>
    </row>
    <row r="147" ht="13.5" hidden="1" customHeight="1">
      <c r="A147" s="4" t="str">
        <f t="shared" si="1"/>
        <v>RDR-ECOSPORTFY</v>
      </c>
      <c r="B147" s="29" t="s">
        <v>290</v>
      </c>
      <c r="C147" s="28" t="s">
        <v>284</v>
      </c>
      <c r="D147" s="28" t="s">
        <v>134</v>
      </c>
      <c r="E147" s="4" t="s">
        <v>111</v>
      </c>
      <c r="F147" s="28" t="s">
        <v>144</v>
      </c>
      <c r="G147" s="4"/>
      <c r="H147" s="4">
        <f>SUMIFS(X!$F$5:$F$2005,X!$D$5:$D$2005,'CEK CICI'!A147)</f>
        <v>0</v>
      </c>
      <c r="I147" s="4">
        <f>SUMIFS(PENJUALAN!$E$4:$E$4288,PENJUALAN!$C$4:$C$4288,'CEK CICI'!A147)</f>
        <v>0</v>
      </c>
      <c r="J147" s="16">
        <f t="shared" si="2"/>
        <v>0</v>
      </c>
      <c r="K147" s="4"/>
      <c r="L147" s="4"/>
      <c r="M147" s="4"/>
      <c r="N147" s="4"/>
    </row>
    <row r="148" ht="13.5" hidden="1" customHeight="1">
      <c r="A148" s="4" t="str">
        <f t="shared" si="1"/>
        <v>LFW-ESCAPEFY</v>
      </c>
      <c r="B148" s="29" t="s">
        <v>291</v>
      </c>
      <c r="C148" s="28" t="s">
        <v>292</v>
      </c>
      <c r="D148" s="28" t="s">
        <v>22</v>
      </c>
      <c r="E148" s="4" t="s">
        <v>111</v>
      </c>
      <c r="F148" s="28" t="s">
        <v>125</v>
      </c>
      <c r="G148" s="4"/>
      <c r="H148" s="4">
        <f>SUMIFS(X!$F$5:$F$2005,X!$D$5:$D$2005,'CEK CICI'!A148)</f>
        <v>0</v>
      </c>
      <c r="I148" s="4">
        <f>SUMIFS(PENJUALAN!$E$4:$E$4288,PENJUALAN!$C$4:$C$4288,'CEK CICI'!A148)</f>
        <v>0</v>
      </c>
      <c r="J148" s="16">
        <f t="shared" si="2"/>
        <v>0</v>
      </c>
      <c r="K148" s="4"/>
      <c r="L148" s="4"/>
      <c r="M148" s="4"/>
      <c r="N148" s="4"/>
    </row>
    <row r="149" ht="13.5" hidden="1" customHeight="1">
      <c r="A149" s="4" t="str">
        <f t="shared" si="1"/>
        <v>TRW-ESCAPEFY</v>
      </c>
      <c r="B149" s="29" t="s">
        <v>293</v>
      </c>
      <c r="C149" s="28" t="s">
        <v>292</v>
      </c>
      <c r="D149" s="28" t="s">
        <v>41</v>
      </c>
      <c r="E149" s="4" t="s">
        <v>111</v>
      </c>
      <c r="F149" s="28" t="s">
        <v>227</v>
      </c>
      <c r="G149" s="4"/>
      <c r="H149" s="4">
        <f>SUMIFS(X!$F$5:$F$2005,X!$D$5:$D$2005,'CEK CICI'!A149)</f>
        <v>0</v>
      </c>
      <c r="I149" s="4">
        <f>SUMIFS(PENJUALAN!$E$4:$E$4288,PENJUALAN!$C$4:$C$4288,'CEK CICI'!A149)</f>
        <v>0</v>
      </c>
      <c r="J149" s="16">
        <f t="shared" si="2"/>
        <v>0</v>
      </c>
      <c r="K149" s="4"/>
      <c r="L149" s="4"/>
      <c r="M149" s="4"/>
      <c r="N149" s="4"/>
    </row>
    <row r="150" ht="13.5" hidden="1" customHeight="1">
      <c r="A150" s="4" t="str">
        <f t="shared" si="1"/>
        <v>LFW-RANGER04FY</v>
      </c>
      <c r="B150" s="29" t="s">
        <v>294</v>
      </c>
      <c r="C150" s="28" t="s">
        <v>295</v>
      </c>
      <c r="D150" s="28" t="s">
        <v>22</v>
      </c>
      <c r="E150" s="4" t="s">
        <v>111</v>
      </c>
      <c r="F150" s="28" t="s">
        <v>97</v>
      </c>
      <c r="G150" s="4"/>
      <c r="H150" s="4">
        <f>SUMIFS(X!$F$5:$F$2005,X!$D$5:$D$2005,'CEK CICI'!A150)</f>
        <v>0</v>
      </c>
      <c r="I150" s="4">
        <f>SUMIFS(PENJUALAN!$E$4:$E$4288,PENJUALAN!$C$4:$C$4288,'CEK CICI'!A150)</f>
        <v>0</v>
      </c>
      <c r="J150" s="16">
        <f t="shared" si="2"/>
        <v>0</v>
      </c>
      <c r="K150" s="4"/>
      <c r="L150" s="4"/>
      <c r="M150" s="4"/>
      <c r="N150" s="4"/>
    </row>
    <row r="151" ht="13.5" hidden="1" customHeight="1">
      <c r="A151" s="4" t="str">
        <f t="shared" si="1"/>
        <v>TRW-EVERESTFY</v>
      </c>
      <c r="B151" s="29" t="s">
        <v>296</v>
      </c>
      <c r="C151" s="28" t="s">
        <v>297</v>
      </c>
      <c r="D151" s="28" t="s">
        <v>41</v>
      </c>
      <c r="E151" s="4" t="s">
        <v>111</v>
      </c>
      <c r="F151" s="28" t="s">
        <v>67</v>
      </c>
      <c r="G151" s="4"/>
      <c r="H151" s="4">
        <f>SUMIFS(X!$F$5:$F$2005,X!$D$5:$D$2005,'CEK CICI'!A151)</f>
        <v>0</v>
      </c>
      <c r="I151" s="4">
        <f>SUMIFS(PENJUALAN!$E$4:$E$4288,PENJUALAN!$C$4:$C$4288,'CEK CICI'!A151)</f>
        <v>0</v>
      </c>
      <c r="J151" s="16">
        <f t="shared" si="2"/>
        <v>0</v>
      </c>
      <c r="K151" s="4"/>
      <c r="L151" s="4"/>
      <c r="M151" s="4"/>
      <c r="N151" s="4"/>
    </row>
    <row r="152" ht="13.5" hidden="1" customHeight="1">
      <c r="A152" s="4" t="str">
        <f t="shared" si="1"/>
        <v>LFW-FIESTAFY</v>
      </c>
      <c r="B152" s="29" t="s">
        <v>298</v>
      </c>
      <c r="C152" s="28" t="s">
        <v>299</v>
      </c>
      <c r="D152" s="28" t="s">
        <v>22</v>
      </c>
      <c r="E152" s="4" t="s">
        <v>111</v>
      </c>
      <c r="F152" s="28" t="s">
        <v>125</v>
      </c>
      <c r="G152" s="4"/>
      <c r="H152" s="4">
        <f>SUMIFS(X!$F$5:$F$2005,X!$D$5:$D$2005,'CEK CICI'!A152)</f>
        <v>0</v>
      </c>
      <c r="I152" s="4">
        <f>SUMIFS(PENJUALAN!$E$4:$E$4288,PENJUALAN!$C$4:$C$4288,'CEK CICI'!A152)</f>
        <v>0</v>
      </c>
      <c r="J152" s="16">
        <f t="shared" si="2"/>
        <v>0</v>
      </c>
      <c r="K152" s="4"/>
      <c r="L152" s="4"/>
      <c r="M152" s="4"/>
      <c r="N152" s="4"/>
    </row>
    <row r="153" ht="13.5" hidden="1" customHeight="1">
      <c r="A153" s="4" t="str">
        <f t="shared" si="1"/>
        <v>TRW-FIESTAFY</v>
      </c>
      <c r="B153" s="29" t="s">
        <v>300</v>
      </c>
      <c r="C153" s="28" t="s">
        <v>299</v>
      </c>
      <c r="D153" s="28" t="s">
        <v>41</v>
      </c>
      <c r="E153" s="4" t="s">
        <v>111</v>
      </c>
      <c r="F153" s="28" t="s">
        <v>67</v>
      </c>
      <c r="G153" s="4"/>
      <c r="H153" s="4">
        <f>SUMIFS(X!$F$5:$F$2005,X!$D$5:$D$2005,'CEK CICI'!A153)</f>
        <v>0</v>
      </c>
      <c r="I153" s="4">
        <f>SUMIFS(PENJUALAN!$E$4:$E$4288,PENJUALAN!$C$4:$C$4288,'CEK CICI'!A153)</f>
        <v>0</v>
      </c>
      <c r="J153" s="16">
        <f t="shared" si="2"/>
        <v>0</v>
      </c>
      <c r="K153" s="4"/>
      <c r="L153" s="4"/>
      <c r="M153" s="4"/>
      <c r="N153" s="4"/>
    </row>
    <row r="154" ht="13.5" hidden="1" customHeight="1">
      <c r="A154" s="4" t="str">
        <f t="shared" si="1"/>
        <v>FDL-FIESTAFY</v>
      </c>
      <c r="B154" s="29" t="s">
        <v>301</v>
      </c>
      <c r="C154" s="28" t="s">
        <v>299</v>
      </c>
      <c r="D154" s="28" t="s">
        <v>128</v>
      </c>
      <c r="E154" s="4" t="s">
        <v>111</v>
      </c>
      <c r="F154" s="28" t="s">
        <v>144</v>
      </c>
      <c r="G154" s="4"/>
      <c r="H154" s="4">
        <f>SUMIFS(X!$F$5:$F$2005,X!$D$5:$D$2005,'CEK CICI'!A154)</f>
        <v>0</v>
      </c>
      <c r="I154" s="4">
        <f>SUMIFS(PENJUALAN!$E$4:$E$4288,PENJUALAN!$C$4:$C$4288,'CEK CICI'!A154)</f>
        <v>0</v>
      </c>
      <c r="J154" s="16">
        <f t="shared" si="2"/>
        <v>0</v>
      </c>
      <c r="K154" s="4"/>
      <c r="L154" s="4"/>
      <c r="M154" s="4"/>
      <c r="N154" s="4"/>
    </row>
    <row r="155" ht="13.5" hidden="1" customHeight="1">
      <c r="A155" s="4" t="str">
        <f t="shared" si="1"/>
        <v>FDR-FIESTAFY</v>
      </c>
      <c r="B155" s="29" t="s">
        <v>302</v>
      </c>
      <c r="C155" s="28" t="s">
        <v>299</v>
      </c>
      <c r="D155" s="28" t="s">
        <v>130</v>
      </c>
      <c r="E155" s="4" t="s">
        <v>111</v>
      </c>
      <c r="F155" s="28" t="s">
        <v>144</v>
      </c>
      <c r="G155" s="4"/>
      <c r="H155" s="4">
        <f>SUMIFS(X!$F$5:$F$2005,X!$D$5:$D$2005,'CEK CICI'!A155)</f>
        <v>0</v>
      </c>
      <c r="I155" s="4">
        <f>SUMIFS(PENJUALAN!$E$4:$E$4288,PENJUALAN!$C$4:$C$4288,'CEK CICI'!A155)</f>
        <v>0</v>
      </c>
      <c r="J155" s="16">
        <f t="shared" si="2"/>
        <v>0</v>
      </c>
      <c r="K155" s="4"/>
      <c r="L155" s="4"/>
      <c r="M155" s="4"/>
      <c r="N155" s="4"/>
    </row>
    <row r="156" ht="13.5" hidden="1" customHeight="1">
      <c r="A156" s="4" t="str">
        <f t="shared" si="1"/>
        <v>RDL-FIESTAFY</v>
      </c>
      <c r="B156" s="29" t="s">
        <v>303</v>
      </c>
      <c r="C156" s="28" t="s">
        <v>299</v>
      </c>
      <c r="D156" s="28" t="s">
        <v>132</v>
      </c>
      <c r="E156" s="4" t="s">
        <v>111</v>
      </c>
      <c r="F156" s="28"/>
      <c r="G156" s="4"/>
      <c r="H156" s="4">
        <f>SUMIFS(X!$F$5:$F$2005,X!$D$5:$D$2005,'CEK CICI'!A156)</f>
        <v>0</v>
      </c>
      <c r="I156" s="4">
        <f>SUMIFS(PENJUALAN!$E$4:$E$4288,PENJUALAN!$C$4:$C$4288,'CEK CICI'!A156)</f>
        <v>0</v>
      </c>
      <c r="J156" s="16">
        <f t="shared" si="2"/>
        <v>0</v>
      </c>
      <c r="K156" s="4"/>
      <c r="L156" s="4"/>
      <c r="M156" s="4"/>
      <c r="N156" s="4"/>
    </row>
    <row r="157" ht="13.5" hidden="1" customHeight="1">
      <c r="A157" s="4" t="str">
        <f t="shared" si="1"/>
        <v>RDR-FIESTAFY</v>
      </c>
      <c r="B157" s="29" t="s">
        <v>304</v>
      </c>
      <c r="C157" s="28" t="s">
        <v>299</v>
      </c>
      <c r="D157" s="28" t="s">
        <v>134</v>
      </c>
      <c r="E157" s="4" t="s">
        <v>111</v>
      </c>
      <c r="F157" s="28"/>
      <c r="G157" s="4"/>
      <c r="H157" s="4">
        <f>SUMIFS(X!$F$5:$F$2005,X!$D$5:$D$2005,'CEK CICI'!A157)</f>
        <v>0</v>
      </c>
      <c r="I157" s="4">
        <f>SUMIFS(PENJUALAN!$E$4:$E$4288,PENJUALAN!$C$4:$C$4288,'CEK CICI'!A157)</f>
        <v>0</v>
      </c>
      <c r="J157" s="16">
        <f t="shared" si="2"/>
        <v>0</v>
      </c>
      <c r="K157" s="4"/>
      <c r="L157" s="4"/>
      <c r="M157" s="4"/>
      <c r="N157" s="4"/>
    </row>
    <row r="158" ht="13.5" hidden="1" customHeight="1">
      <c r="A158" s="4" t="str">
        <f t="shared" si="1"/>
        <v>LFW-FIESTARSBULATFY</v>
      </c>
      <c r="B158" s="29" t="s">
        <v>305</v>
      </c>
      <c r="C158" s="28" t="s">
        <v>306</v>
      </c>
      <c r="D158" s="28" t="s">
        <v>22</v>
      </c>
      <c r="E158" s="4" t="s">
        <v>111</v>
      </c>
      <c r="F158" s="28" t="s">
        <v>23</v>
      </c>
      <c r="G158" s="4"/>
      <c r="H158" s="4">
        <f>SUMIFS(X!$F$5:$F$2005,X!$D$5:$D$2005,'CEK CICI'!A158)</f>
        <v>0</v>
      </c>
      <c r="I158" s="4">
        <f>SUMIFS(PENJUALAN!$E$4:$E$4288,PENJUALAN!$C$4:$C$4288,'CEK CICI'!A158)</f>
        <v>0</v>
      </c>
      <c r="J158" s="16">
        <f t="shared" si="2"/>
        <v>0</v>
      </c>
      <c r="K158" s="4"/>
      <c r="L158" s="4"/>
      <c r="M158" s="4"/>
      <c r="N158" s="4"/>
    </row>
    <row r="159" ht="13.5" hidden="1" customHeight="1">
      <c r="A159" s="4" t="str">
        <f t="shared" si="1"/>
        <v>LFW-FIESTARSKOTAKFY</v>
      </c>
      <c r="B159" s="29" t="s">
        <v>307</v>
      </c>
      <c r="C159" s="28" t="s">
        <v>308</v>
      </c>
      <c r="D159" s="28" t="s">
        <v>22</v>
      </c>
      <c r="E159" s="4" t="s">
        <v>111</v>
      </c>
      <c r="F159" s="28" t="s">
        <v>75</v>
      </c>
      <c r="G159" s="4"/>
      <c r="H159" s="4">
        <f>SUMIFS(X!$F$5:$F$2005,X!$D$5:$D$2005,'CEK CICI'!A159)</f>
        <v>0</v>
      </c>
      <c r="I159" s="4">
        <f>SUMIFS(PENJUALAN!$E$4:$E$4288,PENJUALAN!$C$4:$C$4288,'CEK CICI'!A159)</f>
        <v>0</v>
      </c>
      <c r="J159" s="16">
        <f t="shared" si="2"/>
        <v>0</v>
      </c>
      <c r="K159" s="4"/>
      <c r="L159" s="4"/>
      <c r="M159" s="4"/>
      <c r="N159" s="4"/>
    </row>
    <row r="160" ht="13.5" hidden="1" customHeight="1">
      <c r="A160" s="4" t="str">
        <f t="shared" si="1"/>
        <v>LFW-FOCUS04FY</v>
      </c>
      <c r="B160" s="29" t="s">
        <v>309</v>
      </c>
      <c r="C160" s="28" t="s">
        <v>310</v>
      </c>
      <c r="D160" s="28" t="s">
        <v>22</v>
      </c>
      <c r="E160" s="4" t="s">
        <v>111</v>
      </c>
      <c r="F160" s="28" t="s">
        <v>125</v>
      </c>
      <c r="G160" s="4"/>
      <c r="H160" s="4">
        <f>SUMIFS(X!$F$5:$F$2005,X!$D$5:$D$2005,'CEK CICI'!A160)</f>
        <v>0</v>
      </c>
      <c r="I160" s="4">
        <f>SUMIFS(PENJUALAN!$E$4:$E$4288,PENJUALAN!$C$4:$C$4288,'CEK CICI'!A160)</f>
        <v>0</v>
      </c>
      <c r="J160" s="16">
        <f t="shared" si="2"/>
        <v>0</v>
      </c>
      <c r="K160" s="4"/>
      <c r="L160" s="4"/>
      <c r="M160" s="4"/>
      <c r="N160" s="4"/>
    </row>
    <row r="161" ht="13.5" hidden="1" customHeight="1">
      <c r="A161" s="4" t="str">
        <f t="shared" si="1"/>
        <v>TRW-FOCUS04FY</v>
      </c>
      <c r="B161" s="29" t="s">
        <v>311</v>
      </c>
      <c r="C161" s="28" t="s">
        <v>312</v>
      </c>
      <c r="D161" s="28" t="s">
        <v>41</v>
      </c>
      <c r="E161" s="4" t="s">
        <v>111</v>
      </c>
      <c r="F161" s="28" t="s">
        <v>221</v>
      </c>
      <c r="G161" s="4"/>
      <c r="H161" s="4">
        <f>SUMIFS(X!$F$5:$F$2005,X!$D$5:$D$2005,'CEK CICI'!A161)</f>
        <v>0</v>
      </c>
      <c r="I161" s="4">
        <f>SUMIFS(PENJUALAN!$E$4:$E$4288,PENJUALAN!$C$4:$C$4288,'CEK CICI'!A161)</f>
        <v>0</v>
      </c>
      <c r="J161" s="16">
        <f t="shared" si="2"/>
        <v>0</v>
      </c>
      <c r="K161" s="4"/>
      <c r="L161" s="4"/>
      <c r="M161" s="4"/>
      <c r="N161" s="4"/>
    </row>
    <row r="162" ht="13.5" hidden="1" customHeight="1">
      <c r="A162" s="4" t="str">
        <f t="shared" si="1"/>
        <v>LFW-FOCUS11FY</v>
      </c>
      <c r="B162" s="29" t="s">
        <v>313</v>
      </c>
      <c r="C162" s="28" t="s">
        <v>314</v>
      </c>
      <c r="D162" s="28" t="s">
        <v>22</v>
      </c>
      <c r="E162" s="4" t="s">
        <v>111</v>
      </c>
      <c r="F162" s="28" t="s">
        <v>23</v>
      </c>
      <c r="G162" s="4"/>
      <c r="H162" s="4">
        <f>SUMIFS(X!$F$5:$F$2005,X!$D$5:$D$2005,'CEK CICI'!A162)</f>
        <v>0</v>
      </c>
      <c r="I162" s="4">
        <f>SUMIFS(PENJUALAN!$E$4:$E$4288,PENJUALAN!$C$4:$C$4288,'CEK CICI'!A162)</f>
        <v>0</v>
      </c>
      <c r="J162" s="16">
        <f t="shared" si="2"/>
        <v>0</v>
      </c>
      <c r="K162" s="4"/>
      <c r="L162" s="4"/>
      <c r="M162" s="4"/>
      <c r="N162" s="4"/>
    </row>
    <row r="163" ht="13.5" hidden="1" customHeight="1">
      <c r="A163" s="4" t="str">
        <f t="shared" si="1"/>
        <v>TRW-FOCUS11FY</v>
      </c>
      <c r="B163" s="29" t="s">
        <v>315</v>
      </c>
      <c r="C163" s="28" t="s">
        <v>316</v>
      </c>
      <c r="D163" s="28" t="s">
        <v>41</v>
      </c>
      <c r="E163" s="4" t="s">
        <v>111</v>
      </c>
      <c r="F163" s="28" t="s">
        <v>221</v>
      </c>
      <c r="G163" s="4"/>
      <c r="H163" s="4">
        <f>SUMIFS(X!$F$5:$F$2005,X!$D$5:$D$2005,'CEK CICI'!A163)</f>
        <v>0</v>
      </c>
      <c r="I163" s="4">
        <f>SUMIFS(PENJUALAN!$E$4:$E$4288,PENJUALAN!$C$4:$C$4288,'CEK CICI'!A163)</f>
        <v>0</v>
      </c>
      <c r="J163" s="16">
        <f t="shared" si="2"/>
        <v>0</v>
      </c>
      <c r="K163" s="4"/>
      <c r="L163" s="4"/>
      <c r="M163" s="4"/>
      <c r="N163" s="4"/>
    </row>
    <row r="164" ht="13.5" hidden="1" customHeight="1">
      <c r="A164" s="4" t="str">
        <f t="shared" si="1"/>
        <v>LFW-RANGER11RSFY</v>
      </c>
      <c r="B164" s="29" t="s">
        <v>317</v>
      </c>
      <c r="C164" s="28" t="s">
        <v>318</v>
      </c>
      <c r="D164" s="28" t="s">
        <v>22</v>
      </c>
      <c r="E164" s="4" t="s">
        <v>111</v>
      </c>
      <c r="F164" s="28" t="s">
        <v>75</v>
      </c>
      <c r="G164" s="4"/>
      <c r="H164" s="4">
        <f>SUMIFS(X!$F$5:$F$2005,X!$D$5:$D$2005,'CEK CICI'!A164)</f>
        <v>0</v>
      </c>
      <c r="I164" s="4">
        <f>SUMIFS(PENJUALAN!$E$4:$E$4288,PENJUALAN!$C$4:$C$4288,'CEK CICI'!A164)</f>
        <v>0</v>
      </c>
      <c r="J164" s="16">
        <f t="shared" si="2"/>
        <v>0</v>
      </c>
      <c r="K164" s="4"/>
      <c r="L164" s="4"/>
      <c r="M164" s="4"/>
      <c r="N164" s="4"/>
    </row>
    <row r="165" ht="13.5" hidden="1" customHeight="1">
      <c r="A165" s="4" t="str">
        <f t="shared" si="1"/>
        <v>LFW-EMGRANDFY</v>
      </c>
      <c r="B165" s="29" t="s">
        <v>319</v>
      </c>
      <c r="C165" s="28" t="s">
        <v>320</v>
      </c>
      <c r="D165" s="28" t="s">
        <v>22</v>
      </c>
      <c r="E165" s="4" t="s">
        <v>111</v>
      </c>
      <c r="F165" s="28" t="s">
        <v>125</v>
      </c>
      <c r="G165" s="4"/>
      <c r="H165" s="4">
        <f>SUMIFS(X!$F$5:$F$2005,X!$D$5:$D$2005,'CEK CICI'!A165)</f>
        <v>0</v>
      </c>
      <c r="I165" s="4">
        <f>SUMIFS(PENJUALAN!$E$4:$E$4288,PENJUALAN!$C$4:$C$4288,'CEK CICI'!A165)</f>
        <v>0</v>
      </c>
      <c r="J165" s="16">
        <f t="shared" si="2"/>
        <v>0</v>
      </c>
      <c r="K165" s="4"/>
      <c r="L165" s="4"/>
      <c r="M165" s="4"/>
      <c r="N165" s="4"/>
    </row>
    <row r="166" ht="13.5" hidden="1" customHeight="1">
      <c r="A166" s="4" t="str">
        <f t="shared" si="1"/>
        <v>LFW-PANDAFY</v>
      </c>
      <c r="B166" s="29" t="s">
        <v>321</v>
      </c>
      <c r="C166" s="28" t="s">
        <v>322</v>
      </c>
      <c r="D166" s="28" t="s">
        <v>22</v>
      </c>
      <c r="E166" s="4" t="s">
        <v>111</v>
      </c>
      <c r="F166" s="28" t="s">
        <v>125</v>
      </c>
      <c r="G166" s="4"/>
      <c r="H166" s="4">
        <f>SUMIFS(X!$F$5:$F$2005,X!$D$5:$D$2005,'CEK CICI'!A166)</f>
        <v>0</v>
      </c>
      <c r="I166" s="4">
        <f>SUMIFS(PENJUALAN!$E$4:$E$4288,PENJUALAN!$C$4:$C$4288,'CEK CICI'!A166)</f>
        <v>0</v>
      </c>
      <c r="J166" s="16">
        <f t="shared" si="2"/>
        <v>0</v>
      </c>
      <c r="K166" s="4"/>
      <c r="L166" s="4"/>
      <c r="M166" s="4"/>
      <c r="N166" s="4"/>
    </row>
    <row r="167" ht="13.5" hidden="1" customHeight="1">
      <c r="A167" s="4" t="str">
        <f t="shared" si="1"/>
        <v>LFW-ACCORD86FY</v>
      </c>
      <c r="B167" s="29" t="s">
        <v>323</v>
      </c>
      <c r="C167" s="28" t="s">
        <v>324</v>
      </c>
      <c r="D167" s="28" t="s">
        <v>22</v>
      </c>
      <c r="E167" s="4" t="s">
        <v>111</v>
      </c>
      <c r="F167" s="28" t="s">
        <v>97</v>
      </c>
      <c r="G167" s="4"/>
      <c r="H167" s="4">
        <f>SUMIFS(X!$F$5:$F$2005,X!$D$5:$D$2005,'CEK CICI'!A167)</f>
        <v>0</v>
      </c>
      <c r="I167" s="4">
        <f>SUMIFS(PENJUALAN!$E$4:$E$4288,PENJUALAN!$C$4:$C$4288,'CEK CICI'!A167)</f>
        <v>0</v>
      </c>
      <c r="J167" s="16">
        <f t="shared" si="2"/>
        <v>0</v>
      </c>
      <c r="K167" s="4"/>
      <c r="L167" s="4"/>
      <c r="M167" s="4"/>
      <c r="N167" s="4"/>
    </row>
    <row r="168" ht="13.5" hidden="1" customHeight="1">
      <c r="A168" s="4" t="str">
        <f t="shared" si="1"/>
        <v>TRW-ACCORD86FY</v>
      </c>
      <c r="B168" s="29" t="s">
        <v>325</v>
      </c>
      <c r="C168" s="28" t="s">
        <v>324</v>
      </c>
      <c r="D168" s="28" t="s">
        <v>41</v>
      </c>
      <c r="E168" s="4" t="s">
        <v>111</v>
      </c>
      <c r="F168" s="28" t="s">
        <v>67</v>
      </c>
      <c r="G168" s="4"/>
      <c r="H168" s="4">
        <f>SUMIFS(X!$F$5:$F$2005,X!$D$5:$D$2005,'CEK CICI'!A168)</f>
        <v>0</v>
      </c>
      <c r="I168" s="4">
        <f>SUMIFS(PENJUALAN!$E$4:$E$4288,PENJUALAN!$C$4:$C$4288,'CEK CICI'!A168)</f>
        <v>0</v>
      </c>
      <c r="J168" s="16">
        <f t="shared" si="2"/>
        <v>0</v>
      </c>
      <c r="K168" s="4"/>
      <c r="L168" s="4"/>
      <c r="M168" s="4"/>
      <c r="N168" s="4"/>
    </row>
    <row r="169" ht="13.5" hidden="1" customHeight="1">
      <c r="A169" s="4" t="str">
        <f t="shared" si="1"/>
        <v>FDL-ACCORD86FY</v>
      </c>
      <c r="B169" s="29" t="s">
        <v>326</v>
      </c>
      <c r="C169" s="28" t="s">
        <v>324</v>
      </c>
      <c r="D169" s="28" t="s">
        <v>128</v>
      </c>
      <c r="E169" s="4" t="s">
        <v>111</v>
      </c>
      <c r="F169" s="28"/>
      <c r="G169" s="4"/>
      <c r="H169" s="4">
        <f>SUMIFS(X!$F$5:$F$2005,X!$D$5:$D$2005,'CEK CICI'!A169)</f>
        <v>0</v>
      </c>
      <c r="I169" s="4">
        <f>SUMIFS(PENJUALAN!$E$4:$E$4288,PENJUALAN!$C$4:$C$4288,'CEK CICI'!A169)</f>
        <v>0</v>
      </c>
      <c r="J169" s="16">
        <f t="shared" si="2"/>
        <v>0</v>
      </c>
      <c r="K169" s="4"/>
      <c r="L169" s="4"/>
      <c r="M169" s="4"/>
      <c r="N169" s="4"/>
    </row>
    <row r="170" ht="13.5" hidden="1" customHeight="1">
      <c r="A170" s="4" t="str">
        <f t="shared" si="1"/>
        <v>FDR-ACCORD86FY</v>
      </c>
      <c r="B170" s="29" t="s">
        <v>327</v>
      </c>
      <c r="C170" s="28" t="s">
        <v>324</v>
      </c>
      <c r="D170" s="28" t="s">
        <v>130</v>
      </c>
      <c r="E170" s="4" t="s">
        <v>111</v>
      </c>
      <c r="F170" s="28"/>
      <c r="G170" s="4"/>
      <c r="H170" s="4">
        <f>SUMIFS(X!$F$5:$F$2005,X!$D$5:$D$2005,'CEK CICI'!A170)</f>
        <v>0</v>
      </c>
      <c r="I170" s="4">
        <f>SUMIFS(PENJUALAN!$E$4:$E$4288,PENJUALAN!$C$4:$C$4288,'CEK CICI'!A170)</f>
        <v>0</v>
      </c>
      <c r="J170" s="16">
        <f t="shared" si="2"/>
        <v>0</v>
      </c>
      <c r="K170" s="4"/>
      <c r="L170" s="4"/>
      <c r="M170" s="4"/>
      <c r="N170" s="4"/>
    </row>
    <row r="171" ht="13.5" hidden="1" customHeight="1">
      <c r="A171" s="4" t="str">
        <f t="shared" si="1"/>
        <v>RDL-ACCORD86FY</v>
      </c>
      <c r="B171" s="29" t="s">
        <v>328</v>
      </c>
      <c r="C171" s="28" t="s">
        <v>324</v>
      </c>
      <c r="D171" s="28" t="s">
        <v>132</v>
      </c>
      <c r="E171" s="4" t="s">
        <v>111</v>
      </c>
      <c r="F171" s="28"/>
      <c r="G171" s="4"/>
      <c r="H171" s="4">
        <f>SUMIFS(X!$F$5:$F$2005,X!$D$5:$D$2005,'CEK CICI'!A171)</f>
        <v>0</v>
      </c>
      <c r="I171" s="4">
        <f>SUMIFS(PENJUALAN!$E$4:$E$4288,PENJUALAN!$C$4:$C$4288,'CEK CICI'!A171)</f>
        <v>0</v>
      </c>
      <c r="J171" s="16">
        <f t="shared" si="2"/>
        <v>0</v>
      </c>
      <c r="K171" s="4"/>
      <c r="L171" s="4"/>
      <c r="M171" s="4"/>
      <c r="N171" s="4"/>
    </row>
    <row r="172" ht="13.5" hidden="1" customHeight="1">
      <c r="A172" s="4" t="str">
        <f t="shared" si="1"/>
        <v>RDR-ACCORD86FY</v>
      </c>
      <c r="B172" s="29" t="s">
        <v>329</v>
      </c>
      <c r="C172" s="28" t="s">
        <v>324</v>
      </c>
      <c r="D172" s="28" t="s">
        <v>134</v>
      </c>
      <c r="E172" s="4" t="s">
        <v>111</v>
      </c>
      <c r="F172" s="28"/>
      <c r="G172" s="4"/>
      <c r="H172" s="4">
        <f>SUMIFS(X!$F$5:$F$2005,X!$D$5:$D$2005,'CEK CICI'!A172)</f>
        <v>0</v>
      </c>
      <c r="I172" s="4">
        <f>SUMIFS(PENJUALAN!$E$4:$E$4288,PENJUALAN!$C$4:$C$4288,'CEK CICI'!A172)</f>
        <v>0</v>
      </c>
      <c r="J172" s="16">
        <f t="shared" si="2"/>
        <v>0</v>
      </c>
      <c r="K172" s="4"/>
      <c r="L172" s="4"/>
      <c r="M172" s="4"/>
      <c r="N172" s="4"/>
    </row>
    <row r="173" ht="13.5" hidden="1" customHeight="1">
      <c r="A173" s="4" t="str">
        <f t="shared" si="1"/>
        <v>LFW-ACCORD90FY</v>
      </c>
      <c r="B173" s="29" t="s">
        <v>330</v>
      </c>
      <c r="C173" s="28" t="s">
        <v>331</v>
      </c>
      <c r="D173" s="28" t="s">
        <v>22</v>
      </c>
      <c r="E173" s="4" t="s">
        <v>111</v>
      </c>
      <c r="F173" s="28" t="s">
        <v>97</v>
      </c>
      <c r="G173" s="4"/>
      <c r="H173" s="4">
        <f>SUMIFS(X!$F$5:$F$2005,X!$D$5:$D$2005,'CEK CICI'!A173)</f>
        <v>0</v>
      </c>
      <c r="I173" s="4">
        <f>SUMIFS(PENJUALAN!$E$4:$E$4288,PENJUALAN!$C$4:$C$4288,'CEK CICI'!A173)</f>
        <v>0</v>
      </c>
      <c r="J173" s="16">
        <f t="shared" si="2"/>
        <v>0</v>
      </c>
      <c r="K173" s="4"/>
      <c r="L173" s="4"/>
      <c r="M173" s="4"/>
      <c r="N173" s="4"/>
    </row>
    <row r="174" ht="13.5" hidden="1" customHeight="1">
      <c r="A174" s="4" t="str">
        <f t="shared" si="1"/>
        <v>TRW-ACCORD90FY</v>
      </c>
      <c r="B174" s="29" t="s">
        <v>332</v>
      </c>
      <c r="C174" s="28" t="s">
        <v>331</v>
      </c>
      <c r="D174" s="28" t="s">
        <v>41</v>
      </c>
      <c r="E174" s="4" t="s">
        <v>111</v>
      </c>
      <c r="F174" s="28" t="s">
        <v>67</v>
      </c>
      <c r="G174" s="4"/>
      <c r="H174" s="4">
        <f>SUMIFS(X!$F$5:$F$2005,X!$D$5:$D$2005,'CEK CICI'!A174)</f>
        <v>0</v>
      </c>
      <c r="I174" s="4">
        <f>SUMIFS(PENJUALAN!$E$4:$E$4288,PENJUALAN!$C$4:$C$4288,'CEK CICI'!A174)</f>
        <v>0</v>
      </c>
      <c r="J174" s="16">
        <f t="shared" si="2"/>
        <v>0</v>
      </c>
      <c r="K174" s="4"/>
      <c r="L174" s="4"/>
      <c r="M174" s="4"/>
      <c r="N174" s="4"/>
    </row>
    <row r="175" ht="13.5" hidden="1" customHeight="1">
      <c r="A175" s="4" t="str">
        <f t="shared" si="1"/>
        <v>LFW-ACCORD93FY</v>
      </c>
      <c r="B175" s="29" t="s">
        <v>333</v>
      </c>
      <c r="C175" s="28" t="s">
        <v>334</v>
      </c>
      <c r="D175" s="28" t="s">
        <v>22</v>
      </c>
      <c r="E175" s="4" t="s">
        <v>111</v>
      </c>
      <c r="F175" s="28" t="s">
        <v>97</v>
      </c>
      <c r="G175" s="4"/>
      <c r="H175" s="4">
        <f>SUMIFS(X!$F$5:$F$2005,X!$D$5:$D$2005,'CEK CICI'!A175)</f>
        <v>0</v>
      </c>
      <c r="I175" s="4">
        <f>SUMIFS(PENJUALAN!$E$4:$E$4288,PENJUALAN!$C$4:$C$4288,'CEK CICI'!A175)</f>
        <v>0</v>
      </c>
      <c r="J175" s="16">
        <f t="shared" si="2"/>
        <v>0</v>
      </c>
      <c r="K175" s="4"/>
      <c r="L175" s="4"/>
      <c r="M175" s="4"/>
      <c r="N175" s="4"/>
    </row>
    <row r="176" ht="13.5" hidden="1" customHeight="1">
      <c r="A176" s="4" t="str">
        <f t="shared" si="1"/>
        <v>TRW-ACCORD93FY</v>
      </c>
      <c r="B176" s="29" t="s">
        <v>335</v>
      </c>
      <c r="C176" s="28" t="s">
        <v>336</v>
      </c>
      <c r="D176" s="28" t="s">
        <v>41</v>
      </c>
      <c r="E176" s="4" t="s">
        <v>111</v>
      </c>
      <c r="F176" s="28" t="s">
        <v>67</v>
      </c>
      <c r="G176" s="4"/>
      <c r="H176" s="4">
        <f>SUMIFS(X!$F$5:$F$2005,X!$D$5:$D$2005,'CEK CICI'!A176)</f>
        <v>0</v>
      </c>
      <c r="I176" s="4">
        <f>SUMIFS(PENJUALAN!$E$4:$E$4288,PENJUALAN!$C$4:$C$4288,'CEK CICI'!A176)</f>
        <v>0</v>
      </c>
      <c r="J176" s="16">
        <f t="shared" si="2"/>
        <v>0</v>
      </c>
      <c r="K176" s="4"/>
      <c r="L176" s="4"/>
      <c r="M176" s="4"/>
      <c r="N176" s="4"/>
    </row>
    <row r="177" ht="13.5" hidden="1" customHeight="1">
      <c r="A177" s="4" t="str">
        <f t="shared" si="1"/>
        <v>LFW-ACCORD98FY</v>
      </c>
      <c r="B177" s="29" t="s">
        <v>337</v>
      </c>
      <c r="C177" s="28" t="s">
        <v>338</v>
      </c>
      <c r="D177" s="28" t="s">
        <v>22</v>
      </c>
      <c r="E177" s="4" t="s">
        <v>111</v>
      </c>
      <c r="F177" s="28" t="s">
        <v>125</v>
      </c>
      <c r="G177" s="4"/>
      <c r="H177" s="4">
        <f>SUMIFS(X!$F$5:$F$2005,X!$D$5:$D$2005,'CEK CICI'!A177)</f>
        <v>0</v>
      </c>
      <c r="I177" s="4">
        <f>SUMIFS(PENJUALAN!$E$4:$E$4288,PENJUALAN!$C$4:$C$4288,'CEK CICI'!A177)</f>
        <v>0</v>
      </c>
      <c r="J177" s="16">
        <f t="shared" si="2"/>
        <v>0</v>
      </c>
      <c r="K177" s="4"/>
      <c r="L177" s="4"/>
      <c r="M177" s="4"/>
      <c r="N177" s="4"/>
    </row>
    <row r="178" ht="13.5" hidden="1" customHeight="1">
      <c r="A178" s="4" t="str">
        <f t="shared" si="1"/>
        <v>TRW-ACCORD98FY</v>
      </c>
      <c r="B178" s="29" t="s">
        <v>339</v>
      </c>
      <c r="C178" s="28" t="s">
        <v>338</v>
      </c>
      <c r="D178" s="28" t="s">
        <v>41</v>
      </c>
      <c r="E178" s="4" t="s">
        <v>111</v>
      </c>
      <c r="F178" s="28" t="s">
        <v>67</v>
      </c>
      <c r="G178" s="4"/>
      <c r="H178" s="4">
        <f>SUMIFS(X!$F$5:$F$2005,X!$D$5:$D$2005,'CEK CICI'!A178)</f>
        <v>0</v>
      </c>
      <c r="I178" s="4">
        <f>SUMIFS(PENJUALAN!$E$4:$E$4288,PENJUALAN!$C$4:$C$4288,'CEK CICI'!A178)</f>
        <v>0</v>
      </c>
      <c r="J178" s="16">
        <f t="shared" si="2"/>
        <v>0</v>
      </c>
      <c r="K178" s="4"/>
      <c r="L178" s="4"/>
      <c r="M178" s="4"/>
      <c r="N178" s="4"/>
    </row>
    <row r="179" ht="13.5" hidden="1" customHeight="1">
      <c r="A179" s="4" t="str">
        <f t="shared" si="1"/>
        <v>RDL-ACCORD98FY</v>
      </c>
      <c r="B179" s="29" t="s">
        <v>340</v>
      </c>
      <c r="C179" s="28" t="s">
        <v>338</v>
      </c>
      <c r="D179" s="28" t="s">
        <v>132</v>
      </c>
      <c r="E179" s="4" t="s">
        <v>111</v>
      </c>
      <c r="F179" s="28"/>
      <c r="G179" s="4"/>
      <c r="H179" s="4">
        <f>SUMIFS(X!$F$5:$F$2005,X!$D$5:$D$2005,'CEK CICI'!A179)</f>
        <v>0</v>
      </c>
      <c r="I179" s="4">
        <f>SUMIFS(PENJUALAN!$E$4:$E$4288,PENJUALAN!$C$4:$C$4288,'CEK CICI'!A179)</f>
        <v>0</v>
      </c>
      <c r="J179" s="16">
        <f t="shared" si="2"/>
        <v>0</v>
      </c>
      <c r="K179" s="4"/>
      <c r="L179" s="4"/>
      <c r="M179" s="4"/>
      <c r="N179" s="4"/>
    </row>
    <row r="180" ht="13.5" hidden="1" customHeight="1">
      <c r="A180" s="4" t="str">
        <f t="shared" si="1"/>
        <v>RDR-ACCORD98FY</v>
      </c>
      <c r="B180" s="29" t="s">
        <v>341</v>
      </c>
      <c r="C180" s="28" t="s">
        <v>338</v>
      </c>
      <c r="D180" s="28" t="s">
        <v>134</v>
      </c>
      <c r="E180" s="4" t="s">
        <v>111</v>
      </c>
      <c r="F180" s="28"/>
      <c r="G180" s="4"/>
      <c r="H180" s="4">
        <f>SUMIFS(X!$F$5:$F$2005,X!$D$5:$D$2005,'CEK CICI'!A180)</f>
        <v>0</v>
      </c>
      <c r="I180" s="4">
        <f>SUMIFS(PENJUALAN!$E$4:$E$4288,PENJUALAN!$C$4:$C$4288,'CEK CICI'!A180)</f>
        <v>0</v>
      </c>
      <c r="J180" s="16">
        <f t="shared" si="2"/>
        <v>0</v>
      </c>
      <c r="K180" s="4"/>
      <c r="L180" s="4"/>
      <c r="M180" s="4"/>
      <c r="N180" s="4"/>
    </row>
    <row r="181" ht="13.5" hidden="1" customHeight="1">
      <c r="A181" s="4" t="str">
        <f t="shared" si="1"/>
        <v>LFW-ACCORD03FY</v>
      </c>
      <c r="B181" s="29" t="s">
        <v>342</v>
      </c>
      <c r="C181" s="28" t="s">
        <v>343</v>
      </c>
      <c r="D181" s="28" t="s">
        <v>22</v>
      </c>
      <c r="E181" s="4" t="s">
        <v>111</v>
      </c>
      <c r="F181" s="28" t="s">
        <v>125</v>
      </c>
      <c r="G181" s="4"/>
      <c r="H181" s="4">
        <f>SUMIFS(X!$F$5:$F$2005,X!$D$5:$D$2005,'CEK CICI'!A181)</f>
        <v>0</v>
      </c>
      <c r="I181" s="4">
        <f>SUMIFS(PENJUALAN!$E$4:$E$4288,PENJUALAN!$C$4:$C$4288,'CEK CICI'!A181)</f>
        <v>0</v>
      </c>
      <c r="J181" s="16">
        <f t="shared" si="2"/>
        <v>0</v>
      </c>
      <c r="K181" s="4"/>
      <c r="L181" s="4"/>
      <c r="M181" s="5">
        <v>1.0</v>
      </c>
      <c r="N181" s="4"/>
    </row>
    <row r="182" ht="13.5" hidden="1" customHeight="1">
      <c r="A182" s="4" t="str">
        <f t="shared" si="1"/>
        <v>TRW-ACCORD03FY</v>
      </c>
      <c r="B182" s="29" t="s">
        <v>344</v>
      </c>
      <c r="C182" s="28" t="s">
        <v>343</v>
      </c>
      <c r="D182" s="28" t="s">
        <v>41</v>
      </c>
      <c r="E182" s="4" t="s">
        <v>111</v>
      </c>
      <c r="F182" s="28" t="s">
        <v>114</v>
      </c>
      <c r="G182" s="4"/>
      <c r="H182" s="4">
        <f>SUMIFS(X!$F$5:$F$2005,X!$D$5:$D$2005,'CEK CICI'!A182)</f>
        <v>0</v>
      </c>
      <c r="I182" s="4">
        <f>SUMIFS(PENJUALAN!$E$4:$E$4288,PENJUALAN!$C$4:$C$4288,'CEK CICI'!A182)</f>
        <v>0</v>
      </c>
      <c r="J182" s="16">
        <f t="shared" si="2"/>
        <v>0</v>
      </c>
      <c r="K182" s="4"/>
      <c r="L182" s="4"/>
      <c r="M182" s="4"/>
      <c r="N182" s="4"/>
    </row>
    <row r="183" ht="13.5" hidden="1" customHeight="1">
      <c r="A183" s="4" t="str">
        <f t="shared" si="1"/>
        <v>LFW-ACCORD08FY</v>
      </c>
      <c r="B183" s="29" t="s">
        <v>345</v>
      </c>
      <c r="C183" s="28" t="s">
        <v>346</v>
      </c>
      <c r="D183" s="28" t="s">
        <v>22</v>
      </c>
      <c r="E183" s="4" t="s">
        <v>111</v>
      </c>
      <c r="F183" s="28" t="s">
        <v>125</v>
      </c>
      <c r="G183" s="4"/>
      <c r="H183" s="4">
        <f>SUMIFS(X!$F$5:$F$2005,X!$D$5:$D$2005,'CEK CICI'!A183)</f>
        <v>0</v>
      </c>
      <c r="I183" s="4">
        <f>SUMIFS(PENJUALAN!$E$4:$E$4288,PENJUALAN!$C$4:$C$4288,'CEK CICI'!A183)</f>
        <v>0</v>
      </c>
      <c r="J183" s="16">
        <f t="shared" si="2"/>
        <v>0</v>
      </c>
      <c r="K183" s="4"/>
      <c r="L183" s="4"/>
      <c r="M183" s="4"/>
      <c r="N183" s="4"/>
    </row>
    <row r="184" ht="13.5" hidden="1" customHeight="1">
      <c r="A184" s="4" t="str">
        <f t="shared" si="1"/>
        <v>TRW-ACCORD08FY</v>
      </c>
      <c r="B184" s="29" t="s">
        <v>347</v>
      </c>
      <c r="C184" s="28" t="s">
        <v>346</v>
      </c>
      <c r="D184" s="28" t="s">
        <v>41</v>
      </c>
      <c r="E184" s="4" t="s">
        <v>111</v>
      </c>
      <c r="F184" s="28" t="s">
        <v>114</v>
      </c>
      <c r="G184" s="4"/>
      <c r="H184" s="4">
        <f>SUMIFS(X!$F$5:$F$2005,X!$D$5:$D$2005,'CEK CICI'!A184)</f>
        <v>0</v>
      </c>
      <c r="I184" s="4">
        <f>SUMIFS(PENJUALAN!$E$4:$E$4288,PENJUALAN!$C$4:$C$4288,'CEK CICI'!A184)</f>
        <v>0</v>
      </c>
      <c r="J184" s="16">
        <f t="shared" si="2"/>
        <v>0</v>
      </c>
      <c r="K184" s="4"/>
      <c r="L184" s="4"/>
      <c r="M184" s="4"/>
      <c r="N184" s="4"/>
    </row>
    <row r="185" ht="13.5" hidden="1" customHeight="1">
      <c r="A185" s="4" t="str">
        <f t="shared" si="1"/>
        <v>LFW-ACCORD13RSFY</v>
      </c>
      <c r="B185" s="29" t="s">
        <v>348</v>
      </c>
      <c r="C185" s="28" t="s">
        <v>349</v>
      </c>
      <c r="D185" s="28" t="s">
        <v>22</v>
      </c>
      <c r="E185" s="4" t="s">
        <v>111</v>
      </c>
      <c r="F185" s="28" t="s">
        <v>75</v>
      </c>
      <c r="G185" s="4"/>
      <c r="H185" s="4">
        <f>SUMIFS(X!$F$5:$F$2005,X!$D$5:$D$2005,'CEK CICI'!A185)</f>
        <v>0</v>
      </c>
      <c r="I185" s="4">
        <f>SUMIFS(PENJUALAN!$E$4:$E$4288,PENJUALAN!$C$4:$C$4288,'CEK CICI'!A185)</f>
        <v>0</v>
      </c>
      <c r="J185" s="16">
        <f t="shared" si="2"/>
        <v>0</v>
      </c>
      <c r="K185" s="4"/>
      <c r="L185" s="4"/>
      <c r="M185" s="4"/>
      <c r="N185" s="4"/>
    </row>
    <row r="186" ht="13.5" hidden="1" customHeight="1">
      <c r="A186" s="4" t="str">
        <f t="shared" si="1"/>
        <v>LFW-ACCORD13FY</v>
      </c>
      <c r="B186" s="29" t="s">
        <v>350</v>
      </c>
      <c r="C186" s="28" t="s">
        <v>351</v>
      </c>
      <c r="D186" s="28" t="s">
        <v>22</v>
      </c>
      <c r="E186" s="4" t="s">
        <v>111</v>
      </c>
      <c r="F186" s="28" t="s">
        <v>125</v>
      </c>
      <c r="G186" s="4"/>
      <c r="H186" s="4">
        <f>SUMIFS(X!$F$5:$F$2005,X!$D$5:$D$2005,'CEK CICI'!A186)</f>
        <v>0</v>
      </c>
      <c r="I186" s="4">
        <f>SUMIFS(PENJUALAN!$E$4:$E$4288,PENJUALAN!$C$4:$C$4288,'CEK CICI'!A186)</f>
        <v>0</v>
      </c>
      <c r="J186" s="16">
        <f t="shared" si="2"/>
        <v>0</v>
      </c>
      <c r="K186" s="4"/>
      <c r="L186" s="4"/>
      <c r="M186" s="4"/>
      <c r="N186" s="4"/>
    </row>
    <row r="187" ht="13.5" hidden="1" customHeight="1">
      <c r="A187" s="4" t="str">
        <f t="shared" si="1"/>
        <v>TRW-ACCORD13FY</v>
      </c>
      <c r="B187" s="29" t="s">
        <v>352</v>
      </c>
      <c r="C187" s="28" t="s">
        <v>353</v>
      </c>
      <c r="D187" s="28" t="s">
        <v>41</v>
      </c>
      <c r="E187" s="4" t="s">
        <v>111</v>
      </c>
      <c r="F187" s="28" t="s">
        <v>114</v>
      </c>
      <c r="G187" s="4"/>
      <c r="H187" s="4">
        <f>SUMIFS(X!$F$5:$F$2005,X!$D$5:$D$2005,'CEK CICI'!A187)</f>
        <v>0</v>
      </c>
      <c r="I187" s="4">
        <f>SUMIFS(PENJUALAN!$E$4:$E$4288,PENJUALAN!$C$4:$C$4288,'CEK CICI'!A187)</f>
        <v>0</v>
      </c>
      <c r="J187" s="16">
        <f t="shared" si="2"/>
        <v>0</v>
      </c>
      <c r="K187" s="4"/>
      <c r="L187" s="4"/>
      <c r="M187" s="4"/>
      <c r="N187" s="4"/>
    </row>
    <row r="188" ht="13.5" hidden="1" customHeight="1">
      <c r="A188" s="4" t="str">
        <f t="shared" si="1"/>
        <v>FDR-ACCORD13FY</v>
      </c>
      <c r="B188" s="29" t="s">
        <v>354</v>
      </c>
      <c r="C188" s="28" t="s">
        <v>353</v>
      </c>
      <c r="D188" s="28" t="s">
        <v>130</v>
      </c>
      <c r="E188" s="4" t="s">
        <v>111</v>
      </c>
      <c r="F188" s="28"/>
      <c r="G188" s="4"/>
      <c r="H188" s="4">
        <f>SUMIFS(X!$F$5:$F$2005,X!$D$5:$D$2005,'CEK CICI'!A188)</f>
        <v>0</v>
      </c>
      <c r="I188" s="4">
        <f>SUMIFS(PENJUALAN!$E$4:$E$4288,PENJUALAN!$C$4:$C$4288,'CEK CICI'!A188)</f>
        <v>0</v>
      </c>
      <c r="J188" s="16">
        <f t="shared" si="2"/>
        <v>0</v>
      </c>
      <c r="K188" s="4"/>
      <c r="L188" s="4"/>
      <c r="M188" s="4"/>
      <c r="N188" s="4"/>
    </row>
    <row r="189" ht="13.5" hidden="1" customHeight="1">
      <c r="A189" s="4" t="str">
        <f t="shared" si="1"/>
        <v>RDL-ACCORD13FY</v>
      </c>
      <c r="B189" s="29" t="s">
        <v>355</v>
      </c>
      <c r="C189" s="28" t="s">
        <v>353</v>
      </c>
      <c r="D189" s="28" t="s">
        <v>132</v>
      </c>
      <c r="E189" s="4" t="s">
        <v>111</v>
      </c>
      <c r="F189" s="28"/>
      <c r="G189" s="4"/>
      <c r="H189" s="4">
        <f>SUMIFS(X!$F$5:$F$2005,X!$D$5:$D$2005,'CEK CICI'!A189)</f>
        <v>0</v>
      </c>
      <c r="I189" s="4">
        <f>SUMIFS(PENJUALAN!$E$4:$E$4288,PENJUALAN!$C$4:$C$4288,'CEK CICI'!A189)</f>
        <v>0</v>
      </c>
      <c r="J189" s="16">
        <f t="shared" si="2"/>
        <v>0</v>
      </c>
      <c r="K189" s="4"/>
      <c r="L189" s="4"/>
      <c r="M189" s="4"/>
      <c r="N189" s="4"/>
    </row>
    <row r="190" ht="13.5" hidden="1" customHeight="1">
      <c r="A190" s="4" t="str">
        <f t="shared" si="1"/>
        <v>LFW-BRIOFY</v>
      </c>
      <c r="B190" s="29" t="s">
        <v>356</v>
      </c>
      <c r="C190" s="28" t="s">
        <v>357</v>
      </c>
      <c r="D190" s="28" t="s">
        <v>22</v>
      </c>
      <c r="E190" s="4" t="s">
        <v>111</v>
      </c>
      <c r="F190" s="28" t="s">
        <v>97</v>
      </c>
      <c r="G190" s="4"/>
      <c r="H190" s="4">
        <f>SUMIFS(X!$F$5:$F$2005,X!$D$5:$D$2005,'CEK CICI'!A190)</f>
        <v>0</v>
      </c>
      <c r="I190" s="4">
        <f>SUMIFS(PENJUALAN!$E$4:$E$4288,PENJUALAN!$C$4:$C$4288,'CEK CICI'!A190)</f>
        <v>0</v>
      </c>
      <c r="J190" s="16">
        <f t="shared" si="2"/>
        <v>0</v>
      </c>
      <c r="K190" s="4"/>
      <c r="L190" s="4"/>
      <c r="M190" s="4"/>
      <c r="N190" s="4"/>
    </row>
    <row r="191" ht="13.5" hidden="1" customHeight="1">
      <c r="A191" s="4" t="str">
        <f t="shared" si="1"/>
        <v>LFW-CITY96FY</v>
      </c>
      <c r="B191" s="29" t="s">
        <v>358</v>
      </c>
      <c r="C191" s="28" t="s">
        <v>359</v>
      </c>
      <c r="D191" s="28" t="s">
        <v>22</v>
      </c>
      <c r="E191" s="4" t="s">
        <v>111</v>
      </c>
      <c r="F191" s="28" t="s">
        <v>97</v>
      </c>
      <c r="G191" s="4"/>
      <c r="H191" s="4">
        <f>SUMIFS(X!$F$5:$F$2005,X!$D$5:$D$2005,'CEK CICI'!A191)</f>
        <v>0</v>
      </c>
      <c r="I191" s="4">
        <f>SUMIFS(PENJUALAN!$E$4:$E$4288,PENJUALAN!$C$4:$C$4288,'CEK CICI'!A191)</f>
        <v>0</v>
      </c>
      <c r="J191" s="16">
        <f t="shared" si="2"/>
        <v>0</v>
      </c>
      <c r="K191" s="4"/>
      <c r="L191" s="4"/>
      <c r="M191" s="4"/>
      <c r="N191" s="4"/>
    </row>
    <row r="192" ht="13.5" hidden="1" customHeight="1">
      <c r="A192" s="4" t="str">
        <f t="shared" si="1"/>
        <v>TRW-CITY96FY</v>
      </c>
      <c r="B192" s="29" t="s">
        <v>360</v>
      </c>
      <c r="C192" s="28" t="s">
        <v>359</v>
      </c>
      <c r="D192" s="28" t="s">
        <v>41</v>
      </c>
      <c r="E192" s="4" t="s">
        <v>111</v>
      </c>
      <c r="F192" s="28" t="s">
        <v>67</v>
      </c>
      <c r="G192" s="4"/>
      <c r="H192" s="4">
        <f>SUMIFS(X!$F$5:$F$2005,X!$D$5:$D$2005,'CEK CICI'!A192)</f>
        <v>0</v>
      </c>
      <c r="I192" s="4">
        <f>SUMIFS(PENJUALAN!$E$4:$E$4288,PENJUALAN!$C$4:$C$4288,'CEK CICI'!A192)</f>
        <v>0</v>
      </c>
      <c r="J192" s="16">
        <f t="shared" si="2"/>
        <v>0</v>
      </c>
      <c r="K192" s="4"/>
      <c r="L192" s="4"/>
      <c r="M192" s="4"/>
      <c r="N192" s="4"/>
    </row>
    <row r="193" ht="13.5" hidden="1" customHeight="1">
      <c r="A193" s="4" t="str">
        <f t="shared" si="1"/>
        <v>LFW-CITY02FY</v>
      </c>
      <c r="B193" s="29" t="s">
        <v>361</v>
      </c>
      <c r="C193" s="28" t="s">
        <v>362</v>
      </c>
      <c r="D193" s="28" t="s">
        <v>22</v>
      </c>
      <c r="E193" s="4" t="s">
        <v>111</v>
      </c>
      <c r="F193" s="28" t="s">
        <v>97</v>
      </c>
      <c r="G193" s="4"/>
      <c r="H193" s="4">
        <f>SUMIFS(X!$F$5:$F$2005,X!$D$5:$D$2005,'CEK CICI'!A193)</f>
        <v>0</v>
      </c>
      <c r="I193" s="4">
        <f>SUMIFS(PENJUALAN!$E$4:$E$4288,PENJUALAN!$C$4:$C$4288,'CEK CICI'!A193)</f>
        <v>0</v>
      </c>
      <c r="J193" s="16">
        <f t="shared" si="2"/>
        <v>0</v>
      </c>
      <c r="K193" s="4"/>
      <c r="L193" s="4"/>
      <c r="M193" s="4"/>
      <c r="N193" s="4"/>
    </row>
    <row r="194" ht="13.5" hidden="1" customHeight="1">
      <c r="A194" s="4" t="str">
        <f t="shared" si="1"/>
        <v>TRW-CITY02FY</v>
      </c>
      <c r="B194" s="29" t="s">
        <v>363</v>
      </c>
      <c r="C194" s="28" t="s">
        <v>364</v>
      </c>
      <c r="D194" s="28" t="s">
        <v>41</v>
      </c>
      <c r="E194" s="4" t="s">
        <v>111</v>
      </c>
      <c r="F194" s="28" t="s">
        <v>67</v>
      </c>
      <c r="G194" s="4"/>
      <c r="H194" s="4">
        <f>SUMIFS(X!$F$5:$F$2005,X!$D$5:$D$2005,'CEK CICI'!A194)</f>
        <v>0</v>
      </c>
      <c r="I194" s="4">
        <f>SUMIFS(PENJUALAN!$E$4:$E$4288,PENJUALAN!$C$4:$C$4288,'CEK CICI'!A194)</f>
        <v>0</v>
      </c>
      <c r="J194" s="16">
        <f t="shared" si="2"/>
        <v>0</v>
      </c>
      <c r="K194" s="4"/>
      <c r="L194" s="4"/>
      <c r="M194" s="4"/>
      <c r="N194" s="4"/>
    </row>
    <row r="195" ht="13.5" hidden="1" customHeight="1">
      <c r="A195" s="4" t="str">
        <f t="shared" si="1"/>
        <v>LFW-CITY08FY</v>
      </c>
      <c r="B195" s="29" t="s">
        <v>365</v>
      </c>
      <c r="C195" s="28" t="s">
        <v>366</v>
      </c>
      <c r="D195" s="28" t="s">
        <v>22</v>
      </c>
      <c r="E195" s="4" t="s">
        <v>111</v>
      </c>
      <c r="F195" s="28" t="s">
        <v>97</v>
      </c>
      <c r="G195" s="4"/>
      <c r="H195" s="4">
        <f>SUMIFS(X!$F$5:$F$2005,X!$D$5:$D$2005,'CEK CICI'!A195)</f>
        <v>0</v>
      </c>
      <c r="I195" s="4">
        <f>SUMIFS(PENJUALAN!$E$4:$E$4288,PENJUALAN!$C$4:$C$4288,'CEK CICI'!A195)</f>
        <v>0</v>
      </c>
      <c r="J195" s="16">
        <f t="shared" si="2"/>
        <v>0</v>
      </c>
      <c r="K195" s="4"/>
      <c r="L195" s="4"/>
      <c r="M195" s="4"/>
      <c r="N195" s="4"/>
    </row>
    <row r="196" ht="13.5" hidden="1" customHeight="1">
      <c r="A196" s="4" t="str">
        <f t="shared" si="1"/>
        <v>TRW-CITY08FY</v>
      </c>
      <c r="B196" s="29" t="s">
        <v>367</v>
      </c>
      <c r="C196" s="28" t="s">
        <v>366</v>
      </c>
      <c r="D196" s="28" t="s">
        <v>41</v>
      </c>
      <c r="E196" s="4" t="s">
        <v>111</v>
      </c>
      <c r="F196" s="28" t="s">
        <v>67</v>
      </c>
      <c r="G196" s="4"/>
      <c r="H196" s="4">
        <f>SUMIFS(X!$F$5:$F$2005,X!$D$5:$D$2005,'CEK CICI'!A196)</f>
        <v>0</v>
      </c>
      <c r="I196" s="4">
        <f>SUMIFS(PENJUALAN!$E$4:$E$4288,PENJUALAN!$C$4:$C$4288,'CEK CICI'!A196)</f>
        <v>0</v>
      </c>
      <c r="J196" s="16">
        <f t="shared" si="2"/>
        <v>0</v>
      </c>
      <c r="K196" s="4"/>
      <c r="L196" s="4"/>
      <c r="M196" s="4"/>
      <c r="N196" s="4"/>
    </row>
    <row r="197" ht="13.5" hidden="1" customHeight="1">
      <c r="A197" s="4" t="str">
        <f t="shared" si="1"/>
        <v>LFW-CITY14FY</v>
      </c>
      <c r="B197" s="29" t="s">
        <v>368</v>
      </c>
      <c r="C197" s="28" t="s">
        <v>369</v>
      </c>
      <c r="D197" s="28" t="s">
        <v>22</v>
      </c>
      <c r="E197" s="4" t="s">
        <v>111</v>
      </c>
      <c r="F197" s="28" t="s">
        <v>125</v>
      </c>
      <c r="G197" s="4"/>
      <c r="H197" s="4">
        <f>SUMIFS(X!$F$5:$F$2005,X!$D$5:$D$2005,'CEK CICI'!A197)</f>
        <v>0</v>
      </c>
      <c r="I197" s="4">
        <f>SUMIFS(PENJUALAN!$E$4:$E$4288,PENJUALAN!$C$4:$C$4288,'CEK CICI'!A197)</f>
        <v>0</v>
      </c>
      <c r="J197" s="16">
        <f t="shared" si="2"/>
        <v>0</v>
      </c>
      <c r="K197" s="4"/>
      <c r="L197" s="4"/>
      <c r="M197" s="4"/>
      <c r="N197" s="4"/>
    </row>
    <row r="198" ht="13.5" hidden="1" customHeight="1">
      <c r="A198" s="4" t="str">
        <f t="shared" si="1"/>
        <v>LFW-CIVICESTFY</v>
      </c>
      <c r="B198" s="29" t="s">
        <v>370</v>
      </c>
      <c r="C198" s="28" t="s">
        <v>371</v>
      </c>
      <c r="D198" s="28" t="s">
        <v>22</v>
      </c>
      <c r="E198" s="4" t="s">
        <v>111</v>
      </c>
      <c r="F198" s="28" t="s">
        <v>125</v>
      </c>
      <c r="G198" s="4"/>
      <c r="H198" s="4">
        <f>SUMIFS(X!$F$5:$F$2005,X!$D$5:$D$2005,'CEK CICI'!A198)</f>
        <v>0</v>
      </c>
      <c r="I198" s="4">
        <f>SUMIFS(PENJUALAN!$E$4:$E$4288,PENJUALAN!$C$4:$C$4288,'CEK CICI'!A198)</f>
        <v>0</v>
      </c>
      <c r="J198" s="16">
        <f t="shared" si="2"/>
        <v>0</v>
      </c>
      <c r="K198" s="4"/>
      <c r="L198" s="4"/>
      <c r="M198" s="4"/>
      <c r="N198" s="4"/>
    </row>
    <row r="199" ht="13.5" hidden="1" customHeight="1">
      <c r="A199" s="4" t="str">
        <f t="shared" si="1"/>
        <v>TRW-CIVICESTFY</v>
      </c>
      <c r="B199" s="29" t="s">
        <v>372</v>
      </c>
      <c r="C199" s="28" t="s">
        <v>371</v>
      </c>
      <c r="D199" s="28" t="s">
        <v>41</v>
      </c>
      <c r="E199" s="4" t="s">
        <v>111</v>
      </c>
      <c r="F199" s="28" t="s">
        <v>373</v>
      </c>
      <c r="G199" s="4"/>
      <c r="H199" s="4">
        <f>SUMIFS(X!$F$5:$F$2005,X!$D$5:$D$2005,'CEK CICI'!A199)</f>
        <v>0</v>
      </c>
      <c r="I199" s="4">
        <f>SUMIFS(PENJUALAN!$E$4:$E$4288,PENJUALAN!$C$4:$C$4288,'CEK CICI'!A199)</f>
        <v>0</v>
      </c>
      <c r="J199" s="16">
        <f t="shared" si="2"/>
        <v>0</v>
      </c>
      <c r="K199" s="4"/>
      <c r="L199" s="4"/>
      <c r="M199" s="4"/>
      <c r="N199" s="4"/>
    </row>
    <row r="200" ht="13.5" hidden="1" customHeight="1">
      <c r="A200" s="4" t="str">
        <f t="shared" si="1"/>
        <v>FDL-CIVICESTFY</v>
      </c>
      <c r="B200" s="29" t="s">
        <v>374</v>
      </c>
      <c r="C200" s="28" t="s">
        <v>371</v>
      </c>
      <c r="D200" s="28" t="s">
        <v>128</v>
      </c>
      <c r="E200" s="4" t="s">
        <v>111</v>
      </c>
      <c r="F200" s="28"/>
      <c r="G200" s="4"/>
      <c r="H200" s="4">
        <f>SUMIFS(X!$F$5:$F$2005,X!$D$5:$D$2005,'CEK CICI'!A200)</f>
        <v>0</v>
      </c>
      <c r="I200" s="4">
        <f>SUMIFS(PENJUALAN!$E$4:$E$4288,PENJUALAN!$C$4:$C$4288,'CEK CICI'!A200)</f>
        <v>0</v>
      </c>
      <c r="J200" s="16">
        <f t="shared" si="2"/>
        <v>0</v>
      </c>
      <c r="K200" s="4"/>
      <c r="L200" s="4"/>
      <c r="M200" s="4"/>
      <c r="N200" s="4"/>
    </row>
    <row r="201" ht="13.5" hidden="1" customHeight="1">
      <c r="A201" s="4" t="str">
        <f t="shared" si="1"/>
        <v>FDR-CIVICESTFY</v>
      </c>
      <c r="B201" s="29" t="s">
        <v>375</v>
      </c>
      <c r="C201" s="28" t="s">
        <v>371</v>
      </c>
      <c r="D201" s="30" t="s">
        <v>130</v>
      </c>
      <c r="E201" s="4" t="s">
        <v>111</v>
      </c>
      <c r="F201" s="28"/>
      <c r="G201" s="4"/>
      <c r="H201" s="4">
        <f>SUMIFS(X!$F$5:$F$2005,X!$D$5:$D$2005,'CEK CICI'!A201)</f>
        <v>0</v>
      </c>
      <c r="I201" s="4">
        <f>SUMIFS(PENJUALAN!$E$4:$E$4288,PENJUALAN!$C$4:$C$4288,'CEK CICI'!A201)</f>
        <v>0</v>
      </c>
      <c r="J201" s="16">
        <f t="shared" si="2"/>
        <v>0</v>
      </c>
      <c r="K201" s="4"/>
      <c r="L201" s="4"/>
      <c r="M201" s="4"/>
      <c r="N201" s="4"/>
    </row>
    <row r="202" ht="13.5" hidden="1" customHeight="1">
      <c r="A202" s="4" t="str">
        <f t="shared" si="1"/>
        <v>RDL-CIVICESTFY</v>
      </c>
      <c r="B202" s="29" t="s">
        <v>376</v>
      </c>
      <c r="C202" s="28" t="s">
        <v>371</v>
      </c>
      <c r="D202" s="28" t="s">
        <v>202</v>
      </c>
      <c r="E202" s="4" t="s">
        <v>111</v>
      </c>
      <c r="F202" s="28" t="s">
        <v>97</v>
      </c>
      <c r="G202" s="4"/>
      <c r="H202" s="4">
        <f>SUMIFS(X!$F$5:$F$2005,X!$D$5:$D$2005,'CEK CICI'!A202)</f>
        <v>0</v>
      </c>
      <c r="I202" s="4">
        <f>SUMIFS(PENJUALAN!$E$4:$E$4288,PENJUALAN!$C$4:$C$4288,'CEK CICI'!A202)</f>
        <v>0</v>
      </c>
      <c r="J202" s="16">
        <f t="shared" si="2"/>
        <v>0</v>
      </c>
      <c r="K202" s="4"/>
      <c r="L202" s="4"/>
      <c r="M202" s="4"/>
      <c r="N202" s="4"/>
    </row>
    <row r="203" ht="13.5" hidden="1" customHeight="1">
      <c r="A203" s="4" t="str">
        <f t="shared" si="1"/>
        <v>RDR-CIVICESTFY</v>
      </c>
      <c r="B203" s="29" t="s">
        <v>377</v>
      </c>
      <c r="C203" s="28" t="s">
        <v>371</v>
      </c>
      <c r="D203" s="28" t="s">
        <v>236</v>
      </c>
      <c r="E203" s="4" t="s">
        <v>111</v>
      </c>
      <c r="F203" s="28" t="s">
        <v>97</v>
      </c>
      <c r="G203" s="4"/>
      <c r="H203" s="4">
        <f>SUMIFS(X!$F$5:$F$2005,X!$D$5:$D$2005,'CEK CICI'!A203)</f>
        <v>0</v>
      </c>
      <c r="I203" s="4">
        <f>SUMIFS(PENJUALAN!$E$4:$E$4288,PENJUALAN!$C$4:$C$4288,'CEK CICI'!A203)</f>
        <v>0</v>
      </c>
      <c r="J203" s="16">
        <f t="shared" si="2"/>
        <v>0</v>
      </c>
      <c r="K203" s="4"/>
      <c r="L203" s="4"/>
      <c r="M203" s="4"/>
      <c r="N203" s="4"/>
    </row>
    <row r="204" ht="13.5" hidden="1" customHeight="1">
      <c r="A204" s="4" t="str">
        <f t="shared" si="1"/>
        <v>LFW-CIVICGENIOFY</v>
      </c>
      <c r="B204" s="29" t="s">
        <v>378</v>
      </c>
      <c r="C204" s="28" t="s">
        <v>379</v>
      </c>
      <c r="D204" s="28" t="s">
        <v>22</v>
      </c>
      <c r="E204" s="4" t="s">
        <v>111</v>
      </c>
      <c r="F204" s="28" t="s">
        <v>125</v>
      </c>
      <c r="G204" s="4"/>
      <c r="H204" s="4">
        <f>SUMIFS(X!$F$5:$F$2005,X!$D$5:$D$2005,'CEK CICI'!A204)</f>
        <v>0</v>
      </c>
      <c r="I204" s="4">
        <f>SUMIFS(PENJUALAN!$E$4:$E$4288,PENJUALAN!$C$4:$C$4288,'CEK CICI'!A204)</f>
        <v>0</v>
      </c>
      <c r="J204" s="16">
        <f t="shared" si="2"/>
        <v>0</v>
      </c>
      <c r="K204" s="4"/>
      <c r="L204" s="4"/>
      <c r="M204" s="4"/>
      <c r="N204" s="4"/>
    </row>
    <row r="205" ht="13.5" hidden="1" customHeight="1">
      <c r="A205" s="4" t="str">
        <f t="shared" si="1"/>
        <v>RDL-CIVICGENIOFY</v>
      </c>
      <c r="B205" s="29" t="s">
        <v>380</v>
      </c>
      <c r="C205" s="28" t="s">
        <v>379</v>
      </c>
      <c r="D205" s="28" t="s">
        <v>132</v>
      </c>
      <c r="E205" s="4" t="s">
        <v>111</v>
      </c>
      <c r="F205" s="28"/>
      <c r="G205" s="4"/>
      <c r="H205" s="4">
        <f>SUMIFS(X!$F$5:$F$2005,X!$D$5:$D$2005,'CEK CICI'!A205)</f>
        <v>0</v>
      </c>
      <c r="I205" s="4">
        <f>SUMIFS(PENJUALAN!$E$4:$E$4288,PENJUALAN!$C$4:$C$4288,'CEK CICI'!A205)</f>
        <v>0</v>
      </c>
      <c r="J205" s="16">
        <f t="shared" si="2"/>
        <v>0</v>
      </c>
      <c r="K205" s="4"/>
      <c r="L205" s="4"/>
      <c r="M205" s="4"/>
      <c r="N205" s="4"/>
    </row>
    <row r="206" ht="13.5" hidden="1" customHeight="1">
      <c r="A206" s="4" t="str">
        <f t="shared" si="1"/>
        <v>TRW-CIVICGENIOFY</v>
      </c>
      <c r="B206" s="29" t="s">
        <v>381</v>
      </c>
      <c r="C206" s="28" t="s">
        <v>379</v>
      </c>
      <c r="D206" s="28" t="s">
        <v>41</v>
      </c>
      <c r="E206" s="4" t="s">
        <v>111</v>
      </c>
      <c r="F206" s="28" t="s">
        <v>67</v>
      </c>
      <c r="G206" s="4"/>
      <c r="H206" s="4">
        <f>SUMIFS(X!$F$5:$F$2005,X!$D$5:$D$2005,'CEK CICI'!A206)</f>
        <v>0</v>
      </c>
      <c r="I206" s="4">
        <f>SUMIFS(PENJUALAN!$E$4:$E$4288,PENJUALAN!$C$4:$C$4288,'CEK CICI'!A206)</f>
        <v>0</v>
      </c>
      <c r="J206" s="16">
        <f t="shared" si="2"/>
        <v>0</v>
      </c>
      <c r="K206" s="4"/>
      <c r="L206" s="4"/>
      <c r="M206" s="4"/>
      <c r="N206" s="4"/>
    </row>
    <row r="207" ht="13.5" hidden="1" customHeight="1">
      <c r="A207" s="4" t="str">
        <f t="shared" si="1"/>
        <v>LFW-CIVIC96FY</v>
      </c>
      <c r="B207" s="29" t="s">
        <v>382</v>
      </c>
      <c r="C207" s="28" t="s">
        <v>383</v>
      </c>
      <c r="D207" s="28" t="s">
        <v>22</v>
      </c>
      <c r="E207" s="4" t="s">
        <v>111</v>
      </c>
      <c r="F207" s="28" t="s">
        <v>97</v>
      </c>
      <c r="G207" s="4"/>
      <c r="H207" s="4">
        <f>SUMIFS(X!$F$5:$F$2005,X!$D$5:$D$2005,'CEK CICI'!A207)</f>
        <v>0</v>
      </c>
      <c r="I207" s="4">
        <f>SUMIFS(PENJUALAN!$E$4:$E$4288,PENJUALAN!$C$4:$C$4288,'CEK CICI'!A207)</f>
        <v>0</v>
      </c>
      <c r="J207" s="16">
        <f t="shared" si="2"/>
        <v>0</v>
      </c>
      <c r="K207" s="4"/>
      <c r="L207" s="4"/>
      <c r="M207" s="4"/>
      <c r="N207" s="4"/>
    </row>
    <row r="208" ht="13.5" hidden="1" customHeight="1">
      <c r="A208" s="4" t="str">
        <f t="shared" si="1"/>
        <v>TRW-CIVIC96FY</v>
      </c>
      <c r="B208" s="29" t="s">
        <v>384</v>
      </c>
      <c r="C208" s="28" t="s">
        <v>383</v>
      </c>
      <c r="D208" s="28" t="s">
        <v>41</v>
      </c>
      <c r="E208" s="4" t="s">
        <v>111</v>
      </c>
      <c r="F208" s="28" t="s">
        <v>67</v>
      </c>
      <c r="G208" s="4"/>
      <c r="H208" s="4">
        <f>SUMIFS(X!$F$5:$F$2005,X!$D$5:$D$2005,'CEK CICI'!A208)</f>
        <v>0</v>
      </c>
      <c r="I208" s="4">
        <f>SUMIFS(PENJUALAN!$E$4:$E$4288,PENJUALAN!$C$4:$C$4288,'CEK CICI'!A208)</f>
        <v>0</v>
      </c>
      <c r="J208" s="16">
        <f t="shared" si="2"/>
        <v>0</v>
      </c>
      <c r="K208" s="4"/>
      <c r="L208" s="4"/>
      <c r="M208" s="4"/>
      <c r="N208" s="4"/>
    </row>
    <row r="209" ht="13.5" hidden="1" customHeight="1">
      <c r="A209" s="4" t="str">
        <f t="shared" si="1"/>
        <v>RDR-CIVIC96FY</v>
      </c>
      <c r="B209" s="29" t="s">
        <v>385</v>
      </c>
      <c r="C209" s="28" t="s">
        <v>383</v>
      </c>
      <c r="D209" s="28" t="s">
        <v>134</v>
      </c>
      <c r="E209" s="4" t="s">
        <v>111</v>
      </c>
      <c r="F209" s="28"/>
      <c r="G209" s="4"/>
      <c r="H209" s="4">
        <f>SUMIFS(X!$F$5:$F$2005,X!$D$5:$D$2005,'CEK CICI'!A209)</f>
        <v>0</v>
      </c>
      <c r="I209" s="4">
        <f>SUMIFS(PENJUALAN!$E$4:$E$4288,PENJUALAN!$C$4:$C$4288,'CEK CICI'!A209)</f>
        <v>0</v>
      </c>
      <c r="J209" s="16">
        <f t="shared" si="2"/>
        <v>0</v>
      </c>
      <c r="K209" s="4"/>
      <c r="L209" s="4"/>
      <c r="M209" s="4"/>
      <c r="N209" s="4"/>
    </row>
    <row r="210" ht="13.5" hidden="1" customHeight="1">
      <c r="A210" s="4" t="str">
        <f t="shared" si="1"/>
        <v>RVL-CIVIC96FY</v>
      </c>
      <c r="B210" s="29" t="s">
        <v>386</v>
      </c>
      <c r="C210" s="28" t="s">
        <v>383</v>
      </c>
      <c r="D210" s="28" t="s">
        <v>387</v>
      </c>
      <c r="E210" s="4" t="s">
        <v>111</v>
      </c>
      <c r="F210" s="28" t="s">
        <v>97</v>
      </c>
      <c r="G210" s="4"/>
      <c r="H210" s="4">
        <f>SUMIFS(X!$F$5:$F$2005,X!$D$5:$D$2005,'CEK CICI'!A210)</f>
        <v>0</v>
      </c>
      <c r="I210" s="4">
        <f>SUMIFS(PENJUALAN!$E$4:$E$4288,PENJUALAN!$C$4:$C$4288,'CEK CICI'!A210)</f>
        <v>0</v>
      </c>
      <c r="J210" s="16">
        <f t="shared" si="2"/>
        <v>0</v>
      </c>
      <c r="K210" s="4"/>
      <c r="L210" s="4"/>
      <c r="M210" s="4"/>
      <c r="N210" s="4"/>
    </row>
    <row r="211" ht="13.5" hidden="1" customHeight="1">
      <c r="A211" s="4" t="str">
        <f t="shared" si="1"/>
        <v>RVR-CIVIC96FY</v>
      </c>
      <c r="B211" s="29" t="s">
        <v>388</v>
      </c>
      <c r="C211" s="28" t="s">
        <v>383</v>
      </c>
      <c r="D211" s="28" t="s">
        <v>389</v>
      </c>
      <c r="E211" s="4" t="s">
        <v>111</v>
      </c>
      <c r="F211" s="28" t="s">
        <v>97</v>
      </c>
      <c r="G211" s="4"/>
      <c r="H211" s="4">
        <f>SUMIFS(X!$F$5:$F$2005,X!$D$5:$D$2005,'CEK CICI'!A211)</f>
        <v>0</v>
      </c>
      <c r="I211" s="4">
        <f>SUMIFS(PENJUALAN!$E$4:$E$4288,PENJUALAN!$C$4:$C$4288,'CEK CICI'!A211)</f>
        <v>0</v>
      </c>
      <c r="J211" s="16">
        <f t="shared" si="2"/>
        <v>0</v>
      </c>
      <c r="K211" s="4"/>
      <c r="L211" s="4"/>
      <c r="M211" s="4"/>
      <c r="N211" s="4"/>
    </row>
    <row r="212" ht="13.5" hidden="1" customHeight="1">
      <c r="A212" s="4" t="str">
        <f t="shared" si="1"/>
        <v>LFW-CIVIC00FY</v>
      </c>
      <c r="B212" s="29" t="s">
        <v>390</v>
      </c>
      <c r="C212" s="28" t="s">
        <v>391</v>
      </c>
      <c r="D212" s="28" t="s">
        <v>22</v>
      </c>
      <c r="E212" s="4" t="s">
        <v>111</v>
      </c>
      <c r="F212" s="28" t="s">
        <v>97</v>
      </c>
      <c r="G212" s="4"/>
      <c r="H212" s="4">
        <f>SUMIFS(X!$F$5:$F$2005,X!$D$5:$D$2005,'CEK CICI'!A212)</f>
        <v>0</v>
      </c>
      <c r="I212" s="4">
        <f>SUMIFS(PENJUALAN!$E$4:$E$4288,PENJUALAN!$C$4:$C$4288,'CEK CICI'!A212)</f>
        <v>0</v>
      </c>
      <c r="J212" s="16">
        <f t="shared" si="2"/>
        <v>0</v>
      </c>
      <c r="K212" s="4"/>
      <c r="L212" s="4"/>
      <c r="M212" s="4"/>
      <c r="N212" s="4"/>
    </row>
    <row r="213" ht="13.5" hidden="1" customHeight="1">
      <c r="A213" s="4" t="str">
        <f t="shared" si="1"/>
        <v>TRW-CIVIC00FY</v>
      </c>
      <c r="B213" s="29" t="s">
        <v>392</v>
      </c>
      <c r="C213" s="28" t="s">
        <v>391</v>
      </c>
      <c r="D213" s="28" t="s">
        <v>41</v>
      </c>
      <c r="E213" s="4" t="s">
        <v>111</v>
      </c>
      <c r="F213" s="28" t="s">
        <v>114</v>
      </c>
      <c r="G213" s="4"/>
      <c r="H213" s="4">
        <f>SUMIFS(X!$F$5:$F$2005,X!$D$5:$D$2005,'CEK CICI'!A213)</f>
        <v>0</v>
      </c>
      <c r="I213" s="4">
        <f>SUMIFS(PENJUALAN!$E$4:$E$4288,PENJUALAN!$C$4:$C$4288,'CEK CICI'!A213)</f>
        <v>0</v>
      </c>
      <c r="J213" s="16">
        <f t="shared" si="2"/>
        <v>0</v>
      </c>
      <c r="K213" s="4"/>
      <c r="L213" s="4"/>
      <c r="M213" s="4"/>
      <c r="N213" s="4"/>
    </row>
    <row r="214" ht="13.5" hidden="1" customHeight="1">
      <c r="A214" s="4" t="str">
        <f t="shared" si="1"/>
        <v>LFW-CIVIC05FY</v>
      </c>
      <c r="B214" s="29" t="s">
        <v>393</v>
      </c>
      <c r="C214" s="28" t="s">
        <v>394</v>
      </c>
      <c r="D214" s="28" t="s">
        <v>22</v>
      </c>
      <c r="E214" s="4" t="s">
        <v>111</v>
      </c>
      <c r="F214" s="28" t="s">
        <v>125</v>
      </c>
      <c r="G214" s="4"/>
      <c r="H214" s="4">
        <f>SUMIFS(X!$F$5:$F$2005,X!$D$5:$D$2005,'CEK CICI'!A214)</f>
        <v>0</v>
      </c>
      <c r="I214" s="4">
        <f>SUMIFS(PENJUALAN!$E$4:$E$4288,PENJUALAN!$C$4:$C$4288,'CEK CICI'!A214)</f>
        <v>0</v>
      </c>
      <c r="J214" s="16">
        <f t="shared" si="2"/>
        <v>0</v>
      </c>
      <c r="K214" s="4"/>
      <c r="L214" s="4"/>
      <c r="M214" s="4"/>
      <c r="N214" s="4"/>
    </row>
    <row r="215" ht="13.5" hidden="1" customHeight="1">
      <c r="A215" s="4" t="str">
        <f t="shared" si="1"/>
        <v>TRW-CIVIC05FY</v>
      </c>
      <c r="B215" s="29" t="s">
        <v>395</v>
      </c>
      <c r="C215" s="28" t="s">
        <v>394</v>
      </c>
      <c r="D215" s="28" t="s">
        <v>41</v>
      </c>
      <c r="E215" s="4" t="s">
        <v>111</v>
      </c>
      <c r="F215" s="28" t="s">
        <v>67</v>
      </c>
      <c r="G215" s="4"/>
      <c r="H215" s="4">
        <f>SUMIFS(X!$F$5:$F$2005,X!$D$5:$D$2005,'CEK CICI'!A215)</f>
        <v>0</v>
      </c>
      <c r="I215" s="4">
        <f>SUMIFS(PENJUALAN!$E$4:$E$4288,PENJUALAN!$C$4:$C$4288,'CEK CICI'!A215)</f>
        <v>0</v>
      </c>
      <c r="J215" s="16">
        <f t="shared" si="2"/>
        <v>0</v>
      </c>
      <c r="K215" s="4"/>
      <c r="L215" s="4"/>
      <c r="M215" s="4"/>
      <c r="N215" s="4"/>
    </row>
    <row r="216" ht="13.5" hidden="1" customHeight="1">
      <c r="A216" s="4" t="str">
        <f t="shared" si="1"/>
        <v>FDL-CIVIC05FY</v>
      </c>
      <c r="B216" s="29" t="s">
        <v>396</v>
      </c>
      <c r="C216" s="28" t="s">
        <v>394</v>
      </c>
      <c r="D216" s="28" t="s">
        <v>128</v>
      </c>
      <c r="E216" s="4" t="s">
        <v>111</v>
      </c>
      <c r="F216" s="28" t="s">
        <v>397</v>
      </c>
      <c r="G216" s="4"/>
      <c r="H216" s="4">
        <f>SUMIFS(X!$F$5:$F$2005,X!$D$5:$D$2005,'CEK CICI'!A216)</f>
        <v>0</v>
      </c>
      <c r="I216" s="4">
        <f>SUMIFS(PENJUALAN!$E$4:$E$4288,PENJUALAN!$C$4:$C$4288,'CEK CICI'!A216)</f>
        <v>0</v>
      </c>
      <c r="J216" s="16">
        <f t="shared" si="2"/>
        <v>0</v>
      </c>
      <c r="K216" s="4"/>
      <c r="L216" s="4"/>
      <c r="M216" s="4"/>
      <c r="N216" s="4"/>
    </row>
    <row r="217" ht="13.5" hidden="1" customHeight="1">
      <c r="A217" s="4" t="str">
        <f t="shared" si="1"/>
        <v>FDR-CIVIC05FY</v>
      </c>
      <c r="B217" s="29" t="s">
        <v>398</v>
      </c>
      <c r="C217" s="28" t="s">
        <v>394</v>
      </c>
      <c r="D217" s="28" t="s">
        <v>130</v>
      </c>
      <c r="E217" s="4" t="s">
        <v>111</v>
      </c>
      <c r="F217" s="28" t="s">
        <v>397</v>
      </c>
      <c r="G217" s="4"/>
      <c r="H217" s="4">
        <f>SUMIFS(X!$F$5:$F$2005,X!$D$5:$D$2005,'CEK CICI'!A217)</f>
        <v>0</v>
      </c>
      <c r="I217" s="4">
        <f>SUMIFS(PENJUALAN!$E$4:$E$4288,PENJUALAN!$C$4:$C$4288,'CEK CICI'!A217)</f>
        <v>0</v>
      </c>
      <c r="J217" s="16">
        <f t="shared" si="2"/>
        <v>0</v>
      </c>
      <c r="K217" s="4"/>
      <c r="L217" s="4"/>
      <c r="M217" s="4"/>
      <c r="N217" s="4"/>
    </row>
    <row r="218" ht="13.5" hidden="1" customHeight="1">
      <c r="A218" s="4" t="str">
        <f t="shared" si="1"/>
        <v>FVL-CIVIC05FY</v>
      </c>
      <c r="B218" s="29" t="s">
        <v>399</v>
      </c>
      <c r="C218" s="28" t="s">
        <v>394</v>
      </c>
      <c r="D218" s="28" t="s">
        <v>400</v>
      </c>
      <c r="E218" s="4" t="s">
        <v>111</v>
      </c>
      <c r="F218" s="28" t="s">
        <v>97</v>
      </c>
      <c r="G218" s="4"/>
      <c r="H218" s="4">
        <f>SUMIFS(X!$F$5:$F$2005,X!$D$5:$D$2005,'CEK CICI'!A218)</f>
        <v>0</v>
      </c>
      <c r="I218" s="4">
        <f>SUMIFS(PENJUALAN!$E$4:$E$4288,PENJUALAN!$C$4:$C$4288,'CEK CICI'!A218)</f>
        <v>0</v>
      </c>
      <c r="J218" s="16">
        <f t="shared" si="2"/>
        <v>0</v>
      </c>
      <c r="K218" s="4"/>
      <c r="L218" s="4"/>
      <c r="M218" s="4"/>
      <c r="N218" s="4"/>
    </row>
    <row r="219" ht="13.5" hidden="1" customHeight="1">
      <c r="A219" s="4" t="str">
        <f t="shared" si="1"/>
        <v>FVR-CIVIC05FY</v>
      </c>
      <c r="B219" s="29" t="s">
        <v>401</v>
      </c>
      <c r="C219" s="28" t="s">
        <v>394</v>
      </c>
      <c r="D219" s="28" t="s">
        <v>402</v>
      </c>
      <c r="E219" s="4" t="s">
        <v>111</v>
      </c>
      <c r="F219" s="28" t="s">
        <v>97</v>
      </c>
      <c r="G219" s="4"/>
      <c r="H219" s="4">
        <f>SUMIFS(X!$F$5:$F$2005,X!$D$5:$D$2005,'CEK CICI'!A219)</f>
        <v>0</v>
      </c>
      <c r="I219" s="4">
        <f>SUMIFS(PENJUALAN!$E$4:$E$4288,PENJUALAN!$C$4:$C$4288,'CEK CICI'!A219)</f>
        <v>0</v>
      </c>
      <c r="J219" s="16">
        <f t="shared" si="2"/>
        <v>0</v>
      </c>
      <c r="K219" s="4"/>
      <c r="L219" s="4"/>
      <c r="M219" s="4"/>
      <c r="N219" s="4"/>
    </row>
    <row r="220" ht="13.5" hidden="1" customHeight="1">
      <c r="A220" s="4" t="str">
        <f t="shared" si="1"/>
        <v>RVL-CIVIC05FY</v>
      </c>
      <c r="B220" s="29" t="s">
        <v>403</v>
      </c>
      <c r="C220" s="28" t="s">
        <v>394</v>
      </c>
      <c r="D220" s="28" t="s">
        <v>387</v>
      </c>
      <c r="E220" s="4" t="s">
        <v>111</v>
      </c>
      <c r="F220" s="28"/>
      <c r="G220" s="4"/>
      <c r="H220" s="4">
        <f>SUMIFS(X!$F$5:$F$2005,X!$D$5:$D$2005,'CEK CICI'!A220)</f>
        <v>0</v>
      </c>
      <c r="I220" s="4">
        <f>SUMIFS(PENJUALAN!$E$4:$E$4288,PENJUALAN!$C$4:$C$4288,'CEK CICI'!A220)</f>
        <v>0</v>
      </c>
      <c r="J220" s="16">
        <f t="shared" si="2"/>
        <v>0</v>
      </c>
      <c r="K220" s="4"/>
      <c r="L220" s="4"/>
      <c r="M220" s="4"/>
      <c r="N220" s="4"/>
    </row>
    <row r="221" ht="13.5" hidden="1" customHeight="1">
      <c r="A221" s="4" t="str">
        <f t="shared" si="1"/>
        <v>RVR-CIVIC05FY</v>
      </c>
      <c r="B221" s="29" t="s">
        <v>404</v>
      </c>
      <c r="C221" s="28" t="s">
        <v>394</v>
      </c>
      <c r="D221" s="28" t="s">
        <v>389</v>
      </c>
      <c r="E221" s="4" t="s">
        <v>111</v>
      </c>
      <c r="F221" s="28"/>
      <c r="G221" s="4"/>
      <c r="H221" s="4">
        <f>SUMIFS(X!$F$5:$F$2005,X!$D$5:$D$2005,'CEK CICI'!A221)</f>
        <v>0</v>
      </c>
      <c r="I221" s="4">
        <f>SUMIFS(PENJUALAN!$E$4:$E$4288,PENJUALAN!$C$4:$C$4288,'CEK CICI'!A221)</f>
        <v>0</v>
      </c>
      <c r="J221" s="16">
        <f t="shared" si="2"/>
        <v>0</v>
      </c>
      <c r="K221" s="4"/>
      <c r="L221" s="4"/>
      <c r="M221" s="4"/>
      <c r="N221" s="4"/>
    </row>
    <row r="222" ht="13.5" hidden="1" customHeight="1">
      <c r="A222" s="4" t="str">
        <f t="shared" si="1"/>
        <v>LFW-CIVIC11FY</v>
      </c>
      <c r="B222" s="29" t="s">
        <v>405</v>
      </c>
      <c r="C222" s="28" t="s">
        <v>406</v>
      </c>
      <c r="D222" s="28" t="s">
        <v>22</v>
      </c>
      <c r="E222" s="4" t="s">
        <v>111</v>
      </c>
      <c r="F222" s="28" t="s">
        <v>125</v>
      </c>
      <c r="G222" s="4"/>
      <c r="H222" s="4">
        <f>SUMIFS(X!$F$5:$F$2005,X!$D$5:$D$2005,'CEK CICI'!A222)</f>
        <v>0</v>
      </c>
      <c r="I222" s="4">
        <f>SUMIFS(PENJUALAN!$E$4:$E$4288,PENJUALAN!$C$4:$C$4288,'CEK CICI'!A222)</f>
        <v>0</v>
      </c>
      <c r="J222" s="16">
        <f t="shared" si="2"/>
        <v>0</v>
      </c>
      <c r="K222" s="4"/>
      <c r="L222" s="4"/>
      <c r="M222" s="4"/>
      <c r="N222" s="4"/>
    </row>
    <row r="223" ht="13.5" hidden="1" customHeight="1">
      <c r="A223" s="4" t="str">
        <f t="shared" si="1"/>
        <v>TRW-CIVIC11FY</v>
      </c>
      <c r="B223" s="29" t="s">
        <v>407</v>
      </c>
      <c r="C223" s="28" t="s">
        <v>406</v>
      </c>
      <c r="D223" s="28" t="s">
        <v>41</v>
      </c>
      <c r="E223" s="4" t="s">
        <v>111</v>
      </c>
      <c r="F223" s="28" t="s">
        <v>114</v>
      </c>
      <c r="G223" s="4"/>
      <c r="H223" s="4">
        <f>SUMIFS(X!$F$5:$F$2005,X!$D$5:$D$2005,'CEK CICI'!A223)</f>
        <v>0</v>
      </c>
      <c r="I223" s="4">
        <f>SUMIFS(PENJUALAN!$E$4:$E$4288,PENJUALAN!$C$4:$C$4288,'CEK CICI'!A223)</f>
        <v>0</v>
      </c>
      <c r="J223" s="16">
        <f t="shared" si="2"/>
        <v>0</v>
      </c>
      <c r="K223" s="4"/>
      <c r="L223" s="4"/>
      <c r="M223" s="4"/>
      <c r="N223" s="4"/>
    </row>
    <row r="224" ht="13.5" hidden="1" customHeight="1">
      <c r="A224" s="4" t="str">
        <f t="shared" si="1"/>
        <v>TRW-CIVIC16SEDFY</v>
      </c>
      <c r="B224" s="29" t="s">
        <v>408</v>
      </c>
      <c r="C224" s="28" t="s">
        <v>409</v>
      </c>
      <c r="D224" s="28" t="s">
        <v>41</v>
      </c>
      <c r="E224" s="4" t="s">
        <v>111</v>
      </c>
      <c r="F224" s="28" t="s">
        <v>114</v>
      </c>
      <c r="G224" s="4"/>
      <c r="H224" s="4">
        <f>SUMIFS(X!$F$5:$F$2005,X!$D$5:$D$2005,'CEK CICI'!A224)</f>
        <v>0</v>
      </c>
      <c r="I224" s="4">
        <f>SUMIFS(PENJUALAN!$E$4:$E$4288,PENJUALAN!$C$4:$C$4288,'CEK CICI'!A224)</f>
        <v>0</v>
      </c>
      <c r="J224" s="16">
        <f t="shared" si="2"/>
        <v>0</v>
      </c>
      <c r="K224" s="4"/>
      <c r="L224" s="4"/>
      <c r="M224" s="4"/>
      <c r="N224" s="4"/>
    </row>
    <row r="225" ht="13.5" hidden="1" customHeight="1">
      <c r="A225" s="4" t="str">
        <f t="shared" si="1"/>
        <v>LFW-CRV95FY</v>
      </c>
      <c r="B225" s="29" t="s">
        <v>410</v>
      </c>
      <c r="C225" s="28" t="s">
        <v>411</v>
      </c>
      <c r="D225" s="28" t="s">
        <v>22</v>
      </c>
      <c r="E225" s="4" t="s">
        <v>111</v>
      </c>
      <c r="F225" s="28" t="s">
        <v>97</v>
      </c>
      <c r="G225" s="4"/>
      <c r="H225" s="4">
        <f>SUMIFS(X!$F$5:$F$2005,X!$D$5:$D$2005,'CEK CICI'!A225)</f>
        <v>0</v>
      </c>
      <c r="I225" s="4">
        <f>SUMIFS(PENJUALAN!$E$4:$E$4288,PENJUALAN!$C$4:$C$4288,'CEK CICI'!A225)</f>
        <v>0</v>
      </c>
      <c r="J225" s="16">
        <f t="shared" si="2"/>
        <v>0</v>
      </c>
      <c r="K225" s="4"/>
      <c r="L225" s="4"/>
      <c r="M225" s="4"/>
      <c r="N225" s="4"/>
    </row>
    <row r="226" ht="13.5" hidden="1" customHeight="1">
      <c r="A226" s="4" t="str">
        <f t="shared" si="1"/>
        <v>TRW-CRV95FY</v>
      </c>
      <c r="B226" s="29" t="s">
        <v>412</v>
      </c>
      <c r="C226" s="28" t="s">
        <v>411</v>
      </c>
      <c r="D226" s="28" t="s">
        <v>41</v>
      </c>
      <c r="E226" s="4" t="s">
        <v>111</v>
      </c>
      <c r="F226" s="28" t="s">
        <v>373</v>
      </c>
      <c r="G226" s="4"/>
      <c r="H226" s="4">
        <f>SUMIFS(X!$F$5:$F$2005,X!$D$5:$D$2005,'CEK CICI'!A226)</f>
        <v>0</v>
      </c>
      <c r="I226" s="4">
        <f>SUMIFS(PENJUALAN!$E$4:$E$4288,PENJUALAN!$C$4:$C$4288,'CEK CICI'!A226)</f>
        <v>0</v>
      </c>
      <c r="J226" s="16">
        <f t="shared" si="2"/>
        <v>0</v>
      </c>
      <c r="K226" s="4"/>
      <c r="L226" s="4"/>
      <c r="M226" s="4"/>
      <c r="N226" s="4"/>
    </row>
    <row r="227" ht="13.5" hidden="1" customHeight="1">
      <c r="A227" s="4" t="str">
        <f t="shared" si="1"/>
        <v>FDL-CRV95FY</v>
      </c>
      <c r="B227" s="29" t="s">
        <v>413</v>
      </c>
      <c r="C227" s="28" t="s">
        <v>411</v>
      </c>
      <c r="D227" s="28" t="s">
        <v>128</v>
      </c>
      <c r="E227" s="4" t="s">
        <v>111</v>
      </c>
      <c r="F227" s="28"/>
      <c r="G227" s="4"/>
      <c r="H227" s="4">
        <f>SUMIFS(X!$F$5:$F$2005,X!$D$5:$D$2005,'CEK CICI'!A227)</f>
        <v>0</v>
      </c>
      <c r="I227" s="4">
        <f>SUMIFS(PENJUALAN!$E$4:$E$4288,PENJUALAN!$C$4:$C$4288,'CEK CICI'!A227)</f>
        <v>0</v>
      </c>
      <c r="J227" s="16">
        <f t="shared" si="2"/>
        <v>0</v>
      </c>
      <c r="K227" s="4"/>
      <c r="L227" s="4"/>
      <c r="M227" s="4"/>
      <c r="N227" s="4"/>
    </row>
    <row r="228" ht="13.5" hidden="1" customHeight="1">
      <c r="A228" s="4" t="str">
        <f t="shared" si="1"/>
        <v>FDR-CRV95FY</v>
      </c>
      <c r="B228" s="29" t="s">
        <v>414</v>
      </c>
      <c r="C228" s="28" t="s">
        <v>411</v>
      </c>
      <c r="D228" s="28" t="s">
        <v>130</v>
      </c>
      <c r="E228" s="4" t="s">
        <v>111</v>
      </c>
      <c r="F228" s="28"/>
      <c r="G228" s="4"/>
      <c r="H228" s="4">
        <f>SUMIFS(X!$F$5:$F$2005,X!$D$5:$D$2005,'CEK CICI'!A228)</f>
        <v>0</v>
      </c>
      <c r="I228" s="4">
        <f>SUMIFS(PENJUALAN!$E$4:$E$4288,PENJUALAN!$C$4:$C$4288,'CEK CICI'!A228)</f>
        <v>0</v>
      </c>
      <c r="J228" s="16">
        <f t="shared" si="2"/>
        <v>0</v>
      </c>
      <c r="K228" s="4"/>
      <c r="L228" s="4"/>
      <c r="M228" s="4"/>
      <c r="N228" s="4"/>
    </row>
    <row r="229" ht="13.5" hidden="1" customHeight="1">
      <c r="A229" s="4" t="str">
        <f t="shared" si="1"/>
        <v>RVL-CRV95FY</v>
      </c>
      <c r="B229" s="29" t="s">
        <v>415</v>
      </c>
      <c r="C229" s="28" t="s">
        <v>411</v>
      </c>
      <c r="D229" s="28" t="s">
        <v>387</v>
      </c>
      <c r="E229" s="4" t="s">
        <v>111</v>
      </c>
      <c r="F229" s="28"/>
      <c r="G229" s="4"/>
      <c r="H229" s="4">
        <f>SUMIFS(X!$F$5:$F$2005,X!$D$5:$D$2005,'CEK CICI'!A229)</f>
        <v>0</v>
      </c>
      <c r="I229" s="4">
        <f>SUMIFS(PENJUALAN!$E$4:$E$4288,PENJUALAN!$C$4:$C$4288,'CEK CICI'!A229)</f>
        <v>0</v>
      </c>
      <c r="J229" s="16">
        <f t="shared" si="2"/>
        <v>0</v>
      </c>
      <c r="K229" s="4"/>
      <c r="L229" s="4"/>
      <c r="M229" s="4"/>
      <c r="N229" s="4"/>
    </row>
    <row r="230" ht="13.5" hidden="1" customHeight="1">
      <c r="A230" s="4" t="str">
        <f t="shared" si="1"/>
        <v>RVR-CRV95FY</v>
      </c>
      <c r="B230" s="29" t="s">
        <v>416</v>
      </c>
      <c r="C230" s="28" t="s">
        <v>411</v>
      </c>
      <c r="D230" s="28" t="s">
        <v>389</v>
      </c>
      <c r="E230" s="4" t="s">
        <v>111</v>
      </c>
      <c r="F230" s="28"/>
      <c r="G230" s="4"/>
      <c r="H230" s="4">
        <f>SUMIFS(X!$F$5:$F$2005,X!$D$5:$D$2005,'CEK CICI'!A230)</f>
        <v>0</v>
      </c>
      <c r="I230" s="4">
        <f>SUMIFS(PENJUALAN!$E$4:$E$4288,PENJUALAN!$C$4:$C$4288,'CEK CICI'!A230)</f>
        <v>0</v>
      </c>
      <c r="J230" s="16">
        <f t="shared" si="2"/>
        <v>0</v>
      </c>
      <c r="K230" s="4"/>
      <c r="L230" s="4"/>
      <c r="M230" s="4"/>
      <c r="N230" s="4"/>
    </row>
    <row r="231" ht="13.5" hidden="1" customHeight="1">
      <c r="A231" s="4" t="str">
        <f t="shared" si="1"/>
        <v>SWL-CRV95FY</v>
      </c>
      <c r="B231" s="29" t="s">
        <v>417</v>
      </c>
      <c r="C231" s="28" t="s">
        <v>411</v>
      </c>
      <c r="D231" s="28" t="s">
        <v>202</v>
      </c>
      <c r="E231" s="4" t="s">
        <v>111</v>
      </c>
      <c r="F231" s="28" t="s">
        <v>97</v>
      </c>
      <c r="G231" s="4"/>
      <c r="H231" s="4">
        <f>SUMIFS(X!$F$5:$F$2005,X!$D$5:$D$2005,'CEK CICI'!A231)</f>
        <v>0</v>
      </c>
      <c r="I231" s="4">
        <f>SUMIFS(PENJUALAN!$E$4:$E$4288,PENJUALAN!$C$4:$C$4288,'CEK CICI'!A231)</f>
        <v>0</v>
      </c>
      <c r="J231" s="16">
        <f t="shared" si="2"/>
        <v>0</v>
      </c>
      <c r="K231" s="4"/>
      <c r="L231" s="4"/>
      <c r="M231" s="4"/>
      <c r="N231" s="4"/>
    </row>
    <row r="232" ht="13.5" hidden="1" customHeight="1">
      <c r="A232" s="4" t="str">
        <f t="shared" si="1"/>
        <v>SWR-CRV95FY</v>
      </c>
      <c r="B232" s="29" t="s">
        <v>418</v>
      </c>
      <c r="C232" s="28" t="s">
        <v>411</v>
      </c>
      <c r="D232" s="28" t="s">
        <v>236</v>
      </c>
      <c r="E232" s="4" t="s">
        <v>111</v>
      </c>
      <c r="F232" s="28" t="s">
        <v>97</v>
      </c>
      <c r="G232" s="4"/>
      <c r="H232" s="4">
        <f>SUMIFS(X!$F$5:$F$2005,X!$D$5:$D$2005,'CEK CICI'!A232)</f>
        <v>0</v>
      </c>
      <c r="I232" s="4">
        <f>SUMIFS(PENJUALAN!$E$4:$E$4288,PENJUALAN!$C$4:$C$4288,'CEK CICI'!A232)</f>
        <v>0</v>
      </c>
      <c r="J232" s="16">
        <f t="shared" si="2"/>
        <v>0</v>
      </c>
      <c r="K232" s="4"/>
      <c r="L232" s="4"/>
      <c r="M232" s="4"/>
      <c r="N232" s="4"/>
    </row>
    <row r="233" ht="13.5" hidden="1" customHeight="1">
      <c r="A233" s="4" t="str">
        <f t="shared" si="1"/>
        <v>LFW-CRV02FY</v>
      </c>
      <c r="B233" s="29" t="s">
        <v>1864</v>
      </c>
      <c r="C233" s="28" t="s">
        <v>1865</v>
      </c>
      <c r="D233" s="28" t="s">
        <v>22</v>
      </c>
      <c r="E233" s="4" t="s">
        <v>111</v>
      </c>
      <c r="F233" s="28" t="s">
        <v>125</v>
      </c>
      <c r="G233" s="4"/>
      <c r="H233" s="4">
        <f>SUMIFS(X!$F$5:$F$2005,X!$D$5:$D$2005,'CEK CICI'!A233)</f>
        <v>2</v>
      </c>
      <c r="I233" s="4">
        <f>SUMIFS(PENJUALAN!$E$4:$E$4288,PENJUALAN!$C$4:$C$4288,'CEK CICI'!A233)</f>
        <v>2</v>
      </c>
      <c r="J233" s="16">
        <f t="shared" si="2"/>
        <v>0</v>
      </c>
      <c r="K233" s="15" t="s">
        <v>1432</v>
      </c>
      <c r="L233" s="15"/>
      <c r="M233" s="4"/>
      <c r="N233" s="4"/>
    </row>
    <row r="234" ht="13.5" hidden="1" customHeight="1">
      <c r="A234" s="4" t="str">
        <f t="shared" si="1"/>
        <v>LFW-CRV05FY</v>
      </c>
      <c r="B234" s="29" t="s">
        <v>420</v>
      </c>
      <c r="C234" s="28" t="s">
        <v>421</v>
      </c>
      <c r="D234" s="28" t="s">
        <v>22</v>
      </c>
      <c r="E234" s="4" t="s">
        <v>111</v>
      </c>
      <c r="F234" s="28" t="s">
        <v>125</v>
      </c>
      <c r="G234" s="4"/>
      <c r="H234" s="4">
        <f>SUMIFS(X!$F$5:$F$2005,X!$D$5:$D$2005,'CEK CICI'!A234)</f>
        <v>0</v>
      </c>
      <c r="I234" s="4">
        <f>SUMIFS(PENJUALAN!$E$4:$E$4288,PENJUALAN!$C$4:$C$4288,'CEK CICI'!A234)</f>
        <v>0</v>
      </c>
      <c r="J234" s="16">
        <f t="shared" si="2"/>
        <v>0</v>
      </c>
      <c r="K234" s="4"/>
      <c r="L234" s="4"/>
      <c r="M234" s="4"/>
      <c r="N234" s="4"/>
    </row>
    <row r="235" ht="13.5" hidden="1" customHeight="1">
      <c r="A235" s="4" t="str">
        <f t="shared" si="1"/>
        <v>TRW-CRV02FY</v>
      </c>
      <c r="B235" s="29" t="s">
        <v>422</v>
      </c>
      <c r="C235" s="28" t="s">
        <v>423</v>
      </c>
      <c r="D235" s="28" t="s">
        <v>41</v>
      </c>
      <c r="E235" s="4" t="s">
        <v>111</v>
      </c>
      <c r="F235" s="28" t="s">
        <v>227</v>
      </c>
      <c r="G235" s="4"/>
      <c r="H235" s="4">
        <f>SUMIFS(X!$F$5:$F$2005,X!$D$5:$D$2005,'CEK CICI'!A235)</f>
        <v>0</v>
      </c>
      <c r="I235" s="4">
        <f>SUMIFS(PENJUALAN!$E$4:$E$4288,PENJUALAN!$C$4:$C$4288,'CEK CICI'!A235)</f>
        <v>0</v>
      </c>
      <c r="J235" s="16">
        <f t="shared" si="2"/>
        <v>0</v>
      </c>
      <c r="K235" s="4"/>
      <c r="L235" s="4"/>
      <c r="M235" s="4"/>
      <c r="N235" s="4"/>
    </row>
    <row r="236" ht="13.5" hidden="1" customHeight="1">
      <c r="A236" s="4" t="str">
        <f t="shared" si="1"/>
        <v>RDL-CRV02FY</v>
      </c>
      <c r="B236" s="29" t="s">
        <v>424</v>
      </c>
      <c r="C236" s="28" t="s">
        <v>423</v>
      </c>
      <c r="D236" s="28" t="s">
        <v>132</v>
      </c>
      <c r="E236" s="4" t="s">
        <v>111</v>
      </c>
      <c r="F236" s="28"/>
      <c r="G236" s="4"/>
      <c r="H236" s="4">
        <f>SUMIFS(X!$F$5:$F$2005,X!$D$5:$D$2005,'CEK CICI'!A236)</f>
        <v>0</v>
      </c>
      <c r="I236" s="4">
        <f>SUMIFS(PENJUALAN!$E$4:$E$4288,PENJUALAN!$C$4:$C$4288,'CEK CICI'!A236)</f>
        <v>0</v>
      </c>
      <c r="J236" s="16">
        <f t="shared" si="2"/>
        <v>0</v>
      </c>
      <c r="K236" s="4"/>
      <c r="L236" s="4"/>
      <c r="M236" s="4"/>
      <c r="N236" s="4"/>
    </row>
    <row r="237" ht="13.5" hidden="1" customHeight="1">
      <c r="A237" s="4" t="str">
        <f t="shared" si="1"/>
        <v>RDR-CRV02FY</v>
      </c>
      <c r="B237" s="29" t="s">
        <v>425</v>
      </c>
      <c r="C237" s="28" t="s">
        <v>423</v>
      </c>
      <c r="D237" s="28" t="s">
        <v>134</v>
      </c>
      <c r="E237" s="4" t="s">
        <v>111</v>
      </c>
      <c r="F237" s="28"/>
      <c r="G237" s="4"/>
      <c r="H237" s="4">
        <f>SUMIFS(X!$F$5:$F$2005,X!$D$5:$D$2005,'CEK CICI'!A237)</f>
        <v>0</v>
      </c>
      <c r="I237" s="4">
        <f>SUMIFS(PENJUALAN!$E$4:$E$4288,PENJUALAN!$C$4:$C$4288,'CEK CICI'!A237)</f>
        <v>0</v>
      </c>
      <c r="J237" s="16">
        <f t="shared" si="2"/>
        <v>0</v>
      </c>
      <c r="K237" s="4"/>
      <c r="L237" s="4"/>
      <c r="M237" s="4"/>
      <c r="N237" s="4"/>
    </row>
    <row r="238" ht="13.5" hidden="1" customHeight="1">
      <c r="A238" s="4" t="str">
        <f t="shared" si="1"/>
        <v>SWL-CRV02FY</v>
      </c>
      <c r="B238" s="29" t="s">
        <v>426</v>
      </c>
      <c r="C238" s="28" t="s">
        <v>423</v>
      </c>
      <c r="D238" s="28" t="s">
        <v>202</v>
      </c>
      <c r="E238" s="4" t="s">
        <v>111</v>
      </c>
      <c r="F238" s="28" t="s">
        <v>97</v>
      </c>
      <c r="G238" s="4"/>
      <c r="H238" s="4">
        <f>SUMIFS(X!$F$5:$F$2005,X!$D$5:$D$2005,'CEK CICI'!A238)</f>
        <v>0</v>
      </c>
      <c r="I238" s="4">
        <f>SUMIFS(PENJUALAN!$E$4:$E$4288,PENJUALAN!$C$4:$C$4288,'CEK CICI'!A238)</f>
        <v>0</v>
      </c>
      <c r="J238" s="16">
        <f t="shared" si="2"/>
        <v>0</v>
      </c>
      <c r="K238" s="4"/>
      <c r="L238" s="4"/>
      <c r="M238" s="4"/>
      <c r="N238" s="4"/>
    </row>
    <row r="239" ht="13.5" hidden="1" customHeight="1">
      <c r="A239" s="4" t="str">
        <f t="shared" si="1"/>
        <v>SWR-CRV02FY</v>
      </c>
      <c r="B239" s="29" t="s">
        <v>427</v>
      </c>
      <c r="C239" s="28" t="s">
        <v>423</v>
      </c>
      <c r="D239" s="28" t="s">
        <v>236</v>
      </c>
      <c r="E239" s="4" t="s">
        <v>111</v>
      </c>
      <c r="F239" s="28" t="s">
        <v>97</v>
      </c>
      <c r="G239" s="4"/>
      <c r="H239" s="4">
        <f>SUMIFS(X!$F$5:$F$2005,X!$D$5:$D$2005,'CEK CICI'!A239)</f>
        <v>0</v>
      </c>
      <c r="I239" s="4">
        <f>SUMIFS(PENJUALAN!$E$4:$E$4288,PENJUALAN!$C$4:$C$4288,'CEK CICI'!A239)</f>
        <v>0</v>
      </c>
      <c r="J239" s="16">
        <f t="shared" si="2"/>
        <v>0</v>
      </c>
      <c r="K239" s="4"/>
      <c r="L239" s="4"/>
      <c r="M239" s="4"/>
      <c r="N239" s="4"/>
    </row>
    <row r="240" ht="13.5" hidden="1" customHeight="1">
      <c r="A240" s="4" t="str">
        <f t="shared" si="1"/>
        <v>LFW-CRV07FY</v>
      </c>
      <c r="B240" s="29" t="s">
        <v>428</v>
      </c>
      <c r="C240" s="28" t="s">
        <v>429</v>
      </c>
      <c r="D240" s="28" t="s">
        <v>22</v>
      </c>
      <c r="E240" s="4" t="s">
        <v>111</v>
      </c>
      <c r="F240" s="28" t="s">
        <v>125</v>
      </c>
      <c r="G240" s="4"/>
      <c r="H240" s="4">
        <f>SUMIFS(X!$F$5:$F$2005,X!$D$5:$D$2005,'CEK CICI'!A240)</f>
        <v>0</v>
      </c>
      <c r="I240" s="4">
        <f>SUMIFS(PENJUALAN!$E$4:$E$4288,PENJUALAN!$C$4:$C$4288,'CEK CICI'!A240)</f>
        <v>0</v>
      </c>
      <c r="J240" s="16">
        <f t="shared" si="2"/>
        <v>0</v>
      </c>
      <c r="K240" s="4"/>
      <c r="L240" s="4"/>
      <c r="M240" s="4"/>
      <c r="N240" s="4"/>
    </row>
    <row r="241" ht="13.5" hidden="1" customHeight="1">
      <c r="A241" s="4" t="str">
        <f t="shared" si="1"/>
        <v>TRW-CRV07FY</v>
      </c>
      <c r="B241" s="29" t="s">
        <v>430</v>
      </c>
      <c r="C241" s="28" t="s">
        <v>429</v>
      </c>
      <c r="D241" s="28" t="s">
        <v>41</v>
      </c>
      <c r="E241" s="4" t="s">
        <v>111</v>
      </c>
      <c r="F241" s="28" t="s">
        <v>431</v>
      </c>
      <c r="G241" s="4"/>
      <c r="H241" s="4">
        <f>SUMIFS(X!$F$5:$F$2005,X!$D$5:$D$2005,'CEK CICI'!A241)</f>
        <v>0</v>
      </c>
      <c r="I241" s="4">
        <f>SUMIFS(PENJUALAN!$E$4:$E$4288,PENJUALAN!$C$4:$C$4288,'CEK CICI'!A241)</f>
        <v>0</v>
      </c>
      <c r="J241" s="16">
        <f t="shared" si="2"/>
        <v>0</v>
      </c>
      <c r="K241" s="4"/>
      <c r="L241" s="4"/>
      <c r="M241" s="4"/>
      <c r="N241" s="4"/>
    </row>
    <row r="242" ht="13.5" hidden="1" customHeight="1">
      <c r="A242" s="4" t="str">
        <f t="shared" si="1"/>
        <v>SWL-CRV07FY</v>
      </c>
      <c r="B242" s="29" t="s">
        <v>432</v>
      </c>
      <c r="C242" s="28" t="s">
        <v>429</v>
      </c>
      <c r="D242" s="28" t="s">
        <v>202</v>
      </c>
      <c r="E242" s="4" t="s">
        <v>111</v>
      </c>
      <c r="F242" s="28" t="s">
        <v>97</v>
      </c>
      <c r="G242" s="4"/>
      <c r="H242" s="4">
        <f>SUMIFS(X!$F$5:$F$2005,X!$D$5:$D$2005,'CEK CICI'!A242)</f>
        <v>0</v>
      </c>
      <c r="I242" s="4">
        <f>SUMIFS(PENJUALAN!$E$4:$E$4288,PENJUALAN!$C$4:$C$4288,'CEK CICI'!A242)</f>
        <v>0</v>
      </c>
      <c r="J242" s="16">
        <f t="shared" si="2"/>
        <v>0</v>
      </c>
      <c r="K242" s="4"/>
      <c r="L242" s="4"/>
      <c r="M242" s="4"/>
      <c r="N242" s="4"/>
    </row>
    <row r="243" ht="13.5" hidden="1" customHeight="1">
      <c r="A243" s="4" t="str">
        <f t="shared" si="1"/>
        <v>SWR-CRV07FY</v>
      </c>
      <c r="B243" s="29" t="s">
        <v>433</v>
      </c>
      <c r="C243" s="28" t="s">
        <v>429</v>
      </c>
      <c r="D243" s="28" t="s">
        <v>236</v>
      </c>
      <c r="E243" s="4" t="s">
        <v>111</v>
      </c>
      <c r="F243" s="28" t="s">
        <v>97</v>
      </c>
      <c r="G243" s="4"/>
      <c r="H243" s="4">
        <f>SUMIFS(X!$F$5:$F$2005,X!$D$5:$D$2005,'CEK CICI'!A243)</f>
        <v>0</v>
      </c>
      <c r="I243" s="4">
        <f>SUMIFS(PENJUALAN!$E$4:$E$4288,PENJUALAN!$C$4:$C$4288,'CEK CICI'!A243)</f>
        <v>0</v>
      </c>
      <c r="J243" s="16">
        <f t="shared" si="2"/>
        <v>0</v>
      </c>
      <c r="K243" s="4"/>
      <c r="L243" s="4"/>
      <c r="M243" s="4"/>
      <c r="N243" s="4"/>
    </row>
    <row r="244" ht="13.5" hidden="1" customHeight="1">
      <c r="A244" s="4" t="str">
        <f t="shared" si="1"/>
        <v>LFW-CRV12FY</v>
      </c>
      <c r="B244" s="29" t="s">
        <v>434</v>
      </c>
      <c r="C244" s="28" t="s">
        <v>69</v>
      </c>
      <c r="D244" s="28" t="s">
        <v>22</v>
      </c>
      <c r="E244" s="4" t="s">
        <v>111</v>
      </c>
      <c r="F244" s="28" t="s">
        <v>125</v>
      </c>
      <c r="G244" s="4"/>
      <c r="H244" s="4">
        <f>SUMIFS(X!$F$5:$F$2005,X!$D$5:$D$2005,'CEK CICI'!A244)</f>
        <v>0</v>
      </c>
      <c r="I244" s="4">
        <f>SUMIFS(PENJUALAN!$E$4:$E$4288,PENJUALAN!$C$4:$C$4288,'CEK CICI'!A244)</f>
        <v>0</v>
      </c>
      <c r="J244" s="16">
        <f t="shared" si="2"/>
        <v>0</v>
      </c>
      <c r="K244" s="4"/>
      <c r="L244" s="4"/>
      <c r="M244" s="4"/>
      <c r="N244" s="4"/>
    </row>
    <row r="245" ht="13.5" hidden="1" customHeight="1">
      <c r="A245" s="4" t="str">
        <f t="shared" si="1"/>
        <v>TRW-CRV12NONPFY</v>
      </c>
      <c r="B245" s="29" t="s">
        <v>435</v>
      </c>
      <c r="C245" s="28" t="s">
        <v>436</v>
      </c>
      <c r="D245" s="28" t="s">
        <v>41</v>
      </c>
      <c r="E245" s="4" t="s">
        <v>111</v>
      </c>
      <c r="F245" s="28" t="s">
        <v>221</v>
      </c>
      <c r="G245" s="4"/>
      <c r="H245" s="4">
        <f>SUMIFS(X!$F$5:$F$2005,X!$D$5:$D$2005,'CEK CICI'!A245)</f>
        <v>0</v>
      </c>
      <c r="I245" s="4">
        <f>SUMIFS(PENJUALAN!$E$4:$E$4288,PENJUALAN!$C$4:$C$4288,'CEK CICI'!A245)</f>
        <v>0</v>
      </c>
      <c r="J245" s="16">
        <f t="shared" si="2"/>
        <v>0</v>
      </c>
      <c r="K245" s="4"/>
      <c r="L245" s="4"/>
      <c r="M245" s="4"/>
      <c r="N245" s="4"/>
    </row>
    <row r="246" ht="13.5" hidden="1" customHeight="1">
      <c r="A246" s="4" t="str">
        <f t="shared" si="1"/>
        <v>TRW-CRV12PRESTIGEFY</v>
      </c>
      <c r="B246" s="29" t="s">
        <v>437</v>
      </c>
      <c r="C246" s="28" t="s">
        <v>438</v>
      </c>
      <c r="D246" s="28" t="s">
        <v>41</v>
      </c>
      <c r="E246" s="4" t="s">
        <v>111</v>
      </c>
      <c r="F246" s="28" t="s">
        <v>439</v>
      </c>
      <c r="G246" s="4"/>
      <c r="H246" s="4">
        <f>SUMIFS(X!$F$5:$F$2005,X!$D$5:$D$2005,'CEK CICI'!A246)</f>
        <v>0</v>
      </c>
      <c r="I246" s="4">
        <f>SUMIFS(PENJUALAN!$E$4:$E$4288,PENJUALAN!$C$4:$C$4288,'CEK CICI'!A246)</f>
        <v>0</v>
      </c>
      <c r="J246" s="16">
        <f t="shared" si="2"/>
        <v>0</v>
      </c>
      <c r="K246" s="4"/>
      <c r="L246" s="4"/>
      <c r="M246" s="4"/>
      <c r="N246" s="4"/>
    </row>
    <row r="247" ht="13.5" hidden="1" customHeight="1">
      <c r="A247" s="4" t="str">
        <f t="shared" si="1"/>
        <v>FDL-CRV12FY</v>
      </c>
      <c r="B247" s="29" t="s">
        <v>440</v>
      </c>
      <c r="C247" s="28" t="s">
        <v>69</v>
      </c>
      <c r="D247" s="28" t="s">
        <v>128</v>
      </c>
      <c r="E247" s="4" t="s">
        <v>111</v>
      </c>
      <c r="F247" s="28"/>
      <c r="G247" s="4"/>
      <c r="H247" s="4">
        <f>SUMIFS(X!$F$5:$F$2005,X!$D$5:$D$2005,'CEK CICI'!A247)</f>
        <v>0</v>
      </c>
      <c r="I247" s="4">
        <f>SUMIFS(PENJUALAN!$E$4:$E$4288,PENJUALAN!$C$4:$C$4288,'CEK CICI'!A247)</f>
        <v>0</v>
      </c>
      <c r="J247" s="16">
        <f t="shared" si="2"/>
        <v>0</v>
      </c>
      <c r="K247" s="4"/>
      <c r="L247" s="4"/>
      <c r="M247" s="4"/>
      <c r="N247" s="4"/>
    </row>
    <row r="248" ht="13.5" hidden="1" customHeight="1">
      <c r="A248" s="4" t="str">
        <f t="shared" si="1"/>
        <v>FDR-CRV12FY</v>
      </c>
      <c r="B248" s="29" t="s">
        <v>441</v>
      </c>
      <c r="C248" s="28" t="s">
        <v>69</v>
      </c>
      <c r="D248" s="28" t="s">
        <v>130</v>
      </c>
      <c r="E248" s="4" t="s">
        <v>111</v>
      </c>
      <c r="F248" s="28"/>
      <c r="G248" s="4"/>
      <c r="H248" s="4">
        <f>SUMIFS(X!$F$5:$F$2005,X!$D$5:$D$2005,'CEK CICI'!A248)</f>
        <v>0</v>
      </c>
      <c r="I248" s="4">
        <f>SUMIFS(PENJUALAN!$E$4:$E$4288,PENJUALAN!$C$4:$C$4288,'CEK CICI'!A248)</f>
        <v>0</v>
      </c>
      <c r="J248" s="16">
        <f t="shared" si="2"/>
        <v>0</v>
      </c>
      <c r="K248" s="4"/>
      <c r="L248" s="4"/>
      <c r="M248" s="4"/>
      <c r="N248" s="4"/>
    </row>
    <row r="249" ht="13.5" hidden="1" customHeight="1">
      <c r="A249" s="4" t="str">
        <f t="shared" si="1"/>
        <v>RDL-CRV12FY</v>
      </c>
      <c r="B249" s="29" t="s">
        <v>442</v>
      </c>
      <c r="C249" s="28" t="s">
        <v>69</v>
      </c>
      <c r="D249" s="28" t="s">
        <v>132</v>
      </c>
      <c r="E249" s="4" t="s">
        <v>111</v>
      </c>
      <c r="F249" s="28"/>
      <c r="G249" s="4"/>
      <c r="H249" s="4">
        <f>SUMIFS(X!$F$5:$F$2005,X!$D$5:$D$2005,'CEK CICI'!A249)</f>
        <v>0</v>
      </c>
      <c r="I249" s="4">
        <f>SUMIFS(PENJUALAN!$E$4:$E$4288,PENJUALAN!$C$4:$C$4288,'CEK CICI'!A249)</f>
        <v>0</v>
      </c>
      <c r="J249" s="16">
        <f t="shared" si="2"/>
        <v>0</v>
      </c>
      <c r="K249" s="4"/>
      <c r="L249" s="4"/>
      <c r="M249" s="4"/>
      <c r="N249" s="4"/>
    </row>
    <row r="250" ht="13.5" hidden="1" customHeight="1">
      <c r="A250" s="4" t="str">
        <f t="shared" si="1"/>
        <v>RDR-CRV12FY</v>
      </c>
      <c r="B250" s="29" t="s">
        <v>68</v>
      </c>
      <c r="C250" s="28" t="s">
        <v>69</v>
      </c>
      <c r="D250" s="28" t="s">
        <v>134</v>
      </c>
      <c r="E250" s="4" t="s">
        <v>111</v>
      </c>
      <c r="F250" s="28"/>
      <c r="G250" s="4"/>
      <c r="H250" s="4">
        <f>SUMIFS(X!$F$5:$F$2005,X!$D$5:$D$2005,'CEK CICI'!A250)</f>
        <v>0</v>
      </c>
      <c r="I250" s="4">
        <f>SUMIFS(PENJUALAN!$E$4:$E$4288,PENJUALAN!$C$4:$C$4288,'CEK CICI'!A250)</f>
        <v>0</v>
      </c>
      <c r="J250" s="16">
        <f t="shared" si="2"/>
        <v>0</v>
      </c>
      <c r="K250" s="4"/>
      <c r="L250" s="4"/>
      <c r="M250" s="4"/>
      <c r="N250" s="4"/>
    </row>
    <row r="251" ht="13.5" hidden="1" customHeight="1">
      <c r="A251" s="4" t="str">
        <f t="shared" si="1"/>
        <v>LFW-CRV17FY</v>
      </c>
      <c r="B251" s="29" t="s">
        <v>443</v>
      </c>
      <c r="C251" s="28" t="s">
        <v>444</v>
      </c>
      <c r="D251" s="28" t="s">
        <v>22</v>
      </c>
      <c r="E251" s="4" t="s">
        <v>111</v>
      </c>
      <c r="F251" s="28" t="s">
        <v>125</v>
      </c>
      <c r="G251" s="4"/>
      <c r="H251" s="4">
        <f>SUMIFS(X!$F$5:$F$2005,X!$D$5:$D$2005,'CEK CICI'!A251)</f>
        <v>0</v>
      </c>
      <c r="I251" s="4">
        <f>SUMIFS(PENJUALAN!$E$4:$E$4288,PENJUALAN!$C$4:$C$4288,'CEK CICI'!A251)</f>
        <v>0</v>
      </c>
      <c r="J251" s="16">
        <f t="shared" si="2"/>
        <v>0</v>
      </c>
      <c r="K251" s="4"/>
      <c r="L251" s="4"/>
      <c r="M251" s="4"/>
      <c r="N251" s="4"/>
    </row>
    <row r="252" ht="13.5" hidden="1" customHeight="1">
      <c r="A252" s="4" t="str">
        <f t="shared" si="1"/>
        <v>TRW-CRV17FY</v>
      </c>
      <c r="B252" s="29" t="s">
        <v>445</v>
      </c>
      <c r="C252" s="28" t="s">
        <v>444</v>
      </c>
      <c r="D252" s="28" t="s">
        <v>41</v>
      </c>
      <c r="E252" s="4" t="s">
        <v>111</v>
      </c>
      <c r="F252" s="28" t="s">
        <v>439</v>
      </c>
      <c r="G252" s="4"/>
      <c r="H252" s="4">
        <f>SUMIFS(X!$F$5:$F$2005,X!$D$5:$D$2005,'CEK CICI'!A252)</f>
        <v>0</v>
      </c>
      <c r="I252" s="4">
        <f>SUMIFS(PENJUALAN!$E$4:$E$4288,PENJUALAN!$C$4:$C$4288,'CEK CICI'!A252)</f>
        <v>0</v>
      </c>
      <c r="J252" s="16">
        <f t="shared" si="2"/>
        <v>0</v>
      </c>
      <c r="K252" s="4"/>
      <c r="L252" s="4"/>
      <c r="M252" s="4"/>
      <c r="N252" s="4"/>
    </row>
    <row r="253" ht="13.5" hidden="1" customHeight="1">
      <c r="A253" s="4" t="str">
        <f t="shared" si="1"/>
        <v>LFW-CRZFY</v>
      </c>
      <c r="B253" s="29" t="s">
        <v>446</v>
      </c>
      <c r="C253" s="28" t="s">
        <v>447</v>
      </c>
      <c r="D253" s="28" t="s">
        <v>22</v>
      </c>
      <c r="E253" s="4" t="s">
        <v>111</v>
      </c>
      <c r="F253" s="28" t="s">
        <v>75</v>
      </c>
      <c r="G253" s="4"/>
      <c r="H253" s="4">
        <f>SUMIFS(X!$F$5:$F$2005,X!$D$5:$D$2005,'CEK CICI'!A253)</f>
        <v>0</v>
      </c>
      <c r="I253" s="4">
        <f>SUMIFS(PENJUALAN!$E$4:$E$4288,PENJUALAN!$C$4:$C$4288,'CEK CICI'!A253)</f>
        <v>0</v>
      </c>
      <c r="J253" s="16">
        <f t="shared" si="2"/>
        <v>0</v>
      </c>
      <c r="K253" s="4"/>
      <c r="L253" s="4"/>
      <c r="M253" s="4"/>
      <c r="N253" s="4"/>
    </row>
    <row r="254" ht="13.5" hidden="1" customHeight="1">
      <c r="A254" s="4" t="str">
        <f t="shared" si="1"/>
        <v>LFW-ELYSIONFY</v>
      </c>
      <c r="B254" s="29" t="s">
        <v>448</v>
      </c>
      <c r="C254" s="28" t="s">
        <v>449</v>
      </c>
      <c r="D254" s="28" t="s">
        <v>22</v>
      </c>
      <c r="E254" s="4" t="s">
        <v>111</v>
      </c>
      <c r="F254" s="28" t="s">
        <v>125</v>
      </c>
      <c r="G254" s="4"/>
      <c r="H254" s="4">
        <f>SUMIFS(X!$F$5:$F$2005,X!$D$5:$D$2005,'CEK CICI'!A254)</f>
        <v>0</v>
      </c>
      <c r="I254" s="4">
        <f>SUMIFS(PENJUALAN!$E$4:$E$4288,PENJUALAN!$C$4:$C$4288,'CEK CICI'!A254)</f>
        <v>0</v>
      </c>
      <c r="J254" s="16">
        <f t="shared" si="2"/>
        <v>0</v>
      </c>
      <c r="K254" s="4"/>
      <c r="L254" s="4"/>
      <c r="M254" s="4"/>
      <c r="N254" s="4"/>
    </row>
    <row r="255" ht="13.5" hidden="1" customHeight="1">
      <c r="A255" s="4" t="str">
        <f t="shared" si="1"/>
        <v>TRW-ELYSIONRATAFY</v>
      </c>
      <c r="B255" s="29" t="s">
        <v>450</v>
      </c>
      <c r="C255" s="28" t="s">
        <v>451</v>
      </c>
      <c r="D255" s="28" t="s">
        <v>41</v>
      </c>
      <c r="E255" s="4" t="s">
        <v>111</v>
      </c>
      <c r="F255" s="28" t="s">
        <v>221</v>
      </c>
      <c r="G255" s="4"/>
      <c r="H255" s="4">
        <f>SUMIFS(X!$F$5:$F$2005,X!$D$5:$D$2005,'CEK CICI'!A255)</f>
        <v>0</v>
      </c>
      <c r="I255" s="4">
        <f>SUMIFS(PENJUALAN!$E$4:$E$4288,PENJUALAN!$C$4:$C$4288,'CEK CICI'!A255)</f>
        <v>0</v>
      </c>
      <c r="J255" s="16">
        <f t="shared" si="2"/>
        <v>0</v>
      </c>
      <c r="K255" s="4"/>
      <c r="L255" s="4"/>
      <c r="M255" s="4"/>
      <c r="N255" s="4"/>
    </row>
    <row r="256" ht="13.5" hidden="1" customHeight="1">
      <c r="A256" s="4" t="str">
        <f t="shared" si="1"/>
        <v>TRW-ELYSIONCURVEFY</v>
      </c>
      <c r="B256" s="29" t="s">
        <v>452</v>
      </c>
      <c r="C256" s="28" t="s">
        <v>453</v>
      </c>
      <c r="D256" s="28" t="s">
        <v>41</v>
      </c>
      <c r="E256" s="4" t="s">
        <v>111</v>
      </c>
      <c r="F256" s="28" t="s">
        <v>439</v>
      </c>
      <c r="G256" s="4"/>
      <c r="H256" s="4">
        <f>SUMIFS(X!$F$5:$F$2005,X!$D$5:$D$2005,'CEK CICI'!A256)</f>
        <v>0</v>
      </c>
      <c r="I256" s="4">
        <f>SUMIFS(PENJUALAN!$E$4:$E$4288,PENJUALAN!$C$4:$C$4288,'CEK CICI'!A256)</f>
        <v>0</v>
      </c>
      <c r="J256" s="16">
        <f t="shared" si="2"/>
        <v>0</v>
      </c>
      <c r="K256" s="4"/>
      <c r="L256" s="4"/>
      <c r="M256" s="4"/>
      <c r="N256" s="4"/>
    </row>
    <row r="257" ht="13.5" hidden="1" customHeight="1">
      <c r="A257" s="4" t="str">
        <f t="shared" si="1"/>
        <v>LFW-FREEDFY</v>
      </c>
      <c r="B257" s="29" t="s">
        <v>454</v>
      </c>
      <c r="C257" s="28" t="s">
        <v>455</v>
      </c>
      <c r="D257" s="28" t="s">
        <v>22</v>
      </c>
      <c r="E257" s="4" t="s">
        <v>111</v>
      </c>
      <c r="F257" s="28" t="s">
        <v>125</v>
      </c>
      <c r="G257" s="4"/>
      <c r="H257" s="4">
        <f>SUMIFS(X!$F$5:$F$2005,X!$D$5:$D$2005,'CEK CICI'!A257)</f>
        <v>0</v>
      </c>
      <c r="I257" s="4">
        <f>SUMIFS(PENJUALAN!$E$4:$E$4288,PENJUALAN!$C$4:$C$4288,'CEK CICI'!A257)</f>
        <v>0</v>
      </c>
      <c r="J257" s="16">
        <f t="shared" si="2"/>
        <v>0</v>
      </c>
      <c r="K257" s="4"/>
      <c r="L257" s="4"/>
      <c r="M257" s="4"/>
      <c r="N257" s="4"/>
    </row>
    <row r="258" ht="13.5" hidden="1" customHeight="1">
      <c r="A258" s="4" t="str">
        <f t="shared" si="1"/>
        <v>TRW-FREEDFY</v>
      </c>
      <c r="B258" s="29" t="s">
        <v>456</v>
      </c>
      <c r="C258" s="28" t="s">
        <v>455</v>
      </c>
      <c r="D258" s="28" t="s">
        <v>41</v>
      </c>
      <c r="E258" s="4" t="s">
        <v>111</v>
      </c>
      <c r="F258" s="28" t="s">
        <v>67</v>
      </c>
      <c r="G258" s="4"/>
      <c r="H258" s="4">
        <f>SUMIFS(X!$F$5:$F$2005,X!$D$5:$D$2005,'CEK CICI'!A258)</f>
        <v>0</v>
      </c>
      <c r="I258" s="4">
        <f>SUMIFS(PENJUALAN!$E$4:$E$4288,PENJUALAN!$C$4:$C$4288,'CEK CICI'!A258)</f>
        <v>0</v>
      </c>
      <c r="J258" s="16">
        <f t="shared" si="2"/>
        <v>0</v>
      </c>
      <c r="K258" s="4"/>
      <c r="L258" s="4"/>
      <c r="M258" s="4"/>
      <c r="N258" s="4"/>
    </row>
    <row r="259" ht="13.5" hidden="1" customHeight="1">
      <c r="A259" s="4" t="str">
        <f t="shared" si="1"/>
        <v>SWL-FREEDFY</v>
      </c>
      <c r="B259" s="29" t="s">
        <v>457</v>
      </c>
      <c r="C259" s="28" t="s">
        <v>455</v>
      </c>
      <c r="D259" s="28" t="s">
        <v>202</v>
      </c>
      <c r="E259" s="4" t="s">
        <v>111</v>
      </c>
      <c r="F259" s="28" t="s">
        <v>97</v>
      </c>
      <c r="G259" s="4"/>
      <c r="H259" s="4">
        <f>SUMIFS(X!$F$5:$F$2005,X!$D$5:$D$2005,'CEK CICI'!A259)</f>
        <v>0</v>
      </c>
      <c r="I259" s="4">
        <f>SUMIFS(PENJUALAN!$E$4:$E$4288,PENJUALAN!$C$4:$C$4288,'CEK CICI'!A259)</f>
        <v>0</v>
      </c>
      <c r="J259" s="16">
        <f t="shared" si="2"/>
        <v>0</v>
      </c>
      <c r="K259" s="4"/>
      <c r="L259" s="4"/>
      <c r="M259" s="4"/>
      <c r="N259" s="4"/>
    </row>
    <row r="260" ht="13.5" hidden="1" customHeight="1">
      <c r="A260" s="4" t="str">
        <f t="shared" si="1"/>
        <v>SWR-FREEDFY</v>
      </c>
      <c r="B260" s="29" t="s">
        <v>458</v>
      </c>
      <c r="C260" s="28" t="s">
        <v>455</v>
      </c>
      <c r="D260" s="28" t="s">
        <v>236</v>
      </c>
      <c r="E260" s="4" t="s">
        <v>111</v>
      </c>
      <c r="F260" s="28" t="s">
        <v>97</v>
      </c>
      <c r="G260" s="4"/>
      <c r="H260" s="4">
        <f>SUMIFS(X!$F$5:$F$2005,X!$D$5:$D$2005,'CEK CICI'!A260)</f>
        <v>0</v>
      </c>
      <c r="I260" s="4">
        <f>SUMIFS(PENJUALAN!$E$4:$E$4288,PENJUALAN!$C$4:$C$4288,'CEK CICI'!A260)</f>
        <v>0</v>
      </c>
      <c r="J260" s="16">
        <f t="shared" si="2"/>
        <v>0</v>
      </c>
      <c r="K260" s="4"/>
      <c r="L260" s="4"/>
      <c r="M260" s="4"/>
      <c r="N260" s="4"/>
    </row>
    <row r="261" ht="13.5" hidden="1" customHeight="1">
      <c r="A261" s="4" t="str">
        <f t="shared" si="1"/>
        <v>LFW-HRV14FY</v>
      </c>
      <c r="B261" s="31" t="s">
        <v>459</v>
      </c>
      <c r="C261" s="28" t="s">
        <v>460</v>
      </c>
      <c r="D261" s="28" t="s">
        <v>22</v>
      </c>
      <c r="E261" s="4" t="s">
        <v>111</v>
      </c>
      <c r="F261" s="28" t="s">
        <v>125</v>
      </c>
      <c r="G261" s="4"/>
      <c r="H261" s="4">
        <f>SUMIFS(X!$F$5:$F$2005,X!$D$5:$D$2005,'CEK CICI'!A261)</f>
        <v>0</v>
      </c>
      <c r="I261" s="4">
        <f>SUMIFS(PENJUALAN!$E$4:$E$4288,PENJUALAN!$C$4:$C$4288,'CEK CICI'!A261)</f>
        <v>0</v>
      </c>
      <c r="J261" s="16">
        <f t="shared" si="2"/>
        <v>0</v>
      </c>
      <c r="K261" s="4"/>
      <c r="L261" s="4"/>
      <c r="M261" s="4"/>
      <c r="N261" s="4"/>
    </row>
    <row r="262" ht="13.5" hidden="1" customHeight="1">
      <c r="A262" s="4" t="str">
        <f t="shared" si="1"/>
        <v>TRW-HRV14FY</v>
      </c>
      <c r="B262" s="31" t="s">
        <v>461</v>
      </c>
      <c r="C262" s="28" t="s">
        <v>460</v>
      </c>
      <c r="D262" s="28" t="s">
        <v>41</v>
      </c>
      <c r="E262" s="4" t="s">
        <v>111</v>
      </c>
      <c r="F262" s="28" t="s">
        <v>221</v>
      </c>
      <c r="G262" s="4"/>
      <c r="H262" s="4">
        <f>SUMIFS(X!$F$5:$F$2005,X!$D$5:$D$2005,'CEK CICI'!A262)</f>
        <v>0</v>
      </c>
      <c r="I262" s="4">
        <f>SUMIFS(PENJUALAN!$E$4:$E$4288,PENJUALAN!$C$4:$C$4288,'CEK CICI'!A262)</f>
        <v>0</v>
      </c>
      <c r="J262" s="16">
        <f t="shared" si="2"/>
        <v>0</v>
      </c>
      <c r="K262" s="4"/>
      <c r="L262" s="4"/>
      <c r="M262" s="4"/>
      <c r="N262" s="4"/>
    </row>
    <row r="263" ht="13.5" hidden="1" customHeight="1">
      <c r="A263" s="4" t="str">
        <f t="shared" si="1"/>
        <v>LFW-JAZZ01FY</v>
      </c>
      <c r="B263" s="29" t="s">
        <v>462</v>
      </c>
      <c r="C263" s="28" t="s">
        <v>463</v>
      </c>
      <c r="D263" s="28" t="s">
        <v>22</v>
      </c>
      <c r="E263" s="4" t="s">
        <v>111</v>
      </c>
      <c r="F263" s="28" t="s">
        <v>97</v>
      </c>
      <c r="G263" s="4"/>
      <c r="H263" s="4">
        <f>SUMIFS(X!$F$5:$F$2005,X!$D$5:$D$2005,'CEK CICI'!A263)</f>
        <v>0</v>
      </c>
      <c r="I263" s="4">
        <f>SUMIFS(PENJUALAN!$E$4:$E$4288,PENJUALAN!$C$4:$C$4288,'CEK CICI'!A263)</f>
        <v>0</v>
      </c>
      <c r="J263" s="16">
        <f t="shared" si="2"/>
        <v>0</v>
      </c>
      <c r="K263" s="4"/>
      <c r="L263" s="4"/>
      <c r="M263" s="4"/>
      <c r="N263" s="4"/>
    </row>
    <row r="264" ht="13.5" hidden="1" customHeight="1">
      <c r="A264" s="4" t="str">
        <f t="shared" si="1"/>
        <v>TRW-JAZZ01FY</v>
      </c>
      <c r="B264" s="29" t="s">
        <v>464</v>
      </c>
      <c r="C264" s="28" t="s">
        <v>463</v>
      </c>
      <c r="D264" s="28" t="s">
        <v>41</v>
      </c>
      <c r="E264" s="4" t="s">
        <v>111</v>
      </c>
      <c r="F264" s="28" t="s">
        <v>221</v>
      </c>
      <c r="G264" s="4"/>
      <c r="H264" s="4">
        <f>SUMIFS(X!$F$5:$F$2005,X!$D$5:$D$2005,'CEK CICI'!A264)</f>
        <v>0</v>
      </c>
      <c r="I264" s="4">
        <f>SUMIFS(PENJUALAN!$E$4:$E$4288,PENJUALAN!$C$4:$C$4288,'CEK CICI'!A264)</f>
        <v>0</v>
      </c>
      <c r="J264" s="16">
        <f t="shared" si="2"/>
        <v>0</v>
      </c>
      <c r="K264" s="4"/>
      <c r="L264" s="4"/>
      <c r="M264" s="4"/>
      <c r="N264" s="4"/>
    </row>
    <row r="265" ht="13.5" hidden="1" customHeight="1">
      <c r="A265" s="4" t="str">
        <f t="shared" si="1"/>
        <v>FDL-JAZZ01FY</v>
      </c>
      <c r="B265" s="29" t="s">
        <v>465</v>
      </c>
      <c r="C265" s="28" t="s">
        <v>463</v>
      </c>
      <c r="D265" s="28" t="s">
        <v>128</v>
      </c>
      <c r="E265" s="4" t="s">
        <v>111</v>
      </c>
      <c r="F265" s="28" t="s">
        <v>466</v>
      </c>
      <c r="G265" s="4"/>
      <c r="H265" s="4">
        <f>SUMIFS(X!$F$5:$F$2005,X!$D$5:$D$2005,'CEK CICI'!A265)</f>
        <v>0</v>
      </c>
      <c r="I265" s="4">
        <f>SUMIFS(PENJUALAN!$E$4:$E$4288,PENJUALAN!$C$4:$C$4288,'CEK CICI'!A265)</f>
        <v>0</v>
      </c>
      <c r="J265" s="16">
        <f t="shared" si="2"/>
        <v>0</v>
      </c>
      <c r="K265" s="4"/>
      <c r="L265" s="4"/>
      <c r="M265" s="4"/>
      <c r="N265" s="4"/>
    </row>
    <row r="266" ht="13.5" hidden="1" customHeight="1">
      <c r="A266" s="4" t="str">
        <f t="shared" si="1"/>
        <v>FVL-JAZZ01FY</v>
      </c>
      <c r="B266" s="29" t="s">
        <v>467</v>
      </c>
      <c r="C266" s="28" t="s">
        <v>463</v>
      </c>
      <c r="D266" s="28" t="s">
        <v>400</v>
      </c>
      <c r="E266" s="4" t="s">
        <v>111</v>
      </c>
      <c r="F266" s="28" t="s">
        <v>97</v>
      </c>
      <c r="G266" s="4"/>
      <c r="H266" s="4">
        <f>SUMIFS(X!$F$5:$F$2005,X!$D$5:$D$2005,'CEK CICI'!A266)</f>
        <v>0</v>
      </c>
      <c r="I266" s="4">
        <f>SUMIFS(PENJUALAN!$E$4:$E$4288,PENJUALAN!$C$4:$C$4288,'CEK CICI'!A266)</f>
        <v>0</v>
      </c>
      <c r="J266" s="16">
        <f t="shared" si="2"/>
        <v>0</v>
      </c>
      <c r="K266" s="4"/>
      <c r="L266" s="4"/>
      <c r="M266" s="4"/>
      <c r="N266" s="4"/>
    </row>
    <row r="267" ht="13.5" hidden="1" customHeight="1">
      <c r="A267" s="4" t="str">
        <f t="shared" si="1"/>
        <v>RDL-JAZZ01FY</v>
      </c>
      <c r="B267" s="29" t="s">
        <v>468</v>
      </c>
      <c r="C267" s="28" t="s">
        <v>463</v>
      </c>
      <c r="D267" s="28" t="s">
        <v>132</v>
      </c>
      <c r="E267" s="4" t="s">
        <v>111</v>
      </c>
      <c r="F267" s="28" t="s">
        <v>466</v>
      </c>
      <c r="G267" s="4"/>
      <c r="H267" s="4">
        <f>SUMIFS(X!$F$5:$F$2005,X!$D$5:$D$2005,'CEK CICI'!A267)</f>
        <v>0</v>
      </c>
      <c r="I267" s="4">
        <f>SUMIFS(PENJUALAN!$E$4:$E$4288,PENJUALAN!$C$4:$C$4288,'CEK CICI'!A267)</f>
        <v>0</v>
      </c>
      <c r="J267" s="16">
        <f t="shared" si="2"/>
        <v>0</v>
      </c>
      <c r="K267" s="4"/>
      <c r="L267" s="4"/>
      <c r="M267" s="4"/>
      <c r="N267" s="4"/>
    </row>
    <row r="268" ht="13.5" hidden="1" customHeight="1">
      <c r="A268" s="4" t="str">
        <f t="shared" si="1"/>
        <v>RDR-JAZZ01FY</v>
      </c>
      <c r="B268" s="29" t="s">
        <v>469</v>
      </c>
      <c r="C268" s="28" t="s">
        <v>463</v>
      </c>
      <c r="D268" s="28" t="s">
        <v>134</v>
      </c>
      <c r="E268" s="4" t="s">
        <v>111</v>
      </c>
      <c r="F268" s="28" t="s">
        <v>466</v>
      </c>
      <c r="G268" s="4"/>
      <c r="H268" s="4">
        <f>SUMIFS(X!$F$5:$F$2005,X!$D$5:$D$2005,'CEK CICI'!A268)</f>
        <v>0</v>
      </c>
      <c r="I268" s="4">
        <f>SUMIFS(PENJUALAN!$E$4:$E$4288,PENJUALAN!$C$4:$C$4288,'CEK CICI'!A268)</f>
        <v>0</v>
      </c>
      <c r="J268" s="16">
        <f t="shared" si="2"/>
        <v>0</v>
      </c>
      <c r="K268" s="4"/>
      <c r="L268" s="4"/>
      <c r="M268" s="4"/>
      <c r="N268" s="4"/>
    </row>
    <row r="269" ht="13.5" hidden="1" customHeight="1">
      <c r="A269" s="4" t="str">
        <f t="shared" si="1"/>
        <v>LFW-JAZZ07FY</v>
      </c>
      <c r="B269" s="29" t="s">
        <v>76</v>
      </c>
      <c r="C269" s="28" t="s">
        <v>470</v>
      </c>
      <c r="D269" s="28" t="s">
        <v>22</v>
      </c>
      <c r="E269" s="4" t="s">
        <v>111</v>
      </c>
      <c r="F269" s="28" t="s">
        <v>125</v>
      </c>
      <c r="G269" s="4"/>
      <c r="H269" s="4">
        <f>SUMIFS(X!$F$5:$F$2005,X!$D$5:$D$2005,'CEK CICI'!A269)</f>
        <v>0</v>
      </c>
      <c r="I269" s="4">
        <f>SUMIFS(PENJUALAN!$E$4:$E$4288,PENJUALAN!$C$4:$C$4288,'CEK CICI'!A269)</f>
        <v>0</v>
      </c>
      <c r="J269" s="16">
        <f t="shared" si="2"/>
        <v>0</v>
      </c>
      <c r="K269" s="4"/>
      <c r="L269" s="4"/>
      <c r="M269" s="4"/>
      <c r="N269" s="4"/>
    </row>
    <row r="270" ht="13.5" hidden="1" customHeight="1">
      <c r="A270" s="4" t="str">
        <f t="shared" si="1"/>
        <v>TRW-JAZZ07FY</v>
      </c>
      <c r="B270" s="29" t="s">
        <v>471</v>
      </c>
      <c r="C270" s="28" t="s">
        <v>470</v>
      </c>
      <c r="D270" s="28" t="s">
        <v>41</v>
      </c>
      <c r="E270" s="4" t="s">
        <v>111</v>
      </c>
      <c r="F270" s="28" t="s">
        <v>67</v>
      </c>
      <c r="G270" s="4"/>
      <c r="H270" s="4">
        <f>SUMIFS(X!$F$5:$F$2005,X!$D$5:$D$2005,'CEK CICI'!A270)</f>
        <v>0</v>
      </c>
      <c r="I270" s="4">
        <f>SUMIFS(PENJUALAN!$E$4:$E$4288,PENJUALAN!$C$4:$C$4288,'CEK CICI'!A270)</f>
        <v>0</v>
      </c>
      <c r="J270" s="16">
        <f t="shared" si="2"/>
        <v>0</v>
      </c>
      <c r="K270" s="4"/>
      <c r="L270" s="4"/>
      <c r="M270" s="4"/>
      <c r="N270" s="4"/>
    </row>
    <row r="271" ht="13.5" hidden="1" customHeight="1">
      <c r="A271" s="4" t="str">
        <f t="shared" si="1"/>
        <v>FDL-JAZZ07FY</v>
      </c>
      <c r="B271" s="29" t="s">
        <v>472</v>
      </c>
      <c r="C271" s="28" t="s">
        <v>470</v>
      </c>
      <c r="D271" s="28" t="s">
        <v>128</v>
      </c>
      <c r="E271" s="4" t="s">
        <v>111</v>
      </c>
      <c r="F271" s="28"/>
      <c r="G271" s="4"/>
      <c r="H271" s="4">
        <f>SUMIFS(X!$F$5:$F$2005,X!$D$5:$D$2005,'CEK CICI'!A271)</f>
        <v>0</v>
      </c>
      <c r="I271" s="4">
        <f>SUMIFS(PENJUALAN!$E$4:$E$4288,PENJUALAN!$C$4:$C$4288,'CEK CICI'!A271)</f>
        <v>0</v>
      </c>
      <c r="J271" s="16">
        <f t="shared" si="2"/>
        <v>0</v>
      </c>
      <c r="K271" s="4"/>
      <c r="L271" s="4"/>
      <c r="M271" s="4"/>
      <c r="N271" s="4"/>
    </row>
    <row r="272" ht="13.5" hidden="1" customHeight="1">
      <c r="A272" s="4" t="str">
        <f t="shared" si="1"/>
        <v>SWL-JAZZ07FY</v>
      </c>
      <c r="B272" s="29" t="s">
        <v>473</v>
      </c>
      <c r="C272" s="28" t="s">
        <v>470</v>
      </c>
      <c r="D272" s="28" t="s">
        <v>202</v>
      </c>
      <c r="E272" s="4" t="s">
        <v>111</v>
      </c>
      <c r="F272" s="28" t="s">
        <v>97</v>
      </c>
      <c r="G272" s="4"/>
      <c r="H272" s="4">
        <f>SUMIFS(X!$F$5:$F$2005,X!$D$5:$D$2005,'CEK CICI'!A272)</f>
        <v>0</v>
      </c>
      <c r="I272" s="4">
        <f>SUMIFS(PENJUALAN!$E$4:$E$4288,PENJUALAN!$C$4:$C$4288,'CEK CICI'!A272)</f>
        <v>0</v>
      </c>
      <c r="J272" s="16">
        <f t="shared" si="2"/>
        <v>0</v>
      </c>
      <c r="K272" s="4"/>
      <c r="L272" s="4"/>
      <c r="M272" s="4"/>
      <c r="N272" s="4"/>
    </row>
    <row r="273" ht="13.5" hidden="1" customHeight="1">
      <c r="A273" s="4" t="str">
        <f t="shared" si="1"/>
        <v>SWR-JAZZ07FY</v>
      </c>
      <c r="B273" s="29" t="s">
        <v>474</v>
      </c>
      <c r="C273" s="28" t="s">
        <v>470</v>
      </c>
      <c r="D273" s="28" t="s">
        <v>236</v>
      </c>
      <c r="E273" s="4" t="s">
        <v>111</v>
      </c>
      <c r="F273" s="28" t="s">
        <v>97</v>
      </c>
      <c r="G273" s="4"/>
      <c r="H273" s="4">
        <f>SUMIFS(X!$F$5:$F$2005,X!$D$5:$D$2005,'CEK CICI'!A273)</f>
        <v>0</v>
      </c>
      <c r="I273" s="4">
        <f>SUMIFS(PENJUALAN!$E$4:$E$4288,PENJUALAN!$C$4:$C$4288,'CEK CICI'!A273)</f>
        <v>0</v>
      </c>
      <c r="J273" s="16">
        <f t="shared" si="2"/>
        <v>0</v>
      </c>
      <c r="K273" s="4"/>
      <c r="L273" s="4"/>
      <c r="M273" s="4"/>
      <c r="N273" s="4"/>
    </row>
    <row r="274" ht="13.5" hidden="1" customHeight="1">
      <c r="A274" s="4" t="str">
        <f t="shared" si="1"/>
        <v>LFW-JAZZ13FY</v>
      </c>
      <c r="B274" s="29" t="s">
        <v>475</v>
      </c>
      <c r="C274" s="28" t="s">
        <v>476</v>
      </c>
      <c r="D274" s="28" t="s">
        <v>22</v>
      </c>
      <c r="E274" s="4" t="s">
        <v>111</v>
      </c>
      <c r="F274" s="28" t="s">
        <v>125</v>
      </c>
      <c r="G274" s="4"/>
      <c r="H274" s="4">
        <f>SUMIFS(X!$F$5:$F$2005,X!$D$5:$D$2005,'CEK CICI'!A274)</f>
        <v>0</v>
      </c>
      <c r="I274" s="4">
        <f>SUMIFS(PENJUALAN!$E$4:$E$4288,PENJUALAN!$C$4:$C$4288,'CEK CICI'!A274)</f>
        <v>0</v>
      </c>
      <c r="J274" s="16">
        <f t="shared" si="2"/>
        <v>0</v>
      </c>
      <c r="K274" s="4"/>
      <c r="L274" s="4"/>
      <c r="M274" s="4"/>
      <c r="N274" s="4"/>
    </row>
    <row r="275" ht="13.5" hidden="1" customHeight="1">
      <c r="A275" s="4" t="str">
        <f t="shared" si="1"/>
        <v>TRW-JAZZ13FY</v>
      </c>
      <c r="B275" s="29" t="s">
        <v>477</v>
      </c>
      <c r="C275" s="28" t="s">
        <v>476</v>
      </c>
      <c r="D275" s="28" t="s">
        <v>41</v>
      </c>
      <c r="E275" s="4" t="s">
        <v>111</v>
      </c>
      <c r="F275" s="28" t="s">
        <v>67</v>
      </c>
      <c r="G275" s="4"/>
      <c r="H275" s="4">
        <f>SUMIFS(X!$F$5:$F$2005,X!$D$5:$D$2005,'CEK CICI'!A275)</f>
        <v>0</v>
      </c>
      <c r="I275" s="4">
        <f>SUMIFS(PENJUALAN!$E$4:$E$4288,PENJUALAN!$C$4:$C$4288,'CEK CICI'!A275)</f>
        <v>0</v>
      </c>
      <c r="J275" s="16">
        <f t="shared" si="2"/>
        <v>0</v>
      </c>
      <c r="K275" s="4"/>
      <c r="L275" s="4"/>
      <c r="M275" s="4"/>
      <c r="N275" s="4"/>
    </row>
    <row r="276" ht="13.5" hidden="1" customHeight="1">
      <c r="A276" s="4" t="str">
        <f t="shared" si="1"/>
        <v>LFW-LEGENDFY</v>
      </c>
      <c r="B276" s="29" t="s">
        <v>478</v>
      </c>
      <c r="C276" s="28" t="s">
        <v>479</v>
      </c>
      <c r="D276" s="28" t="s">
        <v>22</v>
      </c>
      <c r="E276" s="4" t="s">
        <v>111</v>
      </c>
      <c r="F276" s="28" t="s">
        <v>75</v>
      </c>
      <c r="G276" s="4"/>
      <c r="H276" s="4">
        <f>SUMIFS(X!$F$5:$F$2005,X!$D$5:$D$2005,'CEK CICI'!A276)</f>
        <v>0</v>
      </c>
      <c r="I276" s="4">
        <f>SUMIFS(PENJUALAN!$E$4:$E$4288,PENJUALAN!$C$4:$C$4288,'CEK CICI'!A276)</f>
        <v>0</v>
      </c>
      <c r="J276" s="16">
        <f t="shared" si="2"/>
        <v>0</v>
      </c>
      <c r="K276" s="4"/>
      <c r="L276" s="4"/>
      <c r="M276" s="4"/>
      <c r="N276" s="4"/>
    </row>
    <row r="277" ht="13.5" hidden="1" customHeight="1">
      <c r="A277" s="4" t="str">
        <f t="shared" si="1"/>
        <v>LFW-ODYSSEY99FY</v>
      </c>
      <c r="B277" s="29" t="s">
        <v>480</v>
      </c>
      <c r="C277" s="28" t="s">
        <v>481</v>
      </c>
      <c r="D277" s="28" t="s">
        <v>22</v>
      </c>
      <c r="E277" s="4" t="s">
        <v>111</v>
      </c>
      <c r="F277" s="28" t="s">
        <v>125</v>
      </c>
      <c r="G277" s="4"/>
      <c r="H277" s="4">
        <f>SUMIFS(X!$F$5:$F$2005,X!$D$5:$D$2005,'CEK CICI'!A277)</f>
        <v>0</v>
      </c>
      <c r="I277" s="4">
        <f>SUMIFS(PENJUALAN!$E$4:$E$4288,PENJUALAN!$C$4:$C$4288,'CEK CICI'!A277)</f>
        <v>0</v>
      </c>
      <c r="J277" s="16">
        <f t="shared" si="2"/>
        <v>0</v>
      </c>
      <c r="K277" s="4"/>
      <c r="L277" s="4"/>
      <c r="M277" s="4"/>
      <c r="N277" s="4"/>
    </row>
    <row r="278" ht="13.5" hidden="1" customHeight="1">
      <c r="A278" s="4" t="str">
        <f t="shared" si="1"/>
        <v>TRW-ODYSSEY99FY</v>
      </c>
      <c r="B278" s="29" t="s">
        <v>482</v>
      </c>
      <c r="C278" s="28" t="s">
        <v>481</v>
      </c>
      <c r="D278" s="28" t="s">
        <v>41</v>
      </c>
      <c r="E278" s="4" t="s">
        <v>111</v>
      </c>
      <c r="F278" s="28" t="s">
        <v>221</v>
      </c>
      <c r="G278" s="4"/>
      <c r="H278" s="4">
        <f>SUMIFS(X!$F$5:$F$2005,X!$D$5:$D$2005,'CEK CICI'!A278)</f>
        <v>0</v>
      </c>
      <c r="I278" s="4">
        <f>SUMIFS(PENJUALAN!$E$4:$E$4288,PENJUALAN!$C$4:$C$4288,'CEK CICI'!A278)</f>
        <v>0</v>
      </c>
      <c r="J278" s="16">
        <f t="shared" si="2"/>
        <v>0</v>
      </c>
      <c r="K278" s="4"/>
      <c r="L278" s="4"/>
      <c r="M278" s="4"/>
      <c r="N278" s="4"/>
    </row>
    <row r="279" ht="13.5" hidden="1" customHeight="1">
      <c r="A279" s="4" t="str">
        <f t="shared" si="1"/>
        <v>LFW-ODYSSEY03FY</v>
      </c>
      <c r="B279" s="29" t="s">
        <v>483</v>
      </c>
      <c r="C279" s="28" t="s">
        <v>484</v>
      </c>
      <c r="D279" s="28" t="s">
        <v>22</v>
      </c>
      <c r="E279" s="4" t="s">
        <v>111</v>
      </c>
      <c r="F279" s="28" t="s">
        <v>125</v>
      </c>
      <c r="G279" s="4"/>
      <c r="H279" s="4">
        <f>SUMIFS(X!$F$5:$F$2005,X!$D$5:$D$2005,'CEK CICI'!A279)</f>
        <v>0</v>
      </c>
      <c r="I279" s="4">
        <f>SUMIFS(PENJUALAN!$E$4:$E$4288,PENJUALAN!$C$4:$C$4288,'CEK CICI'!A279)</f>
        <v>0</v>
      </c>
      <c r="J279" s="16">
        <f t="shared" si="2"/>
        <v>0</v>
      </c>
      <c r="K279" s="4"/>
      <c r="L279" s="4"/>
      <c r="M279" s="5">
        <v>1.0</v>
      </c>
      <c r="N279" s="4"/>
    </row>
    <row r="280" ht="13.5" hidden="1" customHeight="1">
      <c r="A280" s="4" t="str">
        <f t="shared" si="1"/>
        <v>TRW-ODYSSEY03FY</v>
      </c>
      <c r="B280" s="29" t="s">
        <v>485</v>
      </c>
      <c r="C280" s="28" t="s">
        <v>484</v>
      </c>
      <c r="D280" s="28" t="s">
        <v>41</v>
      </c>
      <c r="E280" s="4" t="s">
        <v>111</v>
      </c>
      <c r="F280" s="28" t="s">
        <v>221</v>
      </c>
      <c r="G280" s="4"/>
      <c r="H280" s="4">
        <f>SUMIFS(X!$F$5:$F$2005,X!$D$5:$D$2005,'CEK CICI'!A280)</f>
        <v>0</v>
      </c>
      <c r="I280" s="4">
        <f>SUMIFS(PENJUALAN!$E$4:$E$4288,PENJUALAN!$C$4:$C$4288,'CEK CICI'!A280)</f>
        <v>0</v>
      </c>
      <c r="J280" s="16">
        <f t="shared" si="2"/>
        <v>0</v>
      </c>
      <c r="K280" s="4"/>
      <c r="L280" s="4"/>
      <c r="M280" s="4"/>
      <c r="N280" s="4"/>
    </row>
    <row r="281" ht="13.5" hidden="1" customHeight="1">
      <c r="A281" s="4" t="str">
        <f t="shared" si="1"/>
        <v>FDL-ODYSSEY03FY</v>
      </c>
      <c r="B281" s="29" t="s">
        <v>486</v>
      </c>
      <c r="C281" s="28" t="s">
        <v>484</v>
      </c>
      <c r="D281" s="28" t="s">
        <v>128</v>
      </c>
      <c r="E281" s="4" t="s">
        <v>111</v>
      </c>
      <c r="F281" s="28"/>
      <c r="G281" s="4"/>
      <c r="H281" s="4">
        <f>SUMIFS(X!$F$5:$F$2005,X!$D$5:$D$2005,'CEK CICI'!A281)</f>
        <v>0</v>
      </c>
      <c r="I281" s="4">
        <f>SUMIFS(PENJUALAN!$E$4:$E$4288,PENJUALAN!$C$4:$C$4288,'CEK CICI'!A281)</f>
        <v>0</v>
      </c>
      <c r="J281" s="16">
        <f t="shared" si="2"/>
        <v>0</v>
      </c>
      <c r="K281" s="4"/>
      <c r="L281" s="4"/>
      <c r="M281" s="4"/>
      <c r="N281" s="4"/>
    </row>
    <row r="282" ht="13.5" hidden="1" customHeight="1">
      <c r="A282" s="4" t="str">
        <f t="shared" si="1"/>
        <v>FDR-ODYSSEY03FY</v>
      </c>
      <c r="B282" s="29" t="s">
        <v>487</v>
      </c>
      <c r="C282" s="28" t="s">
        <v>484</v>
      </c>
      <c r="D282" s="28" t="s">
        <v>130</v>
      </c>
      <c r="E282" s="4" t="s">
        <v>111</v>
      </c>
      <c r="F282" s="28"/>
      <c r="G282" s="4"/>
      <c r="H282" s="4">
        <f>SUMIFS(X!$F$5:$F$2005,X!$D$5:$D$2005,'CEK CICI'!A282)</f>
        <v>0</v>
      </c>
      <c r="I282" s="4">
        <f>SUMIFS(PENJUALAN!$E$4:$E$4288,PENJUALAN!$C$4:$C$4288,'CEK CICI'!A282)</f>
        <v>0</v>
      </c>
      <c r="J282" s="16">
        <f t="shared" si="2"/>
        <v>0</v>
      </c>
      <c r="K282" s="4"/>
      <c r="L282" s="4"/>
      <c r="M282" s="4"/>
      <c r="N282" s="4"/>
    </row>
    <row r="283" ht="13.5" hidden="1" customHeight="1">
      <c r="A283" s="4" t="str">
        <f t="shared" si="1"/>
        <v>RDL-ODYSSEY03FY</v>
      </c>
      <c r="B283" s="29" t="s">
        <v>488</v>
      </c>
      <c r="C283" s="28" t="s">
        <v>484</v>
      </c>
      <c r="D283" s="28" t="s">
        <v>132</v>
      </c>
      <c r="E283" s="4" t="s">
        <v>111</v>
      </c>
      <c r="F283" s="28"/>
      <c r="G283" s="4"/>
      <c r="H283" s="4">
        <f>SUMIFS(X!$F$5:$F$2005,X!$D$5:$D$2005,'CEK CICI'!A283)</f>
        <v>0</v>
      </c>
      <c r="I283" s="4">
        <f>SUMIFS(PENJUALAN!$E$4:$E$4288,PENJUALAN!$C$4:$C$4288,'CEK CICI'!A283)</f>
        <v>0</v>
      </c>
      <c r="J283" s="16">
        <f t="shared" si="2"/>
        <v>0</v>
      </c>
      <c r="K283" s="4"/>
      <c r="L283" s="4"/>
      <c r="M283" s="4"/>
      <c r="N283" s="4"/>
    </row>
    <row r="284" ht="13.5" hidden="1" customHeight="1">
      <c r="A284" s="4" t="str">
        <f t="shared" si="1"/>
        <v>RDR-ODYSSEY03FY</v>
      </c>
      <c r="B284" s="29" t="s">
        <v>489</v>
      </c>
      <c r="C284" s="28" t="s">
        <v>484</v>
      </c>
      <c r="D284" s="28" t="s">
        <v>134</v>
      </c>
      <c r="E284" s="4" t="s">
        <v>111</v>
      </c>
      <c r="F284" s="28"/>
      <c r="G284" s="4"/>
      <c r="H284" s="4">
        <f>SUMIFS(X!$F$5:$F$2005,X!$D$5:$D$2005,'CEK CICI'!A284)</f>
        <v>0</v>
      </c>
      <c r="I284" s="4">
        <f>SUMIFS(PENJUALAN!$E$4:$E$4288,PENJUALAN!$C$4:$C$4288,'CEK CICI'!A284)</f>
        <v>0</v>
      </c>
      <c r="J284" s="16">
        <f t="shared" si="2"/>
        <v>0</v>
      </c>
      <c r="K284" s="4"/>
      <c r="L284" s="4"/>
      <c r="M284" s="4"/>
      <c r="N284" s="4"/>
    </row>
    <row r="285" ht="13.5" hidden="1" customHeight="1">
      <c r="A285" s="4" t="str">
        <f t="shared" si="1"/>
        <v>SWL-ODYSSEY03FY</v>
      </c>
      <c r="B285" s="29" t="s">
        <v>490</v>
      </c>
      <c r="C285" s="28" t="s">
        <v>484</v>
      </c>
      <c r="D285" s="28" t="s">
        <v>202</v>
      </c>
      <c r="E285" s="4" t="s">
        <v>111</v>
      </c>
      <c r="F285" s="28" t="s">
        <v>97</v>
      </c>
      <c r="G285" s="4"/>
      <c r="H285" s="4">
        <f>SUMIFS(X!$F$5:$F$2005,X!$D$5:$D$2005,'CEK CICI'!A285)</f>
        <v>0</v>
      </c>
      <c r="I285" s="4">
        <f>SUMIFS(PENJUALAN!$E$4:$E$4288,PENJUALAN!$C$4:$C$4288,'CEK CICI'!A285)</f>
        <v>0</v>
      </c>
      <c r="J285" s="16">
        <f t="shared" si="2"/>
        <v>0</v>
      </c>
      <c r="K285" s="4"/>
      <c r="L285" s="4"/>
      <c r="M285" s="4"/>
      <c r="N285" s="4"/>
    </row>
    <row r="286" ht="13.5" hidden="1" customHeight="1">
      <c r="A286" s="4" t="str">
        <f t="shared" si="1"/>
        <v>SWR-ODYSSEY03FY</v>
      </c>
      <c r="B286" s="29" t="s">
        <v>491</v>
      </c>
      <c r="C286" s="28" t="s">
        <v>484</v>
      </c>
      <c r="D286" s="28" t="s">
        <v>236</v>
      </c>
      <c r="E286" s="4" t="s">
        <v>111</v>
      </c>
      <c r="F286" s="28" t="s">
        <v>234</v>
      </c>
      <c r="G286" s="4"/>
      <c r="H286" s="4">
        <f>SUMIFS(X!$F$5:$F$2005,X!$D$5:$D$2005,'CEK CICI'!A286)</f>
        <v>0</v>
      </c>
      <c r="I286" s="4">
        <f>SUMIFS(PENJUALAN!$E$4:$E$4288,PENJUALAN!$C$4:$C$4288,'CEK CICI'!A286)</f>
        <v>0</v>
      </c>
      <c r="J286" s="16">
        <f t="shared" si="2"/>
        <v>0</v>
      </c>
      <c r="K286" s="4"/>
      <c r="L286" s="4"/>
      <c r="M286" s="4"/>
      <c r="N286" s="4"/>
    </row>
    <row r="287" ht="13.5" hidden="1" customHeight="1">
      <c r="A287" s="4" t="str">
        <f t="shared" si="1"/>
        <v>LFW-ODYSSEY09FY</v>
      </c>
      <c r="B287" s="29" t="s">
        <v>492</v>
      </c>
      <c r="C287" s="28" t="s">
        <v>493</v>
      </c>
      <c r="D287" s="28" t="s">
        <v>22</v>
      </c>
      <c r="E287" s="4" t="s">
        <v>111</v>
      </c>
      <c r="F287" s="28" t="s">
        <v>125</v>
      </c>
      <c r="G287" s="4"/>
      <c r="H287" s="4">
        <f>SUMIFS(X!$F$5:$F$2005,X!$D$5:$D$2005,'CEK CICI'!A287)</f>
        <v>0</v>
      </c>
      <c r="I287" s="4">
        <f>SUMIFS(PENJUALAN!$E$4:$E$4288,PENJUALAN!$C$4:$C$4288,'CEK CICI'!A287)</f>
        <v>0</v>
      </c>
      <c r="J287" s="16">
        <f t="shared" si="2"/>
        <v>0</v>
      </c>
      <c r="K287" s="4"/>
      <c r="L287" s="4"/>
      <c r="M287" s="4"/>
      <c r="N287" s="4"/>
    </row>
    <row r="288" ht="13.5" hidden="1" customHeight="1">
      <c r="A288" s="4" t="str">
        <f t="shared" si="1"/>
        <v>FDL-ODYSSEY09FY</v>
      </c>
      <c r="B288" s="29" t="s">
        <v>494</v>
      </c>
      <c r="C288" s="28" t="s">
        <v>493</v>
      </c>
      <c r="D288" s="28" t="s">
        <v>128</v>
      </c>
      <c r="E288" s="4" t="s">
        <v>111</v>
      </c>
      <c r="F288" s="28"/>
      <c r="G288" s="4"/>
      <c r="H288" s="4">
        <f>SUMIFS(X!$F$5:$F$2005,X!$D$5:$D$2005,'CEK CICI'!A288)</f>
        <v>0</v>
      </c>
      <c r="I288" s="4">
        <f>SUMIFS(PENJUALAN!$E$4:$E$4288,PENJUALAN!$C$4:$C$4288,'CEK CICI'!A288)</f>
        <v>0</v>
      </c>
      <c r="J288" s="16">
        <f t="shared" si="2"/>
        <v>0</v>
      </c>
      <c r="K288" s="4"/>
      <c r="L288" s="4"/>
      <c r="M288" s="4"/>
      <c r="N288" s="4"/>
    </row>
    <row r="289" ht="13.5" hidden="1" customHeight="1">
      <c r="A289" s="4" t="str">
        <f t="shared" si="1"/>
        <v>FDR-ODYSSEY09FY</v>
      </c>
      <c r="B289" s="29" t="s">
        <v>495</v>
      </c>
      <c r="C289" s="28" t="s">
        <v>493</v>
      </c>
      <c r="D289" s="28" t="s">
        <v>130</v>
      </c>
      <c r="E289" s="4" t="s">
        <v>111</v>
      </c>
      <c r="F289" s="28"/>
      <c r="G289" s="4"/>
      <c r="H289" s="4">
        <f>SUMIFS(X!$F$5:$F$2005,X!$D$5:$D$2005,'CEK CICI'!A289)</f>
        <v>0</v>
      </c>
      <c r="I289" s="4">
        <f>SUMIFS(PENJUALAN!$E$4:$E$4288,PENJUALAN!$C$4:$C$4288,'CEK CICI'!A289)</f>
        <v>0</v>
      </c>
      <c r="J289" s="16">
        <f t="shared" si="2"/>
        <v>0</v>
      </c>
      <c r="K289" s="4"/>
      <c r="L289" s="4"/>
      <c r="M289" s="4"/>
      <c r="N289" s="4"/>
    </row>
    <row r="290" ht="13.5" hidden="1" customHeight="1">
      <c r="A290" s="4" t="str">
        <f t="shared" si="1"/>
        <v>RDL-ODYSSEY09FY</v>
      </c>
      <c r="B290" s="29" t="s">
        <v>496</v>
      </c>
      <c r="C290" s="28" t="s">
        <v>493</v>
      </c>
      <c r="D290" s="28" t="s">
        <v>132</v>
      </c>
      <c r="E290" s="4" t="s">
        <v>111</v>
      </c>
      <c r="F290" s="28"/>
      <c r="G290" s="4"/>
      <c r="H290" s="4">
        <f>SUMIFS(X!$F$5:$F$2005,X!$D$5:$D$2005,'CEK CICI'!A290)</f>
        <v>0</v>
      </c>
      <c r="I290" s="4">
        <f>SUMIFS(PENJUALAN!$E$4:$E$4288,PENJUALAN!$C$4:$C$4288,'CEK CICI'!A290)</f>
        <v>0</v>
      </c>
      <c r="J290" s="16">
        <f t="shared" si="2"/>
        <v>0</v>
      </c>
      <c r="K290" s="4"/>
      <c r="L290" s="4"/>
      <c r="M290" s="4"/>
      <c r="N290" s="4"/>
    </row>
    <row r="291" ht="13.5" hidden="1" customHeight="1">
      <c r="A291" s="4" t="str">
        <f t="shared" si="1"/>
        <v>RDR-ODYSSEY09FY</v>
      </c>
      <c r="B291" s="29" t="s">
        <v>497</v>
      </c>
      <c r="C291" s="28" t="s">
        <v>493</v>
      </c>
      <c r="D291" s="28" t="s">
        <v>134</v>
      </c>
      <c r="E291" s="4" t="s">
        <v>111</v>
      </c>
      <c r="F291" s="28"/>
      <c r="G291" s="4"/>
      <c r="H291" s="4">
        <f>SUMIFS(X!$F$5:$F$2005,X!$D$5:$D$2005,'CEK CICI'!A291)</f>
        <v>0</v>
      </c>
      <c r="I291" s="4">
        <f>SUMIFS(PENJUALAN!$E$4:$E$4288,PENJUALAN!$C$4:$C$4288,'CEK CICI'!A291)</f>
        <v>0</v>
      </c>
      <c r="J291" s="16">
        <f t="shared" si="2"/>
        <v>0</v>
      </c>
      <c r="K291" s="4"/>
      <c r="L291" s="4"/>
      <c r="M291" s="4"/>
      <c r="N291" s="4"/>
    </row>
    <row r="292" ht="13.5" hidden="1" customHeight="1">
      <c r="A292" s="4" t="str">
        <f t="shared" si="1"/>
        <v>SWL-ODYSSEY09FY</v>
      </c>
      <c r="B292" s="29" t="s">
        <v>498</v>
      </c>
      <c r="C292" s="28" t="s">
        <v>493</v>
      </c>
      <c r="D292" s="28" t="s">
        <v>202</v>
      </c>
      <c r="E292" s="4" t="s">
        <v>111</v>
      </c>
      <c r="F292" s="28" t="s">
        <v>97</v>
      </c>
      <c r="G292" s="4"/>
      <c r="H292" s="4">
        <f>SUMIFS(X!$F$5:$F$2005,X!$D$5:$D$2005,'CEK CICI'!A292)</f>
        <v>0</v>
      </c>
      <c r="I292" s="4">
        <f>SUMIFS(PENJUALAN!$E$4:$E$4288,PENJUALAN!$C$4:$C$4288,'CEK CICI'!A292)</f>
        <v>0</v>
      </c>
      <c r="J292" s="16">
        <f t="shared" si="2"/>
        <v>0</v>
      </c>
      <c r="K292" s="4"/>
      <c r="L292" s="4"/>
      <c r="M292" s="4"/>
      <c r="N292" s="4"/>
    </row>
    <row r="293" ht="13.5" hidden="1" customHeight="1">
      <c r="A293" s="4" t="str">
        <f t="shared" si="1"/>
        <v>SWR-ODYSSEY09FY</v>
      </c>
      <c r="B293" s="29" t="s">
        <v>499</v>
      </c>
      <c r="C293" s="28" t="s">
        <v>493</v>
      </c>
      <c r="D293" s="28" t="s">
        <v>236</v>
      </c>
      <c r="E293" s="4" t="s">
        <v>111</v>
      </c>
      <c r="F293" s="28" t="s">
        <v>234</v>
      </c>
      <c r="G293" s="4"/>
      <c r="H293" s="4">
        <f>SUMIFS(X!$F$5:$F$2005,X!$D$5:$D$2005,'CEK CICI'!A293)</f>
        <v>0</v>
      </c>
      <c r="I293" s="4">
        <f>SUMIFS(PENJUALAN!$E$4:$E$4288,PENJUALAN!$C$4:$C$4288,'CEK CICI'!A293)</f>
        <v>0</v>
      </c>
      <c r="J293" s="16">
        <f t="shared" si="2"/>
        <v>0</v>
      </c>
      <c r="K293" s="4"/>
      <c r="L293" s="4"/>
      <c r="M293" s="4"/>
      <c r="N293" s="4"/>
    </row>
    <row r="294" ht="13.5" hidden="1" customHeight="1">
      <c r="A294" s="4" t="str">
        <f t="shared" si="1"/>
        <v>LFW-ODYSSEY13FY</v>
      </c>
      <c r="B294" s="29" t="s">
        <v>500</v>
      </c>
      <c r="C294" s="28" t="s">
        <v>501</v>
      </c>
      <c r="D294" s="28" t="s">
        <v>22</v>
      </c>
      <c r="E294" s="4" t="s">
        <v>111</v>
      </c>
      <c r="F294" s="28" t="s">
        <v>125</v>
      </c>
      <c r="G294" s="4"/>
      <c r="H294" s="4">
        <f>SUMIFS(X!$F$5:$F$2005,X!$D$5:$D$2005,'CEK CICI'!A294)</f>
        <v>0</v>
      </c>
      <c r="I294" s="4">
        <f>SUMIFS(PENJUALAN!$E$4:$E$4288,PENJUALAN!$C$4:$C$4288,'CEK CICI'!A294)</f>
        <v>0</v>
      </c>
      <c r="J294" s="16">
        <f t="shared" si="2"/>
        <v>0</v>
      </c>
      <c r="K294" s="4"/>
      <c r="L294" s="4"/>
      <c r="M294" s="4"/>
      <c r="N294" s="4"/>
    </row>
    <row r="295" ht="13.5" hidden="1" customHeight="1">
      <c r="A295" s="4" t="str">
        <f t="shared" si="1"/>
        <v>TRW-ODYSSEY13FY</v>
      </c>
      <c r="B295" s="29" t="s">
        <v>502</v>
      </c>
      <c r="C295" s="28" t="s">
        <v>501</v>
      </c>
      <c r="D295" s="28" t="s">
        <v>41</v>
      </c>
      <c r="E295" s="4" t="s">
        <v>111</v>
      </c>
      <c r="F295" s="28" t="s">
        <v>221</v>
      </c>
      <c r="G295" s="4"/>
      <c r="H295" s="4">
        <f>SUMIFS(X!$F$5:$F$2005,X!$D$5:$D$2005,'CEK CICI'!A295)</f>
        <v>0</v>
      </c>
      <c r="I295" s="4">
        <f>SUMIFS(PENJUALAN!$E$4:$E$4288,PENJUALAN!$C$4:$C$4288,'CEK CICI'!A295)</f>
        <v>0</v>
      </c>
      <c r="J295" s="16">
        <f t="shared" si="2"/>
        <v>0</v>
      </c>
      <c r="K295" s="4"/>
      <c r="L295" s="4"/>
      <c r="M295" s="4"/>
      <c r="N295" s="4"/>
    </row>
    <row r="296" ht="13.5" hidden="1" customHeight="1">
      <c r="A296" s="4" t="str">
        <f t="shared" si="1"/>
        <v>RDL-ODYSSEY13FY</v>
      </c>
      <c r="B296" s="29" t="s">
        <v>503</v>
      </c>
      <c r="C296" s="28" t="s">
        <v>501</v>
      </c>
      <c r="D296" s="28" t="s">
        <v>132</v>
      </c>
      <c r="E296" s="4" t="s">
        <v>111</v>
      </c>
      <c r="F296" s="28"/>
      <c r="G296" s="4"/>
      <c r="H296" s="4">
        <f>SUMIFS(X!$F$5:$F$2005,X!$D$5:$D$2005,'CEK CICI'!A296)</f>
        <v>0</v>
      </c>
      <c r="I296" s="4">
        <f>SUMIFS(PENJUALAN!$E$4:$E$4288,PENJUALAN!$C$4:$C$4288,'CEK CICI'!A296)</f>
        <v>0</v>
      </c>
      <c r="J296" s="16">
        <f t="shared" si="2"/>
        <v>0</v>
      </c>
      <c r="K296" s="4"/>
      <c r="L296" s="4"/>
      <c r="M296" s="4"/>
      <c r="N296" s="4"/>
    </row>
    <row r="297" ht="13.5" hidden="1" customHeight="1">
      <c r="A297" s="4" t="str">
        <f t="shared" si="1"/>
        <v>RDR-ODYSSEY13FY</v>
      </c>
      <c r="B297" s="29" t="s">
        <v>504</v>
      </c>
      <c r="C297" s="28" t="s">
        <v>501</v>
      </c>
      <c r="D297" s="28" t="s">
        <v>134</v>
      </c>
      <c r="E297" s="4" t="s">
        <v>111</v>
      </c>
      <c r="F297" s="28"/>
      <c r="G297" s="4"/>
      <c r="H297" s="4">
        <f>SUMIFS(X!$F$5:$F$2005,X!$D$5:$D$2005,'CEK CICI'!A297)</f>
        <v>0</v>
      </c>
      <c r="I297" s="4">
        <f>SUMIFS(PENJUALAN!$E$4:$E$4288,PENJUALAN!$C$4:$C$4288,'CEK CICI'!A297)</f>
        <v>0</v>
      </c>
      <c r="J297" s="16">
        <f t="shared" si="2"/>
        <v>0</v>
      </c>
      <c r="K297" s="4"/>
      <c r="L297" s="4"/>
      <c r="M297" s="4"/>
      <c r="N297" s="4"/>
    </row>
    <row r="298" ht="13.5" hidden="1" customHeight="1">
      <c r="A298" s="4" t="str">
        <f t="shared" si="1"/>
        <v>SWL-ODYSSEY13FY</v>
      </c>
      <c r="B298" s="29" t="s">
        <v>505</v>
      </c>
      <c r="C298" s="28" t="s">
        <v>501</v>
      </c>
      <c r="D298" s="28" t="s">
        <v>202</v>
      </c>
      <c r="E298" s="4" t="s">
        <v>111</v>
      </c>
      <c r="F298" s="28" t="s">
        <v>234</v>
      </c>
      <c r="G298" s="4"/>
      <c r="H298" s="4">
        <f>SUMIFS(X!$F$5:$F$2005,X!$D$5:$D$2005,'CEK CICI'!A298)</f>
        <v>0</v>
      </c>
      <c r="I298" s="4">
        <f>SUMIFS(PENJUALAN!$E$4:$E$4288,PENJUALAN!$C$4:$C$4288,'CEK CICI'!A298)</f>
        <v>0</v>
      </c>
      <c r="J298" s="16">
        <f t="shared" si="2"/>
        <v>0</v>
      </c>
      <c r="K298" s="4"/>
      <c r="L298" s="4"/>
      <c r="M298" s="4"/>
      <c r="N298" s="4"/>
    </row>
    <row r="299" ht="13.5" hidden="1" customHeight="1">
      <c r="A299" s="4" t="str">
        <f t="shared" si="1"/>
        <v>TRW-STREAM00FY</v>
      </c>
      <c r="B299" s="29" t="s">
        <v>506</v>
      </c>
      <c r="C299" s="28" t="s">
        <v>507</v>
      </c>
      <c r="D299" s="28" t="s">
        <v>41</v>
      </c>
      <c r="E299" s="4" t="s">
        <v>111</v>
      </c>
      <c r="F299" s="28" t="s">
        <v>221</v>
      </c>
      <c r="G299" s="4"/>
      <c r="H299" s="4">
        <f>SUMIFS(X!$F$5:$F$2005,X!$D$5:$D$2005,'CEK CICI'!A299)</f>
        <v>0</v>
      </c>
      <c r="I299" s="4">
        <f>SUMIFS(PENJUALAN!$E$4:$E$4288,PENJUALAN!$C$4:$C$4288,'CEK CICI'!A299)</f>
        <v>0</v>
      </c>
      <c r="J299" s="16">
        <f t="shared" si="2"/>
        <v>0</v>
      </c>
      <c r="K299" s="4"/>
      <c r="L299" s="4"/>
      <c r="M299" s="4"/>
      <c r="N299" s="4"/>
    </row>
    <row r="300" ht="13.5" hidden="1" customHeight="1">
      <c r="A300" s="4" t="str">
        <f t="shared" si="1"/>
        <v>RDR-STREAM00FY</v>
      </c>
      <c r="B300" s="29" t="s">
        <v>508</v>
      </c>
      <c r="C300" s="28" t="s">
        <v>507</v>
      </c>
      <c r="D300" s="28" t="s">
        <v>134</v>
      </c>
      <c r="E300" s="4" t="s">
        <v>111</v>
      </c>
      <c r="F300" s="28"/>
      <c r="G300" s="4"/>
      <c r="H300" s="4">
        <f>SUMIFS(X!$F$5:$F$2005,X!$D$5:$D$2005,'CEK CICI'!A300)</f>
        <v>0</v>
      </c>
      <c r="I300" s="4">
        <f>SUMIFS(PENJUALAN!$E$4:$E$4288,PENJUALAN!$C$4:$C$4288,'CEK CICI'!A300)</f>
        <v>0</v>
      </c>
      <c r="J300" s="16">
        <f t="shared" si="2"/>
        <v>0</v>
      </c>
      <c r="K300" s="4"/>
      <c r="L300" s="4"/>
      <c r="M300" s="4"/>
      <c r="N300" s="4"/>
    </row>
    <row r="301" ht="13.5" hidden="1" customHeight="1">
      <c r="A301" s="4" t="str">
        <f t="shared" si="1"/>
        <v>LFW-STREAM00MBFY</v>
      </c>
      <c r="B301" s="29" t="s">
        <v>509</v>
      </c>
      <c r="C301" s="28" t="s">
        <v>510</v>
      </c>
      <c r="D301" s="28" t="s">
        <v>22</v>
      </c>
      <c r="E301" s="4" t="s">
        <v>111</v>
      </c>
      <c r="F301" s="28" t="s">
        <v>125</v>
      </c>
      <c r="G301" s="4"/>
      <c r="H301" s="4">
        <f>SUMIFS(X!$F$5:$F$2005,X!$D$5:$D$2005,'CEK CICI'!A301)</f>
        <v>0</v>
      </c>
      <c r="I301" s="4">
        <f>SUMIFS(PENJUALAN!$E$4:$E$4288,PENJUALAN!$C$4:$C$4288,'CEK CICI'!A301)</f>
        <v>0</v>
      </c>
      <c r="J301" s="16">
        <f t="shared" si="2"/>
        <v>0</v>
      </c>
      <c r="K301" s="4"/>
      <c r="L301" s="4"/>
      <c r="M301" s="4"/>
      <c r="N301" s="4"/>
    </row>
    <row r="302" ht="13.5" hidden="1" customHeight="1">
      <c r="A302" s="4" t="str">
        <f t="shared" si="1"/>
        <v>TRW-VERNA00FY</v>
      </c>
      <c r="B302" s="29" t="s">
        <v>511</v>
      </c>
      <c r="C302" s="28" t="s">
        <v>512</v>
      </c>
      <c r="D302" s="28" t="s">
        <v>41</v>
      </c>
      <c r="E302" s="4" t="s">
        <v>111</v>
      </c>
      <c r="F302" s="28" t="s">
        <v>67</v>
      </c>
      <c r="G302" s="4"/>
      <c r="H302" s="4">
        <f>SUMIFS(X!$F$5:$F$2005,X!$D$5:$D$2005,'CEK CICI'!A302)</f>
        <v>0</v>
      </c>
      <c r="I302" s="4">
        <f>SUMIFS(PENJUALAN!$E$4:$E$4288,PENJUALAN!$C$4:$C$4288,'CEK CICI'!A302)</f>
        <v>0</v>
      </c>
      <c r="J302" s="16">
        <f t="shared" si="2"/>
        <v>0</v>
      </c>
      <c r="K302" s="4"/>
      <c r="L302" s="4"/>
      <c r="M302" s="4"/>
      <c r="N302" s="4"/>
    </row>
    <row r="303" ht="13.5" hidden="1" customHeight="1">
      <c r="A303" s="4" t="str">
        <f t="shared" si="1"/>
        <v>LFW-ELANTRAFY</v>
      </c>
      <c r="B303" s="29" t="s">
        <v>513</v>
      </c>
      <c r="C303" s="28" t="s">
        <v>514</v>
      </c>
      <c r="D303" s="28" t="s">
        <v>22</v>
      </c>
      <c r="E303" s="4" t="s">
        <v>111</v>
      </c>
      <c r="F303" s="28" t="s">
        <v>125</v>
      </c>
      <c r="G303" s="4"/>
      <c r="H303" s="4">
        <f>SUMIFS(X!$F$5:$F$2005,X!$D$5:$D$2005,'CEK CICI'!A303)</f>
        <v>0</v>
      </c>
      <c r="I303" s="4">
        <f>SUMIFS(PENJUALAN!$E$4:$E$4288,PENJUALAN!$C$4:$C$4288,'CEK CICI'!A303)</f>
        <v>0</v>
      </c>
      <c r="J303" s="16">
        <f t="shared" si="2"/>
        <v>0</v>
      </c>
      <c r="K303" s="4"/>
      <c r="L303" s="4"/>
      <c r="M303" s="4"/>
      <c r="N303" s="4"/>
    </row>
    <row r="304" ht="13.5" hidden="1" customHeight="1">
      <c r="A304" s="4" t="str">
        <f t="shared" si="1"/>
        <v>LFW-GETZFY</v>
      </c>
      <c r="B304" s="29" t="s">
        <v>515</v>
      </c>
      <c r="C304" s="28" t="s">
        <v>516</v>
      </c>
      <c r="D304" s="28" t="s">
        <v>22</v>
      </c>
      <c r="E304" s="4" t="s">
        <v>111</v>
      </c>
      <c r="F304" s="28" t="s">
        <v>125</v>
      </c>
      <c r="G304" s="4"/>
      <c r="H304" s="4">
        <f>SUMIFS(X!$F$5:$F$2005,X!$D$5:$D$2005,'CEK CICI'!A304)</f>
        <v>0</v>
      </c>
      <c r="I304" s="4">
        <f>SUMIFS(PENJUALAN!$E$4:$E$4288,PENJUALAN!$C$4:$C$4288,'CEK CICI'!A304)</f>
        <v>0</v>
      </c>
      <c r="J304" s="16">
        <f t="shared" si="2"/>
        <v>0</v>
      </c>
      <c r="K304" s="4"/>
      <c r="L304" s="4"/>
      <c r="M304" s="4"/>
      <c r="N304" s="4"/>
    </row>
    <row r="305" ht="13.5" hidden="1" customHeight="1">
      <c r="A305" s="4" t="str">
        <f t="shared" si="1"/>
        <v>TRW-GETZFY</v>
      </c>
      <c r="B305" s="29" t="s">
        <v>517</v>
      </c>
      <c r="C305" s="28" t="s">
        <v>516</v>
      </c>
      <c r="D305" s="28" t="s">
        <v>41</v>
      </c>
      <c r="E305" s="4" t="s">
        <v>111</v>
      </c>
      <c r="F305" s="28" t="s">
        <v>221</v>
      </c>
      <c r="G305" s="4"/>
      <c r="H305" s="4">
        <f>SUMIFS(X!$F$5:$F$2005,X!$D$5:$D$2005,'CEK CICI'!A305)</f>
        <v>0</v>
      </c>
      <c r="I305" s="4">
        <f>SUMIFS(PENJUALAN!$E$4:$E$4288,PENJUALAN!$C$4:$C$4288,'CEK CICI'!A305)</f>
        <v>0</v>
      </c>
      <c r="J305" s="16">
        <f t="shared" si="2"/>
        <v>0</v>
      </c>
      <c r="K305" s="4"/>
      <c r="L305" s="4"/>
      <c r="M305" s="4"/>
      <c r="N305" s="4"/>
    </row>
    <row r="306" ht="13.5" hidden="1" customHeight="1">
      <c r="A306" s="4" t="str">
        <f t="shared" si="1"/>
        <v>FDL-GETZFY</v>
      </c>
      <c r="B306" s="29" t="s">
        <v>518</v>
      </c>
      <c r="C306" s="28" t="s">
        <v>516</v>
      </c>
      <c r="D306" s="28" t="s">
        <v>128</v>
      </c>
      <c r="E306" s="4" t="s">
        <v>111</v>
      </c>
      <c r="F306" s="28" t="s">
        <v>141</v>
      </c>
      <c r="G306" s="4"/>
      <c r="H306" s="4">
        <f>SUMIFS(X!$F$5:$F$2005,X!$D$5:$D$2005,'CEK CICI'!A306)</f>
        <v>0</v>
      </c>
      <c r="I306" s="4">
        <f>SUMIFS(PENJUALAN!$E$4:$E$4288,PENJUALAN!$C$4:$C$4288,'CEK CICI'!A306)</f>
        <v>0</v>
      </c>
      <c r="J306" s="16">
        <f t="shared" si="2"/>
        <v>0</v>
      </c>
      <c r="K306" s="4"/>
      <c r="L306" s="4"/>
      <c r="M306" s="4"/>
      <c r="N306" s="4"/>
    </row>
    <row r="307" ht="13.5" hidden="1" customHeight="1">
      <c r="A307" s="4" t="str">
        <f t="shared" si="1"/>
        <v>FDR-GETZFY</v>
      </c>
      <c r="B307" s="29" t="s">
        <v>519</v>
      </c>
      <c r="C307" s="28" t="s">
        <v>516</v>
      </c>
      <c r="D307" s="28" t="s">
        <v>130</v>
      </c>
      <c r="E307" s="4" t="s">
        <v>111</v>
      </c>
      <c r="F307" s="28" t="s">
        <v>141</v>
      </c>
      <c r="G307" s="4"/>
      <c r="H307" s="4">
        <f>SUMIFS(X!$F$5:$F$2005,X!$D$5:$D$2005,'CEK CICI'!A307)</f>
        <v>0</v>
      </c>
      <c r="I307" s="4">
        <f>SUMIFS(PENJUALAN!$E$4:$E$4288,PENJUALAN!$C$4:$C$4288,'CEK CICI'!A307)</f>
        <v>0</v>
      </c>
      <c r="J307" s="16">
        <f t="shared" si="2"/>
        <v>0</v>
      </c>
      <c r="K307" s="4"/>
      <c r="L307" s="4"/>
      <c r="M307" s="4"/>
      <c r="N307" s="4"/>
    </row>
    <row r="308" ht="13.5" hidden="1" customHeight="1">
      <c r="A308" s="4" t="str">
        <f t="shared" si="1"/>
        <v>RDL-GETZFY</v>
      </c>
      <c r="B308" s="29" t="s">
        <v>520</v>
      </c>
      <c r="C308" s="28" t="s">
        <v>516</v>
      </c>
      <c r="D308" s="28" t="s">
        <v>132</v>
      </c>
      <c r="E308" s="4" t="s">
        <v>111</v>
      </c>
      <c r="F308" s="28"/>
      <c r="G308" s="4"/>
      <c r="H308" s="4">
        <f>SUMIFS(X!$F$5:$F$2005,X!$D$5:$D$2005,'CEK CICI'!A308)</f>
        <v>0</v>
      </c>
      <c r="I308" s="4">
        <f>SUMIFS(PENJUALAN!$E$4:$E$4288,PENJUALAN!$C$4:$C$4288,'CEK CICI'!A308)</f>
        <v>0</v>
      </c>
      <c r="J308" s="16">
        <f t="shared" si="2"/>
        <v>0</v>
      </c>
      <c r="K308" s="4"/>
      <c r="L308" s="4"/>
      <c r="M308" s="4"/>
      <c r="N308" s="4"/>
    </row>
    <row r="309" ht="13.5" hidden="1" customHeight="1">
      <c r="A309" s="4" t="str">
        <f t="shared" si="1"/>
        <v>RDR-GETZFY</v>
      </c>
      <c r="B309" s="29" t="s">
        <v>521</v>
      </c>
      <c r="C309" s="28" t="s">
        <v>516</v>
      </c>
      <c r="D309" s="28" t="s">
        <v>134</v>
      </c>
      <c r="E309" s="4" t="s">
        <v>111</v>
      </c>
      <c r="F309" s="28"/>
      <c r="G309" s="4"/>
      <c r="H309" s="4">
        <f>SUMIFS(X!$F$5:$F$2005,X!$D$5:$D$2005,'CEK CICI'!A309)</f>
        <v>0</v>
      </c>
      <c r="I309" s="4">
        <f>SUMIFS(PENJUALAN!$E$4:$E$4288,PENJUALAN!$C$4:$C$4288,'CEK CICI'!A309)</f>
        <v>0</v>
      </c>
      <c r="J309" s="16">
        <f t="shared" si="2"/>
        <v>0</v>
      </c>
      <c r="K309" s="4"/>
      <c r="L309" s="4"/>
      <c r="M309" s="4"/>
      <c r="N309" s="4"/>
    </row>
    <row r="310" ht="13.5" hidden="1" customHeight="1">
      <c r="A310" s="4" t="str">
        <f t="shared" si="1"/>
        <v>LFW-GAVEGAFY</v>
      </c>
      <c r="B310" s="29" t="s">
        <v>522</v>
      </c>
      <c r="C310" s="28" t="s">
        <v>523</v>
      </c>
      <c r="D310" s="28" t="s">
        <v>22</v>
      </c>
      <c r="E310" s="4" t="s">
        <v>111</v>
      </c>
      <c r="F310" s="28" t="s">
        <v>125</v>
      </c>
      <c r="G310" s="4"/>
      <c r="H310" s="4">
        <f>SUMIFS(X!$F$5:$F$2005,X!$D$5:$D$2005,'CEK CICI'!A310)</f>
        <v>0</v>
      </c>
      <c r="I310" s="4">
        <f>SUMIFS(PENJUALAN!$E$4:$E$4288,PENJUALAN!$C$4:$C$4288,'CEK CICI'!A310)</f>
        <v>0</v>
      </c>
      <c r="J310" s="16">
        <f t="shared" si="2"/>
        <v>0</v>
      </c>
      <c r="K310" s="4"/>
      <c r="L310" s="4"/>
      <c r="M310" s="4"/>
      <c r="N310" s="4"/>
    </row>
    <row r="311" ht="13.5" hidden="1" customHeight="1">
      <c r="A311" s="4" t="str">
        <f t="shared" si="1"/>
        <v>TRW-GAVEGAFY</v>
      </c>
      <c r="B311" s="29" t="s">
        <v>524</v>
      </c>
      <c r="C311" s="28" t="s">
        <v>523</v>
      </c>
      <c r="D311" s="28" t="s">
        <v>41</v>
      </c>
      <c r="E311" s="4" t="s">
        <v>111</v>
      </c>
      <c r="F311" s="28" t="s">
        <v>221</v>
      </c>
      <c r="G311" s="4"/>
      <c r="H311" s="4">
        <f>SUMIFS(X!$F$5:$F$2005,X!$D$5:$D$2005,'CEK CICI'!A311)</f>
        <v>0</v>
      </c>
      <c r="I311" s="4">
        <f>SUMIFS(PENJUALAN!$E$4:$E$4288,PENJUALAN!$C$4:$C$4288,'CEK CICI'!A311)</f>
        <v>0</v>
      </c>
      <c r="J311" s="16">
        <f t="shared" si="2"/>
        <v>0</v>
      </c>
      <c r="K311" s="4"/>
      <c r="L311" s="4"/>
      <c r="M311" s="4"/>
      <c r="N311" s="4"/>
    </row>
    <row r="312" ht="13.5" hidden="1" customHeight="1">
      <c r="A312" s="4" t="str">
        <f t="shared" si="1"/>
        <v>RDL-GAVEGAFY</v>
      </c>
      <c r="B312" s="29" t="s">
        <v>525</v>
      </c>
      <c r="C312" s="28" t="s">
        <v>523</v>
      </c>
      <c r="D312" s="28" t="s">
        <v>132</v>
      </c>
      <c r="E312" s="4" t="s">
        <v>111</v>
      </c>
      <c r="F312" s="28" t="s">
        <v>141</v>
      </c>
      <c r="G312" s="4"/>
      <c r="H312" s="4">
        <f>SUMIFS(X!$F$5:$F$2005,X!$D$5:$D$2005,'CEK CICI'!A312)</f>
        <v>0</v>
      </c>
      <c r="I312" s="4">
        <f>SUMIFS(PENJUALAN!$E$4:$E$4288,PENJUALAN!$C$4:$C$4288,'CEK CICI'!A312)</f>
        <v>0</v>
      </c>
      <c r="J312" s="16">
        <f t="shared" si="2"/>
        <v>0</v>
      </c>
      <c r="K312" s="4"/>
      <c r="L312" s="4"/>
      <c r="M312" s="4"/>
      <c r="N312" s="4"/>
    </row>
    <row r="313" ht="13.5" hidden="1" customHeight="1">
      <c r="A313" s="4" t="str">
        <f t="shared" si="1"/>
        <v>RDR-GAVEGAFY</v>
      </c>
      <c r="B313" s="29" t="s">
        <v>526</v>
      </c>
      <c r="C313" s="28" t="s">
        <v>523</v>
      </c>
      <c r="D313" s="28" t="s">
        <v>134</v>
      </c>
      <c r="E313" s="4" t="s">
        <v>111</v>
      </c>
      <c r="F313" s="28" t="s">
        <v>141</v>
      </c>
      <c r="G313" s="4"/>
      <c r="H313" s="4">
        <f>SUMIFS(X!$F$5:$F$2005,X!$D$5:$D$2005,'CEK CICI'!A313)</f>
        <v>0</v>
      </c>
      <c r="I313" s="4">
        <f>SUMIFS(PENJUALAN!$E$4:$E$4288,PENJUALAN!$C$4:$C$4288,'CEK CICI'!A313)</f>
        <v>0</v>
      </c>
      <c r="J313" s="16">
        <f t="shared" si="2"/>
        <v>0</v>
      </c>
      <c r="K313" s="4"/>
      <c r="L313" s="4"/>
      <c r="M313" s="4"/>
      <c r="N313" s="4"/>
    </row>
    <row r="314" ht="13.5" hidden="1" customHeight="1">
      <c r="A314" s="4" t="str">
        <f t="shared" si="1"/>
        <v>LFW-H1FY</v>
      </c>
      <c r="B314" s="29" t="s">
        <v>527</v>
      </c>
      <c r="C314" s="28" t="s">
        <v>528</v>
      </c>
      <c r="D314" s="28" t="s">
        <v>22</v>
      </c>
      <c r="E314" s="4" t="s">
        <v>111</v>
      </c>
      <c r="F314" s="28" t="s">
        <v>125</v>
      </c>
      <c r="G314" s="4"/>
      <c r="H314" s="4">
        <f>SUMIFS(X!$F$5:$F$2005,X!$D$5:$D$2005,'CEK CICI'!A314)</f>
        <v>0</v>
      </c>
      <c r="I314" s="4">
        <f>SUMIFS(PENJUALAN!$E$4:$E$4288,PENJUALAN!$C$4:$C$4288,'CEK CICI'!A314)</f>
        <v>0</v>
      </c>
      <c r="J314" s="16">
        <f t="shared" si="2"/>
        <v>0</v>
      </c>
      <c r="K314" s="4"/>
      <c r="L314" s="4"/>
      <c r="M314" s="4"/>
      <c r="N314" s="4"/>
    </row>
    <row r="315" ht="13.5" hidden="1" customHeight="1">
      <c r="A315" s="4" t="str">
        <f t="shared" si="1"/>
        <v>TRW-H1FY</v>
      </c>
      <c r="B315" s="29" t="s">
        <v>529</v>
      </c>
      <c r="C315" s="28" t="s">
        <v>530</v>
      </c>
      <c r="D315" s="28" t="s">
        <v>41</v>
      </c>
      <c r="E315" s="4" t="s">
        <v>111</v>
      </c>
      <c r="F315" s="28" t="s">
        <v>221</v>
      </c>
      <c r="G315" s="4"/>
      <c r="H315" s="4">
        <f>SUMIFS(X!$F$5:$F$2005,X!$D$5:$D$2005,'CEK CICI'!A315)</f>
        <v>0</v>
      </c>
      <c r="I315" s="4">
        <f>SUMIFS(PENJUALAN!$E$4:$E$4288,PENJUALAN!$C$4:$C$4288,'CEK CICI'!A315)</f>
        <v>0</v>
      </c>
      <c r="J315" s="16">
        <f t="shared" si="2"/>
        <v>0</v>
      </c>
      <c r="K315" s="4"/>
      <c r="L315" s="4"/>
      <c r="M315" s="4"/>
      <c r="N315" s="4"/>
    </row>
    <row r="316" ht="13.5" hidden="1" customHeight="1">
      <c r="A316" s="4" t="str">
        <f t="shared" si="1"/>
        <v>RDL-H1FY</v>
      </c>
      <c r="B316" s="29" t="s">
        <v>531</v>
      </c>
      <c r="C316" s="28" t="s">
        <v>532</v>
      </c>
      <c r="D316" s="28" t="s">
        <v>132</v>
      </c>
      <c r="E316" s="4" t="s">
        <v>111</v>
      </c>
      <c r="F316" s="28" t="s">
        <v>533</v>
      </c>
      <c r="G316" s="4"/>
      <c r="H316" s="4">
        <f>SUMIFS(X!$F$5:$F$2005,X!$D$5:$D$2005,'CEK CICI'!A316)</f>
        <v>0</v>
      </c>
      <c r="I316" s="4">
        <f>SUMIFS(PENJUALAN!$E$4:$E$4288,PENJUALAN!$C$4:$C$4288,'CEK CICI'!A316)</f>
        <v>0</v>
      </c>
      <c r="J316" s="16">
        <f t="shared" si="2"/>
        <v>0</v>
      </c>
      <c r="K316" s="4"/>
      <c r="L316" s="4"/>
      <c r="M316" s="4"/>
      <c r="N316" s="4"/>
    </row>
    <row r="317" ht="13.5" hidden="1" customHeight="1">
      <c r="A317" s="4" t="str">
        <f t="shared" si="1"/>
        <v>SWL-H1FY</v>
      </c>
      <c r="B317" s="29" t="s">
        <v>534</v>
      </c>
      <c r="C317" s="28" t="s">
        <v>528</v>
      </c>
      <c r="D317" s="28" t="s">
        <v>202</v>
      </c>
      <c r="E317" s="4" t="s">
        <v>111</v>
      </c>
      <c r="F317" s="28" t="s">
        <v>533</v>
      </c>
      <c r="G317" s="4"/>
      <c r="H317" s="4">
        <f>SUMIFS(X!$F$5:$F$2005,X!$D$5:$D$2005,'CEK CICI'!A317)</f>
        <v>0</v>
      </c>
      <c r="I317" s="4">
        <f>SUMIFS(PENJUALAN!$E$4:$E$4288,PENJUALAN!$C$4:$C$4288,'CEK CICI'!A317)</f>
        <v>0</v>
      </c>
      <c r="J317" s="16">
        <f t="shared" si="2"/>
        <v>0</v>
      </c>
      <c r="K317" s="4"/>
      <c r="L317" s="4"/>
      <c r="M317" s="4"/>
      <c r="N317" s="4"/>
    </row>
    <row r="318" ht="13.5" hidden="1" customHeight="1">
      <c r="A318" s="4" t="str">
        <f t="shared" si="1"/>
        <v>LFW-I1008FY</v>
      </c>
      <c r="B318" s="29" t="s">
        <v>535</v>
      </c>
      <c r="C318" s="28" t="s">
        <v>536</v>
      </c>
      <c r="D318" s="28" t="s">
        <v>22</v>
      </c>
      <c r="E318" s="4" t="s">
        <v>111</v>
      </c>
      <c r="F318" s="28" t="s">
        <v>125</v>
      </c>
      <c r="G318" s="4"/>
      <c r="H318" s="4">
        <f>SUMIFS(X!$F$5:$F$2005,X!$D$5:$D$2005,'CEK CICI'!A318)</f>
        <v>0</v>
      </c>
      <c r="I318" s="4">
        <f>SUMIFS(PENJUALAN!$E$4:$E$4288,PENJUALAN!$C$4:$C$4288,'CEK CICI'!A318)</f>
        <v>0</v>
      </c>
      <c r="J318" s="16">
        <f t="shared" si="2"/>
        <v>0</v>
      </c>
      <c r="K318" s="4"/>
      <c r="L318" s="4"/>
      <c r="M318" s="4"/>
      <c r="N318" s="4"/>
    </row>
    <row r="319" ht="13.5" hidden="1" customHeight="1">
      <c r="A319" s="4" t="str">
        <f t="shared" si="1"/>
        <v>TRW-I1008FY</v>
      </c>
      <c r="B319" s="29" t="s">
        <v>537</v>
      </c>
      <c r="C319" s="28" t="s">
        <v>536</v>
      </c>
      <c r="D319" s="28" t="s">
        <v>41</v>
      </c>
      <c r="E319" s="4" t="s">
        <v>111</v>
      </c>
      <c r="F319" s="28" t="s">
        <v>67</v>
      </c>
      <c r="G319" s="4"/>
      <c r="H319" s="4">
        <f>SUMIFS(X!$F$5:$F$2005,X!$D$5:$D$2005,'CEK CICI'!A319)</f>
        <v>0</v>
      </c>
      <c r="I319" s="4">
        <f>SUMIFS(PENJUALAN!$E$4:$E$4288,PENJUALAN!$C$4:$C$4288,'CEK CICI'!A319)</f>
        <v>0</v>
      </c>
      <c r="J319" s="16">
        <f t="shared" si="2"/>
        <v>0</v>
      </c>
      <c r="K319" s="4"/>
      <c r="L319" s="4"/>
      <c r="M319" s="4"/>
      <c r="N319" s="4"/>
    </row>
    <row r="320" ht="13.5" hidden="1" customHeight="1">
      <c r="A320" s="4" t="str">
        <f t="shared" si="1"/>
        <v>FDL-I1008FY</v>
      </c>
      <c r="B320" s="29" t="s">
        <v>538</v>
      </c>
      <c r="C320" s="28" t="s">
        <v>536</v>
      </c>
      <c r="D320" s="28" t="s">
        <v>128</v>
      </c>
      <c r="E320" s="4" t="s">
        <v>111</v>
      </c>
      <c r="F320" s="28" t="s">
        <v>141</v>
      </c>
      <c r="G320" s="4"/>
      <c r="H320" s="4">
        <f>SUMIFS(X!$F$5:$F$2005,X!$D$5:$D$2005,'CEK CICI'!A320)</f>
        <v>0</v>
      </c>
      <c r="I320" s="4">
        <f>SUMIFS(PENJUALAN!$E$4:$E$4288,PENJUALAN!$C$4:$C$4288,'CEK CICI'!A320)</f>
        <v>0</v>
      </c>
      <c r="J320" s="16">
        <f t="shared" si="2"/>
        <v>0</v>
      </c>
      <c r="K320" s="4"/>
      <c r="L320" s="4"/>
      <c r="M320" s="4"/>
      <c r="N320" s="4"/>
    </row>
    <row r="321" ht="13.5" hidden="1" customHeight="1">
      <c r="A321" s="4" t="str">
        <f t="shared" si="1"/>
        <v>FDR-I1008FY</v>
      </c>
      <c r="B321" s="29" t="s">
        <v>539</v>
      </c>
      <c r="C321" s="28" t="s">
        <v>536</v>
      </c>
      <c r="D321" s="28" t="s">
        <v>130</v>
      </c>
      <c r="E321" s="4" t="s">
        <v>111</v>
      </c>
      <c r="F321" s="28" t="s">
        <v>141</v>
      </c>
      <c r="G321" s="4"/>
      <c r="H321" s="4">
        <f>SUMIFS(X!$F$5:$F$2005,X!$D$5:$D$2005,'CEK CICI'!A321)</f>
        <v>0</v>
      </c>
      <c r="I321" s="4">
        <f>SUMIFS(PENJUALAN!$E$4:$E$4288,PENJUALAN!$C$4:$C$4288,'CEK CICI'!A321)</f>
        <v>0</v>
      </c>
      <c r="J321" s="16">
        <f t="shared" si="2"/>
        <v>0</v>
      </c>
      <c r="K321" s="4"/>
      <c r="L321" s="4"/>
      <c r="M321" s="4"/>
      <c r="N321" s="4"/>
    </row>
    <row r="322" ht="13.5" hidden="1" customHeight="1">
      <c r="A322" s="4" t="str">
        <f t="shared" si="1"/>
        <v>RDL-I1008FY</v>
      </c>
      <c r="B322" s="29" t="s">
        <v>540</v>
      </c>
      <c r="C322" s="28" t="s">
        <v>536</v>
      </c>
      <c r="D322" s="28" t="s">
        <v>132</v>
      </c>
      <c r="E322" s="4" t="s">
        <v>111</v>
      </c>
      <c r="F322" s="28"/>
      <c r="G322" s="4"/>
      <c r="H322" s="4">
        <f>SUMIFS(X!$F$5:$F$2005,X!$D$5:$D$2005,'CEK CICI'!A322)</f>
        <v>0</v>
      </c>
      <c r="I322" s="4">
        <f>SUMIFS(PENJUALAN!$E$4:$E$4288,PENJUALAN!$C$4:$C$4288,'CEK CICI'!A322)</f>
        <v>0</v>
      </c>
      <c r="J322" s="16">
        <f t="shared" si="2"/>
        <v>0</v>
      </c>
      <c r="K322" s="4"/>
      <c r="L322" s="4"/>
      <c r="M322" s="4"/>
      <c r="N322" s="4"/>
    </row>
    <row r="323" ht="13.5" hidden="1" customHeight="1">
      <c r="A323" s="4" t="str">
        <f t="shared" si="1"/>
        <v>RDR-I1008FY</v>
      </c>
      <c r="B323" s="29" t="s">
        <v>541</v>
      </c>
      <c r="C323" s="28" t="s">
        <v>536</v>
      </c>
      <c r="D323" s="28" t="s">
        <v>134</v>
      </c>
      <c r="E323" s="4" t="s">
        <v>111</v>
      </c>
      <c r="F323" s="28"/>
      <c r="G323" s="4"/>
      <c r="H323" s="4">
        <f>SUMIFS(X!$F$5:$F$2005,X!$D$5:$D$2005,'CEK CICI'!A323)</f>
        <v>0</v>
      </c>
      <c r="I323" s="4">
        <f>SUMIFS(PENJUALAN!$E$4:$E$4288,PENJUALAN!$C$4:$C$4288,'CEK CICI'!A323)</f>
        <v>0</v>
      </c>
      <c r="J323" s="16">
        <f t="shared" si="2"/>
        <v>0</v>
      </c>
      <c r="K323" s="4"/>
      <c r="L323" s="4"/>
      <c r="M323" s="4"/>
      <c r="N323" s="4"/>
    </row>
    <row r="324" ht="13.5" hidden="1" customHeight="1">
      <c r="A324" s="4" t="str">
        <f t="shared" si="1"/>
        <v>LFW-I1013FY</v>
      </c>
      <c r="B324" s="29" t="s">
        <v>542</v>
      </c>
      <c r="C324" s="28" t="s">
        <v>543</v>
      </c>
      <c r="D324" s="28" t="s">
        <v>22</v>
      </c>
      <c r="E324" s="4" t="s">
        <v>111</v>
      </c>
      <c r="F324" s="28" t="s">
        <v>125</v>
      </c>
      <c r="G324" s="4"/>
      <c r="H324" s="4">
        <f>SUMIFS(X!$F$5:$F$2005,X!$D$5:$D$2005,'CEK CICI'!A324)</f>
        <v>0</v>
      </c>
      <c r="I324" s="4">
        <f>SUMIFS(PENJUALAN!$E$4:$E$4288,PENJUALAN!$C$4:$C$4288,'CEK CICI'!A324)</f>
        <v>0</v>
      </c>
      <c r="J324" s="16">
        <f t="shared" si="2"/>
        <v>0</v>
      </c>
      <c r="K324" s="4"/>
      <c r="L324" s="4"/>
      <c r="M324" s="4"/>
      <c r="N324" s="4"/>
    </row>
    <row r="325" ht="13.5" hidden="1" customHeight="1">
      <c r="A325" s="4" t="str">
        <f t="shared" si="1"/>
        <v>TRW-I1013FY</v>
      </c>
      <c r="B325" s="29" t="s">
        <v>544</v>
      </c>
      <c r="C325" s="28" t="s">
        <v>543</v>
      </c>
      <c r="D325" s="28" t="s">
        <v>41</v>
      </c>
      <c r="E325" s="4" t="s">
        <v>111</v>
      </c>
      <c r="F325" s="28" t="s">
        <v>439</v>
      </c>
      <c r="G325" s="4"/>
      <c r="H325" s="4">
        <f>SUMIFS(X!$F$5:$F$2005,X!$D$5:$D$2005,'CEK CICI'!A325)</f>
        <v>0</v>
      </c>
      <c r="I325" s="4">
        <f>SUMIFS(PENJUALAN!$E$4:$E$4288,PENJUALAN!$C$4:$C$4288,'CEK CICI'!A325)</f>
        <v>0</v>
      </c>
      <c r="J325" s="16">
        <f t="shared" si="2"/>
        <v>0</v>
      </c>
      <c r="K325" s="4"/>
      <c r="L325" s="4"/>
      <c r="M325" s="4"/>
      <c r="N325" s="4"/>
    </row>
    <row r="326" ht="13.5" hidden="1" customHeight="1">
      <c r="A326" s="4" t="str">
        <f t="shared" si="1"/>
        <v>RDL-I1013FY</v>
      </c>
      <c r="B326" s="29" t="s">
        <v>545</v>
      </c>
      <c r="C326" s="28" t="s">
        <v>543</v>
      </c>
      <c r="D326" s="28" t="s">
        <v>132</v>
      </c>
      <c r="E326" s="4" t="s">
        <v>111</v>
      </c>
      <c r="F326" s="28"/>
      <c r="G326" s="4"/>
      <c r="H326" s="4">
        <f>SUMIFS(X!$F$5:$F$2005,X!$D$5:$D$2005,'CEK CICI'!A326)</f>
        <v>0</v>
      </c>
      <c r="I326" s="4">
        <f>SUMIFS(PENJUALAN!$E$4:$E$4288,PENJUALAN!$C$4:$C$4288,'CEK CICI'!A326)</f>
        <v>0</v>
      </c>
      <c r="J326" s="16">
        <f t="shared" si="2"/>
        <v>0</v>
      </c>
      <c r="K326" s="4"/>
      <c r="L326" s="4"/>
      <c r="M326" s="4"/>
      <c r="N326" s="4"/>
    </row>
    <row r="327" ht="13.5" hidden="1" customHeight="1">
      <c r="A327" s="4" t="str">
        <f t="shared" si="1"/>
        <v>RDR-I1013FY</v>
      </c>
      <c r="B327" s="29" t="s">
        <v>546</v>
      </c>
      <c r="C327" s="28" t="s">
        <v>543</v>
      </c>
      <c r="D327" s="28" t="s">
        <v>134</v>
      </c>
      <c r="E327" s="4" t="s">
        <v>111</v>
      </c>
      <c r="F327" s="28"/>
      <c r="G327" s="4"/>
      <c r="H327" s="4">
        <f>SUMIFS(X!$F$5:$F$2005,X!$D$5:$D$2005,'CEK CICI'!A327)</f>
        <v>0</v>
      </c>
      <c r="I327" s="4">
        <f>SUMIFS(PENJUALAN!$E$4:$E$4288,PENJUALAN!$C$4:$C$4288,'CEK CICI'!A327)</f>
        <v>0</v>
      </c>
      <c r="J327" s="16">
        <f t="shared" si="2"/>
        <v>0</v>
      </c>
      <c r="K327" s="4"/>
      <c r="L327" s="4"/>
      <c r="M327" s="4"/>
      <c r="N327" s="4"/>
    </row>
    <row r="328" ht="13.5" hidden="1" customHeight="1">
      <c r="A328" s="4" t="str">
        <f t="shared" si="1"/>
        <v>RVL-I1013FY</v>
      </c>
      <c r="B328" s="29" t="s">
        <v>547</v>
      </c>
      <c r="C328" s="28" t="s">
        <v>543</v>
      </c>
      <c r="D328" s="28" t="s">
        <v>387</v>
      </c>
      <c r="E328" s="4" t="s">
        <v>111</v>
      </c>
      <c r="F328" s="28"/>
      <c r="G328" s="4"/>
      <c r="H328" s="4">
        <f>SUMIFS(X!$F$5:$F$2005,X!$D$5:$D$2005,'CEK CICI'!A328)</f>
        <v>0</v>
      </c>
      <c r="I328" s="4">
        <f>SUMIFS(PENJUALAN!$E$4:$E$4288,PENJUALAN!$C$4:$C$4288,'CEK CICI'!A328)</f>
        <v>0</v>
      </c>
      <c r="J328" s="16">
        <f t="shared" si="2"/>
        <v>0</v>
      </c>
      <c r="K328" s="4"/>
      <c r="L328" s="4"/>
      <c r="M328" s="4"/>
      <c r="N328" s="4"/>
    </row>
    <row r="329" ht="13.5" hidden="1" customHeight="1">
      <c r="A329" s="4" t="str">
        <f t="shared" si="1"/>
        <v>RVR-I1013FY</v>
      </c>
      <c r="B329" s="29" t="s">
        <v>548</v>
      </c>
      <c r="C329" s="28" t="s">
        <v>543</v>
      </c>
      <c r="D329" s="28" t="s">
        <v>389</v>
      </c>
      <c r="E329" s="4" t="s">
        <v>111</v>
      </c>
      <c r="F329" s="28"/>
      <c r="G329" s="4"/>
      <c r="H329" s="4">
        <f>SUMIFS(X!$F$5:$F$2005,X!$D$5:$D$2005,'CEK CICI'!A329)</f>
        <v>0</v>
      </c>
      <c r="I329" s="4">
        <f>SUMIFS(PENJUALAN!$E$4:$E$4288,PENJUALAN!$C$4:$C$4288,'CEK CICI'!A329)</f>
        <v>0</v>
      </c>
      <c r="J329" s="16">
        <f t="shared" si="2"/>
        <v>0</v>
      </c>
      <c r="K329" s="4"/>
      <c r="L329" s="4"/>
      <c r="M329" s="4"/>
      <c r="N329" s="4"/>
    </row>
    <row r="330" ht="13.5" hidden="1" customHeight="1">
      <c r="A330" s="4" t="str">
        <f t="shared" si="1"/>
        <v>LFW-MATRIXFY</v>
      </c>
      <c r="B330" s="29" t="s">
        <v>549</v>
      </c>
      <c r="C330" s="28" t="s">
        <v>550</v>
      </c>
      <c r="D330" s="28" t="s">
        <v>22</v>
      </c>
      <c r="E330" s="4" t="s">
        <v>111</v>
      </c>
      <c r="F330" s="28" t="s">
        <v>125</v>
      </c>
      <c r="G330" s="4"/>
      <c r="H330" s="4">
        <f>SUMIFS(X!$F$5:$F$2005,X!$D$5:$D$2005,'CEK CICI'!A330)</f>
        <v>0</v>
      </c>
      <c r="I330" s="4">
        <f>SUMIFS(PENJUALAN!$E$4:$E$4288,PENJUALAN!$C$4:$C$4288,'CEK CICI'!A330)</f>
        <v>0</v>
      </c>
      <c r="J330" s="16">
        <f t="shared" si="2"/>
        <v>0</v>
      </c>
      <c r="K330" s="4"/>
      <c r="L330" s="4"/>
      <c r="M330" s="4"/>
      <c r="N330" s="4"/>
    </row>
    <row r="331" ht="13.5" hidden="1" customHeight="1">
      <c r="A331" s="4" t="str">
        <f t="shared" si="1"/>
        <v>TRW-MATRIXNOHOLEFY</v>
      </c>
      <c r="B331" s="29" t="s">
        <v>551</v>
      </c>
      <c r="C331" s="28" t="s">
        <v>550</v>
      </c>
      <c r="D331" s="28" t="s">
        <v>41</v>
      </c>
      <c r="E331" s="4" t="s">
        <v>111</v>
      </c>
      <c r="F331" s="28" t="s">
        <v>67</v>
      </c>
      <c r="G331" s="4"/>
      <c r="H331" s="4">
        <f>SUMIFS(X!$F$5:$F$2005,X!$D$5:$D$2005,'CEK CICI'!A331)</f>
        <v>0</v>
      </c>
      <c r="I331" s="4">
        <f>SUMIFS(PENJUALAN!$E$4:$E$4288,PENJUALAN!$C$4:$C$4288,'CEK CICI'!A331)</f>
        <v>0</v>
      </c>
      <c r="J331" s="16">
        <f t="shared" si="2"/>
        <v>0</v>
      </c>
      <c r="K331" s="4"/>
      <c r="L331" s="4"/>
      <c r="M331" s="4"/>
      <c r="N331" s="4"/>
    </row>
    <row r="332" ht="13.5" hidden="1" customHeight="1">
      <c r="A332" s="4" t="str">
        <f t="shared" si="1"/>
        <v>TRW-MATRIXHOLEFY</v>
      </c>
      <c r="B332" s="29" t="s">
        <v>552</v>
      </c>
      <c r="C332" s="28" t="s">
        <v>550</v>
      </c>
      <c r="D332" s="28" t="s">
        <v>41</v>
      </c>
      <c r="E332" s="4" t="s">
        <v>111</v>
      </c>
      <c r="F332" s="28" t="s">
        <v>221</v>
      </c>
      <c r="G332" s="4"/>
      <c r="H332" s="4">
        <f>SUMIFS(X!$F$5:$F$2005,X!$D$5:$D$2005,'CEK CICI'!A332)</f>
        <v>0</v>
      </c>
      <c r="I332" s="4">
        <f>SUMIFS(PENJUALAN!$E$4:$E$4288,PENJUALAN!$C$4:$C$4288,'CEK CICI'!A332)</f>
        <v>0</v>
      </c>
      <c r="J332" s="16">
        <f t="shared" si="2"/>
        <v>0</v>
      </c>
      <c r="K332" s="4"/>
      <c r="L332" s="4"/>
      <c r="M332" s="4"/>
      <c r="N332" s="4"/>
    </row>
    <row r="333" ht="13.5" hidden="1" customHeight="1">
      <c r="A333" s="4" t="str">
        <f t="shared" si="1"/>
        <v>LFW-SANTAFE07FY</v>
      </c>
      <c r="B333" s="29" t="s">
        <v>553</v>
      </c>
      <c r="C333" s="28" t="s">
        <v>554</v>
      </c>
      <c r="D333" s="28" t="s">
        <v>22</v>
      </c>
      <c r="E333" s="4" t="s">
        <v>111</v>
      </c>
      <c r="F333" s="28" t="s">
        <v>125</v>
      </c>
      <c r="G333" s="4"/>
      <c r="H333" s="4">
        <f>SUMIFS(X!$F$5:$F$2005,X!$D$5:$D$2005,'CEK CICI'!A333)</f>
        <v>0</v>
      </c>
      <c r="I333" s="4">
        <f>SUMIFS(PENJUALAN!$E$4:$E$4288,PENJUALAN!$C$4:$C$4288,'CEK CICI'!A333)</f>
        <v>0</v>
      </c>
      <c r="J333" s="16">
        <f t="shared" si="2"/>
        <v>0</v>
      </c>
      <c r="K333" s="4"/>
      <c r="L333" s="4"/>
      <c r="M333" s="4"/>
      <c r="N333" s="4"/>
    </row>
    <row r="334" ht="13.5" hidden="1" customHeight="1">
      <c r="A334" s="4" t="str">
        <f t="shared" si="1"/>
        <v>TRW-SANTAFE07FY</v>
      </c>
      <c r="B334" s="29" t="s">
        <v>555</v>
      </c>
      <c r="C334" s="28" t="s">
        <v>554</v>
      </c>
      <c r="D334" s="28" t="s">
        <v>41</v>
      </c>
      <c r="E334" s="4" t="s">
        <v>111</v>
      </c>
      <c r="F334" s="28" t="s">
        <v>221</v>
      </c>
      <c r="G334" s="4"/>
      <c r="H334" s="4">
        <f>SUMIFS(X!$F$5:$F$2005,X!$D$5:$D$2005,'CEK CICI'!A334)</f>
        <v>0</v>
      </c>
      <c r="I334" s="4">
        <f>SUMIFS(PENJUALAN!$E$4:$E$4288,PENJUALAN!$C$4:$C$4288,'CEK CICI'!A334)</f>
        <v>0</v>
      </c>
      <c r="J334" s="16">
        <f t="shared" si="2"/>
        <v>0</v>
      </c>
      <c r="K334" s="4"/>
      <c r="L334" s="4"/>
      <c r="M334" s="4"/>
      <c r="N334" s="4"/>
    </row>
    <row r="335" ht="13.5" hidden="1" customHeight="1">
      <c r="A335" s="4" t="str">
        <f t="shared" si="1"/>
        <v>FDR-SANTAFE07FY</v>
      </c>
      <c r="B335" s="29" t="s">
        <v>556</v>
      </c>
      <c r="C335" s="28" t="s">
        <v>554</v>
      </c>
      <c r="D335" s="28" t="s">
        <v>130</v>
      </c>
      <c r="E335" s="4" t="s">
        <v>111</v>
      </c>
      <c r="F335" s="28"/>
      <c r="G335" s="4"/>
      <c r="H335" s="4">
        <f>SUMIFS(X!$F$5:$F$2005,X!$D$5:$D$2005,'CEK CICI'!A335)</f>
        <v>0</v>
      </c>
      <c r="I335" s="4">
        <f>SUMIFS(PENJUALAN!$E$4:$E$4288,PENJUALAN!$C$4:$C$4288,'CEK CICI'!A335)</f>
        <v>0</v>
      </c>
      <c r="J335" s="16">
        <f t="shared" si="2"/>
        <v>0</v>
      </c>
      <c r="K335" s="4"/>
      <c r="L335" s="4"/>
      <c r="M335" s="4"/>
      <c r="N335" s="4"/>
    </row>
    <row r="336" ht="13.5" hidden="1" customHeight="1">
      <c r="A336" s="4" t="str">
        <f t="shared" si="1"/>
        <v>RDL-SANTAFE07FY</v>
      </c>
      <c r="B336" s="29" t="s">
        <v>557</v>
      </c>
      <c r="C336" s="28" t="s">
        <v>554</v>
      </c>
      <c r="D336" s="28" t="s">
        <v>132</v>
      </c>
      <c r="E336" s="4" t="s">
        <v>111</v>
      </c>
      <c r="F336" s="28"/>
      <c r="G336" s="4"/>
      <c r="H336" s="4">
        <f>SUMIFS(X!$F$5:$F$2005,X!$D$5:$D$2005,'CEK CICI'!A336)</f>
        <v>0</v>
      </c>
      <c r="I336" s="4">
        <f>SUMIFS(PENJUALAN!$E$4:$E$4288,PENJUALAN!$C$4:$C$4288,'CEK CICI'!A336)</f>
        <v>0</v>
      </c>
      <c r="J336" s="16">
        <f t="shared" si="2"/>
        <v>0</v>
      </c>
      <c r="K336" s="4"/>
      <c r="L336" s="4"/>
      <c r="M336" s="4"/>
      <c r="N336" s="4"/>
    </row>
    <row r="337" ht="13.5" hidden="1" customHeight="1">
      <c r="A337" s="4" t="str">
        <f t="shared" si="1"/>
        <v>SWL-SANTAFE07FY</v>
      </c>
      <c r="B337" s="29" t="s">
        <v>558</v>
      </c>
      <c r="C337" s="28" t="s">
        <v>554</v>
      </c>
      <c r="D337" s="28" t="s">
        <v>202</v>
      </c>
      <c r="E337" s="4" t="s">
        <v>111</v>
      </c>
      <c r="F337" s="28" t="s">
        <v>97</v>
      </c>
      <c r="G337" s="4"/>
      <c r="H337" s="4">
        <f>SUMIFS(X!$F$5:$F$2005,X!$D$5:$D$2005,'CEK CICI'!A337)</f>
        <v>0</v>
      </c>
      <c r="I337" s="4">
        <f>SUMIFS(PENJUALAN!$E$4:$E$4288,PENJUALAN!$C$4:$C$4288,'CEK CICI'!A337)</f>
        <v>0</v>
      </c>
      <c r="J337" s="16">
        <f t="shared" si="2"/>
        <v>0</v>
      </c>
      <c r="K337" s="4"/>
      <c r="L337" s="4"/>
      <c r="M337" s="4"/>
      <c r="N337" s="4"/>
    </row>
    <row r="338" ht="13.5" hidden="1" customHeight="1">
      <c r="A338" s="4" t="str">
        <f t="shared" si="1"/>
        <v>LFW-SANTAFE12FY</v>
      </c>
      <c r="B338" s="29" t="s">
        <v>559</v>
      </c>
      <c r="C338" s="28" t="s">
        <v>560</v>
      </c>
      <c r="D338" s="28" t="s">
        <v>22</v>
      </c>
      <c r="E338" s="4" t="s">
        <v>111</v>
      </c>
      <c r="F338" s="28" t="s">
        <v>125</v>
      </c>
      <c r="G338" s="4"/>
      <c r="H338" s="4">
        <f>SUMIFS(X!$F$5:$F$2005,X!$D$5:$D$2005,'CEK CICI'!A338)</f>
        <v>0</v>
      </c>
      <c r="I338" s="4">
        <f>SUMIFS(PENJUALAN!$E$4:$E$4288,PENJUALAN!$C$4:$C$4288,'CEK CICI'!A338)</f>
        <v>0</v>
      </c>
      <c r="J338" s="16">
        <f t="shared" si="2"/>
        <v>0</v>
      </c>
      <c r="K338" s="4"/>
      <c r="L338" s="4"/>
      <c r="M338" s="4"/>
      <c r="N338" s="4"/>
    </row>
    <row r="339" ht="13.5" hidden="1" customHeight="1">
      <c r="A339" s="4" t="str">
        <f t="shared" si="1"/>
        <v>TRW-SANTAFE12FY</v>
      </c>
      <c r="B339" s="29" t="s">
        <v>561</v>
      </c>
      <c r="C339" s="28" t="s">
        <v>560</v>
      </c>
      <c r="D339" s="28" t="s">
        <v>41</v>
      </c>
      <c r="E339" s="4" t="s">
        <v>111</v>
      </c>
      <c r="F339" s="28" t="s">
        <v>221</v>
      </c>
      <c r="G339" s="4"/>
      <c r="H339" s="4">
        <f>SUMIFS(X!$F$5:$F$2005,X!$D$5:$D$2005,'CEK CICI'!A339)</f>
        <v>0</v>
      </c>
      <c r="I339" s="4">
        <f>SUMIFS(PENJUALAN!$E$4:$E$4288,PENJUALAN!$C$4:$C$4288,'CEK CICI'!A339)</f>
        <v>0</v>
      </c>
      <c r="J339" s="16">
        <f t="shared" si="2"/>
        <v>0</v>
      </c>
      <c r="K339" s="4"/>
      <c r="L339" s="4"/>
      <c r="M339" s="4"/>
      <c r="N339" s="4"/>
    </row>
    <row r="340" ht="13.5" hidden="1" customHeight="1">
      <c r="A340" s="4" t="str">
        <f t="shared" si="1"/>
        <v>FDR-SANTAFE12FY</v>
      </c>
      <c r="B340" s="29" t="s">
        <v>562</v>
      </c>
      <c r="C340" s="28" t="s">
        <v>560</v>
      </c>
      <c r="D340" s="28" t="s">
        <v>130</v>
      </c>
      <c r="E340" s="4" t="s">
        <v>111</v>
      </c>
      <c r="F340" s="28"/>
      <c r="G340" s="4"/>
      <c r="H340" s="4">
        <f>SUMIFS(X!$F$5:$F$2005,X!$D$5:$D$2005,'CEK CICI'!A340)</f>
        <v>0</v>
      </c>
      <c r="I340" s="4">
        <f>SUMIFS(PENJUALAN!$E$4:$E$4288,PENJUALAN!$C$4:$C$4288,'CEK CICI'!A340)</f>
        <v>0</v>
      </c>
      <c r="J340" s="16">
        <f t="shared" si="2"/>
        <v>0</v>
      </c>
      <c r="K340" s="4"/>
      <c r="L340" s="4"/>
      <c r="M340" s="4"/>
      <c r="N340" s="4"/>
    </row>
    <row r="341" ht="13.5" hidden="1" customHeight="1">
      <c r="A341" s="4" t="str">
        <f t="shared" si="1"/>
        <v>RDL-SANTAFE12FY</v>
      </c>
      <c r="B341" s="29" t="s">
        <v>563</v>
      </c>
      <c r="C341" s="28" t="s">
        <v>560</v>
      </c>
      <c r="D341" s="28" t="s">
        <v>132</v>
      </c>
      <c r="E341" s="4" t="s">
        <v>111</v>
      </c>
      <c r="F341" s="28"/>
      <c r="G341" s="4"/>
      <c r="H341" s="4">
        <f>SUMIFS(X!$F$5:$F$2005,X!$D$5:$D$2005,'CEK CICI'!A341)</f>
        <v>0</v>
      </c>
      <c r="I341" s="4">
        <f>SUMIFS(PENJUALAN!$E$4:$E$4288,PENJUALAN!$C$4:$C$4288,'CEK CICI'!A341)</f>
        <v>0</v>
      </c>
      <c r="J341" s="16">
        <f t="shared" si="2"/>
        <v>0</v>
      </c>
      <c r="K341" s="4"/>
      <c r="L341" s="4"/>
      <c r="M341" s="4"/>
      <c r="N341" s="4"/>
    </row>
    <row r="342" ht="13.5" hidden="1" customHeight="1">
      <c r="A342" s="4" t="str">
        <f t="shared" si="1"/>
        <v>RDR-SANTAFE12FY</v>
      </c>
      <c r="B342" s="29" t="s">
        <v>564</v>
      </c>
      <c r="C342" s="28" t="s">
        <v>560</v>
      </c>
      <c r="D342" s="28" t="s">
        <v>134</v>
      </c>
      <c r="E342" s="4" t="s">
        <v>111</v>
      </c>
      <c r="F342" s="28"/>
      <c r="G342" s="4"/>
      <c r="H342" s="4">
        <f>SUMIFS(X!$F$5:$F$2005,X!$D$5:$D$2005,'CEK CICI'!A342)</f>
        <v>0</v>
      </c>
      <c r="I342" s="4">
        <f>SUMIFS(PENJUALAN!$E$4:$E$4288,PENJUALAN!$C$4:$C$4288,'CEK CICI'!A342)</f>
        <v>0</v>
      </c>
      <c r="J342" s="16">
        <f t="shared" si="2"/>
        <v>0</v>
      </c>
      <c r="K342" s="4"/>
      <c r="L342" s="4"/>
      <c r="M342" s="4"/>
      <c r="N342" s="4"/>
    </row>
    <row r="343" ht="13.5" hidden="1" customHeight="1">
      <c r="A343" s="4" t="str">
        <f t="shared" si="1"/>
        <v>LFW-TUCSON05FY</v>
      </c>
      <c r="B343" s="29" t="s">
        <v>565</v>
      </c>
      <c r="C343" s="28" t="s">
        <v>566</v>
      </c>
      <c r="D343" s="28" t="s">
        <v>22</v>
      </c>
      <c r="E343" s="4" t="s">
        <v>111</v>
      </c>
      <c r="F343" s="28" t="s">
        <v>125</v>
      </c>
      <c r="G343" s="4"/>
      <c r="H343" s="4">
        <f>SUMIFS(X!$F$5:$F$2005,X!$D$5:$D$2005,'CEK CICI'!A343)</f>
        <v>0</v>
      </c>
      <c r="I343" s="4">
        <f>SUMIFS(PENJUALAN!$E$4:$E$4288,PENJUALAN!$C$4:$C$4288,'CEK CICI'!A343)</f>
        <v>0</v>
      </c>
      <c r="J343" s="16">
        <f t="shared" si="2"/>
        <v>0</v>
      </c>
      <c r="K343" s="4"/>
      <c r="L343" s="4"/>
      <c r="M343" s="4"/>
      <c r="N343" s="4"/>
    </row>
    <row r="344" ht="13.5" hidden="1" customHeight="1">
      <c r="A344" s="4" t="str">
        <f t="shared" si="1"/>
        <v>LFW-TUCSON10FY</v>
      </c>
      <c r="B344" s="29" t="s">
        <v>567</v>
      </c>
      <c r="C344" s="28" t="s">
        <v>568</v>
      </c>
      <c r="D344" s="28" t="s">
        <v>22</v>
      </c>
      <c r="E344" s="4" t="s">
        <v>111</v>
      </c>
      <c r="F344" s="28" t="s">
        <v>125</v>
      </c>
      <c r="G344" s="4"/>
      <c r="H344" s="4">
        <f>SUMIFS(X!$F$5:$F$2005,X!$D$5:$D$2005,'CEK CICI'!A344)</f>
        <v>0</v>
      </c>
      <c r="I344" s="4">
        <f>SUMIFS(PENJUALAN!$E$4:$E$4288,PENJUALAN!$C$4:$C$4288,'CEK CICI'!A344)</f>
        <v>0</v>
      </c>
      <c r="J344" s="16">
        <f t="shared" si="2"/>
        <v>0</v>
      </c>
      <c r="K344" s="4"/>
      <c r="L344" s="4"/>
      <c r="M344" s="4"/>
      <c r="N344" s="4"/>
    </row>
    <row r="345" ht="13.5" hidden="1" customHeight="1">
      <c r="A345" s="4" t="str">
        <f t="shared" si="1"/>
        <v>TRW-TUCSON10FY</v>
      </c>
      <c r="B345" s="29" t="s">
        <v>569</v>
      </c>
      <c r="C345" s="28" t="s">
        <v>568</v>
      </c>
      <c r="D345" s="28" t="s">
        <v>41</v>
      </c>
      <c r="E345" s="4" t="s">
        <v>111</v>
      </c>
      <c r="F345" s="28" t="s">
        <v>221</v>
      </c>
      <c r="G345" s="4"/>
      <c r="H345" s="4">
        <f>SUMIFS(X!$F$5:$F$2005,X!$D$5:$D$2005,'CEK CICI'!A345)</f>
        <v>0</v>
      </c>
      <c r="I345" s="4">
        <f>SUMIFS(PENJUALAN!$E$4:$E$4288,PENJUALAN!$C$4:$C$4288,'CEK CICI'!A345)</f>
        <v>0</v>
      </c>
      <c r="J345" s="16">
        <f t="shared" si="2"/>
        <v>0</v>
      </c>
      <c r="K345" s="4"/>
      <c r="L345" s="4"/>
      <c r="M345" s="4"/>
      <c r="N345" s="4"/>
    </row>
    <row r="346" ht="13.5" hidden="1" customHeight="1">
      <c r="A346" s="4" t="str">
        <f t="shared" si="1"/>
        <v>LFW-TUCSON16FY</v>
      </c>
      <c r="B346" s="29" t="s">
        <v>570</v>
      </c>
      <c r="C346" s="28" t="s">
        <v>571</v>
      </c>
      <c r="D346" s="28" t="s">
        <v>22</v>
      </c>
      <c r="E346" s="4" t="s">
        <v>111</v>
      </c>
      <c r="F346" s="28" t="s">
        <v>125</v>
      </c>
      <c r="G346" s="4"/>
      <c r="H346" s="4">
        <f>SUMIFS(X!$F$5:$F$2005,X!$D$5:$D$2005,'CEK CICI'!A346)</f>
        <v>0</v>
      </c>
      <c r="I346" s="4">
        <f>SUMIFS(PENJUALAN!$E$4:$E$4288,PENJUALAN!$C$4:$C$4288,'CEK CICI'!A346)</f>
        <v>0</v>
      </c>
      <c r="J346" s="16">
        <f t="shared" si="2"/>
        <v>0</v>
      </c>
      <c r="K346" s="4"/>
      <c r="L346" s="4"/>
      <c r="M346" s="4"/>
      <c r="N346" s="4"/>
    </row>
    <row r="347" ht="13.5" hidden="1" customHeight="1">
      <c r="A347" s="4" t="str">
        <f t="shared" si="1"/>
        <v>TRW-TUCSON16FY</v>
      </c>
      <c r="B347" s="29" t="s">
        <v>572</v>
      </c>
      <c r="C347" s="28" t="s">
        <v>571</v>
      </c>
      <c r="D347" s="28" t="s">
        <v>41</v>
      </c>
      <c r="E347" s="4" t="s">
        <v>111</v>
      </c>
      <c r="F347" s="28" t="s">
        <v>221</v>
      </c>
      <c r="G347" s="4"/>
      <c r="H347" s="4">
        <f>SUMIFS(X!$F$5:$F$2005,X!$D$5:$D$2005,'CEK CICI'!A347)</f>
        <v>0</v>
      </c>
      <c r="I347" s="4">
        <f>SUMIFS(PENJUALAN!$E$4:$E$4288,PENJUALAN!$C$4:$C$4288,'CEK CICI'!A347)</f>
        <v>0</v>
      </c>
      <c r="J347" s="16">
        <f t="shared" si="2"/>
        <v>0</v>
      </c>
      <c r="K347" s="4"/>
      <c r="L347" s="4"/>
      <c r="M347" s="4"/>
      <c r="N347" s="4"/>
    </row>
    <row r="348" ht="13.5" hidden="1" customHeight="1">
      <c r="A348" s="4" t="str">
        <f t="shared" si="1"/>
        <v>LFW-MUXFY</v>
      </c>
      <c r="B348" s="29" t="s">
        <v>573</v>
      </c>
      <c r="C348" s="28" t="s">
        <v>574</v>
      </c>
      <c r="D348" s="28" t="s">
        <v>22</v>
      </c>
      <c r="E348" s="4" t="s">
        <v>111</v>
      </c>
      <c r="F348" s="28" t="s">
        <v>125</v>
      </c>
      <c r="G348" s="4"/>
      <c r="H348" s="4">
        <f>SUMIFS(X!$F$5:$F$2005,X!$D$5:$D$2005,'CEK CICI'!A348)</f>
        <v>0</v>
      </c>
      <c r="I348" s="4">
        <f>SUMIFS(PENJUALAN!$E$4:$E$4288,PENJUALAN!$C$4:$C$4288,'CEK CICI'!A348)</f>
        <v>0</v>
      </c>
      <c r="J348" s="16">
        <f t="shared" si="2"/>
        <v>0</v>
      </c>
      <c r="K348" s="4"/>
      <c r="L348" s="4"/>
      <c r="M348" s="4"/>
      <c r="N348" s="4"/>
    </row>
    <row r="349" ht="13.5" hidden="1" customHeight="1">
      <c r="A349" s="4" t="str">
        <f t="shared" si="1"/>
        <v>LFW-RUBICON07FY</v>
      </c>
      <c r="B349" s="29" t="s">
        <v>575</v>
      </c>
      <c r="C349" s="28" t="s">
        <v>576</v>
      </c>
      <c r="D349" s="28" t="s">
        <v>22</v>
      </c>
      <c r="E349" s="4" t="s">
        <v>111</v>
      </c>
      <c r="F349" s="28" t="s">
        <v>125</v>
      </c>
      <c r="G349" s="4"/>
      <c r="H349" s="4">
        <f>SUMIFS(X!$F$5:$F$2005,X!$D$5:$D$2005,'CEK CICI'!A349)</f>
        <v>0</v>
      </c>
      <c r="I349" s="4">
        <f>SUMIFS(PENJUALAN!$E$4:$E$4288,PENJUALAN!$C$4:$C$4288,'CEK CICI'!A349)</f>
        <v>0</v>
      </c>
      <c r="J349" s="16">
        <f t="shared" si="2"/>
        <v>0</v>
      </c>
      <c r="K349" s="4"/>
      <c r="L349" s="4"/>
      <c r="M349" s="4"/>
      <c r="N349" s="4"/>
    </row>
    <row r="350" ht="13.5" hidden="1" customHeight="1">
      <c r="A350" s="4" t="str">
        <f t="shared" si="1"/>
        <v>TRW-CAREN99FY</v>
      </c>
      <c r="B350" s="29" t="s">
        <v>577</v>
      </c>
      <c r="C350" s="28" t="s">
        <v>578</v>
      </c>
      <c r="D350" s="28" t="s">
        <v>41</v>
      </c>
      <c r="E350" s="4" t="s">
        <v>111</v>
      </c>
      <c r="F350" s="28" t="s">
        <v>67</v>
      </c>
      <c r="G350" s="4"/>
      <c r="H350" s="4">
        <f>SUMIFS(X!$F$5:$F$2005,X!$D$5:$D$2005,'CEK CICI'!A350)</f>
        <v>0</v>
      </c>
      <c r="I350" s="4">
        <f>SUMIFS(PENJUALAN!$E$4:$E$4288,PENJUALAN!$C$4:$C$4288,'CEK CICI'!A350)</f>
        <v>0</v>
      </c>
      <c r="J350" s="16">
        <f t="shared" si="2"/>
        <v>0</v>
      </c>
      <c r="K350" s="4"/>
      <c r="L350" s="4"/>
      <c r="M350" s="4"/>
      <c r="N350" s="4"/>
    </row>
    <row r="351" ht="13.5" hidden="1" customHeight="1">
      <c r="A351" s="4" t="str">
        <f t="shared" si="1"/>
        <v>LFW-CAREN99FY</v>
      </c>
      <c r="B351" s="29" t="s">
        <v>579</v>
      </c>
      <c r="C351" s="28" t="s">
        <v>580</v>
      </c>
      <c r="D351" s="28" t="s">
        <v>22</v>
      </c>
      <c r="E351" s="4" t="s">
        <v>111</v>
      </c>
      <c r="F351" s="28" t="s">
        <v>125</v>
      </c>
      <c r="G351" s="4"/>
      <c r="H351" s="4">
        <f>SUMIFS(X!$F$5:$F$2005,X!$D$5:$D$2005,'CEK CICI'!A351)</f>
        <v>0</v>
      </c>
      <c r="I351" s="4">
        <f>SUMIFS(PENJUALAN!$E$4:$E$4288,PENJUALAN!$C$4:$C$4288,'CEK CICI'!A351)</f>
        <v>0</v>
      </c>
      <c r="J351" s="16">
        <f t="shared" si="2"/>
        <v>0</v>
      </c>
      <c r="K351" s="4"/>
      <c r="L351" s="4"/>
      <c r="M351" s="4"/>
      <c r="N351" s="4"/>
    </row>
    <row r="352" ht="13.5" hidden="1" customHeight="1">
      <c r="A352" s="4" t="str">
        <f t="shared" si="1"/>
        <v>TRW-CAREN04FY</v>
      </c>
      <c r="B352" s="29" t="s">
        <v>581</v>
      </c>
      <c r="C352" s="28" t="s">
        <v>582</v>
      </c>
      <c r="D352" s="28" t="s">
        <v>41</v>
      </c>
      <c r="E352" s="4" t="s">
        <v>111</v>
      </c>
      <c r="F352" s="28" t="s">
        <v>67</v>
      </c>
      <c r="G352" s="4"/>
      <c r="H352" s="4">
        <f>SUMIFS(X!$F$5:$F$2005,X!$D$5:$D$2005,'CEK CICI'!A352)</f>
        <v>0</v>
      </c>
      <c r="I352" s="4">
        <f>SUMIFS(PENJUALAN!$E$4:$E$4288,PENJUALAN!$C$4:$C$4288,'CEK CICI'!A352)</f>
        <v>0</v>
      </c>
      <c r="J352" s="16">
        <f t="shared" si="2"/>
        <v>0</v>
      </c>
      <c r="K352" s="4"/>
      <c r="L352" s="4"/>
      <c r="M352" s="4"/>
      <c r="N352" s="4"/>
    </row>
    <row r="353" ht="13.5" hidden="1" customHeight="1">
      <c r="A353" s="4" t="str">
        <f t="shared" si="1"/>
        <v>TRW-CAREN13FY</v>
      </c>
      <c r="B353" s="29" t="s">
        <v>583</v>
      </c>
      <c r="C353" s="28" t="s">
        <v>584</v>
      </c>
      <c r="D353" s="28" t="s">
        <v>41</v>
      </c>
      <c r="E353" s="4" t="s">
        <v>111</v>
      </c>
      <c r="F353" s="28" t="s">
        <v>221</v>
      </c>
      <c r="G353" s="4"/>
      <c r="H353" s="4">
        <f>SUMIFS(X!$F$5:$F$2005,X!$D$5:$D$2005,'CEK CICI'!A353)</f>
        <v>0</v>
      </c>
      <c r="I353" s="4">
        <f>SUMIFS(PENJUALAN!$E$4:$E$4288,PENJUALAN!$C$4:$C$4288,'CEK CICI'!A353)</f>
        <v>0</v>
      </c>
      <c r="J353" s="16">
        <f t="shared" si="2"/>
        <v>0</v>
      </c>
      <c r="K353" s="4"/>
      <c r="L353" s="4"/>
      <c r="M353" s="4"/>
      <c r="N353" s="4"/>
    </row>
    <row r="354" ht="13.5" hidden="1" customHeight="1">
      <c r="A354" s="4" t="str">
        <f t="shared" si="1"/>
        <v>LFW-PICANTO04BFY</v>
      </c>
      <c r="B354" s="29" t="s">
        <v>585</v>
      </c>
      <c r="C354" s="28" t="s">
        <v>586</v>
      </c>
      <c r="D354" s="28" t="s">
        <v>22</v>
      </c>
      <c r="E354" s="4" t="s">
        <v>111</v>
      </c>
      <c r="F354" s="28" t="s">
        <v>125</v>
      </c>
      <c r="G354" s="4"/>
      <c r="H354" s="4">
        <f>SUMIFS(X!$F$5:$F$2005,X!$D$5:$D$2005,'CEK CICI'!A354)</f>
        <v>0</v>
      </c>
      <c r="I354" s="4">
        <f>SUMIFS(PENJUALAN!$E$4:$E$4288,PENJUALAN!$C$4:$C$4288,'CEK CICI'!A354)</f>
        <v>0</v>
      </c>
      <c r="J354" s="16">
        <f t="shared" si="2"/>
        <v>0</v>
      </c>
      <c r="K354" s="4"/>
      <c r="L354" s="4"/>
      <c r="M354" s="4"/>
      <c r="N354" s="4"/>
    </row>
    <row r="355" ht="13.5" hidden="1" customHeight="1">
      <c r="A355" s="4" t="str">
        <f t="shared" si="1"/>
        <v>LFW-PICANTO04HTMFY</v>
      </c>
      <c r="B355" s="29" t="s">
        <v>587</v>
      </c>
      <c r="C355" s="28" t="s">
        <v>588</v>
      </c>
      <c r="D355" s="28" t="s">
        <v>22</v>
      </c>
      <c r="E355" s="4" t="s">
        <v>111</v>
      </c>
      <c r="F355" s="28" t="s">
        <v>125</v>
      </c>
      <c r="G355" s="4"/>
      <c r="H355" s="4">
        <f>SUMIFS(X!$F$5:$F$2005,X!$D$5:$D$2005,'CEK CICI'!A355)</f>
        <v>0</v>
      </c>
      <c r="I355" s="4">
        <f>SUMIFS(PENJUALAN!$E$4:$E$4288,PENJUALAN!$C$4:$C$4288,'CEK CICI'!A355)</f>
        <v>0</v>
      </c>
      <c r="J355" s="16">
        <f t="shared" si="2"/>
        <v>0</v>
      </c>
      <c r="K355" s="4"/>
      <c r="L355" s="4"/>
      <c r="M355" s="4"/>
      <c r="N355" s="4"/>
    </row>
    <row r="356" ht="13.5" hidden="1" customHeight="1">
      <c r="A356" s="4" t="str">
        <f t="shared" si="1"/>
        <v>TRW-PICANTO04FY</v>
      </c>
      <c r="B356" s="29" t="s">
        <v>589</v>
      </c>
      <c r="C356" s="28" t="s">
        <v>590</v>
      </c>
      <c r="D356" s="28" t="s">
        <v>41</v>
      </c>
      <c r="E356" s="4" t="s">
        <v>111</v>
      </c>
      <c r="F356" s="28" t="s">
        <v>221</v>
      </c>
      <c r="G356" s="4"/>
      <c r="H356" s="4">
        <f>SUMIFS(X!$F$5:$F$2005,X!$D$5:$D$2005,'CEK CICI'!A356)</f>
        <v>0</v>
      </c>
      <c r="I356" s="4">
        <f>SUMIFS(PENJUALAN!$E$4:$E$4288,PENJUALAN!$C$4:$C$4288,'CEK CICI'!A356)</f>
        <v>0</v>
      </c>
      <c r="J356" s="16">
        <f t="shared" si="2"/>
        <v>0</v>
      </c>
      <c r="K356" s="4"/>
      <c r="L356" s="4"/>
      <c r="M356" s="4"/>
      <c r="N356" s="4"/>
    </row>
    <row r="357" ht="13.5" hidden="1" customHeight="1">
      <c r="A357" s="4" t="str">
        <f t="shared" si="1"/>
        <v>FDL-PICANTO04FY</v>
      </c>
      <c r="B357" s="29" t="s">
        <v>591</v>
      </c>
      <c r="C357" s="28" t="s">
        <v>590</v>
      </c>
      <c r="D357" s="28" t="s">
        <v>128</v>
      </c>
      <c r="E357" s="4" t="s">
        <v>111</v>
      </c>
      <c r="F357" s="28" t="s">
        <v>141</v>
      </c>
      <c r="G357" s="4"/>
      <c r="H357" s="4">
        <f>SUMIFS(X!$F$5:$F$2005,X!$D$5:$D$2005,'CEK CICI'!A357)</f>
        <v>1</v>
      </c>
      <c r="I357" s="4">
        <f>SUMIFS(PENJUALAN!$E$4:$E$4288,PENJUALAN!$C$4:$C$4288,'CEK CICI'!A357)</f>
        <v>0</v>
      </c>
      <c r="J357" s="16">
        <f t="shared" si="2"/>
        <v>1</v>
      </c>
      <c r="K357" s="15" t="s">
        <v>48</v>
      </c>
      <c r="L357" s="15"/>
      <c r="M357" s="4"/>
      <c r="N357" s="4"/>
    </row>
    <row r="358" ht="13.5" hidden="1" customHeight="1">
      <c r="A358" s="4" t="str">
        <f t="shared" si="1"/>
        <v>FDR-PICANTO04FY</v>
      </c>
      <c r="B358" s="29" t="s">
        <v>592</v>
      </c>
      <c r="C358" s="28" t="s">
        <v>590</v>
      </c>
      <c r="D358" s="28" t="s">
        <v>130</v>
      </c>
      <c r="E358" s="4" t="s">
        <v>111</v>
      </c>
      <c r="F358" s="28" t="s">
        <v>141</v>
      </c>
      <c r="G358" s="4"/>
      <c r="H358" s="4">
        <f>SUMIFS(X!$F$5:$F$2005,X!$D$5:$D$2005,'CEK CICI'!A358)</f>
        <v>0</v>
      </c>
      <c r="I358" s="4">
        <f>SUMIFS(PENJUALAN!$E$4:$E$4288,PENJUALAN!$C$4:$C$4288,'CEK CICI'!A358)</f>
        <v>0</v>
      </c>
      <c r="J358" s="16">
        <f t="shared" si="2"/>
        <v>0</v>
      </c>
      <c r="K358" s="4"/>
      <c r="L358" s="4"/>
      <c r="M358" s="4"/>
      <c r="N358" s="4"/>
    </row>
    <row r="359" ht="13.5" hidden="1" customHeight="1">
      <c r="A359" s="4" t="str">
        <f t="shared" si="1"/>
        <v>RDL-PICANTO04FY</v>
      </c>
      <c r="B359" s="29" t="s">
        <v>593</v>
      </c>
      <c r="C359" s="28" t="s">
        <v>590</v>
      </c>
      <c r="D359" s="28" t="s">
        <v>132</v>
      </c>
      <c r="E359" s="4" t="s">
        <v>111</v>
      </c>
      <c r="F359" s="28"/>
      <c r="G359" s="4"/>
      <c r="H359" s="4">
        <f>SUMIFS(X!$F$5:$F$2005,X!$D$5:$D$2005,'CEK CICI'!A359)</f>
        <v>1</v>
      </c>
      <c r="I359" s="4">
        <f>SUMIFS(PENJUALAN!$E$4:$E$4288,PENJUALAN!$C$4:$C$4288,'CEK CICI'!A359)</f>
        <v>0</v>
      </c>
      <c r="J359" s="16">
        <f t="shared" si="2"/>
        <v>1</v>
      </c>
      <c r="K359" s="15" t="s">
        <v>594</v>
      </c>
      <c r="L359" s="4"/>
      <c r="M359" s="4"/>
      <c r="N359" s="4"/>
    </row>
    <row r="360" ht="13.5" hidden="1" customHeight="1">
      <c r="A360" s="4" t="str">
        <f t="shared" si="1"/>
        <v>RDR-PICANTO04FY</v>
      </c>
      <c r="B360" s="29" t="s">
        <v>2013</v>
      </c>
      <c r="C360" s="28" t="s">
        <v>590</v>
      </c>
      <c r="D360" s="28" t="s">
        <v>134</v>
      </c>
      <c r="E360" s="4" t="s">
        <v>111</v>
      </c>
      <c r="F360" s="28"/>
      <c r="G360" s="4"/>
      <c r="H360" s="4">
        <f>SUMIFS(X!$F$5:$F$2005,X!$D$5:$D$2005,'CEK CICI'!A360)</f>
        <v>2</v>
      </c>
      <c r="I360" s="4">
        <f>SUMIFS(PENJUALAN!$E$4:$E$4288,PENJUALAN!$C$4:$C$4288,'CEK CICI'!A360)</f>
        <v>1</v>
      </c>
      <c r="J360" s="16">
        <f t="shared" si="2"/>
        <v>1</v>
      </c>
      <c r="K360" s="15" t="s">
        <v>594</v>
      </c>
      <c r="L360" s="4"/>
      <c r="M360" s="4"/>
      <c r="N360" s="4"/>
    </row>
    <row r="361" ht="13.5" hidden="1" customHeight="1">
      <c r="A361" s="4" t="str">
        <f t="shared" si="1"/>
        <v>LFW-PICANTO11FY</v>
      </c>
      <c r="B361" s="29" t="s">
        <v>597</v>
      </c>
      <c r="C361" s="28" t="s">
        <v>598</v>
      </c>
      <c r="D361" s="28" t="s">
        <v>22</v>
      </c>
      <c r="E361" s="4" t="s">
        <v>111</v>
      </c>
      <c r="F361" s="28" t="s">
        <v>125</v>
      </c>
      <c r="G361" s="4"/>
      <c r="H361" s="4">
        <f>SUMIFS(X!$F$5:$F$2005,X!$D$5:$D$2005,'CEK CICI'!A361)</f>
        <v>0</v>
      </c>
      <c r="I361" s="4">
        <f>SUMIFS(PENJUALAN!$E$4:$E$4288,PENJUALAN!$C$4:$C$4288,'CEK CICI'!A361)</f>
        <v>0</v>
      </c>
      <c r="J361" s="16">
        <f t="shared" si="2"/>
        <v>0</v>
      </c>
      <c r="K361" s="4"/>
      <c r="L361" s="4"/>
      <c r="M361" s="4"/>
      <c r="N361" s="4"/>
    </row>
    <row r="362" ht="13.5" hidden="1" customHeight="1">
      <c r="A362" s="4" t="str">
        <f t="shared" si="1"/>
        <v>TRW-PICANTO11FY</v>
      </c>
      <c r="B362" s="29" t="s">
        <v>599</v>
      </c>
      <c r="C362" s="28" t="s">
        <v>598</v>
      </c>
      <c r="D362" s="28" t="s">
        <v>41</v>
      </c>
      <c r="E362" s="4" t="s">
        <v>111</v>
      </c>
      <c r="F362" s="28" t="s">
        <v>221</v>
      </c>
      <c r="G362" s="4"/>
      <c r="H362" s="4">
        <f>SUMIFS(X!$F$5:$F$2005,X!$D$5:$D$2005,'CEK CICI'!A362)</f>
        <v>0</v>
      </c>
      <c r="I362" s="4">
        <f>SUMIFS(PENJUALAN!$E$4:$E$4288,PENJUALAN!$C$4:$C$4288,'CEK CICI'!A362)</f>
        <v>0</v>
      </c>
      <c r="J362" s="16">
        <f t="shared" si="2"/>
        <v>0</v>
      </c>
      <c r="K362" s="4"/>
      <c r="L362" s="4"/>
      <c r="M362" s="4"/>
      <c r="N362" s="4"/>
    </row>
    <row r="363" ht="13.5" hidden="1" customHeight="1">
      <c r="A363" s="4" t="str">
        <f t="shared" si="1"/>
        <v>FDL-PICANTO11FY</v>
      </c>
      <c r="B363" s="29" t="s">
        <v>600</v>
      </c>
      <c r="C363" s="28" t="s">
        <v>598</v>
      </c>
      <c r="D363" s="28" t="s">
        <v>128</v>
      </c>
      <c r="E363" s="4" t="s">
        <v>111</v>
      </c>
      <c r="F363" s="28" t="s">
        <v>397</v>
      </c>
      <c r="G363" s="4"/>
      <c r="H363" s="4">
        <f>SUMIFS(X!$F$5:$F$2005,X!$D$5:$D$2005,'CEK CICI'!A363)</f>
        <v>0</v>
      </c>
      <c r="I363" s="4">
        <f>SUMIFS(PENJUALAN!$E$4:$E$4288,PENJUALAN!$C$4:$C$4288,'CEK CICI'!A363)</f>
        <v>0</v>
      </c>
      <c r="J363" s="16">
        <f t="shared" si="2"/>
        <v>0</v>
      </c>
      <c r="K363" s="4"/>
      <c r="L363" s="4"/>
      <c r="M363" s="4"/>
      <c r="N363" s="4"/>
    </row>
    <row r="364" ht="13.5" hidden="1" customHeight="1">
      <c r="A364" s="4" t="str">
        <f t="shared" si="1"/>
        <v>FDR-PICANTO11FY</v>
      </c>
      <c r="B364" s="29" t="s">
        <v>601</v>
      </c>
      <c r="C364" s="28" t="s">
        <v>598</v>
      </c>
      <c r="D364" s="28" t="s">
        <v>130</v>
      </c>
      <c r="E364" s="4" t="s">
        <v>111</v>
      </c>
      <c r="F364" s="28" t="s">
        <v>397</v>
      </c>
      <c r="G364" s="4"/>
      <c r="H364" s="4">
        <f>SUMIFS(X!$F$5:$F$2005,X!$D$5:$D$2005,'CEK CICI'!A364)</f>
        <v>0</v>
      </c>
      <c r="I364" s="4">
        <f>SUMIFS(PENJUALAN!$E$4:$E$4288,PENJUALAN!$C$4:$C$4288,'CEK CICI'!A364)</f>
        <v>0</v>
      </c>
      <c r="J364" s="16">
        <f t="shared" si="2"/>
        <v>0</v>
      </c>
      <c r="K364" s="4"/>
      <c r="L364" s="4"/>
      <c r="M364" s="4"/>
      <c r="N364" s="4"/>
    </row>
    <row r="365" ht="13.5" hidden="1" customHeight="1">
      <c r="A365" s="4" t="str">
        <f t="shared" si="1"/>
        <v>RDL-PICANTO11FY</v>
      </c>
      <c r="B365" s="29" t="s">
        <v>602</v>
      </c>
      <c r="C365" s="28" t="s">
        <v>598</v>
      </c>
      <c r="D365" s="28" t="s">
        <v>132</v>
      </c>
      <c r="E365" s="4" t="s">
        <v>111</v>
      </c>
      <c r="F365" s="28"/>
      <c r="G365" s="4"/>
      <c r="H365" s="4">
        <f>SUMIFS(X!$F$5:$F$2005,X!$D$5:$D$2005,'CEK CICI'!A365)</f>
        <v>0</v>
      </c>
      <c r="I365" s="4">
        <f>SUMIFS(PENJUALAN!$E$4:$E$4288,PENJUALAN!$C$4:$C$4288,'CEK CICI'!A365)</f>
        <v>0</v>
      </c>
      <c r="J365" s="16">
        <f t="shared" si="2"/>
        <v>0</v>
      </c>
      <c r="K365" s="4"/>
      <c r="L365" s="4"/>
      <c r="M365" s="4"/>
      <c r="N365" s="4"/>
    </row>
    <row r="366" ht="13.5" hidden="1" customHeight="1">
      <c r="A366" s="4" t="str">
        <f t="shared" si="1"/>
        <v>RDR-PICANTO11FY</v>
      </c>
      <c r="B366" s="29" t="s">
        <v>603</v>
      </c>
      <c r="C366" s="28" t="s">
        <v>598</v>
      </c>
      <c r="D366" s="28" t="s">
        <v>134</v>
      </c>
      <c r="E366" s="4" t="s">
        <v>111</v>
      </c>
      <c r="F366" s="28"/>
      <c r="G366" s="4"/>
      <c r="H366" s="4">
        <f>SUMIFS(X!$F$5:$F$2005,X!$D$5:$D$2005,'CEK CICI'!A366)</f>
        <v>0</v>
      </c>
      <c r="I366" s="4">
        <f>SUMIFS(PENJUALAN!$E$4:$E$4288,PENJUALAN!$C$4:$C$4288,'CEK CICI'!A366)</f>
        <v>0</v>
      </c>
      <c r="J366" s="16">
        <f t="shared" si="2"/>
        <v>0</v>
      </c>
      <c r="K366" s="4"/>
      <c r="L366" s="4"/>
      <c r="M366" s="4"/>
      <c r="N366" s="4"/>
    </row>
    <row r="367" ht="13.5" hidden="1" customHeight="1">
      <c r="A367" s="4" t="str">
        <f t="shared" si="1"/>
        <v>FDL2-PREGIOFY</v>
      </c>
      <c r="B367" s="29" t="s">
        <v>604</v>
      </c>
      <c r="C367" s="30" t="s">
        <v>605</v>
      </c>
      <c r="D367" s="28" t="s">
        <v>128</v>
      </c>
      <c r="E367" s="4" t="s">
        <v>111</v>
      </c>
      <c r="F367" s="28" t="s">
        <v>141</v>
      </c>
      <c r="G367" s="4"/>
      <c r="H367" s="4">
        <f>SUMIFS(X!$F$5:$F$2005,X!$D$5:$D$2005,'CEK CICI'!A367)</f>
        <v>0</v>
      </c>
      <c r="I367" s="4">
        <f>SUMIFS(PENJUALAN!$E$4:$E$4288,PENJUALAN!$C$4:$C$4288,'CEK CICI'!A367)</f>
        <v>0</v>
      </c>
      <c r="J367" s="16">
        <f t="shared" si="2"/>
        <v>0</v>
      </c>
      <c r="K367" s="4"/>
      <c r="L367" s="4"/>
      <c r="M367" s="4"/>
      <c r="N367" s="4"/>
    </row>
    <row r="368" ht="13.5" hidden="1" customHeight="1">
      <c r="A368" s="4" t="str">
        <f t="shared" si="1"/>
        <v>FDR2-PREGIOFY</v>
      </c>
      <c r="B368" s="29" t="s">
        <v>606</v>
      </c>
      <c r="C368" s="30" t="s">
        <v>605</v>
      </c>
      <c r="D368" s="28" t="s">
        <v>130</v>
      </c>
      <c r="E368" s="4" t="s">
        <v>111</v>
      </c>
      <c r="F368" s="28" t="s">
        <v>141</v>
      </c>
      <c r="G368" s="4"/>
      <c r="H368" s="4">
        <f>SUMIFS(X!$F$5:$F$2005,X!$D$5:$D$2005,'CEK CICI'!A368)</f>
        <v>0</v>
      </c>
      <c r="I368" s="4">
        <f>SUMIFS(PENJUALAN!$E$4:$E$4288,PENJUALAN!$C$4:$C$4288,'CEK CICI'!A368)</f>
        <v>0</v>
      </c>
      <c r="J368" s="16">
        <f t="shared" si="2"/>
        <v>0</v>
      </c>
      <c r="K368" s="4"/>
      <c r="L368" s="4"/>
      <c r="M368" s="4"/>
      <c r="N368" s="4"/>
    </row>
    <row r="369" ht="13.5" hidden="1" customHeight="1">
      <c r="A369" s="4" t="str">
        <f t="shared" si="1"/>
        <v>TRW-PREGIOFY</v>
      </c>
      <c r="B369" s="29" t="s">
        <v>607</v>
      </c>
      <c r="C369" s="28" t="s">
        <v>608</v>
      </c>
      <c r="D369" s="28" t="s">
        <v>41</v>
      </c>
      <c r="E369" s="4" t="s">
        <v>111</v>
      </c>
      <c r="F369" s="28" t="s">
        <v>67</v>
      </c>
      <c r="G369" s="4"/>
      <c r="H369" s="4">
        <f>SUMIFS(X!$F$5:$F$2005,X!$D$5:$D$2005,'CEK CICI'!A369)</f>
        <v>0</v>
      </c>
      <c r="I369" s="4">
        <f>SUMIFS(PENJUALAN!$E$4:$E$4288,PENJUALAN!$C$4:$C$4288,'CEK CICI'!A369)</f>
        <v>0</v>
      </c>
      <c r="J369" s="16">
        <f t="shared" si="2"/>
        <v>0</v>
      </c>
      <c r="K369" s="4"/>
      <c r="L369" s="4"/>
      <c r="M369" s="4"/>
      <c r="N369" s="4"/>
    </row>
    <row r="370" ht="13.5" hidden="1" customHeight="1">
      <c r="A370" s="4" t="str">
        <f t="shared" si="1"/>
        <v>LFW-RIO00FY</v>
      </c>
      <c r="B370" s="29" t="s">
        <v>609</v>
      </c>
      <c r="C370" s="28" t="s">
        <v>610</v>
      </c>
      <c r="D370" s="28" t="s">
        <v>22</v>
      </c>
      <c r="E370" s="4" t="s">
        <v>111</v>
      </c>
      <c r="F370" s="28" t="s">
        <v>125</v>
      </c>
      <c r="G370" s="4"/>
      <c r="H370" s="4">
        <f>SUMIFS(X!$F$5:$F$2005,X!$D$5:$D$2005,'CEK CICI'!A370)</f>
        <v>0</v>
      </c>
      <c r="I370" s="4">
        <f>SUMIFS(PENJUALAN!$E$4:$E$4288,PENJUALAN!$C$4:$C$4288,'CEK CICI'!A370)</f>
        <v>0</v>
      </c>
      <c r="J370" s="16">
        <f t="shared" si="2"/>
        <v>0</v>
      </c>
      <c r="K370" s="4"/>
      <c r="L370" s="4"/>
      <c r="M370" s="4"/>
      <c r="N370" s="4"/>
    </row>
    <row r="371" ht="13.5" hidden="1" customHeight="1">
      <c r="A371" s="4" t="str">
        <f t="shared" si="1"/>
        <v>TRW-RIO00FY</v>
      </c>
      <c r="B371" s="29" t="s">
        <v>611</v>
      </c>
      <c r="C371" s="28" t="s">
        <v>612</v>
      </c>
      <c r="D371" s="28" t="s">
        <v>41</v>
      </c>
      <c r="E371" s="4" t="s">
        <v>111</v>
      </c>
      <c r="F371" s="28" t="s">
        <v>67</v>
      </c>
      <c r="G371" s="4"/>
      <c r="H371" s="4">
        <f>SUMIFS(X!$F$5:$F$2005,X!$D$5:$D$2005,'CEK CICI'!A371)</f>
        <v>0</v>
      </c>
      <c r="I371" s="4">
        <f>SUMIFS(PENJUALAN!$E$4:$E$4288,PENJUALAN!$C$4:$C$4288,'CEK CICI'!A371)</f>
        <v>0</v>
      </c>
      <c r="J371" s="16">
        <f t="shared" si="2"/>
        <v>0</v>
      </c>
      <c r="K371" s="4"/>
      <c r="L371" s="4"/>
      <c r="M371" s="4"/>
      <c r="N371" s="4"/>
    </row>
    <row r="372" ht="13.5" hidden="1" customHeight="1">
      <c r="A372" s="4" t="str">
        <f t="shared" si="1"/>
        <v>LFW-RIO05FY</v>
      </c>
      <c r="B372" s="29" t="s">
        <v>613</v>
      </c>
      <c r="C372" s="28" t="s">
        <v>614</v>
      </c>
      <c r="D372" s="28" t="s">
        <v>22</v>
      </c>
      <c r="E372" s="4" t="s">
        <v>111</v>
      </c>
      <c r="F372" s="28" t="s">
        <v>125</v>
      </c>
      <c r="G372" s="4"/>
      <c r="H372" s="4">
        <f>SUMIFS(X!$F$5:$F$2005,X!$D$5:$D$2005,'CEK CICI'!A372)</f>
        <v>0</v>
      </c>
      <c r="I372" s="4">
        <f>SUMIFS(PENJUALAN!$E$4:$E$4288,PENJUALAN!$C$4:$C$4288,'CEK CICI'!A372)</f>
        <v>0</v>
      </c>
      <c r="J372" s="16">
        <f t="shared" si="2"/>
        <v>0</v>
      </c>
      <c r="K372" s="4"/>
      <c r="L372" s="4"/>
      <c r="M372" s="4"/>
      <c r="N372" s="4"/>
    </row>
    <row r="373" ht="13.5" hidden="1" customHeight="1">
      <c r="A373" s="4" t="str">
        <f t="shared" si="1"/>
        <v>TRW-RIO05FY</v>
      </c>
      <c r="B373" s="29" t="s">
        <v>615</v>
      </c>
      <c r="C373" s="28" t="s">
        <v>616</v>
      </c>
      <c r="D373" s="28" t="s">
        <v>41</v>
      </c>
      <c r="E373" s="4" t="s">
        <v>111</v>
      </c>
      <c r="F373" s="28" t="s">
        <v>221</v>
      </c>
      <c r="G373" s="4"/>
      <c r="H373" s="4">
        <f>SUMIFS(X!$F$5:$F$2005,X!$D$5:$D$2005,'CEK CICI'!A373)</f>
        <v>0</v>
      </c>
      <c r="I373" s="4">
        <f>SUMIFS(PENJUALAN!$E$4:$E$4288,PENJUALAN!$C$4:$C$4288,'CEK CICI'!A373)</f>
        <v>0</v>
      </c>
      <c r="J373" s="16">
        <f t="shared" si="2"/>
        <v>0</v>
      </c>
      <c r="K373" s="4"/>
      <c r="L373" s="4"/>
      <c r="M373" s="4"/>
      <c r="N373" s="4"/>
    </row>
    <row r="374" ht="13.5" hidden="1" customHeight="1">
      <c r="A374" s="4" t="str">
        <f t="shared" si="1"/>
        <v>LFW-RIO11FY</v>
      </c>
      <c r="B374" s="29" t="s">
        <v>617</v>
      </c>
      <c r="C374" s="28" t="s">
        <v>618</v>
      </c>
      <c r="D374" s="28" t="s">
        <v>22</v>
      </c>
      <c r="E374" s="4" t="s">
        <v>111</v>
      </c>
      <c r="F374" s="28" t="s">
        <v>125</v>
      </c>
      <c r="G374" s="4"/>
      <c r="H374" s="4">
        <f>SUMIFS(X!$F$5:$F$2005,X!$D$5:$D$2005,'CEK CICI'!A374)</f>
        <v>0</v>
      </c>
      <c r="I374" s="4">
        <f>SUMIFS(PENJUALAN!$E$4:$E$4288,PENJUALAN!$C$4:$C$4288,'CEK CICI'!A374)</f>
        <v>0</v>
      </c>
      <c r="J374" s="16">
        <f t="shared" si="2"/>
        <v>0</v>
      </c>
      <c r="K374" s="4"/>
      <c r="L374" s="4"/>
      <c r="M374" s="4"/>
      <c r="N374" s="4"/>
    </row>
    <row r="375" ht="13.5" hidden="1" customHeight="1">
      <c r="A375" s="4" t="str">
        <f t="shared" si="1"/>
        <v>TRW-RIO11FY</v>
      </c>
      <c r="B375" s="29" t="s">
        <v>619</v>
      </c>
      <c r="C375" s="28" t="s">
        <v>618</v>
      </c>
      <c r="D375" s="28" t="s">
        <v>41</v>
      </c>
      <c r="E375" s="4" t="s">
        <v>111</v>
      </c>
      <c r="F375" s="28" t="s">
        <v>221</v>
      </c>
      <c r="G375" s="4"/>
      <c r="H375" s="4">
        <f>SUMIFS(X!$F$5:$F$2005,X!$D$5:$D$2005,'CEK CICI'!A375)</f>
        <v>0</v>
      </c>
      <c r="I375" s="4">
        <f>SUMIFS(PENJUALAN!$E$4:$E$4288,PENJUALAN!$C$4:$C$4288,'CEK CICI'!A375)</f>
        <v>0</v>
      </c>
      <c r="J375" s="16">
        <f t="shared" si="2"/>
        <v>0</v>
      </c>
      <c r="K375" s="4"/>
      <c r="L375" s="4"/>
      <c r="M375" s="4"/>
      <c r="N375" s="4"/>
    </row>
    <row r="376" ht="13.5" hidden="1" customHeight="1">
      <c r="A376" s="4" t="str">
        <f t="shared" si="1"/>
        <v>FDL-RIO11FY</v>
      </c>
      <c r="B376" s="29" t="s">
        <v>620</v>
      </c>
      <c r="C376" s="28" t="s">
        <v>618</v>
      </c>
      <c r="D376" s="28" t="s">
        <v>128</v>
      </c>
      <c r="E376" s="4" t="s">
        <v>111</v>
      </c>
      <c r="F376" s="28"/>
      <c r="G376" s="4"/>
      <c r="H376" s="4">
        <f>SUMIFS(X!$F$5:$F$2005,X!$D$5:$D$2005,'CEK CICI'!A376)</f>
        <v>0</v>
      </c>
      <c r="I376" s="4">
        <f>SUMIFS(PENJUALAN!$E$4:$E$4288,PENJUALAN!$C$4:$C$4288,'CEK CICI'!A376)</f>
        <v>0</v>
      </c>
      <c r="J376" s="16">
        <f t="shared" si="2"/>
        <v>0</v>
      </c>
      <c r="K376" s="4"/>
      <c r="L376" s="4"/>
      <c r="M376" s="4"/>
      <c r="N376" s="4"/>
    </row>
    <row r="377" ht="13.5" hidden="1" customHeight="1">
      <c r="A377" s="4" t="str">
        <f t="shared" si="1"/>
        <v>FDR-RIO11FY</v>
      </c>
      <c r="B377" s="29" t="s">
        <v>621</v>
      </c>
      <c r="C377" s="28" t="s">
        <v>618</v>
      </c>
      <c r="D377" s="28" t="s">
        <v>130</v>
      </c>
      <c r="E377" s="4" t="s">
        <v>111</v>
      </c>
      <c r="F377" s="28"/>
      <c r="G377" s="4"/>
      <c r="H377" s="4">
        <f>SUMIFS(X!$F$5:$F$2005,X!$D$5:$D$2005,'CEK CICI'!A377)</f>
        <v>0</v>
      </c>
      <c r="I377" s="4">
        <f>SUMIFS(PENJUALAN!$E$4:$E$4288,PENJUALAN!$C$4:$C$4288,'CEK CICI'!A377)</f>
        <v>0</v>
      </c>
      <c r="J377" s="16">
        <f t="shared" si="2"/>
        <v>0</v>
      </c>
      <c r="K377" s="4"/>
      <c r="L377" s="4"/>
      <c r="M377" s="4"/>
      <c r="N377" s="4"/>
    </row>
    <row r="378" ht="13.5" hidden="1" customHeight="1">
      <c r="A378" s="4" t="str">
        <f t="shared" si="1"/>
        <v>RDL-RIO11FY</v>
      </c>
      <c r="B378" s="29" t="s">
        <v>622</v>
      </c>
      <c r="C378" s="28" t="s">
        <v>618</v>
      </c>
      <c r="D378" s="28" t="s">
        <v>132</v>
      </c>
      <c r="E378" s="4" t="s">
        <v>111</v>
      </c>
      <c r="F378" s="28"/>
      <c r="G378" s="4"/>
      <c r="H378" s="4">
        <f>SUMIFS(X!$F$5:$F$2005,X!$D$5:$D$2005,'CEK CICI'!A378)</f>
        <v>0</v>
      </c>
      <c r="I378" s="4">
        <f>SUMIFS(PENJUALAN!$E$4:$E$4288,PENJUALAN!$C$4:$C$4288,'CEK CICI'!A378)</f>
        <v>0</v>
      </c>
      <c r="J378" s="16">
        <f t="shared" si="2"/>
        <v>0</v>
      </c>
      <c r="K378" s="4"/>
      <c r="L378" s="4"/>
      <c r="M378" s="4"/>
      <c r="N378" s="4"/>
    </row>
    <row r="379" ht="13.5" hidden="1" customHeight="1">
      <c r="A379" s="4" t="str">
        <f t="shared" si="1"/>
        <v>RDR-RIO11FY</v>
      </c>
      <c r="B379" s="29" t="s">
        <v>623</v>
      </c>
      <c r="C379" s="28" t="s">
        <v>618</v>
      </c>
      <c r="D379" s="28" t="s">
        <v>134</v>
      </c>
      <c r="E379" s="4" t="s">
        <v>111</v>
      </c>
      <c r="F379" s="28"/>
      <c r="G379" s="4"/>
      <c r="H379" s="4">
        <f>SUMIFS(X!$F$5:$F$2005,X!$D$5:$D$2005,'CEK CICI'!A379)</f>
        <v>0</v>
      </c>
      <c r="I379" s="4">
        <f>SUMIFS(PENJUALAN!$E$4:$E$4288,PENJUALAN!$C$4:$C$4288,'CEK CICI'!A379)</f>
        <v>0</v>
      </c>
      <c r="J379" s="16">
        <f t="shared" si="2"/>
        <v>0</v>
      </c>
      <c r="K379" s="4"/>
      <c r="L379" s="4"/>
      <c r="M379" s="4"/>
      <c r="N379" s="4"/>
    </row>
    <row r="380" ht="13.5" hidden="1" customHeight="1">
      <c r="A380" s="4" t="str">
        <f t="shared" si="1"/>
        <v>LFW-SEDONA98FY</v>
      </c>
      <c r="B380" s="29" t="s">
        <v>624</v>
      </c>
      <c r="C380" s="28" t="s">
        <v>625</v>
      </c>
      <c r="D380" s="28" t="s">
        <v>22</v>
      </c>
      <c r="E380" s="4" t="s">
        <v>111</v>
      </c>
      <c r="F380" s="28" t="s">
        <v>125</v>
      </c>
      <c r="G380" s="4"/>
      <c r="H380" s="4">
        <f>SUMIFS(X!$F$5:$F$2005,X!$D$5:$D$2005,'CEK CICI'!A380)</f>
        <v>0</v>
      </c>
      <c r="I380" s="4">
        <f>SUMIFS(PENJUALAN!$E$4:$E$4288,PENJUALAN!$C$4:$C$4288,'CEK CICI'!A380)</f>
        <v>0</v>
      </c>
      <c r="J380" s="16">
        <f t="shared" si="2"/>
        <v>0</v>
      </c>
      <c r="K380" s="4"/>
      <c r="L380" s="4"/>
      <c r="M380" s="4"/>
      <c r="N380" s="4"/>
    </row>
    <row r="381" ht="13.5" hidden="1" customHeight="1">
      <c r="A381" s="4" t="str">
        <f t="shared" si="1"/>
        <v>TRW-CARNIVAL98FY</v>
      </c>
      <c r="B381" s="29" t="s">
        <v>626</v>
      </c>
      <c r="C381" s="28" t="s">
        <v>627</v>
      </c>
      <c r="D381" s="28" t="s">
        <v>41</v>
      </c>
      <c r="E381" s="4" t="s">
        <v>111</v>
      </c>
      <c r="F381" s="28" t="s">
        <v>67</v>
      </c>
      <c r="G381" s="4"/>
      <c r="H381" s="4">
        <f>SUMIFS(X!$F$5:$F$2005,X!$D$5:$D$2005,'CEK CICI'!A381)</f>
        <v>0</v>
      </c>
      <c r="I381" s="4">
        <f>SUMIFS(PENJUALAN!$E$4:$E$4288,PENJUALAN!$C$4:$C$4288,'CEK CICI'!A381)</f>
        <v>0</v>
      </c>
      <c r="J381" s="16">
        <f t="shared" si="2"/>
        <v>0</v>
      </c>
      <c r="K381" s="4"/>
      <c r="L381" s="4"/>
      <c r="M381" s="4"/>
      <c r="N381" s="4"/>
    </row>
    <row r="382" ht="13.5" hidden="1" customHeight="1">
      <c r="A382" s="4" t="str">
        <f t="shared" si="1"/>
        <v>LFW-SORENTOFY</v>
      </c>
      <c r="B382" s="29" t="s">
        <v>628</v>
      </c>
      <c r="C382" s="28" t="s">
        <v>629</v>
      </c>
      <c r="D382" s="28" t="s">
        <v>22</v>
      </c>
      <c r="E382" s="4" t="s">
        <v>111</v>
      </c>
      <c r="F382" s="28" t="s">
        <v>125</v>
      </c>
      <c r="G382" s="4"/>
      <c r="H382" s="4">
        <f>SUMIFS(X!$F$5:$F$2005,X!$D$5:$D$2005,'CEK CICI'!A382)</f>
        <v>0</v>
      </c>
      <c r="I382" s="4">
        <f>SUMIFS(PENJUALAN!$E$4:$E$4288,PENJUALAN!$C$4:$C$4288,'CEK CICI'!A382)</f>
        <v>0</v>
      </c>
      <c r="J382" s="16">
        <f t="shared" si="2"/>
        <v>0</v>
      </c>
      <c r="K382" s="4"/>
      <c r="L382" s="4"/>
      <c r="M382" s="4"/>
      <c r="N382" s="4"/>
    </row>
    <row r="383" ht="13.5" hidden="1" customHeight="1">
      <c r="A383" s="4" t="str">
        <f t="shared" si="1"/>
        <v>TRW-SORENTOFY</v>
      </c>
      <c r="B383" s="29" t="s">
        <v>630</v>
      </c>
      <c r="C383" s="28" t="s">
        <v>629</v>
      </c>
      <c r="D383" s="28" t="s">
        <v>41</v>
      </c>
      <c r="E383" s="4" t="s">
        <v>111</v>
      </c>
      <c r="F383" s="28" t="s">
        <v>221</v>
      </c>
      <c r="G383" s="4"/>
      <c r="H383" s="4">
        <f>SUMIFS(X!$F$5:$F$2005,X!$D$5:$D$2005,'CEK CICI'!A383)</f>
        <v>0</v>
      </c>
      <c r="I383" s="4">
        <f>SUMIFS(PENJUALAN!$E$4:$E$4288,PENJUALAN!$C$4:$C$4288,'CEK CICI'!A383)</f>
        <v>0</v>
      </c>
      <c r="J383" s="16">
        <f t="shared" si="2"/>
        <v>0</v>
      </c>
      <c r="K383" s="4"/>
      <c r="L383" s="4"/>
      <c r="M383" s="4"/>
      <c r="N383" s="4"/>
    </row>
    <row r="384" ht="13.5" hidden="1" customHeight="1">
      <c r="A384" s="4" t="str">
        <f t="shared" si="1"/>
        <v>LFW-SPORTAGE10FY</v>
      </c>
      <c r="B384" s="29" t="s">
        <v>631</v>
      </c>
      <c r="C384" s="28" t="s">
        <v>632</v>
      </c>
      <c r="D384" s="28" t="s">
        <v>22</v>
      </c>
      <c r="E384" s="4" t="s">
        <v>111</v>
      </c>
      <c r="F384" s="28" t="s">
        <v>125</v>
      </c>
      <c r="G384" s="4"/>
      <c r="H384" s="4">
        <f>SUMIFS(X!$F$5:$F$2005,X!$D$5:$D$2005,'CEK CICI'!A384)</f>
        <v>0</v>
      </c>
      <c r="I384" s="4">
        <f>SUMIFS(PENJUALAN!$E$4:$E$4288,PENJUALAN!$C$4:$C$4288,'CEK CICI'!A384)</f>
        <v>0</v>
      </c>
      <c r="J384" s="16">
        <f t="shared" si="2"/>
        <v>0</v>
      </c>
      <c r="K384" s="4"/>
      <c r="L384" s="4"/>
      <c r="M384" s="4"/>
      <c r="N384" s="4"/>
    </row>
    <row r="385" ht="13.5" hidden="1" customHeight="1">
      <c r="A385" s="4" t="str">
        <f t="shared" si="1"/>
        <v>FDL-SPORTAGE10FY</v>
      </c>
      <c r="B385" s="29" t="s">
        <v>633</v>
      </c>
      <c r="C385" s="28" t="s">
        <v>632</v>
      </c>
      <c r="D385" s="28" t="s">
        <v>128</v>
      </c>
      <c r="E385" s="4" t="s">
        <v>111</v>
      </c>
      <c r="F385" s="28"/>
      <c r="G385" s="4"/>
      <c r="H385" s="4">
        <f>SUMIFS(X!$F$5:$F$2005,X!$D$5:$D$2005,'CEK CICI'!A385)</f>
        <v>0</v>
      </c>
      <c r="I385" s="4">
        <f>SUMIFS(PENJUALAN!$E$4:$E$4288,PENJUALAN!$C$4:$C$4288,'CEK CICI'!A385)</f>
        <v>0</v>
      </c>
      <c r="J385" s="16">
        <f t="shared" si="2"/>
        <v>0</v>
      </c>
      <c r="K385" s="4"/>
      <c r="L385" s="4"/>
      <c r="M385" s="4"/>
      <c r="N385" s="4"/>
    </row>
    <row r="386" ht="13.5" hidden="1" customHeight="1">
      <c r="A386" s="4" t="str">
        <f t="shared" si="1"/>
        <v>FDR-SPORTAGE10FY</v>
      </c>
      <c r="B386" s="29" t="s">
        <v>634</v>
      </c>
      <c r="C386" s="28" t="s">
        <v>632</v>
      </c>
      <c r="D386" s="28" t="s">
        <v>130</v>
      </c>
      <c r="E386" s="4" t="s">
        <v>111</v>
      </c>
      <c r="F386" s="28"/>
      <c r="G386" s="4"/>
      <c r="H386" s="4">
        <f>SUMIFS(X!$F$5:$F$2005,X!$D$5:$D$2005,'CEK CICI'!A386)</f>
        <v>0</v>
      </c>
      <c r="I386" s="4">
        <f>SUMIFS(PENJUALAN!$E$4:$E$4288,PENJUALAN!$C$4:$C$4288,'CEK CICI'!A386)</f>
        <v>0</v>
      </c>
      <c r="J386" s="16">
        <f t="shared" si="2"/>
        <v>0</v>
      </c>
      <c r="K386" s="4"/>
      <c r="L386" s="4"/>
      <c r="M386" s="4"/>
      <c r="N386" s="4"/>
    </row>
    <row r="387" ht="13.5" hidden="1" customHeight="1">
      <c r="A387" s="4" t="str">
        <f t="shared" si="1"/>
        <v>RDL-SPORTAGE10FY</v>
      </c>
      <c r="B387" s="29" t="s">
        <v>635</v>
      </c>
      <c r="C387" s="28" t="s">
        <v>632</v>
      </c>
      <c r="D387" s="28" t="s">
        <v>132</v>
      </c>
      <c r="E387" s="4" t="s">
        <v>111</v>
      </c>
      <c r="F387" s="28"/>
      <c r="G387" s="4"/>
      <c r="H387" s="4">
        <f>SUMIFS(X!$F$5:$F$2005,X!$D$5:$D$2005,'CEK CICI'!A387)</f>
        <v>0</v>
      </c>
      <c r="I387" s="4">
        <f>SUMIFS(PENJUALAN!$E$4:$E$4288,PENJUALAN!$C$4:$C$4288,'CEK CICI'!A387)</f>
        <v>0</v>
      </c>
      <c r="J387" s="16">
        <f t="shared" si="2"/>
        <v>0</v>
      </c>
      <c r="K387" s="4"/>
      <c r="L387" s="4"/>
      <c r="M387" s="4"/>
      <c r="N387" s="4"/>
    </row>
    <row r="388" ht="13.5" hidden="1" customHeight="1">
      <c r="A388" s="4" t="str">
        <f t="shared" si="1"/>
        <v>RDR-SPORTAGE10FY</v>
      </c>
      <c r="B388" s="29" t="s">
        <v>636</v>
      </c>
      <c r="C388" s="28" t="s">
        <v>632</v>
      </c>
      <c r="D388" s="28" t="s">
        <v>134</v>
      </c>
      <c r="E388" s="4" t="s">
        <v>111</v>
      </c>
      <c r="F388" s="28"/>
      <c r="G388" s="4"/>
      <c r="H388" s="4">
        <f>SUMIFS(X!$F$5:$F$2005,X!$D$5:$D$2005,'CEK CICI'!A388)</f>
        <v>0</v>
      </c>
      <c r="I388" s="4">
        <f>SUMIFS(PENJUALAN!$E$4:$E$4288,PENJUALAN!$C$4:$C$4288,'CEK CICI'!A388)</f>
        <v>0</v>
      </c>
      <c r="J388" s="16">
        <f t="shared" si="2"/>
        <v>0</v>
      </c>
      <c r="K388" s="4"/>
      <c r="L388" s="4"/>
      <c r="M388" s="4"/>
      <c r="N388" s="4"/>
    </row>
    <row r="389" ht="13.5" hidden="1" customHeight="1">
      <c r="A389" s="4" t="str">
        <f t="shared" si="1"/>
        <v>TRW-SPORTAGE10SFY</v>
      </c>
      <c r="B389" s="29" t="s">
        <v>637</v>
      </c>
      <c r="C389" s="28" t="s">
        <v>638</v>
      </c>
      <c r="D389" s="28" t="s">
        <v>41</v>
      </c>
      <c r="E389" s="4" t="s">
        <v>111</v>
      </c>
      <c r="F389" s="28" t="s">
        <v>221</v>
      </c>
      <c r="G389" s="4"/>
      <c r="H389" s="4">
        <f>SUMIFS(X!$F$5:$F$2005,X!$D$5:$D$2005,'CEK CICI'!A389)</f>
        <v>0</v>
      </c>
      <c r="I389" s="4">
        <f>SUMIFS(PENJUALAN!$E$4:$E$4288,PENJUALAN!$C$4:$C$4288,'CEK CICI'!A389)</f>
        <v>0</v>
      </c>
      <c r="J389" s="16">
        <f t="shared" si="2"/>
        <v>0</v>
      </c>
      <c r="K389" s="4"/>
      <c r="L389" s="4"/>
      <c r="M389" s="4"/>
      <c r="N389" s="4"/>
    </row>
    <row r="390" ht="13.5" hidden="1" customHeight="1">
      <c r="A390" s="4" t="str">
        <f t="shared" si="1"/>
        <v>LFW-SPORTAGE15FY</v>
      </c>
      <c r="B390" s="29" t="s">
        <v>639</v>
      </c>
      <c r="C390" s="28" t="s">
        <v>640</v>
      </c>
      <c r="D390" s="28" t="s">
        <v>22</v>
      </c>
      <c r="E390" s="4" t="s">
        <v>111</v>
      </c>
      <c r="F390" s="28" t="s">
        <v>75</v>
      </c>
      <c r="G390" s="4"/>
      <c r="H390" s="4">
        <f>SUMIFS(X!$F$5:$F$2005,X!$D$5:$D$2005,'CEK CICI'!A390)</f>
        <v>0</v>
      </c>
      <c r="I390" s="4">
        <f>SUMIFS(PENJUALAN!$E$4:$E$4288,PENJUALAN!$C$4:$C$4288,'CEK CICI'!A390)</f>
        <v>0</v>
      </c>
      <c r="J390" s="16">
        <f t="shared" si="2"/>
        <v>0</v>
      </c>
      <c r="K390" s="4"/>
      <c r="L390" s="4"/>
      <c r="M390" s="4"/>
      <c r="N390" s="4"/>
    </row>
    <row r="391" ht="13.5" hidden="1" customHeight="1">
      <c r="A391" s="4" t="str">
        <f t="shared" si="1"/>
        <v>TRW-SPORTAGE15FY</v>
      </c>
      <c r="B391" s="29" t="s">
        <v>641</v>
      </c>
      <c r="C391" s="28" t="s">
        <v>640</v>
      </c>
      <c r="D391" s="28" t="s">
        <v>41</v>
      </c>
      <c r="E391" s="4" t="s">
        <v>111</v>
      </c>
      <c r="F391" s="28" t="s">
        <v>221</v>
      </c>
      <c r="G391" s="4"/>
      <c r="H391" s="4">
        <f>SUMIFS(X!$F$5:$F$2005,X!$D$5:$D$2005,'CEK CICI'!A391)</f>
        <v>0</v>
      </c>
      <c r="I391" s="4">
        <f>SUMIFS(PENJUALAN!$E$4:$E$4288,PENJUALAN!$C$4:$C$4288,'CEK CICI'!A391)</f>
        <v>0</v>
      </c>
      <c r="J391" s="16">
        <f t="shared" si="2"/>
        <v>0</v>
      </c>
      <c r="K391" s="4"/>
      <c r="L391" s="4"/>
      <c r="M391" s="4"/>
      <c r="N391" s="4"/>
    </row>
    <row r="392" ht="13.5" hidden="1" customHeight="1">
      <c r="A392" s="4" t="str">
        <f t="shared" si="1"/>
        <v>FDR-SPORTAGE15FY</v>
      </c>
      <c r="B392" s="29" t="s">
        <v>642</v>
      </c>
      <c r="C392" s="28" t="s">
        <v>640</v>
      </c>
      <c r="D392" s="28" t="s">
        <v>130</v>
      </c>
      <c r="E392" s="4" t="s">
        <v>111</v>
      </c>
      <c r="F392" s="28"/>
      <c r="G392" s="4"/>
      <c r="H392" s="4">
        <f>SUMIFS(X!$F$5:$F$2005,X!$D$5:$D$2005,'CEK CICI'!A392)</f>
        <v>0</v>
      </c>
      <c r="I392" s="4">
        <f>SUMIFS(PENJUALAN!$E$4:$E$4288,PENJUALAN!$C$4:$C$4288,'CEK CICI'!A392)</f>
        <v>0</v>
      </c>
      <c r="J392" s="16">
        <f t="shared" si="2"/>
        <v>0</v>
      </c>
      <c r="K392" s="4"/>
      <c r="L392" s="4"/>
      <c r="M392" s="4"/>
      <c r="N392" s="4"/>
    </row>
    <row r="393" ht="13.5" hidden="1" customHeight="1">
      <c r="A393" s="4" t="str">
        <f t="shared" si="1"/>
        <v>RDL-SPORTAGE15FY</v>
      </c>
      <c r="B393" s="29" t="s">
        <v>643</v>
      </c>
      <c r="C393" s="28" t="s">
        <v>640</v>
      </c>
      <c r="D393" s="28" t="s">
        <v>132</v>
      </c>
      <c r="E393" s="4" t="s">
        <v>111</v>
      </c>
      <c r="F393" s="28"/>
      <c r="G393" s="4"/>
      <c r="H393" s="4">
        <f>SUMIFS(X!$F$5:$F$2005,X!$D$5:$D$2005,'CEK CICI'!A393)</f>
        <v>0</v>
      </c>
      <c r="I393" s="4">
        <f>SUMIFS(PENJUALAN!$E$4:$E$4288,PENJUALAN!$C$4:$C$4288,'CEK CICI'!A393)</f>
        <v>0</v>
      </c>
      <c r="J393" s="16">
        <f t="shared" si="2"/>
        <v>0</v>
      </c>
      <c r="K393" s="4"/>
      <c r="L393" s="4"/>
      <c r="M393" s="4"/>
      <c r="N393" s="4"/>
    </row>
    <row r="394" ht="13.5" hidden="1" customHeight="1">
      <c r="A394" s="4" t="str">
        <f t="shared" si="1"/>
        <v>RDR-SPORTAGE15FY</v>
      </c>
      <c r="B394" s="29" t="s">
        <v>644</v>
      </c>
      <c r="C394" s="28" t="s">
        <v>640</v>
      </c>
      <c r="D394" s="28" t="s">
        <v>134</v>
      </c>
      <c r="E394" s="4" t="s">
        <v>111</v>
      </c>
      <c r="F394" s="28"/>
      <c r="G394" s="4"/>
      <c r="H394" s="4">
        <f>SUMIFS(X!$F$5:$F$2005,X!$D$5:$D$2005,'CEK CICI'!A394)</f>
        <v>0</v>
      </c>
      <c r="I394" s="4">
        <f>SUMIFS(PENJUALAN!$E$4:$E$4288,PENJUALAN!$C$4:$C$4288,'CEK CICI'!A394)</f>
        <v>0</v>
      </c>
      <c r="J394" s="16">
        <f t="shared" si="2"/>
        <v>0</v>
      </c>
      <c r="K394" s="4"/>
      <c r="L394" s="4"/>
      <c r="M394" s="4"/>
      <c r="N394" s="4"/>
    </row>
    <row r="395" ht="13.5" hidden="1" customHeight="1">
      <c r="A395" s="4" t="str">
        <f t="shared" si="1"/>
        <v>TRW-TIMORFY</v>
      </c>
      <c r="B395" s="29" t="s">
        <v>645</v>
      </c>
      <c r="C395" s="28" t="s">
        <v>646</v>
      </c>
      <c r="D395" s="28" t="s">
        <v>41</v>
      </c>
      <c r="E395" s="4" t="s">
        <v>111</v>
      </c>
      <c r="F395" s="28" t="s">
        <v>67</v>
      </c>
      <c r="G395" s="4"/>
      <c r="H395" s="4">
        <f>SUMIFS(X!$F$5:$F$2005,X!$D$5:$D$2005,'CEK CICI'!A395)</f>
        <v>0</v>
      </c>
      <c r="I395" s="4">
        <f>SUMIFS(PENJUALAN!$E$4:$E$4288,PENJUALAN!$C$4:$C$4288,'CEK CICI'!A395)</f>
        <v>0</v>
      </c>
      <c r="J395" s="16">
        <f t="shared" si="2"/>
        <v>0</v>
      </c>
      <c r="K395" s="4"/>
      <c r="L395" s="4"/>
      <c r="M395" s="4"/>
      <c r="N395" s="4"/>
    </row>
    <row r="396" ht="13.5" hidden="1" customHeight="1">
      <c r="A396" s="4" t="str">
        <f t="shared" si="1"/>
        <v>LFW-VISTOFY</v>
      </c>
      <c r="B396" s="29" t="s">
        <v>647</v>
      </c>
      <c r="C396" s="28" t="s">
        <v>648</v>
      </c>
      <c r="D396" s="28" t="s">
        <v>22</v>
      </c>
      <c r="E396" s="4" t="s">
        <v>111</v>
      </c>
      <c r="F396" s="28" t="s">
        <v>97</v>
      </c>
      <c r="G396" s="4"/>
      <c r="H396" s="4">
        <f>SUMIFS(X!$F$5:$F$2005,X!$D$5:$D$2005,'CEK CICI'!A396)</f>
        <v>0</v>
      </c>
      <c r="I396" s="4">
        <f>SUMIFS(PENJUALAN!$E$4:$E$4288,PENJUALAN!$C$4:$C$4288,'CEK CICI'!A396)</f>
        <v>0</v>
      </c>
      <c r="J396" s="16">
        <f t="shared" si="2"/>
        <v>0</v>
      </c>
      <c r="K396" s="4"/>
      <c r="L396" s="4"/>
      <c r="M396" s="4"/>
      <c r="N396" s="4"/>
    </row>
    <row r="397" ht="13.5" hidden="1" customHeight="1">
      <c r="A397" s="4" t="str">
        <f t="shared" si="1"/>
        <v>TRW-VISTOFY</v>
      </c>
      <c r="B397" s="29" t="s">
        <v>649</v>
      </c>
      <c r="C397" s="28" t="s">
        <v>648</v>
      </c>
      <c r="D397" s="28" t="s">
        <v>41</v>
      </c>
      <c r="E397" s="4" t="s">
        <v>111</v>
      </c>
      <c r="F397" s="28" t="s">
        <v>67</v>
      </c>
      <c r="G397" s="4"/>
      <c r="H397" s="4">
        <f>SUMIFS(X!$F$5:$F$2005,X!$D$5:$D$2005,'CEK CICI'!A397)</f>
        <v>0</v>
      </c>
      <c r="I397" s="4">
        <f>SUMIFS(PENJUALAN!$E$4:$E$4288,PENJUALAN!$C$4:$C$4288,'CEK CICI'!A397)</f>
        <v>0</v>
      </c>
      <c r="J397" s="16">
        <f t="shared" si="2"/>
        <v>0</v>
      </c>
      <c r="K397" s="4"/>
      <c r="L397" s="4"/>
      <c r="M397" s="4"/>
      <c r="N397" s="4"/>
    </row>
    <row r="398" ht="13.5" hidden="1" customHeight="1">
      <c r="A398" s="4" t="str">
        <f t="shared" si="1"/>
        <v>LFW-XU10FY</v>
      </c>
      <c r="B398" s="29" t="s">
        <v>650</v>
      </c>
      <c r="C398" s="28" t="s">
        <v>651</v>
      </c>
      <c r="D398" s="28" t="s">
        <v>22</v>
      </c>
      <c r="E398" s="4" t="s">
        <v>111</v>
      </c>
      <c r="F398" s="28" t="s">
        <v>125</v>
      </c>
      <c r="G398" s="4"/>
      <c r="H398" s="4">
        <f>SUMIFS(X!$F$5:$F$2005,X!$D$5:$D$2005,'CEK CICI'!A398)</f>
        <v>0</v>
      </c>
      <c r="I398" s="4">
        <f>SUMIFS(PENJUALAN!$E$4:$E$4288,PENJUALAN!$C$4:$C$4288,'CEK CICI'!A398)</f>
        <v>0</v>
      </c>
      <c r="J398" s="16">
        <f t="shared" si="2"/>
        <v>0</v>
      </c>
      <c r="K398" s="4"/>
      <c r="L398" s="4"/>
      <c r="M398" s="4"/>
      <c r="N398" s="4"/>
    </row>
    <row r="399" ht="13.5" hidden="1" customHeight="1">
      <c r="A399" s="4" t="str">
        <f t="shared" si="1"/>
        <v>TRW-XU10FY</v>
      </c>
      <c r="B399" s="29" t="s">
        <v>652</v>
      </c>
      <c r="C399" s="28" t="s">
        <v>653</v>
      </c>
      <c r="D399" s="28" t="s">
        <v>41</v>
      </c>
      <c r="E399" s="4" t="s">
        <v>111</v>
      </c>
      <c r="F399" s="28" t="s">
        <v>67</v>
      </c>
      <c r="G399" s="4"/>
      <c r="H399" s="4">
        <f>SUMIFS(X!$F$5:$F$2005,X!$D$5:$D$2005,'CEK CICI'!A399)</f>
        <v>0</v>
      </c>
      <c r="I399" s="4">
        <f>SUMIFS(PENJUALAN!$E$4:$E$4288,PENJUALAN!$C$4:$C$4288,'CEK CICI'!A399)</f>
        <v>0</v>
      </c>
      <c r="J399" s="16">
        <f t="shared" si="2"/>
        <v>0</v>
      </c>
      <c r="K399" s="4"/>
      <c r="L399" s="4"/>
      <c r="M399" s="4"/>
      <c r="N399" s="4"/>
    </row>
    <row r="400" ht="13.5" hidden="1" customHeight="1">
      <c r="A400" s="4" t="str">
        <f t="shared" si="1"/>
        <v>LFW-XU30RSFY</v>
      </c>
      <c r="B400" s="29" t="s">
        <v>654</v>
      </c>
      <c r="C400" s="28" t="s">
        <v>655</v>
      </c>
      <c r="D400" s="28" t="s">
        <v>22</v>
      </c>
      <c r="E400" s="4" t="s">
        <v>111</v>
      </c>
      <c r="F400" s="28" t="s">
        <v>75</v>
      </c>
      <c r="G400" s="4"/>
      <c r="H400" s="4">
        <f>SUMIFS(X!$F$5:$F$2005,X!$D$5:$D$2005,'CEK CICI'!A400)</f>
        <v>0</v>
      </c>
      <c r="I400" s="4">
        <f>SUMIFS(PENJUALAN!$E$4:$E$4288,PENJUALAN!$C$4:$C$4288,'CEK CICI'!A400)</f>
        <v>0</v>
      </c>
      <c r="J400" s="16">
        <f t="shared" si="2"/>
        <v>0</v>
      </c>
      <c r="K400" s="4"/>
      <c r="L400" s="4"/>
      <c r="M400" s="4"/>
      <c r="N400" s="4"/>
    </row>
    <row r="401" ht="13.5" hidden="1" customHeight="1">
      <c r="A401" s="4" t="str">
        <f t="shared" si="1"/>
        <v>LFW-XU30FY</v>
      </c>
      <c r="B401" s="29" t="s">
        <v>656</v>
      </c>
      <c r="C401" s="28" t="s">
        <v>655</v>
      </c>
      <c r="D401" s="28" t="s">
        <v>22</v>
      </c>
      <c r="E401" s="4" t="s">
        <v>111</v>
      </c>
      <c r="F401" s="28" t="s">
        <v>125</v>
      </c>
      <c r="G401" s="4"/>
      <c r="H401" s="4">
        <f>SUMIFS(X!$F$5:$F$2005,X!$D$5:$D$2005,'CEK CICI'!A401)</f>
        <v>0</v>
      </c>
      <c r="I401" s="4">
        <f>SUMIFS(PENJUALAN!$E$4:$E$4288,PENJUALAN!$C$4:$C$4288,'CEK CICI'!A401)</f>
        <v>0</v>
      </c>
      <c r="J401" s="16">
        <f t="shared" si="2"/>
        <v>0</v>
      </c>
      <c r="K401" s="4"/>
      <c r="L401" s="4"/>
      <c r="M401" s="4"/>
      <c r="N401" s="4"/>
    </row>
    <row r="402" ht="13.5" hidden="1" customHeight="1">
      <c r="A402" s="4" t="str">
        <f t="shared" si="1"/>
        <v>TRW-XU30FY</v>
      </c>
      <c r="B402" s="29" t="s">
        <v>657</v>
      </c>
      <c r="C402" s="28" t="s">
        <v>658</v>
      </c>
      <c r="D402" s="28" t="s">
        <v>41</v>
      </c>
      <c r="E402" s="4" t="s">
        <v>111</v>
      </c>
      <c r="F402" s="28" t="s">
        <v>659</v>
      </c>
      <c r="G402" s="4"/>
      <c r="H402" s="4">
        <f>SUMIFS(X!$F$5:$F$2005,X!$D$5:$D$2005,'CEK CICI'!A402)</f>
        <v>0</v>
      </c>
      <c r="I402" s="4">
        <f>SUMIFS(PENJUALAN!$E$4:$E$4288,PENJUALAN!$C$4:$C$4288,'CEK CICI'!A402)</f>
        <v>0</v>
      </c>
      <c r="J402" s="16">
        <f t="shared" si="2"/>
        <v>0</v>
      </c>
      <c r="K402" s="4"/>
      <c r="L402" s="4"/>
      <c r="M402" s="4"/>
      <c r="N402" s="4"/>
    </row>
    <row r="403" ht="13.5" hidden="1" customHeight="1">
      <c r="A403" s="4" t="str">
        <f t="shared" si="1"/>
        <v>TRW-XU31FY</v>
      </c>
      <c r="B403" s="29" t="s">
        <v>660</v>
      </c>
      <c r="C403" s="28" t="s">
        <v>661</v>
      </c>
      <c r="D403" s="28" t="s">
        <v>41</v>
      </c>
      <c r="E403" s="4" t="s">
        <v>111</v>
      </c>
      <c r="F403" s="28" t="s">
        <v>659</v>
      </c>
      <c r="G403" s="4"/>
      <c r="H403" s="4">
        <f>SUMIFS(X!$F$5:$F$2005,X!$D$5:$D$2005,'CEK CICI'!A403)</f>
        <v>0</v>
      </c>
      <c r="I403" s="4">
        <f>SUMIFS(PENJUALAN!$E$4:$E$4288,PENJUALAN!$C$4:$C$4288,'CEK CICI'!A403)</f>
        <v>0</v>
      </c>
      <c r="J403" s="16">
        <f t="shared" si="2"/>
        <v>0</v>
      </c>
      <c r="K403" s="4"/>
      <c r="L403" s="4"/>
      <c r="M403" s="4"/>
      <c r="N403" s="4"/>
    </row>
    <row r="404" ht="13.5" hidden="1" customHeight="1">
      <c r="A404" s="4" t="str">
        <f t="shared" si="1"/>
        <v>FDL-XU30FY</v>
      </c>
      <c r="B404" s="29" t="s">
        <v>662</v>
      </c>
      <c r="C404" s="28" t="s">
        <v>655</v>
      </c>
      <c r="D404" s="28" t="s">
        <v>128</v>
      </c>
      <c r="E404" s="4" t="s">
        <v>111</v>
      </c>
      <c r="F404" s="28"/>
      <c r="G404" s="4"/>
      <c r="H404" s="4">
        <f>SUMIFS(X!$F$5:$F$2005,X!$D$5:$D$2005,'CEK CICI'!A404)</f>
        <v>0</v>
      </c>
      <c r="I404" s="4">
        <f>SUMIFS(PENJUALAN!$E$4:$E$4288,PENJUALAN!$C$4:$C$4288,'CEK CICI'!A404)</f>
        <v>0</v>
      </c>
      <c r="J404" s="16">
        <f t="shared" si="2"/>
        <v>0</v>
      </c>
      <c r="K404" s="4"/>
      <c r="L404" s="4"/>
      <c r="M404" s="4"/>
      <c r="N404" s="4"/>
    </row>
    <row r="405" ht="13.5" hidden="1" customHeight="1">
      <c r="A405" s="4" t="str">
        <f t="shared" si="1"/>
        <v>FDR-XU30FY</v>
      </c>
      <c r="B405" s="29" t="s">
        <v>663</v>
      </c>
      <c r="C405" s="28" t="s">
        <v>655</v>
      </c>
      <c r="D405" s="28" t="s">
        <v>130</v>
      </c>
      <c r="E405" s="4" t="s">
        <v>111</v>
      </c>
      <c r="F405" s="28"/>
      <c r="G405" s="4"/>
      <c r="H405" s="4">
        <f>SUMIFS(X!$F$5:$F$2005,X!$D$5:$D$2005,'CEK CICI'!A405)</f>
        <v>0</v>
      </c>
      <c r="I405" s="4">
        <f>SUMIFS(PENJUALAN!$E$4:$E$4288,PENJUALAN!$C$4:$C$4288,'CEK CICI'!A405)</f>
        <v>0</v>
      </c>
      <c r="J405" s="16">
        <f t="shared" si="2"/>
        <v>0</v>
      </c>
      <c r="K405" s="4"/>
      <c r="L405" s="4"/>
      <c r="M405" s="4"/>
      <c r="N405" s="4"/>
    </row>
    <row r="406" ht="13.5" hidden="1" customHeight="1">
      <c r="A406" s="4" t="str">
        <f t="shared" si="1"/>
        <v>RDL-XU30FY</v>
      </c>
      <c r="B406" s="29" t="s">
        <v>664</v>
      </c>
      <c r="C406" s="28" t="s">
        <v>655</v>
      </c>
      <c r="D406" s="28" t="s">
        <v>132</v>
      </c>
      <c r="E406" s="4" t="s">
        <v>111</v>
      </c>
      <c r="F406" s="28"/>
      <c r="G406" s="4"/>
      <c r="H406" s="4">
        <f>SUMIFS(X!$F$5:$F$2005,X!$D$5:$D$2005,'CEK CICI'!A406)</f>
        <v>0</v>
      </c>
      <c r="I406" s="4">
        <f>SUMIFS(PENJUALAN!$E$4:$E$4288,PENJUALAN!$C$4:$C$4288,'CEK CICI'!A406)</f>
        <v>0</v>
      </c>
      <c r="J406" s="16">
        <f t="shared" si="2"/>
        <v>0</v>
      </c>
      <c r="K406" s="4"/>
      <c r="L406" s="4"/>
      <c r="M406" s="4"/>
      <c r="N406" s="4"/>
    </row>
    <row r="407" ht="13.5" hidden="1" customHeight="1">
      <c r="A407" s="4" t="str">
        <f t="shared" si="1"/>
        <v>RDR-XU30FY</v>
      </c>
      <c r="B407" s="29" t="s">
        <v>665</v>
      </c>
      <c r="C407" s="28" t="s">
        <v>655</v>
      </c>
      <c r="D407" s="28" t="s">
        <v>134</v>
      </c>
      <c r="E407" s="4" t="s">
        <v>111</v>
      </c>
      <c r="F407" s="28"/>
      <c r="G407" s="4"/>
      <c r="H407" s="4">
        <f>SUMIFS(X!$F$5:$F$2005,X!$D$5:$D$2005,'CEK CICI'!A407)</f>
        <v>0</v>
      </c>
      <c r="I407" s="4">
        <f>SUMIFS(PENJUALAN!$E$4:$E$4288,PENJUALAN!$C$4:$C$4288,'CEK CICI'!A407)</f>
        <v>0</v>
      </c>
      <c r="J407" s="16">
        <f t="shared" si="2"/>
        <v>0</v>
      </c>
      <c r="K407" s="4"/>
      <c r="L407" s="4"/>
      <c r="M407" s="4"/>
      <c r="N407" s="4"/>
    </row>
    <row r="408" ht="13.5" hidden="1" customHeight="1">
      <c r="A408" s="4" t="str">
        <f t="shared" si="1"/>
        <v>RVL-XU30FY</v>
      </c>
      <c r="B408" s="29" t="s">
        <v>666</v>
      </c>
      <c r="C408" s="28" t="s">
        <v>655</v>
      </c>
      <c r="D408" s="28" t="s">
        <v>387</v>
      </c>
      <c r="E408" s="4" t="s">
        <v>111</v>
      </c>
      <c r="F408" s="28"/>
      <c r="G408" s="4"/>
      <c r="H408" s="4">
        <f>SUMIFS(X!$F$5:$F$2005,X!$D$5:$D$2005,'CEK CICI'!A408)</f>
        <v>1</v>
      </c>
      <c r="I408" s="4">
        <f>SUMIFS(PENJUALAN!$E$4:$E$4288,PENJUALAN!$C$4:$C$4288,'CEK CICI'!A408)</f>
        <v>1</v>
      </c>
      <c r="J408" s="16">
        <f t="shared" si="2"/>
        <v>0</v>
      </c>
      <c r="K408" s="4"/>
      <c r="L408" s="4"/>
      <c r="M408" s="4"/>
      <c r="N408" s="4"/>
    </row>
    <row r="409" ht="13.5" hidden="1" customHeight="1">
      <c r="A409" s="4" t="str">
        <f t="shared" si="1"/>
        <v>RVR-XU30FY</v>
      </c>
      <c r="B409" s="29" t="s">
        <v>667</v>
      </c>
      <c r="C409" s="28" t="s">
        <v>655</v>
      </c>
      <c r="D409" s="28" t="s">
        <v>389</v>
      </c>
      <c r="E409" s="4" t="s">
        <v>111</v>
      </c>
      <c r="F409" s="28"/>
      <c r="G409" s="4"/>
      <c r="H409" s="4">
        <f>SUMIFS(X!$F$5:$F$2005,X!$D$5:$D$2005,'CEK CICI'!A409)</f>
        <v>0</v>
      </c>
      <c r="I409" s="4">
        <f>SUMIFS(PENJUALAN!$E$4:$E$4288,PENJUALAN!$C$4:$C$4288,'CEK CICI'!A409)</f>
        <v>0</v>
      </c>
      <c r="J409" s="16">
        <f t="shared" si="2"/>
        <v>0</v>
      </c>
      <c r="K409" s="4"/>
      <c r="L409" s="4"/>
      <c r="M409" s="4"/>
      <c r="N409" s="4"/>
    </row>
    <row r="410" ht="13.5" hidden="1" customHeight="1">
      <c r="A410" s="4" t="str">
        <f t="shared" si="1"/>
        <v>RQL-XU30FY</v>
      </c>
      <c r="B410" s="29" t="s">
        <v>668</v>
      </c>
      <c r="C410" s="28" t="s">
        <v>655</v>
      </c>
      <c r="D410" s="28" t="s">
        <v>202</v>
      </c>
      <c r="E410" s="4" t="s">
        <v>111</v>
      </c>
      <c r="F410" s="28" t="s">
        <v>97</v>
      </c>
      <c r="G410" s="4"/>
      <c r="H410" s="4">
        <f>SUMIFS(X!$F$5:$F$2005,X!$D$5:$D$2005,'CEK CICI'!A410)</f>
        <v>0</v>
      </c>
      <c r="I410" s="4">
        <f>SUMIFS(PENJUALAN!$E$4:$E$4288,PENJUALAN!$C$4:$C$4288,'CEK CICI'!A410)</f>
        <v>0</v>
      </c>
      <c r="J410" s="16">
        <f t="shared" si="2"/>
        <v>0</v>
      </c>
      <c r="K410" s="4"/>
      <c r="L410" s="4"/>
      <c r="M410" s="4"/>
      <c r="N410" s="4"/>
    </row>
    <row r="411" ht="13.5" hidden="1" customHeight="1">
      <c r="A411" s="4" t="str">
        <f t="shared" si="1"/>
        <v>RQR-XU30FY</v>
      </c>
      <c r="B411" s="29" t="s">
        <v>669</v>
      </c>
      <c r="C411" s="28" t="s">
        <v>655</v>
      </c>
      <c r="D411" s="28" t="s">
        <v>236</v>
      </c>
      <c r="E411" s="4" t="s">
        <v>111</v>
      </c>
      <c r="F411" s="28" t="s">
        <v>97</v>
      </c>
      <c r="G411" s="4"/>
      <c r="H411" s="4">
        <f>SUMIFS(X!$F$5:$F$2005,X!$D$5:$D$2005,'CEK CICI'!A411)</f>
        <v>0</v>
      </c>
      <c r="I411" s="4">
        <f>SUMIFS(PENJUALAN!$E$4:$E$4288,PENJUALAN!$C$4:$C$4288,'CEK CICI'!A411)</f>
        <v>0</v>
      </c>
      <c r="J411" s="16">
        <f t="shared" si="2"/>
        <v>0</v>
      </c>
      <c r="K411" s="4"/>
      <c r="L411" s="4"/>
      <c r="M411" s="4"/>
      <c r="N411" s="4"/>
    </row>
    <row r="412" ht="13.5" hidden="1" customHeight="1">
      <c r="A412" s="4" t="str">
        <f t="shared" si="1"/>
        <v>LFW-AL10FY</v>
      </c>
      <c r="B412" s="29" t="s">
        <v>670</v>
      </c>
      <c r="C412" s="28" t="s">
        <v>671</v>
      </c>
      <c r="D412" s="28" t="s">
        <v>22</v>
      </c>
      <c r="E412" s="4" t="s">
        <v>111</v>
      </c>
      <c r="F412" s="28" t="s">
        <v>672</v>
      </c>
      <c r="G412" s="4"/>
      <c r="H412" s="4">
        <f>SUMIFS(X!$F$5:$F$2005,X!$D$5:$D$2005,'CEK CICI'!A412)</f>
        <v>0</v>
      </c>
      <c r="I412" s="4">
        <f>SUMIFS(PENJUALAN!$E$4:$E$4288,PENJUALAN!$C$4:$C$4288,'CEK CICI'!A412)</f>
        <v>0</v>
      </c>
      <c r="J412" s="16">
        <f t="shared" si="2"/>
        <v>0</v>
      </c>
      <c r="K412" s="4"/>
      <c r="L412" s="4"/>
      <c r="M412" s="4"/>
      <c r="N412" s="4"/>
    </row>
    <row r="413" ht="13.5" hidden="1" customHeight="1">
      <c r="A413" s="4" t="str">
        <f t="shared" si="1"/>
        <v>TRW-AL10FY</v>
      </c>
      <c r="B413" s="29" t="s">
        <v>673</v>
      </c>
      <c r="C413" s="28" t="s">
        <v>674</v>
      </c>
      <c r="D413" s="28" t="s">
        <v>41</v>
      </c>
      <c r="E413" s="4" t="s">
        <v>111</v>
      </c>
      <c r="F413" s="28" t="s">
        <v>114</v>
      </c>
      <c r="G413" s="4"/>
      <c r="H413" s="4">
        <f>SUMIFS(X!$F$5:$F$2005,X!$D$5:$D$2005,'CEK CICI'!A413)</f>
        <v>0</v>
      </c>
      <c r="I413" s="4">
        <f>SUMIFS(PENJUALAN!$E$4:$E$4288,PENJUALAN!$C$4:$C$4288,'CEK CICI'!A413)</f>
        <v>0</v>
      </c>
      <c r="J413" s="16">
        <f t="shared" si="2"/>
        <v>0</v>
      </c>
      <c r="K413" s="4"/>
      <c r="L413" s="4"/>
      <c r="M413" s="4"/>
      <c r="N413" s="4"/>
    </row>
    <row r="414" ht="13.5" hidden="1" customHeight="1">
      <c r="A414" s="4" t="str">
        <f t="shared" si="1"/>
        <v>LFW-CU6FY</v>
      </c>
      <c r="B414" s="29" t="s">
        <v>675</v>
      </c>
      <c r="C414" s="28" t="s">
        <v>676</v>
      </c>
      <c r="D414" s="28" t="s">
        <v>22</v>
      </c>
      <c r="E414" s="4" t="s">
        <v>111</v>
      </c>
      <c r="F414" s="28" t="s">
        <v>75</v>
      </c>
      <c r="G414" s="4"/>
      <c r="H414" s="4">
        <f>SUMIFS(X!$F$5:$F$2005,X!$D$5:$D$2005,'CEK CICI'!A414)</f>
        <v>0</v>
      </c>
      <c r="I414" s="4">
        <f>SUMIFS(PENJUALAN!$E$4:$E$4288,PENJUALAN!$C$4:$C$4288,'CEK CICI'!A414)</f>
        <v>0</v>
      </c>
      <c r="J414" s="16">
        <f t="shared" si="2"/>
        <v>0</v>
      </c>
      <c r="K414" s="4"/>
      <c r="L414" s="4"/>
      <c r="M414" s="4"/>
      <c r="N414" s="4"/>
    </row>
    <row r="415" ht="13.5" hidden="1" customHeight="1">
      <c r="A415" s="4" t="str">
        <f t="shared" si="1"/>
        <v>TRW-CU6FY</v>
      </c>
      <c r="B415" s="29" t="s">
        <v>677</v>
      </c>
      <c r="C415" s="28" t="s">
        <v>678</v>
      </c>
      <c r="D415" s="28" t="s">
        <v>41</v>
      </c>
      <c r="E415" s="4" t="s">
        <v>111</v>
      </c>
      <c r="F415" s="28" t="s">
        <v>221</v>
      </c>
      <c r="G415" s="4"/>
      <c r="H415" s="4">
        <f>SUMIFS(X!$F$5:$F$2005,X!$D$5:$D$2005,'CEK CICI'!A415)</f>
        <v>0</v>
      </c>
      <c r="I415" s="4">
        <f>SUMIFS(PENJUALAN!$E$4:$E$4288,PENJUALAN!$C$4:$C$4288,'CEK CICI'!A415)</f>
        <v>0</v>
      </c>
      <c r="J415" s="16">
        <f t="shared" si="2"/>
        <v>0</v>
      </c>
      <c r="K415" s="4"/>
      <c r="L415" s="4"/>
      <c r="M415" s="4"/>
      <c r="N415" s="4"/>
    </row>
    <row r="416" ht="13.5" hidden="1" customHeight="1">
      <c r="A416" s="4" t="str">
        <f t="shared" si="1"/>
        <v>RDL-CU6FY</v>
      </c>
      <c r="B416" s="29" t="s">
        <v>679</v>
      </c>
      <c r="C416" s="28" t="s">
        <v>678</v>
      </c>
      <c r="D416" s="28" t="s">
        <v>132</v>
      </c>
      <c r="E416" s="4" t="s">
        <v>111</v>
      </c>
      <c r="F416" s="28"/>
      <c r="G416" s="4"/>
      <c r="H416" s="4">
        <f>SUMIFS(X!$F$5:$F$2005,X!$D$5:$D$2005,'CEK CICI'!A416)</f>
        <v>0</v>
      </c>
      <c r="I416" s="4">
        <f>SUMIFS(PENJUALAN!$E$4:$E$4288,PENJUALAN!$C$4:$C$4288,'CEK CICI'!A416)</f>
        <v>0</v>
      </c>
      <c r="J416" s="16">
        <f t="shared" si="2"/>
        <v>0</v>
      </c>
      <c r="K416" s="4"/>
      <c r="L416" s="4"/>
      <c r="M416" s="4"/>
      <c r="N416" s="4"/>
    </row>
    <row r="417" ht="13.5" hidden="1" customHeight="1">
      <c r="A417" s="4" t="str">
        <f t="shared" si="1"/>
        <v>RDR-CU6FY</v>
      </c>
      <c r="B417" s="29" t="s">
        <v>680</v>
      </c>
      <c r="C417" s="28" t="s">
        <v>678</v>
      </c>
      <c r="D417" s="28" t="s">
        <v>134</v>
      </c>
      <c r="E417" s="4" t="s">
        <v>111</v>
      </c>
      <c r="F417" s="28"/>
      <c r="G417" s="4"/>
      <c r="H417" s="4">
        <f>SUMIFS(X!$F$5:$F$2005,X!$D$5:$D$2005,'CEK CICI'!A417)</f>
        <v>0</v>
      </c>
      <c r="I417" s="4">
        <f>SUMIFS(PENJUALAN!$E$4:$E$4288,PENJUALAN!$C$4:$C$4288,'CEK CICI'!A417)</f>
        <v>0</v>
      </c>
      <c r="J417" s="16">
        <f t="shared" si="2"/>
        <v>0</v>
      </c>
      <c r="K417" s="4"/>
      <c r="L417" s="4"/>
      <c r="M417" s="4"/>
      <c r="N417" s="4"/>
    </row>
    <row r="418" ht="13.5" hidden="1" customHeight="1">
      <c r="A418" s="4" t="str">
        <f t="shared" si="1"/>
        <v>RVL-CU6FY</v>
      </c>
      <c r="B418" s="29" t="s">
        <v>681</v>
      </c>
      <c r="C418" s="28" t="s">
        <v>678</v>
      </c>
      <c r="D418" s="28" t="s">
        <v>387</v>
      </c>
      <c r="E418" s="4" t="s">
        <v>111</v>
      </c>
      <c r="F418" s="28"/>
      <c r="G418" s="4"/>
      <c r="H418" s="4">
        <f>SUMIFS(X!$F$5:$F$2005,X!$D$5:$D$2005,'CEK CICI'!A418)</f>
        <v>0</v>
      </c>
      <c r="I418" s="4">
        <f>SUMIFS(PENJUALAN!$E$4:$E$4288,PENJUALAN!$C$4:$C$4288,'CEK CICI'!A418)</f>
        <v>0</v>
      </c>
      <c r="J418" s="16">
        <f t="shared" si="2"/>
        <v>0</v>
      </c>
      <c r="K418" s="4"/>
      <c r="L418" s="4"/>
      <c r="M418" s="4"/>
      <c r="N418" s="4"/>
    </row>
    <row r="419" ht="13.5" hidden="1" customHeight="1">
      <c r="A419" s="4" t="str">
        <f t="shared" si="1"/>
        <v>RVR-CU6FY</v>
      </c>
      <c r="B419" s="29" t="s">
        <v>682</v>
      </c>
      <c r="C419" s="28" t="s">
        <v>678</v>
      </c>
      <c r="D419" s="28" t="s">
        <v>389</v>
      </c>
      <c r="E419" s="4" t="s">
        <v>111</v>
      </c>
      <c r="F419" s="28"/>
      <c r="G419" s="4"/>
      <c r="H419" s="4">
        <f>SUMIFS(X!$F$5:$F$2005,X!$D$5:$D$2005,'CEK CICI'!A419)</f>
        <v>0</v>
      </c>
      <c r="I419" s="4">
        <f>SUMIFS(PENJUALAN!$E$4:$E$4288,PENJUALAN!$C$4:$C$4288,'CEK CICI'!A419)</f>
        <v>0</v>
      </c>
      <c r="J419" s="16">
        <f t="shared" si="2"/>
        <v>0</v>
      </c>
      <c r="K419" s="4"/>
      <c r="L419" s="4"/>
      <c r="M419" s="4"/>
      <c r="N419" s="4"/>
    </row>
    <row r="420" ht="13.5" hidden="1" customHeight="1">
      <c r="A420" s="4" t="str">
        <f t="shared" si="1"/>
        <v>RQL-CU6FY</v>
      </c>
      <c r="B420" s="29" t="s">
        <v>683</v>
      </c>
      <c r="C420" s="28" t="s">
        <v>678</v>
      </c>
      <c r="D420" s="28" t="s">
        <v>202</v>
      </c>
      <c r="E420" s="4" t="s">
        <v>111</v>
      </c>
      <c r="F420" s="28" t="s">
        <v>97</v>
      </c>
      <c r="G420" s="4"/>
      <c r="H420" s="4">
        <f>SUMIFS(X!$F$5:$F$2005,X!$D$5:$D$2005,'CEK CICI'!A420)</f>
        <v>0</v>
      </c>
      <c r="I420" s="4">
        <f>SUMIFS(PENJUALAN!$E$4:$E$4288,PENJUALAN!$C$4:$C$4288,'CEK CICI'!A420)</f>
        <v>0</v>
      </c>
      <c r="J420" s="16">
        <f t="shared" si="2"/>
        <v>0</v>
      </c>
      <c r="K420" s="4"/>
      <c r="L420" s="4"/>
      <c r="M420" s="4"/>
      <c r="N420" s="4"/>
    </row>
    <row r="421" ht="13.5" hidden="1" customHeight="1">
      <c r="A421" s="4" t="str">
        <f t="shared" si="1"/>
        <v>RQR-CU6FY</v>
      </c>
      <c r="B421" s="29" t="s">
        <v>684</v>
      </c>
      <c r="C421" s="28" t="s">
        <v>678</v>
      </c>
      <c r="D421" s="28" t="s">
        <v>236</v>
      </c>
      <c r="E421" s="4" t="s">
        <v>111</v>
      </c>
      <c r="F421" s="28" t="s">
        <v>97</v>
      </c>
      <c r="G421" s="4"/>
      <c r="H421" s="4">
        <f>SUMIFS(X!$F$5:$F$2005,X!$D$5:$D$2005,'CEK CICI'!A421)</f>
        <v>0</v>
      </c>
      <c r="I421" s="4">
        <f>SUMIFS(PENJUALAN!$E$4:$E$4288,PENJUALAN!$C$4:$C$4288,'CEK CICI'!A421)</f>
        <v>0</v>
      </c>
      <c r="J421" s="16">
        <f t="shared" si="2"/>
        <v>0</v>
      </c>
      <c r="K421" s="4"/>
      <c r="L421" s="4"/>
      <c r="M421" s="4"/>
      <c r="N421" s="4"/>
    </row>
    <row r="422" ht="13.5" hidden="1" customHeight="1">
      <c r="A422" s="4" t="str">
        <f t="shared" si="1"/>
        <v>LFW-MAZDA209FY</v>
      </c>
      <c r="B422" s="29" t="s">
        <v>685</v>
      </c>
      <c r="C422" s="28" t="s">
        <v>686</v>
      </c>
      <c r="D422" s="28" t="s">
        <v>22</v>
      </c>
      <c r="E422" s="4" t="s">
        <v>111</v>
      </c>
      <c r="F422" s="28" t="s">
        <v>125</v>
      </c>
      <c r="G422" s="4"/>
      <c r="H422" s="4">
        <f>SUMIFS(X!$F$5:$F$2005,X!$D$5:$D$2005,'CEK CICI'!A422)</f>
        <v>0</v>
      </c>
      <c r="I422" s="4">
        <f>SUMIFS(PENJUALAN!$E$4:$E$4288,PENJUALAN!$C$4:$C$4288,'CEK CICI'!A422)</f>
        <v>0</v>
      </c>
      <c r="J422" s="16">
        <f t="shared" si="2"/>
        <v>0</v>
      </c>
      <c r="K422" s="4"/>
      <c r="L422" s="4"/>
      <c r="M422" s="4"/>
      <c r="N422" s="4"/>
    </row>
    <row r="423" ht="13.5" hidden="1" customHeight="1">
      <c r="A423" s="4" t="str">
        <f t="shared" si="1"/>
        <v>TRW-MAZDA209FY</v>
      </c>
      <c r="B423" s="29" t="s">
        <v>687</v>
      </c>
      <c r="C423" s="28" t="s">
        <v>688</v>
      </c>
      <c r="D423" s="28" t="s">
        <v>41</v>
      </c>
      <c r="E423" s="4" t="s">
        <v>111</v>
      </c>
      <c r="F423" s="28" t="s">
        <v>67</v>
      </c>
      <c r="G423" s="4"/>
      <c r="H423" s="4">
        <f>SUMIFS(X!$F$5:$F$2005,X!$D$5:$D$2005,'CEK CICI'!A423)</f>
        <v>0</v>
      </c>
      <c r="I423" s="4">
        <f>SUMIFS(PENJUALAN!$E$4:$E$4288,PENJUALAN!$C$4:$C$4288,'CEK CICI'!A423)</f>
        <v>0</v>
      </c>
      <c r="J423" s="16">
        <f t="shared" si="2"/>
        <v>0</v>
      </c>
      <c r="K423" s="4"/>
      <c r="L423" s="4"/>
      <c r="M423" s="4"/>
      <c r="N423" s="4"/>
    </row>
    <row r="424" ht="13.5" hidden="1" customHeight="1">
      <c r="A424" s="4" t="str">
        <f t="shared" si="1"/>
        <v>FDL-MAZDA209FY</v>
      </c>
      <c r="B424" s="29" t="s">
        <v>689</v>
      </c>
      <c r="C424" s="28" t="s">
        <v>688</v>
      </c>
      <c r="D424" s="28" t="s">
        <v>128</v>
      </c>
      <c r="E424" s="4" t="s">
        <v>111</v>
      </c>
      <c r="F424" s="28" t="s">
        <v>141</v>
      </c>
      <c r="G424" s="4"/>
      <c r="H424" s="4">
        <f>SUMIFS(X!$F$5:$F$2005,X!$D$5:$D$2005,'CEK CICI'!A424)</f>
        <v>0</v>
      </c>
      <c r="I424" s="4">
        <f>SUMIFS(PENJUALAN!$E$4:$E$4288,PENJUALAN!$C$4:$C$4288,'CEK CICI'!A424)</f>
        <v>0</v>
      </c>
      <c r="J424" s="16">
        <f t="shared" si="2"/>
        <v>0</v>
      </c>
      <c r="K424" s="4"/>
      <c r="L424" s="4"/>
      <c r="M424" s="4"/>
      <c r="N424" s="4"/>
    </row>
    <row r="425" ht="13.5" hidden="1" customHeight="1">
      <c r="A425" s="4" t="str">
        <f t="shared" si="1"/>
        <v>FDR-MAZDA209FY</v>
      </c>
      <c r="B425" s="29" t="s">
        <v>690</v>
      </c>
      <c r="C425" s="28" t="s">
        <v>688</v>
      </c>
      <c r="D425" s="28" t="s">
        <v>130</v>
      </c>
      <c r="E425" s="4" t="s">
        <v>111</v>
      </c>
      <c r="F425" s="28" t="s">
        <v>141</v>
      </c>
      <c r="G425" s="4"/>
      <c r="H425" s="4">
        <f>SUMIFS(X!$F$5:$F$2005,X!$D$5:$D$2005,'CEK CICI'!A425)</f>
        <v>0</v>
      </c>
      <c r="I425" s="4">
        <f>SUMIFS(PENJUALAN!$E$4:$E$4288,PENJUALAN!$C$4:$C$4288,'CEK CICI'!A425)</f>
        <v>0</v>
      </c>
      <c r="J425" s="16">
        <f t="shared" si="2"/>
        <v>0</v>
      </c>
      <c r="K425" s="4"/>
      <c r="L425" s="4"/>
      <c r="M425" s="4"/>
      <c r="N425" s="4"/>
    </row>
    <row r="426" ht="13.5" hidden="1" customHeight="1">
      <c r="A426" s="4" t="str">
        <f t="shared" si="1"/>
        <v>RDL-MAZDA209FY</v>
      </c>
      <c r="B426" s="29" t="s">
        <v>691</v>
      </c>
      <c r="C426" s="28" t="s">
        <v>688</v>
      </c>
      <c r="D426" s="28" t="s">
        <v>132</v>
      </c>
      <c r="E426" s="4" t="s">
        <v>111</v>
      </c>
      <c r="F426" s="28" t="s">
        <v>141</v>
      </c>
      <c r="G426" s="4"/>
      <c r="H426" s="4">
        <f>SUMIFS(X!$F$5:$F$2005,X!$D$5:$D$2005,'CEK CICI'!A426)</f>
        <v>0</v>
      </c>
      <c r="I426" s="4">
        <f>SUMIFS(PENJUALAN!$E$4:$E$4288,PENJUALAN!$C$4:$C$4288,'CEK CICI'!A426)</f>
        <v>0</v>
      </c>
      <c r="J426" s="16">
        <f t="shared" si="2"/>
        <v>0</v>
      </c>
      <c r="K426" s="4"/>
      <c r="L426" s="4"/>
      <c r="M426" s="4"/>
      <c r="N426" s="4"/>
    </row>
    <row r="427" ht="13.5" hidden="1" customHeight="1">
      <c r="A427" s="4" t="str">
        <f t="shared" si="1"/>
        <v>RDR-MAZDA209FY</v>
      </c>
      <c r="B427" s="29" t="s">
        <v>692</v>
      </c>
      <c r="C427" s="28" t="s">
        <v>688</v>
      </c>
      <c r="D427" s="28" t="s">
        <v>134</v>
      </c>
      <c r="E427" s="4" t="s">
        <v>111</v>
      </c>
      <c r="F427" s="28" t="s">
        <v>141</v>
      </c>
      <c r="G427" s="4"/>
      <c r="H427" s="4">
        <f>SUMIFS(X!$F$5:$F$2005,X!$D$5:$D$2005,'CEK CICI'!A427)</f>
        <v>0</v>
      </c>
      <c r="I427" s="4">
        <f>SUMIFS(PENJUALAN!$E$4:$E$4288,PENJUALAN!$C$4:$C$4288,'CEK CICI'!A427)</f>
        <v>0</v>
      </c>
      <c r="J427" s="16">
        <f t="shared" si="2"/>
        <v>0</v>
      </c>
      <c r="K427" s="4"/>
      <c r="L427" s="4"/>
      <c r="M427" s="4"/>
      <c r="N427" s="4"/>
    </row>
    <row r="428" ht="13.5" hidden="1" customHeight="1">
      <c r="A428" s="4" t="str">
        <f t="shared" si="1"/>
        <v>LFW-MAZDA214FY</v>
      </c>
      <c r="B428" s="29" t="s">
        <v>693</v>
      </c>
      <c r="C428" s="28" t="s">
        <v>694</v>
      </c>
      <c r="D428" s="28" t="s">
        <v>22</v>
      </c>
      <c r="E428" s="4" t="s">
        <v>111</v>
      </c>
      <c r="F428" s="28" t="s">
        <v>125</v>
      </c>
      <c r="G428" s="4"/>
      <c r="H428" s="4">
        <f>SUMIFS(X!$F$5:$F$2005,X!$D$5:$D$2005,'CEK CICI'!A428)</f>
        <v>0</v>
      </c>
      <c r="I428" s="4">
        <f>SUMIFS(PENJUALAN!$E$4:$E$4288,PENJUALAN!$C$4:$C$4288,'CEK CICI'!A428)</f>
        <v>0</v>
      </c>
      <c r="J428" s="16">
        <f t="shared" si="2"/>
        <v>0</v>
      </c>
      <c r="K428" s="4"/>
      <c r="L428" s="4"/>
      <c r="M428" s="4"/>
      <c r="N428" s="4"/>
    </row>
    <row r="429" ht="13.5" hidden="1" customHeight="1">
      <c r="A429" s="4" t="str">
        <f t="shared" si="1"/>
        <v>LFW-MAZDA214RSFY</v>
      </c>
      <c r="B429" s="29" t="s">
        <v>695</v>
      </c>
      <c r="C429" s="28" t="s">
        <v>696</v>
      </c>
      <c r="D429" s="28" t="s">
        <v>22</v>
      </c>
      <c r="E429" s="4" t="s">
        <v>111</v>
      </c>
      <c r="F429" s="28" t="s">
        <v>697</v>
      </c>
      <c r="G429" s="4"/>
      <c r="H429" s="4">
        <f>SUMIFS(X!$F$5:$F$2005,X!$D$5:$D$2005,'CEK CICI'!A429)</f>
        <v>0</v>
      </c>
      <c r="I429" s="4">
        <f>SUMIFS(PENJUALAN!$E$4:$E$4288,PENJUALAN!$C$4:$C$4288,'CEK CICI'!A429)</f>
        <v>0</v>
      </c>
      <c r="J429" s="16">
        <f t="shared" si="2"/>
        <v>0</v>
      </c>
      <c r="K429" s="4"/>
      <c r="L429" s="4"/>
      <c r="M429" s="4"/>
      <c r="N429" s="4"/>
    </row>
    <row r="430" ht="13.5" hidden="1" customHeight="1">
      <c r="A430" s="4" t="str">
        <f t="shared" si="1"/>
        <v>TRW-MAZDA214FY</v>
      </c>
      <c r="B430" s="29" t="s">
        <v>698</v>
      </c>
      <c r="C430" s="28" t="s">
        <v>699</v>
      </c>
      <c r="D430" s="30" t="s">
        <v>41</v>
      </c>
      <c r="E430" s="4" t="s">
        <v>111</v>
      </c>
      <c r="F430" s="28" t="s">
        <v>67</v>
      </c>
      <c r="G430" s="4"/>
      <c r="H430" s="4">
        <f>SUMIFS(X!$F$5:$F$2005,X!$D$5:$D$2005,'CEK CICI'!A430)</f>
        <v>0</v>
      </c>
      <c r="I430" s="4">
        <f>SUMIFS(PENJUALAN!$E$4:$E$4288,PENJUALAN!$C$4:$C$4288,'CEK CICI'!A430)</f>
        <v>0</v>
      </c>
      <c r="J430" s="16">
        <f t="shared" si="2"/>
        <v>0</v>
      </c>
      <c r="K430" s="4"/>
      <c r="L430" s="4"/>
      <c r="M430" s="4"/>
      <c r="N430" s="4"/>
    </row>
    <row r="431" ht="13.5" hidden="1" customHeight="1">
      <c r="A431" s="4" t="str">
        <f t="shared" si="1"/>
        <v>FDL-MAZDA214FY</v>
      </c>
      <c r="B431" s="29" t="s">
        <v>700</v>
      </c>
      <c r="C431" s="28" t="s">
        <v>699</v>
      </c>
      <c r="D431" s="28" t="s">
        <v>128</v>
      </c>
      <c r="E431" s="4" t="s">
        <v>111</v>
      </c>
      <c r="F431" s="28" t="s">
        <v>397</v>
      </c>
      <c r="G431" s="4"/>
      <c r="H431" s="4">
        <f>SUMIFS(X!$F$5:$F$2005,X!$D$5:$D$2005,'CEK CICI'!A431)</f>
        <v>0</v>
      </c>
      <c r="I431" s="4">
        <f>SUMIFS(PENJUALAN!$E$4:$E$4288,PENJUALAN!$C$4:$C$4288,'CEK CICI'!A431)</f>
        <v>0</v>
      </c>
      <c r="J431" s="16">
        <f t="shared" si="2"/>
        <v>0</v>
      </c>
      <c r="K431" s="4"/>
      <c r="L431" s="4"/>
      <c r="M431" s="4"/>
      <c r="N431" s="4"/>
    </row>
    <row r="432" ht="13.5" hidden="1" customHeight="1">
      <c r="A432" s="4" t="str">
        <f t="shared" si="1"/>
        <v>FDR-MAZDA214FY</v>
      </c>
      <c r="B432" s="29" t="s">
        <v>701</v>
      </c>
      <c r="C432" s="28" t="s">
        <v>699</v>
      </c>
      <c r="D432" s="28" t="s">
        <v>130</v>
      </c>
      <c r="E432" s="4" t="s">
        <v>111</v>
      </c>
      <c r="F432" s="28" t="s">
        <v>397</v>
      </c>
      <c r="G432" s="4"/>
      <c r="H432" s="4">
        <f>SUMIFS(X!$F$5:$F$2005,X!$D$5:$D$2005,'CEK CICI'!A432)</f>
        <v>0</v>
      </c>
      <c r="I432" s="4">
        <f>SUMIFS(PENJUALAN!$E$4:$E$4288,PENJUALAN!$C$4:$C$4288,'CEK CICI'!A432)</f>
        <v>0</v>
      </c>
      <c r="J432" s="16">
        <f t="shared" si="2"/>
        <v>0</v>
      </c>
      <c r="K432" s="4"/>
      <c r="L432" s="4"/>
      <c r="M432" s="4"/>
      <c r="N432" s="4"/>
    </row>
    <row r="433" ht="13.5" hidden="1" customHeight="1">
      <c r="A433" s="4" t="str">
        <f t="shared" si="1"/>
        <v>RDL-MAZDA214FY</v>
      </c>
      <c r="B433" s="29" t="s">
        <v>702</v>
      </c>
      <c r="C433" s="28" t="s">
        <v>699</v>
      </c>
      <c r="D433" s="28" t="s">
        <v>132</v>
      </c>
      <c r="E433" s="4" t="s">
        <v>111</v>
      </c>
      <c r="F433" s="28"/>
      <c r="G433" s="4"/>
      <c r="H433" s="4">
        <f>SUMIFS(X!$F$5:$F$2005,X!$D$5:$D$2005,'CEK CICI'!A433)</f>
        <v>0</v>
      </c>
      <c r="I433" s="4">
        <f>SUMIFS(PENJUALAN!$E$4:$E$4288,PENJUALAN!$C$4:$C$4288,'CEK CICI'!A433)</f>
        <v>0</v>
      </c>
      <c r="J433" s="16">
        <f t="shared" si="2"/>
        <v>0</v>
      </c>
      <c r="K433" s="4"/>
      <c r="L433" s="4"/>
      <c r="M433" s="4"/>
      <c r="N433" s="4"/>
    </row>
    <row r="434" ht="13.5" hidden="1" customHeight="1">
      <c r="A434" s="4" t="str">
        <f t="shared" si="1"/>
        <v>RDR-MAZDA214FY</v>
      </c>
      <c r="B434" s="29" t="s">
        <v>703</v>
      </c>
      <c r="C434" s="28" t="s">
        <v>699</v>
      </c>
      <c r="D434" s="28" t="s">
        <v>134</v>
      </c>
      <c r="E434" s="4" t="s">
        <v>111</v>
      </c>
      <c r="F434" s="28"/>
      <c r="G434" s="4"/>
      <c r="H434" s="4">
        <f>SUMIFS(X!$F$5:$F$2005,X!$D$5:$D$2005,'CEK CICI'!A434)</f>
        <v>0</v>
      </c>
      <c r="I434" s="4">
        <f>SUMIFS(PENJUALAN!$E$4:$E$4288,PENJUALAN!$C$4:$C$4288,'CEK CICI'!A434)</f>
        <v>0</v>
      </c>
      <c r="J434" s="16">
        <f t="shared" si="2"/>
        <v>0</v>
      </c>
      <c r="K434" s="4"/>
      <c r="L434" s="4"/>
      <c r="M434" s="4"/>
      <c r="N434" s="4"/>
    </row>
    <row r="435" ht="13.5" hidden="1" customHeight="1">
      <c r="A435" s="4" t="str">
        <f t="shared" si="1"/>
        <v>LFW-MAZDA602FY</v>
      </c>
      <c r="B435" s="29" t="s">
        <v>704</v>
      </c>
      <c r="C435" s="28" t="s">
        <v>705</v>
      </c>
      <c r="D435" s="28" t="s">
        <v>22</v>
      </c>
      <c r="E435" s="4" t="s">
        <v>111</v>
      </c>
      <c r="F435" s="28" t="s">
        <v>125</v>
      </c>
      <c r="G435" s="4"/>
      <c r="H435" s="4">
        <f>SUMIFS(X!$F$5:$F$2005,X!$D$5:$D$2005,'CEK CICI'!A435)</f>
        <v>0</v>
      </c>
      <c r="I435" s="4">
        <f>SUMIFS(PENJUALAN!$E$4:$E$4288,PENJUALAN!$C$4:$C$4288,'CEK CICI'!A435)</f>
        <v>0</v>
      </c>
      <c r="J435" s="16">
        <f t="shared" si="2"/>
        <v>0</v>
      </c>
      <c r="K435" s="4"/>
      <c r="L435" s="4"/>
      <c r="M435" s="4"/>
      <c r="N435" s="4"/>
    </row>
    <row r="436" ht="13.5" hidden="1" customHeight="1">
      <c r="A436" s="4" t="str">
        <f t="shared" si="1"/>
        <v>TRW-MAZDA602FY</v>
      </c>
      <c r="B436" s="29" t="s">
        <v>706</v>
      </c>
      <c r="C436" s="28" t="s">
        <v>705</v>
      </c>
      <c r="D436" s="28" t="s">
        <v>41</v>
      </c>
      <c r="E436" s="4" t="s">
        <v>111</v>
      </c>
      <c r="F436" s="28" t="s">
        <v>114</v>
      </c>
      <c r="G436" s="4"/>
      <c r="H436" s="4">
        <f>SUMIFS(X!$F$5:$F$2005,X!$D$5:$D$2005,'CEK CICI'!A436)</f>
        <v>0</v>
      </c>
      <c r="I436" s="4">
        <f>SUMIFS(PENJUALAN!$E$4:$E$4288,PENJUALAN!$C$4:$C$4288,'CEK CICI'!A436)</f>
        <v>0</v>
      </c>
      <c r="J436" s="16">
        <f t="shared" si="2"/>
        <v>0</v>
      </c>
      <c r="K436" s="4"/>
      <c r="L436" s="4"/>
      <c r="M436" s="4"/>
      <c r="N436" s="4"/>
    </row>
    <row r="437" ht="13.5" hidden="1" customHeight="1">
      <c r="A437" s="4" t="str">
        <f t="shared" si="1"/>
        <v>LFW-MAZDA608FY</v>
      </c>
      <c r="B437" s="29" t="s">
        <v>707</v>
      </c>
      <c r="C437" s="28" t="s">
        <v>708</v>
      </c>
      <c r="D437" s="28" t="s">
        <v>22</v>
      </c>
      <c r="E437" s="4" t="s">
        <v>111</v>
      </c>
      <c r="F437" s="28" t="s">
        <v>125</v>
      </c>
      <c r="G437" s="4"/>
      <c r="H437" s="4">
        <f>SUMIFS(X!$F$5:$F$2005,X!$D$5:$D$2005,'CEK CICI'!A437)</f>
        <v>0</v>
      </c>
      <c r="I437" s="4">
        <f>SUMIFS(PENJUALAN!$E$4:$E$4288,PENJUALAN!$C$4:$C$4288,'CEK CICI'!A437)</f>
        <v>0</v>
      </c>
      <c r="J437" s="16">
        <f t="shared" si="2"/>
        <v>0</v>
      </c>
      <c r="K437" s="4"/>
      <c r="L437" s="4"/>
      <c r="M437" s="4"/>
      <c r="N437" s="4"/>
    </row>
    <row r="438" ht="13.5" hidden="1" customHeight="1">
      <c r="A438" s="4" t="str">
        <f t="shared" si="1"/>
        <v>TRW-MAZDA608FY</v>
      </c>
      <c r="B438" s="29" t="s">
        <v>709</v>
      </c>
      <c r="C438" s="28" t="s">
        <v>708</v>
      </c>
      <c r="D438" s="28" t="s">
        <v>41</v>
      </c>
      <c r="E438" s="4" t="s">
        <v>111</v>
      </c>
      <c r="F438" s="28" t="s">
        <v>67</v>
      </c>
      <c r="G438" s="4"/>
      <c r="H438" s="4">
        <f>SUMIFS(X!$F$5:$F$2005,X!$D$5:$D$2005,'CEK CICI'!A438)</f>
        <v>0</v>
      </c>
      <c r="I438" s="4">
        <f>SUMIFS(PENJUALAN!$E$4:$E$4288,PENJUALAN!$C$4:$C$4288,'CEK CICI'!A438)</f>
        <v>0</v>
      </c>
      <c r="J438" s="16">
        <f t="shared" si="2"/>
        <v>0</v>
      </c>
      <c r="K438" s="4"/>
      <c r="L438" s="4"/>
      <c r="M438" s="4"/>
      <c r="N438" s="4"/>
    </row>
    <row r="439" ht="13.5" hidden="1" customHeight="1">
      <c r="A439" s="4" t="str">
        <f t="shared" si="1"/>
        <v>FDL-MAZDA608FY</v>
      </c>
      <c r="B439" s="29" t="s">
        <v>710</v>
      </c>
      <c r="C439" s="28" t="s">
        <v>708</v>
      </c>
      <c r="D439" s="28" t="s">
        <v>128</v>
      </c>
      <c r="E439" s="4" t="s">
        <v>111</v>
      </c>
      <c r="F439" s="28"/>
      <c r="G439" s="4"/>
      <c r="H439" s="4">
        <f>SUMIFS(X!$F$5:$F$2005,X!$D$5:$D$2005,'CEK CICI'!A439)</f>
        <v>0</v>
      </c>
      <c r="I439" s="4">
        <f>SUMIFS(PENJUALAN!$E$4:$E$4288,PENJUALAN!$C$4:$C$4288,'CEK CICI'!A439)</f>
        <v>0</v>
      </c>
      <c r="J439" s="16">
        <f t="shared" si="2"/>
        <v>0</v>
      </c>
      <c r="K439" s="4"/>
      <c r="L439" s="4"/>
      <c r="M439" s="4"/>
      <c r="N439" s="4"/>
    </row>
    <row r="440" ht="13.5" hidden="1" customHeight="1">
      <c r="A440" s="4" t="str">
        <f t="shared" si="1"/>
        <v>FDR-MAZDA608FY</v>
      </c>
      <c r="B440" s="29" t="s">
        <v>711</v>
      </c>
      <c r="C440" s="28" t="s">
        <v>708</v>
      </c>
      <c r="D440" s="28" t="s">
        <v>130</v>
      </c>
      <c r="E440" s="4" t="s">
        <v>111</v>
      </c>
      <c r="F440" s="28"/>
      <c r="G440" s="4"/>
      <c r="H440" s="4">
        <f>SUMIFS(X!$F$5:$F$2005,X!$D$5:$D$2005,'CEK CICI'!A440)</f>
        <v>0</v>
      </c>
      <c r="I440" s="4">
        <f>SUMIFS(PENJUALAN!$E$4:$E$4288,PENJUALAN!$C$4:$C$4288,'CEK CICI'!A440)</f>
        <v>0</v>
      </c>
      <c r="J440" s="16">
        <f t="shared" si="2"/>
        <v>0</v>
      </c>
      <c r="K440" s="4"/>
      <c r="L440" s="4"/>
      <c r="M440" s="4"/>
      <c r="N440" s="4"/>
    </row>
    <row r="441" ht="13.5" hidden="1" customHeight="1">
      <c r="A441" s="4" t="str">
        <f t="shared" si="1"/>
        <v>LFW-MAZDA608RSFY</v>
      </c>
      <c r="B441" s="29" t="s">
        <v>712</v>
      </c>
      <c r="C441" s="28" t="s">
        <v>708</v>
      </c>
      <c r="D441" s="28" t="s">
        <v>22</v>
      </c>
      <c r="E441" s="4" t="s">
        <v>111</v>
      </c>
      <c r="F441" s="28" t="s">
        <v>23</v>
      </c>
      <c r="G441" s="4"/>
      <c r="H441" s="4">
        <f>SUMIFS(X!$F$5:$F$2005,X!$D$5:$D$2005,'CEK CICI'!A441)</f>
        <v>0</v>
      </c>
      <c r="I441" s="4">
        <f>SUMIFS(PENJUALAN!$E$4:$E$4288,PENJUALAN!$C$4:$C$4288,'CEK CICI'!A441)</f>
        <v>0</v>
      </c>
      <c r="J441" s="16">
        <f t="shared" si="2"/>
        <v>0</v>
      </c>
      <c r="K441" s="4"/>
      <c r="L441" s="4"/>
      <c r="M441" s="4"/>
      <c r="N441" s="4"/>
    </row>
    <row r="442" ht="13.5" hidden="1" customHeight="1">
      <c r="A442" s="4" t="str">
        <f t="shared" si="1"/>
        <v>LFW-MAZDA612FY</v>
      </c>
      <c r="B442" s="29" t="s">
        <v>713</v>
      </c>
      <c r="C442" s="28" t="s">
        <v>714</v>
      </c>
      <c r="D442" s="28" t="s">
        <v>22</v>
      </c>
      <c r="E442" s="4" t="s">
        <v>111</v>
      </c>
      <c r="F442" s="28" t="s">
        <v>125</v>
      </c>
      <c r="G442" s="4"/>
      <c r="H442" s="4">
        <f>SUMIFS(X!$F$5:$F$2005,X!$D$5:$D$2005,'CEK CICI'!A442)</f>
        <v>0</v>
      </c>
      <c r="I442" s="4">
        <f>SUMIFS(PENJUALAN!$E$4:$E$4288,PENJUALAN!$C$4:$C$4288,'CEK CICI'!A442)</f>
        <v>0</v>
      </c>
      <c r="J442" s="16">
        <f t="shared" si="2"/>
        <v>0</v>
      </c>
      <c r="K442" s="4"/>
      <c r="L442" s="4"/>
      <c r="M442" s="4"/>
      <c r="N442" s="4"/>
    </row>
    <row r="443" ht="13.5" hidden="1" customHeight="1">
      <c r="A443" s="4" t="str">
        <f t="shared" si="1"/>
        <v>LFW-MAZDA612RSFY</v>
      </c>
      <c r="B443" s="29" t="s">
        <v>715</v>
      </c>
      <c r="C443" s="28" t="s">
        <v>714</v>
      </c>
      <c r="D443" s="28" t="s">
        <v>22</v>
      </c>
      <c r="E443" s="4" t="s">
        <v>111</v>
      </c>
      <c r="F443" s="28" t="s">
        <v>75</v>
      </c>
      <c r="G443" s="4"/>
      <c r="H443" s="4">
        <f>SUMIFS(X!$F$5:$F$2005,X!$D$5:$D$2005,'CEK CICI'!A443)</f>
        <v>0</v>
      </c>
      <c r="I443" s="4">
        <f>SUMIFS(PENJUALAN!$E$4:$E$4288,PENJUALAN!$C$4:$C$4288,'CEK CICI'!A443)</f>
        <v>0</v>
      </c>
      <c r="J443" s="16">
        <f t="shared" si="2"/>
        <v>0</v>
      </c>
      <c r="K443" s="4"/>
      <c r="L443" s="4"/>
      <c r="M443" s="4"/>
      <c r="N443" s="4"/>
    </row>
    <row r="444" ht="13.5" hidden="1" customHeight="1">
      <c r="A444" s="4" t="str">
        <f t="shared" si="1"/>
        <v>TRW-MAZDA612FY</v>
      </c>
      <c r="B444" s="29" t="s">
        <v>2100</v>
      </c>
      <c r="C444" s="28" t="s">
        <v>714</v>
      </c>
      <c r="D444" s="28" t="s">
        <v>41</v>
      </c>
      <c r="E444" s="4" t="s">
        <v>111</v>
      </c>
      <c r="F444" s="28" t="s">
        <v>67</v>
      </c>
      <c r="G444" s="4"/>
      <c r="H444" s="4">
        <f>SUMIFS(X!$F$5:$F$2005,X!$D$5:$D$2005,'CEK CICI'!A444)</f>
        <v>1</v>
      </c>
      <c r="I444" s="4">
        <f>SUMIFS(PENJUALAN!$E$4:$E$4288,PENJUALAN!$C$4:$C$4288,'CEK CICI'!A444)</f>
        <v>1</v>
      </c>
      <c r="J444" s="16">
        <f t="shared" si="2"/>
        <v>0</v>
      </c>
      <c r="K444" s="4"/>
      <c r="L444" s="4"/>
      <c r="M444" s="4"/>
      <c r="N444" s="4"/>
    </row>
    <row r="445" ht="13.5" hidden="1" customHeight="1">
      <c r="A445" s="4" t="str">
        <f t="shared" si="1"/>
        <v>FDL-MAZDA612FY</v>
      </c>
      <c r="B445" s="29" t="s">
        <v>720</v>
      </c>
      <c r="C445" s="28" t="s">
        <v>714</v>
      </c>
      <c r="D445" s="28" t="s">
        <v>128</v>
      </c>
      <c r="E445" s="4" t="s">
        <v>111</v>
      </c>
      <c r="F445" s="28"/>
      <c r="G445" s="4"/>
      <c r="H445" s="4">
        <f>SUMIFS(X!$F$5:$F$2005,X!$D$5:$D$2005,'CEK CICI'!A445)</f>
        <v>0</v>
      </c>
      <c r="I445" s="4">
        <f>SUMIFS(PENJUALAN!$E$4:$E$4288,PENJUALAN!$C$4:$C$4288,'CEK CICI'!A445)</f>
        <v>0</v>
      </c>
      <c r="J445" s="16">
        <f t="shared" si="2"/>
        <v>0</v>
      </c>
      <c r="K445" s="4"/>
      <c r="L445" s="4"/>
      <c r="M445" s="4"/>
      <c r="N445" s="4"/>
    </row>
    <row r="446" ht="13.5" hidden="1" customHeight="1">
      <c r="A446" s="4" t="str">
        <f t="shared" si="1"/>
        <v>FDR-MAZDA612FY</v>
      </c>
      <c r="B446" s="29" t="s">
        <v>721</v>
      </c>
      <c r="C446" s="28" t="s">
        <v>714</v>
      </c>
      <c r="D446" s="28" t="s">
        <v>130</v>
      </c>
      <c r="E446" s="4" t="s">
        <v>111</v>
      </c>
      <c r="F446" s="28"/>
      <c r="G446" s="4"/>
      <c r="H446" s="4">
        <f>SUMIFS(X!$F$5:$F$2005,X!$D$5:$D$2005,'CEK CICI'!A446)</f>
        <v>0</v>
      </c>
      <c r="I446" s="4">
        <f>SUMIFS(PENJUALAN!$E$4:$E$4288,PENJUALAN!$C$4:$C$4288,'CEK CICI'!A446)</f>
        <v>0</v>
      </c>
      <c r="J446" s="16">
        <f t="shared" si="2"/>
        <v>0</v>
      </c>
      <c r="K446" s="4"/>
      <c r="L446" s="4"/>
      <c r="M446" s="4"/>
      <c r="N446" s="4"/>
    </row>
    <row r="447" ht="13.5" hidden="1" customHeight="1">
      <c r="A447" s="4" t="str">
        <f t="shared" si="1"/>
        <v>LFW-MAZDA8FY</v>
      </c>
      <c r="B447" s="29" t="s">
        <v>722</v>
      </c>
      <c r="C447" s="28" t="s">
        <v>723</v>
      </c>
      <c r="D447" s="28" t="s">
        <v>22</v>
      </c>
      <c r="E447" s="4" t="s">
        <v>111</v>
      </c>
      <c r="F447" s="28" t="s">
        <v>125</v>
      </c>
      <c r="G447" s="4"/>
      <c r="H447" s="4">
        <f>SUMIFS(X!$F$5:$F$2005,X!$D$5:$D$2005,'CEK CICI'!A447)</f>
        <v>0</v>
      </c>
      <c r="I447" s="4">
        <f>SUMIFS(PENJUALAN!$E$4:$E$4288,PENJUALAN!$C$4:$C$4288,'CEK CICI'!A447)</f>
        <v>0</v>
      </c>
      <c r="J447" s="16">
        <f t="shared" si="2"/>
        <v>0</v>
      </c>
      <c r="K447" s="4"/>
      <c r="L447" s="4"/>
      <c r="M447" s="4"/>
      <c r="N447" s="4"/>
    </row>
    <row r="448" ht="13.5" hidden="1" customHeight="1">
      <c r="A448" s="4" t="str">
        <f t="shared" si="1"/>
        <v>TRW-MAZDA8FY</v>
      </c>
      <c r="B448" s="29" t="s">
        <v>724</v>
      </c>
      <c r="C448" s="28" t="s">
        <v>723</v>
      </c>
      <c r="D448" s="28" t="s">
        <v>41</v>
      </c>
      <c r="E448" s="4" t="s">
        <v>111</v>
      </c>
      <c r="F448" s="28" t="s">
        <v>221</v>
      </c>
      <c r="G448" s="4"/>
      <c r="H448" s="4">
        <f>SUMIFS(X!$F$5:$F$2005,X!$D$5:$D$2005,'CEK CICI'!A448)</f>
        <v>0</v>
      </c>
      <c r="I448" s="4">
        <f>SUMIFS(PENJUALAN!$E$4:$E$4288,PENJUALAN!$C$4:$C$4288,'CEK CICI'!A448)</f>
        <v>0</v>
      </c>
      <c r="J448" s="16">
        <f t="shared" si="2"/>
        <v>0</v>
      </c>
      <c r="K448" s="4"/>
      <c r="L448" s="4"/>
      <c r="M448" s="4"/>
      <c r="N448" s="4"/>
    </row>
    <row r="449" ht="13.5" hidden="1" customHeight="1">
      <c r="A449" s="4" t="str">
        <f t="shared" si="1"/>
        <v>LFW-BIANTERSFY</v>
      </c>
      <c r="B449" s="29" t="s">
        <v>725</v>
      </c>
      <c r="C449" s="28" t="s">
        <v>726</v>
      </c>
      <c r="D449" s="28" t="s">
        <v>22</v>
      </c>
      <c r="E449" s="4" t="s">
        <v>111</v>
      </c>
      <c r="F449" s="28" t="s">
        <v>23</v>
      </c>
      <c r="G449" s="4"/>
      <c r="H449" s="4">
        <f>SUMIFS(X!$F$5:$F$2005,X!$D$5:$D$2005,'CEK CICI'!A449)</f>
        <v>0</v>
      </c>
      <c r="I449" s="4">
        <f>SUMIFS(PENJUALAN!$E$4:$E$4288,PENJUALAN!$C$4:$C$4288,'CEK CICI'!A449)</f>
        <v>0</v>
      </c>
      <c r="J449" s="16">
        <f t="shared" si="2"/>
        <v>0</v>
      </c>
      <c r="K449" s="4"/>
      <c r="L449" s="4"/>
      <c r="M449" s="4"/>
      <c r="N449" s="4"/>
    </row>
    <row r="450" ht="13.5" hidden="1" customHeight="1">
      <c r="A450" s="4" t="str">
        <f t="shared" si="1"/>
        <v>LFW-BIANTEFY</v>
      </c>
      <c r="B450" s="29" t="s">
        <v>727</v>
      </c>
      <c r="C450" s="28" t="s">
        <v>726</v>
      </c>
      <c r="D450" s="28" t="s">
        <v>22</v>
      </c>
      <c r="E450" s="4" t="s">
        <v>111</v>
      </c>
      <c r="F450" s="28" t="s">
        <v>125</v>
      </c>
      <c r="G450" s="4"/>
      <c r="H450" s="4">
        <f>SUMIFS(X!$F$5:$F$2005,X!$D$5:$D$2005,'CEK CICI'!A450)</f>
        <v>0</v>
      </c>
      <c r="I450" s="4">
        <f>SUMIFS(PENJUALAN!$E$4:$E$4288,PENJUALAN!$C$4:$C$4288,'CEK CICI'!A450)</f>
        <v>0</v>
      </c>
      <c r="J450" s="16">
        <f t="shared" si="2"/>
        <v>0</v>
      </c>
      <c r="K450" s="4"/>
      <c r="L450" s="4"/>
      <c r="M450" s="4"/>
      <c r="N450" s="4"/>
    </row>
    <row r="451" ht="13.5" hidden="1" customHeight="1">
      <c r="A451" s="4" t="str">
        <f t="shared" si="1"/>
        <v>TRW-BIANTEFY</v>
      </c>
      <c r="B451" s="29" t="s">
        <v>728</v>
      </c>
      <c r="C451" s="28" t="s">
        <v>726</v>
      </c>
      <c r="D451" s="28" t="s">
        <v>41</v>
      </c>
      <c r="E451" s="4" t="s">
        <v>111</v>
      </c>
      <c r="F451" s="28" t="s">
        <v>221</v>
      </c>
      <c r="G451" s="4"/>
      <c r="H451" s="4">
        <f>SUMIFS(X!$F$5:$F$2005,X!$D$5:$D$2005,'CEK CICI'!A451)</f>
        <v>0</v>
      </c>
      <c r="I451" s="4">
        <f>SUMIFS(PENJUALAN!$E$4:$E$4288,PENJUALAN!$C$4:$C$4288,'CEK CICI'!A451)</f>
        <v>0</v>
      </c>
      <c r="J451" s="16">
        <f t="shared" si="2"/>
        <v>0</v>
      </c>
      <c r="K451" s="4"/>
      <c r="L451" s="4"/>
      <c r="M451" s="4"/>
      <c r="N451" s="4"/>
    </row>
    <row r="452" ht="13.5" hidden="1" customHeight="1">
      <c r="A452" s="4" t="str">
        <f t="shared" si="1"/>
        <v>TRW-BIANTEBLACKFY</v>
      </c>
      <c r="B452" s="29" t="s">
        <v>729</v>
      </c>
      <c r="C452" s="28" t="s">
        <v>730</v>
      </c>
      <c r="D452" s="28" t="s">
        <v>41</v>
      </c>
      <c r="E452" s="4" t="s">
        <v>111</v>
      </c>
      <c r="F452" s="28" t="s">
        <v>439</v>
      </c>
      <c r="G452" s="4"/>
      <c r="H452" s="4">
        <f>SUMIFS(X!$F$5:$F$2005,X!$D$5:$D$2005,'CEK CICI'!A452)</f>
        <v>0</v>
      </c>
      <c r="I452" s="4">
        <f>SUMIFS(PENJUALAN!$E$4:$E$4288,PENJUALAN!$C$4:$C$4288,'CEK CICI'!A452)</f>
        <v>0</v>
      </c>
      <c r="J452" s="16">
        <f t="shared" si="2"/>
        <v>0</v>
      </c>
      <c r="K452" s="4"/>
      <c r="L452" s="4"/>
      <c r="M452" s="4"/>
      <c r="N452" s="4"/>
    </row>
    <row r="453" ht="13.5" hidden="1" customHeight="1">
      <c r="A453" s="4" t="str">
        <f t="shared" si="1"/>
        <v>RDL-BIANTEFY</v>
      </c>
      <c r="B453" s="29" t="s">
        <v>731</v>
      </c>
      <c r="C453" s="28" t="s">
        <v>726</v>
      </c>
      <c r="D453" s="28" t="s">
        <v>132</v>
      </c>
      <c r="E453" s="4" t="s">
        <v>111</v>
      </c>
      <c r="F453" s="28"/>
      <c r="G453" s="4"/>
      <c r="H453" s="4">
        <f>SUMIFS(X!$F$5:$F$2005,X!$D$5:$D$2005,'CEK CICI'!A453)</f>
        <v>0</v>
      </c>
      <c r="I453" s="4">
        <f>SUMIFS(PENJUALAN!$E$4:$E$4288,PENJUALAN!$C$4:$C$4288,'CEK CICI'!A453)</f>
        <v>0</v>
      </c>
      <c r="J453" s="16">
        <f t="shared" si="2"/>
        <v>0</v>
      </c>
      <c r="K453" s="4"/>
      <c r="L453" s="4"/>
      <c r="M453" s="4"/>
      <c r="N453" s="4"/>
    </row>
    <row r="454" ht="13.5" hidden="1" customHeight="1">
      <c r="A454" s="4" t="str">
        <f t="shared" si="1"/>
        <v>RDR-BIANTEFY</v>
      </c>
      <c r="B454" s="29" t="s">
        <v>732</v>
      </c>
      <c r="C454" s="28" t="s">
        <v>726</v>
      </c>
      <c r="D454" s="28" t="s">
        <v>134</v>
      </c>
      <c r="E454" s="4" t="s">
        <v>111</v>
      </c>
      <c r="F454" s="28"/>
      <c r="G454" s="4"/>
      <c r="H454" s="4">
        <f>SUMIFS(X!$F$5:$F$2005,X!$D$5:$D$2005,'CEK CICI'!A454)</f>
        <v>0</v>
      </c>
      <c r="I454" s="4">
        <f>SUMIFS(PENJUALAN!$E$4:$E$4288,PENJUALAN!$C$4:$C$4288,'CEK CICI'!A454)</f>
        <v>0</v>
      </c>
      <c r="J454" s="16">
        <f t="shared" si="2"/>
        <v>0</v>
      </c>
      <c r="K454" s="4"/>
      <c r="L454" s="4"/>
      <c r="M454" s="4"/>
      <c r="N454" s="4"/>
    </row>
    <row r="455" ht="13.5" hidden="1" customHeight="1">
      <c r="A455" s="4" t="str">
        <f t="shared" si="1"/>
        <v>SWL-BIANTEFY</v>
      </c>
      <c r="B455" s="29" t="s">
        <v>733</v>
      </c>
      <c r="C455" s="28" t="s">
        <v>726</v>
      </c>
      <c r="D455" s="28" t="s">
        <v>202</v>
      </c>
      <c r="E455" s="4" t="s">
        <v>111</v>
      </c>
      <c r="F455" s="28" t="s">
        <v>97</v>
      </c>
      <c r="G455" s="4"/>
      <c r="H455" s="4">
        <f>SUMIFS(X!$F$5:$F$2005,X!$D$5:$D$2005,'CEK CICI'!A455)</f>
        <v>0</v>
      </c>
      <c r="I455" s="4">
        <f>SUMIFS(PENJUALAN!$E$4:$E$4288,PENJUALAN!$C$4:$C$4288,'CEK CICI'!A455)</f>
        <v>0</v>
      </c>
      <c r="J455" s="16">
        <f t="shared" si="2"/>
        <v>0</v>
      </c>
      <c r="K455" s="4"/>
      <c r="L455" s="4"/>
      <c r="M455" s="4"/>
      <c r="N455" s="4"/>
    </row>
    <row r="456" ht="13.5" hidden="1" customHeight="1">
      <c r="A456" s="4" t="str">
        <f t="shared" si="1"/>
        <v>SWR-BIANTEFY</v>
      </c>
      <c r="B456" s="29" t="s">
        <v>734</v>
      </c>
      <c r="C456" s="28" t="s">
        <v>726</v>
      </c>
      <c r="D456" s="28" t="s">
        <v>236</v>
      </c>
      <c r="E456" s="4" t="s">
        <v>111</v>
      </c>
      <c r="F456" s="28" t="s">
        <v>234</v>
      </c>
      <c r="G456" s="4"/>
      <c r="H456" s="4">
        <f>SUMIFS(X!$F$5:$F$2005,X!$D$5:$D$2005,'CEK CICI'!A456)</f>
        <v>0</v>
      </c>
      <c r="I456" s="4">
        <f>SUMIFS(PENJUALAN!$E$4:$E$4288,PENJUALAN!$C$4:$C$4288,'CEK CICI'!A456)</f>
        <v>0</v>
      </c>
      <c r="J456" s="16">
        <f t="shared" si="2"/>
        <v>0</v>
      </c>
      <c r="K456" s="4"/>
      <c r="L456" s="4"/>
      <c r="M456" s="4"/>
      <c r="N456" s="4"/>
    </row>
    <row r="457" ht="13.5" hidden="1" customHeight="1">
      <c r="A457" s="4" t="str">
        <f t="shared" si="1"/>
        <v>LFW-CX5GEN1FY</v>
      </c>
      <c r="B457" s="29" t="s">
        <v>735</v>
      </c>
      <c r="C457" s="28" t="s">
        <v>736</v>
      </c>
      <c r="D457" s="28" t="s">
        <v>22</v>
      </c>
      <c r="E457" s="4" t="s">
        <v>111</v>
      </c>
      <c r="F457" s="28" t="s">
        <v>737</v>
      </c>
      <c r="G457" s="4"/>
      <c r="H457" s="4">
        <f>SUMIFS(X!$F$5:$F$2005,X!$D$5:$D$2005,'CEK CICI'!A457)</f>
        <v>0</v>
      </c>
      <c r="I457" s="4">
        <f>SUMIFS(PENJUALAN!$E$4:$E$4288,PENJUALAN!$C$4:$C$4288,'CEK CICI'!A457)</f>
        <v>0</v>
      </c>
      <c r="J457" s="16">
        <f t="shared" si="2"/>
        <v>0</v>
      </c>
      <c r="K457" s="4"/>
      <c r="L457" s="4"/>
      <c r="M457" s="4"/>
      <c r="N457" s="4"/>
    </row>
    <row r="458" ht="13.5" hidden="1" customHeight="1">
      <c r="A458" s="4" t="str">
        <f t="shared" si="1"/>
        <v>LFW-CX5GEN1RSXYG</v>
      </c>
      <c r="B458" s="29" t="s">
        <v>740</v>
      </c>
      <c r="C458" s="28" t="s">
        <v>741</v>
      </c>
      <c r="D458" s="33" t="s">
        <v>22</v>
      </c>
      <c r="E458" s="15" t="s">
        <v>16</v>
      </c>
      <c r="F458" s="28" t="s">
        <v>737</v>
      </c>
      <c r="G458" s="4"/>
      <c r="H458" s="4">
        <f>SUMIFS(X!$F$5:$F$2005,X!$D$5:$D$2005,'CEK CICI'!A458)</f>
        <v>8</v>
      </c>
      <c r="I458" s="4">
        <f>SUMIFS(PENJUALAN!$E$4:$E$4288,PENJUALAN!$C$4:$C$4288,'CEK CICI'!A458)</f>
        <v>3</v>
      </c>
      <c r="J458" s="16">
        <f t="shared" si="2"/>
        <v>5</v>
      </c>
      <c r="K458" s="15" t="s">
        <v>744</v>
      </c>
      <c r="L458" s="15"/>
      <c r="M458" s="5"/>
      <c r="N458" s="4"/>
    </row>
    <row r="459" ht="13.5" hidden="1" customHeight="1">
      <c r="A459" s="4" t="str">
        <f t="shared" si="1"/>
        <v>LFW-CX5GEN1RSFY</v>
      </c>
      <c r="B459" s="29" t="s">
        <v>740</v>
      </c>
      <c r="C459" s="28" t="s">
        <v>741</v>
      </c>
      <c r="D459" s="28" t="s">
        <v>22</v>
      </c>
      <c r="E459" s="4" t="s">
        <v>111</v>
      </c>
      <c r="F459" s="28" t="s">
        <v>23</v>
      </c>
      <c r="G459" s="4"/>
      <c r="H459" s="4">
        <f>SUMIFS(X!$F$5:$F$2005,X!$D$5:$D$2005,'CEK CICI'!A459)</f>
        <v>0</v>
      </c>
      <c r="I459" s="4">
        <f>SUMIFS(PENJUALAN!$E$4:$E$4288,PENJUALAN!$C$4:$C$4288,'CEK CICI'!A459)</f>
        <v>0</v>
      </c>
      <c r="J459" s="16">
        <f t="shared" si="2"/>
        <v>0</v>
      </c>
      <c r="K459" s="4"/>
      <c r="L459" s="4"/>
      <c r="M459" s="5">
        <v>1.0</v>
      </c>
      <c r="N459" s="4"/>
    </row>
    <row r="460" ht="13.5" customHeight="1">
      <c r="A460" s="4" t="str">
        <f t="shared" si="1"/>
        <v>LFW-CX5GEN1RS3XYG</v>
      </c>
      <c r="B460" s="29" t="s">
        <v>2014</v>
      </c>
      <c r="C460" s="28" t="s">
        <v>2015</v>
      </c>
      <c r="D460" s="28" t="s">
        <v>22</v>
      </c>
      <c r="E460" s="4" t="s">
        <v>16</v>
      </c>
      <c r="F460" s="28" t="s">
        <v>23</v>
      </c>
      <c r="G460" s="15">
        <v>1.0</v>
      </c>
      <c r="H460" s="4">
        <f>SUMIFS(X!$F$5:$F$2005,X!$D$5:$D$2005,'CEK CICI'!A460)</f>
        <v>2</v>
      </c>
      <c r="I460" s="4">
        <f>SUMIFS(PENJUALAN!$E$4:$E$4288,PENJUALAN!$C$4:$C$4288,'CEK CICI'!A460)</f>
        <v>2</v>
      </c>
      <c r="J460" s="16">
        <f t="shared" si="2"/>
        <v>0</v>
      </c>
      <c r="K460" s="4"/>
      <c r="L460" s="4"/>
      <c r="M460" s="4"/>
      <c r="N460" s="4"/>
    </row>
    <row r="461" ht="13.5" hidden="1" customHeight="1">
      <c r="A461" s="4" t="str">
        <f t="shared" si="1"/>
        <v>TRW-CX5GEN1FY</v>
      </c>
      <c r="B461" s="29" t="s">
        <v>746</v>
      </c>
      <c r="C461" s="28" t="s">
        <v>747</v>
      </c>
      <c r="D461" s="28" t="s">
        <v>41</v>
      </c>
      <c r="E461" s="4" t="s">
        <v>111</v>
      </c>
      <c r="F461" s="28" t="s">
        <v>221</v>
      </c>
      <c r="G461" s="4"/>
      <c r="H461" s="4">
        <f>SUMIFS(X!$F$5:$F$2005,X!$D$5:$D$2005,'CEK CICI'!A461)</f>
        <v>0</v>
      </c>
      <c r="I461" s="4">
        <f>SUMIFS(PENJUALAN!$E$4:$E$4288,PENJUALAN!$C$4:$C$4288,'CEK CICI'!A461)</f>
        <v>0</v>
      </c>
      <c r="J461" s="16">
        <f t="shared" si="2"/>
        <v>0</v>
      </c>
      <c r="K461" s="4"/>
      <c r="L461" s="4"/>
      <c r="M461" s="4"/>
      <c r="N461" s="4"/>
    </row>
    <row r="462" ht="13.5" hidden="1" customHeight="1">
      <c r="A462" s="4" t="str">
        <f t="shared" si="1"/>
        <v>FDL-CX5GEN1FY</v>
      </c>
      <c r="B462" s="29" t="s">
        <v>748</v>
      </c>
      <c r="C462" s="28" t="s">
        <v>747</v>
      </c>
      <c r="D462" s="28" t="s">
        <v>128</v>
      </c>
      <c r="E462" s="4" t="s">
        <v>111</v>
      </c>
      <c r="F462" s="28"/>
      <c r="G462" s="4"/>
      <c r="H462" s="4">
        <f>SUMIFS(X!$F$5:$F$2005,X!$D$5:$D$2005,'CEK CICI'!A462)</f>
        <v>0</v>
      </c>
      <c r="I462" s="4">
        <f>SUMIFS(PENJUALAN!$E$4:$E$4288,PENJUALAN!$C$4:$C$4288,'CEK CICI'!A462)</f>
        <v>0</v>
      </c>
      <c r="J462" s="16">
        <f t="shared" si="2"/>
        <v>0</v>
      </c>
      <c r="K462" s="4"/>
      <c r="L462" s="4"/>
      <c r="M462" s="4"/>
      <c r="N462" s="4"/>
    </row>
    <row r="463" ht="13.5" hidden="1" customHeight="1">
      <c r="A463" s="4" t="str">
        <f t="shared" si="1"/>
        <v>FDR-CX5GEN1FY</v>
      </c>
      <c r="B463" s="29" t="s">
        <v>749</v>
      </c>
      <c r="C463" s="28" t="s">
        <v>747</v>
      </c>
      <c r="D463" s="28" t="s">
        <v>130</v>
      </c>
      <c r="E463" s="4" t="s">
        <v>111</v>
      </c>
      <c r="F463" s="28"/>
      <c r="G463" s="4"/>
      <c r="H463" s="4">
        <f>SUMIFS(X!$F$5:$F$2005,X!$D$5:$D$2005,'CEK CICI'!A463)</f>
        <v>0</v>
      </c>
      <c r="I463" s="4">
        <f>SUMIFS(PENJUALAN!$E$4:$E$4288,PENJUALAN!$C$4:$C$4288,'CEK CICI'!A463)</f>
        <v>0</v>
      </c>
      <c r="J463" s="16">
        <f t="shared" si="2"/>
        <v>0</v>
      </c>
      <c r="K463" s="4"/>
      <c r="L463" s="4"/>
      <c r="M463" s="4"/>
      <c r="N463" s="4"/>
    </row>
    <row r="464" ht="13.5" hidden="1" customHeight="1">
      <c r="A464" s="4" t="str">
        <f t="shared" si="1"/>
        <v>RDL-CX5GEN1FY</v>
      </c>
      <c r="B464" s="29" t="s">
        <v>750</v>
      </c>
      <c r="C464" s="28" t="s">
        <v>747</v>
      </c>
      <c r="D464" s="28" t="s">
        <v>132</v>
      </c>
      <c r="E464" s="4" t="s">
        <v>111</v>
      </c>
      <c r="F464" s="28"/>
      <c r="G464" s="4"/>
      <c r="H464" s="4">
        <f>SUMIFS(X!$F$5:$F$2005,X!$D$5:$D$2005,'CEK CICI'!A464)</f>
        <v>0</v>
      </c>
      <c r="I464" s="4">
        <f>SUMIFS(PENJUALAN!$E$4:$E$4288,PENJUALAN!$C$4:$C$4288,'CEK CICI'!A464)</f>
        <v>0</v>
      </c>
      <c r="J464" s="16">
        <f t="shared" si="2"/>
        <v>0</v>
      </c>
      <c r="K464" s="4"/>
      <c r="L464" s="4"/>
      <c r="M464" s="4"/>
      <c r="N464" s="4"/>
    </row>
    <row r="465" ht="13.5" hidden="1" customHeight="1">
      <c r="A465" s="4" t="str">
        <f t="shared" si="1"/>
        <v>RDR-CX5GEN1FY</v>
      </c>
      <c r="B465" s="29" t="s">
        <v>751</v>
      </c>
      <c r="C465" s="28" t="s">
        <v>747</v>
      </c>
      <c r="D465" s="28" t="s">
        <v>134</v>
      </c>
      <c r="E465" s="4" t="s">
        <v>111</v>
      </c>
      <c r="F465" s="28"/>
      <c r="G465" s="4"/>
      <c r="H465" s="4">
        <f>SUMIFS(X!$F$5:$F$2005,X!$D$5:$D$2005,'CEK CICI'!A465)</f>
        <v>0</v>
      </c>
      <c r="I465" s="4">
        <f>SUMIFS(PENJUALAN!$E$4:$E$4288,PENJUALAN!$C$4:$C$4288,'CEK CICI'!A465)</f>
        <v>0</v>
      </c>
      <c r="J465" s="16">
        <f t="shared" si="2"/>
        <v>0</v>
      </c>
      <c r="K465" s="4"/>
      <c r="L465" s="4"/>
      <c r="M465" s="4"/>
      <c r="N465" s="4"/>
    </row>
    <row r="466" ht="13.5" hidden="1" customHeight="1">
      <c r="A466" s="4" t="str">
        <f t="shared" si="1"/>
        <v>RVL-CX5GEN1FY</v>
      </c>
      <c r="B466" s="29" t="s">
        <v>752</v>
      </c>
      <c r="C466" s="28" t="s">
        <v>747</v>
      </c>
      <c r="D466" s="28" t="s">
        <v>387</v>
      </c>
      <c r="E466" s="4" t="s">
        <v>111</v>
      </c>
      <c r="F466" s="28"/>
      <c r="G466" s="4"/>
      <c r="H466" s="4">
        <f>SUMIFS(X!$F$5:$F$2005,X!$D$5:$D$2005,'CEK CICI'!A466)</f>
        <v>0</v>
      </c>
      <c r="I466" s="4">
        <f>SUMIFS(PENJUALAN!$E$4:$E$4288,PENJUALAN!$C$4:$C$4288,'CEK CICI'!A466)</f>
        <v>0</v>
      </c>
      <c r="J466" s="16">
        <f t="shared" si="2"/>
        <v>0</v>
      </c>
      <c r="K466" s="4"/>
      <c r="L466" s="4"/>
      <c r="M466" s="4"/>
      <c r="N466" s="4"/>
    </row>
    <row r="467" ht="13.5" hidden="1" customHeight="1">
      <c r="A467" s="4" t="str">
        <f t="shared" si="1"/>
        <v>RVR-CX5GEN1FY</v>
      </c>
      <c r="B467" s="29" t="s">
        <v>753</v>
      </c>
      <c r="C467" s="28" t="s">
        <v>747</v>
      </c>
      <c r="D467" s="28" t="s">
        <v>389</v>
      </c>
      <c r="E467" s="4" t="s">
        <v>111</v>
      </c>
      <c r="F467" s="28"/>
      <c r="G467" s="4"/>
      <c r="H467" s="4">
        <f>SUMIFS(X!$F$5:$F$2005,X!$D$5:$D$2005,'CEK CICI'!A467)</f>
        <v>0</v>
      </c>
      <c r="I467" s="4">
        <f>SUMIFS(PENJUALAN!$E$4:$E$4288,PENJUALAN!$C$4:$C$4288,'CEK CICI'!A467)</f>
        <v>0</v>
      </c>
      <c r="J467" s="16">
        <f t="shared" si="2"/>
        <v>0</v>
      </c>
      <c r="K467" s="4"/>
      <c r="L467" s="4"/>
      <c r="M467" s="4"/>
      <c r="N467" s="4"/>
    </row>
    <row r="468" ht="13.5" hidden="1" customHeight="1">
      <c r="A468" s="4" t="str">
        <f t="shared" si="1"/>
        <v>LFW-CX7RSFY</v>
      </c>
      <c r="B468" s="29" t="s">
        <v>754</v>
      </c>
      <c r="C468" s="28" t="s">
        <v>755</v>
      </c>
      <c r="D468" s="28" t="s">
        <v>22</v>
      </c>
      <c r="E468" s="4" t="s">
        <v>111</v>
      </c>
      <c r="F468" s="28" t="s">
        <v>75</v>
      </c>
      <c r="G468" s="4"/>
      <c r="H468" s="4">
        <f>SUMIFS(X!$F$5:$F$2005,X!$D$5:$D$2005,'CEK CICI'!A468)</f>
        <v>0</v>
      </c>
      <c r="I468" s="4">
        <f>SUMIFS(PENJUALAN!$E$4:$E$4288,PENJUALAN!$C$4:$C$4288,'CEK CICI'!A468)</f>
        <v>0</v>
      </c>
      <c r="J468" s="16">
        <f t="shared" si="2"/>
        <v>0</v>
      </c>
      <c r="K468" s="4"/>
      <c r="L468" s="4"/>
      <c r="M468" s="4"/>
      <c r="N468" s="4"/>
    </row>
    <row r="469" ht="13.5" hidden="1" customHeight="1">
      <c r="A469" s="4" t="str">
        <f t="shared" si="1"/>
        <v>LFW-CX7FY</v>
      </c>
      <c r="B469" s="29" t="s">
        <v>756</v>
      </c>
      <c r="C469" s="28" t="s">
        <v>757</v>
      </c>
      <c r="D469" s="28" t="s">
        <v>22</v>
      </c>
      <c r="E469" s="4" t="s">
        <v>111</v>
      </c>
      <c r="F469" s="28" t="s">
        <v>737</v>
      </c>
      <c r="G469" s="4"/>
      <c r="H469" s="4">
        <f>SUMIFS(X!$F$5:$F$2005,X!$D$5:$D$2005,'CEK CICI'!A469)</f>
        <v>0</v>
      </c>
      <c r="I469" s="4">
        <f>SUMIFS(PENJUALAN!$E$4:$E$4288,PENJUALAN!$C$4:$C$4288,'CEK CICI'!A469)</f>
        <v>0</v>
      </c>
      <c r="J469" s="16">
        <f t="shared" si="2"/>
        <v>0</v>
      </c>
      <c r="K469" s="4"/>
      <c r="L469" s="4"/>
      <c r="M469" s="4"/>
      <c r="N469" s="4"/>
    </row>
    <row r="470" ht="13.5" hidden="1" customHeight="1">
      <c r="A470" s="4" t="str">
        <f t="shared" si="1"/>
        <v>TRW-CX7FY</v>
      </c>
      <c r="B470" s="29" t="s">
        <v>758</v>
      </c>
      <c r="C470" s="28" t="s">
        <v>759</v>
      </c>
      <c r="D470" s="28" t="s">
        <v>41</v>
      </c>
      <c r="E470" s="4" t="s">
        <v>111</v>
      </c>
      <c r="F470" s="28" t="s">
        <v>760</v>
      </c>
      <c r="G470" s="4"/>
      <c r="H470" s="4">
        <f>SUMIFS(X!$F$5:$F$2005,X!$D$5:$D$2005,'CEK CICI'!A470)</f>
        <v>0</v>
      </c>
      <c r="I470" s="4">
        <f>SUMIFS(PENJUALAN!$E$4:$E$4288,PENJUALAN!$C$4:$C$4288,'CEK CICI'!A470)</f>
        <v>0</v>
      </c>
      <c r="J470" s="16">
        <f t="shared" si="2"/>
        <v>0</v>
      </c>
      <c r="K470" s="4"/>
      <c r="L470" s="4"/>
      <c r="M470" s="4"/>
      <c r="N470" s="4"/>
    </row>
    <row r="471" ht="13.5" hidden="1" customHeight="1">
      <c r="A471" s="4" t="str">
        <f t="shared" si="1"/>
        <v>FDR-CX7FY</v>
      </c>
      <c r="B471" s="29" t="s">
        <v>761</v>
      </c>
      <c r="C471" s="28" t="s">
        <v>759</v>
      </c>
      <c r="D471" s="28" t="s">
        <v>130</v>
      </c>
      <c r="E471" s="4" t="s">
        <v>111</v>
      </c>
      <c r="F471" s="28" t="s">
        <v>141</v>
      </c>
      <c r="G471" s="4"/>
      <c r="H471" s="4">
        <f>SUMIFS(X!$F$5:$F$2005,X!$D$5:$D$2005,'CEK CICI'!A471)</f>
        <v>0</v>
      </c>
      <c r="I471" s="4">
        <f>SUMIFS(PENJUALAN!$E$4:$E$4288,PENJUALAN!$C$4:$C$4288,'CEK CICI'!A471)</f>
        <v>0</v>
      </c>
      <c r="J471" s="16">
        <f t="shared" si="2"/>
        <v>0</v>
      </c>
      <c r="K471" s="4"/>
      <c r="L471" s="4"/>
      <c r="M471" s="4"/>
      <c r="N471" s="4"/>
    </row>
    <row r="472" ht="13.5" hidden="1" customHeight="1">
      <c r="A472" s="4" t="str">
        <f t="shared" si="1"/>
        <v>RDL-CX7FY</v>
      </c>
      <c r="B472" s="29" t="s">
        <v>762</v>
      </c>
      <c r="C472" s="28" t="s">
        <v>759</v>
      </c>
      <c r="D472" s="28" t="s">
        <v>132</v>
      </c>
      <c r="E472" s="4" t="s">
        <v>111</v>
      </c>
      <c r="F472" s="28" t="s">
        <v>144</v>
      </c>
      <c r="G472" s="4"/>
      <c r="H472" s="4">
        <f>SUMIFS(X!$F$5:$F$2005,X!$D$5:$D$2005,'CEK CICI'!A472)</f>
        <v>0</v>
      </c>
      <c r="I472" s="4">
        <f>SUMIFS(PENJUALAN!$E$4:$E$4288,PENJUALAN!$C$4:$C$4288,'CEK CICI'!A472)</f>
        <v>0</v>
      </c>
      <c r="J472" s="16">
        <f t="shared" si="2"/>
        <v>0</v>
      </c>
      <c r="K472" s="4"/>
      <c r="L472" s="4"/>
      <c r="M472" s="4"/>
      <c r="N472" s="4"/>
    </row>
    <row r="473" ht="13.5" hidden="1" customHeight="1">
      <c r="A473" s="4" t="str">
        <f t="shared" si="1"/>
        <v>RDR-CX7FY</v>
      </c>
      <c r="B473" s="29" t="s">
        <v>763</v>
      </c>
      <c r="C473" s="28" t="s">
        <v>759</v>
      </c>
      <c r="D473" s="28" t="s">
        <v>134</v>
      </c>
      <c r="E473" s="4" t="s">
        <v>111</v>
      </c>
      <c r="F473" s="28" t="s">
        <v>144</v>
      </c>
      <c r="G473" s="4"/>
      <c r="H473" s="4">
        <f>SUMIFS(X!$F$5:$F$2005,X!$D$5:$D$2005,'CEK CICI'!A473)</f>
        <v>0</v>
      </c>
      <c r="I473" s="4">
        <f>SUMIFS(PENJUALAN!$E$4:$E$4288,PENJUALAN!$C$4:$C$4288,'CEK CICI'!A473)</f>
        <v>0</v>
      </c>
      <c r="J473" s="16">
        <f t="shared" si="2"/>
        <v>0</v>
      </c>
      <c r="K473" s="4"/>
      <c r="L473" s="4"/>
      <c r="M473" s="4"/>
      <c r="N473" s="4"/>
    </row>
    <row r="474" ht="13.5" hidden="1" customHeight="1">
      <c r="A474" s="4" t="str">
        <f t="shared" si="1"/>
        <v>SWL-CX7FY</v>
      </c>
      <c r="B474" s="29" t="s">
        <v>764</v>
      </c>
      <c r="C474" s="28" t="s">
        <v>759</v>
      </c>
      <c r="D474" s="28" t="s">
        <v>202</v>
      </c>
      <c r="E474" s="4" t="s">
        <v>111</v>
      </c>
      <c r="F474" s="28" t="s">
        <v>97</v>
      </c>
      <c r="G474" s="4"/>
      <c r="H474" s="4">
        <f>SUMIFS(X!$F$5:$F$2005,X!$D$5:$D$2005,'CEK CICI'!A474)</f>
        <v>0</v>
      </c>
      <c r="I474" s="4">
        <f>SUMIFS(PENJUALAN!$E$4:$E$4288,PENJUALAN!$C$4:$C$4288,'CEK CICI'!A474)</f>
        <v>0</v>
      </c>
      <c r="J474" s="16">
        <f t="shared" si="2"/>
        <v>0</v>
      </c>
      <c r="K474" s="4"/>
      <c r="L474" s="4"/>
      <c r="M474" s="4"/>
      <c r="N474" s="4"/>
    </row>
    <row r="475" ht="13.5" hidden="1" customHeight="1">
      <c r="A475" s="4" t="str">
        <f t="shared" si="1"/>
        <v>SWR-CX7FY</v>
      </c>
      <c r="B475" s="29" t="s">
        <v>765</v>
      </c>
      <c r="C475" s="28" t="s">
        <v>759</v>
      </c>
      <c r="D475" s="28" t="s">
        <v>236</v>
      </c>
      <c r="E475" s="4" t="s">
        <v>111</v>
      </c>
      <c r="F475" s="28" t="s">
        <v>97</v>
      </c>
      <c r="G475" s="4"/>
      <c r="H475" s="4">
        <f>SUMIFS(X!$F$5:$F$2005,X!$D$5:$D$2005,'CEK CICI'!A475)</f>
        <v>0</v>
      </c>
      <c r="I475" s="4">
        <f>SUMIFS(PENJUALAN!$E$4:$E$4288,PENJUALAN!$C$4:$C$4288,'CEK CICI'!A475)</f>
        <v>0</v>
      </c>
      <c r="J475" s="16">
        <f t="shared" si="2"/>
        <v>0</v>
      </c>
      <c r="K475" s="4"/>
      <c r="L475" s="4"/>
      <c r="M475" s="4"/>
      <c r="N475" s="4"/>
    </row>
    <row r="476" ht="13.5" hidden="1" customHeight="1">
      <c r="A476" s="4" t="str">
        <f t="shared" si="1"/>
        <v>LFW-CX9GEN1FY</v>
      </c>
      <c r="B476" s="29" t="s">
        <v>766</v>
      </c>
      <c r="C476" s="28" t="s">
        <v>767</v>
      </c>
      <c r="D476" s="28" t="s">
        <v>22</v>
      </c>
      <c r="E476" s="4" t="s">
        <v>111</v>
      </c>
      <c r="F476" s="28" t="s">
        <v>189</v>
      </c>
      <c r="G476" s="4"/>
      <c r="H476" s="4">
        <f>SUMIFS(X!$F$5:$F$2005,X!$D$5:$D$2005,'CEK CICI'!A476)</f>
        <v>0</v>
      </c>
      <c r="I476" s="4">
        <f>SUMIFS(PENJUALAN!$E$4:$E$4288,PENJUALAN!$C$4:$C$4288,'CEK CICI'!A476)</f>
        <v>0</v>
      </c>
      <c r="J476" s="16">
        <f t="shared" si="2"/>
        <v>0</v>
      </c>
      <c r="K476" s="4"/>
      <c r="L476" s="4"/>
      <c r="M476" s="4"/>
      <c r="N476" s="4"/>
    </row>
    <row r="477" ht="13.5" hidden="1" customHeight="1">
      <c r="A477" s="4" t="str">
        <f t="shared" si="1"/>
        <v>TRW-CX9GEN1FY</v>
      </c>
      <c r="B477" s="29" t="s">
        <v>768</v>
      </c>
      <c r="C477" s="28" t="s">
        <v>767</v>
      </c>
      <c r="D477" s="28" t="s">
        <v>41</v>
      </c>
      <c r="E477" s="4" t="s">
        <v>111</v>
      </c>
      <c r="F477" s="28" t="s">
        <v>760</v>
      </c>
      <c r="G477" s="4"/>
      <c r="H477" s="4">
        <f>SUMIFS(X!$F$5:$F$2005,X!$D$5:$D$2005,'CEK CICI'!A477)</f>
        <v>0</v>
      </c>
      <c r="I477" s="4">
        <f>SUMIFS(PENJUALAN!$E$4:$E$4288,PENJUALAN!$C$4:$C$4288,'CEK CICI'!A477)</f>
        <v>0</v>
      </c>
      <c r="J477" s="16">
        <f t="shared" si="2"/>
        <v>0</v>
      </c>
      <c r="K477" s="4"/>
      <c r="L477" s="4"/>
      <c r="M477" s="4"/>
      <c r="N477" s="4"/>
    </row>
    <row r="478" ht="13.5" hidden="1" customHeight="1">
      <c r="A478" s="4" t="str">
        <f t="shared" si="1"/>
        <v>LFW-MX5FY</v>
      </c>
      <c r="B478" s="29" t="s">
        <v>769</v>
      </c>
      <c r="C478" s="28" t="s">
        <v>770</v>
      </c>
      <c r="D478" s="28" t="s">
        <v>22</v>
      </c>
      <c r="E478" s="4" t="s">
        <v>111</v>
      </c>
      <c r="F478" s="28" t="s">
        <v>125</v>
      </c>
      <c r="G478" s="4"/>
      <c r="H478" s="4">
        <f>SUMIFS(X!$F$5:$F$2005,X!$D$5:$D$2005,'CEK CICI'!A478)</f>
        <v>0</v>
      </c>
      <c r="I478" s="4">
        <f>SUMIFS(PENJUALAN!$E$4:$E$4288,PENJUALAN!$C$4:$C$4288,'CEK CICI'!A478)</f>
        <v>0</v>
      </c>
      <c r="J478" s="16">
        <f t="shared" si="2"/>
        <v>0</v>
      </c>
      <c r="K478" s="4"/>
      <c r="L478" s="4"/>
      <c r="M478" s="4"/>
      <c r="N478" s="4"/>
    </row>
    <row r="479" ht="13.5" hidden="1" customHeight="1">
      <c r="A479" s="4" t="str">
        <f t="shared" si="1"/>
        <v>LFW-W168FY</v>
      </c>
      <c r="B479" s="29" t="s">
        <v>771</v>
      </c>
      <c r="C479" s="28" t="s">
        <v>772</v>
      </c>
      <c r="D479" s="28" t="s">
        <v>22</v>
      </c>
      <c r="E479" s="4" t="s">
        <v>111</v>
      </c>
      <c r="F479" s="28" t="s">
        <v>125</v>
      </c>
      <c r="G479" s="4"/>
      <c r="H479" s="4">
        <f>SUMIFS(X!$F$5:$F$2005,X!$D$5:$D$2005,'CEK CICI'!A479)</f>
        <v>0</v>
      </c>
      <c r="I479" s="4">
        <f>SUMIFS(PENJUALAN!$E$4:$E$4288,PENJUALAN!$C$4:$C$4288,'CEK CICI'!A479)</f>
        <v>0</v>
      </c>
      <c r="J479" s="16">
        <f t="shared" si="2"/>
        <v>0</v>
      </c>
      <c r="K479" s="4"/>
      <c r="L479" s="4"/>
      <c r="M479" s="4"/>
      <c r="N479" s="4"/>
    </row>
    <row r="480" ht="13.5" hidden="1" customHeight="1">
      <c r="A480" s="4" t="str">
        <f t="shared" si="1"/>
        <v>TRW-W168FY</v>
      </c>
      <c r="B480" s="29" t="s">
        <v>773</v>
      </c>
      <c r="C480" s="28" t="s">
        <v>772</v>
      </c>
      <c r="D480" s="28" t="s">
        <v>41</v>
      </c>
      <c r="E480" s="4" t="s">
        <v>111</v>
      </c>
      <c r="F480" s="28" t="s">
        <v>67</v>
      </c>
      <c r="G480" s="4"/>
      <c r="H480" s="4">
        <f>SUMIFS(X!$F$5:$F$2005,X!$D$5:$D$2005,'CEK CICI'!A480)</f>
        <v>0</v>
      </c>
      <c r="I480" s="4">
        <f>SUMIFS(PENJUALAN!$E$4:$E$4288,PENJUALAN!$C$4:$C$4288,'CEK CICI'!A480)</f>
        <v>0</v>
      </c>
      <c r="J480" s="16">
        <f t="shared" si="2"/>
        <v>0</v>
      </c>
      <c r="K480" s="4"/>
      <c r="L480" s="4"/>
      <c r="M480" s="4"/>
      <c r="N480" s="4"/>
    </row>
    <row r="481" ht="13.5" hidden="1" customHeight="1">
      <c r="A481" s="4" t="str">
        <f t="shared" si="1"/>
        <v>LFW-W176FY</v>
      </c>
      <c r="B481" s="29" t="s">
        <v>774</v>
      </c>
      <c r="C481" s="28" t="s">
        <v>775</v>
      </c>
      <c r="D481" s="28" t="s">
        <v>22</v>
      </c>
      <c r="E481" s="4" t="s">
        <v>111</v>
      </c>
      <c r="F481" s="28" t="s">
        <v>23</v>
      </c>
      <c r="G481" s="4"/>
      <c r="H481" s="4">
        <f>SUMIFS(X!$F$5:$F$2005,X!$D$5:$D$2005,'CEK CICI'!A481)</f>
        <v>0</v>
      </c>
      <c r="I481" s="4">
        <f>SUMIFS(PENJUALAN!$E$4:$E$4288,PENJUALAN!$C$4:$C$4288,'CEK CICI'!A481)</f>
        <v>0</v>
      </c>
      <c r="J481" s="16">
        <f t="shared" si="2"/>
        <v>0</v>
      </c>
      <c r="K481" s="4"/>
      <c r="L481" s="4"/>
      <c r="M481" s="4"/>
      <c r="N481" s="4"/>
    </row>
    <row r="482" ht="13.5" hidden="1" customHeight="1">
      <c r="A482" s="4" t="str">
        <f t="shared" si="1"/>
        <v>LFW-W203RS2FY</v>
      </c>
      <c r="B482" s="29" t="s">
        <v>776</v>
      </c>
      <c r="C482" s="28" t="s">
        <v>777</v>
      </c>
      <c r="D482" s="28" t="s">
        <v>22</v>
      </c>
      <c r="E482" s="4" t="s">
        <v>111</v>
      </c>
      <c r="F482" s="28" t="s">
        <v>112</v>
      </c>
      <c r="G482" s="4"/>
      <c r="H482" s="4">
        <f>SUMIFS(X!$F$5:$F$2005,X!$D$5:$D$2005,'CEK CICI'!A482)</f>
        <v>0</v>
      </c>
      <c r="I482" s="4">
        <f>SUMIFS(PENJUALAN!$E$4:$E$4288,PENJUALAN!$C$4:$C$4288,'CEK CICI'!A482)</f>
        <v>0</v>
      </c>
      <c r="J482" s="16">
        <f t="shared" si="2"/>
        <v>0</v>
      </c>
      <c r="K482" s="4"/>
      <c r="L482" s="4"/>
      <c r="M482" s="4"/>
      <c r="N482" s="4"/>
    </row>
    <row r="483" ht="13.5" hidden="1" customHeight="1">
      <c r="A483" s="4" t="str">
        <f t="shared" si="1"/>
        <v>TRW-W203FY</v>
      </c>
      <c r="B483" s="29" t="s">
        <v>778</v>
      </c>
      <c r="C483" s="28" t="s">
        <v>779</v>
      </c>
      <c r="D483" s="28" t="s">
        <v>41</v>
      </c>
      <c r="E483" s="4" t="s">
        <v>111</v>
      </c>
      <c r="F483" s="28" t="s">
        <v>114</v>
      </c>
      <c r="G483" s="4"/>
      <c r="H483" s="4">
        <f>SUMIFS(X!$F$5:$F$2005,X!$D$5:$D$2005,'CEK CICI'!A483)</f>
        <v>0</v>
      </c>
      <c r="I483" s="4">
        <f>SUMIFS(PENJUALAN!$E$4:$E$4288,PENJUALAN!$C$4:$C$4288,'CEK CICI'!A483)</f>
        <v>0</v>
      </c>
      <c r="J483" s="16">
        <f t="shared" si="2"/>
        <v>0</v>
      </c>
      <c r="K483" s="4"/>
      <c r="L483" s="4"/>
      <c r="M483" s="4"/>
      <c r="N483" s="4"/>
    </row>
    <row r="484" ht="13.5" hidden="1" customHeight="1">
      <c r="A484" s="4" t="str">
        <f t="shared" si="1"/>
        <v>LFW-W204RSFY</v>
      </c>
      <c r="B484" s="29" t="s">
        <v>780</v>
      </c>
      <c r="C484" s="28" t="s">
        <v>781</v>
      </c>
      <c r="D484" s="28" t="s">
        <v>22</v>
      </c>
      <c r="E484" s="4" t="s">
        <v>111</v>
      </c>
      <c r="F484" s="28" t="s">
        <v>112</v>
      </c>
      <c r="G484" s="4"/>
      <c r="H484" s="4">
        <f>SUMIFS(X!$F$5:$F$2005,X!$D$5:$D$2005,'CEK CICI'!A484)</f>
        <v>0</v>
      </c>
      <c r="I484" s="4">
        <f>SUMIFS(PENJUALAN!$E$4:$E$4288,PENJUALAN!$C$4:$C$4288,'CEK CICI'!A484)</f>
        <v>0</v>
      </c>
      <c r="J484" s="16">
        <f t="shared" si="2"/>
        <v>0</v>
      </c>
      <c r="K484" s="15"/>
      <c r="L484" s="15"/>
      <c r="M484" s="4"/>
      <c r="N484" s="4"/>
    </row>
    <row r="485" ht="13.5" hidden="1" customHeight="1">
      <c r="A485" s="4" t="str">
        <f t="shared" si="1"/>
        <v>TRW-W204FY</v>
      </c>
      <c r="B485" s="29" t="s">
        <v>782</v>
      </c>
      <c r="C485" s="28" t="s">
        <v>783</v>
      </c>
      <c r="D485" s="28" t="s">
        <v>41</v>
      </c>
      <c r="E485" s="4" t="s">
        <v>111</v>
      </c>
      <c r="F485" s="28" t="s">
        <v>114</v>
      </c>
      <c r="G485" s="4"/>
      <c r="H485" s="4">
        <f>SUMIFS(X!$F$5:$F$2005,X!$D$5:$D$2005,'CEK CICI'!A485)</f>
        <v>0</v>
      </c>
      <c r="I485" s="4">
        <f>SUMIFS(PENJUALAN!$E$4:$E$4288,PENJUALAN!$C$4:$C$4288,'CEK CICI'!A485)</f>
        <v>0</v>
      </c>
      <c r="J485" s="16">
        <f t="shared" si="2"/>
        <v>0</v>
      </c>
      <c r="K485" s="4"/>
      <c r="L485" s="4"/>
      <c r="M485" s="4"/>
      <c r="N485" s="4"/>
    </row>
    <row r="486" ht="13.5" hidden="1" customHeight="1">
      <c r="A486" s="4" t="str">
        <f t="shared" si="1"/>
        <v>LFW-W205RSFY</v>
      </c>
      <c r="B486" s="29" t="s">
        <v>784</v>
      </c>
      <c r="C486" s="28" t="s">
        <v>785</v>
      </c>
      <c r="D486" s="28" t="s">
        <v>22</v>
      </c>
      <c r="E486" s="4" t="s">
        <v>111</v>
      </c>
      <c r="F486" s="28" t="s">
        <v>112</v>
      </c>
      <c r="G486" s="4"/>
      <c r="H486" s="4">
        <f>SUMIFS(X!$F$5:$F$2005,X!$D$5:$D$2005,'CEK CICI'!A486)</f>
        <v>0</v>
      </c>
      <c r="I486" s="4">
        <f>SUMIFS(PENJUALAN!$E$4:$E$4288,PENJUALAN!$C$4:$C$4288,'CEK CICI'!A486)</f>
        <v>0</v>
      </c>
      <c r="J486" s="16">
        <f t="shared" si="2"/>
        <v>0</v>
      </c>
      <c r="K486" s="4"/>
      <c r="L486" s="4"/>
      <c r="M486" s="4"/>
      <c r="N486" s="4"/>
    </row>
    <row r="487" ht="13.5" hidden="1" customHeight="1">
      <c r="A487" s="4" t="str">
        <f t="shared" si="1"/>
        <v>LFW-W205RS2FY</v>
      </c>
      <c r="B487" s="29" t="s">
        <v>786</v>
      </c>
      <c r="C487" s="28" t="s">
        <v>787</v>
      </c>
      <c r="D487" s="28" t="s">
        <v>22</v>
      </c>
      <c r="E487" s="4" t="s">
        <v>111</v>
      </c>
      <c r="F487" s="28" t="s">
        <v>788</v>
      </c>
      <c r="G487" s="4"/>
      <c r="H487" s="4">
        <f>SUMIFS(X!$F$5:$F$2005,X!$D$5:$D$2005,'CEK CICI'!A487)</f>
        <v>0</v>
      </c>
      <c r="I487" s="4">
        <f>SUMIFS(PENJUALAN!$E$4:$E$4288,PENJUALAN!$C$4:$C$4288,'CEK CICI'!A487)</f>
        <v>0</v>
      </c>
      <c r="J487" s="16">
        <f t="shared" si="2"/>
        <v>0</v>
      </c>
      <c r="K487" s="4"/>
      <c r="L487" s="4"/>
      <c r="M487" s="4"/>
      <c r="N487" s="4"/>
    </row>
    <row r="488" ht="13.5" hidden="1" customHeight="1">
      <c r="A488" s="4" t="str">
        <f t="shared" si="1"/>
        <v>LFW-W205RS3FY</v>
      </c>
      <c r="B488" s="29" t="s">
        <v>789</v>
      </c>
      <c r="C488" s="28" t="s">
        <v>790</v>
      </c>
      <c r="D488" s="28" t="s">
        <v>22</v>
      </c>
      <c r="E488" s="4" t="s">
        <v>111</v>
      </c>
      <c r="F488" s="28" t="s">
        <v>788</v>
      </c>
      <c r="G488" s="4"/>
      <c r="H488" s="4">
        <f>SUMIFS(X!$F$5:$F$2005,X!$D$5:$D$2005,'CEK CICI'!A488)</f>
        <v>0</v>
      </c>
      <c r="I488" s="4">
        <f>SUMIFS(PENJUALAN!$E$4:$E$4288,PENJUALAN!$C$4:$C$4288,'CEK CICI'!A488)</f>
        <v>0</v>
      </c>
      <c r="J488" s="16">
        <f t="shared" si="2"/>
        <v>0</v>
      </c>
      <c r="K488" s="4"/>
      <c r="L488" s="4"/>
      <c r="M488" s="4"/>
      <c r="N488" s="4"/>
    </row>
    <row r="489" ht="13.5" hidden="1" customHeight="1">
      <c r="A489" s="4" t="str">
        <f t="shared" si="1"/>
        <v>LFW-W117FY</v>
      </c>
      <c r="B489" s="29" t="s">
        <v>791</v>
      </c>
      <c r="C489" s="30" t="s">
        <v>792</v>
      </c>
      <c r="D489" s="28" t="s">
        <v>22</v>
      </c>
      <c r="E489" s="4" t="s">
        <v>111</v>
      </c>
      <c r="F489" s="28" t="s">
        <v>23</v>
      </c>
      <c r="G489" s="4"/>
      <c r="H489" s="4">
        <f>SUMIFS(X!$F$5:$F$2005,X!$D$5:$D$2005,'CEK CICI'!A489)</f>
        <v>0</v>
      </c>
      <c r="I489" s="4">
        <f>SUMIFS(PENJUALAN!$E$4:$E$4288,PENJUALAN!$C$4:$C$4288,'CEK CICI'!A489)</f>
        <v>0</v>
      </c>
      <c r="J489" s="16">
        <f t="shared" si="2"/>
        <v>0</v>
      </c>
      <c r="K489" s="4"/>
      <c r="L489" s="4"/>
      <c r="M489" s="4"/>
      <c r="N489" s="4"/>
    </row>
    <row r="490" ht="13.5" hidden="1" customHeight="1">
      <c r="A490" s="4" t="str">
        <f t="shared" si="1"/>
        <v>LRW-W124FY</v>
      </c>
      <c r="B490" s="29" t="s">
        <v>793</v>
      </c>
      <c r="C490" s="28" t="s">
        <v>794</v>
      </c>
      <c r="D490" s="28" t="s">
        <v>41</v>
      </c>
      <c r="E490" s="4" t="s">
        <v>111</v>
      </c>
      <c r="F490" s="28" t="s">
        <v>67</v>
      </c>
      <c r="G490" s="4"/>
      <c r="H490" s="4">
        <f>SUMIFS(X!$F$5:$F$2005,X!$D$5:$D$2005,'CEK CICI'!A490)</f>
        <v>0</v>
      </c>
      <c r="I490" s="4">
        <f>SUMIFS(PENJUALAN!$E$4:$E$4288,PENJUALAN!$C$4:$C$4288,'CEK CICI'!A490)</f>
        <v>0</v>
      </c>
      <c r="J490" s="16">
        <f t="shared" si="2"/>
        <v>0</v>
      </c>
      <c r="K490" s="4"/>
      <c r="L490" s="4"/>
      <c r="M490" s="4"/>
      <c r="N490" s="4"/>
    </row>
    <row r="491" ht="13.5" hidden="1" customHeight="1">
      <c r="A491" s="4" t="str">
        <f t="shared" si="1"/>
        <v>LFW-W210FY</v>
      </c>
      <c r="B491" s="29" t="s">
        <v>795</v>
      </c>
      <c r="C491" s="28" t="s">
        <v>796</v>
      </c>
      <c r="D491" s="28" t="s">
        <v>22</v>
      </c>
      <c r="E491" s="4" t="s">
        <v>111</v>
      </c>
      <c r="F491" s="28" t="s">
        <v>189</v>
      </c>
      <c r="G491" s="4"/>
      <c r="H491" s="4">
        <f>SUMIFS(X!$F$5:$F$2005,X!$D$5:$D$2005,'CEK CICI'!A491)</f>
        <v>0</v>
      </c>
      <c r="I491" s="4">
        <f>SUMIFS(PENJUALAN!$E$4:$E$4288,PENJUALAN!$C$4:$C$4288,'CEK CICI'!A491)</f>
        <v>0</v>
      </c>
      <c r="J491" s="16">
        <f t="shared" si="2"/>
        <v>0</v>
      </c>
      <c r="K491" s="4"/>
      <c r="L491" s="4"/>
      <c r="M491" s="4"/>
      <c r="N491" s="4"/>
    </row>
    <row r="492" ht="13.5" hidden="1" customHeight="1">
      <c r="A492" s="4" t="str">
        <f t="shared" si="1"/>
        <v>TRW-W210FY</v>
      </c>
      <c r="B492" s="29" t="s">
        <v>797</v>
      </c>
      <c r="C492" s="28" t="s">
        <v>796</v>
      </c>
      <c r="D492" s="28" t="s">
        <v>41</v>
      </c>
      <c r="E492" s="4" t="s">
        <v>111</v>
      </c>
      <c r="F492" s="28" t="s">
        <v>114</v>
      </c>
      <c r="G492" s="4"/>
      <c r="H492" s="4">
        <f>SUMIFS(X!$F$5:$F$2005,X!$D$5:$D$2005,'CEK CICI'!A492)</f>
        <v>0</v>
      </c>
      <c r="I492" s="4">
        <f>SUMIFS(PENJUALAN!$E$4:$E$4288,PENJUALAN!$C$4:$C$4288,'CEK CICI'!A492)</f>
        <v>0</v>
      </c>
      <c r="J492" s="16">
        <f t="shared" si="2"/>
        <v>0</v>
      </c>
      <c r="K492" s="4"/>
      <c r="L492" s="4"/>
      <c r="M492" s="4"/>
      <c r="N492" s="4"/>
    </row>
    <row r="493" ht="13.5" hidden="1" customHeight="1">
      <c r="A493" s="4" t="str">
        <f t="shared" si="1"/>
        <v>LFW-W211FY</v>
      </c>
      <c r="B493" s="29" t="s">
        <v>798</v>
      </c>
      <c r="C493" s="28" t="s">
        <v>799</v>
      </c>
      <c r="D493" s="28" t="s">
        <v>22</v>
      </c>
      <c r="E493" s="4" t="s">
        <v>111</v>
      </c>
      <c r="F493" s="28" t="s">
        <v>189</v>
      </c>
      <c r="G493" s="4"/>
      <c r="H493" s="4">
        <f>SUMIFS(X!$F$5:$F$2005,X!$D$5:$D$2005,'CEK CICI'!A493)</f>
        <v>0</v>
      </c>
      <c r="I493" s="4">
        <f>SUMIFS(PENJUALAN!$E$4:$E$4288,PENJUALAN!$C$4:$C$4288,'CEK CICI'!A493)</f>
        <v>0</v>
      </c>
      <c r="J493" s="16">
        <f t="shared" si="2"/>
        <v>0</v>
      </c>
      <c r="K493" s="4"/>
      <c r="L493" s="4"/>
      <c r="M493" s="4"/>
      <c r="N493" s="4"/>
    </row>
    <row r="494" ht="13.5" hidden="1" customHeight="1">
      <c r="A494" s="4" t="str">
        <f t="shared" si="1"/>
        <v>LFW-W212RSFY</v>
      </c>
      <c r="B494" s="29" t="s">
        <v>800</v>
      </c>
      <c r="C494" s="28" t="s">
        <v>801</v>
      </c>
      <c r="D494" s="28" t="s">
        <v>22</v>
      </c>
      <c r="E494" s="4" t="s">
        <v>111</v>
      </c>
      <c r="F494" s="28" t="s">
        <v>112</v>
      </c>
      <c r="G494" s="4"/>
      <c r="H494" s="4">
        <f>SUMIFS(X!$F$5:$F$2005,X!$D$5:$D$2005,'CEK CICI'!A494)</f>
        <v>0</v>
      </c>
      <c r="I494" s="4">
        <f>SUMIFS(PENJUALAN!$E$4:$E$4288,PENJUALAN!$C$4:$C$4288,'CEK CICI'!A494)</f>
        <v>0</v>
      </c>
      <c r="J494" s="16">
        <f t="shared" si="2"/>
        <v>0</v>
      </c>
      <c r="K494" s="4"/>
      <c r="L494" s="4"/>
      <c r="M494" s="4"/>
      <c r="N494" s="4"/>
    </row>
    <row r="495" ht="13.5" hidden="1" customHeight="1">
      <c r="A495" s="4" t="str">
        <f t="shared" si="1"/>
        <v>LFW-W212RS2FY</v>
      </c>
      <c r="B495" s="29" t="s">
        <v>802</v>
      </c>
      <c r="C495" s="28" t="s">
        <v>803</v>
      </c>
      <c r="D495" s="28" t="s">
        <v>22</v>
      </c>
      <c r="E495" s="4" t="s">
        <v>111</v>
      </c>
      <c r="F495" s="28" t="s">
        <v>804</v>
      </c>
      <c r="G495" s="4"/>
      <c r="H495" s="4">
        <f>SUMIFS(X!$F$5:$F$2005,X!$D$5:$D$2005,'CEK CICI'!A495)</f>
        <v>0</v>
      </c>
      <c r="I495" s="4">
        <f>SUMIFS(PENJUALAN!$E$4:$E$4288,PENJUALAN!$C$4:$C$4288,'CEK CICI'!A495)</f>
        <v>0</v>
      </c>
      <c r="J495" s="16">
        <f t="shared" si="2"/>
        <v>0</v>
      </c>
      <c r="K495" s="4"/>
      <c r="L495" s="4"/>
      <c r="M495" s="4"/>
      <c r="N495" s="4"/>
    </row>
    <row r="496" ht="13.5" hidden="1" customHeight="1">
      <c r="A496" s="4" t="str">
        <f t="shared" si="1"/>
        <v>TRW-W212FY</v>
      </c>
      <c r="B496" s="29" t="s">
        <v>805</v>
      </c>
      <c r="C496" s="28" t="s">
        <v>806</v>
      </c>
      <c r="D496" s="28" t="s">
        <v>41</v>
      </c>
      <c r="E496" s="4" t="s">
        <v>111</v>
      </c>
      <c r="F496" s="28" t="s">
        <v>114</v>
      </c>
      <c r="G496" s="4"/>
      <c r="H496" s="4">
        <f>SUMIFS(X!$F$5:$F$2005,X!$D$5:$D$2005,'CEK CICI'!A496)</f>
        <v>0</v>
      </c>
      <c r="I496" s="4">
        <f>SUMIFS(PENJUALAN!$E$4:$E$4288,PENJUALAN!$C$4:$C$4288,'CEK CICI'!A496)</f>
        <v>0</v>
      </c>
      <c r="J496" s="16">
        <f t="shared" si="2"/>
        <v>0</v>
      </c>
      <c r="K496" s="4"/>
      <c r="L496" s="4"/>
      <c r="M496" s="4"/>
      <c r="N496" s="4"/>
    </row>
    <row r="497" ht="13.5" hidden="1" customHeight="1">
      <c r="A497" s="4" t="str">
        <f t="shared" si="1"/>
        <v>LFW-W253FY</v>
      </c>
      <c r="B497" s="29" t="s">
        <v>807</v>
      </c>
      <c r="C497" s="28" t="s">
        <v>808</v>
      </c>
      <c r="D497" s="28" t="s">
        <v>22</v>
      </c>
      <c r="E497" s="4" t="s">
        <v>111</v>
      </c>
      <c r="F497" s="28" t="s">
        <v>112</v>
      </c>
      <c r="G497" s="4"/>
      <c r="H497" s="4">
        <f>SUMIFS(X!$F$5:$F$2005,X!$D$5:$D$2005,'CEK CICI'!A497)</f>
        <v>0</v>
      </c>
      <c r="I497" s="4">
        <f>SUMIFS(PENJUALAN!$E$4:$E$4288,PENJUALAN!$C$4:$C$4288,'CEK CICI'!A497)</f>
        <v>0</v>
      </c>
      <c r="J497" s="16">
        <f t="shared" si="2"/>
        <v>0</v>
      </c>
      <c r="K497" s="4"/>
      <c r="L497" s="4"/>
      <c r="M497" s="4"/>
      <c r="N497" s="4"/>
    </row>
    <row r="498" ht="13.5" hidden="1" customHeight="1">
      <c r="A498" s="4" t="str">
        <f t="shared" si="1"/>
        <v>TRW-W253FY</v>
      </c>
      <c r="B498" s="29" t="s">
        <v>809</v>
      </c>
      <c r="C498" s="28" t="s">
        <v>808</v>
      </c>
      <c r="D498" s="28" t="s">
        <v>41</v>
      </c>
      <c r="E498" s="4" t="s">
        <v>111</v>
      </c>
      <c r="F498" s="28" t="s">
        <v>221</v>
      </c>
      <c r="G498" s="4"/>
      <c r="H498" s="4">
        <f>SUMIFS(X!$F$5:$F$2005,X!$D$5:$D$2005,'CEK CICI'!A498)</f>
        <v>0</v>
      </c>
      <c r="I498" s="4">
        <f>SUMIFS(PENJUALAN!$E$4:$E$4288,PENJUALAN!$C$4:$C$4288,'CEK CICI'!A498)</f>
        <v>0</v>
      </c>
      <c r="J498" s="16">
        <f t="shared" si="2"/>
        <v>0</v>
      </c>
      <c r="K498" s="4"/>
      <c r="L498" s="4"/>
      <c r="M498" s="4"/>
      <c r="N498" s="4"/>
    </row>
    <row r="499" ht="13.5" hidden="1" customHeight="1">
      <c r="A499" s="4" t="str">
        <f t="shared" si="1"/>
        <v>LFW-W140FY</v>
      </c>
      <c r="B499" s="29" t="s">
        <v>810</v>
      </c>
      <c r="C499" s="28" t="s">
        <v>811</v>
      </c>
      <c r="D499" s="28" t="s">
        <v>22</v>
      </c>
      <c r="E499" s="4" t="s">
        <v>111</v>
      </c>
      <c r="F499" s="28" t="s">
        <v>97</v>
      </c>
      <c r="G499" s="4"/>
      <c r="H499" s="4">
        <f>SUMIFS(X!$F$5:$F$2005,X!$D$5:$D$2005,'CEK CICI'!A499)</f>
        <v>0</v>
      </c>
      <c r="I499" s="4">
        <f>SUMIFS(PENJUALAN!$E$4:$E$4288,PENJUALAN!$C$4:$C$4288,'CEK CICI'!A499)</f>
        <v>0</v>
      </c>
      <c r="J499" s="16">
        <f t="shared" si="2"/>
        <v>0</v>
      </c>
      <c r="K499" s="4"/>
      <c r="L499" s="4"/>
      <c r="M499" s="4"/>
      <c r="N499" s="4"/>
    </row>
    <row r="500" ht="13.5" hidden="1" customHeight="1">
      <c r="A500" s="4" t="str">
        <f t="shared" si="1"/>
        <v>LRW-W140FY</v>
      </c>
      <c r="B500" s="29" t="s">
        <v>812</v>
      </c>
      <c r="C500" s="28" t="s">
        <v>811</v>
      </c>
      <c r="D500" s="28" t="s">
        <v>41</v>
      </c>
      <c r="E500" s="4" t="s">
        <v>111</v>
      </c>
      <c r="F500" s="28" t="s">
        <v>67</v>
      </c>
      <c r="G500" s="4"/>
      <c r="H500" s="4">
        <f>SUMIFS(X!$F$5:$F$2005,X!$D$5:$D$2005,'CEK CICI'!A500)</f>
        <v>0</v>
      </c>
      <c r="I500" s="4">
        <f>SUMIFS(PENJUALAN!$E$4:$E$4288,PENJUALAN!$C$4:$C$4288,'CEK CICI'!A500)</f>
        <v>0</v>
      </c>
      <c r="J500" s="16">
        <f t="shared" si="2"/>
        <v>0</v>
      </c>
      <c r="K500" s="4"/>
      <c r="L500" s="4"/>
      <c r="M500" s="4"/>
      <c r="N500" s="4"/>
    </row>
    <row r="501" ht="13.5" hidden="1" customHeight="1">
      <c r="A501" s="4" t="str">
        <f t="shared" si="1"/>
        <v>TRW-W220FY</v>
      </c>
      <c r="B501" s="29" t="s">
        <v>813</v>
      </c>
      <c r="C501" s="28" t="s">
        <v>814</v>
      </c>
      <c r="D501" s="28" t="s">
        <v>41</v>
      </c>
      <c r="E501" s="4" t="s">
        <v>111</v>
      </c>
      <c r="F501" s="28" t="s">
        <v>114</v>
      </c>
      <c r="G501" s="4"/>
      <c r="H501" s="4">
        <f>SUMIFS(X!$F$5:$F$2005,X!$D$5:$D$2005,'CEK CICI'!A501)</f>
        <v>0</v>
      </c>
      <c r="I501" s="4">
        <f>SUMIFS(PENJUALAN!$E$4:$E$4288,PENJUALAN!$C$4:$C$4288,'CEK CICI'!A501)</f>
        <v>0</v>
      </c>
      <c r="J501" s="16">
        <f t="shared" si="2"/>
        <v>0</v>
      </c>
      <c r="K501" s="4"/>
      <c r="L501" s="4"/>
      <c r="M501" s="4"/>
      <c r="N501" s="4"/>
    </row>
    <row r="502" ht="13.5" hidden="1" customHeight="1">
      <c r="A502" s="4" t="str">
        <f t="shared" si="1"/>
        <v>LFW-DELICAFY</v>
      </c>
      <c r="B502" s="29" t="s">
        <v>815</v>
      </c>
      <c r="C502" s="28" t="s">
        <v>816</v>
      </c>
      <c r="D502" s="28" t="s">
        <v>22</v>
      </c>
      <c r="E502" s="4" t="s">
        <v>111</v>
      </c>
      <c r="F502" s="28" t="s">
        <v>125</v>
      </c>
      <c r="G502" s="4"/>
      <c r="H502" s="4">
        <f>SUMIFS(X!$F$5:$F$2005,X!$D$5:$D$2005,'CEK CICI'!A502)</f>
        <v>0</v>
      </c>
      <c r="I502" s="4">
        <f>SUMIFS(PENJUALAN!$E$4:$E$4288,PENJUALAN!$C$4:$C$4288,'CEK CICI'!A502)</f>
        <v>0</v>
      </c>
      <c r="J502" s="16">
        <f t="shared" si="2"/>
        <v>0</v>
      </c>
      <c r="K502" s="4"/>
      <c r="L502" s="4"/>
      <c r="M502" s="4"/>
      <c r="N502" s="4"/>
    </row>
    <row r="503" ht="13.5" hidden="1" customHeight="1">
      <c r="A503" s="4" t="str">
        <f t="shared" si="1"/>
        <v>TRW-ETERNAFY</v>
      </c>
      <c r="B503" s="29" t="s">
        <v>817</v>
      </c>
      <c r="C503" s="28" t="s">
        <v>818</v>
      </c>
      <c r="D503" s="28" t="s">
        <v>41</v>
      </c>
      <c r="E503" s="4" t="s">
        <v>111</v>
      </c>
      <c r="F503" s="28" t="s">
        <v>67</v>
      </c>
      <c r="G503" s="4"/>
      <c r="H503" s="4">
        <f>SUMIFS(X!$F$5:$F$2005,X!$D$5:$D$2005,'CEK CICI'!A503)</f>
        <v>0</v>
      </c>
      <c r="I503" s="4">
        <f>SUMIFS(PENJUALAN!$E$4:$E$4288,PENJUALAN!$C$4:$C$4288,'CEK CICI'!A503)</f>
        <v>0</v>
      </c>
      <c r="J503" s="16">
        <f t="shared" si="2"/>
        <v>0</v>
      </c>
      <c r="K503" s="4"/>
      <c r="L503" s="4"/>
      <c r="M503" s="4"/>
      <c r="N503" s="4"/>
    </row>
    <row r="504" ht="13.5" hidden="1" customHeight="1">
      <c r="A504" s="4" t="str">
        <f t="shared" si="1"/>
        <v>FDL-ETERNAFY</v>
      </c>
      <c r="B504" s="29" t="s">
        <v>819</v>
      </c>
      <c r="C504" s="28" t="s">
        <v>818</v>
      </c>
      <c r="D504" s="28" t="s">
        <v>128</v>
      </c>
      <c r="E504" s="4" t="s">
        <v>111</v>
      </c>
      <c r="F504" s="28" t="s">
        <v>141</v>
      </c>
      <c r="G504" s="4"/>
      <c r="H504" s="4">
        <f>SUMIFS(X!$F$5:$F$2005,X!$D$5:$D$2005,'CEK CICI'!A504)</f>
        <v>0</v>
      </c>
      <c r="I504" s="4">
        <f>SUMIFS(PENJUALAN!$E$4:$E$4288,PENJUALAN!$C$4:$C$4288,'CEK CICI'!A504)</f>
        <v>0</v>
      </c>
      <c r="J504" s="16">
        <f t="shared" si="2"/>
        <v>0</v>
      </c>
      <c r="K504" s="4"/>
      <c r="L504" s="4"/>
      <c r="M504" s="4"/>
      <c r="N504" s="4"/>
    </row>
    <row r="505" ht="13.5" hidden="1" customHeight="1">
      <c r="A505" s="4" t="str">
        <f t="shared" si="1"/>
        <v>FDR-ETERNAFY</v>
      </c>
      <c r="B505" s="29" t="s">
        <v>820</v>
      </c>
      <c r="C505" s="28" t="s">
        <v>818</v>
      </c>
      <c r="D505" s="28" t="s">
        <v>130</v>
      </c>
      <c r="E505" s="4" t="s">
        <v>111</v>
      </c>
      <c r="F505" s="28" t="s">
        <v>141</v>
      </c>
      <c r="G505" s="4"/>
      <c r="H505" s="4">
        <f>SUMIFS(X!$F$5:$F$2005,X!$D$5:$D$2005,'CEK CICI'!A505)</f>
        <v>0</v>
      </c>
      <c r="I505" s="4">
        <f>SUMIFS(PENJUALAN!$E$4:$E$4288,PENJUALAN!$C$4:$C$4288,'CEK CICI'!A505)</f>
        <v>0</v>
      </c>
      <c r="J505" s="16">
        <f t="shared" si="2"/>
        <v>0</v>
      </c>
      <c r="K505" s="4"/>
      <c r="L505" s="4"/>
      <c r="M505" s="4"/>
      <c r="N505" s="4"/>
    </row>
    <row r="506" ht="13.5" hidden="1" customHeight="1">
      <c r="A506" s="4" t="str">
        <f t="shared" si="1"/>
        <v>TRW-LELEFY</v>
      </c>
      <c r="B506" s="29" t="s">
        <v>821</v>
      </c>
      <c r="C506" s="28" t="s">
        <v>822</v>
      </c>
      <c r="D506" s="28" t="s">
        <v>41</v>
      </c>
      <c r="E506" s="4" t="s">
        <v>111</v>
      </c>
      <c r="F506" s="28" t="s">
        <v>67</v>
      </c>
      <c r="G506" s="4"/>
      <c r="H506" s="4">
        <f>SUMIFS(X!$F$5:$F$2005,X!$D$5:$D$2005,'CEK CICI'!A506)</f>
        <v>0</v>
      </c>
      <c r="I506" s="4">
        <f>SUMIFS(PENJUALAN!$E$4:$E$4288,PENJUALAN!$C$4:$C$4288,'CEK CICI'!A506)</f>
        <v>0</v>
      </c>
      <c r="J506" s="16">
        <f t="shared" si="2"/>
        <v>0</v>
      </c>
      <c r="K506" s="4"/>
      <c r="L506" s="4"/>
      <c r="M506" s="4"/>
      <c r="N506" s="4"/>
    </row>
    <row r="507" ht="13.5" hidden="1" customHeight="1">
      <c r="A507" s="4" t="str">
        <f t="shared" si="1"/>
        <v>FDL-LELEFY</v>
      </c>
      <c r="B507" s="29" t="s">
        <v>823</v>
      </c>
      <c r="C507" s="28" t="s">
        <v>822</v>
      </c>
      <c r="D507" s="28" t="s">
        <v>128</v>
      </c>
      <c r="E507" s="4" t="s">
        <v>111</v>
      </c>
      <c r="F507" s="28" t="s">
        <v>141</v>
      </c>
      <c r="G507" s="4"/>
      <c r="H507" s="4">
        <f>SUMIFS(X!$F$5:$F$2005,X!$D$5:$D$2005,'CEK CICI'!A507)</f>
        <v>0</v>
      </c>
      <c r="I507" s="4">
        <f>SUMIFS(PENJUALAN!$E$4:$E$4288,PENJUALAN!$C$4:$C$4288,'CEK CICI'!A507)</f>
        <v>0</v>
      </c>
      <c r="J507" s="16">
        <f t="shared" si="2"/>
        <v>0</v>
      </c>
      <c r="K507" s="4"/>
      <c r="L507" s="4"/>
      <c r="M507" s="4"/>
      <c r="N507" s="4"/>
    </row>
    <row r="508" ht="13.5" hidden="1" customHeight="1">
      <c r="A508" s="4" t="str">
        <f t="shared" si="1"/>
        <v>FDR-LELEFY</v>
      </c>
      <c r="B508" s="29" t="s">
        <v>824</v>
      </c>
      <c r="C508" s="28" t="s">
        <v>822</v>
      </c>
      <c r="D508" s="28" t="s">
        <v>130</v>
      </c>
      <c r="E508" s="4" t="s">
        <v>111</v>
      </c>
      <c r="F508" s="28" t="s">
        <v>141</v>
      </c>
      <c r="G508" s="4"/>
      <c r="H508" s="4">
        <f>SUMIFS(X!$F$5:$F$2005,X!$D$5:$D$2005,'CEK CICI'!A508)</f>
        <v>0</v>
      </c>
      <c r="I508" s="4">
        <f>SUMIFS(PENJUALAN!$E$4:$E$4288,PENJUALAN!$C$4:$C$4288,'CEK CICI'!A508)</f>
        <v>0</v>
      </c>
      <c r="J508" s="16">
        <f t="shared" si="2"/>
        <v>0</v>
      </c>
      <c r="K508" s="4"/>
      <c r="L508" s="4"/>
      <c r="M508" s="4"/>
      <c r="N508" s="4"/>
    </row>
    <row r="509" ht="13.5" hidden="1" customHeight="1">
      <c r="A509" s="4" t="str">
        <f t="shared" si="1"/>
        <v>RDL-LELEFY</v>
      </c>
      <c r="B509" s="29" t="s">
        <v>825</v>
      </c>
      <c r="C509" s="28" t="s">
        <v>822</v>
      </c>
      <c r="D509" s="28" t="s">
        <v>132</v>
      </c>
      <c r="E509" s="4" t="s">
        <v>111</v>
      </c>
      <c r="F509" s="28" t="s">
        <v>141</v>
      </c>
      <c r="G509" s="4"/>
      <c r="H509" s="4">
        <f>SUMIFS(X!$F$5:$F$2005,X!$D$5:$D$2005,'CEK CICI'!A509)</f>
        <v>0</v>
      </c>
      <c r="I509" s="4">
        <f>SUMIFS(PENJUALAN!$E$4:$E$4288,PENJUALAN!$C$4:$C$4288,'CEK CICI'!A509)</f>
        <v>0</v>
      </c>
      <c r="J509" s="16">
        <f t="shared" si="2"/>
        <v>0</v>
      </c>
      <c r="K509" s="4"/>
      <c r="L509" s="4"/>
      <c r="M509" s="4"/>
      <c r="N509" s="4"/>
    </row>
    <row r="510" ht="13.5" hidden="1" customHeight="1">
      <c r="A510" s="4" t="str">
        <f t="shared" si="1"/>
        <v>RDR-LELEFY</v>
      </c>
      <c r="B510" s="29" t="s">
        <v>826</v>
      </c>
      <c r="C510" s="28" t="s">
        <v>822</v>
      </c>
      <c r="D510" s="28" t="s">
        <v>134</v>
      </c>
      <c r="E510" s="4" t="s">
        <v>111</v>
      </c>
      <c r="F510" s="28" t="s">
        <v>141</v>
      </c>
      <c r="G510" s="4"/>
      <c r="H510" s="4">
        <f>SUMIFS(X!$F$5:$F$2005,X!$D$5:$D$2005,'CEK CICI'!A510)</f>
        <v>0</v>
      </c>
      <c r="I510" s="4">
        <f>SUMIFS(PENJUALAN!$E$4:$E$4288,PENJUALAN!$C$4:$C$4288,'CEK CICI'!A510)</f>
        <v>0</v>
      </c>
      <c r="J510" s="16">
        <f t="shared" si="2"/>
        <v>0</v>
      </c>
      <c r="K510" s="4"/>
      <c r="L510" s="4"/>
      <c r="M510" s="4"/>
      <c r="N510" s="4"/>
    </row>
    <row r="511" ht="13.5" hidden="1" customHeight="1">
      <c r="A511" s="4" t="str">
        <f t="shared" si="1"/>
        <v>LFW-HIUFY</v>
      </c>
      <c r="B511" s="29" t="s">
        <v>827</v>
      </c>
      <c r="C511" s="28" t="s">
        <v>828</v>
      </c>
      <c r="D511" s="28" t="s">
        <v>22</v>
      </c>
      <c r="E511" s="4" t="s">
        <v>111</v>
      </c>
      <c r="F511" s="28" t="s">
        <v>125</v>
      </c>
      <c r="G511" s="4"/>
      <c r="H511" s="4">
        <f>SUMIFS(X!$F$5:$F$2005,X!$D$5:$D$2005,'CEK CICI'!A511)</f>
        <v>0</v>
      </c>
      <c r="I511" s="4">
        <f>SUMIFS(PENJUALAN!$E$4:$E$4288,PENJUALAN!$C$4:$C$4288,'CEK CICI'!A511)</f>
        <v>0</v>
      </c>
      <c r="J511" s="16">
        <f t="shared" si="2"/>
        <v>0</v>
      </c>
      <c r="K511" s="4"/>
      <c r="L511" s="4"/>
      <c r="M511" s="4"/>
      <c r="N511" s="4"/>
    </row>
    <row r="512" ht="13.5" hidden="1" customHeight="1">
      <c r="A512" s="4" t="str">
        <f t="shared" si="1"/>
        <v>TRW-HIUFY</v>
      </c>
      <c r="B512" s="29" t="s">
        <v>1677</v>
      </c>
      <c r="C512" s="28" t="s">
        <v>828</v>
      </c>
      <c r="D512" s="28" t="s">
        <v>41</v>
      </c>
      <c r="E512" s="4" t="s">
        <v>111</v>
      </c>
      <c r="F512" s="28" t="s">
        <v>67</v>
      </c>
      <c r="G512" s="4"/>
      <c r="H512" s="4">
        <f>SUMIFS(X!$F$5:$F$2005,X!$D$5:$D$2005,'CEK CICI'!A512)</f>
        <v>1</v>
      </c>
      <c r="I512" s="4">
        <f>SUMIFS(PENJUALAN!$E$4:$E$4288,PENJUALAN!$C$4:$C$4288,'CEK CICI'!A512)</f>
        <v>1</v>
      </c>
      <c r="J512" s="16">
        <f t="shared" si="2"/>
        <v>0</v>
      </c>
      <c r="K512" s="4"/>
      <c r="L512" s="4"/>
      <c r="M512" s="4"/>
      <c r="N512" s="4"/>
    </row>
    <row r="513" ht="13.5" hidden="1" customHeight="1">
      <c r="A513" s="4" t="str">
        <f t="shared" si="1"/>
        <v>FDL-HIUFY</v>
      </c>
      <c r="B513" s="29" t="s">
        <v>833</v>
      </c>
      <c r="C513" s="28" t="s">
        <v>828</v>
      </c>
      <c r="D513" s="28" t="s">
        <v>128</v>
      </c>
      <c r="E513" s="4" t="s">
        <v>111</v>
      </c>
      <c r="F513" s="28" t="s">
        <v>141</v>
      </c>
      <c r="G513" s="4"/>
      <c r="H513" s="4">
        <f>SUMIFS(X!$F$5:$F$2005,X!$D$5:$D$2005,'CEK CICI'!A513)</f>
        <v>0</v>
      </c>
      <c r="I513" s="4">
        <f>SUMIFS(PENJUALAN!$E$4:$E$4288,PENJUALAN!$C$4:$C$4288,'CEK CICI'!A513)</f>
        <v>0</v>
      </c>
      <c r="J513" s="16">
        <f t="shared" si="2"/>
        <v>0</v>
      </c>
      <c r="K513" s="4"/>
      <c r="L513" s="4"/>
      <c r="M513" s="4"/>
      <c r="N513" s="4"/>
    </row>
    <row r="514" ht="13.5" hidden="1" customHeight="1">
      <c r="A514" s="4" t="str">
        <f t="shared" si="1"/>
        <v>FDR-HIUFY</v>
      </c>
      <c r="B514" s="29" t="s">
        <v>834</v>
      </c>
      <c r="C514" s="28" t="s">
        <v>828</v>
      </c>
      <c r="D514" s="28" t="s">
        <v>130</v>
      </c>
      <c r="E514" s="4" t="s">
        <v>111</v>
      </c>
      <c r="F514" s="28" t="s">
        <v>141</v>
      </c>
      <c r="G514" s="4"/>
      <c r="H514" s="4">
        <f>SUMIFS(X!$F$5:$F$2005,X!$D$5:$D$2005,'CEK CICI'!A514)</f>
        <v>0</v>
      </c>
      <c r="I514" s="4">
        <f>SUMIFS(PENJUALAN!$E$4:$E$4288,PENJUALAN!$C$4:$C$4288,'CEK CICI'!A514)</f>
        <v>0</v>
      </c>
      <c r="J514" s="16">
        <f t="shared" si="2"/>
        <v>0</v>
      </c>
      <c r="K514" s="4"/>
      <c r="L514" s="4"/>
      <c r="M514" s="4"/>
      <c r="N514" s="4"/>
    </row>
    <row r="515" ht="13.5" hidden="1" customHeight="1">
      <c r="A515" s="4" t="str">
        <f t="shared" si="1"/>
        <v>RDL-HIUFY</v>
      </c>
      <c r="B515" s="29" t="s">
        <v>835</v>
      </c>
      <c r="C515" s="28" t="s">
        <v>828</v>
      </c>
      <c r="D515" s="28" t="s">
        <v>132</v>
      </c>
      <c r="E515" s="4" t="s">
        <v>111</v>
      </c>
      <c r="F515" s="28" t="s">
        <v>141</v>
      </c>
      <c r="G515" s="4"/>
      <c r="H515" s="4">
        <f>SUMIFS(X!$F$5:$F$2005,X!$D$5:$D$2005,'CEK CICI'!A515)</f>
        <v>0</v>
      </c>
      <c r="I515" s="4">
        <f>SUMIFS(PENJUALAN!$E$4:$E$4288,PENJUALAN!$C$4:$C$4288,'CEK CICI'!A515)</f>
        <v>0</v>
      </c>
      <c r="J515" s="16">
        <f t="shared" si="2"/>
        <v>0</v>
      </c>
      <c r="K515" s="4"/>
      <c r="L515" s="4"/>
      <c r="M515" s="4"/>
      <c r="N515" s="4"/>
    </row>
    <row r="516" ht="13.5" hidden="1" customHeight="1">
      <c r="A516" s="4" t="str">
        <f t="shared" si="1"/>
        <v>RDR-HIUFY</v>
      </c>
      <c r="B516" s="29" t="s">
        <v>836</v>
      </c>
      <c r="C516" s="28" t="s">
        <v>828</v>
      </c>
      <c r="D516" s="28" t="s">
        <v>134</v>
      </c>
      <c r="E516" s="4" t="s">
        <v>111</v>
      </c>
      <c r="F516" s="28" t="s">
        <v>141</v>
      </c>
      <c r="G516" s="4"/>
      <c r="H516" s="4">
        <f>SUMIFS(X!$F$5:$F$2005,X!$D$5:$D$2005,'CEK CICI'!A516)</f>
        <v>0</v>
      </c>
      <c r="I516" s="4">
        <f>SUMIFS(PENJUALAN!$E$4:$E$4288,PENJUALAN!$C$4:$C$4288,'CEK CICI'!A516)</f>
        <v>0</v>
      </c>
      <c r="J516" s="16">
        <f t="shared" si="2"/>
        <v>0</v>
      </c>
      <c r="K516" s="4"/>
      <c r="L516" s="4"/>
      <c r="M516" s="4"/>
      <c r="N516" s="4"/>
    </row>
    <row r="517" ht="13.5" hidden="1" customHeight="1">
      <c r="A517" s="4" t="str">
        <f t="shared" si="1"/>
        <v>LFW-GRANDISFY</v>
      </c>
      <c r="B517" s="29" t="s">
        <v>837</v>
      </c>
      <c r="C517" s="28" t="s">
        <v>838</v>
      </c>
      <c r="D517" s="28" t="s">
        <v>22</v>
      </c>
      <c r="E517" s="4" t="s">
        <v>111</v>
      </c>
      <c r="F517" s="28" t="s">
        <v>125</v>
      </c>
      <c r="G517" s="4"/>
      <c r="H517" s="4">
        <f>SUMIFS(X!$F$5:$F$2005,X!$D$5:$D$2005,'CEK CICI'!A517)</f>
        <v>0</v>
      </c>
      <c r="I517" s="4">
        <f>SUMIFS(PENJUALAN!$E$4:$E$4288,PENJUALAN!$C$4:$C$4288,'CEK CICI'!A517)</f>
        <v>0</v>
      </c>
      <c r="J517" s="16">
        <f t="shared" si="2"/>
        <v>0</v>
      </c>
      <c r="K517" s="4"/>
      <c r="L517" s="4"/>
      <c r="M517" s="4"/>
      <c r="N517" s="4"/>
    </row>
    <row r="518" ht="13.5" hidden="1" customHeight="1">
      <c r="A518" s="4" t="str">
        <f t="shared" si="1"/>
        <v>TRW-GRANDISFY</v>
      </c>
      <c r="B518" s="29" t="s">
        <v>839</v>
      </c>
      <c r="C518" s="28" t="s">
        <v>838</v>
      </c>
      <c r="D518" s="28" t="s">
        <v>41</v>
      </c>
      <c r="E518" s="4" t="s">
        <v>111</v>
      </c>
      <c r="F518" s="28" t="s">
        <v>221</v>
      </c>
      <c r="G518" s="4"/>
      <c r="H518" s="4">
        <f>SUMIFS(X!$F$5:$F$2005,X!$D$5:$D$2005,'CEK CICI'!A518)</f>
        <v>0</v>
      </c>
      <c r="I518" s="4">
        <f>SUMIFS(PENJUALAN!$E$4:$E$4288,PENJUALAN!$C$4:$C$4288,'CEK CICI'!A518)</f>
        <v>0</v>
      </c>
      <c r="J518" s="16">
        <f t="shared" si="2"/>
        <v>0</v>
      </c>
      <c r="K518" s="4"/>
      <c r="L518" s="4"/>
      <c r="M518" s="4"/>
      <c r="N518" s="4"/>
    </row>
    <row r="519" ht="13.5" hidden="1" customHeight="1">
      <c r="A519" s="4" t="str">
        <f t="shared" si="1"/>
        <v>FDL-GRANDISFY</v>
      </c>
      <c r="B519" s="29" t="s">
        <v>840</v>
      </c>
      <c r="C519" s="28" t="s">
        <v>838</v>
      </c>
      <c r="D519" s="28" t="s">
        <v>128</v>
      </c>
      <c r="E519" s="4" t="s">
        <v>111</v>
      </c>
      <c r="F519" s="28" t="s">
        <v>141</v>
      </c>
      <c r="G519" s="4"/>
      <c r="H519" s="4">
        <f>SUMIFS(X!$F$5:$F$2005,X!$D$5:$D$2005,'CEK CICI'!A519)</f>
        <v>0</v>
      </c>
      <c r="I519" s="4">
        <f>SUMIFS(PENJUALAN!$E$4:$E$4288,PENJUALAN!$C$4:$C$4288,'CEK CICI'!A519)</f>
        <v>0</v>
      </c>
      <c r="J519" s="16">
        <f t="shared" si="2"/>
        <v>0</v>
      </c>
      <c r="K519" s="4"/>
      <c r="L519" s="4"/>
      <c r="M519" s="4"/>
      <c r="N519" s="4"/>
    </row>
    <row r="520" ht="13.5" hidden="1" customHeight="1">
      <c r="A520" s="4" t="str">
        <f t="shared" si="1"/>
        <v>FDR-GRANDISFY</v>
      </c>
      <c r="B520" s="29" t="s">
        <v>841</v>
      </c>
      <c r="C520" s="28" t="s">
        <v>838</v>
      </c>
      <c r="D520" s="28" t="s">
        <v>130</v>
      </c>
      <c r="E520" s="4" t="s">
        <v>111</v>
      </c>
      <c r="F520" s="28" t="s">
        <v>141</v>
      </c>
      <c r="G520" s="4"/>
      <c r="H520" s="4">
        <f>SUMIFS(X!$F$5:$F$2005,X!$D$5:$D$2005,'CEK CICI'!A520)</f>
        <v>0</v>
      </c>
      <c r="I520" s="4">
        <f>SUMIFS(PENJUALAN!$E$4:$E$4288,PENJUALAN!$C$4:$C$4288,'CEK CICI'!A520)</f>
        <v>0</v>
      </c>
      <c r="J520" s="16">
        <f t="shared" si="2"/>
        <v>0</v>
      </c>
      <c r="K520" s="4"/>
      <c r="L520" s="4"/>
      <c r="M520" s="4"/>
      <c r="N520" s="4"/>
    </row>
    <row r="521" ht="13.5" hidden="1" customHeight="1">
      <c r="A521" s="4" t="str">
        <f t="shared" si="1"/>
        <v>RDL-GRANDISFY</v>
      </c>
      <c r="B521" s="29" t="s">
        <v>842</v>
      </c>
      <c r="C521" s="28" t="s">
        <v>838</v>
      </c>
      <c r="D521" s="28" t="s">
        <v>132</v>
      </c>
      <c r="E521" s="4" t="s">
        <v>111</v>
      </c>
      <c r="F521" s="28" t="s">
        <v>141</v>
      </c>
      <c r="G521" s="4"/>
      <c r="H521" s="4">
        <f>SUMIFS(X!$F$5:$F$2005,X!$D$5:$D$2005,'CEK CICI'!A521)</f>
        <v>0</v>
      </c>
      <c r="I521" s="4">
        <f>SUMIFS(PENJUALAN!$E$4:$E$4288,PENJUALAN!$C$4:$C$4288,'CEK CICI'!A521)</f>
        <v>0</v>
      </c>
      <c r="J521" s="16">
        <f t="shared" si="2"/>
        <v>0</v>
      </c>
      <c r="K521" s="4"/>
      <c r="L521" s="4"/>
      <c r="M521" s="4"/>
      <c r="N521" s="4"/>
    </row>
    <row r="522" ht="13.5" hidden="1" customHeight="1">
      <c r="A522" s="4" t="str">
        <f t="shared" si="1"/>
        <v>RDR-GRANDISFY</v>
      </c>
      <c r="B522" s="29" t="s">
        <v>843</v>
      </c>
      <c r="C522" s="28" t="s">
        <v>838</v>
      </c>
      <c r="D522" s="28" t="s">
        <v>134</v>
      </c>
      <c r="E522" s="4" t="s">
        <v>111</v>
      </c>
      <c r="F522" s="28" t="s">
        <v>141</v>
      </c>
      <c r="G522" s="4"/>
      <c r="H522" s="4">
        <f>SUMIFS(X!$F$5:$F$2005,X!$D$5:$D$2005,'CEK CICI'!A522)</f>
        <v>0</v>
      </c>
      <c r="I522" s="4">
        <f>SUMIFS(PENJUALAN!$E$4:$E$4288,PENJUALAN!$C$4:$C$4288,'CEK CICI'!A522)</f>
        <v>0</v>
      </c>
      <c r="J522" s="16">
        <f t="shared" si="2"/>
        <v>0</v>
      </c>
      <c r="K522" s="4"/>
      <c r="L522" s="4"/>
      <c r="M522" s="4"/>
      <c r="N522" s="4"/>
    </row>
    <row r="523" ht="13.5" hidden="1" customHeight="1">
      <c r="A523" s="4" t="str">
        <f t="shared" si="1"/>
        <v>SWL-GRANDISFY</v>
      </c>
      <c r="B523" s="29" t="s">
        <v>844</v>
      </c>
      <c r="C523" s="28" t="s">
        <v>838</v>
      </c>
      <c r="D523" s="28" t="s">
        <v>202</v>
      </c>
      <c r="E523" s="4" t="s">
        <v>111</v>
      </c>
      <c r="F523" s="28" t="s">
        <v>234</v>
      </c>
      <c r="G523" s="4"/>
      <c r="H523" s="4">
        <f>SUMIFS(X!$F$5:$F$2005,X!$D$5:$D$2005,'CEK CICI'!A523)</f>
        <v>0</v>
      </c>
      <c r="I523" s="4">
        <f>SUMIFS(PENJUALAN!$E$4:$E$4288,PENJUALAN!$C$4:$C$4288,'CEK CICI'!A523)</f>
        <v>0</v>
      </c>
      <c r="J523" s="16">
        <f t="shared" si="2"/>
        <v>0</v>
      </c>
      <c r="K523" s="4"/>
      <c r="L523" s="4"/>
      <c r="M523" s="4"/>
      <c r="N523" s="4"/>
    </row>
    <row r="524" ht="13.5" hidden="1" customHeight="1">
      <c r="A524" s="4" t="str">
        <f t="shared" si="1"/>
        <v>SWR-GRANDISFY</v>
      </c>
      <c r="B524" s="29" t="s">
        <v>845</v>
      </c>
      <c r="C524" s="28" t="s">
        <v>838</v>
      </c>
      <c r="D524" s="28" t="s">
        <v>236</v>
      </c>
      <c r="E524" s="4" t="s">
        <v>111</v>
      </c>
      <c r="F524" s="28" t="s">
        <v>97</v>
      </c>
      <c r="G524" s="4"/>
      <c r="H524" s="4">
        <f>SUMIFS(X!$F$5:$F$2005,X!$D$5:$D$2005,'CEK CICI'!A524)</f>
        <v>0</v>
      </c>
      <c r="I524" s="4">
        <f>SUMIFS(PENJUALAN!$E$4:$E$4288,PENJUALAN!$C$4:$C$4288,'CEK CICI'!A524)</f>
        <v>0</v>
      </c>
      <c r="J524" s="16">
        <f t="shared" si="2"/>
        <v>0</v>
      </c>
      <c r="K524" s="4"/>
      <c r="L524" s="4"/>
      <c r="M524" s="4"/>
      <c r="N524" s="4"/>
    </row>
    <row r="525" ht="13.5" hidden="1" customHeight="1">
      <c r="A525" s="4" t="str">
        <f t="shared" si="1"/>
        <v>LFW-EVO3FY</v>
      </c>
      <c r="B525" s="29" t="s">
        <v>846</v>
      </c>
      <c r="C525" s="28" t="s">
        <v>847</v>
      </c>
      <c r="D525" s="28" t="s">
        <v>22</v>
      </c>
      <c r="E525" s="4" t="s">
        <v>111</v>
      </c>
      <c r="F525" s="28" t="s">
        <v>97</v>
      </c>
      <c r="G525" s="4"/>
      <c r="H525" s="4">
        <f>SUMIFS(X!$F$5:$F$2005,X!$D$5:$D$2005,'CEK CICI'!A525)</f>
        <v>0</v>
      </c>
      <c r="I525" s="4">
        <f>SUMIFS(PENJUALAN!$E$4:$E$4288,PENJUALAN!$C$4:$C$4288,'CEK CICI'!A525)</f>
        <v>0</v>
      </c>
      <c r="J525" s="16">
        <f t="shared" si="2"/>
        <v>0</v>
      </c>
      <c r="K525" s="4"/>
      <c r="L525" s="4"/>
      <c r="M525" s="4"/>
      <c r="N525" s="4"/>
    </row>
    <row r="526" ht="13.5" hidden="1" customHeight="1">
      <c r="A526" s="4" t="str">
        <f t="shared" si="1"/>
        <v>TRW-EVO3FY</v>
      </c>
      <c r="B526" s="29" t="s">
        <v>848</v>
      </c>
      <c r="C526" s="28" t="s">
        <v>847</v>
      </c>
      <c r="D526" s="28" t="s">
        <v>41</v>
      </c>
      <c r="E526" s="4" t="s">
        <v>111</v>
      </c>
      <c r="F526" s="28" t="s">
        <v>67</v>
      </c>
      <c r="G526" s="4"/>
      <c r="H526" s="4">
        <f>SUMIFS(X!$F$5:$F$2005,X!$D$5:$D$2005,'CEK CICI'!A526)</f>
        <v>0</v>
      </c>
      <c r="I526" s="4">
        <f>SUMIFS(PENJUALAN!$E$4:$E$4288,PENJUALAN!$C$4:$C$4288,'CEK CICI'!A526)</f>
        <v>0</v>
      </c>
      <c r="J526" s="16">
        <f t="shared" si="2"/>
        <v>0</v>
      </c>
      <c r="K526" s="4"/>
      <c r="L526" s="4"/>
      <c r="M526" s="4"/>
      <c r="N526" s="4"/>
    </row>
    <row r="527" ht="13.5" hidden="1" customHeight="1">
      <c r="A527" s="4" t="str">
        <f t="shared" si="1"/>
        <v>FDL-EVO3FY</v>
      </c>
      <c r="B527" s="29" t="s">
        <v>849</v>
      </c>
      <c r="C527" s="28" t="s">
        <v>847</v>
      </c>
      <c r="D527" s="28" t="s">
        <v>128</v>
      </c>
      <c r="E527" s="4" t="s">
        <v>111</v>
      </c>
      <c r="F527" s="28" t="s">
        <v>141</v>
      </c>
      <c r="G527" s="4"/>
      <c r="H527" s="4">
        <f>SUMIFS(X!$F$5:$F$2005,X!$D$5:$D$2005,'CEK CICI'!A527)</f>
        <v>0</v>
      </c>
      <c r="I527" s="4">
        <f>SUMIFS(PENJUALAN!$E$4:$E$4288,PENJUALAN!$C$4:$C$4288,'CEK CICI'!A527)</f>
        <v>0</v>
      </c>
      <c r="J527" s="16">
        <f t="shared" si="2"/>
        <v>0</v>
      </c>
      <c r="K527" s="4"/>
      <c r="L527" s="4"/>
      <c r="M527" s="4"/>
      <c r="N527" s="4"/>
    </row>
    <row r="528" ht="13.5" hidden="1" customHeight="1">
      <c r="A528" s="4" t="str">
        <f t="shared" si="1"/>
        <v>FDR-EVO3FY</v>
      </c>
      <c r="B528" s="29" t="s">
        <v>850</v>
      </c>
      <c r="C528" s="28" t="s">
        <v>847</v>
      </c>
      <c r="D528" s="28" t="s">
        <v>130</v>
      </c>
      <c r="E528" s="4" t="s">
        <v>111</v>
      </c>
      <c r="F528" s="28" t="s">
        <v>141</v>
      </c>
      <c r="G528" s="4"/>
      <c r="H528" s="4">
        <f>SUMIFS(X!$F$5:$F$2005,X!$D$5:$D$2005,'CEK CICI'!A528)</f>
        <v>0</v>
      </c>
      <c r="I528" s="4">
        <f>SUMIFS(PENJUALAN!$E$4:$E$4288,PENJUALAN!$C$4:$C$4288,'CEK CICI'!A528)</f>
        <v>0</v>
      </c>
      <c r="J528" s="16">
        <f t="shared" si="2"/>
        <v>0</v>
      </c>
      <c r="K528" s="4"/>
      <c r="L528" s="4"/>
      <c r="M528" s="4"/>
      <c r="N528" s="4"/>
    </row>
    <row r="529" ht="13.5" hidden="1" customHeight="1">
      <c r="A529" s="4" t="str">
        <f t="shared" si="1"/>
        <v>RDL-EVO3FY</v>
      </c>
      <c r="B529" s="29" t="s">
        <v>851</v>
      </c>
      <c r="C529" s="28" t="s">
        <v>847</v>
      </c>
      <c r="D529" s="28" t="s">
        <v>132</v>
      </c>
      <c r="E529" s="4" t="s">
        <v>111</v>
      </c>
      <c r="F529" s="28" t="s">
        <v>141</v>
      </c>
      <c r="G529" s="4"/>
      <c r="H529" s="4">
        <f>SUMIFS(X!$F$5:$F$2005,X!$D$5:$D$2005,'CEK CICI'!A529)</f>
        <v>0</v>
      </c>
      <c r="I529" s="4">
        <f>SUMIFS(PENJUALAN!$E$4:$E$4288,PENJUALAN!$C$4:$C$4288,'CEK CICI'!A529)</f>
        <v>0</v>
      </c>
      <c r="J529" s="16">
        <f t="shared" si="2"/>
        <v>0</v>
      </c>
      <c r="K529" s="4"/>
      <c r="L529" s="4"/>
      <c r="M529" s="4"/>
      <c r="N529" s="4"/>
    </row>
    <row r="530" ht="13.5" hidden="1" customHeight="1">
      <c r="A530" s="4" t="str">
        <f t="shared" si="1"/>
        <v>RDR-EVO3FY</v>
      </c>
      <c r="B530" s="29" t="s">
        <v>852</v>
      </c>
      <c r="C530" s="28" t="s">
        <v>847</v>
      </c>
      <c r="D530" s="28" t="s">
        <v>134</v>
      </c>
      <c r="E530" s="4" t="s">
        <v>111</v>
      </c>
      <c r="F530" s="28" t="s">
        <v>141</v>
      </c>
      <c r="G530" s="4"/>
      <c r="H530" s="4">
        <f>SUMIFS(X!$F$5:$F$2005,X!$D$5:$D$2005,'CEK CICI'!A530)</f>
        <v>0</v>
      </c>
      <c r="I530" s="4">
        <f>SUMIFS(PENJUALAN!$E$4:$E$4288,PENJUALAN!$C$4:$C$4288,'CEK CICI'!A530)</f>
        <v>0</v>
      </c>
      <c r="J530" s="16">
        <f t="shared" si="2"/>
        <v>0</v>
      </c>
      <c r="K530" s="4"/>
      <c r="L530" s="4"/>
      <c r="M530" s="4"/>
      <c r="N530" s="4"/>
    </row>
    <row r="531" ht="13.5" hidden="1" customHeight="1">
      <c r="A531" s="4" t="str">
        <f t="shared" si="1"/>
        <v>RVL-EVO3FY</v>
      </c>
      <c r="B531" s="29" t="s">
        <v>853</v>
      </c>
      <c r="C531" s="28" t="s">
        <v>847</v>
      </c>
      <c r="D531" s="28" t="s">
        <v>387</v>
      </c>
      <c r="E531" s="4" t="s">
        <v>111</v>
      </c>
      <c r="F531" s="28"/>
      <c r="G531" s="4"/>
      <c r="H531" s="4">
        <f>SUMIFS(X!$F$5:$F$2005,X!$D$5:$D$2005,'CEK CICI'!A531)</f>
        <v>0</v>
      </c>
      <c r="I531" s="4">
        <f>SUMIFS(PENJUALAN!$E$4:$E$4288,PENJUALAN!$C$4:$C$4288,'CEK CICI'!A531)</f>
        <v>0</v>
      </c>
      <c r="J531" s="16">
        <f t="shared" si="2"/>
        <v>0</v>
      </c>
      <c r="K531" s="4"/>
      <c r="L531" s="4"/>
      <c r="M531" s="4"/>
      <c r="N531" s="4"/>
    </row>
    <row r="532" ht="13.5" hidden="1" customHeight="1">
      <c r="A532" s="4" t="str">
        <f t="shared" si="1"/>
        <v>RVR-EVO3FY</v>
      </c>
      <c r="B532" s="29" t="s">
        <v>854</v>
      </c>
      <c r="C532" s="28" t="s">
        <v>847</v>
      </c>
      <c r="D532" s="28" t="s">
        <v>389</v>
      </c>
      <c r="E532" s="4" t="s">
        <v>111</v>
      </c>
      <c r="F532" s="28"/>
      <c r="G532" s="4"/>
      <c r="H532" s="4">
        <f>SUMIFS(X!$F$5:$F$2005,X!$D$5:$D$2005,'CEK CICI'!A532)</f>
        <v>0</v>
      </c>
      <c r="I532" s="4">
        <f>SUMIFS(PENJUALAN!$E$4:$E$4288,PENJUALAN!$C$4:$C$4288,'CEK CICI'!A532)</f>
        <v>0</v>
      </c>
      <c r="J532" s="16">
        <f t="shared" si="2"/>
        <v>0</v>
      </c>
      <c r="K532" s="4"/>
      <c r="L532" s="4"/>
      <c r="M532" s="4"/>
      <c r="N532" s="4"/>
    </row>
    <row r="533" ht="13.5" hidden="1" customHeight="1">
      <c r="A533" s="4" t="str">
        <f t="shared" si="1"/>
        <v>LFW-EVO4FY</v>
      </c>
      <c r="B533" s="29" t="s">
        <v>855</v>
      </c>
      <c r="C533" s="28" t="s">
        <v>856</v>
      </c>
      <c r="D533" s="28" t="s">
        <v>22</v>
      </c>
      <c r="E533" s="4" t="s">
        <v>111</v>
      </c>
      <c r="F533" s="28" t="s">
        <v>125</v>
      </c>
      <c r="G533" s="4"/>
      <c r="H533" s="4">
        <f>SUMIFS(X!$F$5:$F$2005,X!$D$5:$D$2005,'CEK CICI'!A533)</f>
        <v>0</v>
      </c>
      <c r="I533" s="4">
        <f>SUMIFS(PENJUALAN!$E$4:$E$4288,PENJUALAN!$C$4:$C$4288,'CEK CICI'!A533)</f>
        <v>0</v>
      </c>
      <c r="J533" s="16">
        <f t="shared" si="2"/>
        <v>0</v>
      </c>
      <c r="K533" s="4"/>
      <c r="L533" s="4"/>
      <c r="M533" s="4"/>
      <c r="N533" s="4"/>
    </row>
    <row r="534" ht="13.5" hidden="1" customHeight="1">
      <c r="A534" s="4" t="str">
        <f t="shared" si="1"/>
        <v>TRW-EVO4FY</v>
      </c>
      <c r="B534" s="29" t="s">
        <v>857</v>
      </c>
      <c r="C534" s="28" t="s">
        <v>856</v>
      </c>
      <c r="D534" s="28" t="s">
        <v>41</v>
      </c>
      <c r="E534" s="4" t="s">
        <v>111</v>
      </c>
      <c r="F534" s="28" t="s">
        <v>67</v>
      </c>
      <c r="G534" s="4"/>
      <c r="H534" s="4">
        <f>SUMIFS(X!$F$5:$F$2005,X!$D$5:$D$2005,'CEK CICI'!A534)</f>
        <v>0</v>
      </c>
      <c r="I534" s="4">
        <f>SUMIFS(PENJUALAN!$E$4:$E$4288,PENJUALAN!$C$4:$C$4288,'CEK CICI'!A534)</f>
        <v>0</v>
      </c>
      <c r="J534" s="16">
        <f t="shared" si="2"/>
        <v>0</v>
      </c>
      <c r="K534" s="4"/>
      <c r="L534" s="4"/>
      <c r="M534" s="4"/>
      <c r="N534" s="4"/>
    </row>
    <row r="535" ht="13.5" hidden="1" customHeight="1">
      <c r="A535" s="4" t="str">
        <f t="shared" si="1"/>
        <v>FDL-EVO4FY</v>
      </c>
      <c r="B535" s="29" t="s">
        <v>858</v>
      </c>
      <c r="C535" s="28" t="s">
        <v>856</v>
      </c>
      <c r="D535" s="28" t="s">
        <v>128</v>
      </c>
      <c r="E535" s="4" t="s">
        <v>111</v>
      </c>
      <c r="F535" s="28" t="s">
        <v>141</v>
      </c>
      <c r="G535" s="4"/>
      <c r="H535" s="4">
        <f>SUMIFS(X!$F$5:$F$2005,X!$D$5:$D$2005,'CEK CICI'!A535)</f>
        <v>0</v>
      </c>
      <c r="I535" s="4">
        <f>SUMIFS(PENJUALAN!$E$4:$E$4288,PENJUALAN!$C$4:$C$4288,'CEK CICI'!A535)</f>
        <v>0</v>
      </c>
      <c r="J535" s="16">
        <f t="shared" si="2"/>
        <v>0</v>
      </c>
      <c r="K535" s="4"/>
      <c r="L535" s="4"/>
      <c r="M535" s="4"/>
      <c r="N535" s="4"/>
    </row>
    <row r="536" ht="13.5" hidden="1" customHeight="1">
      <c r="A536" s="4" t="str">
        <f t="shared" si="1"/>
        <v>FDR-EVO4FY</v>
      </c>
      <c r="B536" s="29" t="s">
        <v>859</v>
      </c>
      <c r="C536" s="28" t="s">
        <v>856</v>
      </c>
      <c r="D536" s="28" t="s">
        <v>130</v>
      </c>
      <c r="E536" s="4" t="s">
        <v>111</v>
      </c>
      <c r="F536" s="28" t="s">
        <v>141</v>
      </c>
      <c r="G536" s="4"/>
      <c r="H536" s="4">
        <f>SUMIFS(X!$F$5:$F$2005,X!$D$5:$D$2005,'CEK CICI'!A536)</f>
        <v>0</v>
      </c>
      <c r="I536" s="4">
        <f>SUMIFS(PENJUALAN!$E$4:$E$4288,PENJUALAN!$C$4:$C$4288,'CEK CICI'!A536)</f>
        <v>0</v>
      </c>
      <c r="J536" s="16">
        <f t="shared" si="2"/>
        <v>0</v>
      </c>
      <c r="K536" s="4"/>
      <c r="L536" s="4"/>
      <c r="M536" s="4"/>
      <c r="N536" s="4"/>
    </row>
    <row r="537" ht="13.5" hidden="1" customHeight="1">
      <c r="A537" s="4" t="str">
        <f t="shared" si="1"/>
        <v>LFW-EVO5FY</v>
      </c>
      <c r="B537" s="29" t="s">
        <v>860</v>
      </c>
      <c r="C537" s="28" t="s">
        <v>861</v>
      </c>
      <c r="D537" s="28" t="s">
        <v>22</v>
      </c>
      <c r="E537" s="4" t="s">
        <v>111</v>
      </c>
      <c r="F537" s="28" t="s">
        <v>125</v>
      </c>
      <c r="G537" s="4"/>
      <c r="H537" s="4">
        <f>SUMIFS(X!$F$5:$F$2005,X!$D$5:$D$2005,'CEK CICI'!A537)</f>
        <v>0</v>
      </c>
      <c r="I537" s="4">
        <f>SUMIFS(PENJUALAN!$E$4:$E$4288,PENJUALAN!$C$4:$C$4288,'CEK CICI'!A537)</f>
        <v>0</v>
      </c>
      <c r="J537" s="16">
        <f t="shared" si="2"/>
        <v>0</v>
      </c>
      <c r="K537" s="4"/>
      <c r="L537" s="4"/>
      <c r="M537" s="4"/>
      <c r="N537" s="4"/>
    </row>
    <row r="538" ht="13.5" hidden="1" customHeight="1">
      <c r="A538" s="4" t="str">
        <f t="shared" si="1"/>
        <v>TRW-EVO5FY</v>
      </c>
      <c r="B538" s="29" t="s">
        <v>862</v>
      </c>
      <c r="C538" s="28" t="s">
        <v>861</v>
      </c>
      <c r="D538" s="28" t="s">
        <v>41</v>
      </c>
      <c r="E538" s="4" t="s">
        <v>111</v>
      </c>
      <c r="F538" s="28" t="s">
        <v>67</v>
      </c>
      <c r="G538" s="4"/>
      <c r="H538" s="4">
        <f>SUMIFS(X!$F$5:$F$2005,X!$D$5:$D$2005,'CEK CICI'!A538)</f>
        <v>0</v>
      </c>
      <c r="I538" s="4">
        <f>SUMIFS(PENJUALAN!$E$4:$E$4288,PENJUALAN!$C$4:$C$4288,'CEK CICI'!A538)</f>
        <v>0</v>
      </c>
      <c r="J538" s="16">
        <f t="shared" si="2"/>
        <v>0</v>
      </c>
      <c r="K538" s="4"/>
      <c r="L538" s="4"/>
      <c r="M538" s="4"/>
      <c r="N538" s="4"/>
    </row>
    <row r="539" ht="13.5" hidden="1" customHeight="1">
      <c r="A539" s="4" t="str">
        <f t="shared" si="1"/>
        <v>FDL-EVO5FY</v>
      </c>
      <c r="B539" s="29" t="s">
        <v>863</v>
      </c>
      <c r="C539" s="28" t="s">
        <v>861</v>
      </c>
      <c r="D539" s="28" t="s">
        <v>128</v>
      </c>
      <c r="E539" s="4" t="s">
        <v>111</v>
      </c>
      <c r="F539" s="28"/>
      <c r="G539" s="4"/>
      <c r="H539" s="4">
        <f>SUMIFS(X!$F$5:$F$2005,X!$D$5:$D$2005,'CEK CICI'!A539)</f>
        <v>0</v>
      </c>
      <c r="I539" s="4">
        <f>SUMIFS(PENJUALAN!$E$4:$E$4288,PENJUALAN!$C$4:$C$4288,'CEK CICI'!A539)</f>
        <v>0</v>
      </c>
      <c r="J539" s="16">
        <f t="shared" si="2"/>
        <v>0</v>
      </c>
      <c r="K539" s="4"/>
      <c r="L539" s="4"/>
      <c r="M539" s="4"/>
      <c r="N539" s="4"/>
    </row>
    <row r="540" ht="13.5" hidden="1" customHeight="1">
      <c r="A540" s="4" t="str">
        <f t="shared" si="1"/>
        <v>FDR-EVO5FY</v>
      </c>
      <c r="B540" s="29" t="s">
        <v>864</v>
      </c>
      <c r="C540" s="28" t="s">
        <v>861</v>
      </c>
      <c r="D540" s="28" t="s">
        <v>130</v>
      </c>
      <c r="E540" s="4" t="s">
        <v>111</v>
      </c>
      <c r="F540" s="28" t="s">
        <v>397</v>
      </c>
      <c r="G540" s="4"/>
      <c r="H540" s="4">
        <f>SUMIFS(X!$F$5:$F$2005,X!$D$5:$D$2005,'CEK CICI'!A540)</f>
        <v>0</v>
      </c>
      <c r="I540" s="4">
        <f>SUMIFS(PENJUALAN!$E$4:$E$4288,PENJUALAN!$C$4:$C$4288,'CEK CICI'!A540)</f>
        <v>0</v>
      </c>
      <c r="J540" s="16">
        <f t="shared" si="2"/>
        <v>0</v>
      </c>
      <c r="K540" s="4"/>
      <c r="L540" s="4"/>
      <c r="M540" s="4"/>
      <c r="N540" s="4"/>
    </row>
    <row r="541" ht="13.5" hidden="1" customHeight="1">
      <c r="A541" s="4" t="str">
        <f t="shared" si="1"/>
        <v>RDL-EVO5FY</v>
      </c>
      <c r="B541" s="29" t="s">
        <v>865</v>
      </c>
      <c r="C541" s="28" t="s">
        <v>861</v>
      </c>
      <c r="D541" s="28" t="s">
        <v>132</v>
      </c>
      <c r="E541" s="4" t="s">
        <v>111</v>
      </c>
      <c r="F541" s="28"/>
      <c r="G541" s="4"/>
      <c r="H541" s="4">
        <f>SUMIFS(X!$F$5:$F$2005,X!$D$5:$D$2005,'CEK CICI'!A541)</f>
        <v>0</v>
      </c>
      <c r="I541" s="4">
        <f>SUMIFS(PENJUALAN!$E$4:$E$4288,PENJUALAN!$C$4:$C$4288,'CEK CICI'!A541)</f>
        <v>0</v>
      </c>
      <c r="J541" s="16">
        <f t="shared" si="2"/>
        <v>0</v>
      </c>
      <c r="K541" s="4"/>
      <c r="L541" s="4"/>
      <c r="M541" s="4"/>
      <c r="N541" s="4"/>
    </row>
    <row r="542" ht="13.5" hidden="1" customHeight="1">
      <c r="A542" s="4" t="str">
        <f t="shared" si="1"/>
        <v>RDR-EVO5FY</v>
      </c>
      <c r="B542" s="29" t="s">
        <v>866</v>
      </c>
      <c r="C542" s="28" t="s">
        <v>861</v>
      </c>
      <c r="D542" s="28" t="s">
        <v>134</v>
      </c>
      <c r="E542" s="4" t="s">
        <v>111</v>
      </c>
      <c r="F542" s="28"/>
      <c r="G542" s="4"/>
      <c r="H542" s="4">
        <f>SUMIFS(X!$F$5:$F$2005,X!$D$5:$D$2005,'CEK CICI'!A542)</f>
        <v>0</v>
      </c>
      <c r="I542" s="4">
        <f>SUMIFS(PENJUALAN!$E$4:$E$4288,PENJUALAN!$C$4:$C$4288,'CEK CICI'!A542)</f>
        <v>0</v>
      </c>
      <c r="J542" s="16">
        <f t="shared" si="2"/>
        <v>0</v>
      </c>
      <c r="K542" s="4"/>
      <c r="L542" s="4"/>
      <c r="M542" s="4"/>
      <c r="N542" s="4"/>
    </row>
    <row r="543" ht="13.5" hidden="1" customHeight="1">
      <c r="A543" s="4" t="str">
        <f t="shared" si="1"/>
        <v>LFW-EVO10FY</v>
      </c>
      <c r="B543" s="29" t="s">
        <v>867</v>
      </c>
      <c r="C543" s="28" t="s">
        <v>868</v>
      </c>
      <c r="D543" s="28" t="s">
        <v>22</v>
      </c>
      <c r="E543" s="4" t="s">
        <v>111</v>
      </c>
      <c r="F543" s="28" t="s">
        <v>125</v>
      </c>
      <c r="G543" s="4"/>
      <c r="H543" s="4">
        <f>SUMIFS(X!$F$5:$F$2005,X!$D$5:$D$2005,'CEK CICI'!A543)</f>
        <v>0</v>
      </c>
      <c r="I543" s="4">
        <f>SUMIFS(PENJUALAN!$E$4:$E$4288,PENJUALAN!$C$4:$C$4288,'CEK CICI'!A543)</f>
        <v>0</v>
      </c>
      <c r="J543" s="16">
        <f t="shared" si="2"/>
        <v>0</v>
      </c>
      <c r="K543" s="4"/>
      <c r="L543" s="4"/>
      <c r="M543" s="4"/>
      <c r="N543" s="4"/>
    </row>
    <row r="544" ht="13.5" hidden="1" customHeight="1">
      <c r="A544" s="4" t="str">
        <f t="shared" si="1"/>
        <v>LFW-EVO10RSFY</v>
      </c>
      <c r="B544" s="29" t="s">
        <v>869</v>
      </c>
      <c r="C544" s="28" t="s">
        <v>868</v>
      </c>
      <c r="D544" s="28" t="s">
        <v>22</v>
      </c>
      <c r="E544" s="4" t="s">
        <v>111</v>
      </c>
      <c r="F544" s="28" t="s">
        <v>75</v>
      </c>
      <c r="G544" s="4"/>
      <c r="H544" s="4">
        <f>SUMIFS(X!$F$5:$F$2005,X!$D$5:$D$2005,'CEK CICI'!A544)</f>
        <v>0</v>
      </c>
      <c r="I544" s="4">
        <f>SUMIFS(PENJUALAN!$E$4:$E$4288,PENJUALAN!$C$4:$C$4288,'CEK CICI'!A544)</f>
        <v>0</v>
      </c>
      <c r="J544" s="16">
        <f t="shared" si="2"/>
        <v>0</v>
      </c>
      <c r="K544" s="4"/>
      <c r="L544" s="4"/>
      <c r="M544" s="4"/>
      <c r="N544" s="4"/>
    </row>
    <row r="545" ht="13.5" hidden="1" customHeight="1">
      <c r="A545" s="4" t="str">
        <f t="shared" si="1"/>
        <v>TRW-EVO10FY</v>
      </c>
      <c r="B545" s="29" t="s">
        <v>870</v>
      </c>
      <c r="C545" s="28" t="s">
        <v>868</v>
      </c>
      <c r="D545" s="28" t="s">
        <v>41</v>
      </c>
      <c r="E545" s="4" t="s">
        <v>111</v>
      </c>
      <c r="F545" s="28" t="s">
        <v>67</v>
      </c>
      <c r="G545" s="4"/>
      <c r="H545" s="4">
        <f>SUMIFS(X!$F$5:$F$2005,X!$D$5:$D$2005,'CEK CICI'!A545)</f>
        <v>0</v>
      </c>
      <c r="I545" s="4">
        <f>SUMIFS(PENJUALAN!$E$4:$E$4288,PENJUALAN!$C$4:$C$4288,'CEK CICI'!A545)</f>
        <v>0</v>
      </c>
      <c r="J545" s="16">
        <f t="shared" si="2"/>
        <v>0</v>
      </c>
      <c r="K545" s="4"/>
      <c r="L545" s="4"/>
      <c r="M545" s="4"/>
      <c r="N545" s="4"/>
    </row>
    <row r="546" ht="13.5" hidden="1" customHeight="1">
      <c r="A546" s="4" t="str">
        <f t="shared" si="1"/>
        <v>FDL-EVO10FY</v>
      </c>
      <c r="B546" s="29" t="s">
        <v>871</v>
      </c>
      <c r="C546" s="28" t="s">
        <v>868</v>
      </c>
      <c r="D546" s="28" t="s">
        <v>128</v>
      </c>
      <c r="E546" s="4" t="s">
        <v>111</v>
      </c>
      <c r="F546" s="28"/>
      <c r="G546" s="4"/>
      <c r="H546" s="4">
        <f>SUMIFS(X!$F$5:$F$2005,X!$D$5:$D$2005,'CEK CICI'!A546)</f>
        <v>0</v>
      </c>
      <c r="I546" s="4">
        <f>SUMIFS(PENJUALAN!$E$4:$E$4288,PENJUALAN!$C$4:$C$4288,'CEK CICI'!A546)</f>
        <v>0</v>
      </c>
      <c r="J546" s="16">
        <f t="shared" si="2"/>
        <v>0</v>
      </c>
      <c r="K546" s="4"/>
      <c r="L546" s="4"/>
      <c r="M546" s="4"/>
      <c r="N546" s="4"/>
    </row>
    <row r="547" ht="13.5" hidden="1" customHeight="1">
      <c r="A547" s="4" t="str">
        <f t="shared" si="1"/>
        <v>FDR-EVO10FY</v>
      </c>
      <c r="B547" s="29" t="s">
        <v>872</v>
      </c>
      <c r="C547" s="28" t="s">
        <v>868</v>
      </c>
      <c r="D547" s="28" t="s">
        <v>130</v>
      </c>
      <c r="E547" s="4" t="s">
        <v>111</v>
      </c>
      <c r="F547" s="28"/>
      <c r="G547" s="4"/>
      <c r="H547" s="4">
        <f>SUMIFS(X!$F$5:$F$2005,X!$D$5:$D$2005,'CEK CICI'!A547)</f>
        <v>0</v>
      </c>
      <c r="I547" s="4">
        <f>SUMIFS(PENJUALAN!$E$4:$E$4288,PENJUALAN!$C$4:$C$4288,'CEK CICI'!A547)</f>
        <v>0</v>
      </c>
      <c r="J547" s="16">
        <f t="shared" si="2"/>
        <v>0</v>
      </c>
      <c r="K547" s="4"/>
      <c r="L547" s="4"/>
      <c r="M547" s="4"/>
      <c r="N547" s="4"/>
    </row>
    <row r="548" ht="13.5" hidden="1" customHeight="1">
      <c r="A548" s="4" t="str">
        <f t="shared" si="1"/>
        <v>RDL-EVO10FY</v>
      </c>
      <c r="B548" s="29" t="s">
        <v>873</v>
      </c>
      <c r="C548" s="28" t="s">
        <v>868</v>
      </c>
      <c r="D548" s="28" t="s">
        <v>132</v>
      </c>
      <c r="E548" s="4" t="s">
        <v>111</v>
      </c>
      <c r="F548" s="28"/>
      <c r="G548" s="4"/>
      <c r="H548" s="4">
        <f>SUMIFS(X!$F$5:$F$2005,X!$D$5:$D$2005,'CEK CICI'!A548)</f>
        <v>0</v>
      </c>
      <c r="I548" s="4">
        <f>SUMIFS(PENJUALAN!$E$4:$E$4288,PENJUALAN!$C$4:$C$4288,'CEK CICI'!A548)</f>
        <v>0</v>
      </c>
      <c r="J548" s="16">
        <f t="shared" si="2"/>
        <v>0</v>
      </c>
      <c r="K548" s="4"/>
      <c r="L548" s="4"/>
      <c r="M548" s="4"/>
      <c r="N548" s="4"/>
    </row>
    <row r="549" ht="13.5" hidden="1" customHeight="1">
      <c r="A549" s="4" t="str">
        <f t="shared" si="1"/>
        <v>RDR-EVO10FY</v>
      </c>
      <c r="B549" s="29" t="s">
        <v>874</v>
      </c>
      <c r="C549" s="28" t="s">
        <v>868</v>
      </c>
      <c r="D549" s="28" t="s">
        <v>134</v>
      </c>
      <c r="E549" s="4" t="s">
        <v>111</v>
      </c>
      <c r="F549" s="28"/>
      <c r="G549" s="4"/>
      <c r="H549" s="4">
        <f>SUMIFS(X!$F$5:$F$2005,X!$D$5:$D$2005,'CEK CICI'!A549)</f>
        <v>0</v>
      </c>
      <c r="I549" s="4">
        <f>SUMIFS(PENJUALAN!$E$4:$E$4288,PENJUALAN!$C$4:$C$4288,'CEK CICI'!A549)</f>
        <v>0</v>
      </c>
      <c r="J549" s="16">
        <f t="shared" si="2"/>
        <v>0</v>
      </c>
      <c r="K549" s="4"/>
      <c r="L549" s="4"/>
      <c r="M549" s="4"/>
      <c r="N549" s="4"/>
    </row>
    <row r="550" ht="13.5" hidden="1" customHeight="1">
      <c r="A550" s="4" t="str">
        <f t="shared" si="1"/>
        <v>LFW-MIRAGEFY</v>
      </c>
      <c r="B550" s="29" t="s">
        <v>875</v>
      </c>
      <c r="C550" s="28" t="s">
        <v>876</v>
      </c>
      <c r="D550" s="28" t="s">
        <v>22</v>
      </c>
      <c r="E550" s="4" t="s">
        <v>111</v>
      </c>
      <c r="F550" s="28" t="s">
        <v>125</v>
      </c>
      <c r="G550" s="4"/>
      <c r="H550" s="4">
        <f>SUMIFS(X!$F$5:$F$2005,X!$D$5:$D$2005,'CEK CICI'!A550)</f>
        <v>0</v>
      </c>
      <c r="I550" s="4">
        <f>SUMIFS(PENJUALAN!$E$4:$E$4288,PENJUALAN!$C$4:$C$4288,'CEK CICI'!A550)</f>
        <v>0</v>
      </c>
      <c r="J550" s="16">
        <f t="shared" si="2"/>
        <v>0</v>
      </c>
      <c r="K550" s="4"/>
      <c r="L550" s="4"/>
      <c r="M550" s="4"/>
      <c r="N550" s="4"/>
    </row>
    <row r="551" ht="13.5" hidden="1" customHeight="1">
      <c r="A551" s="4" t="str">
        <f t="shared" si="1"/>
        <v>TRW-MIRAGEFY</v>
      </c>
      <c r="B551" s="29" t="s">
        <v>877</v>
      </c>
      <c r="C551" s="28" t="s">
        <v>876</v>
      </c>
      <c r="D551" s="28" t="s">
        <v>41</v>
      </c>
      <c r="E551" s="4" t="s">
        <v>111</v>
      </c>
      <c r="F551" s="28" t="s">
        <v>67</v>
      </c>
      <c r="G551" s="4"/>
      <c r="H551" s="4">
        <f>SUMIFS(X!$F$5:$F$2005,X!$D$5:$D$2005,'CEK CICI'!A551)</f>
        <v>0</v>
      </c>
      <c r="I551" s="4">
        <f>SUMIFS(PENJUALAN!$E$4:$E$4288,PENJUALAN!$C$4:$C$4288,'CEK CICI'!A551)</f>
        <v>0</v>
      </c>
      <c r="J551" s="16">
        <f t="shared" si="2"/>
        <v>0</v>
      </c>
      <c r="K551" s="4"/>
      <c r="L551" s="4"/>
      <c r="M551" s="4"/>
      <c r="N551" s="4"/>
    </row>
    <row r="552" ht="13.5" hidden="1" customHeight="1">
      <c r="A552" s="4" t="str">
        <f t="shared" si="1"/>
        <v>LFW-OUTLANDERFY</v>
      </c>
      <c r="B552" s="29" t="s">
        <v>878</v>
      </c>
      <c r="C552" s="28" t="s">
        <v>879</v>
      </c>
      <c r="D552" s="28" t="s">
        <v>22</v>
      </c>
      <c r="E552" s="4" t="s">
        <v>111</v>
      </c>
      <c r="F552" s="28" t="s">
        <v>125</v>
      </c>
      <c r="G552" s="4"/>
      <c r="H552" s="4">
        <f>SUMIFS(X!$F$5:$F$2005,X!$D$5:$D$2005,'CEK CICI'!A552)</f>
        <v>0</v>
      </c>
      <c r="I552" s="4">
        <f>SUMIFS(PENJUALAN!$E$4:$E$4288,PENJUALAN!$C$4:$C$4288,'CEK CICI'!A552)</f>
        <v>0</v>
      </c>
      <c r="J552" s="16">
        <f t="shared" si="2"/>
        <v>0</v>
      </c>
      <c r="K552" s="4"/>
      <c r="L552" s="4"/>
      <c r="M552" s="4"/>
      <c r="N552" s="4"/>
    </row>
    <row r="553" ht="13.5" hidden="1" customHeight="1">
      <c r="A553" s="4" t="str">
        <f t="shared" si="1"/>
        <v>TRW-OUTLANDERFY</v>
      </c>
      <c r="B553" s="29" t="s">
        <v>880</v>
      </c>
      <c r="C553" s="28" t="s">
        <v>879</v>
      </c>
      <c r="D553" s="28" t="s">
        <v>41</v>
      </c>
      <c r="E553" s="4" t="s">
        <v>111</v>
      </c>
      <c r="F553" s="28" t="s">
        <v>221</v>
      </c>
      <c r="G553" s="4"/>
      <c r="H553" s="4">
        <f>SUMIFS(X!$F$5:$F$2005,X!$D$5:$D$2005,'CEK CICI'!A553)</f>
        <v>0</v>
      </c>
      <c r="I553" s="4">
        <f>SUMIFS(PENJUALAN!$E$4:$E$4288,PENJUALAN!$C$4:$C$4288,'CEK CICI'!A553)</f>
        <v>0</v>
      </c>
      <c r="J553" s="16">
        <f t="shared" si="2"/>
        <v>0</v>
      </c>
      <c r="K553" s="4"/>
      <c r="L553" s="4"/>
      <c r="M553" s="4"/>
      <c r="N553" s="4"/>
    </row>
    <row r="554" ht="13.5" hidden="1" customHeight="1">
      <c r="A554" s="4" t="str">
        <f t="shared" si="1"/>
        <v>LFW-PAJERO08FY</v>
      </c>
      <c r="B554" s="29" t="s">
        <v>881</v>
      </c>
      <c r="C554" s="28" t="s">
        <v>882</v>
      </c>
      <c r="D554" s="28" t="s">
        <v>22</v>
      </c>
      <c r="E554" s="4" t="s">
        <v>111</v>
      </c>
      <c r="F554" s="28" t="s">
        <v>125</v>
      </c>
      <c r="G554" s="4"/>
      <c r="H554" s="4">
        <f>SUMIFS(X!$F$5:$F$2005,X!$D$5:$D$2005,'CEK CICI'!A554)</f>
        <v>0</v>
      </c>
      <c r="I554" s="4">
        <f>SUMIFS(PENJUALAN!$E$4:$E$4288,PENJUALAN!$C$4:$C$4288,'CEK CICI'!A554)</f>
        <v>0</v>
      </c>
      <c r="J554" s="16">
        <f t="shared" si="2"/>
        <v>0</v>
      </c>
      <c r="K554" s="4"/>
      <c r="L554" s="4"/>
      <c r="M554" s="4"/>
      <c r="N554" s="4"/>
    </row>
    <row r="555" ht="13.5" hidden="1" customHeight="1">
      <c r="A555" s="4" t="str">
        <f t="shared" si="1"/>
        <v>TRW-PAJERO08FY</v>
      </c>
      <c r="B555" s="29" t="s">
        <v>883</v>
      </c>
      <c r="C555" s="28" t="s">
        <v>882</v>
      </c>
      <c r="D555" s="28" t="s">
        <v>41</v>
      </c>
      <c r="E555" s="4" t="s">
        <v>111</v>
      </c>
      <c r="F555" s="28" t="s">
        <v>221</v>
      </c>
      <c r="G555" s="4"/>
      <c r="H555" s="4">
        <f>SUMIFS(X!$F$5:$F$2005,X!$D$5:$D$2005,'CEK CICI'!A555)</f>
        <v>0</v>
      </c>
      <c r="I555" s="4">
        <f>SUMIFS(PENJUALAN!$E$4:$E$4288,PENJUALAN!$C$4:$C$4288,'CEK CICI'!A555)</f>
        <v>0</v>
      </c>
      <c r="J555" s="16">
        <f t="shared" si="2"/>
        <v>0</v>
      </c>
      <c r="K555" s="4"/>
      <c r="L555" s="4"/>
      <c r="M555" s="4"/>
      <c r="N555" s="4"/>
    </row>
    <row r="556" ht="13.5" hidden="1" customHeight="1">
      <c r="A556" s="4" t="str">
        <f t="shared" si="1"/>
        <v>LFW-PAJERO16FY</v>
      </c>
      <c r="B556" s="29" t="s">
        <v>884</v>
      </c>
      <c r="C556" s="28" t="s">
        <v>830</v>
      </c>
      <c r="D556" s="28" t="s">
        <v>22</v>
      </c>
      <c r="E556" s="4" t="s">
        <v>111</v>
      </c>
      <c r="F556" s="28" t="s">
        <v>125</v>
      </c>
      <c r="G556" s="4"/>
      <c r="H556" s="4">
        <f>SUMIFS(X!$F$5:$F$2005,X!$D$5:$D$2005,'CEK CICI'!A556)</f>
        <v>0</v>
      </c>
      <c r="I556" s="4">
        <f>SUMIFS(PENJUALAN!$E$4:$E$4288,PENJUALAN!$C$4:$C$4288,'CEK CICI'!A556)</f>
        <v>0</v>
      </c>
      <c r="J556" s="16">
        <f t="shared" si="2"/>
        <v>0</v>
      </c>
      <c r="K556" s="4"/>
      <c r="L556" s="4"/>
      <c r="M556" s="4"/>
      <c r="N556" s="4"/>
    </row>
    <row r="557" ht="13.5" hidden="1" customHeight="1">
      <c r="A557" s="4" t="str">
        <f t="shared" si="1"/>
        <v>TRW-PAJERO16FY</v>
      </c>
      <c r="B557" s="29" t="s">
        <v>885</v>
      </c>
      <c r="C557" s="28" t="s">
        <v>830</v>
      </c>
      <c r="D557" s="28" t="s">
        <v>41</v>
      </c>
      <c r="E557" s="4" t="s">
        <v>111</v>
      </c>
      <c r="F557" s="28" t="s">
        <v>221</v>
      </c>
      <c r="G557" s="4"/>
      <c r="H557" s="4">
        <f>SUMIFS(X!$F$5:$F$2005,X!$D$5:$D$2005,'CEK CICI'!A557)</f>
        <v>0</v>
      </c>
      <c r="I557" s="4">
        <f>SUMIFS(PENJUALAN!$E$4:$E$4288,PENJUALAN!$C$4:$C$4288,'CEK CICI'!A557)</f>
        <v>0</v>
      </c>
      <c r="J557" s="16">
        <f t="shared" si="2"/>
        <v>0</v>
      </c>
      <c r="K557" s="4"/>
      <c r="L557" s="4"/>
      <c r="M557" s="4"/>
      <c r="N557" s="4"/>
    </row>
    <row r="558" ht="13.5" hidden="1" customHeight="1">
      <c r="A558" s="4" t="str">
        <f t="shared" si="1"/>
        <v>LFW-TRITON05FY</v>
      </c>
      <c r="B558" s="29" t="s">
        <v>886</v>
      </c>
      <c r="C558" s="28" t="s">
        <v>887</v>
      </c>
      <c r="D558" s="28" t="s">
        <v>22</v>
      </c>
      <c r="E558" s="4" t="s">
        <v>111</v>
      </c>
      <c r="F558" s="28" t="s">
        <v>125</v>
      </c>
      <c r="G558" s="4"/>
      <c r="H558" s="4">
        <f>SUMIFS(X!$F$5:$F$2005,X!$D$5:$D$2005,'CEK CICI'!A558)</f>
        <v>0</v>
      </c>
      <c r="I558" s="4">
        <f>SUMIFS(PENJUALAN!$E$4:$E$4288,PENJUALAN!$C$4:$C$4288,'CEK CICI'!A558)</f>
        <v>0</v>
      </c>
      <c r="J558" s="16">
        <f t="shared" si="2"/>
        <v>0</v>
      </c>
      <c r="K558" s="4"/>
      <c r="L558" s="4"/>
      <c r="M558" s="4"/>
      <c r="N558" s="4"/>
    </row>
    <row r="559" ht="13.5" hidden="1" customHeight="1">
      <c r="A559" s="4" t="str">
        <f t="shared" si="1"/>
        <v>TRW-TRITON05FY</v>
      </c>
      <c r="B559" s="29" t="s">
        <v>888</v>
      </c>
      <c r="C559" s="28" t="s">
        <v>887</v>
      </c>
      <c r="D559" s="28" t="s">
        <v>41</v>
      </c>
      <c r="E559" s="4" t="s">
        <v>111</v>
      </c>
      <c r="F559" s="28" t="s">
        <v>67</v>
      </c>
      <c r="G559" s="4"/>
      <c r="H559" s="4">
        <f>SUMIFS(X!$F$5:$F$2005,X!$D$5:$D$2005,'CEK CICI'!A559)</f>
        <v>0</v>
      </c>
      <c r="I559" s="4">
        <f>SUMIFS(PENJUALAN!$E$4:$E$4288,PENJUALAN!$C$4:$C$4288,'CEK CICI'!A559)</f>
        <v>0</v>
      </c>
      <c r="J559" s="16">
        <f t="shared" si="2"/>
        <v>0</v>
      </c>
      <c r="K559" s="4"/>
      <c r="L559" s="4"/>
      <c r="M559" s="4"/>
      <c r="N559" s="4"/>
    </row>
    <row r="560" ht="13.5" hidden="1" customHeight="1">
      <c r="A560" s="4" t="str">
        <f t="shared" si="1"/>
        <v>LFW-TRITON14FY</v>
      </c>
      <c r="B560" s="29" t="s">
        <v>889</v>
      </c>
      <c r="C560" s="28" t="s">
        <v>890</v>
      </c>
      <c r="D560" s="28" t="s">
        <v>22</v>
      </c>
      <c r="E560" s="4" t="s">
        <v>111</v>
      </c>
      <c r="F560" s="28" t="s">
        <v>125</v>
      </c>
      <c r="G560" s="4"/>
      <c r="H560" s="4">
        <f>SUMIFS(X!$F$5:$F$2005,X!$D$5:$D$2005,'CEK CICI'!A560)</f>
        <v>0</v>
      </c>
      <c r="I560" s="4">
        <f>SUMIFS(PENJUALAN!$E$4:$E$4288,PENJUALAN!$C$4:$C$4288,'CEK CICI'!A560)</f>
        <v>0</v>
      </c>
      <c r="J560" s="16">
        <f t="shared" si="2"/>
        <v>0</v>
      </c>
      <c r="K560" s="4"/>
      <c r="L560" s="4"/>
      <c r="M560" s="4"/>
      <c r="N560" s="4"/>
    </row>
    <row r="561" ht="13.5" hidden="1" customHeight="1">
      <c r="A561" s="4" t="str">
        <f t="shared" si="1"/>
        <v>TRW-TRITON14HFY</v>
      </c>
      <c r="B561" s="29" t="s">
        <v>891</v>
      </c>
      <c r="C561" s="28" t="s">
        <v>890</v>
      </c>
      <c r="D561" s="28" t="s">
        <v>41</v>
      </c>
      <c r="E561" s="4" t="s">
        <v>111</v>
      </c>
      <c r="F561" s="28" t="s">
        <v>67</v>
      </c>
      <c r="G561" s="4"/>
      <c r="H561" s="4">
        <f>SUMIFS(X!$F$5:$F$2005,X!$D$5:$D$2005,'CEK CICI'!A561)</f>
        <v>0</v>
      </c>
      <c r="I561" s="4">
        <f>SUMIFS(PENJUALAN!$E$4:$E$4288,PENJUALAN!$C$4:$C$4288,'CEK CICI'!A561)</f>
        <v>0</v>
      </c>
      <c r="J561" s="16">
        <f t="shared" si="2"/>
        <v>0</v>
      </c>
      <c r="K561" s="4"/>
      <c r="L561" s="4"/>
      <c r="M561" s="4"/>
      <c r="N561" s="4"/>
    </row>
    <row r="562" ht="13.5" hidden="1" customHeight="1">
      <c r="A562" s="4" t="str">
        <f t="shared" si="1"/>
        <v>RDL-TRITON14FY</v>
      </c>
      <c r="B562" s="29" t="s">
        <v>892</v>
      </c>
      <c r="C562" s="28" t="s">
        <v>890</v>
      </c>
      <c r="D562" s="28" t="s">
        <v>132</v>
      </c>
      <c r="E562" s="4" t="s">
        <v>111</v>
      </c>
      <c r="F562" s="28" t="s">
        <v>397</v>
      </c>
      <c r="G562" s="4"/>
      <c r="H562" s="4">
        <f>SUMIFS(X!$F$5:$F$2005,X!$D$5:$D$2005,'CEK CICI'!A562)</f>
        <v>0</v>
      </c>
      <c r="I562" s="4">
        <f>SUMIFS(PENJUALAN!$E$4:$E$4288,PENJUALAN!$C$4:$C$4288,'CEK CICI'!A562)</f>
        <v>0</v>
      </c>
      <c r="J562" s="16">
        <f t="shared" si="2"/>
        <v>0</v>
      </c>
      <c r="K562" s="4"/>
      <c r="L562" s="4"/>
      <c r="M562" s="4"/>
      <c r="N562" s="4"/>
    </row>
    <row r="563" ht="13.5" hidden="1" customHeight="1">
      <c r="A563" s="4" t="str">
        <f t="shared" si="1"/>
        <v>RDR-TRITON14FY</v>
      </c>
      <c r="B563" s="29" t="s">
        <v>893</v>
      </c>
      <c r="C563" s="28" t="s">
        <v>890</v>
      </c>
      <c r="D563" s="28" t="s">
        <v>134</v>
      </c>
      <c r="E563" s="4" t="s">
        <v>111</v>
      </c>
      <c r="F563" s="28" t="s">
        <v>397</v>
      </c>
      <c r="G563" s="4"/>
      <c r="H563" s="4">
        <f>SUMIFS(X!$F$5:$F$2005,X!$D$5:$D$2005,'CEK CICI'!A563)</f>
        <v>0</v>
      </c>
      <c r="I563" s="4">
        <f>SUMIFS(PENJUALAN!$E$4:$E$4288,PENJUALAN!$C$4:$C$4288,'CEK CICI'!A563)</f>
        <v>0</v>
      </c>
      <c r="J563" s="16">
        <f t="shared" si="2"/>
        <v>0</v>
      </c>
      <c r="K563" s="4"/>
      <c r="L563" s="4"/>
      <c r="M563" s="4"/>
      <c r="N563" s="4"/>
    </row>
    <row r="564" ht="13.5" hidden="1" customHeight="1">
      <c r="A564" s="4" t="str">
        <f t="shared" si="1"/>
        <v>FDL-DATSUNFY</v>
      </c>
      <c r="B564" s="29" t="s">
        <v>894</v>
      </c>
      <c r="C564" s="28" t="s">
        <v>895</v>
      </c>
      <c r="D564" s="28" t="s">
        <v>128</v>
      </c>
      <c r="E564" s="4" t="s">
        <v>111</v>
      </c>
      <c r="F564" s="28"/>
      <c r="G564" s="4"/>
      <c r="H564" s="4">
        <f>SUMIFS(X!$F$5:$F$2005,X!$D$5:$D$2005,'CEK CICI'!A564)</f>
        <v>0</v>
      </c>
      <c r="I564" s="4">
        <f>SUMIFS(PENJUALAN!$E$4:$E$4288,PENJUALAN!$C$4:$C$4288,'CEK CICI'!A564)</f>
        <v>0</v>
      </c>
      <c r="J564" s="16">
        <f t="shared" si="2"/>
        <v>0</v>
      </c>
      <c r="K564" s="4"/>
      <c r="L564" s="4"/>
      <c r="M564" s="4"/>
      <c r="N564" s="4"/>
    </row>
    <row r="565" ht="13.5" hidden="1" customHeight="1">
      <c r="A565" s="4" t="str">
        <f t="shared" si="1"/>
        <v>RDL-DATSUNFY</v>
      </c>
      <c r="B565" s="29" t="s">
        <v>896</v>
      </c>
      <c r="C565" s="28" t="s">
        <v>895</v>
      </c>
      <c r="D565" s="28" t="s">
        <v>132</v>
      </c>
      <c r="E565" s="4" t="s">
        <v>111</v>
      </c>
      <c r="F565" s="28"/>
      <c r="G565" s="4"/>
      <c r="H565" s="4">
        <f>SUMIFS(X!$F$5:$F$2005,X!$D$5:$D$2005,'CEK CICI'!A565)</f>
        <v>0</v>
      </c>
      <c r="I565" s="4">
        <f>SUMIFS(PENJUALAN!$E$4:$E$4288,PENJUALAN!$C$4:$C$4288,'CEK CICI'!A565)</f>
        <v>0</v>
      </c>
      <c r="J565" s="16">
        <f t="shared" si="2"/>
        <v>0</v>
      </c>
      <c r="K565" s="4"/>
      <c r="L565" s="4"/>
      <c r="M565" s="4"/>
      <c r="N565" s="4"/>
    </row>
    <row r="566" ht="13.5" hidden="1" customHeight="1">
      <c r="A566" s="4" t="str">
        <f t="shared" si="1"/>
        <v>RDR-DATSUNFY</v>
      </c>
      <c r="B566" s="29" t="s">
        <v>897</v>
      </c>
      <c r="C566" s="28" t="s">
        <v>895</v>
      </c>
      <c r="D566" s="28" t="s">
        <v>134</v>
      </c>
      <c r="E566" s="4" t="s">
        <v>111</v>
      </c>
      <c r="F566" s="28"/>
      <c r="G566" s="4"/>
      <c r="H566" s="4">
        <f>SUMIFS(X!$F$5:$F$2005,X!$D$5:$D$2005,'CEK CICI'!A566)</f>
        <v>0</v>
      </c>
      <c r="I566" s="4">
        <f>SUMIFS(PENJUALAN!$E$4:$E$4288,PENJUALAN!$C$4:$C$4288,'CEK CICI'!A566)</f>
        <v>0</v>
      </c>
      <c r="J566" s="16">
        <f t="shared" si="2"/>
        <v>0</v>
      </c>
      <c r="K566" s="4"/>
      <c r="L566" s="4"/>
      <c r="M566" s="4"/>
      <c r="N566" s="4"/>
    </row>
    <row r="567" ht="13.5" hidden="1" customHeight="1">
      <c r="A567" s="4" t="str">
        <f t="shared" si="1"/>
        <v>LFW-ELGRAND02FY</v>
      </c>
      <c r="B567" s="29" t="s">
        <v>898</v>
      </c>
      <c r="C567" s="28" t="s">
        <v>899</v>
      </c>
      <c r="D567" s="28" t="s">
        <v>22</v>
      </c>
      <c r="E567" s="4" t="s">
        <v>111</v>
      </c>
      <c r="F567" s="28" t="s">
        <v>97</v>
      </c>
      <c r="G567" s="4"/>
      <c r="H567" s="4">
        <f>SUMIFS(X!$F$5:$F$2005,X!$D$5:$D$2005,'CEK CICI'!A567)</f>
        <v>0</v>
      </c>
      <c r="I567" s="4">
        <f>SUMIFS(PENJUALAN!$E$4:$E$4288,PENJUALAN!$C$4:$C$4288,'CEK CICI'!A567)</f>
        <v>0</v>
      </c>
      <c r="J567" s="16">
        <f t="shared" si="2"/>
        <v>0</v>
      </c>
      <c r="K567" s="4"/>
      <c r="L567" s="4"/>
      <c r="M567" s="4"/>
      <c r="N567" s="4"/>
    </row>
    <row r="568" ht="13.5" hidden="1" customHeight="1">
      <c r="A568" s="4" t="str">
        <f t="shared" si="1"/>
        <v>TRW-ELGRAND02FY</v>
      </c>
      <c r="B568" s="29" t="s">
        <v>900</v>
      </c>
      <c r="C568" s="28" t="s">
        <v>899</v>
      </c>
      <c r="D568" s="28" t="s">
        <v>41</v>
      </c>
      <c r="E568" s="4" t="s">
        <v>111</v>
      </c>
      <c r="F568" s="28" t="s">
        <v>67</v>
      </c>
      <c r="G568" s="4"/>
      <c r="H568" s="4">
        <f>SUMIFS(X!$F$5:$F$2005,X!$D$5:$D$2005,'CEK CICI'!A568)</f>
        <v>0</v>
      </c>
      <c r="I568" s="4">
        <f>SUMIFS(PENJUALAN!$E$4:$E$4288,PENJUALAN!$C$4:$C$4288,'CEK CICI'!A568)</f>
        <v>0</v>
      </c>
      <c r="J568" s="16">
        <f t="shared" si="2"/>
        <v>0</v>
      </c>
      <c r="K568" s="4"/>
      <c r="L568" s="4"/>
      <c r="M568" s="4"/>
      <c r="N568" s="4"/>
    </row>
    <row r="569" ht="13.5" hidden="1" customHeight="1">
      <c r="A569" s="4" t="str">
        <f t="shared" si="1"/>
        <v>FDL-ELGRAND02FY</v>
      </c>
      <c r="B569" s="29" t="s">
        <v>901</v>
      </c>
      <c r="C569" s="28" t="s">
        <v>899</v>
      </c>
      <c r="D569" s="28" t="s">
        <v>128</v>
      </c>
      <c r="E569" s="4" t="s">
        <v>111</v>
      </c>
      <c r="F569" s="28"/>
      <c r="G569" s="4"/>
      <c r="H569" s="4">
        <f>SUMIFS(X!$F$5:$F$2005,X!$D$5:$D$2005,'CEK CICI'!A569)</f>
        <v>0</v>
      </c>
      <c r="I569" s="4">
        <f>SUMIFS(PENJUALAN!$E$4:$E$4288,PENJUALAN!$C$4:$C$4288,'CEK CICI'!A569)</f>
        <v>0</v>
      </c>
      <c r="J569" s="16">
        <f t="shared" si="2"/>
        <v>0</v>
      </c>
      <c r="K569" s="4"/>
      <c r="L569" s="4"/>
      <c r="M569" s="4"/>
      <c r="N569" s="4"/>
    </row>
    <row r="570" ht="13.5" hidden="1" customHeight="1">
      <c r="A570" s="4" t="str">
        <f t="shared" si="1"/>
        <v>FDR-ELGRAND02FY</v>
      </c>
      <c r="B570" s="29" t="s">
        <v>902</v>
      </c>
      <c r="C570" s="28" t="s">
        <v>899</v>
      </c>
      <c r="D570" s="28" t="s">
        <v>130</v>
      </c>
      <c r="E570" s="4" t="s">
        <v>111</v>
      </c>
      <c r="F570" s="28"/>
      <c r="G570" s="4"/>
      <c r="H570" s="4">
        <f>SUMIFS(X!$F$5:$F$2005,X!$D$5:$D$2005,'CEK CICI'!A570)</f>
        <v>0</v>
      </c>
      <c r="I570" s="4">
        <f>SUMIFS(PENJUALAN!$E$4:$E$4288,PENJUALAN!$C$4:$C$4288,'CEK CICI'!A570)</f>
        <v>0</v>
      </c>
      <c r="J570" s="16">
        <f t="shared" si="2"/>
        <v>0</v>
      </c>
      <c r="K570" s="4"/>
      <c r="L570" s="4"/>
      <c r="M570" s="4"/>
      <c r="N570" s="4"/>
    </row>
    <row r="571" ht="13.5" hidden="1" customHeight="1">
      <c r="A571" s="4" t="str">
        <f t="shared" si="1"/>
        <v>SFL-ELGRAND02FY</v>
      </c>
      <c r="B571" s="29" t="s">
        <v>903</v>
      </c>
      <c r="C571" s="28" t="s">
        <v>899</v>
      </c>
      <c r="D571" s="28" t="s">
        <v>904</v>
      </c>
      <c r="E571" s="4" t="s">
        <v>111</v>
      </c>
      <c r="F571" s="28" t="s">
        <v>533</v>
      </c>
      <c r="G571" s="4"/>
      <c r="H571" s="4">
        <f>SUMIFS(X!$F$5:$F$2005,X!$D$5:$D$2005,'CEK CICI'!A571)</f>
        <v>0</v>
      </c>
      <c r="I571" s="4">
        <f>SUMIFS(PENJUALAN!$E$4:$E$4288,PENJUALAN!$C$4:$C$4288,'CEK CICI'!A571)</f>
        <v>0</v>
      </c>
      <c r="J571" s="16">
        <f t="shared" si="2"/>
        <v>0</v>
      </c>
      <c r="K571" s="4"/>
      <c r="L571" s="4"/>
      <c r="M571" s="4"/>
      <c r="N571" s="4"/>
    </row>
    <row r="572" ht="13.5" hidden="1" customHeight="1">
      <c r="A572" s="4" t="str">
        <f t="shared" si="1"/>
        <v>SFR-ELGRAND02FY</v>
      </c>
      <c r="B572" s="29" t="s">
        <v>905</v>
      </c>
      <c r="C572" s="28" t="s">
        <v>899</v>
      </c>
      <c r="D572" s="28" t="s">
        <v>906</v>
      </c>
      <c r="E572" s="4" t="s">
        <v>111</v>
      </c>
      <c r="F572" s="28" t="s">
        <v>533</v>
      </c>
      <c r="G572" s="4"/>
      <c r="H572" s="4">
        <f>SUMIFS(X!$F$5:$F$2005,X!$D$5:$D$2005,'CEK CICI'!A572)</f>
        <v>0</v>
      </c>
      <c r="I572" s="4">
        <f>SUMIFS(PENJUALAN!$E$4:$E$4288,PENJUALAN!$C$4:$C$4288,'CEK CICI'!A572)</f>
        <v>0</v>
      </c>
      <c r="J572" s="16">
        <f t="shared" si="2"/>
        <v>0</v>
      </c>
      <c r="K572" s="4"/>
      <c r="L572" s="4"/>
      <c r="M572" s="4"/>
      <c r="N572" s="4"/>
    </row>
    <row r="573" ht="13.5" hidden="1" customHeight="1">
      <c r="A573" s="4" t="str">
        <f t="shared" si="1"/>
        <v>SRL-ELGRAND02FY</v>
      </c>
      <c r="B573" s="29" t="s">
        <v>907</v>
      </c>
      <c r="C573" s="28" t="s">
        <v>899</v>
      </c>
      <c r="D573" s="28" t="s">
        <v>908</v>
      </c>
      <c r="E573" s="4" t="s">
        <v>111</v>
      </c>
      <c r="F573" s="28" t="s">
        <v>909</v>
      </c>
      <c r="G573" s="4"/>
      <c r="H573" s="4">
        <f>SUMIFS(X!$F$5:$F$2005,X!$D$5:$D$2005,'CEK CICI'!A573)</f>
        <v>0</v>
      </c>
      <c r="I573" s="4">
        <f>SUMIFS(PENJUALAN!$E$4:$E$4288,PENJUALAN!$C$4:$C$4288,'CEK CICI'!A573)</f>
        <v>0</v>
      </c>
      <c r="J573" s="16">
        <f t="shared" si="2"/>
        <v>0</v>
      </c>
      <c r="K573" s="4"/>
      <c r="L573" s="4"/>
      <c r="M573" s="4"/>
      <c r="N573" s="4"/>
    </row>
    <row r="574" ht="13.5" hidden="1" customHeight="1">
      <c r="A574" s="4" t="str">
        <f t="shared" si="1"/>
        <v>SRR-ELGRAND02FY</v>
      </c>
      <c r="B574" s="29" t="s">
        <v>910</v>
      </c>
      <c r="C574" s="28" t="s">
        <v>899</v>
      </c>
      <c r="D574" s="28" t="s">
        <v>911</v>
      </c>
      <c r="E574" s="4" t="s">
        <v>111</v>
      </c>
      <c r="F574" s="28" t="s">
        <v>909</v>
      </c>
      <c r="G574" s="4"/>
      <c r="H574" s="4">
        <f>SUMIFS(X!$F$5:$F$2005,X!$D$5:$D$2005,'CEK CICI'!A574)</f>
        <v>0</v>
      </c>
      <c r="I574" s="4">
        <f>SUMIFS(PENJUALAN!$E$4:$E$4288,PENJUALAN!$C$4:$C$4288,'CEK CICI'!A574)</f>
        <v>0</v>
      </c>
      <c r="J574" s="16">
        <f t="shared" si="2"/>
        <v>0</v>
      </c>
      <c r="K574" s="4"/>
      <c r="L574" s="4"/>
      <c r="M574" s="4"/>
      <c r="N574" s="4"/>
    </row>
    <row r="575" ht="13.5" hidden="1" customHeight="1">
      <c r="A575" s="4" t="str">
        <f t="shared" si="1"/>
        <v>LFW-ELGRAND10FY</v>
      </c>
      <c r="B575" s="29" t="s">
        <v>912</v>
      </c>
      <c r="C575" s="28" t="s">
        <v>913</v>
      </c>
      <c r="D575" s="28" t="s">
        <v>22</v>
      </c>
      <c r="E575" s="4" t="s">
        <v>111</v>
      </c>
      <c r="F575" s="28" t="s">
        <v>125</v>
      </c>
      <c r="G575" s="4"/>
      <c r="H575" s="4">
        <f>SUMIFS(X!$F$5:$F$2005,X!$D$5:$D$2005,'CEK CICI'!A575)</f>
        <v>0</v>
      </c>
      <c r="I575" s="4">
        <f>SUMIFS(PENJUALAN!$E$4:$E$4288,PENJUALAN!$C$4:$C$4288,'CEK CICI'!A575)</f>
        <v>0</v>
      </c>
      <c r="J575" s="16">
        <f t="shared" si="2"/>
        <v>0</v>
      </c>
      <c r="K575" s="4"/>
      <c r="L575" s="4"/>
      <c r="M575" s="4"/>
      <c r="N575" s="4"/>
    </row>
    <row r="576" ht="13.5" hidden="1" customHeight="1">
      <c r="A576" s="4" t="str">
        <f t="shared" si="1"/>
        <v>TRW-ELGRAND10FY</v>
      </c>
      <c r="B576" s="29" t="s">
        <v>914</v>
      </c>
      <c r="C576" s="28" t="s">
        <v>913</v>
      </c>
      <c r="D576" s="28" t="s">
        <v>41</v>
      </c>
      <c r="E576" s="4" t="s">
        <v>111</v>
      </c>
      <c r="F576" s="28" t="s">
        <v>221</v>
      </c>
      <c r="G576" s="4"/>
      <c r="H576" s="4">
        <f>SUMIFS(X!$F$5:$F$2005,X!$D$5:$D$2005,'CEK CICI'!A576)</f>
        <v>0</v>
      </c>
      <c r="I576" s="4">
        <f>SUMIFS(PENJUALAN!$E$4:$E$4288,PENJUALAN!$C$4:$C$4288,'CEK CICI'!A576)</f>
        <v>0</v>
      </c>
      <c r="J576" s="16">
        <f t="shared" si="2"/>
        <v>0</v>
      </c>
      <c r="K576" s="4"/>
      <c r="L576" s="4"/>
      <c r="M576" s="4"/>
      <c r="N576" s="4"/>
    </row>
    <row r="577" ht="13.5" hidden="1" customHeight="1">
      <c r="A577" s="4" t="str">
        <f t="shared" si="1"/>
        <v>RDL-ELGRAND10FY</v>
      </c>
      <c r="B577" s="29" t="s">
        <v>915</v>
      </c>
      <c r="C577" s="28" t="s">
        <v>913</v>
      </c>
      <c r="D577" s="28" t="s">
        <v>132</v>
      </c>
      <c r="E577" s="4" t="s">
        <v>111</v>
      </c>
      <c r="F577" s="28" t="s">
        <v>466</v>
      </c>
      <c r="G577" s="4"/>
      <c r="H577" s="4">
        <f>SUMIFS(X!$F$5:$F$2005,X!$D$5:$D$2005,'CEK CICI'!A577)</f>
        <v>0</v>
      </c>
      <c r="I577" s="4">
        <f>SUMIFS(PENJUALAN!$E$4:$E$4288,PENJUALAN!$C$4:$C$4288,'CEK CICI'!A577)</f>
        <v>0</v>
      </c>
      <c r="J577" s="16">
        <f t="shared" si="2"/>
        <v>0</v>
      </c>
      <c r="K577" s="4"/>
      <c r="L577" s="4"/>
      <c r="M577" s="4"/>
      <c r="N577" s="4"/>
    </row>
    <row r="578" ht="13.5" hidden="1" customHeight="1">
      <c r="A578" s="4" t="str">
        <f t="shared" si="1"/>
        <v>RDR-ELGRAND10FY</v>
      </c>
      <c r="B578" s="29" t="s">
        <v>916</v>
      </c>
      <c r="C578" s="28" t="s">
        <v>913</v>
      </c>
      <c r="D578" s="28" t="s">
        <v>134</v>
      </c>
      <c r="E578" s="4" t="s">
        <v>111</v>
      </c>
      <c r="F578" s="28" t="s">
        <v>466</v>
      </c>
      <c r="G578" s="4"/>
      <c r="H578" s="4">
        <f>SUMIFS(X!$F$5:$F$2005,X!$D$5:$D$2005,'CEK CICI'!A578)</f>
        <v>0</v>
      </c>
      <c r="I578" s="4">
        <f>SUMIFS(PENJUALAN!$E$4:$E$4288,PENJUALAN!$C$4:$C$4288,'CEK CICI'!A578)</f>
        <v>0</v>
      </c>
      <c r="J578" s="16">
        <f t="shared" si="2"/>
        <v>0</v>
      </c>
      <c r="K578" s="4"/>
      <c r="L578" s="4"/>
      <c r="M578" s="4"/>
      <c r="N578" s="4"/>
    </row>
    <row r="579" ht="13.5" hidden="1" customHeight="1">
      <c r="A579" s="4" t="str">
        <f t="shared" si="1"/>
        <v>SWL-ELGRAND10FY</v>
      </c>
      <c r="B579" s="29" t="s">
        <v>917</v>
      </c>
      <c r="C579" s="28" t="s">
        <v>913</v>
      </c>
      <c r="D579" s="28" t="s">
        <v>202</v>
      </c>
      <c r="E579" s="4" t="s">
        <v>111</v>
      </c>
      <c r="F579" s="28" t="s">
        <v>97</v>
      </c>
      <c r="G579" s="4"/>
      <c r="H579" s="4">
        <f>SUMIFS(X!$F$5:$F$2005,X!$D$5:$D$2005,'CEK CICI'!A579)</f>
        <v>0</v>
      </c>
      <c r="I579" s="4">
        <f>SUMIFS(PENJUALAN!$E$4:$E$4288,PENJUALAN!$C$4:$C$4288,'CEK CICI'!A579)</f>
        <v>0</v>
      </c>
      <c r="J579" s="16">
        <f t="shared" si="2"/>
        <v>0</v>
      </c>
      <c r="K579" s="4"/>
      <c r="L579" s="4"/>
      <c r="M579" s="4"/>
      <c r="N579" s="4"/>
    </row>
    <row r="580" ht="13.5" hidden="1" customHeight="1">
      <c r="A580" s="4" t="str">
        <f t="shared" si="1"/>
        <v>SWR-ELGRAND10FY</v>
      </c>
      <c r="B580" s="29" t="s">
        <v>918</v>
      </c>
      <c r="C580" s="28" t="s">
        <v>913</v>
      </c>
      <c r="D580" s="28" t="s">
        <v>236</v>
      </c>
      <c r="E580" s="4" t="s">
        <v>111</v>
      </c>
      <c r="F580" s="28" t="s">
        <v>97</v>
      </c>
      <c r="G580" s="4"/>
      <c r="H580" s="4">
        <f>SUMIFS(X!$F$5:$F$2005,X!$D$5:$D$2005,'CEK CICI'!A580)</f>
        <v>0</v>
      </c>
      <c r="I580" s="4">
        <f>SUMIFS(PENJUALAN!$E$4:$E$4288,PENJUALAN!$C$4:$C$4288,'CEK CICI'!A580)</f>
        <v>0</v>
      </c>
      <c r="J580" s="16">
        <f t="shared" si="2"/>
        <v>0</v>
      </c>
      <c r="K580" s="4"/>
      <c r="L580" s="4"/>
      <c r="M580" s="4"/>
      <c r="N580" s="4"/>
    </row>
    <row r="581" ht="13.5" hidden="1" customHeight="1">
      <c r="A581" s="4" t="str">
        <f t="shared" si="1"/>
        <v>LFW-EVALIAFY</v>
      </c>
      <c r="B581" s="29" t="s">
        <v>919</v>
      </c>
      <c r="C581" s="28" t="s">
        <v>920</v>
      </c>
      <c r="D581" s="28" t="s">
        <v>22</v>
      </c>
      <c r="E581" s="4" t="s">
        <v>111</v>
      </c>
      <c r="F581" s="28" t="s">
        <v>97</v>
      </c>
      <c r="G581" s="4"/>
      <c r="H581" s="4">
        <f>SUMIFS(X!$F$5:$F$2005,X!$D$5:$D$2005,'CEK CICI'!A581)</f>
        <v>0</v>
      </c>
      <c r="I581" s="4">
        <f>SUMIFS(PENJUALAN!$E$4:$E$4288,PENJUALAN!$C$4:$C$4288,'CEK CICI'!A581)</f>
        <v>0</v>
      </c>
      <c r="J581" s="16">
        <f t="shared" si="2"/>
        <v>0</v>
      </c>
      <c r="K581" s="4"/>
      <c r="L581" s="4"/>
      <c r="M581" s="4"/>
      <c r="N581" s="4"/>
    </row>
    <row r="582" ht="13.5" hidden="1" customHeight="1">
      <c r="A582" s="4" t="str">
        <f t="shared" si="1"/>
        <v>SRL-EVALIAFY</v>
      </c>
      <c r="B582" s="29" t="s">
        <v>921</v>
      </c>
      <c r="C582" s="28" t="s">
        <v>920</v>
      </c>
      <c r="D582" s="28" t="s">
        <v>908</v>
      </c>
      <c r="E582" s="4" t="s">
        <v>111</v>
      </c>
      <c r="F582" s="28" t="s">
        <v>97</v>
      </c>
      <c r="G582" s="4"/>
      <c r="H582" s="4">
        <f>SUMIFS(X!$F$5:$F$2005,X!$D$5:$D$2005,'CEK CICI'!A582)</f>
        <v>0</v>
      </c>
      <c r="I582" s="4">
        <f>SUMIFS(PENJUALAN!$E$4:$E$4288,PENJUALAN!$C$4:$C$4288,'CEK CICI'!A582)</f>
        <v>0</v>
      </c>
      <c r="J582" s="16">
        <f t="shared" si="2"/>
        <v>0</v>
      </c>
      <c r="K582" s="4"/>
      <c r="L582" s="4"/>
      <c r="M582" s="4"/>
      <c r="N582" s="4"/>
    </row>
    <row r="583" ht="13.5" hidden="1" customHeight="1">
      <c r="A583" s="4" t="str">
        <f t="shared" si="1"/>
        <v>TRW-NAVARA97FY</v>
      </c>
      <c r="B583" s="29" t="s">
        <v>922</v>
      </c>
      <c r="C583" s="28" t="s">
        <v>923</v>
      </c>
      <c r="D583" s="28" t="s">
        <v>41</v>
      </c>
      <c r="E583" s="4" t="s">
        <v>111</v>
      </c>
      <c r="F583" s="28"/>
      <c r="G583" s="4"/>
      <c r="H583" s="4">
        <f>SUMIFS(X!$F$5:$F$2005,X!$D$5:$D$2005,'CEK CICI'!A583)</f>
        <v>0</v>
      </c>
      <c r="I583" s="4">
        <f>SUMIFS(PENJUALAN!$E$4:$E$4288,PENJUALAN!$C$4:$C$4288,'CEK CICI'!A583)</f>
        <v>0</v>
      </c>
      <c r="J583" s="16">
        <f t="shared" si="2"/>
        <v>0</v>
      </c>
      <c r="K583" s="4"/>
      <c r="L583" s="4"/>
      <c r="M583" s="4"/>
      <c r="N583" s="4"/>
    </row>
    <row r="584" ht="13.5" hidden="1" customHeight="1">
      <c r="A584" s="4" t="str">
        <f t="shared" si="1"/>
        <v>LFW-NAVARA04FY</v>
      </c>
      <c r="B584" s="29" t="s">
        <v>924</v>
      </c>
      <c r="C584" s="28" t="s">
        <v>925</v>
      </c>
      <c r="D584" s="28" t="s">
        <v>22</v>
      </c>
      <c r="E584" s="4" t="s">
        <v>111</v>
      </c>
      <c r="F584" s="28" t="s">
        <v>125</v>
      </c>
      <c r="G584" s="4"/>
      <c r="H584" s="4">
        <f>SUMIFS(X!$F$5:$F$2005,X!$D$5:$D$2005,'CEK CICI'!A584)</f>
        <v>0</v>
      </c>
      <c r="I584" s="4">
        <f>SUMIFS(PENJUALAN!$E$4:$E$4288,PENJUALAN!$C$4:$C$4288,'CEK CICI'!A584)</f>
        <v>0</v>
      </c>
      <c r="J584" s="16">
        <f t="shared" si="2"/>
        <v>0</v>
      </c>
      <c r="K584" s="4"/>
      <c r="L584" s="4"/>
      <c r="M584" s="4"/>
      <c r="N584" s="4"/>
    </row>
    <row r="585" ht="13.5" hidden="1" customHeight="1">
      <c r="A585" s="4" t="str">
        <f t="shared" si="1"/>
        <v>TRW-NAVARA04FY</v>
      </c>
      <c r="B585" s="29" t="s">
        <v>926</v>
      </c>
      <c r="C585" s="28" t="s">
        <v>925</v>
      </c>
      <c r="D585" s="28" t="s">
        <v>41</v>
      </c>
      <c r="E585" s="4" t="s">
        <v>111</v>
      </c>
      <c r="F585" s="28" t="s">
        <v>67</v>
      </c>
      <c r="G585" s="4"/>
      <c r="H585" s="4">
        <f>SUMIFS(X!$F$5:$F$2005,X!$D$5:$D$2005,'CEK CICI'!A585)</f>
        <v>0</v>
      </c>
      <c r="I585" s="4">
        <f>SUMIFS(PENJUALAN!$E$4:$E$4288,PENJUALAN!$C$4:$C$4288,'CEK CICI'!A585)</f>
        <v>0</v>
      </c>
      <c r="J585" s="16">
        <f t="shared" si="2"/>
        <v>0</v>
      </c>
      <c r="K585" s="4"/>
      <c r="L585" s="4"/>
      <c r="M585" s="4"/>
      <c r="N585" s="4"/>
    </row>
    <row r="586" ht="13.5" hidden="1" customHeight="1">
      <c r="A586" s="4" t="str">
        <f t="shared" si="1"/>
        <v>LFW-JUKEFY</v>
      </c>
      <c r="B586" s="29" t="s">
        <v>927</v>
      </c>
      <c r="C586" s="28" t="s">
        <v>928</v>
      </c>
      <c r="D586" s="28" t="s">
        <v>22</v>
      </c>
      <c r="E586" s="4" t="s">
        <v>111</v>
      </c>
      <c r="F586" s="28" t="s">
        <v>125</v>
      </c>
      <c r="G586" s="4"/>
      <c r="H586" s="4">
        <f>SUMIFS(X!$F$5:$F$2005,X!$D$5:$D$2005,'CEK CICI'!A586)</f>
        <v>0</v>
      </c>
      <c r="I586" s="4">
        <f>SUMIFS(PENJUALAN!$E$4:$E$4288,PENJUALAN!$C$4:$C$4288,'CEK CICI'!A586)</f>
        <v>0</v>
      </c>
      <c r="J586" s="16">
        <f t="shared" si="2"/>
        <v>0</v>
      </c>
      <c r="K586" s="4"/>
      <c r="L586" s="4"/>
      <c r="M586" s="4"/>
      <c r="N586" s="4"/>
    </row>
    <row r="587" ht="13.5" hidden="1" customHeight="1">
      <c r="A587" s="4" t="str">
        <f t="shared" si="1"/>
        <v>TRW-JUKEFY</v>
      </c>
      <c r="B587" s="29" t="s">
        <v>929</v>
      </c>
      <c r="C587" s="28" t="s">
        <v>928</v>
      </c>
      <c r="D587" s="28" t="s">
        <v>41</v>
      </c>
      <c r="E587" s="4" t="s">
        <v>111</v>
      </c>
      <c r="F587" s="28" t="s">
        <v>221</v>
      </c>
      <c r="G587" s="4"/>
      <c r="H587" s="4">
        <f>SUMIFS(X!$F$5:$F$2005,X!$D$5:$D$2005,'CEK CICI'!A587)</f>
        <v>0</v>
      </c>
      <c r="I587" s="4">
        <f>SUMIFS(PENJUALAN!$E$4:$E$4288,PENJUALAN!$C$4:$C$4288,'CEK CICI'!A587)</f>
        <v>0</v>
      </c>
      <c r="J587" s="16">
        <f t="shared" si="2"/>
        <v>0</v>
      </c>
      <c r="K587" s="4"/>
      <c r="L587" s="4"/>
      <c r="M587" s="4"/>
      <c r="N587" s="4"/>
    </row>
    <row r="588" ht="13.5" hidden="1" customHeight="1">
      <c r="A588" s="4" t="str">
        <f t="shared" si="1"/>
        <v>FDL-JUKEFY</v>
      </c>
      <c r="B588" s="29" t="s">
        <v>930</v>
      </c>
      <c r="C588" s="28" t="s">
        <v>928</v>
      </c>
      <c r="D588" s="28" t="s">
        <v>128</v>
      </c>
      <c r="E588" s="4" t="s">
        <v>111</v>
      </c>
      <c r="F588" s="28"/>
      <c r="G588" s="4"/>
      <c r="H588" s="4">
        <f>SUMIFS(X!$F$5:$F$2005,X!$D$5:$D$2005,'CEK CICI'!A588)</f>
        <v>0</v>
      </c>
      <c r="I588" s="4">
        <f>SUMIFS(PENJUALAN!$E$4:$E$4288,PENJUALAN!$C$4:$C$4288,'CEK CICI'!A588)</f>
        <v>0</v>
      </c>
      <c r="J588" s="16">
        <f t="shared" si="2"/>
        <v>0</v>
      </c>
      <c r="K588" s="4"/>
      <c r="L588" s="4"/>
      <c r="M588" s="4"/>
      <c r="N588" s="4"/>
    </row>
    <row r="589" ht="13.5" hidden="1" customHeight="1">
      <c r="A589" s="4" t="str">
        <f t="shared" si="1"/>
        <v>FDR-JUKEFY</v>
      </c>
      <c r="B589" s="29" t="s">
        <v>931</v>
      </c>
      <c r="C589" s="28" t="s">
        <v>928</v>
      </c>
      <c r="D589" s="28" t="s">
        <v>130</v>
      </c>
      <c r="E589" s="4" t="s">
        <v>111</v>
      </c>
      <c r="F589" s="28"/>
      <c r="G589" s="4"/>
      <c r="H589" s="4">
        <f>SUMIFS(X!$F$5:$F$2005,X!$D$5:$D$2005,'CEK CICI'!A589)</f>
        <v>0</v>
      </c>
      <c r="I589" s="4">
        <f>SUMIFS(PENJUALAN!$E$4:$E$4288,PENJUALAN!$C$4:$C$4288,'CEK CICI'!A589)</f>
        <v>0</v>
      </c>
      <c r="J589" s="16">
        <f t="shared" si="2"/>
        <v>0</v>
      </c>
      <c r="K589" s="4"/>
      <c r="L589" s="4"/>
      <c r="M589" s="4"/>
      <c r="N589" s="4"/>
    </row>
    <row r="590" ht="13.5" hidden="1" customHeight="1">
      <c r="A590" s="4" t="str">
        <f t="shared" si="1"/>
        <v>RDL-JUKEFY</v>
      </c>
      <c r="B590" s="29" t="s">
        <v>932</v>
      </c>
      <c r="C590" s="28" t="s">
        <v>928</v>
      </c>
      <c r="D590" s="28" t="s">
        <v>132</v>
      </c>
      <c r="E590" s="4" t="s">
        <v>111</v>
      </c>
      <c r="F590" s="28"/>
      <c r="G590" s="4"/>
      <c r="H590" s="4">
        <f>SUMIFS(X!$F$5:$F$2005,X!$D$5:$D$2005,'CEK CICI'!A590)</f>
        <v>0</v>
      </c>
      <c r="I590" s="4">
        <f>SUMIFS(PENJUALAN!$E$4:$E$4288,PENJUALAN!$C$4:$C$4288,'CEK CICI'!A590)</f>
        <v>0</v>
      </c>
      <c r="J590" s="16">
        <f t="shared" si="2"/>
        <v>0</v>
      </c>
      <c r="K590" s="4"/>
      <c r="L590" s="4"/>
      <c r="M590" s="4"/>
      <c r="N590" s="4"/>
    </row>
    <row r="591" ht="13.5" hidden="1" customHeight="1">
      <c r="A591" s="4" t="str">
        <f t="shared" si="1"/>
        <v>RDR-JUKEFY</v>
      </c>
      <c r="B591" s="29" t="s">
        <v>933</v>
      </c>
      <c r="C591" s="28" t="s">
        <v>928</v>
      </c>
      <c r="D591" s="28" t="s">
        <v>134</v>
      </c>
      <c r="E591" s="4" t="s">
        <v>111</v>
      </c>
      <c r="F591" s="28"/>
      <c r="G591" s="4"/>
      <c r="H591" s="4">
        <f>SUMIFS(X!$F$5:$F$2005,X!$D$5:$D$2005,'CEK CICI'!A591)</f>
        <v>0</v>
      </c>
      <c r="I591" s="4">
        <f>SUMIFS(PENJUALAN!$E$4:$E$4288,PENJUALAN!$C$4:$C$4288,'CEK CICI'!A591)</f>
        <v>0</v>
      </c>
      <c r="J591" s="16">
        <f t="shared" si="2"/>
        <v>0</v>
      </c>
      <c r="K591" s="4"/>
      <c r="L591" s="4"/>
      <c r="M591" s="4"/>
      <c r="N591" s="4"/>
    </row>
    <row r="592" ht="13.5" hidden="1" customHeight="1">
      <c r="A592" s="4" t="str">
        <f t="shared" si="1"/>
        <v>LFW-LIVINA07FY</v>
      </c>
      <c r="B592" s="29" t="s">
        <v>934</v>
      </c>
      <c r="C592" s="28" t="s">
        <v>935</v>
      </c>
      <c r="D592" s="28" t="s">
        <v>22</v>
      </c>
      <c r="E592" s="4" t="s">
        <v>111</v>
      </c>
      <c r="F592" s="28" t="s">
        <v>125</v>
      </c>
      <c r="G592" s="4"/>
      <c r="H592" s="4">
        <f>SUMIFS(X!$F$5:$F$2005,X!$D$5:$D$2005,'CEK CICI'!A592)</f>
        <v>0</v>
      </c>
      <c r="I592" s="4">
        <f>SUMIFS(PENJUALAN!$E$4:$E$4288,PENJUALAN!$C$4:$C$4288,'CEK CICI'!A592)</f>
        <v>0</v>
      </c>
      <c r="J592" s="16">
        <f t="shared" si="2"/>
        <v>0</v>
      </c>
      <c r="K592" s="4"/>
      <c r="L592" s="4"/>
      <c r="M592" s="4"/>
      <c r="N592" s="4"/>
    </row>
    <row r="593" ht="13.5" hidden="1" customHeight="1">
      <c r="A593" s="4" t="str">
        <f t="shared" si="1"/>
        <v>TRW-LIVINA07FY</v>
      </c>
      <c r="B593" s="29" t="s">
        <v>936</v>
      </c>
      <c r="C593" s="28" t="s">
        <v>937</v>
      </c>
      <c r="D593" s="28" t="s">
        <v>41</v>
      </c>
      <c r="E593" s="4" t="s">
        <v>111</v>
      </c>
      <c r="F593" s="28" t="s">
        <v>67</v>
      </c>
      <c r="G593" s="4"/>
      <c r="H593" s="4">
        <f>SUMIFS(X!$F$5:$F$2005,X!$D$5:$D$2005,'CEK CICI'!A593)</f>
        <v>0</v>
      </c>
      <c r="I593" s="4">
        <f>SUMIFS(PENJUALAN!$E$4:$E$4288,PENJUALAN!$C$4:$C$4288,'CEK CICI'!A593)</f>
        <v>0</v>
      </c>
      <c r="J593" s="16">
        <f t="shared" si="2"/>
        <v>0</v>
      </c>
      <c r="K593" s="4"/>
      <c r="L593" s="4"/>
      <c r="M593" s="4"/>
      <c r="N593" s="4"/>
    </row>
    <row r="594" ht="13.5" hidden="1" customHeight="1">
      <c r="A594" s="4" t="str">
        <f t="shared" si="1"/>
        <v>FDL-LIVINA07FY</v>
      </c>
      <c r="B594" s="29" t="s">
        <v>938</v>
      </c>
      <c r="C594" s="28" t="s">
        <v>935</v>
      </c>
      <c r="D594" s="28" t="s">
        <v>128</v>
      </c>
      <c r="E594" s="4" t="s">
        <v>111</v>
      </c>
      <c r="F594" s="28"/>
      <c r="G594" s="4"/>
      <c r="H594" s="4">
        <f>SUMIFS(X!$F$5:$F$2005,X!$D$5:$D$2005,'CEK CICI'!A594)</f>
        <v>0</v>
      </c>
      <c r="I594" s="4">
        <f>SUMIFS(PENJUALAN!$E$4:$E$4288,PENJUALAN!$C$4:$C$4288,'CEK CICI'!A594)</f>
        <v>0</v>
      </c>
      <c r="J594" s="16">
        <f t="shared" si="2"/>
        <v>0</v>
      </c>
      <c r="K594" s="4"/>
      <c r="L594" s="4"/>
      <c r="M594" s="4"/>
      <c r="N594" s="4"/>
    </row>
    <row r="595" ht="13.5" hidden="1" customHeight="1">
      <c r="A595" s="4" t="str">
        <f t="shared" si="1"/>
        <v>LFW-MARCHFY</v>
      </c>
      <c r="B595" s="29" t="s">
        <v>939</v>
      </c>
      <c r="C595" s="28" t="s">
        <v>940</v>
      </c>
      <c r="D595" s="28" t="s">
        <v>22</v>
      </c>
      <c r="E595" s="4" t="s">
        <v>111</v>
      </c>
      <c r="F595" s="28" t="s">
        <v>125</v>
      </c>
      <c r="G595" s="4"/>
      <c r="H595" s="4">
        <f>SUMIFS(X!$F$5:$F$2005,X!$D$5:$D$2005,'CEK CICI'!A595)</f>
        <v>0</v>
      </c>
      <c r="I595" s="4">
        <f>SUMIFS(PENJUALAN!$E$4:$E$4288,PENJUALAN!$C$4:$C$4288,'CEK CICI'!A595)</f>
        <v>0</v>
      </c>
      <c r="J595" s="16">
        <f t="shared" si="2"/>
        <v>0</v>
      </c>
      <c r="K595" s="4"/>
      <c r="L595" s="4"/>
      <c r="M595" s="4"/>
      <c r="N595" s="4"/>
    </row>
    <row r="596" ht="13.5" hidden="1" customHeight="1">
      <c r="A596" s="4" t="str">
        <f t="shared" si="1"/>
        <v>TRW-MARCHFY</v>
      </c>
      <c r="B596" s="29" t="s">
        <v>941</v>
      </c>
      <c r="C596" s="28" t="s">
        <v>940</v>
      </c>
      <c r="D596" s="28" t="s">
        <v>41</v>
      </c>
      <c r="E596" s="4" t="s">
        <v>111</v>
      </c>
      <c r="F596" s="28" t="s">
        <v>67</v>
      </c>
      <c r="G596" s="4"/>
      <c r="H596" s="4">
        <f>SUMIFS(X!$F$5:$F$2005,X!$D$5:$D$2005,'CEK CICI'!A596)</f>
        <v>0</v>
      </c>
      <c r="I596" s="4">
        <f>SUMIFS(PENJUALAN!$E$4:$E$4288,PENJUALAN!$C$4:$C$4288,'CEK CICI'!A596)</f>
        <v>0</v>
      </c>
      <c r="J596" s="16">
        <f t="shared" si="2"/>
        <v>0</v>
      </c>
      <c r="K596" s="4"/>
      <c r="L596" s="4"/>
      <c r="M596" s="4"/>
      <c r="N596" s="4"/>
    </row>
    <row r="597" ht="13.5" hidden="1" customHeight="1">
      <c r="A597" s="4" t="str">
        <f t="shared" si="1"/>
        <v>FDL-MARCHFY</v>
      </c>
      <c r="B597" s="29" t="s">
        <v>942</v>
      </c>
      <c r="C597" s="28" t="s">
        <v>940</v>
      </c>
      <c r="D597" s="28" t="s">
        <v>128</v>
      </c>
      <c r="E597" s="4" t="s">
        <v>111</v>
      </c>
      <c r="F597" s="28"/>
      <c r="G597" s="4"/>
      <c r="H597" s="4">
        <f>SUMIFS(X!$F$5:$F$2005,X!$D$5:$D$2005,'CEK CICI'!A597)</f>
        <v>0</v>
      </c>
      <c r="I597" s="4">
        <f>SUMIFS(PENJUALAN!$E$4:$E$4288,PENJUALAN!$C$4:$C$4288,'CEK CICI'!A597)</f>
        <v>0</v>
      </c>
      <c r="J597" s="16">
        <f t="shared" si="2"/>
        <v>0</v>
      </c>
      <c r="K597" s="4"/>
      <c r="L597" s="4"/>
      <c r="M597" s="4"/>
      <c r="N597" s="4"/>
    </row>
    <row r="598" ht="13.5" hidden="1" customHeight="1">
      <c r="A598" s="4" t="str">
        <f t="shared" si="1"/>
        <v>FDR-MARCHFY</v>
      </c>
      <c r="B598" s="29" t="s">
        <v>943</v>
      </c>
      <c r="C598" s="28" t="s">
        <v>940</v>
      </c>
      <c r="D598" s="28" t="s">
        <v>130</v>
      </c>
      <c r="E598" s="4" t="s">
        <v>111</v>
      </c>
      <c r="F598" s="28"/>
      <c r="G598" s="4"/>
      <c r="H598" s="4">
        <f>SUMIFS(X!$F$5:$F$2005,X!$D$5:$D$2005,'CEK CICI'!A598)</f>
        <v>0</v>
      </c>
      <c r="I598" s="4">
        <f>SUMIFS(PENJUALAN!$E$4:$E$4288,PENJUALAN!$C$4:$C$4288,'CEK CICI'!A598)</f>
        <v>0</v>
      </c>
      <c r="J598" s="16">
        <f t="shared" si="2"/>
        <v>0</v>
      </c>
      <c r="K598" s="4"/>
      <c r="L598" s="4"/>
      <c r="M598" s="4"/>
      <c r="N598" s="4"/>
    </row>
    <row r="599" ht="13.5" hidden="1" customHeight="1">
      <c r="A599" s="4" t="str">
        <f t="shared" si="1"/>
        <v>RDL-MARCHFY</v>
      </c>
      <c r="B599" s="29" t="s">
        <v>944</v>
      </c>
      <c r="C599" s="28" t="s">
        <v>940</v>
      </c>
      <c r="D599" s="28" t="s">
        <v>132</v>
      </c>
      <c r="E599" s="4" t="s">
        <v>111</v>
      </c>
      <c r="F599" s="28"/>
      <c r="G599" s="4"/>
      <c r="H599" s="4">
        <f>SUMIFS(X!$F$5:$F$2005,X!$D$5:$D$2005,'CEK CICI'!A599)</f>
        <v>0</v>
      </c>
      <c r="I599" s="4">
        <f>SUMIFS(PENJUALAN!$E$4:$E$4288,PENJUALAN!$C$4:$C$4288,'CEK CICI'!A599)</f>
        <v>0</v>
      </c>
      <c r="J599" s="16">
        <f t="shared" si="2"/>
        <v>0</v>
      </c>
      <c r="K599" s="4"/>
      <c r="L599" s="4"/>
      <c r="M599" s="4"/>
      <c r="N599" s="4"/>
    </row>
    <row r="600" ht="13.5" hidden="1" customHeight="1">
      <c r="A600" s="4" t="str">
        <f t="shared" si="1"/>
        <v>RDR-MARCHFY</v>
      </c>
      <c r="B600" s="29" t="s">
        <v>945</v>
      </c>
      <c r="C600" s="28" t="s">
        <v>940</v>
      </c>
      <c r="D600" s="28" t="s">
        <v>134</v>
      </c>
      <c r="E600" s="4" t="s">
        <v>111</v>
      </c>
      <c r="F600" s="28"/>
      <c r="G600" s="4"/>
      <c r="H600" s="4">
        <f>SUMIFS(X!$F$5:$F$2005,X!$D$5:$D$2005,'CEK CICI'!A600)</f>
        <v>0</v>
      </c>
      <c r="I600" s="4">
        <f>SUMIFS(PENJUALAN!$E$4:$E$4288,PENJUALAN!$C$4:$C$4288,'CEK CICI'!A600)</f>
        <v>0</v>
      </c>
      <c r="J600" s="16">
        <f t="shared" si="2"/>
        <v>0</v>
      </c>
      <c r="K600" s="4"/>
      <c r="L600" s="4"/>
      <c r="M600" s="4"/>
      <c r="N600" s="4"/>
    </row>
    <row r="601" ht="13.5" hidden="1" customHeight="1">
      <c r="A601" s="4" t="str">
        <f t="shared" si="1"/>
        <v>LFW-MURANO02FY</v>
      </c>
      <c r="B601" s="29" t="s">
        <v>946</v>
      </c>
      <c r="C601" s="28" t="s">
        <v>947</v>
      </c>
      <c r="D601" s="28" t="s">
        <v>22</v>
      </c>
      <c r="E601" s="4" t="s">
        <v>111</v>
      </c>
      <c r="F601" s="28" t="s">
        <v>125</v>
      </c>
      <c r="G601" s="4"/>
      <c r="H601" s="4">
        <f>SUMIFS(X!$F$5:$F$2005,X!$D$5:$D$2005,'CEK CICI'!A601)</f>
        <v>0</v>
      </c>
      <c r="I601" s="4">
        <f>SUMIFS(PENJUALAN!$E$4:$E$4288,PENJUALAN!$C$4:$C$4288,'CEK CICI'!A601)</f>
        <v>0</v>
      </c>
      <c r="J601" s="16">
        <f t="shared" si="2"/>
        <v>0</v>
      </c>
      <c r="K601" s="4"/>
      <c r="L601" s="4"/>
      <c r="M601" s="4"/>
      <c r="N601" s="4"/>
    </row>
    <row r="602" ht="13.5" hidden="1" customHeight="1">
      <c r="A602" s="4" t="str">
        <f t="shared" si="1"/>
        <v>TRW-MURANO02FY</v>
      </c>
      <c r="B602" s="29" t="s">
        <v>948</v>
      </c>
      <c r="C602" s="28" t="s">
        <v>947</v>
      </c>
      <c r="D602" s="28" t="s">
        <v>41</v>
      </c>
      <c r="E602" s="4" t="s">
        <v>111</v>
      </c>
      <c r="F602" s="28" t="s">
        <v>221</v>
      </c>
      <c r="G602" s="4"/>
      <c r="H602" s="4">
        <f>SUMIFS(X!$F$5:$F$2005,X!$D$5:$D$2005,'CEK CICI'!A602)</f>
        <v>0</v>
      </c>
      <c r="I602" s="4">
        <f>SUMIFS(PENJUALAN!$E$4:$E$4288,PENJUALAN!$C$4:$C$4288,'CEK CICI'!A602)</f>
        <v>0</v>
      </c>
      <c r="J602" s="16">
        <f t="shared" si="2"/>
        <v>0</v>
      </c>
      <c r="K602" s="4"/>
      <c r="L602" s="4"/>
      <c r="M602" s="4"/>
      <c r="N602" s="4"/>
    </row>
    <row r="603" ht="13.5" hidden="1" customHeight="1">
      <c r="A603" s="4" t="str">
        <f t="shared" si="1"/>
        <v>LFW-MURANO08FY</v>
      </c>
      <c r="B603" s="29" t="s">
        <v>949</v>
      </c>
      <c r="C603" s="28" t="s">
        <v>950</v>
      </c>
      <c r="D603" s="28" t="s">
        <v>22</v>
      </c>
      <c r="E603" s="4" t="s">
        <v>111</v>
      </c>
      <c r="F603" s="28" t="s">
        <v>125</v>
      </c>
      <c r="G603" s="4"/>
      <c r="H603" s="4">
        <f>SUMIFS(X!$F$5:$F$2005,X!$D$5:$D$2005,'CEK CICI'!A603)</f>
        <v>0</v>
      </c>
      <c r="I603" s="4">
        <f>SUMIFS(PENJUALAN!$E$4:$E$4288,PENJUALAN!$C$4:$C$4288,'CEK CICI'!A603)</f>
        <v>0</v>
      </c>
      <c r="J603" s="16">
        <f t="shared" si="2"/>
        <v>0</v>
      </c>
      <c r="K603" s="4"/>
      <c r="L603" s="4"/>
      <c r="M603" s="4"/>
      <c r="N603" s="4"/>
    </row>
    <row r="604" ht="13.5" hidden="1" customHeight="1">
      <c r="A604" s="4" t="str">
        <f t="shared" si="1"/>
        <v>TRW-MURANO08FY</v>
      </c>
      <c r="B604" s="29" t="s">
        <v>951</v>
      </c>
      <c r="C604" s="28" t="s">
        <v>950</v>
      </c>
      <c r="D604" s="28" t="s">
        <v>41</v>
      </c>
      <c r="E604" s="4" t="s">
        <v>111</v>
      </c>
      <c r="F604" s="28" t="s">
        <v>221</v>
      </c>
      <c r="G604" s="4"/>
      <c r="H604" s="4">
        <f>SUMIFS(X!$F$5:$F$2005,X!$D$5:$D$2005,'CEK CICI'!A604)</f>
        <v>0</v>
      </c>
      <c r="I604" s="4">
        <f>SUMIFS(PENJUALAN!$E$4:$E$4288,PENJUALAN!$C$4:$C$4288,'CEK CICI'!A604)</f>
        <v>0</v>
      </c>
      <c r="J604" s="16">
        <f t="shared" si="2"/>
        <v>0</v>
      </c>
      <c r="K604" s="4"/>
      <c r="L604" s="4"/>
      <c r="M604" s="4"/>
      <c r="N604" s="4"/>
    </row>
    <row r="605" ht="13.5" hidden="1" customHeight="1">
      <c r="A605" s="4" t="str">
        <f t="shared" si="1"/>
        <v>RDL-MURANO08FY</v>
      </c>
      <c r="B605" s="29" t="s">
        <v>952</v>
      </c>
      <c r="C605" s="28" t="s">
        <v>950</v>
      </c>
      <c r="D605" s="28" t="s">
        <v>132</v>
      </c>
      <c r="E605" s="4" t="s">
        <v>111</v>
      </c>
      <c r="F605" s="28"/>
      <c r="G605" s="4"/>
      <c r="H605" s="4">
        <f>SUMIFS(X!$F$5:$F$2005,X!$D$5:$D$2005,'CEK CICI'!A605)</f>
        <v>0</v>
      </c>
      <c r="I605" s="4">
        <f>SUMIFS(PENJUALAN!$E$4:$E$4288,PENJUALAN!$C$4:$C$4288,'CEK CICI'!A605)</f>
        <v>0</v>
      </c>
      <c r="J605" s="16">
        <f t="shared" si="2"/>
        <v>0</v>
      </c>
      <c r="K605" s="4"/>
      <c r="L605" s="4"/>
      <c r="M605" s="4"/>
      <c r="N605" s="4"/>
    </row>
    <row r="606" ht="13.5" hidden="1" customHeight="1">
      <c r="A606" s="4" t="str">
        <f t="shared" si="1"/>
        <v>RDR-MURANO08FY</v>
      </c>
      <c r="B606" s="29" t="s">
        <v>953</v>
      </c>
      <c r="C606" s="28" t="s">
        <v>950</v>
      </c>
      <c r="D606" s="28" t="s">
        <v>134</v>
      </c>
      <c r="E606" s="4" t="s">
        <v>111</v>
      </c>
      <c r="F606" s="28"/>
      <c r="G606" s="4"/>
      <c r="H606" s="4">
        <f>SUMIFS(X!$F$5:$F$2005,X!$D$5:$D$2005,'CEK CICI'!A606)</f>
        <v>0</v>
      </c>
      <c r="I606" s="4">
        <f>SUMIFS(PENJUALAN!$E$4:$E$4288,PENJUALAN!$C$4:$C$4288,'CEK CICI'!A606)</f>
        <v>0</v>
      </c>
      <c r="J606" s="16">
        <f t="shared" si="2"/>
        <v>0</v>
      </c>
      <c r="K606" s="4"/>
      <c r="L606" s="4"/>
      <c r="M606" s="4"/>
      <c r="N606" s="4"/>
    </row>
    <row r="607" ht="13.5" hidden="1" customHeight="1">
      <c r="A607" s="4" t="str">
        <f t="shared" si="1"/>
        <v>LFW-NAVARA15FY</v>
      </c>
      <c r="B607" s="29" t="s">
        <v>954</v>
      </c>
      <c r="C607" s="28" t="s">
        <v>955</v>
      </c>
      <c r="D607" s="28" t="s">
        <v>22</v>
      </c>
      <c r="E607" s="4" t="s">
        <v>111</v>
      </c>
      <c r="F607" s="28" t="s">
        <v>125</v>
      </c>
      <c r="G607" s="4"/>
      <c r="H607" s="4">
        <f>SUMIFS(X!$F$5:$F$2005,X!$D$5:$D$2005,'CEK CICI'!A607)</f>
        <v>0</v>
      </c>
      <c r="I607" s="4">
        <f>SUMIFS(PENJUALAN!$E$4:$E$4288,PENJUALAN!$C$4:$C$4288,'CEK CICI'!A607)</f>
        <v>0</v>
      </c>
      <c r="J607" s="16">
        <f t="shared" si="2"/>
        <v>0</v>
      </c>
      <c r="K607" s="4"/>
      <c r="L607" s="4"/>
      <c r="M607" s="4"/>
      <c r="N607" s="4"/>
    </row>
    <row r="608" ht="13.5" hidden="1" customHeight="1">
      <c r="A608" s="4" t="str">
        <f t="shared" si="1"/>
        <v>TRW-NAVARA15FY</v>
      </c>
      <c r="B608" s="29" t="s">
        <v>956</v>
      </c>
      <c r="C608" s="28" t="s">
        <v>955</v>
      </c>
      <c r="D608" s="28" t="s">
        <v>41</v>
      </c>
      <c r="E608" s="4" t="s">
        <v>111</v>
      </c>
      <c r="F608" s="28" t="s">
        <v>67</v>
      </c>
      <c r="G608" s="4"/>
      <c r="H608" s="4">
        <f>SUMIFS(X!$F$5:$F$2005,X!$D$5:$D$2005,'CEK CICI'!A608)</f>
        <v>0</v>
      </c>
      <c r="I608" s="4">
        <f>SUMIFS(PENJUALAN!$E$4:$E$4288,PENJUALAN!$C$4:$C$4288,'CEK CICI'!A608)</f>
        <v>0</v>
      </c>
      <c r="J608" s="16">
        <f t="shared" si="2"/>
        <v>0</v>
      </c>
      <c r="K608" s="4"/>
      <c r="L608" s="4"/>
      <c r="M608" s="4"/>
      <c r="N608" s="4"/>
    </row>
    <row r="609" ht="13.5" hidden="1" customHeight="1">
      <c r="A609" s="4" t="str">
        <f t="shared" si="1"/>
        <v>FDL-NAVARA15FY</v>
      </c>
      <c r="B609" s="29" t="s">
        <v>957</v>
      </c>
      <c r="C609" s="28" t="s">
        <v>955</v>
      </c>
      <c r="D609" s="28" t="s">
        <v>128</v>
      </c>
      <c r="E609" s="4" t="s">
        <v>111</v>
      </c>
      <c r="F609" s="28"/>
      <c r="G609" s="4"/>
      <c r="H609" s="4">
        <f>SUMIFS(X!$F$5:$F$2005,X!$D$5:$D$2005,'CEK CICI'!A609)</f>
        <v>0</v>
      </c>
      <c r="I609" s="4">
        <f>SUMIFS(PENJUALAN!$E$4:$E$4288,PENJUALAN!$C$4:$C$4288,'CEK CICI'!A609)</f>
        <v>0</v>
      </c>
      <c r="J609" s="16">
        <f t="shared" si="2"/>
        <v>0</v>
      </c>
      <c r="K609" s="4"/>
      <c r="L609" s="4"/>
      <c r="M609" s="4"/>
      <c r="N609" s="4"/>
    </row>
    <row r="610" ht="13.5" hidden="1" customHeight="1">
      <c r="A610" s="4" t="str">
        <f t="shared" si="1"/>
        <v>FDR-NAVARA15FY</v>
      </c>
      <c r="B610" s="29" t="s">
        <v>958</v>
      </c>
      <c r="C610" s="28" t="s">
        <v>955</v>
      </c>
      <c r="D610" s="28" t="s">
        <v>130</v>
      </c>
      <c r="E610" s="4" t="s">
        <v>111</v>
      </c>
      <c r="F610" s="28"/>
      <c r="G610" s="4"/>
      <c r="H610" s="4">
        <f>SUMIFS(X!$F$5:$F$2005,X!$D$5:$D$2005,'CEK CICI'!A610)</f>
        <v>0</v>
      </c>
      <c r="I610" s="4">
        <f>SUMIFS(PENJUALAN!$E$4:$E$4288,PENJUALAN!$C$4:$C$4288,'CEK CICI'!A610)</f>
        <v>0</v>
      </c>
      <c r="J610" s="16">
        <f t="shared" si="2"/>
        <v>0</v>
      </c>
      <c r="K610" s="4"/>
      <c r="L610" s="4"/>
      <c r="M610" s="4"/>
      <c r="N610" s="4"/>
    </row>
    <row r="611" ht="13.5" hidden="1" customHeight="1">
      <c r="A611" s="4" t="str">
        <f t="shared" si="1"/>
        <v>RDL-NAVARA15FY</v>
      </c>
      <c r="B611" s="29" t="s">
        <v>959</v>
      </c>
      <c r="C611" s="28" t="s">
        <v>955</v>
      </c>
      <c r="D611" s="28" t="s">
        <v>132</v>
      </c>
      <c r="E611" s="4" t="s">
        <v>111</v>
      </c>
      <c r="F611" s="28"/>
      <c r="G611" s="4"/>
      <c r="H611" s="4">
        <f>SUMIFS(X!$F$5:$F$2005,X!$D$5:$D$2005,'CEK CICI'!A611)</f>
        <v>0</v>
      </c>
      <c r="I611" s="4">
        <f>SUMIFS(PENJUALAN!$E$4:$E$4288,PENJUALAN!$C$4:$C$4288,'CEK CICI'!A611)</f>
        <v>0</v>
      </c>
      <c r="J611" s="16">
        <f t="shared" si="2"/>
        <v>0</v>
      </c>
      <c r="K611" s="4"/>
      <c r="L611" s="4"/>
      <c r="M611" s="4"/>
      <c r="N611" s="4"/>
    </row>
    <row r="612" ht="13.5" hidden="1" customHeight="1">
      <c r="A612" s="4" t="str">
        <f t="shared" si="1"/>
        <v>RDR-NAVARA15FY</v>
      </c>
      <c r="B612" s="29" t="s">
        <v>960</v>
      </c>
      <c r="C612" s="28" t="s">
        <v>955</v>
      </c>
      <c r="D612" s="28" t="s">
        <v>134</v>
      </c>
      <c r="E612" s="4" t="s">
        <v>111</v>
      </c>
      <c r="F612" s="28"/>
      <c r="G612" s="4"/>
      <c r="H612" s="4">
        <f>SUMIFS(X!$F$5:$F$2005,X!$D$5:$D$2005,'CEK CICI'!A612)</f>
        <v>0</v>
      </c>
      <c r="I612" s="4">
        <f>SUMIFS(PENJUALAN!$E$4:$E$4288,PENJUALAN!$C$4:$C$4288,'CEK CICI'!A612)</f>
        <v>0</v>
      </c>
      <c r="J612" s="16">
        <f t="shared" si="2"/>
        <v>0</v>
      </c>
      <c r="K612" s="4"/>
      <c r="L612" s="4"/>
      <c r="M612" s="4"/>
      <c r="N612" s="4"/>
    </row>
    <row r="613" ht="13.5" hidden="1" customHeight="1">
      <c r="A613" s="4" t="str">
        <f t="shared" si="1"/>
        <v>TRW-C23FY</v>
      </c>
      <c r="B613" s="29" t="s">
        <v>961</v>
      </c>
      <c r="C613" s="28" t="s">
        <v>962</v>
      </c>
      <c r="D613" s="28" t="s">
        <v>41</v>
      </c>
      <c r="E613" s="4" t="s">
        <v>111</v>
      </c>
      <c r="F613" s="28" t="s">
        <v>67</v>
      </c>
      <c r="G613" s="4"/>
      <c r="H613" s="4">
        <f>SUMIFS(X!$F$5:$F$2005,X!$D$5:$D$2005,'CEK CICI'!A613)</f>
        <v>0</v>
      </c>
      <c r="I613" s="4">
        <f>SUMIFS(PENJUALAN!$E$4:$E$4288,PENJUALAN!$C$4:$C$4288,'CEK CICI'!A613)</f>
        <v>0</v>
      </c>
      <c r="J613" s="16">
        <f t="shared" si="2"/>
        <v>0</v>
      </c>
      <c r="K613" s="4"/>
      <c r="L613" s="4"/>
      <c r="M613" s="4"/>
      <c r="N613" s="4"/>
    </row>
    <row r="614" ht="13.5" hidden="1" customHeight="1">
      <c r="A614" s="4" t="str">
        <f t="shared" si="1"/>
        <v>LFW-C24FY</v>
      </c>
      <c r="B614" s="29" t="s">
        <v>963</v>
      </c>
      <c r="C614" s="28" t="s">
        <v>964</v>
      </c>
      <c r="D614" s="28" t="s">
        <v>22</v>
      </c>
      <c r="E614" s="4" t="s">
        <v>111</v>
      </c>
      <c r="F614" s="28" t="s">
        <v>97</v>
      </c>
      <c r="G614" s="4"/>
      <c r="H614" s="4">
        <f>SUMIFS(X!$F$5:$F$2005,X!$D$5:$D$2005,'CEK CICI'!A614)</f>
        <v>0</v>
      </c>
      <c r="I614" s="4">
        <f>SUMIFS(PENJUALAN!$E$4:$E$4288,PENJUALAN!$C$4:$C$4288,'CEK CICI'!A614)</f>
        <v>0</v>
      </c>
      <c r="J614" s="16">
        <f t="shared" si="2"/>
        <v>0</v>
      </c>
      <c r="K614" s="4"/>
      <c r="L614" s="4"/>
      <c r="M614" s="4"/>
      <c r="N614" s="4"/>
    </row>
    <row r="615" ht="13.5" hidden="1" customHeight="1">
      <c r="A615" s="4" t="str">
        <f t="shared" si="1"/>
        <v>TRW-C24FY</v>
      </c>
      <c r="B615" s="29" t="s">
        <v>965</v>
      </c>
      <c r="C615" s="28" t="s">
        <v>964</v>
      </c>
      <c r="D615" s="28" t="s">
        <v>41</v>
      </c>
      <c r="E615" s="4" t="s">
        <v>111</v>
      </c>
      <c r="F615" s="28" t="s">
        <v>67</v>
      </c>
      <c r="G615" s="4"/>
      <c r="H615" s="4">
        <f>SUMIFS(X!$F$5:$F$2005,X!$D$5:$D$2005,'CEK CICI'!A615)</f>
        <v>0</v>
      </c>
      <c r="I615" s="4">
        <f>SUMIFS(PENJUALAN!$E$4:$E$4288,PENJUALAN!$C$4:$C$4288,'CEK CICI'!A615)</f>
        <v>0</v>
      </c>
      <c r="J615" s="16">
        <f t="shared" si="2"/>
        <v>0</v>
      </c>
      <c r="K615" s="4"/>
      <c r="L615" s="4"/>
      <c r="M615" s="4"/>
      <c r="N615" s="4"/>
    </row>
    <row r="616" ht="13.5" hidden="1" customHeight="1">
      <c r="A616" s="4" t="str">
        <f t="shared" si="1"/>
        <v>LFW-C25FY</v>
      </c>
      <c r="B616" s="29" t="s">
        <v>966</v>
      </c>
      <c r="C616" s="28" t="s">
        <v>967</v>
      </c>
      <c r="D616" s="28" t="s">
        <v>22</v>
      </c>
      <c r="E616" s="4" t="s">
        <v>111</v>
      </c>
      <c r="F616" s="28" t="s">
        <v>737</v>
      </c>
      <c r="G616" s="4"/>
      <c r="H616" s="4">
        <f>SUMIFS(X!$F$5:$F$2005,X!$D$5:$D$2005,'CEK CICI'!A616)</f>
        <v>0</v>
      </c>
      <c r="I616" s="4">
        <f>SUMIFS(PENJUALAN!$E$4:$E$4288,PENJUALAN!$C$4:$C$4288,'CEK CICI'!A616)</f>
        <v>0</v>
      </c>
      <c r="J616" s="16">
        <f t="shared" si="2"/>
        <v>0</v>
      </c>
      <c r="K616" s="4"/>
      <c r="L616" s="4"/>
      <c r="M616" s="4"/>
      <c r="N616" s="4"/>
    </row>
    <row r="617" ht="13.5" hidden="1" customHeight="1">
      <c r="A617" s="4" t="str">
        <f t="shared" si="1"/>
        <v>TRW-C25FY</v>
      </c>
      <c r="B617" s="29" t="s">
        <v>968</v>
      </c>
      <c r="C617" s="28" t="s">
        <v>967</v>
      </c>
      <c r="D617" s="28" t="s">
        <v>41</v>
      </c>
      <c r="E617" s="4" t="s">
        <v>111</v>
      </c>
      <c r="F617" s="28" t="s">
        <v>221</v>
      </c>
      <c r="G617" s="4"/>
      <c r="H617" s="4">
        <f>SUMIFS(X!$F$5:$F$2005,X!$D$5:$D$2005,'CEK CICI'!A617)</f>
        <v>0</v>
      </c>
      <c r="I617" s="4">
        <f>SUMIFS(PENJUALAN!$E$4:$E$4288,PENJUALAN!$C$4:$C$4288,'CEK CICI'!A617)</f>
        <v>0</v>
      </c>
      <c r="J617" s="16">
        <f t="shared" si="2"/>
        <v>0</v>
      </c>
      <c r="K617" s="4"/>
      <c r="L617" s="4"/>
      <c r="M617" s="4"/>
      <c r="N617" s="4"/>
    </row>
    <row r="618" ht="13.5" hidden="1" customHeight="1">
      <c r="A618" s="4" t="str">
        <f t="shared" si="1"/>
        <v>RDL-C25FY</v>
      </c>
      <c r="B618" s="29" t="s">
        <v>969</v>
      </c>
      <c r="C618" s="28" t="s">
        <v>967</v>
      </c>
      <c r="D618" s="28" t="s">
        <v>132</v>
      </c>
      <c r="E618" s="4" t="s">
        <v>111</v>
      </c>
      <c r="F618" s="28"/>
      <c r="G618" s="4"/>
      <c r="H618" s="4">
        <f>SUMIFS(X!$F$5:$F$2005,X!$D$5:$D$2005,'CEK CICI'!A618)</f>
        <v>0</v>
      </c>
      <c r="I618" s="4">
        <f>SUMIFS(PENJUALAN!$E$4:$E$4288,PENJUALAN!$C$4:$C$4288,'CEK CICI'!A618)</f>
        <v>0</v>
      </c>
      <c r="J618" s="16">
        <f t="shared" si="2"/>
        <v>0</v>
      </c>
      <c r="K618" s="4"/>
      <c r="L618" s="4"/>
      <c r="M618" s="4"/>
      <c r="N618" s="4"/>
    </row>
    <row r="619" ht="13.5" hidden="1" customHeight="1">
      <c r="A619" s="4" t="str">
        <f t="shared" si="1"/>
        <v>RDR-C25FY</v>
      </c>
      <c r="B619" s="29" t="s">
        <v>970</v>
      </c>
      <c r="C619" s="28" t="s">
        <v>967</v>
      </c>
      <c r="D619" s="28" t="s">
        <v>134</v>
      </c>
      <c r="E619" s="4" t="s">
        <v>111</v>
      </c>
      <c r="F619" s="28"/>
      <c r="G619" s="4"/>
      <c r="H619" s="4">
        <f>SUMIFS(X!$F$5:$F$2005,X!$D$5:$D$2005,'CEK CICI'!A619)</f>
        <v>0</v>
      </c>
      <c r="I619" s="4">
        <f>SUMIFS(PENJUALAN!$E$4:$E$4288,PENJUALAN!$C$4:$C$4288,'CEK CICI'!A619)</f>
        <v>0</v>
      </c>
      <c r="J619" s="16">
        <f t="shared" si="2"/>
        <v>0</v>
      </c>
      <c r="K619" s="4"/>
      <c r="L619" s="4"/>
      <c r="M619" s="4"/>
      <c r="N619" s="4"/>
    </row>
    <row r="620" ht="13.5" hidden="1" customHeight="1">
      <c r="A620" s="4" t="str">
        <f t="shared" si="1"/>
        <v>SWL-C25FY</v>
      </c>
      <c r="B620" s="29" t="s">
        <v>971</v>
      </c>
      <c r="C620" s="28" t="s">
        <v>967</v>
      </c>
      <c r="D620" s="28" t="s">
        <v>202</v>
      </c>
      <c r="E620" s="4" t="s">
        <v>111</v>
      </c>
      <c r="F620" s="28" t="s">
        <v>234</v>
      </c>
      <c r="G620" s="4"/>
      <c r="H620" s="4">
        <f>SUMIFS(X!$F$5:$F$2005,X!$D$5:$D$2005,'CEK CICI'!A620)</f>
        <v>0</v>
      </c>
      <c r="I620" s="4">
        <f>SUMIFS(PENJUALAN!$E$4:$E$4288,PENJUALAN!$C$4:$C$4288,'CEK CICI'!A620)</f>
        <v>0</v>
      </c>
      <c r="J620" s="16">
        <f t="shared" si="2"/>
        <v>0</v>
      </c>
      <c r="K620" s="4"/>
      <c r="L620" s="4"/>
      <c r="M620" s="4"/>
      <c r="N620" s="4"/>
    </row>
    <row r="621" ht="13.5" hidden="1" customHeight="1">
      <c r="A621" s="4" t="str">
        <f t="shared" si="1"/>
        <v>SWR-C25FY</v>
      </c>
      <c r="B621" s="29" t="s">
        <v>972</v>
      </c>
      <c r="C621" s="28" t="s">
        <v>967</v>
      </c>
      <c r="D621" s="28" t="s">
        <v>236</v>
      </c>
      <c r="E621" s="4" t="s">
        <v>111</v>
      </c>
      <c r="F621" s="28" t="s">
        <v>234</v>
      </c>
      <c r="G621" s="4"/>
      <c r="H621" s="4">
        <f>SUMIFS(X!$F$5:$F$2005,X!$D$5:$D$2005,'CEK CICI'!A621)</f>
        <v>0</v>
      </c>
      <c r="I621" s="4">
        <f>SUMIFS(PENJUALAN!$E$4:$E$4288,PENJUALAN!$C$4:$C$4288,'CEK CICI'!A621)</f>
        <v>0</v>
      </c>
      <c r="J621" s="16">
        <f t="shared" si="2"/>
        <v>0</v>
      </c>
      <c r="K621" s="4"/>
      <c r="L621" s="4"/>
      <c r="M621" s="4"/>
      <c r="N621" s="4"/>
    </row>
    <row r="622" ht="13.5" hidden="1" customHeight="1">
      <c r="A622" s="4" t="str">
        <f t="shared" si="1"/>
        <v>LFW-C26FY</v>
      </c>
      <c r="B622" s="29" t="s">
        <v>973</v>
      </c>
      <c r="C622" s="28" t="s">
        <v>974</v>
      </c>
      <c r="D622" s="28" t="s">
        <v>22</v>
      </c>
      <c r="E622" s="4" t="s">
        <v>111</v>
      </c>
      <c r="F622" s="28" t="s">
        <v>125</v>
      </c>
      <c r="G622" s="4"/>
      <c r="H622" s="4">
        <f>SUMIFS(X!$F$5:$F$2005,X!$D$5:$D$2005,'CEK CICI'!A622)</f>
        <v>0</v>
      </c>
      <c r="I622" s="4">
        <f>SUMIFS(PENJUALAN!$E$4:$E$4288,PENJUALAN!$C$4:$C$4288,'CEK CICI'!A622)</f>
        <v>0</v>
      </c>
      <c r="J622" s="16">
        <f t="shared" si="2"/>
        <v>0</v>
      </c>
      <c r="K622" s="4"/>
      <c r="L622" s="4"/>
      <c r="M622" s="4"/>
      <c r="N622" s="4"/>
    </row>
    <row r="623" ht="13.5" hidden="1" customHeight="1">
      <c r="A623" s="4" t="str">
        <f t="shared" si="1"/>
        <v>TRW-C26FY</v>
      </c>
      <c r="B623" s="29" t="s">
        <v>975</v>
      </c>
      <c r="C623" s="28" t="s">
        <v>974</v>
      </c>
      <c r="D623" s="28" t="s">
        <v>41</v>
      </c>
      <c r="E623" s="4" t="s">
        <v>111</v>
      </c>
      <c r="F623" s="28" t="s">
        <v>67</v>
      </c>
      <c r="G623" s="4"/>
      <c r="H623" s="4">
        <f>SUMIFS(X!$F$5:$F$2005,X!$D$5:$D$2005,'CEK CICI'!A623)</f>
        <v>0</v>
      </c>
      <c r="I623" s="4">
        <f>SUMIFS(PENJUALAN!$E$4:$E$4288,PENJUALAN!$C$4:$C$4288,'CEK CICI'!A623)</f>
        <v>0</v>
      </c>
      <c r="J623" s="16">
        <f t="shared" si="2"/>
        <v>0</v>
      </c>
      <c r="K623" s="4"/>
      <c r="L623" s="4"/>
      <c r="M623" s="4"/>
      <c r="N623" s="4"/>
    </row>
    <row r="624" ht="13.5" hidden="1" customHeight="1">
      <c r="A624" s="4" t="str">
        <f t="shared" si="1"/>
        <v>FDL-C26FY</v>
      </c>
      <c r="B624" s="29" t="s">
        <v>976</v>
      </c>
      <c r="C624" s="28" t="s">
        <v>974</v>
      </c>
      <c r="D624" s="28" t="s">
        <v>128</v>
      </c>
      <c r="E624" s="4" t="s">
        <v>111</v>
      </c>
      <c r="F624" s="28"/>
      <c r="G624" s="4"/>
      <c r="H624" s="4">
        <f>SUMIFS(X!$F$5:$F$2005,X!$D$5:$D$2005,'CEK CICI'!A624)</f>
        <v>0</v>
      </c>
      <c r="I624" s="4">
        <f>SUMIFS(PENJUALAN!$E$4:$E$4288,PENJUALAN!$C$4:$C$4288,'CEK CICI'!A624)</f>
        <v>0</v>
      </c>
      <c r="J624" s="16">
        <f t="shared" si="2"/>
        <v>0</v>
      </c>
      <c r="K624" s="4"/>
      <c r="L624" s="4"/>
      <c r="M624" s="4"/>
      <c r="N624" s="4"/>
    </row>
    <row r="625" ht="13.5" hidden="1" customHeight="1">
      <c r="A625" s="4" t="str">
        <f t="shared" si="1"/>
        <v>FDR-C26FY</v>
      </c>
      <c r="B625" s="29" t="s">
        <v>977</v>
      </c>
      <c r="C625" s="28" t="s">
        <v>974</v>
      </c>
      <c r="D625" s="28" t="s">
        <v>130</v>
      </c>
      <c r="E625" s="4" t="s">
        <v>111</v>
      </c>
      <c r="F625" s="28"/>
      <c r="G625" s="4"/>
      <c r="H625" s="4">
        <f>SUMIFS(X!$F$5:$F$2005,X!$D$5:$D$2005,'CEK CICI'!A625)</f>
        <v>0</v>
      </c>
      <c r="I625" s="4">
        <f>SUMIFS(PENJUALAN!$E$4:$E$4288,PENJUALAN!$C$4:$C$4288,'CEK CICI'!A625)</f>
        <v>0</v>
      </c>
      <c r="J625" s="16">
        <f t="shared" si="2"/>
        <v>0</v>
      </c>
      <c r="K625" s="4"/>
      <c r="L625" s="4"/>
      <c r="M625" s="4"/>
      <c r="N625" s="4"/>
    </row>
    <row r="626" ht="13.5" hidden="1" customHeight="1">
      <c r="A626" s="4" t="str">
        <f t="shared" si="1"/>
        <v>RDL-C26FY</v>
      </c>
      <c r="B626" s="29" t="s">
        <v>978</v>
      </c>
      <c r="C626" s="28" t="s">
        <v>974</v>
      </c>
      <c r="D626" s="28" t="s">
        <v>132</v>
      </c>
      <c r="E626" s="4" t="s">
        <v>111</v>
      </c>
      <c r="F626" s="28"/>
      <c r="G626" s="4"/>
      <c r="H626" s="4">
        <f>SUMIFS(X!$F$5:$F$2005,X!$D$5:$D$2005,'CEK CICI'!A626)</f>
        <v>0</v>
      </c>
      <c r="I626" s="4">
        <f>SUMIFS(PENJUALAN!$E$4:$E$4288,PENJUALAN!$C$4:$C$4288,'CEK CICI'!A626)</f>
        <v>0</v>
      </c>
      <c r="J626" s="16">
        <f t="shared" si="2"/>
        <v>0</v>
      </c>
      <c r="K626" s="4"/>
      <c r="L626" s="4"/>
      <c r="M626" s="4"/>
      <c r="N626" s="4"/>
    </row>
    <row r="627" ht="13.5" hidden="1" customHeight="1">
      <c r="A627" s="4" t="str">
        <f t="shared" si="1"/>
        <v>RDR-C26FY</v>
      </c>
      <c r="B627" s="29" t="s">
        <v>979</v>
      </c>
      <c r="C627" s="28" t="s">
        <v>974</v>
      </c>
      <c r="D627" s="28" t="s">
        <v>134</v>
      </c>
      <c r="E627" s="4" t="s">
        <v>111</v>
      </c>
      <c r="F627" s="28"/>
      <c r="G627" s="4"/>
      <c r="H627" s="4">
        <f>SUMIFS(X!$F$5:$F$2005,X!$D$5:$D$2005,'CEK CICI'!A627)</f>
        <v>0</v>
      </c>
      <c r="I627" s="4">
        <f>SUMIFS(PENJUALAN!$E$4:$E$4288,PENJUALAN!$C$4:$C$4288,'CEK CICI'!A627)</f>
        <v>0</v>
      </c>
      <c r="J627" s="16">
        <f t="shared" si="2"/>
        <v>0</v>
      </c>
      <c r="K627" s="4"/>
      <c r="L627" s="4"/>
      <c r="M627" s="4"/>
      <c r="N627" s="4"/>
    </row>
    <row r="628" ht="13.5" hidden="1" customHeight="1">
      <c r="A628" s="4" t="str">
        <f t="shared" si="1"/>
        <v>SWL-C26FY</v>
      </c>
      <c r="B628" s="29" t="s">
        <v>980</v>
      </c>
      <c r="C628" s="28" t="s">
        <v>974</v>
      </c>
      <c r="D628" s="28" t="s">
        <v>202</v>
      </c>
      <c r="E628" s="4" t="s">
        <v>111</v>
      </c>
      <c r="F628" s="28" t="s">
        <v>234</v>
      </c>
      <c r="G628" s="4"/>
      <c r="H628" s="4">
        <f>SUMIFS(X!$F$5:$F$2005,X!$D$5:$D$2005,'CEK CICI'!A628)</f>
        <v>0</v>
      </c>
      <c r="I628" s="4">
        <f>SUMIFS(PENJUALAN!$E$4:$E$4288,PENJUALAN!$C$4:$C$4288,'CEK CICI'!A628)</f>
        <v>0</v>
      </c>
      <c r="J628" s="16">
        <f t="shared" si="2"/>
        <v>0</v>
      </c>
      <c r="K628" s="4"/>
      <c r="L628" s="4"/>
      <c r="M628" s="4"/>
      <c r="N628" s="4"/>
    </row>
    <row r="629" ht="13.5" hidden="1" customHeight="1">
      <c r="A629" s="4" t="str">
        <f t="shared" si="1"/>
        <v>SWR-C26FY</v>
      </c>
      <c r="B629" s="29" t="s">
        <v>981</v>
      </c>
      <c r="C629" s="28" t="s">
        <v>974</v>
      </c>
      <c r="D629" s="28" t="s">
        <v>236</v>
      </c>
      <c r="E629" s="4" t="s">
        <v>111</v>
      </c>
      <c r="F629" s="28" t="s">
        <v>234</v>
      </c>
      <c r="G629" s="4"/>
      <c r="H629" s="4">
        <f>SUMIFS(X!$F$5:$F$2005,X!$D$5:$D$2005,'CEK CICI'!A629)</f>
        <v>0</v>
      </c>
      <c r="I629" s="4">
        <f>SUMIFS(PENJUALAN!$E$4:$E$4288,PENJUALAN!$C$4:$C$4288,'CEK CICI'!A629)</f>
        <v>0</v>
      </c>
      <c r="J629" s="16">
        <f t="shared" si="2"/>
        <v>0</v>
      </c>
      <c r="K629" s="4"/>
      <c r="L629" s="4"/>
      <c r="M629" s="4"/>
      <c r="N629" s="4"/>
    </row>
    <row r="630" ht="13.5" hidden="1" customHeight="1">
      <c r="A630" s="4" t="str">
        <f t="shared" si="1"/>
        <v>LFW-T30FY</v>
      </c>
      <c r="B630" s="29" t="s">
        <v>982</v>
      </c>
      <c r="C630" s="28" t="s">
        <v>983</v>
      </c>
      <c r="D630" s="28" t="s">
        <v>22</v>
      </c>
      <c r="E630" s="4" t="s">
        <v>111</v>
      </c>
      <c r="F630" s="28" t="s">
        <v>97</v>
      </c>
      <c r="G630" s="4"/>
      <c r="H630" s="4">
        <f>SUMIFS(X!$F$5:$F$2005,X!$D$5:$D$2005,'CEK CICI'!A630)</f>
        <v>0</v>
      </c>
      <c r="I630" s="4">
        <f>SUMIFS(PENJUALAN!$E$4:$E$4288,PENJUALAN!$C$4:$C$4288,'CEK CICI'!A630)</f>
        <v>0</v>
      </c>
      <c r="J630" s="16">
        <f t="shared" si="2"/>
        <v>0</v>
      </c>
      <c r="K630" s="4"/>
      <c r="L630" s="4"/>
      <c r="M630" s="4"/>
      <c r="N630" s="4"/>
    </row>
    <row r="631" ht="13.5" hidden="1" customHeight="1">
      <c r="A631" s="4" t="str">
        <f t="shared" si="1"/>
        <v>TRW-T30FY</v>
      </c>
      <c r="B631" s="29" t="s">
        <v>984</v>
      </c>
      <c r="C631" s="28" t="s">
        <v>983</v>
      </c>
      <c r="D631" s="28" t="s">
        <v>41</v>
      </c>
      <c r="E631" s="4" t="s">
        <v>111</v>
      </c>
      <c r="F631" s="28" t="s">
        <v>221</v>
      </c>
      <c r="G631" s="4"/>
      <c r="H631" s="4">
        <f>SUMIFS(X!$F$5:$F$2005,X!$D$5:$D$2005,'CEK CICI'!A631)</f>
        <v>0</v>
      </c>
      <c r="I631" s="4">
        <f>SUMIFS(PENJUALAN!$E$4:$E$4288,PENJUALAN!$C$4:$C$4288,'CEK CICI'!A631)</f>
        <v>0</v>
      </c>
      <c r="J631" s="16">
        <f t="shared" si="2"/>
        <v>0</v>
      </c>
      <c r="K631" s="4"/>
      <c r="L631" s="4"/>
      <c r="M631" s="4"/>
      <c r="N631" s="4"/>
    </row>
    <row r="632" ht="13.5" hidden="1" customHeight="1">
      <c r="A632" s="4" t="str">
        <f t="shared" si="1"/>
        <v>FDL-T30FY</v>
      </c>
      <c r="B632" s="29" t="s">
        <v>985</v>
      </c>
      <c r="C632" s="28" t="s">
        <v>983</v>
      </c>
      <c r="D632" s="28" t="s">
        <v>128</v>
      </c>
      <c r="E632" s="4" t="s">
        <v>111</v>
      </c>
      <c r="F632" s="28"/>
      <c r="G632" s="4"/>
      <c r="H632" s="4">
        <f>SUMIFS(X!$F$5:$F$2005,X!$D$5:$D$2005,'CEK CICI'!A632)</f>
        <v>0</v>
      </c>
      <c r="I632" s="4">
        <f>SUMIFS(PENJUALAN!$E$4:$E$4288,PENJUALAN!$C$4:$C$4288,'CEK CICI'!A632)</f>
        <v>0</v>
      </c>
      <c r="J632" s="16">
        <f t="shared" si="2"/>
        <v>0</v>
      </c>
      <c r="K632" s="4"/>
      <c r="L632" s="4"/>
      <c r="M632" s="4"/>
      <c r="N632" s="4"/>
    </row>
    <row r="633" ht="13.5" hidden="1" customHeight="1">
      <c r="A633" s="4" t="str">
        <f t="shared" si="1"/>
        <v>RDL-T30FY</v>
      </c>
      <c r="B633" s="29" t="s">
        <v>986</v>
      </c>
      <c r="C633" s="28" t="s">
        <v>983</v>
      </c>
      <c r="D633" s="28" t="s">
        <v>132</v>
      </c>
      <c r="E633" s="4" t="s">
        <v>111</v>
      </c>
      <c r="F633" s="28"/>
      <c r="G633" s="4"/>
      <c r="H633" s="4">
        <f>SUMIFS(X!$F$5:$F$2005,X!$D$5:$D$2005,'CEK CICI'!A633)</f>
        <v>0</v>
      </c>
      <c r="I633" s="4">
        <f>SUMIFS(PENJUALAN!$E$4:$E$4288,PENJUALAN!$C$4:$C$4288,'CEK CICI'!A633)</f>
        <v>0</v>
      </c>
      <c r="J633" s="16">
        <f t="shared" si="2"/>
        <v>0</v>
      </c>
      <c r="K633" s="4"/>
      <c r="L633" s="4"/>
      <c r="M633" s="4"/>
      <c r="N633" s="4"/>
    </row>
    <row r="634" ht="13.5" hidden="1" customHeight="1">
      <c r="A634" s="4" t="str">
        <f t="shared" si="1"/>
        <v>RDR-T30FY</v>
      </c>
      <c r="B634" s="29" t="s">
        <v>987</v>
      </c>
      <c r="C634" s="28" t="s">
        <v>983</v>
      </c>
      <c r="D634" s="28" t="s">
        <v>134</v>
      </c>
      <c r="E634" s="4" t="s">
        <v>111</v>
      </c>
      <c r="F634" s="28"/>
      <c r="G634" s="4"/>
      <c r="H634" s="4">
        <f>SUMIFS(X!$F$5:$F$2005,X!$D$5:$D$2005,'CEK CICI'!A634)</f>
        <v>0</v>
      </c>
      <c r="I634" s="4">
        <f>SUMIFS(PENJUALAN!$E$4:$E$4288,PENJUALAN!$C$4:$C$4288,'CEK CICI'!A634)</f>
        <v>0</v>
      </c>
      <c r="J634" s="16">
        <f t="shared" si="2"/>
        <v>0</v>
      </c>
      <c r="K634" s="4"/>
      <c r="L634" s="4"/>
      <c r="M634" s="4"/>
      <c r="N634" s="4"/>
    </row>
    <row r="635" ht="13.5" hidden="1" customHeight="1">
      <c r="A635" s="4" t="str">
        <f t="shared" si="1"/>
        <v>SWL-T30FY</v>
      </c>
      <c r="B635" s="29" t="s">
        <v>988</v>
      </c>
      <c r="C635" s="28" t="s">
        <v>983</v>
      </c>
      <c r="D635" s="28" t="s">
        <v>202</v>
      </c>
      <c r="E635" s="4" t="s">
        <v>111</v>
      </c>
      <c r="F635" s="28" t="s">
        <v>97</v>
      </c>
      <c r="G635" s="4"/>
      <c r="H635" s="4">
        <f>SUMIFS(X!$F$5:$F$2005,X!$D$5:$D$2005,'CEK CICI'!A635)</f>
        <v>0</v>
      </c>
      <c r="I635" s="4">
        <f>SUMIFS(PENJUALAN!$E$4:$E$4288,PENJUALAN!$C$4:$C$4288,'CEK CICI'!A635)</f>
        <v>0</v>
      </c>
      <c r="J635" s="16">
        <f t="shared" si="2"/>
        <v>0</v>
      </c>
      <c r="K635" s="4"/>
      <c r="L635" s="4"/>
      <c r="M635" s="4"/>
      <c r="N635" s="4"/>
    </row>
    <row r="636" ht="13.5" hidden="1" customHeight="1">
      <c r="A636" s="4" t="str">
        <f t="shared" si="1"/>
        <v>SWR-T30FY</v>
      </c>
      <c r="B636" s="29" t="s">
        <v>989</v>
      </c>
      <c r="C636" s="28" t="s">
        <v>983</v>
      </c>
      <c r="D636" s="28" t="s">
        <v>236</v>
      </c>
      <c r="E636" s="4" t="s">
        <v>111</v>
      </c>
      <c r="F636" s="28" t="s">
        <v>97</v>
      </c>
      <c r="G636" s="4"/>
      <c r="H636" s="4">
        <f>SUMIFS(X!$F$5:$F$2005,X!$D$5:$D$2005,'CEK CICI'!A636)</f>
        <v>0</v>
      </c>
      <c r="I636" s="4">
        <f>SUMIFS(PENJUALAN!$E$4:$E$4288,PENJUALAN!$C$4:$C$4288,'CEK CICI'!A636)</f>
        <v>0</v>
      </c>
      <c r="J636" s="16">
        <f t="shared" si="2"/>
        <v>0</v>
      </c>
      <c r="K636" s="4"/>
      <c r="L636" s="4"/>
      <c r="M636" s="4"/>
      <c r="N636" s="4"/>
    </row>
    <row r="637" ht="13.5" hidden="1" customHeight="1">
      <c r="A637" s="4" t="str">
        <f t="shared" si="1"/>
        <v>LFW-T31FY</v>
      </c>
      <c r="B637" s="29" t="s">
        <v>990</v>
      </c>
      <c r="C637" s="28" t="s">
        <v>991</v>
      </c>
      <c r="D637" s="28" t="s">
        <v>22</v>
      </c>
      <c r="E637" s="4" t="s">
        <v>111</v>
      </c>
      <c r="F637" s="28" t="s">
        <v>125</v>
      </c>
      <c r="G637" s="4"/>
      <c r="H637" s="4">
        <f>SUMIFS(X!$F$5:$F$2005,X!$D$5:$D$2005,'CEK CICI'!A637)</f>
        <v>0</v>
      </c>
      <c r="I637" s="4">
        <f>SUMIFS(PENJUALAN!$E$4:$E$4288,PENJUALAN!$C$4:$C$4288,'CEK CICI'!A637)</f>
        <v>0</v>
      </c>
      <c r="J637" s="16">
        <f t="shared" si="2"/>
        <v>0</v>
      </c>
      <c r="K637" s="4"/>
      <c r="L637" s="4"/>
      <c r="M637" s="4"/>
      <c r="N637" s="4"/>
    </row>
    <row r="638" ht="13.5" hidden="1" customHeight="1">
      <c r="A638" s="4" t="str">
        <f t="shared" si="1"/>
        <v>TRW-T31FY</v>
      </c>
      <c r="B638" s="29" t="s">
        <v>992</v>
      </c>
      <c r="C638" s="28" t="s">
        <v>991</v>
      </c>
      <c r="D638" s="28" t="s">
        <v>41</v>
      </c>
      <c r="E638" s="4" t="s">
        <v>111</v>
      </c>
      <c r="F638" s="28" t="s">
        <v>221</v>
      </c>
      <c r="G638" s="4"/>
      <c r="H638" s="4">
        <f>SUMIFS(X!$F$5:$F$2005,X!$D$5:$D$2005,'CEK CICI'!A638)</f>
        <v>0</v>
      </c>
      <c r="I638" s="4">
        <f>SUMIFS(PENJUALAN!$E$4:$E$4288,PENJUALAN!$C$4:$C$4288,'CEK CICI'!A638)</f>
        <v>0</v>
      </c>
      <c r="J638" s="16">
        <f t="shared" si="2"/>
        <v>0</v>
      </c>
      <c r="K638" s="4"/>
      <c r="L638" s="4"/>
      <c r="M638" s="4"/>
      <c r="N638" s="4"/>
    </row>
    <row r="639" ht="13.5" hidden="1" customHeight="1">
      <c r="A639" s="4" t="str">
        <f t="shared" si="1"/>
        <v>FDL-T31FY</v>
      </c>
      <c r="B639" s="29" t="s">
        <v>993</v>
      </c>
      <c r="C639" s="28" t="s">
        <v>991</v>
      </c>
      <c r="D639" s="28" t="s">
        <v>128</v>
      </c>
      <c r="E639" s="4" t="s">
        <v>111</v>
      </c>
      <c r="F639" s="28"/>
      <c r="G639" s="4"/>
      <c r="H639" s="4">
        <f>SUMIFS(X!$F$5:$F$2005,X!$D$5:$D$2005,'CEK CICI'!A639)</f>
        <v>0</v>
      </c>
      <c r="I639" s="4">
        <f>SUMIFS(PENJUALAN!$E$4:$E$4288,PENJUALAN!$C$4:$C$4288,'CEK CICI'!A639)</f>
        <v>0</v>
      </c>
      <c r="J639" s="16">
        <f t="shared" si="2"/>
        <v>0</v>
      </c>
      <c r="K639" s="4"/>
      <c r="L639" s="4"/>
      <c r="M639" s="4"/>
      <c r="N639" s="4"/>
    </row>
    <row r="640" ht="13.5" hidden="1" customHeight="1">
      <c r="A640" s="4" t="str">
        <f t="shared" si="1"/>
        <v>FDR-T31FY</v>
      </c>
      <c r="B640" s="29" t="s">
        <v>994</v>
      </c>
      <c r="C640" s="28" t="s">
        <v>991</v>
      </c>
      <c r="D640" s="28" t="s">
        <v>130</v>
      </c>
      <c r="E640" s="4" t="s">
        <v>111</v>
      </c>
      <c r="F640" s="28"/>
      <c r="G640" s="4"/>
      <c r="H640" s="4">
        <f>SUMIFS(X!$F$5:$F$2005,X!$D$5:$D$2005,'CEK CICI'!A640)</f>
        <v>0</v>
      </c>
      <c r="I640" s="4">
        <f>SUMIFS(PENJUALAN!$E$4:$E$4288,PENJUALAN!$C$4:$C$4288,'CEK CICI'!A640)</f>
        <v>0</v>
      </c>
      <c r="J640" s="16">
        <f t="shared" si="2"/>
        <v>0</v>
      </c>
      <c r="K640" s="4"/>
      <c r="L640" s="4"/>
      <c r="M640" s="4"/>
      <c r="N640" s="4"/>
    </row>
    <row r="641" ht="13.5" hidden="1" customHeight="1">
      <c r="A641" s="4" t="str">
        <f t="shared" si="1"/>
        <v>RDL-T31FY</v>
      </c>
      <c r="B641" s="29" t="s">
        <v>995</v>
      </c>
      <c r="C641" s="28" t="s">
        <v>991</v>
      </c>
      <c r="D641" s="28" t="s">
        <v>132</v>
      </c>
      <c r="E641" s="4" t="s">
        <v>111</v>
      </c>
      <c r="F641" s="28"/>
      <c r="G641" s="4"/>
      <c r="H641" s="4">
        <f>SUMIFS(X!$F$5:$F$2005,X!$D$5:$D$2005,'CEK CICI'!A641)</f>
        <v>0</v>
      </c>
      <c r="I641" s="4">
        <f>SUMIFS(PENJUALAN!$E$4:$E$4288,PENJUALAN!$C$4:$C$4288,'CEK CICI'!A641)</f>
        <v>0</v>
      </c>
      <c r="J641" s="16">
        <f t="shared" si="2"/>
        <v>0</v>
      </c>
      <c r="K641" s="4"/>
      <c r="L641" s="4"/>
      <c r="M641" s="4"/>
      <c r="N641" s="4"/>
    </row>
    <row r="642" ht="13.5" hidden="1" customHeight="1">
      <c r="A642" s="4" t="str">
        <f t="shared" si="1"/>
        <v>RDR-T31FY</v>
      </c>
      <c r="B642" s="29" t="s">
        <v>996</v>
      </c>
      <c r="C642" s="28" t="s">
        <v>991</v>
      </c>
      <c r="D642" s="28" t="s">
        <v>134</v>
      </c>
      <c r="E642" s="4" t="s">
        <v>111</v>
      </c>
      <c r="F642" s="28"/>
      <c r="G642" s="4"/>
      <c r="H642" s="4">
        <f>SUMIFS(X!$F$5:$F$2005,X!$D$5:$D$2005,'CEK CICI'!A642)</f>
        <v>0</v>
      </c>
      <c r="I642" s="4">
        <f>SUMIFS(PENJUALAN!$E$4:$E$4288,PENJUALAN!$C$4:$C$4288,'CEK CICI'!A642)</f>
        <v>0</v>
      </c>
      <c r="J642" s="16">
        <f t="shared" si="2"/>
        <v>0</v>
      </c>
      <c r="K642" s="4"/>
      <c r="L642" s="4"/>
      <c r="M642" s="4"/>
      <c r="N642" s="4"/>
    </row>
    <row r="643" ht="13.5" hidden="1" customHeight="1">
      <c r="A643" s="4" t="str">
        <f t="shared" si="1"/>
        <v>LFW-T32FY</v>
      </c>
      <c r="B643" s="29" t="s">
        <v>997</v>
      </c>
      <c r="C643" s="28" t="s">
        <v>998</v>
      </c>
      <c r="D643" s="28" t="s">
        <v>22</v>
      </c>
      <c r="E643" s="4" t="s">
        <v>111</v>
      </c>
      <c r="F643" s="28" t="s">
        <v>75</v>
      </c>
      <c r="G643" s="4"/>
      <c r="H643" s="4">
        <f>SUMIFS(X!$F$5:$F$2005,X!$D$5:$D$2005,'CEK CICI'!A643)</f>
        <v>0</v>
      </c>
      <c r="I643" s="4">
        <f>SUMIFS(PENJUALAN!$E$4:$E$4288,PENJUALAN!$C$4:$C$4288,'CEK CICI'!A643)</f>
        <v>0</v>
      </c>
      <c r="J643" s="16">
        <f t="shared" si="2"/>
        <v>0</v>
      </c>
      <c r="K643" s="4"/>
      <c r="L643" s="4"/>
      <c r="M643" s="4"/>
      <c r="N643" s="4"/>
    </row>
    <row r="644" ht="13.5" hidden="1" customHeight="1">
      <c r="A644" s="4" t="str">
        <f t="shared" si="1"/>
        <v>TRW-T32FY</v>
      </c>
      <c r="B644" s="29" t="s">
        <v>999</v>
      </c>
      <c r="C644" s="28" t="s">
        <v>1000</v>
      </c>
      <c r="D644" s="28" t="s">
        <v>41</v>
      </c>
      <c r="E644" s="4" t="s">
        <v>111</v>
      </c>
      <c r="F644" s="28" t="s">
        <v>221</v>
      </c>
      <c r="G644" s="4"/>
      <c r="H644" s="4">
        <f>SUMIFS(X!$F$5:$F$2005,X!$D$5:$D$2005,'CEK CICI'!A644)</f>
        <v>0</v>
      </c>
      <c r="I644" s="4">
        <f>SUMIFS(PENJUALAN!$E$4:$E$4288,PENJUALAN!$C$4:$C$4288,'CEK CICI'!A644)</f>
        <v>0</v>
      </c>
      <c r="J644" s="16">
        <f t="shared" si="2"/>
        <v>0</v>
      </c>
      <c r="K644" s="4"/>
      <c r="L644" s="4"/>
      <c r="M644" s="4"/>
      <c r="N644" s="4"/>
    </row>
    <row r="645" ht="13.5" hidden="1" customHeight="1">
      <c r="A645" s="4" t="str">
        <f t="shared" si="1"/>
        <v>FDL-T32FY</v>
      </c>
      <c r="B645" s="29" t="s">
        <v>1001</v>
      </c>
      <c r="C645" s="28" t="s">
        <v>1000</v>
      </c>
      <c r="D645" s="28" t="s">
        <v>128</v>
      </c>
      <c r="E645" s="4" t="s">
        <v>111</v>
      </c>
      <c r="F645" s="28"/>
      <c r="G645" s="4"/>
      <c r="H645" s="4">
        <f>SUMIFS(X!$F$5:$F$2005,X!$D$5:$D$2005,'CEK CICI'!A645)</f>
        <v>0</v>
      </c>
      <c r="I645" s="4">
        <f>SUMIFS(PENJUALAN!$E$4:$E$4288,PENJUALAN!$C$4:$C$4288,'CEK CICI'!A645)</f>
        <v>0</v>
      </c>
      <c r="J645" s="16">
        <f t="shared" si="2"/>
        <v>0</v>
      </c>
      <c r="K645" s="4"/>
      <c r="L645" s="4"/>
      <c r="M645" s="4"/>
      <c r="N645" s="4"/>
    </row>
    <row r="646" ht="13.5" hidden="1" customHeight="1">
      <c r="A646" s="4" t="str">
        <f t="shared" si="1"/>
        <v>FDR-T32FY</v>
      </c>
      <c r="B646" s="29" t="s">
        <v>1002</v>
      </c>
      <c r="C646" s="28" t="s">
        <v>1000</v>
      </c>
      <c r="D646" s="28" t="s">
        <v>130</v>
      </c>
      <c r="E646" s="4" t="s">
        <v>111</v>
      </c>
      <c r="F646" s="28"/>
      <c r="G646" s="4"/>
      <c r="H646" s="4">
        <f>SUMIFS(X!$F$5:$F$2005,X!$D$5:$D$2005,'CEK CICI'!A646)</f>
        <v>0</v>
      </c>
      <c r="I646" s="4">
        <f>SUMIFS(PENJUALAN!$E$4:$E$4288,PENJUALAN!$C$4:$C$4288,'CEK CICI'!A646)</f>
        <v>0</v>
      </c>
      <c r="J646" s="16">
        <f t="shared" si="2"/>
        <v>0</v>
      </c>
      <c r="K646" s="4"/>
      <c r="L646" s="4"/>
      <c r="M646" s="4"/>
      <c r="N646" s="4"/>
    </row>
    <row r="647" ht="13.5" hidden="1" customHeight="1">
      <c r="A647" s="4" t="str">
        <f t="shared" si="1"/>
        <v>RDL-T32FY</v>
      </c>
      <c r="B647" s="29" t="s">
        <v>1003</v>
      </c>
      <c r="C647" s="28" t="s">
        <v>1000</v>
      </c>
      <c r="D647" s="28" t="s">
        <v>132</v>
      </c>
      <c r="E647" s="4" t="s">
        <v>111</v>
      </c>
      <c r="F647" s="28"/>
      <c r="G647" s="4"/>
      <c r="H647" s="4">
        <f>SUMIFS(X!$F$5:$F$2005,X!$D$5:$D$2005,'CEK CICI'!A647)</f>
        <v>0</v>
      </c>
      <c r="I647" s="4">
        <f>SUMIFS(PENJUALAN!$E$4:$E$4288,PENJUALAN!$C$4:$C$4288,'CEK CICI'!A647)</f>
        <v>0</v>
      </c>
      <c r="J647" s="16">
        <f t="shared" si="2"/>
        <v>0</v>
      </c>
      <c r="K647" s="4"/>
      <c r="L647" s="4"/>
      <c r="M647" s="4"/>
      <c r="N647" s="4"/>
    </row>
    <row r="648" ht="13.5" hidden="1" customHeight="1">
      <c r="A648" s="4" t="str">
        <f t="shared" si="1"/>
        <v>RDR-T32FY</v>
      </c>
      <c r="B648" s="29" t="s">
        <v>1004</v>
      </c>
      <c r="C648" s="28" t="s">
        <v>1000</v>
      </c>
      <c r="D648" s="28" t="s">
        <v>134</v>
      </c>
      <c r="E648" s="4" t="s">
        <v>111</v>
      </c>
      <c r="F648" s="28"/>
      <c r="G648" s="4"/>
      <c r="H648" s="4">
        <f>SUMIFS(X!$F$5:$F$2005,X!$D$5:$D$2005,'CEK CICI'!A648)</f>
        <v>0</v>
      </c>
      <c r="I648" s="4">
        <f>SUMIFS(PENJUALAN!$E$4:$E$4288,PENJUALAN!$C$4:$C$4288,'CEK CICI'!A648)</f>
        <v>0</v>
      </c>
      <c r="J648" s="16">
        <f t="shared" si="2"/>
        <v>0</v>
      </c>
      <c r="K648" s="4"/>
      <c r="L648" s="4"/>
      <c r="M648" s="4"/>
      <c r="N648" s="4"/>
    </row>
    <row r="649" ht="13.5" hidden="1" customHeight="1">
      <c r="A649" s="4" t="str">
        <f t="shared" si="1"/>
        <v>LFW-OPELFY</v>
      </c>
      <c r="B649" s="29" t="s">
        <v>1005</v>
      </c>
      <c r="C649" s="28" t="s">
        <v>1006</v>
      </c>
      <c r="D649" s="28" t="s">
        <v>22</v>
      </c>
      <c r="E649" s="4" t="s">
        <v>111</v>
      </c>
      <c r="F649" s="28" t="s">
        <v>125</v>
      </c>
      <c r="G649" s="4"/>
      <c r="H649" s="4">
        <f>SUMIFS(X!$F$5:$F$2005,X!$D$5:$D$2005,'CEK CICI'!A649)</f>
        <v>0</v>
      </c>
      <c r="I649" s="4">
        <f>SUMIFS(PENJUALAN!$E$4:$E$4288,PENJUALAN!$C$4:$C$4288,'CEK CICI'!A649)</f>
        <v>0</v>
      </c>
      <c r="J649" s="16">
        <f t="shared" si="2"/>
        <v>0</v>
      </c>
      <c r="K649" s="4"/>
      <c r="L649" s="4"/>
      <c r="M649" s="4"/>
      <c r="N649" s="4"/>
    </row>
    <row r="650" ht="13.5" hidden="1" customHeight="1">
      <c r="A650" s="4" t="str">
        <f t="shared" si="1"/>
        <v>LFW-PEU307RSBULATFY</v>
      </c>
      <c r="B650" s="29" t="s">
        <v>1007</v>
      </c>
      <c r="C650" s="28" t="s">
        <v>1008</v>
      </c>
      <c r="D650" s="28" t="s">
        <v>22</v>
      </c>
      <c r="E650" s="4" t="s">
        <v>111</v>
      </c>
      <c r="F650" s="28" t="s">
        <v>23</v>
      </c>
      <c r="G650" s="4"/>
      <c r="H650" s="4">
        <f>SUMIFS(X!$F$5:$F$2005,X!$D$5:$D$2005,'CEK CICI'!A650)</f>
        <v>0</v>
      </c>
      <c r="I650" s="4">
        <f>SUMIFS(PENJUALAN!$E$4:$E$4288,PENJUALAN!$C$4:$C$4288,'CEK CICI'!A650)</f>
        <v>0</v>
      </c>
      <c r="J650" s="16">
        <f t="shared" si="2"/>
        <v>0</v>
      </c>
      <c r="K650" s="4"/>
      <c r="L650" s="4"/>
      <c r="M650" s="4"/>
      <c r="N650" s="4"/>
    </row>
    <row r="651" ht="13.5" hidden="1" customHeight="1">
      <c r="A651" s="4" t="str">
        <f t="shared" si="1"/>
        <v>LFW-PEU307RSKOTAKFY</v>
      </c>
      <c r="B651" s="29" t="s">
        <v>1009</v>
      </c>
      <c r="C651" s="28" t="s">
        <v>1010</v>
      </c>
      <c r="D651" s="28" t="s">
        <v>22</v>
      </c>
      <c r="E651" s="4" t="s">
        <v>111</v>
      </c>
      <c r="F651" s="28" t="s">
        <v>23</v>
      </c>
      <c r="G651" s="4"/>
      <c r="H651" s="4">
        <f>SUMIFS(X!$F$5:$F$2005,X!$D$5:$D$2005,'CEK CICI'!A651)</f>
        <v>0</v>
      </c>
      <c r="I651" s="4">
        <f>SUMIFS(PENJUALAN!$E$4:$E$4288,PENJUALAN!$C$4:$C$4288,'CEK CICI'!A651)</f>
        <v>0</v>
      </c>
      <c r="J651" s="16">
        <f t="shared" si="2"/>
        <v>0</v>
      </c>
      <c r="K651" s="4"/>
      <c r="L651" s="4"/>
      <c r="M651" s="4"/>
      <c r="N651" s="4"/>
    </row>
    <row r="652" ht="13.5" hidden="1" customHeight="1">
      <c r="A652" s="4" t="str">
        <f t="shared" si="1"/>
        <v>TRW-PEU307HATCHFY</v>
      </c>
      <c r="B652" s="29" t="s">
        <v>1011</v>
      </c>
      <c r="C652" s="28" t="s">
        <v>1012</v>
      </c>
      <c r="D652" s="28" t="s">
        <v>41</v>
      </c>
      <c r="E652" s="4" t="s">
        <v>111</v>
      </c>
      <c r="F652" s="28" t="s">
        <v>221</v>
      </c>
      <c r="G652" s="4"/>
      <c r="H652" s="4">
        <f>SUMIFS(X!$F$5:$F$2005,X!$D$5:$D$2005,'CEK CICI'!A652)</f>
        <v>0</v>
      </c>
      <c r="I652" s="4">
        <f>SUMIFS(PENJUALAN!$E$4:$E$4288,PENJUALAN!$C$4:$C$4288,'CEK CICI'!A652)</f>
        <v>0</v>
      </c>
      <c r="J652" s="16">
        <f t="shared" si="2"/>
        <v>0</v>
      </c>
      <c r="K652" s="4"/>
      <c r="L652" s="4"/>
      <c r="M652" s="4"/>
      <c r="N652" s="4"/>
    </row>
    <row r="653" ht="13.5" hidden="1" customHeight="1">
      <c r="A653" s="4" t="str">
        <f t="shared" si="1"/>
        <v>TRW-PEU307SEDANFY</v>
      </c>
      <c r="B653" s="29" t="s">
        <v>1013</v>
      </c>
      <c r="C653" s="28" t="s">
        <v>1014</v>
      </c>
      <c r="D653" s="28" t="s">
        <v>41</v>
      </c>
      <c r="E653" s="4" t="s">
        <v>111</v>
      </c>
      <c r="F653" s="28" t="s">
        <v>221</v>
      </c>
      <c r="G653" s="4"/>
      <c r="H653" s="4">
        <f>SUMIFS(X!$F$5:$F$2005,X!$D$5:$D$2005,'CEK CICI'!A653)</f>
        <v>0</v>
      </c>
      <c r="I653" s="4">
        <f>SUMIFS(PENJUALAN!$E$4:$E$4288,PENJUALAN!$C$4:$C$4288,'CEK CICI'!A653)</f>
        <v>0</v>
      </c>
      <c r="J653" s="16">
        <f t="shared" si="2"/>
        <v>0</v>
      </c>
      <c r="K653" s="4"/>
      <c r="L653" s="4"/>
      <c r="M653" s="4"/>
      <c r="N653" s="4"/>
    </row>
    <row r="654" ht="13.5" hidden="1" customHeight="1">
      <c r="A654" s="4" t="str">
        <f t="shared" si="1"/>
        <v>LFW-RANGEROVER4DFY</v>
      </c>
      <c r="B654" s="29" t="s">
        <v>1015</v>
      </c>
      <c r="C654" s="30" t="s">
        <v>1016</v>
      </c>
      <c r="D654" s="28" t="s">
        <v>22</v>
      </c>
      <c r="E654" s="4" t="s">
        <v>111</v>
      </c>
      <c r="F654" s="28" t="s">
        <v>23</v>
      </c>
      <c r="G654" s="4"/>
      <c r="H654" s="4">
        <f>SUMIFS(X!$F$5:$F$2005,X!$D$5:$D$2005,'CEK CICI'!A654)</f>
        <v>0</v>
      </c>
      <c r="I654" s="4">
        <f>SUMIFS(PENJUALAN!$E$4:$E$4288,PENJUALAN!$C$4:$C$4288,'CEK CICI'!A654)</f>
        <v>0</v>
      </c>
      <c r="J654" s="16">
        <f t="shared" si="2"/>
        <v>0</v>
      </c>
      <c r="K654" s="4"/>
      <c r="L654" s="4"/>
      <c r="M654" s="4"/>
      <c r="N654" s="4"/>
    </row>
    <row r="655" ht="13.5" hidden="1" customHeight="1">
      <c r="A655" s="4" t="str">
        <f t="shared" si="1"/>
        <v>TRW-RANGEROVERFY</v>
      </c>
      <c r="B655" s="29" t="s">
        <v>1017</v>
      </c>
      <c r="C655" s="28" t="s">
        <v>1018</v>
      </c>
      <c r="D655" s="28" t="s">
        <v>41</v>
      </c>
      <c r="E655" s="4" t="s">
        <v>111</v>
      </c>
      <c r="F655" s="28" t="s">
        <v>67</v>
      </c>
      <c r="G655" s="4"/>
      <c r="H655" s="4">
        <f>SUMIFS(X!$F$5:$F$2005,X!$D$5:$D$2005,'CEK CICI'!A655)</f>
        <v>0</v>
      </c>
      <c r="I655" s="4">
        <f>SUMIFS(PENJUALAN!$E$4:$E$4288,PENJUALAN!$C$4:$C$4288,'CEK CICI'!A655)</f>
        <v>0</v>
      </c>
      <c r="J655" s="16">
        <f t="shared" si="2"/>
        <v>0</v>
      </c>
      <c r="K655" s="4"/>
      <c r="L655" s="4"/>
      <c r="M655" s="4"/>
      <c r="N655" s="4"/>
    </row>
    <row r="656" ht="13.5" hidden="1" customHeight="1">
      <c r="A656" s="4" t="str">
        <f t="shared" si="1"/>
        <v>TRW-AERIOFY</v>
      </c>
      <c r="B656" s="29" t="s">
        <v>1019</v>
      </c>
      <c r="C656" s="28" t="s">
        <v>1020</v>
      </c>
      <c r="D656" s="28" t="s">
        <v>41</v>
      </c>
      <c r="E656" s="4" t="s">
        <v>111</v>
      </c>
      <c r="F656" s="28" t="s">
        <v>67</v>
      </c>
      <c r="G656" s="4"/>
      <c r="H656" s="4">
        <f>SUMIFS(X!$F$5:$F$2005,X!$D$5:$D$2005,'CEK CICI'!A656)</f>
        <v>0</v>
      </c>
      <c r="I656" s="4">
        <f>SUMIFS(PENJUALAN!$E$4:$E$4288,PENJUALAN!$C$4:$C$4288,'CEK CICI'!A656)</f>
        <v>0</v>
      </c>
      <c r="J656" s="16">
        <f t="shared" si="2"/>
        <v>0</v>
      </c>
      <c r="K656" s="4"/>
      <c r="L656" s="4"/>
      <c r="M656" s="4"/>
      <c r="N656" s="4"/>
    </row>
    <row r="657" ht="13.5" hidden="1" customHeight="1">
      <c r="A657" s="4" t="str">
        <f t="shared" si="1"/>
        <v>LFW-APVFY</v>
      </c>
      <c r="B657" s="29" t="s">
        <v>1021</v>
      </c>
      <c r="C657" s="28" t="s">
        <v>1022</v>
      </c>
      <c r="D657" s="28" t="s">
        <v>22</v>
      </c>
      <c r="E657" s="4" t="s">
        <v>111</v>
      </c>
      <c r="F657" s="28" t="s">
        <v>97</v>
      </c>
      <c r="G657" s="4"/>
      <c r="H657" s="4">
        <f>SUMIFS(X!$F$5:$F$2005,X!$D$5:$D$2005,'CEK CICI'!A657)</f>
        <v>0</v>
      </c>
      <c r="I657" s="4">
        <f>SUMIFS(PENJUALAN!$E$4:$E$4288,PENJUALAN!$C$4:$C$4288,'CEK CICI'!A657)</f>
        <v>0</v>
      </c>
      <c r="J657" s="16">
        <f t="shared" si="2"/>
        <v>0</v>
      </c>
      <c r="K657" s="4"/>
      <c r="L657" s="4"/>
      <c r="M657" s="4"/>
      <c r="N657" s="4"/>
    </row>
    <row r="658" ht="13.5" hidden="1" customHeight="1">
      <c r="A658" s="4" t="str">
        <f t="shared" si="1"/>
        <v>LFW-ERTIGA12FY</v>
      </c>
      <c r="B658" s="29" t="s">
        <v>1023</v>
      </c>
      <c r="C658" s="28" t="s">
        <v>1024</v>
      </c>
      <c r="D658" s="28" t="s">
        <v>22</v>
      </c>
      <c r="E658" s="4" t="s">
        <v>111</v>
      </c>
      <c r="F658" s="28" t="s">
        <v>97</v>
      </c>
      <c r="G658" s="4"/>
      <c r="H658" s="4">
        <f>SUMIFS(X!$F$5:$F$2005,X!$D$5:$D$2005,'CEK CICI'!A658)</f>
        <v>0</v>
      </c>
      <c r="I658" s="4">
        <f>SUMIFS(PENJUALAN!$E$4:$E$4288,PENJUALAN!$C$4:$C$4288,'CEK CICI'!A658)</f>
        <v>0</v>
      </c>
      <c r="J658" s="16">
        <f t="shared" si="2"/>
        <v>0</v>
      </c>
      <c r="K658" s="4"/>
      <c r="L658" s="4"/>
      <c r="M658" s="4"/>
      <c r="N658" s="4"/>
    </row>
    <row r="659" ht="13.5" hidden="1" customHeight="1">
      <c r="A659" s="4" t="str">
        <f t="shared" si="1"/>
        <v>LFW-SPLASHFY</v>
      </c>
      <c r="B659" s="29" t="s">
        <v>1025</v>
      </c>
      <c r="C659" s="28" t="s">
        <v>1026</v>
      </c>
      <c r="D659" s="28" t="s">
        <v>22</v>
      </c>
      <c r="E659" s="4" t="s">
        <v>111</v>
      </c>
      <c r="F659" s="28" t="s">
        <v>97</v>
      </c>
      <c r="G659" s="4"/>
      <c r="H659" s="4">
        <f>SUMIFS(X!$F$5:$F$2005,X!$D$5:$D$2005,'CEK CICI'!A659)</f>
        <v>0</v>
      </c>
      <c r="I659" s="4">
        <f>SUMIFS(PENJUALAN!$E$4:$E$4288,PENJUALAN!$C$4:$C$4288,'CEK CICI'!A659)</f>
        <v>0</v>
      </c>
      <c r="J659" s="16">
        <f t="shared" si="2"/>
        <v>0</v>
      </c>
      <c r="K659" s="4"/>
      <c r="L659" s="4"/>
      <c r="M659" s="4"/>
      <c r="N659" s="4"/>
    </row>
    <row r="660" ht="13.5" hidden="1" customHeight="1">
      <c r="A660" s="4" t="str">
        <f t="shared" si="1"/>
        <v>LFW-ALPHARD02PIL</v>
      </c>
      <c r="B660" s="29" t="s">
        <v>1028</v>
      </c>
      <c r="C660" s="28" t="s">
        <v>1029</v>
      </c>
      <c r="D660" s="28" t="s">
        <v>22</v>
      </c>
      <c r="E660" s="4" t="s">
        <v>74</v>
      </c>
      <c r="F660" s="28" t="s">
        <v>125</v>
      </c>
      <c r="G660" s="4"/>
      <c r="H660" s="4">
        <f>SUMIFS(X!$F$5:$F$2005,X!$D$5:$D$2005,'CEK CICI'!A660)</f>
        <v>2</v>
      </c>
      <c r="I660" s="4">
        <f>SUMIFS(PENJUALAN!$E$4:$E$4288,PENJUALAN!$C$4:$C$4288,'CEK CICI'!A660)</f>
        <v>2</v>
      </c>
      <c r="J660" s="16">
        <f t="shared" si="2"/>
        <v>0</v>
      </c>
      <c r="K660" s="15" t="s">
        <v>1496</v>
      </c>
      <c r="L660" s="15"/>
      <c r="M660" s="4"/>
      <c r="N660" s="4"/>
    </row>
    <row r="661" ht="13.5" hidden="1" customHeight="1">
      <c r="A661" s="4" t="str">
        <f t="shared" si="1"/>
        <v>LFW-ALPHARD02FY</v>
      </c>
      <c r="B661" s="29" t="s">
        <v>1028</v>
      </c>
      <c r="C661" s="28" t="s">
        <v>1029</v>
      </c>
      <c r="D661" s="28" t="s">
        <v>22</v>
      </c>
      <c r="E661" s="4" t="s">
        <v>111</v>
      </c>
      <c r="F661" s="28" t="s">
        <v>125</v>
      </c>
      <c r="G661" s="4"/>
      <c r="H661" s="4">
        <f>SUMIFS(X!$F$5:$F$2005,X!$D$5:$D$2005,'CEK CICI'!A661)</f>
        <v>0</v>
      </c>
      <c r="I661" s="4">
        <f>SUMIFS(PENJUALAN!$E$4:$E$4288,PENJUALAN!$C$4:$C$4288,'CEK CICI'!A661)</f>
        <v>0</v>
      </c>
      <c r="J661" s="16">
        <f t="shared" si="2"/>
        <v>0</v>
      </c>
      <c r="K661" s="4"/>
      <c r="L661" s="4"/>
      <c r="M661" s="4"/>
      <c r="N661" s="4"/>
    </row>
    <row r="662" ht="13.5" hidden="1" customHeight="1">
      <c r="A662" s="4" t="str">
        <f t="shared" si="1"/>
        <v>TRW-ALPHARD02FY</v>
      </c>
      <c r="B662" s="29" t="s">
        <v>1030</v>
      </c>
      <c r="C662" s="28" t="s">
        <v>1029</v>
      </c>
      <c r="D662" s="28" t="s">
        <v>41</v>
      </c>
      <c r="E662" s="4" t="s">
        <v>111</v>
      </c>
      <c r="F662" s="28" t="s">
        <v>67</v>
      </c>
      <c r="G662" s="4"/>
      <c r="H662" s="4">
        <f>SUMIFS(X!$F$5:$F$2005,X!$D$5:$D$2005,'CEK CICI'!A662)</f>
        <v>0</v>
      </c>
      <c r="I662" s="4">
        <f>SUMIFS(PENJUALAN!$E$4:$E$4288,PENJUALAN!$C$4:$C$4288,'CEK CICI'!A662)</f>
        <v>0</v>
      </c>
      <c r="J662" s="16">
        <f t="shared" si="2"/>
        <v>0</v>
      </c>
      <c r="K662" s="4"/>
      <c r="L662" s="4"/>
      <c r="M662" s="4"/>
      <c r="N662" s="4"/>
    </row>
    <row r="663" ht="13.5" hidden="1" customHeight="1">
      <c r="A663" s="4" t="str">
        <f t="shared" si="1"/>
        <v>TRW-ALPHARD02BLACKFY</v>
      </c>
      <c r="B663" s="29" t="s">
        <v>1031</v>
      </c>
      <c r="C663" s="28" t="s">
        <v>1032</v>
      </c>
      <c r="D663" s="28" t="s">
        <v>41</v>
      </c>
      <c r="E663" s="4" t="s">
        <v>111</v>
      </c>
      <c r="F663" s="28" t="s">
        <v>67</v>
      </c>
      <c r="G663" s="4"/>
      <c r="H663" s="4">
        <f>SUMIFS(X!$F$5:$F$2005,X!$D$5:$D$2005,'CEK CICI'!A663)</f>
        <v>0</v>
      </c>
      <c r="I663" s="4">
        <f>SUMIFS(PENJUALAN!$E$4:$E$4288,PENJUALAN!$C$4:$C$4288,'CEK CICI'!A663)</f>
        <v>0</v>
      </c>
      <c r="J663" s="16">
        <f t="shared" si="2"/>
        <v>0</v>
      </c>
      <c r="K663" s="4"/>
      <c r="L663" s="4"/>
      <c r="M663" s="4"/>
      <c r="N663" s="4"/>
    </row>
    <row r="664" ht="13.5" hidden="1" customHeight="1">
      <c r="A664" s="4" t="str">
        <f t="shared" si="1"/>
        <v>FDL-ALPHARD02FY</v>
      </c>
      <c r="B664" s="29" t="s">
        <v>1033</v>
      </c>
      <c r="C664" s="28" t="s">
        <v>1029</v>
      </c>
      <c r="D664" s="28" t="s">
        <v>128</v>
      </c>
      <c r="E664" s="4" t="s">
        <v>111</v>
      </c>
      <c r="F664" s="28"/>
      <c r="G664" s="4"/>
      <c r="H664" s="4">
        <f>SUMIFS(X!$F$5:$F$2005,X!$D$5:$D$2005,'CEK CICI'!A664)</f>
        <v>0</v>
      </c>
      <c r="I664" s="4">
        <f>SUMIFS(PENJUALAN!$E$4:$E$4288,PENJUALAN!$C$4:$C$4288,'CEK CICI'!A664)</f>
        <v>0</v>
      </c>
      <c r="J664" s="16">
        <f t="shared" si="2"/>
        <v>0</v>
      </c>
      <c r="K664" s="4"/>
      <c r="L664" s="4"/>
      <c r="M664" s="4"/>
      <c r="N664" s="4"/>
    </row>
    <row r="665" ht="13.5" hidden="1" customHeight="1">
      <c r="A665" s="4" t="str">
        <f t="shared" si="1"/>
        <v>FDR-ALPHARD02FY</v>
      </c>
      <c r="B665" s="29" t="s">
        <v>1034</v>
      </c>
      <c r="C665" s="28" t="s">
        <v>1029</v>
      </c>
      <c r="D665" s="28" t="s">
        <v>130</v>
      </c>
      <c r="E665" s="4" t="s">
        <v>111</v>
      </c>
      <c r="F665" s="28"/>
      <c r="G665" s="4"/>
      <c r="H665" s="4">
        <f>SUMIFS(X!$F$5:$F$2005,X!$D$5:$D$2005,'CEK CICI'!A665)</f>
        <v>0</v>
      </c>
      <c r="I665" s="4">
        <f>SUMIFS(PENJUALAN!$E$4:$E$4288,PENJUALAN!$C$4:$C$4288,'CEK CICI'!A665)</f>
        <v>0</v>
      </c>
      <c r="J665" s="16">
        <f t="shared" si="2"/>
        <v>0</v>
      </c>
      <c r="K665" s="4"/>
      <c r="L665" s="4"/>
      <c r="M665" s="4"/>
      <c r="N665" s="4"/>
    </row>
    <row r="666" ht="13.5" hidden="1" customHeight="1">
      <c r="A666" s="4" t="str">
        <f t="shared" si="1"/>
        <v>RDL-ALPHARD02FY</v>
      </c>
      <c r="B666" s="29" t="s">
        <v>1035</v>
      </c>
      <c r="C666" s="28" t="s">
        <v>1029</v>
      </c>
      <c r="D666" s="28" t="s">
        <v>132</v>
      </c>
      <c r="E666" s="4" t="s">
        <v>111</v>
      </c>
      <c r="F666" s="28"/>
      <c r="G666" s="4"/>
      <c r="H666" s="4">
        <f>SUMIFS(X!$F$5:$F$2005,X!$D$5:$D$2005,'CEK CICI'!A666)</f>
        <v>0</v>
      </c>
      <c r="I666" s="4">
        <f>SUMIFS(PENJUALAN!$E$4:$E$4288,PENJUALAN!$C$4:$C$4288,'CEK CICI'!A666)</f>
        <v>0</v>
      </c>
      <c r="J666" s="16">
        <f t="shared" si="2"/>
        <v>0</v>
      </c>
      <c r="K666" s="4"/>
      <c r="L666" s="4"/>
      <c r="M666" s="4"/>
      <c r="N666" s="4"/>
    </row>
    <row r="667" ht="13.5" hidden="1" customHeight="1">
      <c r="A667" s="4" t="str">
        <f t="shared" si="1"/>
        <v>RDR-ALPHARD02FY</v>
      </c>
      <c r="B667" s="29" t="s">
        <v>1036</v>
      </c>
      <c r="C667" s="28" t="s">
        <v>1029</v>
      </c>
      <c r="D667" s="28" t="s">
        <v>134</v>
      </c>
      <c r="E667" s="4" t="s">
        <v>111</v>
      </c>
      <c r="F667" s="28"/>
      <c r="G667" s="4"/>
      <c r="H667" s="4">
        <f>SUMIFS(X!$F$5:$F$2005,X!$D$5:$D$2005,'CEK CICI'!A667)</f>
        <v>0</v>
      </c>
      <c r="I667" s="4">
        <f>SUMIFS(PENJUALAN!$E$4:$E$4288,PENJUALAN!$C$4:$C$4288,'CEK CICI'!A667)</f>
        <v>0</v>
      </c>
      <c r="J667" s="16">
        <f t="shared" si="2"/>
        <v>0</v>
      </c>
      <c r="K667" s="4"/>
      <c r="L667" s="4"/>
      <c r="M667" s="4"/>
      <c r="N667" s="4"/>
    </row>
    <row r="668" ht="13.5" hidden="1" customHeight="1">
      <c r="A668" s="4" t="str">
        <f t="shared" si="1"/>
        <v>SWL-ALPHARD02COAKFY</v>
      </c>
      <c r="B668" s="29" t="s">
        <v>1037</v>
      </c>
      <c r="C668" s="28" t="s">
        <v>1038</v>
      </c>
      <c r="D668" s="28" t="s">
        <v>202</v>
      </c>
      <c r="E668" s="4" t="s">
        <v>111</v>
      </c>
      <c r="F668" s="28" t="s">
        <v>234</v>
      </c>
      <c r="G668" s="4"/>
      <c r="H668" s="4">
        <f>SUMIFS(X!$F$5:$F$2005,X!$D$5:$D$2005,'CEK CICI'!A668)</f>
        <v>0</v>
      </c>
      <c r="I668" s="4">
        <f>SUMIFS(PENJUALAN!$E$4:$E$4288,PENJUALAN!$C$4:$C$4288,'CEK CICI'!A668)</f>
        <v>0</v>
      </c>
      <c r="J668" s="16">
        <f t="shared" si="2"/>
        <v>0</v>
      </c>
      <c r="K668" s="4"/>
      <c r="L668" s="4"/>
      <c r="M668" s="4"/>
      <c r="N668" s="4"/>
    </row>
    <row r="669" ht="13.5" hidden="1" customHeight="1">
      <c r="A669" s="4" t="str">
        <f t="shared" si="1"/>
        <v>SWR-ALPHARD02COAKFY</v>
      </c>
      <c r="B669" s="29" t="s">
        <v>1039</v>
      </c>
      <c r="C669" s="28" t="s">
        <v>1038</v>
      </c>
      <c r="D669" s="28" t="s">
        <v>236</v>
      </c>
      <c r="E669" s="4" t="s">
        <v>111</v>
      </c>
      <c r="F669" s="28" t="s">
        <v>234</v>
      </c>
      <c r="G669" s="4"/>
      <c r="H669" s="4">
        <f>SUMIFS(X!$F$5:$F$2005,X!$D$5:$D$2005,'CEK CICI'!A669)</f>
        <v>0</v>
      </c>
      <c r="I669" s="4">
        <f>SUMIFS(PENJUALAN!$E$4:$E$4288,PENJUALAN!$C$4:$C$4288,'CEK CICI'!A669)</f>
        <v>0</v>
      </c>
      <c r="J669" s="16">
        <f t="shared" si="2"/>
        <v>0</v>
      </c>
      <c r="K669" s="4"/>
      <c r="L669" s="4"/>
      <c r="M669" s="4"/>
      <c r="N669" s="4"/>
    </row>
    <row r="670" ht="13.5" hidden="1" customHeight="1">
      <c r="A670" s="4" t="str">
        <f t="shared" si="1"/>
        <v>SWL-ALPHARD02COAKHITAMFY</v>
      </c>
      <c r="B670" s="29" t="s">
        <v>1040</v>
      </c>
      <c r="C670" s="28" t="s">
        <v>1041</v>
      </c>
      <c r="D670" s="28" t="s">
        <v>202</v>
      </c>
      <c r="E670" s="4" t="s">
        <v>111</v>
      </c>
      <c r="F670" s="28" t="s">
        <v>234</v>
      </c>
      <c r="G670" s="4"/>
      <c r="H670" s="4">
        <f>SUMIFS(X!$F$5:$F$2005,X!$D$5:$D$2005,'CEK CICI'!A670)</f>
        <v>0</v>
      </c>
      <c r="I670" s="4">
        <f>SUMIFS(PENJUALAN!$E$4:$E$4288,PENJUALAN!$C$4:$C$4288,'CEK CICI'!A670)</f>
        <v>0</v>
      </c>
      <c r="J670" s="16">
        <f t="shared" si="2"/>
        <v>0</v>
      </c>
      <c r="K670" s="4"/>
      <c r="L670" s="4"/>
      <c r="M670" s="4"/>
      <c r="N670" s="4"/>
    </row>
    <row r="671" ht="13.5" hidden="1" customHeight="1">
      <c r="A671" s="4" t="str">
        <f t="shared" si="1"/>
        <v>SWR-ALPHARD02COAKHITAMFY</v>
      </c>
      <c r="B671" s="29" t="s">
        <v>1042</v>
      </c>
      <c r="C671" s="28" t="s">
        <v>1041</v>
      </c>
      <c r="D671" s="28" t="s">
        <v>236</v>
      </c>
      <c r="E671" s="4" t="s">
        <v>111</v>
      </c>
      <c r="F671" s="28" t="s">
        <v>234</v>
      </c>
      <c r="G671" s="4"/>
      <c r="H671" s="4">
        <f>SUMIFS(X!$F$5:$F$2005,X!$D$5:$D$2005,'CEK CICI'!A671)</f>
        <v>0</v>
      </c>
      <c r="I671" s="4">
        <f>SUMIFS(PENJUALAN!$E$4:$E$4288,PENJUALAN!$C$4:$C$4288,'CEK CICI'!A671)</f>
        <v>0</v>
      </c>
      <c r="J671" s="16">
        <f t="shared" si="2"/>
        <v>0</v>
      </c>
      <c r="K671" s="4"/>
      <c r="L671" s="4"/>
      <c r="M671" s="4"/>
      <c r="N671" s="4"/>
    </row>
    <row r="672" ht="13.5" hidden="1" customHeight="1">
      <c r="A672" s="4" t="str">
        <f t="shared" si="1"/>
        <v>RDL-ALPHARD02HITAMFY</v>
      </c>
      <c r="B672" s="29" t="s">
        <v>1043</v>
      </c>
      <c r="C672" s="28" t="s">
        <v>1032</v>
      </c>
      <c r="D672" s="28" t="s">
        <v>132</v>
      </c>
      <c r="E672" s="4" t="s">
        <v>111</v>
      </c>
      <c r="F672" s="28"/>
      <c r="G672" s="4"/>
      <c r="H672" s="4">
        <f>SUMIFS(X!$F$5:$F$2005,X!$D$5:$D$2005,'CEK CICI'!A672)</f>
        <v>0</v>
      </c>
      <c r="I672" s="4">
        <f>SUMIFS(PENJUALAN!$E$4:$E$4288,PENJUALAN!$C$4:$C$4288,'CEK CICI'!A672)</f>
        <v>0</v>
      </c>
      <c r="J672" s="16">
        <f t="shared" si="2"/>
        <v>0</v>
      </c>
      <c r="K672" s="4"/>
      <c r="L672" s="4"/>
      <c r="M672" s="4"/>
      <c r="N672" s="4"/>
    </row>
    <row r="673" ht="13.5" hidden="1" customHeight="1">
      <c r="A673" s="4" t="str">
        <f t="shared" si="1"/>
        <v>RDR-ALPHARD02HITAMFY</v>
      </c>
      <c r="B673" s="29" t="s">
        <v>1044</v>
      </c>
      <c r="C673" s="28" t="s">
        <v>1032</v>
      </c>
      <c r="D673" s="28" t="s">
        <v>134</v>
      </c>
      <c r="E673" s="4" t="s">
        <v>111</v>
      </c>
      <c r="F673" s="28"/>
      <c r="G673" s="4"/>
      <c r="H673" s="4">
        <f>SUMIFS(X!$F$5:$F$2005,X!$D$5:$D$2005,'CEK CICI'!A673)</f>
        <v>0</v>
      </c>
      <c r="I673" s="4">
        <f>SUMIFS(PENJUALAN!$E$4:$E$4288,PENJUALAN!$C$4:$C$4288,'CEK CICI'!A673)</f>
        <v>0</v>
      </c>
      <c r="J673" s="16">
        <f t="shared" si="2"/>
        <v>0</v>
      </c>
      <c r="K673" s="4"/>
      <c r="L673" s="4"/>
      <c r="M673" s="4"/>
      <c r="N673" s="4"/>
    </row>
    <row r="674" ht="13.5" hidden="1" customHeight="1">
      <c r="A674" s="4" t="str">
        <f t="shared" si="1"/>
        <v>LFW-ALPHARD08RSFY</v>
      </c>
      <c r="B674" s="29" t="s">
        <v>72</v>
      </c>
      <c r="C674" s="28" t="s">
        <v>73</v>
      </c>
      <c r="D674" s="28" t="s">
        <v>22</v>
      </c>
      <c r="E674" s="4" t="s">
        <v>111</v>
      </c>
      <c r="F674" s="28" t="s">
        <v>75</v>
      </c>
      <c r="G674" s="4"/>
      <c r="H674" s="4">
        <f>SUMIFS(X!$F$5:$F$2005,X!$D$5:$D$2005,'CEK CICI'!A674)</f>
        <v>0</v>
      </c>
      <c r="I674" s="4">
        <f>SUMIFS(PENJUALAN!$E$4:$E$4288,PENJUALAN!$C$4:$C$4288,'CEK CICI'!A674)</f>
        <v>0</v>
      </c>
      <c r="J674" s="16">
        <f t="shared" si="2"/>
        <v>0</v>
      </c>
      <c r="K674" s="4"/>
      <c r="L674" s="4"/>
      <c r="M674" s="5">
        <v>1.0</v>
      </c>
      <c r="N674" s="4"/>
    </row>
    <row r="675" ht="13.5" hidden="1" customHeight="1">
      <c r="A675" s="4" t="str">
        <f t="shared" si="1"/>
        <v>LFW-ALPHARD08FY</v>
      </c>
      <c r="B675" s="29" t="s">
        <v>1045</v>
      </c>
      <c r="C675" s="28" t="s">
        <v>73</v>
      </c>
      <c r="D675" s="28" t="s">
        <v>22</v>
      </c>
      <c r="E675" s="4" t="s">
        <v>111</v>
      </c>
      <c r="F675" s="28" t="s">
        <v>125</v>
      </c>
      <c r="G675" s="4"/>
      <c r="H675" s="4">
        <f>SUMIFS(X!$F$5:$F$2005,X!$D$5:$D$2005,'CEK CICI'!A675)</f>
        <v>0</v>
      </c>
      <c r="I675" s="4">
        <f>SUMIFS(PENJUALAN!$E$4:$E$4288,PENJUALAN!$C$4:$C$4288,'CEK CICI'!A675)</f>
        <v>0</v>
      </c>
      <c r="J675" s="16">
        <f t="shared" si="2"/>
        <v>0</v>
      </c>
      <c r="K675" s="4"/>
      <c r="L675" s="4"/>
      <c r="M675" s="4"/>
      <c r="N675" s="4"/>
    </row>
    <row r="676" ht="13.5" hidden="1" customHeight="1">
      <c r="A676" s="4" t="str">
        <f t="shared" si="1"/>
        <v>FDL-ALPHARD08FY</v>
      </c>
      <c r="B676" s="29" t="s">
        <v>1046</v>
      </c>
      <c r="C676" s="28" t="s">
        <v>73</v>
      </c>
      <c r="D676" s="28" t="s">
        <v>128</v>
      </c>
      <c r="E676" s="4" t="s">
        <v>111</v>
      </c>
      <c r="F676" s="28"/>
      <c r="G676" s="4"/>
      <c r="H676" s="4">
        <f>SUMIFS(X!$F$5:$F$2005,X!$D$5:$D$2005,'CEK CICI'!A676)</f>
        <v>0</v>
      </c>
      <c r="I676" s="4">
        <f>SUMIFS(PENJUALAN!$E$4:$E$4288,PENJUALAN!$C$4:$C$4288,'CEK CICI'!A676)</f>
        <v>0</v>
      </c>
      <c r="J676" s="16">
        <f t="shared" si="2"/>
        <v>0</v>
      </c>
      <c r="K676" s="4"/>
      <c r="L676" s="4"/>
      <c r="M676" s="4"/>
      <c r="N676" s="4"/>
    </row>
    <row r="677" ht="13.5" hidden="1" customHeight="1">
      <c r="A677" s="4" t="str">
        <f t="shared" si="1"/>
        <v>FDR-ALPHARD08FY</v>
      </c>
      <c r="B677" s="29" t="s">
        <v>1047</v>
      </c>
      <c r="C677" s="28" t="s">
        <v>73</v>
      </c>
      <c r="D677" s="28" t="s">
        <v>130</v>
      </c>
      <c r="E677" s="4" t="s">
        <v>111</v>
      </c>
      <c r="F677" s="28"/>
      <c r="G677" s="4"/>
      <c r="H677" s="4">
        <f>SUMIFS(X!$F$5:$F$2005,X!$D$5:$D$2005,'CEK CICI'!A677)</f>
        <v>0</v>
      </c>
      <c r="I677" s="4">
        <f>SUMIFS(PENJUALAN!$E$4:$E$4288,PENJUALAN!$C$4:$C$4288,'CEK CICI'!A677)</f>
        <v>0</v>
      </c>
      <c r="J677" s="16">
        <f t="shared" si="2"/>
        <v>0</v>
      </c>
      <c r="K677" s="4"/>
      <c r="L677" s="4"/>
      <c r="M677" s="4"/>
      <c r="N677" s="4"/>
    </row>
    <row r="678" ht="13.5" hidden="1" customHeight="1">
      <c r="A678" s="4" t="str">
        <f t="shared" si="1"/>
        <v>SWL-ALPHARD08FY</v>
      </c>
      <c r="B678" s="29" t="s">
        <v>1048</v>
      </c>
      <c r="C678" s="28" t="s">
        <v>73</v>
      </c>
      <c r="D678" s="28" t="s">
        <v>202</v>
      </c>
      <c r="E678" s="4" t="s">
        <v>111</v>
      </c>
      <c r="F678" s="28" t="s">
        <v>234</v>
      </c>
      <c r="G678" s="4"/>
      <c r="H678" s="4">
        <f>SUMIFS(X!$F$5:$F$2005,X!$D$5:$D$2005,'CEK CICI'!A678)</f>
        <v>0</v>
      </c>
      <c r="I678" s="4">
        <f>SUMIFS(PENJUALAN!$E$4:$E$4288,PENJUALAN!$C$4:$C$4288,'CEK CICI'!A678)</f>
        <v>0</v>
      </c>
      <c r="J678" s="16">
        <f t="shared" si="2"/>
        <v>0</v>
      </c>
      <c r="K678" s="4"/>
      <c r="L678" s="4"/>
      <c r="M678" s="4"/>
      <c r="N678" s="4"/>
    </row>
    <row r="679" ht="13.5" hidden="1" customHeight="1">
      <c r="A679" s="4" t="str">
        <f t="shared" si="1"/>
        <v>SWR-ALPHARD08FY</v>
      </c>
      <c r="B679" s="29" t="s">
        <v>1049</v>
      </c>
      <c r="C679" s="28" t="s">
        <v>73</v>
      </c>
      <c r="D679" s="28" t="s">
        <v>236</v>
      </c>
      <c r="E679" s="4" t="s">
        <v>111</v>
      </c>
      <c r="F679" s="28" t="s">
        <v>234</v>
      </c>
      <c r="G679" s="4"/>
      <c r="H679" s="4">
        <f>SUMIFS(X!$F$5:$F$2005,X!$D$5:$D$2005,'CEK CICI'!A679)</f>
        <v>0</v>
      </c>
      <c r="I679" s="4">
        <f>SUMIFS(PENJUALAN!$E$4:$E$4288,PENJUALAN!$C$4:$C$4288,'CEK CICI'!A679)</f>
        <v>0</v>
      </c>
      <c r="J679" s="16">
        <f t="shared" si="2"/>
        <v>0</v>
      </c>
      <c r="K679" s="4"/>
      <c r="L679" s="4"/>
      <c r="M679" s="4"/>
      <c r="N679" s="4"/>
    </row>
    <row r="680" ht="13.5" hidden="1" customHeight="1">
      <c r="A680" s="4" t="str">
        <f t="shared" si="1"/>
        <v>RDL-ALPHARD08FY</v>
      </c>
      <c r="B680" s="29" t="s">
        <v>1050</v>
      </c>
      <c r="C680" s="28" t="s">
        <v>73</v>
      </c>
      <c r="D680" s="28" t="s">
        <v>132</v>
      </c>
      <c r="E680" s="4" t="s">
        <v>111</v>
      </c>
      <c r="F680" s="28"/>
      <c r="G680" s="4"/>
      <c r="H680" s="4">
        <f>SUMIFS(X!$F$5:$F$2005,X!$D$5:$D$2005,'CEK CICI'!A680)</f>
        <v>0</v>
      </c>
      <c r="I680" s="4">
        <f>SUMIFS(PENJUALAN!$E$4:$E$4288,PENJUALAN!$C$4:$C$4288,'CEK CICI'!A680)</f>
        <v>0</v>
      </c>
      <c r="J680" s="16">
        <f t="shared" si="2"/>
        <v>0</v>
      </c>
      <c r="K680" s="4"/>
      <c r="L680" s="4"/>
      <c r="M680" s="4"/>
      <c r="N680" s="4"/>
    </row>
    <row r="681" ht="13.5" hidden="1" customHeight="1">
      <c r="A681" s="4" t="str">
        <f t="shared" si="1"/>
        <v>RDR-ALPHARD08FY</v>
      </c>
      <c r="B681" s="29" t="s">
        <v>1051</v>
      </c>
      <c r="C681" s="28" t="s">
        <v>73</v>
      </c>
      <c r="D681" s="28" t="s">
        <v>134</v>
      </c>
      <c r="E681" s="4" t="s">
        <v>111</v>
      </c>
      <c r="F681" s="28"/>
      <c r="G681" s="4"/>
      <c r="H681" s="4">
        <f>SUMIFS(X!$F$5:$F$2005,X!$D$5:$D$2005,'CEK CICI'!A681)</f>
        <v>0</v>
      </c>
      <c r="I681" s="4">
        <f>SUMIFS(PENJUALAN!$E$4:$E$4288,PENJUALAN!$C$4:$C$4288,'CEK CICI'!A681)</f>
        <v>0</v>
      </c>
      <c r="J681" s="16">
        <f t="shared" si="2"/>
        <v>0</v>
      </c>
      <c r="K681" s="4"/>
      <c r="L681" s="4"/>
      <c r="M681" s="4"/>
      <c r="N681" s="4"/>
    </row>
    <row r="682" ht="13.5" hidden="1" customHeight="1">
      <c r="A682" s="4" t="str">
        <f t="shared" si="1"/>
        <v>TRW-ALPHARD08BLACKFY</v>
      </c>
      <c r="B682" s="29" t="s">
        <v>1052</v>
      </c>
      <c r="C682" s="28" t="s">
        <v>1053</v>
      </c>
      <c r="D682" s="28" t="s">
        <v>41</v>
      </c>
      <c r="E682" s="4" t="s">
        <v>111</v>
      </c>
      <c r="F682" s="28" t="s">
        <v>67</v>
      </c>
      <c r="G682" s="4"/>
      <c r="H682" s="4">
        <f>SUMIFS(X!$F$5:$F$2005,X!$D$5:$D$2005,'CEK CICI'!A682)</f>
        <v>0</v>
      </c>
      <c r="I682" s="4">
        <f>SUMIFS(PENJUALAN!$E$4:$E$4288,PENJUALAN!$C$4:$C$4288,'CEK CICI'!A682)</f>
        <v>0</v>
      </c>
      <c r="J682" s="16">
        <f t="shared" si="2"/>
        <v>0</v>
      </c>
      <c r="K682" s="4"/>
      <c r="L682" s="4"/>
      <c r="M682" s="4"/>
      <c r="N682" s="4"/>
    </row>
    <row r="683" ht="13.5" hidden="1" customHeight="1">
      <c r="A683" s="4" t="str">
        <f t="shared" si="1"/>
        <v>SWL-ALPHARD08HITAMFY</v>
      </c>
      <c r="B683" s="29" t="s">
        <v>1054</v>
      </c>
      <c r="C683" s="28" t="s">
        <v>1053</v>
      </c>
      <c r="D683" s="28" t="s">
        <v>202</v>
      </c>
      <c r="E683" s="4" t="s">
        <v>111</v>
      </c>
      <c r="F683" s="28" t="s">
        <v>234</v>
      </c>
      <c r="G683" s="4"/>
      <c r="H683" s="4">
        <f>SUMIFS(X!$F$5:$F$2005,X!$D$5:$D$2005,'CEK CICI'!A683)</f>
        <v>0</v>
      </c>
      <c r="I683" s="4">
        <f>SUMIFS(PENJUALAN!$E$4:$E$4288,PENJUALAN!$C$4:$C$4288,'CEK CICI'!A683)</f>
        <v>0</v>
      </c>
      <c r="J683" s="16">
        <f t="shared" si="2"/>
        <v>0</v>
      </c>
      <c r="K683" s="4"/>
      <c r="L683" s="4"/>
      <c r="M683" s="4"/>
      <c r="N683" s="4"/>
    </row>
    <row r="684" ht="13.5" hidden="1" customHeight="1">
      <c r="A684" s="4" t="str">
        <f t="shared" si="1"/>
        <v>SWR-ALPHARD08HITAMFY</v>
      </c>
      <c r="B684" s="29" t="s">
        <v>1055</v>
      </c>
      <c r="C684" s="28" t="s">
        <v>1053</v>
      </c>
      <c r="D684" s="28" t="s">
        <v>236</v>
      </c>
      <c r="E684" s="4" t="s">
        <v>111</v>
      </c>
      <c r="F684" s="28" t="s">
        <v>234</v>
      </c>
      <c r="G684" s="4"/>
      <c r="H684" s="4">
        <f>SUMIFS(X!$F$5:$F$2005,X!$D$5:$D$2005,'CEK CICI'!A684)</f>
        <v>0</v>
      </c>
      <c r="I684" s="4">
        <f>SUMIFS(PENJUALAN!$E$4:$E$4288,PENJUALAN!$C$4:$C$4288,'CEK CICI'!A684)</f>
        <v>0</v>
      </c>
      <c r="J684" s="16">
        <f t="shared" si="2"/>
        <v>0</v>
      </c>
      <c r="K684" s="4"/>
      <c r="L684" s="4"/>
      <c r="M684" s="4"/>
      <c r="N684" s="4"/>
    </row>
    <row r="685" ht="13.5" hidden="1" customHeight="1">
      <c r="A685" s="4" t="str">
        <f t="shared" si="1"/>
        <v>FDL-ALPHARD15FY</v>
      </c>
      <c r="B685" s="29" t="s">
        <v>1056</v>
      </c>
      <c r="C685" s="28" t="s">
        <v>1057</v>
      </c>
      <c r="D685" s="28" t="s">
        <v>128</v>
      </c>
      <c r="E685" s="4" t="s">
        <v>111</v>
      </c>
      <c r="F685" s="28"/>
      <c r="G685" s="4"/>
      <c r="H685" s="4">
        <f>SUMIFS(X!$F$5:$F$2005,X!$D$5:$D$2005,'CEK CICI'!A685)</f>
        <v>0</v>
      </c>
      <c r="I685" s="4">
        <f>SUMIFS(PENJUALAN!$E$4:$E$4288,PENJUALAN!$C$4:$C$4288,'CEK CICI'!A685)</f>
        <v>0</v>
      </c>
      <c r="J685" s="16">
        <f t="shared" si="2"/>
        <v>0</v>
      </c>
      <c r="K685" s="4"/>
      <c r="L685" s="4"/>
      <c r="M685" s="4"/>
      <c r="N685" s="4"/>
    </row>
    <row r="686" ht="13.5" hidden="1" customHeight="1">
      <c r="A686" s="4" t="str">
        <f t="shared" si="1"/>
        <v>FDR-ALPHARD15FY</v>
      </c>
      <c r="B686" s="29" t="s">
        <v>1058</v>
      </c>
      <c r="C686" s="28" t="s">
        <v>1057</v>
      </c>
      <c r="D686" s="28" t="s">
        <v>130</v>
      </c>
      <c r="E686" s="4" t="s">
        <v>111</v>
      </c>
      <c r="F686" s="28"/>
      <c r="G686" s="4"/>
      <c r="H686" s="4">
        <f>SUMIFS(X!$F$5:$F$2005,X!$D$5:$D$2005,'CEK CICI'!A686)</f>
        <v>0</v>
      </c>
      <c r="I686" s="4">
        <f>SUMIFS(PENJUALAN!$E$4:$E$4288,PENJUALAN!$C$4:$C$4288,'CEK CICI'!A686)</f>
        <v>0</v>
      </c>
      <c r="J686" s="16">
        <f t="shared" si="2"/>
        <v>0</v>
      </c>
      <c r="K686" s="4"/>
      <c r="L686" s="4"/>
      <c r="M686" s="4"/>
      <c r="N686" s="4"/>
    </row>
    <row r="687" ht="13.5" hidden="1" customHeight="1">
      <c r="A687" s="4" t="str">
        <f t="shared" si="1"/>
        <v>RDL-ALPHARD15FY</v>
      </c>
      <c r="B687" s="29" t="s">
        <v>1059</v>
      </c>
      <c r="C687" s="28" t="s">
        <v>1057</v>
      </c>
      <c r="D687" s="28" t="s">
        <v>132</v>
      </c>
      <c r="E687" s="4" t="s">
        <v>111</v>
      </c>
      <c r="F687" s="28"/>
      <c r="G687" s="4"/>
      <c r="H687" s="4">
        <f>SUMIFS(X!$F$5:$F$2005,X!$D$5:$D$2005,'CEK CICI'!A687)</f>
        <v>0</v>
      </c>
      <c r="I687" s="4">
        <f>SUMIFS(PENJUALAN!$E$4:$E$4288,PENJUALAN!$C$4:$C$4288,'CEK CICI'!A687)</f>
        <v>0</v>
      </c>
      <c r="J687" s="16">
        <f t="shared" si="2"/>
        <v>0</v>
      </c>
      <c r="K687" s="4"/>
      <c r="L687" s="4"/>
      <c r="M687" s="4"/>
      <c r="N687" s="4"/>
    </row>
    <row r="688" ht="13.5" hidden="1" customHeight="1">
      <c r="A688" s="4" t="str">
        <f t="shared" si="1"/>
        <v>RDR-ALPHARD15FY</v>
      </c>
      <c r="B688" s="29" t="s">
        <v>1060</v>
      </c>
      <c r="C688" s="28" t="s">
        <v>1057</v>
      </c>
      <c r="D688" s="28" t="s">
        <v>134</v>
      </c>
      <c r="E688" s="4" t="s">
        <v>111</v>
      </c>
      <c r="F688" s="28"/>
      <c r="G688" s="4"/>
      <c r="H688" s="4">
        <f>SUMIFS(X!$F$5:$F$2005,X!$D$5:$D$2005,'CEK CICI'!A688)</f>
        <v>0</v>
      </c>
      <c r="I688" s="4">
        <f>SUMIFS(PENJUALAN!$E$4:$E$4288,PENJUALAN!$C$4:$C$4288,'CEK CICI'!A688)</f>
        <v>0</v>
      </c>
      <c r="J688" s="16">
        <f t="shared" si="2"/>
        <v>0</v>
      </c>
      <c r="K688" s="4"/>
      <c r="L688" s="4"/>
      <c r="M688" s="4"/>
      <c r="N688" s="4"/>
    </row>
    <row r="689" ht="13.5" hidden="1" customHeight="1">
      <c r="A689" s="4" t="str">
        <f t="shared" si="1"/>
        <v>SWL-ALPHARD15FY</v>
      </c>
      <c r="B689" s="29" t="s">
        <v>1061</v>
      </c>
      <c r="C689" s="28" t="s">
        <v>1057</v>
      </c>
      <c r="D689" s="28" t="s">
        <v>202</v>
      </c>
      <c r="E689" s="4" t="s">
        <v>111</v>
      </c>
      <c r="F689" s="28" t="s">
        <v>234</v>
      </c>
      <c r="G689" s="4"/>
      <c r="H689" s="4">
        <f>SUMIFS(X!$F$5:$F$2005,X!$D$5:$D$2005,'CEK CICI'!A689)</f>
        <v>0</v>
      </c>
      <c r="I689" s="4">
        <f>SUMIFS(PENJUALAN!$E$4:$E$4288,PENJUALAN!$C$4:$C$4288,'CEK CICI'!A689)</f>
        <v>0</v>
      </c>
      <c r="J689" s="16">
        <f t="shared" si="2"/>
        <v>0</v>
      </c>
      <c r="K689" s="4"/>
      <c r="L689" s="4"/>
      <c r="M689" s="4"/>
      <c r="N689" s="4"/>
    </row>
    <row r="690" ht="13.5" hidden="1" customHeight="1">
      <c r="A690" s="4" t="str">
        <f t="shared" si="1"/>
        <v>SWR-ALPHARD15FY</v>
      </c>
      <c r="B690" s="29" t="s">
        <v>1062</v>
      </c>
      <c r="C690" s="28" t="s">
        <v>1057</v>
      </c>
      <c r="D690" s="28" t="s">
        <v>236</v>
      </c>
      <c r="E690" s="4" t="s">
        <v>111</v>
      </c>
      <c r="F690" s="28" t="s">
        <v>234</v>
      </c>
      <c r="G690" s="4"/>
      <c r="H690" s="4">
        <f>SUMIFS(X!$F$5:$F$2005,X!$D$5:$D$2005,'CEK CICI'!A690)</f>
        <v>0</v>
      </c>
      <c r="I690" s="4">
        <f>SUMIFS(PENJUALAN!$E$4:$E$4288,PENJUALAN!$C$4:$C$4288,'CEK CICI'!A690)</f>
        <v>0</v>
      </c>
      <c r="J690" s="16">
        <f t="shared" si="2"/>
        <v>0</v>
      </c>
      <c r="K690" s="4"/>
      <c r="L690" s="4"/>
      <c r="M690" s="4"/>
      <c r="N690" s="4"/>
    </row>
    <row r="691" ht="13.5" hidden="1" customHeight="1">
      <c r="A691" s="4" t="str">
        <f t="shared" si="1"/>
        <v>RDL-ALPHARD15HITAMFY</v>
      </c>
      <c r="B691" s="29" t="s">
        <v>1063</v>
      </c>
      <c r="C691" s="28" t="s">
        <v>1064</v>
      </c>
      <c r="D691" s="28" t="s">
        <v>132</v>
      </c>
      <c r="E691" s="4" t="s">
        <v>111</v>
      </c>
      <c r="F691" s="28"/>
      <c r="G691" s="4"/>
      <c r="H691" s="4">
        <f>SUMIFS(X!$F$5:$F$2005,X!$D$5:$D$2005,'CEK CICI'!A691)</f>
        <v>0</v>
      </c>
      <c r="I691" s="4">
        <f>SUMIFS(PENJUALAN!$E$4:$E$4288,PENJUALAN!$C$4:$C$4288,'CEK CICI'!A691)</f>
        <v>0</v>
      </c>
      <c r="J691" s="16">
        <f t="shared" si="2"/>
        <v>0</v>
      </c>
      <c r="K691" s="4"/>
      <c r="L691" s="4"/>
      <c r="M691" s="4"/>
      <c r="N691" s="4"/>
    </row>
    <row r="692" ht="13.5" hidden="1" customHeight="1">
      <c r="A692" s="4" t="str">
        <f t="shared" si="1"/>
        <v>RDR-ALPHARD15HITAMFY</v>
      </c>
      <c r="B692" s="29" t="s">
        <v>1065</v>
      </c>
      <c r="C692" s="28" t="s">
        <v>1064</v>
      </c>
      <c r="D692" s="28" t="s">
        <v>134</v>
      </c>
      <c r="E692" s="4" t="s">
        <v>111</v>
      </c>
      <c r="F692" s="28"/>
      <c r="G692" s="4"/>
      <c r="H692" s="4">
        <f>SUMIFS(X!$F$5:$F$2005,X!$D$5:$D$2005,'CEK CICI'!A692)</f>
        <v>0</v>
      </c>
      <c r="I692" s="4">
        <f>SUMIFS(PENJUALAN!$E$4:$E$4288,PENJUALAN!$C$4:$C$4288,'CEK CICI'!A692)</f>
        <v>0</v>
      </c>
      <c r="J692" s="16">
        <f t="shared" si="2"/>
        <v>0</v>
      </c>
      <c r="K692" s="4"/>
      <c r="L692" s="4"/>
      <c r="M692" s="4"/>
      <c r="N692" s="4"/>
    </row>
    <row r="693" ht="13.5" hidden="1" customHeight="1">
      <c r="A693" s="4" t="str">
        <f t="shared" si="1"/>
        <v>TRW-ALPHARD15BLACKFY</v>
      </c>
      <c r="B693" s="29" t="s">
        <v>1066</v>
      </c>
      <c r="C693" s="28" t="s">
        <v>1067</v>
      </c>
      <c r="D693" s="28" t="s">
        <v>41</v>
      </c>
      <c r="E693" s="4" t="s">
        <v>111</v>
      </c>
      <c r="F693" s="28" t="s">
        <v>67</v>
      </c>
      <c r="G693" s="4"/>
      <c r="H693" s="4">
        <f>SUMIFS(X!$F$5:$F$2005,X!$D$5:$D$2005,'CEK CICI'!A693)</f>
        <v>0</v>
      </c>
      <c r="I693" s="4">
        <f>SUMIFS(PENJUALAN!$E$4:$E$4288,PENJUALAN!$C$4:$C$4288,'CEK CICI'!A693)</f>
        <v>0</v>
      </c>
      <c r="J693" s="16">
        <f t="shared" si="2"/>
        <v>0</v>
      </c>
      <c r="K693" s="4"/>
      <c r="L693" s="4"/>
      <c r="M693" s="4"/>
      <c r="N693" s="4"/>
    </row>
    <row r="694" ht="13.5" hidden="1" customHeight="1">
      <c r="A694" s="4" t="str">
        <f t="shared" si="1"/>
        <v>TRW-ALPHARD15FY</v>
      </c>
      <c r="B694" s="29" t="s">
        <v>1068</v>
      </c>
      <c r="C694" s="28" t="s">
        <v>1069</v>
      </c>
      <c r="D694" s="28" t="s">
        <v>41</v>
      </c>
      <c r="E694" s="4" t="s">
        <v>111</v>
      </c>
      <c r="F694" s="28" t="s">
        <v>67</v>
      </c>
      <c r="G694" s="4"/>
      <c r="H694" s="4">
        <f>SUMIFS(X!$F$5:$F$2005,X!$D$5:$D$2005,'CEK CICI'!A694)</f>
        <v>0</v>
      </c>
      <c r="I694" s="4">
        <f>SUMIFS(PENJUALAN!$E$4:$E$4288,PENJUALAN!$C$4:$C$4288,'CEK CICI'!A694)</f>
        <v>0</v>
      </c>
      <c r="J694" s="16">
        <f t="shared" si="2"/>
        <v>0</v>
      </c>
      <c r="K694" s="4"/>
      <c r="L694" s="4"/>
      <c r="M694" s="4"/>
      <c r="N694" s="4"/>
    </row>
    <row r="695" ht="13.5" hidden="1" customHeight="1">
      <c r="A695" s="4" t="str">
        <f t="shared" si="1"/>
        <v>LFW-ALPHARD15FY</v>
      </c>
      <c r="B695" s="29" t="s">
        <v>1070</v>
      </c>
      <c r="C695" s="28" t="s">
        <v>1071</v>
      </c>
      <c r="D695" s="28" t="s">
        <v>22</v>
      </c>
      <c r="E695" s="4" t="s">
        <v>111</v>
      </c>
      <c r="F695" s="28" t="s">
        <v>75</v>
      </c>
      <c r="G695" s="4"/>
      <c r="H695" s="4">
        <f>SUMIFS(X!$F$5:$F$2005,X!$D$5:$D$2005,'CEK CICI'!A695)</f>
        <v>0</v>
      </c>
      <c r="I695" s="4">
        <f>SUMIFS(PENJUALAN!$E$4:$E$4288,PENJUALAN!$C$4:$C$4288,'CEK CICI'!A695)</f>
        <v>0</v>
      </c>
      <c r="J695" s="16">
        <f t="shared" si="2"/>
        <v>0</v>
      </c>
      <c r="K695" s="4"/>
      <c r="L695" s="4"/>
      <c r="M695" s="4"/>
      <c r="N695" s="4"/>
    </row>
    <row r="696" ht="13.5" hidden="1" customHeight="1">
      <c r="A696" s="4" t="str">
        <f t="shared" si="1"/>
        <v>LFW-ALTIS00FY</v>
      </c>
      <c r="B696" s="29" t="s">
        <v>1072</v>
      </c>
      <c r="C696" s="28" t="s">
        <v>1073</v>
      </c>
      <c r="D696" s="28" t="s">
        <v>22</v>
      </c>
      <c r="E696" s="4" t="s">
        <v>111</v>
      </c>
      <c r="F696" s="28" t="s">
        <v>97</v>
      </c>
      <c r="G696" s="4"/>
      <c r="H696" s="4">
        <f>SUMIFS(X!$F$5:$F$2005,X!$D$5:$D$2005,'CEK CICI'!A696)</f>
        <v>0</v>
      </c>
      <c r="I696" s="4">
        <f>SUMIFS(PENJUALAN!$E$4:$E$4288,PENJUALAN!$C$4:$C$4288,'CEK CICI'!A696)</f>
        <v>0</v>
      </c>
      <c r="J696" s="16">
        <f t="shared" si="2"/>
        <v>0</v>
      </c>
      <c r="K696" s="4"/>
      <c r="L696" s="4"/>
      <c r="M696" s="4"/>
      <c r="N696" s="4"/>
    </row>
    <row r="697" ht="13.5" hidden="1" customHeight="1">
      <c r="A697" s="4" t="str">
        <f t="shared" si="1"/>
        <v>TRW-ALTIS00FY</v>
      </c>
      <c r="B697" s="29" t="s">
        <v>1074</v>
      </c>
      <c r="C697" s="28" t="s">
        <v>1073</v>
      </c>
      <c r="D697" s="28" t="s">
        <v>41</v>
      </c>
      <c r="E697" s="4" t="s">
        <v>111</v>
      </c>
      <c r="F697" s="28" t="s">
        <v>67</v>
      </c>
      <c r="G697" s="4"/>
      <c r="H697" s="4">
        <f>SUMIFS(X!$F$5:$F$2005,X!$D$5:$D$2005,'CEK CICI'!A697)</f>
        <v>0</v>
      </c>
      <c r="I697" s="4">
        <f>SUMIFS(PENJUALAN!$E$4:$E$4288,PENJUALAN!$C$4:$C$4288,'CEK CICI'!A697)</f>
        <v>0</v>
      </c>
      <c r="J697" s="16">
        <f t="shared" si="2"/>
        <v>0</v>
      </c>
      <c r="K697" s="4"/>
      <c r="L697" s="4"/>
      <c r="M697" s="4"/>
      <c r="N697" s="4"/>
    </row>
    <row r="698" ht="13.5" hidden="1" customHeight="1">
      <c r="A698" s="4" t="str">
        <f t="shared" si="1"/>
        <v>LFW-ALTIS06FY</v>
      </c>
      <c r="B698" s="29" t="s">
        <v>1075</v>
      </c>
      <c r="C698" s="28" t="s">
        <v>1076</v>
      </c>
      <c r="D698" s="28" t="s">
        <v>22</v>
      </c>
      <c r="E698" s="4" t="s">
        <v>111</v>
      </c>
      <c r="F698" s="28" t="s">
        <v>125</v>
      </c>
      <c r="G698" s="4"/>
      <c r="H698" s="4">
        <f>SUMIFS(X!$F$5:$F$2005,X!$D$5:$D$2005,'CEK CICI'!A698)</f>
        <v>0</v>
      </c>
      <c r="I698" s="4">
        <f>SUMIFS(PENJUALAN!$E$4:$E$4288,PENJUALAN!$C$4:$C$4288,'CEK CICI'!A698)</f>
        <v>0</v>
      </c>
      <c r="J698" s="16">
        <f t="shared" si="2"/>
        <v>0</v>
      </c>
      <c r="K698" s="4"/>
      <c r="L698" s="4"/>
      <c r="M698" s="4"/>
      <c r="N698" s="4"/>
    </row>
    <row r="699" ht="13.5" hidden="1" customHeight="1">
      <c r="A699" s="4" t="str">
        <f t="shared" si="1"/>
        <v>LFW-ALTIS06RSFY</v>
      </c>
      <c r="B699" s="29" t="s">
        <v>1077</v>
      </c>
      <c r="C699" s="28" t="s">
        <v>1078</v>
      </c>
      <c r="D699" s="28" t="s">
        <v>22</v>
      </c>
      <c r="E699" s="4" t="s">
        <v>111</v>
      </c>
      <c r="F699" s="28" t="s">
        <v>75</v>
      </c>
      <c r="G699" s="4"/>
      <c r="H699" s="4">
        <f>SUMIFS(X!$F$5:$F$2005,X!$D$5:$D$2005,'CEK CICI'!A699)</f>
        <v>0</v>
      </c>
      <c r="I699" s="4">
        <f>SUMIFS(PENJUALAN!$E$4:$E$4288,PENJUALAN!$C$4:$C$4288,'CEK CICI'!A699)</f>
        <v>0</v>
      </c>
      <c r="J699" s="16">
        <f t="shared" si="2"/>
        <v>0</v>
      </c>
      <c r="K699" s="4"/>
      <c r="L699" s="4"/>
      <c r="M699" s="4"/>
      <c r="N699" s="4"/>
    </row>
    <row r="700" ht="13.5" hidden="1" customHeight="1">
      <c r="A700" s="4" t="str">
        <f t="shared" si="1"/>
        <v>TRW-ALTIS06FY</v>
      </c>
      <c r="B700" s="29" t="s">
        <v>1079</v>
      </c>
      <c r="C700" s="28" t="s">
        <v>1078</v>
      </c>
      <c r="D700" s="28" t="s">
        <v>41</v>
      </c>
      <c r="E700" s="4" t="s">
        <v>111</v>
      </c>
      <c r="F700" s="28" t="s">
        <v>1080</v>
      </c>
      <c r="G700" s="4"/>
      <c r="H700" s="4">
        <f>SUMIFS(X!$F$5:$F$2005,X!$D$5:$D$2005,'CEK CICI'!A700)</f>
        <v>0</v>
      </c>
      <c r="I700" s="4">
        <f>SUMIFS(PENJUALAN!$E$4:$E$4288,PENJUALAN!$C$4:$C$4288,'CEK CICI'!A700)</f>
        <v>0</v>
      </c>
      <c r="J700" s="16">
        <f t="shared" si="2"/>
        <v>0</v>
      </c>
      <c r="K700" s="4"/>
      <c r="L700" s="4"/>
      <c r="M700" s="4"/>
      <c r="N700" s="4"/>
    </row>
    <row r="701" ht="13.5" hidden="1" customHeight="1">
      <c r="A701" s="4" t="str">
        <f t="shared" si="1"/>
        <v>FDL-ALTIS06FY</v>
      </c>
      <c r="B701" s="29" t="s">
        <v>1081</v>
      </c>
      <c r="C701" s="28" t="s">
        <v>1078</v>
      </c>
      <c r="D701" s="28" t="s">
        <v>128</v>
      </c>
      <c r="E701" s="4" t="s">
        <v>111</v>
      </c>
      <c r="F701" s="28" t="s">
        <v>397</v>
      </c>
      <c r="G701" s="4"/>
      <c r="H701" s="4">
        <f>SUMIFS(X!$F$5:$F$2005,X!$D$5:$D$2005,'CEK CICI'!A701)</f>
        <v>0</v>
      </c>
      <c r="I701" s="4">
        <f>SUMIFS(PENJUALAN!$E$4:$E$4288,PENJUALAN!$C$4:$C$4288,'CEK CICI'!A701)</f>
        <v>0</v>
      </c>
      <c r="J701" s="16">
        <f t="shared" si="2"/>
        <v>0</v>
      </c>
      <c r="K701" s="4"/>
      <c r="L701" s="4"/>
      <c r="M701" s="4"/>
      <c r="N701" s="4"/>
    </row>
    <row r="702" ht="13.5" hidden="1" customHeight="1">
      <c r="A702" s="4" t="str">
        <f t="shared" si="1"/>
        <v>FDR-ALTIS06FY</v>
      </c>
      <c r="B702" s="29" t="s">
        <v>1082</v>
      </c>
      <c r="C702" s="28" t="s">
        <v>1078</v>
      </c>
      <c r="D702" s="28" t="s">
        <v>130</v>
      </c>
      <c r="E702" s="4" t="s">
        <v>111</v>
      </c>
      <c r="F702" s="28" t="s">
        <v>397</v>
      </c>
      <c r="G702" s="4"/>
      <c r="H702" s="4">
        <f>SUMIFS(X!$F$5:$F$2005,X!$D$5:$D$2005,'CEK CICI'!A702)</f>
        <v>0</v>
      </c>
      <c r="I702" s="4">
        <f>SUMIFS(PENJUALAN!$E$4:$E$4288,PENJUALAN!$C$4:$C$4288,'CEK CICI'!A702)</f>
        <v>0</v>
      </c>
      <c r="J702" s="16">
        <f t="shared" si="2"/>
        <v>0</v>
      </c>
      <c r="K702" s="4"/>
      <c r="L702" s="4"/>
      <c r="M702" s="4"/>
      <c r="N702" s="4"/>
    </row>
    <row r="703" ht="13.5" hidden="1" customHeight="1">
      <c r="A703" s="4" t="str">
        <f t="shared" si="1"/>
        <v>RDL-ALTIS06FY</v>
      </c>
      <c r="B703" s="29" t="s">
        <v>1083</v>
      </c>
      <c r="C703" s="28" t="s">
        <v>1078</v>
      </c>
      <c r="D703" s="28" t="s">
        <v>132</v>
      </c>
      <c r="E703" s="4" t="s">
        <v>111</v>
      </c>
      <c r="F703" s="28"/>
      <c r="G703" s="4"/>
      <c r="H703" s="4">
        <f>SUMIFS(X!$F$5:$F$2005,X!$D$5:$D$2005,'CEK CICI'!A703)</f>
        <v>0</v>
      </c>
      <c r="I703" s="4">
        <f>SUMIFS(PENJUALAN!$E$4:$E$4288,PENJUALAN!$C$4:$C$4288,'CEK CICI'!A703)</f>
        <v>0</v>
      </c>
      <c r="J703" s="16">
        <f t="shared" si="2"/>
        <v>0</v>
      </c>
      <c r="K703" s="4"/>
      <c r="L703" s="4"/>
      <c r="M703" s="4"/>
      <c r="N703" s="4"/>
    </row>
    <row r="704" ht="13.5" hidden="1" customHeight="1">
      <c r="A704" s="4" t="str">
        <f t="shared" si="1"/>
        <v>RDR-ALTIS06FY</v>
      </c>
      <c r="B704" s="29" t="s">
        <v>1084</v>
      </c>
      <c r="C704" s="28" t="s">
        <v>1078</v>
      </c>
      <c r="D704" s="28" t="s">
        <v>134</v>
      </c>
      <c r="E704" s="4" t="s">
        <v>111</v>
      </c>
      <c r="F704" s="28"/>
      <c r="G704" s="4"/>
      <c r="H704" s="4">
        <f>SUMIFS(X!$F$5:$F$2005,X!$D$5:$D$2005,'CEK CICI'!A704)</f>
        <v>0</v>
      </c>
      <c r="I704" s="4">
        <f>SUMIFS(PENJUALAN!$E$4:$E$4288,PENJUALAN!$C$4:$C$4288,'CEK CICI'!A704)</f>
        <v>0</v>
      </c>
      <c r="J704" s="16">
        <f t="shared" si="2"/>
        <v>0</v>
      </c>
      <c r="K704" s="4"/>
      <c r="L704" s="4"/>
      <c r="M704" s="4"/>
      <c r="N704" s="4"/>
    </row>
    <row r="705" ht="13.5" hidden="1" customHeight="1">
      <c r="A705" s="4" t="str">
        <f t="shared" si="1"/>
        <v>RVL-ALTIS06FY</v>
      </c>
      <c r="B705" s="29" t="s">
        <v>1085</v>
      </c>
      <c r="C705" s="28" t="s">
        <v>1078</v>
      </c>
      <c r="D705" s="28" t="s">
        <v>387</v>
      </c>
      <c r="E705" s="4" t="s">
        <v>111</v>
      </c>
      <c r="F705" s="28"/>
      <c r="G705" s="4"/>
      <c r="H705" s="4">
        <f>SUMIFS(X!$F$5:$F$2005,X!$D$5:$D$2005,'CEK CICI'!A705)</f>
        <v>0</v>
      </c>
      <c r="I705" s="4">
        <f>SUMIFS(PENJUALAN!$E$4:$E$4288,PENJUALAN!$C$4:$C$4288,'CEK CICI'!A705)</f>
        <v>0</v>
      </c>
      <c r="J705" s="16">
        <f t="shared" si="2"/>
        <v>0</v>
      </c>
      <c r="K705" s="4"/>
      <c r="L705" s="4"/>
      <c r="M705" s="4"/>
      <c r="N705" s="4"/>
    </row>
    <row r="706" ht="13.5" hidden="1" customHeight="1">
      <c r="A706" s="4" t="str">
        <f t="shared" si="1"/>
        <v>RVR-ALTIS06FY</v>
      </c>
      <c r="B706" s="29" t="s">
        <v>1086</v>
      </c>
      <c r="C706" s="28" t="s">
        <v>1078</v>
      </c>
      <c r="D706" s="28" t="s">
        <v>389</v>
      </c>
      <c r="E706" s="4" t="s">
        <v>111</v>
      </c>
      <c r="F706" s="28"/>
      <c r="G706" s="4"/>
      <c r="H706" s="4">
        <f>SUMIFS(X!$F$5:$F$2005,X!$D$5:$D$2005,'CEK CICI'!A706)</f>
        <v>0</v>
      </c>
      <c r="I706" s="4">
        <f>SUMIFS(PENJUALAN!$E$4:$E$4288,PENJUALAN!$C$4:$C$4288,'CEK CICI'!A706)</f>
        <v>0</v>
      </c>
      <c r="J706" s="16">
        <f t="shared" si="2"/>
        <v>0</v>
      </c>
      <c r="K706" s="4"/>
      <c r="L706" s="4"/>
      <c r="M706" s="4"/>
      <c r="N706" s="4"/>
    </row>
    <row r="707" ht="13.5" hidden="1" customHeight="1">
      <c r="A707" s="4" t="str">
        <f t="shared" si="1"/>
        <v>LFW-ALTIS13RSFY</v>
      </c>
      <c r="B707" s="29" t="s">
        <v>1087</v>
      </c>
      <c r="C707" s="28" t="s">
        <v>1088</v>
      </c>
      <c r="D707" s="28" t="s">
        <v>22</v>
      </c>
      <c r="E707" s="4" t="s">
        <v>111</v>
      </c>
      <c r="F707" s="28" t="s">
        <v>75</v>
      </c>
      <c r="G707" s="4"/>
      <c r="H707" s="4">
        <f>SUMIFS(X!$F$5:$F$2005,X!$D$5:$D$2005,'CEK CICI'!A707)</f>
        <v>0</v>
      </c>
      <c r="I707" s="4">
        <f>SUMIFS(PENJUALAN!$E$4:$E$4288,PENJUALAN!$C$4:$C$4288,'CEK CICI'!A707)</f>
        <v>0</v>
      </c>
      <c r="J707" s="16">
        <f t="shared" si="2"/>
        <v>0</v>
      </c>
      <c r="K707" s="4"/>
      <c r="L707" s="4"/>
      <c r="M707" s="4"/>
      <c r="N707" s="4"/>
    </row>
    <row r="708" ht="13.5" hidden="1" customHeight="1">
      <c r="A708" s="4" t="str">
        <f t="shared" si="1"/>
        <v>TRW-ALTIS13FY</v>
      </c>
      <c r="B708" s="29" t="s">
        <v>1089</v>
      </c>
      <c r="C708" s="28" t="s">
        <v>1088</v>
      </c>
      <c r="D708" s="28" t="s">
        <v>41</v>
      </c>
      <c r="E708" s="4" t="s">
        <v>111</v>
      </c>
      <c r="F708" s="28" t="s">
        <v>114</v>
      </c>
      <c r="G708" s="4"/>
      <c r="H708" s="4">
        <f>SUMIFS(X!$F$5:$F$2005,X!$D$5:$D$2005,'CEK CICI'!A708)</f>
        <v>0</v>
      </c>
      <c r="I708" s="4">
        <f>SUMIFS(PENJUALAN!$E$4:$E$4288,PENJUALAN!$C$4:$C$4288,'CEK CICI'!A708)</f>
        <v>0</v>
      </c>
      <c r="J708" s="16">
        <f t="shared" si="2"/>
        <v>0</v>
      </c>
      <c r="K708" s="4"/>
      <c r="L708" s="4"/>
      <c r="M708" s="4"/>
      <c r="N708" s="4"/>
    </row>
    <row r="709" ht="13.5" hidden="1" customHeight="1">
      <c r="A709" s="4" t="str">
        <f t="shared" si="1"/>
        <v>FDL-ALTIS13FY</v>
      </c>
      <c r="B709" s="29" t="s">
        <v>1090</v>
      </c>
      <c r="C709" s="28" t="s">
        <v>1088</v>
      </c>
      <c r="D709" s="28" t="s">
        <v>128</v>
      </c>
      <c r="E709" s="4" t="s">
        <v>111</v>
      </c>
      <c r="F709" s="28"/>
      <c r="G709" s="4"/>
      <c r="H709" s="4">
        <f>SUMIFS(X!$F$5:$F$2005,X!$D$5:$D$2005,'CEK CICI'!A709)</f>
        <v>0</v>
      </c>
      <c r="I709" s="4">
        <f>SUMIFS(PENJUALAN!$E$4:$E$4288,PENJUALAN!$C$4:$C$4288,'CEK CICI'!A709)</f>
        <v>0</v>
      </c>
      <c r="J709" s="16">
        <f t="shared" si="2"/>
        <v>0</v>
      </c>
      <c r="K709" s="4"/>
      <c r="L709" s="4"/>
      <c r="M709" s="4"/>
      <c r="N709" s="4"/>
    </row>
    <row r="710" ht="13.5" hidden="1" customHeight="1">
      <c r="A710" s="4" t="str">
        <f t="shared" si="1"/>
        <v>FDR-ALTIS13FY</v>
      </c>
      <c r="B710" s="29" t="s">
        <v>1091</v>
      </c>
      <c r="C710" s="28" t="s">
        <v>1088</v>
      </c>
      <c r="D710" s="28" t="s">
        <v>130</v>
      </c>
      <c r="E710" s="4" t="s">
        <v>111</v>
      </c>
      <c r="F710" s="28"/>
      <c r="G710" s="4"/>
      <c r="H710" s="4">
        <f>SUMIFS(X!$F$5:$F$2005,X!$D$5:$D$2005,'CEK CICI'!A710)</f>
        <v>0</v>
      </c>
      <c r="I710" s="4">
        <f>SUMIFS(PENJUALAN!$E$4:$E$4288,PENJUALAN!$C$4:$C$4288,'CEK CICI'!A710)</f>
        <v>0</v>
      </c>
      <c r="J710" s="16">
        <f t="shared" si="2"/>
        <v>0</v>
      </c>
      <c r="K710" s="4"/>
      <c r="L710" s="4"/>
      <c r="M710" s="4"/>
      <c r="N710" s="4"/>
    </row>
    <row r="711" ht="13.5" hidden="1" customHeight="1">
      <c r="A711" s="4" t="str">
        <f t="shared" si="1"/>
        <v>RDL-ALTIS13FY</v>
      </c>
      <c r="B711" s="29" t="s">
        <v>1092</v>
      </c>
      <c r="C711" s="28" t="s">
        <v>1088</v>
      </c>
      <c r="D711" s="28" t="s">
        <v>132</v>
      </c>
      <c r="E711" s="4" t="s">
        <v>111</v>
      </c>
      <c r="F711" s="28"/>
      <c r="G711" s="4"/>
      <c r="H711" s="4">
        <f>SUMIFS(X!$F$5:$F$2005,X!$D$5:$D$2005,'CEK CICI'!A711)</f>
        <v>0</v>
      </c>
      <c r="I711" s="4">
        <f>SUMIFS(PENJUALAN!$E$4:$E$4288,PENJUALAN!$C$4:$C$4288,'CEK CICI'!A711)</f>
        <v>0</v>
      </c>
      <c r="J711" s="16">
        <f t="shared" si="2"/>
        <v>0</v>
      </c>
      <c r="K711" s="4"/>
      <c r="L711" s="4"/>
      <c r="M711" s="4"/>
      <c r="N711" s="4"/>
    </row>
    <row r="712" ht="13.5" hidden="1" customHeight="1">
      <c r="A712" s="4" t="str">
        <f t="shared" si="1"/>
        <v>RDR-ALTIS13FY</v>
      </c>
      <c r="B712" s="29" t="s">
        <v>1093</v>
      </c>
      <c r="C712" s="28" t="s">
        <v>1088</v>
      </c>
      <c r="D712" s="28" t="s">
        <v>134</v>
      </c>
      <c r="E712" s="4" t="s">
        <v>111</v>
      </c>
      <c r="F712" s="28"/>
      <c r="G712" s="4"/>
      <c r="H712" s="4">
        <f>SUMIFS(X!$F$5:$F$2005,X!$D$5:$D$2005,'CEK CICI'!A712)</f>
        <v>0</v>
      </c>
      <c r="I712" s="4">
        <f>SUMIFS(PENJUALAN!$E$4:$E$4288,PENJUALAN!$C$4:$C$4288,'CEK CICI'!A712)</f>
        <v>0</v>
      </c>
      <c r="J712" s="16">
        <f t="shared" si="2"/>
        <v>0</v>
      </c>
      <c r="K712" s="4"/>
      <c r="L712" s="4"/>
      <c r="M712" s="4"/>
      <c r="N712" s="4"/>
    </row>
    <row r="713" ht="13.5" hidden="1" customHeight="1">
      <c r="A713" s="4" t="str">
        <f t="shared" si="1"/>
        <v>RVL-ALTIS13FY</v>
      </c>
      <c r="B713" s="29" t="s">
        <v>1094</v>
      </c>
      <c r="C713" s="28" t="s">
        <v>1088</v>
      </c>
      <c r="D713" s="28" t="s">
        <v>387</v>
      </c>
      <c r="E713" s="4" t="s">
        <v>111</v>
      </c>
      <c r="F713" s="28"/>
      <c r="G713" s="4"/>
      <c r="H713" s="4">
        <f>SUMIFS(X!$F$5:$F$2005,X!$D$5:$D$2005,'CEK CICI'!A713)</f>
        <v>0</v>
      </c>
      <c r="I713" s="4">
        <f>SUMIFS(PENJUALAN!$E$4:$E$4288,PENJUALAN!$C$4:$C$4288,'CEK CICI'!A713)</f>
        <v>0</v>
      </c>
      <c r="J713" s="16">
        <f t="shared" si="2"/>
        <v>0</v>
      </c>
      <c r="K713" s="4"/>
      <c r="L713" s="4"/>
      <c r="M713" s="4"/>
      <c r="N713" s="4"/>
    </row>
    <row r="714" ht="13.5" hidden="1" customHeight="1">
      <c r="A714" s="4" t="str">
        <f t="shared" si="1"/>
        <v>RVR-ALTIS13FY</v>
      </c>
      <c r="B714" s="29" t="s">
        <v>1095</v>
      </c>
      <c r="C714" s="28" t="s">
        <v>1088</v>
      </c>
      <c r="D714" s="28" t="s">
        <v>389</v>
      </c>
      <c r="E714" s="4" t="s">
        <v>111</v>
      </c>
      <c r="F714" s="28"/>
      <c r="G714" s="4"/>
      <c r="H714" s="4">
        <f>SUMIFS(X!$F$5:$F$2005,X!$D$5:$D$2005,'CEK CICI'!A714)</f>
        <v>0</v>
      </c>
      <c r="I714" s="4">
        <f>SUMIFS(PENJUALAN!$E$4:$E$4288,PENJUALAN!$C$4:$C$4288,'CEK CICI'!A714)</f>
        <v>0</v>
      </c>
      <c r="J714" s="16">
        <f t="shared" si="2"/>
        <v>0</v>
      </c>
      <c r="K714" s="4"/>
      <c r="L714" s="4"/>
      <c r="M714" s="4"/>
      <c r="N714" s="4"/>
    </row>
    <row r="715" ht="13.5" hidden="1" customHeight="1">
      <c r="A715" s="4" t="str">
        <f t="shared" si="1"/>
        <v>LFW-AVANZA03FY</v>
      </c>
      <c r="B715" s="29" t="s">
        <v>1096</v>
      </c>
      <c r="C715" s="28" t="s">
        <v>65</v>
      </c>
      <c r="D715" s="28" t="s">
        <v>22</v>
      </c>
      <c r="E715" s="4" t="s">
        <v>111</v>
      </c>
      <c r="F715" s="28" t="s">
        <v>97</v>
      </c>
      <c r="G715" s="4"/>
      <c r="H715" s="4">
        <f>SUMIFS(X!$F$5:$F$2005,X!$D$5:$D$2005,'CEK CICI'!A715)</f>
        <v>0</v>
      </c>
      <c r="I715" s="4">
        <f>SUMIFS(PENJUALAN!$E$4:$E$4288,PENJUALAN!$C$4:$C$4288,'CEK CICI'!A715)</f>
        <v>0</v>
      </c>
      <c r="J715" s="16">
        <f t="shared" si="2"/>
        <v>0</v>
      </c>
      <c r="K715" s="4"/>
      <c r="L715" s="4"/>
      <c r="M715" s="4"/>
      <c r="N715" s="4"/>
    </row>
    <row r="716" ht="13.5" hidden="1" customHeight="1">
      <c r="A716" s="4" t="str">
        <f t="shared" si="1"/>
        <v>TRW-AVANZA03FY</v>
      </c>
      <c r="B716" s="29" t="s">
        <v>1097</v>
      </c>
      <c r="C716" s="28" t="s">
        <v>65</v>
      </c>
      <c r="D716" s="28" t="s">
        <v>41</v>
      </c>
      <c r="E716" s="4" t="s">
        <v>111</v>
      </c>
      <c r="F716" s="28" t="s">
        <v>97</v>
      </c>
      <c r="G716" s="4"/>
      <c r="H716" s="4">
        <f>SUMIFS(X!$F$5:$F$2005,X!$D$5:$D$2005,'CEK CICI'!A716)</f>
        <v>0</v>
      </c>
      <c r="I716" s="4">
        <f>SUMIFS(PENJUALAN!$E$4:$E$4288,PENJUALAN!$C$4:$C$4288,'CEK CICI'!A716)</f>
        <v>0</v>
      </c>
      <c r="J716" s="16">
        <f t="shared" si="2"/>
        <v>0</v>
      </c>
      <c r="K716" s="4"/>
      <c r="L716" s="4"/>
      <c r="M716" s="4"/>
      <c r="N716" s="4"/>
    </row>
    <row r="717" ht="13.5" hidden="1" customHeight="1">
      <c r="A717" s="4" t="str">
        <f t="shared" si="1"/>
        <v>TRW-AVANZA03HFY</v>
      </c>
      <c r="B717" s="29" t="s">
        <v>64</v>
      </c>
      <c r="C717" s="28" t="s">
        <v>65</v>
      </c>
      <c r="D717" s="28" t="s">
        <v>41</v>
      </c>
      <c r="E717" s="4" t="s">
        <v>111</v>
      </c>
      <c r="F717" s="28" t="s">
        <v>67</v>
      </c>
      <c r="G717" s="4"/>
      <c r="H717" s="4">
        <f>SUMIFS(X!$F$5:$F$2005,X!$D$5:$D$2005,'CEK CICI'!A717)</f>
        <v>0</v>
      </c>
      <c r="I717" s="4">
        <f>SUMIFS(PENJUALAN!$E$4:$E$4288,PENJUALAN!$C$4:$C$4288,'CEK CICI'!A717)</f>
        <v>0</v>
      </c>
      <c r="J717" s="16">
        <f t="shared" si="2"/>
        <v>0</v>
      </c>
      <c r="K717" s="4"/>
      <c r="L717" s="4"/>
      <c r="M717" s="4"/>
      <c r="N717" s="4"/>
    </row>
    <row r="718" ht="13.5" hidden="1" customHeight="1">
      <c r="A718" s="4" t="str">
        <f t="shared" si="1"/>
        <v>LFW-AVANZA11FY</v>
      </c>
      <c r="B718" s="29" t="s">
        <v>1098</v>
      </c>
      <c r="C718" s="28" t="s">
        <v>81</v>
      </c>
      <c r="D718" s="28" t="s">
        <v>22</v>
      </c>
      <c r="E718" s="4" t="s">
        <v>111</v>
      </c>
      <c r="F718" s="28" t="s">
        <v>97</v>
      </c>
      <c r="G718" s="4"/>
      <c r="H718" s="4">
        <f>SUMIFS(X!$F$5:$F$2005,X!$D$5:$D$2005,'CEK CICI'!A718)</f>
        <v>0</v>
      </c>
      <c r="I718" s="4">
        <f>SUMIFS(PENJUALAN!$E$4:$E$4288,PENJUALAN!$C$4:$C$4288,'CEK CICI'!A718)</f>
        <v>0</v>
      </c>
      <c r="J718" s="16">
        <f t="shared" si="2"/>
        <v>0</v>
      </c>
      <c r="K718" s="4"/>
      <c r="L718" s="4"/>
      <c r="M718" s="4"/>
      <c r="N718" s="4"/>
    </row>
    <row r="719" ht="13.5" hidden="1" customHeight="1">
      <c r="A719" s="4" t="str">
        <f t="shared" si="1"/>
        <v>TRW-AVANZA11FY</v>
      </c>
      <c r="B719" s="29" t="s">
        <v>87</v>
      </c>
      <c r="C719" s="28" t="s">
        <v>88</v>
      </c>
      <c r="D719" s="28" t="s">
        <v>41</v>
      </c>
      <c r="E719" s="4" t="s">
        <v>111</v>
      </c>
      <c r="F719" s="28" t="s">
        <v>97</v>
      </c>
      <c r="G719" s="4"/>
      <c r="H719" s="4">
        <f>SUMIFS(X!$F$5:$F$2005,X!$D$5:$D$2005,'CEK CICI'!A719)</f>
        <v>0</v>
      </c>
      <c r="I719" s="4">
        <f>SUMIFS(PENJUALAN!$E$4:$E$4288,PENJUALAN!$C$4:$C$4288,'CEK CICI'!A719)</f>
        <v>0</v>
      </c>
      <c r="J719" s="16">
        <f t="shared" si="2"/>
        <v>0</v>
      </c>
      <c r="K719" s="4"/>
      <c r="L719" s="4"/>
      <c r="M719" s="4"/>
      <c r="N719" s="4"/>
    </row>
    <row r="720" ht="13.5" hidden="1" customHeight="1">
      <c r="A720" s="4" t="str">
        <f t="shared" si="1"/>
        <v>TRW-AVANZA11HFY</v>
      </c>
      <c r="B720" s="29" t="s">
        <v>1099</v>
      </c>
      <c r="C720" s="28" t="s">
        <v>88</v>
      </c>
      <c r="D720" s="28" t="s">
        <v>41</v>
      </c>
      <c r="E720" s="4" t="s">
        <v>111</v>
      </c>
      <c r="F720" s="28" t="s">
        <v>67</v>
      </c>
      <c r="G720" s="4"/>
      <c r="H720" s="4">
        <f>SUMIFS(X!$F$5:$F$2005,X!$D$5:$D$2005,'CEK CICI'!A720)</f>
        <v>0</v>
      </c>
      <c r="I720" s="4">
        <f>SUMIFS(PENJUALAN!$E$4:$E$4288,PENJUALAN!$C$4:$C$4288,'CEK CICI'!A720)</f>
        <v>0</v>
      </c>
      <c r="J720" s="16">
        <f t="shared" si="2"/>
        <v>0</v>
      </c>
      <c r="K720" s="4"/>
      <c r="L720" s="4"/>
      <c r="M720" s="4"/>
      <c r="N720" s="4"/>
    </row>
    <row r="721" ht="13.5" hidden="1" customHeight="1">
      <c r="A721" s="4" t="str">
        <f t="shared" si="1"/>
        <v>LFW-AVANZA16FY</v>
      </c>
      <c r="B721" s="29" t="s">
        <v>1100</v>
      </c>
      <c r="C721" s="28" t="s">
        <v>1101</v>
      </c>
      <c r="D721" s="28" t="s">
        <v>22</v>
      </c>
      <c r="E721" s="4" t="s">
        <v>111</v>
      </c>
      <c r="F721" s="28" t="s">
        <v>97</v>
      </c>
      <c r="G721" s="4"/>
      <c r="H721" s="4">
        <f>SUMIFS(X!$F$5:$F$2005,X!$D$5:$D$2005,'CEK CICI'!A721)</f>
        <v>0</v>
      </c>
      <c r="I721" s="4">
        <f>SUMIFS(PENJUALAN!$E$4:$E$4288,PENJUALAN!$C$4:$C$4288,'CEK CICI'!A721)</f>
        <v>0</v>
      </c>
      <c r="J721" s="16">
        <f t="shared" si="2"/>
        <v>0</v>
      </c>
      <c r="K721" s="4"/>
      <c r="L721" s="4"/>
      <c r="M721" s="4"/>
      <c r="N721" s="4"/>
    </row>
    <row r="722" ht="13.5" hidden="1" customHeight="1">
      <c r="A722" s="4" t="str">
        <f t="shared" si="1"/>
        <v>LFW-CAMRY96FY</v>
      </c>
      <c r="B722" s="29" t="s">
        <v>1102</v>
      </c>
      <c r="C722" s="28" t="s">
        <v>1103</v>
      </c>
      <c r="D722" s="28" t="s">
        <v>22</v>
      </c>
      <c r="E722" s="4" t="s">
        <v>111</v>
      </c>
      <c r="F722" s="28" t="s">
        <v>125</v>
      </c>
      <c r="G722" s="4"/>
      <c r="H722" s="4">
        <f>SUMIFS(X!$F$5:$F$2005,X!$D$5:$D$2005,'CEK CICI'!A722)</f>
        <v>0</v>
      </c>
      <c r="I722" s="4">
        <f>SUMIFS(PENJUALAN!$E$4:$E$4288,PENJUALAN!$C$4:$C$4288,'CEK CICI'!A722)</f>
        <v>0</v>
      </c>
      <c r="J722" s="16">
        <f t="shared" si="2"/>
        <v>0</v>
      </c>
      <c r="K722" s="4"/>
      <c r="L722" s="4"/>
      <c r="M722" s="4"/>
      <c r="N722" s="4"/>
    </row>
    <row r="723" ht="13.5" hidden="1" customHeight="1">
      <c r="A723" s="4" t="str">
        <f t="shared" si="1"/>
        <v>TRW-CAMRY96FY</v>
      </c>
      <c r="B723" s="29" t="s">
        <v>1104</v>
      </c>
      <c r="C723" s="28" t="s">
        <v>1103</v>
      </c>
      <c r="D723" s="28" t="s">
        <v>41</v>
      </c>
      <c r="E723" s="4" t="s">
        <v>111</v>
      </c>
      <c r="F723" s="28" t="s">
        <v>67</v>
      </c>
      <c r="G723" s="4"/>
      <c r="H723" s="4">
        <f>SUMIFS(X!$F$5:$F$2005,X!$D$5:$D$2005,'CEK CICI'!A723)</f>
        <v>0</v>
      </c>
      <c r="I723" s="4">
        <f>SUMIFS(PENJUALAN!$E$4:$E$4288,PENJUALAN!$C$4:$C$4288,'CEK CICI'!A723)</f>
        <v>0</v>
      </c>
      <c r="J723" s="16">
        <f t="shared" si="2"/>
        <v>0</v>
      </c>
      <c r="K723" s="4"/>
      <c r="L723" s="4"/>
      <c r="M723" s="4"/>
      <c r="N723" s="4"/>
    </row>
    <row r="724" ht="13.5" hidden="1" customHeight="1">
      <c r="A724" s="4" t="str">
        <f t="shared" si="1"/>
        <v>LFW-CAMRY02FY</v>
      </c>
      <c r="B724" s="29" t="s">
        <v>1105</v>
      </c>
      <c r="C724" s="28" t="s">
        <v>1106</v>
      </c>
      <c r="D724" s="28" t="s">
        <v>22</v>
      </c>
      <c r="E724" s="4" t="s">
        <v>111</v>
      </c>
      <c r="F724" s="28" t="s">
        <v>125</v>
      </c>
      <c r="G724" s="4"/>
      <c r="H724" s="4">
        <f>SUMIFS(X!$F$5:$F$2005,X!$D$5:$D$2005,'CEK CICI'!A724)</f>
        <v>0</v>
      </c>
      <c r="I724" s="4">
        <f>SUMIFS(PENJUALAN!$E$4:$E$4288,PENJUALAN!$C$4:$C$4288,'CEK CICI'!A724)</f>
        <v>0</v>
      </c>
      <c r="J724" s="16">
        <f t="shared" si="2"/>
        <v>0</v>
      </c>
      <c r="K724" s="4"/>
      <c r="L724" s="4"/>
      <c r="M724" s="4"/>
      <c r="N724" s="4"/>
    </row>
    <row r="725" ht="13.5" hidden="1" customHeight="1">
      <c r="A725" s="4" t="str">
        <f t="shared" si="1"/>
        <v>TRW-CAMRY02FY</v>
      </c>
      <c r="B725" s="29" t="s">
        <v>1107</v>
      </c>
      <c r="C725" s="28" t="s">
        <v>1106</v>
      </c>
      <c r="D725" s="28" t="s">
        <v>41</v>
      </c>
      <c r="E725" s="4" t="s">
        <v>111</v>
      </c>
      <c r="F725" s="28" t="s">
        <v>114</v>
      </c>
      <c r="G725" s="4"/>
      <c r="H725" s="4">
        <f>SUMIFS(X!$F$5:$F$2005,X!$D$5:$D$2005,'CEK CICI'!A725)</f>
        <v>0</v>
      </c>
      <c r="I725" s="4">
        <f>SUMIFS(PENJUALAN!$E$4:$E$4288,PENJUALAN!$C$4:$C$4288,'CEK CICI'!A725)</f>
        <v>0</v>
      </c>
      <c r="J725" s="16">
        <f t="shared" si="2"/>
        <v>0</v>
      </c>
      <c r="K725" s="4"/>
      <c r="L725" s="4"/>
      <c r="M725" s="4"/>
      <c r="N725" s="4"/>
    </row>
    <row r="726" ht="13.5" hidden="1" customHeight="1">
      <c r="A726" s="4" t="str">
        <f t="shared" si="1"/>
        <v>FDL-CAMRY02FY</v>
      </c>
      <c r="B726" s="29" t="s">
        <v>1108</v>
      </c>
      <c r="C726" s="28" t="s">
        <v>1106</v>
      </c>
      <c r="D726" s="28" t="s">
        <v>128</v>
      </c>
      <c r="E726" s="4" t="s">
        <v>111</v>
      </c>
      <c r="F726" s="28"/>
      <c r="G726" s="4"/>
      <c r="H726" s="4">
        <f>SUMIFS(X!$F$5:$F$2005,X!$D$5:$D$2005,'CEK CICI'!A726)</f>
        <v>0</v>
      </c>
      <c r="I726" s="4">
        <f>SUMIFS(PENJUALAN!$E$4:$E$4288,PENJUALAN!$C$4:$C$4288,'CEK CICI'!A726)</f>
        <v>0</v>
      </c>
      <c r="J726" s="16">
        <f t="shared" si="2"/>
        <v>0</v>
      </c>
      <c r="K726" s="4"/>
      <c r="L726" s="4"/>
      <c r="M726" s="4"/>
      <c r="N726" s="4"/>
    </row>
    <row r="727" ht="13.5" hidden="1" customHeight="1">
      <c r="A727" s="4" t="str">
        <f t="shared" si="1"/>
        <v>FDR-CAMRY02FY</v>
      </c>
      <c r="B727" s="29" t="s">
        <v>1109</v>
      </c>
      <c r="C727" s="28" t="s">
        <v>1106</v>
      </c>
      <c r="D727" s="28" t="s">
        <v>130</v>
      </c>
      <c r="E727" s="4" t="s">
        <v>111</v>
      </c>
      <c r="F727" s="28"/>
      <c r="G727" s="4"/>
      <c r="H727" s="4">
        <f>SUMIFS(X!$F$5:$F$2005,X!$D$5:$D$2005,'CEK CICI'!A727)</f>
        <v>0</v>
      </c>
      <c r="I727" s="4">
        <f>SUMIFS(PENJUALAN!$E$4:$E$4288,PENJUALAN!$C$4:$C$4288,'CEK CICI'!A727)</f>
        <v>0</v>
      </c>
      <c r="J727" s="16">
        <f t="shared" si="2"/>
        <v>0</v>
      </c>
      <c r="K727" s="4"/>
      <c r="L727" s="4"/>
      <c r="M727" s="4"/>
      <c r="N727" s="4"/>
    </row>
    <row r="728" ht="13.5" hidden="1" customHeight="1">
      <c r="A728" s="4" t="str">
        <f t="shared" si="1"/>
        <v>LFW-CAMRY06FY</v>
      </c>
      <c r="B728" s="29" t="s">
        <v>1110</v>
      </c>
      <c r="C728" s="28" t="s">
        <v>1111</v>
      </c>
      <c r="D728" s="28" t="s">
        <v>22</v>
      </c>
      <c r="E728" s="4" t="s">
        <v>111</v>
      </c>
      <c r="F728" s="28" t="s">
        <v>125</v>
      </c>
      <c r="G728" s="4"/>
      <c r="H728" s="4">
        <f>SUMIFS(X!$F$5:$F$2005,X!$D$5:$D$2005,'CEK CICI'!A728)</f>
        <v>0</v>
      </c>
      <c r="I728" s="4">
        <f>SUMIFS(PENJUALAN!$E$4:$E$4288,PENJUALAN!$C$4:$C$4288,'CEK CICI'!A728)</f>
        <v>0</v>
      </c>
      <c r="J728" s="16">
        <f t="shared" si="2"/>
        <v>0</v>
      </c>
      <c r="K728" s="4"/>
      <c r="L728" s="4"/>
      <c r="M728" s="4"/>
      <c r="N728" s="4"/>
    </row>
    <row r="729" ht="13.5" hidden="1" customHeight="1">
      <c r="A729" s="4" t="str">
        <f t="shared" si="1"/>
        <v>LFW-CAMRY06RSFY</v>
      </c>
      <c r="B729" s="29" t="s">
        <v>1112</v>
      </c>
      <c r="C729" s="28" t="s">
        <v>1111</v>
      </c>
      <c r="D729" s="28" t="s">
        <v>22</v>
      </c>
      <c r="E729" s="4" t="s">
        <v>111</v>
      </c>
      <c r="F729" s="28" t="s">
        <v>75</v>
      </c>
      <c r="G729" s="4"/>
      <c r="H729" s="4">
        <f>SUMIFS(X!$F$5:$F$2005,X!$D$5:$D$2005,'CEK CICI'!A729)</f>
        <v>0</v>
      </c>
      <c r="I729" s="4">
        <f>SUMIFS(PENJUALAN!$E$4:$E$4288,PENJUALAN!$C$4:$C$4288,'CEK CICI'!A729)</f>
        <v>0</v>
      </c>
      <c r="J729" s="16">
        <f t="shared" si="2"/>
        <v>0</v>
      </c>
      <c r="K729" s="4"/>
      <c r="L729" s="4"/>
      <c r="M729" s="4"/>
      <c r="N729" s="4"/>
    </row>
    <row r="730" ht="13.5" hidden="1" customHeight="1">
      <c r="A730" s="4" t="str">
        <f t="shared" si="1"/>
        <v>TRW-CAMRY06FY</v>
      </c>
      <c r="B730" s="29" t="s">
        <v>1113</v>
      </c>
      <c r="C730" s="28" t="s">
        <v>1111</v>
      </c>
      <c r="D730" s="28" t="s">
        <v>41</v>
      </c>
      <c r="E730" s="4" t="s">
        <v>111</v>
      </c>
      <c r="F730" s="28" t="s">
        <v>114</v>
      </c>
      <c r="G730" s="4"/>
      <c r="H730" s="4">
        <f>SUMIFS(X!$F$5:$F$2005,X!$D$5:$D$2005,'CEK CICI'!A730)</f>
        <v>0</v>
      </c>
      <c r="I730" s="4">
        <f>SUMIFS(PENJUALAN!$E$4:$E$4288,PENJUALAN!$C$4:$C$4288,'CEK CICI'!A730)</f>
        <v>0</v>
      </c>
      <c r="J730" s="16">
        <f t="shared" si="2"/>
        <v>0</v>
      </c>
      <c r="K730" s="4"/>
      <c r="L730" s="4"/>
      <c r="M730" s="4"/>
      <c r="N730" s="4"/>
    </row>
    <row r="731" ht="13.5" hidden="1" customHeight="1">
      <c r="A731" s="4" t="str">
        <f t="shared" si="1"/>
        <v>LFW-CAMRY11FY</v>
      </c>
      <c r="B731" s="29" t="s">
        <v>1114</v>
      </c>
      <c r="C731" s="28" t="s">
        <v>1115</v>
      </c>
      <c r="D731" s="28" t="s">
        <v>22</v>
      </c>
      <c r="E731" s="4" t="s">
        <v>111</v>
      </c>
      <c r="F731" s="28" t="s">
        <v>75</v>
      </c>
      <c r="G731" s="4"/>
      <c r="H731" s="4">
        <f>SUMIFS(X!$F$5:$F$2005,X!$D$5:$D$2005,'CEK CICI'!A731)</f>
        <v>0</v>
      </c>
      <c r="I731" s="4">
        <f>SUMIFS(PENJUALAN!$E$4:$E$4288,PENJUALAN!$C$4:$C$4288,'CEK CICI'!A731)</f>
        <v>0</v>
      </c>
      <c r="J731" s="16">
        <f t="shared" si="2"/>
        <v>0</v>
      </c>
      <c r="K731" s="4"/>
      <c r="L731" s="4"/>
      <c r="M731" s="4"/>
      <c r="N731" s="4"/>
    </row>
    <row r="732" ht="13.5" hidden="1" customHeight="1">
      <c r="A732" s="4" t="str">
        <f t="shared" si="1"/>
        <v>TRW-CAMRY11FY</v>
      </c>
      <c r="B732" s="29" t="s">
        <v>1116</v>
      </c>
      <c r="C732" s="28" t="s">
        <v>1115</v>
      </c>
      <c r="D732" s="28" t="s">
        <v>41</v>
      </c>
      <c r="E732" s="4" t="s">
        <v>111</v>
      </c>
      <c r="F732" s="28" t="s">
        <v>114</v>
      </c>
      <c r="G732" s="4"/>
      <c r="H732" s="4">
        <f>SUMIFS(X!$F$5:$F$2005,X!$D$5:$D$2005,'CEK CICI'!A732)</f>
        <v>0</v>
      </c>
      <c r="I732" s="4">
        <f>SUMIFS(PENJUALAN!$E$4:$E$4288,PENJUALAN!$C$4:$C$4288,'CEK CICI'!A732)</f>
        <v>0</v>
      </c>
      <c r="J732" s="16">
        <f t="shared" si="2"/>
        <v>0</v>
      </c>
      <c r="K732" s="4"/>
      <c r="L732" s="4"/>
      <c r="M732" s="4"/>
      <c r="N732" s="4"/>
    </row>
    <row r="733" ht="13.5" hidden="1" customHeight="1">
      <c r="A733" s="4" t="str">
        <f t="shared" si="1"/>
        <v>FDL-CAMRY11FY</v>
      </c>
      <c r="B733" s="29" t="s">
        <v>1117</v>
      </c>
      <c r="C733" s="28" t="s">
        <v>1115</v>
      </c>
      <c r="D733" s="28" t="s">
        <v>128</v>
      </c>
      <c r="E733" s="4" t="s">
        <v>111</v>
      </c>
      <c r="F733" s="28"/>
      <c r="G733" s="4"/>
      <c r="H733" s="4">
        <f>SUMIFS(X!$F$5:$F$2005,X!$D$5:$D$2005,'CEK CICI'!A733)</f>
        <v>0</v>
      </c>
      <c r="I733" s="4">
        <f>SUMIFS(PENJUALAN!$E$4:$E$4288,PENJUALAN!$C$4:$C$4288,'CEK CICI'!A733)</f>
        <v>0</v>
      </c>
      <c r="J733" s="16">
        <f t="shared" si="2"/>
        <v>0</v>
      </c>
      <c r="K733" s="4"/>
      <c r="L733" s="4"/>
      <c r="M733" s="4"/>
      <c r="N733" s="4"/>
    </row>
    <row r="734" ht="13.5" hidden="1" customHeight="1">
      <c r="A734" s="4" t="str">
        <f t="shared" si="1"/>
        <v>FDR-CAMRY11FY</v>
      </c>
      <c r="B734" s="29" t="s">
        <v>1118</v>
      </c>
      <c r="C734" s="28" t="s">
        <v>1115</v>
      </c>
      <c r="D734" s="28" t="s">
        <v>130</v>
      </c>
      <c r="E734" s="4" t="s">
        <v>111</v>
      </c>
      <c r="F734" s="28"/>
      <c r="G734" s="4"/>
      <c r="H734" s="4">
        <f>SUMIFS(X!$F$5:$F$2005,X!$D$5:$D$2005,'CEK CICI'!A734)</f>
        <v>0</v>
      </c>
      <c r="I734" s="4">
        <f>SUMIFS(PENJUALAN!$E$4:$E$4288,PENJUALAN!$C$4:$C$4288,'CEK CICI'!A734)</f>
        <v>0</v>
      </c>
      <c r="J734" s="16">
        <f t="shared" si="2"/>
        <v>0</v>
      </c>
      <c r="K734" s="4"/>
      <c r="L734" s="4"/>
      <c r="M734" s="4"/>
      <c r="N734" s="4"/>
    </row>
    <row r="735" ht="13.5" hidden="1" customHeight="1">
      <c r="A735" s="4" t="str">
        <f t="shared" si="1"/>
        <v>TRW-COROLLA87FY</v>
      </c>
      <c r="B735" s="29" t="s">
        <v>1119</v>
      </c>
      <c r="C735" s="28" t="s">
        <v>1120</v>
      </c>
      <c r="D735" s="28" t="s">
        <v>41</v>
      </c>
      <c r="E735" s="4" t="s">
        <v>111</v>
      </c>
      <c r="F735" s="28" t="s">
        <v>67</v>
      </c>
      <c r="G735" s="4"/>
      <c r="H735" s="4">
        <f>SUMIFS(X!$F$5:$F$2005,X!$D$5:$D$2005,'CEK CICI'!A735)</f>
        <v>0</v>
      </c>
      <c r="I735" s="4">
        <f>SUMIFS(PENJUALAN!$E$4:$E$4288,PENJUALAN!$C$4:$C$4288,'CEK CICI'!A735)</f>
        <v>0</v>
      </c>
      <c r="J735" s="16">
        <f t="shared" si="2"/>
        <v>0</v>
      </c>
      <c r="K735" s="4"/>
      <c r="L735" s="4"/>
      <c r="M735" s="4"/>
      <c r="N735" s="4"/>
    </row>
    <row r="736" ht="13.5" hidden="1" customHeight="1">
      <c r="A736" s="4" t="str">
        <f t="shared" si="1"/>
        <v>LFW-COROLLA91FY</v>
      </c>
      <c r="B736" s="29" t="s">
        <v>1121</v>
      </c>
      <c r="C736" s="28" t="s">
        <v>1122</v>
      </c>
      <c r="D736" s="28" t="s">
        <v>22</v>
      </c>
      <c r="E736" s="4" t="s">
        <v>111</v>
      </c>
      <c r="F736" s="28" t="s">
        <v>97</v>
      </c>
      <c r="G736" s="4"/>
      <c r="H736" s="4">
        <f>SUMIFS(X!$F$5:$F$2005,X!$D$5:$D$2005,'CEK CICI'!A736)</f>
        <v>0</v>
      </c>
      <c r="I736" s="4">
        <f>SUMIFS(PENJUALAN!$E$4:$E$4288,PENJUALAN!$C$4:$C$4288,'CEK CICI'!A736)</f>
        <v>0</v>
      </c>
      <c r="J736" s="16">
        <f t="shared" si="2"/>
        <v>0</v>
      </c>
      <c r="K736" s="4"/>
      <c r="L736" s="4"/>
      <c r="M736" s="4"/>
      <c r="N736" s="4"/>
    </row>
    <row r="737" ht="13.5" hidden="1" customHeight="1">
      <c r="A737" s="4" t="str">
        <f t="shared" si="1"/>
        <v>TRW-COROLLA91FY</v>
      </c>
      <c r="B737" s="29" t="s">
        <v>1123</v>
      </c>
      <c r="C737" s="28" t="s">
        <v>1122</v>
      </c>
      <c r="D737" s="28" t="s">
        <v>41</v>
      </c>
      <c r="E737" s="4" t="s">
        <v>111</v>
      </c>
      <c r="F737" s="28" t="s">
        <v>67</v>
      </c>
      <c r="G737" s="4"/>
      <c r="H737" s="4">
        <f>SUMIFS(X!$F$5:$F$2005,X!$D$5:$D$2005,'CEK CICI'!A737)</f>
        <v>0</v>
      </c>
      <c r="I737" s="4">
        <f>SUMIFS(PENJUALAN!$E$4:$E$4288,PENJUALAN!$C$4:$C$4288,'CEK CICI'!A737)</f>
        <v>0</v>
      </c>
      <c r="J737" s="16">
        <f t="shared" si="2"/>
        <v>0</v>
      </c>
      <c r="K737" s="4"/>
      <c r="L737" s="4"/>
      <c r="M737" s="4"/>
      <c r="N737" s="4"/>
    </row>
    <row r="738" ht="13.5" hidden="1" customHeight="1">
      <c r="A738" s="4" t="str">
        <f t="shared" si="1"/>
        <v>TRW-COROLLA95FY</v>
      </c>
      <c r="B738" s="29" t="s">
        <v>1124</v>
      </c>
      <c r="C738" s="28" t="s">
        <v>1125</v>
      </c>
      <c r="D738" s="28" t="s">
        <v>41</v>
      </c>
      <c r="E738" s="4" t="s">
        <v>111</v>
      </c>
      <c r="F738" s="28" t="s">
        <v>114</v>
      </c>
      <c r="G738" s="4"/>
      <c r="H738" s="4">
        <f>SUMIFS(X!$F$5:$F$2005,X!$D$5:$D$2005,'CEK CICI'!A738)</f>
        <v>0</v>
      </c>
      <c r="I738" s="4">
        <f>SUMIFS(PENJUALAN!$E$4:$E$4288,PENJUALAN!$C$4:$C$4288,'CEK CICI'!A738)</f>
        <v>0</v>
      </c>
      <c r="J738" s="16">
        <f t="shared" si="2"/>
        <v>0</v>
      </c>
      <c r="K738" s="4"/>
      <c r="L738" s="4"/>
      <c r="M738" s="4"/>
      <c r="N738" s="4"/>
    </row>
    <row r="739" ht="13.5" hidden="1" customHeight="1">
      <c r="A739" s="4" t="str">
        <f t="shared" si="1"/>
        <v>TRW-ETIOSSEDANFY</v>
      </c>
      <c r="B739" s="29" t="s">
        <v>1126</v>
      </c>
      <c r="C739" s="28" t="s">
        <v>96</v>
      </c>
      <c r="D739" s="28" t="s">
        <v>41</v>
      </c>
      <c r="E739" s="4" t="s">
        <v>111</v>
      </c>
      <c r="F739" s="28" t="s">
        <v>97</v>
      </c>
      <c r="G739" s="4"/>
      <c r="H739" s="4">
        <f>SUMIFS(X!$F$5:$F$2005,X!$D$5:$D$2005,'CEK CICI'!A739)</f>
        <v>0</v>
      </c>
      <c r="I739" s="4">
        <f>SUMIFS(PENJUALAN!$E$4:$E$4288,PENJUALAN!$C$4:$C$4288,'CEK CICI'!A739)</f>
        <v>0</v>
      </c>
      <c r="J739" s="16">
        <f t="shared" si="2"/>
        <v>0</v>
      </c>
      <c r="K739" s="4"/>
      <c r="L739" s="4"/>
      <c r="M739" s="4"/>
      <c r="N739" s="4"/>
    </row>
    <row r="740" ht="13.5" hidden="1" customHeight="1">
      <c r="A740" s="4" t="str">
        <f t="shared" si="1"/>
        <v>TRW-ETIOSHSEDANFY</v>
      </c>
      <c r="B740" s="29" t="s">
        <v>1127</v>
      </c>
      <c r="C740" s="28" t="s">
        <v>96</v>
      </c>
      <c r="D740" s="28" t="s">
        <v>41</v>
      </c>
      <c r="E740" s="4" t="s">
        <v>111</v>
      </c>
      <c r="F740" s="28" t="s">
        <v>67</v>
      </c>
      <c r="G740" s="4"/>
      <c r="H740" s="4">
        <f>SUMIFS(X!$F$5:$F$2005,X!$D$5:$D$2005,'CEK CICI'!A740)</f>
        <v>0</v>
      </c>
      <c r="I740" s="4">
        <f>SUMIFS(PENJUALAN!$E$4:$E$4288,PENJUALAN!$C$4:$C$4288,'CEK CICI'!A740)</f>
        <v>0</v>
      </c>
      <c r="J740" s="16">
        <f t="shared" si="2"/>
        <v>0</v>
      </c>
      <c r="K740" s="4"/>
      <c r="L740" s="4"/>
      <c r="M740" s="4"/>
      <c r="N740" s="4"/>
    </row>
    <row r="741" ht="13.5" hidden="1" customHeight="1">
      <c r="A741" s="4" t="str">
        <f t="shared" si="1"/>
        <v>LFW-FORTUNER05FY</v>
      </c>
      <c r="B741" s="29" t="s">
        <v>1128</v>
      </c>
      <c r="C741" s="28" t="s">
        <v>1129</v>
      </c>
      <c r="D741" s="28" t="s">
        <v>22</v>
      </c>
      <c r="E741" s="4" t="s">
        <v>111</v>
      </c>
      <c r="F741" s="28" t="s">
        <v>125</v>
      </c>
      <c r="G741" s="4"/>
      <c r="H741" s="4">
        <f>SUMIFS(X!$F$5:$F$2005,X!$D$5:$D$2005,'CEK CICI'!A741)</f>
        <v>0</v>
      </c>
      <c r="I741" s="4">
        <f>SUMIFS(PENJUALAN!$E$4:$E$4288,PENJUALAN!$C$4:$C$4288,'CEK CICI'!A741)</f>
        <v>0</v>
      </c>
      <c r="J741" s="16">
        <f t="shared" si="2"/>
        <v>0</v>
      </c>
      <c r="K741" s="4"/>
      <c r="L741" s="4"/>
      <c r="M741" s="4"/>
      <c r="N741" s="4"/>
    </row>
    <row r="742" ht="13.5" hidden="1" customHeight="1">
      <c r="A742" s="4" t="str">
        <f t="shared" si="1"/>
        <v>TRW-FORTUNER05FY</v>
      </c>
      <c r="B742" s="29" t="s">
        <v>1130</v>
      </c>
      <c r="C742" s="28" t="s">
        <v>1129</v>
      </c>
      <c r="D742" s="28" t="s">
        <v>41</v>
      </c>
      <c r="E742" s="4" t="s">
        <v>111</v>
      </c>
      <c r="F742" s="28" t="s">
        <v>67</v>
      </c>
      <c r="G742" s="4"/>
      <c r="H742" s="4">
        <f>SUMIFS(X!$F$5:$F$2005,X!$D$5:$D$2005,'CEK CICI'!A742)</f>
        <v>0</v>
      </c>
      <c r="I742" s="4">
        <f>SUMIFS(PENJUALAN!$E$4:$E$4288,PENJUALAN!$C$4:$C$4288,'CEK CICI'!A742)</f>
        <v>0</v>
      </c>
      <c r="J742" s="16">
        <f t="shared" si="2"/>
        <v>0</v>
      </c>
      <c r="K742" s="4"/>
      <c r="L742" s="4"/>
      <c r="M742" s="4"/>
      <c r="N742" s="4"/>
    </row>
    <row r="743" ht="13.5" hidden="1" customHeight="1">
      <c r="A743" s="4" t="str">
        <f t="shared" si="1"/>
        <v>TRW-FORTUNER05BLACKFY</v>
      </c>
      <c r="B743" s="29" t="s">
        <v>1131</v>
      </c>
      <c r="C743" s="28" t="s">
        <v>1132</v>
      </c>
      <c r="D743" s="28" t="s">
        <v>41</v>
      </c>
      <c r="E743" s="4" t="s">
        <v>111</v>
      </c>
      <c r="F743" s="28" t="s">
        <v>67</v>
      </c>
      <c r="G743" s="4"/>
      <c r="H743" s="4">
        <f>SUMIFS(X!$F$5:$F$2005,X!$D$5:$D$2005,'CEK CICI'!A743)</f>
        <v>0</v>
      </c>
      <c r="I743" s="4">
        <f>SUMIFS(PENJUALAN!$E$4:$E$4288,PENJUALAN!$C$4:$C$4288,'CEK CICI'!A743)</f>
        <v>0</v>
      </c>
      <c r="J743" s="16">
        <f t="shared" si="2"/>
        <v>0</v>
      </c>
      <c r="K743" s="4"/>
      <c r="L743" s="4"/>
      <c r="M743" s="4"/>
      <c r="N743" s="4"/>
    </row>
    <row r="744" ht="13.5" hidden="1" customHeight="1">
      <c r="A744" s="4" t="str">
        <f t="shared" si="1"/>
        <v>RDL-FORTUNER05FY</v>
      </c>
      <c r="B744" s="29" t="s">
        <v>1133</v>
      </c>
      <c r="C744" s="28" t="s">
        <v>1129</v>
      </c>
      <c r="D744" s="28" t="s">
        <v>132</v>
      </c>
      <c r="E744" s="4" t="s">
        <v>111</v>
      </c>
      <c r="F744" s="28"/>
      <c r="G744" s="4"/>
      <c r="H744" s="4">
        <f>SUMIFS(X!$F$5:$F$2005,X!$D$5:$D$2005,'CEK CICI'!A744)</f>
        <v>0</v>
      </c>
      <c r="I744" s="4">
        <f>SUMIFS(PENJUALAN!$E$4:$E$4288,PENJUALAN!$C$4:$C$4288,'CEK CICI'!A744)</f>
        <v>0</v>
      </c>
      <c r="J744" s="16">
        <f t="shared" si="2"/>
        <v>0</v>
      </c>
      <c r="K744" s="4"/>
      <c r="L744" s="4"/>
      <c r="M744" s="4"/>
      <c r="N744" s="4"/>
    </row>
    <row r="745" ht="13.5" hidden="1" customHeight="1">
      <c r="A745" s="4" t="str">
        <f t="shared" si="1"/>
        <v>RDR-FORTUNER05FY</v>
      </c>
      <c r="B745" s="29" t="s">
        <v>1134</v>
      </c>
      <c r="C745" s="28" t="s">
        <v>1129</v>
      </c>
      <c r="D745" s="28" t="s">
        <v>134</v>
      </c>
      <c r="E745" s="4" t="s">
        <v>111</v>
      </c>
      <c r="F745" s="28"/>
      <c r="G745" s="4"/>
      <c r="H745" s="4">
        <f>SUMIFS(X!$F$5:$F$2005,X!$D$5:$D$2005,'CEK CICI'!A745)</f>
        <v>0</v>
      </c>
      <c r="I745" s="4">
        <f>SUMIFS(PENJUALAN!$E$4:$E$4288,PENJUALAN!$C$4:$C$4288,'CEK CICI'!A745)</f>
        <v>0</v>
      </c>
      <c r="J745" s="16">
        <f t="shared" si="2"/>
        <v>0</v>
      </c>
      <c r="K745" s="4"/>
      <c r="L745" s="4"/>
      <c r="M745" s="4"/>
      <c r="N745" s="4"/>
    </row>
    <row r="746" ht="13.5" hidden="1" customHeight="1">
      <c r="A746" s="4" t="str">
        <f t="shared" si="1"/>
        <v>SWL-FORTUNER05BLACKFY</v>
      </c>
      <c r="B746" s="29" t="s">
        <v>1135</v>
      </c>
      <c r="C746" s="28" t="s">
        <v>1132</v>
      </c>
      <c r="D746" s="28" t="s">
        <v>202</v>
      </c>
      <c r="E746" s="4" t="s">
        <v>111</v>
      </c>
      <c r="F746" s="28" t="s">
        <v>97</v>
      </c>
      <c r="G746" s="4"/>
      <c r="H746" s="4">
        <f>SUMIFS(X!$F$5:$F$2005,X!$D$5:$D$2005,'CEK CICI'!A746)</f>
        <v>0</v>
      </c>
      <c r="I746" s="4">
        <f>SUMIFS(PENJUALAN!$E$4:$E$4288,PENJUALAN!$C$4:$C$4288,'CEK CICI'!A746)</f>
        <v>0</v>
      </c>
      <c r="J746" s="16">
        <f t="shared" si="2"/>
        <v>0</v>
      </c>
      <c r="K746" s="4"/>
      <c r="L746" s="4"/>
      <c r="M746" s="4"/>
      <c r="N746" s="4"/>
    </row>
    <row r="747" ht="13.5" hidden="1" customHeight="1">
      <c r="A747" s="4" t="str">
        <f t="shared" si="1"/>
        <v>SWR-FORTUNER05BLACKFY</v>
      </c>
      <c r="B747" s="29" t="s">
        <v>1136</v>
      </c>
      <c r="C747" s="28" t="s">
        <v>1132</v>
      </c>
      <c r="D747" s="28" t="s">
        <v>236</v>
      </c>
      <c r="E747" s="4" t="s">
        <v>111</v>
      </c>
      <c r="F747" s="28" t="s">
        <v>234</v>
      </c>
      <c r="G747" s="4"/>
      <c r="H747" s="4">
        <f>SUMIFS(X!$F$5:$F$2005,X!$D$5:$D$2005,'CEK CICI'!A747)</f>
        <v>0</v>
      </c>
      <c r="I747" s="4">
        <f>SUMIFS(PENJUALAN!$E$4:$E$4288,PENJUALAN!$C$4:$C$4288,'CEK CICI'!A747)</f>
        <v>0</v>
      </c>
      <c r="J747" s="16">
        <f t="shared" si="2"/>
        <v>0</v>
      </c>
      <c r="K747" s="4"/>
      <c r="L747" s="4"/>
      <c r="M747" s="4"/>
      <c r="N747" s="4"/>
    </row>
    <row r="748" ht="13.5" hidden="1" customHeight="1">
      <c r="A748" s="4" t="str">
        <f t="shared" si="1"/>
        <v>LFW-FORTUNER15FY</v>
      </c>
      <c r="B748" s="29" t="s">
        <v>1137</v>
      </c>
      <c r="C748" s="28" t="s">
        <v>1138</v>
      </c>
      <c r="D748" s="28" t="s">
        <v>22</v>
      </c>
      <c r="E748" s="4" t="s">
        <v>111</v>
      </c>
      <c r="F748" s="28" t="s">
        <v>125</v>
      </c>
      <c r="G748" s="4"/>
      <c r="H748" s="4">
        <f>SUMIFS(X!$F$5:$F$2005,X!$D$5:$D$2005,'CEK CICI'!A748)</f>
        <v>0</v>
      </c>
      <c r="I748" s="4">
        <f>SUMIFS(PENJUALAN!$E$4:$E$4288,PENJUALAN!$C$4:$C$4288,'CEK CICI'!A748)</f>
        <v>0</v>
      </c>
      <c r="J748" s="16">
        <f t="shared" si="2"/>
        <v>0</v>
      </c>
      <c r="K748" s="4"/>
      <c r="L748" s="4"/>
      <c r="M748" s="4"/>
      <c r="N748" s="4"/>
    </row>
    <row r="749" ht="13.5" hidden="1" customHeight="1">
      <c r="A749" s="4" t="str">
        <f t="shared" si="1"/>
        <v>TRW-FORTUNER15FY</v>
      </c>
      <c r="B749" s="29" t="s">
        <v>1139</v>
      </c>
      <c r="C749" s="28" t="s">
        <v>1138</v>
      </c>
      <c r="D749" s="28" t="s">
        <v>41</v>
      </c>
      <c r="E749" s="4" t="s">
        <v>111</v>
      </c>
      <c r="F749" s="28" t="s">
        <v>221</v>
      </c>
      <c r="G749" s="4"/>
      <c r="H749" s="4">
        <f>SUMIFS(X!$F$5:$F$2005,X!$D$5:$D$2005,'CEK CICI'!A749)</f>
        <v>0</v>
      </c>
      <c r="I749" s="4">
        <f>SUMIFS(PENJUALAN!$E$4:$E$4288,PENJUALAN!$C$4:$C$4288,'CEK CICI'!A749)</f>
        <v>0</v>
      </c>
      <c r="J749" s="16">
        <f t="shared" si="2"/>
        <v>0</v>
      </c>
      <c r="K749" s="4"/>
      <c r="L749" s="4"/>
      <c r="M749" s="4"/>
      <c r="N749" s="4"/>
    </row>
    <row r="750" ht="13.5" hidden="1" customHeight="1">
      <c r="A750" s="4" t="str">
        <f t="shared" si="1"/>
        <v>TRW-FORTUNER15BLACKFY</v>
      </c>
      <c r="B750" s="29" t="s">
        <v>1140</v>
      </c>
      <c r="C750" s="28" t="s">
        <v>1141</v>
      </c>
      <c r="D750" s="28" t="s">
        <v>41</v>
      </c>
      <c r="E750" s="4" t="s">
        <v>111</v>
      </c>
      <c r="F750" s="28" t="s">
        <v>221</v>
      </c>
      <c r="G750" s="4"/>
      <c r="H750" s="4">
        <f>SUMIFS(X!$F$5:$F$2005,X!$D$5:$D$2005,'CEK CICI'!A750)</f>
        <v>0</v>
      </c>
      <c r="I750" s="4">
        <f>SUMIFS(PENJUALAN!$E$4:$E$4288,PENJUALAN!$C$4:$C$4288,'CEK CICI'!A750)</f>
        <v>0</v>
      </c>
      <c r="J750" s="16">
        <f t="shared" si="2"/>
        <v>0</v>
      </c>
      <c r="K750" s="4"/>
      <c r="L750" s="4"/>
      <c r="M750" s="4"/>
      <c r="N750" s="4"/>
    </row>
    <row r="751" ht="13.5" hidden="1" customHeight="1">
      <c r="A751" s="4" t="str">
        <f t="shared" si="1"/>
        <v>RDL-FORTUNER15FY</v>
      </c>
      <c r="B751" s="29" t="s">
        <v>1142</v>
      </c>
      <c r="C751" s="28" t="s">
        <v>1138</v>
      </c>
      <c r="D751" s="28" t="s">
        <v>132</v>
      </c>
      <c r="E751" s="4" t="s">
        <v>111</v>
      </c>
      <c r="F751" s="28"/>
      <c r="G751" s="4"/>
      <c r="H751" s="4">
        <f>SUMIFS(X!$F$5:$F$2005,X!$D$5:$D$2005,'CEK CICI'!A751)</f>
        <v>0</v>
      </c>
      <c r="I751" s="4">
        <f>SUMIFS(PENJUALAN!$E$4:$E$4288,PENJUALAN!$C$4:$C$4288,'CEK CICI'!A751)</f>
        <v>0</v>
      </c>
      <c r="J751" s="16">
        <f t="shared" si="2"/>
        <v>0</v>
      </c>
      <c r="K751" s="4"/>
      <c r="L751" s="4"/>
      <c r="M751" s="4"/>
      <c r="N751" s="4"/>
    </row>
    <row r="752" ht="13.5" hidden="1" customHeight="1">
      <c r="A752" s="4" t="str">
        <f t="shared" si="1"/>
        <v>RDR-FORTUNER15FY</v>
      </c>
      <c r="B752" s="29" t="s">
        <v>1143</v>
      </c>
      <c r="C752" s="28" t="s">
        <v>1138</v>
      </c>
      <c r="D752" s="28" t="s">
        <v>134</v>
      </c>
      <c r="E752" s="4" t="s">
        <v>111</v>
      </c>
      <c r="F752" s="28"/>
      <c r="G752" s="4"/>
      <c r="H752" s="4">
        <f>SUMIFS(X!$F$5:$F$2005,X!$D$5:$D$2005,'CEK CICI'!A752)</f>
        <v>0</v>
      </c>
      <c r="I752" s="4">
        <f>SUMIFS(PENJUALAN!$E$4:$E$4288,PENJUALAN!$C$4:$C$4288,'CEK CICI'!A752)</f>
        <v>0</v>
      </c>
      <c r="J752" s="16">
        <f t="shared" si="2"/>
        <v>0</v>
      </c>
      <c r="K752" s="4"/>
      <c r="L752" s="4"/>
      <c r="M752" s="4"/>
      <c r="N752" s="4"/>
    </row>
    <row r="753" ht="13.5" hidden="1" customHeight="1">
      <c r="A753" s="4" t="str">
        <f t="shared" si="1"/>
        <v>LFW-HIACEFY</v>
      </c>
      <c r="B753" s="29" t="s">
        <v>1144</v>
      </c>
      <c r="C753" s="28" t="s">
        <v>1145</v>
      </c>
      <c r="D753" s="28" t="s">
        <v>22</v>
      </c>
      <c r="E753" s="4" t="s">
        <v>111</v>
      </c>
      <c r="F753" s="28" t="s">
        <v>125</v>
      </c>
      <c r="G753" s="4"/>
      <c r="H753" s="4">
        <f>SUMIFS(X!$F$5:$F$2005,X!$D$5:$D$2005,'CEK CICI'!A753)</f>
        <v>0</v>
      </c>
      <c r="I753" s="4">
        <f>SUMIFS(PENJUALAN!$E$4:$E$4288,PENJUALAN!$C$4:$C$4288,'CEK CICI'!A753)</f>
        <v>0</v>
      </c>
      <c r="J753" s="16">
        <f t="shared" si="2"/>
        <v>0</v>
      </c>
      <c r="K753" s="4"/>
      <c r="L753" s="4"/>
      <c r="M753" s="4"/>
      <c r="N753" s="4"/>
    </row>
    <row r="754" ht="13.5" hidden="1" customHeight="1">
      <c r="A754" s="4" t="str">
        <f t="shared" si="1"/>
        <v>TRW-HIACEFY</v>
      </c>
      <c r="B754" s="29" t="s">
        <v>1146</v>
      </c>
      <c r="C754" s="28" t="s">
        <v>1145</v>
      </c>
      <c r="D754" s="28" t="s">
        <v>41</v>
      </c>
      <c r="E754" s="4" t="s">
        <v>111</v>
      </c>
      <c r="F754" s="28" t="s">
        <v>439</v>
      </c>
      <c r="G754" s="4"/>
      <c r="H754" s="4">
        <f>SUMIFS(X!$F$5:$F$2005,X!$D$5:$D$2005,'CEK CICI'!A754)</f>
        <v>0</v>
      </c>
      <c r="I754" s="4">
        <f>SUMIFS(PENJUALAN!$E$4:$E$4288,PENJUALAN!$C$4:$C$4288,'CEK CICI'!A754)</f>
        <v>0</v>
      </c>
      <c r="J754" s="16">
        <f t="shared" si="2"/>
        <v>0</v>
      </c>
      <c r="K754" s="4"/>
      <c r="L754" s="4"/>
      <c r="M754" s="4"/>
      <c r="N754" s="4"/>
    </row>
    <row r="755" ht="13.5" hidden="1" customHeight="1">
      <c r="A755" s="4" t="str">
        <f t="shared" si="1"/>
        <v>FDL-HIACEFY</v>
      </c>
      <c r="B755" s="29" t="s">
        <v>1147</v>
      </c>
      <c r="C755" s="28" t="s">
        <v>1145</v>
      </c>
      <c r="D755" s="28" t="s">
        <v>128</v>
      </c>
      <c r="E755" s="4" t="s">
        <v>111</v>
      </c>
      <c r="F755" s="28" t="s">
        <v>397</v>
      </c>
      <c r="G755" s="4"/>
      <c r="H755" s="4">
        <f>SUMIFS(X!$F$5:$F$2005,X!$D$5:$D$2005,'CEK CICI'!A755)</f>
        <v>0</v>
      </c>
      <c r="I755" s="4">
        <f>SUMIFS(PENJUALAN!$E$4:$E$4288,PENJUALAN!$C$4:$C$4288,'CEK CICI'!A755)</f>
        <v>0</v>
      </c>
      <c r="J755" s="16">
        <f t="shared" si="2"/>
        <v>0</v>
      </c>
      <c r="K755" s="4"/>
      <c r="L755" s="4"/>
      <c r="M755" s="4"/>
      <c r="N755" s="4"/>
    </row>
    <row r="756" ht="13.5" hidden="1" customHeight="1">
      <c r="A756" s="4" t="str">
        <f t="shared" si="1"/>
        <v>FDR-HIACEFY</v>
      </c>
      <c r="B756" s="29" t="s">
        <v>1148</v>
      </c>
      <c r="C756" s="28" t="s">
        <v>1145</v>
      </c>
      <c r="D756" s="28" t="s">
        <v>130</v>
      </c>
      <c r="E756" s="4" t="s">
        <v>111</v>
      </c>
      <c r="F756" s="28" t="s">
        <v>397</v>
      </c>
      <c r="G756" s="4"/>
      <c r="H756" s="4">
        <f>SUMIFS(X!$F$5:$F$2005,X!$D$5:$D$2005,'CEK CICI'!A756)</f>
        <v>0</v>
      </c>
      <c r="I756" s="4">
        <f>SUMIFS(PENJUALAN!$E$4:$E$4288,PENJUALAN!$C$4:$C$4288,'CEK CICI'!A756)</f>
        <v>0</v>
      </c>
      <c r="J756" s="16">
        <f t="shared" si="2"/>
        <v>0</v>
      </c>
      <c r="K756" s="4"/>
      <c r="L756" s="4"/>
      <c r="M756" s="4"/>
      <c r="N756" s="4"/>
    </row>
    <row r="757" ht="13.5" hidden="1" customHeight="1">
      <c r="A757" s="4" t="str">
        <f t="shared" si="1"/>
        <v>SRL-HIACEFY</v>
      </c>
      <c r="B757" s="29" t="s">
        <v>1149</v>
      </c>
      <c r="C757" s="28" t="s">
        <v>1145</v>
      </c>
      <c r="D757" s="28" t="s">
        <v>908</v>
      </c>
      <c r="E757" s="4" t="s">
        <v>111</v>
      </c>
      <c r="F757" s="28" t="s">
        <v>97</v>
      </c>
      <c r="G757" s="4"/>
      <c r="H757" s="4">
        <f>SUMIFS(X!$F$5:$F$2005,X!$D$5:$D$2005,'CEK CICI'!A757)</f>
        <v>0</v>
      </c>
      <c r="I757" s="4">
        <f>SUMIFS(PENJUALAN!$E$4:$E$4288,PENJUALAN!$C$4:$C$4288,'CEK CICI'!A757)</f>
        <v>0</v>
      </c>
      <c r="J757" s="16">
        <f t="shared" si="2"/>
        <v>0</v>
      </c>
      <c r="K757" s="4"/>
      <c r="L757" s="4"/>
      <c r="M757" s="4"/>
      <c r="N757" s="4"/>
    </row>
    <row r="758" ht="13.5" hidden="1" customHeight="1">
      <c r="A758" s="4" t="str">
        <f t="shared" si="1"/>
        <v>SRR-HIACEFY</v>
      </c>
      <c r="B758" s="29" t="s">
        <v>1150</v>
      </c>
      <c r="C758" s="28" t="s">
        <v>1145</v>
      </c>
      <c r="D758" s="28" t="s">
        <v>911</v>
      </c>
      <c r="E758" s="4" t="s">
        <v>111</v>
      </c>
      <c r="F758" s="28" t="s">
        <v>97</v>
      </c>
      <c r="G758" s="4"/>
      <c r="H758" s="4">
        <f>SUMIFS(X!$F$5:$F$2005,X!$D$5:$D$2005,'CEK CICI'!A758)</f>
        <v>0</v>
      </c>
      <c r="I758" s="4">
        <f>SUMIFS(PENJUALAN!$E$4:$E$4288,PENJUALAN!$C$4:$C$4288,'CEK CICI'!A758)</f>
        <v>0</v>
      </c>
      <c r="J758" s="16">
        <f t="shared" si="2"/>
        <v>0</v>
      </c>
      <c r="K758" s="4"/>
      <c r="L758" s="4"/>
      <c r="M758" s="4"/>
      <c r="N758" s="4"/>
    </row>
    <row r="759" ht="13.5" hidden="1" customHeight="1">
      <c r="A759" s="4" t="str">
        <f t="shared" si="1"/>
        <v>TRW-HIACEBLACKFY</v>
      </c>
      <c r="B759" s="29" t="s">
        <v>1151</v>
      </c>
      <c r="C759" s="28" t="s">
        <v>1152</v>
      </c>
      <c r="D759" s="28" t="s">
        <v>41</v>
      </c>
      <c r="E759" s="4" t="s">
        <v>111</v>
      </c>
      <c r="F759" s="28" t="s">
        <v>439</v>
      </c>
      <c r="G759" s="4"/>
      <c r="H759" s="4">
        <f>SUMIFS(X!$F$5:$F$2005,X!$D$5:$D$2005,'CEK CICI'!A759)</f>
        <v>0</v>
      </c>
      <c r="I759" s="4">
        <f>SUMIFS(PENJUALAN!$E$4:$E$4288,PENJUALAN!$C$4:$C$4288,'CEK CICI'!A759)</f>
        <v>0</v>
      </c>
      <c r="J759" s="16">
        <f t="shared" si="2"/>
        <v>0</v>
      </c>
      <c r="K759" s="4"/>
      <c r="L759" s="4"/>
      <c r="M759" s="4"/>
      <c r="N759" s="4"/>
    </row>
    <row r="760" ht="13.5" hidden="1" customHeight="1">
      <c r="A760" s="4" t="str">
        <f t="shared" si="1"/>
        <v>TRW-HILUX05FY</v>
      </c>
      <c r="B760" s="29" t="s">
        <v>1153</v>
      </c>
      <c r="C760" s="28" t="s">
        <v>1154</v>
      </c>
      <c r="D760" s="28" t="s">
        <v>41</v>
      </c>
      <c r="E760" s="4" t="s">
        <v>111</v>
      </c>
      <c r="F760" s="28" t="s">
        <v>118</v>
      </c>
      <c r="G760" s="4"/>
      <c r="H760" s="4">
        <f>SUMIFS(X!$F$5:$F$2005,X!$D$5:$D$2005,'CEK CICI'!A760)</f>
        <v>0</v>
      </c>
      <c r="I760" s="4">
        <f>SUMIFS(PENJUALAN!$E$4:$E$4288,PENJUALAN!$C$4:$C$4288,'CEK CICI'!A760)</f>
        <v>0</v>
      </c>
      <c r="J760" s="16">
        <f t="shared" si="2"/>
        <v>0</v>
      </c>
      <c r="K760" s="4"/>
      <c r="L760" s="4"/>
      <c r="M760" s="4"/>
      <c r="N760" s="4"/>
    </row>
    <row r="761" ht="13.5" hidden="1" customHeight="1">
      <c r="A761" s="4" t="str">
        <f t="shared" si="1"/>
        <v>LFW-HILUX15FY</v>
      </c>
      <c r="B761" s="29" t="s">
        <v>1155</v>
      </c>
      <c r="C761" s="28" t="s">
        <v>1156</v>
      </c>
      <c r="D761" s="30" t="s">
        <v>22</v>
      </c>
      <c r="E761" s="4" t="s">
        <v>111</v>
      </c>
      <c r="F761" s="28" t="s">
        <v>125</v>
      </c>
      <c r="G761" s="4"/>
      <c r="H761" s="4">
        <f>SUMIFS(X!$F$5:$F$2005,X!$D$5:$D$2005,'CEK CICI'!A761)</f>
        <v>0</v>
      </c>
      <c r="I761" s="4">
        <f>SUMIFS(PENJUALAN!$E$4:$E$4288,PENJUALAN!$C$4:$C$4288,'CEK CICI'!A761)</f>
        <v>0</v>
      </c>
      <c r="J761" s="16">
        <f t="shared" si="2"/>
        <v>0</v>
      </c>
      <c r="K761" s="4"/>
      <c r="L761" s="4"/>
      <c r="M761" s="4"/>
      <c r="N761" s="4"/>
    </row>
    <row r="762" ht="13.5" hidden="1" customHeight="1">
      <c r="A762" s="4" t="str">
        <f t="shared" si="1"/>
        <v>TRW-HILUX15HFY</v>
      </c>
      <c r="B762" s="29" t="s">
        <v>1157</v>
      </c>
      <c r="C762" s="28" t="s">
        <v>1156</v>
      </c>
      <c r="D762" s="28" t="s">
        <v>41</v>
      </c>
      <c r="E762" s="4" t="s">
        <v>111</v>
      </c>
      <c r="F762" s="28" t="s">
        <v>67</v>
      </c>
      <c r="G762" s="4"/>
      <c r="H762" s="4">
        <f>SUMIFS(X!$F$5:$F$2005,X!$D$5:$D$2005,'CEK CICI'!A762)</f>
        <v>0</v>
      </c>
      <c r="I762" s="4">
        <f>SUMIFS(PENJUALAN!$E$4:$E$4288,PENJUALAN!$C$4:$C$4288,'CEK CICI'!A762)</f>
        <v>0</v>
      </c>
      <c r="J762" s="16">
        <f t="shared" si="2"/>
        <v>0</v>
      </c>
      <c r="K762" s="4"/>
      <c r="L762" s="4"/>
      <c r="M762" s="4"/>
      <c r="N762" s="4"/>
    </row>
    <row r="763" ht="13.5" hidden="1" customHeight="1">
      <c r="A763" s="4" t="str">
        <f t="shared" si="1"/>
        <v>TRW-HILUX15FY</v>
      </c>
      <c r="B763" s="29" t="s">
        <v>1158</v>
      </c>
      <c r="C763" s="28" t="s">
        <v>1156</v>
      </c>
      <c r="D763" s="28" t="s">
        <v>41</v>
      </c>
      <c r="E763" s="4" t="s">
        <v>111</v>
      </c>
      <c r="F763" s="28" t="s">
        <v>97</v>
      </c>
      <c r="G763" s="4"/>
      <c r="H763" s="4">
        <f>SUMIFS(X!$F$5:$F$2005,X!$D$5:$D$2005,'CEK CICI'!A763)</f>
        <v>0</v>
      </c>
      <c r="I763" s="4">
        <f>SUMIFS(PENJUALAN!$E$4:$E$4288,PENJUALAN!$C$4:$C$4288,'CEK CICI'!A763)</f>
        <v>0</v>
      </c>
      <c r="J763" s="16">
        <f t="shared" si="2"/>
        <v>0</v>
      </c>
      <c r="K763" s="4"/>
      <c r="L763" s="4"/>
      <c r="M763" s="4"/>
      <c r="N763" s="4"/>
    </row>
    <row r="764" ht="13.5" hidden="1" customHeight="1">
      <c r="A764" s="4" t="str">
        <f t="shared" si="1"/>
        <v>LFW-INNOVA04FY</v>
      </c>
      <c r="B764" s="29" t="s">
        <v>1159</v>
      </c>
      <c r="C764" s="28" t="s">
        <v>1160</v>
      </c>
      <c r="D764" s="28" t="s">
        <v>22</v>
      </c>
      <c r="E764" s="4" t="s">
        <v>111</v>
      </c>
      <c r="F764" s="28" t="s">
        <v>125</v>
      </c>
      <c r="G764" s="4"/>
      <c r="H764" s="4">
        <f>SUMIFS(X!$F$5:$F$2005,X!$D$5:$D$2005,'CEK CICI'!A764)</f>
        <v>0</v>
      </c>
      <c r="I764" s="4">
        <f>SUMIFS(PENJUALAN!$E$4:$E$4288,PENJUALAN!$C$4:$C$4288,'CEK CICI'!A764)</f>
        <v>0</v>
      </c>
      <c r="J764" s="16">
        <f t="shared" si="2"/>
        <v>0</v>
      </c>
      <c r="K764" s="4"/>
      <c r="L764" s="4"/>
      <c r="M764" s="4"/>
      <c r="N764" s="4"/>
    </row>
    <row r="765" ht="13.5" hidden="1" customHeight="1">
      <c r="A765" s="4" t="str">
        <f t="shared" si="1"/>
        <v>TRW-INNOVA04HFY</v>
      </c>
      <c r="B765" s="29" t="s">
        <v>1161</v>
      </c>
      <c r="C765" s="28" t="s">
        <v>1160</v>
      </c>
      <c r="D765" s="28" t="s">
        <v>41</v>
      </c>
      <c r="E765" s="4" t="s">
        <v>111</v>
      </c>
      <c r="F765" s="28" t="s">
        <v>67</v>
      </c>
      <c r="G765" s="4"/>
      <c r="H765" s="4">
        <f>SUMIFS(X!$F$5:$F$2005,X!$D$5:$D$2005,'CEK CICI'!A765)</f>
        <v>0</v>
      </c>
      <c r="I765" s="4">
        <f>SUMIFS(PENJUALAN!$E$4:$E$4288,PENJUALAN!$C$4:$C$4288,'CEK CICI'!A765)</f>
        <v>0</v>
      </c>
      <c r="J765" s="16">
        <f t="shared" si="2"/>
        <v>0</v>
      </c>
      <c r="K765" s="4"/>
      <c r="L765" s="4"/>
      <c r="M765" s="5">
        <v>1.0</v>
      </c>
      <c r="N765" s="4"/>
    </row>
    <row r="766" ht="13.5" hidden="1" customHeight="1">
      <c r="A766" s="4" t="str">
        <f t="shared" si="1"/>
        <v>TRW-INNOVA04FY</v>
      </c>
      <c r="B766" s="29" t="s">
        <v>1162</v>
      </c>
      <c r="C766" s="28" t="s">
        <v>1160</v>
      </c>
      <c r="D766" s="28" t="s">
        <v>41</v>
      </c>
      <c r="E766" s="4" t="s">
        <v>111</v>
      </c>
      <c r="F766" s="28" t="s">
        <v>97</v>
      </c>
      <c r="G766" s="4"/>
      <c r="H766" s="4">
        <f>SUMIFS(X!$F$5:$F$2005,X!$D$5:$D$2005,'CEK CICI'!A766)</f>
        <v>0</v>
      </c>
      <c r="I766" s="4">
        <f>SUMIFS(PENJUALAN!$E$4:$E$4288,PENJUALAN!$C$4:$C$4288,'CEK CICI'!A766)</f>
        <v>0</v>
      </c>
      <c r="J766" s="16">
        <f t="shared" si="2"/>
        <v>0</v>
      </c>
      <c r="K766" s="4"/>
      <c r="L766" s="4"/>
      <c r="M766" s="4"/>
      <c r="N766" s="4"/>
    </row>
    <row r="767" ht="13.5" hidden="1" customHeight="1">
      <c r="A767" s="4" t="str">
        <f t="shared" si="1"/>
        <v>RVL-INNOVA04FY</v>
      </c>
      <c r="B767" s="29" t="s">
        <v>1163</v>
      </c>
      <c r="C767" s="28" t="s">
        <v>1160</v>
      </c>
      <c r="D767" s="28" t="s">
        <v>387</v>
      </c>
      <c r="E767" s="4" t="s">
        <v>111</v>
      </c>
      <c r="F767" s="28"/>
      <c r="G767" s="4"/>
      <c r="H767" s="4">
        <f>SUMIFS(X!$F$5:$F$2005,X!$D$5:$D$2005,'CEK CICI'!A767)</f>
        <v>0</v>
      </c>
      <c r="I767" s="4">
        <f>SUMIFS(PENJUALAN!$E$4:$E$4288,PENJUALAN!$C$4:$C$4288,'CEK CICI'!A767)</f>
        <v>0</v>
      </c>
      <c r="J767" s="16">
        <f t="shared" si="2"/>
        <v>0</v>
      </c>
      <c r="K767" s="4"/>
      <c r="L767" s="4"/>
      <c r="M767" s="4"/>
      <c r="N767" s="4"/>
    </row>
    <row r="768" ht="13.5" hidden="1" customHeight="1">
      <c r="A768" s="4" t="str">
        <f t="shared" si="1"/>
        <v>RVR-INNOVA04FY</v>
      </c>
      <c r="B768" s="29" t="s">
        <v>1164</v>
      </c>
      <c r="C768" s="28" t="s">
        <v>1160</v>
      </c>
      <c r="D768" s="28" t="s">
        <v>389</v>
      </c>
      <c r="E768" s="4" t="s">
        <v>111</v>
      </c>
      <c r="F768" s="28"/>
      <c r="G768" s="4"/>
      <c r="H768" s="4">
        <f>SUMIFS(X!$F$5:$F$2005,X!$D$5:$D$2005,'CEK CICI'!A768)</f>
        <v>0</v>
      </c>
      <c r="I768" s="4">
        <f>SUMIFS(PENJUALAN!$E$4:$E$4288,PENJUALAN!$C$4:$C$4288,'CEK CICI'!A768)</f>
        <v>0</v>
      </c>
      <c r="J768" s="16">
        <f t="shared" si="2"/>
        <v>0</v>
      </c>
      <c r="K768" s="4"/>
      <c r="L768" s="4"/>
      <c r="M768" s="4"/>
      <c r="N768" s="4"/>
    </row>
    <row r="769" ht="13.5" hidden="1" customHeight="1">
      <c r="A769" s="4" t="str">
        <f t="shared" si="1"/>
        <v>RQR-INNOVA04FY</v>
      </c>
      <c r="B769" s="29" t="s">
        <v>1165</v>
      </c>
      <c r="C769" s="28" t="s">
        <v>1160</v>
      </c>
      <c r="D769" s="28" t="s">
        <v>236</v>
      </c>
      <c r="E769" s="4" t="s">
        <v>111</v>
      </c>
      <c r="F769" s="28" t="s">
        <v>234</v>
      </c>
      <c r="G769" s="4"/>
      <c r="H769" s="4">
        <f>SUMIFS(X!$F$5:$F$2005,X!$D$5:$D$2005,'CEK CICI'!A769)</f>
        <v>0</v>
      </c>
      <c r="I769" s="4">
        <f>SUMIFS(PENJUALAN!$E$4:$E$4288,PENJUALAN!$C$4:$C$4288,'CEK CICI'!A769)</f>
        <v>0</v>
      </c>
      <c r="J769" s="16">
        <f t="shared" si="2"/>
        <v>0</v>
      </c>
      <c r="K769" s="4"/>
      <c r="L769" s="4"/>
      <c r="M769" s="4"/>
      <c r="N769" s="4"/>
    </row>
    <row r="770" ht="13.5" hidden="1" customHeight="1">
      <c r="A770" s="4" t="str">
        <f t="shared" si="1"/>
        <v>LFW-INNOVA15FY</v>
      </c>
      <c r="B770" s="29" t="s">
        <v>1166</v>
      </c>
      <c r="C770" s="28" t="s">
        <v>1167</v>
      </c>
      <c r="D770" s="28" t="s">
        <v>22</v>
      </c>
      <c r="E770" s="4" t="s">
        <v>111</v>
      </c>
      <c r="F770" s="28" t="s">
        <v>125</v>
      </c>
      <c r="G770" s="4"/>
      <c r="H770" s="4">
        <f>SUMIFS(X!$F$5:$F$2005,X!$D$5:$D$2005,'CEK CICI'!A770)</f>
        <v>0</v>
      </c>
      <c r="I770" s="4">
        <f>SUMIFS(PENJUALAN!$E$4:$E$4288,PENJUALAN!$C$4:$C$4288,'CEK CICI'!A770)</f>
        <v>0</v>
      </c>
      <c r="J770" s="16">
        <f t="shared" si="2"/>
        <v>0</v>
      </c>
      <c r="K770" s="4"/>
      <c r="L770" s="4"/>
      <c r="M770" s="4"/>
      <c r="N770" s="4"/>
    </row>
    <row r="771" ht="13.5" hidden="1" customHeight="1">
      <c r="A771" s="4" t="str">
        <f t="shared" si="1"/>
        <v>LFW-ISTFY</v>
      </c>
      <c r="B771" s="29" t="s">
        <v>1168</v>
      </c>
      <c r="C771" s="28" t="s">
        <v>1169</v>
      </c>
      <c r="D771" s="28" t="s">
        <v>22</v>
      </c>
      <c r="E771" s="4" t="s">
        <v>111</v>
      </c>
      <c r="F771" s="28" t="s">
        <v>125</v>
      </c>
      <c r="G771" s="4"/>
      <c r="H771" s="4">
        <f>SUMIFS(X!$F$5:$F$2005,X!$D$5:$D$2005,'CEK CICI'!A771)</f>
        <v>0</v>
      </c>
      <c r="I771" s="4">
        <f>SUMIFS(PENJUALAN!$E$4:$E$4288,PENJUALAN!$C$4:$C$4288,'CEK CICI'!A771)</f>
        <v>0</v>
      </c>
      <c r="J771" s="16">
        <f t="shared" si="2"/>
        <v>0</v>
      </c>
      <c r="K771" s="4"/>
      <c r="L771" s="4"/>
      <c r="M771" s="4"/>
      <c r="N771" s="4"/>
    </row>
    <row r="772" ht="13.5" hidden="1" customHeight="1">
      <c r="A772" s="4" t="str">
        <f t="shared" si="1"/>
        <v>TRW-ISTFY</v>
      </c>
      <c r="B772" s="29" t="s">
        <v>1170</v>
      </c>
      <c r="C772" s="28" t="s">
        <v>1169</v>
      </c>
      <c r="D772" s="28" t="s">
        <v>41</v>
      </c>
      <c r="E772" s="4" t="s">
        <v>111</v>
      </c>
      <c r="F772" s="28" t="s">
        <v>67</v>
      </c>
      <c r="G772" s="4"/>
      <c r="H772" s="4">
        <f>SUMIFS(X!$F$5:$F$2005,X!$D$5:$D$2005,'CEK CICI'!A772)</f>
        <v>0</v>
      </c>
      <c r="I772" s="4">
        <f>SUMIFS(PENJUALAN!$E$4:$E$4288,PENJUALAN!$C$4:$C$4288,'CEK CICI'!A772)</f>
        <v>0</v>
      </c>
      <c r="J772" s="16">
        <f t="shared" si="2"/>
        <v>0</v>
      </c>
      <c r="K772" s="4"/>
      <c r="L772" s="4"/>
      <c r="M772" s="4"/>
      <c r="N772" s="4"/>
    </row>
    <row r="773" ht="13.5" hidden="1" customHeight="1">
      <c r="A773" s="4" t="str">
        <f t="shared" si="1"/>
        <v>LFW-FJ80FY</v>
      </c>
      <c r="B773" s="29" t="s">
        <v>1171</v>
      </c>
      <c r="C773" s="28" t="s">
        <v>1172</v>
      </c>
      <c r="D773" s="28" t="s">
        <v>22</v>
      </c>
      <c r="E773" s="4" t="s">
        <v>111</v>
      </c>
      <c r="F773" s="28"/>
      <c r="G773" s="4"/>
      <c r="H773" s="4">
        <f>SUMIFS(X!$F$5:$F$2005,X!$D$5:$D$2005,'CEK CICI'!A773)</f>
        <v>0</v>
      </c>
      <c r="I773" s="4">
        <f>SUMIFS(PENJUALAN!$E$4:$E$4288,PENJUALAN!$C$4:$C$4288,'CEK CICI'!A773)</f>
        <v>0</v>
      </c>
      <c r="J773" s="16">
        <f t="shared" si="2"/>
        <v>0</v>
      </c>
      <c r="K773" s="4"/>
      <c r="L773" s="4"/>
      <c r="M773" s="4"/>
      <c r="N773" s="4"/>
    </row>
    <row r="774" ht="13.5" hidden="1" customHeight="1">
      <c r="A774" s="4" t="str">
        <f t="shared" si="1"/>
        <v>TRW-FJ80FY</v>
      </c>
      <c r="B774" s="29" t="s">
        <v>1173</v>
      </c>
      <c r="C774" s="28" t="s">
        <v>1172</v>
      </c>
      <c r="D774" s="28" t="s">
        <v>41</v>
      </c>
      <c r="E774" s="4" t="s">
        <v>111</v>
      </c>
      <c r="F774" s="28" t="s">
        <v>122</v>
      </c>
      <c r="G774" s="4"/>
      <c r="H774" s="4">
        <f>SUMIFS(X!$F$5:$F$2005,X!$D$5:$D$2005,'CEK CICI'!A774)</f>
        <v>0</v>
      </c>
      <c r="I774" s="4">
        <f>SUMIFS(PENJUALAN!$E$4:$E$4288,PENJUALAN!$C$4:$C$4288,'CEK CICI'!A774)</f>
        <v>0</v>
      </c>
      <c r="J774" s="16">
        <f t="shared" si="2"/>
        <v>0</v>
      </c>
      <c r="K774" s="4"/>
      <c r="L774" s="4"/>
      <c r="M774" s="4"/>
      <c r="N774" s="4"/>
    </row>
    <row r="775" ht="13.5" hidden="1" customHeight="1">
      <c r="A775" s="4" t="str">
        <f t="shared" si="1"/>
        <v>RDL-FJ80FY</v>
      </c>
      <c r="B775" s="29" t="s">
        <v>1174</v>
      </c>
      <c r="C775" s="28" t="s">
        <v>1172</v>
      </c>
      <c r="D775" s="28" t="s">
        <v>132</v>
      </c>
      <c r="E775" s="4" t="s">
        <v>111</v>
      </c>
      <c r="F775" s="28"/>
      <c r="G775" s="4"/>
      <c r="H775" s="4">
        <f>SUMIFS(X!$F$5:$F$2005,X!$D$5:$D$2005,'CEK CICI'!A775)</f>
        <v>0</v>
      </c>
      <c r="I775" s="4">
        <f>SUMIFS(PENJUALAN!$E$4:$E$4288,PENJUALAN!$C$4:$C$4288,'CEK CICI'!A775)</f>
        <v>0</v>
      </c>
      <c r="J775" s="16">
        <f t="shared" si="2"/>
        <v>0</v>
      </c>
      <c r="K775" s="4"/>
      <c r="L775" s="4"/>
      <c r="M775" s="4"/>
      <c r="N775" s="4"/>
    </row>
    <row r="776" ht="13.5" hidden="1" customHeight="1">
      <c r="A776" s="4" t="str">
        <f t="shared" si="1"/>
        <v>RDR-FJ80FY</v>
      </c>
      <c r="B776" s="29" t="s">
        <v>1175</v>
      </c>
      <c r="C776" s="28" t="s">
        <v>1172</v>
      </c>
      <c r="D776" s="28" t="s">
        <v>134</v>
      </c>
      <c r="E776" s="4" t="s">
        <v>111</v>
      </c>
      <c r="F776" s="28"/>
      <c r="G776" s="4"/>
      <c r="H776" s="4">
        <f>SUMIFS(X!$F$5:$F$2005,X!$D$5:$D$2005,'CEK CICI'!A776)</f>
        <v>0</v>
      </c>
      <c r="I776" s="4">
        <f>SUMIFS(PENJUALAN!$E$4:$E$4288,PENJUALAN!$C$4:$C$4288,'CEK CICI'!A776)</f>
        <v>0</v>
      </c>
      <c r="J776" s="16">
        <f t="shared" si="2"/>
        <v>0</v>
      </c>
      <c r="K776" s="4"/>
      <c r="L776" s="4"/>
      <c r="M776" s="4"/>
      <c r="N776" s="4"/>
    </row>
    <row r="777" ht="13.5" hidden="1" customHeight="1">
      <c r="A777" s="4" t="str">
        <f t="shared" si="1"/>
        <v>SFL-FJ80FY</v>
      </c>
      <c r="B777" s="29" t="s">
        <v>1176</v>
      </c>
      <c r="C777" s="28" t="s">
        <v>1172</v>
      </c>
      <c r="D777" s="28" t="s">
        <v>904</v>
      </c>
      <c r="E777" s="4" t="s">
        <v>111</v>
      </c>
      <c r="F777" s="28" t="s">
        <v>141</v>
      </c>
      <c r="G777" s="4"/>
      <c r="H777" s="4">
        <f>SUMIFS(X!$F$5:$F$2005,X!$D$5:$D$2005,'CEK CICI'!A777)</f>
        <v>0</v>
      </c>
      <c r="I777" s="4">
        <f>SUMIFS(PENJUALAN!$E$4:$E$4288,PENJUALAN!$C$4:$C$4288,'CEK CICI'!A777)</f>
        <v>0</v>
      </c>
      <c r="J777" s="16">
        <f t="shared" si="2"/>
        <v>0</v>
      </c>
      <c r="K777" s="4"/>
      <c r="L777" s="4"/>
      <c r="M777" s="4"/>
      <c r="N777" s="4"/>
    </row>
    <row r="778" ht="13.5" hidden="1" customHeight="1">
      <c r="A778" s="4" t="str">
        <f t="shared" si="1"/>
        <v>SFR-FJ80FY</v>
      </c>
      <c r="B778" s="29" t="s">
        <v>1177</v>
      </c>
      <c r="C778" s="28" t="s">
        <v>1172</v>
      </c>
      <c r="D778" s="28" t="s">
        <v>906</v>
      </c>
      <c r="E778" s="4" t="s">
        <v>111</v>
      </c>
      <c r="F778" s="28" t="s">
        <v>141</v>
      </c>
      <c r="G778" s="4"/>
      <c r="H778" s="4">
        <f>SUMIFS(X!$F$5:$F$2005,X!$D$5:$D$2005,'CEK CICI'!A778)</f>
        <v>0</v>
      </c>
      <c r="I778" s="4">
        <f>SUMIFS(PENJUALAN!$E$4:$E$4288,PENJUALAN!$C$4:$C$4288,'CEK CICI'!A778)</f>
        <v>0</v>
      </c>
      <c r="J778" s="16">
        <f t="shared" si="2"/>
        <v>0</v>
      </c>
      <c r="K778" s="4"/>
      <c r="L778" s="4"/>
      <c r="M778" s="4"/>
      <c r="N778" s="4"/>
    </row>
    <row r="779" ht="13.5" hidden="1" customHeight="1">
      <c r="A779" s="4" t="str">
        <f t="shared" si="1"/>
        <v>SRL-FJ80FY</v>
      </c>
      <c r="B779" s="29" t="s">
        <v>1178</v>
      </c>
      <c r="C779" s="28" t="s">
        <v>1172</v>
      </c>
      <c r="D779" s="28" t="s">
        <v>908</v>
      </c>
      <c r="E779" s="4" t="s">
        <v>111</v>
      </c>
      <c r="F779" s="28" t="s">
        <v>141</v>
      </c>
      <c r="G779" s="4"/>
      <c r="H779" s="4">
        <f>SUMIFS(X!$F$5:$F$2005,X!$D$5:$D$2005,'CEK CICI'!A779)</f>
        <v>0</v>
      </c>
      <c r="I779" s="4">
        <f>SUMIFS(PENJUALAN!$E$4:$E$4288,PENJUALAN!$C$4:$C$4288,'CEK CICI'!A779)</f>
        <v>0</v>
      </c>
      <c r="J779" s="16">
        <f t="shared" si="2"/>
        <v>0</v>
      </c>
      <c r="K779" s="4"/>
      <c r="L779" s="4"/>
      <c r="M779" s="4"/>
      <c r="N779" s="4"/>
    </row>
    <row r="780" ht="13.5" hidden="1" customHeight="1">
      <c r="A780" s="4" t="str">
        <f t="shared" si="1"/>
        <v>SRR-FJ80FY</v>
      </c>
      <c r="B780" s="29" t="s">
        <v>1179</v>
      </c>
      <c r="C780" s="28" t="s">
        <v>1172</v>
      </c>
      <c r="D780" s="28" t="s">
        <v>911</v>
      </c>
      <c r="E780" s="4" t="s">
        <v>111</v>
      </c>
      <c r="F780" s="28" t="s">
        <v>141</v>
      </c>
      <c r="G780" s="4"/>
      <c r="H780" s="4">
        <f>SUMIFS(X!$F$5:$F$2005,X!$D$5:$D$2005,'CEK CICI'!A780)</f>
        <v>0</v>
      </c>
      <c r="I780" s="4">
        <f>SUMIFS(PENJUALAN!$E$4:$E$4288,PENJUALAN!$C$4:$C$4288,'CEK CICI'!A780)</f>
        <v>0</v>
      </c>
      <c r="J780" s="16">
        <f t="shared" si="2"/>
        <v>0</v>
      </c>
      <c r="K780" s="4"/>
      <c r="L780" s="4"/>
      <c r="M780" s="4"/>
      <c r="N780" s="4"/>
    </row>
    <row r="781" ht="13.5" hidden="1" customHeight="1">
      <c r="A781" s="4" t="str">
        <f t="shared" si="1"/>
        <v>LFW-FJ100FY</v>
      </c>
      <c r="B781" s="29" t="s">
        <v>1180</v>
      </c>
      <c r="C781" s="28" t="s">
        <v>1181</v>
      </c>
      <c r="D781" s="28" t="s">
        <v>22</v>
      </c>
      <c r="E781" s="4" t="s">
        <v>111</v>
      </c>
      <c r="F781" s="28" t="s">
        <v>125</v>
      </c>
      <c r="G781" s="4"/>
      <c r="H781" s="4">
        <f>SUMIFS(X!$F$5:$F$2005,X!$D$5:$D$2005,'CEK CICI'!A781)</f>
        <v>1</v>
      </c>
      <c r="I781" s="4">
        <f>SUMIFS(PENJUALAN!$E$4:$E$4288,PENJUALAN!$C$4:$C$4288,'CEK CICI'!A781)</f>
        <v>1</v>
      </c>
      <c r="J781" s="16">
        <f t="shared" si="2"/>
        <v>0</v>
      </c>
      <c r="K781" s="4"/>
      <c r="L781" s="4"/>
      <c r="M781" s="5">
        <v>1.0</v>
      </c>
      <c r="N781" s="4"/>
    </row>
    <row r="782" ht="13.5" hidden="1" customHeight="1">
      <c r="A782" s="4" t="str">
        <f t="shared" si="1"/>
        <v>TRW-FJ100FY</v>
      </c>
      <c r="B782" s="29" t="s">
        <v>1182</v>
      </c>
      <c r="C782" s="28" t="s">
        <v>1183</v>
      </c>
      <c r="D782" s="28" t="s">
        <v>41</v>
      </c>
      <c r="E782" s="4" t="s">
        <v>111</v>
      </c>
      <c r="F782" s="28" t="s">
        <v>67</v>
      </c>
      <c r="G782" s="4"/>
      <c r="H782" s="4">
        <f>SUMIFS(X!$F$5:$F$2005,X!$D$5:$D$2005,'CEK CICI'!A782)</f>
        <v>0</v>
      </c>
      <c r="I782" s="4">
        <f>SUMIFS(PENJUALAN!$E$4:$E$4288,PENJUALAN!$C$4:$C$4288,'CEK CICI'!A782)</f>
        <v>0</v>
      </c>
      <c r="J782" s="16">
        <f t="shared" si="2"/>
        <v>0</v>
      </c>
      <c r="K782" s="4"/>
      <c r="L782" s="4"/>
      <c r="M782" s="4"/>
      <c r="N782" s="4"/>
    </row>
    <row r="783" ht="13.5" hidden="1" customHeight="1">
      <c r="A783" s="4" t="str">
        <f t="shared" si="1"/>
        <v>RDL-FJ100FY</v>
      </c>
      <c r="B783" s="29" t="s">
        <v>1184</v>
      </c>
      <c r="C783" s="28" t="s">
        <v>1183</v>
      </c>
      <c r="D783" s="28" t="s">
        <v>132</v>
      </c>
      <c r="E783" s="4" t="s">
        <v>111</v>
      </c>
      <c r="F783" s="28"/>
      <c r="G783" s="4"/>
      <c r="H783" s="4">
        <f>SUMIFS(X!$F$5:$F$2005,X!$D$5:$D$2005,'CEK CICI'!A783)</f>
        <v>0</v>
      </c>
      <c r="I783" s="4">
        <f>SUMIFS(PENJUALAN!$E$4:$E$4288,PENJUALAN!$C$4:$C$4288,'CEK CICI'!A783)</f>
        <v>0</v>
      </c>
      <c r="J783" s="16">
        <f t="shared" si="2"/>
        <v>0</v>
      </c>
      <c r="K783" s="4"/>
      <c r="L783" s="4"/>
      <c r="M783" s="4"/>
      <c r="N783" s="4"/>
    </row>
    <row r="784" ht="13.5" hidden="1" customHeight="1">
      <c r="A784" s="4" t="str">
        <f t="shared" si="1"/>
        <v>RDR-FJ100FY</v>
      </c>
      <c r="B784" s="29" t="s">
        <v>1185</v>
      </c>
      <c r="C784" s="28" t="s">
        <v>1183</v>
      </c>
      <c r="D784" s="28" t="s">
        <v>134</v>
      </c>
      <c r="E784" s="4" t="s">
        <v>111</v>
      </c>
      <c r="F784" s="28"/>
      <c r="G784" s="4"/>
      <c r="H784" s="4">
        <f>SUMIFS(X!$F$5:$F$2005,X!$D$5:$D$2005,'CEK CICI'!A784)</f>
        <v>0</v>
      </c>
      <c r="I784" s="4">
        <f>SUMIFS(PENJUALAN!$E$4:$E$4288,PENJUALAN!$C$4:$C$4288,'CEK CICI'!A784)</f>
        <v>0</v>
      </c>
      <c r="J784" s="16">
        <f t="shared" si="2"/>
        <v>0</v>
      </c>
      <c r="K784" s="4"/>
      <c r="L784" s="4"/>
      <c r="M784" s="4"/>
      <c r="N784" s="4"/>
    </row>
    <row r="785" ht="13.5" hidden="1" customHeight="1">
      <c r="A785" s="4" t="str">
        <f t="shared" si="1"/>
        <v>RQL-FJ100FY</v>
      </c>
      <c r="B785" s="29" t="s">
        <v>1186</v>
      </c>
      <c r="C785" s="28" t="s">
        <v>1183</v>
      </c>
      <c r="D785" s="28" t="s">
        <v>202</v>
      </c>
      <c r="E785" s="4" t="s">
        <v>111</v>
      </c>
      <c r="F785" s="28" t="s">
        <v>533</v>
      </c>
      <c r="G785" s="4"/>
      <c r="H785" s="4">
        <f>SUMIFS(X!$F$5:$F$2005,X!$D$5:$D$2005,'CEK CICI'!A785)</f>
        <v>0</v>
      </c>
      <c r="I785" s="4">
        <f>SUMIFS(PENJUALAN!$E$4:$E$4288,PENJUALAN!$C$4:$C$4288,'CEK CICI'!A785)</f>
        <v>0</v>
      </c>
      <c r="J785" s="16">
        <f t="shared" si="2"/>
        <v>0</v>
      </c>
      <c r="K785" s="4"/>
      <c r="L785" s="4"/>
      <c r="M785" s="4"/>
      <c r="N785" s="4"/>
    </row>
    <row r="786" ht="13.5" hidden="1" customHeight="1">
      <c r="A786" s="4" t="str">
        <f t="shared" si="1"/>
        <v>RQR-FJ100FY</v>
      </c>
      <c r="B786" s="29" t="s">
        <v>1187</v>
      </c>
      <c r="C786" s="28" t="s">
        <v>1183</v>
      </c>
      <c r="D786" s="28" t="s">
        <v>236</v>
      </c>
      <c r="E786" s="4" t="s">
        <v>111</v>
      </c>
      <c r="F786" s="28" t="s">
        <v>533</v>
      </c>
      <c r="G786" s="4"/>
      <c r="H786" s="4">
        <f>SUMIFS(X!$F$5:$F$2005,X!$D$5:$D$2005,'CEK CICI'!A786)</f>
        <v>0</v>
      </c>
      <c r="I786" s="4">
        <f>SUMIFS(PENJUALAN!$E$4:$E$4288,PENJUALAN!$C$4:$C$4288,'CEK CICI'!A786)</f>
        <v>0</v>
      </c>
      <c r="J786" s="16">
        <f t="shared" si="2"/>
        <v>0</v>
      </c>
      <c r="K786" s="4"/>
      <c r="L786" s="4"/>
      <c r="M786" s="4"/>
      <c r="N786" s="4"/>
    </row>
    <row r="787" ht="13.5" hidden="1" customHeight="1">
      <c r="A787" s="4" t="str">
        <f t="shared" si="1"/>
        <v>LFW-FJ200RSFY</v>
      </c>
      <c r="B787" s="29" t="s">
        <v>1188</v>
      </c>
      <c r="C787" s="28" t="s">
        <v>1189</v>
      </c>
      <c r="D787" s="28" t="s">
        <v>22</v>
      </c>
      <c r="E787" s="4" t="s">
        <v>111</v>
      </c>
      <c r="F787" s="28" t="s">
        <v>75</v>
      </c>
      <c r="G787" s="4"/>
      <c r="H787" s="4">
        <f>SUMIFS(X!$F$5:$F$2005,X!$D$5:$D$2005,'CEK CICI'!A787)</f>
        <v>0</v>
      </c>
      <c r="I787" s="4">
        <f>SUMIFS(PENJUALAN!$E$4:$E$4288,PENJUALAN!$C$4:$C$4288,'CEK CICI'!A787)</f>
        <v>0</v>
      </c>
      <c r="J787" s="16">
        <f t="shared" si="2"/>
        <v>0</v>
      </c>
      <c r="K787" s="4"/>
      <c r="L787" s="4"/>
      <c r="M787" s="4"/>
      <c r="N787" s="4"/>
    </row>
    <row r="788" ht="13.5" hidden="1" customHeight="1">
      <c r="A788" s="4" t="str">
        <f t="shared" si="1"/>
        <v>LFW-FJ200FY</v>
      </c>
      <c r="B788" s="29" t="s">
        <v>1190</v>
      </c>
      <c r="C788" s="28" t="s">
        <v>1189</v>
      </c>
      <c r="D788" s="28" t="s">
        <v>22</v>
      </c>
      <c r="E788" s="4" t="s">
        <v>111</v>
      </c>
      <c r="F788" s="28" t="s">
        <v>125</v>
      </c>
      <c r="G788" s="4"/>
      <c r="H788" s="4">
        <f>SUMIFS(X!$F$5:$F$2005,X!$D$5:$D$2005,'CEK CICI'!A788)</f>
        <v>0</v>
      </c>
      <c r="I788" s="4">
        <f>SUMIFS(PENJUALAN!$E$4:$E$4288,PENJUALAN!$C$4:$C$4288,'CEK CICI'!A788)</f>
        <v>0</v>
      </c>
      <c r="J788" s="16">
        <f t="shared" si="2"/>
        <v>0</v>
      </c>
      <c r="K788" s="4"/>
      <c r="L788" s="4"/>
      <c r="M788" s="4"/>
      <c r="N788" s="4"/>
    </row>
    <row r="789" ht="13.5" hidden="1" customHeight="1">
      <c r="A789" s="4" t="str">
        <f t="shared" si="1"/>
        <v>TRW-FJ200FY</v>
      </c>
      <c r="B789" s="29" t="s">
        <v>1191</v>
      </c>
      <c r="C789" s="28" t="s">
        <v>1189</v>
      </c>
      <c r="D789" s="28" t="s">
        <v>41</v>
      </c>
      <c r="E789" s="4" t="s">
        <v>111</v>
      </c>
      <c r="F789" s="28" t="s">
        <v>221</v>
      </c>
      <c r="G789" s="4"/>
      <c r="H789" s="4">
        <f>SUMIFS(X!$F$5:$F$2005,X!$D$5:$D$2005,'CEK CICI'!A789)</f>
        <v>0</v>
      </c>
      <c r="I789" s="4">
        <f>SUMIFS(PENJUALAN!$E$4:$E$4288,PENJUALAN!$C$4:$C$4288,'CEK CICI'!A789)</f>
        <v>0</v>
      </c>
      <c r="J789" s="16">
        <f t="shared" si="2"/>
        <v>0</v>
      </c>
      <c r="K789" s="4"/>
      <c r="L789" s="4"/>
      <c r="M789" s="4"/>
      <c r="N789" s="4"/>
    </row>
    <row r="790" ht="13.5" hidden="1" customHeight="1">
      <c r="A790" s="4" t="str">
        <f t="shared" si="1"/>
        <v>FDL-FJ200FY</v>
      </c>
      <c r="B790" s="29" t="s">
        <v>1192</v>
      </c>
      <c r="C790" s="28" t="s">
        <v>1189</v>
      </c>
      <c r="D790" s="28" t="s">
        <v>128</v>
      </c>
      <c r="E790" s="4" t="s">
        <v>111</v>
      </c>
      <c r="F790" s="28"/>
      <c r="G790" s="4"/>
      <c r="H790" s="4">
        <f>SUMIFS(X!$F$5:$F$2005,X!$D$5:$D$2005,'CEK CICI'!A790)</f>
        <v>0</v>
      </c>
      <c r="I790" s="4">
        <f>SUMIFS(PENJUALAN!$E$4:$E$4288,PENJUALAN!$C$4:$C$4288,'CEK CICI'!A790)</f>
        <v>0</v>
      </c>
      <c r="J790" s="16">
        <f t="shared" si="2"/>
        <v>0</v>
      </c>
      <c r="K790" s="4"/>
      <c r="L790" s="4"/>
      <c r="M790" s="4"/>
      <c r="N790" s="4"/>
    </row>
    <row r="791" ht="13.5" hidden="1" customHeight="1">
      <c r="A791" s="4" t="str">
        <f t="shared" si="1"/>
        <v>FDR-FJ200FY</v>
      </c>
      <c r="B791" s="29" t="s">
        <v>1193</v>
      </c>
      <c r="C791" s="28" t="s">
        <v>1189</v>
      </c>
      <c r="D791" s="28" t="s">
        <v>130</v>
      </c>
      <c r="E791" s="4" t="s">
        <v>111</v>
      </c>
      <c r="F791" s="28"/>
      <c r="G791" s="4"/>
      <c r="H791" s="4">
        <f>SUMIFS(X!$F$5:$F$2005,X!$D$5:$D$2005,'CEK CICI'!A791)</f>
        <v>0</v>
      </c>
      <c r="I791" s="4">
        <f>SUMIFS(PENJUALAN!$E$4:$E$4288,PENJUALAN!$C$4:$C$4288,'CEK CICI'!A791)</f>
        <v>0</v>
      </c>
      <c r="J791" s="16">
        <f t="shared" si="2"/>
        <v>0</v>
      </c>
      <c r="K791" s="4"/>
      <c r="L791" s="4"/>
      <c r="M791" s="4"/>
      <c r="N791" s="4"/>
    </row>
    <row r="792" ht="13.5" hidden="1" customHeight="1">
      <c r="A792" s="4" t="str">
        <f t="shared" si="1"/>
        <v>RDL-FJ200FY</v>
      </c>
      <c r="B792" s="29" t="s">
        <v>1194</v>
      </c>
      <c r="C792" s="28" t="s">
        <v>1189</v>
      </c>
      <c r="D792" s="28" t="s">
        <v>132</v>
      </c>
      <c r="E792" s="4" t="s">
        <v>111</v>
      </c>
      <c r="F792" s="28"/>
      <c r="G792" s="4"/>
      <c r="H792" s="4">
        <f>SUMIFS(X!$F$5:$F$2005,X!$D$5:$D$2005,'CEK CICI'!A792)</f>
        <v>0</v>
      </c>
      <c r="I792" s="4">
        <f>SUMIFS(PENJUALAN!$E$4:$E$4288,PENJUALAN!$C$4:$C$4288,'CEK CICI'!A792)</f>
        <v>0</v>
      </c>
      <c r="J792" s="16">
        <f t="shared" si="2"/>
        <v>0</v>
      </c>
      <c r="K792" s="4"/>
      <c r="L792" s="4"/>
      <c r="M792" s="4"/>
      <c r="N792" s="4"/>
    </row>
    <row r="793" ht="13.5" hidden="1" customHeight="1">
      <c r="A793" s="4" t="str">
        <f t="shared" si="1"/>
        <v>RDR-FJ200FY</v>
      </c>
      <c r="B793" s="29" t="s">
        <v>1195</v>
      </c>
      <c r="C793" s="28" t="s">
        <v>1189</v>
      </c>
      <c r="D793" s="28" t="s">
        <v>134</v>
      </c>
      <c r="E793" s="4" t="s">
        <v>111</v>
      </c>
      <c r="F793" s="28"/>
      <c r="G793" s="4"/>
      <c r="H793" s="4">
        <f>SUMIFS(X!$F$5:$F$2005,X!$D$5:$D$2005,'CEK CICI'!A793)</f>
        <v>0</v>
      </c>
      <c r="I793" s="4">
        <f>SUMIFS(PENJUALAN!$E$4:$E$4288,PENJUALAN!$C$4:$C$4288,'CEK CICI'!A793)</f>
        <v>0</v>
      </c>
      <c r="J793" s="16">
        <f t="shared" si="2"/>
        <v>0</v>
      </c>
      <c r="K793" s="4"/>
      <c r="L793" s="4"/>
      <c r="M793" s="5"/>
      <c r="N793" s="4"/>
    </row>
    <row r="794" ht="13.5" hidden="1" customHeight="1">
      <c r="A794" s="4" t="str">
        <f t="shared" si="1"/>
        <v>RVL-FJ200FY</v>
      </c>
      <c r="B794" s="29" t="s">
        <v>1196</v>
      </c>
      <c r="C794" s="28" t="s">
        <v>1189</v>
      </c>
      <c r="D794" s="28" t="s">
        <v>387</v>
      </c>
      <c r="E794" s="4" t="s">
        <v>111</v>
      </c>
      <c r="F794" s="28"/>
      <c r="G794" s="4"/>
      <c r="H794" s="4">
        <f>SUMIFS(X!$F$5:$F$2005,X!$D$5:$D$2005,'CEK CICI'!A794)</f>
        <v>0</v>
      </c>
      <c r="I794" s="4">
        <f>SUMIFS(PENJUALAN!$E$4:$E$4288,PENJUALAN!$C$4:$C$4288,'CEK CICI'!A794)</f>
        <v>0</v>
      </c>
      <c r="J794" s="16">
        <f t="shared" si="2"/>
        <v>0</v>
      </c>
      <c r="K794" s="4"/>
      <c r="L794" s="4"/>
      <c r="M794" s="4"/>
      <c r="N794" s="4"/>
    </row>
    <row r="795" ht="13.5" hidden="1" customHeight="1">
      <c r="A795" s="4" t="str">
        <f t="shared" si="1"/>
        <v>RVR-FJ200FY</v>
      </c>
      <c r="B795" s="29" t="s">
        <v>1197</v>
      </c>
      <c r="C795" s="28" t="s">
        <v>1189</v>
      </c>
      <c r="D795" s="28" t="s">
        <v>389</v>
      </c>
      <c r="E795" s="4" t="s">
        <v>111</v>
      </c>
      <c r="F795" s="28"/>
      <c r="G795" s="4"/>
      <c r="H795" s="4">
        <f>SUMIFS(X!$F$5:$F$2005,X!$D$5:$D$2005,'CEK CICI'!A795)</f>
        <v>0</v>
      </c>
      <c r="I795" s="4">
        <f>SUMIFS(PENJUALAN!$E$4:$E$4288,PENJUALAN!$C$4:$C$4288,'CEK CICI'!A795)</f>
        <v>0</v>
      </c>
      <c r="J795" s="16">
        <f t="shared" si="2"/>
        <v>0</v>
      </c>
      <c r="K795" s="4"/>
      <c r="L795" s="4"/>
      <c r="M795" s="4"/>
      <c r="N795" s="4"/>
    </row>
    <row r="796" ht="13.5" hidden="1" customHeight="1">
      <c r="A796" s="4" t="str">
        <f t="shared" si="1"/>
        <v>LFW-FJ120FY</v>
      </c>
      <c r="B796" s="29" t="s">
        <v>1198</v>
      </c>
      <c r="C796" s="28" t="s">
        <v>1199</v>
      </c>
      <c r="D796" s="28" t="s">
        <v>22</v>
      </c>
      <c r="E796" s="4" t="s">
        <v>111</v>
      </c>
      <c r="F796" s="28" t="s">
        <v>125</v>
      </c>
      <c r="G796" s="4"/>
      <c r="H796" s="4">
        <f>SUMIFS(X!$F$5:$F$2005,X!$D$5:$D$2005,'CEK CICI'!A796)</f>
        <v>0</v>
      </c>
      <c r="I796" s="4">
        <f>SUMIFS(PENJUALAN!$E$4:$E$4288,PENJUALAN!$C$4:$C$4288,'CEK CICI'!A796)</f>
        <v>0</v>
      </c>
      <c r="J796" s="16">
        <f t="shared" si="2"/>
        <v>0</v>
      </c>
      <c r="K796" s="4"/>
      <c r="L796" s="4"/>
      <c r="M796" s="4"/>
      <c r="N796" s="4"/>
    </row>
    <row r="797" ht="13.5" hidden="1" customHeight="1">
      <c r="A797" s="4" t="str">
        <f t="shared" si="1"/>
        <v>RDL-FJ120FY</v>
      </c>
      <c r="B797" s="29" t="s">
        <v>1200</v>
      </c>
      <c r="C797" s="28" t="s">
        <v>1199</v>
      </c>
      <c r="D797" s="28" t="s">
        <v>132</v>
      </c>
      <c r="E797" s="4" t="s">
        <v>111</v>
      </c>
      <c r="F797" s="28"/>
      <c r="G797" s="4"/>
      <c r="H797" s="4">
        <f>SUMIFS(X!$F$5:$F$2005,X!$D$5:$D$2005,'CEK CICI'!A797)</f>
        <v>0</v>
      </c>
      <c r="I797" s="4">
        <f>SUMIFS(PENJUALAN!$E$4:$E$4288,PENJUALAN!$C$4:$C$4288,'CEK CICI'!A797)</f>
        <v>0</v>
      </c>
      <c r="J797" s="16">
        <f t="shared" si="2"/>
        <v>0</v>
      </c>
      <c r="K797" s="4"/>
      <c r="L797" s="4"/>
      <c r="M797" s="4"/>
      <c r="N797" s="4"/>
    </row>
    <row r="798" ht="13.5" hidden="1" customHeight="1">
      <c r="A798" s="4" t="str">
        <f t="shared" si="1"/>
        <v>RDR-FJ120FY</v>
      </c>
      <c r="B798" s="29" t="s">
        <v>1201</v>
      </c>
      <c r="C798" s="28" t="s">
        <v>1199</v>
      </c>
      <c r="D798" s="28" t="s">
        <v>134</v>
      </c>
      <c r="E798" s="4" t="s">
        <v>111</v>
      </c>
      <c r="F798" s="28"/>
      <c r="G798" s="4"/>
      <c r="H798" s="4">
        <f>SUMIFS(X!$F$5:$F$2005,X!$D$5:$D$2005,'CEK CICI'!A798)</f>
        <v>0</v>
      </c>
      <c r="I798" s="4">
        <f>SUMIFS(PENJUALAN!$E$4:$E$4288,PENJUALAN!$C$4:$C$4288,'CEK CICI'!A798)</f>
        <v>0</v>
      </c>
      <c r="J798" s="16">
        <f t="shared" si="2"/>
        <v>0</v>
      </c>
      <c r="K798" s="4"/>
      <c r="L798" s="4"/>
      <c r="M798" s="4"/>
      <c r="N798" s="4"/>
    </row>
    <row r="799" ht="13.5" hidden="1" customHeight="1">
      <c r="A799" s="4" t="str">
        <f t="shared" si="1"/>
        <v>RQL-FJ120FY</v>
      </c>
      <c r="B799" s="29" t="s">
        <v>1202</v>
      </c>
      <c r="C799" s="28" t="s">
        <v>1199</v>
      </c>
      <c r="D799" s="28" t="s">
        <v>202</v>
      </c>
      <c r="E799" s="4" t="s">
        <v>111</v>
      </c>
      <c r="F799" s="28" t="s">
        <v>1203</v>
      </c>
      <c r="G799" s="4"/>
      <c r="H799" s="4">
        <f>SUMIFS(X!$F$5:$F$2005,X!$D$5:$D$2005,'CEK CICI'!A799)</f>
        <v>0</v>
      </c>
      <c r="I799" s="4">
        <f>SUMIFS(PENJUALAN!$E$4:$E$4288,PENJUALAN!$C$4:$C$4288,'CEK CICI'!A799)</f>
        <v>0</v>
      </c>
      <c r="J799" s="16">
        <f t="shared" si="2"/>
        <v>0</v>
      </c>
      <c r="K799" s="4"/>
      <c r="L799" s="4"/>
      <c r="M799" s="4"/>
      <c r="N799" s="4"/>
    </row>
    <row r="800" ht="13.5" hidden="1" customHeight="1">
      <c r="A800" s="4" t="str">
        <f t="shared" si="1"/>
        <v>RQR-FJ120FY</v>
      </c>
      <c r="B800" s="29" t="s">
        <v>1204</v>
      </c>
      <c r="C800" s="28" t="s">
        <v>1199</v>
      </c>
      <c r="D800" s="28" t="s">
        <v>236</v>
      </c>
      <c r="E800" s="4" t="s">
        <v>111</v>
      </c>
      <c r="F800" s="28" t="s">
        <v>533</v>
      </c>
      <c r="G800" s="4"/>
      <c r="H800" s="4">
        <f>SUMIFS(X!$F$5:$F$2005,X!$D$5:$D$2005,'CEK CICI'!A800)</f>
        <v>0</v>
      </c>
      <c r="I800" s="4">
        <f>SUMIFS(PENJUALAN!$E$4:$E$4288,PENJUALAN!$C$4:$C$4288,'CEK CICI'!A800)</f>
        <v>0</v>
      </c>
      <c r="J800" s="16">
        <f t="shared" si="2"/>
        <v>0</v>
      </c>
      <c r="K800" s="4"/>
      <c r="L800" s="4"/>
      <c r="M800" s="4"/>
      <c r="N800" s="4"/>
    </row>
    <row r="801" ht="13.5" hidden="1" customHeight="1">
      <c r="A801" s="4" t="str">
        <f t="shared" si="1"/>
        <v>TRW-FJ120FY</v>
      </c>
      <c r="B801" s="29" t="s">
        <v>1205</v>
      </c>
      <c r="C801" s="28" t="s">
        <v>1206</v>
      </c>
      <c r="D801" s="28" t="s">
        <v>41</v>
      </c>
      <c r="E801" s="4" t="s">
        <v>111</v>
      </c>
      <c r="F801" s="28" t="s">
        <v>221</v>
      </c>
      <c r="G801" s="4"/>
      <c r="H801" s="4">
        <f>SUMIFS(X!$F$5:$F$2005,X!$D$5:$D$2005,'CEK CICI'!A801)</f>
        <v>0</v>
      </c>
      <c r="I801" s="4">
        <f>SUMIFS(PENJUALAN!$E$4:$E$4288,PENJUALAN!$C$4:$C$4288,'CEK CICI'!A801)</f>
        <v>0</v>
      </c>
      <c r="J801" s="16">
        <f t="shared" si="2"/>
        <v>0</v>
      </c>
      <c r="K801" s="4"/>
      <c r="L801" s="4"/>
      <c r="M801" s="4"/>
      <c r="N801" s="4"/>
    </row>
    <row r="802" ht="13.5" hidden="1" customHeight="1">
      <c r="A802" s="4" t="str">
        <f t="shared" si="1"/>
        <v>LFW-FJ150FY</v>
      </c>
      <c r="B802" s="29" t="s">
        <v>1207</v>
      </c>
      <c r="C802" s="28" t="s">
        <v>1208</v>
      </c>
      <c r="D802" s="28" t="s">
        <v>22</v>
      </c>
      <c r="E802" s="4" t="s">
        <v>111</v>
      </c>
      <c r="F802" s="28" t="s">
        <v>23</v>
      </c>
      <c r="G802" s="4"/>
      <c r="H802" s="4">
        <f>SUMIFS(X!$F$5:$F$2005,X!$D$5:$D$2005,'CEK CICI'!A802)</f>
        <v>1</v>
      </c>
      <c r="I802" s="4">
        <f>SUMIFS(PENJUALAN!$E$4:$E$4288,PENJUALAN!$C$4:$C$4288,'CEK CICI'!A802)</f>
        <v>1</v>
      </c>
      <c r="J802" s="16">
        <f t="shared" si="2"/>
        <v>0</v>
      </c>
      <c r="K802" s="4"/>
      <c r="L802" s="4"/>
      <c r="M802" s="4"/>
      <c r="N802" s="4"/>
    </row>
    <row r="803" ht="13.5" hidden="1" customHeight="1">
      <c r="A803" s="4" t="str">
        <f t="shared" si="1"/>
        <v>TRW-FJ150FY</v>
      </c>
      <c r="B803" s="29" t="s">
        <v>1209</v>
      </c>
      <c r="C803" s="28" t="s">
        <v>1208</v>
      </c>
      <c r="D803" s="28" t="s">
        <v>41</v>
      </c>
      <c r="E803" s="4" t="s">
        <v>111</v>
      </c>
      <c r="F803" s="28" t="s">
        <v>1210</v>
      </c>
      <c r="G803" s="4"/>
      <c r="H803" s="4">
        <f>SUMIFS(X!$F$5:$F$2005,X!$D$5:$D$2005,'CEK CICI'!A803)</f>
        <v>0</v>
      </c>
      <c r="I803" s="4">
        <f>SUMIFS(PENJUALAN!$E$4:$E$4288,PENJUALAN!$C$4:$C$4288,'CEK CICI'!A803)</f>
        <v>0</v>
      </c>
      <c r="J803" s="16">
        <f t="shared" si="2"/>
        <v>0</v>
      </c>
      <c r="K803" s="4"/>
      <c r="L803" s="4"/>
      <c r="M803" s="4"/>
      <c r="N803" s="4"/>
    </row>
    <row r="804" ht="13.5" hidden="1" customHeight="1">
      <c r="A804" s="4" t="str">
        <f t="shared" si="1"/>
        <v>RDL-FJ150FY</v>
      </c>
      <c r="B804" s="29" t="s">
        <v>1211</v>
      </c>
      <c r="C804" s="28" t="s">
        <v>1208</v>
      </c>
      <c r="D804" s="28" t="s">
        <v>132</v>
      </c>
      <c r="E804" s="4" t="s">
        <v>111</v>
      </c>
      <c r="F804" s="28"/>
      <c r="G804" s="4"/>
      <c r="H804" s="4">
        <f>SUMIFS(X!$F$5:$F$2005,X!$D$5:$D$2005,'CEK CICI'!A804)</f>
        <v>0</v>
      </c>
      <c r="I804" s="4">
        <f>SUMIFS(PENJUALAN!$E$4:$E$4288,PENJUALAN!$C$4:$C$4288,'CEK CICI'!A804)</f>
        <v>0</v>
      </c>
      <c r="J804" s="16">
        <f t="shared" si="2"/>
        <v>0</v>
      </c>
      <c r="K804" s="4"/>
      <c r="L804" s="4"/>
      <c r="M804" s="4"/>
      <c r="N804" s="4"/>
    </row>
    <row r="805" ht="13.5" hidden="1" customHeight="1">
      <c r="A805" s="4" t="str">
        <f t="shared" si="1"/>
        <v>RDR-FJ150FY</v>
      </c>
      <c r="B805" s="29" t="s">
        <v>1212</v>
      </c>
      <c r="C805" s="28" t="s">
        <v>1208</v>
      </c>
      <c r="D805" s="28" t="s">
        <v>134</v>
      </c>
      <c r="E805" s="4" t="s">
        <v>111</v>
      </c>
      <c r="F805" s="28"/>
      <c r="G805" s="4"/>
      <c r="H805" s="4">
        <f>SUMIFS(X!$F$5:$F$2005,X!$D$5:$D$2005,'CEK CICI'!A805)</f>
        <v>0</v>
      </c>
      <c r="I805" s="4">
        <f>SUMIFS(PENJUALAN!$E$4:$E$4288,PENJUALAN!$C$4:$C$4288,'CEK CICI'!A805)</f>
        <v>0</v>
      </c>
      <c r="J805" s="16">
        <f t="shared" si="2"/>
        <v>0</v>
      </c>
      <c r="K805" s="4"/>
      <c r="L805" s="4"/>
      <c r="M805" s="4"/>
      <c r="N805" s="4"/>
    </row>
    <row r="806" ht="13.5" hidden="1" customHeight="1">
      <c r="A806" s="4" t="str">
        <f t="shared" si="1"/>
        <v>LFW-NAV07FY</v>
      </c>
      <c r="B806" s="29" t="s">
        <v>1213</v>
      </c>
      <c r="C806" s="28" t="s">
        <v>1214</v>
      </c>
      <c r="D806" s="28" t="s">
        <v>22</v>
      </c>
      <c r="E806" s="4" t="s">
        <v>111</v>
      </c>
      <c r="F806" s="28" t="s">
        <v>125</v>
      </c>
      <c r="G806" s="4"/>
      <c r="H806" s="4">
        <f>SUMIFS(X!$F$5:$F$2005,X!$D$5:$D$2005,'CEK CICI'!A806)</f>
        <v>0</v>
      </c>
      <c r="I806" s="4">
        <f>SUMIFS(PENJUALAN!$E$4:$E$4288,PENJUALAN!$C$4:$C$4288,'CEK CICI'!A806)</f>
        <v>0</v>
      </c>
      <c r="J806" s="16">
        <f t="shared" si="2"/>
        <v>0</v>
      </c>
      <c r="K806" s="4"/>
      <c r="L806" s="4"/>
      <c r="M806" s="4"/>
      <c r="N806" s="4"/>
    </row>
    <row r="807" ht="13.5" hidden="1" customHeight="1">
      <c r="A807" s="4" t="str">
        <f t="shared" si="1"/>
        <v>TRW-NAV07FY</v>
      </c>
      <c r="B807" s="29" t="s">
        <v>1215</v>
      </c>
      <c r="C807" s="28" t="s">
        <v>1214</v>
      </c>
      <c r="D807" s="28" t="s">
        <v>41</v>
      </c>
      <c r="E807" s="4" t="s">
        <v>111</v>
      </c>
      <c r="F807" s="28" t="s">
        <v>67</v>
      </c>
      <c r="G807" s="4"/>
      <c r="H807" s="4">
        <f>SUMIFS(X!$F$5:$F$2005,X!$D$5:$D$2005,'CEK CICI'!A807)</f>
        <v>0</v>
      </c>
      <c r="I807" s="4">
        <f>SUMIFS(PENJUALAN!$E$4:$E$4288,PENJUALAN!$C$4:$C$4288,'CEK CICI'!A807)</f>
        <v>0</v>
      </c>
      <c r="J807" s="16">
        <f t="shared" si="2"/>
        <v>0</v>
      </c>
      <c r="K807" s="4"/>
      <c r="L807" s="4"/>
      <c r="M807" s="4"/>
      <c r="N807" s="4"/>
    </row>
    <row r="808" ht="13.5" hidden="1" customHeight="1">
      <c r="A808" s="4" t="str">
        <f t="shared" si="1"/>
        <v>RQL-NAV07FY</v>
      </c>
      <c r="B808" s="29" t="s">
        <v>1216</v>
      </c>
      <c r="C808" s="28" t="s">
        <v>1214</v>
      </c>
      <c r="D808" s="28" t="s">
        <v>202</v>
      </c>
      <c r="E808" s="4" t="s">
        <v>111</v>
      </c>
      <c r="F808" s="28" t="s">
        <v>97</v>
      </c>
      <c r="G808" s="4"/>
      <c r="H808" s="4">
        <f>SUMIFS(X!$F$5:$F$2005,X!$D$5:$D$2005,'CEK CICI'!A808)</f>
        <v>0</v>
      </c>
      <c r="I808" s="4">
        <f>SUMIFS(PENJUALAN!$E$4:$E$4288,PENJUALAN!$C$4:$C$4288,'CEK CICI'!A808)</f>
        <v>0</v>
      </c>
      <c r="J808" s="16">
        <f t="shared" si="2"/>
        <v>0</v>
      </c>
      <c r="K808" s="4"/>
      <c r="L808" s="4"/>
      <c r="M808" s="4"/>
      <c r="N808" s="4"/>
    </row>
    <row r="809" ht="13.5" hidden="1" customHeight="1">
      <c r="A809" s="4" t="str">
        <f t="shared" si="1"/>
        <v>RQR-NAV07FY</v>
      </c>
      <c r="B809" s="29" t="s">
        <v>1217</v>
      </c>
      <c r="C809" s="28" t="s">
        <v>1214</v>
      </c>
      <c r="D809" s="28" t="s">
        <v>236</v>
      </c>
      <c r="E809" s="4" t="s">
        <v>111</v>
      </c>
      <c r="F809" s="28" t="s">
        <v>234</v>
      </c>
      <c r="G809" s="4"/>
      <c r="H809" s="4">
        <f>SUMIFS(X!$F$5:$F$2005,X!$D$5:$D$2005,'CEK CICI'!A809)</f>
        <v>0</v>
      </c>
      <c r="I809" s="4">
        <f>SUMIFS(PENJUALAN!$E$4:$E$4288,PENJUALAN!$C$4:$C$4288,'CEK CICI'!A809)</f>
        <v>0</v>
      </c>
      <c r="J809" s="16">
        <f t="shared" si="2"/>
        <v>0</v>
      </c>
      <c r="K809" s="4"/>
      <c r="L809" s="4"/>
      <c r="M809" s="4"/>
      <c r="N809" s="4"/>
    </row>
    <row r="810" ht="13.5" hidden="1" customHeight="1">
      <c r="A810" s="4" t="str">
        <f t="shared" si="1"/>
        <v>LFW-NOAHFY</v>
      </c>
      <c r="B810" s="29" t="s">
        <v>1218</v>
      </c>
      <c r="C810" s="28" t="s">
        <v>1219</v>
      </c>
      <c r="D810" s="28" t="s">
        <v>22</v>
      </c>
      <c r="E810" s="4" t="s">
        <v>111</v>
      </c>
      <c r="F810" s="28" t="s">
        <v>125</v>
      </c>
      <c r="G810" s="4"/>
      <c r="H810" s="4">
        <f>SUMIFS(X!$F$5:$F$2005,X!$D$5:$D$2005,'CEK CICI'!A810)</f>
        <v>0</v>
      </c>
      <c r="I810" s="4">
        <f>SUMIFS(PENJUALAN!$E$4:$E$4288,PENJUALAN!$C$4:$C$4288,'CEK CICI'!A810)</f>
        <v>0</v>
      </c>
      <c r="J810" s="16">
        <f t="shared" si="2"/>
        <v>0</v>
      </c>
      <c r="K810" s="4"/>
      <c r="L810" s="4"/>
      <c r="M810" s="4"/>
      <c r="N810" s="4"/>
    </row>
    <row r="811" ht="13.5" hidden="1" customHeight="1">
      <c r="A811" s="4" t="str">
        <f t="shared" si="1"/>
        <v>TRW-NOAHFY</v>
      </c>
      <c r="B811" s="29" t="s">
        <v>1220</v>
      </c>
      <c r="C811" s="28" t="s">
        <v>1219</v>
      </c>
      <c r="D811" s="28" t="s">
        <v>41</v>
      </c>
      <c r="E811" s="4" t="s">
        <v>111</v>
      </c>
      <c r="F811" s="28" t="s">
        <v>67</v>
      </c>
      <c r="G811" s="4"/>
      <c r="H811" s="4">
        <f>SUMIFS(X!$F$5:$F$2005,X!$D$5:$D$2005,'CEK CICI'!A811)</f>
        <v>0</v>
      </c>
      <c r="I811" s="4">
        <f>SUMIFS(PENJUALAN!$E$4:$E$4288,PENJUALAN!$C$4:$C$4288,'CEK CICI'!A811)</f>
        <v>0</v>
      </c>
      <c r="J811" s="16">
        <f t="shared" si="2"/>
        <v>0</v>
      </c>
      <c r="K811" s="4"/>
      <c r="L811" s="4"/>
      <c r="M811" s="4"/>
      <c r="N811" s="4"/>
    </row>
    <row r="812" ht="13.5" hidden="1" customHeight="1">
      <c r="A812" s="4" t="str">
        <f t="shared" si="1"/>
        <v>RDL-NOAHFY</v>
      </c>
      <c r="B812" s="29" t="s">
        <v>1221</v>
      </c>
      <c r="C812" s="28" t="s">
        <v>1219</v>
      </c>
      <c r="D812" s="28" t="s">
        <v>132</v>
      </c>
      <c r="E812" s="4" t="s">
        <v>111</v>
      </c>
      <c r="F812" s="28"/>
      <c r="G812" s="4"/>
      <c r="H812" s="4">
        <f>SUMIFS(X!$F$5:$F$2005,X!$D$5:$D$2005,'CEK CICI'!A812)</f>
        <v>0</v>
      </c>
      <c r="I812" s="4">
        <f>SUMIFS(PENJUALAN!$E$4:$E$4288,PENJUALAN!$C$4:$C$4288,'CEK CICI'!A812)</f>
        <v>0</v>
      </c>
      <c r="J812" s="16">
        <f t="shared" si="2"/>
        <v>0</v>
      </c>
      <c r="K812" s="4"/>
      <c r="L812" s="4"/>
      <c r="M812" s="4"/>
      <c r="N812" s="4"/>
    </row>
    <row r="813" ht="13.5" hidden="1" customHeight="1">
      <c r="A813" s="4" t="str">
        <f t="shared" si="1"/>
        <v>RDR-NOAHFY</v>
      </c>
      <c r="B813" s="29" t="s">
        <v>1222</v>
      </c>
      <c r="C813" s="28" t="s">
        <v>1219</v>
      </c>
      <c r="D813" s="28" t="s">
        <v>134</v>
      </c>
      <c r="E813" s="4" t="s">
        <v>111</v>
      </c>
      <c r="F813" s="28"/>
      <c r="G813" s="4"/>
      <c r="H813" s="4">
        <f>SUMIFS(X!$F$5:$F$2005,X!$D$5:$D$2005,'CEK CICI'!A813)</f>
        <v>0</v>
      </c>
      <c r="I813" s="4">
        <f>SUMIFS(PENJUALAN!$E$4:$E$4288,PENJUALAN!$C$4:$C$4288,'CEK CICI'!A813)</f>
        <v>0</v>
      </c>
      <c r="J813" s="16">
        <f t="shared" si="2"/>
        <v>0</v>
      </c>
      <c r="K813" s="4"/>
      <c r="L813" s="4"/>
      <c r="M813" s="4"/>
      <c r="N813" s="4"/>
    </row>
    <row r="814" ht="13.5" hidden="1" customHeight="1">
      <c r="A814" s="4" t="str">
        <f t="shared" si="1"/>
        <v>RQL-NOAHFY</v>
      </c>
      <c r="B814" s="29" t="s">
        <v>1223</v>
      </c>
      <c r="C814" s="28" t="s">
        <v>1219</v>
      </c>
      <c r="D814" s="28" t="s">
        <v>202</v>
      </c>
      <c r="E814" s="4" t="s">
        <v>111</v>
      </c>
      <c r="F814" s="28" t="s">
        <v>97</v>
      </c>
      <c r="G814" s="4"/>
      <c r="H814" s="4">
        <f>SUMIFS(X!$F$5:$F$2005,X!$D$5:$D$2005,'CEK CICI'!A814)</f>
        <v>0</v>
      </c>
      <c r="I814" s="4">
        <f>SUMIFS(PENJUALAN!$E$4:$E$4288,PENJUALAN!$C$4:$C$4288,'CEK CICI'!A814)</f>
        <v>0</v>
      </c>
      <c r="J814" s="16">
        <f t="shared" si="2"/>
        <v>0</v>
      </c>
      <c r="K814" s="4"/>
      <c r="L814" s="4"/>
      <c r="M814" s="4"/>
      <c r="N814" s="4"/>
    </row>
    <row r="815" ht="13.5" hidden="1" customHeight="1">
      <c r="A815" s="4" t="str">
        <f t="shared" si="1"/>
        <v>LFW-PREVIA00FY</v>
      </c>
      <c r="B815" s="29" t="s">
        <v>1224</v>
      </c>
      <c r="C815" s="28" t="s">
        <v>1225</v>
      </c>
      <c r="D815" s="28" t="s">
        <v>22</v>
      </c>
      <c r="E815" s="4" t="s">
        <v>111</v>
      </c>
      <c r="F815" s="28" t="s">
        <v>97</v>
      </c>
      <c r="G815" s="4"/>
      <c r="H815" s="4">
        <f>SUMIFS(X!$F$5:$F$2005,X!$D$5:$D$2005,'CEK CICI'!A815)</f>
        <v>0</v>
      </c>
      <c r="I815" s="4">
        <f>SUMIFS(PENJUALAN!$E$4:$E$4288,PENJUALAN!$C$4:$C$4288,'CEK CICI'!A815)</f>
        <v>0</v>
      </c>
      <c r="J815" s="16">
        <f t="shared" si="2"/>
        <v>0</v>
      </c>
      <c r="K815" s="4"/>
      <c r="L815" s="4"/>
      <c r="M815" s="4"/>
      <c r="N815" s="4"/>
    </row>
    <row r="816" ht="13.5" hidden="1" customHeight="1">
      <c r="A816" s="4" t="str">
        <f t="shared" si="1"/>
        <v>TRW-PREVIA00FY</v>
      </c>
      <c r="B816" s="29" t="s">
        <v>1226</v>
      </c>
      <c r="C816" s="28" t="s">
        <v>1225</v>
      </c>
      <c r="D816" s="28" t="s">
        <v>41</v>
      </c>
      <c r="E816" s="4" t="s">
        <v>111</v>
      </c>
      <c r="F816" s="28" t="s">
        <v>67</v>
      </c>
      <c r="G816" s="4"/>
      <c r="H816" s="4">
        <f>SUMIFS(X!$F$5:$F$2005,X!$D$5:$D$2005,'CEK CICI'!A816)</f>
        <v>0</v>
      </c>
      <c r="I816" s="4">
        <f>SUMIFS(PENJUALAN!$E$4:$E$4288,PENJUALAN!$C$4:$C$4288,'CEK CICI'!A816)</f>
        <v>0</v>
      </c>
      <c r="J816" s="16">
        <f t="shared" si="2"/>
        <v>0</v>
      </c>
      <c r="K816" s="4"/>
      <c r="L816" s="4"/>
      <c r="M816" s="4"/>
      <c r="N816" s="4"/>
    </row>
    <row r="817" ht="13.5" hidden="1" customHeight="1">
      <c r="A817" s="4" t="str">
        <f t="shared" si="1"/>
        <v>LFW-PREVIA06FY</v>
      </c>
      <c r="B817" s="29" t="s">
        <v>1227</v>
      </c>
      <c r="C817" s="28" t="s">
        <v>1228</v>
      </c>
      <c r="D817" s="28" t="s">
        <v>22</v>
      </c>
      <c r="E817" s="4" t="s">
        <v>111</v>
      </c>
      <c r="F817" s="28" t="s">
        <v>737</v>
      </c>
      <c r="G817" s="4"/>
      <c r="H817" s="4">
        <f>SUMIFS(X!$F$5:$F$2005,X!$D$5:$D$2005,'CEK CICI'!A817)</f>
        <v>0</v>
      </c>
      <c r="I817" s="4">
        <f>SUMIFS(PENJUALAN!$E$4:$E$4288,PENJUALAN!$C$4:$C$4288,'CEK CICI'!A817)</f>
        <v>0</v>
      </c>
      <c r="J817" s="16">
        <f t="shared" si="2"/>
        <v>0</v>
      </c>
      <c r="K817" s="4"/>
      <c r="L817" s="4"/>
      <c r="M817" s="4"/>
      <c r="N817" s="4"/>
    </row>
    <row r="818" ht="13.5" hidden="1" customHeight="1">
      <c r="A818" s="4" t="str">
        <f t="shared" si="1"/>
        <v>TRW-PREVIA06FY</v>
      </c>
      <c r="B818" s="29" t="s">
        <v>1229</v>
      </c>
      <c r="C818" s="28" t="s">
        <v>1228</v>
      </c>
      <c r="D818" s="28" t="s">
        <v>41</v>
      </c>
      <c r="E818" s="4" t="s">
        <v>111</v>
      </c>
      <c r="F818" s="28" t="s">
        <v>221</v>
      </c>
      <c r="G818" s="4"/>
      <c r="H818" s="4">
        <f>SUMIFS(X!$F$5:$F$2005,X!$D$5:$D$2005,'CEK CICI'!A818)</f>
        <v>0</v>
      </c>
      <c r="I818" s="4">
        <f>SUMIFS(PENJUALAN!$E$4:$E$4288,PENJUALAN!$C$4:$C$4288,'CEK CICI'!A818)</f>
        <v>0</v>
      </c>
      <c r="J818" s="16">
        <f t="shared" si="2"/>
        <v>0</v>
      </c>
      <c r="K818" s="4"/>
      <c r="L818" s="4"/>
      <c r="M818" s="4"/>
      <c r="N818" s="4"/>
    </row>
    <row r="819" ht="13.5" hidden="1" customHeight="1">
      <c r="A819" s="4" t="str">
        <f t="shared" si="1"/>
        <v>TRW-RAV400FY</v>
      </c>
      <c r="B819" s="29" t="s">
        <v>1230</v>
      </c>
      <c r="C819" s="28" t="s">
        <v>1231</v>
      </c>
      <c r="D819" s="28" t="s">
        <v>41</v>
      </c>
      <c r="E819" s="4" t="s">
        <v>111</v>
      </c>
      <c r="F819" s="28" t="s">
        <v>221</v>
      </c>
      <c r="G819" s="4"/>
      <c r="H819" s="4">
        <f>SUMIFS(X!$F$5:$F$2005,X!$D$5:$D$2005,'CEK CICI'!A819)</f>
        <v>0</v>
      </c>
      <c r="I819" s="4">
        <f>SUMIFS(PENJUALAN!$E$4:$E$4288,PENJUALAN!$C$4:$C$4288,'CEK CICI'!A819)</f>
        <v>0</v>
      </c>
      <c r="J819" s="16">
        <f t="shared" si="2"/>
        <v>0</v>
      </c>
      <c r="K819" s="4"/>
      <c r="L819" s="4"/>
      <c r="M819" s="4"/>
      <c r="N819" s="4"/>
    </row>
    <row r="820" ht="13.5" hidden="1" customHeight="1">
      <c r="A820" s="4" t="str">
        <f t="shared" si="1"/>
        <v>LFW-RAV400FY</v>
      </c>
      <c r="B820" s="29" t="s">
        <v>1232</v>
      </c>
      <c r="C820" s="28" t="s">
        <v>1233</v>
      </c>
      <c r="D820" s="28" t="s">
        <v>22</v>
      </c>
      <c r="E820" s="4" t="s">
        <v>111</v>
      </c>
      <c r="F820" s="28" t="s">
        <v>125</v>
      </c>
      <c r="G820" s="4"/>
      <c r="H820" s="4">
        <f>SUMIFS(X!$F$5:$F$2005,X!$D$5:$D$2005,'CEK CICI'!A820)</f>
        <v>0</v>
      </c>
      <c r="I820" s="4">
        <f>SUMIFS(PENJUALAN!$E$4:$E$4288,PENJUALAN!$C$4:$C$4288,'CEK CICI'!A820)</f>
        <v>0</v>
      </c>
      <c r="J820" s="16">
        <f t="shared" si="2"/>
        <v>0</v>
      </c>
      <c r="K820" s="4"/>
      <c r="L820" s="4"/>
      <c r="M820" s="4"/>
      <c r="N820" s="4"/>
    </row>
    <row r="821" ht="13.5" hidden="1" customHeight="1">
      <c r="A821" s="4" t="str">
        <f t="shared" si="1"/>
        <v>LFW-RAV405FY</v>
      </c>
      <c r="B821" s="29" t="s">
        <v>1234</v>
      </c>
      <c r="C821" s="28" t="s">
        <v>1235</v>
      </c>
      <c r="D821" s="28" t="s">
        <v>22</v>
      </c>
      <c r="E821" s="4" t="s">
        <v>111</v>
      </c>
      <c r="F821" s="28" t="s">
        <v>737</v>
      </c>
      <c r="G821" s="4"/>
      <c r="H821" s="4">
        <f>SUMIFS(X!$F$5:$F$2005,X!$D$5:$D$2005,'CEK CICI'!A821)</f>
        <v>0</v>
      </c>
      <c r="I821" s="4">
        <f>SUMIFS(PENJUALAN!$E$4:$E$4288,PENJUALAN!$C$4:$C$4288,'CEK CICI'!A821)</f>
        <v>0</v>
      </c>
      <c r="J821" s="16">
        <f t="shared" si="2"/>
        <v>0</v>
      </c>
      <c r="K821" s="4"/>
      <c r="L821" s="4"/>
      <c r="M821" s="4"/>
      <c r="N821" s="4"/>
    </row>
    <row r="822" ht="13.5" hidden="1" customHeight="1">
      <c r="A822" s="4" t="str">
        <f t="shared" si="1"/>
        <v>TRW-RAV405FY</v>
      </c>
      <c r="B822" s="29" t="s">
        <v>1236</v>
      </c>
      <c r="C822" s="28" t="s">
        <v>1235</v>
      </c>
      <c r="D822" s="28" t="s">
        <v>41</v>
      </c>
      <c r="E822" s="4" t="s">
        <v>111</v>
      </c>
      <c r="F822" s="28" t="s">
        <v>760</v>
      </c>
      <c r="G822" s="4"/>
      <c r="H822" s="4">
        <f>SUMIFS(X!$F$5:$F$2005,X!$D$5:$D$2005,'CEK CICI'!A822)</f>
        <v>0</v>
      </c>
      <c r="I822" s="4">
        <f>SUMIFS(PENJUALAN!$E$4:$E$4288,PENJUALAN!$C$4:$C$4288,'CEK CICI'!A822)</f>
        <v>0</v>
      </c>
      <c r="J822" s="16">
        <f t="shared" si="2"/>
        <v>0</v>
      </c>
      <c r="K822" s="4"/>
      <c r="L822" s="4"/>
      <c r="M822" s="4"/>
      <c r="N822" s="4"/>
    </row>
    <row r="823" ht="13.5" hidden="1" customHeight="1">
      <c r="A823" s="4" t="str">
        <f t="shared" si="1"/>
        <v>FDL-RAV405FY</v>
      </c>
      <c r="B823" s="29" t="s">
        <v>1237</v>
      </c>
      <c r="C823" s="28" t="s">
        <v>1235</v>
      </c>
      <c r="D823" s="28" t="s">
        <v>128</v>
      </c>
      <c r="E823" s="4" t="s">
        <v>111</v>
      </c>
      <c r="F823" s="28"/>
      <c r="G823" s="4"/>
      <c r="H823" s="4">
        <f>SUMIFS(X!$F$5:$F$2005,X!$D$5:$D$2005,'CEK CICI'!A823)</f>
        <v>0</v>
      </c>
      <c r="I823" s="4">
        <f>SUMIFS(PENJUALAN!$E$4:$E$4288,PENJUALAN!$C$4:$C$4288,'CEK CICI'!A823)</f>
        <v>0</v>
      </c>
      <c r="J823" s="16">
        <f t="shared" si="2"/>
        <v>0</v>
      </c>
      <c r="K823" s="4"/>
      <c r="L823" s="4"/>
      <c r="M823" s="4"/>
      <c r="N823" s="4"/>
    </row>
    <row r="824" ht="13.5" hidden="1" customHeight="1">
      <c r="A824" s="4" t="str">
        <f t="shared" si="1"/>
        <v>FDR-RAV405FY</v>
      </c>
      <c r="B824" s="29" t="s">
        <v>1238</v>
      </c>
      <c r="C824" s="28" t="s">
        <v>1235</v>
      </c>
      <c r="D824" s="28" t="s">
        <v>130</v>
      </c>
      <c r="E824" s="4" t="s">
        <v>111</v>
      </c>
      <c r="F824" s="28"/>
      <c r="G824" s="4"/>
      <c r="H824" s="4">
        <f>SUMIFS(X!$F$5:$F$2005,X!$D$5:$D$2005,'CEK CICI'!A824)</f>
        <v>0</v>
      </c>
      <c r="I824" s="4">
        <f>SUMIFS(PENJUALAN!$E$4:$E$4288,PENJUALAN!$C$4:$C$4288,'CEK CICI'!A824)</f>
        <v>0</v>
      </c>
      <c r="J824" s="16">
        <f t="shared" si="2"/>
        <v>0</v>
      </c>
      <c r="K824" s="4"/>
      <c r="L824" s="4"/>
      <c r="M824" s="4"/>
      <c r="N824" s="4"/>
    </row>
    <row r="825" ht="13.5" hidden="1" customHeight="1">
      <c r="A825" s="4" t="str">
        <f t="shared" si="1"/>
        <v>RDL-RAV405FY</v>
      </c>
      <c r="B825" s="29" t="s">
        <v>1239</v>
      </c>
      <c r="C825" s="28" t="s">
        <v>1235</v>
      </c>
      <c r="D825" s="28" t="s">
        <v>132</v>
      </c>
      <c r="E825" s="4" t="s">
        <v>111</v>
      </c>
      <c r="F825" s="28"/>
      <c r="G825" s="4"/>
      <c r="H825" s="4">
        <f>SUMIFS(X!$F$5:$F$2005,X!$D$5:$D$2005,'CEK CICI'!A825)</f>
        <v>0</v>
      </c>
      <c r="I825" s="4">
        <f>SUMIFS(PENJUALAN!$E$4:$E$4288,PENJUALAN!$C$4:$C$4288,'CEK CICI'!A825)</f>
        <v>0</v>
      </c>
      <c r="J825" s="16">
        <f t="shared" si="2"/>
        <v>0</v>
      </c>
      <c r="K825" s="4"/>
      <c r="L825" s="4"/>
      <c r="M825" s="4"/>
      <c r="N825" s="4"/>
    </row>
    <row r="826" ht="13.5" hidden="1" customHeight="1">
      <c r="A826" s="4" t="str">
        <f t="shared" si="1"/>
        <v>RDR-RAV405FY</v>
      </c>
      <c r="B826" s="29" t="s">
        <v>1240</v>
      </c>
      <c r="C826" s="28" t="s">
        <v>1235</v>
      </c>
      <c r="D826" s="28" t="s">
        <v>134</v>
      </c>
      <c r="E826" s="4" t="s">
        <v>111</v>
      </c>
      <c r="F826" s="28"/>
      <c r="G826" s="4"/>
      <c r="H826" s="4">
        <f>SUMIFS(X!$F$5:$F$2005,X!$D$5:$D$2005,'CEK CICI'!A826)</f>
        <v>0</v>
      </c>
      <c r="I826" s="4">
        <f>SUMIFS(PENJUALAN!$E$4:$E$4288,PENJUALAN!$C$4:$C$4288,'CEK CICI'!A826)</f>
        <v>0</v>
      </c>
      <c r="J826" s="16">
        <f t="shared" si="2"/>
        <v>0</v>
      </c>
      <c r="K826" s="4"/>
      <c r="L826" s="4"/>
      <c r="M826" s="4"/>
      <c r="N826" s="4"/>
    </row>
    <row r="827" ht="13.5" hidden="1" customHeight="1">
      <c r="A827" s="4" t="str">
        <f t="shared" si="1"/>
        <v>RQL-RAV405FY</v>
      </c>
      <c r="B827" s="29" t="s">
        <v>1241</v>
      </c>
      <c r="C827" s="28" t="s">
        <v>1235</v>
      </c>
      <c r="D827" s="28" t="s">
        <v>202</v>
      </c>
      <c r="E827" s="4" t="s">
        <v>111</v>
      </c>
      <c r="F827" s="28" t="s">
        <v>97</v>
      </c>
      <c r="G827" s="4"/>
      <c r="H827" s="4">
        <f>SUMIFS(X!$F$5:$F$2005,X!$D$5:$D$2005,'CEK CICI'!A827)</f>
        <v>0</v>
      </c>
      <c r="I827" s="4">
        <f>SUMIFS(PENJUALAN!$E$4:$E$4288,PENJUALAN!$C$4:$C$4288,'CEK CICI'!A827)</f>
        <v>0</v>
      </c>
      <c r="J827" s="16">
        <f t="shared" si="2"/>
        <v>0</v>
      </c>
      <c r="K827" s="4"/>
      <c r="L827" s="4"/>
      <c r="M827" s="4"/>
      <c r="N827" s="4"/>
    </row>
    <row r="828" ht="13.5" hidden="1" customHeight="1">
      <c r="A828" s="4" t="str">
        <f t="shared" si="1"/>
        <v>RQR-RAV405FY</v>
      </c>
      <c r="B828" s="29" t="s">
        <v>1242</v>
      </c>
      <c r="C828" s="28" t="s">
        <v>1235</v>
      </c>
      <c r="D828" s="28" t="s">
        <v>236</v>
      </c>
      <c r="E828" s="4" t="s">
        <v>111</v>
      </c>
      <c r="F828" s="28" t="s">
        <v>97</v>
      </c>
      <c r="G828" s="4"/>
      <c r="H828" s="4">
        <f>SUMIFS(X!$F$5:$F$2005,X!$D$5:$D$2005,'CEK CICI'!A828)</f>
        <v>0</v>
      </c>
      <c r="I828" s="4">
        <f>SUMIFS(PENJUALAN!$E$4:$E$4288,PENJUALAN!$C$4:$C$4288,'CEK CICI'!A828)</f>
        <v>0</v>
      </c>
      <c r="J828" s="16">
        <f t="shared" si="2"/>
        <v>0</v>
      </c>
      <c r="K828" s="4"/>
      <c r="L828" s="4"/>
      <c r="M828" s="4"/>
      <c r="N828" s="4"/>
    </row>
    <row r="829" ht="13.5" hidden="1" customHeight="1">
      <c r="A829" s="4" t="str">
        <f t="shared" si="1"/>
        <v>LFW-TERIOS06FY</v>
      </c>
      <c r="B829" s="29" t="s">
        <v>1243</v>
      </c>
      <c r="C829" s="28" t="s">
        <v>1244</v>
      </c>
      <c r="D829" s="28" t="s">
        <v>22</v>
      </c>
      <c r="E829" s="4" t="s">
        <v>111</v>
      </c>
      <c r="F829" s="28" t="s">
        <v>97</v>
      </c>
      <c r="G829" s="4"/>
      <c r="H829" s="4">
        <f>SUMIFS(X!$F$5:$F$2005,X!$D$5:$D$2005,'CEK CICI'!A829)</f>
        <v>0</v>
      </c>
      <c r="I829" s="4">
        <f>SUMIFS(PENJUALAN!$E$4:$E$4288,PENJUALAN!$C$4:$C$4288,'CEK CICI'!A829)</f>
        <v>0</v>
      </c>
      <c r="J829" s="16">
        <f t="shared" si="2"/>
        <v>0</v>
      </c>
      <c r="K829" s="4"/>
      <c r="L829" s="4"/>
      <c r="M829" s="4"/>
      <c r="N829" s="4"/>
    </row>
    <row r="830" ht="13.5" hidden="1" customHeight="1">
      <c r="A830" s="4" t="str">
        <f t="shared" si="1"/>
        <v>TRW-TERIOS06HOLEFY</v>
      </c>
      <c r="B830" s="29" t="s">
        <v>1245</v>
      </c>
      <c r="C830" s="28" t="s">
        <v>1244</v>
      </c>
      <c r="D830" s="28" t="s">
        <v>41</v>
      </c>
      <c r="E830" s="4" t="s">
        <v>111</v>
      </c>
      <c r="F830" s="28" t="s">
        <v>533</v>
      </c>
      <c r="G830" s="4"/>
      <c r="H830" s="4">
        <f>SUMIFS(X!$F$5:$F$2005,X!$D$5:$D$2005,'CEK CICI'!A830)</f>
        <v>0</v>
      </c>
      <c r="I830" s="4">
        <f>SUMIFS(PENJUALAN!$E$4:$E$4288,PENJUALAN!$C$4:$C$4288,'CEK CICI'!A830)</f>
        <v>0</v>
      </c>
      <c r="J830" s="16">
        <f t="shared" si="2"/>
        <v>0</v>
      </c>
      <c r="K830" s="4"/>
      <c r="L830" s="4"/>
      <c r="M830" s="4"/>
      <c r="N830" s="4"/>
    </row>
    <row r="831" ht="13.5" hidden="1" customHeight="1">
      <c r="A831" s="4" t="str">
        <f t="shared" si="1"/>
        <v>TRW-TERIOS06HHOLEFY</v>
      </c>
      <c r="B831" s="29" t="s">
        <v>1246</v>
      </c>
      <c r="C831" s="28" t="s">
        <v>1244</v>
      </c>
      <c r="D831" s="28" t="s">
        <v>41</v>
      </c>
      <c r="E831" s="4" t="s">
        <v>111</v>
      </c>
      <c r="F831" s="28" t="s">
        <v>221</v>
      </c>
      <c r="G831" s="4"/>
      <c r="H831" s="4">
        <f>SUMIFS(X!$F$5:$F$2005,X!$D$5:$D$2005,'CEK CICI'!A831)</f>
        <v>0</v>
      </c>
      <c r="I831" s="4">
        <f>SUMIFS(PENJUALAN!$E$4:$E$4288,PENJUALAN!$C$4:$C$4288,'CEK CICI'!A831)</f>
        <v>0</v>
      </c>
      <c r="J831" s="16">
        <f t="shared" si="2"/>
        <v>0</v>
      </c>
      <c r="K831" s="4"/>
      <c r="L831" s="4"/>
      <c r="M831" s="4"/>
      <c r="N831" s="4"/>
    </row>
    <row r="832" ht="13.5" hidden="1" customHeight="1">
      <c r="A832" s="4" t="str">
        <f t="shared" si="1"/>
        <v>TRW-TERIOS06FY</v>
      </c>
      <c r="B832" s="29" t="s">
        <v>1247</v>
      </c>
      <c r="C832" s="28" t="s">
        <v>1244</v>
      </c>
      <c r="D832" s="28" t="s">
        <v>41</v>
      </c>
      <c r="E832" s="4" t="s">
        <v>111</v>
      </c>
      <c r="F832" s="28" t="s">
        <v>97</v>
      </c>
      <c r="G832" s="4"/>
      <c r="H832" s="4">
        <f>SUMIFS(X!$F$5:$F$2005,X!$D$5:$D$2005,'CEK CICI'!A832)</f>
        <v>0</v>
      </c>
      <c r="I832" s="4">
        <f>SUMIFS(PENJUALAN!$E$4:$E$4288,PENJUALAN!$C$4:$C$4288,'CEK CICI'!A832)</f>
        <v>0</v>
      </c>
      <c r="J832" s="16">
        <f t="shared" si="2"/>
        <v>0</v>
      </c>
      <c r="K832" s="4"/>
      <c r="L832" s="4"/>
      <c r="M832" s="4"/>
      <c r="N832" s="4"/>
    </row>
    <row r="833" ht="13.5" hidden="1" customHeight="1">
      <c r="A833" s="4" t="str">
        <f t="shared" si="1"/>
        <v>LFW-SIENTAFY</v>
      </c>
      <c r="B833" s="29" t="s">
        <v>1248</v>
      </c>
      <c r="C833" s="28" t="s">
        <v>1249</v>
      </c>
      <c r="D833" s="28" t="s">
        <v>22</v>
      </c>
      <c r="E833" s="4" t="s">
        <v>111</v>
      </c>
      <c r="F833" s="28" t="s">
        <v>125</v>
      </c>
      <c r="G833" s="4"/>
      <c r="H833" s="4">
        <f>SUMIFS(X!$F$5:$F$2005,X!$D$5:$D$2005,'CEK CICI'!A833)</f>
        <v>0</v>
      </c>
      <c r="I833" s="4">
        <f>SUMIFS(PENJUALAN!$E$4:$E$4288,PENJUALAN!$C$4:$C$4288,'CEK CICI'!A833)</f>
        <v>0</v>
      </c>
      <c r="J833" s="16">
        <f t="shared" si="2"/>
        <v>0</v>
      </c>
      <c r="K833" s="4"/>
      <c r="L833" s="4"/>
      <c r="M833" s="4"/>
      <c r="N833" s="4"/>
    </row>
    <row r="834" ht="13.5" hidden="1" customHeight="1">
      <c r="A834" s="4" t="str">
        <f t="shared" si="1"/>
        <v>TRW-SIENTAFY</v>
      </c>
      <c r="B834" s="29" t="s">
        <v>1250</v>
      </c>
      <c r="C834" s="28" t="s">
        <v>1249</v>
      </c>
      <c r="D834" s="28" t="s">
        <v>41</v>
      </c>
      <c r="E834" s="4" t="s">
        <v>111</v>
      </c>
      <c r="F834" s="28" t="s">
        <v>67</v>
      </c>
      <c r="G834" s="4"/>
      <c r="H834" s="4">
        <f>SUMIFS(X!$F$5:$F$2005,X!$D$5:$D$2005,'CEK CICI'!A834)</f>
        <v>0</v>
      </c>
      <c r="I834" s="4">
        <f>SUMIFS(PENJUALAN!$E$4:$E$4288,PENJUALAN!$C$4:$C$4288,'CEK CICI'!A834)</f>
        <v>0</v>
      </c>
      <c r="J834" s="16">
        <f t="shared" si="2"/>
        <v>0</v>
      </c>
      <c r="K834" s="4"/>
      <c r="L834" s="4"/>
      <c r="M834" s="4"/>
      <c r="N834" s="4"/>
    </row>
    <row r="835" ht="13.5" hidden="1" customHeight="1">
      <c r="A835" s="4" t="str">
        <f t="shared" si="1"/>
        <v>LFW-SOLUNAFY</v>
      </c>
      <c r="B835" s="29" t="s">
        <v>1251</v>
      </c>
      <c r="C835" s="28" t="s">
        <v>1252</v>
      </c>
      <c r="D835" s="28" t="s">
        <v>22</v>
      </c>
      <c r="E835" s="4" t="s">
        <v>111</v>
      </c>
      <c r="F835" s="28" t="s">
        <v>97</v>
      </c>
      <c r="G835" s="4"/>
      <c r="H835" s="4">
        <f>SUMIFS(X!$F$5:$F$2005,X!$D$5:$D$2005,'CEK CICI'!A835)</f>
        <v>0</v>
      </c>
      <c r="I835" s="4">
        <f>SUMIFS(PENJUALAN!$E$4:$E$4288,PENJUALAN!$C$4:$C$4288,'CEK CICI'!A835)</f>
        <v>0</v>
      </c>
      <c r="J835" s="16">
        <f t="shared" si="2"/>
        <v>0</v>
      </c>
      <c r="K835" s="4"/>
      <c r="L835" s="4"/>
      <c r="M835" s="4"/>
      <c r="N835" s="4"/>
    </row>
    <row r="836" ht="13.5" hidden="1" customHeight="1">
      <c r="A836" s="4" t="str">
        <f t="shared" si="1"/>
        <v>LFW-STARLETFY</v>
      </c>
      <c r="B836" s="29" t="s">
        <v>1253</v>
      </c>
      <c r="C836" s="28" t="s">
        <v>1254</v>
      </c>
      <c r="D836" s="28" t="s">
        <v>22</v>
      </c>
      <c r="E836" s="4" t="s">
        <v>111</v>
      </c>
      <c r="F836" s="28" t="s">
        <v>97</v>
      </c>
      <c r="G836" s="4"/>
      <c r="H836" s="4">
        <f>SUMIFS(X!$F$5:$F$2005,X!$D$5:$D$2005,'CEK CICI'!A836)</f>
        <v>0</v>
      </c>
      <c r="I836" s="4">
        <f>SUMIFS(PENJUALAN!$E$4:$E$4288,PENJUALAN!$C$4:$C$4288,'CEK CICI'!A836)</f>
        <v>0</v>
      </c>
      <c r="J836" s="16">
        <f t="shared" si="2"/>
        <v>0</v>
      </c>
      <c r="K836" s="4"/>
      <c r="L836" s="4"/>
      <c r="M836" s="4"/>
      <c r="N836" s="4"/>
    </row>
    <row r="837" ht="13.5" hidden="1" customHeight="1">
      <c r="A837" s="4" t="str">
        <f t="shared" si="1"/>
        <v>TRW-STARLETFY</v>
      </c>
      <c r="B837" s="29" t="s">
        <v>1255</v>
      </c>
      <c r="C837" s="28" t="s">
        <v>1254</v>
      </c>
      <c r="D837" s="28" t="s">
        <v>41</v>
      </c>
      <c r="E837" s="4" t="s">
        <v>111</v>
      </c>
      <c r="F837" s="28" t="s">
        <v>67</v>
      </c>
      <c r="G837" s="4"/>
      <c r="H837" s="4">
        <f>SUMIFS(X!$F$5:$F$2005,X!$D$5:$D$2005,'CEK CICI'!A837)</f>
        <v>0</v>
      </c>
      <c r="I837" s="4">
        <f>SUMIFS(PENJUALAN!$E$4:$E$4288,PENJUALAN!$C$4:$C$4288,'CEK CICI'!A837)</f>
        <v>0</v>
      </c>
      <c r="J837" s="16">
        <f t="shared" si="2"/>
        <v>0</v>
      </c>
      <c r="K837" s="4"/>
      <c r="L837" s="4"/>
      <c r="M837" s="4"/>
      <c r="N837" s="4"/>
    </row>
    <row r="838" ht="13.5" hidden="1" customHeight="1">
      <c r="A838" s="4" t="str">
        <f t="shared" si="1"/>
        <v>RDL-STARLETFY</v>
      </c>
      <c r="B838" s="29" t="s">
        <v>1256</v>
      </c>
      <c r="C838" s="28" t="s">
        <v>1254</v>
      </c>
      <c r="D838" s="28" t="s">
        <v>132</v>
      </c>
      <c r="E838" s="4" t="s">
        <v>111</v>
      </c>
      <c r="F838" s="28"/>
      <c r="G838" s="4"/>
      <c r="H838" s="4">
        <f>SUMIFS(X!$F$5:$F$2005,X!$D$5:$D$2005,'CEK CICI'!A838)</f>
        <v>0</v>
      </c>
      <c r="I838" s="4">
        <f>SUMIFS(PENJUALAN!$E$4:$E$4288,PENJUALAN!$C$4:$C$4288,'CEK CICI'!A838)</f>
        <v>0</v>
      </c>
      <c r="J838" s="16">
        <f t="shared" si="2"/>
        <v>0</v>
      </c>
      <c r="K838" s="4"/>
      <c r="L838" s="4"/>
      <c r="M838" s="4"/>
      <c r="N838" s="4"/>
    </row>
    <row r="839" ht="13.5" hidden="1" customHeight="1">
      <c r="A839" s="4" t="str">
        <f t="shared" si="1"/>
        <v>RDR-STARLETFY</v>
      </c>
      <c r="B839" s="29" t="s">
        <v>1257</v>
      </c>
      <c r="C839" s="28" t="s">
        <v>1254</v>
      </c>
      <c r="D839" s="28" t="s">
        <v>134</v>
      </c>
      <c r="E839" s="4" t="s">
        <v>111</v>
      </c>
      <c r="F839" s="28"/>
      <c r="G839" s="4"/>
      <c r="H839" s="4">
        <f>SUMIFS(X!$F$5:$F$2005,X!$D$5:$D$2005,'CEK CICI'!A839)</f>
        <v>0</v>
      </c>
      <c r="I839" s="4">
        <f>SUMIFS(PENJUALAN!$E$4:$E$4288,PENJUALAN!$C$4:$C$4288,'CEK CICI'!A839)</f>
        <v>0</v>
      </c>
      <c r="J839" s="16">
        <f t="shared" si="2"/>
        <v>0</v>
      </c>
      <c r="K839" s="4"/>
      <c r="L839" s="4"/>
      <c r="M839" s="4"/>
      <c r="N839" s="4"/>
    </row>
    <row r="840" ht="13.5" hidden="1" customHeight="1">
      <c r="A840" s="4" t="str">
        <f t="shared" si="1"/>
        <v>TRW-VIOS02FY</v>
      </c>
      <c r="B840" s="29" t="s">
        <v>1258</v>
      </c>
      <c r="C840" s="28" t="s">
        <v>1259</v>
      </c>
      <c r="D840" s="28" t="s">
        <v>41</v>
      </c>
      <c r="E840" s="4" t="s">
        <v>111</v>
      </c>
      <c r="F840" s="28" t="s">
        <v>67</v>
      </c>
      <c r="G840" s="4"/>
      <c r="H840" s="4">
        <f>SUMIFS(X!$F$5:$F$2005,X!$D$5:$D$2005,'CEK CICI'!A840)</f>
        <v>0</v>
      </c>
      <c r="I840" s="4">
        <f>SUMIFS(PENJUALAN!$E$4:$E$4288,PENJUALAN!$C$4:$C$4288,'CEK CICI'!A840)</f>
        <v>0</v>
      </c>
      <c r="J840" s="16">
        <f t="shared" si="2"/>
        <v>0</v>
      </c>
      <c r="K840" s="4"/>
      <c r="L840" s="4"/>
      <c r="M840" s="4"/>
      <c r="N840" s="4"/>
    </row>
    <row r="841" ht="13.5" hidden="1" customHeight="1">
      <c r="A841" s="4" t="str">
        <f t="shared" si="1"/>
        <v>RDL-VIOS02FY</v>
      </c>
      <c r="B841" s="29" t="s">
        <v>1260</v>
      </c>
      <c r="C841" s="28" t="s">
        <v>1259</v>
      </c>
      <c r="D841" s="28" t="s">
        <v>132</v>
      </c>
      <c r="E841" s="4" t="s">
        <v>111</v>
      </c>
      <c r="F841" s="28"/>
      <c r="G841" s="4"/>
      <c r="H841" s="4">
        <f>SUMIFS(X!$F$5:$F$2005,X!$D$5:$D$2005,'CEK CICI'!A841)</f>
        <v>0</v>
      </c>
      <c r="I841" s="4">
        <f>SUMIFS(PENJUALAN!$E$4:$E$4288,PENJUALAN!$C$4:$C$4288,'CEK CICI'!A841)</f>
        <v>0</v>
      </c>
      <c r="J841" s="16">
        <f t="shared" si="2"/>
        <v>0</v>
      </c>
      <c r="K841" s="4"/>
      <c r="L841" s="4"/>
      <c r="M841" s="4"/>
      <c r="N841" s="4"/>
    </row>
    <row r="842" ht="13.5" hidden="1" customHeight="1">
      <c r="A842" s="4" t="str">
        <f t="shared" si="1"/>
        <v>RDR-VIOS02FY</v>
      </c>
      <c r="B842" s="29" t="s">
        <v>1261</v>
      </c>
      <c r="C842" s="28" t="s">
        <v>1259</v>
      </c>
      <c r="D842" s="28" t="s">
        <v>134</v>
      </c>
      <c r="E842" s="4" t="s">
        <v>111</v>
      </c>
      <c r="F842" s="28"/>
      <c r="G842" s="4"/>
      <c r="H842" s="4">
        <f>SUMIFS(X!$F$5:$F$2005,X!$D$5:$D$2005,'CEK CICI'!A842)</f>
        <v>0</v>
      </c>
      <c r="I842" s="4">
        <f>SUMIFS(PENJUALAN!$E$4:$E$4288,PENJUALAN!$C$4:$C$4288,'CEK CICI'!A842)</f>
        <v>0</v>
      </c>
      <c r="J842" s="16">
        <f t="shared" si="2"/>
        <v>0</v>
      </c>
      <c r="K842" s="4"/>
      <c r="L842" s="4"/>
      <c r="M842" s="4"/>
      <c r="N842" s="4"/>
    </row>
    <row r="843" ht="13.5" hidden="1" customHeight="1">
      <c r="A843" s="4" t="str">
        <f t="shared" si="1"/>
        <v>LFW-VIOS07FY</v>
      </c>
      <c r="B843" s="29" t="s">
        <v>1262</v>
      </c>
      <c r="C843" s="28" t="s">
        <v>1263</v>
      </c>
      <c r="D843" s="28" t="s">
        <v>22</v>
      </c>
      <c r="E843" s="4" t="s">
        <v>111</v>
      </c>
      <c r="F843" s="28" t="s">
        <v>125</v>
      </c>
      <c r="G843" s="4"/>
      <c r="H843" s="4">
        <f>SUMIFS(X!$F$5:$F$2005,X!$D$5:$D$2005,'CEK CICI'!A843)</f>
        <v>0</v>
      </c>
      <c r="I843" s="4">
        <f>SUMIFS(PENJUALAN!$E$4:$E$4288,PENJUALAN!$C$4:$C$4288,'CEK CICI'!A843)</f>
        <v>0</v>
      </c>
      <c r="J843" s="16">
        <f t="shared" si="2"/>
        <v>0</v>
      </c>
      <c r="K843" s="4"/>
      <c r="L843" s="4"/>
      <c r="M843" s="4"/>
      <c r="N843" s="4"/>
    </row>
    <row r="844" ht="13.5" hidden="1" customHeight="1">
      <c r="A844" s="4" t="str">
        <f t="shared" si="1"/>
        <v>TRW-VIOS07AFY</v>
      </c>
      <c r="B844" s="29" t="s">
        <v>1264</v>
      </c>
      <c r="C844" s="28" t="s">
        <v>1263</v>
      </c>
      <c r="D844" s="28" t="s">
        <v>41</v>
      </c>
      <c r="E844" s="4" t="s">
        <v>111</v>
      </c>
      <c r="F844" s="28" t="s">
        <v>114</v>
      </c>
      <c r="G844" s="4"/>
      <c r="H844" s="4">
        <f>SUMIFS(X!$F$5:$F$2005,X!$D$5:$D$2005,'CEK CICI'!A844)</f>
        <v>0</v>
      </c>
      <c r="I844" s="4">
        <f>SUMIFS(PENJUALAN!$E$4:$E$4288,PENJUALAN!$C$4:$C$4288,'CEK CICI'!A844)</f>
        <v>0</v>
      </c>
      <c r="J844" s="16">
        <f t="shared" si="2"/>
        <v>0</v>
      </c>
      <c r="K844" s="4"/>
      <c r="L844" s="4"/>
      <c r="M844" s="4"/>
      <c r="N844" s="4"/>
    </row>
    <row r="845" ht="13.5" hidden="1" customHeight="1">
      <c r="A845" s="4" t="str">
        <f t="shared" si="1"/>
        <v>TRW-VIOS07FY</v>
      </c>
      <c r="B845" s="29" t="s">
        <v>1265</v>
      </c>
      <c r="C845" s="28" t="s">
        <v>1263</v>
      </c>
      <c r="D845" s="28" t="s">
        <v>41</v>
      </c>
      <c r="E845" s="4" t="s">
        <v>111</v>
      </c>
      <c r="F845" s="28" t="s">
        <v>67</v>
      </c>
      <c r="G845" s="4"/>
      <c r="H845" s="4">
        <f>SUMIFS(X!$F$5:$F$2005,X!$D$5:$D$2005,'CEK CICI'!A845)</f>
        <v>0</v>
      </c>
      <c r="I845" s="4">
        <f>SUMIFS(PENJUALAN!$E$4:$E$4288,PENJUALAN!$C$4:$C$4288,'CEK CICI'!A845)</f>
        <v>0</v>
      </c>
      <c r="J845" s="16">
        <f t="shared" si="2"/>
        <v>0</v>
      </c>
      <c r="K845" s="4"/>
      <c r="L845" s="4"/>
      <c r="M845" s="4"/>
      <c r="N845" s="4"/>
    </row>
    <row r="846" ht="13.5" hidden="1" customHeight="1">
      <c r="A846" s="4" t="str">
        <f t="shared" si="1"/>
        <v>RDL-VIOS07FY</v>
      </c>
      <c r="B846" s="29" t="s">
        <v>1266</v>
      </c>
      <c r="C846" s="28" t="s">
        <v>1263</v>
      </c>
      <c r="D846" s="28" t="s">
        <v>132</v>
      </c>
      <c r="E846" s="4" t="s">
        <v>111</v>
      </c>
      <c r="F846" s="28"/>
      <c r="G846" s="4"/>
      <c r="H846" s="4">
        <f>SUMIFS(X!$F$5:$F$2005,X!$D$5:$D$2005,'CEK CICI'!A846)</f>
        <v>0</v>
      </c>
      <c r="I846" s="4">
        <f>SUMIFS(PENJUALAN!$E$4:$E$4288,PENJUALAN!$C$4:$C$4288,'CEK CICI'!A846)</f>
        <v>0</v>
      </c>
      <c r="J846" s="16">
        <f t="shared" si="2"/>
        <v>0</v>
      </c>
      <c r="K846" s="4"/>
      <c r="L846" s="4"/>
      <c r="M846" s="4"/>
      <c r="N846" s="4"/>
    </row>
    <row r="847" ht="13.5" hidden="1" customHeight="1">
      <c r="A847" s="4" t="str">
        <f t="shared" si="1"/>
        <v>RDR-VIOS07FY</v>
      </c>
      <c r="B847" s="29" t="s">
        <v>1267</v>
      </c>
      <c r="C847" s="28" t="s">
        <v>1263</v>
      </c>
      <c r="D847" s="28" t="s">
        <v>134</v>
      </c>
      <c r="E847" s="4" t="s">
        <v>111</v>
      </c>
      <c r="F847" s="28"/>
      <c r="G847" s="4"/>
      <c r="H847" s="4">
        <f>SUMIFS(X!$F$5:$F$2005,X!$D$5:$D$2005,'CEK CICI'!A847)</f>
        <v>0</v>
      </c>
      <c r="I847" s="4">
        <f>SUMIFS(PENJUALAN!$E$4:$E$4288,PENJUALAN!$C$4:$C$4288,'CEK CICI'!A847)</f>
        <v>0</v>
      </c>
      <c r="J847" s="16">
        <f t="shared" si="2"/>
        <v>0</v>
      </c>
      <c r="K847" s="4"/>
      <c r="L847" s="4"/>
      <c r="M847" s="4"/>
      <c r="N847" s="4"/>
    </row>
    <row r="848" ht="13.5" hidden="1" customHeight="1">
      <c r="A848" s="4" t="str">
        <f t="shared" si="1"/>
        <v>RVL-VIOS07FY</v>
      </c>
      <c r="B848" s="29" t="s">
        <v>1268</v>
      </c>
      <c r="C848" s="28" t="s">
        <v>1263</v>
      </c>
      <c r="D848" s="28" t="s">
        <v>387</v>
      </c>
      <c r="E848" s="4" t="s">
        <v>111</v>
      </c>
      <c r="F848" s="28"/>
      <c r="G848" s="4"/>
      <c r="H848" s="4">
        <f>SUMIFS(X!$F$5:$F$2005,X!$D$5:$D$2005,'CEK CICI'!A848)</f>
        <v>0</v>
      </c>
      <c r="I848" s="4">
        <f>SUMIFS(PENJUALAN!$E$4:$E$4288,PENJUALAN!$C$4:$C$4288,'CEK CICI'!A848)</f>
        <v>0</v>
      </c>
      <c r="J848" s="16">
        <f t="shared" si="2"/>
        <v>0</v>
      </c>
      <c r="K848" s="4"/>
      <c r="L848" s="4"/>
      <c r="M848" s="4"/>
      <c r="N848" s="4"/>
    </row>
    <row r="849" ht="13.5" hidden="1" customHeight="1">
      <c r="A849" s="4" t="str">
        <f t="shared" si="1"/>
        <v>LFW-VOXY17FY</v>
      </c>
      <c r="B849" s="29" t="s">
        <v>1269</v>
      </c>
      <c r="C849" s="28" t="s">
        <v>1270</v>
      </c>
      <c r="D849" s="28" t="s">
        <v>22</v>
      </c>
      <c r="E849" s="4" t="s">
        <v>111</v>
      </c>
      <c r="F849" s="28" t="s">
        <v>125</v>
      </c>
      <c r="G849" s="4"/>
      <c r="H849" s="4">
        <f>SUMIFS(X!$F$5:$F$2005,X!$D$5:$D$2005,'CEK CICI'!A849)</f>
        <v>0</v>
      </c>
      <c r="I849" s="4">
        <f>SUMIFS(PENJUALAN!$E$4:$E$4288,PENJUALAN!$C$4:$C$4288,'CEK CICI'!A849)</f>
        <v>0</v>
      </c>
      <c r="J849" s="16">
        <f t="shared" si="2"/>
        <v>0</v>
      </c>
      <c r="K849" s="4"/>
      <c r="L849" s="4"/>
      <c r="M849" s="4"/>
      <c r="N849" s="4"/>
    </row>
    <row r="850" ht="13.5" hidden="1" customHeight="1">
      <c r="A850" s="4" t="str">
        <f t="shared" si="1"/>
        <v>TRW-VOXYFY</v>
      </c>
      <c r="B850" s="29" t="s">
        <v>1271</v>
      </c>
      <c r="C850" s="28" t="s">
        <v>1272</v>
      </c>
      <c r="D850" s="28" t="s">
        <v>41</v>
      </c>
      <c r="E850" s="4" t="s">
        <v>111</v>
      </c>
      <c r="F850" s="28" t="s">
        <v>221</v>
      </c>
      <c r="G850" s="4"/>
      <c r="H850" s="4">
        <f>SUMIFS(X!$F$5:$F$2005,X!$D$5:$D$2005,'CEK CICI'!A850)</f>
        <v>0</v>
      </c>
      <c r="I850" s="4">
        <f>SUMIFS(PENJUALAN!$E$4:$E$4288,PENJUALAN!$C$4:$C$4288,'CEK CICI'!A850)</f>
        <v>0</v>
      </c>
      <c r="J850" s="16">
        <f t="shared" si="2"/>
        <v>0</v>
      </c>
      <c r="K850" s="4"/>
      <c r="L850" s="4"/>
      <c r="M850" s="4"/>
      <c r="N850" s="4"/>
    </row>
    <row r="851" ht="13.5" hidden="1" customHeight="1">
      <c r="A851" s="4" t="str">
        <f t="shared" si="1"/>
        <v>LFW-WISHFY</v>
      </c>
      <c r="B851" s="29" t="s">
        <v>1273</v>
      </c>
      <c r="C851" s="28" t="s">
        <v>1274</v>
      </c>
      <c r="D851" s="28" t="s">
        <v>22</v>
      </c>
      <c r="E851" s="4" t="s">
        <v>111</v>
      </c>
      <c r="F851" s="28" t="s">
        <v>125</v>
      </c>
      <c r="G851" s="4"/>
      <c r="H851" s="4">
        <f>SUMIFS(X!$F$5:$F$2005,X!$D$5:$D$2005,'CEK CICI'!A851)</f>
        <v>0</v>
      </c>
      <c r="I851" s="4">
        <f>SUMIFS(PENJUALAN!$E$4:$E$4288,PENJUALAN!$C$4:$C$4288,'CEK CICI'!A851)</f>
        <v>0</v>
      </c>
      <c r="J851" s="16">
        <f t="shared" si="2"/>
        <v>0</v>
      </c>
      <c r="K851" s="4"/>
      <c r="L851" s="4"/>
      <c r="M851" s="4"/>
      <c r="N851" s="4"/>
    </row>
    <row r="852" ht="13.5" hidden="1" customHeight="1">
      <c r="A852" s="4" t="str">
        <f t="shared" si="1"/>
        <v>TRW-WISHFY</v>
      </c>
      <c r="B852" s="29" t="s">
        <v>1275</v>
      </c>
      <c r="C852" s="28" t="s">
        <v>1274</v>
      </c>
      <c r="D852" s="28" t="s">
        <v>41</v>
      </c>
      <c r="E852" s="4" t="s">
        <v>111</v>
      </c>
      <c r="F852" s="28" t="s">
        <v>221</v>
      </c>
      <c r="G852" s="4"/>
      <c r="H852" s="4">
        <f>SUMIFS(X!$F$5:$F$2005,X!$D$5:$D$2005,'CEK CICI'!A852)</f>
        <v>0</v>
      </c>
      <c r="I852" s="4">
        <f>SUMIFS(PENJUALAN!$E$4:$E$4288,PENJUALAN!$C$4:$C$4288,'CEK CICI'!A852)</f>
        <v>0</v>
      </c>
      <c r="J852" s="16">
        <f t="shared" si="2"/>
        <v>0</v>
      </c>
      <c r="K852" s="4"/>
      <c r="L852" s="4"/>
      <c r="M852" s="4"/>
      <c r="N852" s="4"/>
    </row>
    <row r="853" ht="13.5" hidden="1" customHeight="1">
      <c r="A853" s="4" t="str">
        <f t="shared" si="1"/>
        <v>LFW-YARIS05FY</v>
      </c>
      <c r="B853" s="29" t="s">
        <v>1276</v>
      </c>
      <c r="C853" s="28" t="s">
        <v>1277</v>
      </c>
      <c r="D853" s="28" t="s">
        <v>22</v>
      </c>
      <c r="E853" s="4" t="s">
        <v>111</v>
      </c>
      <c r="F853" s="28" t="s">
        <v>125</v>
      </c>
      <c r="G853" s="4"/>
      <c r="H853" s="4">
        <f>SUMIFS(X!$F$5:$F$2005,X!$D$5:$D$2005,'CEK CICI'!A853)</f>
        <v>0</v>
      </c>
      <c r="I853" s="4">
        <f>SUMIFS(PENJUALAN!$E$4:$E$4288,PENJUALAN!$C$4:$C$4288,'CEK CICI'!A853)</f>
        <v>0</v>
      </c>
      <c r="J853" s="16">
        <f t="shared" si="2"/>
        <v>0</v>
      </c>
      <c r="K853" s="4"/>
      <c r="L853" s="4"/>
      <c r="M853" s="4"/>
      <c r="N853" s="4"/>
    </row>
    <row r="854" ht="13.5" hidden="1" customHeight="1">
      <c r="A854" s="4" t="str">
        <f t="shared" si="1"/>
        <v>TRW-YARIS05FY</v>
      </c>
      <c r="B854" s="29" t="s">
        <v>1278</v>
      </c>
      <c r="C854" s="28" t="s">
        <v>1277</v>
      </c>
      <c r="D854" s="28" t="s">
        <v>41</v>
      </c>
      <c r="E854" s="4" t="s">
        <v>111</v>
      </c>
      <c r="F854" s="28" t="s">
        <v>67</v>
      </c>
      <c r="G854" s="4"/>
      <c r="H854" s="4">
        <f>SUMIFS(X!$F$5:$F$2005,X!$D$5:$D$2005,'CEK CICI'!A854)</f>
        <v>0</v>
      </c>
      <c r="I854" s="4">
        <f>SUMIFS(PENJUALAN!$E$4:$E$4288,PENJUALAN!$C$4:$C$4288,'CEK CICI'!A854)</f>
        <v>0</v>
      </c>
      <c r="J854" s="16">
        <f t="shared" si="2"/>
        <v>0</v>
      </c>
      <c r="K854" s="4"/>
      <c r="L854" s="4"/>
      <c r="M854" s="4"/>
      <c r="N854" s="4"/>
    </row>
    <row r="855" ht="13.5" hidden="1" customHeight="1">
      <c r="A855" s="4" t="str">
        <f t="shared" si="1"/>
        <v>LFW-VIOS13FY</v>
      </c>
      <c r="B855" s="29" t="s">
        <v>1279</v>
      </c>
      <c r="C855" s="28" t="s">
        <v>1280</v>
      </c>
      <c r="D855" s="28" t="s">
        <v>22</v>
      </c>
      <c r="E855" s="4" t="s">
        <v>111</v>
      </c>
      <c r="F855" s="28" t="s">
        <v>125</v>
      </c>
      <c r="G855" s="4"/>
      <c r="H855" s="4">
        <f>SUMIFS(X!$F$5:$F$2005,X!$D$5:$D$2005,'CEK CICI'!A855)</f>
        <v>0</v>
      </c>
      <c r="I855" s="4">
        <f>SUMIFS(PENJUALAN!$E$4:$E$4288,PENJUALAN!$C$4:$C$4288,'CEK CICI'!A855)</f>
        <v>0</v>
      </c>
      <c r="J855" s="16">
        <f t="shared" si="2"/>
        <v>0</v>
      </c>
      <c r="K855" s="4"/>
      <c r="L855" s="4"/>
      <c r="M855" s="4"/>
      <c r="N855" s="4"/>
    </row>
    <row r="856" ht="13.5" hidden="1" customHeight="1">
      <c r="A856" s="4" t="str">
        <f t="shared" si="1"/>
        <v>LFW-T5FY</v>
      </c>
      <c r="B856" s="29" t="s">
        <v>1281</v>
      </c>
      <c r="C856" s="28" t="s">
        <v>1282</v>
      </c>
      <c r="D856" s="28" t="s">
        <v>22</v>
      </c>
      <c r="E856" s="4" t="s">
        <v>111</v>
      </c>
      <c r="F856" s="28" t="s">
        <v>125</v>
      </c>
      <c r="G856" s="4"/>
      <c r="H856" s="4">
        <f>SUMIFS(X!$F$5:$F$2005,X!$D$5:$D$2005,'CEK CICI'!A856)</f>
        <v>0</v>
      </c>
      <c r="I856" s="4">
        <f>SUMIFS(PENJUALAN!$E$4:$E$4288,PENJUALAN!$C$4:$C$4288,'CEK CICI'!A856)</f>
        <v>0</v>
      </c>
      <c r="J856" s="16">
        <f t="shared" si="2"/>
        <v>0</v>
      </c>
      <c r="K856" s="4"/>
      <c r="L856" s="4"/>
      <c r="M856" s="4"/>
      <c r="N856" s="4"/>
    </row>
    <row r="857" ht="13.5" hidden="1" customHeight="1">
      <c r="A857" s="4" t="str">
        <f t="shared" si="1"/>
        <v>TRW-T5FY</v>
      </c>
      <c r="B857" s="29" t="s">
        <v>1283</v>
      </c>
      <c r="C857" s="28" t="s">
        <v>1282</v>
      </c>
      <c r="D857" s="28" t="s">
        <v>41</v>
      </c>
      <c r="E857" s="4" t="s">
        <v>111</v>
      </c>
      <c r="F857" s="28" t="s">
        <v>221</v>
      </c>
      <c r="G857" s="4"/>
      <c r="H857" s="4">
        <f>SUMIFS(X!$F$5:$F$2005,X!$D$5:$D$2005,'CEK CICI'!A857)</f>
        <v>0</v>
      </c>
      <c r="I857" s="4">
        <f>SUMIFS(PENJUALAN!$E$4:$E$4288,PENJUALAN!$C$4:$C$4288,'CEK CICI'!A857)</f>
        <v>0</v>
      </c>
      <c r="J857" s="16">
        <f t="shared" si="2"/>
        <v>0</v>
      </c>
      <c r="K857" s="4"/>
      <c r="L857" s="4"/>
      <c r="M857" s="4"/>
      <c r="N857" s="4"/>
    </row>
    <row r="858" ht="13.5" hidden="1" customHeight="1">
      <c r="A858" s="4" t="str">
        <f t="shared" si="1"/>
        <v>TRW-MK5FY</v>
      </c>
      <c r="B858" s="29" t="s">
        <v>1284</v>
      </c>
      <c r="C858" s="28" t="s">
        <v>1285</v>
      </c>
      <c r="D858" s="28" t="s">
        <v>41</v>
      </c>
      <c r="E858" s="4" t="s">
        <v>111</v>
      </c>
      <c r="F858" s="28" t="s">
        <v>659</v>
      </c>
      <c r="G858" s="4"/>
      <c r="H858" s="4">
        <f>SUMIFS(X!$F$5:$F$2005,X!$D$5:$D$2005,'CEK CICI'!A858)</f>
        <v>0</v>
      </c>
      <c r="I858" s="4">
        <f>SUMIFS(PENJUALAN!$E$4:$E$4288,PENJUALAN!$C$4:$C$4288,'CEK CICI'!A858)</f>
        <v>0</v>
      </c>
      <c r="J858" s="16">
        <f t="shared" si="2"/>
        <v>0</v>
      </c>
      <c r="K858" s="4"/>
      <c r="L858" s="4"/>
      <c r="M858" s="4"/>
      <c r="N858" s="4"/>
    </row>
    <row r="859" ht="13.5" hidden="1" customHeight="1">
      <c r="A859" s="4" t="str">
        <f t="shared" si="1"/>
        <v>LFW-GOLFMK6FY</v>
      </c>
      <c r="B859" s="29" t="s">
        <v>1286</v>
      </c>
      <c r="C859" s="28" t="s">
        <v>1287</v>
      </c>
      <c r="D859" s="28" t="s">
        <v>22</v>
      </c>
      <c r="E859" s="4" t="s">
        <v>111</v>
      </c>
      <c r="F859" s="28" t="s">
        <v>112</v>
      </c>
      <c r="G859" s="4"/>
      <c r="H859" s="4">
        <f>SUMIFS(X!$F$5:$F$2005,X!$D$5:$D$2005,'CEK CICI'!A859)</f>
        <v>0</v>
      </c>
      <c r="I859" s="4">
        <f>SUMIFS(PENJUALAN!$E$4:$E$4288,PENJUALAN!$C$4:$C$4288,'CEK CICI'!A859)</f>
        <v>0</v>
      </c>
      <c r="J859" s="16">
        <f t="shared" si="2"/>
        <v>0</v>
      </c>
      <c r="K859" s="4"/>
      <c r="L859" s="4"/>
      <c r="M859" s="4"/>
      <c r="N859" s="4"/>
    </row>
    <row r="860" ht="13.5" hidden="1" customHeight="1">
      <c r="A860" s="4" t="str">
        <f t="shared" si="1"/>
        <v>TRW-MK6FY</v>
      </c>
      <c r="B860" s="29" t="s">
        <v>1288</v>
      </c>
      <c r="C860" s="28" t="s">
        <v>1287</v>
      </c>
      <c r="D860" s="28" t="s">
        <v>41</v>
      </c>
      <c r="E860" s="4" t="s">
        <v>111</v>
      </c>
      <c r="F860" s="28" t="s">
        <v>659</v>
      </c>
      <c r="G860" s="4"/>
      <c r="H860" s="4">
        <f>SUMIFS(X!$F$5:$F$2005,X!$D$5:$D$2005,'CEK CICI'!A860)</f>
        <v>0</v>
      </c>
      <c r="I860" s="4">
        <f>SUMIFS(PENJUALAN!$E$4:$E$4288,PENJUALAN!$C$4:$C$4288,'CEK CICI'!A860)</f>
        <v>0</v>
      </c>
      <c r="J860" s="16">
        <f t="shared" si="2"/>
        <v>0</v>
      </c>
      <c r="K860" s="4"/>
      <c r="L860" s="4"/>
      <c r="M860" s="4"/>
      <c r="N860" s="4"/>
    </row>
    <row r="861" ht="13.5" hidden="1" customHeight="1">
      <c r="A861" s="4" t="str">
        <f t="shared" si="1"/>
        <v>LFW-MK7FY</v>
      </c>
      <c r="B861" s="29" t="s">
        <v>1289</v>
      </c>
      <c r="C861" s="28" t="s">
        <v>1290</v>
      </c>
      <c r="D861" s="28" t="s">
        <v>22</v>
      </c>
      <c r="E861" s="4" t="s">
        <v>111</v>
      </c>
      <c r="F861" s="28" t="s">
        <v>112</v>
      </c>
      <c r="G861" s="4"/>
      <c r="H861" s="4">
        <f>SUMIFS(X!$F$5:$F$2005,X!$D$5:$D$2005,'CEK CICI'!A861)</f>
        <v>0</v>
      </c>
      <c r="I861" s="4">
        <f>SUMIFS(PENJUALAN!$E$4:$E$4288,PENJUALAN!$C$4:$C$4288,'CEK CICI'!A861)</f>
        <v>0</v>
      </c>
      <c r="J861" s="16">
        <f t="shared" si="2"/>
        <v>0</v>
      </c>
      <c r="K861" s="4"/>
      <c r="L861" s="4"/>
      <c r="M861" s="4"/>
      <c r="N861" s="4"/>
    </row>
    <row r="862" ht="13.5" hidden="1" customHeight="1">
      <c r="A862" s="4" t="str">
        <f t="shared" si="1"/>
        <v>LFW-NEWBEETLEFY</v>
      </c>
      <c r="B862" s="29" t="s">
        <v>1291</v>
      </c>
      <c r="C862" s="28" t="s">
        <v>1292</v>
      </c>
      <c r="D862" s="28" t="s">
        <v>22</v>
      </c>
      <c r="E862" s="4" t="s">
        <v>111</v>
      </c>
      <c r="F862" s="28" t="s">
        <v>112</v>
      </c>
      <c r="G862" s="4"/>
      <c r="H862" s="4">
        <f>SUMIFS(X!$F$5:$F$2005,X!$D$5:$D$2005,'CEK CICI'!A862)</f>
        <v>0</v>
      </c>
      <c r="I862" s="4">
        <f>SUMIFS(PENJUALAN!$E$4:$E$4288,PENJUALAN!$C$4:$C$4288,'CEK CICI'!A862)</f>
        <v>0</v>
      </c>
      <c r="J862" s="16">
        <f t="shared" si="2"/>
        <v>0</v>
      </c>
      <c r="K862" s="4"/>
      <c r="L862" s="4"/>
      <c r="M862" s="4"/>
      <c r="N862" s="4"/>
    </row>
    <row r="863" ht="13.5" hidden="1" customHeight="1">
      <c r="A863" s="4" t="str">
        <f t="shared" si="1"/>
        <v>LFW-POLO09RSFY</v>
      </c>
      <c r="B863" s="29" t="s">
        <v>1293</v>
      </c>
      <c r="C863" s="28" t="s">
        <v>1294</v>
      </c>
      <c r="D863" s="28" t="s">
        <v>22</v>
      </c>
      <c r="E863" s="4" t="s">
        <v>111</v>
      </c>
      <c r="F863" s="28" t="s">
        <v>112</v>
      </c>
      <c r="G863" s="4"/>
      <c r="H863" s="4">
        <f>SUMIFS(X!$F$5:$F$2005,X!$D$5:$D$2005,'CEK CICI'!A863)</f>
        <v>0</v>
      </c>
      <c r="I863" s="4">
        <f>SUMIFS(PENJUALAN!$E$4:$E$4288,PENJUALAN!$C$4:$C$4288,'CEK CICI'!A863)</f>
        <v>0</v>
      </c>
      <c r="J863" s="16">
        <f t="shared" si="2"/>
        <v>0</v>
      </c>
      <c r="K863" s="4"/>
      <c r="L863" s="4"/>
      <c r="M863" s="4"/>
      <c r="N863" s="4"/>
    </row>
    <row r="864" ht="13.5" hidden="1" customHeight="1">
      <c r="A864" s="4" t="str">
        <f t="shared" si="1"/>
        <v>LFW-POLO09FY</v>
      </c>
      <c r="B864" s="29" t="s">
        <v>1295</v>
      </c>
      <c r="C864" s="28" t="s">
        <v>1296</v>
      </c>
      <c r="D864" s="28" t="s">
        <v>22</v>
      </c>
      <c r="E864" s="4" t="s">
        <v>111</v>
      </c>
      <c r="F864" s="28" t="s">
        <v>737</v>
      </c>
      <c r="G864" s="4"/>
      <c r="H864" s="4">
        <f>SUMIFS(X!$F$5:$F$2005,X!$D$5:$D$2005,'CEK CICI'!A864)</f>
        <v>0</v>
      </c>
      <c r="I864" s="4">
        <f>SUMIFS(PENJUALAN!$E$4:$E$4288,PENJUALAN!$C$4:$C$4288,'CEK CICI'!A864)</f>
        <v>0</v>
      </c>
      <c r="J864" s="16">
        <f t="shared" si="2"/>
        <v>0</v>
      </c>
      <c r="K864" s="4"/>
      <c r="L864" s="4"/>
      <c r="M864" s="4"/>
      <c r="N864" s="4"/>
    </row>
    <row r="865" ht="13.5" hidden="1" customHeight="1">
      <c r="A865" s="4" t="str">
        <f t="shared" si="1"/>
        <v>TRW-POLO09FY</v>
      </c>
      <c r="B865" s="29" t="s">
        <v>1297</v>
      </c>
      <c r="C865" s="28" t="s">
        <v>1296</v>
      </c>
      <c r="D865" s="28" t="s">
        <v>41</v>
      </c>
      <c r="E865" s="4" t="s">
        <v>111</v>
      </c>
      <c r="F865" s="28" t="s">
        <v>659</v>
      </c>
      <c r="G865" s="4"/>
      <c r="H865" s="4">
        <f>SUMIFS(X!$F$5:$F$2005,X!$D$5:$D$2005,'CEK CICI'!A865)</f>
        <v>0</v>
      </c>
      <c r="I865" s="4">
        <f>SUMIFS(PENJUALAN!$E$4:$E$4288,PENJUALAN!$C$4:$C$4288,'CEK CICI'!A865)</f>
        <v>0</v>
      </c>
      <c r="J865" s="16">
        <f t="shared" si="2"/>
        <v>0</v>
      </c>
      <c r="K865" s="4"/>
      <c r="L865" s="4"/>
      <c r="M865" s="4"/>
      <c r="N865" s="4"/>
    </row>
    <row r="866" ht="13.5" hidden="1" customHeight="1">
      <c r="A866" s="4" t="str">
        <f t="shared" si="1"/>
        <v>LFW-SCIROCCOFY</v>
      </c>
      <c r="B866" s="29" t="s">
        <v>1298</v>
      </c>
      <c r="C866" s="28" t="s">
        <v>1299</v>
      </c>
      <c r="D866" s="28" t="s">
        <v>22</v>
      </c>
      <c r="E866" s="4" t="s">
        <v>111</v>
      </c>
      <c r="F866" s="28" t="s">
        <v>189</v>
      </c>
      <c r="G866" s="4"/>
      <c r="H866" s="4">
        <f>SUMIFS(X!$F$5:$F$2005,X!$D$5:$D$2005,'CEK CICI'!A866)</f>
        <v>0</v>
      </c>
      <c r="I866" s="4">
        <f>SUMIFS(PENJUALAN!$E$4:$E$4288,PENJUALAN!$C$4:$C$4288,'CEK CICI'!A866)</f>
        <v>0</v>
      </c>
      <c r="J866" s="16">
        <f t="shared" si="2"/>
        <v>0</v>
      </c>
      <c r="K866" s="4"/>
      <c r="L866" s="4"/>
      <c r="M866" s="4"/>
      <c r="N866" s="4"/>
    </row>
    <row r="867" ht="13.5" hidden="1" customHeight="1">
      <c r="A867" s="4" t="str">
        <f t="shared" si="1"/>
        <v>LFW-TIGUANFY</v>
      </c>
      <c r="B867" s="29" t="s">
        <v>1300</v>
      </c>
      <c r="C867" s="28" t="s">
        <v>1301</v>
      </c>
      <c r="D867" s="28" t="s">
        <v>22</v>
      </c>
      <c r="E867" s="4" t="s">
        <v>111</v>
      </c>
      <c r="F867" s="28" t="s">
        <v>112</v>
      </c>
      <c r="G867" s="4"/>
      <c r="H867" s="4">
        <f>SUMIFS(X!$F$5:$F$2005,X!$D$5:$D$2005,'CEK CICI'!A867)</f>
        <v>0</v>
      </c>
      <c r="I867" s="4">
        <f>SUMIFS(PENJUALAN!$E$4:$E$4288,PENJUALAN!$C$4:$C$4288,'CEK CICI'!A867)</f>
        <v>0</v>
      </c>
      <c r="J867" s="16">
        <f t="shared" si="2"/>
        <v>0</v>
      </c>
      <c r="K867" s="4"/>
      <c r="L867" s="4"/>
      <c r="M867" s="4"/>
      <c r="N867" s="4"/>
    </row>
    <row r="868" ht="13.5" hidden="1" customHeight="1">
      <c r="A868" s="4" t="str">
        <f t="shared" si="1"/>
        <v>LFW-CONFEROFY</v>
      </c>
      <c r="B868" s="29" t="s">
        <v>1302</v>
      </c>
      <c r="C868" s="28" t="s">
        <v>1303</v>
      </c>
      <c r="D868" s="28" t="s">
        <v>22</v>
      </c>
      <c r="E868" s="4" t="s">
        <v>111</v>
      </c>
      <c r="F868" s="28" t="s">
        <v>125</v>
      </c>
      <c r="G868" s="4"/>
      <c r="H868" s="4">
        <f>SUMIFS(X!$F$5:$F$2005,X!$D$5:$D$2005,'CEK CICI'!A868)</f>
        <v>0</v>
      </c>
      <c r="I868" s="4">
        <f>SUMIFS(PENJUALAN!$E$4:$E$4288,PENJUALAN!$C$4:$C$4288,'CEK CICI'!A868)</f>
        <v>0</v>
      </c>
      <c r="J868" s="16">
        <f t="shared" si="2"/>
        <v>0</v>
      </c>
      <c r="K868" s="4"/>
      <c r="L868" s="4"/>
      <c r="M868" s="4"/>
      <c r="N868" s="4"/>
    </row>
    <row r="869" ht="13.5" hidden="1" customHeight="1">
      <c r="A869" s="4" t="str">
        <f t="shared" si="1"/>
        <v>LFW-LOUHANFY</v>
      </c>
      <c r="B869" s="29" t="s">
        <v>1304</v>
      </c>
      <c r="C869" s="30" t="s">
        <v>1305</v>
      </c>
      <c r="D869" s="30" t="s">
        <v>22</v>
      </c>
      <c r="E869" s="4" t="s">
        <v>111</v>
      </c>
      <c r="F869" s="28"/>
      <c r="G869" s="4"/>
      <c r="H869" s="4">
        <f>SUMIFS(X!$F$5:$F$2005,X!$D$5:$D$2005,'CEK CICI'!A869)</f>
        <v>0</v>
      </c>
      <c r="I869" s="4">
        <f>SUMIFS(PENJUALAN!$E$4:$E$4288,PENJUALAN!$C$4:$C$4288,'CEK CICI'!A869)</f>
        <v>0</v>
      </c>
      <c r="J869" s="16">
        <f t="shared" si="2"/>
        <v>0</v>
      </c>
      <c r="K869" s="4"/>
      <c r="L869" s="4"/>
      <c r="M869" s="4"/>
      <c r="N869" s="4"/>
    </row>
    <row r="870" ht="13.5" hidden="1" customHeight="1">
      <c r="A870" s="4" t="str">
        <f t="shared" si="1"/>
        <v>LFW-ELFNKRFY</v>
      </c>
      <c r="B870" s="29" t="s">
        <v>1306</v>
      </c>
      <c r="C870" s="30" t="s">
        <v>1307</v>
      </c>
      <c r="D870" s="28" t="s">
        <v>22</v>
      </c>
      <c r="E870" s="4" t="s">
        <v>111</v>
      </c>
      <c r="F870" s="28"/>
      <c r="G870" s="4"/>
      <c r="H870" s="4">
        <f>SUMIFS(X!$F$5:$F$2005,X!$D$5:$D$2005,'CEK CICI'!A870)</f>
        <v>0</v>
      </c>
      <c r="I870" s="4">
        <f>SUMIFS(PENJUALAN!$E$4:$E$4288,PENJUALAN!$C$4:$C$4288,'CEK CICI'!A870)</f>
        <v>0</v>
      </c>
      <c r="J870" s="16">
        <f t="shared" si="2"/>
        <v>0</v>
      </c>
      <c r="K870" s="4"/>
      <c r="L870" s="4"/>
      <c r="M870" s="4"/>
      <c r="N870" s="4"/>
    </row>
    <row r="871" ht="13.5" hidden="1" customHeight="1">
      <c r="A871" s="4" t="str">
        <f t="shared" si="1"/>
        <v>LFW-ELFNMRFY</v>
      </c>
      <c r="B871" s="29" t="s">
        <v>1308</v>
      </c>
      <c r="C871" s="28" t="s">
        <v>1309</v>
      </c>
      <c r="D871" s="28" t="s">
        <v>22</v>
      </c>
      <c r="E871" s="4" t="s">
        <v>111</v>
      </c>
      <c r="F871" s="28"/>
      <c r="G871" s="4"/>
      <c r="H871" s="4">
        <f>SUMIFS(X!$F$5:$F$2005,X!$D$5:$D$2005,'CEK CICI'!A871)</f>
        <v>0</v>
      </c>
      <c r="I871" s="4">
        <f>SUMIFS(PENJUALAN!$E$4:$E$4288,PENJUALAN!$C$4:$C$4288,'CEK CICI'!A871)</f>
        <v>0</v>
      </c>
      <c r="J871" s="16">
        <f t="shared" si="2"/>
        <v>0</v>
      </c>
      <c r="K871" s="4"/>
      <c r="L871" s="4"/>
      <c r="M871" s="4"/>
      <c r="N871" s="4"/>
    </row>
    <row r="872" ht="13.5" hidden="1" customHeight="1">
      <c r="A872" s="4" t="str">
        <f t="shared" si="1"/>
        <v>LFW-FE700FY</v>
      </c>
      <c r="B872" s="29" t="s">
        <v>1310</v>
      </c>
      <c r="C872" s="30" t="s">
        <v>1311</v>
      </c>
      <c r="D872" s="28" t="s">
        <v>22</v>
      </c>
      <c r="E872" s="4" t="s">
        <v>111</v>
      </c>
      <c r="F872" s="28"/>
      <c r="G872" s="4"/>
      <c r="H872" s="4">
        <f>SUMIFS(X!$F$5:$F$2005,X!$D$5:$D$2005,'CEK CICI'!A872)</f>
        <v>0</v>
      </c>
      <c r="I872" s="4">
        <f>SUMIFS(PENJUALAN!$E$4:$E$4288,PENJUALAN!$C$4:$C$4288,'CEK CICI'!A872)</f>
        <v>0</v>
      </c>
      <c r="J872" s="16">
        <f t="shared" si="2"/>
        <v>0</v>
      </c>
      <c r="K872" s="4"/>
      <c r="L872" s="4"/>
      <c r="M872" s="4"/>
      <c r="N872" s="4"/>
    </row>
    <row r="873" ht="13.5" hidden="1" customHeight="1">
      <c r="A873" s="4" t="str">
        <f t="shared" si="1"/>
        <v>LFW-FE800FY</v>
      </c>
      <c r="B873" s="29" t="s">
        <v>1312</v>
      </c>
      <c r="C873" s="30" t="s">
        <v>1313</v>
      </c>
      <c r="D873" s="28" t="s">
        <v>22</v>
      </c>
      <c r="E873" s="4" t="s">
        <v>111</v>
      </c>
      <c r="F873" s="28"/>
      <c r="G873" s="4"/>
      <c r="H873" s="4">
        <f>SUMIFS(X!$F$5:$F$2005,X!$D$5:$D$2005,'CEK CICI'!A873)</f>
        <v>0</v>
      </c>
      <c r="I873" s="4">
        <f>SUMIFS(PENJUALAN!$E$4:$E$4288,PENJUALAN!$C$4:$C$4288,'CEK CICI'!A873)</f>
        <v>0</v>
      </c>
      <c r="J873" s="16">
        <f t="shared" si="2"/>
        <v>0</v>
      </c>
      <c r="K873" s="4"/>
      <c r="L873" s="4"/>
      <c r="M873" s="4"/>
      <c r="N873" s="4"/>
    </row>
    <row r="874" ht="13.5" hidden="1" customHeight="1">
      <c r="A874" s="4" t="str">
        <f t="shared" si="1"/>
        <v>LFW-FK40FY</v>
      </c>
      <c r="B874" s="29" t="s">
        <v>1314</v>
      </c>
      <c r="C874" s="30" t="s">
        <v>1315</v>
      </c>
      <c r="D874" s="28" t="s">
        <v>22</v>
      </c>
      <c r="E874" s="4" t="s">
        <v>111</v>
      </c>
      <c r="F874" s="28"/>
      <c r="G874" s="4"/>
      <c r="H874" s="4">
        <f>SUMIFS(X!$F$5:$F$2005,X!$D$5:$D$2005,'CEK CICI'!A874)</f>
        <v>0</v>
      </c>
      <c r="I874" s="4">
        <f>SUMIFS(PENJUALAN!$E$4:$E$4288,PENJUALAN!$C$4:$C$4288,'CEK CICI'!A874)</f>
        <v>0</v>
      </c>
      <c r="J874" s="16">
        <f t="shared" si="2"/>
        <v>0</v>
      </c>
      <c r="K874" s="4"/>
      <c r="L874" s="4"/>
      <c r="M874" s="4"/>
      <c r="N874" s="4"/>
    </row>
    <row r="875" ht="13.5" hidden="1" customHeight="1">
      <c r="A875" s="4" t="str">
        <f t="shared" si="1"/>
        <v>LFW-FV100FY</v>
      </c>
      <c r="B875" s="29" t="s">
        <v>1316</v>
      </c>
      <c r="C875" s="28" t="s">
        <v>1317</v>
      </c>
      <c r="D875" s="28" t="s">
        <v>22</v>
      </c>
      <c r="E875" s="4" t="s">
        <v>111</v>
      </c>
      <c r="F875" s="28"/>
      <c r="G875" s="4"/>
      <c r="H875" s="4">
        <f>SUMIFS(X!$F$5:$F$2005,X!$D$5:$D$2005,'CEK CICI'!A875)</f>
        <v>0</v>
      </c>
      <c r="I875" s="4">
        <f>SUMIFS(PENJUALAN!$E$4:$E$4288,PENJUALAN!$C$4:$C$4288,'CEK CICI'!A875)</f>
        <v>0</v>
      </c>
      <c r="J875" s="16">
        <f t="shared" si="2"/>
        <v>0</v>
      </c>
      <c r="K875" s="4"/>
      <c r="L875" s="4"/>
      <c r="M875" s="4"/>
      <c r="N875" s="4"/>
    </row>
    <row r="876" ht="13.5" hidden="1" customHeight="1">
      <c r="A876" s="4" t="str">
        <f t="shared" si="1"/>
        <v>LFW-L300FY</v>
      </c>
      <c r="B876" s="29" t="s">
        <v>1318</v>
      </c>
      <c r="C876" s="30" t="s">
        <v>1319</v>
      </c>
      <c r="D876" s="28" t="s">
        <v>22</v>
      </c>
      <c r="E876" s="4" t="s">
        <v>111</v>
      </c>
      <c r="F876" s="28"/>
      <c r="G876" s="4"/>
      <c r="H876" s="4">
        <f>SUMIFS(X!$F$5:$F$2005,X!$D$5:$D$2005,'CEK CICI'!A876)</f>
        <v>0</v>
      </c>
      <c r="I876" s="4">
        <f>SUMIFS(PENJUALAN!$E$4:$E$4288,PENJUALAN!$C$4:$C$4288,'CEK CICI'!A876)</f>
        <v>0</v>
      </c>
      <c r="J876" s="16">
        <f t="shared" si="2"/>
        <v>0</v>
      </c>
      <c r="K876" s="4"/>
      <c r="L876" s="4"/>
      <c r="M876" s="4"/>
      <c r="N876" s="4"/>
    </row>
    <row r="877" ht="13.5" hidden="1" customHeight="1">
      <c r="A877" s="4" t="str">
        <f t="shared" si="1"/>
        <v>LFW-A396XYG</v>
      </c>
      <c r="B877" s="29" t="s">
        <v>1320</v>
      </c>
      <c r="C877" s="30" t="s">
        <v>1321</v>
      </c>
      <c r="D877" s="30" t="s">
        <v>22</v>
      </c>
      <c r="E877" s="4" t="s">
        <v>16</v>
      </c>
      <c r="F877" s="34" t="s">
        <v>125</v>
      </c>
      <c r="G877" s="4"/>
      <c r="H877" s="4">
        <f>SUMIFS(X!$F$5:$F$2005,X!$D$5:$D$2005,'CEK CICI'!A877)</f>
        <v>0</v>
      </c>
      <c r="I877" s="4">
        <f>SUMIFS(PENJUALAN!$E$4:$E$4288,PENJUALAN!$C$4:$C$4288,'CEK CICI'!A877)</f>
        <v>0</v>
      </c>
      <c r="J877" s="16">
        <f t="shared" si="2"/>
        <v>0</v>
      </c>
      <c r="K877" s="4"/>
      <c r="L877" s="4"/>
      <c r="M877" s="4"/>
      <c r="N877" s="4"/>
    </row>
    <row r="878" ht="13.5" hidden="1" customHeight="1">
      <c r="A878" s="4" t="str">
        <f t="shared" si="1"/>
        <v>LFW-AUDIA304XYG</v>
      </c>
      <c r="B878" s="29" t="s">
        <v>1322</v>
      </c>
      <c r="C878" s="28" t="s">
        <v>1323</v>
      </c>
      <c r="D878" s="28" t="s">
        <v>22</v>
      </c>
      <c r="E878" s="4" t="s">
        <v>16</v>
      </c>
      <c r="F878" s="28" t="s">
        <v>737</v>
      </c>
      <c r="G878" s="4"/>
      <c r="H878" s="4">
        <f>SUMIFS(X!$F$5:$F$2005,X!$D$5:$D$2005,'CEK CICI'!A878)</f>
        <v>0</v>
      </c>
      <c r="I878" s="4">
        <f>SUMIFS(PENJUALAN!$E$4:$E$4288,PENJUALAN!$C$4:$C$4288,'CEK CICI'!A878)</f>
        <v>0</v>
      </c>
      <c r="J878" s="16">
        <f t="shared" si="2"/>
        <v>0</v>
      </c>
      <c r="K878" s="4"/>
      <c r="L878" s="4"/>
      <c r="M878" s="4"/>
      <c r="N878" s="4"/>
    </row>
    <row r="879" ht="13.5" hidden="1" customHeight="1">
      <c r="A879" s="4" t="str">
        <f t="shared" si="1"/>
        <v>LFW-AUDIB6XYG</v>
      </c>
      <c r="B879" s="29" t="s">
        <v>1324</v>
      </c>
      <c r="C879" s="28" t="s">
        <v>1325</v>
      </c>
      <c r="D879" s="28" t="s">
        <v>22</v>
      </c>
      <c r="E879" s="4" t="s">
        <v>16</v>
      </c>
      <c r="F879" s="28" t="s">
        <v>125</v>
      </c>
      <c r="G879" s="4"/>
      <c r="H879" s="4">
        <f>SUMIFS(X!$F$5:$F$2005,X!$D$5:$D$2005,'CEK CICI'!A879)</f>
        <v>0</v>
      </c>
      <c r="I879" s="4">
        <f>SUMIFS(PENJUALAN!$E$4:$E$4288,PENJUALAN!$C$4:$C$4288,'CEK CICI'!A879)</f>
        <v>0</v>
      </c>
      <c r="J879" s="16">
        <f t="shared" si="2"/>
        <v>0</v>
      </c>
      <c r="K879" s="4"/>
      <c r="L879" s="4"/>
      <c r="M879" s="4"/>
      <c r="N879" s="4"/>
    </row>
    <row r="880" ht="13.5" hidden="1" customHeight="1">
      <c r="A880" s="4" t="str">
        <f t="shared" si="1"/>
        <v>LFW-AUDIB7XYG</v>
      </c>
      <c r="B880" s="29" t="s">
        <v>1326</v>
      </c>
      <c r="C880" s="28" t="s">
        <v>1327</v>
      </c>
      <c r="D880" s="28" t="s">
        <v>22</v>
      </c>
      <c r="E880" s="4" t="s">
        <v>16</v>
      </c>
      <c r="F880" s="28" t="s">
        <v>23</v>
      </c>
      <c r="G880" s="4"/>
      <c r="H880" s="4">
        <f>SUMIFS(X!$F$5:$F$2005,X!$D$5:$D$2005,'CEK CICI'!A880)</f>
        <v>0</v>
      </c>
      <c r="I880" s="4">
        <f>SUMIFS(PENJUALAN!$E$4:$E$4288,PENJUALAN!$C$4:$C$4288,'CEK CICI'!A880)</f>
        <v>0</v>
      </c>
      <c r="J880" s="16">
        <f t="shared" si="2"/>
        <v>0</v>
      </c>
      <c r="K880" s="4"/>
      <c r="L880" s="4"/>
      <c r="M880" s="4"/>
      <c r="N880" s="4"/>
    </row>
    <row r="881" ht="13.5" hidden="1" customHeight="1">
      <c r="A881" s="4" t="str">
        <f t="shared" si="1"/>
        <v>LFW-AUDIB8XYG</v>
      </c>
      <c r="B881" s="29" t="s">
        <v>109</v>
      </c>
      <c r="C881" s="28" t="s">
        <v>110</v>
      </c>
      <c r="D881" s="28" t="s">
        <v>22</v>
      </c>
      <c r="E881" s="4" t="s">
        <v>16</v>
      </c>
      <c r="F881" s="28" t="s">
        <v>112</v>
      </c>
      <c r="G881" s="4"/>
      <c r="H881" s="4">
        <f>SUMIFS(X!$F$5:$F$2005,X!$D$5:$D$2005,'CEK CICI'!A881)</f>
        <v>0</v>
      </c>
      <c r="I881" s="4">
        <f>SUMIFS(PENJUALAN!$E$4:$E$4288,PENJUALAN!$C$4:$C$4288,'CEK CICI'!A881)</f>
        <v>0</v>
      </c>
      <c r="J881" s="16">
        <f t="shared" si="2"/>
        <v>0</v>
      </c>
      <c r="K881" s="4"/>
      <c r="L881" s="4"/>
      <c r="M881" s="4"/>
      <c r="N881" s="4"/>
    </row>
    <row r="882" ht="13.5" hidden="1" customHeight="1">
      <c r="A882" s="4" t="str">
        <f t="shared" si="1"/>
        <v>LFW-AUDIC6XYG</v>
      </c>
      <c r="B882" s="29" t="s">
        <v>1328</v>
      </c>
      <c r="C882" s="28" t="s">
        <v>1329</v>
      </c>
      <c r="D882" s="28" t="s">
        <v>22</v>
      </c>
      <c r="E882" s="4" t="s">
        <v>16</v>
      </c>
      <c r="F882" s="28" t="s">
        <v>189</v>
      </c>
      <c r="G882" s="4"/>
      <c r="H882" s="4">
        <f>SUMIFS(X!$F$5:$F$2005,X!$D$5:$D$2005,'CEK CICI'!A882)</f>
        <v>0</v>
      </c>
      <c r="I882" s="4">
        <f>SUMIFS(PENJUALAN!$E$4:$E$4288,PENJUALAN!$C$4:$C$4288,'CEK CICI'!A882)</f>
        <v>0</v>
      </c>
      <c r="J882" s="16">
        <f t="shared" si="2"/>
        <v>0</v>
      </c>
      <c r="K882" s="4"/>
      <c r="L882" s="4"/>
      <c r="M882" s="4"/>
      <c r="N882" s="4"/>
    </row>
    <row r="883" ht="13.5" hidden="1" customHeight="1">
      <c r="A883" s="4" t="str">
        <f t="shared" si="1"/>
        <v>LFW-AUDIC7XYG</v>
      </c>
      <c r="B883" s="29" t="s">
        <v>115</v>
      </c>
      <c r="C883" s="28" t="s">
        <v>116</v>
      </c>
      <c r="D883" s="28" t="s">
        <v>22</v>
      </c>
      <c r="E883" s="4" t="s">
        <v>16</v>
      </c>
      <c r="F883" s="28" t="s">
        <v>112</v>
      </c>
      <c r="G883" s="4"/>
      <c r="H883" s="4">
        <f>SUMIFS(X!$F$5:$F$2005,X!$D$5:$D$2005,'CEK CICI'!A883)</f>
        <v>0</v>
      </c>
      <c r="I883" s="4">
        <f>SUMIFS(PENJUALAN!$E$4:$E$4288,PENJUALAN!$C$4:$C$4288,'CEK CICI'!A883)</f>
        <v>0</v>
      </c>
      <c r="J883" s="16">
        <f t="shared" si="2"/>
        <v>0</v>
      </c>
      <c r="K883" s="4"/>
      <c r="L883" s="4"/>
      <c r="M883" s="4"/>
      <c r="N883" s="4"/>
    </row>
    <row r="884" ht="13.5" hidden="1" customHeight="1">
      <c r="A884" s="4" t="str">
        <f t="shared" si="1"/>
        <v>LFW-AUDIQ508XYG</v>
      </c>
      <c r="B884" s="29" t="s">
        <v>2046</v>
      </c>
      <c r="C884" s="28" t="s">
        <v>2047</v>
      </c>
      <c r="D884" s="28" t="s">
        <v>22</v>
      </c>
      <c r="E884" s="4" t="s">
        <v>16</v>
      </c>
      <c r="F884" s="28" t="s">
        <v>112</v>
      </c>
      <c r="G884" s="4"/>
      <c r="H884" s="4">
        <f>SUMIFS(X!$F$5:$F$2005,X!$D$5:$D$2005,'CEK CICI'!A884)</f>
        <v>1</v>
      </c>
      <c r="I884" s="4">
        <f>SUMIFS(PENJUALAN!$E$4:$E$4288,PENJUALAN!$C$4:$C$4288,'CEK CICI'!A884)</f>
        <v>1</v>
      </c>
      <c r="J884" s="16">
        <f t="shared" si="2"/>
        <v>0</v>
      </c>
      <c r="K884" s="4"/>
      <c r="L884" s="4"/>
      <c r="M884" s="4"/>
      <c r="N884" s="4"/>
    </row>
    <row r="885" ht="13.5" hidden="1" customHeight="1">
      <c r="A885" s="4" t="str">
        <f t="shared" si="1"/>
        <v>TRW-AUDIQ508XYG</v>
      </c>
      <c r="B885" s="29" t="s">
        <v>1335</v>
      </c>
      <c r="C885" s="28" t="s">
        <v>1336</v>
      </c>
      <c r="D885" s="28" t="s">
        <v>41</v>
      </c>
      <c r="E885" s="4" t="s">
        <v>16</v>
      </c>
      <c r="F885" s="28" t="s">
        <v>67</v>
      </c>
      <c r="G885" s="4"/>
      <c r="H885" s="4">
        <f>SUMIFS(X!$F$5:$F$2005,X!$D$5:$D$2005,'CEK CICI'!A885)</f>
        <v>0</v>
      </c>
      <c r="I885" s="4">
        <f>SUMIFS(PENJUALAN!$E$4:$E$4288,PENJUALAN!$C$4:$C$4288,'CEK CICI'!A885)</f>
        <v>0</v>
      </c>
      <c r="J885" s="16">
        <f t="shared" si="2"/>
        <v>0</v>
      </c>
      <c r="K885" s="4"/>
      <c r="L885" s="4"/>
      <c r="M885" s="4"/>
      <c r="N885" s="4"/>
    </row>
    <row r="886" ht="13.5" hidden="1" customHeight="1">
      <c r="A886" s="4" t="str">
        <f t="shared" si="1"/>
        <v>LFW-AUDIQ706XYG</v>
      </c>
      <c r="B886" s="29" t="s">
        <v>1337</v>
      </c>
      <c r="C886" s="28" t="s">
        <v>1338</v>
      </c>
      <c r="D886" s="28" t="s">
        <v>22</v>
      </c>
      <c r="E886" s="4" t="s">
        <v>16</v>
      </c>
      <c r="F886" s="28" t="s">
        <v>112</v>
      </c>
      <c r="G886" s="4"/>
      <c r="H886" s="4">
        <f>SUMIFS(X!$F$5:$F$2005,X!$D$5:$D$2005,'CEK CICI'!A886)</f>
        <v>0</v>
      </c>
      <c r="I886" s="4">
        <f>SUMIFS(PENJUALAN!$E$4:$E$4288,PENJUALAN!$C$4:$C$4288,'CEK CICI'!A886)</f>
        <v>0</v>
      </c>
      <c r="J886" s="16">
        <f t="shared" si="2"/>
        <v>0</v>
      </c>
      <c r="K886" s="4"/>
      <c r="L886" s="4"/>
      <c r="M886" s="4"/>
      <c r="N886" s="4"/>
    </row>
    <row r="887" ht="13.5" hidden="1" customHeight="1">
      <c r="A887" s="4" t="str">
        <f t="shared" si="1"/>
        <v>LFW-AUDIQ716XYG</v>
      </c>
      <c r="B887" s="29" t="s">
        <v>1339</v>
      </c>
      <c r="C887" s="30" t="s">
        <v>1340</v>
      </c>
      <c r="D887" s="30" t="s">
        <v>22</v>
      </c>
      <c r="E887" s="4" t="s">
        <v>16</v>
      </c>
      <c r="F887" s="30" t="s">
        <v>112</v>
      </c>
      <c r="G887" s="4"/>
      <c r="H887" s="4">
        <f>SUMIFS(X!$F$5:$F$2005,X!$D$5:$D$2005,'CEK CICI'!A887)</f>
        <v>0</v>
      </c>
      <c r="I887" s="4">
        <f>SUMIFS(PENJUALAN!$E$4:$E$4288,PENJUALAN!$C$4:$C$4288,'CEK CICI'!A887)</f>
        <v>0</v>
      </c>
      <c r="J887" s="16">
        <f t="shared" si="2"/>
        <v>0</v>
      </c>
      <c r="K887" s="4"/>
      <c r="L887" s="4"/>
      <c r="M887" s="4"/>
      <c r="N887" s="4"/>
    </row>
    <row r="888" ht="13.5" hidden="1" customHeight="1">
      <c r="A888" s="4" t="str">
        <f t="shared" si="1"/>
        <v>LFW-E30XYG</v>
      </c>
      <c r="B888" s="29" t="s">
        <v>119</v>
      </c>
      <c r="C888" s="28" t="s">
        <v>120</v>
      </c>
      <c r="D888" s="28" t="s">
        <v>22</v>
      </c>
      <c r="E888" s="4" t="s">
        <v>16</v>
      </c>
      <c r="F888" s="28"/>
      <c r="G888" s="4"/>
      <c r="H888" s="4">
        <f>SUMIFS(X!$F$5:$F$2005,X!$D$5:$D$2005,'CEK CICI'!A888)</f>
        <v>0</v>
      </c>
      <c r="I888" s="4">
        <f>SUMIFS(PENJUALAN!$E$4:$E$4288,PENJUALAN!$C$4:$C$4288,'CEK CICI'!A888)</f>
        <v>0</v>
      </c>
      <c r="J888" s="16">
        <f t="shared" si="2"/>
        <v>0</v>
      </c>
      <c r="K888" s="4"/>
      <c r="L888" s="4"/>
      <c r="M888" s="4"/>
      <c r="N888" s="4"/>
    </row>
    <row r="889" ht="13.5" hidden="1" customHeight="1">
      <c r="A889" s="4" t="str">
        <f t="shared" si="1"/>
        <v>LFW-E36XYG</v>
      </c>
      <c r="B889" s="29" t="s">
        <v>123</v>
      </c>
      <c r="C889" s="28" t="s">
        <v>124</v>
      </c>
      <c r="D889" s="28" t="s">
        <v>22</v>
      </c>
      <c r="E889" s="4" t="s">
        <v>16</v>
      </c>
      <c r="F889" s="28" t="s">
        <v>125</v>
      </c>
      <c r="G889" s="4"/>
      <c r="H889" s="4">
        <f>SUMIFS(X!$F$5:$F$2005,X!$D$5:$D$2005,'CEK CICI'!A889)</f>
        <v>6</v>
      </c>
      <c r="I889" s="4">
        <f>SUMIFS(PENJUALAN!$E$4:$E$4288,PENJUALAN!$C$4:$C$4288,'CEK CICI'!A889)</f>
        <v>1</v>
      </c>
      <c r="J889" s="16">
        <f t="shared" si="2"/>
        <v>5</v>
      </c>
      <c r="K889" s="4"/>
      <c r="L889" s="4"/>
      <c r="M889" s="4"/>
      <c r="N889" s="4"/>
    </row>
    <row r="890" ht="13.5" hidden="1" customHeight="1">
      <c r="A890" s="4" t="str">
        <f t="shared" si="1"/>
        <v>TRW-E36XYG</v>
      </c>
      <c r="B890" s="29" t="s">
        <v>126</v>
      </c>
      <c r="C890" s="28" t="s">
        <v>124</v>
      </c>
      <c r="D890" s="28" t="s">
        <v>41</v>
      </c>
      <c r="E890" s="4" t="s">
        <v>16</v>
      </c>
      <c r="F890" s="28" t="s">
        <v>67</v>
      </c>
      <c r="G890" s="4"/>
      <c r="H890" s="4">
        <f>SUMIFS(X!$F$5:$F$2005,X!$D$5:$D$2005,'CEK CICI'!A890)</f>
        <v>0</v>
      </c>
      <c r="I890" s="4">
        <f>SUMIFS(PENJUALAN!$E$4:$E$4288,PENJUALAN!$C$4:$C$4288,'CEK CICI'!A890)</f>
        <v>0</v>
      </c>
      <c r="J890" s="16">
        <f t="shared" si="2"/>
        <v>0</v>
      </c>
      <c r="K890" s="4"/>
      <c r="L890" s="4"/>
      <c r="M890" s="4"/>
      <c r="N890" s="4"/>
    </row>
    <row r="891" ht="13.5" hidden="1" customHeight="1">
      <c r="A891" s="4" t="str">
        <f t="shared" si="1"/>
        <v>FDL-E36XYG</v>
      </c>
      <c r="B891" s="29" t="s">
        <v>127</v>
      </c>
      <c r="C891" s="28" t="s">
        <v>124</v>
      </c>
      <c r="D891" s="28" t="s">
        <v>128</v>
      </c>
      <c r="E891" s="4" t="s">
        <v>16</v>
      </c>
      <c r="F891" s="28"/>
      <c r="G891" s="4"/>
      <c r="H891" s="4">
        <f>SUMIFS(X!$F$5:$F$2005,X!$D$5:$D$2005,'CEK CICI'!A891)</f>
        <v>1</v>
      </c>
      <c r="I891" s="4">
        <f>SUMIFS(PENJUALAN!$E$4:$E$4288,PENJUALAN!$C$4:$C$4288,'CEK CICI'!A891)</f>
        <v>1</v>
      </c>
      <c r="J891" s="16">
        <f t="shared" si="2"/>
        <v>0</v>
      </c>
      <c r="K891" s="4"/>
      <c r="L891" s="4"/>
      <c r="M891" s="4"/>
      <c r="N891" s="4"/>
    </row>
    <row r="892" ht="13.5" hidden="1" customHeight="1">
      <c r="A892" s="4" t="str">
        <f t="shared" si="1"/>
        <v>FDR-E36XYG</v>
      </c>
      <c r="B892" s="29" t="s">
        <v>129</v>
      </c>
      <c r="C892" s="28" t="s">
        <v>124</v>
      </c>
      <c r="D892" s="28" t="s">
        <v>130</v>
      </c>
      <c r="E892" s="4" t="s">
        <v>16</v>
      </c>
      <c r="F892" s="28"/>
      <c r="G892" s="4"/>
      <c r="H892" s="4">
        <f>SUMIFS(X!$F$5:$F$2005,X!$D$5:$D$2005,'CEK CICI'!A892)</f>
        <v>0</v>
      </c>
      <c r="I892" s="4">
        <f>SUMIFS(PENJUALAN!$E$4:$E$4288,PENJUALAN!$C$4:$C$4288,'CEK CICI'!A892)</f>
        <v>0</v>
      </c>
      <c r="J892" s="16">
        <f t="shared" si="2"/>
        <v>0</v>
      </c>
      <c r="K892" s="4"/>
      <c r="L892" s="4"/>
      <c r="M892" s="4"/>
      <c r="N892" s="4"/>
    </row>
    <row r="893" ht="13.5" hidden="1" customHeight="1">
      <c r="A893" s="4" t="str">
        <f t="shared" si="1"/>
        <v>LFW-E46XYG</v>
      </c>
      <c r="B893" s="29" t="s">
        <v>137</v>
      </c>
      <c r="C893" s="28" t="s">
        <v>136</v>
      </c>
      <c r="D893" s="28" t="s">
        <v>22</v>
      </c>
      <c r="E893" s="4" t="s">
        <v>16</v>
      </c>
      <c r="F893" s="28" t="s">
        <v>125</v>
      </c>
      <c r="G893" s="4"/>
      <c r="H893" s="4">
        <f>SUMIFS(X!$F$5:$F$2005,X!$D$5:$D$2005,'CEK CICI'!A893)</f>
        <v>0</v>
      </c>
      <c r="I893" s="4">
        <f>SUMIFS(PENJUALAN!$E$4:$E$4288,PENJUALAN!$C$4:$C$4288,'CEK CICI'!A893)</f>
        <v>0</v>
      </c>
      <c r="J893" s="16">
        <f t="shared" si="2"/>
        <v>0</v>
      </c>
      <c r="K893" s="4"/>
      <c r="L893" s="4"/>
      <c r="M893" s="4"/>
      <c r="N893" s="4"/>
    </row>
    <row r="894" ht="13.5" hidden="1" customHeight="1">
      <c r="A894" s="4" t="str">
        <f t="shared" si="1"/>
        <v>LFW-E46RS2DOORXYG</v>
      </c>
      <c r="B894" s="29" t="s">
        <v>146</v>
      </c>
      <c r="C894" s="28" t="s">
        <v>147</v>
      </c>
      <c r="D894" s="28" t="s">
        <v>22</v>
      </c>
      <c r="E894" s="4" t="s">
        <v>16</v>
      </c>
      <c r="F894" s="28" t="s">
        <v>125</v>
      </c>
      <c r="G894" s="4"/>
      <c r="H894" s="4">
        <f>SUMIFS(X!$F$5:$F$2005,X!$D$5:$D$2005,'CEK CICI'!A894)</f>
        <v>0</v>
      </c>
      <c r="I894" s="4">
        <f>SUMIFS(PENJUALAN!$E$4:$E$4288,PENJUALAN!$C$4:$C$4288,'CEK CICI'!A894)</f>
        <v>0</v>
      </c>
      <c r="J894" s="16">
        <f t="shared" si="2"/>
        <v>0</v>
      </c>
      <c r="K894" s="4"/>
      <c r="L894" s="4"/>
      <c r="M894" s="4"/>
      <c r="N894" s="4"/>
    </row>
    <row r="895" ht="13.5" hidden="1" customHeight="1">
      <c r="A895" s="4" t="str">
        <f t="shared" si="1"/>
        <v>LFW-E90RSXYG</v>
      </c>
      <c r="B895" s="29" t="s">
        <v>148</v>
      </c>
      <c r="C895" s="28" t="s">
        <v>149</v>
      </c>
      <c r="D895" s="28" t="s">
        <v>22</v>
      </c>
      <c r="E895" s="4" t="s">
        <v>16</v>
      </c>
      <c r="F895" s="28" t="s">
        <v>75</v>
      </c>
      <c r="G895" s="4"/>
      <c r="H895" s="4">
        <f>SUMIFS(X!$F$5:$F$2005,X!$D$5:$D$2005,'CEK CICI'!A895)</f>
        <v>0</v>
      </c>
      <c r="I895" s="4">
        <f>SUMIFS(PENJUALAN!$E$4:$E$4288,PENJUALAN!$C$4:$C$4288,'CEK CICI'!A895)</f>
        <v>0</v>
      </c>
      <c r="J895" s="16">
        <f t="shared" si="2"/>
        <v>0</v>
      </c>
      <c r="K895" s="4"/>
      <c r="L895" s="4"/>
      <c r="M895" s="4"/>
      <c r="N895" s="4"/>
    </row>
    <row r="896" ht="13.5" hidden="1" customHeight="1">
      <c r="A896" s="4" t="str">
        <f t="shared" si="1"/>
        <v>LFW-E90XYG</v>
      </c>
      <c r="B896" s="29" t="s">
        <v>150</v>
      </c>
      <c r="C896" s="28" t="s">
        <v>149</v>
      </c>
      <c r="D896" s="28" t="s">
        <v>22</v>
      </c>
      <c r="E896" s="4" t="s">
        <v>16</v>
      </c>
      <c r="F896" s="28" t="s">
        <v>125</v>
      </c>
      <c r="G896" s="4"/>
      <c r="H896" s="4">
        <f>SUMIFS(X!$F$5:$F$2005,X!$D$5:$D$2005,'CEK CICI'!A896)</f>
        <v>0</v>
      </c>
      <c r="I896" s="4">
        <f>SUMIFS(PENJUALAN!$E$4:$E$4288,PENJUALAN!$C$4:$C$4288,'CEK CICI'!A896)</f>
        <v>0</v>
      </c>
      <c r="J896" s="16">
        <f t="shared" si="2"/>
        <v>0</v>
      </c>
      <c r="K896" s="4"/>
      <c r="L896" s="4"/>
      <c r="M896" s="4"/>
      <c r="N896" s="4"/>
    </row>
    <row r="897" ht="13.5" hidden="1" customHeight="1">
      <c r="A897" s="4" t="str">
        <f t="shared" si="1"/>
        <v>TRW-E90AXYG</v>
      </c>
      <c r="B897" s="29" t="s">
        <v>1342</v>
      </c>
      <c r="C897" s="28" t="s">
        <v>1343</v>
      </c>
      <c r="D897" s="28" t="s">
        <v>41</v>
      </c>
      <c r="E897" s="4" t="s">
        <v>16</v>
      </c>
      <c r="F897" s="28" t="s">
        <v>125</v>
      </c>
      <c r="G897" s="4"/>
      <c r="H897" s="4">
        <f>SUMIFS(X!$F$5:$F$2005,X!$D$5:$D$2005,'CEK CICI'!A897)</f>
        <v>0</v>
      </c>
      <c r="I897" s="4">
        <f>SUMIFS(PENJUALAN!$E$4:$E$4288,PENJUALAN!$C$4:$C$4288,'CEK CICI'!A897)</f>
        <v>0</v>
      </c>
      <c r="J897" s="16">
        <f t="shared" si="2"/>
        <v>0</v>
      </c>
      <c r="K897" s="4"/>
      <c r="L897" s="4"/>
      <c r="M897" s="4"/>
      <c r="N897" s="4"/>
    </row>
    <row r="898" ht="13.5" hidden="1" customHeight="1">
      <c r="A898" s="4" t="str">
        <f t="shared" si="1"/>
        <v>LFW-F30XYG</v>
      </c>
      <c r="B898" s="29" t="s">
        <v>156</v>
      </c>
      <c r="C898" s="28" t="s">
        <v>157</v>
      </c>
      <c r="D898" s="28" t="s">
        <v>22</v>
      </c>
      <c r="E898" s="4" t="s">
        <v>16</v>
      </c>
      <c r="F898" s="28" t="s">
        <v>112</v>
      </c>
      <c r="G898" s="4"/>
      <c r="H898" s="4">
        <f>SUMIFS(X!$F$5:$F$2005,X!$D$5:$D$2005,'CEK CICI'!A898)</f>
        <v>2</v>
      </c>
      <c r="I898" s="4">
        <f>SUMIFS(PENJUALAN!$E$4:$E$4288,PENJUALAN!$C$4:$C$4288,'CEK CICI'!A898)</f>
        <v>2</v>
      </c>
      <c r="J898" s="16">
        <f t="shared" si="2"/>
        <v>0</v>
      </c>
      <c r="K898" s="4"/>
      <c r="L898" s="4"/>
      <c r="M898" s="4"/>
      <c r="N898" s="4"/>
    </row>
    <row r="899" ht="13.5" hidden="1" customHeight="1">
      <c r="A899" s="4" t="str">
        <f t="shared" si="1"/>
        <v>FDL-F30XYG</v>
      </c>
      <c r="B899" s="29" t="s">
        <v>162</v>
      </c>
      <c r="C899" s="28" t="s">
        <v>157</v>
      </c>
      <c r="D899" s="28" t="s">
        <v>128</v>
      </c>
      <c r="E899" s="4" t="s">
        <v>16</v>
      </c>
      <c r="F899" s="28" t="s">
        <v>141</v>
      </c>
      <c r="G899" s="4"/>
      <c r="H899" s="4">
        <f>SUMIFS(X!$F$5:$F$2005,X!$D$5:$D$2005,'CEK CICI'!A899)</f>
        <v>0</v>
      </c>
      <c r="I899" s="4">
        <f>SUMIFS(PENJUALAN!$E$4:$E$4288,PENJUALAN!$C$4:$C$4288,'CEK CICI'!A899)</f>
        <v>0</v>
      </c>
      <c r="J899" s="16">
        <f t="shared" si="2"/>
        <v>0</v>
      </c>
      <c r="K899" s="4"/>
      <c r="L899" s="4"/>
      <c r="M899" s="4"/>
      <c r="N899" s="4"/>
    </row>
    <row r="900" ht="13.5" hidden="1" customHeight="1">
      <c r="A900" s="4" t="str">
        <f t="shared" si="1"/>
        <v>LFW-E39XYG</v>
      </c>
      <c r="B900" s="29" t="s">
        <v>1344</v>
      </c>
      <c r="C900" s="28" t="s">
        <v>1345</v>
      </c>
      <c r="D900" s="28" t="s">
        <v>22</v>
      </c>
      <c r="E900" s="4" t="s">
        <v>16</v>
      </c>
      <c r="F900" s="28" t="s">
        <v>125</v>
      </c>
      <c r="G900" s="4"/>
      <c r="H900" s="4">
        <f>SUMIFS(X!$F$5:$F$2005,X!$D$5:$D$2005,'CEK CICI'!A900)</f>
        <v>0</v>
      </c>
      <c r="I900" s="4">
        <f>SUMIFS(PENJUALAN!$E$4:$E$4288,PENJUALAN!$C$4:$C$4288,'CEK CICI'!A900)</f>
        <v>0</v>
      </c>
      <c r="J900" s="16">
        <f t="shared" si="2"/>
        <v>0</v>
      </c>
      <c r="K900" s="4"/>
      <c r="L900" s="4"/>
      <c r="M900" s="4"/>
      <c r="N900" s="4"/>
    </row>
    <row r="901" ht="13.5" hidden="1" customHeight="1">
      <c r="A901" s="4" t="str">
        <f t="shared" si="1"/>
        <v>TRW-E60XYG</v>
      </c>
      <c r="B901" s="29" t="s">
        <v>170</v>
      </c>
      <c r="C901" s="28" t="s">
        <v>171</v>
      </c>
      <c r="D901" s="28" t="s">
        <v>41</v>
      </c>
      <c r="E901" s="4" t="s">
        <v>16</v>
      </c>
      <c r="F901" s="28" t="s">
        <v>67</v>
      </c>
      <c r="G901" s="4"/>
      <c r="H901" s="4">
        <f>SUMIFS(X!$F$5:$F$2005,X!$D$5:$D$2005,'CEK CICI'!A901)</f>
        <v>0</v>
      </c>
      <c r="I901" s="4">
        <f>SUMIFS(PENJUALAN!$E$4:$E$4288,PENJUALAN!$C$4:$C$4288,'CEK CICI'!A901)</f>
        <v>0</v>
      </c>
      <c r="J901" s="16">
        <f t="shared" si="2"/>
        <v>0</v>
      </c>
      <c r="K901" s="4"/>
      <c r="L901" s="4"/>
      <c r="M901" s="4"/>
      <c r="N901" s="4"/>
    </row>
    <row r="902" ht="13.5" hidden="1" customHeight="1">
      <c r="A902" s="4" t="str">
        <f t="shared" si="1"/>
        <v>LFW-F10XYG</v>
      </c>
      <c r="B902" s="29" t="s">
        <v>176</v>
      </c>
      <c r="C902" s="28" t="s">
        <v>177</v>
      </c>
      <c r="D902" s="28" t="s">
        <v>22</v>
      </c>
      <c r="E902" s="4" t="s">
        <v>16</v>
      </c>
      <c r="F902" s="28" t="s">
        <v>75</v>
      </c>
      <c r="G902" s="4"/>
      <c r="H902" s="4">
        <f>SUMIFS(X!$F$5:$F$2005,X!$D$5:$D$2005,'CEK CICI'!A902)</f>
        <v>0</v>
      </c>
      <c r="I902" s="4">
        <f>SUMIFS(PENJUALAN!$E$4:$E$4288,PENJUALAN!$C$4:$C$4288,'CEK CICI'!A902)</f>
        <v>0</v>
      </c>
      <c r="J902" s="16">
        <f t="shared" si="2"/>
        <v>0</v>
      </c>
      <c r="K902" s="4"/>
      <c r="L902" s="4"/>
      <c r="M902" s="4"/>
      <c r="N902" s="4"/>
    </row>
    <row r="903" ht="13.5" hidden="1" customHeight="1">
      <c r="A903" s="4" t="str">
        <f t="shared" si="1"/>
        <v>LFW-F10RSBWHXYG</v>
      </c>
      <c r="B903" s="29" t="s">
        <v>1346</v>
      </c>
      <c r="C903" s="30" t="s">
        <v>1347</v>
      </c>
      <c r="D903" s="30" t="s">
        <v>22</v>
      </c>
      <c r="E903" s="4" t="s">
        <v>16</v>
      </c>
      <c r="F903" s="34" t="s">
        <v>23</v>
      </c>
      <c r="G903" s="4"/>
      <c r="H903" s="4">
        <f>SUMIFS(X!$F$5:$F$2005,X!$D$5:$D$2005,'CEK CICI'!A903)</f>
        <v>0</v>
      </c>
      <c r="I903" s="4">
        <f>SUMIFS(PENJUALAN!$E$4:$E$4288,PENJUALAN!$C$4:$C$4288,'CEK CICI'!A903)</f>
        <v>0</v>
      </c>
      <c r="J903" s="16">
        <f t="shared" si="2"/>
        <v>0</v>
      </c>
      <c r="K903" s="4"/>
      <c r="L903" s="4"/>
      <c r="M903" s="4"/>
      <c r="N903" s="4"/>
    </row>
    <row r="904" ht="13.5" hidden="1" customHeight="1">
      <c r="A904" s="4" t="str">
        <f t="shared" si="1"/>
        <v>TRW-F10XYG</v>
      </c>
      <c r="B904" s="29" t="s">
        <v>2040</v>
      </c>
      <c r="C904" s="28" t="s">
        <v>179</v>
      </c>
      <c r="D904" s="28" t="s">
        <v>41</v>
      </c>
      <c r="E904" s="4" t="s">
        <v>16</v>
      </c>
      <c r="F904" s="28" t="s">
        <v>67</v>
      </c>
      <c r="G904" s="4"/>
      <c r="H904" s="4">
        <f>SUMIFS(X!$F$5:$F$2005,X!$D$5:$D$2005,'CEK CICI'!A904)</f>
        <v>1</v>
      </c>
      <c r="I904" s="4">
        <f>SUMIFS(PENJUALAN!$E$4:$E$4288,PENJUALAN!$C$4:$C$4288,'CEK CICI'!A904)</f>
        <v>1</v>
      </c>
      <c r="J904" s="16">
        <f t="shared" si="2"/>
        <v>0</v>
      </c>
      <c r="K904" s="4"/>
      <c r="L904" s="4"/>
      <c r="M904" s="4"/>
      <c r="N904" s="4"/>
    </row>
    <row r="905" ht="13.5" hidden="1" customHeight="1">
      <c r="A905" s="4" t="str">
        <f t="shared" si="1"/>
        <v>LFW-F02XYG</v>
      </c>
      <c r="B905" s="29" t="s">
        <v>1351</v>
      </c>
      <c r="C905" s="28" t="s">
        <v>1352</v>
      </c>
      <c r="D905" s="30" t="s">
        <v>22</v>
      </c>
      <c r="E905" s="4" t="s">
        <v>16</v>
      </c>
      <c r="F905" s="28" t="s">
        <v>23</v>
      </c>
      <c r="G905" s="4"/>
      <c r="H905" s="4">
        <f>SUMIFS(X!$F$5:$F$2005,X!$D$5:$D$2005,'CEK CICI'!A905)</f>
        <v>0</v>
      </c>
      <c r="I905" s="4">
        <f>SUMIFS(PENJUALAN!$E$4:$E$4288,PENJUALAN!$C$4:$C$4288,'CEK CICI'!A905)</f>
        <v>0</v>
      </c>
      <c r="J905" s="16">
        <f t="shared" si="2"/>
        <v>0</v>
      </c>
      <c r="K905" s="4"/>
      <c r="L905" s="4"/>
      <c r="M905" s="4"/>
      <c r="N905" s="4"/>
    </row>
    <row r="906" ht="13.5" customHeight="1">
      <c r="A906" s="4" t="str">
        <f t="shared" si="1"/>
        <v>LFW-E84XYG</v>
      </c>
      <c r="B906" s="29" t="s">
        <v>183</v>
      </c>
      <c r="C906" s="28" t="s">
        <v>184</v>
      </c>
      <c r="D906" s="28" t="s">
        <v>22</v>
      </c>
      <c r="E906" s="4" t="s">
        <v>16</v>
      </c>
      <c r="F906" s="28" t="s">
        <v>75</v>
      </c>
      <c r="G906" s="15">
        <v>1.0</v>
      </c>
      <c r="H906" s="4">
        <f>SUMIFS(X!$F$5:$F$2005,X!$D$5:$D$2005,'CEK CICI'!A906)</f>
        <v>1</v>
      </c>
      <c r="I906" s="4">
        <f>SUMIFS(PENJUALAN!$E$4:$E$4288,PENJUALAN!$C$4:$C$4288,'CEK CICI'!A906)</f>
        <v>1</v>
      </c>
      <c r="J906" s="16">
        <f t="shared" si="2"/>
        <v>0</v>
      </c>
      <c r="K906" s="4"/>
      <c r="L906" s="4"/>
      <c r="M906" s="4"/>
      <c r="N906" s="4"/>
    </row>
    <row r="907" ht="13.5" hidden="1" customHeight="1">
      <c r="A907" s="4" t="str">
        <f t="shared" si="1"/>
        <v>LFW-F48XYG</v>
      </c>
      <c r="B907" s="29" t="s">
        <v>187</v>
      </c>
      <c r="C907" s="28" t="s">
        <v>188</v>
      </c>
      <c r="D907" s="28" t="s">
        <v>22</v>
      </c>
      <c r="E907" s="4" t="s">
        <v>16</v>
      </c>
      <c r="F907" s="28" t="s">
        <v>189</v>
      </c>
      <c r="G907" s="4"/>
      <c r="H907" s="4">
        <f>SUMIFS(X!$F$5:$F$2005,X!$D$5:$D$2005,'CEK CICI'!A907)</f>
        <v>0</v>
      </c>
      <c r="I907" s="4">
        <f>SUMIFS(PENJUALAN!$E$4:$E$4288,PENJUALAN!$C$4:$C$4288,'CEK CICI'!A907)</f>
        <v>0</v>
      </c>
      <c r="J907" s="16">
        <f t="shared" si="2"/>
        <v>0</v>
      </c>
      <c r="K907" s="4"/>
      <c r="L907" s="4"/>
      <c r="M907" s="4"/>
      <c r="N907" s="4"/>
    </row>
    <row r="908" ht="13.5" hidden="1" customHeight="1">
      <c r="A908" s="4" t="str">
        <f t="shared" si="1"/>
        <v>LFW-F25XYG</v>
      </c>
      <c r="B908" s="29" t="s">
        <v>1356</v>
      </c>
      <c r="C908" s="28" t="s">
        <v>1357</v>
      </c>
      <c r="D908" s="28" t="s">
        <v>22</v>
      </c>
      <c r="E908" s="4" t="s">
        <v>16</v>
      </c>
      <c r="F908" s="28" t="s">
        <v>112</v>
      </c>
      <c r="G908" s="4"/>
      <c r="H908" s="4">
        <f>SUMIFS(X!$F$5:$F$2005,X!$D$5:$D$2005,'CEK CICI'!A908)</f>
        <v>0</v>
      </c>
      <c r="I908" s="4">
        <f>SUMIFS(PENJUALAN!$E$4:$E$4288,PENJUALAN!$C$4:$C$4288,'CEK CICI'!A908)</f>
        <v>0</v>
      </c>
      <c r="J908" s="16">
        <f t="shared" si="2"/>
        <v>0</v>
      </c>
      <c r="K908" s="4"/>
      <c r="L908" s="4"/>
      <c r="M908" s="4"/>
      <c r="N908" s="4"/>
    </row>
    <row r="909" ht="13.5" hidden="1" customHeight="1">
      <c r="A909" s="4" t="str">
        <f t="shared" si="1"/>
        <v>LFW-E53XYG</v>
      </c>
      <c r="B909" s="29" t="s">
        <v>190</v>
      </c>
      <c r="C909" s="28" t="s">
        <v>191</v>
      </c>
      <c r="D909" s="28" t="s">
        <v>22</v>
      </c>
      <c r="E909" s="4" t="s">
        <v>16</v>
      </c>
      <c r="F909" s="28" t="s">
        <v>75</v>
      </c>
      <c r="G909" s="4"/>
      <c r="H909" s="4">
        <f>SUMIFS(X!$F$5:$F$2005,X!$D$5:$D$2005,'CEK CICI'!A909)</f>
        <v>0</v>
      </c>
      <c r="I909" s="4">
        <f>SUMIFS(PENJUALAN!$E$4:$E$4288,PENJUALAN!$C$4:$C$4288,'CEK CICI'!A909)</f>
        <v>0</v>
      </c>
      <c r="J909" s="16">
        <f t="shared" si="2"/>
        <v>0</v>
      </c>
      <c r="K909" s="4"/>
      <c r="L909" s="4"/>
      <c r="M909" s="4"/>
      <c r="N909" s="4"/>
    </row>
    <row r="910" ht="13.5" hidden="1" customHeight="1">
      <c r="A910" s="4" t="str">
        <f t="shared" si="1"/>
        <v>TRW-E53BLACKXYG</v>
      </c>
      <c r="B910" s="29" t="s">
        <v>192</v>
      </c>
      <c r="C910" s="28" t="s">
        <v>193</v>
      </c>
      <c r="D910" s="28" t="s">
        <v>41</v>
      </c>
      <c r="E910" s="4" t="s">
        <v>16</v>
      </c>
      <c r="F910" s="28" t="s">
        <v>194</v>
      </c>
      <c r="G910" s="4"/>
      <c r="H910" s="4">
        <f>SUMIFS(X!$F$5:$F$2005,X!$D$5:$D$2005,'CEK CICI'!A910)</f>
        <v>0</v>
      </c>
      <c r="I910" s="4">
        <f>SUMIFS(PENJUALAN!$E$4:$E$4288,PENJUALAN!$C$4:$C$4288,'CEK CICI'!A910)</f>
        <v>0</v>
      </c>
      <c r="J910" s="16">
        <f t="shared" si="2"/>
        <v>0</v>
      </c>
      <c r="K910" s="4"/>
      <c r="L910" s="4"/>
      <c r="M910" s="4"/>
      <c r="N910" s="4"/>
    </row>
    <row r="911" ht="13.5" hidden="1" customHeight="1">
      <c r="A911" s="4" t="str">
        <f t="shared" si="1"/>
        <v>TRW-E70XYG</v>
      </c>
      <c r="B911" s="29" t="s">
        <v>197</v>
      </c>
      <c r="C911" s="28" t="s">
        <v>198</v>
      </c>
      <c r="D911" s="28" t="s">
        <v>41</v>
      </c>
      <c r="E911" s="4" t="s">
        <v>16</v>
      </c>
      <c r="F911" s="28" t="s">
        <v>199</v>
      </c>
      <c r="G911" s="4"/>
      <c r="H911" s="4">
        <f>SUMIFS(X!$F$5:$F$2005,X!$D$5:$D$2005,'CEK CICI'!A911)</f>
        <v>0</v>
      </c>
      <c r="I911" s="4">
        <f>SUMIFS(PENJUALAN!$E$4:$E$4288,PENJUALAN!$C$4:$C$4288,'CEK CICI'!A911)</f>
        <v>0</v>
      </c>
      <c r="J911" s="16">
        <f t="shared" si="2"/>
        <v>0</v>
      </c>
      <c r="K911" s="4"/>
      <c r="L911" s="4"/>
      <c r="M911" s="4"/>
      <c r="N911" s="4"/>
    </row>
    <row r="912" ht="13.5" hidden="1" customHeight="1">
      <c r="A912" s="4" t="str">
        <f t="shared" si="1"/>
        <v>LFW-E89XYG</v>
      </c>
      <c r="B912" s="29" t="s">
        <v>1358</v>
      </c>
      <c r="C912" s="28" t="s">
        <v>1359</v>
      </c>
      <c r="D912" s="28" t="s">
        <v>22</v>
      </c>
      <c r="E912" s="4" t="s">
        <v>16</v>
      </c>
      <c r="F912" s="28" t="s">
        <v>75</v>
      </c>
      <c r="G912" s="4"/>
      <c r="H912" s="4">
        <f>SUMIFS(X!$F$5:$F$2005,X!$D$5:$D$2005,'CEK CICI'!A912)</f>
        <v>0</v>
      </c>
      <c r="I912" s="4">
        <f>SUMIFS(PENJUALAN!$E$4:$E$4288,PENJUALAN!$C$4:$C$4288,'CEK CICI'!A912)</f>
        <v>0</v>
      </c>
      <c r="J912" s="16">
        <f t="shared" si="2"/>
        <v>0</v>
      </c>
      <c r="K912" s="4"/>
      <c r="L912" s="4"/>
      <c r="M912" s="4"/>
      <c r="N912" s="4"/>
    </row>
    <row r="913" ht="13.5" hidden="1" customHeight="1">
      <c r="A913" s="4" t="str">
        <f t="shared" si="1"/>
        <v>LFW-Z4XYG</v>
      </c>
      <c r="B913" s="29" t="s">
        <v>1360</v>
      </c>
      <c r="C913" s="28" t="s">
        <v>1359</v>
      </c>
      <c r="D913" s="28" t="s">
        <v>41</v>
      </c>
      <c r="E913" s="4" t="s">
        <v>16</v>
      </c>
      <c r="F913" s="28" t="s">
        <v>67</v>
      </c>
      <c r="G913" s="4"/>
      <c r="H913" s="4">
        <f>SUMIFS(X!$F$5:$F$2005,X!$D$5:$D$2005,'CEK CICI'!A913)</f>
        <v>0</v>
      </c>
      <c r="I913" s="4">
        <f>SUMIFS(PENJUALAN!$E$4:$E$4288,PENJUALAN!$C$4:$C$4288,'CEK CICI'!A913)</f>
        <v>0</v>
      </c>
      <c r="J913" s="16">
        <f t="shared" si="2"/>
        <v>0</v>
      </c>
      <c r="K913" s="4"/>
      <c r="L913" s="4"/>
      <c r="M913" s="4"/>
      <c r="N913" s="4"/>
    </row>
    <row r="914" ht="13.5" hidden="1" customHeight="1">
      <c r="A914" s="4" t="str">
        <f t="shared" si="1"/>
        <v>LFW-QQ03XYG</v>
      </c>
      <c r="B914" s="29" t="s">
        <v>207</v>
      </c>
      <c r="C914" s="28" t="s">
        <v>208</v>
      </c>
      <c r="D914" s="28" t="s">
        <v>22</v>
      </c>
      <c r="E914" s="4" t="s">
        <v>16</v>
      </c>
      <c r="F914" s="28" t="s">
        <v>125</v>
      </c>
      <c r="G914" s="4"/>
      <c r="H914" s="4">
        <f>SUMIFS(X!$F$5:$F$2005,X!$D$5:$D$2005,'CEK CICI'!A914)</f>
        <v>0</v>
      </c>
      <c r="I914" s="4">
        <f>SUMIFS(PENJUALAN!$E$4:$E$4288,PENJUALAN!$C$4:$C$4288,'CEK CICI'!A914)</f>
        <v>0</v>
      </c>
      <c r="J914" s="16">
        <f t="shared" si="2"/>
        <v>0</v>
      </c>
      <c r="K914" s="4"/>
      <c r="L914" s="4"/>
      <c r="M914" s="4"/>
      <c r="N914" s="4"/>
    </row>
    <row r="915" ht="13.5" hidden="1" customHeight="1">
      <c r="A915" s="4" t="str">
        <f t="shared" si="1"/>
        <v>FDL-AVEO99XYG</v>
      </c>
      <c r="B915" s="29" t="s">
        <v>212</v>
      </c>
      <c r="C915" s="28" t="s">
        <v>213</v>
      </c>
      <c r="D915" s="28" t="s">
        <v>128</v>
      </c>
      <c r="E915" s="4" t="s">
        <v>16</v>
      </c>
      <c r="F915" s="28" t="s">
        <v>141</v>
      </c>
      <c r="G915" s="4"/>
      <c r="H915" s="4">
        <f>SUMIFS(X!$F$5:$F$2005,X!$D$5:$D$2005,'CEK CICI'!A915)</f>
        <v>0</v>
      </c>
      <c r="I915" s="4">
        <f>SUMIFS(PENJUALAN!$E$4:$E$4288,PENJUALAN!$C$4:$C$4288,'CEK CICI'!A915)</f>
        <v>0</v>
      </c>
      <c r="J915" s="16">
        <f t="shared" si="2"/>
        <v>0</v>
      </c>
      <c r="K915" s="4"/>
      <c r="L915" s="4"/>
      <c r="M915" s="4"/>
      <c r="N915" s="4"/>
    </row>
    <row r="916" ht="13.5" hidden="1" customHeight="1">
      <c r="A916" s="4" t="str">
        <f t="shared" si="1"/>
        <v>FDR-AVEO99XYG</v>
      </c>
      <c r="B916" s="29" t="s">
        <v>214</v>
      </c>
      <c r="C916" s="28" t="s">
        <v>213</v>
      </c>
      <c r="D916" s="28" t="s">
        <v>130</v>
      </c>
      <c r="E916" s="4" t="s">
        <v>16</v>
      </c>
      <c r="F916" s="28" t="s">
        <v>141</v>
      </c>
      <c r="G916" s="4"/>
      <c r="H916" s="4">
        <f>SUMIFS(X!$F$5:$F$2005,X!$D$5:$D$2005,'CEK CICI'!A916)</f>
        <v>0</v>
      </c>
      <c r="I916" s="4">
        <f>SUMIFS(PENJUALAN!$E$4:$E$4288,PENJUALAN!$C$4:$C$4288,'CEK CICI'!A916)</f>
        <v>0</v>
      </c>
      <c r="J916" s="16">
        <f t="shared" si="2"/>
        <v>0</v>
      </c>
      <c r="K916" s="4"/>
      <c r="L916" s="4"/>
      <c r="M916" s="4"/>
      <c r="N916" s="4"/>
    </row>
    <row r="917" ht="13.5" hidden="1" customHeight="1">
      <c r="A917" s="4" t="str">
        <f t="shared" si="1"/>
        <v>TRW-AVEO99XYG</v>
      </c>
      <c r="B917" s="29" t="s">
        <v>215</v>
      </c>
      <c r="C917" s="28" t="s">
        <v>213</v>
      </c>
      <c r="D917" s="28" t="s">
        <v>41</v>
      </c>
      <c r="E917" s="4" t="s">
        <v>16</v>
      </c>
      <c r="F917" s="28" t="s">
        <v>67</v>
      </c>
      <c r="G917" s="4"/>
      <c r="H917" s="4">
        <f>SUMIFS(X!$F$5:$F$2005,X!$D$5:$D$2005,'CEK CICI'!A917)</f>
        <v>0</v>
      </c>
      <c r="I917" s="4">
        <f>SUMIFS(PENJUALAN!$E$4:$E$4288,PENJUALAN!$C$4:$C$4288,'CEK CICI'!A917)</f>
        <v>0</v>
      </c>
      <c r="J917" s="16">
        <f t="shared" si="2"/>
        <v>0</v>
      </c>
      <c r="K917" s="4"/>
      <c r="L917" s="4"/>
      <c r="M917" s="4"/>
      <c r="N917" s="4"/>
    </row>
    <row r="918" ht="13.5" hidden="1" customHeight="1">
      <c r="A918" s="4" t="str">
        <f t="shared" si="1"/>
        <v>LFW-CAPTIVAXYG</v>
      </c>
      <c r="B918" s="29" t="s">
        <v>225</v>
      </c>
      <c r="C918" s="28" t="s">
        <v>223</v>
      </c>
      <c r="D918" s="28" t="s">
        <v>22</v>
      </c>
      <c r="E918" s="4" t="s">
        <v>16</v>
      </c>
      <c r="F918" s="28" t="s">
        <v>125</v>
      </c>
      <c r="G918" s="4"/>
      <c r="H918" s="4">
        <f>SUMIFS(X!$F$5:$F$2005,X!$D$5:$D$2005,'CEK CICI'!A918)</f>
        <v>8</v>
      </c>
      <c r="I918" s="4">
        <f>SUMIFS(PENJUALAN!$E$4:$E$4288,PENJUALAN!$C$4:$C$4288,'CEK CICI'!A918)</f>
        <v>7</v>
      </c>
      <c r="J918" s="16">
        <f t="shared" si="2"/>
        <v>1</v>
      </c>
      <c r="K918" s="15" t="s">
        <v>2020</v>
      </c>
      <c r="L918" s="15"/>
      <c r="M918" s="5">
        <v>1.0</v>
      </c>
      <c r="N918" s="4"/>
    </row>
    <row r="919" ht="13.5" hidden="1" customHeight="1">
      <c r="A919" s="4" t="str">
        <f t="shared" si="1"/>
        <v>LFW-CAPTIVARSXYG</v>
      </c>
      <c r="B919" s="29" t="s">
        <v>222</v>
      </c>
      <c r="C919" s="28" t="s">
        <v>223</v>
      </c>
      <c r="D919" s="28" t="s">
        <v>22</v>
      </c>
      <c r="E919" s="4" t="s">
        <v>16</v>
      </c>
      <c r="F919" s="28" t="s">
        <v>75</v>
      </c>
      <c r="G919" s="4"/>
      <c r="H919" s="4">
        <f>SUMIFS(X!$F$5:$F$2005,X!$D$5:$D$2005,'CEK CICI'!A919)</f>
        <v>2</v>
      </c>
      <c r="I919" s="4">
        <f>SUMIFS(PENJUALAN!$E$4:$E$4288,PENJUALAN!$C$4:$C$4288,'CEK CICI'!A919)</f>
        <v>2</v>
      </c>
      <c r="J919" s="16">
        <f t="shared" si="2"/>
        <v>0</v>
      </c>
      <c r="K919" s="4"/>
      <c r="L919" s="4"/>
      <c r="M919" s="4"/>
      <c r="N919" s="4"/>
    </row>
    <row r="920" ht="13.5" hidden="1" customHeight="1">
      <c r="A920" s="4" t="str">
        <f t="shared" si="1"/>
        <v>TRW-CAPTIVA6HOLEXYG</v>
      </c>
      <c r="B920" s="29" t="s">
        <v>226</v>
      </c>
      <c r="C920" s="28" t="s">
        <v>223</v>
      </c>
      <c r="D920" s="28" t="s">
        <v>41</v>
      </c>
      <c r="E920" s="4" t="s">
        <v>16</v>
      </c>
      <c r="F920" s="28" t="s">
        <v>227</v>
      </c>
      <c r="G920" s="4"/>
      <c r="H920" s="4">
        <f>SUMIFS(X!$F$5:$F$2005,X!$D$5:$D$2005,'CEK CICI'!A920)</f>
        <v>0</v>
      </c>
      <c r="I920" s="4">
        <f>SUMIFS(PENJUALAN!$E$4:$E$4288,PENJUALAN!$C$4:$C$4288,'CEK CICI'!A920)</f>
        <v>0</v>
      </c>
      <c r="J920" s="16">
        <f t="shared" si="2"/>
        <v>0</v>
      </c>
      <c r="K920" s="4"/>
      <c r="L920" s="4"/>
      <c r="M920" s="4"/>
      <c r="N920" s="4"/>
    </row>
    <row r="921" ht="13.5" hidden="1" customHeight="1">
      <c r="A921" s="4" t="str">
        <f t="shared" si="1"/>
        <v>FDL2-CAPTIVAXYG</v>
      </c>
      <c r="B921" s="29" t="s">
        <v>229</v>
      </c>
      <c r="C921" s="28" t="s">
        <v>223</v>
      </c>
      <c r="D921" s="28" t="s">
        <v>128</v>
      </c>
      <c r="E921" s="4" t="s">
        <v>16</v>
      </c>
      <c r="F921" s="28" t="s">
        <v>141</v>
      </c>
      <c r="G921" s="4"/>
      <c r="H921" s="4">
        <f>SUMIFS(X!$F$5:$F$2005,X!$D$5:$D$2005,'CEK CICI'!A921)</f>
        <v>0</v>
      </c>
      <c r="I921" s="4">
        <f>SUMIFS(PENJUALAN!$E$4:$E$4288,PENJUALAN!$C$4:$C$4288,'CEK CICI'!A921)</f>
        <v>0</v>
      </c>
      <c r="J921" s="16">
        <f t="shared" si="2"/>
        <v>0</v>
      </c>
      <c r="K921" s="4"/>
      <c r="L921" s="4"/>
      <c r="M921" s="4"/>
      <c r="N921" s="4"/>
    </row>
    <row r="922" ht="13.5" hidden="1" customHeight="1">
      <c r="A922" s="4" t="str">
        <f t="shared" si="1"/>
        <v>FDR2-CAPTIVAXYG</v>
      </c>
      <c r="B922" s="29" t="s">
        <v>230</v>
      </c>
      <c r="C922" s="28" t="s">
        <v>223</v>
      </c>
      <c r="D922" s="28" t="s">
        <v>130</v>
      </c>
      <c r="E922" s="4" t="s">
        <v>16</v>
      </c>
      <c r="F922" s="28" t="s">
        <v>141</v>
      </c>
      <c r="G922" s="4"/>
      <c r="H922" s="4">
        <f>SUMIFS(X!$F$5:$F$2005,X!$D$5:$D$2005,'CEK CICI'!A922)</f>
        <v>0</v>
      </c>
      <c r="I922" s="4">
        <f>SUMIFS(PENJUALAN!$E$4:$E$4288,PENJUALAN!$C$4:$C$4288,'CEK CICI'!A922)</f>
        <v>0</v>
      </c>
      <c r="J922" s="16">
        <f t="shared" si="2"/>
        <v>0</v>
      </c>
      <c r="K922" s="4"/>
      <c r="L922" s="4"/>
      <c r="M922" s="4"/>
      <c r="N922" s="4"/>
    </row>
    <row r="923" ht="13.5" hidden="1" customHeight="1">
      <c r="A923" s="4" t="str">
        <f t="shared" si="1"/>
        <v>RDL2-CAPTIVAXYG</v>
      </c>
      <c r="B923" s="29" t="s">
        <v>231</v>
      </c>
      <c r="C923" s="28" t="s">
        <v>223</v>
      </c>
      <c r="D923" s="28" t="s">
        <v>132</v>
      </c>
      <c r="E923" s="4" t="s">
        <v>16</v>
      </c>
      <c r="F923" s="28" t="s">
        <v>141</v>
      </c>
      <c r="G923" s="4"/>
      <c r="H923" s="4">
        <f>SUMIFS(X!$F$5:$F$2005,X!$D$5:$D$2005,'CEK CICI'!A923)</f>
        <v>0</v>
      </c>
      <c r="I923" s="4">
        <f>SUMIFS(PENJUALAN!$E$4:$E$4288,PENJUALAN!$C$4:$C$4288,'CEK CICI'!A923)</f>
        <v>0</v>
      </c>
      <c r="J923" s="16">
        <f t="shared" si="2"/>
        <v>0</v>
      </c>
      <c r="K923" s="4"/>
      <c r="L923" s="4"/>
      <c r="M923" s="4"/>
      <c r="N923" s="15"/>
    </row>
    <row r="924" ht="13.5" hidden="1" customHeight="1">
      <c r="A924" s="4" t="str">
        <f t="shared" si="1"/>
        <v>RDR2-CAPTIVAXYG</v>
      </c>
      <c r="B924" s="29" t="s">
        <v>232</v>
      </c>
      <c r="C924" s="28" t="s">
        <v>223</v>
      </c>
      <c r="D924" s="28" t="s">
        <v>134</v>
      </c>
      <c r="E924" s="4" t="s">
        <v>16</v>
      </c>
      <c r="F924" s="28" t="s">
        <v>141</v>
      </c>
      <c r="G924" s="4"/>
      <c r="H924" s="4">
        <f>SUMIFS(X!$F$5:$F$2005,X!$D$5:$D$2005,'CEK CICI'!A924)</f>
        <v>0</v>
      </c>
      <c r="I924" s="4">
        <f>SUMIFS(PENJUALAN!$E$4:$E$4288,PENJUALAN!$C$4:$C$4288,'CEK CICI'!A924)</f>
        <v>0</v>
      </c>
      <c r="J924" s="16">
        <f t="shared" si="2"/>
        <v>0</v>
      </c>
      <c r="K924" s="4"/>
      <c r="L924" s="4"/>
      <c r="M924" s="4"/>
      <c r="N924" s="4"/>
    </row>
    <row r="925" ht="13.5" hidden="1" customHeight="1">
      <c r="A925" s="4" t="str">
        <f t="shared" si="1"/>
        <v>LFW-OPTRAXYG</v>
      </c>
      <c r="B925" s="29" t="s">
        <v>237</v>
      </c>
      <c r="C925" s="28" t="s">
        <v>238</v>
      </c>
      <c r="D925" s="28" t="s">
        <v>22</v>
      </c>
      <c r="E925" s="15" t="s">
        <v>16</v>
      </c>
      <c r="F925" s="28" t="s">
        <v>125</v>
      </c>
      <c r="G925" s="4"/>
      <c r="H925" s="4">
        <f>SUMIFS(X!$F$5:$F$2005,X!$D$5:$D$2005,'CEK CICI'!A925)</f>
        <v>1</v>
      </c>
      <c r="I925" s="4">
        <f>SUMIFS(PENJUALAN!$E$4:$E$4288,PENJUALAN!$C$4:$C$4288,'CEK CICI'!A925)</f>
        <v>1</v>
      </c>
      <c r="J925" s="16">
        <f t="shared" si="2"/>
        <v>0</v>
      </c>
      <c r="K925" s="4"/>
      <c r="L925" s="4"/>
      <c r="M925" s="4"/>
      <c r="N925" s="4"/>
    </row>
    <row r="926" ht="13.5" hidden="1" customHeight="1">
      <c r="A926" s="4" t="str">
        <f t="shared" si="1"/>
        <v>LFW-SPARK98XYG</v>
      </c>
      <c r="B926" s="29" t="s">
        <v>244</v>
      </c>
      <c r="C926" s="28" t="s">
        <v>245</v>
      </c>
      <c r="D926" s="28" t="s">
        <v>22</v>
      </c>
      <c r="E926" s="4" t="s">
        <v>16</v>
      </c>
      <c r="F926" s="28" t="s">
        <v>125</v>
      </c>
      <c r="G926" s="4"/>
      <c r="H926" s="4">
        <f>SUMIFS(X!$F$5:$F$2005,X!$D$5:$D$2005,'CEK CICI'!A926)</f>
        <v>1</v>
      </c>
      <c r="I926" s="4">
        <f>SUMIFS(PENJUALAN!$E$4:$E$4288,PENJUALAN!$C$4:$C$4288,'CEK CICI'!A926)</f>
        <v>1</v>
      </c>
      <c r="J926" s="16">
        <f t="shared" si="2"/>
        <v>0</v>
      </c>
      <c r="K926" s="4"/>
      <c r="L926" s="4"/>
      <c r="M926" s="4"/>
      <c r="N926" s="4"/>
    </row>
    <row r="927" ht="13.5" hidden="1" customHeight="1">
      <c r="A927" s="4" t="str">
        <f t="shared" si="1"/>
        <v>RDL-SPARK10XYG</v>
      </c>
      <c r="B927" s="29" t="s">
        <v>258</v>
      </c>
      <c r="C927" s="28" t="s">
        <v>254</v>
      </c>
      <c r="D927" s="28" t="s">
        <v>132</v>
      </c>
      <c r="E927" s="4" t="s">
        <v>16</v>
      </c>
      <c r="F927" s="28" t="s">
        <v>141</v>
      </c>
      <c r="G927" s="4"/>
      <c r="H927" s="4">
        <f>SUMIFS(X!$F$5:$F$2005,X!$D$5:$D$2005,'CEK CICI'!A927)</f>
        <v>0</v>
      </c>
      <c r="I927" s="4">
        <f>SUMIFS(PENJUALAN!$E$4:$E$4288,PENJUALAN!$C$4:$C$4288,'CEK CICI'!A927)</f>
        <v>0</v>
      </c>
      <c r="J927" s="16">
        <f t="shared" si="2"/>
        <v>0</v>
      </c>
      <c r="K927" s="4"/>
      <c r="L927" s="4"/>
      <c r="M927" s="4"/>
      <c r="N927" s="4"/>
    </row>
    <row r="928" ht="13.5" hidden="1" customHeight="1">
      <c r="A928" s="4" t="str">
        <f t="shared" si="1"/>
        <v>LFW-SPARK16XYG</v>
      </c>
      <c r="B928" s="29" t="s">
        <v>1367</v>
      </c>
      <c r="C928" s="30" t="s">
        <v>1368</v>
      </c>
      <c r="D928" s="30" t="s">
        <v>22</v>
      </c>
      <c r="E928" s="4" t="s">
        <v>16</v>
      </c>
      <c r="F928" s="30" t="s">
        <v>125</v>
      </c>
      <c r="G928" s="4"/>
      <c r="H928" s="4">
        <f>SUMIFS(X!$F$5:$F$2005,X!$D$5:$D$2005,'CEK CICI'!A928)</f>
        <v>0</v>
      </c>
      <c r="I928" s="4">
        <f>SUMIFS(PENJUALAN!$E$4:$E$4288,PENJUALAN!$C$4:$C$4288,'CEK CICI'!A928)</f>
        <v>0</v>
      </c>
      <c r="J928" s="16">
        <f t="shared" si="2"/>
        <v>0</v>
      </c>
      <c r="K928" s="4"/>
      <c r="L928" s="4"/>
      <c r="M928" s="4"/>
      <c r="N928" s="4"/>
    </row>
    <row r="929" ht="13.5" hidden="1" customHeight="1">
      <c r="A929" s="4" t="str">
        <f t="shared" si="1"/>
        <v>TRW-SPARK16XYG</v>
      </c>
      <c r="B929" s="29" t="s">
        <v>1369</v>
      </c>
      <c r="C929" s="30" t="s">
        <v>1368</v>
      </c>
      <c r="D929" s="30" t="s">
        <v>41</v>
      </c>
      <c r="E929" s="4" t="s">
        <v>16</v>
      </c>
      <c r="F929" s="30" t="s">
        <v>221</v>
      </c>
      <c r="G929" s="4"/>
      <c r="H929" s="4">
        <f>SUMIFS(X!$F$5:$F$2005,X!$D$5:$D$2005,'CEK CICI'!A929)</f>
        <v>0</v>
      </c>
      <c r="I929" s="4">
        <f>SUMIFS(PENJUALAN!$E$4:$E$4288,PENJUALAN!$C$4:$C$4288,'CEK CICI'!A929)</f>
        <v>0</v>
      </c>
      <c r="J929" s="16">
        <f t="shared" si="2"/>
        <v>0</v>
      </c>
      <c r="K929" s="4"/>
      <c r="L929" s="4"/>
      <c r="M929" s="4"/>
      <c r="N929" s="4"/>
    </row>
    <row r="930" ht="13.5" hidden="1" customHeight="1">
      <c r="A930" s="4" t="str">
        <f t="shared" si="1"/>
        <v>LFW-SPINXYG</v>
      </c>
      <c r="B930" s="29" t="s">
        <v>260</v>
      </c>
      <c r="C930" s="28" t="s">
        <v>261</v>
      </c>
      <c r="D930" s="28" t="s">
        <v>22</v>
      </c>
      <c r="E930" s="4" t="s">
        <v>16</v>
      </c>
      <c r="F930" s="28" t="s">
        <v>125</v>
      </c>
      <c r="G930" s="4"/>
      <c r="H930" s="4">
        <f>SUMIFS(X!$F$5:$F$2005,X!$D$5:$D$2005,'CEK CICI'!A930)</f>
        <v>5</v>
      </c>
      <c r="I930" s="4">
        <f>SUMIFS(PENJUALAN!$E$4:$E$4288,PENJUALAN!$C$4:$C$4288,'CEK CICI'!A930)</f>
        <v>5</v>
      </c>
      <c r="J930" s="16">
        <f t="shared" si="2"/>
        <v>0</v>
      </c>
      <c r="K930" s="4"/>
      <c r="L930" s="4"/>
      <c r="M930" s="4"/>
      <c r="N930" s="4"/>
    </row>
    <row r="931" ht="13.5" hidden="1" customHeight="1">
      <c r="A931" s="4" t="str">
        <f t="shared" si="1"/>
        <v>TRW-SPINXYG</v>
      </c>
      <c r="B931" s="29" t="s">
        <v>2230</v>
      </c>
      <c r="C931" s="28" t="s">
        <v>261</v>
      </c>
      <c r="D931" s="28" t="s">
        <v>41</v>
      </c>
      <c r="E931" s="4" t="s">
        <v>16</v>
      </c>
      <c r="F931" s="28" t="s">
        <v>221</v>
      </c>
      <c r="G931" s="4"/>
      <c r="H931" s="4">
        <f>SUMIFS(X!$F$5:$F$2005,X!$D$5:$D$2005,'CEK CICI'!A931)</f>
        <v>1</v>
      </c>
      <c r="I931" s="4">
        <f>SUMIFS(PENJUALAN!$E$4:$E$4288,PENJUALAN!$C$4:$C$4288,'CEK CICI'!A931)</f>
        <v>1</v>
      </c>
      <c r="J931" s="16">
        <f t="shared" si="2"/>
        <v>0</v>
      </c>
      <c r="K931" s="4"/>
      <c r="L931" s="4"/>
      <c r="M931" s="4"/>
      <c r="N931" s="4"/>
    </row>
    <row r="932" ht="13.5" hidden="1" customHeight="1">
      <c r="A932" s="4" t="str">
        <f t="shared" si="1"/>
        <v>LFW-TRAILBLAZERXYG</v>
      </c>
      <c r="B932" s="29" t="s">
        <v>1372</v>
      </c>
      <c r="C932" s="30" t="s">
        <v>263</v>
      </c>
      <c r="D932" s="30" t="s">
        <v>22</v>
      </c>
      <c r="E932" s="4" t="s">
        <v>16</v>
      </c>
      <c r="F932" s="30" t="s">
        <v>75</v>
      </c>
      <c r="G932" s="4"/>
      <c r="H932" s="4">
        <f>SUMIFS(X!$F$5:$F$2005,X!$D$5:$D$2005,'CEK CICI'!A932)</f>
        <v>0</v>
      </c>
      <c r="I932" s="4">
        <f>SUMIFS(PENJUALAN!$E$4:$E$4288,PENJUALAN!$C$4:$C$4288,'CEK CICI'!A932)</f>
        <v>0</v>
      </c>
      <c r="J932" s="16">
        <f t="shared" si="2"/>
        <v>0</v>
      </c>
      <c r="K932" s="4"/>
      <c r="L932" s="4"/>
      <c r="M932" s="4"/>
      <c r="N932" s="4"/>
    </row>
    <row r="933" ht="13.5" hidden="1" customHeight="1">
      <c r="A933" s="4" t="str">
        <f t="shared" si="1"/>
        <v>TRW-TRAILBLAZERXYG</v>
      </c>
      <c r="B933" s="29" t="s">
        <v>265</v>
      </c>
      <c r="C933" s="28" t="s">
        <v>266</v>
      </c>
      <c r="D933" s="28" t="s">
        <v>41</v>
      </c>
      <c r="E933" s="4" t="s">
        <v>16</v>
      </c>
      <c r="F933" s="28" t="s">
        <v>221</v>
      </c>
      <c r="G933" s="4"/>
      <c r="H933" s="4">
        <f>SUMIFS(X!$F$5:$F$2005,X!$D$5:$D$2005,'CEK CICI'!A933)</f>
        <v>0</v>
      </c>
      <c r="I933" s="4">
        <f>SUMIFS(PENJUALAN!$E$4:$E$4288,PENJUALAN!$C$4:$C$4288,'CEK CICI'!A933)</f>
        <v>0</v>
      </c>
      <c r="J933" s="16">
        <f t="shared" si="2"/>
        <v>0</v>
      </c>
      <c r="K933" s="4"/>
      <c r="L933" s="4"/>
      <c r="M933" s="4"/>
      <c r="N933" s="4"/>
    </row>
    <row r="934" ht="13.5" hidden="1" customHeight="1">
      <c r="A934" s="4" t="str">
        <f t="shared" si="1"/>
        <v>LFW-TRAXXYG</v>
      </c>
      <c r="B934" s="29" t="s">
        <v>267</v>
      </c>
      <c r="C934" s="28" t="s">
        <v>268</v>
      </c>
      <c r="D934" s="28" t="s">
        <v>22</v>
      </c>
      <c r="E934" s="4" t="s">
        <v>16</v>
      </c>
      <c r="F934" s="28" t="s">
        <v>125</v>
      </c>
      <c r="G934" s="4"/>
      <c r="H934" s="4">
        <f>SUMIFS(X!$F$5:$F$2005,X!$D$5:$D$2005,'CEK CICI'!A934)</f>
        <v>0</v>
      </c>
      <c r="I934" s="4">
        <f>SUMIFS(PENJUALAN!$E$4:$E$4288,PENJUALAN!$C$4:$C$4288,'CEK CICI'!A934)</f>
        <v>0</v>
      </c>
      <c r="J934" s="16">
        <f t="shared" si="2"/>
        <v>0</v>
      </c>
      <c r="K934" s="4"/>
      <c r="L934" s="4"/>
      <c r="M934" s="4"/>
      <c r="N934" s="4"/>
    </row>
    <row r="935" ht="13.5" hidden="1" customHeight="1">
      <c r="A935" s="4" t="str">
        <f t="shared" si="1"/>
        <v>LFW-TRAXRSXYG</v>
      </c>
      <c r="B935" s="29" t="s">
        <v>1373</v>
      </c>
      <c r="C935" s="30" t="s">
        <v>1374</v>
      </c>
      <c r="D935" s="30" t="s">
        <v>22</v>
      </c>
      <c r="E935" s="4" t="s">
        <v>16</v>
      </c>
      <c r="F935" s="30" t="s">
        <v>75</v>
      </c>
      <c r="G935" s="4"/>
      <c r="H935" s="4">
        <f>SUMIFS(X!$F$5:$F$2005,X!$D$5:$D$2005,'CEK CICI'!A935)</f>
        <v>1</v>
      </c>
      <c r="I935" s="4">
        <f>SUMIFS(PENJUALAN!$E$4:$E$4288,PENJUALAN!$C$4:$C$4288,'CEK CICI'!A935)</f>
        <v>1</v>
      </c>
      <c r="J935" s="16">
        <f t="shared" si="2"/>
        <v>0</v>
      </c>
      <c r="K935" s="4"/>
      <c r="L935" s="4"/>
      <c r="M935" s="4"/>
      <c r="N935" s="4"/>
    </row>
    <row r="936" ht="13.5" hidden="1" customHeight="1">
      <c r="A936" s="4" t="str">
        <f t="shared" si="1"/>
        <v>TRW-TRAXXYG</v>
      </c>
      <c r="B936" s="29" t="s">
        <v>269</v>
      </c>
      <c r="C936" s="28" t="s">
        <v>270</v>
      </c>
      <c r="D936" s="28" t="s">
        <v>41</v>
      </c>
      <c r="E936" s="4" t="s">
        <v>16</v>
      </c>
      <c r="F936" s="28" t="s">
        <v>221</v>
      </c>
      <c r="G936" s="4"/>
      <c r="H936" s="4">
        <f>SUMIFS(X!$F$5:$F$2005,X!$D$5:$D$2005,'CEK CICI'!A936)</f>
        <v>0</v>
      </c>
      <c r="I936" s="4">
        <f>SUMIFS(PENJUALAN!$E$4:$E$4288,PENJUALAN!$C$4:$C$4288,'CEK CICI'!A936)</f>
        <v>0</v>
      </c>
      <c r="J936" s="16">
        <f t="shared" si="2"/>
        <v>0</v>
      </c>
      <c r="K936" s="4"/>
      <c r="L936" s="4"/>
      <c r="M936" s="4"/>
      <c r="N936" s="4"/>
    </row>
    <row r="937" ht="13.5" hidden="1" customHeight="1">
      <c r="A937" s="4" t="str">
        <f t="shared" si="1"/>
        <v>LFW-ZAFIRAXYG</v>
      </c>
      <c r="B937" s="29" t="s">
        <v>271</v>
      </c>
      <c r="C937" s="28" t="s">
        <v>272</v>
      </c>
      <c r="D937" s="28" t="s">
        <v>22</v>
      </c>
      <c r="E937" s="4" t="s">
        <v>16</v>
      </c>
      <c r="F937" s="28" t="s">
        <v>125</v>
      </c>
      <c r="G937" s="4"/>
      <c r="H937" s="4">
        <f>SUMIFS(X!$F$5:$F$2005,X!$D$5:$D$2005,'CEK CICI'!A937)</f>
        <v>0</v>
      </c>
      <c r="I937" s="4">
        <f>SUMIFS(PENJUALAN!$E$4:$E$4288,PENJUALAN!$C$4:$C$4288,'CEK CICI'!A937)</f>
        <v>0</v>
      </c>
      <c r="J937" s="16">
        <f t="shared" si="2"/>
        <v>0</v>
      </c>
      <c r="K937" s="4"/>
      <c r="L937" s="4"/>
      <c r="M937" s="4"/>
      <c r="N937" s="4"/>
    </row>
    <row r="938" ht="13.5" hidden="1" customHeight="1">
      <c r="A938" s="4" t="str">
        <f t="shared" si="1"/>
        <v>LFW-GRANMAXXYG</v>
      </c>
      <c r="B938" s="29" t="s">
        <v>274</v>
      </c>
      <c r="C938" s="28" t="s">
        <v>275</v>
      </c>
      <c r="D938" s="28" t="s">
        <v>22</v>
      </c>
      <c r="E938" s="4" t="s">
        <v>16</v>
      </c>
      <c r="F938" s="28" t="s">
        <v>97</v>
      </c>
      <c r="G938" s="4"/>
      <c r="H938" s="4">
        <f>SUMIFS(X!$F$5:$F$2005,X!$D$5:$D$2005,'CEK CICI'!A938)</f>
        <v>15</v>
      </c>
      <c r="I938" s="4">
        <f>SUMIFS(PENJUALAN!$E$4:$E$4288,PENJUALAN!$C$4:$C$4288,'CEK CICI'!A938)</f>
        <v>15</v>
      </c>
      <c r="J938" s="16">
        <f t="shared" si="2"/>
        <v>0</v>
      </c>
      <c r="K938" s="4"/>
      <c r="L938" s="4"/>
      <c r="M938" s="4"/>
      <c r="N938" s="4"/>
    </row>
    <row r="939" ht="13.5" hidden="1" customHeight="1">
      <c r="A939" s="4" t="str">
        <f t="shared" si="1"/>
        <v>LFW-SIRION1XYG</v>
      </c>
      <c r="B939" s="29" t="s">
        <v>1379</v>
      </c>
      <c r="C939" s="30" t="s">
        <v>277</v>
      </c>
      <c r="D939" s="30" t="s">
        <v>22</v>
      </c>
      <c r="E939" s="4" t="s">
        <v>16</v>
      </c>
      <c r="F939" s="34" t="s">
        <v>125</v>
      </c>
      <c r="G939" s="4"/>
      <c r="H939" s="4">
        <f>SUMIFS(X!$F$5:$F$2005,X!$D$5:$D$2005,'CEK CICI'!A939)</f>
        <v>0</v>
      </c>
      <c r="I939" s="4">
        <f>SUMIFS(PENJUALAN!$E$4:$E$4288,PENJUALAN!$C$4:$C$4288,'CEK CICI'!A939)</f>
        <v>0</v>
      </c>
      <c r="J939" s="16">
        <f t="shared" si="2"/>
        <v>0</v>
      </c>
      <c r="K939" s="4"/>
      <c r="L939" s="4"/>
      <c r="M939" s="4"/>
      <c r="N939" s="4"/>
    </row>
    <row r="940" ht="13.5" customHeight="1">
      <c r="A940" s="4" t="str">
        <f t="shared" si="1"/>
        <v>TRW-SIRION1XYG</v>
      </c>
      <c r="B940" s="29" t="s">
        <v>276</v>
      </c>
      <c r="C940" s="28" t="s">
        <v>277</v>
      </c>
      <c r="D940" s="28" t="s">
        <v>41</v>
      </c>
      <c r="E940" s="4" t="s">
        <v>16</v>
      </c>
      <c r="F940" s="28" t="s">
        <v>67</v>
      </c>
      <c r="G940" s="15">
        <v>1.0</v>
      </c>
      <c r="H940" s="4">
        <f>SUMIFS(X!$F$5:$F$2005,X!$D$5:$D$2005,'CEK CICI'!A940)</f>
        <v>2</v>
      </c>
      <c r="I940" s="4">
        <f>SUMIFS(PENJUALAN!$E$4:$E$4288,PENJUALAN!$C$4:$C$4288,'CEK CICI'!A940)</f>
        <v>2</v>
      </c>
      <c r="J940" s="16">
        <f t="shared" si="2"/>
        <v>0</v>
      </c>
      <c r="K940" s="15" t="s">
        <v>1422</v>
      </c>
      <c r="L940" s="15"/>
      <c r="M940" s="4"/>
      <c r="N940" s="4"/>
    </row>
    <row r="941" ht="13.5" hidden="1" customHeight="1">
      <c r="A941" s="4" t="str">
        <f t="shared" si="1"/>
        <v>TRW-SIRION2XYG</v>
      </c>
      <c r="B941" s="29" t="s">
        <v>1443</v>
      </c>
      <c r="C941" s="30" t="s">
        <v>1444</v>
      </c>
      <c r="D941" s="28" t="s">
        <v>41</v>
      </c>
      <c r="E941" s="4" t="s">
        <v>16</v>
      </c>
      <c r="F941" s="28" t="s">
        <v>118</v>
      </c>
      <c r="G941" s="4"/>
      <c r="H941" s="4">
        <f>SUMIFS(X!$F$5:$F$2005,X!$D$5:$D$2005,'CEK CICI'!A941)</f>
        <v>2</v>
      </c>
      <c r="I941" s="4">
        <f>SUMIFS(PENJUALAN!$E$4:$E$4288,PENJUALAN!$C$4:$C$4288,'CEK CICI'!A941)</f>
        <v>1</v>
      </c>
      <c r="J941" s="16">
        <f t="shared" si="2"/>
        <v>1</v>
      </c>
      <c r="K941" s="15" t="s">
        <v>1445</v>
      </c>
      <c r="L941" s="15"/>
      <c r="M941" s="4"/>
      <c r="N941" s="4"/>
    </row>
    <row r="942" ht="13.5" hidden="1" customHeight="1">
      <c r="A942" s="4" t="str">
        <f t="shared" si="1"/>
        <v>TRW-TARUNAXYG</v>
      </c>
      <c r="B942" s="29" t="s">
        <v>2102</v>
      </c>
      <c r="C942" s="28" t="s">
        <v>1761</v>
      </c>
      <c r="D942" s="28" t="s">
        <v>41</v>
      </c>
      <c r="E942" s="4" t="s">
        <v>16</v>
      </c>
      <c r="F942" s="28" t="s">
        <v>97</v>
      </c>
      <c r="G942" s="4"/>
      <c r="H942" s="4">
        <f>SUMIFS(X!$F$5:$F$2005,X!$D$5:$D$2005,'CEK CICI'!A942)</f>
        <v>4</v>
      </c>
      <c r="I942" s="4">
        <f>SUMIFS(PENJUALAN!$E$4:$E$4288,PENJUALAN!$C$4:$C$4288,'CEK CICI'!A942)</f>
        <v>3</v>
      </c>
      <c r="J942" s="16">
        <f t="shared" si="2"/>
        <v>1</v>
      </c>
      <c r="K942" s="15" t="s">
        <v>1460</v>
      </c>
      <c r="L942" s="15"/>
      <c r="M942" s="4"/>
      <c r="N942" s="4"/>
    </row>
    <row r="943" ht="13.5" hidden="1" customHeight="1">
      <c r="A943" s="4" t="str">
        <f t="shared" si="1"/>
        <v>TRW-DODGEXYG</v>
      </c>
      <c r="B943" s="29" t="s">
        <v>282</v>
      </c>
      <c r="C943" s="28" t="s">
        <v>281</v>
      </c>
      <c r="D943" s="28" t="s">
        <v>41</v>
      </c>
      <c r="E943" s="4" t="s">
        <v>16</v>
      </c>
      <c r="F943" s="28" t="s">
        <v>67</v>
      </c>
      <c r="G943" s="4"/>
      <c r="H943" s="4">
        <f>SUMIFS(X!$F$5:$F$2005,X!$D$5:$D$2005,'CEK CICI'!A943)</f>
        <v>0</v>
      </c>
      <c r="I943" s="4">
        <f>SUMIFS(PENJUALAN!$E$4:$E$4288,PENJUALAN!$C$4:$C$4288,'CEK CICI'!A943)</f>
        <v>0</v>
      </c>
      <c r="J943" s="16">
        <f t="shared" si="2"/>
        <v>0</v>
      </c>
      <c r="K943" s="4"/>
      <c r="L943" s="4"/>
      <c r="M943" s="4"/>
      <c r="N943" s="4"/>
    </row>
    <row r="944" ht="13.5" customHeight="1">
      <c r="A944" s="4" t="str">
        <f t="shared" si="1"/>
        <v>LFW-ECOSPORTXYG</v>
      </c>
      <c r="B944" s="29" t="s">
        <v>283</v>
      </c>
      <c r="C944" s="28" t="s">
        <v>284</v>
      </c>
      <c r="D944" s="28" t="s">
        <v>22</v>
      </c>
      <c r="E944" s="4" t="s">
        <v>16</v>
      </c>
      <c r="F944" s="28" t="s">
        <v>125</v>
      </c>
      <c r="G944" s="15">
        <v>1.0</v>
      </c>
      <c r="H944" s="4">
        <f>SUMIFS(X!$F$5:$F$2005,X!$D$5:$D$2005,'CEK CICI'!A944)</f>
        <v>3</v>
      </c>
      <c r="I944" s="4">
        <f>SUMIFS(PENJUALAN!$E$4:$E$4288,PENJUALAN!$C$4:$C$4288,'CEK CICI'!A944)</f>
        <v>2</v>
      </c>
      <c r="J944" s="16">
        <f t="shared" si="2"/>
        <v>1</v>
      </c>
      <c r="K944" s="15" t="s">
        <v>1387</v>
      </c>
      <c r="L944" s="15"/>
      <c r="M944" s="4"/>
      <c r="N944" s="4"/>
    </row>
    <row r="945" ht="13.5" hidden="1" customHeight="1">
      <c r="A945" s="4" t="str">
        <f t="shared" si="1"/>
        <v>LFW-ECOSPORTRSXYG</v>
      </c>
      <c r="B945" s="29" t="s">
        <v>285</v>
      </c>
      <c r="C945" s="28" t="s">
        <v>284</v>
      </c>
      <c r="D945" s="28" t="s">
        <v>22</v>
      </c>
      <c r="E945" s="4" t="s">
        <v>16</v>
      </c>
      <c r="F945" s="28" t="s">
        <v>75</v>
      </c>
      <c r="G945" s="4"/>
      <c r="H945" s="4">
        <f>SUMIFS(X!$F$5:$F$2005,X!$D$5:$D$2005,'CEK CICI'!A945)</f>
        <v>0</v>
      </c>
      <c r="I945" s="4">
        <f>SUMIFS(PENJUALAN!$E$4:$E$4288,PENJUALAN!$C$4:$C$4288,'CEK CICI'!A945)</f>
        <v>0</v>
      </c>
      <c r="J945" s="16">
        <f t="shared" si="2"/>
        <v>0</v>
      </c>
      <c r="K945" s="4"/>
      <c r="L945" s="4"/>
      <c r="M945" s="4"/>
      <c r="N945" s="4"/>
    </row>
    <row r="946" ht="13.5" hidden="1" customHeight="1">
      <c r="A946" s="4" t="str">
        <f t="shared" si="1"/>
        <v>TRW-ECOSPORTXYG</v>
      </c>
      <c r="B946" s="29" t="s">
        <v>286</v>
      </c>
      <c r="C946" s="28" t="s">
        <v>284</v>
      </c>
      <c r="D946" s="28" t="s">
        <v>41</v>
      </c>
      <c r="E946" s="4" t="s">
        <v>16</v>
      </c>
      <c r="F946" s="28" t="s">
        <v>221</v>
      </c>
      <c r="G946" s="4"/>
      <c r="H946" s="4">
        <f>SUMIFS(X!$F$5:$F$2005,X!$D$5:$D$2005,'CEK CICI'!A946)</f>
        <v>0</v>
      </c>
      <c r="I946" s="4">
        <f>SUMIFS(PENJUALAN!$E$4:$E$4288,PENJUALAN!$C$4:$C$4288,'CEK CICI'!A946)</f>
        <v>0</v>
      </c>
      <c r="J946" s="16">
        <f t="shared" si="2"/>
        <v>0</v>
      </c>
      <c r="K946" s="15" t="s">
        <v>1366</v>
      </c>
      <c r="L946" s="4"/>
      <c r="M946" s="4"/>
      <c r="N946" s="4"/>
    </row>
    <row r="947" ht="13.5" hidden="1" customHeight="1">
      <c r="A947" s="4" t="str">
        <f t="shared" si="1"/>
        <v>FDL-ECOSPORTXYG</v>
      </c>
      <c r="B947" s="29" t="s">
        <v>287</v>
      </c>
      <c r="C947" s="28" t="s">
        <v>284</v>
      </c>
      <c r="D947" s="28" t="s">
        <v>128</v>
      </c>
      <c r="E947" s="4" t="s">
        <v>16</v>
      </c>
      <c r="F947" s="28"/>
      <c r="G947" s="4"/>
      <c r="H947" s="4">
        <f>SUMIFS(X!$F$5:$F$2005,X!$D$5:$D$2005,'CEK CICI'!A947)</f>
        <v>0</v>
      </c>
      <c r="I947" s="4">
        <f>SUMIFS(PENJUALAN!$E$4:$E$4288,PENJUALAN!$C$4:$C$4288,'CEK CICI'!A947)</f>
        <v>0</v>
      </c>
      <c r="J947" s="16">
        <f t="shared" si="2"/>
        <v>0</v>
      </c>
      <c r="K947" s="4"/>
      <c r="L947" s="4"/>
      <c r="M947" s="4"/>
      <c r="N947" s="4"/>
    </row>
    <row r="948" ht="13.5" hidden="1" customHeight="1">
      <c r="A948" s="4" t="str">
        <f t="shared" si="1"/>
        <v>FDR-ECOSPORTXYG</v>
      </c>
      <c r="B948" s="29" t="s">
        <v>288</v>
      </c>
      <c r="C948" s="28" t="s">
        <v>284</v>
      </c>
      <c r="D948" s="28" t="s">
        <v>130</v>
      </c>
      <c r="E948" s="4" t="s">
        <v>16</v>
      </c>
      <c r="F948" s="28"/>
      <c r="G948" s="4"/>
      <c r="H948" s="4">
        <f>SUMIFS(X!$F$5:$F$2005,X!$D$5:$D$2005,'CEK CICI'!A948)</f>
        <v>0</v>
      </c>
      <c r="I948" s="4">
        <f>SUMIFS(PENJUALAN!$E$4:$E$4288,PENJUALAN!$C$4:$C$4288,'CEK CICI'!A948)</f>
        <v>0</v>
      </c>
      <c r="J948" s="16">
        <f t="shared" si="2"/>
        <v>0</v>
      </c>
      <c r="K948" s="4"/>
      <c r="L948" s="4"/>
      <c r="M948" s="4"/>
      <c r="N948" s="4"/>
    </row>
    <row r="949" ht="13.5" hidden="1" customHeight="1">
      <c r="A949" s="4" t="str">
        <f t="shared" si="1"/>
        <v>RDR-ECOSPORTXYG</v>
      </c>
      <c r="B949" s="29" t="s">
        <v>290</v>
      </c>
      <c r="C949" s="28" t="s">
        <v>284</v>
      </c>
      <c r="D949" s="28" t="s">
        <v>134</v>
      </c>
      <c r="E949" s="4" t="s">
        <v>16</v>
      </c>
      <c r="F949" s="28" t="s">
        <v>144</v>
      </c>
      <c r="G949" s="4"/>
      <c r="H949" s="4">
        <f>SUMIFS(X!$F$5:$F$2005,X!$D$5:$D$2005,'CEK CICI'!A949)</f>
        <v>0</v>
      </c>
      <c r="I949" s="4">
        <f>SUMIFS(PENJUALAN!$E$4:$E$4288,PENJUALAN!$C$4:$C$4288,'CEK CICI'!A949)</f>
        <v>0</v>
      </c>
      <c r="J949" s="16">
        <f t="shared" si="2"/>
        <v>0</v>
      </c>
      <c r="K949" s="4"/>
      <c r="L949" s="4"/>
      <c r="M949" s="4"/>
      <c r="N949" s="4"/>
    </row>
    <row r="950" ht="13.5" hidden="1" customHeight="1">
      <c r="A950" s="4" t="str">
        <f t="shared" si="1"/>
        <v>LFW-ESCAPEXYG</v>
      </c>
      <c r="B950" s="29" t="s">
        <v>291</v>
      </c>
      <c r="C950" s="28" t="s">
        <v>292</v>
      </c>
      <c r="D950" s="28" t="s">
        <v>22</v>
      </c>
      <c r="E950" s="4" t="s">
        <v>16</v>
      </c>
      <c r="F950" s="28" t="s">
        <v>125</v>
      </c>
      <c r="G950" s="4"/>
      <c r="H950" s="4">
        <f>SUMIFS(X!$F$5:$F$2005,X!$D$5:$D$2005,'CEK CICI'!A950)</f>
        <v>0</v>
      </c>
      <c r="I950" s="4">
        <f>SUMIFS(PENJUALAN!$E$4:$E$4288,PENJUALAN!$C$4:$C$4288,'CEK CICI'!A950)</f>
        <v>0</v>
      </c>
      <c r="J950" s="16">
        <f t="shared" si="2"/>
        <v>0</v>
      </c>
      <c r="K950" s="4"/>
      <c r="L950" s="4"/>
      <c r="M950" s="4"/>
      <c r="N950" s="4"/>
    </row>
    <row r="951" ht="13.5" hidden="1" customHeight="1">
      <c r="A951" s="4" t="str">
        <f t="shared" si="1"/>
        <v>LFW-RANGER04XYG</v>
      </c>
      <c r="B951" s="29" t="s">
        <v>294</v>
      </c>
      <c r="C951" s="28" t="s">
        <v>295</v>
      </c>
      <c r="D951" s="28" t="s">
        <v>22</v>
      </c>
      <c r="E951" s="4" t="s">
        <v>16</v>
      </c>
      <c r="F951" s="28" t="s">
        <v>97</v>
      </c>
      <c r="G951" s="4"/>
      <c r="H951" s="4">
        <f>SUMIFS(X!$F$5:$F$2005,X!$D$5:$D$2005,'CEK CICI'!A951)</f>
        <v>6</v>
      </c>
      <c r="I951" s="4">
        <f>SUMIFS(PENJUALAN!$E$4:$E$4288,PENJUALAN!$C$4:$C$4288,'CEK CICI'!A951)</f>
        <v>1</v>
      </c>
      <c r="J951" s="16">
        <f t="shared" si="2"/>
        <v>5</v>
      </c>
      <c r="K951" s="4"/>
      <c r="L951" s="4"/>
      <c r="M951" s="4"/>
      <c r="N951" s="4"/>
    </row>
    <row r="952" ht="13.5" hidden="1" customHeight="1">
      <c r="A952" s="4" t="str">
        <f t="shared" si="1"/>
        <v>TRW-EVERESTXYG</v>
      </c>
      <c r="B952" s="29" t="s">
        <v>296</v>
      </c>
      <c r="C952" s="28" t="s">
        <v>297</v>
      </c>
      <c r="D952" s="28" t="s">
        <v>41</v>
      </c>
      <c r="E952" s="4" t="s">
        <v>16</v>
      </c>
      <c r="F952" s="28" t="s">
        <v>67</v>
      </c>
      <c r="G952" s="4"/>
      <c r="H952" s="4">
        <f>SUMIFS(X!$F$5:$F$2005,X!$D$5:$D$2005,'CEK CICI'!A952)</f>
        <v>1</v>
      </c>
      <c r="I952" s="4">
        <f>SUMIFS(PENJUALAN!$E$4:$E$4288,PENJUALAN!$C$4:$C$4288,'CEK CICI'!A952)</f>
        <v>1</v>
      </c>
      <c r="J952" s="16">
        <f t="shared" si="2"/>
        <v>0</v>
      </c>
      <c r="K952" s="4"/>
      <c r="L952" s="4"/>
      <c r="M952" s="4"/>
      <c r="N952" s="4"/>
    </row>
    <row r="953" ht="13.5" hidden="1" customHeight="1">
      <c r="A953" s="4" t="str">
        <f t="shared" si="1"/>
        <v>LFW-FIESTAXYG</v>
      </c>
      <c r="B953" s="29" t="s">
        <v>298</v>
      </c>
      <c r="C953" s="28" t="s">
        <v>299</v>
      </c>
      <c r="D953" s="28" t="s">
        <v>22</v>
      </c>
      <c r="E953" s="4" t="s">
        <v>16</v>
      </c>
      <c r="F953" s="28" t="s">
        <v>125</v>
      </c>
      <c r="G953" s="4"/>
      <c r="H953" s="4">
        <f>SUMIFS(X!$F$5:$F$2005,X!$D$5:$D$2005,'CEK CICI'!A953)</f>
        <v>6</v>
      </c>
      <c r="I953" s="4">
        <f>SUMIFS(PENJUALAN!$E$4:$E$4288,PENJUALAN!$C$4:$C$4288,'CEK CICI'!A953)</f>
        <v>0</v>
      </c>
      <c r="J953" s="16">
        <f t="shared" si="2"/>
        <v>6</v>
      </c>
      <c r="K953" s="4"/>
      <c r="L953" s="4"/>
      <c r="M953" s="4"/>
      <c r="N953" s="4"/>
    </row>
    <row r="954" ht="13.5" hidden="1" customHeight="1">
      <c r="A954" s="4" t="str">
        <f t="shared" si="1"/>
        <v>TRW-FIESTAXYG</v>
      </c>
      <c r="B954" s="29" t="s">
        <v>300</v>
      </c>
      <c r="C954" s="28" t="s">
        <v>299</v>
      </c>
      <c r="D954" s="28" t="s">
        <v>41</v>
      </c>
      <c r="E954" s="4" t="s">
        <v>16</v>
      </c>
      <c r="F954" s="28" t="s">
        <v>67</v>
      </c>
      <c r="G954" s="4"/>
      <c r="H954" s="4">
        <f>SUMIFS(X!$F$5:$F$2005,X!$D$5:$D$2005,'CEK CICI'!A954)</f>
        <v>1</v>
      </c>
      <c r="I954" s="4">
        <f>SUMIFS(PENJUALAN!$E$4:$E$4288,PENJUALAN!$C$4:$C$4288,'CEK CICI'!A954)</f>
        <v>0</v>
      </c>
      <c r="J954" s="16">
        <f t="shared" si="2"/>
        <v>1</v>
      </c>
      <c r="K954" s="4"/>
      <c r="L954" s="4"/>
      <c r="M954" s="4"/>
      <c r="N954" s="4"/>
    </row>
    <row r="955" ht="13.5" hidden="1" customHeight="1">
      <c r="A955" s="4" t="str">
        <f t="shared" si="1"/>
        <v>FDL-FIESTAXYG</v>
      </c>
      <c r="B955" s="29" t="s">
        <v>301</v>
      </c>
      <c r="C955" s="28" t="s">
        <v>299</v>
      </c>
      <c r="D955" s="28" t="s">
        <v>128</v>
      </c>
      <c r="E955" s="4" t="s">
        <v>16</v>
      </c>
      <c r="F955" s="28" t="s">
        <v>144</v>
      </c>
      <c r="G955" s="4"/>
      <c r="H955" s="4">
        <f>SUMIFS(X!$F$5:$F$2005,X!$D$5:$D$2005,'CEK CICI'!A955)</f>
        <v>0</v>
      </c>
      <c r="I955" s="4">
        <f>SUMIFS(PENJUALAN!$E$4:$E$4288,PENJUALAN!$C$4:$C$4288,'CEK CICI'!A955)</f>
        <v>0</v>
      </c>
      <c r="J955" s="16">
        <f t="shared" si="2"/>
        <v>0</v>
      </c>
      <c r="K955" s="4"/>
      <c r="L955" s="4"/>
      <c r="M955" s="4"/>
      <c r="N955" s="4"/>
    </row>
    <row r="956" ht="13.5" hidden="1" customHeight="1">
      <c r="A956" s="4" t="str">
        <f t="shared" si="1"/>
        <v>FDR-FIESTAXYG</v>
      </c>
      <c r="B956" s="29" t="s">
        <v>302</v>
      </c>
      <c r="C956" s="28" t="s">
        <v>299</v>
      </c>
      <c r="D956" s="28" t="s">
        <v>130</v>
      </c>
      <c r="E956" s="4" t="s">
        <v>16</v>
      </c>
      <c r="F956" s="28" t="s">
        <v>144</v>
      </c>
      <c r="G956" s="4"/>
      <c r="H956" s="4">
        <f>SUMIFS(X!$F$5:$F$2005,X!$D$5:$D$2005,'CEK CICI'!A956)</f>
        <v>0</v>
      </c>
      <c r="I956" s="4">
        <f>SUMIFS(PENJUALAN!$E$4:$E$4288,PENJUALAN!$C$4:$C$4288,'CEK CICI'!A956)</f>
        <v>0</v>
      </c>
      <c r="J956" s="16">
        <f t="shared" si="2"/>
        <v>0</v>
      </c>
      <c r="K956" s="4"/>
      <c r="L956" s="4"/>
      <c r="M956" s="4"/>
      <c r="N956" s="4"/>
    </row>
    <row r="957" ht="13.5" hidden="1" customHeight="1">
      <c r="A957" s="4" t="str">
        <f t="shared" si="1"/>
        <v>RDL-FIESTAXYG</v>
      </c>
      <c r="B957" s="29" t="s">
        <v>303</v>
      </c>
      <c r="C957" s="28" t="s">
        <v>299</v>
      </c>
      <c r="D957" s="28" t="s">
        <v>132</v>
      </c>
      <c r="E957" s="4" t="s">
        <v>16</v>
      </c>
      <c r="F957" s="28"/>
      <c r="G957" s="4"/>
      <c r="H957" s="4">
        <f>SUMIFS(X!$F$5:$F$2005,X!$D$5:$D$2005,'CEK CICI'!A957)</f>
        <v>0</v>
      </c>
      <c r="I957" s="4">
        <f>SUMIFS(PENJUALAN!$E$4:$E$4288,PENJUALAN!$C$4:$C$4288,'CEK CICI'!A957)</f>
        <v>0</v>
      </c>
      <c r="J957" s="16">
        <f t="shared" si="2"/>
        <v>0</v>
      </c>
      <c r="K957" s="4"/>
      <c r="L957" s="4"/>
      <c r="M957" s="4"/>
      <c r="N957" s="4"/>
    </row>
    <row r="958" ht="13.5" hidden="1" customHeight="1">
      <c r="A958" s="4" t="str">
        <f t="shared" si="1"/>
        <v>RDR-FIESTAXYG</v>
      </c>
      <c r="B958" s="29" t="s">
        <v>304</v>
      </c>
      <c r="C958" s="28" t="s">
        <v>299</v>
      </c>
      <c r="D958" s="28" t="s">
        <v>134</v>
      </c>
      <c r="E958" s="4" t="s">
        <v>16</v>
      </c>
      <c r="F958" s="28"/>
      <c r="G958" s="4"/>
      <c r="H958" s="4">
        <f>SUMIFS(X!$F$5:$F$2005,X!$D$5:$D$2005,'CEK CICI'!A958)</f>
        <v>0</v>
      </c>
      <c r="I958" s="4">
        <f>SUMIFS(PENJUALAN!$E$4:$E$4288,PENJUALAN!$C$4:$C$4288,'CEK CICI'!A958)</f>
        <v>0</v>
      </c>
      <c r="J958" s="16">
        <f t="shared" si="2"/>
        <v>0</v>
      </c>
      <c r="K958" s="4"/>
      <c r="L958" s="4"/>
      <c r="M958" s="4"/>
      <c r="N958" s="4"/>
    </row>
    <row r="959" ht="13.5" hidden="1" customHeight="1">
      <c r="A959" s="4" t="str">
        <f t="shared" si="1"/>
        <v>LFW-FIESTARSBULATXYG</v>
      </c>
      <c r="B959" s="29" t="s">
        <v>305</v>
      </c>
      <c r="C959" s="28" t="s">
        <v>306</v>
      </c>
      <c r="D959" s="28" t="s">
        <v>22</v>
      </c>
      <c r="E959" s="4" t="s">
        <v>16</v>
      </c>
      <c r="F959" s="28" t="s">
        <v>23</v>
      </c>
      <c r="G959" s="4"/>
      <c r="H959" s="4">
        <f>SUMIFS(X!$F$5:$F$2005,X!$D$5:$D$2005,'CEK CICI'!A959)</f>
        <v>0</v>
      </c>
      <c r="I959" s="4">
        <f>SUMIFS(PENJUALAN!$E$4:$E$4288,PENJUALAN!$C$4:$C$4288,'CEK CICI'!A959)</f>
        <v>0</v>
      </c>
      <c r="J959" s="16">
        <f t="shared" si="2"/>
        <v>0</v>
      </c>
      <c r="K959" s="4"/>
      <c r="L959" s="4"/>
      <c r="M959" s="4"/>
      <c r="N959" s="4"/>
    </row>
    <row r="960" ht="13.5" hidden="1" customHeight="1">
      <c r="A960" s="4" t="str">
        <f t="shared" si="1"/>
        <v>LFW-FIESTARSKOTAKXYG</v>
      </c>
      <c r="B960" s="29" t="s">
        <v>307</v>
      </c>
      <c r="C960" s="28" t="s">
        <v>308</v>
      </c>
      <c r="D960" s="28" t="s">
        <v>22</v>
      </c>
      <c r="E960" s="4" t="s">
        <v>16</v>
      </c>
      <c r="F960" s="28" t="s">
        <v>75</v>
      </c>
      <c r="G960" s="4"/>
      <c r="H960" s="4">
        <f>SUMIFS(X!$F$5:$F$2005,X!$D$5:$D$2005,'CEK CICI'!A960)</f>
        <v>0</v>
      </c>
      <c r="I960" s="4">
        <f>SUMIFS(PENJUALAN!$E$4:$E$4288,PENJUALAN!$C$4:$C$4288,'CEK CICI'!A960)</f>
        <v>0</v>
      </c>
      <c r="J960" s="16">
        <f t="shared" si="2"/>
        <v>0</v>
      </c>
      <c r="K960" s="4"/>
      <c r="L960" s="4"/>
      <c r="M960" s="4"/>
      <c r="N960" s="4"/>
    </row>
    <row r="961" ht="13.5" hidden="1" customHeight="1">
      <c r="A961" s="4" t="str">
        <f t="shared" si="1"/>
        <v>LFW-FOCUS04XYG</v>
      </c>
      <c r="B961" s="29" t="s">
        <v>309</v>
      </c>
      <c r="C961" s="28" t="s">
        <v>310</v>
      </c>
      <c r="D961" s="28" t="s">
        <v>22</v>
      </c>
      <c r="E961" s="4" t="s">
        <v>16</v>
      </c>
      <c r="F961" s="28" t="s">
        <v>125</v>
      </c>
      <c r="G961" s="4"/>
      <c r="H961" s="4">
        <f>SUMIFS(X!$F$5:$F$2005,X!$D$5:$D$2005,'CEK CICI'!A961)</f>
        <v>0</v>
      </c>
      <c r="I961" s="4">
        <f>SUMIFS(PENJUALAN!$E$4:$E$4288,PENJUALAN!$C$4:$C$4288,'CEK CICI'!A961)</f>
        <v>0</v>
      </c>
      <c r="J961" s="16">
        <f t="shared" si="2"/>
        <v>0</v>
      </c>
      <c r="K961" s="4"/>
      <c r="L961" s="4"/>
      <c r="M961" s="4"/>
      <c r="N961" s="4"/>
    </row>
    <row r="962" ht="13.5" hidden="1" customHeight="1">
      <c r="A962" s="4" t="str">
        <f t="shared" si="1"/>
        <v>LFW-FOCUS11XYG</v>
      </c>
      <c r="B962" s="29" t="s">
        <v>313</v>
      </c>
      <c r="C962" s="28" t="s">
        <v>314</v>
      </c>
      <c r="D962" s="28" t="s">
        <v>22</v>
      </c>
      <c r="E962" s="4" t="s">
        <v>16</v>
      </c>
      <c r="F962" s="28" t="s">
        <v>23</v>
      </c>
      <c r="G962" s="4"/>
      <c r="H962" s="4">
        <f>SUMIFS(X!$F$5:$F$2005,X!$D$5:$D$2005,'CEK CICI'!A962)</f>
        <v>0</v>
      </c>
      <c r="I962" s="4">
        <f>SUMIFS(PENJUALAN!$E$4:$E$4288,PENJUALAN!$C$4:$C$4288,'CEK CICI'!A962)</f>
        <v>0</v>
      </c>
      <c r="J962" s="16">
        <f t="shared" si="2"/>
        <v>0</v>
      </c>
      <c r="K962" s="4"/>
      <c r="L962" s="4"/>
      <c r="M962" s="4"/>
      <c r="N962" s="4"/>
    </row>
    <row r="963" ht="13.5" hidden="1" customHeight="1">
      <c r="A963" s="4" t="str">
        <f t="shared" si="1"/>
        <v>LFW-MUSTANGXYG</v>
      </c>
      <c r="B963" s="29" t="s">
        <v>1388</v>
      </c>
      <c r="C963" s="30" t="s">
        <v>1389</v>
      </c>
      <c r="D963" s="28" t="s">
        <v>22</v>
      </c>
      <c r="E963" s="4" t="s">
        <v>16</v>
      </c>
      <c r="F963" s="28" t="s">
        <v>75</v>
      </c>
      <c r="G963" s="4"/>
      <c r="H963" s="4">
        <f>SUMIFS(X!$F$5:$F$2005,X!$D$5:$D$2005,'CEK CICI'!A963)</f>
        <v>0</v>
      </c>
      <c r="I963" s="4">
        <f>SUMIFS(PENJUALAN!$E$4:$E$4288,PENJUALAN!$C$4:$C$4288,'CEK CICI'!A963)</f>
        <v>0</v>
      </c>
      <c r="J963" s="16">
        <f t="shared" si="2"/>
        <v>0</v>
      </c>
      <c r="K963" s="4"/>
      <c r="L963" s="4"/>
      <c r="M963" s="4"/>
      <c r="N963" s="4"/>
    </row>
    <row r="964" ht="13.5" hidden="1" customHeight="1">
      <c r="A964" s="4" t="str">
        <f t="shared" si="1"/>
        <v>LFW-RANGER11RSXYG</v>
      </c>
      <c r="B964" s="29" t="s">
        <v>317</v>
      </c>
      <c r="C964" s="28" t="s">
        <v>318</v>
      </c>
      <c r="D964" s="28" t="s">
        <v>22</v>
      </c>
      <c r="E964" s="4" t="s">
        <v>16</v>
      </c>
      <c r="F964" s="28" t="s">
        <v>75</v>
      </c>
      <c r="G964" s="4"/>
      <c r="H964" s="4">
        <f>SUMIFS(X!$F$5:$F$2005,X!$D$5:$D$2005,'CEK CICI'!A964)</f>
        <v>4</v>
      </c>
      <c r="I964" s="4">
        <f>SUMIFS(PENJUALAN!$E$4:$E$4288,PENJUALAN!$C$4:$C$4288,'CEK CICI'!A964)</f>
        <v>2</v>
      </c>
      <c r="J964" s="16">
        <f t="shared" si="2"/>
        <v>2</v>
      </c>
      <c r="K964" s="15" t="s">
        <v>1027</v>
      </c>
      <c r="L964" s="15"/>
      <c r="M964" s="4"/>
      <c r="N964" s="4"/>
    </row>
    <row r="965" ht="13.5" hidden="1" customHeight="1">
      <c r="A965" s="4" t="str">
        <f t="shared" si="1"/>
        <v>LFW-RANGER11XYG</v>
      </c>
      <c r="B965" s="29" t="s">
        <v>1392</v>
      </c>
      <c r="C965" s="28" t="s">
        <v>318</v>
      </c>
      <c r="D965" s="28" t="s">
        <v>22</v>
      </c>
      <c r="E965" s="4" t="s">
        <v>16</v>
      </c>
      <c r="F965" s="28" t="s">
        <v>125</v>
      </c>
      <c r="G965" s="4"/>
      <c r="H965" s="4">
        <f>SUMIFS(X!$F$5:$F$2005,X!$D$5:$D$2005,'CEK CICI'!A965)</f>
        <v>1</v>
      </c>
      <c r="I965" s="4">
        <f>SUMIFS(PENJUALAN!$E$4:$E$4288,PENJUALAN!$C$4:$C$4288,'CEK CICI'!A965)</f>
        <v>1</v>
      </c>
      <c r="J965" s="16">
        <f t="shared" si="2"/>
        <v>0</v>
      </c>
      <c r="K965" s="4"/>
      <c r="L965" s="4"/>
      <c r="M965" s="4"/>
      <c r="N965" s="4"/>
    </row>
    <row r="966" ht="13.5" hidden="1" customHeight="1">
      <c r="A966" s="4" t="str">
        <f t="shared" si="1"/>
        <v>TRW-RANGER11XYG</v>
      </c>
      <c r="B966" s="29" t="s">
        <v>1393</v>
      </c>
      <c r="C966" s="28" t="s">
        <v>318</v>
      </c>
      <c r="D966" s="28" t="s">
        <v>41</v>
      </c>
      <c r="E966" s="4" t="s">
        <v>16</v>
      </c>
      <c r="F966" s="28" t="s">
        <v>67</v>
      </c>
      <c r="G966" s="4"/>
      <c r="H966" s="4">
        <f>SUMIFS(X!$F$5:$F$2005,X!$D$5:$D$2005,'CEK CICI'!A966)</f>
        <v>0</v>
      </c>
      <c r="I966" s="4">
        <f>SUMIFS(PENJUALAN!$E$4:$E$4288,PENJUALAN!$C$4:$C$4288,'CEK CICI'!A966)</f>
        <v>0</v>
      </c>
      <c r="J966" s="16">
        <f t="shared" si="2"/>
        <v>0</v>
      </c>
      <c r="K966" s="4"/>
      <c r="L966" s="4"/>
      <c r="M966" s="4"/>
      <c r="N966" s="4"/>
    </row>
    <row r="967" ht="13.5" hidden="1" customHeight="1">
      <c r="A967" s="4" t="str">
        <f t="shared" si="1"/>
        <v>LFW-GEELYMKXYG</v>
      </c>
      <c r="B967" s="41" t="s">
        <v>1394</v>
      </c>
      <c r="C967" s="28" t="s">
        <v>1395</v>
      </c>
      <c r="D967" s="28" t="s">
        <v>22</v>
      </c>
      <c r="E967" s="4" t="s">
        <v>16</v>
      </c>
      <c r="F967" s="28" t="s">
        <v>125</v>
      </c>
      <c r="G967" s="4"/>
      <c r="H967" s="4">
        <f>SUMIFS(X!$F$5:$F$2005,X!$D$5:$D$2005,'CEK CICI'!A967)</f>
        <v>0</v>
      </c>
      <c r="I967" s="4">
        <f>SUMIFS(PENJUALAN!$E$4:$E$4288,PENJUALAN!$C$4:$C$4288,'CEK CICI'!A967)</f>
        <v>0</v>
      </c>
      <c r="J967" s="16">
        <f t="shared" si="2"/>
        <v>0</v>
      </c>
      <c r="K967" s="4"/>
      <c r="L967" s="4"/>
      <c r="M967" s="4"/>
      <c r="N967" s="4"/>
    </row>
    <row r="968" ht="13.5" hidden="1" customHeight="1">
      <c r="A968" s="4" t="str">
        <f t="shared" si="1"/>
        <v>LFW-PANDAXYG</v>
      </c>
      <c r="B968" s="29" t="s">
        <v>321</v>
      </c>
      <c r="C968" s="28" t="s">
        <v>322</v>
      </c>
      <c r="D968" s="28" t="s">
        <v>22</v>
      </c>
      <c r="E968" s="4" t="s">
        <v>16</v>
      </c>
      <c r="F968" s="28" t="s">
        <v>125</v>
      </c>
      <c r="G968" s="4"/>
      <c r="H968" s="4">
        <f>SUMIFS(X!$F$5:$F$2005,X!$D$5:$D$2005,'CEK CICI'!A968)</f>
        <v>2</v>
      </c>
      <c r="I968" s="4">
        <f>SUMIFS(PENJUALAN!$E$4:$E$4288,PENJUALAN!$C$4:$C$4288,'CEK CICI'!A968)</f>
        <v>2</v>
      </c>
      <c r="J968" s="16">
        <f t="shared" si="2"/>
        <v>0</v>
      </c>
      <c r="K968" s="4"/>
      <c r="L968" s="4"/>
      <c r="M968" s="4"/>
      <c r="N968" s="4"/>
    </row>
    <row r="969" ht="13.5" hidden="1" customHeight="1">
      <c r="A969" s="4" t="str">
        <f t="shared" si="1"/>
        <v>TRW-PANDAXYG</v>
      </c>
      <c r="B969" s="29" t="s">
        <v>1399</v>
      </c>
      <c r="C969" s="28" t="s">
        <v>1400</v>
      </c>
      <c r="D969" s="28" t="s">
        <v>41</v>
      </c>
      <c r="E969" s="4" t="s">
        <v>16</v>
      </c>
      <c r="F969" s="28" t="s">
        <v>221</v>
      </c>
      <c r="G969" s="4"/>
      <c r="H969" s="4">
        <f>SUMIFS(X!$F$5:$F$2005,X!$D$5:$D$2005,'CEK CICI'!A969)</f>
        <v>0</v>
      </c>
      <c r="I969" s="4">
        <f>SUMIFS(PENJUALAN!$E$4:$E$4288,PENJUALAN!$C$4:$C$4288,'CEK CICI'!A969)</f>
        <v>0</v>
      </c>
      <c r="J969" s="16">
        <f t="shared" si="2"/>
        <v>0</v>
      </c>
      <c r="K969" s="4"/>
      <c r="L969" s="4"/>
      <c r="M969" s="4"/>
      <c r="N969" s="4"/>
    </row>
    <row r="970" ht="13.5" hidden="1" customHeight="1">
      <c r="A970" s="4" t="str">
        <f t="shared" si="1"/>
        <v>LFW-ACCORD86XYG</v>
      </c>
      <c r="B970" s="29" t="s">
        <v>323</v>
      </c>
      <c r="C970" s="28" t="s">
        <v>324</v>
      </c>
      <c r="D970" s="28" t="s">
        <v>22</v>
      </c>
      <c r="E970" s="4" t="s">
        <v>16</v>
      </c>
      <c r="F970" s="28" t="s">
        <v>97</v>
      </c>
      <c r="G970" s="4"/>
      <c r="H970" s="4">
        <f>SUMIFS(X!$F$5:$F$2005,X!$D$5:$D$2005,'CEK CICI'!A970)</f>
        <v>0</v>
      </c>
      <c r="I970" s="4">
        <f>SUMIFS(PENJUALAN!$E$4:$E$4288,PENJUALAN!$C$4:$C$4288,'CEK CICI'!A970)</f>
        <v>0</v>
      </c>
      <c r="J970" s="16">
        <f t="shared" si="2"/>
        <v>0</v>
      </c>
      <c r="K970" s="4"/>
      <c r="L970" s="4"/>
      <c r="M970" s="4"/>
      <c r="N970" s="4"/>
    </row>
    <row r="971" ht="13.5" hidden="1" customHeight="1">
      <c r="A971" s="4" t="str">
        <f t="shared" si="1"/>
        <v>FDR-ACCORD86XYG</v>
      </c>
      <c r="B971" s="29" t="s">
        <v>327</v>
      </c>
      <c r="C971" s="28" t="s">
        <v>324</v>
      </c>
      <c r="D971" s="28" t="s">
        <v>130</v>
      </c>
      <c r="E971" s="4" t="s">
        <v>16</v>
      </c>
      <c r="F971" s="28"/>
      <c r="G971" s="4"/>
      <c r="H971" s="4">
        <f>SUMIFS(X!$F$5:$F$2005,X!$D$5:$D$2005,'CEK CICI'!A971)</f>
        <v>0</v>
      </c>
      <c r="I971" s="4">
        <f>SUMIFS(PENJUALAN!$E$4:$E$4288,PENJUALAN!$C$4:$C$4288,'CEK CICI'!A971)</f>
        <v>0</v>
      </c>
      <c r="J971" s="16">
        <f t="shared" si="2"/>
        <v>0</v>
      </c>
      <c r="K971" s="4"/>
      <c r="L971" s="4"/>
      <c r="M971" s="4"/>
      <c r="N971" s="4"/>
    </row>
    <row r="972" ht="13.5" hidden="1" customHeight="1">
      <c r="A972" s="4" t="str">
        <f t="shared" si="1"/>
        <v>LFW-ACCORD90XYG</v>
      </c>
      <c r="B972" s="29" t="s">
        <v>330</v>
      </c>
      <c r="C972" s="28" t="s">
        <v>331</v>
      </c>
      <c r="D972" s="28" t="s">
        <v>22</v>
      </c>
      <c r="E972" s="4" t="s">
        <v>16</v>
      </c>
      <c r="F972" s="28" t="s">
        <v>97</v>
      </c>
      <c r="G972" s="4"/>
      <c r="H972" s="4">
        <f>SUMIFS(X!$F$5:$F$2005,X!$D$5:$D$2005,'CEK CICI'!A972)</f>
        <v>0</v>
      </c>
      <c r="I972" s="4">
        <f>SUMIFS(PENJUALAN!$E$4:$E$4288,PENJUALAN!$C$4:$C$4288,'CEK CICI'!A972)</f>
        <v>0</v>
      </c>
      <c r="J972" s="16">
        <f t="shared" si="2"/>
        <v>0</v>
      </c>
      <c r="K972" s="4"/>
      <c r="L972" s="4"/>
      <c r="M972" s="4"/>
      <c r="N972" s="4"/>
    </row>
    <row r="973" ht="13.5" hidden="1" customHeight="1">
      <c r="A973" s="4" t="str">
        <f t="shared" si="1"/>
        <v>TRW-ACCORD90XYG</v>
      </c>
      <c r="B973" s="29" t="s">
        <v>332</v>
      </c>
      <c r="C973" s="28" t="s">
        <v>331</v>
      </c>
      <c r="D973" s="28" t="s">
        <v>41</v>
      </c>
      <c r="E973" s="4" t="s">
        <v>16</v>
      </c>
      <c r="F973" s="28" t="s">
        <v>67</v>
      </c>
      <c r="G973" s="4"/>
      <c r="H973" s="4">
        <f>SUMIFS(X!$F$5:$F$2005,X!$D$5:$D$2005,'CEK CICI'!A973)</f>
        <v>0</v>
      </c>
      <c r="I973" s="4">
        <f>SUMIFS(PENJUALAN!$E$4:$E$4288,PENJUALAN!$C$4:$C$4288,'CEK CICI'!A973)</f>
        <v>0</v>
      </c>
      <c r="J973" s="16">
        <f t="shared" si="2"/>
        <v>0</v>
      </c>
      <c r="K973" s="4"/>
      <c r="L973" s="4"/>
      <c r="M973" s="4"/>
      <c r="N973" s="4"/>
    </row>
    <row r="974" ht="13.5" hidden="1" customHeight="1">
      <c r="A974" s="4" t="str">
        <f t="shared" si="1"/>
        <v>LFW-ACCORD93XYG</v>
      </c>
      <c r="B974" s="29" t="s">
        <v>333</v>
      </c>
      <c r="C974" s="28" t="s">
        <v>334</v>
      </c>
      <c r="D974" s="28" t="s">
        <v>22</v>
      </c>
      <c r="E974" s="4" t="s">
        <v>16</v>
      </c>
      <c r="F974" s="28" t="s">
        <v>97</v>
      </c>
      <c r="G974" s="4"/>
      <c r="H974" s="4">
        <f>SUMIFS(X!$F$5:$F$2005,X!$D$5:$D$2005,'CEK CICI'!A974)</f>
        <v>3</v>
      </c>
      <c r="I974" s="4">
        <f>SUMIFS(PENJUALAN!$E$4:$E$4288,PENJUALAN!$C$4:$C$4288,'CEK CICI'!A974)</f>
        <v>2</v>
      </c>
      <c r="J974" s="16">
        <f t="shared" si="2"/>
        <v>1</v>
      </c>
      <c r="K974" s="15" t="s">
        <v>1442</v>
      </c>
      <c r="L974" s="15"/>
      <c r="M974" s="4"/>
      <c r="N974" s="4"/>
    </row>
    <row r="975" ht="13.5" hidden="1" customHeight="1">
      <c r="A975" s="4" t="str">
        <f t="shared" si="1"/>
        <v>TRW-ACCORD93XYG</v>
      </c>
      <c r="B975" s="29" t="s">
        <v>335</v>
      </c>
      <c r="C975" s="28" t="s">
        <v>336</v>
      </c>
      <c r="D975" s="28" t="s">
        <v>41</v>
      </c>
      <c r="E975" s="4" t="s">
        <v>16</v>
      </c>
      <c r="F975" s="28" t="s">
        <v>67</v>
      </c>
      <c r="G975" s="4"/>
      <c r="H975" s="4">
        <f>SUMIFS(X!$F$5:$F$2005,X!$D$5:$D$2005,'CEK CICI'!A975)</f>
        <v>0</v>
      </c>
      <c r="I975" s="4">
        <f>SUMIFS(PENJUALAN!$E$4:$E$4288,PENJUALAN!$C$4:$C$4288,'CEK CICI'!A975)</f>
        <v>0</v>
      </c>
      <c r="J975" s="16">
        <f t="shared" si="2"/>
        <v>0</v>
      </c>
      <c r="K975" s="4"/>
      <c r="L975" s="4"/>
      <c r="M975" s="4"/>
      <c r="N975" s="4"/>
    </row>
    <row r="976" ht="13.5" hidden="1" customHeight="1">
      <c r="A976" s="4" t="str">
        <f t="shared" si="1"/>
        <v>TRW-ACCORD96XYG</v>
      </c>
      <c r="B976" s="29" t="s">
        <v>1401</v>
      </c>
      <c r="C976" s="30" t="s">
        <v>1402</v>
      </c>
      <c r="D976" s="30" t="s">
        <v>41</v>
      </c>
      <c r="E976" s="4" t="s">
        <v>16</v>
      </c>
      <c r="F976" s="30" t="s">
        <v>67</v>
      </c>
      <c r="G976" s="4"/>
      <c r="H976" s="4">
        <f>SUMIFS(X!$F$5:$F$2005,X!$D$5:$D$2005,'CEK CICI'!A976)</f>
        <v>0</v>
      </c>
      <c r="I976" s="4">
        <f>SUMIFS(PENJUALAN!$E$4:$E$4288,PENJUALAN!$C$4:$C$4288,'CEK CICI'!A976)</f>
        <v>0</v>
      </c>
      <c r="J976" s="16">
        <f t="shared" si="2"/>
        <v>0</v>
      </c>
      <c r="K976" s="4"/>
      <c r="L976" s="4"/>
      <c r="M976" s="4"/>
      <c r="N976" s="4"/>
    </row>
    <row r="977" ht="13.5" hidden="1" customHeight="1">
      <c r="A977" s="4" t="str">
        <f t="shared" si="1"/>
        <v>LFW-ACCORD98XYG</v>
      </c>
      <c r="B977" s="29" t="s">
        <v>337</v>
      </c>
      <c r="C977" s="28" t="s">
        <v>338</v>
      </c>
      <c r="D977" s="28" t="s">
        <v>22</v>
      </c>
      <c r="E977" s="4" t="s">
        <v>16</v>
      </c>
      <c r="F977" s="28" t="s">
        <v>125</v>
      </c>
      <c r="G977" s="4"/>
      <c r="H977" s="4">
        <f>SUMIFS(X!$F$5:$F$2005,X!$D$5:$D$2005,'CEK CICI'!A977)</f>
        <v>2</v>
      </c>
      <c r="I977" s="4">
        <f>SUMIFS(PENJUALAN!$E$4:$E$4288,PENJUALAN!$C$4:$C$4288,'CEK CICI'!A977)</f>
        <v>2</v>
      </c>
      <c r="J977" s="16">
        <f t="shared" si="2"/>
        <v>0</v>
      </c>
      <c r="K977" s="15" t="s">
        <v>1432</v>
      </c>
      <c r="L977" s="15"/>
      <c r="M977" s="4"/>
      <c r="N977" s="4"/>
    </row>
    <row r="978" ht="13.5" hidden="1" customHeight="1">
      <c r="A978" s="4" t="str">
        <f t="shared" si="1"/>
        <v>TRW-ACCORD98XYG</v>
      </c>
      <c r="B978" s="29" t="s">
        <v>339</v>
      </c>
      <c r="C978" s="28" t="s">
        <v>338</v>
      </c>
      <c r="D978" s="28" t="s">
        <v>41</v>
      </c>
      <c r="E978" s="4" t="s">
        <v>16</v>
      </c>
      <c r="F978" s="28" t="s">
        <v>67</v>
      </c>
      <c r="G978" s="4"/>
      <c r="H978" s="4">
        <f>SUMIFS(X!$F$5:$F$2005,X!$D$5:$D$2005,'CEK CICI'!A978)</f>
        <v>0</v>
      </c>
      <c r="I978" s="4">
        <f>SUMIFS(PENJUALAN!$E$4:$E$4288,PENJUALAN!$C$4:$C$4288,'CEK CICI'!A978)</f>
        <v>0</v>
      </c>
      <c r="J978" s="16">
        <f t="shared" si="2"/>
        <v>0</v>
      </c>
      <c r="K978" s="4"/>
      <c r="L978" s="4"/>
      <c r="M978" s="4"/>
      <c r="N978" s="4"/>
    </row>
    <row r="979" ht="13.5" hidden="1" customHeight="1">
      <c r="A979" s="4" t="str">
        <f t="shared" si="1"/>
        <v>RDR-ACCORD98XYG</v>
      </c>
      <c r="B979" s="29" t="s">
        <v>341</v>
      </c>
      <c r="C979" s="28" t="s">
        <v>338</v>
      </c>
      <c r="D979" s="28" t="s">
        <v>134</v>
      </c>
      <c r="E979" s="4" t="s">
        <v>16</v>
      </c>
      <c r="F979" s="28"/>
      <c r="G979" s="4"/>
      <c r="H979" s="4">
        <f>SUMIFS(X!$F$5:$F$2005,X!$D$5:$D$2005,'CEK CICI'!A979)</f>
        <v>0</v>
      </c>
      <c r="I979" s="4">
        <f>SUMIFS(PENJUALAN!$E$4:$E$4288,PENJUALAN!$C$4:$C$4288,'CEK CICI'!A979)</f>
        <v>0</v>
      </c>
      <c r="J979" s="16">
        <f t="shared" si="2"/>
        <v>0</v>
      </c>
      <c r="K979" s="4"/>
      <c r="L979" s="4"/>
      <c r="M979" s="4"/>
      <c r="N979" s="4"/>
    </row>
    <row r="980" ht="13.5" hidden="1" customHeight="1">
      <c r="A980" s="4" t="str">
        <f t="shared" si="1"/>
        <v>LFW-ACCORD03XYG</v>
      </c>
      <c r="B980" s="29" t="s">
        <v>342</v>
      </c>
      <c r="C980" s="28" t="s">
        <v>343</v>
      </c>
      <c r="D980" s="28" t="s">
        <v>22</v>
      </c>
      <c r="E980" s="4" t="s">
        <v>16</v>
      </c>
      <c r="F980" s="28" t="s">
        <v>125</v>
      </c>
      <c r="G980" s="4"/>
      <c r="H980" s="4">
        <f>SUMIFS(X!$F$5:$F$2005,X!$D$5:$D$2005,'CEK CICI'!A980)</f>
        <v>1</v>
      </c>
      <c r="I980" s="4">
        <f>SUMIFS(PENJUALAN!$E$4:$E$4288,PENJUALAN!$C$4:$C$4288,'CEK CICI'!A980)</f>
        <v>1</v>
      </c>
      <c r="J980" s="16">
        <f t="shared" si="2"/>
        <v>0</v>
      </c>
      <c r="K980" s="15" t="s">
        <v>1432</v>
      </c>
      <c r="L980" s="15"/>
      <c r="M980" s="4"/>
      <c r="N980" s="4"/>
    </row>
    <row r="981" ht="13.5" hidden="1" customHeight="1">
      <c r="A981" s="4" t="str">
        <f t="shared" si="1"/>
        <v>TRW-ACCORD03XYG</v>
      </c>
      <c r="B981" s="29" t="s">
        <v>344</v>
      </c>
      <c r="C981" s="28" t="s">
        <v>343</v>
      </c>
      <c r="D981" s="28" t="s">
        <v>41</v>
      </c>
      <c r="E981" s="4" t="s">
        <v>16</v>
      </c>
      <c r="F981" s="28" t="s">
        <v>114</v>
      </c>
      <c r="G981" s="4"/>
      <c r="H981" s="4">
        <f>SUMIFS(X!$F$5:$F$2005,X!$D$5:$D$2005,'CEK CICI'!A981)</f>
        <v>0</v>
      </c>
      <c r="I981" s="4">
        <f>SUMIFS(PENJUALAN!$E$4:$E$4288,PENJUALAN!$C$4:$C$4288,'CEK CICI'!A981)</f>
        <v>0</v>
      </c>
      <c r="J981" s="16">
        <f t="shared" si="2"/>
        <v>0</v>
      </c>
      <c r="K981" s="4"/>
      <c r="L981" s="4"/>
      <c r="M981" s="4"/>
      <c r="N981" s="4"/>
    </row>
    <row r="982" ht="13.5" hidden="1" customHeight="1">
      <c r="A982" s="4" t="str">
        <f t="shared" si="1"/>
        <v>LFW-ACCORD08XYG</v>
      </c>
      <c r="B982" s="29" t="s">
        <v>345</v>
      </c>
      <c r="C982" s="28" t="s">
        <v>346</v>
      </c>
      <c r="D982" s="28" t="s">
        <v>22</v>
      </c>
      <c r="E982" s="4" t="s">
        <v>16</v>
      </c>
      <c r="F982" s="28" t="s">
        <v>125</v>
      </c>
      <c r="G982" s="4"/>
      <c r="H982" s="4">
        <f>SUMIFS(X!$F$5:$F$2005,X!$D$5:$D$2005,'CEK CICI'!A982)</f>
        <v>0</v>
      </c>
      <c r="I982" s="4">
        <f>SUMIFS(PENJUALAN!$E$4:$E$4288,PENJUALAN!$C$4:$C$4288,'CEK CICI'!A982)</f>
        <v>0</v>
      </c>
      <c r="J982" s="16">
        <f t="shared" si="2"/>
        <v>0</v>
      </c>
      <c r="K982" s="4"/>
      <c r="L982" s="4"/>
      <c r="M982" s="4"/>
      <c r="N982" s="4"/>
    </row>
    <row r="983" ht="13.5" hidden="1" customHeight="1">
      <c r="A983" s="4" t="str">
        <f t="shared" si="1"/>
        <v>LFW-ACCORD08RSXYG</v>
      </c>
      <c r="B983" s="29" t="s">
        <v>1407</v>
      </c>
      <c r="C983" s="28" t="s">
        <v>346</v>
      </c>
      <c r="D983" s="28" t="s">
        <v>22</v>
      </c>
      <c r="E983" s="4" t="s">
        <v>16</v>
      </c>
      <c r="F983" s="28" t="s">
        <v>23</v>
      </c>
      <c r="G983" s="4"/>
      <c r="H983" s="4">
        <f>SUMIFS(X!$F$5:$F$2005,X!$D$5:$D$2005,'CEK CICI'!A983)</f>
        <v>0</v>
      </c>
      <c r="I983" s="4">
        <f>SUMIFS(PENJUALAN!$E$4:$E$4288,PENJUALAN!$C$4:$C$4288,'CEK CICI'!A983)</f>
        <v>0</v>
      </c>
      <c r="J983" s="16">
        <f t="shared" si="2"/>
        <v>0</v>
      </c>
      <c r="K983" s="4"/>
      <c r="L983" s="4"/>
      <c r="M983" s="4"/>
      <c r="N983" s="4"/>
    </row>
    <row r="984" ht="13.5" hidden="1" customHeight="1">
      <c r="A984" s="4" t="str">
        <f t="shared" si="1"/>
        <v>LFW-BRV16XYG</v>
      </c>
      <c r="B984" s="29" t="s">
        <v>1977</v>
      </c>
      <c r="C984" s="28" t="s">
        <v>1978</v>
      </c>
      <c r="D984" s="28" t="s">
        <v>22</v>
      </c>
      <c r="E984" s="4" t="s">
        <v>16</v>
      </c>
      <c r="F984" s="28" t="s">
        <v>97</v>
      </c>
      <c r="G984" s="4"/>
      <c r="H984" s="4">
        <f>SUMIFS(X!$F$5:$F$2005,X!$D$5:$D$2005,'CEK CICI'!A984)</f>
        <v>4</v>
      </c>
      <c r="I984" s="4">
        <f>SUMIFS(PENJUALAN!$E$4:$E$4288,PENJUALAN!$C$4:$C$4288,'CEK CICI'!A984)</f>
        <v>4</v>
      </c>
      <c r="J984" s="16">
        <f t="shared" si="2"/>
        <v>0</v>
      </c>
      <c r="K984" s="15" t="s">
        <v>1979</v>
      </c>
      <c r="L984" s="4"/>
      <c r="M984" s="4"/>
      <c r="N984" s="4"/>
    </row>
    <row r="985" ht="13.5" hidden="1" customHeight="1">
      <c r="A985" s="4" t="str">
        <f t="shared" si="1"/>
        <v>TRW-BRV16XYG</v>
      </c>
      <c r="B985" s="29" t="s">
        <v>105</v>
      </c>
      <c r="C985" s="28" t="s">
        <v>1978</v>
      </c>
      <c r="D985" s="28" t="s">
        <v>41</v>
      </c>
      <c r="E985" s="4" t="s">
        <v>16</v>
      </c>
      <c r="F985" s="28" t="s">
        <v>533</v>
      </c>
      <c r="G985" s="4"/>
      <c r="H985" s="4">
        <f>SUMIFS(X!$F$5:$F$2005,X!$D$5:$D$2005,'CEK CICI'!A985)</f>
        <v>10</v>
      </c>
      <c r="I985" s="4">
        <f>SUMIFS(PENJUALAN!$E$4:$E$4288,PENJUALAN!$C$4:$C$4288,'CEK CICI'!A985)</f>
        <v>9</v>
      </c>
      <c r="J985" s="16">
        <f t="shared" si="2"/>
        <v>1</v>
      </c>
      <c r="K985" s="15" t="s">
        <v>1459</v>
      </c>
      <c r="L985" s="15"/>
      <c r="M985" s="4"/>
      <c r="N985" s="4"/>
    </row>
    <row r="986" ht="13.5" hidden="1" customHeight="1">
      <c r="A986" s="4" t="str">
        <f t="shared" si="1"/>
        <v>LFW-BRIOXYG</v>
      </c>
      <c r="B986" s="29" t="s">
        <v>356</v>
      </c>
      <c r="C986" s="28" t="s">
        <v>357</v>
      </c>
      <c r="D986" s="28" t="s">
        <v>22</v>
      </c>
      <c r="E986" s="4" t="s">
        <v>16</v>
      </c>
      <c r="F986" s="28" t="s">
        <v>97</v>
      </c>
      <c r="G986" s="4"/>
      <c r="H986" s="4">
        <f>SUMIFS(X!$F$5:$F$2005,X!$D$5:$D$2005,'CEK CICI'!A986)</f>
        <v>10</v>
      </c>
      <c r="I986" s="4">
        <f>SUMIFS(PENJUALAN!$E$4:$E$4288,PENJUALAN!$C$4:$C$4288,'CEK CICI'!A986)</f>
        <v>4</v>
      </c>
      <c r="J986" s="16">
        <f t="shared" si="2"/>
        <v>6</v>
      </c>
      <c r="K986" s="4"/>
      <c r="L986" s="4"/>
      <c r="M986" s="4"/>
      <c r="N986" s="4"/>
    </row>
    <row r="987" ht="13.5" hidden="1" customHeight="1">
      <c r="A987" s="4" t="str">
        <f t="shared" si="1"/>
        <v>TRW-BRIONOLBGXYG</v>
      </c>
      <c r="B987" s="29" t="s">
        <v>2104</v>
      </c>
      <c r="C987" s="28" t="s">
        <v>2105</v>
      </c>
      <c r="D987" s="28" t="s">
        <v>41</v>
      </c>
      <c r="E987" s="4" t="s">
        <v>16</v>
      </c>
      <c r="F987" s="28" t="s">
        <v>97</v>
      </c>
      <c r="G987" s="4"/>
      <c r="H987" s="4">
        <f>SUMIFS(X!$F$5:$F$2005,X!$D$5:$D$2005,'CEK CICI'!A987)</f>
        <v>3</v>
      </c>
      <c r="I987" s="4">
        <f>SUMIFS(PENJUALAN!$E$4:$E$4288,PENJUALAN!$C$4:$C$4288,'CEK CICI'!A987)</f>
        <v>2</v>
      </c>
      <c r="J987" s="16">
        <f t="shared" si="2"/>
        <v>1</v>
      </c>
      <c r="K987" s="15" t="s">
        <v>1711</v>
      </c>
      <c r="L987" s="15"/>
      <c r="M987" s="4"/>
      <c r="N987" s="4"/>
    </row>
    <row r="988" ht="13.5" hidden="1" customHeight="1">
      <c r="A988" s="4" t="str">
        <f t="shared" si="1"/>
        <v>TRW-BRIOXYG</v>
      </c>
      <c r="B988" s="29" t="s">
        <v>2106</v>
      </c>
      <c r="C988" s="28" t="s">
        <v>2107</v>
      </c>
      <c r="D988" s="28" t="s">
        <v>41</v>
      </c>
      <c r="E988" s="4" t="s">
        <v>16</v>
      </c>
      <c r="F988" s="28" t="s">
        <v>2108</v>
      </c>
      <c r="G988" s="4"/>
      <c r="H988" s="4">
        <f>SUMIFS(X!$F$5:$F$2005,X!$D$5:$D$2005,'CEK CICI'!A988)</f>
        <v>3</v>
      </c>
      <c r="I988" s="4">
        <f>SUMIFS(PENJUALAN!$E$4:$E$4288,PENJUALAN!$C$4:$C$4288,'CEK CICI'!A988)</f>
        <v>2</v>
      </c>
      <c r="J988" s="16">
        <f t="shared" si="2"/>
        <v>1</v>
      </c>
      <c r="K988" s="15" t="s">
        <v>1711</v>
      </c>
      <c r="L988" s="15"/>
      <c r="M988" s="4"/>
      <c r="N988" s="4"/>
    </row>
    <row r="989" ht="13.5" customHeight="1">
      <c r="A989" s="4" t="str">
        <f t="shared" si="1"/>
        <v>TRW-BRIO18XYG</v>
      </c>
      <c r="B989" s="29" t="s">
        <v>1420</v>
      </c>
      <c r="C989" s="28" t="s">
        <v>1421</v>
      </c>
      <c r="D989" s="28" t="s">
        <v>41</v>
      </c>
      <c r="E989" s="4" t="s">
        <v>16</v>
      </c>
      <c r="F989" s="28" t="s">
        <v>97</v>
      </c>
      <c r="G989" s="15">
        <v>2.0</v>
      </c>
      <c r="H989" s="4">
        <f>SUMIFS(X!$F$5:$F$2005,X!$D$5:$D$2005,'CEK CICI'!A989)</f>
        <v>6</v>
      </c>
      <c r="I989" s="4">
        <f>SUMIFS(PENJUALAN!$E$4:$E$4288,PENJUALAN!$C$4:$C$4288,'CEK CICI'!A989)</f>
        <v>3</v>
      </c>
      <c r="J989" s="16">
        <f t="shared" si="2"/>
        <v>3</v>
      </c>
      <c r="K989" s="15" t="s">
        <v>1422</v>
      </c>
      <c r="L989" s="15"/>
      <c r="M989" s="4"/>
      <c r="N989" s="4"/>
    </row>
    <row r="990" ht="13.5" hidden="1" customHeight="1">
      <c r="A990" s="4" t="str">
        <f t="shared" si="1"/>
        <v>LFW-CITY96XYG</v>
      </c>
      <c r="B990" s="29" t="s">
        <v>358</v>
      </c>
      <c r="C990" s="28" t="s">
        <v>359</v>
      </c>
      <c r="D990" s="28" t="s">
        <v>22</v>
      </c>
      <c r="E990" s="4" t="s">
        <v>16</v>
      </c>
      <c r="F990" s="28" t="s">
        <v>97</v>
      </c>
      <c r="G990" s="4"/>
      <c r="H990" s="4">
        <f>SUMIFS(X!$F$5:$F$2005,X!$D$5:$D$2005,'CEK CICI'!A990)</f>
        <v>2</v>
      </c>
      <c r="I990" s="4">
        <f>SUMIFS(PENJUALAN!$E$4:$E$4288,PENJUALAN!$C$4:$C$4288,'CEK CICI'!A990)</f>
        <v>1</v>
      </c>
      <c r="J990" s="16">
        <f t="shared" si="2"/>
        <v>1</v>
      </c>
      <c r="K990" s="15" t="s">
        <v>2084</v>
      </c>
      <c r="L990" s="15"/>
      <c r="M990" s="4"/>
      <c r="N990" s="4"/>
    </row>
    <row r="991" ht="13.5" hidden="1" customHeight="1">
      <c r="A991" s="4" t="str">
        <f t="shared" si="1"/>
        <v>TRW-CITY96XYG</v>
      </c>
      <c r="B991" s="29" t="s">
        <v>360</v>
      </c>
      <c r="C991" s="28" t="s">
        <v>359</v>
      </c>
      <c r="D991" s="28" t="s">
        <v>41</v>
      </c>
      <c r="E991" s="4" t="s">
        <v>16</v>
      </c>
      <c r="F991" s="28" t="s">
        <v>67</v>
      </c>
      <c r="G991" s="4"/>
      <c r="H991" s="4">
        <f>SUMIFS(X!$F$5:$F$2005,X!$D$5:$D$2005,'CEK CICI'!A991)</f>
        <v>0</v>
      </c>
      <c r="I991" s="4">
        <f>SUMIFS(PENJUALAN!$E$4:$E$4288,PENJUALAN!$C$4:$C$4288,'CEK CICI'!A991)</f>
        <v>0</v>
      </c>
      <c r="J991" s="16">
        <f t="shared" si="2"/>
        <v>0</v>
      </c>
      <c r="K991" s="4"/>
      <c r="L991" s="4"/>
      <c r="M991" s="4"/>
      <c r="N991" s="4"/>
    </row>
    <row r="992" ht="13.5" hidden="1" customHeight="1">
      <c r="A992" s="4" t="str">
        <f t="shared" si="1"/>
        <v>LFW-CITY02XYG</v>
      </c>
      <c r="B992" s="29" t="s">
        <v>361</v>
      </c>
      <c r="C992" s="28" t="s">
        <v>362</v>
      </c>
      <c r="D992" s="28" t="s">
        <v>22</v>
      </c>
      <c r="E992" s="4" t="s">
        <v>16</v>
      </c>
      <c r="F992" s="28" t="s">
        <v>97</v>
      </c>
      <c r="G992" s="4"/>
      <c r="H992" s="4">
        <f>SUMIFS(X!$F$5:$F$2005,X!$D$5:$D$2005,'CEK CICI'!A992)</f>
        <v>11</v>
      </c>
      <c r="I992" s="4">
        <f>SUMIFS(PENJUALAN!$E$4:$E$4288,PENJUALAN!$C$4:$C$4288,'CEK CICI'!A992)</f>
        <v>6</v>
      </c>
      <c r="J992" s="16">
        <f t="shared" si="2"/>
        <v>5</v>
      </c>
      <c r="K992" s="15" t="s">
        <v>2084</v>
      </c>
      <c r="L992" s="15"/>
      <c r="M992" s="4"/>
      <c r="N992" s="4"/>
    </row>
    <row r="993" ht="13.5" hidden="1" customHeight="1">
      <c r="A993" s="4" t="str">
        <f t="shared" si="1"/>
        <v>TRW-CITY02XYG</v>
      </c>
      <c r="B993" s="29" t="s">
        <v>363</v>
      </c>
      <c r="C993" s="28" t="s">
        <v>364</v>
      </c>
      <c r="D993" s="28" t="s">
        <v>41</v>
      </c>
      <c r="E993" s="4" t="s">
        <v>16</v>
      </c>
      <c r="F993" s="28" t="s">
        <v>67</v>
      </c>
      <c r="G993" s="4"/>
      <c r="H993" s="4">
        <f>SUMIFS(X!$F$5:$F$2005,X!$D$5:$D$2005,'CEK CICI'!A993)</f>
        <v>1</v>
      </c>
      <c r="I993" s="4">
        <f>SUMIFS(PENJUALAN!$E$4:$E$4288,PENJUALAN!$C$4:$C$4288,'CEK CICI'!A993)</f>
        <v>0</v>
      </c>
      <c r="J993" s="16">
        <f t="shared" si="2"/>
        <v>1</v>
      </c>
      <c r="K993" s="4"/>
      <c r="L993" s="4"/>
      <c r="M993" s="4"/>
      <c r="N993" s="4"/>
    </row>
    <row r="994" ht="13.5" hidden="1" customHeight="1">
      <c r="A994" s="4" t="str">
        <f t="shared" si="1"/>
        <v>LFW-CITY08XYG</v>
      </c>
      <c r="B994" s="29" t="s">
        <v>365</v>
      </c>
      <c r="C994" s="28" t="s">
        <v>366</v>
      </c>
      <c r="D994" s="28" t="s">
        <v>22</v>
      </c>
      <c r="E994" s="4" t="s">
        <v>16</v>
      </c>
      <c r="F994" s="28" t="s">
        <v>97</v>
      </c>
      <c r="G994" s="4"/>
      <c r="H994" s="4">
        <f>SUMIFS(X!$F$5:$F$2005,X!$D$5:$D$2005,'CEK CICI'!A994)</f>
        <v>1</v>
      </c>
      <c r="I994" s="4">
        <f>SUMIFS(PENJUALAN!$E$4:$E$4288,PENJUALAN!$C$4:$C$4288,'CEK CICI'!A994)</f>
        <v>1</v>
      </c>
      <c r="J994" s="16">
        <f t="shared" si="2"/>
        <v>0</v>
      </c>
      <c r="K994" s="4"/>
      <c r="L994" s="4"/>
      <c r="M994" s="4"/>
      <c r="N994" s="4"/>
    </row>
    <row r="995" ht="13.5" hidden="1" customHeight="1">
      <c r="A995" s="4" t="str">
        <f t="shared" si="1"/>
        <v>TRW-CITY08XYG</v>
      </c>
      <c r="B995" s="29" t="s">
        <v>367</v>
      </c>
      <c r="C995" s="28" t="s">
        <v>366</v>
      </c>
      <c r="D995" s="28" t="s">
        <v>41</v>
      </c>
      <c r="E995" s="4" t="s">
        <v>16</v>
      </c>
      <c r="F995" s="28" t="s">
        <v>67</v>
      </c>
      <c r="G995" s="4"/>
      <c r="H995" s="4">
        <f>SUMIFS(X!$F$5:$F$2005,X!$D$5:$D$2005,'CEK CICI'!A995)</f>
        <v>1</v>
      </c>
      <c r="I995" s="4">
        <f>SUMIFS(PENJUALAN!$E$4:$E$4288,PENJUALAN!$C$4:$C$4288,'CEK CICI'!A995)</f>
        <v>1</v>
      </c>
      <c r="J995" s="16">
        <f t="shared" si="2"/>
        <v>0</v>
      </c>
      <c r="K995" s="4"/>
      <c r="L995" s="4"/>
      <c r="M995" s="4"/>
      <c r="N995" s="4"/>
    </row>
    <row r="996" ht="13.5" hidden="1" customHeight="1">
      <c r="A996" s="4" t="str">
        <f t="shared" si="1"/>
        <v>LFW-CITY14XYG</v>
      </c>
      <c r="B996" s="29" t="s">
        <v>368</v>
      </c>
      <c r="C996" s="28" t="s">
        <v>369</v>
      </c>
      <c r="D996" s="28" t="s">
        <v>22</v>
      </c>
      <c r="E996" s="4" t="s">
        <v>16</v>
      </c>
      <c r="F996" s="28" t="s">
        <v>125</v>
      </c>
      <c r="G996" s="4"/>
      <c r="H996" s="4">
        <f>SUMIFS(X!$F$5:$F$2005,X!$D$5:$D$2005,'CEK CICI'!A996)</f>
        <v>3</v>
      </c>
      <c r="I996" s="4">
        <f>SUMIFS(PENJUALAN!$E$4:$E$4288,PENJUALAN!$C$4:$C$4288,'CEK CICI'!A996)</f>
        <v>3</v>
      </c>
      <c r="J996" s="16">
        <f t="shared" si="2"/>
        <v>0</v>
      </c>
      <c r="K996" s="4"/>
      <c r="L996" s="4"/>
      <c r="M996" s="4"/>
      <c r="N996" s="4"/>
    </row>
    <row r="997" ht="13.5" hidden="1" customHeight="1">
      <c r="A997" s="4" t="str">
        <f t="shared" si="1"/>
        <v>TRW-CITY14XYG</v>
      </c>
      <c r="B997" s="29" t="s">
        <v>1429</v>
      </c>
      <c r="C997" s="30" t="s">
        <v>369</v>
      </c>
      <c r="D997" s="30" t="s">
        <v>41</v>
      </c>
      <c r="E997" s="4" t="s">
        <v>16</v>
      </c>
      <c r="F997" s="34" t="s">
        <v>67</v>
      </c>
      <c r="G997" s="4"/>
      <c r="H997" s="4">
        <f>SUMIFS(X!$F$5:$F$2005,X!$D$5:$D$2005,'CEK CICI'!A997)</f>
        <v>0</v>
      </c>
      <c r="I997" s="4">
        <f>SUMIFS(PENJUALAN!$E$4:$E$4288,PENJUALAN!$C$4:$C$4288,'CEK CICI'!A997)</f>
        <v>0</v>
      </c>
      <c r="J997" s="16">
        <f t="shared" si="2"/>
        <v>0</v>
      </c>
      <c r="K997" s="4"/>
      <c r="L997" s="4"/>
      <c r="M997" s="4"/>
      <c r="N997" s="4"/>
    </row>
    <row r="998" ht="13.5" hidden="1" customHeight="1">
      <c r="A998" s="4" t="str">
        <f t="shared" si="1"/>
        <v>LFW-CITY19XYG</v>
      </c>
      <c r="B998" s="29" t="s">
        <v>2112</v>
      </c>
      <c r="C998" s="30" t="s">
        <v>2113</v>
      </c>
      <c r="D998" s="30" t="s">
        <v>22</v>
      </c>
      <c r="E998" s="4" t="s">
        <v>16</v>
      </c>
      <c r="F998" s="28" t="s">
        <v>125</v>
      </c>
      <c r="G998" s="4"/>
      <c r="H998" s="4">
        <f>SUMIFS(X!$F$5:$F$2005,X!$D$5:$D$2005,'CEK CICI'!A998)</f>
        <v>6</v>
      </c>
      <c r="I998" s="4">
        <f>SUMIFS(PENJUALAN!$E$4:$E$4288,PENJUALAN!$C$4:$C$4288,'CEK CICI'!A998)</f>
        <v>5</v>
      </c>
      <c r="J998" s="16">
        <f t="shared" si="2"/>
        <v>1</v>
      </c>
      <c r="K998" s="15" t="s">
        <v>1442</v>
      </c>
      <c r="L998" s="15"/>
      <c r="M998" s="4"/>
      <c r="N998" s="4"/>
    </row>
    <row r="999" ht="13.5" hidden="1" customHeight="1">
      <c r="A999" s="4" t="str">
        <f t="shared" si="1"/>
        <v>LFW-CIVICESTXYG</v>
      </c>
      <c r="B999" s="29" t="s">
        <v>370</v>
      </c>
      <c r="C999" s="28" t="s">
        <v>371</v>
      </c>
      <c r="D999" s="28" t="s">
        <v>22</v>
      </c>
      <c r="E999" s="4" t="s">
        <v>16</v>
      </c>
      <c r="F999" s="28" t="s">
        <v>125</v>
      </c>
      <c r="G999" s="4"/>
      <c r="H999" s="4">
        <f>SUMIFS(X!$F$5:$F$2005,X!$D$5:$D$2005,'CEK CICI'!A999)</f>
        <v>1</v>
      </c>
      <c r="I999" s="4">
        <f>SUMIFS(PENJUALAN!$E$4:$E$4288,PENJUALAN!$C$4:$C$4288,'CEK CICI'!A999)</f>
        <v>0</v>
      </c>
      <c r="J999" s="16">
        <f t="shared" si="2"/>
        <v>1</v>
      </c>
      <c r="K999" s="4"/>
      <c r="L999" s="4"/>
      <c r="M999" s="4"/>
      <c r="N999" s="4"/>
    </row>
    <row r="1000" ht="13.5" hidden="1" customHeight="1">
      <c r="A1000" s="4" t="str">
        <f t="shared" si="1"/>
        <v>TRW-CIVICESTXYG</v>
      </c>
      <c r="B1000" s="29" t="s">
        <v>372</v>
      </c>
      <c r="C1000" s="28" t="s">
        <v>371</v>
      </c>
      <c r="D1000" s="28" t="s">
        <v>41</v>
      </c>
      <c r="E1000" s="4" t="s">
        <v>16</v>
      </c>
      <c r="F1000" s="28" t="s">
        <v>373</v>
      </c>
      <c r="G1000" s="4"/>
      <c r="H1000" s="4">
        <f>SUMIFS(X!$F$5:$F$2005,X!$D$5:$D$2005,'CEK CICI'!A1000)</f>
        <v>0</v>
      </c>
      <c r="I1000" s="4">
        <f>SUMIFS(PENJUALAN!$E$4:$E$4288,PENJUALAN!$C$4:$C$4288,'CEK CICI'!A1000)</f>
        <v>0</v>
      </c>
      <c r="J1000" s="16">
        <f t="shared" si="2"/>
        <v>0</v>
      </c>
      <c r="K1000" s="4"/>
      <c r="L1000" s="4"/>
      <c r="M1000" s="4"/>
      <c r="N1000" s="4"/>
    </row>
    <row r="1001" ht="13.5" hidden="1" customHeight="1">
      <c r="A1001" s="4" t="str">
        <f t="shared" si="1"/>
        <v>FDL-CIVICESTXYG</v>
      </c>
      <c r="B1001" s="29" t="s">
        <v>374</v>
      </c>
      <c r="C1001" s="28" t="s">
        <v>371</v>
      </c>
      <c r="D1001" s="28" t="s">
        <v>128</v>
      </c>
      <c r="E1001" s="4" t="s">
        <v>16</v>
      </c>
      <c r="F1001" s="28"/>
      <c r="G1001" s="4"/>
      <c r="H1001" s="4">
        <f>SUMIFS(X!$F$5:$F$2005,X!$D$5:$D$2005,'CEK CICI'!A1001)</f>
        <v>0</v>
      </c>
      <c r="I1001" s="4">
        <f>SUMIFS(PENJUALAN!$E$4:$E$4288,PENJUALAN!$C$4:$C$4288,'CEK CICI'!A1001)</f>
        <v>0</v>
      </c>
      <c r="J1001" s="16">
        <f t="shared" si="2"/>
        <v>0</v>
      </c>
      <c r="K1001" s="4"/>
      <c r="L1001" s="4"/>
      <c r="M1001" s="4"/>
      <c r="N1001" s="4"/>
    </row>
    <row r="1002" ht="13.5" hidden="1" customHeight="1">
      <c r="A1002" s="4" t="str">
        <f t="shared" si="1"/>
        <v>FDR-CIVICESTXYG</v>
      </c>
      <c r="B1002" s="29" t="s">
        <v>375</v>
      </c>
      <c r="C1002" s="28" t="s">
        <v>371</v>
      </c>
      <c r="D1002" s="30" t="s">
        <v>130</v>
      </c>
      <c r="E1002" s="4" t="s">
        <v>16</v>
      </c>
      <c r="F1002" s="28"/>
      <c r="G1002" s="4"/>
      <c r="H1002" s="4">
        <f>SUMIFS(X!$F$5:$F$2005,X!$D$5:$D$2005,'CEK CICI'!A1002)</f>
        <v>0</v>
      </c>
      <c r="I1002" s="4">
        <f>SUMIFS(PENJUALAN!$E$4:$E$4288,PENJUALAN!$C$4:$C$4288,'CEK CICI'!A1002)</f>
        <v>0</v>
      </c>
      <c r="J1002" s="16">
        <f t="shared" si="2"/>
        <v>0</v>
      </c>
      <c r="K1002" s="4"/>
      <c r="L1002" s="4"/>
      <c r="M1002" s="4"/>
      <c r="N1002" s="4"/>
    </row>
    <row r="1003" ht="13.5" hidden="1" customHeight="1">
      <c r="A1003" s="4" t="str">
        <f t="shared" si="1"/>
        <v>SWL-CIVICESTXYG</v>
      </c>
      <c r="B1003" s="31" t="s">
        <v>1433</v>
      </c>
      <c r="C1003" s="28" t="s">
        <v>371</v>
      </c>
      <c r="D1003" s="43" t="s">
        <v>1434</v>
      </c>
      <c r="E1003" s="4" t="s">
        <v>16</v>
      </c>
      <c r="F1003" s="33" t="s">
        <v>97</v>
      </c>
      <c r="G1003" s="4"/>
      <c r="H1003" s="4">
        <f>SUMIFS(X!$F$5:$F$2005,X!$D$5:$D$2005,'CEK CICI'!A1003)</f>
        <v>2</v>
      </c>
      <c r="I1003" s="4">
        <f>SUMIFS(PENJUALAN!$E$4:$E$4288,PENJUALAN!$C$4:$C$4288,'CEK CICI'!A1003)</f>
        <v>0</v>
      </c>
      <c r="J1003" s="16">
        <f t="shared" si="2"/>
        <v>2</v>
      </c>
      <c r="K1003" s="15" t="s">
        <v>1435</v>
      </c>
      <c r="L1003" s="15"/>
      <c r="M1003" s="4"/>
      <c r="N1003" s="4"/>
    </row>
    <row r="1004" ht="13.5" hidden="1" customHeight="1">
      <c r="A1004" s="4" t="str">
        <f t="shared" si="1"/>
        <v>SWR-CIVICESTXYG</v>
      </c>
      <c r="B1004" s="31" t="s">
        <v>1436</v>
      </c>
      <c r="C1004" s="28" t="s">
        <v>371</v>
      </c>
      <c r="D1004" s="43" t="s">
        <v>104</v>
      </c>
      <c r="E1004" s="4" t="s">
        <v>16</v>
      </c>
      <c r="F1004" s="33" t="s">
        <v>97</v>
      </c>
      <c r="G1004" s="4"/>
      <c r="H1004" s="4">
        <f>SUMIFS(X!$F$5:$F$2005,X!$D$5:$D$2005,'CEK CICI'!A1004)</f>
        <v>2</v>
      </c>
      <c r="I1004" s="4">
        <f>SUMIFS(PENJUALAN!$E$4:$E$4288,PENJUALAN!$C$4:$C$4288,'CEK CICI'!A1004)</f>
        <v>0</v>
      </c>
      <c r="J1004" s="16">
        <f t="shared" si="2"/>
        <v>2</v>
      </c>
      <c r="K1004" s="15" t="s">
        <v>1435</v>
      </c>
      <c r="L1004" s="15"/>
      <c r="M1004" s="4"/>
      <c r="N1004" s="4"/>
    </row>
    <row r="1005" ht="13.5" hidden="1" customHeight="1">
      <c r="A1005" s="4" t="str">
        <f t="shared" si="1"/>
        <v>LFW-CIVICGENIOXYG</v>
      </c>
      <c r="B1005" s="29" t="s">
        <v>378</v>
      </c>
      <c r="C1005" s="28" t="s">
        <v>379</v>
      </c>
      <c r="D1005" s="28" t="s">
        <v>22</v>
      </c>
      <c r="E1005" s="4" t="s">
        <v>16</v>
      </c>
      <c r="F1005" s="28" t="s">
        <v>125</v>
      </c>
      <c r="G1005" s="4"/>
      <c r="H1005" s="4">
        <f>SUMIFS(X!$F$5:$F$2005,X!$D$5:$D$2005,'CEK CICI'!A1005)</f>
        <v>3</v>
      </c>
      <c r="I1005" s="4">
        <f>SUMIFS(PENJUALAN!$E$4:$E$4288,PENJUALAN!$C$4:$C$4288,'CEK CICI'!A1005)</f>
        <v>1</v>
      </c>
      <c r="J1005" s="16">
        <f t="shared" si="2"/>
        <v>2</v>
      </c>
      <c r="K1005" s="15" t="s">
        <v>1432</v>
      </c>
      <c r="L1005" s="15"/>
      <c r="M1005" s="4"/>
      <c r="N1005" s="4"/>
    </row>
    <row r="1006" ht="13.5" hidden="1" customHeight="1">
      <c r="A1006" s="4" t="str">
        <f t="shared" si="1"/>
        <v>TRW-CIVICGENIOXYG</v>
      </c>
      <c r="B1006" s="29" t="s">
        <v>381</v>
      </c>
      <c r="C1006" s="28" t="s">
        <v>379</v>
      </c>
      <c r="D1006" s="28" t="s">
        <v>41</v>
      </c>
      <c r="E1006" s="4" t="s">
        <v>16</v>
      </c>
      <c r="F1006" s="28" t="s">
        <v>67</v>
      </c>
      <c r="G1006" s="4"/>
      <c r="H1006" s="4">
        <f>SUMIFS(X!$F$5:$F$2005,X!$D$5:$D$2005,'CEK CICI'!A1006)</f>
        <v>0</v>
      </c>
      <c r="I1006" s="4">
        <f>SUMIFS(PENJUALAN!$E$4:$E$4288,PENJUALAN!$C$4:$C$4288,'CEK CICI'!A1006)</f>
        <v>0</v>
      </c>
      <c r="J1006" s="16">
        <f t="shared" si="2"/>
        <v>0</v>
      </c>
      <c r="K1006" s="4"/>
      <c r="L1006" s="4"/>
      <c r="M1006" s="4"/>
      <c r="N1006" s="4"/>
    </row>
    <row r="1007" ht="13.5" hidden="1" customHeight="1">
      <c r="A1007" s="4" t="str">
        <f t="shared" si="1"/>
        <v>LFW-CIVIC96XYG</v>
      </c>
      <c r="B1007" s="29" t="s">
        <v>382</v>
      </c>
      <c r="C1007" s="28" t="s">
        <v>383</v>
      </c>
      <c r="D1007" s="28" t="s">
        <v>22</v>
      </c>
      <c r="E1007" s="4" t="s">
        <v>16</v>
      </c>
      <c r="F1007" s="28" t="s">
        <v>97</v>
      </c>
      <c r="G1007" s="4"/>
      <c r="H1007" s="4">
        <f>SUMIFS(X!$F$5:$F$2005,X!$D$5:$D$2005,'CEK CICI'!A1007)</f>
        <v>1</v>
      </c>
      <c r="I1007" s="4">
        <f>SUMIFS(PENJUALAN!$E$4:$E$4288,PENJUALAN!$C$4:$C$4288,'CEK CICI'!A1007)</f>
        <v>0</v>
      </c>
      <c r="J1007" s="16">
        <f t="shared" si="2"/>
        <v>1</v>
      </c>
      <c r="K1007" s="4"/>
      <c r="L1007" s="4"/>
      <c r="M1007" s="4"/>
      <c r="N1007" s="4"/>
    </row>
    <row r="1008" ht="13.5" hidden="1" customHeight="1">
      <c r="A1008" s="4" t="str">
        <f t="shared" si="1"/>
        <v>TRW-CIVIC96XYG</v>
      </c>
      <c r="B1008" s="29" t="s">
        <v>384</v>
      </c>
      <c r="C1008" s="28" t="s">
        <v>383</v>
      </c>
      <c r="D1008" s="28" t="s">
        <v>41</v>
      </c>
      <c r="E1008" s="4" t="s">
        <v>16</v>
      </c>
      <c r="F1008" s="28" t="s">
        <v>67</v>
      </c>
      <c r="G1008" s="4"/>
      <c r="H1008" s="4">
        <f>SUMIFS(X!$F$5:$F$2005,X!$D$5:$D$2005,'CEK CICI'!A1008)</f>
        <v>2</v>
      </c>
      <c r="I1008" s="4">
        <f>SUMIFS(PENJUALAN!$E$4:$E$4288,PENJUALAN!$C$4:$C$4288,'CEK CICI'!A1008)</f>
        <v>2</v>
      </c>
      <c r="J1008" s="16">
        <f t="shared" si="2"/>
        <v>0</v>
      </c>
      <c r="K1008" s="15" t="s">
        <v>1711</v>
      </c>
      <c r="L1008" s="15"/>
      <c r="M1008" s="4"/>
      <c r="N1008" s="4"/>
    </row>
    <row r="1009" ht="13.5" hidden="1" customHeight="1">
      <c r="A1009" s="4" t="str">
        <f t="shared" si="1"/>
        <v>LFW-CIVIC00XYG</v>
      </c>
      <c r="B1009" s="29" t="s">
        <v>390</v>
      </c>
      <c r="C1009" s="28" t="s">
        <v>391</v>
      </c>
      <c r="D1009" s="28" t="s">
        <v>22</v>
      </c>
      <c r="E1009" s="4" t="s">
        <v>16</v>
      </c>
      <c r="F1009" s="28" t="s">
        <v>97</v>
      </c>
      <c r="G1009" s="4"/>
      <c r="H1009" s="4">
        <f>SUMIFS(X!$F$5:$F$2005,X!$D$5:$D$2005,'CEK CICI'!A1009)</f>
        <v>0</v>
      </c>
      <c r="I1009" s="4">
        <f>SUMIFS(PENJUALAN!$E$4:$E$4288,PENJUALAN!$C$4:$C$4288,'CEK CICI'!A1009)</f>
        <v>0</v>
      </c>
      <c r="J1009" s="16">
        <f t="shared" si="2"/>
        <v>0</v>
      </c>
      <c r="K1009" s="4"/>
      <c r="L1009" s="4"/>
      <c r="M1009" s="4"/>
      <c r="N1009" s="4"/>
    </row>
    <row r="1010" ht="13.5" hidden="1" customHeight="1">
      <c r="A1010" s="4" t="str">
        <f t="shared" si="1"/>
        <v>TRW-CIVIC00XYG</v>
      </c>
      <c r="B1010" s="29" t="s">
        <v>392</v>
      </c>
      <c r="C1010" s="28" t="s">
        <v>391</v>
      </c>
      <c r="D1010" s="28" t="s">
        <v>41</v>
      </c>
      <c r="E1010" s="4" t="s">
        <v>16</v>
      </c>
      <c r="F1010" s="28" t="s">
        <v>114</v>
      </c>
      <c r="G1010" s="4"/>
      <c r="H1010" s="4">
        <f>SUMIFS(X!$F$5:$F$2005,X!$D$5:$D$2005,'CEK CICI'!A1010)</f>
        <v>1</v>
      </c>
      <c r="I1010" s="4">
        <f>SUMIFS(PENJUALAN!$E$4:$E$4288,PENJUALAN!$C$4:$C$4288,'CEK CICI'!A1010)</f>
        <v>1</v>
      </c>
      <c r="J1010" s="16">
        <f t="shared" si="2"/>
        <v>0</v>
      </c>
      <c r="K1010" s="4"/>
      <c r="L1010" s="4"/>
      <c r="M1010" s="4"/>
      <c r="N1010" s="4"/>
    </row>
    <row r="1011" ht="13.5" hidden="1" customHeight="1">
      <c r="A1011" s="4" t="str">
        <f t="shared" si="1"/>
        <v>TRW-CIVIC00HATCHBACKXYG</v>
      </c>
      <c r="B1011" s="29" t="s">
        <v>1440</v>
      </c>
      <c r="C1011" s="28" t="s">
        <v>1441</v>
      </c>
      <c r="D1011" s="30" t="s">
        <v>41</v>
      </c>
      <c r="E1011" s="4" t="s">
        <v>16</v>
      </c>
      <c r="F1011" s="28" t="s">
        <v>67</v>
      </c>
      <c r="G1011" s="4"/>
      <c r="H1011" s="4">
        <f>SUMIFS(X!$F$5:$F$2005,X!$D$5:$D$2005,'CEK CICI'!A1011)</f>
        <v>0</v>
      </c>
      <c r="I1011" s="4">
        <f>SUMIFS(PENJUALAN!$E$4:$E$4288,PENJUALAN!$C$4:$C$4288,'CEK CICI'!A1011)</f>
        <v>0</v>
      </c>
      <c r="J1011" s="16">
        <f t="shared" si="2"/>
        <v>0</v>
      </c>
      <c r="K1011" s="4"/>
      <c r="L1011" s="4"/>
      <c r="M1011" s="4"/>
      <c r="N1011" s="4"/>
    </row>
    <row r="1012" ht="13.5" hidden="1" customHeight="1">
      <c r="A1012" s="4" t="str">
        <f t="shared" si="1"/>
        <v>LFW-CIVIC05XYG</v>
      </c>
      <c r="B1012" s="29" t="s">
        <v>393</v>
      </c>
      <c r="C1012" s="28" t="s">
        <v>394</v>
      </c>
      <c r="D1012" s="28" t="s">
        <v>22</v>
      </c>
      <c r="E1012" s="4" t="s">
        <v>16</v>
      </c>
      <c r="F1012" s="28" t="s">
        <v>125</v>
      </c>
      <c r="G1012" s="4"/>
      <c r="H1012" s="4">
        <f>SUMIFS(X!$F$5:$F$2005,X!$D$5:$D$2005,'CEK CICI'!A1012)</f>
        <v>0</v>
      </c>
      <c r="I1012" s="4">
        <f>SUMIFS(PENJUALAN!$E$4:$E$4288,PENJUALAN!$C$4:$C$4288,'CEK CICI'!A1012)</f>
        <v>0</v>
      </c>
      <c r="J1012" s="16">
        <f t="shared" si="2"/>
        <v>0</v>
      </c>
      <c r="K1012" s="4"/>
      <c r="L1012" s="4"/>
      <c r="M1012" s="5">
        <v>1.0</v>
      </c>
      <c r="N1012" s="4"/>
    </row>
    <row r="1013" ht="13.5" hidden="1" customHeight="1">
      <c r="A1013" s="4" t="str">
        <f t="shared" si="1"/>
        <v>TRW-CIVIC05XYG</v>
      </c>
      <c r="B1013" s="29" t="s">
        <v>395</v>
      </c>
      <c r="C1013" s="28" t="s">
        <v>394</v>
      </c>
      <c r="D1013" s="28" t="s">
        <v>41</v>
      </c>
      <c r="E1013" s="4" t="s">
        <v>16</v>
      </c>
      <c r="F1013" s="28" t="s">
        <v>67</v>
      </c>
      <c r="G1013" s="4"/>
      <c r="H1013" s="4">
        <f>SUMIFS(X!$F$5:$F$2005,X!$D$5:$D$2005,'CEK CICI'!A1013)</f>
        <v>0</v>
      </c>
      <c r="I1013" s="4">
        <f>SUMIFS(PENJUALAN!$E$4:$E$4288,PENJUALAN!$C$4:$C$4288,'CEK CICI'!A1013)</f>
        <v>0</v>
      </c>
      <c r="J1013" s="16">
        <f t="shared" si="2"/>
        <v>0</v>
      </c>
      <c r="K1013" s="4"/>
      <c r="L1013" s="4"/>
      <c r="M1013" s="4"/>
      <c r="N1013" s="4"/>
    </row>
    <row r="1014" ht="13.5" hidden="1" customHeight="1">
      <c r="A1014" s="4" t="str">
        <f t="shared" si="1"/>
        <v>FDL-CIVIC05XYG</v>
      </c>
      <c r="B1014" s="29" t="s">
        <v>396</v>
      </c>
      <c r="C1014" s="28" t="s">
        <v>394</v>
      </c>
      <c r="D1014" s="28" t="s">
        <v>128</v>
      </c>
      <c r="E1014" s="4" t="s">
        <v>16</v>
      </c>
      <c r="F1014" s="28" t="s">
        <v>397</v>
      </c>
      <c r="G1014" s="4"/>
      <c r="H1014" s="4">
        <f>SUMIFS(X!$F$5:$F$2005,X!$D$5:$D$2005,'CEK CICI'!A1014)</f>
        <v>0</v>
      </c>
      <c r="I1014" s="4">
        <f>SUMIFS(PENJUALAN!$E$4:$E$4288,PENJUALAN!$C$4:$C$4288,'CEK CICI'!A1014)</f>
        <v>0</v>
      </c>
      <c r="J1014" s="16">
        <f t="shared" si="2"/>
        <v>0</v>
      </c>
      <c r="K1014" s="4"/>
      <c r="L1014" s="4"/>
      <c r="M1014" s="4"/>
      <c r="N1014" s="4"/>
    </row>
    <row r="1015" ht="13.5" hidden="1" customHeight="1">
      <c r="A1015" s="4" t="str">
        <f t="shared" si="1"/>
        <v>FDR-CIVIC05XYG</v>
      </c>
      <c r="B1015" s="29" t="s">
        <v>398</v>
      </c>
      <c r="C1015" s="28" t="s">
        <v>394</v>
      </c>
      <c r="D1015" s="28" t="s">
        <v>130</v>
      </c>
      <c r="E1015" s="4" t="s">
        <v>16</v>
      </c>
      <c r="F1015" s="28" t="s">
        <v>397</v>
      </c>
      <c r="G1015" s="4"/>
      <c r="H1015" s="4">
        <f>SUMIFS(X!$F$5:$F$2005,X!$D$5:$D$2005,'CEK CICI'!A1015)</f>
        <v>0</v>
      </c>
      <c r="I1015" s="4">
        <f>SUMIFS(PENJUALAN!$E$4:$E$4288,PENJUALAN!$C$4:$C$4288,'CEK CICI'!A1015)</f>
        <v>0</v>
      </c>
      <c r="J1015" s="16">
        <f t="shared" si="2"/>
        <v>0</v>
      </c>
      <c r="K1015" s="4"/>
      <c r="L1015" s="4"/>
      <c r="M1015" s="4"/>
      <c r="N1015" s="4"/>
    </row>
    <row r="1016" ht="13.5" hidden="1" customHeight="1">
      <c r="A1016" s="4" t="str">
        <f t="shared" si="1"/>
        <v>LFW-CIVIC11XYG</v>
      </c>
      <c r="B1016" s="29" t="s">
        <v>405</v>
      </c>
      <c r="C1016" s="28" t="s">
        <v>406</v>
      </c>
      <c r="D1016" s="28" t="s">
        <v>22</v>
      </c>
      <c r="E1016" s="4" t="s">
        <v>16</v>
      </c>
      <c r="F1016" s="28" t="s">
        <v>125</v>
      </c>
      <c r="G1016" s="4"/>
      <c r="H1016" s="4">
        <f>SUMIFS(X!$F$5:$F$2005,X!$D$5:$D$2005,'CEK CICI'!A1016)</f>
        <v>1</v>
      </c>
      <c r="I1016" s="4">
        <f>SUMIFS(PENJUALAN!$E$4:$E$4288,PENJUALAN!$C$4:$C$4288,'CEK CICI'!A1016)</f>
        <v>0</v>
      </c>
      <c r="J1016" s="16">
        <f t="shared" si="2"/>
        <v>1</v>
      </c>
      <c r="K1016" s="4"/>
      <c r="L1016" s="4"/>
      <c r="M1016" s="4"/>
      <c r="N1016" s="4"/>
    </row>
    <row r="1017" ht="13.5" hidden="1" customHeight="1">
      <c r="A1017" s="4" t="str">
        <f t="shared" si="1"/>
        <v>TRW-CIVIC11XYG</v>
      </c>
      <c r="B1017" s="29" t="s">
        <v>407</v>
      </c>
      <c r="C1017" s="28" t="s">
        <v>406</v>
      </c>
      <c r="D1017" s="28" t="s">
        <v>41</v>
      </c>
      <c r="E1017" s="4" t="s">
        <v>16</v>
      </c>
      <c r="F1017" s="28" t="s">
        <v>114</v>
      </c>
      <c r="G1017" s="4"/>
      <c r="H1017" s="4">
        <f>SUMIFS(X!$F$5:$F$2005,X!$D$5:$D$2005,'CEK CICI'!A1017)</f>
        <v>0</v>
      </c>
      <c r="I1017" s="4">
        <f>SUMIFS(PENJUALAN!$E$4:$E$4288,PENJUALAN!$C$4:$C$4288,'CEK CICI'!A1017)</f>
        <v>0</v>
      </c>
      <c r="J1017" s="16">
        <f t="shared" si="2"/>
        <v>0</v>
      </c>
      <c r="K1017" s="4"/>
      <c r="L1017" s="4"/>
      <c r="M1017" s="4"/>
      <c r="N1017" s="4"/>
    </row>
    <row r="1018" ht="13.5" hidden="1" customHeight="1">
      <c r="A1018" s="4" t="str">
        <f t="shared" si="1"/>
        <v>LFW-CIVIC16RSXYG</v>
      </c>
      <c r="B1018" s="29" t="s">
        <v>2238</v>
      </c>
      <c r="C1018" s="28" t="s">
        <v>2239</v>
      </c>
      <c r="D1018" s="28" t="s">
        <v>22</v>
      </c>
      <c r="E1018" s="4" t="s">
        <v>16</v>
      </c>
      <c r="F1018" s="28" t="s">
        <v>75</v>
      </c>
      <c r="G1018" s="4"/>
      <c r="H1018" s="4">
        <f>SUMIFS(X!$F$5:$F$2005,X!$D$5:$D$2005,'CEK CICI'!A1018)</f>
        <v>4</v>
      </c>
      <c r="I1018" s="4">
        <f>SUMIFS(PENJUALAN!$E$4:$E$4288,PENJUALAN!$C$4:$C$4288,'CEK CICI'!A1018)</f>
        <v>3</v>
      </c>
      <c r="J1018" s="16">
        <f t="shared" si="2"/>
        <v>1</v>
      </c>
      <c r="K1018" s="15" t="s">
        <v>1442</v>
      </c>
      <c r="L1018" s="15"/>
      <c r="M1018" s="4"/>
      <c r="N1018" s="4"/>
    </row>
    <row r="1019" ht="13.5" hidden="1" customHeight="1">
      <c r="A1019" s="4" t="str">
        <f t="shared" si="1"/>
        <v>TRW-CIVIC16HATXYG</v>
      </c>
      <c r="B1019" s="29" t="s">
        <v>1446</v>
      </c>
      <c r="C1019" s="28" t="s">
        <v>1447</v>
      </c>
      <c r="D1019" s="28" t="s">
        <v>41</v>
      </c>
      <c r="E1019" s="4" t="s">
        <v>16</v>
      </c>
      <c r="F1019" s="28" t="s">
        <v>114</v>
      </c>
      <c r="G1019" s="4"/>
      <c r="H1019" s="4">
        <f>SUMIFS(X!$F$5:$F$2005,X!$D$5:$D$2005,'CEK CICI'!A1019)</f>
        <v>0</v>
      </c>
      <c r="I1019" s="4">
        <f>SUMIFS(PENJUALAN!$E$4:$E$4288,PENJUALAN!$C$4:$C$4288,'CEK CICI'!A1019)</f>
        <v>0</v>
      </c>
      <c r="J1019" s="16">
        <f t="shared" si="2"/>
        <v>0</v>
      </c>
      <c r="K1019" s="4"/>
      <c r="L1019" s="4"/>
      <c r="M1019" s="4"/>
      <c r="N1019" s="4"/>
    </row>
    <row r="1020" ht="13.5" hidden="1" customHeight="1">
      <c r="A1020" s="4" t="str">
        <f t="shared" si="1"/>
        <v>LFW-CRV95XYG</v>
      </c>
      <c r="B1020" s="29" t="s">
        <v>410</v>
      </c>
      <c r="C1020" s="28" t="s">
        <v>411</v>
      </c>
      <c r="D1020" s="28" t="s">
        <v>22</v>
      </c>
      <c r="E1020" s="4" t="s">
        <v>16</v>
      </c>
      <c r="F1020" s="28" t="s">
        <v>97</v>
      </c>
      <c r="G1020" s="4"/>
      <c r="H1020" s="4">
        <f>SUMIFS(X!$F$5:$F$2005,X!$D$5:$D$2005,'CEK CICI'!A1020)</f>
        <v>2</v>
      </c>
      <c r="I1020" s="4">
        <f>SUMIFS(PENJUALAN!$E$4:$E$4288,PENJUALAN!$C$4:$C$4288,'CEK CICI'!A1020)</f>
        <v>0</v>
      </c>
      <c r="J1020" s="16">
        <f t="shared" si="2"/>
        <v>2</v>
      </c>
      <c r="K1020" s="15" t="s">
        <v>1333</v>
      </c>
      <c r="L1020" s="15"/>
      <c r="M1020" s="4"/>
      <c r="N1020" s="4"/>
    </row>
    <row r="1021" ht="13.5" hidden="1" customHeight="1">
      <c r="A1021" s="4" t="str">
        <f t="shared" si="1"/>
        <v>TRW-CRV95XYG</v>
      </c>
      <c r="B1021" s="29" t="s">
        <v>412</v>
      </c>
      <c r="C1021" s="28" t="s">
        <v>411</v>
      </c>
      <c r="D1021" s="28" t="s">
        <v>41</v>
      </c>
      <c r="E1021" s="4" t="s">
        <v>16</v>
      </c>
      <c r="F1021" s="28" t="s">
        <v>373</v>
      </c>
      <c r="G1021" s="4"/>
      <c r="H1021" s="4">
        <f>SUMIFS(X!$F$5:$F$2005,X!$D$5:$D$2005,'CEK CICI'!A1021)</f>
        <v>0</v>
      </c>
      <c r="I1021" s="4">
        <f>SUMIFS(PENJUALAN!$E$4:$E$4288,PENJUALAN!$C$4:$C$4288,'CEK CICI'!A1021)</f>
        <v>0</v>
      </c>
      <c r="J1021" s="16">
        <f t="shared" si="2"/>
        <v>0</v>
      </c>
      <c r="K1021" s="4"/>
      <c r="L1021" s="4"/>
      <c r="M1021" s="4"/>
      <c r="N1021" s="4"/>
    </row>
    <row r="1022" ht="13.5" hidden="1" customHeight="1">
      <c r="A1022" s="4" t="str">
        <f t="shared" si="1"/>
        <v>LFW-CRV02XYG</v>
      </c>
      <c r="B1022" s="29" t="s">
        <v>1864</v>
      </c>
      <c r="C1022" s="28" t="s">
        <v>1865</v>
      </c>
      <c r="D1022" s="28" t="s">
        <v>22</v>
      </c>
      <c r="E1022" s="4" t="s">
        <v>16</v>
      </c>
      <c r="F1022" s="28" t="s">
        <v>125</v>
      </c>
      <c r="G1022" s="4"/>
      <c r="H1022" s="4">
        <f>SUMIFS(X!$F$5:$F$2005,X!$D$5:$D$2005,'CEK CICI'!A1022)</f>
        <v>12</v>
      </c>
      <c r="I1022" s="4">
        <f>SUMIFS(PENJUALAN!$E$4:$E$4288,PENJUALAN!$C$4:$C$4288,'CEK CICI'!A1022)</f>
        <v>9</v>
      </c>
      <c r="J1022" s="16">
        <f t="shared" si="2"/>
        <v>3</v>
      </c>
      <c r="K1022" s="15" t="s">
        <v>1333</v>
      </c>
      <c r="L1022" s="15"/>
      <c r="M1022" s="4"/>
      <c r="N1022" s="4"/>
    </row>
    <row r="1023" ht="13.5" hidden="1" customHeight="1">
      <c r="A1023" s="4" t="str">
        <f t="shared" si="1"/>
        <v>LFW-CRV05XYG</v>
      </c>
      <c r="B1023" s="29" t="s">
        <v>420</v>
      </c>
      <c r="C1023" s="28" t="s">
        <v>421</v>
      </c>
      <c r="D1023" s="28" t="s">
        <v>22</v>
      </c>
      <c r="E1023" s="4" t="s">
        <v>16</v>
      </c>
      <c r="F1023" s="28" t="s">
        <v>125</v>
      </c>
      <c r="G1023" s="4"/>
      <c r="H1023" s="4">
        <f>SUMIFS(X!$F$5:$F$2005,X!$D$5:$D$2005,'CEK CICI'!A1023)</f>
        <v>2</v>
      </c>
      <c r="I1023" s="4">
        <f>SUMIFS(PENJUALAN!$E$4:$E$4288,PENJUALAN!$C$4:$C$4288,'CEK CICI'!A1023)</f>
        <v>2</v>
      </c>
      <c r="J1023" s="16">
        <f t="shared" si="2"/>
        <v>0</v>
      </c>
      <c r="K1023" s="15" t="s">
        <v>1432</v>
      </c>
      <c r="L1023" s="15"/>
      <c r="M1023" s="4"/>
      <c r="N1023" s="4"/>
    </row>
    <row r="1024" ht="13.5" hidden="1" customHeight="1">
      <c r="A1024" s="4" t="str">
        <f t="shared" si="1"/>
        <v>TRW-CRV02XYG</v>
      </c>
      <c r="B1024" s="29" t="s">
        <v>422</v>
      </c>
      <c r="C1024" s="28" t="s">
        <v>423</v>
      </c>
      <c r="D1024" s="28" t="s">
        <v>41</v>
      </c>
      <c r="E1024" s="4" t="s">
        <v>16</v>
      </c>
      <c r="F1024" s="28" t="s">
        <v>227</v>
      </c>
      <c r="G1024" s="4"/>
      <c r="H1024" s="4">
        <f>SUMIFS(X!$F$5:$F$2005,X!$D$5:$D$2005,'CEK CICI'!A1024)</f>
        <v>4</v>
      </c>
      <c r="I1024" s="4">
        <f>SUMIFS(PENJUALAN!$E$4:$E$4288,PENJUALAN!$C$4:$C$4288,'CEK CICI'!A1024)</f>
        <v>3</v>
      </c>
      <c r="J1024" s="16">
        <f t="shared" si="2"/>
        <v>1</v>
      </c>
      <c r="K1024" s="4"/>
      <c r="L1024" s="4"/>
      <c r="M1024" s="4"/>
      <c r="N1024" s="4"/>
    </row>
    <row r="1025" ht="13.5" hidden="1" customHeight="1">
      <c r="A1025" s="4" t="str">
        <f t="shared" si="1"/>
        <v>SWL-CRV02XYG</v>
      </c>
      <c r="B1025" s="29" t="s">
        <v>426</v>
      </c>
      <c r="C1025" s="28" t="s">
        <v>423</v>
      </c>
      <c r="D1025" s="28" t="s">
        <v>202</v>
      </c>
      <c r="E1025" s="4" t="s">
        <v>16</v>
      </c>
      <c r="F1025" s="28" t="s">
        <v>97</v>
      </c>
      <c r="G1025" s="4"/>
      <c r="H1025" s="4">
        <f>SUMIFS(X!$F$5:$F$2005,X!$D$5:$D$2005,'CEK CICI'!A1025)</f>
        <v>3</v>
      </c>
      <c r="I1025" s="4">
        <f>SUMIFS(PENJUALAN!$E$4:$E$4288,PENJUALAN!$C$4:$C$4288,'CEK CICI'!A1025)</f>
        <v>1</v>
      </c>
      <c r="J1025" s="16">
        <f t="shared" si="2"/>
        <v>2</v>
      </c>
      <c r="K1025" s="15" t="s">
        <v>1391</v>
      </c>
      <c r="L1025" s="15"/>
      <c r="M1025" s="4"/>
      <c r="N1025" s="4"/>
    </row>
    <row r="1026" ht="13.5" hidden="1" customHeight="1">
      <c r="A1026" s="4" t="str">
        <f t="shared" si="1"/>
        <v>SWR-CRV02XYG</v>
      </c>
      <c r="B1026" s="29" t="s">
        <v>427</v>
      </c>
      <c r="C1026" s="28" t="s">
        <v>423</v>
      </c>
      <c r="D1026" s="28" t="s">
        <v>236</v>
      </c>
      <c r="E1026" s="4" t="s">
        <v>16</v>
      </c>
      <c r="F1026" s="28" t="s">
        <v>97</v>
      </c>
      <c r="G1026" s="4"/>
      <c r="H1026" s="4">
        <f>SUMIFS(X!$F$5:$F$2005,X!$D$5:$D$2005,'CEK CICI'!A1026)</f>
        <v>3</v>
      </c>
      <c r="I1026" s="4">
        <f>SUMIFS(PENJUALAN!$E$4:$E$4288,PENJUALAN!$C$4:$C$4288,'CEK CICI'!A1026)</f>
        <v>1</v>
      </c>
      <c r="J1026" s="16">
        <f t="shared" si="2"/>
        <v>2</v>
      </c>
      <c r="K1026" s="15" t="s">
        <v>1391</v>
      </c>
      <c r="L1026" s="15"/>
      <c r="M1026" s="4"/>
      <c r="N1026" s="4"/>
    </row>
    <row r="1027" ht="13.5" hidden="1" customHeight="1">
      <c r="A1027" s="4" t="str">
        <f t="shared" si="1"/>
        <v>LFW-CRV07XYG</v>
      </c>
      <c r="B1027" s="29" t="s">
        <v>428</v>
      </c>
      <c r="C1027" s="28" t="s">
        <v>429</v>
      </c>
      <c r="D1027" s="28" t="s">
        <v>22</v>
      </c>
      <c r="E1027" s="4" t="s">
        <v>16</v>
      </c>
      <c r="F1027" s="28" t="s">
        <v>125</v>
      </c>
      <c r="G1027" s="4"/>
      <c r="H1027" s="4">
        <f>SUMIFS(X!$F$5:$F$2005,X!$D$5:$D$2005,'CEK CICI'!A1027)</f>
        <v>11</v>
      </c>
      <c r="I1027" s="4">
        <f>SUMIFS(PENJUALAN!$E$4:$E$4288,PENJUALAN!$C$4:$C$4288,'CEK CICI'!A1027)</f>
        <v>4</v>
      </c>
      <c r="J1027" s="16">
        <f t="shared" si="2"/>
        <v>7</v>
      </c>
      <c r="K1027" s="15" t="s">
        <v>1333</v>
      </c>
      <c r="L1027" s="15"/>
      <c r="M1027" s="4"/>
      <c r="N1027" s="4"/>
    </row>
    <row r="1028" ht="13.5" hidden="1" customHeight="1">
      <c r="A1028" s="4" t="str">
        <f t="shared" si="1"/>
        <v>TRW-CRV07XYG</v>
      </c>
      <c r="B1028" s="29" t="s">
        <v>430</v>
      </c>
      <c r="C1028" s="28" t="s">
        <v>429</v>
      </c>
      <c r="D1028" s="28" t="s">
        <v>41</v>
      </c>
      <c r="E1028" s="4" t="s">
        <v>16</v>
      </c>
      <c r="F1028" s="28" t="s">
        <v>431</v>
      </c>
      <c r="G1028" s="4"/>
      <c r="H1028" s="4">
        <f>SUMIFS(X!$F$5:$F$2005,X!$D$5:$D$2005,'CEK CICI'!A1028)</f>
        <v>2</v>
      </c>
      <c r="I1028" s="4">
        <f>SUMIFS(PENJUALAN!$E$4:$E$4288,PENJUALAN!$C$4:$C$4288,'CEK CICI'!A1028)</f>
        <v>1</v>
      </c>
      <c r="J1028" s="16">
        <f t="shared" si="2"/>
        <v>1</v>
      </c>
      <c r="K1028" s="15" t="s">
        <v>1459</v>
      </c>
      <c r="L1028" s="15"/>
      <c r="M1028" s="4"/>
      <c r="N1028" s="4"/>
    </row>
    <row r="1029" ht="13.5" hidden="1" customHeight="1">
      <c r="A1029" s="4" t="str">
        <f t="shared" si="1"/>
        <v>SWL-CRV07XYG</v>
      </c>
      <c r="B1029" s="29" t="s">
        <v>432</v>
      </c>
      <c r="C1029" s="28" t="s">
        <v>429</v>
      </c>
      <c r="D1029" s="28" t="s">
        <v>202</v>
      </c>
      <c r="E1029" s="4" t="s">
        <v>16</v>
      </c>
      <c r="F1029" s="28" t="s">
        <v>97</v>
      </c>
      <c r="G1029" s="4"/>
      <c r="H1029" s="4">
        <f>SUMIFS(X!$F$5:$F$2005,X!$D$5:$D$2005,'CEK CICI'!A1029)</f>
        <v>0</v>
      </c>
      <c r="I1029" s="4">
        <f>SUMIFS(PENJUALAN!$E$4:$E$4288,PENJUALAN!$C$4:$C$4288,'CEK CICI'!A1029)</f>
        <v>0</v>
      </c>
      <c r="J1029" s="16">
        <f t="shared" si="2"/>
        <v>0</v>
      </c>
      <c r="K1029" s="4"/>
      <c r="L1029" s="4"/>
      <c r="M1029" s="4"/>
      <c r="N1029" s="4"/>
    </row>
    <row r="1030" ht="13.5" hidden="1" customHeight="1">
      <c r="A1030" s="4" t="str">
        <f t="shared" si="1"/>
        <v>SWR-CRV07XYG</v>
      </c>
      <c r="B1030" s="29" t="s">
        <v>433</v>
      </c>
      <c r="C1030" s="28" t="s">
        <v>429</v>
      </c>
      <c r="D1030" s="28" t="s">
        <v>236</v>
      </c>
      <c r="E1030" s="4" t="s">
        <v>16</v>
      </c>
      <c r="F1030" s="28" t="s">
        <v>97</v>
      </c>
      <c r="G1030" s="4"/>
      <c r="H1030" s="4">
        <f>SUMIFS(X!$F$5:$F$2005,X!$D$5:$D$2005,'CEK CICI'!A1030)</f>
        <v>0</v>
      </c>
      <c r="I1030" s="4">
        <f>SUMIFS(PENJUALAN!$E$4:$E$4288,PENJUALAN!$C$4:$C$4288,'CEK CICI'!A1030)</f>
        <v>0</v>
      </c>
      <c r="J1030" s="16">
        <f t="shared" si="2"/>
        <v>0</v>
      </c>
      <c r="K1030" s="4"/>
      <c r="L1030" s="4"/>
      <c r="M1030" s="4"/>
      <c r="N1030" s="4"/>
    </row>
    <row r="1031" ht="13.5" hidden="1" customHeight="1">
      <c r="A1031" s="4" t="str">
        <f t="shared" si="1"/>
        <v>LFW-CRV12XYG</v>
      </c>
      <c r="B1031" s="29" t="s">
        <v>434</v>
      </c>
      <c r="C1031" s="28" t="s">
        <v>69</v>
      </c>
      <c r="D1031" s="28" t="s">
        <v>22</v>
      </c>
      <c r="E1031" s="4" t="s">
        <v>16</v>
      </c>
      <c r="F1031" s="28" t="s">
        <v>125</v>
      </c>
      <c r="G1031" s="4"/>
      <c r="H1031" s="4">
        <f>SUMIFS(X!$F$5:$F$2005,X!$D$5:$D$2005,'CEK CICI'!A1031)</f>
        <v>10</v>
      </c>
      <c r="I1031" s="4">
        <f>SUMIFS(PENJUALAN!$E$4:$E$4288,PENJUALAN!$C$4:$C$4288,'CEK CICI'!A1031)</f>
        <v>8</v>
      </c>
      <c r="J1031" s="16">
        <f t="shared" si="2"/>
        <v>2</v>
      </c>
      <c r="K1031" s="15" t="s">
        <v>1432</v>
      </c>
      <c r="L1031" s="15"/>
      <c r="M1031" s="4"/>
      <c r="N1031" s="4"/>
    </row>
    <row r="1032" ht="13.5" hidden="1" customHeight="1">
      <c r="A1032" s="4" t="str">
        <f t="shared" si="1"/>
        <v>TRW-CRV12NONPXYG</v>
      </c>
      <c r="B1032" s="29" t="s">
        <v>435</v>
      </c>
      <c r="C1032" s="28" t="s">
        <v>436</v>
      </c>
      <c r="D1032" s="28" t="s">
        <v>41</v>
      </c>
      <c r="E1032" s="4" t="s">
        <v>16</v>
      </c>
      <c r="F1032" s="28" t="s">
        <v>221</v>
      </c>
      <c r="G1032" s="4"/>
      <c r="H1032" s="4">
        <f>SUMIFS(X!$F$5:$F$2005,X!$D$5:$D$2005,'CEK CICI'!A1032)</f>
        <v>7</v>
      </c>
      <c r="I1032" s="4">
        <f>SUMIFS(PENJUALAN!$E$4:$E$4288,PENJUALAN!$C$4:$C$4288,'CEK CICI'!A1032)</f>
        <v>6</v>
      </c>
      <c r="J1032" s="16">
        <f t="shared" si="2"/>
        <v>1</v>
      </c>
      <c r="K1032" s="15" t="s">
        <v>1460</v>
      </c>
      <c r="L1032" s="15"/>
      <c r="M1032" s="4"/>
      <c r="N1032" s="4"/>
    </row>
    <row r="1033" ht="13.5" hidden="1" customHeight="1">
      <c r="A1033" s="4" t="str">
        <f t="shared" si="1"/>
        <v>TRW-CRV12PRESTIGEXYG</v>
      </c>
      <c r="B1033" s="29" t="s">
        <v>437</v>
      </c>
      <c r="C1033" s="28" t="s">
        <v>438</v>
      </c>
      <c r="D1033" s="28" t="s">
        <v>41</v>
      </c>
      <c r="E1033" s="4" t="s">
        <v>16</v>
      </c>
      <c r="F1033" s="28" t="s">
        <v>439</v>
      </c>
      <c r="G1033" s="4"/>
      <c r="H1033" s="4">
        <f>SUMIFS(X!$F$5:$F$2005,X!$D$5:$D$2005,'CEK CICI'!A1033)</f>
        <v>3</v>
      </c>
      <c r="I1033" s="4">
        <f>SUMIFS(PENJUALAN!$E$4:$E$4288,PENJUALAN!$C$4:$C$4288,'CEK CICI'!A1033)</f>
        <v>3</v>
      </c>
      <c r="J1033" s="16">
        <f t="shared" si="2"/>
        <v>0</v>
      </c>
      <c r="K1033" s="4"/>
      <c r="L1033" s="4"/>
      <c r="M1033" s="4"/>
      <c r="N1033" s="4"/>
    </row>
    <row r="1034" ht="13.5" hidden="1" customHeight="1">
      <c r="A1034" s="4" t="str">
        <f t="shared" si="1"/>
        <v>LFW-CRV17RSXYG</v>
      </c>
      <c r="B1034" s="29" t="s">
        <v>1461</v>
      </c>
      <c r="C1034" s="28" t="s">
        <v>444</v>
      </c>
      <c r="D1034" s="28" t="s">
        <v>22</v>
      </c>
      <c r="E1034" s="4" t="s">
        <v>16</v>
      </c>
      <c r="F1034" s="28" t="s">
        <v>75</v>
      </c>
      <c r="G1034" s="4"/>
      <c r="H1034" s="4">
        <f>SUMIFS(X!$F$5:$F$2005,X!$D$5:$D$2005,'CEK CICI'!A1034)</f>
        <v>1</v>
      </c>
      <c r="I1034" s="4">
        <f>SUMIFS(PENJUALAN!$E$4:$E$4288,PENJUALAN!$C$4:$C$4288,'CEK CICI'!A1034)</f>
        <v>1</v>
      </c>
      <c r="J1034" s="16">
        <f t="shared" si="2"/>
        <v>0</v>
      </c>
      <c r="K1034" s="4"/>
      <c r="L1034" s="4"/>
      <c r="M1034" s="4"/>
      <c r="N1034" s="4"/>
    </row>
    <row r="1035" ht="13.5" customHeight="1">
      <c r="A1035" s="4" t="str">
        <f t="shared" si="1"/>
        <v>LFW-CRV17XYG</v>
      </c>
      <c r="B1035" s="29" t="s">
        <v>443</v>
      </c>
      <c r="C1035" s="28" t="s">
        <v>444</v>
      </c>
      <c r="D1035" s="28" t="s">
        <v>22</v>
      </c>
      <c r="E1035" s="4" t="s">
        <v>16</v>
      </c>
      <c r="F1035" s="28" t="s">
        <v>125</v>
      </c>
      <c r="G1035" s="15">
        <v>1.0</v>
      </c>
      <c r="H1035" s="4">
        <f>SUMIFS(X!$F$5:$F$2005,X!$D$5:$D$2005,'CEK CICI'!A1035)</f>
        <v>6</v>
      </c>
      <c r="I1035" s="4">
        <f>SUMIFS(PENJUALAN!$E$4:$E$4288,PENJUALAN!$C$4:$C$4288,'CEK CICI'!A1035)</f>
        <v>2</v>
      </c>
      <c r="J1035" s="16">
        <f t="shared" si="2"/>
        <v>4</v>
      </c>
      <c r="K1035" s="15" t="s">
        <v>1432</v>
      </c>
      <c r="L1035" s="15"/>
      <c r="M1035" s="4"/>
      <c r="N1035" s="4"/>
    </row>
    <row r="1036" ht="13.5" hidden="1" customHeight="1">
      <c r="A1036" s="4" t="str">
        <f t="shared" si="1"/>
        <v>TRW-CRV17XYG</v>
      </c>
      <c r="B1036" s="29" t="s">
        <v>445</v>
      </c>
      <c r="C1036" s="28" t="s">
        <v>444</v>
      </c>
      <c r="D1036" s="28" t="s">
        <v>41</v>
      </c>
      <c r="E1036" s="4" t="s">
        <v>16</v>
      </c>
      <c r="F1036" s="28" t="s">
        <v>439</v>
      </c>
      <c r="G1036" s="4"/>
      <c r="H1036" s="4">
        <f>SUMIFS(X!$F$5:$F$2005,X!$D$5:$D$2005,'CEK CICI'!A1036)</f>
        <v>0</v>
      </c>
      <c r="I1036" s="4">
        <f>SUMIFS(PENJUALAN!$E$4:$E$4288,PENJUALAN!$C$4:$C$4288,'CEK CICI'!A1036)</f>
        <v>0</v>
      </c>
      <c r="J1036" s="16">
        <f t="shared" si="2"/>
        <v>0</v>
      </c>
      <c r="K1036" s="4"/>
      <c r="L1036" s="4"/>
      <c r="M1036" s="4"/>
      <c r="N1036" s="4"/>
    </row>
    <row r="1037" ht="13.5" hidden="1" customHeight="1">
      <c r="A1037" s="4" t="str">
        <f t="shared" si="1"/>
        <v>LFW-CRZXYG</v>
      </c>
      <c r="B1037" s="29" t="s">
        <v>446</v>
      </c>
      <c r="C1037" s="28" t="s">
        <v>447</v>
      </c>
      <c r="D1037" s="28" t="s">
        <v>22</v>
      </c>
      <c r="E1037" s="4" t="s">
        <v>16</v>
      </c>
      <c r="F1037" s="28" t="s">
        <v>75</v>
      </c>
      <c r="G1037" s="4"/>
      <c r="H1037" s="4">
        <f>SUMIFS(X!$F$5:$F$2005,X!$D$5:$D$2005,'CEK CICI'!A1037)</f>
        <v>0</v>
      </c>
      <c r="I1037" s="4">
        <f>SUMIFS(PENJUALAN!$E$4:$E$4288,PENJUALAN!$C$4:$C$4288,'CEK CICI'!A1037)</f>
        <v>0</v>
      </c>
      <c r="J1037" s="16">
        <f t="shared" si="2"/>
        <v>0</v>
      </c>
      <c r="K1037" s="4"/>
      <c r="L1037" s="4"/>
      <c r="M1037" s="4"/>
      <c r="N1037" s="4"/>
    </row>
    <row r="1038" ht="13.5" hidden="1" customHeight="1">
      <c r="A1038" s="4" t="str">
        <f t="shared" si="1"/>
        <v>LFW-ELYSIONXYG</v>
      </c>
      <c r="B1038" s="29" t="s">
        <v>448</v>
      </c>
      <c r="C1038" s="28" t="s">
        <v>449</v>
      </c>
      <c r="D1038" s="28" t="s">
        <v>22</v>
      </c>
      <c r="E1038" s="4" t="s">
        <v>16</v>
      </c>
      <c r="F1038" s="28" t="s">
        <v>125</v>
      </c>
      <c r="G1038" s="4"/>
      <c r="H1038" s="4">
        <f>SUMIFS(X!$F$5:$F$2005,X!$D$5:$D$2005,'CEK CICI'!A1038)</f>
        <v>0</v>
      </c>
      <c r="I1038" s="4">
        <f>SUMIFS(PENJUALAN!$E$4:$E$4288,PENJUALAN!$C$4:$C$4288,'CEK CICI'!A1038)</f>
        <v>0</v>
      </c>
      <c r="J1038" s="16">
        <f t="shared" si="2"/>
        <v>0</v>
      </c>
      <c r="K1038" s="4"/>
      <c r="L1038" s="4"/>
      <c r="M1038" s="4"/>
      <c r="N1038" s="4"/>
    </row>
    <row r="1039" ht="13.5" hidden="1" customHeight="1">
      <c r="A1039" s="4" t="str">
        <f t="shared" si="1"/>
        <v>TRW-ELYSIONRATAXYG</v>
      </c>
      <c r="B1039" s="29" t="s">
        <v>450</v>
      </c>
      <c r="C1039" s="28" t="s">
        <v>451</v>
      </c>
      <c r="D1039" s="28" t="s">
        <v>41</v>
      </c>
      <c r="E1039" s="4" t="s">
        <v>16</v>
      </c>
      <c r="F1039" s="28" t="s">
        <v>221</v>
      </c>
      <c r="G1039" s="4"/>
      <c r="H1039" s="4">
        <f>SUMIFS(X!$F$5:$F$2005,X!$D$5:$D$2005,'CEK CICI'!A1039)</f>
        <v>0</v>
      </c>
      <c r="I1039" s="4">
        <f>SUMIFS(PENJUALAN!$E$4:$E$4288,PENJUALAN!$C$4:$C$4288,'CEK CICI'!A1039)</f>
        <v>0</v>
      </c>
      <c r="J1039" s="16">
        <f t="shared" si="2"/>
        <v>0</v>
      </c>
      <c r="K1039" s="4"/>
      <c r="L1039" s="4"/>
      <c r="M1039" s="4"/>
      <c r="N1039" s="4"/>
    </row>
    <row r="1040" ht="13.5" hidden="1" customHeight="1">
      <c r="A1040" s="4" t="str">
        <f t="shared" si="1"/>
        <v>TRW-ELYSIONCURVEXYG</v>
      </c>
      <c r="B1040" s="29" t="s">
        <v>452</v>
      </c>
      <c r="C1040" s="28" t="s">
        <v>453</v>
      </c>
      <c r="D1040" s="28" t="s">
        <v>41</v>
      </c>
      <c r="E1040" s="4" t="s">
        <v>16</v>
      </c>
      <c r="F1040" s="28" t="s">
        <v>439</v>
      </c>
      <c r="G1040" s="4"/>
      <c r="H1040" s="4">
        <f>SUMIFS(X!$F$5:$F$2005,X!$D$5:$D$2005,'CEK CICI'!A1040)</f>
        <v>0</v>
      </c>
      <c r="I1040" s="4">
        <f>SUMIFS(PENJUALAN!$E$4:$E$4288,PENJUALAN!$C$4:$C$4288,'CEK CICI'!A1040)</f>
        <v>0</v>
      </c>
      <c r="J1040" s="16">
        <f t="shared" si="2"/>
        <v>0</v>
      </c>
      <c r="K1040" s="4"/>
      <c r="L1040" s="4"/>
      <c r="M1040" s="4"/>
      <c r="N1040" s="4"/>
    </row>
    <row r="1041" ht="13.5" hidden="1" customHeight="1">
      <c r="A1041" s="4" t="str">
        <f t="shared" si="1"/>
        <v>LFW-FREEDXYG</v>
      </c>
      <c r="B1041" s="29" t="s">
        <v>454</v>
      </c>
      <c r="C1041" s="28" t="s">
        <v>455</v>
      </c>
      <c r="D1041" s="28" t="s">
        <v>22</v>
      </c>
      <c r="E1041" s="4" t="s">
        <v>16</v>
      </c>
      <c r="F1041" s="28" t="s">
        <v>125</v>
      </c>
      <c r="G1041" s="4"/>
      <c r="H1041" s="4">
        <f>SUMIFS(X!$F$5:$F$2005,X!$D$5:$D$2005,'CEK CICI'!A1041)</f>
        <v>20</v>
      </c>
      <c r="I1041" s="4">
        <f>SUMIFS(PENJUALAN!$E$4:$E$4288,PENJUALAN!$C$4:$C$4288,'CEK CICI'!A1041)</f>
        <v>14</v>
      </c>
      <c r="J1041" s="16">
        <f t="shared" si="2"/>
        <v>6</v>
      </c>
      <c r="K1041" s="15" t="s">
        <v>1442</v>
      </c>
      <c r="L1041" s="15"/>
      <c r="M1041" s="4"/>
      <c r="N1041" s="4"/>
    </row>
    <row r="1042" ht="13.5" hidden="1" customHeight="1">
      <c r="A1042" s="4" t="str">
        <f t="shared" si="1"/>
        <v>TRW-FREEDXYG</v>
      </c>
      <c r="B1042" s="29" t="s">
        <v>456</v>
      </c>
      <c r="C1042" s="28" t="s">
        <v>455</v>
      </c>
      <c r="D1042" s="28" t="s">
        <v>41</v>
      </c>
      <c r="E1042" s="4" t="s">
        <v>16</v>
      </c>
      <c r="F1042" s="28" t="s">
        <v>67</v>
      </c>
      <c r="G1042" s="4"/>
      <c r="H1042" s="4">
        <f>SUMIFS(X!$F$5:$F$2005,X!$D$5:$D$2005,'CEK CICI'!A1042)</f>
        <v>13</v>
      </c>
      <c r="I1042" s="4">
        <f>SUMIFS(PENJUALAN!$E$4:$E$4288,PENJUALAN!$C$4:$C$4288,'CEK CICI'!A1042)</f>
        <v>11</v>
      </c>
      <c r="J1042" s="16">
        <f t="shared" si="2"/>
        <v>2</v>
      </c>
      <c r="K1042" s="15" t="s">
        <v>1459</v>
      </c>
      <c r="L1042" s="15"/>
      <c r="M1042" s="4"/>
      <c r="N1042" s="4"/>
    </row>
    <row r="1043" ht="13.5" customHeight="1">
      <c r="A1043" s="4" t="str">
        <f t="shared" si="1"/>
        <v>LFW-HRV14XYG</v>
      </c>
      <c r="B1043" s="31" t="s">
        <v>459</v>
      </c>
      <c r="C1043" s="28" t="s">
        <v>460</v>
      </c>
      <c r="D1043" s="28" t="s">
        <v>22</v>
      </c>
      <c r="E1043" s="4" t="s">
        <v>16</v>
      </c>
      <c r="F1043" s="28" t="s">
        <v>125</v>
      </c>
      <c r="G1043" s="15">
        <v>1.0</v>
      </c>
      <c r="H1043" s="4">
        <f>SUMIFS(X!$F$5:$F$2005,X!$D$5:$D$2005,'CEK CICI'!A1043)</f>
        <v>16</v>
      </c>
      <c r="I1043" s="4">
        <f>SUMIFS(PENJUALAN!$E$4:$E$4288,PENJUALAN!$C$4:$C$4288,'CEK CICI'!A1043)</f>
        <v>10</v>
      </c>
      <c r="J1043" s="16">
        <f t="shared" si="2"/>
        <v>6</v>
      </c>
      <c r="K1043" s="15" t="s">
        <v>2085</v>
      </c>
      <c r="L1043" s="4"/>
      <c r="M1043" s="4"/>
      <c r="N1043" s="4"/>
    </row>
    <row r="1044" ht="13.5" hidden="1" customHeight="1">
      <c r="A1044" s="4" t="str">
        <f t="shared" si="1"/>
        <v>TRW-HRV14XYG</v>
      </c>
      <c r="B1044" s="31" t="s">
        <v>461</v>
      </c>
      <c r="C1044" s="28" t="s">
        <v>460</v>
      </c>
      <c r="D1044" s="28" t="s">
        <v>41</v>
      </c>
      <c r="E1044" s="4" t="s">
        <v>16</v>
      </c>
      <c r="F1044" s="28" t="s">
        <v>221</v>
      </c>
      <c r="G1044" s="4"/>
      <c r="H1044" s="4">
        <f>SUMIFS(X!$F$5:$F$2005,X!$D$5:$D$2005,'CEK CICI'!A1044)</f>
        <v>5</v>
      </c>
      <c r="I1044" s="4">
        <f>SUMIFS(PENJUALAN!$E$4:$E$4288,PENJUALAN!$C$4:$C$4288,'CEK CICI'!A1044)</f>
        <v>4</v>
      </c>
      <c r="J1044" s="16">
        <f t="shared" si="2"/>
        <v>1</v>
      </c>
      <c r="K1044" s="15" t="s">
        <v>11494</v>
      </c>
      <c r="L1044" s="15"/>
      <c r="M1044" s="4"/>
      <c r="N1044" s="4"/>
    </row>
    <row r="1045" ht="13.5" hidden="1" customHeight="1">
      <c r="A1045" s="4" t="str">
        <f t="shared" si="1"/>
        <v>LFW-HRV22XYG</v>
      </c>
      <c r="B1045" s="29" t="s">
        <v>1330</v>
      </c>
      <c r="C1045" s="28" t="s">
        <v>1474</v>
      </c>
      <c r="D1045" s="28" t="s">
        <v>22</v>
      </c>
      <c r="E1045" s="4" t="s">
        <v>16</v>
      </c>
      <c r="F1045" s="28" t="s">
        <v>75</v>
      </c>
      <c r="G1045" s="4"/>
      <c r="H1045" s="4">
        <f>SUMIFS(X!$F$5:$F$2005,X!$D$5:$D$2005,'CEK CICI'!A1045)</f>
        <v>0</v>
      </c>
      <c r="I1045" s="4">
        <f>SUMIFS(PENJUALAN!$E$4:$E$4288,PENJUALAN!$C$4:$C$4288,'CEK CICI'!A1045)</f>
        <v>0</v>
      </c>
      <c r="J1045" s="16">
        <f t="shared" si="2"/>
        <v>0</v>
      </c>
      <c r="K1045" s="4"/>
      <c r="L1045" s="4"/>
      <c r="M1045" s="4"/>
      <c r="N1045" s="4"/>
    </row>
    <row r="1046" ht="13.5" hidden="1" customHeight="1">
      <c r="A1046" s="4" t="str">
        <f t="shared" si="1"/>
        <v>LFW-JAZZ01XYG</v>
      </c>
      <c r="B1046" s="29" t="s">
        <v>462</v>
      </c>
      <c r="C1046" s="28" t="s">
        <v>463</v>
      </c>
      <c r="D1046" s="28" t="s">
        <v>22</v>
      </c>
      <c r="E1046" s="4" t="s">
        <v>16</v>
      </c>
      <c r="F1046" s="28" t="s">
        <v>97</v>
      </c>
      <c r="G1046" s="4"/>
      <c r="H1046" s="4">
        <f>SUMIFS(X!$F$5:$F$2005,X!$D$5:$D$2005,'CEK CICI'!A1046)</f>
        <v>4</v>
      </c>
      <c r="I1046" s="4">
        <f>SUMIFS(PENJUALAN!$E$4:$E$4288,PENJUALAN!$C$4:$C$4288,'CEK CICI'!A1046)</f>
        <v>4</v>
      </c>
      <c r="J1046" s="16">
        <f t="shared" si="2"/>
        <v>0</v>
      </c>
      <c r="K1046" s="4"/>
      <c r="L1046" s="4"/>
      <c r="M1046" s="4"/>
      <c r="N1046" s="4"/>
    </row>
    <row r="1047" ht="13.5" customHeight="1">
      <c r="A1047" s="4" t="str">
        <f t="shared" si="1"/>
        <v>TRW-JAZZ01XYG</v>
      </c>
      <c r="B1047" s="29" t="s">
        <v>464</v>
      </c>
      <c r="C1047" s="28" t="s">
        <v>463</v>
      </c>
      <c r="D1047" s="28" t="s">
        <v>41</v>
      </c>
      <c r="E1047" s="4" t="s">
        <v>16</v>
      </c>
      <c r="F1047" s="28" t="s">
        <v>221</v>
      </c>
      <c r="G1047" s="15">
        <v>1.0</v>
      </c>
      <c r="H1047" s="4">
        <f>SUMIFS(X!$F$5:$F$2005,X!$D$5:$D$2005,'CEK CICI'!A1047)</f>
        <v>4</v>
      </c>
      <c r="I1047" s="4">
        <f>SUMIFS(PENJUALAN!$E$4:$E$4288,PENJUALAN!$C$4:$C$4288,'CEK CICI'!A1047)</f>
        <v>3</v>
      </c>
      <c r="J1047" s="16">
        <f t="shared" si="2"/>
        <v>1</v>
      </c>
      <c r="K1047" s="15" t="s">
        <v>1422</v>
      </c>
      <c r="L1047" s="15"/>
      <c r="M1047" s="5">
        <v>1.0</v>
      </c>
      <c r="N1047" s="4"/>
    </row>
    <row r="1048" ht="13.5" hidden="1" customHeight="1">
      <c r="A1048" s="4" t="str">
        <f t="shared" si="1"/>
        <v>LFW-JAZZ07XYG</v>
      </c>
      <c r="B1048" s="29" t="s">
        <v>76</v>
      </c>
      <c r="C1048" s="28" t="s">
        <v>470</v>
      </c>
      <c r="D1048" s="28" t="s">
        <v>22</v>
      </c>
      <c r="E1048" s="4" t="s">
        <v>16</v>
      </c>
      <c r="F1048" s="28" t="s">
        <v>125</v>
      </c>
      <c r="G1048" s="4"/>
      <c r="H1048" s="4">
        <f>SUMIFS(X!$F$5:$F$2005,X!$D$5:$D$2005,'CEK CICI'!A1048)</f>
        <v>7</v>
      </c>
      <c r="I1048" s="4">
        <f>SUMIFS(PENJUALAN!$E$4:$E$4288,PENJUALAN!$C$4:$C$4288,'CEK CICI'!A1048)</f>
        <v>6</v>
      </c>
      <c r="J1048" s="16">
        <f t="shared" si="2"/>
        <v>1</v>
      </c>
      <c r="K1048" s="4"/>
      <c r="L1048" s="4"/>
      <c r="M1048" s="4"/>
      <c r="N1048" s="4"/>
    </row>
    <row r="1049" ht="13.5" customHeight="1">
      <c r="A1049" s="4" t="str">
        <f t="shared" si="1"/>
        <v>TRW-JAZZ07XYG</v>
      </c>
      <c r="B1049" s="29" t="s">
        <v>471</v>
      </c>
      <c r="C1049" s="28" t="s">
        <v>470</v>
      </c>
      <c r="D1049" s="28" t="s">
        <v>41</v>
      </c>
      <c r="E1049" s="4" t="s">
        <v>16</v>
      </c>
      <c r="F1049" s="28" t="s">
        <v>67</v>
      </c>
      <c r="G1049" s="15">
        <v>2.0</v>
      </c>
      <c r="H1049" s="4">
        <f>SUMIFS(X!$F$5:$F$2005,X!$D$5:$D$2005,'CEK CICI'!A1049)</f>
        <v>13</v>
      </c>
      <c r="I1049" s="4">
        <f>SUMIFS(PENJUALAN!$E$4:$E$4288,PENJUALAN!$C$4:$C$4288,'CEK CICI'!A1049)</f>
        <v>11</v>
      </c>
      <c r="J1049" s="16">
        <f t="shared" si="2"/>
        <v>2</v>
      </c>
      <c r="K1049" s="15" t="s">
        <v>1422</v>
      </c>
      <c r="L1049" s="15"/>
      <c r="M1049" s="5">
        <v>1.0</v>
      </c>
      <c r="N1049" s="4"/>
    </row>
    <row r="1050" ht="13.5" customHeight="1">
      <c r="A1050" s="4" t="str">
        <f t="shared" si="1"/>
        <v>LFW-JAZZ13XYG</v>
      </c>
      <c r="B1050" s="29" t="s">
        <v>475</v>
      </c>
      <c r="C1050" s="28" t="s">
        <v>476</v>
      </c>
      <c r="D1050" s="28" t="s">
        <v>22</v>
      </c>
      <c r="E1050" s="4" t="s">
        <v>16</v>
      </c>
      <c r="F1050" s="28" t="s">
        <v>125</v>
      </c>
      <c r="G1050" s="15">
        <v>1.0</v>
      </c>
      <c r="H1050" s="4">
        <f>SUMIFS(X!$F$5:$F$2005,X!$D$5:$D$2005,'CEK CICI'!A1050)</f>
        <v>9</v>
      </c>
      <c r="I1050" s="4">
        <f>SUMIFS(PENJUALAN!$E$4:$E$4288,PENJUALAN!$C$4:$C$4288,'CEK CICI'!A1050)</f>
        <v>8</v>
      </c>
      <c r="J1050" s="16">
        <f t="shared" si="2"/>
        <v>1</v>
      </c>
      <c r="K1050" s="15" t="s">
        <v>1964</v>
      </c>
      <c r="L1050" s="4"/>
      <c r="M1050" s="4"/>
      <c r="N1050" s="4"/>
    </row>
    <row r="1051" ht="13.5" hidden="1" customHeight="1">
      <c r="A1051" s="4" t="str">
        <f t="shared" si="1"/>
        <v>TRW-JAZZ13XYG</v>
      </c>
      <c r="B1051" s="29" t="s">
        <v>477</v>
      </c>
      <c r="C1051" s="28" t="s">
        <v>476</v>
      </c>
      <c r="D1051" s="28" t="s">
        <v>41</v>
      </c>
      <c r="E1051" s="4" t="s">
        <v>16</v>
      </c>
      <c r="F1051" s="28" t="s">
        <v>67</v>
      </c>
      <c r="G1051" s="4"/>
      <c r="H1051" s="4">
        <f>SUMIFS(X!$F$5:$F$2005,X!$D$5:$D$2005,'CEK CICI'!A1051)</f>
        <v>5</v>
      </c>
      <c r="I1051" s="4">
        <f>SUMIFS(PENJUALAN!$E$4:$E$4288,PENJUALAN!$C$4:$C$4288,'CEK CICI'!A1051)</f>
        <v>4</v>
      </c>
      <c r="J1051" s="16">
        <f t="shared" si="2"/>
        <v>1</v>
      </c>
      <c r="K1051" s="15" t="s">
        <v>1422</v>
      </c>
      <c r="L1051" s="15"/>
      <c r="M1051" s="5">
        <v>1.0</v>
      </c>
      <c r="N1051" s="4"/>
    </row>
    <row r="1052" ht="13.5" hidden="1" customHeight="1">
      <c r="A1052" s="4" t="str">
        <f t="shared" si="1"/>
        <v>TRW-MOBILIOXYG</v>
      </c>
      <c r="B1052" s="29" t="s">
        <v>2333</v>
      </c>
      <c r="C1052" s="33" t="s">
        <v>2334</v>
      </c>
      <c r="D1052" s="28" t="s">
        <v>41</v>
      </c>
      <c r="E1052" s="4" t="s">
        <v>16</v>
      </c>
      <c r="F1052" s="28" t="s">
        <v>97</v>
      </c>
      <c r="G1052" s="4"/>
      <c r="H1052" s="4">
        <f>SUMIFS(X!$F$5:$F$2005,X!$D$5:$D$2005,'CEK CICI'!A1052)</f>
        <v>8</v>
      </c>
      <c r="I1052" s="4">
        <f>SUMIFS(PENJUALAN!$E$4:$E$4288,PENJUALAN!$C$4:$C$4288,'CEK CICI'!A1052)</f>
        <v>7</v>
      </c>
      <c r="J1052" s="16">
        <f t="shared" si="2"/>
        <v>1</v>
      </c>
      <c r="K1052" s="15" t="s">
        <v>1422</v>
      </c>
      <c r="L1052" s="15"/>
      <c r="M1052" s="4"/>
      <c r="N1052" s="4"/>
    </row>
    <row r="1053" ht="13.5" hidden="1" customHeight="1">
      <c r="A1053" s="4" t="str">
        <f t="shared" si="1"/>
        <v>LFW-ODYSSEY99XYG</v>
      </c>
      <c r="B1053" s="29" t="s">
        <v>480</v>
      </c>
      <c r="C1053" s="28" t="s">
        <v>481</v>
      </c>
      <c r="D1053" s="28" t="s">
        <v>22</v>
      </c>
      <c r="E1053" s="4" t="s">
        <v>16</v>
      </c>
      <c r="F1053" s="28" t="s">
        <v>125</v>
      </c>
      <c r="G1053" s="4"/>
      <c r="H1053" s="4">
        <f>SUMIFS(X!$F$5:$F$2005,X!$D$5:$D$2005,'CEK CICI'!A1053)</f>
        <v>3</v>
      </c>
      <c r="I1053" s="4">
        <f>SUMIFS(PENJUALAN!$E$4:$E$4288,PENJUALAN!$C$4:$C$4288,'CEK CICI'!A1053)</f>
        <v>1</v>
      </c>
      <c r="J1053" s="16">
        <f t="shared" si="2"/>
        <v>2</v>
      </c>
      <c r="K1053" s="15" t="s">
        <v>2085</v>
      </c>
      <c r="L1053" s="15"/>
      <c r="M1053" s="4"/>
      <c r="N1053" s="4"/>
    </row>
    <row r="1054" ht="13.5" hidden="1" customHeight="1">
      <c r="A1054" s="4" t="str">
        <f t="shared" si="1"/>
        <v>LFW-ODYSSEY03XYG</v>
      </c>
      <c r="B1054" s="29" t="s">
        <v>483</v>
      </c>
      <c r="C1054" s="28" t="s">
        <v>484</v>
      </c>
      <c r="D1054" s="28" t="s">
        <v>22</v>
      </c>
      <c r="E1054" s="4" t="s">
        <v>16</v>
      </c>
      <c r="F1054" s="28" t="s">
        <v>125</v>
      </c>
      <c r="G1054" s="4"/>
      <c r="H1054" s="4">
        <f>SUMIFS(X!$F$5:$F$2005,X!$D$5:$D$2005,'CEK CICI'!A1054)</f>
        <v>0</v>
      </c>
      <c r="I1054" s="4">
        <f>SUMIFS(PENJUALAN!$E$4:$E$4288,PENJUALAN!$C$4:$C$4288,'CEK CICI'!A1054)</f>
        <v>0</v>
      </c>
      <c r="J1054" s="16">
        <f t="shared" si="2"/>
        <v>0</v>
      </c>
      <c r="K1054" s="4"/>
      <c r="L1054" s="4"/>
      <c r="M1054" s="4"/>
      <c r="N1054" s="4"/>
    </row>
    <row r="1055" ht="13.5" hidden="1" customHeight="1">
      <c r="A1055" s="4" t="str">
        <f t="shared" si="1"/>
        <v>LFW-ODYSSEY09XYG</v>
      </c>
      <c r="B1055" s="29" t="s">
        <v>492</v>
      </c>
      <c r="C1055" s="28" t="s">
        <v>493</v>
      </c>
      <c r="D1055" s="28" t="s">
        <v>22</v>
      </c>
      <c r="E1055" s="4" t="s">
        <v>16</v>
      </c>
      <c r="F1055" s="28" t="s">
        <v>125</v>
      </c>
      <c r="G1055" s="4"/>
      <c r="H1055" s="4">
        <f>SUMIFS(X!$F$5:$F$2005,X!$D$5:$D$2005,'CEK CICI'!A1055)</f>
        <v>2</v>
      </c>
      <c r="I1055" s="4">
        <f>SUMIFS(PENJUALAN!$E$4:$E$4288,PENJUALAN!$C$4:$C$4288,'CEK CICI'!A1055)</f>
        <v>1</v>
      </c>
      <c r="J1055" s="16">
        <f t="shared" si="2"/>
        <v>1</v>
      </c>
      <c r="K1055" s="15" t="s">
        <v>2085</v>
      </c>
      <c r="L1055" s="15"/>
      <c r="M1055" s="4"/>
      <c r="N1055" s="4"/>
    </row>
    <row r="1056" ht="13.5" hidden="1" customHeight="1">
      <c r="A1056" s="4" t="str">
        <f t="shared" si="1"/>
        <v>TRW-ODYSSEY09XYG</v>
      </c>
      <c r="B1056" s="29" t="s">
        <v>1495</v>
      </c>
      <c r="C1056" s="28" t="s">
        <v>493</v>
      </c>
      <c r="D1056" s="28" t="s">
        <v>41</v>
      </c>
      <c r="E1056" s="4" t="s">
        <v>16</v>
      </c>
      <c r="F1056" s="28" t="s">
        <v>67</v>
      </c>
      <c r="G1056" s="4"/>
      <c r="H1056" s="4">
        <f>SUMIFS(X!$F$5:$F$2005,X!$D$5:$D$2005,'CEK CICI'!A1056)</f>
        <v>0</v>
      </c>
      <c r="I1056" s="4">
        <f>SUMIFS(PENJUALAN!$E$4:$E$4288,PENJUALAN!$C$4:$C$4288,'CEK CICI'!A1056)</f>
        <v>0</v>
      </c>
      <c r="J1056" s="16">
        <f t="shared" si="2"/>
        <v>0</v>
      </c>
      <c r="K1056" s="4"/>
      <c r="L1056" s="4"/>
      <c r="M1056" s="4"/>
      <c r="N1056" s="4"/>
    </row>
    <row r="1057" ht="13.5" hidden="1" customHeight="1">
      <c r="A1057" s="4" t="str">
        <f t="shared" si="1"/>
        <v>LFW-ODYSSEY13XYG</v>
      </c>
      <c r="B1057" s="29" t="s">
        <v>500</v>
      </c>
      <c r="C1057" s="28" t="s">
        <v>501</v>
      </c>
      <c r="D1057" s="28" t="s">
        <v>22</v>
      </c>
      <c r="E1057" s="4" t="s">
        <v>16</v>
      </c>
      <c r="F1057" s="28" t="s">
        <v>125</v>
      </c>
      <c r="G1057" s="4"/>
      <c r="H1057" s="4">
        <f>SUMIFS(X!$F$5:$F$2005,X!$D$5:$D$2005,'CEK CICI'!A1057)</f>
        <v>1</v>
      </c>
      <c r="I1057" s="4">
        <f>SUMIFS(PENJUALAN!$E$4:$E$4288,PENJUALAN!$C$4:$C$4288,'CEK CICI'!A1057)</f>
        <v>0</v>
      </c>
      <c r="J1057" s="16">
        <f t="shared" si="2"/>
        <v>1</v>
      </c>
      <c r="K1057" s="15" t="s">
        <v>2085</v>
      </c>
      <c r="L1057" s="4"/>
      <c r="M1057" s="4"/>
      <c r="N1057" s="4"/>
    </row>
    <row r="1058" ht="13.5" hidden="1" customHeight="1">
      <c r="A1058" s="4" t="str">
        <f t="shared" si="1"/>
        <v>TRW-STREAM00XYG</v>
      </c>
      <c r="B1058" s="29" t="s">
        <v>506</v>
      </c>
      <c r="C1058" s="28" t="s">
        <v>507</v>
      </c>
      <c r="D1058" s="28" t="s">
        <v>41</v>
      </c>
      <c r="E1058" s="4" t="s">
        <v>16</v>
      </c>
      <c r="F1058" s="28" t="s">
        <v>221</v>
      </c>
      <c r="G1058" s="4"/>
      <c r="H1058" s="4">
        <f>SUMIFS(X!$F$5:$F$2005,X!$D$5:$D$2005,'CEK CICI'!A1058)</f>
        <v>1</v>
      </c>
      <c r="I1058" s="4">
        <f>SUMIFS(PENJUALAN!$E$4:$E$4288,PENJUALAN!$C$4:$C$4288,'CEK CICI'!A1058)</f>
        <v>1</v>
      </c>
      <c r="J1058" s="16">
        <f t="shared" si="2"/>
        <v>0</v>
      </c>
      <c r="K1058" s="4"/>
      <c r="L1058" s="4"/>
      <c r="M1058" s="4"/>
      <c r="N1058" s="4"/>
    </row>
    <row r="1059" ht="13.5" hidden="1" customHeight="1">
      <c r="A1059" s="4" t="str">
        <f t="shared" si="1"/>
        <v>LFW-STREAM00NOXYG</v>
      </c>
      <c r="B1059" s="29" t="s">
        <v>1500</v>
      </c>
      <c r="C1059" s="28" t="s">
        <v>1501</v>
      </c>
      <c r="D1059" s="28" t="s">
        <v>22</v>
      </c>
      <c r="E1059" s="4" t="s">
        <v>16</v>
      </c>
      <c r="F1059" s="28" t="s">
        <v>97</v>
      </c>
      <c r="G1059" s="4"/>
      <c r="H1059" s="4">
        <f>SUMIFS(X!$F$5:$F$2005,X!$D$5:$D$2005,'CEK CICI'!A1059)</f>
        <v>1</v>
      </c>
      <c r="I1059" s="4">
        <f>SUMIFS(PENJUALAN!$E$4:$E$4288,PENJUALAN!$C$4:$C$4288,'CEK CICI'!A1059)</f>
        <v>0</v>
      </c>
      <c r="J1059" s="16">
        <f t="shared" si="2"/>
        <v>1</v>
      </c>
      <c r="K1059" s="15" t="s">
        <v>1442</v>
      </c>
      <c r="L1059" s="15"/>
      <c r="M1059" s="4"/>
      <c r="N1059" s="4"/>
    </row>
    <row r="1060" ht="13.5" hidden="1" customHeight="1">
      <c r="A1060" s="4" t="str">
        <f t="shared" si="1"/>
        <v>LFW-STREAM00MBXYG</v>
      </c>
      <c r="B1060" s="29" t="s">
        <v>509</v>
      </c>
      <c r="C1060" s="28" t="s">
        <v>510</v>
      </c>
      <c r="D1060" s="28" t="s">
        <v>22</v>
      </c>
      <c r="E1060" s="4" t="s">
        <v>16</v>
      </c>
      <c r="F1060" s="28" t="s">
        <v>125</v>
      </c>
      <c r="G1060" s="4"/>
      <c r="H1060" s="4">
        <f>SUMIFS(X!$F$5:$F$2005,X!$D$5:$D$2005,'CEK CICI'!A1060)</f>
        <v>3</v>
      </c>
      <c r="I1060" s="4">
        <f>SUMIFS(PENJUALAN!$E$4:$E$4288,PENJUALAN!$C$4:$C$4288,'CEK CICI'!A1060)</f>
        <v>3</v>
      </c>
      <c r="J1060" s="16">
        <f t="shared" si="2"/>
        <v>0</v>
      </c>
      <c r="K1060" s="15" t="s">
        <v>1442</v>
      </c>
      <c r="L1060" s="15"/>
      <c r="M1060" s="4"/>
      <c r="N1060" s="4"/>
    </row>
    <row r="1061" ht="13.5" hidden="1" customHeight="1">
      <c r="A1061" s="4" t="str">
        <f t="shared" si="1"/>
        <v>TRW-EXCEL94XYG</v>
      </c>
      <c r="B1061" s="29" t="s">
        <v>1504</v>
      </c>
      <c r="C1061" s="30" t="s">
        <v>1505</v>
      </c>
      <c r="D1061" s="28" t="s">
        <v>41</v>
      </c>
      <c r="E1061" s="4" t="s">
        <v>16</v>
      </c>
      <c r="F1061" s="28"/>
      <c r="G1061" s="4"/>
      <c r="H1061" s="4">
        <f>SUMIFS(X!$F$5:$F$2005,X!$D$5:$D$2005,'CEK CICI'!A1061)</f>
        <v>0</v>
      </c>
      <c r="I1061" s="4">
        <f>SUMIFS(PENJUALAN!$E$4:$E$4288,PENJUALAN!$C$4:$C$4288,'CEK CICI'!A1061)</f>
        <v>0</v>
      </c>
      <c r="J1061" s="16">
        <f t="shared" si="2"/>
        <v>0</v>
      </c>
      <c r="K1061" s="4"/>
      <c r="L1061" s="4"/>
      <c r="M1061" s="4"/>
      <c r="N1061" s="4"/>
    </row>
    <row r="1062" ht="13.5" hidden="1" customHeight="1">
      <c r="A1062" s="4" t="str">
        <f t="shared" si="1"/>
        <v>LFW-AVEGA01XYG</v>
      </c>
      <c r="B1062" s="29" t="s">
        <v>1506</v>
      </c>
      <c r="C1062" s="30" t="s">
        <v>1507</v>
      </c>
      <c r="D1062" s="30" t="s">
        <v>22</v>
      </c>
      <c r="E1062" s="4" t="s">
        <v>16</v>
      </c>
      <c r="F1062" s="34" t="s">
        <v>125</v>
      </c>
      <c r="G1062" s="4"/>
      <c r="H1062" s="4">
        <f>SUMIFS(X!$F$5:$F$2005,X!$D$5:$D$2005,'CEK CICI'!A1062)</f>
        <v>2</v>
      </c>
      <c r="I1062" s="4">
        <f>SUMIFS(PENJUALAN!$E$4:$E$4288,PENJUALAN!$C$4:$C$4288,'CEK CICI'!A1062)</f>
        <v>2</v>
      </c>
      <c r="J1062" s="16">
        <f t="shared" si="2"/>
        <v>0</v>
      </c>
      <c r="K1062" s="15" t="s">
        <v>1365</v>
      </c>
      <c r="L1062" s="15"/>
      <c r="M1062" s="4"/>
      <c r="N1062" s="4"/>
    </row>
    <row r="1063" ht="13.5" hidden="1" customHeight="1">
      <c r="A1063" s="4" t="str">
        <f t="shared" si="1"/>
        <v>TRW-VERNA00XYG</v>
      </c>
      <c r="B1063" s="29" t="s">
        <v>511</v>
      </c>
      <c r="C1063" s="28" t="s">
        <v>512</v>
      </c>
      <c r="D1063" s="28" t="s">
        <v>41</v>
      </c>
      <c r="E1063" s="4" t="s">
        <v>16</v>
      </c>
      <c r="F1063" s="28" t="s">
        <v>67</v>
      </c>
      <c r="G1063" s="4"/>
      <c r="H1063" s="4">
        <f>SUMIFS(X!$F$5:$F$2005,X!$D$5:$D$2005,'CEK CICI'!A1063)</f>
        <v>0</v>
      </c>
      <c r="I1063" s="4">
        <f>SUMIFS(PENJUALAN!$E$4:$E$4288,PENJUALAN!$C$4:$C$4288,'CEK CICI'!A1063)</f>
        <v>0</v>
      </c>
      <c r="J1063" s="16">
        <f t="shared" si="2"/>
        <v>0</v>
      </c>
      <c r="K1063" s="4"/>
      <c r="L1063" s="4"/>
      <c r="M1063" s="4"/>
      <c r="N1063" s="4"/>
    </row>
    <row r="1064" ht="13.5" hidden="1" customHeight="1">
      <c r="A1064" s="4" t="str">
        <f t="shared" si="1"/>
        <v>TRW-AVEGA99XYG</v>
      </c>
      <c r="B1064" s="29" t="s">
        <v>2253</v>
      </c>
      <c r="C1064" s="28" t="s">
        <v>2254</v>
      </c>
      <c r="D1064" s="30" t="s">
        <v>41</v>
      </c>
      <c r="E1064" s="4" t="s">
        <v>16</v>
      </c>
      <c r="F1064" s="28" t="s">
        <v>67</v>
      </c>
      <c r="G1064" s="4"/>
      <c r="H1064" s="4">
        <f>SUMIFS(X!$F$5:$F$2005,X!$D$5:$D$2005,'CEK CICI'!A1064)</f>
        <v>1</v>
      </c>
      <c r="I1064" s="4">
        <f>SUMIFS(PENJUALAN!$E$4:$E$4288,PENJUALAN!$C$4:$C$4288,'CEK CICI'!A1064)</f>
        <v>1</v>
      </c>
      <c r="J1064" s="16">
        <f t="shared" si="2"/>
        <v>0</v>
      </c>
      <c r="K1064" s="4"/>
      <c r="L1064" s="4"/>
      <c r="M1064" s="4"/>
      <c r="N1064" s="4"/>
    </row>
    <row r="1065" ht="13.5" hidden="1" customHeight="1">
      <c r="A1065" s="4" t="str">
        <f t="shared" si="1"/>
        <v>LFW-CRETARSXYG</v>
      </c>
      <c r="B1065" s="46" t="s">
        <v>1510</v>
      </c>
      <c r="C1065" s="33" t="s">
        <v>1364</v>
      </c>
      <c r="D1065" s="47" t="s">
        <v>22</v>
      </c>
      <c r="E1065" s="4" t="s">
        <v>16</v>
      </c>
      <c r="F1065" s="47" t="s">
        <v>75</v>
      </c>
      <c r="G1065" s="53"/>
      <c r="H1065" s="4">
        <f>SUMIFS(X!$F$5:$F$2005,X!$D$5:$D$2005,'CEK CICI'!A1065)</f>
        <v>0</v>
      </c>
      <c r="I1065" s="4">
        <f>SUMIFS(PENJUALAN!$E$4:$E$4288,PENJUALAN!$C$4:$C$4288,'CEK CICI'!A1065)</f>
        <v>0</v>
      </c>
      <c r="J1065" s="16">
        <f t="shared" si="2"/>
        <v>0</v>
      </c>
      <c r="K1065" s="4"/>
      <c r="L1065" s="4"/>
      <c r="M1065" s="4"/>
      <c r="N1065" s="4"/>
    </row>
    <row r="1066" ht="13.5" hidden="1" customHeight="1">
      <c r="A1066" s="4" t="str">
        <f t="shared" si="1"/>
        <v>LFW-CRETAXYG</v>
      </c>
      <c r="B1066" s="50" t="s">
        <v>1363</v>
      </c>
      <c r="C1066" s="33" t="s">
        <v>1364</v>
      </c>
      <c r="D1066" s="51" t="s">
        <v>22</v>
      </c>
      <c r="E1066" s="4" t="s">
        <v>16</v>
      </c>
      <c r="F1066" s="47" t="s">
        <v>125</v>
      </c>
      <c r="G1066" s="53"/>
      <c r="H1066" s="4">
        <f>SUMIFS(X!$F$5:$F$2005,X!$D$5:$D$2005,'CEK CICI'!A1066)</f>
        <v>2</v>
      </c>
      <c r="I1066" s="4">
        <f>SUMIFS(PENJUALAN!$E$4:$E$4288,PENJUALAN!$C$4:$C$4288,'CEK CICI'!A1066)</f>
        <v>1</v>
      </c>
      <c r="J1066" s="16">
        <f t="shared" si="2"/>
        <v>1</v>
      </c>
      <c r="K1066" s="15" t="s">
        <v>1365</v>
      </c>
      <c r="L1066" s="15"/>
      <c r="M1066" s="4"/>
      <c r="N1066" s="4"/>
    </row>
    <row r="1067" ht="13.5" hidden="1" customHeight="1">
      <c r="A1067" s="4" t="str">
        <f t="shared" si="1"/>
        <v>TRW-CRETAXYG</v>
      </c>
      <c r="B1067" s="50" t="s">
        <v>1512</v>
      </c>
      <c r="C1067" s="33" t="s">
        <v>1364</v>
      </c>
      <c r="D1067" s="51" t="s">
        <v>41</v>
      </c>
      <c r="E1067" s="4" t="s">
        <v>16</v>
      </c>
      <c r="F1067" s="51" t="s">
        <v>533</v>
      </c>
      <c r="G1067" s="53"/>
      <c r="H1067" s="4">
        <f>SUMIFS(X!$F$5:$F$2005,X!$D$5:$D$2005,'CEK CICI'!A1067)</f>
        <v>0</v>
      </c>
      <c r="I1067" s="4">
        <f>SUMIFS(PENJUALAN!$E$4:$E$4288,PENJUALAN!$C$4:$C$4288,'CEK CICI'!A1067)</f>
        <v>0</v>
      </c>
      <c r="J1067" s="16">
        <f t="shared" si="2"/>
        <v>0</v>
      </c>
      <c r="K1067" s="4"/>
      <c r="L1067" s="4"/>
      <c r="M1067" s="4"/>
      <c r="N1067" s="4"/>
    </row>
    <row r="1068" ht="13.5" hidden="1" customHeight="1">
      <c r="A1068" s="4" t="str">
        <f t="shared" si="1"/>
        <v>LFW-ELANTRAXYG</v>
      </c>
      <c r="B1068" s="29" t="s">
        <v>513</v>
      </c>
      <c r="C1068" s="28" t="s">
        <v>514</v>
      </c>
      <c r="D1068" s="28" t="s">
        <v>22</v>
      </c>
      <c r="E1068" s="4" t="s">
        <v>16</v>
      </c>
      <c r="F1068" s="28" t="s">
        <v>125</v>
      </c>
      <c r="G1068" s="4"/>
      <c r="H1068" s="4">
        <f>SUMIFS(X!$F$5:$F$2005,X!$D$5:$D$2005,'CEK CICI'!A1068)</f>
        <v>0</v>
      </c>
      <c r="I1068" s="4">
        <f>SUMIFS(PENJUALAN!$E$4:$E$4288,PENJUALAN!$C$4:$C$4288,'CEK CICI'!A1068)</f>
        <v>0</v>
      </c>
      <c r="J1068" s="16">
        <f t="shared" si="2"/>
        <v>0</v>
      </c>
      <c r="K1068" s="4"/>
      <c r="L1068" s="4"/>
      <c r="M1068" s="4"/>
      <c r="N1068" s="4"/>
    </row>
    <row r="1069" ht="13.5" hidden="1" customHeight="1">
      <c r="A1069" s="4" t="str">
        <f t="shared" si="1"/>
        <v>LFW-GETZXYG</v>
      </c>
      <c r="B1069" s="29" t="s">
        <v>515</v>
      </c>
      <c r="C1069" s="28" t="s">
        <v>516</v>
      </c>
      <c r="D1069" s="28" t="s">
        <v>22</v>
      </c>
      <c r="E1069" s="4" t="s">
        <v>16</v>
      </c>
      <c r="F1069" s="28" t="s">
        <v>125</v>
      </c>
      <c r="G1069" s="4"/>
      <c r="H1069" s="4">
        <f>SUMIFS(X!$F$5:$F$2005,X!$D$5:$D$2005,'CEK CICI'!A1069)</f>
        <v>1</v>
      </c>
      <c r="I1069" s="4">
        <f>SUMIFS(PENJUALAN!$E$4:$E$4288,PENJUALAN!$C$4:$C$4288,'CEK CICI'!A1069)</f>
        <v>1</v>
      </c>
      <c r="J1069" s="16">
        <f t="shared" si="2"/>
        <v>0</v>
      </c>
      <c r="K1069" s="4"/>
      <c r="L1069" s="4"/>
      <c r="M1069" s="4"/>
      <c r="N1069" s="4"/>
    </row>
    <row r="1070" ht="13.5" hidden="1" customHeight="1">
      <c r="A1070" s="4" t="str">
        <f t="shared" si="1"/>
        <v>TRW-GETZXYG</v>
      </c>
      <c r="B1070" s="29" t="s">
        <v>517</v>
      </c>
      <c r="C1070" s="28" t="s">
        <v>516</v>
      </c>
      <c r="D1070" s="28" t="s">
        <v>41</v>
      </c>
      <c r="E1070" s="4" t="s">
        <v>16</v>
      </c>
      <c r="F1070" s="28" t="s">
        <v>221</v>
      </c>
      <c r="G1070" s="4"/>
      <c r="H1070" s="4">
        <f>SUMIFS(X!$F$5:$F$2005,X!$D$5:$D$2005,'CEK CICI'!A1070)</f>
        <v>0</v>
      </c>
      <c r="I1070" s="4">
        <f>SUMIFS(PENJUALAN!$E$4:$E$4288,PENJUALAN!$C$4:$C$4288,'CEK CICI'!A1070)</f>
        <v>0</v>
      </c>
      <c r="J1070" s="16">
        <f t="shared" si="2"/>
        <v>0</v>
      </c>
      <c r="K1070" s="4"/>
      <c r="L1070" s="4"/>
      <c r="M1070" s="4"/>
      <c r="N1070" s="4"/>
    </row>
    <row r="1071" ht="13.5" hidden="1" customHeight="1">
      <c r="A1071" s="4" t="str">
        <f t="shared" si="1"/>
        <v>FDL-GETZXYG</v>
      </c>
      <c r="B1071" s="29" t="s">
        <v>518</v>
      </c>
      <c r="C1071" s="28" t="s">
        <v>516</v>
      </c>
      <c r="D1071" s="28" t="s">
        <v>128</v>
      </c>
      <c r="E1071" s="4" t="s">
        <v>16</v>
      </c>
      <c r="F1071" s="28" t="s">
        <v>141</v>
      </c>
      <c r="G1071" s="4"/>
      <c r="H1071" s="4">
        <f>SUMIFS(X!$F$5:$F$2005,X!$D$5:$D$2005,'CEK CICI'!A1071)</f>
        <v>0</v>
      </c>
      <c r="I1071" s="4">
        <f>SUMIFS(PENJUALAN!$E$4:$E$4288,PENJUALAN!$C$4:$C$4288,'CEK CICI'!A1071)</f>
        <v>0</v>
      </c>
      <c r="J1071" s="16">
        <f t="shared" si="2"/>
        <v>0</v>
      </c>
      <c r="K1071" s="4"/>
      <c r="L1071" s="4"/>
      <c r="M1071" s="4"/>
      <c r="N1071" s="4"/>
    </row>
    <row r="1072" ht="13.5" hidden="1" customHeight="1">
      <c r="A1072" s="4" t="str">
        <f t="shared" si="1"/>
        <v>FDR-GETZXYG</v>
      </c>
      <c r="B1072" s="29" t="s">
        <v>519</v>
      </c>
      <c r="C1072" s="28" t="s">
        <v>516</v>
      </c>
      <c r="D1072" s="28" t="s">
        <v>130</v>
      </c>
      <c r="E1072" s="4" t="s">
        <v>16</v>
      </c>
      <c r="F1072" s="28" t="s">
        <v>141</v>
      </c>
      <c r="G1072" s="4"/>
      <c r="H1072" s="4">
        <f>SUMIFS(X!$F$5:$F$2005,X!$D$5:$D$2005,'CEK CICI'!A1072)</f>
        <v>0</v>
      </c>
      <c r="I1072" s="4">
        <f>SUMIFS(PENJUALAN!$E$4:$E$4288,PENJUALAN!$C$4:$C$4288,'CEK CICI'!A1072)</f>
        <v>0</v>
      </c>
      <c r="J1072" s="16">
        <f t="shared" si="2"/>
        <v>0</v>
      </c>
      <c r="K1072" s="4"/>
      <c r="L1072" s="4"/>
      <c r="M1072" s="4"/>
      <c r="N1072" s="4"/>
    </row>
    <row r="1073" ht="13.5" hidden="1" customHeight="1">
      <c r="A1073" s="4" t="str">
        <f t="shared" si="1"/>
        <v>RDR-GETZXYG</v>
      </c>
      <c r="B1073" s="29" t="s">
        <v>521</v>
      </c>
      <c r="C1073" s="28" t="s">
        <v>516</v>
      </c>
      <c r="D1073" s="28" t="s">
        <v>134</v>
      </c>
      <c r="E1073" s="4" t="s">
        <v>16</v>
      </c>
      <c r="F1073" s="28"/>
      <c r="G1073" s="4"/>
      <c r="H1073" s="4">
        <f>SUMIFS(X!$F$5:$F$2005,X!$D$5:$D$2005,'CEK CICI'!A1073)</f>
        <v>0</v>
      </c>
      <c r="I1073" s="4">
        <f>SUMIFS(PENJUALAN!$E$4:$E$4288,PENJUALAN!$C$4:$C$4288,'CEK CICI'!A1073)</f>
        <v>0</v>
      </c>
      <c r="J1073" s="16">
        <f t="shared" si="2"/>
        <v>0</v>
      </c>
      <c r="K1073" s="4"/>
      <c r="L1073" s="4"/>
      <c r="M1073" s="4"/>
      <c r="N1073" s="4"/>
    </row>
    <row r="1074" ht="13.5" customHeight="1">
      <c r="A1074" s="4" t="str">
        <f t="shared" si="1"/>
        <v>LFW-GAVEGAXYG</v>
      </c>
      <c r="B1074" s="29" t="s">
        <v>522</v>
      </c>
      <c r="C1074" s="28" t="s">
        <v>523</v>
      </c>
      <c r="D1074" s="28" t="s">
        <v>22</v>
      </c>
      <c r="E1074" s="4" t="s">
        <v>16</v>
      </c>
      <c r="F1074" s="28" t="s">
        <v>125</v>
      </c>
      <c r="G1074" s="15">
        <v>1.0</v>
      </c>
      <c r="H1074" s="4">
        <f>SUMIFS(X!$F$5:$F$2005,X!$D$5:$D$2005,'CEK CICI'!A1074)</f>
        <v>1</v>
      </c>
      <c r="I1074" s="4">
        <f>SUMIFS(PENJUALAN!$E$4:$E$4288,PENJUALAN!$C$4:$C$4288,'CEK CICI'!A1074)</f>
        <v>1</v>
      </c>
      <c r="J1074" s="16">
        <f t="shared" si="2"/>
        <v>0</v>
      </c>
      <c r="K1074" s="4"/>
      <c r="L1074" s="4"/>
      <c r="M1074" s="4"/>
      <c r="N1074" s="4"/>
    </row>
    <row r="1075" ht="13.5" hidden="1" customHeight="1">
      <c r="A1075" s="4" t="str">
        <f t="shared" si="1"/>
        <v>TRW-GAVEGAXYG</v>
      </c>
      <c r="B1075" s="29" t="s">
        <v>524</v>
      </c>
      <c r="C1075" s="28" t="s">
        <v>523</v>
      </c>
      <c r="D1075" s="28" t="s">
        <v>41</v>
      </c>
      <c r="E1075" s="4" t="s">
        <v>16</v>
      </c>
      <c r="F1075" s="28" t="s">
        <v>221</v>
      </c>
      <c r="G1075" s="4"/>
      <c r="H1075" s="4">
        <f>SUMIFS(X!$F$5:$F$2005,X!$D$5:$D$2005,'CEK CICI'!A1075)</f>
        <v>0</v>
      </c>
      <c r="I1075" s="4">
        <f>SUMIFS(PENJUALAN!$E$4:$E$4288,PENJUALAN!$C$4:$C$4288,'CEK CICI'!A1075)</f>
        <v>0</v>
      </c>
      <c r="J1075" s="16">
        <f t="shared" si="2"/>
        <v>0</v>
      </c>
      <c r="K1075" s="4"/>
      <c r="L1075" s="4"/>
      <c r="M1075" s="4"/>
      <c r="N1075" s="4"/>
    </row>
    <row r="1076" ht="13.5" hidden="1" customHeight="1">
      <c r="A1076" s="4" t="str">
        <f t="shared" si="1"/>
        <v>RDL-GAVEGAXYG</v>
      </c>
      <c r="B1076" s="29" t="s">
        <v>525</v>
      </c>
      <c r="C1076" s="28" t="s">
        <v>523</v>
      </c>
      <c r="D1076" s="28" t="s">
        <v>132</v>
      </c>
      <c r="E1076" s="4" t="s">
        <v>16</v>
      </c>
      <c r="F1076" s="28" t="s">
        <v>141</v>
      </c>
      <c r="G1076" s="4"/>
      <c r="H1076" s="4">
        <f>SUMIFS(X!$F$5:$F$2005,X!$D$5:$D$2005,'CEK CICI'!A1076)</f>
        <v>0</v>
      </c>
      <c r="I1076" s="4">
        <f>SUMIFS(PENJUALAN!$E$4:$E$4288,PENJUALAN!$C$4:$C$4288,'CEK CICI'!A1076)</f>
        <v>0</v>
      </c>
      <c r="J1076" s="16">
        <f t="shared" si="2"/>
        <v>0</v>
      </c>
      <c r="K1076" s="4"/>
      <c r="L1076" s="4"/>
      <c r="M1076" s="4"/>
      <c r="N1076" s="4"/>
    </row>
    <row r="1077" ht="13.5" hidden="1" customHeight="1">
      <c r="A1077" s="4" t="str">
        <f t="shared" si="1"/>
        <v>LFW-H1XYG</v>
      </c>
      <c r="B1077" s="29" t="s">
        <v>527</v>
      </c>
      <c r="C1077" s="28" t="s">
        <v>528</v>
      </c>
      <c r="D1077" s="28" t="s">
        <v>22</v>
      </c>
      <c r="E1077" s="4" t="s">
        <v>16</v>
      </c>
      <c r="F1077" s="28" t="s">
        <v>125</v>
      </c>
      <c r="G1077" s="4"/>
      <c r="H1077" s="4">
        <f>SUMIFS(X!$F$5:$F$2005,X!$D$5:$D$2005,'CEK CICI'!A1077)</f>
        <v>0</v>
      </c>
      <c r="I1077" s="4">
        <f>SUMIFS(PENJUALAN!$E$4:$E$4288,PENJUALAN!$C$4:$C$4288,'CEK CICI'!A1077)</f>
        <v>0</v>
      </c>
      <c r="J1077" s="16">
        <f t="shared" si="2"/>
        <v>0</v>
      </c>
      <c r="K1077" s="4"/>
      <c r="L1077" s="4"/>
      <c r="M1077" s="4"/>
      <c r="N1077" s="4"/>
    </row>
    <row r="1078" ht="13.5" hidden="1" customHeight="1">
      <c r="A1078" s="4" t="str">
        <f t="shared" si="1"/>
        <v>TRW-H1XYG</v>
      </c>
      <c r="B1078" s="29" t="s">
        <v>529</v>
      </c>
      <c r="C1078" s="28" t="s">
        <v>530</v>
      </c>
      <c r="D1078" s="28" t="s">
        <v>41</v>
      </c>
      <c r="E1078" s="4" t="s">
        <v>16</v>
      </c>
      <c r="F1078" s="28" t="s">
        <v>221</v>
      </c>
      <c r="G1078" s="4"/>
      <c r="H1078" s="4">
        <f>SUMIFS(X!$F$5:$F$2005,X!$D$5:$D$2005,'CEK CICI'!A1078)</f>
        <v>1</v>
      </c>
      <c r="I1078" s="4">
        <f>SUMIFS(PENJUALAN!$E$4:$E$4288,PENJUALAN!$C$4:$C$4288,'CEK CICI'!A1078)</f>
        <v>1</v>
      </c>
      <c r="J1078" s="16">
        <f t="shared" si="2"/>
        <v>0</v>
      </c>
      <c r="K1078" s="4"/>
      <c r="L1078" s="4"/>
      <c r="M1078" s="4"/>
      <c r="N1078" s="4"/>
    </row>
    <row r="1079" ht="13.5" hidden="1" customHeight="1">
      <c r="A1079" s="4" t="str">
        <f t="shared" si="1"/>
        <v>TRW-H1NOHOLEXYG</v>
      </c>
      <c r="B1079" s="29" t="s">
        <v>1521</v>
      </c>
      <c r="C1079" s="28" t="s">
        <v>1522</v>
      </c>
      <c r="D1079" s="28" t="s">
        <v>41</v>
      </c>
      <c r="E1079" s="4" t="s">
        <v>16</v>
      </c>
      <c r="F1079" s="28" t="s">
        <v>67</v>
      </c>
      <c r="G1079" s="4"/>
      <c r="H1079" s="4">
        <f>SUMIFS(X!$F$5:$F$2005,X!$D$5:$D$2005,'CEK CICI'!A1079)</f>
        <v>0</v>
      </c>
      <c r="I1079" s="4">
        <f>SUMIFS(PENJUALAN!$E$4:$E$4288,PENJUALAN!$C$4:$C$4288,'CEK CICI'!A1079)</f>
        <v>0</v>
      </c>
      <c r="J1079" s="16">
        <f t="shared" si="2"/>
        <v>0</v>
      </c>
      <c r="K1079" s="4"/>
      <c r="L1079" s="4"/>
      <c r="M1079" s="4"/>
      <c r="N1079" s="4"/>
    </row>
    <row r="1080" ht="13.5" hidden="1" customHeight="1">
      <c r="A1080" s="4" t="str">
        <f t="shared" si="1"/>
        <v>RDL-H1FRAMEXYG</v>
      </c>
      <c r="B1080" s="29" t="s">
        <v>1523</v>
      </c>
      <c r="C1080" s="28" t="s">
        <v>1524</v>
      </c>
      <c r="D1080" s="28" t="s">
        <v>132</v>
      </c>
      <c r="E1080" s="4" t="s">
        <v>16</v>
      </c>
      <c r="F1080" s="28"/>
      <c r="G1080" s="4"/>
      <c r="H1080" s="4">
        <f>SUMIFS(X!$F$5:$F$2005,X!$D$5:$D$2005,'CEK CICI'!A1080)</f>
        <v>0</v>
      </c>
      <c r="I1080" s="4">
        <f>SUMIFS(PENJUALAN!$E$4:$E$4288,PENJUALAN!$C$4:$C$4288,'CEK CICI'!A1080)</f>
        <v>0</v>
      </c>
      <c r="J1080" s="16">
        <f t="shared" si="2"/>
        <v>0</v>
      </c>
      <c r="K1080" s="4"/>
      <c r="L1080" s="4"/>
      <c r="M1080" s="4"/>
      <c r="N1080" s="4"/>
    </row>
    <row r="1081" ht="13.5" hidden="1" customHeight="1">
      <c r="A1081" s="4" t="str">
        <f t="shared" si="1"/>
        <v>RDR-H1FRAMEXYG</v>
      </c>
      <c r="B1081" s="29" t="s">
        <v>1525</v>
      </c>
      <c r="C1081" s="28" t="s">
        <v>1524</v>
      </c>
      <c r="D1081" s="28" t="s">
        <v>134</v>
      </c>
      <c r="E1081" s="4" t="s">
        <v>16</v>
      </c>
      <c r="F1081" s="28"/>
      <c r="G1081" s="4"/>
      <c r="H1081" s="4">
        <f>SUMIFS(X!$F$5:$F$2005,X!$D$5:$D$2005,'CEK CICI'!A1081)</f>
        <v>0</v>
      </c>
      <c r="I1081" s="4">
        <f>SUMIFS(PENJUALAN!$E$4:$E$4288,PENJUALAN!$C$4:$C$4288,'CEK CICI'!A1081)</f>
        <v>0</v>
      </c>
      <c r="J1081" s="16">
        <f t="shared" si="2"/>
        <v>0</v>
      </c>
      <c r="K1081" s="4"/>
      <c r="L1081" s="4"/>
      <c r="M1081" s="4"/>
      <c r="N1081" s="4"/>
    </row>
    <row r="1082" ht="13.5" hidden="1" customHeight="1">
      <c r="A1082" s="4" t="str">
        <f t="shared" si="1"/>
        <v>LFW-I1008XYG</v>
      </c>
      <c r="B1082" s="29" t="s">
        <v>535</v>
      </c>
      <c r="C1082" s="28" t="s">
        <v>536</v>
      </c>
      <c r="D1082" s="28" t="s">
        <v>22</v>
      </c>
      <c r="E1082" s="4" t="s">
        <v>16</v>
      </c>
      <c r="F1082" s="28" t="s">
        <v>125</v>
      </c>
      <c r="G1082" s="4"/>
      <c r="H1082" s="4">
        <f>SUMIFS(X!$F$5:$F$2005,X!$D$5:$D$2005,'CEK CICI'!A1082)</f>
        <v>0</v>
      </c>
      <c r="I1082" s="4">
        <f>SUMIFS(PENJUALAN!$E$4:$E$4288,PENJUALAN!$C$4:$C$4288,'CEK CICI'!A1082)</f>
        <v>0</v>
      </c>
      <c r="J1082" s="16">
        <f t="shared" si="2"/>
        <v>0</v>
      </c>
      <c r="K1082" s="4"/>
      <c r="L1082" s="4"/>
      <c r="M1082" s="4"/>
      <c r="N1082" s="4"/>
    </row>
    <row r="1083" ht="13.5" hidden="1" customHeight="1">
      <c r="A1083" s="4" t="str">
        <f t="shared" si="1"/>
        <v>TRW-I1008XYG</v>
      </c>
      <c r="B1083" s="29" t="s">
        <v>537</v>
      </c>
      <c r="C1083" s="28" t="s">
        <v>536</v>
      </c>
      <c r="D1083" s="28" t="s">
        <v>41</v>
      </c>
      <c r="E1083" s="4" t="s">
        <v>16</v>
      </c>
      <c r="F1083" s="28" t="s">
        <v>67</v>
      </c>
      <c r="G1083" s="4"/>
      <c r="H1083" s="4">
        <f>SUMIFS(X!$F$5:$F$2005,X!$D$5:$D$2005,'CEK CICI'!A1083)</f>
        <v>0</v>
      </c>
      <c r="I1083" s="4">
        <f>SUMIFS(PENJUALAN!$E$4:$E$4288,PENJUALAN!$C$4:$C$4288,'CEK CICI'!A1083)</f>
        <v>0</v>
      </c>
      <c r="J1083" s="16">
        <f t="shared" si="2"/>
        <v>0</v>
      </c>
      <c r="K1083" s="4"/>
      <c r="L1083" s="4"/>
      <c r="M1083" s="4"/>
      <c r="N1083" s="4"/>
    </row>
    <row r="1084" ht="13.5" hidden="1" customHeight="1">
      <c r="A1084" s="4" t="str">
        <f t="shared" si="1"/>
        <v>LFW-I1013XYG</v>
      </c>
      <c r="B1084" s="29" t="s">
        <v>542</v>
      </c>
      <c r="C1084" s="28" t="s">
        <v>543</v>
      </c>
      <c r="D1084" s="28" t="s">
        <v>22</v>
      </c>
      <c r="E1084" s="4" t="s">
        <v>16</v>
      </c>
      <c r="F1084" s="28" t="s">
        <v>125</v>
      </c>
      <c r="G1084" s="4"/>
      <c r="H1084" s="4">
        <f>SUMIFS(X!$F$5:$F$2005,X!$D$5:$D$2005,'CEK CICI'!A1084)</f>
        <v>0</v>
      </c>
      <c r="I1084" s="4">
        <f>SUMIFS(PENJUALAN!$E$4:$E$4288,PENJUALAN!$C$4:$C$4288,'CEK CICI'!A1084)</f>
        <v>0</v>
      </c>
      <c r="J1084" s="16">
        <f t="shared" si="2"/>
        <v>0</v>
      </c>
      <c r="K1084" s="4"/>
      <c r="L1084" s="4"/>
      <c r="M1084" s="4"/>
      <c r="N1084" s="4"/>
    </row>
    <row r="1085" ht="13.5" hidden="1" customHeight="1">
      <c r="A1085" s="4" t="str">
        <f t="shared" si="1"/>
        <v>LFW-I2008XYG</v>
      </c>
      <c r="B1085" s="29" t="s">
        <v>1526</v>
      </c>
      <c r="C1085" s="28" t="s">
        <v>1527</v>
      </c>
      <c r="D1085" s="28" t="s">
        <v>22</v>
      </c>
      <c r="E1085" s="4" t="s">
        <v>16</v>
      </c>
      <c r="F1085" s="28" t="s">
        <v>125</v>
      </c>
      <c r="G1085" s="4"/>
      <c r="H1085" s="4">
        <f>SUMIFS(X!$F$5:$F$2005,X!$D$5:$D$2005,'CEK CICI'!A1085)</f>
        <v>0</v>
      </c>
      <c r="I1085" s="4">
        <f>SUMIFS(PENJUALAN!$E$4:$E$4288,PENJUALAN!$C$4:$C$4288,'CEK CICI'!A1085)</f>
        <v>0</v>
      </c>
      <c r="J1085" s="16">
        <f t="shared" si="2"/>
        <v>0</v>
      </c>
      <c r="K1085" s="4"/>
      <c r="L1085" s="4"/>
      <c r="M1085" s="4"/>
      <c r="N1085" s="4"/>
    </row>
    <row r="1086" ht="13.5" hidden="1" customHeight="1">
      <c r="A1086" s="4" t="str">
        <f t="shared" si="1"/>
        <v>LFW-PALISADEXYG</v>
      </c>
      <c r="B1086" s="29" t="s">
        <v>1528</v>
      </c>
      <c r="C1086" s="28" t="s">
        <v>1529</v>
      </c>
      <c r="D1086" s="28" t="s">
        <v>22</v>
      </c>
      <c r="E1086" s="4" t="s">
        <v>16</v>
      </c>
      <c r="F1086" s="28" t="s">
        <v>125</v>
      </c>
      <c r="G1086" s="4"/>
      <c r="H1086" s="4">
        <f>SUMIFS(X!$F$5:$F$2005,X!$D$5:$D$2005,'CEK CICI'!A1086)</f>
        <v>0</v>
      </c>
      <c r="I1086" s="4">
        <f>SUMIFS(PENJUALAN!$E$4:$E$4288,PENJUALAN!$C$4:$C$4288,'CEK CICI'!A1086)</f>
        <v>0</v>
      </c>
      <c r="J1086" s="16">
        <f t="shared" si="2"/>
        <v>0</v>
      </c>
      <c r="K1086" s="4"/>
      <c r="L1086" s="4"/>
      <c r="M1086" s="4"/>
      <c r="N1086" s="4"/>
    </row>
    <row r="1087" ht="13.5" hidden="1" customHeight="1">
      <c r="A1087" s="4" t="str">
        <f t="shared" si="1"/>
        <v>TRW-PALISADEXYG</v>
      </c>
      <c r="B1087" s="29" t="s">
        <v>1530</v>
      </c>
      <c r="C1087" s="28" t="s">
        <v>1529</v>
      </c>
      <c r="D1087" s="28" t="s">
        <v>41</v>
      </c>
      <c r="E1087" s="4" t="s">
        <v>16</v>
      </c>
      <c r="F1087" s="28" t="s">
        <v>221</v>
      </c>
      <c r="G1087" s="4"/>
      <c r="H1087" s="4">
        <f>SUMIFS(X!$F$5:$F$2005,X!$D$5:$D$2005,'CEK CICI'!A1087)</f>
        <v>0</v>
      </c>
      <c r="I1087" s="4">
        <f>SUMIFS(PENJUALAN!$E$4:$E$4288,PENJUALAN!$C$4:$C$4288,'CEK CICI'!A1087)</f>
        <v>0</v>
      </c>
      <c r="J1087" s="16">
        <f t="shared" si="2"/>
        <v>0</v>
      </c>
      <c r="K1087" s="4"/>
      <c r="L1087" s="4"/>
      <c r="M1087" s="4"/>
      <c r="N1087" s="4"/>
    </row>
    <row r="1088" ht="13.5" hidden="1" customHeight="1">
      <c r="A1088" s="4" t="str">
        <f t="shared" si="1"/>
        <v>LFW-SANTAFE12XYG</v>
      </c>
      <c r="B1088" s="29" t="s">
        <v>559</v>
      </c>
      <c r="C1088" s="28" t="s">
        <v>560</v>
      </c>
      <c r="D1088" s="28" t="s">
        <v>22</v>
      </c>
      <c r="E1088" s="4" t="s">
        <v>16</v>
      </c>
      <c r="F1088" s="28" t="s">
        <v>125</v>
      </c>
      <c r="G1088" s="4"/>
      <c r="H1088" s="4">
        <f>SUMIFS(X!$F$5:$F$2005,X!$D$5:$D$2005,'CEK CICI'!A1088)</f>
        <v>2</v>
      </c>
      <c r="I1088" s="4">
        <f>SUMIFS(PENJUALAN!$E$4:$E$4288,PENJUALAN!$C$4:$C$4288,'CEK CICI'!A1088)</f>
        <v>2</v>
      </c>
      <c r="J1088" s="16">
        <f t="shared" si="2"/>
        <v>0</v>
      </c>
      <c r="K1088" s="4"/>
      <c r="L1088" s="4"/>
      <c r="M1088" s="4"/>
      <c r="N1088" s="4"/>
    </row>
    <row r="1089" ht="13.5" hidden="1" customHeight="1">
      <c r="A1089" s="4" t="str">
        <f t="shared" si="1"/>
        <v>TRW-SANTAFE12XYG</v>
      </c>
      <c r="B1089" s="29" t="s">
        <v>561</v>
      </c>
      <c r="C1089" s="28" t="s">
        <v>560</v>
      </c>
      <c r="D1089" s="28" t="s">
        <v>41</v>
      </c>
      <c r="E1089" s="4" t="s">
        <v>16</v>
      </c>
      <c r="F1089" s="28" t="s">
        <v>221</v>
      </c>
      <c r="G1089" s="4"/>
      <c r="H1089" s="4">
        <f>SUMIFS(X!$F$5:$F$2005,X!$D$5:$D$2005,'CEK CICI'!A1089)</f>
        <v>0</v>
      </c>
      <c r="I1089" s="4">
        <f>SUMIFS(PENJUALAN!$E$4:$E$4288,PENJUALAN!$C$4:$C$4288,'CEK CICI'!A1089)</f>
        <v>0</v>
      </c>
      <c r="J1089" s="16">
        <f t="shared" si="2"/>
        <v>0</v>
      </c>
      <c r="K1089" s="4"/>
      <c r="L1089" s="4"/>
      <c r="M1089" s="4"/>
      <c r="N1089" s="4"/>
    </row>
    <row r="1090" ht="13.5" hidden="1" customHeight="1">
      <c r="A1090" s="4" t="str">
        <f t="shared" si="1"/>
        <v>LFW-SANTAFE19XYG</v>
      </c>
      <c r="B1090" s="29" t="s">
        <v>1533</v>
      </c>
      <c r="C1090" s="30" t="s">
        <v>1534</v>
      </c>
      <c r="D1090" s="30" t="s">
        <v>22</v>
      </c>
      <c r="E1090" s="4" t="s">
        <v>16</v>
      </c>
      <c r="F1090" s="34" t="s">
        <v>125</v>
      </c>
      <c r="G1090" s="4"/>
      <c r="H1090" s="4">
        <f>SUMIFS(X!$F$5:$F$2005,X!$D$5:$D$2005,'CEK CICI'!A1090)</f>
        <v>0</v>
      </c>
      <c r="I1090" s="4">
        <f>SUMIFS(PENJUALAN!$E$4:$E$4288,PENJUALAN!$C$4:$C$4288,'CEK CICI'!A1090)</f>
        <v>0</v>
      </c>
      <c r="J1090" s="16">
        <f t="shared" si="2"/>
        <v>0</v>
      </c>
      <c r="K1090" s="4"/>
      <c r="L1090" s="4"/>
      <c r="M1090" s="4"/>
      <c r="N1090" s="4"/>
    </row>
    <row r="1091" ht="13.5" hidden="1" customHeight="1">
      <c r="A1091" s="4" t="str">
        <f t="shared" si="1"/>
        <v>TRW-SANTAFE19XYG</v>
      </c>
      <c r="B1091" s="29" t="s">
        <v>1535</v>
      </c>
      <c r="C1091" s="30" t="s">
        <v>1534</v>
      </c>
      <c r="D1091" s="30" t="s">
        <v>41</v>
      </c>
      <c r="E1091" s="4" t="s">
        <v>16</v>
      </c>
      <c r="F1091" s="34" t="s">
        <v>67</v>
      </c>
      <c r="G1091" s="4"/>
      <c r="H1091" s="4">
        <f>SUMIFS(X!$F$5:$F$2005,X!$D$5:$D$2005,'CEK CICI'!A1091)</f>
        <v>0</v>
      </c>
      <c r="I1091" s="4">
        <f>SUMIFS(PENJUALAN!$E$4:$E$4288,PENJUALAN!$C$4:$C$4288,'CEK CICI'!A1091)</f>
        <v>0</v>
      </c>
      <c r="J1091" s="16">
        <f t="shared" si="2"/>
        <v>0</v>
      </c>
      <c r="K1091" s="4"/>
      <c r="L1091" s="4"/>
      <c r="M1091" s="4"/>
      <c r="N1091" s="4"/>
    </row>
    <row r="1092" ht="13.5" hidden="1" customHeight="1">
      <c r="A1092" s="4" t="str">
        <f t="shared" si="1"/>
        <v>LFW-STARGAZERXYG</v>
      </c>
      <c r="B1092" s="52" t="s">
        <v>1536</v>
      </c>
      <c r="C1092" s="53" t="s">
        <v>1537</v>
      </c>
      <c r="D1092" s="33" t="s">
        <v>22</v>
      </c>
      <c r="E1092" s="4" t="s">
        <v>16</v>
      </c>
      <c r="F1092" s="53" t="s">
        <v>125</v>
      </c>
      <c r="G1092" s="53"/>
      <c r="H1092" s="4">
        <f>SUMIFS(X!$F$5:$F$2005,X!$D$5:$D$2005,'CEK CICI'!A1092)</f>
        <v>1</v>
      </c>
      <c r="I1092" s="4">
        <f>SUMIFS(PENJUALAN!$E$4:$E$4288,PENJUALAN!$C$4:$C$4288,'CEK CICI'!A1092)</f>
        <v>0</v>
      </c>
      <c r="J1092" s="16">
        <f t="shared" si="2"/>
        <v>1</v>
      </c>
      <c r="K1092" s="15" t="s">
        <v>1365</v>
      </c>
      <c r="L1092" s="15"/>
      <c r="M1092" s="4"/>
      <c r="N1092" s="4"/>
    </row>
    <row r="1093" ht="13.5" hidden="1" customHeight="1">
      <c r="A1093" s="4" t="str">
        <f t="shared" si="1"/>
        <v>LFW-STARGAZERRSXYG</v>
      </c>
      <c r="B1093" s="52" t="s">
        <v>1624</v>
      </c>
      <c r="C1093" s="53" t="s">
        <v>1537</v>
      </c>
      <c r="D1093" s="33" t="s">
        <v>22</v>
      </c>
      <c r="E1093" s="4" t="s">
        <v>16</v>
      </c>
      <c r="F1093" s="53" t="s">
        <v>75</v>
      </c>
      <c r="G1093" s="53"/>
      <c r="H1093" s="4">
        <f>SUMIFS(X!$F$5:$F$2005,X!$D$5:$D$2005,'CEK CICI'!A1093)</f>
        <v>2</v>
      </c>
      <c r="I1093" s="4">
        <f>SUMIFS(PENJUALAN!$E$4:$E$4288,PENJUALAN!$C$4:$C$4288,'CEK CICI'!A1093)</f>
        <v>2</v>
      </c>
      <c r="J1093" s="16">
        <f t="shared" si="2"/>
        <v>0</v>
      </c>
      <c r="K1093" s="15" t="s">
        <v>1365</v>
      </c>
      <c r="L1093" s="15"/>
      <c r="M1093" s="4"/>
      <c r="N1093" s="4"/>
    </row>
    <row r="1094" ht="13.5" hidden="1" customHeight="1">
      <c r="A1094" s="4" t="str">
        <f t="shared" si="1"/>
        <v>TRW-STARGAZERXYG</v>
      </c>
      <c r="B1094" s="52" t="s">
        <v>1615</v>
      </c>
      <c r="C1094" s="53" t="s">
        <v>1537</v>
      </c>
      <c r="D1094" s="33" t="s">
        <v>41</v>
      </c>
      <c r="E1094" s="4" t="s">
        <v>16</v>
      </c>
      <c r="F1094" s="53" t="s">
        <v>533</v>
      </c>
      <c r="G1094" s="53"/>
      <c r="H1094" s="4">
        <f>SUMIFS(X!$F$5:$F$2005,X!$D$5:$D$2005,'CEK CICI'!A1094)</f>
        <v>5</v>
      </c>
      <c r="I1094" s="4">
        <f>SUMIFS(PENJUALAN!$E$4:$E$4288,PENJUALAN!$C$4:$C$4288,'CEK CICI'!A1094)</f>
        <v>4</v>
      </c>
      <c r="J1094" s="16">
        <f t="shared" si="2"/>
        <v>1</v>
      </c>
      <c r="K1094" s="6" t="s">
        <v>1366</v>
      </c>
      <c r="L1094" s="6"/>
      <c r="M1094" s="4"/>
      <c r="N1094" s="4"/>
    </row>
    <row r="1095" ht="13.5" hidden="1" customHeight="1">
      <c r="A1095" s="4" t="str">
        <f t="shared" si="1"/>
        <v>LFW-TUCSON05XYG</v>
      </c>
      <c r="B1095" s="29" t="s">
        <v>565</v>
      </c>
      <c r="C1095" s="28" t="s">
        <v>566</v>
      </c>
      <c r="D1095" s="28" t="s">
        <v>22</v>
      </c>
      <c r="E1095" s="4" t="s">
        <v>16</v>
      </c>
      <c r="F1095" s="28" t="s">
        <v>125</v>
      </c>
      <c r="G1095" s="4"/>
      <c r="H1095" s="4">
        <f>SUMIFS(X!$F$5:$F$2005,X!$D$5:$D$2005,'CEK CICI'!A1095)</f>
        <v>0</v>
      </c>
      <c r="I1095" s="4">
        <f>SUMIFS(PENJUALAN!$E$4:$E$4288,PENJUALAN!$C$4:$C$4288,'CEK CICI'!A1095)</f>
        <v>0</v>
      </c>
      <c r="J1095" s="16">
        <f t="shared" si="2"/>
        <v>0</v>
      </c>
      <c r="K1095" s="4"/>
      <c r="L1095" s="4"/>
      <c r="M1095" s="4"/>
      <c r="N1095" s="4"/>
    </row>
    <row r="1096" ht="13.5" hidden="1" customHeight="1">
      <c r="A1096" s="4" t="str">
        <f t="shared" si="1"/>
        <v>LFW-TUCSON10XYG</v>
      </c>
      <c r="B1096" s="29" t="s">
        <v>567</v>
      </c>
      <c r="C1096" s="28" t="s">
        <v>568</v>
      </c>
      <c r="D1096" s="28" t="s">
        <v>22</v>
      </c>
      <c r="E1096" s="4" t="s">
        <v>16</v>
      </c>
      <c r="F1096" s="28" t="s">
        <v>125</v>
      </c>
      <c r="G1096" s="4"/>
      <c r="H1096" s="4">
        <f>SUMIFS(X!$F$5:$F$2005,X!$D$5:$D$2005,'CEK CICI'!A1096)</f>
        <v>0</v>
      </c>
      <c r="I1096" s="4">
        <f>SUMIFS(PENJUALAN!$E$4:$E$4288,PENJUALAN!$C$4:$C$4288,'CEK CICI'!A1096)</f>
        <v>0</v>
      </c>
      <c r="J1096" s="16">
        <f t="shared" si="2"/>
        <v>0</v>
      </c>
      <c r="K1096" s="4"/>
      <c r="L1096" s="4"/>
      <c r="M1096" s="4"/>
      <c r="N1096" s="4"/>
    </row>
    <row r="1097" ht="13.5" hidden="1" customHeight="1">
      <c r="A1097" s="4" t="str">
        <f t="shared" si="1"/>
        <v>TRW-TUCSON10XYG</v>
      </c>
      <c r="B1097" s="29" t="s">
        <v>569</v>
      </c>
      <c r="C1097" s="28" t="s">
        <v>568</v>
      </c>
      <c r="D1097" s="28" t="s">
        <v>41</v>
      </c>
      <c r="E1097" s="4" t="s">
        <v>16</v>
      </c>
      <c r="F1097" s="28" t="s">
        <v>221</v>
      </c>
      <c r="G1097" s="4"/>
      <c r="H1097" s="4">
        <f>SUMIFS(X!$F$5:$F$2005,X!$D$5:$D$2005,'CEK CICI'!A1097)</f>
        <v>0</v>
      </c>
      <c r="I1097" s="4">
        <f>SUMIFS(PENJUALAN!$E$4:$E$4288,PENJUALAN!$C$4:$C$4288,'CEK CICI'!A1097)</f>
        <v>0</v>
      </c>
      <c r="J1097" s="16">
        <f t="shared" si="2"/>
        <v>0</v>
      </c>
      <c r="K1097" s="4"/>
      <c r="L1097" s="4"/>
      <c r="M1097" s="4"/>
      <c r="N1097" s="4"/>
    </row>
    <row r="1098" ht="13.5" hidden="1" customHeight="1">
      <c r="A1098" s="4" t="str">
        <f t="shared" si="1"/>
        <v>LFW-TUCSON16XYG</v>
      </c>
      <c r="B1098" s="29" t="s">
        <v>570</v>
      </c>
      <c r="C1098" s="28" t="s">
        <v>571</v>
      </c>
      <c r="D1098" s="28" t="s">
        <v>22</v>
      </c>
      <c r="E1098" s="4" t="s">
        <v>16</v>
      </c>
      <c r="F1098" s="28" t="s">
        <v>125</v>
      </c>
      <c r="G1098" s="4"/>
      <c r="H1098" s="4">
        <f>SUMIFS(X!$F$5:$F$2005,X!$D$5:$D$2005,'CEK CICI'!A1098)</f>
        <v>0</v>
      </c>
      <c r="I1098" s="4">
        <f>SUMIFS(PENJUALAN!$E$4:$E$4288,PENJUALAN!$C$4:$C$4288,'CEK CICI'!A1098)</f>
        <v>0</v>
      </c>
      <c r="J1098" s="16">
        <f t="shared" si="2"/>
        <v>0</v>
      </c>
      <c r="K1098" s="4"/>
      <c r="L1098" s="4"/>
      <c r="M1098" s="4"/>
      <c r="N1098" s="4"/>
    </row>
    <row r="1099" ht="13.5" customHeight="1">
      <c r="A1099" s="4" t="str">
        <f t="shared" si="1"/>
        <v>LFW-DMAX2XYG</v>
      </c>
      <c r="B1099" s="29" t="s">
        <v>1786</v>
      </c>
      <c r="C1099" s="28" t="s">
        <v>1787</v>
      </c>
      <c r="D1099" s="28" t="s">
        <v>22</v>
      </c>
      <c r="E1099" s="4" t="s">
        <v>16</v>
      </c>
      <c r="F1099" s="28" t="s">
        <v>125</v>
      </c>
      <c r="G1099" s="15">
        <v>1.0</v>
      </c>
      <c r="H1099" s="4">
        <f>SUMIFS(X!$F$5:$F$2005,X!$D$5:$D$2005,'CEK CICI'!A1099)</f>
        <v>3</v>
      </c>
      <c r="I1099" s="4">
        <f>SUMIFS(PENJUALAN!$E$4:$E$4288,PENJUALAN!$C$4:$C$4288,'CEK CICI'!A1099)</f>
        <v>2</v>
      </c>
      <c r="J1099" s="16">
        <f t="shared" si="2"/>
        <v>1</v>
      </c>
      <c r="K1099" s="4"/>
      <c r="L1099" s="4"/>
      <c r="M1099" s="4"/>
      <c r="N1099" s="4"/>
    </row>
    <row r="1100" ht="13.5" hidden="1" customHeight="1">
      <c r="A1100" s="4" t="str">
        <f t="shared" si="1"/>
        <v>LFW-MUXXYG</v>
      </c>
      <c r="B1100" s="29" t="s">
        <v>573</v>
      </c>
      <c r="C1100" s="28" t="s">
        <v>574</v>
      </c>
      <c r="D1100" s="28" t="s">
        <v>22</v>
      </c>
      <c r="E1100" s="4" t="s">
        <v>16</v>
      </c>
      <c r="F1100" s="28" t="s">
        <v>125</v>
      </c>
      <c r="G1100" s="4"/>
      <c r="H1100" s="4">
        <f>SUMIFS(X!$F$5:$F$2005,X!$D$5:$D$2005,'CEK CICI'!A1100)</f>
        <v>0</v>
      </c>
      <c r="I1100" s="4">
        <f>SUMIFS(PENJUALAN!$E$4:$E$4288,PENJUALAN!$C$4:$C$4288,'CEK CICI'!A1100)</f>
        <v>0</v>
      </c>
      <c r="J1100" s="16">
        <f t="shared" si="2"/>
        <v>0</v>
      </c>
      <c r="K1100" s="4"/>
      <c r="L1100" s="4"/>
      <c r="M1100" s="4"/>
      <c r="N1100" s="4"/>
    </row>
    <row r="1101" ht="13.5" hidden="1" customHeight="1">
      <c r="A1101" s="4" t="str">
        <f t="shared" si="1"/>
        <v>LFW-PANTHER00XYG</v>
      </c>
      <c r="B1101" s="29" t="s">
        <v>1780</v>
      </c>
      <c r="C1101" s="28" t="s">
        <v>1781</v>
      </c>
      <c r="D1101" s="28" t="s">
        <v>22</v>
      </c>
      <c r="E1101" s="4" t="s">
        <v>16</v>
      </c>
      <c r="F1101" s="28"/>
      <c r="G1101" s="4"/>
      <c r="H1101" s="4">
        <f>SUMIFS(X!$F$5:$F$2005,X!$D$5:$D$2005,'CEK CICI'!A1101)</f>
        <v>13</v>
      </c>
      <c r="I1101" s="4">
        <f>SUMIFS(PENJUALAN!$E$4:$E$4288,PENJUALAN!$C$4:$C$4288,'CEK CICI'!A1101)</f>
        <v>13</v>
      </c>
      <c r="J1101" s="16">
        <f t="shared" si="2"/>
        <v>0</v>
      </c>
      <c r="K1101" s="15" t="s">
        <v>1419</v>
      </c>
      <c r="L1101" s="15"/>
      <c r="M1101" s="4"/>
      <c r="N1101" s="4"/>
    </row>
    <row r="1102" ht="13.5" hidden="1" customHeight="1">
      <c r="A1102" s="4" t="str">
        <f t="shared" si="1"/>
        <v>LFW-JAGUARXF11XYG</v>
      </c>
      <c r="B1102" s="29" t="s">
        <v>1548</v>
      </c>
      <c r="C1102" s="30" t="s">
        <v>1549</v>
      </c>
      <c r="D1102" s="30" t="s">
        <v>22</v>
      </c>
      <c r="E1102" s="4" t="s">
        <v>16</v>
      </c>
      <c r="F1102" s="30" t="s">
        <v>23</v>
      </c>
      <c r="G1102" s="4"/>
      <c r="H1102" s="4">
        <f>SUMIFS(X!$F$5:$F$2005,X!$D$5:$D$2005,'CEK CICI'!A1102)</f>
        <v>0</v>
      </c>
      <c r="I1102" s="4">
        <f>SUMIFS(PENJUALAN!$E$4:$E$4288,PENJUALAN!$C$4:$C$4288,'CEK CICI'!A1102)</f>
        <v>0</v>
      </c>
      <c r="J1102" s="16">
        <f t="shared" si="2"/>
        <v>0</v>
      </c>
      <c r="K1102" s="4"/>
      <c r="L1102" s="4"/>
      <c r="M1102" s="4"/>
      <c r="N1102" s="4"/>
    </row>
    <row r="1103" ht="13.5" hidden="1" customHeight="1">
      <c r="A1103" s="4" t="str">
        <f t="shared" si="1"/>
        <v>TRW-WRANGLER96XYG</v>
      </c>
      <c r="B1103" s="29" t="s">
        <v>1550</v>
      </c>
      <c r="C1103" s="28" t="s">
        <v>1551</v>
      </c>
      <c r="D1103" s="28" t="s">
        <v>41</v>
      </c>
      <c r="E1103" s="4" t="s">
        <v>16</v>
      </c>
      <c r="F1103" s="28"/>
      <c r="G1103" s="4"/>
      <c r="H1103" s="4">
        <f>SUMIFS(X!$F$5:$F$2005,X!$D$5:$D$2005,'CEK CICI'!A1103)</f>
        <v>0</v>
      </c>
      <c r="I1103" s="4">
        <f>SUMIFS(PENJUALAN!$E$4:$E$4288,PENJUALAN!$C$4:$C$4288,'CEK CICI'!A1103)</f>
        <v>0</v>
      </c>
      <c r="J1103" s="16">
        <f t="shared" si="2"/>
        <v>0</v>
      </c>
      <c r="K1103" s="4"/>
      <c r="L1103" s="4"/>
      <c r="M1103" s="4"/>
      <c r="N1103" s="4"/>
    </row>
    <row r="1104" ht="13.5" hidden="1" customHeight="1">
      <c r="A1104" s="4" t="str">
        <f t="shared" si="1"/>
        <v>LFW-RUBICON07XYG</v>
      </c>
      <c r="B1104" s="29" t="s">
        <v>575</v>
      </c>
      <c r="C1104" s="28" t="s">
        <v>576</v>
      </c>
      <c r="D1104" s="28" t="s">
        <v>22</v>
      </c>
      <c r="E1104" s="4" t="s">
        <v>16</v>
      </c>
      <c r="F1104" s="28" t="s">
        <v>125</v>
      </c>
      <c r="G1104" s="4"/>
      <c r="H1104" s="4">
        <f>SUMIFS(X!$F$5:$F$2005,X!$D$5:$D$2005,'CEK CICI'!A1104)</f>
        <v>0</v>
      </c>
      <c r="I1104" s="4">
        <f>SUMIFS(PENJUALAN!$E$4:$E$4288,PENJUALAN!$C$4:$C$4288,'CEK CICI'!A1104)</f>
        <v>0</v>
      </c>
      <c r="J1104" s="16">
        <f t="shared" si="2"/>
        <v>0</v>
      </c>
      <c r="K1104" s="4"/>
      <c r="L1104" s="4"/>
      <c r="M1104" s="4"/>
      <c r="N1104" s="4"/>
    </row>
    <row r="1105" ht="13.5" hidden="1" customHeight="1">
      <c r="A1105" s="4" t="str">
        <f t="shared" si="1"/>
        <v>TRW-RUBICON07XYG</v>
      </c>
      <c r="B1105" s="29" t="s">
        <v>1552</v>
      </c>
      <c r="C1105" s="30" t="s">
        <v>1553</v>
      </c>
      <c r="D1105" s="30" t="s">
        <v>41</v>
      </c>
      <c r="E1105" s="4" t="s">
        <v>16</v>
      </c>
      <c r="F1105" s="34" t="s">
        <v>227</v>
      </c>
      <c r="G1105" s="4"/>
      <c r="H1105" s="4">
        <f>SUMIFS(X!$F$5:$F$2005,X!$D$5:$D$2005,'CEK CICI'!A1105)</f>
        <v>0</v>
      </c>
      <c r="I1105" s="4">
        <f>SUMIFS(PENJUALAN!$E$4:$E$4288,PENJUALAN!$C$4:$C$4288,'CEK CICI'!A1105)</f>
        <v>0</v>
      </c>
      <c r="J1105" s="16">
        <f t="shared" si="2"/>
        <v>0</v>
      </c>
      <c r="K1105" s="4"/>
      <c r="L1105" s="4"/>
      <c r="M1105" s="4"/>
      <c r="N1105" s="4"/>
    </row>
    <row r="1106" ht="13.5" hidden="1" customHeight="1">
      <c r="A1106" s="4" t="str">
        <f t="shared" si="1"/>
        <v>TRW-RUBICON11XYG</v>
      </c>
      <c r="B1106" s="29" t="s">
        <v>1554</v>
      </c>
      <c r="C1106" s="30" t="s">
        <v>1555</v>
      </c>
      <c r="D1106" s="30" t="s">
        <v>41</v>
      </c>
      <c r="E1106" s="4" t="s">
        <v>16</v>
      </c>
      <c r="F1106" s="34" t="s">
        <v>1556</v>
      </c>
      <c r="G1106" s="4"/>
      <c r="H1106" s="4">
        <f>SUMIFS(X!$F$5:$F$2005,X!$D$5:$D$2005,'CEK CICI'!A1106)</f>
        <v>0</v>
      </c>
      <c r="I1106" s="4">
        <f>SUMIFS(PENJUALAN!$E$4:$E$4288,PENJUALAN!$C$4:$C$4288,'CEK CICI'!A1106)</f>
        <v>0</v>
      </c>
      <c r="J1106" s="16">
        <f t="shared" si="2"/>
        <v>0</v>
      </c>
      <c r="K1106" s="4"/>
      <c r="L1106" s="4"/>
      <c r="M1106" s="4"/>
      <c r="N1106" s="4"/>
    </row>
    <row r="1107" ht="13.5" hidden="1" customHeight="1">
      <c r="A1107" s="4" t="str">
        <f t="shared" si="1"/>
        <v>LFW-RUBICON18XYG</v>
      </c>
      <c r="B1107" s="29" t="s">
        <v>1788</v>
      </c>
      <c r="C1107" s="30" t="s">
        <v>1789</v>
      </c>
      <c r="D1107" s="30" t="s">
        <v>22</v>
      </c>
      <c r="E1107" s="4" t="s">
        <v>16</v>
      </c>
      <c r="F1107" s="62" t="s">
        <v>97</v>
      </c>
      <c r="G1107" s="4"/>
      <c r="H1107" s="4">
        <f>SUMIFS(X!$F$5:$F$2005,X!$D$5:$D$2005,'CEK CICI'!A1107)</f>
        <v>1</v>
      </c>
      <c r="I1107" s="4">
        <f>SUMIFS(PENJUALAN!$E$4:$E$4288,PENJUALAN!$C$4:$C$4288,'CEK CICI'!A1107)</f>
        <v>1</v>
      </c>
      <c r="J1107" s="16">
        <f t="shared" si="2"/>
        <v>0</v>
      </c>
      <c r="K1107" s="15" t="s">
        <v>1435</v>
      </c>
      <c r="L1107" s="15"/>
      <c r="M1107" s="4"/>
      <c r="N1107" s="4"/>
    </row>
    <row r="1108" ht="13.5" hidden="1" customHeight="1">
      <c r="A1108" s="4" t="str">
        <f t="shared" si="1"/>
        <v>TRW-RUBICON18BLACKXYG</v>
      </c>
      <c r="B1108" s="29" t="s">
        <v>1558</v>
      </c>
      <c r="C1108" s="30" t="s">
        <v>1559</v>
      </c>
      <c r="D1108" s="30" t="s">
        <v>41</v>
      </c>
      <c r="E1108" s="4" t="s">
        <v>16</v>
      </c>
      <c r="F1108" s="34" t="s">
        <v>67</v>
      </c>
      <c r="G1108" s="4"/>
      <c r="H1108" s="4">
        <f>SUMIFS(X!$F$5:$F$2005,X!$D$5:$D$2005,'CEK CICI'!A1108)</f>
        <v>0</v>
      </c>
      <c r="I1108" s="4">
        <f>SUMIFS(PENJUALAN!$E$4:$E$4288,PENJUALAN!$C$4:$C$4288,'CEK CICI'!A1108)</f>
        <v>0</v>
      </c>
      <c r="J1108" s="16">
        <f t="shared" si="2"/>
        <v>0</v>
      </c>
      <c r="K1108" s="4"/>
      <c r="L1108" s="4"/>
      <c r="M1108" s="4"/>
      <c r="N1108" s="4"/>
    </row>
    <row r="1109" ht="13.5" hidden="1" customHeight="1">
      <c r="A1109" s="4" t="str">
        <f t="shared" si="1"/>
        <v>TRW-CAREN99XYG</v>
      </c>
      <c r="B1109" s="29" t="s">
        <v>577</v>
      </c>
      <c r="C1109" s="28" t="s">
        <v>578</v>
      </c>
      <c r="D1109" s="28" t="s">
        <v>41</v>
      </c>
      <c r="E1109" s="4" t="s">
        <v>16</v>
      </c>
      <c r="F1109" s="28" t="s">
        <v>67</v>
      </c>
      <c r="G1109" s="4"/>
      <c r="H1109" s="4">
        <f>SUMIFS(X!$F$5:$F$2005,X!$D$5:$D$2005,'CEK CICI'!A1109)</f>
        <v>0</v>
      </c>
      <c r="I1109" s="4">
        <f>SUMIFS(PENJUALAN!$E$4:$E$4288,PENJUALAN!$C$4:$C$4288,'CEK CICI'!A1109)</f>
        <v>0</v>
      </c>
      <c r="J1109" s="16">
        <f t="shared" si="2"/>
        <v>0</v>
      </c>
      <c r="K1109" s="4"/>
      <c r="L1109" s="4"/>
      <c r="M1109" s="4"/>
      <c r="N1109" s="4"/>
    </row>
    <row r="1110" ht="13.5" hidden="1" customHeight="1">
      <c r="A1110" s="4" t="str">
        <f t="shared" si="1"/>
        <v>LFW-CAREN99XYG</v>
      </c>
      <c r="B1110" s="29" t="s">
        <v>579</v>
      </c>
      <c r="C1110" s="28" t="s">
        <v>580</v>
      </c>
      <c r="D1110" s="28" t="s">
        <v>22</v>
      </c>
      <c r="E1110" s="4" t="s">
        <v>16</v>
      </c>
      <c r="F1110" s="28" t="s">
        <v>125</v>
      </c>
      <c r="G1110" s="4"/>
      <c r="H1110" s="4">
        <f>SUMIFS(X!$F$5:$F$2005,X!$D$5:$D$2005,'CEK CICI'!A1110)</f>
        <v>0</v>
      </c>
      <c r="I1110" s="4">
        <f>SUMIFS(PENJUALAN!$E$4:$E$4288,PENJUALAN!$C$4:$C$4288,'CEK CICI'!A1110)</f>
        <v>0</v>
      </c>
      <c r="J1110" s="16">
        <f t="shared" si="2"/>
        <v>0</v>
      </c>
      <c r="K1110" s="4"/>
      <c r="L1110" s="4"/>
      <c r="M1110" s="4"/>
      <c r="N1110" s="4"/>
    </row>
    <row r="1111" ht="13.5" hidden="1" customHeight="1">
      <c r="A1111" s="4" t="str">
        <f t="shared" si="1"/>
        <v>LFW-CARNIVAL15XYG</v>
      </c>
      <c r="B1111" s="29" t="s">
        <v>1560</v>
      </c>
      <c r="C1111" s="28" t="s">
        <v>1561</v>
      </c>
      <c r="D1111" s="30" t="s">
        <v>22</v>
      </c>
      <c r="E1111" s="4" t="s">
        <v>16</v>
      </c>
      <c r="F1111" s="28" t="s">
        <v>737</v>
      </c>
      <c r="G1111" s="4"/>
      <c r="H1111" s="4">
        <f>SUMIFS(X!$F$5:$F$2005,X!$D$5:$D$2005,'CEK CICI'!A1111)</f>
        <v>0</v>
      </c>
      <c r="I1111" s="4">
        <f>SUMIFS(PENJUALAN!$E$4:$E$4288,PENJUALAN!$C$4:$C$4288,'CEK CICI'!A1111)</f>
        <v>0</v>
      </c>
      <c r="J1111" s="16">
        <f t="shared" si="2"/>
        <v>0</v>
      </c>
      <c r="K1111" s="4"/>
      <c r="L1111" s="4"/>
      <c r="M1111" s="4"/>
      <c r="N1111" s="4"/>
    </row>
    <row r="1112" ht="13.5" hidden="1" customHeight="1">
      <c r="A1112" s="4" t="str">
        <f t="shared" si="1"/>
        <v>TRW-CARNIVAL15XYG</v>
      </c>
      <c r="B1112" s="29" t="s">
        <v>1562</v>
      </c>
      <c r="C1112" s="28" t="s">
        <v>1561</v>
      </c>
      <c r="D1112" s="28" t="s">
        <v>41</v>
      </c>
      <c r="E1112" s="4" t="s">
        <v>16</v>
      </c>
      <c r="F1112" s="28" t="s">
        <v>221</v>
      </c>
      <c r="G1112" s="4"/>
      <c r="H1112" s="4">
        <f>SUMIFS(X!$F$5:$F$2005,X!$D$5:$D$2005,'CEK CICI'!A1112)</f>
        <v>0</v>
      </c>
      <c r="I1112" s="4">
        <f>SUMIFS(PENJUALAN!$E$4:$E$4288,PENJUALAN!$C$4:$C$4288,'CEK CICI'!A1112)</f>
        <v>0</v>
      </c>
      <c r="J1112" s="16">
        <f t="shared" si="2"/>
        <v>0</v>
      </c>
      <c r="K1112" s="4"/>
      <c r="L1112" s="4"/>
      <c r="M1112" s="4"/>
      <c r="N1112" s="4"/>
    </row>
    <row r="1113" ht="13.5" hidden="1" customHeight="1">
      <c r="A1113" s="4" t="str">
        <f t="shared" si="1"/>
        <v>LFW-CERATO09XYG</v>
      </c>
      <c r="B1113" s="29" t="s">
        <v>1563</v>
      </c>
      <c r="C1113" s="28" t="s">
        <v>1564</v>
      </c>
      <c r="D1113" s="28" t="s">
        <v>22</v>
      </c>
      <c r="E1113" s="4" t="s">
        <v>16</v>
      </c>
      <c r="F1113" s="28" t="s">
        <v>125</v>
      </c>
      <c r="G1113" s="4"/>
      <c r="H1113" s="4">
        <f>SUMIFS(X!$F$5:$F$2005,X!$D$5:$D$2005,'CEK CICI'!A1113)</f>
        <v>0</v>
      </c>
      <c r="I1113" s="4">
        <f>SUMIFS(PENJUALAN!$E$4:$E$4288,PENJUALAN!$C$4:$C$4288,'CEK CICI'!A1113)</f>
        <v>0</v>
      </c>
      <c r="J1113" s="16">
        <f t="shared" si="2"/>
        <v>0</v>
      </c>
      <c r="K1113" s="4"/>
      <c r="L1113" s="4"/>
      <c r="M1113" s="4"/>
      <c r="N1113" s="4"/>
    </row>
    <row r="1114" ht="13.5" hidden="1" customHeight="1">
      <c r="A1114" s="4" t="str">
        <f t="shared" si="1"/>
        <v>TRW-CERATO09XYG</v>
      </c>
      <c r="B1114" s="29" t="s">
        <v>1565</v>
      </c>
      <c r="C1114" s="28" t="s">
        <v>1564</v>
      </c>
      <c r="D1114" s="30" t="s">
        <v>41</v>
      </c>
      <c r="E1114" s="4" t="s">
        <v>16</v>
      </c>
      <c r="F1114" s="28" t="s">
        <v>67</v>
      </c>
      <c r="G1114" s="4"/>
      <c r="H1114" s="4">
        <f>SUMIFS(X!$F$5:$F$2005,X!$D$5:$D$2005,'CEK CICI'!A1114)</f>
        <v>0</v>
      </c>
      <c r="I1114" s="4">
        <f>SUMIFS(PENJUALAN!$E$4:$E$4288,PENJUALAN!$C$4:$C$4288,'CEK CICI'!A1114)</f>
        <v>0</v>
      </c>
      <c r="J1114" s="16">
        <f t="shared" si="2"/>
        <v>0</v>
      </c>
      <c r="K1114" s="4"/>
      <c r="L1114" s="4"/>
      <c r="M1114" s="4"/>
      <c r="N1114" s="4"/>
    </row>
    <row r="1115" ht="13.5" hidden="1" customHeight="1">
      <c r="A1115" s="4" t="str">
        <f t="shared" si="1"/>
        <v>LFW-PICANTO04HTMXYG</v>
      </c>
      <c r="B1115" s="29" t="s">
        <v>587</v>
      </c>
      <c r="C1115" s="28" t="s">
        <v>588</v>
      </c>
      <c r="D1115" s="28" t="s">
        <v>22</v>
      </c>
      <c r="E1115" s="4" t="s">
        <v>16</v>
      </c>
      <c r="F1115" s="28" t="s">
        <v>125</v>
      </c>
      <c r="G1115" s="4"/>
      <c r="H1115" s="4">
        <f>SUMIFS(X!$F$5:$F$2005,X!$D$5:$D$2005,'CEK CICI'!A1115)</f>
        <v>4</v>
      </c>
      <c r="I1115" s="4">
        <f>SUMIFS(PENJUALAN!$E$4:$E$4288,PENJUALAN!$C$4:$C$4288,'CEK CICI'!A1115)</f>
        <v>1</v>
      </c>
      <c r="J1115" s="16">
        <f t="shared" si="2"/>
        <v>3</v>
      </c>
      <c r="K1115" s="15" t="s">
        <v>1383</v>
      </c>
      <c r="L1115" s="15"/>
      <c r="M1115" s="4"/>
      <c r="N1115" s="4"/>
    </row>
    <row r="1116" ht="13.5" hidden="1" customHeight="1">
      <c r="A1116" s="4" t="str">
        <f t="shared" si="1"/>
        <v>TRW-PICANTO04XYG</v>
      </c>
      <c r="B1116" s="29" t="s">
        <v>589</v>
      </c>
      <c r="C1116" s="28" t="s">
        <v>590</v>
      </c>
      <c r="D1116" s="28" t="s">
        <v>41</v>
      </c>
      <c r="E1116" s="4" t="s">
        <v>16</v>
      </c>
      <c r="F1116" s="28" t="s">
        <v>221</v>
      </c>
      <c r="G1116" s="4"/>
      <c r="H1116" s="4">
        <f>SUMIFS(X!$F$5:$F$2005,X!$D$5:$D$2005,'CEK CICI'!A1116)</f>
        <v>2</v>
      </c>
      <c r="I1116" s="4">
        <f>SUMIFS(PENJUALAN!$E$4:$E$4288,PENJUALAN!$C$4:$C$4288,'CEK CICI'!A1116)</f>
        <v>1</v>
      </c>
      <c r="J1116" s="16">
        <f t="shared" si="2"/>
        <v>1</v>
      </c>
      <c r="K1116" s="15" t="s">
        <v>1567</v>
      </c>
      <c r="L1116" s="15"/>
      <c r="M1116" s="5">
        <v>1.0</v>
      </c>
      <c r="N1116" s="4"/>
    </row>
    <row r="1117" ht="13.5" hidden="1" customHeight="1">
      <c r="A1117" s="4" t="str">
        <f t="shared" si="1"/>
        <v>FDL-PICANTO04XYG</v>
      </c>
      <c r="B1117" s="29" t="s">
        <v>591</v>
      </c>
      <c r="C1117" s="28" t="s">
        <v>590</v>
      </c>
      <c r="D1117" s="28" t="s">
        <v>128</v>
      </c>
      <c r="E1117" s="4" t="s">
        <v>16</v>
      </c>
      <c r="F1117" s="28" t="s">
        <v>141</v>
      </c>
      <c r="G1117" s="4"/>
      <c r="H1117" s="4">
        <f>SUMIFS(X!$F$5:$F$2005,X!$D$5:$D$2005,'CEK CICI'!A1117)</f>
        <v>0</v>
      </c>
      <c r="I1117" s="4">
        <f>SUMIFS(PENJUALAN!$E$4:$E$4288,PENJUALAN!$C$4:$C$4288,'CEK CICI'!A1117)</f>
        <v>0</v>
      </c>
      <c r="J1117" s="16">
        <f t="shared" si="2"/>
        <v>0</v>
      </c>
      <c r="K1117" s="4"/>
      <c r="L1117" s="4"/>
      <c r="M1117" s="4"/>
      <c r="N1117" s="4"/>
    </row>
    <row r="1118" ht="13.5" hidden="1" customHeight="1">
      <c r="A1118" s="4" t="str">
        <f t="shared" si="1"/>
        <v>FDR-PICANTO04XYG</v>
      </c>
      <c r="B1118" s="29" t="s">
        <v>592</v>
      </c>
      <c r="C1118" s="28" t="s">
        <v>590</v>
      </c>
      <c r="D1118" s="28" t="s">
        <v>130</v>
      </c>
      <c r="E1118" s="4" t="s">
        <v>16</v>
      </c>
      <c r="F1118" s="28" t="s">
        <v>141</v>
      </c>
      <c r="G1118" s="4"/>
      <c r="H1118" s="4">
        <f>SUMIFS(X!$F$5:$F$2005,X!$D$5:$D$2005,'CEK CICI'!A1118)</f>
        <v>1</v>
      </c>
      <c r="I1118" s="4">
        <f>SUMIFS(PENJUALAN!$E$4:$E$4288,PENJUALAN!$C$4:$C$4288,'CEK CICI'!A1118)</f>
        <v>0</v>
      </c>
      <c r="J1118" s="16">
        <f t="shared" si="2"/>
        <v>1</v>
      </c>
      <c r="K1118" s="15" t="s">
        <v>48</v>
      </c>
      <c r="L1118" s="15"/>
      <c r="M1118" s="4"/>
      <c r="N1118" s="4"/>
    </row>
    <row r="1119" ht="13.5" hidden="1" customHeight="1">
      <c r="A1119" s="4" t="str">
        <f t="shared" si="1"/>
        <v>LFW-PICANTO11XYG</v>
      </c>
      <c r="B1119" s="29" t="s">
        <v>597</v>
      </c>
      <c r="C1119" s="28" t="s">
        <v>598</v>
      </c>
      <c r="D1119" s="28" t="s">
        <v>22</v>
      </c>
      <c r="E1119" s="4" t="s">
        <v>16</v>
      </c>
      <c r="F1119" s="28" t="s">
        <v>125</v>
      </c>
      <c r="G1119" s="4"/>
      <c r="H1119" s="4">
        <f>SUMIFS(X!$F$5:$F$2005,X!$D$5:$D$2005,'CEK CICI'!A1119)</f>
        <v>6</v>
      </c>
      <c r="I1119" s="4">
        <f>SUMIFS(PENJUALAN!$E$4:$E$4288,PENJUALAN!$C$4:$C$4288,'CEK CICI'!A1119)</f>
        <v>1</v>
      </c>
      <c r="J1119" s="16">
        <f t="shared" si="2"/>
        <v>5</v>
      </c>
      <c r="K1119" s="15" t="s">
        <v>1383</v>
      </c>
      <c r="L1119" s="15"/>
      <c r="M1119" s="4"/>
      <c r="N1119" s="4"/>
    </row>
    <row r="1120" ht="13.5" hidden="1" customHeight="1">
      <c r="A1120" s="4" t="str">
        <f t="shared" si="1"/>
        <v>TRW-PICANTO11XYG</v>
      </c>
      <c r="B1120" s="29" t="s">
        <v>599</v>
      </c>
      <c r="C1120" s="28" t="s">
        <v>598</v>
      </c>
      <c r="D1120" s="28" t="s">
        <v>41</v>
      </c>
      <c r="E1120" s="4" t="s">
        <v>16</v>
      </c>
      <c r="F1120" s="28" t="s">
        <v>221</v>
      </c>
      <c r="G1120" s="4"/>
      <c r="H1120" s="4">
        <f>SUMIFS(X!$F$5:$F$2005,X!$D$5:$D$2005,'CEK CICI'!A1120)</f>
        <v>2</v>
      </c>
      <c r="I1120" s="4">
        <f>SUMIFS(PENJUALAN!$E$4:$E$4288,PENJUALAN!$C$4:$C$4288,'CEK CICI'!A1120)</f>
        <v>0</v>
      </c>
      <c r="J1120" s="16">
        <f t="shared" si="2"/>
        <v>2</v>
      </c>
      <c r="K1120" s="15" t="s">
        <v>1567</v>
      </c>
      <c r="L1120" s="15"/>
      <c r="M1120" s="4"/>
      <c r="N1120" s="4"/>
    </row>
    <row r="1121" ht="13.5" hidden="1" customHeight="1">
      <c r="A1121" s="4" t="str">
        <f t="shared" si="1"/>
        <v>FDL-PICANTO11XYG</v>
      </c>
      <c r="B1121" s="29" t="s">
        <v>600</v>
      </c>
      <c r="C1121" s="28" t="s">
        <v>598</v>
      </c>
      <c r="D1121" s="28" t="s">
        <v>128</v>
      </c>
      <c r="E1121" s="4" t="s">
        <v>16</v>
      </c>
      <c r="F1121" s="28" t="s">
        <v>397</v>
      </c>
      <c r="G1121" s="4"/>
      <c r="H1121" s="4">
        <f>SUMIFS(X!$F$5:$F$2005,X!$D$5:$D$2005,'CEK CICI'!A1121)</f>
        <v>0</v>
      </c>
      <c r="I1121" s="4">
        <f>SUMIFS(PENJUALAN!$E$4:$E$4288,PENJUALAN!$C$4:$C$4288,'CEK CICI'!A1121)</f>
        <v>0</v>
      </c>
      <c r="J1121" s="16">
        <f t="shared" si="2"/>
        <v>0</v>
      </c>
      <c r="K1121" s="4"/>
      <c r="L1121" s="4"/>
      <c r="M1121" s="4"/>
      <c r="N1121" s="4"/>
    </row>
    <row r="1122" ht="13.5" hidden="1" customHeight="1">
      <c r="A1122" s="4" t="str">
        <f t="shared" si="1"/>
        <v>FDR-PICANTO11XYG</v>
      </c>
      <c r="B1122" s="29" t="s">
        <v>601</v>
      </c>
      <c r="C1122" s="28" t="s">
        <v>598</v>
      </c>
      <c r="D1122" s="28" t="s">
        <v>130</v>
      </c>
      <c r="E1122" s="4" t="s">
        <v>16</v>
      </c>
      <c r="F1122" s="28" t="s">
        <v>397</v>
      </c>
      <c r="G1122" s="4"/>
      <c r="H1122" s="4">
        <f>SUMIFS(X!$F$5:$F$2005,X!$D$5:$D$2005,'CEK CICI'!A1122)</f>
        <v>0</v>
      </c>
      <c r="I1122" s="4">
        <f>SUMIFS(PENJUALAN!$E$4:$E$4288,PENJUALAN!$C$4:$C$4288,'CEK CICI'!A1122)</f>
        <v>0</v>
      </c>
      <c r="J1122" s="16">
        <f t="shared" si="2"/>
        <v>0</v>
      </c>
      <c r="K1122" s="4"/>
      <c r="L1122" s="4"/>
      <c r="M1122" s="4"/>
      <c r="N1122" s="4"/>
    </row>
    <row r="1123" ht="13.5" hidden="1" customHeight="1">
      <c r="A1123" s="4" t="str">
        <f t="shared" si="1"/>
        <v>TRW-PREGIOXYG</v>
      </c>
      <c r="B1123" s="29" t="s">
        <v>607</v>
      </c>
      <c r="C1123" s="28" t="s">
        <v>608</v>
      </c>
      <c r="D1123" s="28" t="s">
        <v>41</v>
      </c>
      <c r="E1123" s="4" t="s">
        <v>16</v>
      </c>
      <c r="F1123" s="28" t="s">
        <v>67</v>
      </c>
      <c r="G1123" s="4"/>
      <c r="H1123" s="4">
        <f>SUMIFS(X!$F$5:$F$2005,X!$D$5:$D$2005,'CEK CICI'!A1123)</f>
        <v>0</v>
      </c>
      <c r="I1123" s="4">
        <f>SUMIFS(PENJUALAN!$E$4:$E$4288,PENJUALAN!$C$4:$C$4288,'CEK CICI'!A1123)</f>
        <v>0</v>
      </c>
      <c r="J1123" s="16">
        <f t="shared" si="2"/>
        <v>0</v>
      </c>
      <c r="K1123" s="4"/>
      <c r="L1123" s="4"/>
      <c r="M1123" s="4"/>
      <c r="N1123" s="4"/>
    </row>
    <row r="1124" ht="13.5" hidden="1" customHeight="1">
      <c r="A1124" s="4" t="str">
        <f t="shared" si="1"/>
        <v>LFW-RIO05XYG</v>
      </c>
      <c r="B1124" s="29" t="s">
        <v>613</v>
      </c>
      <c r="C1124" s="28" t="s">
        <v>614</v>
      </c>
      <c r="D1124" s="28" t="s">
        <v>22</v>
      </c>
      <c r="E1124" s="4" t="s">
        <v>16</v>
      </c>
      <c r="F1124" s="28" t="s">
        <v>125</v>
      </c>
      <c r="G1124" s="4"/>
      <c r="H1124" s="4">
        <f>SUMIFS(X!$F$5:$F$2005,X!$D$5:$D$2005,'CEK CICI'!A1124)</f>
        <v>0</v>
      </c>
      <c r="I1124" s="4">
        <f>SUMIFS(PENJUALAN!$E$4:$E$4288,PENJUALAN!$C$4:$C$4288,'CEK CICI'!A1124)</f>
        <v>0</v>
      </c>
      <c r="J1124" s="16">
        <f t="shared" si="2"/>
        <v>0</v>
      </c>
      <c r="K1124" s="4"/>
      <c r="L1124" s="4"/>
      <c r="M1124" s="4"/>
      <c r="N1124" s="4"/>
    </row>
    <row r="1125" ht="13.5" hidden="1" customHeight="1">
      <c r="A1125" s="4" t="str">
        <f t="shared" si="1"/>
        <v>TRW-RIO05XYG</v>
      </c>
      <c r="B1125" s="29" t="s">
        <v>615</v>
      </c>
      <c r="C1125" s="28" t="s">
        <v>616</v>
      </c>
      <c r="D1125" s="28" t="s">
        <v>41</v>
      </c>
      <c r="E1125" s="4" t="s">
        <v>16</v>
      </c>
      <c r="F1125" s="28" t="s">
        <v>221</v>
      </c>
      <c r="G1125" s="4"/>
      <c r="H1125" s="4">
        <f>SUMIFS(X!$F$5:$F$2005,X!$D$5:$D$2005,'CEK CICI'!A1125)</f>
        <v>0</v>
      </c>
      <c r="I1125" s="4">
        <f>SUMIFS(PENJUALAN!$E$4:$E$4288,PENJUALAN!$C$4:$C$4288,'CEK CICI'!A1125)</f>
        <v>0</v>
      </c>
      <c r="J1125" s="16">
        <f t="shared" si="2"/>
        <v>0</v>
      </c>
      <c r="K1125" s="4"/>
      <c r="L1125" s="4"/>
      <c r="M1125" s="4"/>
      <c r="N1125" s="4"/>
    </row>
    <row r="1126" ht="13.5" customHeight="1">
      <c r="A1126" s="4" t="str">
        <f t="shared" si="1"/>
        <v>LFW-RIO11XYG</v>
      </c>
      <c r="B1126" s="29" t="s">
        <v>617</v>
      </c>
      <c r="C1126" s="28" t="s">
        <v>618</v>
      </c>
      <c r="D1126" s="28" t="s">
        <v>22</v>
      </c>
      <c r="E1126" s="4" t="s">
        <v>16</v>
      </c>
      <c r="F1126" s="28" t="s">
        <v>125</v>
      </c>
      <c r="G1126" s="15">
        <v>1.0</v>
      </c>
      <c r="H1126" s="4">
        <f>SUMIFS(X!$F$5:$F$2005,X!$D$5:$D$2005,'CEK CICI'!A1126)</f>
        <v>1</v>
      </c>
      <c r="I1126" s="4">
        <f>SUMIFS(PENJUALAN!$E$4:$E$4288,PENJUALAN!$C$4:$C$4288,'CEK CICI'!A1126)</f>
        <v>1</v>
      </c>
      <c r="J1126" s="16">
        <f t="shared" si="2"/>
        <v>0</v>
      </c>
      <c r="K1126" s="4"/>
      <c r="L1126" s="4"/>
      <c r="M1126" s="4"/>
      <c r="N1126" s="4"/>
    </row>
    <row r="1127" ht="13.5" hidden="1" customHeight="1">
      <c r="A1127" s="4" t="str">
        <f t="shared" si="1"/>
        <v>TRW-RIO11XYG</v>
      </c>
      <c r="B1127" s="29" t="s">
        <v>619</v>
      </c>
      <c r="C1127" s="28" t="s">
        <v>618</v>
      </c>
      <c r="D1127" s="28" t="s">
        <v>41</v>
      </c>
      <c r="E1127" s="4" t="s">
        <v>16</v>
      </c>
      <c r="F1127" s="28" t="s">
        <v>221</v>
      </c>
      <c r="G1127" s="4"/>
      <c r="H1127" s="4">
        <f>SUMIFS(X!$F$5:$F$2005,X!$D$5:$D$2005,'CEK CICI'!A1127)</f>
        <v>0</v>
      </c>
      <c r="I1127" s="4">
        <f>SUMIFS(PENJUALAN!$E$4:$E$4288,PENJUALAN!$C$4:$C$4288,'CEK CICI'!A1127)</f>
        <v>0</v>
      </c>
      <c r="J1127" s="16">
        <f t="shared" si="2"/>
        <v>0</v>
      </c>
      <c r="K1127" s="4"/>
      <c r="L1127" s="4"/>
      <c r="M1127" s="4"/>
      <c r="N1127" s="4"/>
    </row>
    <row r="1128" ht="13.5" hidden="1" customHeight="1">
      <c r="A1128" s="4" t="str">
        <f t="shared" si="1"/>
        <v>FDL-RIO11XYG</v>
      </c>
      <c r="B1128" s="29" t="s">
        <v>620</v>
      </c>
      <c r="C1128" s="28" t="s">
        <v>618</v>
      </c>
      <c r="D1128" s="28" t="s">
        <v>128</v>
      </c>
      <c r="E1128" s="4" t="s">
        <v>16</v>
      </c>
      <c r="F1128" s="28"/>
      <c r="G1128" s="4"/>
      <c r="H1128" s="4">
        <f>SUMIFS(X!$F$5:$F$2005,X!$D$5:$D$2005,'CEK CICI'!A1128)</f>
        <v>0</v>
      </c>
      <c r="I1128" s="4">
        <f>SUMIFS(PENJUALAN!$E$4:$E$4288,PENJUALAN!$C$4:$C$4288,'CEK CICI'!A1128)</f>
        <v>0</v>
      </c>
      <c r="J1128" s="16">
        <f t="shared" si="2"/>
        <v>0</v>
      </c>
      <c r="K1128" s="4"/>
      <c r="L1128" s="4"/>
      <c r="M1128" s="4"/>
      <c r="N1128" s="4"/>
    </row>
    <row r="1129" ht="13.5" hidden="1" customHeight="1">
      <c r="A1129" s="4" t="str">
        <f t="shared" si="1"/>
        <v>FDR-RIO11XYG</v>
      </c>
      <c r="B1129" s="29" t="s">
        <v>621</v>
      </c>
      <c r="C1129" s="28" t="s">
        <v>618</v>
      </c>
      <c r="D1129" s="28" t="s">
        <v>130</v>
      </c>
      <c r="E1129" s="4" t="s">
        <v>16</v>
      </c>
      <c r="F1129" s="28"/>
      <c r="G1129" s="4"/>
      <c r="H1129" s="4">
        <f>SUMIFS(X!$F$5:$F$2005,X!$D$5:$D$2005,'CEK CICI'!A1129)</f>
        <v>0</v>
      </c>
      <c r="I1129" s="4">
        <f>SUMIFS(PENJUALAN!$E$4:$E$4288,PENJUALAN!$C$4:$C$4288,'CEK CICI'!A1129)</f>
        <v>0</v>
      </c>
      <c r="J1129" s="16">
        <f t="shared" si="2"/>
        <v>0</v>
      </c>
      <c r="K1129" s="4"/>
      <c r="L1129" s="4"/>
      <c r="M1129" s="4"/>
      <c r="N1129" s="4"/>
    </row>
    <row r="1130" ht="13.5" hidden="1" customHeight="1">
      <c r="A1130" s="4" t="str">
        <f t="shared" si="1"/>
        <v>LFW-RIO17XYG</v>
      </c>
      <c r="B1130" s="29" t="s">
        <v>1570</v>
      </c>
      <c r="C1130" s="28" t="s">
        <v>1571</v>
      </c>
      <c r="D1130" s="28" t="s">
        <v>22</v>
      </c>
      <c r="E1130" s="4" t="s">
        <v>16</v>
      </c>
      <c r="F1130" s="28" t="s">
        <v>737</v>
      </c>
      <c r="G1130" s="4"/>
      <c r="H1130" s="4">
        <f>SUMIFS(X!$F$5:$F$2005,X!$D$5:$D$2005,'CEK CICI'!A1130)</f>
        <v>0</v>
      </c>
      <c r="I1130" s="4">
        <f>SUMIFS(PENJUALAN!$E$4:$E$4288,PENJUALAN!$C$4:$C$4288,'CEK CICI'!A1130)</f>
        <v>0</v>
      </c>
      <c r="J1130" s="16">
        <f t="shared" si="2"/>
        <v>0</v>
      </c>
      <c r="K1130" s="4"/>
      <c r="L1130" s="4"/>
      <c r="M1130" s="4"/>
      <c r="N1130" s="4"/>
    </row>
    <row r="1131" ht="13.5" hidden="1" customHeight="1">
      <c r="A1131" s="4" t="str">
        <f t="shared" si="1"/>
        <v>TRW-RIO17XYG</v>
      </c>
      <c r="B1131" s="29" t="s">
        <v>1572</v>
      </c>
      <c r="C1131" s="28" t="s">
        <v>1571</v>
      </c>
      <c r="D1131" s="30" t="s">
        <v>41</v>
      </c>
      <c r="E1131" s="4" t="s">
        <v>16</v>
      </c>
      <c r="F1131" s="28" t="s">
        <v>67</v>
      </c>
      <c r="G1131" s="4"/>
      <c r="H1131" s="4">
        <f>SUMIFS(X!$F$5:$F$2005,X!$D$5:$D$2005,'CEK CICI'!A1131)</f>
        <v>0</v>
      </c>
      <c r="I1131" s="4">
        <f>SUMIFS(PENJUALAN!$E$4:$E$4288,PENJUALAN!$C$4:$C$4288,'CEK CICI'!A1131)</f>
        <v>0</v>
      </c>
      <c r="J1131" s="16">
        <f t="shared" si="2"/>
        <v>0</v>
      </c>
      <c r="K1131" s="4"/>
      <c r="L1131" s="4"/>
      <c r="M1131" s="4"/>
      <c r="N1131" s="4"/>
    </row>
    <row r="1132" ht="13.5" hidden="1" customHeight="1">
      <c r="A1132" s="4" t="str">
        <f t="shared" si="1"/>
        <v>LFW-SEDONA98XYG</v>
      </c>
      <c r="B1132" s="29" t="s">
        <v>624</v>
      </c>
      <c r="C1132" s="28" t="s">
        <v>625</v>
      </c>
      <c r="D1132" s="28" t="s">
        <v>22</v>
      </c>
      <c r="E1132" s="4" t="s">
        <v>16</v>
      </c>
      <c r="F1132" s="28" t="s">
        <v>125</v>
      </c>
      <c r="G1132" s="4"/>
      <c r="H1132" s="4">
        <f>SUMIFS(X!$F$5:$F$2005,X!$D$5:$D$2005,'CEK CICI'!A1132)</f>
        <v>0</v>
      </c>
      <c r="I1132" s="4">
        <f>SUMIFS(PENJUALAN!$E$4:$E$4288,PENJUALAN!$C$4:$C$4288,'CEK CICI'!A1132)</f>
        <v>0</v>
      </c>
      <c r="J1132" s="16">
        <f t="shared" si="2"/>
        <v>0</v>
      </c>
      <c r="K1132" s="4"/>
      <c r="L1132" s="4"/>
      <c r="M1132" s="4"/>
      <c r="N1132" s="4"/>
    </row>
    <row r="1133" ht="13.5" hidden="1" customHeight="1">
      <c r="A1133" s="4" t="str">
        <f t="shared" si="1"/>
        <v>LFW-SONETXYG</v>
      </c>
      <c r="B1133" s="29" t="s">
        <v>2026</v>
      </c>
      <c r="C1133" s="28" t="s">
        <v>1574</v>
      </c>
      <c r="D1133" s="28" t="s">
        <v>22</v>
      </c>
      <c r="E1133" s="4" t="s">
        <v>16</v>
      </c>
      <c r="F1133" s="28" t="s">
        <v>125</v>
      </c>
      <c r="G1133" s="4"/>
      <c r="H1133" s="4">
        <f>SUMIFS(X!$F$5:$F$2005,X!$D$5:$D$2005,'CEK CICI'!A1133)</f>
        <v>2</v>
      </c>
      <c r="I1133" s="4">
        <f>SUMIFS(PENJUALAN!$E$4:$E$4288,PENJUALAN!$C$4:$C$4288,'CEK CICI'!A1133)</f>
        <v>1</v>
      </c>
      <c r="J1133" s="16">
        <f t="shared" si="2"/>
        <v>1</v>
      </c>
      <c r="K1133" s="15" t="s">
        <v>1949</v>
      </c>
      <c r="L1133" s="15"/>
      <c r="M1133" s="4"/>
      <c r="N1133" s="4"/>
    </row>
    <row r="1134" ht="13.5" hidden="1" customHeight="1">
      <c r="A1134" s="4" t="str">
        <f t="shared" si="1"/>
        <v>TRW-SONETXYG</v>
      </c>
      <c r="B1134" s="29" t="s">
        <v>1573</v>
      </c>
      <c r="C1134" s="28" t="s">
        <v>1574</v>
      </c>
      <c r="D1134" s="28" t="s">
        <v>41</v>
      </c>
      <c r="E1134" s="4" t="s">
        <v>16</v>
      </c>
      <c r="F1134" s="28" t="s">
        <v>221</v>
      </c>
      <c r="G1134" s="4"/>
      <c r="H1134" s="4">
        <f>SUMIFS(X!$F$5:$F$2005,X!$D$5:$D$2005,'CEK CICI'!A1134)</f>
        <v>0</v>
      </c>
      <c r="I1134" s="4">
        <f>SUMIFS(PENJUALAN!$E$4:$E$4288,PENJUALAN!$C$4:$C$4288,'CEK CICI'!A1134)</f>
        <v>0</v>
      </c>
      <c r="J1134" s="16">
        <f t="shared" si="2"/>
        <v>0</v>
      </c>
      <c r="K1134" s="4"/>
      <c r="L1134" s="4"/>
      <c r="M1134" s="4"/>
      <c r="N1134" s="4"/>
    </row>
    <row r="1135" ht="13.5" hidden="1" customHeight="1">
      <c r="A1135" s="4" t="str">
        <f t="shared" si="1"/>
        <v>LFW-SORENTOXYG</v>
      </c>
      <c r="B1135" s="29" t="s">
        <v>628</v>
      </c>
      <c r="C1135" s="28" t="s">
        <v>629</v>
      </c>
      <c r="D1135" s="28" t="s">
        <v>22</v>
      </c>
      <c r="E1135" s="4" t="s">
        <v>16</v>
      </c>
      <c r="F1135" s="28" t="s">
        <v>125</v>
      </c>
      <c r="G1135" s="4"/>
      <c r="H1135" s="4">
        <f>SUMIFS(X!$F$5:$F$2005,X!$D$5:$D$2005,'CEK CICI'!A1135)</f>
        <v>1</v>
      </c>
      <c r="I1135" s="4">
        <f>SUMIFS(PENJUALAN!$E$4:$E$4288,PENJUALAN!$C$4:$C$4288,'CEK CICI'!A1135)</f>
        <v>1</v>
      </c>
      <c r="J1135" s="16">
        <f t="shared" si="2"/>
        <v>0</v>
      </c>
      <c r="K1135" s="4"/>
      <c r="L1135" s="4"/>
      <c r="M1135" s="4"/>
      <c r="N1135" s="4"/>
    </row>
    <row r="1136" ht="13.5" customHeight="1">
      <c r="A1136" s="4" t="str">
        <f t="shared" si="1"/>
        <v>LFW-SPORTAGE10XYG</v>
      </c>
      <c r="B1136" s="29" t="s">
        <v>631</v>
      </c>
      <c r="C1136" s="28" t="s">
        <v>632</v>
      </c>
      <c r="D1136" s="28" t="s">
        <v>22</v>
      </c>
      <c r="E1136" s="4" t="s">
        <v>16</v>
      </c>
      <c r="F1136" s="28" t="s">
        <v>125</v>
      </c>
      <c r="G1136" s="15">
        <v>1.0</v>
      </c>
      <c r="H1136" s="4">
        <f>SUMIFS(X!$F$5:$F$2005,X!$D$5:$D$2005,'CEK CICI'!A1136)</f>
        <v>1</v>
      </c>
      <c r="I1136" s="4">
        <f>SUMIFS(PENJUALAN!$E$4:$E$4288,PENJUALAN!$C$4:$C$4288,'CEK CICI'!A1136)</f>
        <v>1</v>
      </c>
      <c r="J1136" s="16">
        <f t="shared" si="2"/>
        <v>0</v>
      </c>
      <c r="K1136" s="4"/>
      <c r="L1136" s="4"/>
      <c r="M1136" s="4"/>
      <c r="N1136" s="4"/>
    </row>
    <row r="1137" ht="13.5" hidden="1" customHeight="1">
      <c r="A1137" s="4" t="str">
        <f t="shared" si="1"/>
        <v>FDL-SPORTAGE10XYG</v>
      </c>
      <c r="B1137" s="29" t="s">
        <v>633</v>
      </c>
      <c r="C1137" s="28" t="s">
        <v>632</v>
      </c>
      <c r="D1137" s="28" t="s">
        <v>128</v>
      </c>
      <c r="E1137" s="4" t="s">
        <v>16</v>
      </c>
      <c r="F1137" s="28"/>
      <c r="G1137" s="4"/>
      <c r="H1137" s="4">
        <f>SUMIFS(X!$F$5:$F$2005,X!$D$5:$D$2005,'CEK CICI'!A1137)</f>
        <v>0</v>
      </c>
      <c r="I1137" s="4">
        <f>SUMIFS(PENJUALAN!$E$4:$E$4288,PENJUALAN!$C$4:$C$4288,'CEK CICI'!A1137)</f>
        <v>0</v>
      </c>
      <c r="J1137" s="16">
        <f t="shared" si="2"/>
        <v>0</v>
      </c>
      <c r="K1137" s="4"/>
      <c r="L1137" s="4"/>
      <c r="M1137" s="4"/>
      <c r="N1137" s="4"/>
    </row>
    <row r="1138" ht="13.5" hidden="1" customHeight="1">
      <c r="A1138" s="4" t="str">
        <f t="shared" si="1"/>
        <v>RDR-SPORTAGE10XYG</v>
      </c>
      <c r="B1138" s="29" t="s">
        <v>636</v>
      </c>
      <c r="C1138" s="28" t="s">
        <v>632</v>
      </c>
      <c r="D1138" s="28" t="s">
        <v>134</v>
      </c>
      <c r="E1138" s="4" t="s">
        <v>16</v>
      </c>
      <c r="F1138" s="28"/>
      <c r="G1138" s="4"/>
      <c r="H1138" s="4">
        <f>SUMIFS(X!$F$5:$F$2005,X!$D$5:$D$2005,'CEK CICI'!A1138)</f>
        <v>0</v>
      </c>
      <c r="I1138" s="4">
        <f>SUMIFS(PENJUALAN!$E$4:$E$4288,PENJUALAN!$C$4:$C$4288,'CEK CICI'!A1138)</f>
        <v>0</v>
      </c>
      <c r="J1138" s="16">
        <f t="shared" si="2"/>
        <v>0</v>
      </c>
      <c r="K1138" s="4"/>
      <c r="L1138" s="4"/>
      <c r="M1138" s="4"/>
      <c r="N1138" s="4"/>
    </row>
    <row r="1139" ht="13.5" hidden="1" customHeight="1">
      <c r="A1139" s="4" t="str">
        <f t="shared" si="1"/>
        <v>TRW-SPORTAGE10SXYG</v>
      </c>
      <c r="B1139" s="29" t="s">
        <v>637</v>
      </c>
      <c r="C1139" s="28" t="s">
        <v>638</v>
      </c>
      <c r="D1139" s="28" t="s">
        <v>41</v>
      </c>
      <c r="E1139" s="4" t="s">
        <v>16</v>
      </c>
      <c r="F1139" s="28" t="s">
        <v>221</v>
      </c>
      <c r="G1139" s="4"/>
      <c r="H1139" s="4">
        <f>SUMIFS(X!$F$5:$F$2005,X!$D$5:$D$2005,'CEK CICI'!A1139)</f>
        <v>1</v>
      </c>
      <c r="I1139" s="4">
        <f>SUMIFS(PENJUALAN!$E$4:$E$4288,PENJUALAN!$C$4:$C$4288,'CEK CICI'!A1139)</f>
        <v>1</v>
      </c>
      <c r="J1139" s="16">
        <f t="shared" si="2"/>
        <v>0</v>
      </c>
      <c r="K1139" s="4"/>
      <c r="L1139" s="4"/>
      <c r="M1139" s="4"/>
      <c r="N1139" s="4"/>
    </row>
    <row r="1140" ht="13.5" hidden="1" customHeight="1">
      <c r="A1140" s="4" t="str">
        <f t="shared" si="1"/>
        <v>TRW-SPORTAGE10NSXYG</v>
      </c>
      <c r="B1140" s="29" t="s">
        <v>1580</v>
      </c>
      <c r="C1140" s="28" t="s">
        <v>1581</v>
      </c>
      <c r="D1140" s="28" t="s">
        <v>41</v>
      </c>
      <c r="E1140" s="4" t="s">
        <v>16</v>
      </c>
      <c r="F1140" s="28" t="s">
        <v>221</v>
      </c>
      <c r="G1140" s="4"/>
      <c r="H1140" s="4">
        <f>SUMIFS(X!$F$5:$F$2005,X!$D$5:$D$2005,'CEK CICI'!A1140)</f>
        <v>0</v>
      </c>
      <c r="I1140" s="4">
        <f>SUMIFS(PENJUALAN!$E$4:$E$4288,PENJUALAN!$C$4:$C$4288,'CEK CICI'!A1140)</f>
        <v>0</v>
      </c>
      <c r="J1140" s="16">
        <f t="shared" si="2"/>
        <v>0</v>
      </c>
      <c r="K1140" s="4"/>
      <c r="L1140" s="4"/>
      <c r="M1140" s="4"/>
      <c r="N1140" s="4"/>
    </row>
    <row r="1141" ht="13.5" hidden="1" customHeight="1">
      <c r="A1141" s="4" t="str">
        <f t="shared" si="1"/>
        <v>LFW-VISTOXYG</v>
      </c>
      <c r="B1141" s="29" t="s">
        <v>647</v>
      </c>
      <c r="C1141" s="28" t="s">
        <v>648</v>
      </c>
      <c r="D1141" s="28" t="s">
        <v>22</v>
      </c>
      <c r="E1141" s="4" t="s">
        <v>16</v>
      </c>
      <c r="F1141" s="28" t="s">
        <v>97</v>
      </c>
      <c r="G1141" s="4"/>
      <c r="H1141" s="4">
        <f>SUMIFS(X!$F$5:$F$2005,X!$D$5:$D$2005,'CEK CICI'!A1141)</f>
        <v>0</v>
      </c>
      <c r="I1141" s="4">
        <f>SUMIFS(PENJUALAN!$E$4:$E$4288,PENJUALAN!$C$4:$C$4288,'CEK CICI'!A1141)</f>
        <v>0</v>
      </c>
      <c r="J1141" s="16">
        <f t="shared" si="2"/>
        <v>0</v>
      </c>
      <c r="K1141" s="4"/>
      <c r="L1141" s="4"/>
      <c r="M1141" s="4"/>
      <c r="N1141" s="4"/>
    </row>
    <row r="1142" ht="13.5" hidden="1" customHeight="1">
      <c r="A1142" s="4" t="str">
        <f t="shared" si="1"/>
        <v>TRW-VISTOXYG</v>
      </c>
      <c r="B1142" s="29" t="s">
        <v>649</v>
      </c>
      <c r="C1142" s="28" t="s">
        <v>648</v>
      </c>
      <c r="D1142" s="28" t="s">
        <v>41</v>
      </c>
      <c r="E1142" s="4" t="s">
        <v>16</v>
      </c>
      <c r="F1142" s="28" t="s">
        <v>67</v>
      </c>
      <c r="G1142" s="4"/>
      <c r="H1142" s="4">
        <f>SUMIFS(X!$F$5:$F$2005,X!$D$5:$D$2005,'CEK CICI'!A1142)</f>
        <v>0</v>
      </c>
      <c r="I1142" s="4">
        <f>SUMIFS(PENJUALAN!$E$4:$E$4288,PENJUALAN!$C$4:$C$4288,'CEK CICI'!A1142)</f>
        <v>0</v>
      </c>
      <c r="J1142" s="16">
        <f t="shared" si="2"/>
        <v>0</v>
      </c>
      <c r="K1142" s="4"/>
      <c r="L1142" s="4"/>
      <c r="M1142" s="4"/>
      <c r="N1142" s="4"/>
    </row>
    <row r="1143" ht="13.5" hidden="1" customHeight="1">
      <c r="A1143" s="4" t="str">
        <f t="shared" si="1"/>
        <v>LFW-NX15RS1XYG</v>
      </c>
      <c r="B1143" s="29" t="s">
        <v>1582</v>
      </c>
      <c r="C1143" s="28" t="s">
        <v>1583</v>
      </c>
      <c r="D1143" s="30" t="s">
        <v>22</v>
      </c>
      <c r="E1143" s="4" t="s">
        <v>16</v>
      </c>
      <c r="F1143" s="28" t="s">
        <v>23</v>
      </c>
      <c r="G1143" s="4"/>
      <c r="H1143" s="4">
        <f>SUMIFS(X!$F$5:$F$2005,X!$D$5:$D$2005,'CEK CICI'!A1143)</f>
        <v>0</v>
      </c>
      <c r="I1143" s="4">
        <f>SUMIFS(PENJUALAN!$E$4:$E$4288,PENJUALAN!$C$4:$C$4288,'CEK CICI'!A1143)</f>
        <v>0</v>
      </c>
      <c r="J1143" s="16">
        <f t="shared" si="2"/>
        <v>0</v>
      </c>
      <c r="K1143" s="6" t="s">
        <v>7171</v>
      </c>
      <c r="L1143" s="4"/>
      <c r="M1143" s="4"/>
      <c r="N1143" s="4"/>
    </row>
    <row r="1144" ht="13.5" hidden="1" customHeight="1">
      <c r="A1144" s="4" t="str">
        <f t="shared" si="1"/>
        <v>LFW-XU30RSXYG</v>
      </c>
      <c r="B1144" s="29" t="s">
        <v>654</v>
      </c>
      <c r="C1144" s="28" t="s">
        <v>655</v>
      </c>
      <c r="D1144" s="28" t="s">
        <v>22</v>
      </c>
      <c r="E1144" s="4" t="s">
        <v>16</v>
      </c>
      <c r="F1144" s="28" t="s">
        <v>75</v>
      </c>
      <c r="G1144" s="4"/>
      <c r="H1144" s="4">
        <f>SUMIFS(X!$F$5:$F$2005,X!$D$5:$D$2005,'CEK CICI'!A1144)</f>
        <v>0</v>
      </c>
      <c r="I1144" s="4">
        <f>SUMIFS(PENJUALAN!$E$4:$E$4288,PENJUALAN!$C$4:$C$4288,'CEK CICI'!A1144)</f>
        <v>0</v>
      </c>
      <c r="J1144" s="16">
        <f t="shared" si="2"/>
        <v>0</v>
      </c>
      <c r="K1144" s="4"/>
      <c r="L1144" s="4"/>
      <c r="M1144" s="4"/>
      <c r="N1144" s="4"/>
    </row>
    <row r="1145" ht="13.5" hidden="1" customHeight="1">
      <c r="A1145" s="4" t="str">
        <f t="shared" si="1"/>
        <v>LFW-XU30XYG</v>
      </c>
      <c r="B1145" s="29" t="s">
        <v>656</v>
      </c>
      <c r="C1145" s="28" t="s">
        <v>655</v>
      </c>
      <c r="D1145" s="28" t="s">
        <v>22</v>
      </c>
      <c r="E1145" s="4" t="s">
        <v>16</v>
      </c>
      <c r="F1145" s="28" t="s">
        <v>125</v>
      </c>
      <c r="G1145" s="4"/>
      <c r="H1145" s="4">
        <f>SUMIFS(X!$F$5:$F$2005,X!$D$5:$D$2005,'CEK CICI'!A1145)</f>
        <v>1</v>
      </c>
      <c r="I1145" s="4">
        <f>SUMIFS(PENJUALAN!$E$4:$E$4288,PENJUALAN!$C$4:$C$4288,'CEK CICI'!A1145)</f>
        <v>1</v>
      </c>
      <c r="J1145" s="16">
        <f t="shared" si="2"/>
        <v>0</v>
      </c>
      <c r="K1145" s="4"/>
      <c r="L1145" s="4"/>
      <c r="M1145" s="4"/>
      <c r="N1145" s="4"/>
    </row>
    <row r="1146" ht="13.5" hidden="1" customHeight="1">
      <c r="A1146" s="4" t="str">
        <f t="shared" si="1"/>
        <v>TRW-XU30XYG</v>
      </c>
      <c r="B1146" s="29" t="s">
        <v>657</v>
      </c>
      <c r="C1146" s="28" t="s">
        <v>658</v>
      </c>
      <c r="D1146" s="28" t="s">
        <v>41</v>
      </c>
      <c r="E1146" s="4" t="s">
        <v>16</v>
      </c>
      <c r="F1146" s="28" t="s">
        <v>659</v>
      </c>
      <c r="G1146" s="4"/>
      <c r="H1146" s="4">
        <f>SUMIFS(X!$F$5:$F$2005,X!$D$5:$D$2005,'CEK CICI'!A1146)</f>
        <v>0</v>
      </c>
      <c r="I1146" s="4">
        <f>SUMIFS(PENJUALAN!$E$4:$E$4288,PENJUALAN!$C$4:$C$4288,'CEK CICI'!A1146)</f>
        <v>0</v>
      </c>
      <c r="J1146" s="16">
        <f t="shared" si="2"/>
        <v>0</v>
      </c>
      <c r="K1146" s="4"/>
      <c r="L1146" s="4"/>
      <c r="M1146" s="4"/>
      <c r="N1146" s="4"/>
    </row>
    <row r="1147" ht="13.5" hidden="1" customHeight="1">
      <c r="A1147" s="4" t="str">
        <f t="shared" si="1"/>
        <v>FDL-XU30XYG</v>
      </c>
      <c r="B1147" s="29" t="s">
        <v>662</v>
      </c>
      <c r="C1147" s="28" t="s">
        <v>655</v>
      </c>
      <c r="D1147" s="28" t="s">
        <v>128</v>
      </c>
      <c r="E1147" s="4" t="s">
        <v>16</v>
      </c>
      <c r="F1147" s="28"/>
      <c r="G1147" s="4"/>
      <c r="H1147" s="4">
        <f>SUMIFS(X!$F$5:$F$2005,X!$D$5:$D$2005,'CEK CICI'!A1147)</f>
        <v>0</v>
      </c>
      <c r="I1147" s="4">
        <f>SUMIFS(PENJUALAN!$E$4:$E$4288,PENJUALAN!$C$4:$C$4288,'CEK CICI'!A1147)</f>
        <v>0</v>
      </c>
      <c r="J1147" s="16">
        <f t="shared" si="2"/>
        <v>0</v>
      </c>
      <c r="K1147" s="4"/>
      <c r="L1147" s="4"/>
      <c r="M1147" s="4"/>
      <c r="N1147" s="4"/>
    </row>
    <row r="1148" ht="13.5" hidden="1" customHeight="1">
      <c r="A1148" s="4" t="str">
        <f t="shared" si="1"/>
        <v>FDR-XU30XYG</v>
      </c>
      <c r="B1148" s="29" t="s">
        <v>663</v>
      </c>
      <c r="C1148" s="28" t="s">
        <v>655</v>
      </c>
      <c r="D1148" s="28" t="s">
        <v>130</v>
      </c>
      <c r="E1148" s="4" t="s">
        <v>16</v>
      </c>
      <c r="F1148" s="28"/>
      <c r="G1148" s="4"/>
      <c r="H1148" s="4">
        <f>SUMIFS(X!$F$5:$F$2005,X!$D$5:$D$2005,'CEK CICI'!A1148)</f>
        <v>0</v>
      </c>
      <c r="I1148" s="4">
        <f>SUMIFS(PENJUALAN!$E$4:$E$4288,PENJUALAN!$C$4:$C$4288,'CEK CICI'!A1148)</f>
        <v>0</v>
      </c>
      <c r="J1148" s="16">
        <f t="shared" si="2"/>
        <v>0</v>
      </c>
      <c r="K1148" s="4"/>
      <c r="L1148" s="4"/>
      <c r="M1148" s="4"/>
      <c r="N1148" s="4"/>
    </row>
    <row r="1149" ht="13.5" hidden="1" customHeight="1">
      <c r="A1149" s="4" t="str">
        <f t="shared" si="1"/>
        <v>LFW-AL10XYG</v>
      </c>
      <c r="B1149" s="29" t="s">
        <v>670</v>
      </c>
      <c r="C1149" s="28" t="s">
        <v>671</v>
      </c>
      <c r="D1149" s="28" t="s">
        <v>22</v>
      </c>
      <c r="E1149" s="4" t="s">
        <v>16</v>
      </c>
      <c r="F1149" s="28" t="s">
        <v>672</v>
      </c>
      <c r="G1149" s="4"/>
      <c r="H1149" s="4">
        <f>SUMIFS(X!$F$5:$F$2005,X!$D$5:$D$2005,'CEK CICI'!A1149)</f>
        <v>0</v>
      </c>
      <c r="I1149" s="4">
        <f>SUMIFS(PENJUALAN!$E$4:$E$4288,PENJUALAN!$C$4:$C$4288,'CEK CICI'!A1149)</f>
        <v>0</v>
      </c>
      <c r="J1149" s="16">
        <f t="shared" si="2"/>
        <v>0</v>
      </c>
      <c r="K1149" s="4"/>
      <c r="L1149" s="4"/>
      <c r="M1149" s="4"/>
      <c r="N1149" s="4"/>
    </row>
    <row r="1150" ht="13.5" hidden="1" customHeight="1">
      <c r="A1150" s="4" t="str">
        <f t="shared" si="1"/>
        <v>LFW-CU6XYG</v>
      </c>
      <c r="B1150" s="29" t="s">
        <v>675</v>
      </c>
      <c r="C1150" s="28" t="s">
        <v>676</v>
      </c>
      <c r="D1150" s="28" t="s">
        <v>22</v>
      </c>
      <c r="E1150" s="4" t="s">
        <v>16</v>
      </c>
      <c r="F1150" s="28" t="s">
        <v>75</v>
      </c>
      <c r="G1150" s="4"/>
      <c r="H1150" s="4">
        <f>SUMIFS(X!$F$5:$F$2005,X!$D$5:$D$2005,'CEK CICI'!A1150)</f>
        <v>0</v>
      </c>
      <c r="I1150" s="4">
        <f>SUMIFS(PENJUALAN!$E$4:$E$4288,PENJUALAN!$C$4:$C$4288,'CEK CICI'!A1150)</f>
        <v>0</v>
      </c>
      <c r="J1150" s="16">
        <f t="shared" si="2"/>
        <v>0</v>
      </c>
      <c r="K1150" s="4"/>
      <c r="L1150" s="4"/>
      <c r="M1150" s="4"/>
      <c r="N1150" s="4"/>
    </row>
    <row r="1151" ht="13.5" hidden="1" customHeight="1">
      <c r="A1151" s="4" t="str">
        <f t="shared" si="1"/>
        <v>LFW-AL20XYG</v>
      </c>
      <c r="B1151" s="29" t="s">
        <v>1586</v>
      </c>
      <c r="C1151" s="28" t="s">
        <v>1587</v>
      </c>
      <c r="D1151" s="30" t="s">
        <v>22</v>
      </c>
      <c r="E1151" s="4" t="s">
        <v>16</v>
      </c>
      <c r="F1151" s="28" t="s">
        <v>1588</v>
      </c>
      <c r="G1151" s="4"/>
      <c r="H1151" s="4">
        <f>SUMIFS(X!$F$5:$F$2005,X!$D$5:$D$2005,'CEK CICI'!A1151)</f>
        <v>0</v>
      </c>
      <c r="I1151" s="4">
        <f>SUMIFS(PENJUALAN!$E$4:$E$4288,PENJUALAN!$C$4:$C$4288,'CEK CICI'!A1151)</f>
        <v>0</v>
      </c>
      <c r="J1151" s="16">
        <f t="shared" si="2"/>
        <v>0</v>
      </c>
      <c r="K1151" s="4"/>
      <c r="L1151" s="4"/>
      <c r="M1151" s="4"/>
      <c r="N1151" s="4"/>
    </row>
    <row r="1152" ht="13.5" hidden="1" customHeight="1">
      <c r="A1152" s="4" t="str">
        <f t="shared" si="1"/>
        <v>LFW-MAZDA209XYG</v>
      </c>
      <c r="B1152" s="29" t="s">
        <v>685</v>
      </c>
      <c r="C1152" s="28" t="s">
        <v>686</v>
      </c>
      <c r="D1152" s="28" t="s">
        <v>22</v>
      </c>
      <c r="E1152" s="4" t="s">
        <v>16</v>
      </c>
      <c r="F1152" s="28" t="s">
        <v>125</v>
      </c>
      <c r="G1152" s="4"/>
      <c r="H1152" s="4">
        <f>SUMIFS(X!$F$5:$F$2005,X!$D$5:$D$2005,'CEK CICI'!A1152)</f>
        <v>2</v>
      </c>
      <c r="I1152" s="4">
        <f>SUMIFS(PENJUALAN!$E$4:$E$4288,PENJUALAN!$C$4:$C$4288,'CEK CICI'!A1152)</f>
        <v>1</v>
      </c>
      <c r="J1152" s="16">
        <f t="shared" si="2"/>
        <v>1</v>
      </c>
      <c r="K1152" s="4"/>
      <c r="L1152" s="4"/>
      <c r="M1152" s="4"/>
      <c r="N1152" s="4"/>
    </row>
    <row r="1153" ht="13.5" hidden="1" customHeight="1">
      <c r="A1153" s="4" t="str">
        <f t="shared" si="1"/>
        <v>TRW-MAZDA209SEDANXYG</v>
      </c>
      <c r="B1153" s="29" t="s">
        <v>1590</v>
      </c>
      <c r="C1153" s="30" t="s">
        <v>1591</v>
      </c>
      <c r="D1153" s="30" t="s">
        <v>41</v>
      </c>
      <c r="E1153" s="4" t="s">
        <v>16</v>
      </c>
      <c r="F1153" s="30" t="s">
        <v>67</v>
      </c>
      <c r="G1153" s="4"/>
      <c r="H1153" s="4">
        <f>SUMIFS(X!$F$5:$F$2005,X!$D$5:$D$2005,'CEK CICI'!A1153)</f>
        <v>0</v>
      </c>
      <c r="I1153" s="4">
        <f>SUMIFS(PENJUALAN!$E$4:$E$4288,PENJUALAN!$C$4:$C$4288,'CEK CICI'!A1153)</f>
        <v>0</v>
      </c>
      <c r="J1153" s="16">
        <f t="shared" si="2"/>
        <v>0</v>
      </c>
      <c r="K1153" s="4"/>
      <c r="L1153" s="4"/>
      <c r="M1153" s="4"/>
      <c r="N1153" s="4"/>
    </row>
    <row r="1154" ht="13.5" customHeight="1">
      <c r="A1154" s="4" t="str">
        <f t="shared" si="1"/>
        <v>TRW-MAZDA209XYG</v>
      </c>
      <c r="B1154" s="29" t="s">
        <v>687</v>
      </c>
      <c r="C1154" s="28" t="s">
        <v>688</v>
      </c>
      <c r="D1154" s="28" t="s">
        <v>41</v>
      </c>
      <c r="E1154" s="4" t="s">
        <v>16</v>
      </c>
      <c r="F1154" s="28" t="s">
        <v>67</v>
      </c>
      <c r="G1154" s="15">
        <v>1.0</v>
      </c>
      <c r="H1154" s="4">
        <f>SUMIFS(X!$F$5:$F$2005,X!$D$5:$D$2005,'CEK CICI'!A1154)</f>
        <v>3</v>
      </c>
      <c r="I1154" s="4">
        <f>SUMIFS(PENJUALAN!$E$4:$E$4288,PENJUALAN!$C$4:$C$4288,'CEK CICI'!A1154)</f>
        <v>3</v>
      </c>
      <c r="J1154" s="16">
        <f t="shared" si="2"/>
        <v>0</v>
      </c>
      <c r="K1154" s="71" t="s">
        <v>1382</v>
      </c>
      <c r="L1154" s="70"/>
      <c r="M1154" s="4"/>
      <c r="N1154" s="4"/>
    </row>
    <row r="1155" ht="13.5" hidden="1" customHeight="1">
      <c r="A1155" s="4" t="str">
        <f t="shared" si="1"/>
        <v>FDL-MAZDA209XYG</v>
      </c>
      <c r="B1155" s="29" t="s">
        <v>689</v>
      </c>
      <c r="C1155" s="28" t="s">
        <v>688</v>
      </c>
      <c r="D1155" s="28" t="s">
        <v>128</v>
      </c>
      <c r="E1155" s="4" t="s">
        <v>16</v>
      </c>
      <c r="F1155" s="28" t="s">
        <v>141</v>
      </c>
      <c r="G1155" s="4"/>
      <c r="H1155" s="4">
        <f>SUMIFS(X!$F$5:$F$2005,X!$D$5:$D$2005,'CEK CICI'!A1155)</f>
        <v>0</v>
      </c>
      <c r="I1155" s="4">
        <f>SUMIFS(PENJUALAN!$E$4:$E$4288,PENJUALAN!$C$4:$C$4288,'CEK CICI'!A1155)</f>
        <v>0</v>
      </c>
      <c r="J1155" s="16">
        <f t="shared" si="2"/>
        <v>0</v>
      </c>
      <c r="K1155" s="4"/>
      <c r="L1155" s="4"/>
      <c r="M1155" s="4"/>
      <c r="N1155" s="4"/>
    </row>
    <row r="1156" ht="13.5" hidden="1" customHeight="1">
      <c r="A1156" s="4" t="str">
        <f t="shared" si="1"/>
        <v>FDR-MAZDA209XYG</v>
      </c>
      <c r="B1156" s="29" t="s">
        <v>690</v>
      </c>
      <c r="C1156" s="28" t="s">
        <v>688</v>
      </c>
      <c r="D1156" s="28" t="s">
        <v>130</v>
      </c>
      <c r="E1156" s="4" t="s">
        <v>16</v>
      </c>
      <c r="F1156" s="28" t="s">
        <v>141</v>
      </c>
      <c r="G1156" s="4"/>
      <c r="H1156" s="4">
        <f>SUMIFS(X!$F$5:$F$2005,X!$D$5:$D$2005,'CEK CICI'!A1156)</f>
        <v>0</v>
      </c>
      <c r="I1156" s="4">
        <f>SUMIFS(PENJUALAN!$E$4:$E$4288,PENJUALAN!$C$4:$C$4288,'CEK CICI'!A1156)</f>
        <v>0</v>
      </c>
      <c r="J1156" s="16">
        <f t="shared" si="2"/>
        <v>0</v>
      </c>
      <c r="K1156" s="4"/>
      <c r="L1156" s="4"/>
      <c r="M1156" s="4"/>
      <c r="N1156" s="4"/>
    </row>
    <row r="1157" ht="13.5" hidden="1" customHeight="1">
      <c r="A1157" s="4" t="str">
        <f t="shared" si="1"/>
        <v>RDL-MAZDA209XYG</v>
      </c>
      <c r="B1157" s="29" t="s">
        <v>691</v>
      </c>
      <c r="C1157" s="28" t="s">
        <v>688</v>
      </c>
      <c r="D1157" s="28" t="s">
        <v>132</v>
      </c>
      <c r="E1157" s="4" t="s">
        <v>16</v>
      </c>
      <c r="F1157" s="28" t="s">
        <v>141</v>
      </c>
      <c r="G1157" s="4"/>
      <c r="H1157" s="4">
        <f>SUMIFS(X!$F$5:$F$2005,X!$D$5:$D$2005,'CEK CICI'!A1157)</f>
        <v>0</v>
      </c>
      <c r="I1157" s="4">
        <f>SUMIFS(PENJUALAN!$E$4:$E$4288,PENJUALAN!$C$4:$C$4288,'CEK CICI'!A1157)</f>
        <v>0</v>
      </c>
      <c r="J1157" s="16">
        <f t="shared" si="2"/>
        <v>0</v>
      </c>
      <c r="K1157" s="4"/>
      <c r="L1157" s="4"/>
      <c r="M1157" s="4"/>
      <c r="N1157" s="4"/>
    </row>
    <row r="1158" ht="13.5" hidden="1" customHeight="1">
      <c r="A1158" s="4" t="str">
        <f t="shared" si="1"/>
        <v>RDR-MAZDA209XYG</v>
      </c>
      <c r="B1158" s="29" t="s">
        <v>692</v>
      </c>
      <c r="C1158" s="28" t="s">
        <v>688</v>
      </c>
      <c r="D1158" s="28" t="s">
        <v>134</v>
      </c>
      <c r="E1158" s="4" t="s">
        <v>16</v>
      </c>
      <c r="F1158" s="28" t="s">
        <v>141</v>
      </c>
      <c r="G1158" s="4"/>
      <c r="H1158" s="4">
        <f>SUMIFS(X!$F$5:$F$2005,X!$D$5:$D$2005,'CEK CICI'!A1158)</f>
        <v>0</v>
      </c>
      <c r="I1158" s="4">
        <f>SUMIFS(PENJUALAN!$E$4:$E$4288,PENJUALAN!$C$4:$C$4288,'CEK CICI'!A1158)</f>
        <v>0</v>
      </c>
      <c r="J1158" s="16">
        <f t="shared" si="2"/>
        <v>0</v>
      </c>
      <c r="K1158" s="4"/>
      <c r="L1158" s="4"/>
      <c r="M1158" s="4"/>
      <c r="N1158" s="4"/>
    </row>
    <row r="1159" ht="13.5" hidden="1" customHeight="1">
      <c r="A1159" s="4" t="str">
        <f t="shared" si="1"/>
        <v>LFW-MAZDA214XYG</v>
      </c>
      <c r="B1159" s="29" t="s">
        <v>693</v>
      </c>
      <c r="C1159" s="28" t="s">
        <v>694</v>
      </c>
      <c r="D1159" s="28" t="s">
        <v>22</v>
      </c>
      <c r="E1159" s="4" t="s">
        <v>16</v>
      </c>
      <c r="F1159" s="28" t="s">
        <v>125</v>
      </c>
      <c r="G1159" s="4"/>
      <c r="H1159" s="4">
        <f>SUMIFS(X!$F$5:$F$2005,X!$D$5:$D$2005,'CEK CICI'!A1159)</f>
        <v>7</v>
      </c>
      <c r="I1159" s="4">
        <f>SUMIFS(PENJUALAN!$E$4:$E$4288,PENJUALAN!$C$4:$C$4288,'CEK CICI'!A1159)</f>
        <v>0</v>
      </c>
      <c r="J1159" s="16">
        <f t="shared" si="2"/>
        <v>7</v>
      </c>
      <c r="K1159" s="4"/>
      <c r="L1159" s="4"/>
      <c r="M1159" s="4"/>
      <c r="N1159" s="4"/>
    </row>
    <row r="1160" ht="13.5" hidden="1" customHeight="1">
      <c r="A1160" s="4" t="str">
        <f t="shared" si="1"/>
        <v>LFW-MAZDA214RS1XYG</v>
      </c>
      <c r="B1160" s="29" t="s">
        <v>2121</v>
      </c>
      <c r="C1160" s="28" t="s">
        <v>2122</v>
      </c>
      <c r="D1160" s="28" t="s">
        <v>22</v>
      </c>
      <c r="E1160" s="4" t="s">
        <v>16</v>
      </c>
      <c r="F1160" s="28" t="s">
        <v>75</v>
      </c>
      <c r="G1160" s="4"/>
      <c r="H1160" s="4">
        <f>SUMIFS(X!$F$5:$F$2005,X!$D$5:$D$2005,'CEK CICI'!A1160)</f>
        <v>7</v>
      </c>
      <c r="I1160" s="4">
        <f>SUMIFS(PENJUALAN!$E$4:$E$4288,PENJUALAN!$C$4:$C$4288,'CEK CICI'!A1160)</f>
        <v>2</v>
      </c>
      <c r="J1160" s="16">
        <f t="shared" si="2"/>
        <v>5</v>
      </c>
      <c r="K1160" s="15" t="s">
        <v>744</v>
      </c>
      <c r="L1160" s="15"/>
      <c r="M1160" s="4"/>
      <c r="N1160" s="4"/>
    </row>
    <row r="1161" ht="13.5" hidden="1" customHeight="1">
      <c r="A1161" s="4" t="str">
        <f t="shared" si="1"/>
        <v>LFW-MAZDA214RS3XYG</v>
      </c>
      <c r="B1161" s="29" t="s">
        <v>2123</v>
      </c>
      <c r="C1161" s="28" t="s">
        <v>696</v>
      </c>
      <c r="D1161" s="28" t="s">
        <v>22</v>
      </c>
      <c r="E1161" s="4" t="s">
        <v>16</v>
      </c>
      <c r="F1161" s="28" t="s">
        <v>697</v>
      </c>
      <c r="G1161" s="4"/>
      <c r="H1161" s="4">
        <f>SUMIFS(X!$F$5:$F$2005,X!$D$5:$D$2005,'CEK CICI'!A1161)</f>
        <v>4</v>
      </c>
      <c r="I1161" s="4">
        <f>SUMIFS(PENJUALAN!$E$4:$E$4288,PENJUALAN!$C$4:$C$4288,'CEK CICI'!A1161)</f>
        <v>3</v>
      </c>
      <c r="J1161" s="16">
        <f t="shared" si="2"/>
        <v>1</v>
      </c>
      <c r="K1161" s="15" t="s">
        <v>744</v>
      </c>
      <c r="L1161" s="15"/>
      <c r="M1161" s="4"/>
      <c r="N1161" s="4"/>
    </row>
    <row r="1162" ht="13.5" hidden="1" customHeight="1">
      <c r="A1162" s="4" t="str">
        <f t="shared" si="1"/>
        <v>LFW-MAZDA214RS4XYG</v>
      </c>
      <c r="B1162" s="29" t="s">
        <v>1596</v>
      </c>
      <c r="C1162" s="28" t="s">
        <v>1597</v>
      </c>
      <c r="D1162" s="30" t="s">
        <v>22</v>
      </c>
      <c r="E1162" s="4" t="s">
        <v>16</v>
      </c>
      <c r="F1162" s="28" t="s">
        <v>1598</v>
      </c>
      <c r="G1162" s="4"/>
      <c r="H1162" s="4">
        <f>SUMIFS(X!$F$5:$F$2005,X!$D$5:$D$2005,'CEK CICI'!A1162)</f>
        <v>0</v>
      </c>
      <c r="I1162" s="4">
        <f>SUMIFS(PENJUALAN!$E$4:$E$4288,PENJUALAN!$C$4:$C$4288,'CEK CICI'!A1162)</f>
        <v>0</v>
      </c>
      <c r="J1162" s="16">
        <f t="shared" si="2"/>
        <v>0</v>
      </c>
      <c r="K1162" s="4"/>
      <c r="L1162" s="4"/>
      <c r="M1162" s="4"/>
      <c r="N1162" s="4"/>
    </row>
    <row r="1163" ht="13.5" hidden="1" customHeight="1">
      <c r="A1163" s="4" t="str">
        <f t="shared" si="1"/>
        <v>TRW-MAZDA214XYG</v>
      </c>
      <c r="B1163" s="29" t="s">
        <v>698</v>
      </c>
      <c r="C1163" s="28" t="s">
        <v>699</v>
      </c>
      <c r="D1163" s="30" t="s">
        <v>41</v>
      </c>
      <c r="E1163" s="4" t="s">
        <v>16</v>
      </c>
      <c r="F1163" s="28" t="s">
        <v>67</v>
      </c>
      <c r="G1163" s="4"/>
      <c r="H1163" s="4">
        <f>SUMIFS(X!$F$5:$F$2005,X!$D$5:$D$2005,'CEK CICI'!A1163)</f>
        <v>0</v>
      </c>
      <c r="I1163" s="4">
        <f>SUMIFS(PENJUALAN!$E$4:$E$4288,PENJUALAN!$C$4:$C$4288,'CEK CICI'!A1163)</f>
        <v>0</v>
      </c>
      <c r="J1163" s="16">
        <f t="shared" si="2"/>
        <v>0</v>
      </c>
      <c r="K1163" s="4"/>
      <c r="L1163" s="4"/>
      <c r="M1163" s="4"/>
      <c r="N1163" s="4"/>
    </row>
    <row r="1164" ht="13.5" hidden="1" customHeight="1">
      <c r="A1164" s="4" t="str">
        <f t="shared" si="1"/>
        <v>FDL-MAZDA214XYG</v>
      </c>
      <c r="B1164" s="29" t="s">
        <v>700</v>
      </c>
      <c r="C1164" s="28" t="s">
        <v>699</v>
      </c>
      <c r="D1164" s="28" t="s">
        <v>128</v>
      </c>
      <c r="E1164" s="4" t="s">
        <v>16</v>
      </c>
      <c r="F1164" s="28" t="s">
        <v>397</v>
      </c>
      <c r="G1164" s="4"/>
      <c r="H1164" s="4">
        <f>SUMIFS(X!$F$5:$F$2005,X!$D$5:$D$2005,'CEK CICI'!A1164)</f>
        <v>1</v>
      </c>
      <c r="I1164" s="4">
        <f>SUMIFS(PENJUALAN!$E$4:$E$4288,PENJUALAN!$C$4:$C$4288,'CEK CICI'!A1164)</f>
        <v>1</v>
      </c>
      <c r="J1164" s="16">
        <f t="shared" si="2"/>
        <v>0</v>
      </c>
      <c r="K1164" s="15" t="s">
        <v>1431</v>
      </c>
      <c r="L1164" s="4"/>
      <c r="M1164" s="4"/>
      <c r="N1164" s="4"/>
    </row>
    <row r="1165" ht="13.5" hidden="1" customHeight="1">
      <c r="A1165" s="4" t="str">
        <f t="shared" si="1"/>
        <v>FDR-MAZDA214XYG</v>
      </c>
      <c r="B1165" s="29" t="s">
        <v>701</v>
      </c>
      <c r="C1165" s="28" t="s">
        <v>699</v>
      </c>
      <c r="D1165" s="28" t="s">
        <v>130</v>
      </c>
      <c r="E1165" s="4" t="s">
        <v>16</v>
      </c>
      <c r="F1165" s="28" t="s">
        <v>397</v>
      </c>
      <c r="G1165" s="4"/>
      <c r="H1165" s="4">
        <f>SUMIFS(X!$F$5:$F$2005,X!$D$5:$D$2005,'CEK CICI'!A1165)</f>
        <v>0</v>
      </c>
      <c r="I1165" s="4">
        <f>SUMIFS(PENJUALAN!$E$4:$E$4288,PENJUALAN!$C$4:$C$4288,'CEK CICI'!A1165)</f>
        <v>0</v>
      </c>
      <c r="J1165" s="16">
        <f t="shared" si="2"/>
        <v>0</v>
      </c>
      <c r="K1165" s="4"/>
      <c r="L1165" s="4"/>
      <c r="M1165" s="4"/>
      <c r="N1165" s="4"/>
    </row>
    <row r="1166" ht="13.5" hidden="1" customHeight="1">
      <c r="A1166" s="4" t="str">
        <f t="shared" si="1"/>
        <v>RDL-MAZDA214XYG</v>
      </c>
      <c r="B1166" s="29" t="s">
        <v>702</v>
      </c>
      <c r="C1166" s="28" t="s">
        <v>699</v>
      </c>
      <c r="D1166" s="28" t="s">
        <v>132</v>
      </c>
      <c r="E1166" s="4" t="s">
        <v>16</v>
      </c>
      <c r="F1166" s="28"/>
      <c r="G1166" s="4"/>
      <c r="H1166" s="4">
        <f>SUMIFS(X!$F$5:$F$2005,X!$D$5:$D$2005,'CEK CICI'!A1166)</f>
        <v>0</v>
      </c>
      <c r="I1166" s="4">
        <f>SUMIFS(PENJUALAN!$E$4:$E$4288,PENJUALAN!$C$4:$C$4288,'CEK CICI'!A1166)</f>
        <v>0</v>
      </c>
      <c r="J1166" s="16">
        <f t="shared" si="2"/>
        <v>0</v>
      </c>
      <c r="K1166" s="4"/>
      <c r="L1166" s="4"/>
      <c r="M1166" s="4"/>
      <c r="N1166" s="4"/>
    </row>
    <row r="1167" ht="13.5" hidden="1" customHeight="1">
      <c r="A1167" s="4" t="str">
        <f t="shared" si="1"/>
        <v>RDR-MAZDA214XYG</v>
      </c>
      <c r="B1167" s="29" t="s">
        <v>703</v>
      </c>
      <c r="C1167" s="28" t="s">
        <v>699</v>
      </c>
      <c r="D1167" s="28" t="s">
        <v>134</v>
      </c>
      <c r="E1167" s="4" t="s">
        <v>16</v>
      </c>
      <c r="F1167" s="28"/>
      <c r="G1167" s="4"/>
      <c r="H1167" s="4">
        <f>SUMIFS(X!$F$5:$F$2005,X!$D$5:$D$2005,'CEK CICI'!A1167)</f>
        <v>0</v>
      </c>
      <c r="I1167" s="4">
        <f>SUMIFS(PENJUALAN!$E$4:$E$4288,PENJUALAN!$C$4:$C$4288,'CEK CICI'!A1167)</f>
        <v>0</v>
      </c>
      <c r="J1167" s="16">
        <f t="shared" si="2"/>
        <v>0</v>
      </c>
      <c r="K1167" s="4"/>
      <c r="L1167" s="4"/>
      <c r="M1167" s="4"/>
      <c r="N1167" s="4"/>
    </row>
    <row r="1168" ht="13.5" hidden="1" customHeight="1">
      <c r="A1168" s="4" t="str">
        <f t="shared" si="1"/>
        <v>LFW-MAZDA612XYG</v>
      </c>
      <c r="B1168" s="29" t="s">
        <v>713</v>
      </c>
      <c r="C1168" s="28" t="s">
        <v>714</v>
      </c>
      <c r="D1168" s="28" t="s">
        <v>22</v>
      </c>
      <c r="E1168" s="4" t="s">
        <v>16</v>
      </c>
      <c r="F1168" s="28" t="s">
        <v>125</v>
      </c>
      <c r="G1168" s="4"/>
      <c r="H1168" s="4">
        <f>SUMIFS(X!$F$5:$F$2005,X!$D$5:$D$2005,'CEK CICI'!A1168)</f>
        <v>0</v>
      </c>
      <c r="I1168" s="4">
        <f>SUMIFS(PENJUALAN!$E$4:$E$4288,PENJUALAN!$C$4:$C$4288,'CEK CICI'!A1168)</f>
        <v>0</v>
      </c>
      <c r="J1168" s="16">
        <f t="shared" si="2"/>
        <v>0</v>
      </c>
      <c r="K1168" s="4"/>
      <c r="L1168" s="4"/>
      <c r="M1168" s="4"/>
      <c r="N1168" s="4"/>
    </row>
    <row r="1169" ht="13.5" hidden="1" customHeight="1">
      <c r="A1169" s="4" t="str">
        <f t="shared" si="1"/>
        <v>LFW-MAZDA8RSXYG</v>
      </c>
      <c r="B1169" s="29" t="s">
        <v>1600</v>
      </c>
      <c r="C1169" s="28" t="s">
        <v>723</v>
      </c>
      <c r="D1169" s="28" t="s">
        <v>22</v>
      </c>
      <c r="E1169" s="4" t="s">
        <v>16</v>
      </c>
      <c r="F1169" s="28" t="s">
        <v>75</v>
      </c>
      <c r="G1169" s="4"/>
      <c r="H1169" s="4">
        <f>SUMIFS(X!$F$5:$F$2005,X!$D$5:$D$2005,'CEK CICI'!A1169)</f>
        <v>0</v>
      </c>
      <c r="I1169" s="4">
        <f>SUMIFS(PENJUALAN!$E$4:$E$4288,PENJUALAN!$C$4:$C$4288,'CEK CICI'!A1169)</f>
        <v>0</v>
      </c>
      <c r="J1169" s="16">
        <f t="shared" si="2"/>
        <v>0</v>
      </c>
      <c r="K1169" s="4"/>
      <c r="L1169" s="4"/>
      <c r="M1169" s="4"/>
      <c r="N1169" s="4"/>
    </row>
    <row r="1170" ht="13.5" hidden="1" customHeight="1">
      <c r="A1170" s="4" t="str">
        <f t="shared" si="1"/>
        <v>LFW-BIANTERSXYG</v>
      </c>
      <c r="B1170" s="29" t="s">
        <v>725</v>
      </c>
      <c r="C1170" s="28" t="s">
        <v>726</v>
      </c>
      <c r="D1170" s="28" t="s">
        <v>22</v>
      </c>
      <c r="E1170" s="4" t="s">
        <v>16</v>
      </c>
      <c r="F1170" s="28" t="s">
        <v>23</v>
      </c>
      <c r="G1170" s="4"/>
      <c r="H1170" s="4">
        <f>SUMIFS(X!$F$5:$F$2005,X!$D$5:$D$2005,'CEK CICI'!A1170)</f>
        <v>0</v>
      </c>
      <c r="I1170" s="4">
        <f>SUMIFS(PENJUALAN!$E$4:$E$4288,PENJUALAN!$C$4:$C$4288,'CEK CICI'!A1170)</f>
        <v>0</v>
      </c>
      <c r="J1170" s="16">
        <f t="shared" si="2"/>
        <v>0</v>
      </c>
      <c r="K1170" s="4"/>
      <c r="L1170" s="4"/>
      <c r="M1170" s="4"/>
      <c r="N1170" s="4"/>
    </row>
    <row r="1171" ht="13.5" hidden="1" customHeight="1">
      <c r="A1171" s="4" t="str">
        <f t="shared" si="1"/>
        <v>LFW-BIANTEXYG</v>
      </c>
      <c r="B1171" s="29" t="s">
        <v>727</v>
      </c>
      <c r="C1171" s="28" t="s">
        <v>726</v>
      </c>
      <c r="D1171" s="28" t="s">
        <v>22</v>
      </c>
      <c r="E1171" s="4" t="s">
        <v>16</v>
      </c>
      <c r="F1171" s="28" t="s">
        <v>125</v>
      </c>
      <c r="G1171" s="4"/>
      <c r="H1171" s="4">
        <f>SUMIFS(X!$F$5:$F$2005,X!$D$5:$D$2005,'CEK CICI'!A1171)</f>
        <v>0</v>
      </c>
      <c r="I1171" s="4">
        <f>SUMIFS(PENJUALAN!$E$4:$E$4288,PENJUALAN!$C$4:$C$4288,'CEK CICI'!A1171)</f>
        <v>0</v>
      </c>
      <c r="J1171" s="16">
        <f t="shared" si="2"/>
        <v>0</v>
      </c>
      <c r="K1171" s="4"/>
      <c r="L1171" s="4"/>
      <c r="M1171" s="4"/>
      <c r="N1171" s="4"/>
    </row>
    <row r="1172" ht="13.5" customHeight="1">
      <c r="A1172" s="4" t="str">
        <f t="shared" si="1"/>
        <v>TRW-BIANTEBLACKXYG</v>
      </c>
      <c r="B1172" s="29" t="s">
        <v>729</v>
      </c>
      <c r="C1172" s="28" t="s">
        <v>730</v>
      </c>
      <c r="D1172" s="28" t="s">
        <v>41</v>
      </c>
      <c r="E1172" s="4" t="s">
        <v>16</v>
      </c>
      <c r="F1172" s="28" t="s">
        <v>439</v>
      </c>
      <c r="G1172" s="15">
        <v>1.0</v>
      </c>
      <c r="H1172" s="4">
        <f>SUMIFS(X!$F$5:$F$2005,X!$D$5:$D$2005,'CEK CICI'!A1172)</f>
        <v>3</v>
      </c>
      <c r="I1172" s="4">
        <f>SUMIFS(PENJUALAN!$E$4:$E$4288,PENJUALAN!$C$4:$C$4288,'CEK CICI'!A1172)</f>
        <v>3</v>
      </c>
      <c r="J1172" s="16">
        <f t="shared" si="2"/>
        <v>0</v>
      </c>
      <c r="K1172" s="15" t="s">
        <v>1567</v>
      </c>
      <c r="L1172" s="15"/>
      <c r="M1172" s="4"/>
      <c r="N1172" s="4"/>
    </row>
    <row r="1173" ht="13.5" hidden="1" customHeight="1">
      <c r="A1173" s="4" t="str">
        <f t="shared" si="1"/>
        <v>SWL-BIANTEHITAMXYG</v>
      </c>
      <c r="B1173" s="29" t="s">
        <v>1604</v>
      </c>
      <c r="C1173" s="28" t="s">
        <v>730</v>
      </c>
      <c r="D1173" s="30" t="s">
        <v>202</v>
      </c>
      <c r="E1173" s="4" t="s">
        <v>16</v>
      </c>
      <c r="F1173" s="28"/>
      <c r="G1173" s="4"/>
      <c r="H1173" s="4">
        <f>SUMIFS(X!$F$5:$F$2005,X!$D$5:$D$2005,'CEK CICI'!A1173)</f>
        <v>0</v>
      </c>
      <c r="I1173" s="4">
        <f>SUMIFS(PENJUALAN!$E$4:$E$4288,PENJUALAN!$C$4:$C$4288,'CEK CICI'!A1173)</f>
        <v>0</v>
      </c>
      <c r="J1173" s="16">
        <f t="shared" si="2"/>
        <v>0</v>
      </c>
      <c r="K1173" s="4"/>
      <c r="L1173" s="4"/>
      <c r="M1173" s="4"/>
      <c r="N1173" s="4"/>
    </row>
    <row r="1174" ht="13.5" hidden="1" customHeight="1">
      <c r="A1174" s="4" t="str">
        <f t="shared" si="1"/>
        <v>SWR-BIANTEHITAMXYG</v>
      </c>
      <c r="B1174" s="29" t="s">
        <v>1605</v>
      </c>
      <c r="C1174" s="28" t="s">
        <v>730</v>
      </c>
      <c r="D1174" s="30" t="s">
        <v>236</v>
      </c>
      <c r="E1174" s="4" t="s">
        <v>16</v>
      </c>
      <c r="F1174" s="28"/>
      <c r="G1174" s="4"/>
      <c r="H1174" s="4">
        <f>SUMIFS(X!$F$5:$F$2005,X!$D$5:$D$2005,'CEK CICI'!A1174)</f>
        <v>0</v>
      </c>
      <c r="I1174" s="4">
        <f>SUMIFS(PENJUALAN!$E$4:$E$4288,PENJUALAN!$C$4:$C$4288,'CEK CICI'!A1174)</f>
        <v>0</v>
      </c>
      <c r="J1174" s="16">
        <f t="shared" si="2"/>
        <v>0</v>
      </c>
      <c r="K1174" s="4"/>
      <c r="L1174" s="4"/>
      <c r="M1174" s="4"/>
      <c r="N1174" s="4"/>
    </row>
    <row r="1175" ht="13.5" hidden="1" customHeight="1">
      <c r="A1175" s="4" t="str">
        <f t="shared" si="1"/>
        <v>LFW-CX3XYG</v>
      </c>
      <c r="B1175" s="29" t="s">
        <v>1606</v>
      </c>
      <c r="C1175" s="28" t="s">
        <v>1607</v>
      </c>
      <c r="D1175" s="28" t="s">
        <v>22</v>
      </c>
      <c r="E1175" s="4" t="s">
        <v>16</v>
      </c>
      <c r="F1175" s="28" t="s">
        <v>23</v>
      </c>
      <c r="G1175" s="4"/>
      <c r="H1175" s="4">
        <f>SUMIFS(X!$F$5:$F$2005,X!$D$5:$D$2005,'CEK CICI'!A1175)</f>
        <v>0</v>
      </c>
      <c r="I1175" s="4">
        <f>SUMIFS(PENJUALAN!$E$4:$E$4288,PENJUALAN!$C$4:$C$4288,'CEK CICI'!A1175)</f>
        <v>0</v>
      </c>
      <c r="J1175" s="16">
        <f t="shared" si="2"/>
        <v>0</v>
      </c>
      <c r="K1175" s="4"/>
      <c r="L1175" s="4"/>
      <c r="M1175" s="4"/>
      <c r="N1175" s="4"/>
    </row>
    <row r="1176" ht="13.5" hidden="1" customHeight="1">
      <c r="A1176" s="4" t="str">
        <f t="shared" si="1"/>
        <v>LFW-CX5GEN1RSFY</v>
      </c>
      <c r="B1176" s="29" t="s">
        <v>740</v>
      </c>
      <c r="C1176" s="28" t="s">
        <v>2015</v>
      </c>
      <c r="D1176" s="28" t="s">
        <v>22</v>
      </c>
      <c r="E1176" s="4" t="s">
        <v>111</v>
      </c>
      <c r="F1176" s="28" t="s">
        <v>2019</v>
      </c>
      <c r="G1176" s="4"/>
      <c r="H1176" s="4">
        <f>SUMIFS(X!$F$5:$F$2005,X!$D$5:$D$2005,'CEK CICI'!A460)</f>
        <v>2</v>
      </c>
      <c r="I1176" s="4">
        <f>SUMIFS(PENJUALAN!$E$4:$E$4288,PENJUALAN!$C$4:$C$4288,'CEK CICI'!A460)</f>
        <v>2</v>
      </c>
      <c r="J1176" s="16">
        <f t="shared" si="2"/>
        <v>0</v>
      </c>
      <c r="K1176" s="4"/>
      <c r="L1176" s="4"/>
      <c r="M1176" s="4"/>
      <c r="N1176" s="4"/>
    </row>
    <row r="1177" ht="13.5" hidden="1" customHeight="1">
      <c r="A1177" s="4" t="str">
        <f t="shared" si="1"/>
        <v>LFW-CX5GEN2RS1XYG</v>
      </c>
      <c r="B1177" s="41" t="s">
        <v>1609</v>
      </c>
      <c r="C1177" s="28" t="s">
        <v>1610</v>
      </c>
      <c r="D1177" s="28" t="s">
        <v>22</v>
      </c>
      <c r="E1177" s="4" t="s">
        <v>16</v>
      </c>
      <c r="F1177" s="28" t="s">
        <v>23</v>
      </c>
      <c r="G1177" s="4"/>
      <c r="H1177" s="4">
        <f>SUMIFS(X!$F$5:$F$2005,X!$D$5:$D$2005,'CEK CICI'!A1177)</f>
        <v>0</v>
      </c>
      <c r="I1177" s="4">
        <f>SUMIFS(PENJUALAN!$E$4:$E$4288,PENJUALAN!$C$4:$C$4288,'CEK CICI'!A1177)</f>
        <v>0</v>
      </c>
      <c r="J1177" s="16">
        <f t="shared" si="2"/>
        <v>0</v>
      </c>
      <c r="K1177" s="4"/>
      <c r="L1177" s="4"/>
      <c r="M1177" s="4"/>
      <c r="N1177" s="4"/>
    </row>
    <row r="1178" ht="13.5" hidden="1" customHeight="1">
      <c r="A1178" s="4" t="str">
        <f t="shared" si="1"/>
        <v>LFW-CX5GEN2RS3XYG</v>
      </c>
      <c r="B1178" s="29" t="s">
        <v>2496</v>
      </c>
      <c r="C1178" s="28" t="s">
        <v>1612</v>
      </c>
      <c r="D1178" s="28" t="s">
        <v>22</v>
      </c>
      <c r="E1178" s="4" t="s">
        <v>16</v>
      </c>
      <c r="F1178" s="28" t="s">
        <v>1350</v>
      </c>
      <c r="G1178" s="4"/>
      <c r="H1178" s="4">
        <f>SUMIFS(X!$F$5:$F$2005,X!$D$5:$D$2005,'CEK CICI'!A1178)</f>
        <v>0</v>
      </c>
      <c r="I1178" s="4">
        <f>SUMIFS(PENJUALAN!$E$4:$E$4288,PENJUALAN!$C$4:$C$4288,'CEK CICI'!A1178)</f>
        <v>0</v>
      </c>
      <c r="J1178" s="16">
        <f t="shared" si="2"/>
        <v>0</v>
      </c>
      <c r="K1178" s="4"/>
      <c r="L1178" s="4"/>
      <c r="M1178" s="4"/>
      <c r="N1178" s="4"/>
    </row>
    <row r="1179" ht="13.5" hidden="1" customHeight="1">
      <c r="A1179" s="4" t="str">
        <f t="shared" si="1"/>
        <v>TRW-CX5GEN2XYG</v>
      </c>
      <c r="B1179" s="29" t="s">
        <v>1613</v>
      </c>
      <c r="C1179" s="28" t="s">
        <v>1614</v>
      </c>
      <c r="D1179" s="28" t="s">
        <v>41</v>
      </c>
      <c r="E1179" s="4" t="s">
        <v>16</v>
      </c>
      <c r="F1179" s="28" t="s">
        <v>221</v>
      </c>
      <c r="G1179" s="4"/>
      <c r="H1179" s="4">
        <f>SUMIFS(X!$F$5:$F$2005,X!$D$5:$D$2005,'CEK CICI'!A1179)</f>
        <v>0</v>
      </c>
      <c r="I1179" s="4">
        <f>SUMIFS(PENJUALAN!$E$4:$E$4288,PENJUALAN!$C$4:$C$4288,'CEK CICI'!A1179)</f>
        <v>0</v>
      </c>
      <c r="J1179" s="16">
        <f t="shared" si="2"/>
        <v>0</v>
      </c>
      <c r="K1179" s="4"/>
      <c r="L1179" s="4"/>
      <c r="M1179" s="4"/>
      <c r="N1179" s="4"/>
    </row>
    <row r="1180" ht="13.5" hidden="1" customHeight="1">
      <c r="A1180" s="4" t="str">
        <f t="shared" si="1"/>
        <v>FDL-CX5GEN2XYG</v>
      </c>
      <c r="B1180" s="29" t="s">
        <v>2393</v>
      </c>
      <c r="C1180" s="30" t="s">
        <v>1614</v>
      </c>
      <c r="D1180" s="30" t="s">
        <v>128</v>
      </c>
      <c r="E1180" s="4" t="s">
        <v>16</v>
      </c>
      <c r="F1180" s="34" t="s">
        <v>397</v>
      </c>
      <c r="G1180" s="4"/>
      <c r="H1180" s="4">
        <f>SUMIFS(X!$F$5:$F$2005,X!$D$5:$D$2005,'CEK CICI'!A1180)</f>
        <v>1</v>
      </c>
      <c r="I1180" s="4">
        <f>SUMIFS(PENJUALAN!$E$4:$E$4288,PENJUALAN!$C$4:$C$4288,'CEK CICI'!A1180)</f>
        <v>1</v>
      </c>
      <c r="J1180" s="16">
        <f t="shared" si="2"/>
        <v>0</v>
      </c>
      <c r="K1180" s="4"/>
      <c r="L1180" s="4"/>
      <c r="M1180" s="4"/>
      <c r="N1180" s="4"/>
    </row>
    <row r="1181" ht="13.5" hidden="1" customHeight="1">
      <c r="A1181" s="4" t="str">
        <f t="shared" si="1"/>
        <v>FDR-CX5GEN2XYG</v>
      </c>
      <c r="B1181" s="29" t="s">
        <v>1617</v>
      </c>
      <c r="C1181" s="30" t="s">
        <v>1614</v>
      </c>
      <c r="D1181" s="30" t="s">
        <v>130</v>
      </c>
      <c r="E1181" s="4" t="s">
        <v>16</v>
      </c>
      <c r="F1181" s="34" t="s">
        <v>397</v>
      </c>
      <c r="G1181" s="4"/>
      <c r="H1181" s="4">
        <f>SUMIFS(X!$F$5:$F$2005,X!$D$5:$D$2005,'CEK CICI'!A1181)</f>
        <v>0</v>
      </c>
      <c r="I1181" s="4">
        <f>SUMIFS(PENJUALAN!$E$4:$E$4288,PENJUALAN!$C$4:$C$4288,'CEK CICI'!A1181)</f>
        <v>0</v>
      </c>
      <c r="J1181" s="16">
        <f t="shared" si="2"/>
        <v>0</v>
      </c>
      <c r="K1181" s="4"/>
      <c r="L1181" s="4"/>
      <c r="M1181" s="4"/>
      <c r="N1181" s="4"/>
    </row>
    <row r="1182" ht="13.5" hidden="1" customHeight="1">
      <c r="A1182" s="4" t="str">
        <f t="shared" si="1"/>
        <v>RDL-CX5GEN2XYG</v>
      </c>
      <c r="B1182" s="29" t="s">
        <v>1618</v>
      </c>
      <c r="C1182" s="30" t="s">
        <v>1614</v>
      </c>
      <c r="D1182" s="30" t="s">
        <v>132</v>
      </c>
      <c r="E1182" s="4" t="s">
        <v>16</v>
      </c>
      <c r="F1182" s="34" t="s">
        <v>397</v>
      </c>
      <c r="G1182" s="4"/>
      <c r="H1182" s="4">
        <f>SUMIFS(X!$F$5:$F$2005,X!$D$5:$D$2005,'CEK CICI'!A1182)</f>
        <v>0</v>
      </c>
      <c r="I1182" s="4">
        <f>SUMIFS(PENJUALAN!$E$4:$E$4288,PENJUALAN!$C$4:$C$4288,'CEK CICI'!A1182)</f>
        <v>0</v>
      </c>
      <c r="J1182" s="16">
        <f t="shared" si="2"/>
        <v>0</v>
      </c>
      <c r="K1182" s="4"/>
      <c r="L1182" s="4"/>
      <c r="M1182" s="4"/>
      <c r="N1182" s="4"/>
    </row>
    <row r="1183" ht="13.5" hidden="1" customHeight="1">
      <c r="A1183" s="4" t="str">
        <f t="shared" si="1"/>
        <v>RDR-CX5GEN2XYG</v>
      </c>
      <c r="B1183" s="29" t="s">
        <v>1619</v>
      </c>
      <c r="C1183" s="30" t="s">
        <v>1614</v>
      </c>
      <c r="D1183" s="30" t="s">
        <v>134</v>
      </c>
      <c r="E1183" s="4" t="s">
        <v>16</v>
      </c>
      <c r="F1183" s="34" t="s">
        <v>397</v>
      </c>
      <c r="G1183" s="4"/>
      <c r="H1183" s="4">
        <f>SUMIFS(X!$F$5:$F$2005,X!$D$5:$D$2005,'CEK CICI'!A1183)</f>
        <v>0</v>
      </c>
      <c r="I1183" s="4">
        <f>SUMIFS(PENJUALAN!$E$4:$E$4288,PENJUALAN!$C$4:$C$4288,'CEK CICI'!A1183)</f>
        <v>0</v>
      </c>
      <c r="J1183" s="16">
        <f t="shared" si="2"/>
        <v>0</v>
      </c>
      <c r="K1183" s="4"/>
      <c r="L1183" s="4"/>
      <c r="M1183" s="4"/>
      <c r="N1183" s="4"/>
    </row>
    <row r="1184" ht="13.5" hidden="1" customHeight="1">
      <c r="A1184" s="4" t="str">
        <f t="shared" si="1"/>
        <v>SWL-CX5GEN2XYG</v>
      </c>
      <c r="B1184" s="29" t="s">
        <v>1620</v>
      </c>
      <c r="C1184" s="30" t="s">
        <v>1614</v>
      </c>
      <c r="D1184" s="30" t="s">
        <v>202</v>
      </c>
      <c r="E1184" s="4" t="s">
        <v>16</v>
      </c>
      <c r="F1184" s="34" t="s">
        <v>67</v>
      </c>
      <c r="G1184" s="4"/>
      <c r="H1184" s="4">
        <f>SUMIFS(X!$F$5:$F$2005,X!$D$5:$D$2005,'CEK CICI'!A1184)</f>
        <v>0</v>
      </c>
      <c r="I1184" s="4">
        <f>SUMIFS(PENJUALAN!$E$4:$E$4288,PENJUALAN!$C$4:$C$4288,'CEK CICI'!A1184)</f>
        <v>0</v>
      </c>
      <c r="J1184" s="16">
        <f t="shared" si="2"/>
        <v>0</v>
      </c>
      <c r="K1184" s="4"/>
      <c r="L1184" s="4"/>
      <c r="M1184" s="4"/>
      <c r="N1184" s="4"/>
    </row>
    <row r="1185" ht="13.5" hidden="1" customHeight="1">
      <c r="A1185" s="4" t="str">
        <f t="shared" si="1"/>
        <v>SWR-CX5GEN2XYG</v>
      </c>
      <c r="B1185" s="29" t="s">
        <v>1621</v>
      </c>
      <c r="C1185" s="30" t="s">
        <v>1614</v>
      </c>
      <c r="D1185" s="30" t="s">
        <v>236</v>
      </c>
      <c r="E1185" s="4" t="s">
        <v>16</v>
      </c>
      <c r="F1185" s="34" t="s">
        <v>67</v>
      </c>
      <c r="G1185" s="4"/>
      <c r="H1185" s="4">
        <f>SUMIFS(X!$F$5:$F$2005,X!$D$5:$D$2005,'CEK CICI'!A1185)</f>
        <v>0</v>
      </c>
      <c r="I1185" s="4">
        <f>SUMIFS(PENJUALAN!$E$4:$E$4288,PENJUALAN!$C$4:$C$4288,'CEK CICI'!A1185)</f>
        <v>0</v>
      </c>
      <c r="J1185" s="16">
        <f t="shared" si="2"/>
        <v>0</v>
      </c>
      <c r="K1185" s="4"/>
      <c r="L1185" s="4"/>
      <c r="M1185" s="4"/>
      <c r="N1185" s="4"/>
    </row>
    <row r="1186" ht="13.5" hidden="1" customHeight="1">
      <c r="A1186" s="4" t="str">
        <f t="shared" si="1"/>
        <v>LFW-CX7RSXYG</v>
      </c>
      <c r="B1186" s="29" t="s">
        <v>754</v>
      </c>
      <c r="C1186" s="28" t="s">
        <v>755</v>
      </c>
      <c r="D1186" s="28" t="s">
        <v>22</v>
      </c>
      <c r="E1186" s="4" t="s">
        <v>16</v>
      </c>
      <c r="F1186" s="28" t="s">
        <v>75</v>
      </c>
      <c r="G1186" s="4"/>
      <c r="H1186" s="4">
        <f>SUMIFS(X!$F$5:$F$2005,X!$D$5:$D$2005,'CEK CICI'!A1186)</f>
        <v>0</v>
      </c>
      <c r="I1186" s="4">
        <f>SUMIFS(PENJUALAN!$E$4:$E$4288,PENJUALAN!$C$4:$C$4288,'CEK CICI'!A1186)</f>
        <v>0</v>
      </c>
      <c r="J1186" s="16">
        <f t="shared" si="2"/>
        <v>0</v>
      </c>
      <c r="K1186" s="4"/>
      <c r="L1186" s="4"/>
      <c r="M1186" s="4"/>
      <c r="N1186" s="4"/>
    </row>
    <row r="1187" ht="13.5" hidden="1" customHeight="1">
      <c r="A1187" s="4" t="str">
        <f t="shared" si="1"/>
        <v>LFW-CX7XYG</v>
      </c>
      <c r="B1187" s="29" t="s">
        <v>756</v>
      </c>
      <c r="C1187" s="28" t="s">
        <v>757</v>
      </c>
      <c r="D1187" s="28" t="s">
        <v>22</v>
      </c>
      <c r="E1187" s="4" t="s">
        <v>16</v>
      </c>
      <c r="F1187" s="28" t="s">
        <v>737</v>
      </c>
      <c r="G1187" s="4"/>
      <c r="H1187" s="4">
        <f>SUMIFS(X!$F$5:$F$2005,X!$D$5:$D$2005,'CEK CICI'!A1187)</f>
        <v>0</v>
      </c>
      <c r="I1187" s="4">
        <f>SUMIFS(PENJUALAN!$E$4:$E$4288,PENJUALAN!$C$4:$C$4288,'CEK CICI'!A1187)</f>
        <v>0</v>
      </c>
      <c r="J1187" s="16">
        <f t="shared" si="2"/>
        <v>0</v>
      </c>
      <c r="K1187" s="4"/>
      <c r="L1187" s="4"/>
      <c r="M1187" s="4"/>
      <c r="N1187" s="4"/>
    </row>
    <row r="1188" ht="13.5" hidden="1" customHeight="1">
      <c r="A1188" s="4" t="str">
        <f t="shared" si="1"/>
        <v>TRW-CX7XYG</v>
      </c>
      <c r="B1188" s="31" t="s">
        <v>758</v>
      </c>
      <c r="C1188" s="33" t="s">
        <v>759</v>
      </c>
      <c r="D1188" s="33" t="s">
        <v>41</v>
      </c>
      <c r="E1188" s="15" t="s">
        <v>16</v>
      </c>
      <c r="F1188" s="33" t="s">
        <v>2364</v>
      </c>
      <c r="G1188" s="4"/>
      <c r="H1188" s="4">
        <f>SUMIFS(X!$F$5:$F$2005,X!$D$5:$D$2005,'CEK CICI'!A1188)</f>
        <v>2</v>
      </c>
      <c r="I1188" s="4">
        <f>SUMIFS(PENJUALAN!$E$4:$E$4288,PENJUALAN!$C$4:$C$4288,'CEK CICI'!A1188)</f>
        <v>1</v>
      </c>
      <c r="J1188" s="16">
        <f t="shared" si="2"/>
        <v>1</v>
      </c>
      <c r="K1188" s="15" t="s">
        <v>139</v>
      </c>
      <c r="L1188" s="15"/>
      <c r="M1188" s="4"/>
      <c r="N1188" s="4"/>
    </row>
    <row r="1189" ht="13.5" hidden="1" customHeight="1">
      <c r="A1189" s="4" t="str">
        <f t="shared" si="1"/>
        <v>LFW-CX9GEN1XYG</v>
      </c>
      <c r="B1189" s="29" t="s">
        <v>766</v>
      </c>
      <c r="C1189" s="28" t="s">
        <v>767</v>
      </c>
      <c r="D1189" s="28" t="s">
        <v>22</v>
      </c>
      <c r="E1189" s="4" t="s">
        <v>16</v>
      </c>
      <c r="F1189" s="28" t="s">
        <v>189</v>
      </c>
      <c r="G1189" s="4"/>
      <c r="H1189" s="4">
        <f>SUMIFS(X!$F$5:$F$2005,X!$D$5:$D$2005,'CEK CICI'!A1189)</f>
        <v>1</v>
      </c>
      <c r="I1189" s="4">
        <f>SUMIFS(PENJUALAN!$E$4:$E$4288,PENJUALAN!$C$4:$C$4288,'CEK CICI'!A1189)</f>
        <v>1</v>
      </c>
      <c r="J1189" s="16">
        <f t="shared" si="2"/>
        <v>0</v>
      </c>
      <c r="K1189" s="4"/>
      <c r="L1189" s="4"/>
      <c r="M1189" s="4"/>
      <c r="N1189" s="4"/>
    </row>
    <row r="1190" ht="13.5" hidden="1" customHeight="1">
      <c r="A1190" s="4" t="str">
        <f t="shared" si="1"/>
        <v>TRW-CX9GEN1XYG</v>
      </c>
      <c r="B1190" s="29" t="s">
        <v>768</v>
      </c>
      <c r="C1190" s="28" t="s">
        <v>767</v>
      </c>
      <c r="D1190" s="28" t="s">
        <v>41</v>
      </c>
      <c r="E1190" s="4" t="s">
        <v>16</v>
      </c>
      <c r="F1190" s="28" t="s">
        <v>760</v>
      </c>
      <c r="G1190" s="4"/>
      <c r="H1190" s="4">
        <f>SUMIFS(X!$F$5:$F$2005,X!$D$5:$D$2005,'CEK CICI'!A1190)</f>
        <v>0</v>
      </c>
      <c r="I1190" s="4">
        <f>SUMIFS(PENJUALAN!$E$4:$E$4288,PENJUALAN!$C$4:$C$4288,'CEK CICI'!A1190)</f>
        <v>0</v>
      </c>
      <c r="J1190" s="16">
        <f t="shared" si="2"/>
        <v>0</v>
      </c>
      <c r="K1190" s="4"/>
      <c r="L1190" s="4"/>
      <c r="M1190" s="4"/>
      <c r="N1190" s="4"/>
    </row>
    <row r="1191" ht="13.5" hidden="1" customHeight="1">
      <c r="A1191" s="4" t="str">
        <f t="shared" si="1"/>
        <v>TRW-CX9GEN2XYG</v>
      </c>
      <c r="B1191" s="29" t="s">
        <v>1625</v>
      </c>
      <c r="C1191" s="30" t="s">
        <v>1626</v>
      </c>
      <c r="D1191" s="30" t="s">
        <v>41</v>
      </c>
      <c r="E1191" s="4" t="s">
        <v>16</v>
      </c>
      <c r="F1191" s="28" t="s">
        <v>221</v>
      </c>
      <c r="G1191" s="4"/>
      <c r="H1191" s="4">
        <f>SUMIFS(X!$F$5:$F$2005,X!$D$5:$D$2005,'CEK CICI'!A1191)</f>
        <v>0</v>
      </c>
      <c r="I1191" s="4">
        <f>SUMIFS(PENJUALAN!$E$4:$E$4288,PENJUALAN!$C$4:$C$4288,'CEK CICI'!A1191)</f>
        <v>0</v>
      </c>
      <c r="J1191" s="16">
        <f t="shared" si="2"/>
        <v>0</v>
      </c>
      <c r="K1191" s="4"/>
      <c r="L1191" s="4"/>
      <c r="M1191" s="4"/>
      <c r="N1191" s="4"/>
    </row>
    <row r="1192" ht="13.5" hidden="1" customHeight="1">
      <c r="A1192" s="4" t="str">
        <f t="shared" si="1"/>
        <v>LFW-MX5XYG</v>
      </c>
      <c r="B1192" s="29" t="s">
        <v>769</v>
      </c>
      <c r="C1192" s="28" t="s">
        <v>770</v>
      </c>
      <c r="D1192" s="28" t="s">
        <v>22</v>
      </c>
      <c r="E1192" s="4" t="s">
        <v>16</v>
      </c>
      <c r="F1192" s="28" t="s">
        <v>125</v>
      </c>
      <c r="G1192" s="4"/>
      <c r="H1192" s="4">
        <f>SUMIFS(X!$F$5:$F$2005,X!$D$5:$D$2005,'CEK CICI'!A1192)</f>
        <v>1</v>
      </c>
      <c r="I1192" s="4">
        <f>SUMIFS(PENJUALAN!$E$4:$E$4288,PENJUALAN!$C$4:$C$4288,'CEK CICI'!A1192)</f>
        <v>1</v>
      </c>
      <c r="J1192" s="16">
        <f t="shared" si="2"/>
        <v>0</v>
      </c>
      <c r="K1192" s="4"/>
      <c r="L1192" s="4"/>
      <c r="M1192" s="4"/>
      <c r="N1192" s="4"/>
    </row>
    <row r="1193" ht="13.5" hidden="1" customHeight="1">
      <c r="A1193" s="4" t="str">
        <f t="shared" si="1"/>
        <v>LFW-W169XYG</v>
      </c>
      <c r="B1193" s="41" t="s">
        <v>1545</v>
      </c>
      <c r="C1193" s="28" t="s">
        <v>1631</v>
      </c>
      <c r="D1193" s="28" t="s">
        <v>22</v>
      </c>
      <c r="E1193" s="4" t="s">
        <v>16</v>
      </c>
      <c r="F1193" s="28" t="s">
        <v>1547</v>
      </c>
      <c r="G1193" s="4"/>
      <c r="H1193" s="4">
        <f>SUMIFS(X!$F$5:$F$2005,X!$D$5:$D$2005,'CEK CICI'!A1193)</f>
        <v>1</v>
      </c>
      <c r="I1193" s="4">
        <f>SUMIFS(PENJUALAN!$E$4:$E$4288,PENJUALAN!$C$4:$C$4288,'CEK CICI'!A1193)</f>
        <v>1</v>
      </c>
      <c r="J1193" s="16">
        <f t="shared" si="2"/>
        <v>0</v>
      </c>
      <c r="K1193" s="4"/>
      <c r="L1193" s="4"/>
      <c r="M1193" s="4"/>
      <c r="N1193" s="4"/>
    </row>
    <row r="1194" ht="13.5" hidden="1" customHeight="1">
      <c r="A1194" s="4" t="str">
        <f t="shared" si="1"/>
        <v>LFW-W169RSXYG</v>
      </c>
      <c r="B1194" s="29" t="s">
        <v>1630</v>
      </c>
      <c r="C1194" s="28" t="s">
        <v>1631</v>
      </c>
      <c r="D1194" s="28" t="s">
        <v>22</v>
      </c>
      <c r="E1194" s="4" t="s">
        <v>16</v>
      </c>
      <c r="F1194" s="28" t="s">
        <v>112</v>
      </c>
      <c r="G1194" s="4"/>
      <c r="H1194" s="4">
        <f>SUMIFS(X!$F$5:$F$2005,X!$D$5:$D$2005,'CEK CICI'!A1194)</f>
        <v>0</v>
      </c>
      <c r="I1194" s="4">
        <f>SUMIFS(PENJUALAN!$E$4:$E$4288,PENJUALAN!$C$4:$C$4288,'CEK CICI'!A1194)</f>
        <v>0</v>
      </c>
      <c r="J1194" s="16">
        <f t="shared" si="2"/>
        <v>0</v>
      </c>
      <c r="K1194" s="4"/>
      <c r="L1194" s="4"/>
      <c r="M1194" s="5">
        <v>1.0</v>
      </c>
      <c r="N1194" s="4"/>
    </row>
    <row r="1195" ht="13.5" hidden="1" customHeight="1">
      <c r="A1195" s="4" t="str">
        <f t="shared" si="1"/>
        <v>LFW-W176XYG</v>
      </c>
      <c r="B1195" s="29" t="s">
        <v>774</v>
      </c>
      <c r="C1195" s="28" t="s">
        <v>775</v>
      </c>
      <c r="D1195" s="28" t="s">
        <v>22</v>
      </c>
      <c r="E1195" s="4" t="s">
        <v>16</v>
      </c>
      <c r="F1195" s="28" t="s">
        <v>23</v>
      </c>
      <c r="G1195" s="4"/>
      <c r="H1195" s="4">
        <f>SUMIFS(X!$F$5:$F$2005,X!$D$5:$D$2005,'CEK CICI'!A1195)</f>
        <v>1</v>
      </c>
      <c r="I1195" s="4">
        <f>SUMIFS(PENJUALAN!$E$4:$E$4288,PENJUALAN!$C$4:$C$4288,'CEK CICI'!A1195)</f>
        <v>1</v>
      </c>
      <c r="J1195" s="16">
        <f t="shared" si="2"/>
        <v>0</v>
      </c>
      <c r="K1195" s="4"/>
      <c r="L1195" s="4"/>
      <c r="M1195" s="4"/>
      <c r="N1195" s="4"/>
    </row>
    <row r="1196" ht="13.5" hidden="1" customHeight="1">
      <c r="A1196" s="4" t="str">
        <f t="shared" si="1"/>
        <v>LFW-W246XYG</v>
      </c>
      <c r="B1196" s="29" t="s">
        <v>1633</v>
      </c>
      <c r="C1196" s="28" t="s">
        <v>11495</v>
      </c>
      <c r="D1196" s="28" t="s">
        <v>22</v>
      </c>
      <c r="E1196" s="4" t="s">
        <v>16</v>
      </c>
      <c r="F1196" s="28" t="s">
        <v>23</v>
      </c>
      <c r="G1196" s="4"/>
      <c r="H1196" s="4">
        <f>SUMIFS(X!$F$5:$F$2005,X!$D$5:$D$2005,'CEK CICI'!A1196)</f>
        <v>1</v>
      </c>
      <c r="I1196" s="4">
        <f>SUMIFS(PENJUALAN!$E$4:$E$4288,PENJUALAN!$C$4:$C$4288,'CEK CICI'!A1196)</f>
        <v>1</v>
      </c>
      <c r="J1196" s="16">
        <f t="shared" si="2"/>
        <v>0</v>
      </c>
      <c r="K1196" s="4"/>
      <c r="L1196" s="4"/>
      <c r="M1196" s="4"/>
      <c r="N1196" s="4"/>
    </row>
    <row r="1197" ht="13.5" hidden="1" customHeight="1">
      <c r="A1197" s="4" t="str">
        <f t="shared" si="1"/>
        <v>LFW-W202XYG</v>
      </c>
      <c r="B1197" s="41" t="s">
        <v>1635</v>
      </c>
      <c r="C1197" s="28" t="s">
        <v>1636</v>
      </c>
      <c r="D1197" s="30" t="s">
        <v>22</v>
      </c>
      <c r="E1197" s="4" t="s">
        <v>16</v>
      </c>
      <c r="F1197" s="28" t="s">
        <v>97</v>
      </c>
      <c r="G1197" s="4"/>
      <c r="H1197" s="4">
        <f>SUMIFS(X!$F$5:$F$2005,X!$D$5:$D$2005,'CEK CICI'!A1197)</f>
        <v>0</v>
      </c>
      <c r="I1197" s="4">
        <f>SUMIFS(PENJUALAN!$E$4:$E$4288,PENJUALAN!$C$4:$C$4288,'CEK CICI'!A1197)</f>
        <v>0</v>
      </c>
      <c r="J1197" s="16">
        <f t="shared" si="2"/>
        <v>0</v>
      </c>
      <c r="K1197" s="4"/>
      <c r="L1197" s="4"/>
      <c r="M1197" s="4"/>
      <c r="N1197" s="4"/>
    </row>
    <row r="1198" ht="13.5" hidden="1" customHeight="1">
      <c r="A1198" s="4" t="str">
        <f t="shared" si="1"/>
        <v>LFW-CL203XYG</v>
      </c>
      <c r="B1198" s="29" t="s">
        <v>1637</v>
      </c>
      <c r="C1198" s="30" t="s">
        <v>1638</v>
      </c>
      <c r="D1198" s="30" t="s">
        <v>22</v>
      </c>
      <c r="E1198" s="4" t="s">
        <v>16</v>
      </c>
      <c r="F1198" s="30" t="s">
        <v>112</v>
      </c>
      <c r="G1198" s="4"/>
      <c r="H1198" s="4">
        <f>SUMIFS(X!$F$5:$F$2005,X!$D$5:$D$2005,'CEK CICI'!A1198)</f>
        <v>0</v>
      </c>
      <c r="I1198" s="4">
        <f>SUMIFS(PENJUALAN!$E$4:$E$4288,PENJUALAN!$C$4:$C$4288,'CEK CICI'!A1198)</f>
        <v>0</v>
      </c>
      <c r="J1198" s="16">
        <f t="shared" si="2"/>
        <v>0</v>
      </c>
      <c r="K1198" s="4"/>
      <c r="L1198" s="4"/>
      <c r="M1198" s="4"/>
      <c r="N1198" s="4"/>
    </row>
    <row r="1199" ht="13.5" hidden="1" customHeight="1">
      <c r="A1199" s="4" t="str">
        <f t="shared" si="1"/>
        <v>LFW-W203RS2XYG</v>
      </c>
      <c r="B1199" s="29" t="s">
        <v>776</v>
      </c>
      <c r="C1199" s="28" t="s">
        <v>777</v>
      </c>
      <c r="D1199" s="28" t="s">
        <v>22</v>
      </c>
      <c r="E1199" s="4" t="s">
        <v>16</v>
      </c>
      <c r="F1199" s="28" t="s">
        <v>112</v>
      </c>
      <c r="G1199" s="4"/>
      <c r="H1199" s="4">
        <f>SUMIFS(X!$F$5:$F$2005,X!$D$5:$D$2005,'CEK CICI'!A1199)</f>
        <v>0</v>
      </c>
      <c r="I1199" s="4">
        <f>SUMIFS(PENJUALAN!$E$4:$E$4288,PENJUALAN!$C$4:$C$4288,'CEK CICI'!A1199)</f>
        <v>0</v>
      </c>
      <c r="J1199" s="16">
        <f t="shared" si="2"/>
        <v>0</v>
      </c>
      <c r="K1199" s="4"/>
      <c r="L1199" s="4"/>
      <c r="M1199" s="4"/>
      <c r="N1199" s="4"/>
    </row>
    <row r="1200" ht="13.5" hidden="1" customHeight="1">
      <c r="A1200" s="4" t="str">
        <f t="shared" si="1"/>
        <v>LFW-W203RS1XYG</v>
      </c>
      <c r="B1200" s="29" t="s">
        <v>1639</v>
      </c>
      <c r="C1200" s="30" t="s">
        <v>1640</v>
      </c>
      <c r="D1200" s="30" t="s">
        <v>22</v>
      </c>
      <c r="E1200" s="4" t="s">
        <v>16</v>
      </c>
      <c r="F1200" s="30" t="s">
        <v>112</v>
      </c>
      <c r="G1200" s="4"/>
      <c r="H1200" s="4">
        <f>SUMIFS(X!$F$5:$F$2005,X!$D$5:$D$2005,'CEK CICI'!A1200)</f>
        <v>2</v>
      </c>
      <c r="I1200" s="4">
        <f>SUMIFS(PENJUALAN!$E$4:$E$4288,PENJUALAN!$C$4:$C$4288,'CEK CICI'!A1200)</f>
        <v>0</v>
      </c>
      <c r="J1200" s="16">
        <f t="shared" si="2"/>
        <v>2</v>
      </c>
      <c r="K1200" s="15" t="s">
        <v>1641</v>
      </c>
      <c r="L1200" s="15"/>
      <c r="M1200" s="4"/>
      <c r="N1200" s="15" t="s">
        <v>1642</v>
      </c>
    </row>
    <row r="1201" ht="13.5" hidden="1" customHeight="1">
      <c r="A1201" s="4" t="str">
        <f t="shared" si="1"/>
        <v>TRW-W203XYG</v>
      </c>
      <c r="B1201" s="29" t="s">
        <v>778</v>
      </c>
      <c r="C1201" s="28" t="s">
        <v>779</v>
      </c>
      <c r="D1201" s="28" t="s">
        <v>41</v>
      </c>
      <c r="E1201" s="4" t="s">
        <v>16</v>
      </c>
      <c r="F1201" s="28" t="s">
        <v>114</v>
      </c>
      <c r="G1201" s="4"/>
      <c r="H1201" s="4">
        <f>SUMIFS(X!$F$5:$F$2005,X!$D$5:$D$2005,'CEK CICI'!A1201)</f>
        <v>0</v>
      </c>
      <c r="I1201" s="4">
        <f>SUMIFS(PENJUALAN!$E$4:$E$4288,PENJUALAN!$C$4:$C$4288,'CEK CICI'!A1201)</f>
        <v>0</v>
      </c>
      <c r="J1201" s="16">
        <f t="shared" si="2"/>
        <v>0</v>
      </c>
      <c r="K1201" s="4"/>
      <c r="L1201" s="4"/>
      <c r="M1201" s="4"/>
      <c r="N1201" s="4"/>
    </row>
    <row r="1202" ht="13.5" hidden="1" customHeight="1">
      <c r="A1202" s="4" t="str">
        <f t="shared" si="1"/>
        <v>LFW-W204RSXYG</v>
      </c>
      <c r="B1202" s="29" t="s">
        <v>780</v>
      </c>
      <c r="C1202" s="28" t="s">
        <v>781</v>
      </c>
      <c r="D1202" s="28" t="s">
        <v>22</v>
      </c>
      <c r="E1202" s="4" t="s">
        <v>16</v>
      </c>
      <c r="F1202" s="28" t="s">
        <v>112</v>
      </c>
      <c r="G1202" s="4"/>
      <c r="H1202" s="4">
        <f>SUMIFS(X!$F$5:$F$2005,X!$D$5:$D$2005,'CEK CICI'!A1202)</f>
        <v>10</v>
      </c>
      <c r="I1202" s="4">
        <f>SUMIFS(PENJUALAN!$E$4:$E$4288,PENJUALAN!$C$4:$C$4288,'CEK CICI'!A1202)</f>
        <v>3</v>
      </c>
      <c r="J1202" s="16">
        <f t="shared" si="2"/>
        <v>7</v>
      </c>
      <c r="K1202" s="15" t="s">
        <v>1641</v>
      </c>
      <c r="L1202" s="15"/>
      <c r="M1202" s="4"/>
      <c r="N1202" s="4"/>
    </row>
    <row r="1203" ht="13.5" hidden="1" customHeight="1">
      <c r="A1203" s="4" t="str">
        <f t="shared" si="1"/>
        <v>LFW-W204RS2XYG</v>
      </c>
      <c r="B1203" s="29" t="s">
        <v>1643</v>
      </c>
      <c r="C1203" s="28" t="s">
        <v>1644</v>
      </c>
      <c r="D1203" s="28" t="s">
        <v>22</v>
      </c>
      <c r="E1203" s="4" t="s">
        <v>16</v>
      </c>
      <c r="F1203" s="28" t="s">
        <v>112</v>
      </c>
      <c r="G1203" s="4"/>
      <c r="H1203" s="4">
        <f>SUMIFS(X!$F$5:$F$2005,X!$D$5:$D$2005,'CEK CICI'!A1203)</f>
        <v>0</v>
      </c>
      <c r="I1203" s="4">
        <f>SUMIFS(PENJUALAN!$E$4:$E$4288,PENJUALAN!$C$4:$C$4288,'CEK CICI'!A1203)</f>
        <v>0</v>
      </c>
      <c r="J1203" s="16">
        <f t="shared" si="2"/>
        <v>0</v>
      </c>
      <c r="K1203" s="4"/>
      <c r="L1203" s="4"/>
      <c r="M1203" s="4"/>
      <c r="N1203" s="4"/>
    </row>
    <row r="1204" ht="13.5" hidden="1" customHeight="1">
      <c r="A1204" s="4" t="str">
        <f t="shared" si="1"/>
        <v>TRW-W204XYG</v>
      </c>
      <c r="B1204" s="29" t="s">
        <v>782</v>
      </c>
      <c r="C1204" s="28" t="s">
        <v>783</v>
      </c>
      <c r="D1204" s="28" t="s">
        <v>41</v>
      </c>
      <c r="E1204" s="4" t="s">
        <v>16</v>
      </c>
      <c r="F1204" s="28" t="s">
        <v>114</v>
      </c>
      <c r="G1204" s="4"/>
      <c r="H1204" s="4">
        <f>SUMIFS(X!$F$5:$F$2005,X!$D$5:$D$2005,'CEK CICI'!A1204)</f>
        <v>0</v>
      </c>
      <c r="I1204" s="4">
        <f>SUMIFS(PENJUALAN!$E$4:$E$4288,PENJUALAN!$C$4:$C$4288,'CEK CICI'!A1204)</f>
        <v>0</v>
      </c>
      <c r="J1204" s="16">
        <f t="shared" si="2"/>
        <v>0</v>
      </c>
      <c r="K1204" s="4"/>
      <c r="L1204" s="4"/>
      <c r="M1204" s="4"/>
      <c r="N1204" s="4"/>
    </row>
    <row r="1205" ht="13.5" hidden="1" customHeight="1">
      <c r="A1205" s="4" t="str">
        <f t="shared" si="1"/>
        <v>LFW-W205RSXYG</v>
      </c>
      <c r="B1205" s="29" t="s">
        <v>784</v>
      </c>
      <c r="C1205" s="28" t="s">
        <v>785</v>
      </c>
      <c r="D1205" s="28" t="s">
        <v>22</v>
      </c>
      <c r="E1205" s="4" t="s">
        <v>16</v>
      </c>
      <c r="F1205" s="28" t="s">
        <v>112</v>
      </c>
      <c r="G1205" s="4"/>
      <c r="H1205" s="4">
        <f>SUMIFS(X!$F$5:$F$2005,X!$D$5:$D$2005,'CEK CICI'!A1205)</f>
        <v>0</v>
      </c>
      <c r="I1205" s="4">
        <f>SUMIFS(PENJUALAN!$E$4:$E$4288,PENJUALAN!$C$4:$C$4288,'CEK CICI'!A1205)</f>
        <v>0</v>
      </c>
      <c r="J1205" s="16">
        <f t="shared" si="2"/>
        <v>0</v>
      </c>
      <c r="K1205" s="4"/>
      <c r="L1205" s="4"/>
      <c r="M1205" s="4"/>
      <c r="N1205" s="4"/>
    </row>
    <row r="1206" ht="13.5" hidden="1" customHeight="1">
      <c r="A1206" s="4" t="str">
        <f t="shared" si="1"/>
        <v>LFW-W205RS2XYG</v>
      </c>
      <c r="B1206" s="29" t="s">
        <v>786</v>
      </c>
      <c r="C1206" s="28" t="s">
        <v>787</v>
      </c>
      <c r="D1206" s="28" t="s">
        <v>22</v>
      </c>
      <c r="E1206" s="4" t="s">
        <v>16</v>
      </c>
      <c r="F1206" s="28" t="s">
        <v>788</v>
      </c>
      <c r="G1206" s="4"/>
      <c r="H1206" s="4">
        <f>SUMIFS(X!$F$5:$F$2005,X!$D$5:$D$2005,'CEK CICI'!A1206)</f>
        <v>0</v>
      </c>
      <c r="I1206" s="4">
        <f>SUMIFS(PENJUALAN!$E$4:$E$4288,PENJUALAN!$C$4:$C$4288,'CEK CICI'!A1206)</f>
        <v>0</v>
      </c>
      <c r="J1206" s="16">
        <f t="shared" si="2"/>
        <v>0</v>
      </c>
      <c r="K1206" s="4"/>
      <c r="L1206" s="4"/>
      <c r="M1206" s="4"/>
      <c r="N1206" s="4"/>
    </row>
    <row r="1207" ht="13.5" hidden="1" customHeight="1">
      <c r="A1207" s="4" t="str">
        <f t="shared" si="1"/>
        <v>LFW-W205RS3XYG</v>
      </c>
      <c r="B1207" s="29" t="s">
        <v>789</v>
      </c>
      <c r="C1207" s="28" t="s">
        <v>790</v>
      </c>
      <c r="D1207" s="28" t="s">
        <v>22</v>
      </c>
      <c r="E1207" s="4" t="s">
        <v>16</v>
      </c>
      <c r="F1207" s="28" t="s">
        <v>788</v>
      </c>
      <c r="G1207" s="4"/>
      <c r="H1207" s="4">
        <f>SUMIFS(X!$F$5:$F$2005,X!$D$5:$D$2005,'CEK CICI'!A1207)</f>
        <v>1</v>
      </c>
      <c r="I1207" s="4">
        <f>SUMIFS(PENJUALAN!$E$4:$E$4288,PENJUALAN!$C$4:$C$4288,'CEK CICI'!A1207)</f>
        <v>1</v>
      </c>
      <c r="J1207" s="16">
        <f t="shared" si="2"/>
        <v>0</v>
      </c>
      <c r="K1207" s="4"/>
      <c r="L1207" s="4"/>
      <c r="M1207" s="4"/>
      <c r="N1207" s="4"/>
    </row>
    <row r="1208" ht="13.5" hidden="1" customHeight="1">
      <c r="A1208" s="4" t="str">
        <f t="shared" si="1"/>
        <v>TRW-W205XYG</v>
      </c>
      <c r="B1208" s="29" t="s">
        <v>1645</v>
      </c>
      <c r="C1208" s="28" t="s">
        <v>1646</v>
      </c>
      <c r="D1208" s="28" t="s">
        <v>41</v>
      </c>
      <c r="E1208" s="4" t="s">
        <v>16</v>
      </c>
      <c r="F1208" s="28" t="s">
        <v>118</v>
      </c>
      <c r="G1208" s="4"/>
      <c r="H1208" s="4">
        <f>SUMIFS(X!$F$5:$F$2005,X!$D$5:$D$2005,'CEK CICI'!A1208)</f>
        <v>0</v>
      </c>
      <c r="I1208" s="4">
        <f>SUMIFS(PENJUALAN!$E$4:$E$4288,PENJUALAN!$C$4:$C$4288,'CEK CICI'!A1208)</f>
        <v>0</v>
      </c>
      <c r="J1208" s="16">
        <f t="shared" si="2"/>
        <v>0</v>
      </c>
      <c r="K1208" s="4"/>
      <c r="L1208" s="4"/>
      <c r="M1208" s="4"/>
      <c r="N1208" s="4"/>
    </row>
    <row r="1209" ht="13.5" hidden="1" customHeight="1">
      <c r="A1209" s="4" t="str">
        <f t="shared" si="1"/>
        <v>LFW-W1242DOORXYG</v>
      </c>
      <c r="B1209" s="29" t="s">
        <v>1647</v>
      </c>
      <c r="C1209" s="30" t="s">
        <v>794</v>
      </c>
      <c r="D1209" s="30" t="s">
        <v>22</v>
      </c>
      <c r="E1209" s="4" t="s">
        <v>16</v>
      </c>
      <c r="F1209" s="28" t="s">
        <v>1547</v>
      </c>
      <c r="G1209" s="4"/>
      <c r="H1209" s="4">
        <f>SUMIFS(X!$F$5:$F$2005,X!$D$5:$D$2005,'CEK CICI'!A1209)</f>
        <v>0</v>
      </c>
      <c r="I1209" s="4">
        <f>SUMIFS(PENJUALAN!$E$4:$E$4288,PENJUALAN!$C$4:$C$4288,'CEK CICI'!A1209)</f>
        <v>0</v>
      </c>
      <c r="J1209" s="16">
        <f t="shared" si="2"/>
        <v>0</v>
      </c>
      <c r="K1209" s="4"/>
      <c r="L1209" s="4"/>
      <c r="M1209" s="4"/>
      <c r="N1209" s="4"/>
    </row>
    <row r="1210" ht="13.5" hidden="1" customHeight="1">
      <c r="A1210" s="4" t="str">
        <f t="shared" si="1"/>
        <v>LFW-W1244DOORXYG</v>
      </c>
      <c r="B1210" s="29" t="s">
        <v>1648</v>
      </c>
      <c r="C1210" s="30" t="s">
        <v>1649</v>
      </c>
      <c r="D1210" s="30" t="s">
        <v>22</v>
      </c>
      <c r="E1210" s="4" t="s">
        <v>16</v>
      </c>
      <c r="F1210" s="28" t="s">
        <v>1547</v>
      </c>
      <c r="G1210" s="4"/>
      <c r="H1210" s="4">
        <f>SUMIFS(X!$F$5:$F$2005,X!$D$5:$D$2005,'CEK CICI'!A1210)</f>
        <v>0</v>
      </c>
      <c r="I1210" s="4">
        <f>SUMIFS(PENJUALAN!$E$4:$E$4288,PENJUALAN!$C$4:$C$4288,'CEK CICI'!A1210)</f>
        <v>0</v>
      </c>
      <c r="J1210" s="16">
        <f t="shared" si="2"/>
        <v>0</v>
      </c>
      <c r="K1210" s="4"/>
      <c r="L1210" s="4"/>
      <c r="M1210" s="4"/>
      <c r="N1210" s="4"/>
    </row>
    <row r="1211" ht="13.5" hidden="1" customHeight="1">
      <c r="A1211" s="4" t="str">
        <f t="shared" si="1"/>
        <v>LRW-W124XYG</v>
      </c>
      <c r="B1211" s="29" t="s">
        <v>793</v>
      </c>
      <c r="C1211" s="28" t="s">
        <v>794</v>
      </c>
      <c r="D1211" s="28" t="s">
        <v>41</v>
      </c>
      <c r="E1211" s="4" t="s">
        <v>16</v>
      </c>
      <c r="F1211" s="28" t="s">
        <v>67</v>
      </c>
      <c r="G1211" s="4"/>
      <c r="H1211" s="4">
        <f>SUMIFS(X!$F$5:$F$2005,X!$D$5:$D$2005,'CEK CICI'!A1211)</f>
        <v>0</v>
      </c>
      <c r="I1211" s="4">
        <f>SUMIFS(PENJUALAN!$E$4:$E$4288,PENJUALAN!$C$4:$C$4288,'CEK CICI'!A1211)</f>
        <v>0</v>
      </c>
      <c r="J1211" s="16">
        <f t="shared" si="2"/>
        <v>0</v>
      </c>
      <c r="K1211" s="4"/>
      <c r="L1211" s="4"/>
      <c r="M1211" s="4"/>
      <c r="N1211" s="4"/>
    </row>
    <row r="1212" ht="13.5" hidden="1" customHeight="1">
      <c r="A1212" s="4" t="str">
        <f t="shared" si="1"/>
        <v>LFW-W210XYG</v>
      </c>
      <c r="B1212" s="29" t="s">
        <v>795</v>
      </c>
      <c r="C1212" s="28" t="s">
        <v>796</v>
      </c>
      <c r="D1212" s="28" t="s">
        <v>22</v>
      </c>
      <c r="E1212" s="4" t="s">
        <v>16</v>
      </c>
      <c r="F1212" s="28" t="s">
        <v>189</v>
      </c>
      <c r="G1212" s="4"/>
      <c r="H1212" s="4">
        <f>SUMIFS(X!$F$5:$F$2005,X!$D$5:$D$2005,'CEK CICI'!A1212)</f>
        <v>0</v>
      </c>
      <c r="I1212" s="4">
        <f>SUMIFS(PENJUALAN!$E$4:$E$4288,PENJUALAN!$C$4:$C$4288,'CEK CICI'!A1212)</f>
        <v>0</v>
      </c>
      <c r="J1212" s="16">
        <f t="shared" si="2"/>
        <v>0</v>
      </c>
      <c r="K1212" s="4"/>
      <c r="L1212" s="4"/>
      <c r="M1212" s="4"/>
      <c r="N1212" s="4"/>
    </row>
    <row r="1213" ht="13.5" hidden="1" customHeight="1">
      <c r="A1213" s="4" t="str">
        <f t="shared" si="1"/>
        <v>LFW-W211XYG</v>
      </c>
      <c r="B1213" s="29" t="s">
        <v>798</v>
      </c>
      <c r="C1213" s="28" t="s">
        <v>799</v>
      </c>
      <c r="D1213" s="28" t="s">
        <v>22</v>
      </c>
      <c r="E1213" s="4" t="s">
        <v>16</v>
      </c>
      <c r="F1213" s="28" t="s">
        <v>189</v>
      </c>
      <c r="G1213" s="4"/>
      <c r="H1213" s="4">
        <f>SUMIFS(X!$F$5:$F$2005,X!$D$5:$D$2005,'CEK CICI'!A1213)</f>
        <v>1</v>
      </c>
      <c r="I1213" s="4">
        <f>SUMIFS(PENJUALAN!$E$4:$E$4288,PENJUALAN!$C$4:$C$4288,'CEK CICI'!A1213)</f>
        <v>1</v>
      </c>
      <c r="J1213" s="16">
        <f t="shared" si="2"/>
        <v>0</v>
      </c>
      <c r="K1213" s="4"/>
      <c r="L1213" s="4"/>
      <c r="M1213" s="4"/>
      <c r="N1213" s="4"/>
    </row>
    <row r="1214" ht="13.5" hidden="1" customHeight="1">
      <c r="A1214" s="4" t="str">
        <f t="shared" si="1"/>
        <v>TRW-W211XYG</v>
      </c>
      <c r="B1214" s="29" t="s">
        <v>1652</v>
      </c>
      <c r="C1214" s="28" t="s">
        <v>799</v>
      </c>
      <c r="D1214" s="30" t="s">
        <v>41</v>
      </c>
      <c r="E1214" s="4" t="s">
        <v>16</v>
      </c>
      <c r="F1214" s="28" t="s">
        <v>1080</v>
      </c>
      <c r="G1214" s="4"/>
      <c r="H1214" s="4">
        <f>SUMIFS(X!$F$5:$F$2005,X!$D$5:$D$2005,'CEK CICI'!A1214)</f>
        <v>0</v>
      </c>
      <c r="I1214" s="4">
        <f>SUMIFS(PENJUALAN!$E$4:$E$4288,PENJUALAN!$C$4:$C$4288,'CEK CICI'!A1214)</f>
        <v>0</v>
      </c>
      <c r="J1214" s="16">
        <f t="shared" si="2"/>
        <v>0</v>
      </c>
      <c r="K1214" s="4"/>
      <c r="L1214" s="4"/>
      <c r="M1214" s="4"/>
      <c r="N1214" s="4"/>
    </row>
    <row r="1215" ht="13.5" hidden="1" customHeight="1">
      <c r="A1215" s="4" t="str">
        <f t="shared" si="1"/>
        <v>LFW-W212RSXYG</v>
      </c>
      <c r="B1215" s="29" t="s">
        <v>800</v>
      </c>
      <c r="C1215" s="28" t="s">
        <v>801</v>
      </c>
      <c r="D1215" s="28" t="s">
        <v>22</v>
      </c>
      <c r="E1215" s="4" t="s">
        <v>16</v>
      </c>
      <c r="F1215" s="28" t="s">
        <v>112</v>
      </c>
      <c r="G1215" s="4"/>
      <c r="H1215" s="4">
        <f>SUMIFS(X!$F$5:$F$2005,X!$D$5:$D$2005,'CEK CICI'!A1215)</f>
        <v>1</v>
      </c>
      <c r="I1215" s="4">
        <f>SUMIFS(PENJUALAN!$E$4:$E$4288,PENJUALAN!$C$4:$C$4288,'CEK CICI'!A1215)</f>
        <v>0</v>
      </c>
      <c r="J1215" s="16">
        <f t="shared" si="2"/>
        <v>1</v>
      </c>
      <c r="K1215" s="15" t="s">
        <v>158</v>
      </c>
      <c r="L1215" s="15"/>
      <c r="M1215" s="4"/>
      <c r="N1215" s="4"/>
    </row>
    <row r="1216" ht="13.5" hidden="1" customHeight="1">
      <c r="A1216" s="4" t="str">
        <f t="shared" si="1"/>
        <v>LFW-W212RS2XYG</v>
      </c>
      <c r="B1216" s="29" t="s">
        <v>802</v>
      </c>
      <c r="C1216" s="28" t="s">
        <v>803</v>
      </c>
      <c r="D1216" s="28" t="s">
        <v>22</v>
      </c>
      <c r="E1216" s="4" t="s">
        <v>16</v>
      </c>
      <c r="F1216" s="28" t="s">
        <v>804</v>
      </c>
      <c r="G1216" s="4"/>
      <c r="H1216" s="4">
        <f>SUMIFS(X!$F$5:$F$2005,X!$D$5:$D$2005,'CEK CICI'!A1216)</f>
        <v>6</v>
      </c>
      <c r="I1216" s="4">
        <f>SUMIFS(PENJUALAN!$E$4:$E$4288,PENJUALAN!$C$4:$C$4288,'CEK CICI'!A1216)</f>
        <v>2</v>
      </c>
      <c r="J1216" s="16">
        <f t="shared" si="2"/>
        <v>4</v>
      </c>
      <c r="K1216" s="4"/>
      <c r="L1216" s="4"/>
      <c r="M1216" s="4"/>
      <c r="N1216" s="4"/>
    </row>
    <row r="1217" ht="13.5" hidden="1" customHeight="1">
      <c r="A1217" s="4" t="str">
        <f t="shared" si="1"/>
        <v>TRW-W213XYG</v>
      </c>
      <c r="B1217" s="29" t="s">
        <v>1653</v>
      </c>
      <c r="C1217" s="30" t="s">
        <v>1654</v>
      </c>
      <c r="D1217" s="30" t="s">
        <v>41</v>
      </c>
      <c r="E1217" s="4" t="s">
        <v>16</v>
      </c>
      <c r="F1217" s="34" t="s">
        <v>67</v>
      </c>
      <c r="G1217" s="4"/>
      <c r="H1217" s="4">
        <f>SUMIFS(X!$F$5:$F$2005,X!$D$5:$D$2005,'CEK CICI'!A1217)</f>
        <v>0</v>
      </c>
      <c r="I1217" s="4">
        <f>SUMIFS(PENJUALAN!$E$4:$E$4288,PENJUALAN!$C$4:$C$4288,'CEK CICI'!A1217)</f>
        <v>0</v>
      </c>
      <c r="J1217" s="16">
        <f t="shared" si="2"/>
        <v>0</v>
      </c>
      <c r="K1217" s="4"/>
      <c r="L1217" s="4"/>
      <c r="M1217" s="4"/>
      <c r="N1217" s="4"/>
    </row>
    <row r="1218" ht="13.5" hidden="1" customHeight="1">
      <c r="A1218" s="4" t="str">
        <f t="shared" si="1"/>
        <v>LFW-W213XYG</v>
      </c>
      <c r="B1218" s="29" t="s">
        <v>1655</v>
      </c>
      <c r="C1218" s="30" t="s">
        <v>1656</v>
      </c>
      <c r="D1218" s="30" t="s">
        <v>22</v>
      </c>
      <c r="E1218" s="4" t="s">
        <v>16</v>
      </c>
      <c r="F1218" s="34" t="s">
        <v>112</v>
      </c>
      <c r="G1218" s="4"/>
      <c r="H1218" s="4">
        <f>SUMIFS(X!$F$5:$F$2005,X!$D$5:$D$2005,'CEK CICI'!A1218)</f>
        <v>0</v>
      </c>
      <c r="I1218" s="4">
        <f>SUMIFS(PENJUALAN!$E$4:$E$4288,PENJUALAN!$C$4:$C$4288,'CEK CICI'!A1218)</f>
        <v>0</v>
      </c>
      <c r="J1218" s="16">
        <f t="shared" si="2"/>
        <v>0</v>
      </c>
      <c r="K1218" s="4"/>
      <c r="L1218" s="4"/>
      <c r="M1218" s="4"/>
      <c r="N1218" s="4"/>
    </row>
    <row r="1219" ht="13.5" hidden="1" customHeight="1">
      <c r="A1219" s="4" t="str">
        <f t="shared" si="1"/>
        <v>LFW-W156XYG</v>
      </c>
      <c r="B1219" s="29" t="s">
        <v>1657</v>
      </c>
      <c r="C1219" s="28" t="s">
        <v>1658</v>
      </c>
      <c r="D1219" s="28" t="s">
        <v>41</v>
      </c>
      <c r="E1219" s="4" t="s">
        <v>16</v>
      </c>
      <c r="F1219" s="28" t="s">
        <v>221</v>
      </c>
      <c r="G1219" s="4"/>
      <c r="H1219" s="4">
        <f>SUMIFS(X!$F$5:$F$2005,X!$D$5:$D$2005,'CEK CICI'!A1219)</f>
        <v>0</v>
      </c>
      <c r="I1219" s="4">
        <f>SUMIFS(PENJUALAN!$E$4:$E$4288,PENJUALAN!$C$4:$C$4288,'CEK CICI'!A1219)</f>
        <v>0</v>
      </c>
      <c r="J1219" s="16">
        <f t="shared" si="2"/>
        <v>0</v>
      </c>
      <c r="K1219" s="4"/>
      <c r="L1219" s="4"/>
      <c r="M1219" s="4"/>
      <c r="N1219" s="4"/>
    </row>
    <row r="1220" ht="13.5" hidden="1" customHeight="1">
      <c r="A1220" s="4" t="str">
        <f t="shared" si="1"/>
        <v>LFW-W166RS1XYG</v>
      </c>
      <c r="B1220" s="29" t="s">
        <v>1659</v>
      </c>
      <c r="C1220" s="30" t="s">
        <v>1660</v>
      </c>
      <c r="D1220" s="30" t="s">
        <v>22</v>
      </c>
      <c r="E1220" s="4" t="s">
        <v>16</v>
      </c>
      <c r="F1220" s="28" t="s">
        <v>23</v>
      </c>
      <c r="G1220" s="4"/>
      <c r="H1220" s="4">
        <f>SUMIFS(X!$F$5:$F$2005,X!$D$5:$D$2005,'CEK CICI'!A1220)</f>
        <v>0</v>
      </c>
      <c r="I1220" s="4">
        <f>SUMIFS(PENJUALAN!$E$4:$E$4288,PENJUALAN!$C$4:$C$4288,'CEK CICI'!A1220)</f>
        <v>0</v>
      </c>
      <c r="J1220" s="16">
        <f t="shared" si="2"/>
        <v>0</v>
      </c>
      <c r="K1220" s="4"/>
      <c r="L1220" s="4"/>
      <c r="M1220" s="4"/>
      <c r="N1220" s="4"/>
    </row>
    <row r="1221" ht="13.5" hidden="1" customHeight="1">
      <c r="A1221" s="4" t="str">
        <f t="shared" si="1"/>
        <v>LFW-W166RS2XYG</v>
      </c>
      <c r="B1221" s="29" t="s">
        <v>1661</v>
      </c>
      <c r="C1221" s="30" t="s">
        <v>1662</v>
      </c>
      <c r="D1221" s="30" t="s">
        <v>22</v>
      </c>
      <c r="E1221" s="4" t="s">
        <v>16</v>
      </c>
      <c r="F1221" s="30" t="s">
        <v>23</v>
      </c>
      <c r="G1221" s="4"/>
      <c r="H1221" s="4">
        <f>SUMIFS(X!$F$5:$F$2005,X!$D$5:$D$2005,'CEK CICI'!A1221)</f>
        <v>0</v>
      </c>
      <c r="I1221" s="4">
        <f>SUMIFS(PENJUALAN!$E$4:$E$4288,PENJUALAN!$C$4:$C$4288,'CEK CICI'!A1221)</f>
        <v>0</v>
      </c>
      <c r="J1221" s="16">
        <f t="shared" si="2"/>
        <v>0</v>
      </c>
      <c r="K1221" s="4"/>
      <c r="L1221" s="4"/>
      <c r="M1221" s="4"/>
      <c r="N1221" s="4"/>
    </row>
    <row r="1222" ht="13.5" hidden="1" customHeight="1">
      <c r="A1222" s="4" t="str">
        <f t="shared" si="1"/>
        <v>LFW-W140XYG</v>
      </c>
      <c r="B1222" s="29" t="s">
        <v>810</v>
      </c>
      <c r="C1222" s="28" t="s">
        <v>811</v>
      </c>
      <c r="D1222" s="28" t="s">
        <v>22</v>
      </c>
      <c r="E1222" s="4" t="s">
        <v>16</v>
      </c>
      <c r="F1222" s="28" t="s">
        <v>97</v>
      </c>
      <c r="G1222" s="4"/>
      <c r="H1222" s="4">
        <f>SUMIFS(X!$F$5:$F$2005,X!$D$5:$D$2005,'CEK CICI'!A1222)</f>
        <v>0</v>
      </c>
      <c r="I1222" s="4">
        <f>SUMIFS(PENJUALAN!$E$4:$E$4288,PENJUALAN!$C$4:$C$4288,'CEK CICI'!A1222)</f>
        <v>0</v>
      </c>
      <c r="J1222" s="16">
        <f t="shared" si="2"/>
        <v>0</v>
      </c>
      <c r="K1222" s="4"/>
      <c r="L1222" s="4"/>
      <c r="M1222" s="4"/>
      <c r="N1222" s="4"/>
    </row>
    <row r="1223" ht="13.5" hidden="1" customHeight="1">
      <c r="A1223" s="4" t="str">
        <f t="shared" si="1"/>
        <v>LFW-W140RSXYG</v>
      </c>
      <c r="B1223" s="29" t="s">
        <v>1663</v>
      </c>
      <c r="C1223" s="28" t="s">
        <v>811</v>
      </c>
      <c r="D1223" s="28" t="s">
        <v>22</v>
      </c>
      <c r="E1223" s="4" t="s">
        <v>16</v>
      </c>
      <c r="F1223" s="28" t="s">
        <v>189</v>
      </c>
      <c r="G1223" s="4"/>
      <c r="H1223" s="4">
        <f>SUMIFS(X!$F$5:$F$2005,X!$D$5:$D$2005,'CEK CICI'!A1223)</f>
        <v>0</v>
      </c>
      <c r="I1223" s="4">
        <f>SUMIFS(PENJUALAN!$E$4:$E$4288,PENJUALAN!$C$4:$C$4288,'CEK CICI'!A1223)</f>
        <v>0</v>
      </c>
      <c r="J1223" s="16">
        <f t="shared" si="2"/>
        <v>0</v>
      </c>
      <c r="K1223" s="4"/>
      <c r="L1223" s="4"/>
      <c r="M1223" s="4"/>
      <c r="N1223" s="4"/>
    </row>
    <row r="1224" ht="13.5" hidden="1" customHeight="1">
      <c r="A1224" s="4" t="str">
        <f t="shared" si="1"/>
        <v>LRW-W140XYG</v>
      </c>
      <c r="B1224" s="29" t="s">
        <v>812</v>
      </c>
      <c r="C1224" s="28" t="s">
        <v>811</v>
      </c>
      <c r="D1224" s="28" t="s">
        <v>41</v>
      </c>
      <c r="E1224" s="4" t="s">
        <v>16</v>
      </c>
      <c r="F1224" s="28" t="s">
        <v>67</v>
      </c>
      <c r="G1224" s="4"/>
      <c r="H1224" s="4">
        <f>SUMIFS(X!$F$5:$F$2005,X!$D$5:$D$2005,'CEK CICI'!A1224)</f>
        <v>0</v>
      </c>
      <c r="I1224" s="4">
        <f>SUMIFS(PENJUALAN!$E$4:$E$4288,PENJUALAN!$C$4:$C$4288,'CEK CICI'!A1224)</f>
        <v>0</v>
      </c>
      <c r="J1224" s="16">
        <f t="shared" si="2"/>
        <v>0</v>
      </c>
      <c r="K1224" s="4"/>
      <c r="L1224" s="4"/>
      <c r="M1224" s="4"/>
      <c r="N1224" s="4"/>
    </row>
    <row r="1225" ht="13.5" hidden="1" customHeight="1">
      <c r="A1225" s="4" t="str">
        <f t="shared" si="1"/>
        <v>LFW-W220XYG</v>
      </c>
      <c r="B1225" s="29" t="s">
        <v>1664</v>
      </c>
      <c r="C1225" s="28" t="s">
        <v>1665</v>
      </c>
      <c r="D1225" s="28" t="s">
        <v>22</v>
      </c>
      <c r="E1225" s="4" t="s">
        <v>16</v>
      </c>
      <c r="F1225" s="28" t="s">
        <v>804</v>
      </c>
      <c r="G1225" s="4"/>
      <c r="H1225" s="4">
        <f>SUMIFS(X!$F$5:$F$2005,X!$D$5:$D$2005,'CEK CICI'!A1225)</f>
        <v>0</v>
      </c>
      <c r="I1225" s="4">
        <f>SUMIFS(PENJUALAN!$E$4:$E$4288,PENJUALAN!$C$4:$C$4288,'CEK CICI'!A1225)</f>
        <v>0</v>
      </c>
      <c r="J1225" s="16">
        <f t="shared" si="2"/>
        <v>0</v>
      </c>
      <c r="K1225" s="4"/>
      <c r="L1225" s="4"/>
      <c r="M1225" s="4"/>
      <c r="N1225" s="4"/>
    </row>
    <row r="1226" ht="13.5" hidden="1" customHeight="1">
      <c r="A1226" s="4" t="str">
        <f t="shared" si="1"/>
        <v>LFW-W221XYG</v>
      </c>
      <c r="B1226" s="29" t="s">
        <v>1666</v>
      </c>
      <c r="C1226" s="30" t="s">
        <v>1667</v>
      </c>
      <c r="D1226" s="30" t="s">
        <v>22</v>
      </c>
      <c r="E1226" s="4" t="s">
        <v>16</v>
      </c>
      <c r="F1226" s="34" t="s">
        <v>804</v>
      </c>
      <c r="G1226" s="4"/>
      <c r="H1226" s="4">
        <f>SUMIFS(X!$F$5:$F$2005,X!$D$5:$D$2005,'CEK CICI'!A1226)</f>
        <v>0</v>
      </c>
      <c r="I1226" s="4">
        <f>SUMIFS(PENJUALAN!$E$4:$E$4288,PENJUALAN!$C$4:$C$4288,'CEK CICI'!A1226)</f>
        <v>0</v>
      </c>
      <c r="J1226" s="16">
        <f t="shared" si="2"/>
        <v>0</v>
      </c>
      <c r="K1226" s="4"/>
      <c r="L1226" s="4"/>
      <c r="M1226" s="4"/>
      <c r="N1226" s="4"/>
    </row>
    <row r="1227" ht="13.5" hidden="1" customHeight="1">
      <c r="A1227" s="4" t="str">
        <f t="shared" si="1"/>
        <v>LFW-W222XYG</v>
      </c>
      <c r="B1227" s="29" t="s">
        <v>159</v>
      </c>
      <c r="C1227" s="28" t="s">
        <v>160</v>
      </c>
      <c r="D1227" s="28" t="s">
        <v>22</v>
      </c>
      <c r="E1227" s="4" t="s">
        <v>16</v>
      </c>
      <c r="F1227" s="28" t="s">
        <v>161</v>
      </c>
      <c r="G1227" s="4"/>
      <c r="H1227" s="4">
        <f>SUMIFS(X!$F$5:$F$2005,X!$D$5:$D$2005,'CEK CICI'!A1227)</f>
        <v>1</v>
      </c>
      <c r="I1227" s="4">
        <f>SUMIFS(PENJUALAN!$E$4:$E$4288,PENJUALAN!$C$4:$C$4288,'CEK CICI'!A1227)</f>
        <v>1</v>
      </c>
      <c r="J1227" s="16">
        <f t="shared" si="2"/>
        <v>0</v>
      </c>
      <c r="K1227" s="4"/>
      <c r="L1227" s="4"/>
      <c r="M1227" s="4"/>
      <c r="N1227" s="4"/>
    </row>
    <row r="1228" ht="13.5" hidden="1" customHeight="1">
      <c r="A1228" s="4" t="str">
        <f t="shared" si="1"/>
        <v>LFW-SLK171XYG</v>
      </c>
      <c r="B1228" s="29" t="s">
        <v>1668</v>
      </c>
      <c r="C1228" s="28" t="s">
        <v>1669</v>
      </c>
      <c r="D1228" s="28" t="s">
        <v>22</v>
      </c>
      <c r="E1228" s="4" t="s">
        <v>16</v>
      </c>
      <c r="F1228" s="28" t="s">
        <v>112</v>
      </c>
      <c r="G1228" s="4"/>
      <c r="H1228" s="4">
        <f>SUMIFS(X!$F$5:$F$2005,X!$D$5:$D$2005,'CEK CICI'!A1228)</f>
        <v>0</v>
      </c>
      <c r="I1228" s="4">
        <f>SUMIFS(PENJUALAN!$E$4:$E$4288,PENJUALAN!$C$4:$C$4288,'CEK CICI'!A1228)</f>
        <v>0</v>
      </c>
      <c r="J1228" s="16">
        <f t="shared" si="2"/>
        <v>0</v>
      </c>
      <c r="K1228" s="4"/>
      <c r="L1228" s="4"/>
      <c r="M1228" s="4"/>
      <c r="N1228" s="4"/>
    </row>
    <row r="1229" ht="13.5" hidden="1" customHeight="1">
      <c r="A1229" s="4" t="str">
        <f t="shared" si="1"/>
        <v>LFW-MINIF55RS1XYG</v>
      </c>
      <c r="B1229" s="29" t="s">
        <v>1348</v>
      </c>
      <c r="C1229" s="28" t="s">
        <v>1349</v>
      </c>
      <c r="D1229" s="28" t="s">
        <v>22</v>
      </c>
      <c r="E1229" s="4" t="s">
        <v>16</v>
      </c>
      <c r="F1229" s="28" t="s">
        <v>1350</v>
      </c>
      <c r="G1229" s="4"/>
      <c r="H1229" s="4">
        <f>SUMIFS(X!$F$5:$F$2005,X!$D$5:$D$2005,'CEK CICI'!A1229)</f>
        <v>1</v>
      </c>
      <c r="I1229" s="4">
        <f>SUMIFS(PENJUALAN!$E$4:$E$4288,PENJUALAN!$C$4:$C$4288,'CEK CICI'!A1229)</f>
        <v>1</v>
      </c>
      <c r="J1229" s="16">
        <f t="shared" si="2"/>
        <v>0</v>
      </c>
      <c r="K1229" s="4"/>
      <c r="L1229" s="4"/>
      <c r="M1229" s="4"/>
      <c r="N1229" s="4"/>
    </row>
    <row r="1230" ht="13.5" hidden="1" customHeight="1">
      <c r="A1230" s="4" t="str">
        <f t="shared" si="1"/>
        <v>LFW-MINIF55RS2XYG</v>
      </c>
      <c r="B1230" s="29" t="s">
        <v>1670</v>
      </c>
      <c r="C1230" s="28" t="s">
        <v>1671</v>
      </c>
      <c r="D1230" s="28" t="s">
        <v>22</v>
      </c>
      <c r="E1230" s="4" t="s">
        <v>16</v>
      </c>
      <c r="F1230" s="28" t="s">
        <v>23</v>
      </c>
      <c r="G1230" s="4"/>
      <c r="H1230" s="4">
        <f>SUMIFS(X!$F$5:$F$2005,X!$D$5:$D$2005,'CEK CICI'!A1230)</f>
        <v>0</v>
      </c>
      <c r="I1230" s="4">
        <f>SUMIFS(PENJUALAN!$E$4:$E$4288,PENJUALAN!$C$4:$C$4288,'CEK CICI'!A1230)</f>
        <v>0</v>
      </c>
      <c r="J1230" s="16">
        <f t="shared" si="2"/>
        <v>0</v>
      </c>
      <c r="K1230" s="4"/>
      <c r="L1230" s="4"/>
      <c r="M1230" s="4"/>
      <c r="N1230" s="4"/>
    </row>
    <row r="1231" ht="13.5" hidden="1" customHeight="1">
      <c r="A1231" s="4" t="str">
        <f t="shared" si="1"/>
        <v>LFW-DELICAXYG</v>
      </c>
      <c r="B1231" s="29" t="s">
        <v>815</v>
      </c>
      <c r="C1231" s="28" t="s">
        <v>816</v>
      </c>
      <c r="D1231" s="28" t="s">
        <v>22</v>
      </c>
      <c r="E1231" s="4" t="s">
        <v>16</v>
      </c>
      <c r="F1231" s="28" t="s">
        <v>125</v>
      </c>
      <c r="G1231" s="4"/>
      <c r="H1231" s="4">
        <f>SUMIFS(X!$F$5:$F$2005,X!$D$5:$D$2005,'CEK CICI'!A1231)</f>
        <v>0</v>
      </c>
      <c r="I1231" s="4">
        <f>SUMIFS(PENJUALAN!$E$4:$E$4288,PENJUALAN!$C$4:$C$4288,'CEK CICI'!A1231)</f>
        <v>0</v>
      </c>
      <c r="J1231" s="16">
        <f t="shared" si="2"/>
        <v>0</v>
      </c>
      <c r="K1231" s="4"/>
      <c r="L1231" s="4"/>
      <c r="M1231" s="4"/>
      <c r="N1231" s="4"/>
    </row>
    <row r="1232" ht="13.5" hidden="1" customHeight="1">
      <c r="A1232" s="4" t="str">
        <f t="shared" si="1"/>
        <v>TRW-DELICABENINGXYG</v>
      </c>
      <c r="B1232" s="29" t="s">
        <v>1672</v>
      </c>
      <c r="C1232" s="30" t="s">
        <v>816</v>
      </c>
      <c r="D1232" s="30" t="s">
        <v>41</v>
      </c>
      <c r="E1232" s="4" t="s">
        <v>16</v>
      </c>
      <c r="F1232" s="30" t="s">
        <v>67</v>
      </c>
      <c r="G1232" s="4"/>
      <c r="H1232" s="4">
        <f>SUMIFS(X!$F$5:$F$2005,X!$D$5:$D$2005,'CEK CICI'!A1232)</f>
        <v>0</v>
      </c>
      <c r="I1232" s="4">
        <f>SUMIFS(PENJUALAN!$E$4:$E$4288,PENJUALAN!$C$4:$C$4288,'CEK CICI'!A1232)</f>
        <v>0</v>
      </c>
      <c r="J1232" s="16">
        <f t="shared" si="2"/>
        <v>0</v>
      </c>
      <c r="K1232" s="4"/>
      <c r="L1232" s="4"/>
      <c r="M1232" s="4"/>
      <c r="N1232" s="4"/>
    </row>
    <row r="1233" ht="13.5" hidden="1" customHeight="1">
      <c r="A1233" s="4" t="str">
        <f t="shared" si="1"/>
        <v>TRW-DELICABLACKXYG</v>
      </c>
      <c r="B1233" s="29" t="s">
        <v>1673</v>
      </c>
      <c r="C1233" s="28" t="s">
        <v>1674</v>
      </c>
      <c r="D1233" s="28" t="s">
        <v>41</v>
      </c>
      <c r="E1233" s="4" t="s">
        <v>16</v>
      </c>
      <c r="F1233" s="28" t="s">
        <v>67</v>
      </c>
      <c r="G1233" s="4"/>
      <c r="H1233" s="4">
        <f>SUMIFS(X!$F$5:$F$2005,X!$D$5:$D$2005,'CEK CICI'!A1233)</f>
        <v>0</v>
      </c>
      <c r="I1233" s="4">
        <f>SUMIFS(PENJUALAN!$E$4:$E$4288,PENJUALAN!$C$4:$C$4288,'CEK CICI'!A1233)</f>
        <v>0</v>
      </c>
      <c r="J1233" s="16">
        <f t="shared" si="2"/>
        <v>0</v>
      </c>
      <c r="K1233" s="4"/>
      <c r="L1233" s="4"/>
      <c r="M1233" s="4"/>
      <c r="N1233" s="4"/>
    </row>
    <row r="1234" ht="13.5" hidden="1" customHeight="1">
      <c r="A1234" s="4" t="str">
        <f t="shared" si="1"/>
        <v>LFW-ETERNAXYG</v>
      </c>
      <c r="B1234" s="29" t="s">
        <v>1675</v>
      </c>
      <c r="C1234" s="30" t="s">
        <v>818</v>
      </c>
      <c r="D1234" s="30" t="s">
        <v>22</v>
      </c>
      <c r="E1234" s="4" t="s">
        <v>16</v>
      </c>
      <c r="F1234" s="34" t="s">
        <v>97</v>
      </c>
      <c r="G1234" s="4"/>
      <c r="H1234" s="4">
        <f>SUMIFS(X!$F$5:$F$2005,X!$D$5:$D$2005,'CEK CICI'!A1234)</f>
        <v>0</v>
      </c>
      <c r="I1234" s="4">
        <f>SUMIFS(PENJUALAN!$E$4:$E$4288,PENJUALAN!$C$4:$C$4288,'CEK CICI'!A1234)</f>
        <v>0</v>
      </c>
      <c r="J1234" s="16">
        <f t="shared" si="2"/>
        <v>0</v>
      </c>
      <c r="K1234" s="4"/>
      <c r="L1234" s="4"/>
      <c r="M1234" s="4"/>
      <c r="N1234" s="4"/>
    </row>
    <row r="1235" ht="13.5" hidden="1" customHeight="1">
      <c r="A1235" s="4" t="str">
        <f t="shared" si="1"/>
        <v>TRW-LELEXYG</v>
      </c>
      <c r="B1235" s="29" t="s">
        <v>821</v>
      </c>
      <c r="C1235" s="28" t="s">
        <v>822</v>
      </c>
      <c r="D1235" s="28" t="s">
        <v>41</v>
      </c>
      <c r="E1235" s="4" t="s">
        <v>16</v>
      </c>
      <c r="F1235" s="28" t="s">
        <v>67</v>
      </c>
      <c r="G1235" s="4"/>
      <c r="H1235" s="4">
        <f>SUMIFS(X!$F$5:$F$2005,X!$D$5:$D$2005,'CEK CICI'!A1235)</f>
        <v>0</v>
      </c>
      <c r="I1235" s="4">
        <f>SUMIFS(PENJUALAN!$E$4:$E$4288,PENJUALAN!$C$4:$C$4288,'CEK CICI'!A1235)</f>
        <v>0</v>
      </c>
      <c r="J1235" s="16">
        <f t="shared" si="2"/>
        <v>0</v>
      </c>
      <c r="K1235" s="4"/>
      <c r="L1235" s="4"/>
      <c r="M1235" s="4"/>
      <c r="N1235" s="4"/>
    </row>
    <row r="1236" ht="13.5" hidden="1" customHeight="1">
      <c r="A1236" s="4" t="str">
        <f t="shared" si="1"/>
        <v>RDR-LELEXYG</v>
      </c>
      <c r="B1236" s="29" t="s">
        <v>826</v>
      </c>
      <c r="C1236" s="28" t="s">
        <v>822</v>
      </c>
      <c r="D1236" s="28" t="s">
        <v>134</v>
      </c>
      <c r="E1236" s="4" t="s">
        <v>16</v>
      </c>
      <c r="F1236" s="28" t="s">
        <v>141</v>
      </c>
      <c r="G1236" s="4"/>
      <c r="H1236" s="4">
        <f>SUMIFS(X!$F$5:$F$2005,X!$D$5:$D$2005,'CEK CICI'!A1236)</f>
        <v>0</v>
      </c>
      <c r="I1236" s="4">
        <f>SUMIFS(PENJUALAN!$E$4:$E$4288,PENJUALAN!$C$4:$C$4288,'CEK CICI'!A1236)</f>
        <v>0</v>
      </c>
      <c r="J1236" s="16">
        <f t="shared" si="2"/>
        <v>0</v>
      </c>
      <c r="K1236" s="4"/>
      <c r="L1236" s="4"/>
      <c r="M1236" s="4"/>
      <c r="N1236" s="4"/>
    </row>
    <row r="1237" ht="13.5" hidden="1" customHeight="1">
      <c r="A1237" s="4" t="str">
        <f t="shared" si="1"/>
        <v>LFW-HIUXYG</v>
      </c>
      <c r="B1237" s="29" t="s">
        <v>827</v>
      </c>
      <c r="C1237" s="28" t="s">
        <v>828</v>
      </c>
      <c r="D1237" s="28" t="s">
        <v>22</v>
      </c>
      <c r="E1237" s="4" t="s">
        <v>16</v>
      </c>
      <c r="F1237" s="28" t="s">
        <v>125</v>
      </c>
      <c r="G1237" s="4"/>
      <c r="H1237" s="4">
        <f>SUMIFS(X!$F$5:$F$2005,X!$D$5:$D$2005,'CEK CICI'!A1237)</f>
        <v>1</v>
      </c>
      <c r="I1237" s="4">
        <f>SUMIFS(PENJUALAN!$E$4:$E$4288,PENJUALAN!$C$4:$C$4288,'CEK CICI'!A1237)</f>
        <v>1</v>
      </c>
      <c r="J1237" s="16">
        <f t="shared" si="2"/>
        <v>0</v>
      </c>
      <c r="K1237" s="15" t="s">
        <v>1676</v>
      </c>
      <c r="L1237" s="15"/>
      <c r="M1237" s="4"/>
      <c r="N1237" s="4"/>
    </row>
    <row r="1238" ht="13.5" hidden="1" customHeight="1">
      <c r="A1238" s="4" t="str">
        <f t="shared" si="1"/>
        <v>TRW-HIUXYG</v>
      </c>
      <c r="B1238" s="29" t="s">
        <v>1677</v>
      </c>
      <c r="C1238" s="28" t="s">
        <v>828</v>
      </c>
      <c r="D1238" s="28" t="s">
        <v>41</v>
      </c>
      <c r="E1238" s="4" t="s">
        <v>16</v>
      </c>
      <c r="F1238" s="28" t="s">
        <v>67</v>
      </c>
      <c r="G1238" s="4"/>
      <c r="H1238" s="4">
        <f>SUMIFS(X!$F$5:$F$2005,X!$D$5:$D$2005,'CEK CICI'!A1238)</f>
        <v>0</v>
      </c>
      <c r="I1238" s="4">
        <f>SUMIFS(PENJUALAN!$E$4:$E$4288,PENJUALAN!$C$4:$C$4288,'CEK CICI'!A1238)</f>
        <v>0</v>
      </c>
      <c r="J1238" s="16">
        <f t="shared" si="2"/>
        <v>0</v>
      </c>
      <c r="K1238" s="4"/>
      <c r="L1238" s="4"/>
      <c r="M1238" s="4"/>
      <c r="N1238" s="4"/>
    </row>
    <row r="1239" ht="13.5" hidden="1" customHeight="1">
      <c r="A1239" s="4" t="str">
        <f t="shared" si="1"/>
        <v>LFW-GRANDIS97XYG</v>
      </c>
      <c r="B1239" s="29" t="s">
        <v>1678</v>
      </c>
      <c r="C1239" s="30" t="s">
        <v>1679</v>
      </c>
      <c r="D1239" s="30" t="s">
        <v>22</v>
      </c>
      <c r="E1239" s="4" t="s">
        <v>16</v>
      </c>
      <c r="F1239" s="30" t="s">
        <v>125</v>
      </c>
      <c r="G1239" s="4"/>
      <c r="H1239" s="4">
        <f>SUMIFS(X!$F$5:$F$2005,X!$D$5:$D$2005,'CEK CICI'!A1239)</f>
        <v>0</v>
      </c>
      <c r="I1239" s="4">
        <f>SUMIFS(PENJUALAN!$E$4:$E$4288,PENJUALAN!$C$4:$C$4288,'CEK CICI'!A1239)</f>
        <v>0</v>
      </c>
      <c r="J1239" s="16">
        <f t="shared" si="2"/>
        <v>0</v>
      </c>
      <c r="K1239" s="4"/>
      <c r="L1239" s="4"/>
      <c r="M1239" s="4"/>
      <c r="N1239" s="4"/>
    </row>
    <row r="1240" ht="13.5" hidden="1" customHeight="1">
      <c r="A1240" s="4" t="str">
        <f t="shared" si="1"/>
        <v>TRW-GRANDIS97XYG</v>
      </c>
      <c r="B1240" s="29" t="s">
        <v>1680</v>
      </c>
      <c r="C1240" s="30" t="s">
        <v>1679</v>
      </c>
      <c r="D1240" s="30" t="s">
        <v>41</v>
      </c>
      <c r="E1240" s="4" t="s">
        <v>16</v>
      </c>
      <c r="F1240" s="30" t="s">
        <v>221</v>
      </c>
      <c r="G1240" s="4"/>
      <c r="H1240" s="4">
        <f>SUMIFS(X!$F$5:$F$2005,X!$D$5:$D$2005,'CEK CICI'!A1240)</f>
        <v>0</v>
      </c>
      <c r="I1240" s="4">
        <f>SUMIFS(PENJUALAN!$E$4:$E$4288,PENJUALAN!$C$4:$C$4288,'CEK CICI'!A1240)</f>
        <v>0</v>
      </c>
      <c r="J1240" s="16">
        <f t="shared" si="2"/>
        <v>0</v>
      </c>
      <c r="K1240" s="4"/>
      <c r="L1240" s="4"/>
      <c r="M1240" s="4"/>
      <c r="N1240" s="4"/>
    </row>
    <row r="1241" ht="13.5" hidden="1" customHeight="1">
      <c r="A1241" s="4" t="str">
        <f t="shared" si="1"/>
        <v>LFW-GRANDISXYG</v>
      </c>
      <c r="B1241" s="29" t="s">
        <v>837</v>
      </c>
      <c r="C1241" s="28" t="s">
        <v>838</v>
      </c>
      <c r="D1241" s="28" t="s">
        <v>22</v>
      </c>
      <c r="E1241" s="4" t="s">
        <v>16</v>
      </c>
      <c r="F1241" s="28" t="s">
        <v>125</v>
      </c>
      <c r="G1241" s="4"/>
      <c r="H1241" s="4">
        <f>SUMIFS(X!$F$5:$F$2005,X!$D$5:$D$2005,'CEK CICI'!A1241)</f>
        <v>0</v>
      </c>
      <c r="I1241" s="4">
        <f>SUMIFS(PENJUALAN!$E$4:$E$4288,PENJUALAN!$C$4:$C$4288,'CEK CICI'!A1241)</f>
        <v>0</v>
      </c>
      <c r="J1241" s="16">
        <f t="shared" si="2"/>
        <v>0</v>
      </c>
      <c r="K1241" s="4"/>
      <c r="L1241" s="4"/>
      <c r="M1241" s="4"/>
      <c r="N1241" s="4"/>
    </row>
    <row r="1242" ht="13.5" hidden="1" customHeight="1">
      <c r="A1242" s="4" t="str">
        <f t="shared" si="1"/>
        <v>TRW-GRANDISXYG</v>
      </c>
      <c r="B1242" s="29" t="s">
        <v>839</v>
      </c>
      <c r="C1242" s="28" t="s">
        <v>838</v>
      </c>
      <c r="D1242" s="28" t="s">
        <v>41</v>
      </c>
      <c r="E1242" s="4" t="s">
        <v>16</v>
      </c>
      <c r="F1242" s="28" t="s">
        <v>221</v>
      </c>
      <c r="G1242" s="4"/>
      <c r="H1242" s="4">
        <f>SUMIFS(X!$F$5:$F$2005,X!$D$5:$D$2005,'CEK CICI'!A1242)</f>
        <v>0</v>
      </c>
      <c r="I1242" s="4">
        <f>SUMIFS(PENJUALAN!$E$4:$E$4288,PENJUALAN!$C$4:$C$4288,'CEK CICI'!A1242)</f>
        <v>0</v>
      </c>
      <c r="J1242" s="16">
        <f t="shared" si="2"/>
        <v>0</v>
      </c>
      <c r="K1242" s="4"/>
      <c r="L1242" s="4"/>
      <c r="M1242" s="4"/>
      <c r="N1242" s="4"/>
    </row>
    <row r="1243" ht="13.5" hidden="1" customHeight="1">
      <c r="A1243" s="4" t="str">
        <f t="shared" si="1"/>
        <v>SWR-GRANDISXYG</v>
      </c>
      <c r="B1243" s="29" t="s">
        <v>845</v>
      </c>
      <c r="C1243" s="28" t="s">
        <v>838</v>
      </c>
      <c r="D1243" s="28" t="s">
        <v>236</v>
      </c>
      <c r="E1243" s="4" t="s">
        <v>16</v>
      </c>
      <c r="F1243" s="28" t="s">
        <v>97</v>
      </c>
      <c r="G1243" s="4"/>
      <c r="H1243" s="4">
        <f>SUMIFS(X!$F$5:$F$2005,X!$D$5:$D$2005,'CEK CICI'!A1243)</f>
        <v>0</v>
      </c>
      <c r="I1243" s="4">
        <f>SUMIFS(PENJUALAN!$E$4:$E$4288,PENJUALAN!$C$4:$C$4288,'CEK CICI'!A1243)</f>
        <v>0</v>
      </c>
      <c r="J1243" s="16">
        <f t="shared" si="2"/>
        <v>0</v>
      </c>
      <c r="K1243" s="4"/>
      <c r="L1243" s="4"/>
      <c r="M1243" s="4"/>
      <c r="N1243" s="4"/>
    </row>
    <row r="1244" ht="13.5" hidden="1" customHeight="1">
      <c r="A1244" s="4" t="str">
        <f t="shared" si="1"/>
        <v>LFW-L200SINGLEXYG</v>
      </c>
      <c r="B1244" s="29" t="s">
        <v>1681</v>
      </c>
      <c r="C1244" s="30" t="s">
        <v>1682</v>
      </c>
      <c r="D1244" s="30" t="s">
        <v>22</v>
      </c>
      <c r="E1244" s="4" t="s">
        <v>16</v>
      </c>
      <c r="F1244" s="34" t="s">
        <v>97</v>
      </c>
      <c r="G1244" s="4"/>
      <c r="H1244" s="4">
        <f>SUMIFS(X!$F$5:$F$2005,X!$D$5:$D$2005,'CEK CICI'!A1244)</f>
        <v>0</v>
      </c>
      <c r="I1244" s="4">
        <f>SUMIFS(PENJUALAN!$E$4:$E$4288,PENJUALAN!$C$4:$C$4288,'CEK CICI'!A1244)</f>
        <v>0</v>
      </c>
      <c r="J1244" s="16">
        <f t="shared" si="2"/>
        <v>0</v>
      </c>
      <c r="K1244" s="4"/>
      <c r="L1244" s="4"/>
      <c r="M1244" s="4"/>
      <c r="N1244" s="4"/>
    </row>
    <row r="1245" ht="13.5" hidden="1" customHeight="1">
      <c r="A1245" s="4" t="str">
        <f t="shared" si="1"/>
        <v>LFW-L200DOUBLEXYG</v>
      </c>
      <c r="B1245" s="29" t="s">
        <v>1410</v>
      </c>
      <c r="C1245" s="30" t="s">
        <v>1411</v>
      </c>
      <c r="D1245" s="30" t="s">
        <v>22</v>
      </c>
      <c r="E1245" s="4" t="s">
        <v>16</v>
      </c>
      <c r="F1245" s="34" t="s">
        <v>125</v>
      </c>
      <c r="G1245" s="4"/>
      <c r="H1245" s="4">
        <f>SUMIFS(X!$F$5:$F$2005,X!$D$5:$D$2005,'CEK CICI'!A1245)</f>
        <v>1</v>
      </c>
      <c r="I1245" s="4">
        <f>SUMIFS(PENJUALAN!$E$4:$E$4288,PENJUALAN!$C$4:$C$4288,'CEK CICI'!A1245)</f>
        <v>1</v>
      </c>
      <c r="J1245" s="16">
        <f t="shared" si="2"/>
        <v>0</v>
      </c>
      <c r="K1245" s="4"/>
      <c r="L1245" s="4"/>
      <c r="M1245" s="4"/>
      <c r="N1245" s="4"/>
    </row>
    <row r="1246" ht="13.5" hidden="1" customHeight="1">
      <c r="A1246" s="4" t="str">
        <f t="shared" si="1"/>
        <v>LFW-EVO3XYG</v>
      </c>
      <c r="B1246" s="29" t="s">
        <v>846</v>
      </c>
      <c r="C1246" s="28" t="s">
        <v>847</v>
      </c>
      <c r="D1246" s="28" t="s">
        <v>22</v>
      </c>
      <c r="E1246" s="4" t="s">
        <v>16</v>
      </c>
      <c r="F1246" s="28" t="s">
        <v>97</v>
      </c>
      <c r="G1246" s="4"/>
      <c r="H1246" s="4">
        <f>SUMIFS(X!$F$5:$F$2005,X!$D$5:$D$2005,'CEK CICI'!A1246)</f>
        <v>0</v>
      </c>
      <c r="I1246" s="4">
        <f>SUMIFS(PENJUALAN!$E$4:$E$4288,PENJUALAN!$C$4:$C$4288,'CEK CICI'!A1246)</f>
        <v>0</v>
      </c>
      <c r="J1246" s="16">
        <f t="shared" si="2"/>
        <v>0</v>
      </c>
      <c r="K1246" s="4"/>
      <c r="L1246" s="4"/>
      <c r="M1246" s="4"/>
      <c r="N1246" s="4"/>
    </row>
    <row r="1247" ht="13.5" hidden="1" customHeight="1">
      <c r="A1247" s="4" t="str">
        <f t="shared" si="1"/>
        <v>TRW-EVO3XYG</v>
      </c>
      <c r="B1247" s="29" t="s">
        <v>848</v>
      </c>
      <c r="C1247" s="28" t="s">
        <v>847</v>
      </c>
      <c r="D1247" s="28" t="s">
        <v>41</v>
      </c>
      <c r="E1247" s="4" t="s">
        <v>16</v>
      </c>
      <c r="F1247" s="28" t="s">
        <v>67</v>
      </c>
      <c r="G1247" s="4"/>
      <c r="H1247" s="4">
        <f>SUMIFS(X!$F$5:$F$2005,X!$D$5:$D$2005,'CEK CICI'!A1247)</f>
        <v>0</v>
      </c>
      <c r="I1247" s="4">
        <f>SUMIFS(PENJUALAN!$E$4:$E$4288,PENJUALAN!$C$4:$C$4288,'CEK CICI'!A1247)</f>
        <v>0</v>
      </c>
      <c r="J1247" s="16">
        <f t="shared" si="2"/>
        <v>0</v>
      </c>
      <c r="K1247" s="4"/>
      <c r="L1247" s="4"/>
      <c r="M1247" s="4"/>
      <c r="N1247" s="4"/>
    </row>
    <row r="1248" ht="13.5" hidden="1" customHeight="1">
      <c r="A1248" s="4" t="str">
        <f t="shared" si="1"/>
        <v>FDL-EVO3XYG</v>
      </c>
      <c r="B1248" s="29" t="s">
        <v>849</v>
      </c>
      <c r="C1248" s="28" t="s">
        <v>847</v>
      </c>
      <c r="D1248" s="28" t="s">
        <v>128</v>
      </c>
      <c r="E1248" s="4" t="s">
        <v>16</v>
      </c>
      <c r="F1248" s="28" t="s">
        <v>141</v>
      </c>
      <c r="G1248" s="4"/>
      <c r="H1248" s="4">
        <f>SUMIFS(X!$F$5:$F$2005,X!$D$5:$D$2005,'CEK CICI'!A1248)</f>
        <v>0</v>
      </c>
      <c r="I1248" s="4">
        <f>SUMIFS(PENJUALAN!$E$4:$E$4288,PENJUALAN!$C$4:$C$4288,'CEK CICI'!A1248)</f>
        <v>0</v>
      </c>
      <c r="J1248" s="16">
        <f t="shared" si="2"/>
        <v>0</v>
      </c>
      <c r="K1248" s="4"/>
      <c r="L1248" s="4"/>
      <c r="M1248" s="4"/>
      <c r="N1248" s="4"/>
    </row>
    <row r="1249" ht="13.5" hidden="1" customHeight="1">
      <c r="A1249" s="4" t="str">
        <f t="shared" si="1"/>
        <v>FDR-EVO3XYG</v>
      </c>
      <c r="B1249" s="29" t="s">
        <v>850</v>
      </c>
      <c r="C1249" s="28" t="s">
        <v>847</v>
      </c>
      <c r="D1249" s="28" t="s">
        <v>130</v>
      </c>
      <c r="E1249" s="4" t="s">
        <v>16</v>
      </c>
      <c r="F1249" s="28" t="s">
        <v>141</v>
      </c>
      <c r="G1249" s="4"/>
      <c r="H1249" s="4">
        <f>SUMIFS(X!$F$5:$F$2005,X!$D$5:$D$2005,'CEK CICI'!A1249)</f>
        <v>0</v>
      </c>
      <c r="I1249" s="4">
        <f>SUMIFS(PENJUALAN!$E$4:$E$4288,PENJUALAN!$C$4:$C$4288,'CEK CICI'!A1249)</f>
        <v>0</v>
      </c>
      <c r="J1249" s="16">
        <f t="shared" si="2"/>
        <v>0</v>
      </c>
      <c r="K1249" s="4"/>
      <c r="L1249" s="4"/>
      <c r="M1249" s="4"/>
      <c r="N1249" s="4"/>
    </row>
    <row r="1250" ht="13.5" hidden="1" customHeight="1">
      <c r="A1250" s="4" t="str">
        <f t="shared" si="1"/>
        <v>RDL-EVO3XYG</v>
      </c>
      <c r="B1250" s="29" t="s">
        <v>851</v>
      </c>
      <c r="C1250" s="28" t="s">
        <v>847</v>
      </c>
      <c r="D1250" s="28" t="s">
        <v>132</v>
      </c>
      <c r="E1250" s="4" t="s">
        <v>16</v>
      </c>
      <c r="F1250" s="28" t="s">
        <v>141</v>
      </c>
      <c r="G1250" s="4"/>
      <c r="H1250" s="4">
        <f>SUMIFS(X!$F$5:$F$2005,X!$D$5:$D$2005,'CEK CICI'!A1250)</f>
        <v>0</v>
      </c>
      <c r="I1250" s="4">
        <f>SUMIFS(PENJUALAN!$E$4:$E$4288,PENJUALAN!$C$4:$C$4288,'CEK CICI'!A1250)</f>
        <v>0</v>
      </c>
      <c r="J1250" s="16">
        <f t="shared" si="2"/>
        <v>0</v>
      </c>
      <c r="K1250" s="4"/>
      <c r="L1250" s="4"/>
      <c r="M1250" s="4"/>
      <c r="N1250" s="4"/>
    </row>
    <row r="1251" ht="13.5" hidden="1" customHeight="1">
      <c r="A1251" s="4" t="str">
        <f t="shared" si="1"/>
        <v>RDR-EVO3XYG</v>
      </c>
      <c r="B1251" s="29" t="s">
        <v>852</v>
      </c>
      <c r="C1251" s="28" t="s">
        <v>847</v>
      </c>
      <c r="D1251" s="28" t="s">
        <v>134</v>
      </c>
      <c r="E1251" s="4" t="s">
        <v>16</v>
      </c>
      <c r="F1251" s="28" t="s">
        <v>141</v>
      </c>
      <c r="G1251" s="4"/>
      <c r="H1251" s="4">
        <f>SUMIFS(X!$F$5:$F$2005,X!$D$5:$D$2005,'CEK CICI'!A1251)</f>
        <v>0</v>
      </c>
      <c r="I1251" s="4">
        <f>SUMIFS(PENJUALAN!$E$4:$E$4288,PENJUALAN!$C$4:$C$4288,'CEK CICI'!A1251)</f>
        <v>0</v>
      </c>
      <c r="J1251" s="16">
        <f t="shared" si="2"/>
        <v>0</v>
      </c>
      <c r="K1251" s="4"/>
      <c r="L1251" s="4"/>
      <c r="M1251" s="4"/>
      <c r="N1251" s="4"/>
    </row>
    <row r="1252" ht="13.5" hidden="1" customHeight="1">
      <c r="A1252" s="4" t="str">
        <f t="shared" si="1"/>
        <v>LFW-EVO4XYG</v>
      </c>
      <c r="B1252" s="29" t="s">
        <v>855</v>
      </c>
      <c r="C1252" s="28" t="s">
        <v>856</v>
      </c>
      <c r="D1252" s="28" t="s">
        <v>22</v>
      </c>
      <c r="E1252" s="4" t="s">
        <v>16</v>
      </c>
      <c r="F1252" s="28" t="s">
        <v>125</v>
      </c>
      <c r="G1252" s="4"/>
      <c r="H1252" s="4">
        <f>SUMIFS(X!$F$5:$F$2005,X!$D$5:$D$2005,'CEK CICI'!A1252)</f>
        <v>0</v>
      </c>
      <c r="I1252" s="4">
        <f>SUMIFS(PENJUALAN!$E$4:$E$4288,PENJUALAN!$C$4:$C$4288,'CEK CICI'!A1252)</f>
        <v>0</v>
      </c>
      <c r="J1252" s="16">
        <f t="shared" si="2"/>
        <v>0</v>
      </c>
      <c r="K1252" s="4"/>
      <c r="L1252" s="4"/>
      <c r="M1252" s="4"/>
      <c r="N1252" s="4"/>
    </row>
    <row r="1253" ht="13.5" hidden="1" customHeight="1">
      <c r="A1253" s="4" t="str">
        <f t="shared" si="1"/>
        <v>LFW-EVO5XYG</v>
      </c>
      <c r="B1253" s="29" t="s">
        <v>860</v>
      </c>
      <c r="C1253" s="28" t="s">
        <v>861</v>
      </c>
      <c r="D1253" s="28" t="s">
        <v>22</v>
      </c>
      <c r="E1253" s="4" t="s">
        <v>16</v>
      </c>
      <c r="F1253" s="28" t="s">
        <v>125</v>
      </c>
      <c r="G1253" s="4"/>
      <c r="H1253" s="4">
        <f>SUMIFS(X!$F$5:$F$2005,X!$D$5:$D$2005,'CEK CICI'!A1253)</f>
        <v>0</v>
      </c>
      <c r="I1253" s="4">
        <f>SUMIFS(PENJUALAN!$E$4:$E$4288,PENJUALAN!$C$4:$C$4288,'CEK CICI'!A1253)</f>
        <v>0</v>
      </c>
      <c r="J1253" s="16">
        <f t="shared" si="2"/>
        <v>0</v>
      </c>
      <c r="K1253" s="4"/>
      <c r="L1253" s="4"/>
      <c r="M1253" s="4"/>
      <c r="N1253" s="4"/>
    </row>
    <row r="1254" ht="13.5" hidden="1" customHeight="1">
      <c r="A1254" s="4" t="str">
        <f t="shared" si="1"/>
        <v>TRW-EVO5XYG</v>
      </c>
      <c r="B1254" s="29" t="s">
        <v>862</v>
      </c>
      <c r="C1254" s="28" t="s">
        <v>861</v>
      </c>
      <c r="D1254" s="28" t="s">
        <v>41</v>
      </c>
      <c r="E1254" s="4" t="s">
        <v>16</v>
      </c>
      <c r="F1254" s="28" t="s">
        <v>67</v>
      </c>
      <c r="G1254" s="4"/>
      <c r="H1254" s="4">
        <f>SUMIFS(X!$F$5:$F$2005,X!$D$5:$D$2005,'CEK CICI'!A1254)</f>
        <v>0</v>
      </c>
      <c r="I1254" s="4">
        <f>SUMIFS(PENJUALAN!$E$4:$E$4288,PENJUALAN!$C$4:$C$4288,'CEK CICI'!A1254)</f>
        <v>0</v>
      </c>
      <c r="J1254" s="16">
        <f t="shared" si="2"/>
        <v>0</v>
      </c>
      <c r="K1254" s="4"/>
      <c r="L1254" s="4"/>
      <c r="M1254" s="4"/>
      <c r="N1254" s="4"/>
    </row>
    <row r="1255" ht="13.5" hidden="1" customHeight="1">
      <c r="A1255" s="4" t="str">
        <f t="shared" si="1"/>
        <v>FDR-EVO5XYG</v>
      </c>
      <c r="B1255" s="29" t="s">
        <v>864</v>
      </c>
      <c r="C1255" s="28" t="s">
        <v>861</v>
      </c>
      <c r="D1255" s="28" t="s">
        <v>130</v>
      </c>
      <c r="E1255" s="4" t="s">
        <v>16</v>
      </c>
      <c r="F1255" s="28" t="s">
        <v>397</v>
      </c>
      <c r="G1255" s="4"/>
      <c r="H1255" s="4">
        <f>SUMIFS(X!$F$5:$F$2005,X!$D$5:$D$2005,'CEK CICI'!A1255)</f>
        <v>0</v>
      </c>
      <c r="I1255" s="4">
        <f>SUMIFS(PENJUALAN!$E$4:$E$4288,PENJUALAN!$C$4:$C$4288,'CEK CICI'!A1255)</f>
        <v>0</v>
      </c>
      <c r="J1255" s="16">
        <f t="shared" si="2"/>
        <v>0</v>
      </c>
      <c r="K1255" s="4"/>
      <c r="L1255" s="4"/>
      <c r="M1255" s="4"/>
      <c r="N1255" s="4"/>
    </row>
    <row r="1256" ht="13.5" hidden="1" customHeight="1">
      <c r="A1256" s="4" t="str">
        <f t="shared" si="1"/>
        <v>LFW-EVO10XYG</v>
      </c>
      <c r="B1256" s="29" t="s">
        <v>867</v>
      </c>
      <c r="C1256" s="28" t="s">
        <v>868</v>
      </c>
      <c r="D1256" s="28" t="s">
        <v>22</v>
      </c>
      <c r="E1256" s="4" t="s">
        <v>16</v>
      </c>
      <c r="F1256" s="28" t="s">
        <v>125</v>
      </c>
      <c r="G1256" s="4"/>
      <c r="H1256" s="4">
        <f>SUMIFS(X!$F$5:$F$2005,X!$D$5:$D$2005,'CEK CICI'!A1256)</f>
        <v>0</v>
      </c>
      <c r="I1256" s="4">
        <f>SUMIFS(PENJUALAN!$E$4:$E$4288,PENJUALAN!$C$4:$C$4288,'CEK CICI'!A1256)</f>
        <v>0</v>
      </c>
      <c r="J1256" s="16">
        <f t="shared" si="2"/>
        <v>0</v>
      </c>
      <c r="K1256" s="4"/>
      <c r="L1256" s="4"/>
      <c r="M1256" s="4"/>
      <c r="N1256" s="4"/>
    </row>
    <row r="1257" ht="13.5" hidden="1" customHeight="1">
      <c r="A1257" s="4" t="str">
        <f t="shared" si="1"/>
        <v>TRW-EVO10XYG</v>
      </c>
      <c r="B1257" s="29" t="s">
        <v>870</v>
      </c>
      <c r="C1257" s="28" t="s">
        <v>868</v>
      </c>
      <c r="D1257" s="28" t="s">
        <v>41</v>
      </c>
      <c r="E1257" s="4" t="s">
        <v>16</v>
      </c>
      <c r="F1257" s="28" t="s">
        <v>67</v>
      </c>
      <c r="G1257" s="4"/>
      <c r="H1257" s="4">
        <f>SUMIFS(X!$F$5:$F$2005,X!$D$5:$D$2005,'CEK CICI'!A1257)</f>
        <v>0</v>
      </c>
      <c r="I1257" s="4">
        <f>SUMIFS(PENJUALAN!$E$4:$E$4288,PENJUALAN!$C$4:$C$4288,'CEK CICI'!A1257)</f>
        <v>0</v>
      </c>
      <c r="J1257" s="16">
        <f t="shared" si="2"/>
        <v>0</v>
      </c>
      <c r="K1257" s="4"/>
      <c r="L1257" s="4"/>
      <c r="M1257" s="4"/>
      <c r="N1257" s="4"/>
    </row>
    <row r="1258" ht="13.5" hidden="1" customHeight="1">
      <c r="A1258" s="4" t="str">
        <f t="shared" si="1"/>
        <v>LFW-MIRAGEXYG</v>
      </c>
      <c r="B1258" s="29" t="s">
        <v>875</v>
      </c>
      <c r="C1258" s="28" t="s">
        <v>876</v>
      </c>
      <c r="D1258" s="28" t="s">
        <v>22</v>
      </c>
      <c r="E1258" s="4" t="s">
        <v>16</v>
      </c>
      <c r="F1258" s="28" t="s">
        <v>125</v>
      </c>
      <c r="G1258" s="4"/>
      <c r="H1258" s="4">
        <f>SUMIFS(X!$F$5:$F$2005,X!$D$5:$D$2005,'CEK CICI'!A1258)</f>
        <v>1</v>
      </c>
      <c r="I1258" s="4">
        <f>SUMIFS(PENJUALAN!$E$4:$E$4288,PENJUALAN!$C$4:$C$4288,'CEK CICI'!A1258)</f>
        <v>1</v>
      </c>
      <c r="J1258" s="16">
        <f t="shared" si="2"/>
        <v>0</v>
      </c>
      <c r="K1258" s="4"/>
      <c r="L1258" s="4"/>
      <c r="M1258" s="4"/>
      <c r="N1258" s="4"/>
    </row>
    <row r="1259" ht="13.5" customHeight="1">
      <c r="A1259" s="4" t="str">
        <f t="shared" si="1"/>
        <v>TRW-MIRAGEXYG</v>
      </c>
      <c r="B1259" s="29" t="s">
        <v>877</v>
      </c>
      <c r="C1259" s="28" t="s">
        <v>876</v>
      </c>
      <c r="D1259" s="28" t="s">
        <v>41</v>
      </c>
      <c r="E1259" s="4" t="s">
        <v>16</v>
      </c>
      <c r="F1259" s="28" t="s">
        <v>67</v>
      </c>
      <c r="G1259" s="15">
        <v>1.0</v>
      </c>
      <c r="H1259" s="4">
        <f>SUMIFS(X!$F$5:$F$2005,X!$D$5:$D$2005,'CEK CICI'!A1259)</f>
        <v>2</v>
      </c>
      <c r="I1259" s="4">
        <f>SUMIFS(PENJUALAN!$E$4:$E$4288,PENJUALAN!$C$4:$C$4288,'CEK CICI'!A1259)</f>
        <v>2</v>
      </c>
      <c r="J1259" s="16">
        <f t="shared" si="2"/>
        <v>0</v>
      </c>
      <c r="K1259" s="15" t="s">
        <v>1452</v>
      </c>
      <c r="L1259" s="4"/>
      <c r="M1259" s="4"/>
      <c r="N1259" s="4"/>
    </row>
    <row r="1260" ht="13.5" hidden="1" customHeight="1">
      <c r="A1260" s="4" t="str">
        <f t="shared" si="1"/>
        <v>LFW-OUTLANDERXYG</v>
      </c>
      <c r="B1260" s="29" t="s">
        <v>878</v>
      </c>
      <c r="C1260" s="28" t="s">
        <v>879</v>
      </c>
      <c r="D1260" s="28" t="s">
        <v>22</v>
      </c>
      <c r="E1260" s="4" t="s">
        <v>16</v>
      </c>
      <c r="F1260" s="28" t="s">
        <v>125</v>
      </c>
      <c r="G1260" s="4"/>
      <c r="H1260" s="4">
        <f>SUMIFS(X!$F$5:$F$2005,X!$D$5:$D$2005,'CEK CICI'!A1260)</f>
        <v>1</v>
      </c>
      <c r="I1260" s="4">
        <f>SUMIFS(PENJUALAN!$E$4:$E$4288,PENJUALAN!$C$4:$C$4288,'CEK CICI'!A1260)</f>
        <v>1</v>
      </c>
      <c r="J1260" s="16">
        <f t="shared" si="2"/>
        <v>0</v>
      </c>
      <c r="K1260" s="4"/>
      <c r="L1260" s="4"/>
      <c r="M1260" s="4"/>
      <c r="N1260" s="4"/>
    </row>
    <row r="1261" ht="13.5" hidden="1" customHeight="1">
      <c r="A1261" s="4" t="str">
        <f t="shared" si="1"/>
        <v>TRW-OUTLANDERXYG</v>
      </c>
      <c r="B1261" s="29" t="s">
        <v>880</v>
      </c>
      <c r="C1261" s="28" t="s">
        <v>879</v>
      </c>
      <c r="D1261" s="28" t="s">
        <v>41</v>
      </c>
      <c r="E1261" s="4" t="s">
        <v>16</v>
      </c>
      <c r="F1261" s="28" t="s">
        <v>221</v>
      </c>
      <c r="G1261" s="4"/>
      <c r="H1261" s="4">
        <f>SUMIFS(X!$F$5:$F$2005,X!$D$5:$D$2005,'CEK CICI'!A1261)</f>
        <v>1</v>
      </c>
      <c r="I1261" s="4">
        <f>SUMIFS(PENJUALAN!$E$4:$E$4288,PENJUALAN!$C$4:$C$4288,'CEK CICI'!A1261)</f>
        <v>0</v>
      </c>
      <c r="J1261" s="16">
        <f t="shared" si="2"/>
        <v>1</v>
      </c>
      <c r="K1261" s="4"/>
      <c r="L1261" s="4"/>
      <c r="M1261" s="4"/>
      <c r="N1261" s="4"/>
    </row>
    <row r="1262" ht="13.5" hidden="1" customHeight="1">
      <c r="A1262" s="4" t="str">
        <f t="shared" si="1"/>
        <v>LFW-PAJEROV40XYG</v>
      </c>
      <c r="B1262" s="41" t="s">
        <v>1686</v>
      </c>
      <c r="C1262" s="28" t="s">
        <v>1687</v>
      </c>
      <c r="D1262" s="30" t="s">
        <v>22</v>
      </c>
      <c r="E1262" s="4" t="s">
        <v>16</v>
      </c>
      <c r="F1262" s="28" t="s">
        <v>97</v>
      </c>
      <c r="G1262" s="4"/>
      <c r="H1262" s="4">
        <f>SUMIFS(X!$F$5:$F$2005,X!$D$5:$D$2005,'CEK CICI'!A1262)</f>
        <v>0</v>
      </c>
      <c r="I1262" s="4">
        <f>SUMIFS(PENJUALAN!$E$4:$E$4288,PENJUALAN!$C$4:$C$4288,'CEK CICI'!A1262)</f>
        <v>0</v>
      </c>
      <c r="J1262" s="16">
        <f t="shared" si="2"/>
        <v>0</v>
      </c>
      <c r="K1262" s="4"/>
      <c r="L1262" s="4"/>
      <c r="M1262" s="4"/>
      <c r="N1262" s="4"/>
    </row>
    <row r="1263" ht="13.5" hidden="1" customHeight="1">
      <c r="A1263" s="4" t="str">
        <f t="shared" si="1"/>
        <v>LFW-PAJEROV70XYG</v>
      </c>
      <c r="B1263" s="29" t="s">
        <v>1688</v>
      </c>
      <c r="C1263" s="28" t="s">
        <v>1689</v>
      </c>
      <c r="D1263" s="28" t="s">
        <v>22</v>
      </c>
      <c r="E1263" s="4" t="s">
        <v>16</v>
      </c>
      <c r="F1263" s="28" t="s">
        <v>125</v>
      </c>
      <c r="G1263" s="4"/>
      <c r="H1263" s="4">
        <f>SUMIFS(X!$F$5:$F$2005,X!$D$5:$D$2005,'CEK CICI'!A1263)</f>
        <v>1</v>
      </c>
      <c r="I1263" s="4">
        <f>SUMIFS(PENJUALAN!$E$4:$E$4288,PENJUALAN!$C$4:$C$4288,'CEK CICI'!A1263)</f>
        <v>1</v>
      </c>
      <c r="J1263" s="16">
        <f t="shared" si="2"/>
        <v>0</v>
      </c>
      <c r="K1263" s="4"/>
      <c r="L1263" s="4"/>
      <c r="M1263" s="4"/>
      <c r="N1263" s="4"/>
    </row>
    <row r="1264" ht="13.5" hidden="1" customHeight="1">
      <c r="A1264" s="4" t="str">
        <f t="shared" si="1"/>
        <v>LFW-PAJEROV8090XYG</v>
      </c>
      <c r="B1264" s="41" t="s">
        <v>1690</v>
      </c>
      <c r="C1264" s="30" t="s">
        <v>1691</v>
      </c>
      <c r="D1264" s="30" t="s">
        <v>22</v>
      </c>
      <c r="E1264" s="4" t="s">
        <v>16</v>
      </c>
      <c r="F1264" s="28" t="s">
        <v>125</v>
      </c>
      <c r="G1264" s="4"/>
      <c r="H1264" s="4">
        <f>SUMIFS(X!$F$5:$F$2005,X!$D$5:$D$2005,'CEK CICI'!A1264)</f>
        <v>0</v>
      </c>
      <c r="I1264" s="4">
        <f>SUMIFS(PENJUALAN!$E$4:$E$4288,PENJUALAN!$C$4:$C$4288,'CEK CICI'!A1264)</f>
        <v>0</v>
      </c>
      <c r="J1264" s="16">
        <f t="shared" si="2"/>
        <v>0</v>
      </c>
      <c r="K1264" s="4"/>
      <c r="L1264" s="4"/>
      <c r="M1264" s="4"/>
      <c r="N1264" s="4"/>
    </row>
    <row r="1265" ht="13.5" hidden="1" customHeight="1">
      <c r="A1265" s="4" t="str">
        <f t="shared" si="1"/>
        <v>LFW-PAJERO08XYG</v>
      </c>
      <c r="B1265" s="29" t="s">
        <v>881</v>
      </c>
      <c r="C1265" s="28" t="s">
        <v>882</v>
      </c>
      <c r="D1265" s="28" t="s">
        <v>22</v>
      </c>
      <c r="E1265" s="4" t="s">
        <v>16</v>
      </c>
      <c r="F1265" s="28" t="s">
        <v>125</v>
      </c>
      <c r="G1265" s="4"/>
      <c r="H1265" s="4">
        <f>SUMIFS(X!$F$5:$F$2005,X!$D$5:$D$2005,'CEK CICI'!A1265)</f>
        <v>3</v>
      </c>
      <c r="I1265" s="4">
        <f>SUMIFS(PENJUALAN!$E$4:$E$4288,PENJUALAN!$C$4:$C$4288,'CEK CICI'!A1265)</f>
        <v>1</v>
      </c>
      <c r="J1265" s="16">
        <f t="shared" si="2"/>
        <v>2</v>
      </c>
      <c r="K1265" s="4"/>
      <c r="L1265" s="4"/>
      <c r="M1265" s="4"/>
      <c r="N1265" s="4"/>
    </row>
    <row r="1266" ht="13.5" hidden="1" customHeight="1">
      <c r="A1266" s="4" t="str">
        <f t="shared" si="1"/>
        <v>TRW-PAJERO08XYG</v>
      </c>
      <c r="B1266" s="29" t="s">
        <v>883</v>
      </c>
      <c r="C1266" s="28" t="s">
        <v>882</v>
      </c>
      <c r="D1266" s="28" t="s">
        <v>41</v>
      </c>
      <c r="E1266" s="4" t="s">
        <v>16</v>
      </c>
      <c r="F1266" s="28" t="s">
        <v>221</v>
      </c>
      <c r="G1266" s="4"/>
      <c r="H1266" s="4">
        <f>SUMIFS(X!$F$5:$F$2005,X!$D$5:$D$2005,'CEK CICI'!A1266)</f>
        <v>8</v>
      </c>
      <c r="I1266" s="4">
        <f>SUMIFS(PENJUALAN!$E$4:$E$4288,PENJUALAN!$C$4:$C$4288,'CEK CICI'!A1266)</f>
        <v>7</v>
      </c>
      <c r="J1266" s="16">
        <f t="shared" si="2"/>
        <v>1</v>
      </c>
      <c r="K1266" s="15" t="s">
        <v>1567</v>
      </c>
      <c r="L1266" s="15"/>
      <c r="M1266" s="4"/>
      <c r="N1266" s="4"/>
    </row>
    <row r="1267" ht="13.5" hidden="1" customHeight="1">
      <c r="A1267" s="4" t="str">
        <f t="shared" si="1"/>
        <v>SWL-PAJERO08XYG</v>
      </c>
      <c r="B1267" s="29" t="s">
        <v>1492</v>
      </c>
      <c r="C1267" s="28" t="s">
        <v>882</v>
      </c>
      <c r="D1267" s="30" t="s">
        <v>202</v>
      </c>
      <c r="E1267" s="4" t="s">
        <v>16</v>
      </c>
      <c r="F1267" s="28"/>
      <c r="G1267" s="4"/>
      <c r="H1267" s="4">
        <f>SUMIFS(X!$F$5:$F$2005,X!$D$5:$D$2005,'CEK CICI'!A1267)</f>
        <v>0</v>
      </c>
      <c r="I1267" s="4">
        <f>SUMIFS(PENJUALAN!$E$4:$E$4288,PENJUALAN!$C$4:$C$4288,'CEK CICI'!A1267)</f>
        <v>0</v>
      </c>
      <c r="J1267" s="16">
        <f t="shared" si="2"/>
        <v>0</v>
      </c>
      <c r="K1267" s="4"/>
      <c r="L1267" s="4"/>
      <c r="M1267" s="4"/>
      <c r="N1267" s="4"/>
    </row>
    <row r="1268" ht="13.5" hidden="1" customHeight="1">
      <c r="A1268" s="4" t="str">
        <f t="shared" si="1"/>
        <v>SWR-PAJERO08XYG</v>
      </c>
      <c r="B1268" s="29" t="s">
        <v>1490</v>
      </c>
      <c r="C1268" s="28" t="s">
        <v>882</v>
      </c>
      <c r="D1268" s="30" t="s">
        <v>236</v>
      </c>
      <c r="E1268" s="4" t="s">
        <v>16</v>
      </c>
      <c r="F1268" s="28"/>
      <c r="G1268" s="4"/>
      <c r="H1268" s="4">
        <f>SUMIFS(X!$F$5:$F$2005,X!$D$5:$D$2005,'CEK CICI'!A1268)</f>
        <v>0</v>
      </c>
      <c r="I1268" s="4">
        <f>SUMIFS(PENJUALAN!$E$4:$E$4288,PENJUALAN!$C$4:$C$4288,'CEK CICI'!A1268)</f>
        <v>0</v>
      </c>
      <c r="J1268" s="16">
        <f t="shared" si="2"/>
        <v>0</v>
      </c>
      <c r="K1268" s="4"/>
      <c r="L1268" s="4"/>
      <c r="M1268" s="4"/>
      <c r="N1268" s="4"/>
    </row>
    <row r="1269" ht="13.5" hidden="1" customHeight="1">
      <c r="A1269" s="4" t="str">
        <f t="shared" si="1"/>
        <v>LFW-PAJERO16XYG</v>
      </c>
      <c r="B1269" s="29" t="s">
        <v>884</v>
      </c>
      <c r="C1269" s="28" t="s">
        <v>830</v>
      </c>
      <c r="D1269" s="28" t="s">
        <v>22</v>
      </c>
      <c r="E1269" s="4" t="s">
        <v>16</v>
      </c>
      <c r="F1269" s="28" t="s">
        <v>125</v>
      </c>
      <c r="G1269" s="4"/>
      <c r="H1269" s="4">
        <f>SUMIFS(X!$F$5:$F$2005,X!$D$5:$D$2005,'CEK CICI'!A1269)</f>
        <v>5</v>
      </c>
      <c r="I1269" s="4">
        <f>SUMIFS(PENJUALAN!$E$4:$E$4288,PENJUALAN!$C$4:$C$4288,'CEK CICI'!A1269)</f>
        <v>0</v>
      </c>
      <c r="J1269" s="16">
        <f t="shared" si="2"/>
        <v>5</v>
      </c>
      <c r="K1269" s="4"/>
      <c r="L1269" s="4"/>
      <c r="M1269" s="4"/>
      <c r="N1269" s="4"/>
    </row>
    <row r="1270" ht="13.5" hidden="1" customHeight="1">
      <c r="A1270" s="4" t="str">
        <f t="shared" si="1"/>
        <v>TRW-PAJERO16XYG</v>
      </c>
      <c r="B1270" s="29" t="s">
        <v>885</v>
      </c>
      <c r="C1270" s="28" t="s">
        <v>830</v>
      </c>
      <c r="D1270" s="28" t="s">
        <v>41</v>
      </c>
      <c r="E1270" s="4" t="s">
        <v>16</v>
      </c>
      <c r="F1270" s="28" t="s">
        <v>221</v>
      </c>
      <c r="G1270" s="4"/>
      <c r="H1270" s="4">
        <f>SUMIFS(X!$F$5:$F$2005,X!$D$5:$D$2005,'CEK CICI'!A1270)</f>
        <v>4</v>
      </c>
      <c r="I1270" s="4">
        <f>SUMIFS(PENJUALAN!$E$4:$E$4288,PENJUALAN!$C$4:$C$4288,'CEK CICI'!A1270)</f>
        <v>3</v>
      </c>
      <c r="J1270" s="16">
        <f t="shared" si="2"/>
        <v>1</v>
      </c>
      <c r="K1270" s="15" t="s">
        <v>1366</v>
      </c>
      <c r="L1270" s="15"/>
      <c r="M1270" s="4"/>
      <c r="N1270" s="4"/>
    </row>
    <row r="1271" ht="13.5" hidden="1" customHeight="1">
      <c r="A1271" s="4" t="str">
        <f t="shared" si="1"/>
        <v>LFW-PAJERO16RS1XYG</v>
      </c>
      <c r="B1271" s="29" t="s">
        <v>1696</v>
      </c>
      <c r="C1271" s="28" t="s">
        <v>1697</v>
      </c>
      <c r="D1271" s="28" t="s">
        <v>22</v>
      </c>
      <c r="E1271" s="4" t="s">
        <v>16</v>
      </c>
      <c r="F1271" s="28" t="s">
        <v>75</v>
      </c>
      <c r="G1271" s="4"/>
      <c r="H1271" s="4">
        <f>SUMIFS(X!$F$5:$F$2005,X!$D$5:$D$2005,'CEK CICI'!A1271)</f>
        <v>0</v>
      </c>
      <c r="I1271" s="4">
        <f>SUMIFS(PENJUALAN!$E$4:$E$4288,PENJUALAN!$C$4:$C$4288,'CEK CICI'!A1271)</f>
        <v>0</v>
      </c>
      <c r="J1271" s="16">
        <f t="shared" si="2"/>
        <v>0</v>
      </c>
      <c r="K1271" s="4"/>
      <c r="L1271" s="4"/>
      <c r="M1271" s="4"/>
      <c r="N1271" s="4"/>
    </row>
    <row r="1272" ht="13.5" hidden="1" customHeight="1">
      <c r="A1272" s="4" t="str">
        <f t="shared" si="1"/>
        <v>LFW-PAJERO16RS2XYG</v>
      </c>
      <c r="B1272" s="29" t="s">
        <v>1698</v>
      </c>
      <c r="C1272" s="28" t="s">
        <v>1699</v>
      </c>
      <c r="D1272" s="28" t="s">
        <v>22</v>
      </c>
      <c r="E1272" s="4" t="s">
        <v>16</v>
      </c>
      <c r="F1272" s="28" t="s">
        <v>1700</v>
      </c>
      <c r="G1272" s="4"/>
      <c r="H1272" s="4">
        <f>SUMIFS(X!$F$5:$F$2005,X!$D$5:$D$2005,'CEK CICI'!A1272)</f>
        <v>0</v>
      </c>
      <c r="I1272" s="4">
        <f>SUMIFS(PENJUALAN!$E$4:$E$4288,PENJUALAN!$C$4:$C$4288,'CEK CICI'!A1272)</f>
        <v>0</v>
      </c>
      <c r="J1272" s="16">
        <f t="shared" si="2"/>
        <v>0</v>
      </c>
      <c r="K1272" s="4"/>
      <c r="L1272" s="4"/>
      <c r="M1272" s="4"/>
      <c r="N1272" s="4"/>
    </row>
    <row r="1273" ht="13.5" hidden="1" customHeight="1">
      <c r="A1273" s="4" t="str">
        <f t="shared" si="1"/>
        <v>LFW-TRITON05XYG</v>
      </c>
      <c r="B1273" s="29" t="s">
        <v>886</v>
      </c>
      <c r="C1273" s="28" t="s">
        <v>887</v>
      </c>
      <c r="D1273" s="28" t="s">
        <v>22</v>
      </c>
      <c r="E1273" s="4" t="s">
        <v>16</v>
      </c>
      <c r="F1273" s="28" t="s">
        <v>125</v>
      </c>
      <c r="G1273" s="4"/>
      <c r="H1273" s="4">
        <f>SUMIFS(X!$F$5:$F$2005,X!$D$5:$D$2005,'CEK CICI'!A1273)</f>
        <v>0</v>
      </c>
      <c r="I1273" s="4">
        <f>SUMIFS(PENJUALAN!$E$4:$E$4288,PENJUALAN!$C$4:$C$4288,'CEK CICI'!A1273)</f>
        <v>0</v>
      </c>
      <c r="J1273" s="16">
        <f t="shared" si="2"/>
        <v>0</v>
      </c>
      <c r="K1273" s="4"/>
      <c r="L1273" s="4"/>
      <c r="M1273" s="4"/>
      <c r="N1273" s="4"/>
    </row>
    <row r="1274" ht="13.5" hidden="1" customHeight="1">
      <c r="A1274" s="4" t="str">
        <f t="shared" si="1"/>
        <v>TRW-TRITON05XYG</v>
      </c>
      <c r="B1274" s="29" t="s">
        <v>888</v>
      </c>
      <c r="C1274" s="28" t="s">
        <v>887</v>
      </c>
      <c r="D1274" s="28" t="s">
        <v>41</v>
      </c>
      <c r="E1274" s="4" t="s">
        <v>16</v>
      </c>
      <c r="F1274" s="28" t="s">
        <v>67</v>
      </c>
      <c r="G1274" s="4"/>
      <c r="H1274" s="4">
        <f>SUMIFS(X!$F$5:$F$2005,X!$D$5:$D$2005,'CEK CICI'!A1274)</f>
        <v>6</v>
      </c>
      <c r="I1274" s="4">
        <f>SUMIFS(PENJUALAN!$E$4:$E$4288,PENJUALAN!$C$4:$C$4288,'CEK CICI'!A1274)</f>
        <v>5</v>
      </c>
      <c r="J1274" s="16">
        <f t="shared" si="2"/>
        <v>1</v>
      </c>
      <c r="K1274" s="15" t="s">
        <v>1452</v>
      </c>
      <c r="L1274" s="15"/>
      <c r="M1274" s="4"/>
      <c r="N1274" s="4"/>
    </row>
    <row r="1275" ht="13.5" hidden="1" customHeight="1">
      <c r="A1275" s="4" t="str">
        <f t="shared" si="1"/>
        <v>LFW-TRITON14XYG</v>
      </c>
      <c r="B1275" s="29" t="s">
        <v>889</v>
      </c>
      <c r="C1275" s="28" t="s">
        <v>890</v>
      </c>
      <c r="D1275" s="28" t="s">
        <v>22</v>
      </c>
      <c r="E1275" s="4" t="s">
        <v>16</v>
      </c>
      <c r="F1275" s="28" t="s">
        <v>125</v>
      </c>
      <c r="G1275" s="4"/>
      <c r="H1275" s="4">
        <f>SUMIFS(X!$F$5:$F$2005,X!$D$5:$D$2005,'CEK CICI'!A1275)</f>
        <v>0</v>
      </c>
      <c r="I1275" s="4">
        <f>SUMIFS(PENJUALAN!$E$4:$E$4288,PENJUALAN!$C$4:$C$4288,'CEK CICI'!A1275)</f>
        <v>0</v>
      </c>
      <c r="J1275" s="16">
        <f t="shared" si="2"/>
        <v>0</v>
      </c>
      <c r="K1275" s="4"/>
      <c r="L1275" s="4"/>
      <c r="M1275" s="4"/>
      <c r="N1275" s="4"/>
    </row>
    <row r="1276" ht="13.5" hidden="1" customHeight="1">
      <c r="A1276" s="4" t="str">
        <f t="shared" si="1"/>
        <v>TRW-TRITON14HXYG</v>
      </c>
      <c r="B1276" s="29" t="s">
        <v>891</v>
      </c>
      <c r="C1276" s="28" t="s">
        <v>890</v>
      </c>
      <c r="D1276" s="28" t="s">
        <v>41</v>
      </c>
      <c r="E1276" s="4" t="s">
        <v>16</v>
      </c>
      <c r="F1276" s="28" t="s">
        <v>67</v>
      </c>
      <c r="G1276" s="4"/>
      <c r="H1276" s="4">
        <f>SUMIFS(X!$F$5:$F$2005,X!$D$5:$D$2005,'CEK CICI'!A1276)</f>
        <v>2</v>
      </c>
      <c r="I1276" s="4">
        <f>SUMIFS(PENJUALAN!$E$4:$E$4288,PENJUALAN!$C$4:$C$4288,'CEK CICI'!A1276)</f>
        <v>1</v>
      </c>
      <c r="J1276" s="16">
        <f t="shared" si="2"/>
        <v>1</v>
      </c>
      <c r="K1276" s="15" t="s">
        <v>1452</v>
      </c>
      <c r="L1276" s="15"/>
      <c r="M1276" s="4"/>
      <c r="N1276" s="4"/>
    </row>
    <row r="1277" ht="13.5" hidden="1" customHeight="1">
      <c r="A1277" s="4" t="str">
        <f t="shared" si="1"/>
        <v>TRW-TRITON14XYG</v>
      </c>
      <c r="B1277" s="29" t="s">
        <v>1705</v>
      </c>
      <c r="C1277" s="28" t="s">
        <v>890</v>
      </c>
      <c r="D1277" s="28" t="s">
        <v>41</v>
      </c>
      <c r="E1277" s="4" t="s">
        <v>16</v>
      </c>
      <c r="F1277" s="28" t="s">
        <v>97</v>
      </c>
      <c r="G1277" s="4"/>
      <c r="H1277" s="4">
        <f>SUMIFS(X!$F$5:$F$2005,X!$D$5:$D$2005,'CEK CICI'!A1277)</f>
        <v>2</v>
      </c>
      <c r="I1277" s="4">
        <f>SUMIFS(PENJUALAN!$E$4:$E$4288,PENJUALAN!$C$4:$C$4288,'CEK CICI'!A1277)</f>
        <v>0</v>
      </c>
      <c r="J1277" s="16">
        <f t="shared" si="2"/>
        <v>2</v>
      </c>
      <c r="K1277" s="4"/>
      <c r="L1277" s="4"/>
      <c r="M1277" s="4"/>
      <c r="N1277" s="4"/>
    </row>
    <row r="1278" ht="13.5" hidden="1" customHeight="1">
      <c r="A1278" s="4" t="str">
        <f t="shared" si="1"/>
        <v>RDL-TRITON14XYG</v>
      </c>
      <c r="B1278" s="29" t="s">
        <v>892</v>
      </c>
      <c r="C1278" s="28" t="s">
        <v>890</v>
      </c>
      <c r="D1278" s="28" t="s">
        <v>132</v>
      </c>
      <c r="E1278" s="4" t="s">
        <v>16</v>
      </c>
      <c r="F1278" s="28" t="s">
        <v>397</v>
      </c>
      <c r="G1278" s="4"/>
      <c r="H1278" s="4">
        <f>SUMIFS(X!$F$5:$F$2005,X!$D$5:$D$2005,'CEK CICI'!A1278)</f>
        <v>0</v>
      </c>
      <c r="I1278" s="4">
        <f>SUMIFS(PENJUALAN!$E$4:$E$4288,PENJUALAN!$C$4:$C$4288,'CEK CICI'!A1278)</f>
        <v>0</v>
      </c>
      <c r="J1278" s="16">
        <f t="shared" si="2"/>
        <v>0</v>
      </c>
      <c r="K1278" s="4"/>
      <c r="L1278" s="4"/>
      <c r="M1278" s="4"/>
      <c r="N1278" s="4"/>
    </row>
    <row r="1279" ht="13.5" hidden="1" customHeight="1">
      <c r="A1279" s="4" t="str">
        <f t="shared" si="1"/>
        <v>RDR-TRITON14XYG</v>
      </c>
      <c r="B1279" s="29" t="s">
        <v>893</v>
      </c>
      <c r="C1279" s="28" t="s">
        <v>890</v>
      </c>
      <c r="D1279" s="28" t="s">
        <v>134</v>
      </c>
      <c r="E1279" s="4" t="s">
        <v>16</v>
      </c>
      <c r="F1279" s="28" t="s">
        <v>397</v>
      </c>
      <c r="G1279" s="4"/>
      <c r="H1279" s="4">
        <f>SUMIFS(X!$F$5:$F$2005,X!$D$5:$D$2005,'CEK CICI'!A1279)</f>
        <v>0</v>
      </c>
      <c r="I1279" s="4">
        <f>SUMIFS(PENJUALAN!$E$4:$E$4288,PENJUALAN!$C$4:$C$4288,'CEK CICI'!A1279)</f>
        <v>0</v>
      </c>
      <c r="J1279" s="16">
        <f t="shared" si="2"/>
        <v>0</v>
      </c>
      <c r="K1279" s="4"/>
      <c r="L1279" s="4"/>
      <c r="M1279" s="4"/>
      <c r="N1279" s="4"/>
    </row>
    <row r="1280" ht="13.5" hidden="1" customHeight="1">
      <c r="A1280" s="4" t="str">
        <f t="shared" si="1"/>
        <v>LFW-XPANDERXYG</v>
      </c>
      <c r="B1280" s="29" t="s">
        <v>1467</v>
      </c>
      <c r="C1280" s="28" t="s">
        <v>1706</v>
      </c>
      <c r="D1280" s="28" t="s">
        <v>22</v>
      </c>
      <c r="E1280" s="4" t="s">
        <v>16</v>
      </c>
      <c r="F1280" s="28" t="s">
        <v>125</v>
      </c>
      <c r="G1280" s="4"/>
      <c r="H1280" s="4">
        <f>SUMIFS(X!$F$5:$F$2005,X!$D$5:$D$2005,'CEK CICI'!A1280)</f>
        <v>5</v>
      </c>
      <c r="I1280" s="4">
        <f>SUMIFS(PENJUALAN!$E$4:$E$4288,PENJUALAN!$C$4:$C$4288,'CEK CICI'!A1280)</f>
        <v>5</v>
      </c>
      <c r="J1280" s="16">
        <f t="shared" si="2"/>
        <v>0</v>
      </c>
      <c r="K1280" s="4"/>
      <c r="L1280" s="4"/>
      <c r="M1280" s="4"/>
      <c r="N1280" s="4"/>
    </row>
    <row r="1281" ht="13.5" hidden="1" customHeight="1">
      <c r="A1281" s="4" t="str">
        <f t="shared" si="1"/>
        <v>TRW-XPANDERXYG</v>
      </c>
      <c r="B1281" s="29" t="s">
        <v>98</v>
      </c>
      <c r="C1281" s="28" t="s">
        <v>1628</v>
      </c>
      <c r="D1281" s="28" t="s">
        <v>41</v>
      </c>
      <c r="E1281" s="4" t="s">
        <v>16</v>
      </c>
      <c r="F1281" s="28" t="s">
        <v>533</v>
      </c>
      <c r="G1281" s="4"/>
      <c r="H1281" s="4">
        <f>SUMIFS(X!$F$5:$F$2005,X!$D$5:$D$2005,'CEK CICI'!A1281)</f>
        <v>9</v>
      </c>
      <c r="I1281" s="4">
        <f>SUMIFS(PENJUALAN!$E$4:$E$4288,PENJUALAN!$C$4:$C$4288,'CEK CICI'!A1281)</f>
        <v>8</v>
      </c>
      <c r="J1281" s="16">
        <f t="shared" si="2"/>
        <v>1</v>
      </c>
      <c r="K1281" s="15" t="s">
        <v>1452</v>
      </c>
      <c r="L1281" s="15"/>
      <c r="M1281" s="4"/>
      <c r="N1281" s="15"/>
    </row>
    <row r="1282" ht="13.5" hidden="1" customHeight="1">
      <c r="A1282" s="4" t="str">
        <f t="shared" si="1"/>
        <v>LFW-ALMERAXYG</v>
      </c>
      <c r="B1282" s="29" t="s">
        <v>1709</v>
      </c>
      <c r="C1282" s="28" t="s">
        <v>1710</v>
      </c>
      <c r="D1282" s="28" t="s">
        <v>22</v>
      </c>
      <c r="E1282" s="4" t="s">
        <v>16</v>
      </c>
      <c r="F1282" s="28" t="s">
        <v>125</v>
      </c>
      <c r="G1282" s="4"/>
      <c r="H1282" s="4">
        <f>SUMIFS(X!$F$5:$F$2005,X!$D$5:$D$2005,'CEK CICI'!A1282)</f>
        <v>0</v>
      </c>
      <c r="I1282" s="4">
        <f>SUMIFS(PENJUALAN!$E$4:$E$4288,PENJUALAN!$C$4:$C$4288,'CEK CICI'!A1282)</f>
        <v>0</v>
      </c>
      <c r="J1282" s="16">
        <f t="shared" si="2"/>
        <v>0</v>
      </c>
      <c r="K1282" s="4"/>
      <c r="L1282" s="4"/>
      <c r="M1282" s="4"/>
      <c r="N1282" s="4"/>
    </row>
    <row r="1283" ht="13.5" hidden="1" customHeight="1">
      <c r="A1283" s="4" t="str">
        <f t="shared" si="1"/>
        <v>LFW-ELGRAND02XYG</v>
      </c>
      <c r="B1283" s="29" t="s">
        <v>898</v>
      </c>
      <c r="C1283" s="28" t="s">
        <v>899</v>
      </c>
      <c r="D1283" s="28" t="s">
        <v>22</v>
      </c>
      <c r="E1283" s="4" t="s">
        <v>16</v>
      </c>
      <c r="F1283" s="28" t="s">
        <v>97</v>
      </c>
      <c r="G1283" s="4"/>
      <c r="H1283" s="4">
        <f>SUMIFS(X!$F$5:$F$2005,X!$D$5:$D$2005,'CEK CICI'!A1283)</f>
        <v>0</v>
      </c>
      <c r="I1283" s="4">
        <f>SUMIFS(PENJUALAN!$E$4:$E$4288,PENJUALAN!$C$4:$C$4288,'CEK CICI'!A1283)</f>
        <v>0</v>
      </c>
      <c r="J1283" s="16">
        <f t="shared" si="2"/>
        <v>0</v>
      </c>
      <c r="K1283" s="4"/>
      <c r="L1283" s="4"/>
      <c r="M1283" s="4"/>
      <c r="N1283" s="4"/>
    </row>
    <row r="1284" ht="13.5" hidden="1" customHeight="1">
      <c r="A1284" s="4" t="str">
        <f t="shared" si="1"/>
        <v>TRW-ELGRAND02XYG</v>
      </c>
      <c r="B1284" s="29" t="s">
        <v>900</v>
      </c>
      <c r="C1284" s="28" t="s">
        <v>899</v>
      </c>
      <c r="D1284" s="28" t="s">
        <v>41</v>
      </c>
      <c r="E1284" s="4" t="s">
        <v>16</v>
      </c>
      <c r="F1284" s="28" t="s">
        <v>67</v>
      </c>
      <c r="G1284" s="4"/>
      <c r="H1284" s="4">
        <f>SUMIFS(X!$F$5:$F$2005,X!$D$5:$D$2005,'CEK CICI'!A1284)</f>
        <v>1</v>
      </c>
      <c r="I1284" s="4">
        <f>SUMIFS(PENJUALAN!$E$4:$E$4288,PENJUALAN!$C$4:$C$4288,'CEK CICI'!A1284)</f>
        <v>1</v>
      </c>
      <c r="J1284" s="16">
        <f t="shared" si="2"/>
        <v>0</v>
      </c>
      <c r="K1284" s="4"/>
      <c r="L1284" s="4"/>
      <c r="M1284" s="4"/>
      <c r="N1284" s="4"/>
    </row>
    <row r="1285" ht="13.5" hidden="1" customHeight="1">
      <c r="A1285" s="4" t="str">
        <f t="shared" si="1"/>
        <v>LFW-EVALIAXYG</v>
      </c>
      <c r="B1285" s="29" t="s">
        <v>919</v>
      </c>
      <c r="C1285" s="28" t="s">
        <v>920</v>
      </c>
      <c r="D1285" s="28" t="s">
        <v>22</v>
      </c>
      <c r="E1285" s="4" t="s">
        <v>16</v>
      </c>
      <c r="F1285" s="28" t="s">
        <v>97</v>
      </c>
      <c r="G1285" s="4"/>
      <c r="H1285" s="4">
        <f>SUMIFS(X!$F$5:$F$2005,X!$D$5:$D$2005,'CEK CICI'!A1285)</f>
        <v>2</v>
      </c>
      <c r="I1285" s="4">
        <f>SUMIFS(PENJUALAN!$E$4:$E$4288,PENJUALAN!$C$4:$C$4288,'CEK CICI'!A1285)</f>
        <v>1</v>
      </c>
      <c r="J1285" s="16">
        <f t="shared" si="2"/>
        <v>1</v>
      </c>
      <c r="K1285" s="15" t="s">
        <v>1544</v>
      </c>
      <c r="L1285" s="15"/>
      <c r="M1285" s="4"/>
      <c r="N1285" s="4"/>
    </row>
    <row r="1286" ht="13.5" hidden="1" customHeight="1">
      <c r="A1286" s="4" t="str">
        <f t="shared" si="1"/>
        <v>TRW-EVALIAXYG</v>
      </c>
      <c r="B1286" s="29" t="s">
        <v>1632</v>
      </c>
      <c r="C1286" s="28" t="s">
        <v>920</v>
      </c>
      <c r="D1286" s="28" t="s">
        <v>41</v>
      </c>
      <c r="E1286" s="4" t="s">
        <v>16</v>
      </c>
      <c r="F1286" s="28" t="s">
        <v>67</v>
      </c>
      <c r="G1286" s="4"/>
      <c r="H1286" s="4">
        <f>SUMIFS(X!$F$5:$F$2005,X!$D$5:$D$2005,'CEK CICI'!A1286)</f>
        <v>4</v>
      </c>
      <c r="I1286" s="4">
        <f>SUMIFS(PENJUALAN!$E$4:$E$4288,PENJUALAN!$C$4:$C$4288,'CEK CICI'!A1286)</f>
        <v>3</v>
      </c>
      <c r="J1286" s="16">
        <f t="shared" si="2"/>
        <v>1</v>
      </c>
      <c r="K1286" s="15" t="s">
        <v>1456</v>
      </c>
      <c r="L1286" s="15"/>
      <c r="M1286" s="4"/>
      <c r="N1286" s="4"/>
    </row>
    <row r="1287" ht="13.5" hidden="1" customHeight="1">
      <c r="A1287" s="4" t="str">
        <f t="shared" si="1"/>
        <v>LFW-NAVARA04XYG</v>
      </c>
      <c r="B1287" s="29" t="s">
        <v>924</v>
      </c>
      <c r="C1287" s="28" t="s">
        <v>925</v>
      </c>
      <c r="D1287" s="28" t="s">
        <v>22</v>
      </c>
      <c r="E1287" s="4" t="s">
        <v>16</v>
      </c>
      <c r="F1287" s="28" t="s">
        <v>125</v>
      </c>
      <c r="G1287" s="4"/>
      <c r="H1287" s="4">
        <f>SUMIFS(X!$F$5:$F$2005,X!$D$5:$D$2005,'CEK CICI'!A1287)</f>
        <v>0</v>
      </c>
      <c r="I1287" s="4">
        <f>SUMIFS(PENJUALAN!$E$4:$E$4288,PENJUALAN!$C$4:$C$4288,'CEK CICI'!A1287)</f>
        <v>0</v>
      </c>
      <c r="J1287" s="16">
        <f t="shared" si="2"/>
        <v>0</v>
      </c>
      <c r="K1287" s="4"/>
      <c r="L1287" s="4"/>
      <c r="M1287" s="4"/>
      <c r="N1287" s="4"/>
    </row>
    <row r="1288" ht="13.5" hidden="1" customHeight="1">
      <c r="A1288" s="4" t="str">
        <f t="shared" si="1"/>
        <v>TRW-NAVARA04XYG</v>
      </c>
      <c r="B1288" s="29" t="s">
        <v>926</v>
      </c>
      <c r="C1288" s="28" t="s">
        <v>925</v>
      </c>
      <c r="D1288" s="28" t="s">
        <v>41</v>
      </c>
      <c r="E1288" s="4" t="s">
        <v>16</v>
      </c>
      <c r="F1288" s="28" t="s">
        <v>67</v>
      </c>
      <c r="G1288" s="4"/>
      <c r="H1288" s="4">
        <f>SUMIFS(X!$F$5:$F$2005,X!$D$5:$D$2005,'CEK CICI'!A1288)</f>
        <v>3</v>
      </c>
      <c r="I1288" s="4">
        <f>SUMIFS(PENJUALAN!$E$4:$E$4288,PENJUALAN!$C$4:$C$4288,'CEK CICI'!A1288)</f>
        <v>2</v>
      </c>
      <c r="J1288" s="16">
        <f t="shared" si="2"/>
        <v>1</v>
      </c>
      <c r="K1288" s="15" t="s">
        <v>43</v>
      </c>
      <c r="L1288" s="15"/>
      <c r="M1288" s="4"/>
      <c r="N1288" s="4"/>
    </row>
    <row r="1289" ht="13.5" hidden="1" customHeight="1">
      <c r="A1289" s="4" t="str">
        <f t="shared" si="1"/>
        <v>LFW-JUKEXYG</v>
      </c>
      <c r="B1289" s="29" t="s">
        <v>927</v>
      </c>
      <c r="C1289" s="28" t="s">
        <v>928</v>
      </c>
      <c r="D1289" s="28" t="s">
        <v>22</v>
      </c>
      <c r="E1289" s="4" t="s">
        <v>16</v>
      </c>
      <c r="F1289" s="28" t="s">
        <v>125</v>
      </c>
      <c r="G1289" s="4"/>
      <c r="H1289" s="4">
        <f>SUMIFS(X!$F$5:$F$2005,X!$D$5:$D$2005,'CEK CICI'!A1289)</f>
        <v>2</v>
      </c>
      <c r="I1289" s="4">
        <f>SUMIFS(PENJUALAN!$E$4:$E$4288,PENJUALAN!$C$4:$C$4288,'CEK CICI'!A1289)</f>
        <v>2</v>
      </c>
      <c r="J1289" s="16">
        <f t="shared" si="2"/>
        <v>0</v>
      </c>
      <c r="K1289" s="15" t="s">
        <v>1714</v>
      </c>
      <c r="L1289" s="15"/>
      <c r="M1289" s="4"/>
      <c r="N1289" s="4"/>
    </row>
    <row r="1290" ht="13.5" hidden="1" customHeight="1">
      <c r="A1290" s="4" t="str">
        <f t="shared" si="1"/>
        <v>TRW-JUKEXYG</v>
      </c>
      <c r="B1290" s="29" t="s">
        <v>929</v>
      </c>
      <c r="C1290" s="28" t="s">
        <v>928</v>
      </c>
      <c r="D1290" s="28" t="s">
        <v>41</v>
      </c>
      <c r="E1290" s="4" t="s">
        <v>16</v>
      </c>
      <c r="F1290" s="28" t="s">
        <v>221</v>
      </c>
      <c r="G1290" s="4"/>
      <c r="H1290" s="4">
        <f>SUMIFS(X!$F$5:$F$2005,X!$D$5:$D$2005,'CEK CICI'!A1290)</f>
        <v>2</v>
      </c>
      <c r="I1290" s="4">
        <f>SUMIFS(PENJUALAN!$E$4:$E$4288,PENJUALAN!$C$4:$C$4288,'CEK CICI'!A1290)</f>
        <v>1</v>
      </c>
      <c r="J1290" s="16">
        <f t="shared" si="2"/>
        <v>1</v>
      </c>
      <c r="K1290" s="4"/>
      <c r="L1290" s="4"/>
      <c r="M1290" s="4"/>
      <c r="N1290" s="4"/>
    </row>
    <row r="1291" ht="13.5" hidden="1" customHeight="1">
      <c r="A1291" s="4" t="str">
        <f t="shared" si="1"/>
        <v>LFW-LIVINA07XYG</v>
      </c>
      <c r="B1291" s="29" t="s">
        <v>934</v>
      </c>
      <c r="C1291" s="28" t="s">
        <v>935</v>
      </c>
      <c r="D1291" s="28" t="s">
        <v>22</v>
      </c>
      <c r="E1291" s="4" t="s">
        <v>16</v>
      </c>
      <c r="F1291" s="28" t="s">
        <v>1715</v>
      </c>
      <c r="G1291" s="4"/>
      <c r="H1291" s="4">
        <f>SUMIFS(X!$F$5:$F$2005,X!$D$5:$D$2005,'CEK CICI'!A1291)</f>
        <v>13</v>
      </c>
      <c r="I1291" s="4">
        <f>SUMIFS(PENJUALAN!$E$4:$E$4288,PENJUALAN!$C$4:$C$4288,'CEK CICI'!A1291)</f>
        <v>11</v>
      </c>
      <c r="J1291" s="16">
        <f t="shared" si="2"/>
        <v>2</v>
      </c>
      <c r="K1291" s="15" t="s">
        <v>1716</v>
      </c>
      <c r="L1291" s="15"/>
      <c r="M1291" s="5">
        <v>1.0</v>
      </c>
      <c r="N1291" s="4"/>
    </row>
    <row r="1292" ht="13.5" customHeight="1">
      <c r="A1292" s="4" t="str">
        <f t="shared" si="1"/>
        <v>TRW-LIVINA07XYG</v>
      </c>
      <c r="B1292" s="29" t="s">
        <v>936</v>
      </c>
      <c r="C1292" s="28" t="s">
        <v>937</v>
      </c>
      <c r="D1292" s="28" t="s">
        <v>41</v>
      </c>
      <c r="E1292" s="4" t="s">
        <v>16</v>
      </c>
      <c r="F1292" s="28" t="s">
        <v>67</v>
      </c>
      <c r="G1292" s="15">
        <v>3.0</v>
      </c>
      <c r="H1292" s="4">
        <f>SUMIFS(X!$F$5:$F$2005,X!$D$5:$D$2005,'CEK CICI'!A1292)</f>
        <v>11</v>
      </c>
      <c r="I1292" s="4">
        <f>SUMIFS(PENJUALAN!$E$4:$E$4288,PENJUALAN!$C$4:$C$4288,'CEK CICI'!A1292)</f>
        <v>10</v>
      </c>
      <c r="J1292" s="16">
        <f t="shared" si="2"/>
        <v>1</v>
      </c>
      <c r="K1292" s="15" t="s">
        <v>101</v>
      </c>
      <c r="L1292" s="15"/>
      <c r="M1292" s="5">
        <v>2.0</v>
      </c>
      <c r="N1292" s="15"/>
    </row>
    <row r="1293" ht="13.5" hidden="1" customHeight="1">
      <c r="A1293" s="4" t="str">
        <f t="shared" si="1"/>
        <v>TRW-LIVINA13XYG</v>
      </c>
      <c r="B1293" s="29" t="s">
        <v>1650</v>
      </c>
      <c r="C1293" s="28" t="s">
        <v>1651</v>
      </c>
      <c r="D1293" s="28" t="s">
        <v>41</v>
      </c>
      <c r="E1293" s="4" t="s">
        <v>16</v>
      </c>
      <c r="F1293" s="28" t="s">
        <v>67</v>
      </c>
      <c r="G1293" s="4"/>
      <c r="H1293" s="4">
        <f>SUMIFS(X!$F$5:$F$2005,X!$D$5:$D$2005,'CEK CICI'!A1293)</f>
        <v>7</v>
      </c>
      <c r="I1293" s="4">
        <f>SUMIFS(PENJUALAN!$E$4:$E$4288,PENJUALAN!$C$4:$C$4288,'CEK CICI'!A1293)</f>
        <v>5</v>
      </c>
      <c r="J1293" s="16">
        <f t="shared" si="2"/>
        <v>2</v>
      </c>
      <c r="K1293" s="15" t="s">
        <v>1567</v>
      </c>
      <c r="L1293" s="15"/>
      <c r="M1293" s="5">
        <v>2.0</v>
      </c>
      <c r="N1293" s="4"/>
    </row>
    <row r="1294" ht="13.5" hidden="1" customHeight="1">
      <c r="A1294" s="4" t="str">
        <f t="shared" si="1"/>
        <v>SWL-LIVINAXYG</v>
      </c>
      <c r="B1294" s="29" t="s">
        <v>11496</v>
      </c>
      <c r="C1294" s="28" t="s">
        <v>11497</v>
      </c>
      <c r="D1294" s="28" t="s">
        <v>202</v>
      </c>
      <c r="E1294" s="4" t="s">
        <v>16</v>
      </c>
      <c r="F1294" s="28" t="s">
        <v>97</v>
      </c>
      <c r="G1294" s="4"/>
      <c r="H1294" s="4">
        <f>SUMIFS(X!$F$5:$F$2005,X!$D$5:$D$2005,'CEK CICI'!A1294)</f>
        <v>0</v>
      </c>
      <c r="I1294" s="4">
        <f>SUMIFS(PENJUALAN!$E$4:$E$4288,PENJUALAN!$C$4:$C$4288,'CEK CICI'!A1294)</f>
        <v>0</v>
      </c>
      <c r="J1294" s="16">
        <f t="shared" si="2"/>
        <v>0</v>
      </c>
      <c r="K1294" s="4"/>
      <c r="L1294" s="4"/>
      <c r="M1294" s="4"/>
      <c r="N1294" s="4"/>
    </row>
    <row r="1295" ht="13.5" hidden="1" customHeight="1">
      <c r="A1295" s="4" t="str">
        <f t="shared" si="1"/>
        <v>SWR-LIVINAXYG</v>
      </c>
      <c r="B1295" s="29" t="s">
        <v>11498</v>
      </c>
      <c r="C1295" s="28" t="s">
        <v>11497</v>
      </c>
      <c r="D1295" s="28" t="s">
        <v>236</v>
      </c>
      <c r="E1295" s="4" t="s">
        <v>16</v>
      </c>
      <c r="F1295" s="28" t="s">
        <v>97</v>
      </c>
      <c r="G1295" s="4"/>
      <c r="H1295" s="4">
        <f>SUMIFS(X!$F$5:$F$2005,X!$D$5:$D$2005,'CEK CICI'!A1295)</f>
        <v>0</v>
      </c>
      <c r="I1295" s="4">
        <f>SUMIFS(PENJUALAN!$E$4:$E$4288,PENJUALAN!$C$4:$C$4288,'CEK CICI'!A1295)</f>
        <v>0</v>
      </c>
      <c r="J1295" s="16">
        <f t="shared" si="2"/>
        <v>0</v>
      </c>
      <c r="K1295" s="4"/>
      <c r="L1295" s="4"/>
      <c r="M1295" s="4"/>
      <c r="N1295" s="4"/>
    </row>
    <row r="1296" ht="13.5" hidden="1" customHeight="1">
      <c r="A1296" s="4" t="str">
        <f t="shared" si="1"/>
        <v>LFW-MARCHXYG</v>
      </c>
      <c r="B1296" s="29" t="s">
        <v>939</v>
      </c>
      <c r="C1296" s="28" t="s">
        <v>940</v>
      </c>
      <c r="D1296" s="28" t="s">
        <v>22</v>
      </c>
      <c r="E1296" s="4" t="s">
        <v>16</v>
      </c>
      <c r="F1296" s="28" t="s">
        <v>125</v>
      </c>
      <c r="G1296" s="4"/>
      <c r="H1296" s="4">
        <f>SUMIFS(X!$F$5:$F$2005,X!$D$5:$D$2005,'CEK CICI'!A1296)</f>
        <v>5</v>
      </c>
      <c r="I1296" s="4">
        <f>SUMIFS(PENJUALAN!$E$4:$E$4288,PENJUALAN!$C$4:$C$4288,'CEK CICI'!A1296)</f>
        <v>4</v>
      </c>
      <c r="J1296" s="16">
        <f t="shared" si="2"/>
        <v>1</v>
      </c>
      <c r="K1296" s="6" t="s">
        <v>1544</v>
      </c>
      <c r="L1296" s="6"/>
      <c r="M1296" s="4"/>
      <c r="N1296" s="4"/>
    </row>
    <row r="1297" ht="13.5" hidden="1" customHeight="1">
      <c r="A1297" s="4" t="str">
        <f t="shared" si="1"/>
        <v>TRW-MARCHXYG</v>
      </c>
      <c r="B1297" s="29" t="s">
        <v>941</v>
      </c>
      <c r="C1297" s="28" t="s">
        <v>940</v>
      </c>
      <c r="D1297" s="28" t="s">
        <v>41</v>
      </c>
      <c r="E1297" s="4" t="s">
        <v>16</v>
      </c>
      <c r="F1297" s="28" t="s">
        <v>67</v>
      </c>
      <c r="G1297" s="4"/>
      <c r="H1297" s="4">
        <f>SUMIFS(X!$F$5:$F$2005,X!$D$5:$D$2005,'CEK CICI'!A1297)</f>
        <v>1</v>
      </c>
      <c r="I1297" s="4">
        <f>SUMIFS(PENJUALAN!$E$4:$E$4288,PENJUALAN!$C$4:$C$4288,'CEK CICI'!A1297)</f>
        <v>0</v>
      </c>
      <c r="J1297" s="16">
        <f t="shared" si="2"/>
        <v>1</v>
      </c>
      <c r="K1297" s="4"/>
      <c r="L1297" s="4"/>
      <c r="M1297" s="4"/>
      <c r="N1297" s="4"/>
    </row>
    <row r="1298" ht="13.5" hidden="1" customHeight="1">
      <c r="A1298" s="4" t="str">
        <f t="shared" si="1"/>
        <v>LFW-MURANO02XYG</v>
      </c>
      <c r="B1298" s="29" t="s">
        <v>946</v>
      </c>
      <c r="C1298" s="28" t="s">
        <v>947</v>
      </c>
      <c r="D1298" s="28" t="s">
        <v>22</v>
      </c>
      <c r="E1298" s="4" t="s">
        <v>16</v>
      </c>
      <c r="F1298" s="28" t="s">
        <v>125</v>
      </c>
      <c r="G1298" s="4"/>
      <c r="H1298" s="4">
        <f>SUMIFS(X!$F$5:$F$2005,X!$D$5:$D$2005,'CEK CICI'!A1298)</f>
        <v>0</v>
      </c>
      <c r="I1298" s="4">
        <f>SUMIFS(PENJUALAN!$E$4:$E$4288,PENJUALAN!$C$4:$C$4288,'CEK CICI'!A1298)</f>
        <v>0</v>
      </c>
      <c r="J1298" s="16">
        <f t="shared" si="2"/>
        <v>0</v>
      </c>
      <c r="K1298" s="4"/>
      <c r="L1298" s="4"/>
      <c r="M1298" s="4"/>
      <c r="N1298" s="4"/>
    </row>
    <row r="1299" ht="13.5" hidden="1" customHeight="1">
      <c r="A1299" s="4" t="str">
        <f t="shared" si="1"/>
        <v>LFW-MURANO08XYG</v>
      </c>
      <c r="B1299" s="29" t="s">
        <v>949</v>
      </c>
      <c r="C1299" s="28" t="s">
        <v>950</v>
      </c>
      <c r="D1299" s="28" t="s">
        <v>22</v>
      </c>
      <c r="E1299" s="4" t="s">
        <v>16</v>
      </c>
      <c r="F1299" s="28" t="s">
        <v>125</v>
      </c>
      <c r="G1299" s="4"/>
      <c r="H1299" s="4">
        <f>SUMIFS(X!$F$5:$F$2005,X!$D$5:$D$2005,'CEK CICI'!A1299)</f>
        <v>0</v>
      </c>
      <c r="I1299" s="4">
        <f>SUMIFS(PENJUALAN!$E$4:$E$4288,PENJUALAN!$C$4:$C$4288,'CEK CICI'!A1299)</f>
        <v>0</v>
      </c>
      <c r="J1299" s="16">
        <f t="shared" si="2"/>
        <v>0</v>
      </c>
      <c r="K1299" s="4"/>
      <c r="L1299" s="4"/>
      <c r="M1299" s="4"/>
      <c r="N1299" s="4"/>
    </row>
    <row r="1300" ht="13.5" hidden="1" customHeight="1">
      <c r="A1300" s="4" t="str">
        <f t="shared" si="1"/>
        <v>LFW-NAVARA15XYG</v>
      </c>
      <c r="B1300" s="29" t="s">
        <v>954</v>
      </c>
      <c r="C1300" s="28" t="s">
        <v>955</v>
      </c>
      <c r="D1300" s="28" t="s">
        <v>22</v>
      </c>
      <c r="E1300" s="4" t="s">
        <v>16</v>
      </c>
      <c r="F1300" s="28" t="s">
        <v>125</v>
      </c>
      <c r="G1300" s="4"/>
      <c r="H1300" s="4">
        <f>SUMIFS(X!$F$5:$F$2005,X!$D$5:$D$2005,'CEK CICI'!A1300)</f>
        <v>0</v>
      </c>
      <c r="I1300" s="4">
        <f>SUMIFS(PENJUALAN!$E$4:$E$4288,PENJUALAN!$C$4:$C$4288,'CEK CICI'!A1300)</f>
        <v>0</v>
      </c>
      <c r="J1300" s="16">
        <f t="shared" si="2"/>
        <v>0</v>
      </c>
      <c r="K1300" s="4"/>
      <c r="L1300" s="4"/>
      <c r="M1300" s="4"/>
      <c r="N1300" s="4"/>
    </row>
    <row r="1301" ht="13.5" hidden="1" customHeight="1">
      <c r="A1301" s="4" t="str">
        <f t="shared" si="1"/>
        <v>TRW-NAVARA15XYG</v>
      </c>
      <c r="B1301" s="29" t="s">
        <v>956</v>
      </c>
      <c r="C1301" s="28" t="s">
        <v>955</v>
      </c>
      <c r="D1301" s="28" t="s">
        <v>41</v>
      </c>
      <c r="E1301" s="4" t="s">
        <v>16</v>
      </c>
      <c r="F1301" s="28" t="s">
        <v>67</v>
      </c>
      <c r="G1301" s="4"/>
      <c r="H1301" s="4">
        <f>SUMIFS(X!$F$5:$F$2005,X!$D$5:$D$2005,'CEK CICI'!A1301)</f>
        <v>0</v>
      </c>
      <c r="I1301" s="4">
        <f>SUMIFS(PENJUALAN!$E$4:$E$4288,PENJUALAN!$C$4:$C$4288,'CEK CICI'!A1301)</f>
        <v>0</v>
      </c>
      <c r="J1301" s="16">
        <f t="shared" si="2"/>
        <v>0</v>
      </c>
      <c r="K1301" s="4"/>
      <c r="L1301" s="4"/>
      <c r="M1301" s="4"/>
      <c r="N1301" s="4"/>
    </row>
    <row r="1302" ht="13.5" hidden="1" customHeight="1">
      <c r="A1302" s="4" t="str">
        <f t="shared" si="1"/>
        <v>FDL-NAVARA15XYG</v>
      </c>
      <c r="B1302" s="29" t="s">
        <v>957</v>
      </c>
      <c r="C1302" s="28" t="s">
        <v>955</v>
      </c>
      <c r="D1302" s="28" t="s">
        <v>128</v>
      </c>
      <c r="E1302" s="4" t="s">
        <v>16</v>
      </c>
      <c r="F1302" s="28"/>
      <c r="G1302" s="4"/>
      <c r="H1302" s="4">
        <f>SUMIFS(X!$F$5:$F$2005,X!$D$5:$D$2005,'CEK CICI'!A1302)</f>
        <v>1</v>
      </c>
      <c r="I1302" s="4">
        <f>SUMIFS(PENJUALAN!$E$4:$E$4288,PENJUALAN!$C$4:$C$4288,'CEK CICI'!A1302)</f>
        <v>1</v>
      </c>
      <c r="J1302" s="16">
        <f t="shared" si="2"/>
        <v>0</v>
      </c>
      <c r="K1302" s="4"/>
      <c r="L1302" s="4"/>
      <c r="M1302" s="4"/>
      <c r="N1302" s="4"/>
    </row>
    <row r="1303" ht="13.5" hidden="1" customHeight="1">
      <c r="A1303" s="4" t="str">
        <f t="shared" si="1"/>
        <v>FDR-NAVARA15XYG</v>
      </c>
      <c r="B1303" s="29" t="s">
        <v>958</v>
      </c>
      <c r="C1303" s="28" t="s">
        <v>955</v>
      </c>
      <c r="D1303" s="28" t="s">
        <v>130</v>
      </c>
      <c r="E1303" s="4" t="s">
        <v>16</v>
      </c>
      <c r="F1303" s="28"/>
      <c r="G1303" s="4"/>
      <c r="H1303" s="4">
        <f>SUMIFS(X!$F$5:$F$2005,X!$D$5:$D$2005,'CEK CICI'!A1303)</f>
        <v>0</v>
      </c>
      <c r="I1303" s="4">
        <f>SUMIFS(PENJUALAN!$E$4:$E$4288,PENJUALAN!$C$4:$C$4288,'CEK CICI'!A1303)</f>
        <v>0</v>
      </c>
      <c r="J1303" s="16">
        <f t="shared" si="2"/>
        <v>0</v>
      </c>
      <c r="K1303" s="4"/>
      <c r="L1303" s="4"/>
      <c r="M1303" s="4"/>
      <c r="N1303" s="4"/>
    </row>
    <row r="1304" ht="13.5" hidden="1" customHeight="1">
      <c r="A1304" s="4" t="str">
        <f t="shared" si="1"/>
        <v>LFW-C24XYG</v>
      </c>
      <c r="B1304" s="29" t="s">
        <v>963</v>
      </c>
      <c r="C1304" s="28" t="s">
        <v>964</v>
      </c>
      <c r="D1304" s="28" t="s">
        <v>22</v>
      </c>
      <c r="E1304" s="4" t="s">
        <v>16</v>
      </c>
      <c r="F1304" s="28" t="s">
        <v>97</v>
      </c>
      <c r="G1304" s="4"/>
      <c r="H1304" s="4">
        <f>SUMIFS(X!$F$5:$F$2005,X!$D$5:$D$2005,'CEK CICI'!A1304)</f>
        <v>0</v>
      </c>
      <c r="I1304" s="4">
        <f>SUMIFS(PENJUALAN!$E$4:$E$4288,PENJUALAN!$C$4:$C$4288,'CEK CICI'!A1304)</f>
        <v>0</v>
      </c>
      <c r="J1304" s="16">
        <f t="shared" si="2"/>
        <v>0</v>
      </c>
      <c r="K1304" s="4"/>
      <c r="L1304" s="4"/>
      <c r="M1304" s="4"/>
      <c r="N1304" s="4"/>
    </row>
    <row r="1305" ht="13.5" customHeight="1">
      <c r="A1305" s="4" t="str">
        <f t="shared" si="1"/>
        <v>TRW-C24XYG</v>
      </c>
      <c r="B1305" s="29" t="s">
        <v>965</v>
      </c>
      <c r="C1305" s="28" t="s">
        <v>964</v>
      </c>
      <c r="D1305" s="28" t="s">
        <v>41</v>
      </c>
      <c r="E1305" s="4" t="s">
        <v>16</v>
      </c>
      <c r="F1305" s="28" t="s">
        <v>67</v>
      </c>
      <c r="G1305" s="15">
        <v>1.0</v>
      </c>
      <c r="H1305" s="4">
        <f>SUMIFS(X!$F$5:$F$2005,X!$D$5:$D$2005,'CEK CICI'!A1305)</f>
        <v>1</v>
      </c>
      <c r="I1305" s="4">
        <f>SUMIFS(PENJUALAN!$E$4:$E$4288,PENJUALAN!$C$4:$C$4288,'CEK CICI'!A1305)</f>
        <v>1</v>
      </c>
      <c r="J1305" s="16">
        <f t="shared" si="2"/>
        <v>0</v>
      </c>
      <c r="K1305" s="4"/>
      <c r="L1305" s="4"/>
      <c r="M1305" s="4"/>
      <c r="N1305" s="4"/>
    </row>
    <row r="1306" ht="13.5" hidden="1" customHeight="1">
      <c r="A1306" s="4" t="str">
        <f t="shared" si="1"/>
        <v>SWL-C24XYG</v>
      </c>
      <c r="B1306" s="29" t="s">
        <v>1724</v>
      </c>
      <c r="C1306" s="28" t="s">
        <v>964</v>
      </c>
      <c r="D1306" s="30" t="s">
        <v>202</v>
      </c>
      <c r="E1306" s="4" t="s">
        <v>16</v>
      </c>
      <c r="F1306" s="28" t="s">
        <v>97</v>
      </c>
      <c r="G1306" s="4"/>
      <c r="H1306" s="4">
        <f>SUMIFS(X!$F$5:$F$2005,X!$D$5:$D$2005,'CEK CICI'!A1306)</f>
        <v>0</v>
      </c>
      <c r="I1306" s="4">
        <f>SUMIFS(PENJUALAN!$E$4:$E$4288,PENJUALAN!$C$4:$C$4288,'CEK CICI'!A1306)</f>
        <v>0</v>
      </c>
      <c r="J1306" s="16">
        <f t="shared" si="2"/>
        <v>0</v>
      </c>
      <c r="K1306" s="4"/>
      <c r="L1306" s="4"/>
      <c r="M1306" s="4"/>
      <c r="N1306" s="4"/>
    </row>
    <row r="1307" ht="13.5" hidden="1" customHeight="1">
      <c r="A1307" s="4" t="str">
        <f t="shared" si="1"/>
        <v>SWR-C24XYG</v>
      </c>
      <c r="B1307" s="29" t="s">
        <v>1725</v>
      </c>
      <c r="C1307" s="28" t="s">
        <v>964</v>
      </c>
      <c r="D1307" s="30" t="s">
        <v>236</v>
      </c>
      <c r="E1307" s="4" t="s">
        <v>16</v>
      </c>
      <c r="F1307" s="28" t="s">
        <v>97</v>
      </c>
      <c r="G1307" s="4"/>
      <c r="H1307" s="4">
        <f>SUMIFS(X!$F$5:$F$2005,X!$D$5:$D$2005,'CEK CICI'!A1307)</f>
        <v>0</v>
      </c>
      <c r="I1307" s="4">
        <f>SUMIFS(PENJUALAN!$E$4:$E$4288,PENJUALAN!$C$4:$C$4288,'CEK CICI'!A1307)</f>
        <v>0</v>
      </c>
      <c r="J1307" s="16">
        <f t="shared" si="2"/>
        <v>0</v>
      </c>
      <c r="K1307" s="4"/>
      <c r="L1307" s="4"/>
      <c r="M1307" s="4"/>
      <c r="N1307" s="4"/>
    </row>
    <row r="1308" ht="13.5" hidden="1" customHeight="1">
      <c r="A1308" s="4" t="str">
        <f t="shared" si="1"/>
        <v>LFW-C25XYG</v>
      </c>
      <c r="B1308" s="29" t="s">
        <v>966</v>
      </c>
      <c r="C1308" s="28" t="s">
        <v>967</v>
      </c>
      <c r="D1308" s="28" t="s">
        <v>22</v>
      </c>
      <c r="E1308" s="4" t="s">
        <v>16</v>
      </c>
      <c r="F1308" s="28" t="s">
        <v>737</v>
      </c>
      <c r="G1308" s="4"/>
      <c r="H1308" s="4">
        <f>SUMIFS(X!$F$5:$F$2005,X!$D$5:$D$2005,'CEK CICI'!A1308)</f>
        <v>0</v>
      </c>
      <c r="I1308" s="4">
        <f>SUMIFS(PENJUALAN!$E$4:$E$4288,PENJUALAN!$C$4:$C$4288,'CEK CICI'!A1308)</f>
        <v>0</v>
      </c>
      <c r="J1308" s="16">
        <f t="shared" si="2"/>
        <v>0</v>
      </c>
      <c r="K1308" s="4"/>
      <c r="L1308" s="4"/>
      <c r="M1308" s="4"/>
      <c r="N1308" s="4"/>
    </row>
    <row r="1309" ht="13.5" hidden="1" customHeight="1">
      <c r="A1309" s="4" t="str">
        <f t="shared" si="1"/>
        <v>TRW-C25XYG</v>
      </c>
      <c r="B1309" s="29" t="s">
        <v>968</v>
      </c>
      <c r="C1309" s="28" t="s">
        <v>967</v>
      </c>
      <c r="D1309" s="28" t="s">
        <v>41</v>
      </c>
      <c r="E1309" s="4" t="s">
        <v>16</v>
      </c>
      <c r="F1309" s="28" t="s">
        <v>221</v>
      </c>
      <c r="G1309" s="4"/>
      <c r="H1309" s="4">
        <f>SUMIFS(X!$F$5:$F$2005,X!$D$5:$D$2005,'CEK CICI'!A1309)</f>
        <v>0</v>
      </c>
      <c r="I1309" s="4">
        <f>SUMIFS(PENJUALAN!$E$4:$E$4288,PENJUALAN!$C$4:$C$4288,'CEK CICI'!A1309)</f>
        <v>0</v>
      </c>
      <c r="J1309" s="16">
        <f t="shared" si="2"/>
        <v>0</v>
      </c>
      <c r="K1309" s="4"/>
      <c r="L1309" s="4"/>
      <c r="M1309" s="4"/>
      <c r="N1309" s="4"/>
    </row>
    <row r="1310" ht="13.5" hidden="1" customHeight="1">
      <c r="A1310" s="4" t="str">
        <f t="shared" si="1"/>
        <v>LFW-C26XYG</v>
      </c>
      <c r="B1310" s="29" t="s">
        <v>973</v>
      </c>
      <c r="C1310" s="28" t="s">
        <v>974</v>
      </c>
      <c r="D1310" s="28" t="s">
        <v>22</v>
      </c>
      <c r="E1310" s="4" t="s">
        <v>16</v>
      </c>
      <c r="F1310" s="28" t="s">
        <v>125</v>
      </c>
      <c r="G1310" s="4"/>
      <c r="H1310" s="4">
        <f>SUMIFS(X!$F$5:$F$2005,X!$D$5:$D$2005,'CEK CICI'!A1310)</f>
        <v>3</v>
      </c>
      <c r="I1310" s="4">
        <f>SUMIFS(PENJUALAN!$E$4:$E$4288,PENJUALAN!$C$4:$C$4288,'CEK CICI'!A1310)</f>
        <v>3</v>
      </c>
      <c r="J1310" s="16">
        <f t="shared" si="2"/>
        <v>0</v>
      </c>
      <c r="K1310" s="15" t="s">
        <v>1496</v>
      </c>
      <c r="L1310" s="15"/>
      <c r="M1310" s="4"/>
      <c r="N1310" s="4"/>
    </row>
    <row r="1311" ht="13.5" hidden="1" customHeight="1">
      <c r="A1311" s="4" t="str">
        <f t="shared" si="1"/>
        <v>TRW-C26XYG</v>
      </c>
      <c r="B1311" s="29" t="s">
        <v>975</v>
      </c>
      <c r="C1311" s="28" t="s">
        <v>974</v>
      </c>
      <c r="D1311" s="28" t="s">
        <v>41</v>
      </c>
      <c r="E1311" s="4" t="s">
        <v>16</v>
      </c>
      <c r="F1311" s="28" t="s">
        <v>67</v>
      </c>
      <c r="G1311" s="4"/>
      <c r="H1311" s="4">
        <f>SUMIFS(X!$F$5:$F$2005,X!$D$5:$D$2005,'CEK CICI'!A1311)</f>
        <v>0</v>
      </c>
      <c r="I1311" s="4">
        <f>SUMIFS(PENJUALAN!$E$4:$E$4288,PENJUALAN!$C$4:$C$4288,'CEK CICI'!A1311)</f>
        <v>0</v>
      </c>
      <c r="J1311" s="16">
        <f t="shared" si="2"/>
        <v>0</v>
      </c>
      <c r="K1311" s="4"/>
      <c r="L1311" s="4"/>
      <c r="M1311" s="4"/>
      <c r="N1311" s="4"/>
    </row>
    <row r="1312" ht="13.5" hidden="1" customHeight="1">
      <c r="A1312" s="4" t="str">
        <f t="shared" si="1"/>
        <v>FDL-C26XYG</v>
      </c>
      <c r="B1312" s="29" t="s">
        <v>976</v>
      </c>
      <c r="C1312" s="28" t="s">
        <v>974</v>
      </c>
      <c r="D1312" s="28" t="s">
        <v>128</v>
      </c>
      <c r="E1312" s="4" t="s">
        <v>16</v>
      </c>
      <c r="F1312" s="28"/>
      <c r="G1312" s="4"/>
      <c r="H1312" s="4">
        <f>SUMIFS(X!$F$5:$F$2005,X!$D$5:$D$2005,'CEK CICI'!A1312)</f>
        <v>0</v>
      </c>
      <c r="I1312" s="4">
        <f>SUMIFS(PENJUALAN!$E$4:$E$4288,PENJUALAN!$C$4:$C$4288,'CEK CICI'!A1312)</f>
        <v>0</v>
      </c>
      <c r="J1312" s="16">
        <f t="shared" si="2"/>
        <v>0</v>
      </c>
      <c r="K1312" s="4"/>
      <c r="L1312" s="4"/>
      <c r="M1312" s="4"/>
      <c r="N1312" s="4"/>
    </row>
    <row r="1313" ht="13.5" hidden="1" customHeight="1">
      <c r="A1313" s="4" t="str">
        <f t="shared" si="1"/>
        <v>FDR-C26XYG</v>
      </c>
      <c r="B1313" s="29" t="s">
        <v>977</v>
      </c>
      <c r="C1313" s="28" t="s">
        <v>974</v>
      </c>
      <c r="D1313" s="28" t="s">
        <v>130</v>
      </c>
      <c r="E1313" s="4" t="s">
        <v>16</v>
      </c>
      <c r="F1313" s="28"/>
      <c r="G1313" s="4"/>
      <c r="H1313" s="4">
        <f>SUMIFS(X!$F$5:$F$2005,X!$D$5:$D$2005,'CEK CICI'!A1313)</f>
        <v>0</v>
      </c>
      <c r="I1313" s="4">
        <f>SUMIFS(PENJUALAN!$E$4:$E$4288,PENJUALAN!$C$4:$C$4288,'CEK CICI'!A1313)</f>
        <v>0</v>
      </c>
      <c r="J1313" s="16">
        <f t="shared" si="2"/>
        <v>0</v>
      </c>
      <c r="K1313" s="4"/>
      <c r="L1313" s="4"/>
      <c r="M1313" s="4"/>
      <c r="N1313" s="4"/>
    </row>
    <row r="1314" ht="13.5" hidden="1" customHeight="1">
      <c r="A1314" s="4" t="str">
        <f t="shared" si="1"/>
        <v>RDR-C26XYG</v>
      </c>
      <c r="B1314" s="29" t="s">
        <v>979</v>
      </c>
      <c r="C1314" s="28" t="s">
        <v>974</v>
      </c>
      <c r="D1314" s="28" t="s">
        <v>134</v>
      </c>
      <c r="E1314" s="4" t="s">
        <v>16</v>
      </c>
      <c r="F1314" s="28"/>
      <c r="G1314" s="4"/>
      <c r="H1314" s="4">
        <f>SUMIFS(X!$F$5:$F$2005,X!$D$5:$D$2005,'CEK CICI'!A1314)</f>
        <v>0</v>
      </c>
      <c r="I1314" s="4">
        <f>SUMIFS(PENJUALAN!$E$4:$E$4288,PENJUALAN!$C$4:$C$4288,'CEK CICI'!A1314)</f>
        <v>0</v>
      </c>
      <c r="J1314" s="16">
        <f t="shared" si="2"/>
        <v>0</v>
      </c>
      <c r="K1314" s="4"/>
      <c r="L1314" s="4"/>
      <c r="M1314" s="4"/>
      <c r="N1314" s="4"/>
    </row>
    <row r="1315" ht="13.5" hidden="1" customHeight="1">
      <c r="A1315" s="4" t="str">
        <f t="shared" si="1"/>
        <v>SWL-C26XYG</v>
      </c>
      <c r="B1315" s="29" t="s">
        <v>980</v>
      </c>
      <c r="C1315" s="28" t="s">
        <v>974</v>
      </c>
      <c r="D1315" s="28" t="s">
        <v>202</v>
      </c>
      <c r="E1315" s="4" t="s">
        <v>16</v>
      </c>
      <c r="F1315" s="28" t="s">
        <v>234</v>
      </c>
      <c r="G1315" s="4"/>
      <c r="H1315" s="4">
        <f>SUMIFS(X!$F$5:$F$2005,X!$D$5:$D$2005,'CEK CICI'!A1315)</f>
        <v>0</v>
      </c>
      <c r="I1315" s="4">
        <f>SUMIFS(PENJUALAN!$E$4:$E$4288,PENJUALAN!$C$4:$C$4288,'CEK CICI'!A1315)</f>
        <v>0</v>
      </c>
      <c r="J1315" s="16">
        <f t="shared" si="2"/>
        <v>0</v>
      </c>
      <c r="K1315" s="4"/>
      <c r="L1315" s="4"/>
      <c r="M1315" s="4"/>
      <c r="N1315" s="4"/>
    </row>
    <row r="1316" ht="13.5" hidden="1" customHeight="1">
      <c r="A1316" s="4" t="str">
        <f t="shared" si="1"/>
        <v>SWR-C26XYG</v>
      </c>
      <c r="B1316" s="29" t="s">
        <v>981</v>
      </c>
      <c r="C1316" s="28" t="s">
        <v>974</v>
      </c>
      <c r="D1316" s="28" t="s">
        <v>236</v>
      </c>
      <c r="E1316" s="4" t="s">
        <v>16</v>
      </c>
      <c r="F1316" s="28" t="s">
        <v>234</v>
      </c>
      <c r="G1316" s="4"/>
      <c r="H1316" s="4">
        <f>SUMIFS(X!$F$5:$F$2005,X!$D$5:$D$2005,'CEK CICI'!A1316)</f>
        <v>0</v>
      </c>
      <c r="I1316" s="4">
        <f>SUMIFS(PENJUALAN!$E$4:$E$4288,PENJUALAN!$C$4:$C$4288,'CEK CICI'!A1316)</f>
        <v>0</v>
      </c>
      <c r="J1316" s="16">
        <f t="shared" si="2"/>
        <v>0</v>
      </c>
      <c r="K1316" s="4"/>
      <c r="L1316" s="4"/>
      <c r="M1316" s="4"/>
      <c r="N1316" s="4"/>
    </row>
    <row r="1317" ht="13.5" hidden="1" customHeight="1">
      <c r="A1317" s="4" t="str">
        <f t="shared" si="1"/>
        <v>LFW-C27XYG</v>
      </c>
      <c r="B1317" s="29" t="s">
        <v>1729</v>
      </c>
      <c r="C1317" s="28" t="s">
        <v>1730</v>
      </c>
      <c r="D1317" s="28" t="s">
        <v>22</v>
      </c>
      <c r="E1317" s="4" t="s">
        <v>16</v>
      </c>
      <c r="F1317" s="28" t="s">
        <v>97</v>
      </c>
      <c r="G1317" s="4"/>
      <c r="H1317" s="4">
        <f>SUMIFS(X!$F$5:$F$2005,X!$D$5:$D$2005,'CEK CICI'!A1317)</f>
        <v>0</v>
      </c>
      <c r="I1317" s="4">
        <f>SUMIFS(PENJUALAN!$E$4:$E$4288,PENJUALAN!$C$4:$C$4288,'CEK CICI'!A1317)</f>
        <v>0</v>
      </c>
      <c r="J1317" s="16">
        <f t="shared" si="2"/>
        <v>0</v>
      </c>
      <c r="K1317" s="4"/>
      <c r="L1317" s="4"/>
      <c r="M1317" s="4"/>
      <c r="N1317" s="4"/>
    </row>
    <row r="1318" ht="13.5" customHeight="1">
      <c r="A1318" s="4" t="str">
        <f t="shared" si="1"/>
        <v>TRW-C27XYG</v>
      </c>
      <c r="B1318" s="41" t="s">
        <v>1731</v>
      </c>
      <c r="C1318" s="28" t="s">
        <v>1730</v>
      </c>
      <c r="D1318" s="28" t="s">
        <v>41</v>
      </c>
      <c r="E1318" s="4" t="s">
        <v>16</v>
      </c>
      <c r="F1318" s="28" t="s">
        <v>67</v>
      </c>
      <c r="G1318" s="15">
        <v>1.0</v>
      </c>
      <c r="H1318" s="4">
        <f>SUMIFS(X!$F$5:$F$2005,X!$D$5:$D$2005,'CEK CICI'!A1318)</f>
        <v>2</v>
      </c>
      <c r="I1318" s="4">
        <f>SUMIFS(PENJUALAN!$E$4:$E$4288,PENJUALAN!$C$4:$C$4288,'CEK CICI'!A1318)</f>
        <v>2</v>
      </c>
      <c r="J1318" s="16">
        <f t="shared" si="2"/>
        <v>0</v>
      </c>
      <c r="K1318" s="4"/>
      <c r="L1318" s="4"/>
      <c r="M1318" s="4"/>
      <c r="N1318" s="4"/>
    </row>
    <row r="1319" ht="13.5" hidden="1" customHeight="1">
      <c r="A1319" s="4" t="str">
        <f t="shared" si="1"/>
        <v>LFW-TEANAXYG</v>
      </c>
      <c r="B1319" s="29" t="s">
        <v>1684</v>
      </c>
      <c r="C1319" s="28" t="s">
        <v>1685</v>
      </c>
      <c r="D1319" s="28" t="s">
        <v>22</v>
      </c>
      <c r="E1319" s="4" t="s">
        <v>16</v>
      </c>
      <c r="F1319" s="28"/>
      <c r="G1319" s="4"/>
      <c r="H1319" s="4">
        <f>SUMIFS(X!$F$5:$F$2005,X!$D$5:$D$2005,'CEK CICI'!A1319)</f>
        <v>1</v>
      </c>
      <c r="I1319" s="4">
        <f>SUMIFS(PENJUALAN!$E$4:$E$4288,PENJUALAN!$C$4:$C$4288,'CEK CICI'!A1319)</f>
        <v>1</v>
      </c>
      <c r="J1319" s="16">
        <f t="shared" si="2"/>
        <v>0</v>
      </c>
      <c r="K1319" s="4"/>
      <c r="L1319" s="4"/>
      <c r="M1319" s="4"/>
      <c r="N1319" s="4"/>
    </row>
    <row r="1320" ht="13.5" customHeight="1">
      <c r="A1320" s="4" t="str">
        <f t="shared" si="1"/>
        <v>LFW-T30XYG</v>
      </c>
      <c r="B1320" s="29" t="s">
        <v>982</v>
      </c>
      <c r="C1320" s="28" t="s">
        <v>983</v>
      </c>
      <c r="D1320" s="28" t="s">
        <v>22</v>
      </c>
      <c r="E1320" s="4" t="s">
        <v>16</v>
      </c>
      <c r="F1320" s="28" t="s">
        <v>97</v>
      </c>
      <c r="G1320" s="15">
        <v>1.0</v>
      </c>
      <c r="H1320" s="4">
        <f>SUMIFS(X!$F$5:$F$2005,X!$D$5:$D$2005,'CEK CICI'!A1320)</f>
        <v>1</v>
      </c>
      <c r="I1320" s="4">
        <f>SUMIFS(PENJUALAN!$E$4:$E$4288,PENJUALAN!$C$4:$C$4288,'CEK CICI'!A1320)</f>
        <v>1</v>
      </c>
      <c r="J1320" s="16">
        <f t="shared" si="2"/>
        <v>0</v>
      </c>
      <c r="K1320" s="15"/>
      <c r="L1320" s="15"/>
      <c r="M1320" s="4"/>
      <c r="N1320" s="4"/>
    </row>
    <row r="1321" ht="13.5" hidden="1" customHeight="1">
      <c r="A1321" s="4" t="str">
        <f t="shared" si="1"/>
        <v>TRW-T30XYG</v>
      </c>
      <c r="B1321" s="29" t="s">
        <v>984</v>
      </c>
      <c r="C1321" s="28" t="s">
        <v>983</v>
      </c>
      <c r="D1321" s="28" t="s">
        <v>41</v>
      </c>
      <c r="E1321" s="4" t="s">
        <v>16</v>
      </c>
      <c r="F1321" s="28" t="s">
        <v>221</v>
      </c>
      <c r="G1321" s="4"/>
      <c r="H1321" s="4">
        <f>SUMIFS(X!$F$5:$F$2005,X!$D$5:$D$2005,'CEK CICI'!A1321)</f>
        <v>1</v>
      </c>
      <c r="I1321" s="4">
        <f>SUMIFS(PENJUALAN!$E$4:$E$4288,PENJUALAN!$C$4:$C$4288,'CEK CICI'!A1321)</f>
        <v>0</v>
      </c>
      <c r="J1321" s="16">
        <f t="shared" si="2"/>
        <v>1</v>
      </c>
      <c r="K1321" s="15" t="s">
        <v>1711</v>
      </c>
      <c r="L1321" s="4"/>
      <c r="M1321" s="4"/>
      <c r="N1321" s="4"/>
    </row>
    <row r="1322" ht="13.5" hidden="1" customHeight="1">
      <c r="A1322" s="4" t="str">
        <f t="shared" si="1"/>
        <v>FDR-T30XYG</v>
      </c>
      <c r="B1322" s="29" t="s">
        <v>1732</v>
      </c>
      <c r="C1322" s="28" t="s">
        <v>983</v>
      </c>
      <c r="D1322" s="28" t="s">
        <v>130</v>
      </c>
      <c r="E1322" s="4" t="s">
        <v>16</v>
      </c>
      <c r="F1322" s="28"/>
      <c r="G1322" s="4"/>
      <c r="H1322" s="4">
        <f>SUMIFS(X!$F$5:$F$2005,X!$D$5:$D$2005,'CEK CICI'!A1322)</f>
        <v>0</v>
      </c>
      <c r="I1322" s="4">
        <f>SUMIFS(PENJUALAN!$E$4:$E$4288,PENJUALAN!$C$4:$C$4288,'CEK CICI'!A1322)</f>
        <v>0</v>
      </c>
      <c r="J1322" s="16">
        <f t="shared" si="2"/>
        <v>0</v>
      </c>
      <c r="K1322" s="4"/>
      <c r="L1322" s="4"/>
      <c r="M1322" s="4"/>
      <c r="N1322" s="4"/>
    </row>
    <row r="1323" ht="13.5" hidden="1" customHeight="1">
      <c r="A1323" s="4" t="str">
        <f t="shared" si="1"/>
        <v>LFW-T31XYG</v>
      </c>
      <c r="B1323" s="29" t="s">
        <v>990</v>
      </c>
      <c r="C1323" s="28" t="s">
        <v>991</v>
      </c>
      <c r="D1323" s="28" t="s">
        <v>22</v>
      </c>
      <c r="E1323" s="4" t="s">
        <v>16</v>
      </c>
      <c r="F1323" s="28" t="s">
        <v>125</v>
      </c>
      <c r="G1323" s="4"/>
      <c r="H1323" s="4">
        <f>SUMIFS(X!$F$5:$F$2005,X!$D$5:$D$2005,'CEK CICI'!A1323)</f>
        <v>8</v>
      </c>
      <c r="I1323" s="4">
        <f>SUMIFS(PENJUALAN!$E$4:$E$4288,PENJUALAN!$C$4:$C$4288,'CEK CICI'!A1323)</f>
        <v>2</v>
      </c>
      <c r="J1323" s="16">
        <f t="shared" si="2"/>
        <v>6</v>
      </c>
      <c r="K1323" s="15" t="s">
        <v>1544</v>
      </c>
      <c r="L1323" s="4"/>
      <c r="M1323" s="4"/>
      <c r="N1323" s="4"/>
    </row>
    <row r="1324" ht="13.5" hidden="1" customHeight="1">
      <c r="A1324" s="4" t="str">
        <f t="shared" si="1"/>
        <v>TRW-T31XYG</v>
      </c>
      <c r="B1324" s="29" t="s">
        <v>992</v>
      </c>
      <c r="C1324" s="28" t="s">
        <v>991</v>
      </c>
      <c r="D1324" s="28" t="s">
        <v>41</v>
      </c>
      <c r="E1324" s="4" t="s">
        <v>16</v>
      </c>
      <c r="F1324" s="28" t="s">
        <v>221</v>
      </c>
      <c r="G1324" s="4"/>
      <c r="H1324" s="4">
        <f>SUMIFS(X!$F$5:$F$2005,X!$D$5:$D$2005,'CEK CICI'!A1324)</f>
        <v>5</v>
      </c>
      <c r="I1324" s="4">
        <f>SUMIFS(PENJUALAN!$E$4:$E$4288,PENJUALAN!$C$4:$C$4288,'CEK CICI'!A1324)</f>
        <v>4</v>
      </c>
      <c r="J1324" s="16">
        <f t="shared" si="2"/>
        <v>1</v>
      </c>
      <c r="K1324" s="15" t="s">
        <v>139</v>
      </c>
      <c r="L1324" s="15"/>
      <c r="M1324" s="4"/>
      <c r="N1324" s="4"/>
    </row>
    <row r="1325" ht="13.5" hidden="1" customHeight="1">
      <c r="A1325" s="4" t="str">
        <f t="shared" si="1"/>
        <v>FDL-T31XYG</v>
      </c>
      <c r="B1325" s="29" t="s">
        <v>993</v>
      </c>
      <c r="C1325" s="28" t="s">
        <v>991</v>
      </c>
      <c r="D1325" s="28" t="s">
        <v>128</v>
      </c>
      <c r="E1325" s="4" t="s">
        <v>16</v>
      </c>
      <c r="F1325" s="28"/>
      <c r="G1325" s="4"/>
      <c r="H1325" s="4">
        <f>SUMIFS(X!$F$5:$F$2005,X!$D$5:$D$2005,'CEK CICI'!A1325)</f>
        <v>0</v>
      </c>
      <c r="I1325" s="4">
        <f>SUMIFS(PENJUALAN!$E$4:$E$4288,PENJUALAN!$C$4:$C$4288,'CEK CICI'!A1325)</f>
        <v>0</v>
      </c>
      <c r="J1325" s="16">
        <f t="shared" si="2"/>
        <v>0</v>
      </c>
      <c r="K1325" s="4"/>
      <c r="L1325" s="4"/>
      <c r="M1325" s="4"/>
      <c r="N1325" s="4"/>
    </row>
    <row r="1326" ht="13.5" hidden="1" customHeight="1">
      <c r="A1326" s="4" t="str">
        <f t="shared" si="1"/>
        <v>FDR-T31XYG</v>
      </c>
      <c r="B1326" s="29" t="s">
        <v>994</v>
      </c>
      <c r="C1326" s="28" t="s">
        <v>991</v>
      </c>
      <c r="D1326" s="28" t="s">
        <v>130</v>
      </c>
      <c r="E1326" s="4" t="s">
        <v>16</v>
      </c>
      <c r="F1326" s="28"/>
      <c r="G1326" s="4"/>
      <c r="H1326" s="4">
        <f>SUMIFS(X!$F$5:$F$2005,X!$D$5:$D$2005,'CEK CICI'!A1326)</f>
        <v>0</v>
      </c>
      <c r="I1326" s="4">
        <f>SUMIFS(PENJUALAN!$E$4:$E$4288,PENJUALAN!$C$4:$C$4288,'CEK CICI'!A1326)</f>
        <v>0</v>
      </c>
      <c r="J1326" s="16">
        <f t="shared" si="2"/>
        <v>0</v>
      </c>
      <c r="K1326" s="4"/>
      <c r="L1326" s="4"/>
      <c r="M1326" s="4"/>
      <c r="N1326" s="4"/>
    </row>
    <row r="1327" ht="13.5" hidden="1" customHeight="1">
      <c r="A1327" s="4" t="str">
        <f t="shared" si="1"/>
        <v>RDL-T31XYG</v>
      </c>
      <c r="B1327" s="29" t="s">
        <v>995</v>
      </c>
      <c r="C1327" s="28" t="s">
        <v>991</v>
      </c>
      <c r="D1327" s="28" t="s">
        <v>132</v>
      </c>
      <c r="E1327" s="4" t="s">
        <v>16</v>
      </c>
      <c r="F1327" s="28"/>
      <c r="G1327" s="4"/>
      <c r="H1327" s="4">
        <f>SUMIFS(X!$F$5:$F$2005,X!$D$5:$D$2005,'CEK CICI'!A1327)</f>
        <v>0</v>
      </c>
      <c r="I1327" s="4">
        <f>SUMIFS(PENJUALAN!$E$4:$E$4288,PENJUALAN!$C$4:$C$4288,'CEK CICI'!A1327)</f>
        <v>0</v>
      </c>
      <c r="J1327" s="16">
        <f t="shared" si="2"/>
        <v>0</v>
      </c>
      <c r="K1327" s="4"/>
      <c r="L1327" s="4"/>
      <c r="M1327" s="4"/>
      <c r="N1327" s="4"/>
    </row>
    <row r="1328" ht="13.5" hidden="1" customHeight="1">
      <c r="A1328" s="4" t="str">
        <f t="shared" si="1"/>
        <v>RDR-T31XYG</v>
      </c>
      <c r="B1328" s="29" t="s">
        <v>996</v>
      </c>
      <c r="C1328" s="28" t="s">
        <v>991</v>
      </c>
      <c r="D1328" s="28" t="s">
        <v>134</v>
      </c>
      <c r="E1328" s="4" t="s">
        <v>16</v>
      </c>
      <c r="F1328" s="28"/>
      <c r="G1328" s="4"/>
      <c r="H1328" s="4">
        <f>SUMIFS(X!$F$5:$F$2005,X!$D$5:$D$2005,'CEK CICI'!A1328)</f>
        <v>0</v>
      </c>
      <c r="I1328" s="4">
        <f>SUMIFS(PENJUALAN!$E$4:$E$4288,PENJUALAN!$C$4:$C$4288,'CEK CICI'!A1328)</f>
        <v>0</v>
      </c>
      <c r="J1328" s="16">
        <f t="shared" si="2"/>
        <v>0</v>
      </c>
      <c r="K1328" s="4"/>
      <c r="L1328" s="4"/>
      <c r="M1328" s="4"/>
      <c r="N1328" s="4"/>
    </row>
    <row r="1329" ht="13.5" hidden="1" customHeight="1">
      <c r="A1329" s="4" t="str">
        <f t="shared" si="1"/>
        <v>LFW-T32XYG</v>
      </c>
      <c r="B1329" s="29" t="s">
        <v>997</v>
      </c>
      <c r="C1329" s="28" t="s">
        <v>998</v>
      </c>
      <c r="D1329" s="28" t="s">
        <v>22</v>
      </c>
      <c r="E1329" s="4" t="s">
        <v>16</v>
      </c>
      <c r="F1329" s="28" t="s">
        <v>75</v>
      </c>
      <c r="G1329" s="4"/>
      <c r="H1329" s="4">
        <f>SUMIFS(X!$F$5:$F$2005,X!$D$5:$D$2005,'CEK CICI'!A1329)</f>
        <v>1</v>
      </c>
      <c r="I1329" s="4">
        <f>SUMIFS(PENJUALAN!$E$4:$E$4288,PENJUALAN!$C$4:$C$4288,'CEK CICI'!A1329)</f>
        <v>0</v>
      </c>
      <c r="J1329" s="16">
        <f t="shared" si="2"/>
        <v>1</v>
      </c>
      <c r="K1329" s="15" t="s">
        <v>1544</v>
      </c>
      <c r="L1329" s="15"/>
      <c r="M1329" s="4"/>
      <c r="N1329" s="4"/>
    </row>
    <row r="1330" ht="13.5" hidden="1" customHeight="1">
      <c r="A1330" s="4" t="str">
        <f t="shared" si="1"/>
        <v>LFW-T32RS2XYG</v>
      </c>
      <c r="B1330" s="29" t="s">
        <v>1733</v>
      </c>
      <c r="C1330" s="28" t="s">
        <v>1734</v>
      </c>
      <c r="D1330" s="28" t="s">
        <v>22</v>
      </c>
      <c r="E1330" s="4" t="s">
        <v>16</v>
      </c>
      <c r="F1330" s="28" t="s">
        <v>75</v>
      </c>
      <c r="G1330" s="4"/>
      <c r="H1330" s="4">
        <f>SUMIFS(X!$F$5:$F$2005,X!$D$5:$D$2005,'CEK CICI'!A1330)</f>
        <v>0</v>
      </c>
      <c r="I1330" s="4">
        <f>SUMIFS(PENJUALAN!$E$4:$E$4288,PENJUALAN!$C$4:$C$4288,'CEK CICI'!A1330)</f>
        <v>0</v>
      </c>
      <c r="J1330" s="16">
        <f t="shared" si="2"/>
        <v>0</v>
      </c>
      <c r="K1330" s="4"/>
      <c r="L1330" s="4"/>
      <c r="M1330" s="4"/>
      <c r="N1330" s="4"/>
    </row>
    <row r="1331" ht="13.5" hidden="1" customHeight="1">
      <c r="A1331" s="4" t="str">
        <f t="shared" si="1"/>
        <v>LFW-T32NRSXYG</v>
      </c>
      <c r="B1331" s="29" t="s">
        <v>1735</v>
      </c>
      <c r="C1331" s="28" t="s">
        <v>1736</v>
      </c>
      <c r="D1331" s="28" t="s">
        <v>22</v>
      </c>
      <c r="E1331" s="4" t="s">
        <v>16</v>
      </c>
      <c r="F1331" s="28" t="s">
        <v>125</v>
      </c>
      <c r="G1331" s="4"/>
      <c r="H1331" s="4">
        <f>SUMIFS(X!$F$5:$F$2005,X!$D$5:$D$2005,'CEK CICI'!A1331)</f>
        <v>0</v>
      </c>
      <c r="I1331" s="4">
        <f>SUMIFS(PENJUALAN!$E$4:$E$4288,PENJUALAN!$C$4:$C$4288,'CEK CICI'!A1331)</f>
        <v>0</v>
      </c>
      <c r="J1331" s="16">
        <f t="shared" si="2"/>
        <v>0</v>
      </c>
      <c r="K1331" s="4"/>
      <c r="L1331" s="4"/>
      <c r="M1331" s="4"/>
      <c r="N1331" s="4"/>
    </row>
    <row r="1332" ht="13.5" hidden="1" customHeight="1">
      <c r="A1332" s="4" t="str">
        <f t="shared" si="1"/>
        <v>TRW-T32XYG</v>
      </c>
      <c r="B1332" s="29" t="s">
        <v>999</v>
      </c>
      <c r="C1332" s="28" t="s">
        <v>1000</v>
      </c>
      <c r="D1332" s="28" t="s">
        <v>41</v>
      </c>
      <c r="E1332" s="4" t="s">
        <v>16</v>
      </c>
      <c r="F1332" s="28" t="s">
        <v>221</v>
      </c>
      <c r="G1332" s="4"/>
      <c r="H1332" s="4">
        <f>SUMIFS(X!$F$5:$F$2005,X!$D$5:$D$2005,'CEK CICI'!A1332)</f>
        <v>5</v>
      </c>
      <c r="I1332" s="4">
        <f>SUMIFS(PENJUALAN!$E$4:$E$4288,PENJUALAN!$C$4:$C$4288,'CEK CICI'!A1332)</f>
        <v>2</v>
      </c>
      <c r="J1332" s="16">
        <f t="shared" si="2"/>
        <v>3</v>
      </c>
      <c r="K1332" s="15" t="s">
        <v>101</v>
      </c>
      <c r="L1332" s="15"/>
      <c r="M1332" s="4"/>
      <c r="N1332" s="4"/>
    </row>
    <row r="1333" ht="13.5" hidden="1" customHeight="1">
      <c r="A1333" s="4" t="str">
        <f t="shared" si="1"/>
        <v>FDL-T32XYG</v>
      </c>
      <c r="B1333" s="29" t="s">
        <v>1001</v>
      </c>
      <c r="C1333" s="28" t="s">
        <v>1000</v>
      </c>
      <c r="D1333" s="28" t="s">
        <v>128</v>
      </c>
      <c r="E1333" s="4" t="s">
        <v>16</v>
      </c>
      <c r="F1333" s="28"/>
      <c r="G1333" s="4"/>
      <c r="H1333" s="4">
        <f>SUMIFS(X!$F$5:$F$2005,X!$D$5:$D$2005,'CEK CICI'!A1333)</f>
        <v>0</v>
      </c>
      <c r="I1333" s="4">
        <f>SUMIFS(PENJUALAN!$E$4:$E$4288,PENJUALAN!$C$4:$C$4288,'CEK CICI'!A1333)</f>
        <v>0</v>
      </c>
      <c r="J1333" s="16">
        <f t="shared" si="2"/>
        <v>0</v>
      </c>
      <c r="K1333" s="4"/>
      <c r="L1333" s="4"/>
      <c r="M1333" s="4"/>
      <c r="N1333" s="4"/>
    </row>
    <row r="1334" ht="13.5" hidden="1" customHeight="1">
      <c r="A1334" s="4" t="str">
        <f t="shared" si="1"/>
        <v>FDR-T32XYG</v>
      </c>
      <c r="B1334" s="29" t="s">
        <v>1002</v>
      </c>
      <c r="C1334" s="28" t="s">
        <v>1000</v>
      </c>
      <c r="D1334" s="28" t="s">
        <v>130</v>
      </c>
      <c r="E1334" s="4" t="s">
        <v>16</v>
      </c>
      <c r="F1334" s="28"/>
      <c r="G1334" s="4"/>
      <c r="H1334" s="4">
        <f>SUMIFS(X!$F$5:$F$2005,X!$D$5:$D$2005,'CEK CICI'!A1334)</f>
        <v>0</v>
      </c>
      <c r="I1334" s="4">
        <f>SUMIFS(PENJUALAN!$E$4:$E$4288,PENJUALAN!$C$4:$C$4288,'CEK CICI'!A1334)</f>
        <v>0</v>
      </c>
      <c r="J1334" s="16">
        <f t="shared" si="2"/>
        <v>0</v>
      </c>
      <c r="K1334" s="4"/>
      <c r="L1334" s="4"/>
      <c r="M1334" s="4"/>
      <c r="N1334" s="4"/>
    </row>
    <row r="1335" ht="13.5" hidden="1" customHeight="1">
      <c r="A1335" s="4" t="str">
        <f t="shared" si="1"/>
        <v>LFW-OPELXYG</v>
      </c>
      <c r="B1335" s="29" t="s">
        <v>1005</v>
      </c>
      <c r="C1335" s="28" t="s">
        <v>1006</v>
      </c>
      <c r="D1335" s="28" t="s">
        <v>22</v>
      </c>
      <c r="E1335" s="4" t="s">
        <v>16</v>
      </c>
      <c r="F1335" s="28" t="s">
        <v>125</v>
      </c>
      <c r="G1335" s="4"/>
      <c r="H1335" s="4">
        <f>SUMIFS(X!$F$5:$F$2005,X!$D$5:$D$2005,'CEK CICI'!A1335)</f>
        <v>0</v>
      </c>
      <c r="I1335" s="4">
        <f>SUMIFS(PENJUALAN!$E$4:$E$4288,PENJUALAN!$C$4:$C$4288,'CEK CICI'!A1335)</f>
        <v>0</v>
      </c>
      <c r="J1335" s="16">
        <f t="shared" si="2"/>
        <v>0</v>
      </c>
      <c r="K1335" s="4"/>
      <c r="L1335" s="4"/>
      <c r="M1335" s="4"/>
      <c r="N1335" s="4"/>
    </row>
    <row r="1336" ht="13.5" hidden="1" customHeight="1">
      <c r="A1336" s="4" t="str">
        <f t="shared" si="1"/>
        <v>TRW-PEUGEUOT206XYG</v>
      </c>
      <c r="B1336" s="29" t="s">
        <v>1738</v>
      </c>
      <c r="C1336" s="28" t="s">
        <v>1739</v>
      </c>
      <c r="D1336" s="28" t="s">
        <v>41</v>
      </c>
      <c r="E1336" s="4" t="s">
        <v>16</v>
      </c>
      <c r="F1336" s="28" t="s">
        <v>221</v>
      </c>
      <c r="G1336" s="4"/>
      <c r="H1336" s="4">
        <f>SUMIFS(X!$F$5:$F$2005,X!$D$5:$D$2005,'CEK CICI'!A1336)</f>
        <v>0</v>
      </c>
      <c r="I1336" s="4">
        <f>SUMIFS(PENJUALAN!$E$4:$E$4288,PENJUALAN!$C$4:$C$4288,'CEK CICI'!A1336)</f>
        <v>0</v>
      </c>
      <c r="J1336" s="16">
        <f t="shared" si="2"/>
        <v>0</v>
      </c>
      <c r="K1336" s="4"/>
      <c r="L1336" s="4"/>
      <c r="M1336" s="4"/>
      <c r="N1336" s="4"/>
    </row>
    <row r="1337" ht="13.5" hidden="1" customHeight="1">
      <c r="A1337" s="4" t="str">
        <f t="shared" si="1"/>
        <v>LFW-PEU307RSBULATXYG</v>
      </c>
      <c r="B1337" s="29" t="s">
        <v>1007</v>
      </c>
      <c r="C1337" s="28" t="s">
        <v>1008</v>
      </c>
      <c r="D1337" s="28" t="s">
        <v>22</v>
      </c>
      <c r="E1337" s="4" t="s">
        <v>16</v>
      </c>
      <c r="F1337" s="28" t="s">
        <v>23</v>
      </c>
      <c r="G1337" s="4"/>
      <c r="H1337" s="4">
        <f>SUMIFS(X!$F$5:$F$2005,X!$D$5:$D$2005,'CEK CICI'!A1337)</f>
        <v>0</v>
      </c>
      <c r="I1337" s="4">
        <f>SUMIFS(PENJUALAN!$E$4:$E$4288,PENJUALAN!$C$4:$C$4288,'CEK CICI'!A1337)</f>
        <v>0</v>
      </c>
      <c r="J1337" s="16">
        <f t="shared" si="2"/>
        <v>0</v>
      </c>
      <c r="K1337" s="4"/>
      <c r="L1337" s="4"/>
      <c r="M1337" s="4"/>
      <c r="N1337" s="4"/>
    </row>
    <row r="1338" ht="13.5" hidden="1" customHeight="1">
      <c r="A1338" s="4" t="str">
        <f t="shared" si="1"/>
        <v>LFW-PEU307RSKOTAKXYG</v>
      </c>
      <c r="B1338" s="29" t="s">
        <v>1009</v>
      </c>
      <c r="C1338" s="28" t="s">
        <v>1010</v>
      </c>
      <c r="D1338" s="28" t="s">
        <v>22</v>
      </c>
      <c r="E1338" s="4" t="s">
        <v>16</v>
      </c>
      <c r="F1338" s="28" t="s">
        <v>23</v>
      </c>
      <c r="G1338" s="4"/>
      <c r="H1338" s="4">
        <f>SUMIFS(X!$F$5:$F$2005,X!$D$5:$D$2005,'CEK CICI'!A1338)</f>
        <v>0</v>
      </c>
      <c r="I1338" s="4">
        <f>SUMIFS(PENJUALAN!$E$4:$E$4288,PENJUALAN!$C$4:$C$4288,'CEK CICI'!A1338)</f>
        <v>0</v>
      </c>
      <c r="J1338" s="16">
        <f t="shared" si="2"/>
        <v>0</v>
      </c>
      <c r="K1338" s="4"/>
      <c r="L1338" s="4"/>
      <c r="M1338" s="4"/>
      <c r="N1338" s="4"/>
    </row>
    <row r="1339" ht="13.5" hidden="1" customHeight="1">
      <c r="A1339" s="4" t="str">
        <f t="shared" si="1"/>
        <v>LFW-EXORAXYG</v>
      </c>
      <c r="B1339" s="29" t="s">
        <v>1740</v>
      </c>
      <c r="C1339" s="28" t="s">
        <v>1741</v>
      </c>
      <c r="D1339" s="28" t="s">
        <v>22</v>
      </c>
      <c r="E1339" s="4" t="s">
        <v>16</v>
      </c>
      <c r="F1339" s="28" t="s">
        <v>125</v>
      </c>
      <c r="G1339" s="4"/>
      <c r="H1339" s="4">
        <f>SUMIFS(X!$F$5:$F$2005,X!$D$5:$D$2005,'CEK CICI'!A1339)</f>
        <v>0</v>
      </c>
      <c r="I1339" s="4">
        <f>SUMIFS(PENJUALAN!$E$4:$E$4288,PENJUALAN!$C$4:$C$4288,'CEK CICI'!A1339)</f>
        <v>0</v>
      </c>
      <c r="J1339" s="16">
        <f t="shared" si="2"/>
        <v>0</v>
      </c>
      <c r="K1339" s="4"/>
      <c r="L1339" s="4"/>
      <c r="M1339" s="4"/>
      <c r="N1339" s="4"/>
    </row>
    <row r="1340" ht="13.5" hidden="1" customHeight="1">
      <c r="A1340" s="4" t="str">
        <f t="shared" si="1"/>
        <v>TRW-EXORAXYG</v>
      </c>
      <c r="B1340" s="29" t="s">
        <v>1742</v>
      </c>
      <c r="C1340" s="28" t="s">
        <v>1741</v>
      </c>
      <c r="D1340" s="28" t="s">
        <v>41</v>
      </c>
      <c r="E1340" s="4" t="s">
        <v>16</v>
      </c>
      <c r="F1340" s="28" t="s">
        <v>67</v>
      </c>
      <c r="G1340" s="4"/>
      <c r="H1340" s="4">
        <f>SUMIFS(X!$F$5:$F$2005,X!$D$5:$D$2005,'CEK CICI'!A1340)</f>
        <v>0</v>
      </c>
      <c r="I1340" s="4">
        <f>SUMIFS(PENJUALAN!$E$4:$E$4288,PENJUALAN!$C$4:$C$4288,'CEK CICI'!A1340)</f>
        <v>0</v>
      </c>
      <c r="J1340" s="16">
        <f t="shared" si="2"/>
        <v>0</v>
      </c>
      <c r="K1340" s="4"/>
      <c r="L1340" s="4"/>
      <c r="M1340" s="60"/>
      <c r="N1340" s="4"/>
    </row>
    <row r="1341" ht="13.5" hidden="1" customHeight="1">
      <c r="A1341" s="4" t="str">
        <f t="shared" si="1"/>
        <v>LFW-PROTONGEN2XYG</v>
      </c>
      <c r="B1341" s="29" t="s">
        <v>1743</v>
      </c>
      <c r="C1341" s="30" t="s">
        <v>1744</v>
      </c>
      <c r="D1341" s="28" t="s">
        <v>22</v>
      </c>
      <c r="E1341" s="4" t="s">
        <v>16</v>
      </c>
      <c r="F1341" s="28" t="s">
        <v>125</v>
      </c>
      <c r="G1341" s="4"/>
      <c r="H1341" s="4">
        <f>SUMIFS(X!$F$5:$F$2005,X!$D$5:$D$2005,'CEK CICI'!A1341)</f>
        <v>0</v>
      </c>
      <c r="I1341" s="4">
        <f>SUMIFS(PENJUALAN!$E$4:$E$4288,PENJUALAN!$C$4:$C$4288,'CEK CICI'!A1341)</f>
        <v>0</v>
      </c>
      <c r="J1341" s="16">
        <f t="shared" si="2"/>
        <v>0</v>
      </c>
      <c r="K1341" s="4"/>
      <c r="L1341" s="4"/>
      <c r="M1341" s="4"/>
      <c r="N1341" s="4"/>
    </row>
    <row r="1342" ht="13.5" hidden="1" customHeight="1">
      <c r="A1342" s="4" t="str">
        <f t="shared" si="1"/>
        <v>LFW-SAGAXYG</v>
      </c>
      <c r="B1342" s="41" t="s">
        <v>1745</v>
      </c>
      <c r="C1342" s="30" t="s">
        <v>1746</v>
      </c>
      <c r="D1342" s="30" t="s">
        <v>22</v>
      </c>
      <c r="E1342" s="4" t="s">
        <v>16</v>
      </c>
      <c r="F1342" s="30" t="s">
        <v>125</v>
      </c>
      <c r="G1342" s="4"/>
      <c r="H1342" s="4">
        <f>SUMIFS(X!$F$5:$F$2005,X!$D$5:$D$2005,'CEK CICI'!A1342)</f>
        <v>0</v>
      </c>
      <c r="I1342" s="4">
        <f>SUMIFS(PENJUALAN!$E$4:$E$4288,PENJUALAN!$C$4:$C$4288,'CEK CICI'!A1342)</f>
        <v>0</v>
      </c>
      <c r="J1342" s="16">
        <f t="shared" si="2"/>
        <v>0</v>
      </c>
      <c r="K1342" s="4"/>
      <c r="L1342" s="4"/>
      <c r="M1342" s="4"/>
      <c r="N1342" s="4"/>
    </row>
    <row r="1343" ht="13.5" hidden="1" customHeight="1">
      <c r="A1343" s="4" t="str">
        <f t="shared" si="1"/>
        <v>LFW-SAVVYXYG</v>
      </c>
      <c r="B1343" s="41" t="s">
        <v>1747</v>
      </c>
      <c r="C1343" s="30" t="s">
        <v>1748</v>
      </c>
      <c r="D1343" s="30" t="s">
        <v>22</v>
      </c>
      <c r="E1343" s="4" t="s">
        <v>16</v>
      </c>
      <c r="F1343" s="28" t="s">
        <v>125</v>
      </c>
      <c r="G1343" s="4"/>
      <c r="H1343" s="4">
        <f>SUMIFS(X!$F$5:$F$2005,X!$D$5:$D$2005,'CEK CICI'!A1343)</f>
        <v>0</v>
      </c>
      <c r="I1343" s="4">
        <f>SUMIFS(PENJUALAN!$E$4:$E$4288,PENJUALAN!$C$4:$C$4288,'CEK CICI'!A1343)</f>
        <v>0</v>
      </c>
      <c r="J1343" s="16">
        <f t="shared" si="2"/>
        <v>0</v>
      </c>
      <c r="K1343" s="4"/>
      <c r="L1343" s="4"/>
      <c r="M1343" s="4"/>
      <c r="N1343" s="4"/>
    </row>
    <row r="1344" ht="13.5" hidden="1" customHeight="1">
      <c r="A1344" s="4" t="str">
        <f t="shared" si="1"/>
        <v>LFW-RANGEROVER2DXYG</v>
      </c>
      <c r="B1344" s="29" t="s">
        <v>1749</v>
      </c>
      <c r="C1344" s="28" t="s">
        <v>1750</v>
      </c>
      <c r="D1344" s="28" t="s">
        <v>22</v>
      </c>
      <c r="E1344" s="4" t="s">
        <v>16</v>
      </c>
      <c r="F1344" s="28" t="s">
        <v>23</v>
      </c>
      <c r="G1344" s="4"/>
      <c r="H1344" s="4">
        <f>SUMIFS(X!$F$5:$F$2005,X!$D$5:$D$2005,'CEK CICI'!A1344)</f>
        <v>0</v>
      </c>
      <c r="I1344" s="4">
        <f>SUMIFS(PENJUALAN!$E$4:$E$4288,PENJUALAN!$C$4:$C$4288,'CEK CICI'!A1344)</f>
        <v>0</v>
      </c>
      <c r="J1344" s="16">
        <f t="shared" si="2"/>
        <v>0</v>
      </c>
      <c r="K1344" s="4"/>
      <c r="L1344" s="4"/>
      <c r="M1344" s="4"/>
      <c r="N1344" s="4"/>
    </row>
    <row r="1345" ht="13.5" hidden="1" customHeight="1">
      <c r="A1345" s="4" t="str">
        <f t="shared" si="1"/>
        <v>TRW-RANGEROVER2DXYG</v>
      </c>
      <c r="B1345" s="29" t="s">
        <v>1751</v>
      </c>
      <c r="C1345" s="28" t="s">
        <v>1752</v>
      </c>
      <c r="D1345" s="30" t="s">
        <v>41</v>
      </c>
      <c r="E1345" s="4" t="s">
        <v>16</v>
      </c>
      <c r="F1345" s="30" t="s">
        <v>67</v>
      </c>
      <c r="G1345" s="4"/>
      <c r="H1345" s="4">
        <f>SUMIFS(X!$F$5:$F$2005,X!$D$5:$D$2005,'CEK CICI'!A1345)</f>
        <v>0</v>
      </c>
      <c r="I1345" s="4">
        <f>SUMIFS(PENJUALAN!$E$4:$E$4288,PENJUALAN!$C$4:$C$4288,'CEK CICI'!A1345)</f>
        <v>0</v>
      </c>
      <c r="J1345" s="16">
        <f t="shared" si="2"/>
        <v>0</v>
      </c>
      <c r="K1345" s="4"/>
      <c r="L1345" s="4"/>
      <c r="M1345" s="4"/>
      <c r="N1345" s="4"/>
    </row>
    <row r="1346" ht="13.5" hidden="1" customHeight="1">
      <c r="A1346" s="4" t="str">
        <f t="shared" si="1"/>
        <v>FDL-RANGEROVER2DXYG</v>
      </c>
      <c r="B1346" s="29" t="s">
        <v>1753</v>
      </c>
      <c r="C1346" s="28" t="s">
        <v>1754</v>
      </c>
      <c r="D1346" s="30" t="s">
        <v>128</v>
      </c>
      <c r="E1346" s="4" t="s">
        <v>16</v>
      </c>
      <c r="F1346" s="30"/>
      <c r="G1346" s="4"/>
      <c r="H1346" s="4">
        <f>SUMIFS(X!$F$5:$F$2005,X!$D$5:$D$2005,'CEK CICI'!A1346)</f>
        <v>0</v>
      </c>
      <c r="I1346" s="4">
        <f>SUMIFS(PENJUALAN!$E$4:$E$4288,PENJUALAN!$C$4:$C$4288,'CEK CICI'!A1346)</f>
        <v>0</v>
      </c>
      <c r="J1346" s="16">
        <f t="shared" si="2"/>
        <v>0</v>
      </c>
      <c r="K1346" s="4"/>
      <c r="L1346" s="4"/>
      <c r="M1346" s="4"/>
      <c r="N1346" s="4"/>
    </row>
    <row r="1347" ht="13.5" hidden="1" customHeight="1">
      <c r="A1347" s="4" t="str">
        <f t="shared" si="1"/>
        <v>FDR-RANGEROVER2DXYG</v>
      </c>
      <c r="B1347" s="29" t="s">
        <v>1755</v>
      </c>
      <c r="C1347" s="28" t="s">
        <v>1754</v>
      </c>
      <c r="D1347" s="30" t="s">
        <v>130</v>
      </c>
      <c r="E1347" s="4" t="s">
        <v>16</v>
      </c>
      <c r="F1347" s="30"/>
      <c r="G1347" s="4"/>
      <c r="H1347" s="4">
        <f>SUMIFS(X!$F$5:$F$2005,X!$D$5:$D$2005,'CEK CICI'!A1347)</f>
        <v>0</v>
      </c>
      <c r="I1347" s="4">
        <f>SUMIFS(PENJUALAN!$E$4:$E$4288,PENJUALAN!$C$4:$C$4288,'CEK CICI'!A1347)</f>
        <v>0</v>
      </c>
      <c r="J1347" s="16">
        <f t="shared" si="2"/>
        <v>0</v>
      </c>
      <c r="K1347" s="4"/>
      <c r="L1347" s="4"/>
      <c r="M1347" s="4"/>
      <c r="N1347" s="4"/>
    </row>
    <row r="1348" ht="13.5" hidden="1" customHeight="1">
      <c r="A1348" s="4" t="str">
        <f t="shared" si="1"/>
        <v>SWL-RANGEROVER2DXYG</v>
      </c>
      <c r="B1348" s="29" t="s">
        <v>1756</v>
      </c>
      <c r="C1348" s="28" t="s">
        <v>1754</v>
      </c>
      <c r="D1348" s="30" t="s">
        <v>202</v>
      </c>
      <c r="E1348" s="4" t="s">
        <v>16</v>
      </c>
      <c r="F1348" s="30"/>
      <c r="G1348" s="4"/>
      <c r="H1348" s="4">
        <f>SUMIFS(X!$F$5:$F$2005,X!$D$5:$D$2005,'CEK CICI'!A1348)</f>
        <v>0</v>
      </c>
      <c r="I1348" s="4">
        <f>SUMIFS(PENJUALAN!$E$4:$E$4288,PENJUALAN!$C$4:$C$4288,'CEK CICI'!A1348)</f>
        <v>0</v>
      </c>
      <c r="J1348" s="16">
        <f t="shared" si="2"/>
        <v>0</v>
      </c>
      <c r="K1348" s="4"/>
      <c r="L1348" s="4"/>
      <c r="M1348" s="4"/>
      <c r="N1348" s="4"/>
    </row>
    <row r="1349" ht="13.5" hidden="1" customHeight="1">
      <c r="A1349" s="4" t="str">
        <f t="shared" si="1"/>
        <v>SWR-RANGEROVER2DXYG</v>
      </c>
      <c r="B1349" s="29" t="s">
        <v>1757</v>
      </c>
      <c r="C1349" s="28" t="s">
        <v>1754</v>
      </c>
      <c r="D1349" s="30" t="s">
        <v>236</v>
      </c>
      <c r="E1349" s="4" t="s">
        <v>16</v>
      </c>
      <c r="F1349" s="30"/>
      <c r="G1349" s="4"/>
      <c r="H1349" s="4">
        <f>SUMIFS(X!$F$5:$F$2005,X!$D$5:$D$2005,'CEK CICI'!A1349)</f>
        <v>0</v>
      </c>
      <c r="I1349" s="4">
        <f>SUMIFS(PENJUALAN!$E$4:$E$4288,PENJUALAN!$C$4:$C$4288,'CEK CICI'!A1349)</f>
        <v>0</v>
      </c>
      <c r="J1349" s="16">
        <f t="shared" si="2"/>
        <v>0</v>
      </c>
      <c r="K1349" s="4"/>
      <c r="L1349" s="4"/>
      <c r="M1349" s="4"/>
      <c r="N1349" s="4"/>
    </row>
    <row r="1350" ht="13.5" hidden="1" customHeight="1">
      <c r="A1350" s="4" t="str">
        <f t="shared" si="1"/>
        <v>LFW-RANGEROVER4DXYG</v>
      </c>
      <c r="B1350" s="29" t="s">
        <v>1015</v>
      </c>
      <c r="C1350" s="30" t="s">
        <v>1016</v>
      </c>
      <c r="D1350" s="28" t="s">
        <v>22</v>
      </c>
      <c r="E1350" s="4" t="s">
        <v>16</v>
      </c>
      <c r="F1350" s="28" t="s">
        <v>23</v>
      </c>
      <c r="G1350" s="4"/>
      <c r="H1350" s="4">
        <f>SUMIFS(X!$F$5:$F$2005,X!$D$5:$D$2005,'CEK CICI'!A1350)</f>
        <v>0</v>
      </c>
      <c r="I1350" s="4">
        <f>SUMIFS(PENJUALAN!$E$4:$E$4288,PENJUALAN!$C$4:$C$4288,'CEK CICI'!A1350)</f>
        <v>0</v>
      </c>
      <c r="J1350" s="16">
        <f t="shared" si="2"/>
        <v>0</v>
      </c>
      <c r="K1350" s="4"/>
      <c r="L1350" s="4"/>
      <c r="M1350" s="4"/>
      <c r="N1350" s="4"/>
    </row>
    <row r="1351" ht="13.5" hidden="1" customHeight="1">
      <c r="A1351" s="4" t="str">
        <f t="shared" si="1"/>
        <v>LFW-RANGEROVER4DRS3XYG</v>
      </c>
      <c r="B1351" s="29" t="s">
        <v>1758</v>
      </c>
      <c r="C1351" s="30" t="s">
        <v>1759</v>
      </c>
      <c r="D1351" s="30" t="s">
        <v>22</v>
      </c>
      <c r="E1351" s="4" t="s">
        <v>16</v>
      </c>
      <c r="F1351" s="30" t="s">
        <v>23</v>
      </c>
      <c r="G1351" s="4"/>
      <c r="H1351" s="4">
        <f>SUMIFS(X!$F$5:$F$2005,X!$D$5:$D$2005,'CEK CICI'!A1351)</f>
        <v>0</v>
      </c>
      <c r="I1351" s="4">
        <f>SUMIFS(PENJUALAN!$E$4:$E$4288,PENJUALAN!$C$4:$C$4288,'CEK CICI'!A1351)</f>
        <v>0</v>
      </c>
      <c r="J1351" s="16">
        <f t="shared" si="2"/>
        <v>0</v>
      </c>
      <c r="K1351" s="4"/>
      <c r="L1351" s="4"/>
      <c r="M1351" s="4"/>
      <c r="N1351" s="4"/>
    </row>
    <row r="1352" ht="13.5" hidden="1" customHeight="1">
      <c r="A1352" s="4" t="str">
        <f t="shared" si="1"/>
        <v>LFW-SUBARUXVXYG</v>
      </c>
      <c r="B1352" s="29" t="s">
        <v>1813</v>
      </c>
      <c r="C1352" s="28" t="s">
        <v>1814</v>
      </c>
      <c r="D1352" s="28" t="s">
        <v>22</v>
      </c>
      <c r="E1352" s="4" t="s">
        <v>16</v>
      </c>
      <c r="F1352" s="28" t="s">
        <v>737</v>
      </c>
      <c r="G1352" s="4"/>
      <c r="H1352" s="4">
        <f>SUMIFS(X!$F$5:$F$2005,X!$D$5:$D$2005,'CEK CICI'!A1352)</f>
        <v>1</v>
      </c>
      <c r="I1352" s="4">
        <f>SUMIFS(PENJUALAN!$E$4:$E$4288,PENJUALAN!$C$4:$C$4288,'CEK CICI'!A1352)</f>
        <v>1</v>
      </c>
      <c r="J1352" s="16">
        <f t="shared" si="2"/>
        <v>0</v>
      </c>
      <c r="K1352" s="4"/>
      <c r="L1352" s="4"/>
      <c r="M1352" s="4"/>
      <c r="N1352" s="4"/>
    </row>
    <row r="1353" ht="13.5" hidden="1" customHeight="1">
      <c r="A1353" s="4" t="str">
        <f t="shared" si="1"/>
        <v>LFW-AERIOXYG</v>
      </c>
      <c r="B1353" s="29" t="s">
        <v>1762</v>
      </c>
      <c r="C1353" s="28" t="s">
        <v>1763</v>
      </c>
      <c r="D1353" s="30" t="s">
        <v>22</v>
      </c>
      <c r="E1353" s="4" t="s">
        <v>16</v>
      </c>
      <c r="F1353" s="28" t="s">
        <v>125</v>
      </c>
      <c r="G1353" s="4"/>
      <c r="H1353" s="4">
        <f>SUMIFS(X!$F$5:$F$2005,X!$D$5:$D$2005,'CEK CICI'!A1353)</f>
        <v>0</v>
      </c>
      <c r="I1353" s="4">
        <f>SUMIFS(PENJUALAN!$E$4:$E$4288,PENJUALAN!$C$4:$C$4288,'CEK CICI'!A1353)</f>
        <v>0</v>
      </c>
      <c r="J1353" s="16">
        <f t="shared" si="2"/>
        <v>0</v>
      </c>
      <c r="K1353" s="4"/>
      <c r="L1353" s="4"/>
      <c r="M1353" s="4"/>
      <c r="N1353" s="4"/>
    </row>
    <row r="1354" ht="13.5" hidden="1" customHeight="1">
      <c r="A1354" s="4" t="str">
        <f t="shared" si="1"/>
        <v>TRW-AERIOXYG</v>
      </c>
      <c r="B1354" s="29" t="s">
        <v>1019</v>
      </c>
      <c r="C1354" s="28" t="s">
        <v>1020</v>
      </c>
      <c r="D1354" s="28" t="s">
        <v>41</v>
      </c>
      <c r="E1354" s="4" t="s">
        <v>16</v>
      </c>
      <c r="F1354" s="28" t="s">
        <v>67</v>
      </c>
      <c r="G1354" s="4"/>
      <c r="H1354" s="4">
        <f>SUMIFS(X!$F$5:$F$2005,X!$D$5:$D$2005,'CEK CICI'!A1354)</f>
        <v>0</v>
      </c>
      <c r="I1354" s="4">
        <f>SUMIFS(PENJUALAN!$E$4:$E$4288,PENJUALAN!$C$4:$C$4288,'CEK CICI'!A1354)</f>
        <v>0</v>
      </c>
      <c r="J1354" s="16">
        <f t="shared" si="2"/>
        <v>0</v>
      </c>
      <c r="K1354" s="4"/>
      <c r="L1354" s="4"/>
      <c r="M1354" s="4"/>
      <c r="N1354" s="4"/>
    </row>
    <row r="1355" ht="13.5" hidden="1" customHeight="1">
      <c r="A1355" s="4" t="str">
        <f t="shared" si="1"/>
        <v>LFW-APVXYG</v>
      </c>
      <c r="B1355" s="29" t="s">
        <v>1021</v>
      </c>
      <c r="C1355" s="28" t="s">
        <v>1022</v>
      </c>
      <c r="D1355" s="28" t="s">
        <v>22</v>
      </c>
      <c r="E1355" s="4" t="s">
        <v>16</v>
      </c>
      <c r="F1355" s="28" t="s">
        <v>97</v>
      </c>
      <c r="G1355" s="4"/>
      <c r="H1355" s="4">
        <f>SUMIFS(X!$F$5:$F$2005,X!$D$5:$D$2005,'CEK CICI'!A1355)</f>
        <v>7</v>
      </c>
      <c r="I1355" s="4">
        <f>SUMIFS(PENJUALAN!$E$4:$E$4288,PENJUALAN!$C$4:$C$4288,'CEK CICI'!A1355)</f>
        <v>6</v>
      </c>
      <c r="J1355" s="16">
        <f t="shared" si="2"/>
        <v>1</v>
      </c>
      <c r="K1355" s="4"/>
      <c r="L1355" s="4"/>
      <c r="M1355" s="4"/>
      <c r="N1355" s="4"/>
    </row>
    <row r="1356" ht="13.5" hidden="1" customHeight="1">
      <c r="A1356" s="4" t="str">
        <f t="shared" si="1"/>
        <v>LFW-BALENO96XYG</v>
      </c>
      <c r="B1356" s="29" t="s">
        <v>1766</v>
      </c>
      <c r="C1356" s="30" t="s">
        <v>1767</v>
      </c>
      <c r="D1356" s="30" t="s">
        <v>22</v>
      </c>
      <c r="E1356" s="4" t="s">
        <v>16</v>
      </c>
      <c r="F1356" s="28" t="s">
        <v>97</v>
      </c>
      <c r="G1356" s="4"/>
      <c r="H1356" s="4">
        <f>SUMIFS(X!$F$5:$F$2005,X!$D$5:$D$2005,'CEK CICI'!A1356)</f>
        <v>0</v>
      </c>
      <c r="I1356" s="4">
        <f>SUMIFS(PENJUALAN!$E$4:$E$4288,PENJUALAN!$C$4:$C$4288,'CEK CICI'!A1356)</f>
        <v>0</v>
      </c>
      <c r="J1356" s="16">
        <f t="shared" si="2"/>
        <v>0</v>
      </c>
      <c r="K1356" s="4"/>
      <c r="L1356" s="4"/>
      <c r="M1356" s="4"/>
      <c r="N1356" s="4"/>
    </row>
    <row r="1357" ht="13.5" hidden="1" customHeight="1">
      <c r="A1357" s="4" t="str">
        <f t="shared" si="1"/>
        <v>TRW-BALENO96XYG</v>
      </c>
      <c r="B1357" s="29" t="s">
        <v>1815</v>
      </c>
      <c r="C1357" s="28" t="s">
        <v>1767</v>
      </c>
      <c r="D1357" s="28" t="s">
        <v>41</v>
      </c>
      <c r="E1357" s="4" t="s">
        <v>16</v>
      </c>
      <c r="F1357" s="28" t="s">
        <v>67</v>
      </c>
      <c r="G1357" s="4"/>
      <c r="H1357" s="4">
        <f>SUMIFS(X!$F$5:$F$2005,X!$D$5:$D$2005,'CEK CICI'!A1357)</f>
        <v>1</v>
      </c>
      <c r="I1357" s="4">
        <f>SUMIFS(PENJUALAN!$E$4:$E$4288,PENJUALAN!$C$4:$C$4288,'CEK CICI'!A1357)</f>
        <v>1</v>
      </c>
      <c r="J1357" s="16">
        <f t="shared" si="2"/>
        <v>0</v>
      </c>
      <c r="K1357" s="4"/>
      <c r="L1357" s="4"/>
      <c r="M1357" s="4"/>
      <c r="N1357" s="4"/>
    </row>
    <row r="1358" ht="13.5" hidden="1" customHeight="1">
      <c r="A1358" s="4" t="str">
        <f t="shared" si="1"/>
        <v>TRW-BALENO01XYG</v>
      </c>
      <c r="B1358" s="29" t="s">
        <v>1771</v>
      </c>
      <c r="C1358" s="28" t="s">
        <v>1772</v>
      </c>
      <c r="D1358" s="28" t="s">
        <v>41</v>
      </c>
      <c r="E1358" s="4" t="s">
        <v>16</v>
      </c>
      <c r="F1358" s="28" t="s">
        <v>67</v>
      </c>
      <c r="G1358" s="4"/>
      <c r="H1358" s="4">
        <f>SUMIFS(X!$F$5:$F$2005,X!$D$5:$D$2005,'CEK CICI'!A1358)</f>
        <v>1</v>
      </c>
      <c r="I1358" s="4">
        <f>SUMIFS(PENJUALAN!$E$4:$E$4288,PENJUALAN!$C$4:$C$4288,'CEK CICI'!A1358)</f>
        <v>0</v>
      </c>
      <c r="J1358" s="16">
        <f t="shared" si="2"/>
        <v>1</v>
      </c>
      <c r="K1358" s="15" t="s">
        <v>1499</v>
      </c>
      <c r="L1358" s="15"/>
      <c r="M1358" s="4"/>
      <c r="N1358" s="4"/>
    </row>
    <row r="1359" ht="13.5" hidden="1" customHeight="1">
      <c r="A1359" s="4" t="str">
        <f t="shared" si="1"/>
        <v>LFW-BALENO08XYG</v>
      </c>
      <c r="B1359" s="29" t="s">
        <v>1790</v>
      </c>
      <c r="C1359" s="28" t="s">
        <v>1791</v>
      </c>
      <c r="D1359" s="28" t="s">
        <v>22</v>
      </c>
      <c r="E1359" s="4" t="s">
        <v>16</v>
      </c>
      <c r="F1359" s="28" t="s">
        <v>125</v>
      </c>
      <c r="G1359" s="4"/>
      <c r="H1359" s="4">
        <f>SUMIFS(X!$F$5:$F$2005,X!$D$5:$D$2005,'CEK CICI'!A1359)</f>
        <v>5</v>
      </c>
      <c r="I1359" s="4">
        <f>SUMIFS(PENJUALAN!$E$4:$E$4288,PENJUALAN!$C$4:$C$4288,'CEK CICI'!A1359)</f>
        <v>4</v>
      </c>
      <c r="J1359" s="16">
        <f t="shared" si="2"/>
        <v>1</v>
      </c>
      <c r="K1359" s="15" t="s">
        <v>1792</v>
      </c>
      <c r="L1359" s="15"/>
      <c r="M1359" s="4"/>
      <c r="N1359" s="4"/>
    </row>
    <row r="1360" ht="13.5" hidden="1" customHeight="1">
      <c r="A1360" s="4" t="str">
        <f t="shared" si="1"/>
        <v>TRW-BALENOSX408XYG</v>
      </c>
      <c r="B1360" s="29" t="s">
        <v>1774</v>
      </c>
      <c r="C1360" s="28" t="s">
        <v>1775</v>
      </c>
      <c r="D1360" s="28" t="s">
        <v>41</v>
      </c>
      <c r="E1360" s="4" t="s">
        <v>16</v>
      </c>
      <c r="F1360" s="28" t="s">
        <v>67</v>
      </c>
      <c r="G1360" s="4"/>
      <c r="H1360" s="4">
        <f>SUMIFS(X!$F$5:$F$2005,X!$D$5:$D$2005,'CEK CICI'!A1360)</f>
        <v>0</v>
      </c>
      <c r="I1360" s="4">
        <f>SUMIFS(PENJUALAN!$E$4:$E$4288,PENJUALAN!$C$4:$C$4288,'CEK CICI'!A1360)</f>
        <v>0</v>
      </c>
      <c r="J1360" s="16">
        <f t="shared" si="2"/>
        <v>0</v>
      </c>
      <c r="K1360" s="4"/>
      <c r="L1360" s="4"/>
      <c r="M1360" s="4"/>
      <c r="N1360" s="4"/>
    </row>
    <row r="1361" ht="13.5" hidden="1" customHeight="1">
      <c r="A1361" s="4" t="str">
        <f t="shared" si="1"/>
        <v>SWR-BALENOSX408XYG</v>
      </c>
      <c r="B1361" s="29" t="s">
        <v>1776</v>
      </c>
      <c r="C1361" s="28" t="s">
        <v>1775</v>
      </c>
      <c r="D1361" s="28" t="s">
        <v>236</v>
      </c>
      <c r="E1361" s="4" t="s">
        <v>16</v>
      </c>
      <c r="F1361" s="28" t="s">
        <v>97</v>
      </c>
      <c r="G1361" s="4"/>
      <c r="H1361" s="4">
        <f>SUMIFS(X!$F$5:$F$2005,X!$D$5:$D$2005,'CEK CICI'!A1361)</f>
        <v>1</v>
      </c>
      <c r="I1361" s="4">
        <f>SUMIFS(PENJUALAN!$E$4:$E$4288,PENJUALAN!$C$4:$C$4288,'CEK CICI'!A1361)</f>
        <v>1</v>
      </c>
      <c r="J1361" s="16">
        <f t="shared" si="2"/>
        <v>0</v>
      </c>
      <c r="K1361" s="4"/>
      <c r="L1361" s="4"/>
      <c r="M1361" s="4"/>
      <c r="N1361" s="4"/>
    </row>
    <row r="1362" ht="13.5" hidden="1" customHeight="1">
      <c r="A1362" s="4" t="str">
        <f t="shared" si="1"/>
        <v>SWL-BALENOSX408XYG</v>
      </c>
      <c r="B1362" s="29" t="s">
        <v>1777</v>
      </c>
      <c r="C1362" s="28" t="s">
        <v>1775</v>
      </c>
      <c r="D1362" s="28" t="s">
        <v>202</v>
      </c>
      <c r="E1362" s="4" t="s">
        <v>16</v>
      </c>
      <c r="F1362" s="28" t="s">
        <v>97</v>
      </c>
      <c r="G1362" s="4"/>
      <c r="H1362" s="4">
        <f>SUMIFS(X!$F$5:$F$2005,X!$D$5:$D$2005,'CEK CICI'!A1362)</f>
        <v>0</v>
      </c>
      <c r="I1362" s="4">
        <f>SUMIFS(PENJUALAN!$E$4:$E$4288,PENJUALAN!$C$4:$C$4288,'CEK CICI'!A1362)</f>
        <v>0</v>
      </c>
      <c r="J1362" s="16">
        <f t="shared" si="2"/>
        <v>0</v>
      </c>
      <c r="K1362" s="4"/>
      <c r="L1362" s="4"/>
      <c r="M1362" s="4"/>
      <c r="N1362" s="4"/>
    </row>
    <row r="1363" ht="13.5" hidden="1" customHeight="1">
      <c r="A1363" s="4" t="str">
        <f t="shared" si="1"/>
        <v>TRW-BALENONEO08XYG</v>
      </c>
      <c r="B1363" s="29" t="s">
        <v>1778</v>
      </c>
      <c r="C1363" s="28" t="s">
        <v>1779</v>
      </c>
      <c r="D1363" s="28" t="s">
        <v>41</v>
      </c>
      <c r="E1363" s="4" t="s">
        <v>16</v>
      </c>
      <c r="F1363" s="28" t="s">
        <v>67</v>
      </c>
      <c r="G1363" s="4"/>
      <c r="H1363" s="4">
        <f>SUMIFS(X!$F$5:$F$2005,X!$D$5:$D$2005,'CEK CICI'!A1363)</f>
        <v>0</v>
      </c>
      <c r="I1363" s="4">
        <f>SUMIFS(PENJUALAN!$E$4:$E$4288,PENJUALAN!$C$4:$C$4288,'CEK CICI'!A1363)</f>
        <v>0</v>
      </c>
      <c r="J1363" s="16">
        <f t="shared" si="2"/>
        <v>0</v>
      </c>
      <c r="K1363" s="4"/>
      <c r="L1363" s="4"/>
      <c r="M1363" s="4"/>
      <c r="N1363" s="4"/>
    </row>
    <row r="1364" ht="13.5" hidden="1" customHeight="1">
      <c r="A1364" s="4" t="str">
        <f t="shared" si="1"/>
        <v>LFW-BALENO15XYG</v>
      </c>
      <c r="B1364" s="41" t="s">
        <v>2004</v>
      </c>
      <c r="C1364" s="28" t="s">
        <v>1783</v>
      </c>
      <c r="D1364" s="30" t="s">
        <v>22</v>
      </c>
      <c r="E1364" s="4" t="s">
        <v>16</v>
      </c>
      <c r="F1364" s="28" t="s">
        <v>125</v>
      </c>
      <c r="G1364" s="4"/>
      <c r="H1364" s="4">
        <f>SUMIFS(X!$F$5:$F$2005,X!$D$5:$D$2005,'CEK CICI'!A1364)</f>
        <v>4</v>
      </c>
      <c r="I1364" s="4">
        <f>SUMIFS(PENJUALAN!$E$4:$E$4288,PENJUALAN!$C$4:$C$4288,'CEK CICI'!A1364)</f>
        <v>3</v>
      </c>
      <c r="J1364" s="16">
        <f t="shared" si="2"/>
        <v>1</v>
      </c>
      <c r="K1364" s="15" t="s">
        <v>1792</v>
      </c>
      <c r="L1364" s="15"/>
      <c r="M1364" s="4"/>
      <c r="N1364" s="15" t="s">
        <v>1518</v>
      </c>
    </row>
    <row r="1365" ht="13.5" hidden="1" customHeight="1">
      <c r="A1365" s="4" t="str">
        <f t="shared" si="1"/>
        <v>TRW-BALENO15XYG</v>
      </c>
      <c r="B1365" s="41" t="s">
        <v>1782</v>
      </c>
      <c r="C1365" s="28" t="s">
        <v>1783</v>
      </c>
      <c r="D1365" s="28" t="s">
        <v>41</v>
      </c>
      <c r="E1365" s="4" t="s">
        <v>16</v>
      </c>
      <c r="F1365" s="28" t="s">
        <v>67</v>
      </c>
      <c r="G1365" s="4"/>
      <c r="H1365" s="4">
        <f>SUMIFS(X!$F$5:$F$2005,X!$D$5:$D$2005,'CEK CICI'!A1365)</f>
        <v>1</v>
      </c>
      <c r="I1365" s="4">
        <f>SUMIFS(PENJUALAN!$E$4:$E$4288,PENJUALAN!$C$4:$C$4288,'CEK CICI'!A1365)</f>
        <v>1</v>
      </c>
      <c r="J1365" s="16">
        <f t="shared" si="2"/>
        <v>0</v>
      </c>
      <c r="K1365" s="4"/>
      <c r="L1365" s="4"/>
      <c r="M1365" s="4"/>
      <c r="N1365" s="4"/>
    </row>
    <row r="1366" ht="13.5" hidden="1" customHeight="1">
      <c r="A1366" s="4" t="str">
        <f t="shared" si="1"/>
        <v>LFW-CARRYFUTURAXYG</v>
      </c>
      <c r="B1366" s="29" t="s">
        <v>1784</v>
      </c>
      <c r="C1366" s="28" t="s">
        <v>1785</v>
      </c>
      <c r="D1366" s="28" t="s">
        <v>22</v>
      </c>
      <c r="E1366" s="4" t="s">
        <v>16</v>
      </c>
      <c r="F1366" s="28"/>
      <c r="G1366" s="4"/>
      <c r="H1366" s="4">
        <f>SUMIFS(X!$F$5:$F$2005,X!$D$5:$D$2005,'CEK CICI'!A1366)</f>
        <v>0</v>
      </c>
      <c r="I1366" s="4">
        <f>SUMIFS(PENJUALAN!$E$4:$E$4288,PENJUALAN!$C$4:$C$4288,'CEK CICI'!A1366)</f>
        <v>0</v>
      </c>
      <c r="J1366" s="16">
        <f t="shared" si="2"/>
        <v>0</v>
      </c>
      <c r="K1366" s="4"/>
      <c r="L1366" s="4"/>
      <c r="M1366" s="4"/>
      <c r="N1366" s="4"/>
    </row>
    <row r="1367" ht="13.5" hidden="1" customHeight="1">
      <c r="A1367" s="4" t="str">
        <f t="shared" si="1"/>
        <v>LFW-CARRY19XYG</v>
      </c>
      <c r="B1367" s="29" t="s">
        <v>1994</v>
      </c>
      <c r="C1367" s="28" t="s">
        <v>1995</v>
      </c>
      <c r="D1367" s="28" t="s">
        <v>22</v>
      </c>
      <c r="E1367" s="4" t="s">
        <v>16</v>
      </c>
      <c r="F1367" s="28"/>
      <c r="G1367" s="4"/>
      <c r="H1367" s="4">
        <f>SUMIFS(X!$F$5:$F$2005,X!$D$5:$D$2005,'CEK CICI'!A1367)</f>
        <v>14</v>
      </c>
      <c r="I1367" s="4">
        <f>SUMIFS(PENJUALAN!$E$4:$E$4288,PENJUALAN!$C$4:$C$4288,'CEK CICI'!A1367)</f>
        <v>12</v>
      </c>
      <c r="J1367" s="16">
        <f t="shared" si="2"/>
        <v>2</v>
      </c>
      <c r="K1367" s="4"/>
      <c r="L1367" s="4"/>
      <c r="M1367" s="4"/>
      <c r="N1367" s="4"/>
    </row>
    <row r="1368" ht="13.5" hidden="1" customHeight="1">
      <c r="A1368" s="4" t="str">
        <f t="shared" si="1"/>
        <v>LFW-ERTIGA12XYG</v>
      </c>
      <c r="B1368" s="29" t="s">
        <v>1023</v>
      </c>
      <c r="C1368" s="28" t="s">
        <v>1024</v>
      </c>
      <c r="D1368" s="28" t="s">
        <v>22</v>
      </c>
      <c r="E1368" s="4" t="s">
        <v>16</v>
      </c>
      <c r="F1368" s="28" t="s">
        <v>97</v>
      </c>
      <c r="G1368" s="15" t="s">
        <v>11499</v>
      </c>
      <c r="H1368" s="4">
        <f>SUMIFS(X!$F$5:$F$2005,X!$D$5:$D$2005,'CEK CICI'!A1368)</f>
        <v>7</v>
      </c>
      <c r="I1368" s="4">
        <f>SUMIFS(PENJUALAN!$E$4:$E$4288,PENJUALAN!$C$4:$C$4288,'CEK CICI'!A1368)</f>
        <v>7</v>
      </c>
      <c r="J1368" s="16">
        <f t="shared" si="2"/>
        <v>0</v>
      </c>
      <c r="K1368" s="15" t="s">
        <v>1966</v>
      </c>
      <c r="L1368" s="15"/>
      <c r="M1368" s="4"/>
      <c r="N1368" s="4"/>
    </row>
    <row r="1369" ht="13.5" hidden="1" customHeight="1">
      <c r="A1369" s="4" t="str">
        <f t="shared" si="1"/>
        <v>TRW-ERTIGA12XYG</v>
      </c>
      <c r="B1369" s="29" t="s">
        <v>1962</v>
      </c>
      <c r="C1369" s="28" t="s">
        <v>1024</v>
      </c>
      <c r="D1369" s="28" t="s">
        <v>41</v>
      </c>
      <c r="E1369" s="4" t="s">
        <v>16</v>
      </c>
      <c r="F1369" s="33" t="s">
        <v>97</v>
      </c>
      <c r="G1369" s="4"/>
      <c r="H1369" s="4">
        <f>SUMIFS(X!$F$5:$F$2005,X!$D$5:$D$2005,'CEK CICI'!A1369)</f>
        <v>21</v>
      </c>
      <c r="I1369" s="4">
        <f>SUMIFS(PENJUALAN!$E$4:$E$4288,PENJUALAN!$C$4:$C$4288,'CEK CICI'!A1369)</f>
        <v>18</v>
      </c>
      <c r="J1369" s="16">
        <f t="shared" si="2"/>
        <v>3</v>
      </c>
      <c r="K1369" s="15" t="s">
        <v>1398</v>
      </c>
      <c r="L1369" s="15"/>
      <c r="M1369" s="5">
        <v>2.0</v>
      </c>
      <c r="N1369" s="4"/>
    </row>
    <row r="1370" ht="13.5" hidden="1" customHeight="1">
      <c r="A1370" s="4" t="str">
        <f t="shared" si="1"/>
        <v>LFW-ERTIGA18XYG</v>
      </c>
      <c r="B1370" s="29" t="s">
        <v>1793</v>
      </c>
      <c r="C1370" s="28" t="s">
        <v>1794</v>
      </c>
      <c r="D1370" s="28" t="s">
        <v>22</v>
      </c>
      <c r="E1370" s="4" t="s">
        <v>16</v>
      </c>
      <c r="F1370" s="28" t="s">
        <v>97</v>
      </c>
      <c r="G1370" s="4"/>
      <c r="H1370" s="4">
        <f>SUMIFS(X!$F$5:$F$2005,X!$D$5:$D$2005,'CEK CICI'!A1370)</f>
        <v>0</v>
      </c>
      <c r="I1370" s="4">
        <f>SUMIFS(PENJUALAN!$E$4:$E$4288,PENJUALAN!$C$4:$C$4288,'CEK CICI'!A1370)</f>
        <v>0</v>
      </c>
      <c r="J1370" s="16">
        <f t="shared" si="2"/>
        <v>0</v>
      </c>
      <c r="K1370" s="4"/>
      <c r="L1370" s="4"/>
      <c r="M1370" s="4"/>
      <c r="N1370" s="4"/>
    </row>
    <row r="1371" ht="13.5" hidden="1" customHeight="1">
      <c r="A1371" s="4" t="str">
        <f t="shared" si="1"/>
        <v>TRW-ERTIGA18XYG</v>
      </c>
      <c r="B1371" s="41" t="s">
        <v>1795</v>
      </c>
      <c r="C1371" s="28" t="s">
        <v>1794</v>
      </c>
      <c r="D1371" s="28" t="s">
        <v>41</v>
      </c>
      <c r="E1371" s="4" t="s">
        <v>16</v>
      </c>
      <c r="F1371" s="28" t="s">
        <v>67</v>
      </c>
      <c r="G1371" s="4"/>
      <c r="H1371" s="4">
        <f>SUMIFS(X!$F$5:$F$2005,X!$D$5:$D$2005,'CEK CICI'!A1371)</f>
        <v>0</v>
      </c>
      <c r="I1371" s="4">
        <f>SUMIFS(PENJUALAN!$E$4:$E$4288,PENJUALAN!$C$4:$C$4288,'CEK CICI'!A1371)</f>
        <v>0</v>
      </c>
      <c r="J1371" s="16">
        <f t="shared" si="2"/>
        <v>0</v>
      </c>
      <c r="K1371" s="4"/>
      <c r="L1371" s="4"/>
      <c r="M1371" s="5">
        <v>1.0</v>
      </c>
      <c r="N1371" s="4"/>
    </row>
    <row r="1372" ht="13.5" hidden="1" customHeight="1">
      <c r="A1372" s="4" t="str">
        <f t="shared" si="1"/>
        <v>LFW-ESCUDO00XYG</v>
      </c>
      <c r="B1372" s="29" t="s">
        <v>1796</v>
      </c>
      <c r="C1372" s="30" t="s">
        <v>1797</v>
      </c>
      <c r="D1372" s="30" t="s">
        <v>22</v>
      </c>
      <c r="E1372" s="4" t="s">
        <v>16</v>
      </c>
      <c r="F1372" s="28" t="s">
        <v>125</v>
      </c>
      <c r="G1372" s="4"/>
      <c r="H1372" s="4">
        <f>SUMIFS(X!$F$5:$F$2005,X!$D$5:$D$2005,'CEK CICI'!A1372)</f>
        <v>0</v>
      </c>
      <c r="I1372" s="4">
        <f>SUMIFS(PENJUALAN!$E$4:$E$4288,PENJUALAN!$C$4:$C$4288,'CEK CICI'!A1372)</f>
        <v>0</v>
      </c>
      <c r="J1372" s="16">
        <f t="shared" si="2"/>
        <v>0</v>
      </c>
      <c r="K1372" s="4"/>
      <c r="L1372" s="4"/>
      <c r="M1372" s="4"/>
      <c r="N1372" s="4"/>
    </row>
    <row r="1373" ht="13.5" hidden="1" customHeight="1">
      <c r="A1373" s="4" t="str">
        <f t="shared" si="1"/>
        <v>TRW-ESCUDO00XYG</v>
      </c>
      <c r="B1373" s="41" t="s">
        <v>1956</v>
      </c>
      <c r="C1373" s="30" t="s">
        <v>1797</v>
      </c>
      <c r="D1373" s="28" t="s">
        <v>41</v>
      </c>
      <c r="E1373" s="4" t="s">
        <v>16</v>
      </c>
      <c r="F1373" s="28" t="s">
        <v>67</v>
      </c>
      <c r="G1373" s="4"/>
      <c r="H1373" s="4">
        <f>SUMIFS(X!$F$5:$F$2005,X!$D$5:$D$2005,'CEK CICI'!A1373)</f>
        <v>3</v>
      </c>
      <c r="I1373" s="4">
        <f>SUMIFS(PENJUALAN!$E$4:$E$4288,PENJUALAN!$C$4:$C$4288,'CEK CICI'!A1373)</f>
        <v>1</v>
      </c>
      <c r="J1373" s="16">
        <f t="shared" si="2"/>
        <v>2</v>
      </c>
      <c r="K1373" s="15" t="s">
        <v>1456</v>
      </c>
      <c r="L1373" s="15"/>
      <c r="M1373" s="4"/>
      <c r="N1373" s="4"/>
    </row>
    <row r="1374" ht="13.5" hidden="1" customHeight="1">
      <c r="A1374" s="4" t="str">
        <f t="shared" si="1"/>
        <v>LFW-VITARA05XYG</v>
      </c>
      <c r="B1374" s="29" t="s">
        <v>1798</v>
      </c>
      <c r="C1374" s="30" t="s">
        <v>1799</v>
      </c>
      <c r="D1374" s="28" t="s">
        <v>22</v>
      </c>
      <c r="E1374" s="4" t="s">
        <v>16</v>
      </c>
      <c r="F1374" s="28" t="s">
        <v>125</v>
      </c>
      <c r="G1374" s="4"/>
      <c r="H1374" s="4">
        <f>SUMIFS(X!$F$5:$F$2005,X!$D$5:$D$2005,'CEK CICI'!A1374)</f>
        <v>1</v>
      </c>
      <c r="I1374" s="4">
        <f>SUMIFS(PENJUALAN!$E$4:$E$4288,PENJUALAN!$C$4:$C$4288,'CEK CICI'!A1374)</f>
        <v>1</v>
      </c>
      <c r="J1374" s="16">
        <f t="shared" si="2"/>
        <v>0</v>
      </c>
      <c r="K1374" s="4"/>
      <c r="L1374" s="4"/>
      <c r="M1374" s="4"/>
      <c r="N1374" s="4"/>
    </row>
    <row r="1375" ht="13.5" hidden="1" customHeight="1">
      <c r="A1375" s="4" t="str">
        <f t="shared" si="1"/>
        <v>TRW-VITARA05XYG</v>
      </c>
      <c r="B1375" s="29" t="s">
        <v>1800</v>
      </c>
      <c r="C1375" s="30" t="s">
        <v>1799</v>
      </c>
      <c r="D1375" s="28" t="s">
        <v>41</v>
      </c>
      <c r="E1375" s="4" t="s">
        <v>16</v>
      </c>
      <c r="F1375" s="28" t="s">
        <v>67</v>
      </c>
      <c r="G1375" s="4"/>
      <c r="H1375" s="4">
        <f>SUMIFS(X!$F$5:$F$2005,X!$D$5:$D$2005,'CEK CICI'!A1375)</f>
        <v>1</v>
      </c>
      <c r="I1375" s="4">
        <f>SUMIFS(PENJUALAN!$E$4:$E$4288,PENJUALAN!$C$4:$C$4288,'CEK CICI'!A1375)</f>
        <v>1</v>
      </c>
      <c r="J1375" s="16">
        <f t="shared" si="2"/>
        <v>0</v>
      </c>
      <c r="K1375" s="4"/>
      <c r="L1375" s="4"/>
      <c r="M1375" s="4"/>
      <c r="N1375" s="4"/>
    </row>
    <row r="1376" ht="13.5" hidden="1" customHeight="1">
      <c r="A1376" s="4" t="str">
        <f t="shared" si="1"/>
        <v>LFW-IGNISXYG</v>
      </c>
      <c r="B1376" s="29" t="s">
        <v>1801</v>
      </c>
      <c r="C1376" s="30" t="s">
        <v>1802</v>
      </c>
      <c r="D1376" s="28" t="s">
        <v>22</v>
      </c>
      <c r="E1376" s="4" t="s">
        <v>16</v>
      </c>
      <c r="F1376" s="28" t="s">
        <v>97</v>
      </c>
      <c r="G1376" s="4"/>
      <c r="H1376" s="4">
        <f>SUMIFS(X!$F$5:$F$2005,X!$D$5:$D$2005,'CEK CICI'!A1376)</f>
        <v>0</v>
      </c>
      <c r="I1376" s="4">
        <f>SUMIFS(PENJUALAN!$E$4:$E$4288,PENJUALAN!$C$4:$C$4288,'CEK CICI'!A1376)</f>
        <v>0</v>
      </c>
      <c r="J1376" s="16">
        <f t="shared" si="2"/>
        <v>0</v>
      </c>
      <c r="K1376" s="4"/>
      <c r="L1376" s="4"/>
      <c r="M1376" s="4"/>
      <c r="N1376" s="4"/>
    </row>
    <row r="1377" ht="13.5" hidden="1" customHeight="1">
      <c r="A1377" s="4" t="str">
        <f t="shared" si="1"/>
        <v>TRW-IGNISXYG</v>
      </c>
      <c r="B1377" s="29" t="s">
        <v>1803</v>
      </c>
      <c r="C1377" s="30" t="s">
        <v>1802</v>
      </c>
      <c r="D1377" s="28" t="s">
        <v>41</v>
      </c>
      <c r="E1377" s="4" t="s">
        <v>16</v>
      </c>
      <c r="F1377" s="28" t="s">
        <v>221</v>
      </c>
      <c r="G1377" s="4"/>
      <c r="H1377" s="4">
        <f>SUMIFS(X!$F$5:$F$2005,X!$D$5:$D$2005,'CEK CICI'!A1377)</f>
        <v>0</v>
      </c>
      <c r="I1377" s="4">
        <f>SUMIFS(PENJUALAN!$E$4:$E$4288,PENJUALAN!$C$4:$C$4288,'CEK CICI'!A1377)</f>
        <v>0</v>
      </c>
      <c r="J1377" s="16">
        <f t="shared" si="2"/>
        <v>0</v>
      </c>
      <c r="K1377" s="4"/>
      <c r="L1377" s="4"/>
      <c r="M1377" s="4"/>
      <c r="N1377" s="4"/>
    </row>
    <row r="1378" ht="13.5" hidden="1" customHeight="1">
      <c r="A1378" s="4" t="str">
        <f t="shared" si="1"/>
        <v>LFW-JIMNY19XYG</v>
      </c>
      <c r="B1378" s="41" t="s">
        <v>1804</v>
      </c>
      <c r="C1378" s="28" t="s">
        <v>1805</v>
      </c>
      <c r="D1378" s="28" t="s">
        <v>22</v>
      </c>
      <c r="E1378" s="4" t="s">
        <v>16</v>
      </c>
      <c r="F1378" s="28" t="s">
        <v>97</v>
      </c>
      <c r="G1378" s="4"/>
      <c r="H1378" s="4">
        <f>SUMIFS(X!$F$5:$F$2005,X!$D$5:$D$2005,'CEK CICI'!A1378)</f>
        <v>0</v>
      </c>
      <c r="I1378" s="4">
        <f>SUMIFS(PENJUALAN!$E$4:$E$4288,PENJUALAN!$C$4:$C$4288,'CEK CICI'!A1378)</f>
        <v>0</v>
      </c>
      <c r="J1378" s="16">
        <f t="shared" si="2"/>
        <v>0</v>
      </c>
      <c r="K1378" s="4"/>
      <c r="L1378" s="4"/>
      <c r="M1378" s="4"/>
      <c r="N1378" s="4"/>
    </row>
    <row r="1379" ht="13.5" hidden="1" customHeight="1">
      <c r="A1379" s="4" t="str">
        <f t="shared" si="1"/>
        <v>TRW-JIMNY19XYG</v>
      </c>
      <c r="B1379" s="41" t="s">
        <v>1806</v>
      </c>
      <c r="C1379" s="28" t="s">
        <v>1805</v>
      </c>
      <c r="D1379" s="28" t="s">
        <v>41</v>
      </c>
      <c r="E1379" s="4" t="s">
        <v>16</v>
      </c>
      <c r="F1379" s="28" t="s">
        <v>67</v>
      </c>
      <c r="G1379" s="4"/>
      <c r="H1379" s="4">
        <f>SUMIFS(X!$F$5:$F$2005,X!$D$5:$D$2005,'CEK CICI'!A1379)</f>
        <v>0</v>
      </c>
      <c r="I1379" s="4">
        <f>SUMIFS(PENJUALAN!$E$4:$E$4288,PENJUALAN!$C$4:$C$4288,'CEK CICI'!A1379)</f>
        <v>0</v>
      </c>
      <c r="J1379" s="16">
        <f t="shared" si="2"/>
        <v>0</v>
      </c>
      <c r="K1379" s="4"/>
      <c r="L1379" s="4"/>
      <c r="M1379" s="4"/>
      <c r="N1379" s="4"/>
    </row>
    <row r="1380" ht="13.5" hidden="1" customHeight="1">
      <c r="A1380" s="4" t="str">
        <f t="shared" si="1"/>
        <v>LFW-KARIMUN99XYG</v>
      </c>
      <c r="B1380" s="29" t="s">
        <v>1915</v>
      </c>
      <c r="C1380" s="28" t="s">
        <v>1808</v>
      </c>
      <c r="D1380" s="28" t="s">
        <v>22</v>
      </c>
      <c r="E1380" s="4" t="s">
        <v>16</v>
      </c>
      <c r="F1380" s="28" t="s">
        <v>97</v>
      </c>
      <c r="G1380" s="4"/>
      <c r="H1380" s="4">
        <f>SUMIFS(X!$F$5:$F$2005,X!$D$5:$D$2005,'CEK CICI'!A1380)</f>
        <v>2</v>
      </c>
      <c r="I1380" s="4">
        <f>SUMIFS(PENJUALAN!$E$4:$E$4288,PENJUALAN!$C$4:$C$4288,'CEK CICI'!A1380)</f>
        <v>2</v>
      </c>
      <c r="J1380" s="16">
        <f t="shared" si="2"/>
        <v>0</v>
      </c>
      <c r="K1380" s="4"/>
      <c r="L1380" s="4"/>
      <c r="M1380" s="4"/>
      <c r="N1380" s="4"/>
    </row>
    <row r="1381" ht="13.5" hidden="1" customHeight="1">
      <c r="A1381" s="4" t="str">
        <f t="shared" si="1"/>
        <v>TRW-KARIMUN99XYG</v>
      </c>
      <c r="B1381" s="29" t="s">
        <v>1807</v>
      </c>
      <c r="C1381" s="28" t="s">
        <v>1808</v>
      </c>
      <c r="D1381" s="28" t="s">
        <v>41</v>
      </c>
      <c r="E1381" s="4" t="s">
        <v>16</v>
      </c>
      <c r="F1381" s="28" t="s">
        <v>67</v>
      </c>
      <c r="G1381" s="4"/>
      <c r="H1381" s="4">
        <f>SUMIFS(X!$F$5:$F$2005,X!$D$5:$D$2005,'CEK CICI'!A1381)</f>
        <v>0</v>
      </c>
      <c r="I1381" s="4">
        <f>SUMIFS(PENJUALAN!$E$4:$E$4288,PENJUALAN!$C$4:$C$4288,'CEK CICI'!A1381)</f>
        <v>0</v>
      </c>
      <c r="J1381" s="16">
        <f t="shared" si="2"/>
        <v>0</v>
      </c>
      <c r="K1381" s="4"/>
      <c r="L1381" s="4"/>
      <c r="M1381" s="4"/>
      <c r="N1381" s="4"/>
    </row>
    <row r="1382" ht="13.5" hidden="1" customHeight="1">
      <c r="A1382" s="4" t="str">
        <f t="shared" si="1"/>
        <v>LFW-ESTILOXYG</v>
      </c>
      <c r="B1382" s="29" t="s">
        <v>1809</v>
      </c>
      <c r="C1382" s="28" t="s">
        <v>1810</v>
      </c>
      <c r="D1382" s="28" t="s">
        <v>22</v>
      </c>
      <c r="E1382" s="4" t="s">
        <v>16</v>
      </c>
      <c r="F1382" s="28" t="s">
        <v>97</v>
      </c>
      <c r="G1382" s="4"/>
      <c r="H1382" s="4">
        <f>SUMIFS(X!$F$5:$F$2005,X!$D$5:$D$2005,'CEK CICI'!A1382)</f>
        <v>0</v>
      </c>
      <c r="I1382" s="4">
        <f>SUMIFS(PENJUALAN!$E$4:$E$4288,PENJUALAN!$C$4:$C$4288,'CEK CICI'!A1382)</f>
        <v>0</v>
      </c>
      <c r="J1382" s="16">
        <f t="shared" si="2"/>
        <v>0</v>
      </c>
      <c r="K1382" s="4"/>
      <c r="L1382" s="4"/>
      <c r="M1382" s="4"/>
      <c r="N1382" s="4"/>
    </row>
    <row r="1383" ht="13.5" hidden="1" customHeight="1">
      <c r="A1383" s="4" t="str">
        <f t="shared" si="1"/>
        <v>TRW-ESTILOXYG</v>
      </c>
      <c r="B1383" s="41" t="s">
        <v>1464</v>
      </c>
      <c r="C1383" s="30" t="s">
        <v>1810</v>
      </c>
      <c r="D1383" s="30" t="s">
        <v>41</v>
      </c>
      <c r="E1383" s="4" t="s">
        <v>16</v>
      </c>
      <c r="F1383" s="28" t="s">
        <v>97</v>
      </c>
      <c r="G1383" s="4"/>
      <c r="H1383" s="4">
        <f>SUMIFS(X!$F$5:$F$2005,X!$D$5:$D$2005,'CEK CICI'!A1383)</f>
        <v>0</v>
      </c>
      <c r="I1383" s="4">
        <f>SUMIFS(PENJUALAN!$E$4:$E$4288,PENJUALAN!$C$4:$C$4288,'CEK CICI'!A1383)</f>
        <v>0</v>
      </c>
      <c r="J1383" s="16">
        <f t="shared" si="2"/>
        <v>0</v>
      </c>
      <c r="K1383" s="4"/>
      <c r="L1383" s="4"/>
      <c r="M1383" s="4"/>
      <c r="N1383" s="4"/>
    </row>
    <row r="1384" ht="13.5" hidden="1" customHeight="1">
      <c r="A1384" s="4" t="str">
        <f t="shared" si="1"/>
        <v>LFW-SPLASHXYG</v>
      </c>
      <c r="B1384" s="29" t="s">
        <v>1025</v>
      </c>
      <c r="C1384" s="28" t="s">
        <v>1026</v>
      </c>
      <c r="D1384" s="28" t="s">
        <v>22</v>
      </c>
      <c r="E1384" s="4" t="s">
        <v>16</v>
      </c>
      <c r="F1384" s="28" t="s">
        <v>97</v>
      </c>
      <c r="G1384" s="4"/>
      <c r="H1384" s="4">
        <f>SUMIFS(X!$F$5:$F$2005,X!$D$5:$D$2005,'CEK CICI'!A1384)</f>
        <v>1</v>
      </c>
      <c r="I1384" s="4">
        <f>SUMIFS(PENJUALAN!$E$4:$E$4288,PENJUALAN!$C$4:$C$4288,'CEK CICI'!A1384)</f>
        <v>1</v>
      </c>
      <c r="J1384" s="16">
        <f t="shared" si="2"/>
        <v>0</v>
      </c>
      <c r="K1384" s="4"/>
      <c r="L1384" s="4"/>
      <c r="M1384" s="4"/>
      <c r="N1384" s="4"/>
    </row>
    <row r="1385" ht="13.5" customHeight="1">
      <c r="A1385" s="4" t="str">
        <f t="shared" si="1"/>
        <v>LFW-SWIFT04XYG</v>
      </c>
      <c r="B1385" s="29" t="s">
        <v>1914</v>
      </c>
      <c r="C1385" s="30" t="s">
        <v>1406</v>
      </c>
      <c r="D1385" s="28" t="s">
        <v>22</v>
      </c>
      <c r="E1385" s="4" t="s">
        <v>16</v>
      </c>
      <c r="F1385" s="28" t="s">
        <v>97</v>
      </c>
      <c r="G1385" s="15">
        <v>1.0</v>
      </c>
      <c r="H1385" s="4">
        <f>SUMIFS(X!$F$5:$F$2005,X!$D$5:$D$2005,'CEK CICI'!A1385)</f>
        <v>9</v>
      </c>
      <c r="I1385" s="4">
        <f>SUMIFS(PENJUALAN!$E$4:$E$4288,PENJUALAN!$C$4:$C$4288,'CEK CICI'!A1385)</f>
        <v>8</v>
      </c>
      <c r="J1385" s="16">
        <f t="shared" si="2"/>
        <v>1</v>
      </c>
      <c r="K1385" s="15" t="s">
        <v>1362</v>
      </c>
      <c r="L1385" s="15"/>
      <c r="M1385" s="4"/>
      <c r="N1385" s="4"/>
    </row>
    <row r="1386" ht="13.5" hidden="1" customHeight="1">
      <c r="A1386" s="4" t="str">
        <f t="shared" si="1"/>
        <v>TRW-SWIFT04XYG</v>
      </c>
      <c r="B1386" s="29" t="s">
        <v>1811</v>
      </c>
      <c r="C1386" s="30" t="s">
        <v>1406</v>
      </c>
      <c r="D1386" s="28" t="s">
        <v>41</v>
      </c>
      <c r="E1386" s="4" t="s">
        <v>16</v>
      </c>
      <c r="F1386" s="28" t="s">
        <v>221</v>
      </c>
      <c r="G1386" s="4"/>
      <c r="H1386" s="4">
        <f>SUMIFS(X!$F$5:$F$2005,X!$D$5:$D$2005,'CEK CICI'!A1386)</f>
        <v>4</v>
      </c>
      <c r="I1386" s="4">
        <f>SUMIFS(PENJUALAN!$E$4:$E$4288,PENJUALAN!$C$4:$C$4288,'CEK CICI'!A1386)</f>
        <v>3</v>
      </c>
      <c r="J1386" s="16">
        <f t="shared" si="2"/>
        <v>1</v>
      </c>
      <c r="K1386" s="4"/>
      <c r="L1386" s="4"/>
      <c r="M1386" s="4"/>
      <c r="N1386" s="4"/>
    </row>
    <row r="1387" ht="13.5" hidden="1" customHeight="1">
      <c r="A1387" s="4" t="str">
        <f t="shared" si="1"/>
        <v>TRW-SWIFT11XYG</v>
      </c>
      <c r="B1387" s="29" t="s">
        <v>1812</v>
      </c>
      <c r="C1387" s="30" t="s">
        <v>1483</v>
      </c>
      <c r="D1387" s="30" t="s">
        <v>41</v>
      </c>
      <c r="E1387" s="4" t="s">
        <v>16</v>
      </c>
      <c r="F1387" s="28" t="s">
        <v>67</v>
      </c>
      <c r="G1387" s="4"/>
      <c r="H1387" s="4">
        <f>SUMIFS(X!$F$5:$F$2005,X!$D$5:$D$2005,'CEK CICI'!A1387)</f>
        <v>0</v>
      </c>
      <c r="I1387" s="4">
        <f>SUMIFS(PENJUALAN!$E$4:$E$4288,PENJUALAN!$C$4:$C$4288,'CEK CICI'!A1387)</f>
        <v>0</v>
      </c>
      <c r="J1387" s="16">
        <f t="shared" si="2"/>
        <v>0</v>
      </c>
      <c r="K1387" s="4"/>
      <c r="L1387" s="4"/>
      <c r="M1387" s="4"/>
      <c r="N1387" s="4"/>
    </row>
    <row r="1388" ht="13.5" customHeight="1">
      <c r="A1388" s="4" t="str">
        <f t="shared" si="1"/>
        <v>TRW-WAGON13XYG</v>
      </c>
      <c r="B1388" s="41" t="s">
        <v>1912</v>
      </c>
      <c r="C1388" s="30" t="s">
        <v>1477</v>
      </c>
      <c r="D1388" s="30" t="s">
        <v>41</v>
      </c>
      <c r="E1388" s="4" t="s">
        <v>16</v>
      </c>
      <c r="F1388" s="30" t="s">
        <v>67</v>
      </c>
      <c r="G1388" s="15">
        <v>1.0</v>
      </c>
      <c r="H1388" s="4">
        <f>SUMIFS(X!$F$5:$F$2005,X!$D$5:$D$2005,'CEK CICI'!A1388)</f>
        <v>4</v>
      </c>
      <c r="I1388" s="4">
        <f>SUMIFS(PENJUALAN!$E$4:$E$4288,PENJUALAN!$C$4:$C$4288,'CEK CICI'!A1388)</f>
        <v>3</v>
      </c>
      <c r="J1388" s="16">
        <f t="shared" si="2"/>
        <v>1</v>
      </c>
      <c r="K1388" s="15" t="s">
        <v>101</v>
      </c>
      <c r="L1388" s="15"/>
      <c r="M1388" s="4"/>
      <c r="N1388" s="4"/>
    </row>
    <row r="1389" ht="13.5" hidden="1" customHeight="1">
      <c r="A1389" s="4" t="str">
        <f t="shared" si="1"/>
        <v>LFW-TATAACEXYG</v>
      </c>
      <c r="B1389" s="41" t="s">
        <v>1910</v>
      </c>
      <c r="C1389" s="30" t="s">
        <v>1911</v>
      </c>
      <c r="D1389" s="30" t="s">
        <v>22</v>
      </c>
      <c r="E1389" s="4" t="s">
        <v>16</v>
      </c>
      <c r="F1389" s="30" t="s">
        <v>125</v>
      </c>
      <c r="G1389" s="4"/>
      <c r="H1389" s="4">
        <f>SUMIFS(X!$F$5:$F$2005,X!$D$5:$D$2005,'CEK CICI'!A1389)</f>
        <v>5</v>
      </c>
      <c r="I1389" s="4">
        <f>SUMIFS(PENJUALAN!$E$4:$E$4288,PENJUALAN!$C$4:$C$4288,'CEK CICI'!A1389)</f>
        <v>4</v>
      </c>
      <c r="J1389" s="16">
        <f t="shared" si="2"/>
        <v>1</v>
      </c>
      <c r="K1389" s="15" t="s">
        <v>1878</v>
      </c>
      <c r="L1389" s="15"/>
      <c r="M1389" s="4"/>
      <c r="N1389" s="4"/>
    </row>
    <row r="1390" ht="13.5" hidden="1" customHeight="1">
      <c r="A1390" s="4" t="str">
        <f t="shared" si="1"/>
        <v>LFW-ALPHARD02XYG</v>
      </c>
      <c r="B1390" s="29" t="s">
        <v>1028</v>
      </c>
      <c r="C1390" s="28" t="s">
        <v>1029</v>
      </c>
      <c r="D1390" s="28" t="s">
        <v>22</v>
      </c>
      <c r="E1390" s="4" t="s">
        <v>16</v>
      </c>
      <c r="F1390" s="28" t="s">
        <v>125</v>
      </c>
      <c r="G1390" s="4"/>
      <c r="H1390" s="4">
        <f>SUMIFS(X!$F$5:$F$2005,X!$D$5:$D$2005,'CEK CICI'!A1390)</f>
        <v>6</v>
      </c>
      <c r="I1390" s="4">
        <f>SUMIFS(PENJUALAN!$E$4:$E$4288,PENJUALAN!$C$4:$C$4288,'CEK CICI'!A1390)</f>
        <v>0</v>
      </c>
      <c r="J1390" s="16">
        <f t="shared" si="2"/>
        <v>6</v>
      </c>
      <c r="K1390" s="4"/>
      <c r="L1390" s="4"/>
      <c r="M1390" s="4"/>
      <c r="N1390" s="4"/>
    </row>
    <row r="1391" ht="13.5" hidden="1" customHeight="1">
      <c r="A1391" s="4" t="str">
        <f t="shared" si="1"/>
        <v>TRW-ALPHARD02BLACKXYG</v>
      </c>
      <c r="B1391" s="29" t="s">
        <v>1031</v>
      </c>
      <c r="C1391" s="28" t="s">
        <v>1032</v>
      </c>
      <c r="D1391" s="28" t="s">
        <v>41</v>
      </c>
      <c r="E1391" s="4" t="s">
        <v>16</v>
      </c>
      <c r="F1391" s="28" t="s">
        <v>67</v>
      </c>
      <c r="G1391" s="4"/>
      <c r="H1391" s="4">
        <f>SUMIFS(X!$F$5:$F$2005,X!$D$5:$D$2005,'CEK CICI'!A1391)</f>
        <v>4</v>
      </c>
      <c r="I1391" s="4">
        <f>SUMIFS(PENJUALAN!$E$4:$E$4288,PENJUALAN!$C$4:$C$4288,'CEK CICI'!A1391)</f>
        <v>3</v>
      </c>
      <c r="J1391" s="16">
        <f t="shared" si="2"/>
        <v>1</v>
      </c>
      <c r="K1391" s="15" t="s">
        <v>139</v>
      </c>
      <c r="L1391" s="15"/>
      <c r="M1391" s="4"/>
      <c r="N1391" s="4"/>
    </row>
    <row r="1392" ht="13.5" hidden="1" customHeight="1">
      <c r="A1392" s="4" t="str">
        <f t="shared" si="1"/>
        <v>FVL-ALPHARD02XYG</v>
      </c>
      <c r="B1392" s="29" t="s">
        <v>1816</v>
      </c>
      <c r="C1392" s="30" t="s">
        <v>1029</v>
      </c>
      <c r="D1392" s="30" t="s">
        <v>400</v>
      </c>
      <c r="E1392" s="4" t="s">
        <v>16</v>
      </c>
      <c r="F1392" s="34"/>
      <c r="G1392" s="4"/>
      <c r="H1392" s="4">
        <f>SUMIFS(X!$F$5:$F$2005,X!$D$5:$D$2005,'CEK CICI'!A1392)</f>
        <v>0</v>
      </c>
      <c r="I1392" s="4">
        <f>SUMIFS(PENJUALAN!$E$4:$E$4288,PENJUALAN!$C$4:$C$4288,'CEK CICI'!A1392)</f>
        <v>0</v>
      </c>
      <c r="J1392" s="16">
        <f t="shared" si="2"/>
        <v>0</v>
      </c>
      <c r="K1392" s="4"/>
      <c r="L1392" s="4"/>
      <c r="M1392" s="4"/>
      <c r="N1392" s="4"/>
    </row>
    <row r="1393" ht="13.5" hidden="1" customHeight="1">
      <c r="A1393" s="4" t="str">
        <f t="shared" si="1"/>
        <v>FVR-ALPHARD02XYG</v>
      </c>
      <c r="B1393" s="29" t="s">
        <v>1817</v>
      </c>
      <c r="C1393" s="30" t="s">
        <v>1029</v>
      </c>
      <c r="D1393" s="30" t="s">
        <v>402</v>
      </c>
      <c r="E1393" s="4" t="s">
        <v>16</v>
      </c>
      <c r="F1393" s="34"/>
      <c r="G1393" s="4"/>
      <c r="H1393" s="4">
        <f>SUMIFS(X!$F$5:$F$2005,X!$D$5:$D$2005,'CEK CICI'!A1393)</f>
        <v>0</v>
      </c>
      <c r="I1393" s="4">
        <f>SUMIFS(PENJUALAN!$E$4:$E$4288,PENJUALAN!$C$4:$C$4288,'CEK CICI'!A1393)</f>
        <v>0</v>
      </c>
      <c r="J1393" s="16">
        <f t="shared" si="2"/>
        <v>0</v>
      </c>
      <c r="K1393" s="4"/>
      <c r="L1393" s="4"/>
      <c r="M1393" s="4"/>
      <c r="N1393" s="4"/>
    </row>
    <row r="1394" ht="13.5" hidden="1" customHeight="1">
      <c r="A1394" s="4" t="str">
        <f t="shared" si="1"/>
        <v>FDL-ALPHARD02XYG</v>
      </c>
      <c r="B1394" s="29" t="s">
        <v>1033</v>
      </c>
      <c r="C1394" s="28" t="s">
        <v>1029</v>
      </c>
      <c r="D1394" s="28" t="s">
        <v>128</v>
      </c>
      <c r="E1394" s="4" t="s">
        <v>16</v>
      </c>
      <c r="F1394" s="28"/>
      <c r="G1394" s="4"/>
      <c r="H1394" s="4">
        <f>SUMIFS(X!$F$5:$F$2005,X!$D$5:$D$2005,'CEK CICI'!A1394)</f>
        <v>0</v>
      </c>
      <c r="I1394" s="4">
        <f>SUMIFS(PENJUALAN!$E$4:$E$4288,PENJUALAN!$C$4:$C$4288,'CEK CICI'!A1394)</f>
        <v>0</v>
      </c>
      <c r="J1394" s="16">
        <f t="shared" si="2"/>
        <v>0</v>
      </c>
      <c r="K1394" s="4"/>
      <c r="L1394" s="4"/>
      <c r="M1394" s="4"/>
      <c r="N1394" s="4"/>
    </row>
    <row r="1395" ht="13.5" hidden="1" customHeight="1">
      <c r="A1395" s="4" t="str">
        <f t="shared" si="1"/>
        <v>FDR-ALPHARD02XYG</v>
      </c>
      <c r="B1395" s="29" t="s">
        <v>1034</v>
      </c>
      <c r="C1395" s="28" t="s">
        <v>1029</v>
      </c>
      <c r="D1395" s="28" t="s">
        <v>130</v>
      </c>
      <c r="E1395" s="4" t="s">
        <v>16</v>
      </c>
      <c r="F1395" s="28"/>
      <c r="G1395" s="4"/>
      <c r="H1395" s="4">
        <f>SUMIFS(X!$F$5:$F$2005,X!$D$5:$D$2005,'CEK CICI'!A1395)</f>
        <v>0</v>
      </c>
      <c r="I1395" s="4">
        <f>SUMIFS(PENJUALAN!$E$4:$E$4288,PENJUALAN!$C$4:$C$4288,'CEK CICI'!A1395)</f>
        <v>0</v>
      </c>
      <c r="J1395" s="16">
        <f t="shared" si="2"/>
        <v>0</v>
      </c>
      <c r="K1395" s="4"/>
      <c r="L1395" s="4"/>
      <c r="M1395" s="4"/>
      <c r="N1395" s="4"/>
    </row>
    <row r="1396" ht="13.5" hidden="1" customHeight="1">
      <c r="A1396" s="4" t="str">
        <f t="shared" si="1"/>
        <v>SWL-ALPHARD02RATAHITAMXYG</v>
      </c>
      <c r="B1396" s="29" t="s">
        <v>1818</v>
      </c>
      <c r="C1396" s="28" t="s">
        <v>1819</v>
      </c>
      <c r="D1396" s="28" t="s">
        <v>202</v>
      </c>
      <c r="E1396" s="4" t="s">
        <v>16</v>
      </c>
      <c r="F1396" s="28" t="s">
        <v>234</v>
      </c>
      <c r="G1396" s="4"/>
      <c r="H1396" s="4">
        <f>SUMIFS(X!$F$5:$F$2005,X!$D$5:$D$2005,'CEK CICI'!A1396)</f>
        <v>0</v>
      </c>
      <c r="I1396" s="4">
        <f>SUMIFS(PENJUALAN!$E$4:$E$4288,PENJUALAN!$C$4:$C$4288,'CEK CICI'!A1396)</f>
        <v>0</v>
      </c>
      <c r="J1396" s="16">
        <f t="shared" si="2"/>
        <v>0</v>
      </c>
      <c r="K1396" s="4"/>
      <c r="L1396" s="4"/>
      <c r="M1396" s="4"/>
      <c r="N1396" s="4"/>
    </row>
    <row r="1397" ht="13.5" hidden="1" customHeight="1">
      <c r="A1397" s="4" t="str">
        <f t="shared" si="1"/>
        <v>SWR-ALPHARD08RATAHITAMXYG</v>
      </c>
      <c r="B1397" s="29" t="s">
        <v>1820</v>
      </c>
      <c r="C1397" s="28" t="s">
        <v>1819</v>
      </c>
      <c r="D1397" s="28" t="s">
        <v>236</v>
      </c>
      <c r="E1397" s="4" t="s">
        <v>16</v>
      </c>
      <c r="F1397" s="28" t="s">
        <v>234</v>
      </c>
      <c r="G1397" s="4"/>
      <c r="H1397" s="4">
        <f>SUMIFS(X!$F$5:$F$2005,X!$D$5:$D$2005,'CEK CICI'!A1397)</f>
        <v>0</v>
      </c>
      <c r="I1397" s="4">
        <f>SUMIFS(PENJUALAN!$E$4:$E$4288,PENJUALAN!$C$4:$C$4288,'CEK CICI'!A1397)</f>
        <v>0</v>
      </c>
      <c r="J1397" s="16">
        <f t="shared" si="2"/>
        <v>0</v>
      </c>
      <c r="K1397" s="4"/>
      <c r="L1397" s="4"/>
      <c r="M1397" s="4"/>
      <c r="N1397" s="4"/>
    </row>
    <row r="1398" ht="13.5" hidden="1" customHeight="1">
      <c r="A1398" s="4" t="str">
        <f t="shared" si="1"/>
        <v>LFW-ALPHARD08RSXYG</v>
      </c>
      <c r="B1398" s="29" t="s">
        <v>72</v>
      </c>
      <c r="C1398" s="28" t="s">
        <v>73</v>
      </c>
      <c r="D1398" s="28" t="s">
        <v>22</v>
      </c>
      <c r="E1398" s="4" t="s">
        <v>16</v>
      </c>
      <c r="F1398" s="28" t="s">
        <v>75</v>
      </c>
      <c r="G1398" s="4"/>
      <c r="H1398" s="4">
        <f>SUMIFS(X!$F$5:$F$2005,X!$D$5:$D$2005,'CEK CICI'!A1398)</f>
        <v>6</v>
      </c>
      <c r="I1398" s="4">
        <f>SUMIFS(PENJUALAN!$E$4:$E$4288,PENJUALAN!$C$4:$C$4288,'CEK CICI'!A1398)</f>
        <v>2</v>
      </c>
      <c r="J1398" s="16">
        <f t="shared" si="2"/>
        <v>4</v>
      </c>
      <c r="K1398" s="4"/>
      <c r="L1398" s="4"/>
      <c r="M1398" s="4"/>
      <c r="N1398" s="4"/>
    </row>
    <row r="1399" ht="13.5" hidden="1" customHeight="1">
      <c r="A1399" s="4" t="str">
        <f t="shared" si="1"/>
        <v>LFW-ALPHARD08XYG</v>
      </c>
      <c r="B1399" s="29" t="s">
        <v>1045</v>
      </c>
      <c r="C1399" s="28" t="s">
        <v>73</v>
      </c>
      <c r="D1399" s="28" t="s">
        <v>22</v>
      </c>
      <c r="E1399" s="4" t="s">
        <v>16</v>
      </c>
      <c r="F1399" s="28" t="s">
        <v>125</v>
      </c>
      <c r="G1399" s="4"/>
      <c r="H1399" s="4">
        <f>SUMIFS(X!$F$5:$F$2005,X!$D$5:$D$2005,'CEK CICI'!A1399)</f>
        <v>4</v>
      </c>
      <c r="I1399" s="4">
        <f>SUMIFS(PENJUALAN!$E$4:$E$4288,PENJUALAN!$C$4:$C$4288,'CEK CICI'!A1399)</f>
        <v>3</v>
      </c>
      <c r="J1399" s="16">
        <f t="shared" si="2"/>
        <v>1</v>
      </c>
      <c r="K1399" s="15" t="s">
        <v>1496</v>
      </c>
      <c r="L1399" s="15"/>
      <c r="M1399" s="4"/>
      <c r="N1399" s="4"/>
    </row>
    <row r="1400" ht="13.5" hidden="1" customHeight="1">
      <c r="A1400" s="4" t="str">
        <f t="shared" si="1"/>
        <v>FDL-ALPHARD08XYG</v>
      </c>
      <c r="B1400" s="29" t="s">
        <v>1046</v>
      </c>
      <c r="C1400" s="28" t="s">
        <v>73</v>
      </c>
      <c r="D1400" s="28" t="s">
        <v>128</v>
      </c>
      <c r="E1400" s="4" t="s">
        <v>16</v>
      </c>
      <c r="F1400" s="28"/>
      <c r="G1400" s="4"/>
      <c r="H1400" s="4">
        <f>SUMIFS(X!$F$5:$F$2005,X!$D$5:$D$2005,'CEK CICI'!A1400)</f>
        <v>0</v>
      </c>
      <c r="I1400" s="4">
        <f>SUMIFS(PENJUALAN!$E$4:$E$4288,PENJUALAN!$C$4:$C$4288,'CEK CICI'!A1400)</f>
        <v>0</v>
      </c>
      <c r="J1400" s="16">
        <f t="shared" si="2"/>
        <v>0</v>
      </c>
      <c r="K1400" s="4"/>
      <c r="L1400" s="4"/>
      <c r="M1400" s="4"/>
      <c r="N1400" s="4"/>
    </row>
    <row r="1401" ht="13.5" hidden="1" customHeight="1">
      <c r="A1401" s="4" t="str">
        <f t="shared" si="1"/>
        <v>FVL-ALPHARD08XYG</v>
      </c>
      <c r="B1401" s="29" t="s">
        <v>1822</v>
      </c>
      <c r="C1401" s="30" t="s">
        <v>73</v>
      </c>
      <c r="D1401" s="30" t="s">
        <v>400</v>
      </c>
      <c r="E1401" s="4" t="s">
        <v>16</v>
      </c>
      <c r="F1401" s="34"/>
      <c r="G1401" s="4"/>
      <c r="H1401" s="4">
        <f>SUMIFS(X!$F$5:$F$2005,X!$D$5:$D$2005,'CEK CICI'!A1401)</f>
        <v>0</v>
      </c>
      <c r="I1401" s="4">
        <f>SUMIFS(PENJUALAN!$E$4:$E$4288,PENJUALAN!$C$4:$C$4288,'CEK CICI'!A1401)</f>
        <v>0</v>
      </c>
      <c r="J1401" s="16">
        <f t="shared" si="2"/>
        <v>0</v>
      </c>
      <c r="K1401" s="4"/>
      <c r="L1401" s="4"/>
      <c r="M1401" s="4"/>
      <c r="N1401" s="4"/>
    </row>
    <row r="1402" ht="13.5" hidden="1" customHeight="1">
      <c r="A1402" s="4" t="str">
        <f t="shared" si="1"/>
        <v>FVR-ALPHARD08XYG</v>
      </c>
      <c r="B1402" s="29" t="s">
        <v>1823</v>
      </c>
      <c r="C1402" s="30" t="s">
        <v>73</v>
      </c>
      <c r="D1402" s="30" t="s">
        <v>402</v>
      </c>
      <c r="E1402" s="4" t="s">
        <v>16</v>
      </c>
      <c r="F1402" s="34"/>
      <c r="G1402" s="4"/>
      <c r="H1402" s="4">
        <f>SUMIFS(X!$F$5:$F$2005,X!$D$5:$D$2005,'CEK CICI'!A1402)</f>
        <v>0</v>
      </c>
      <c r="I1402" s="4">
        <f>SUMIFS(PENJUALAN!$E$4:$E$4288,PENJUALAN!$C$4:$C$4288,'CEK CICI'!A1402)</f>
        <v>0</v>
      </c>
      <c r="J1402" s="16">
        <f t="shared" si="2"/>
        <v>0</v>
      </c>
      <c r="K1402" s="4"/>
      <c r="L1402" s="4"/>
      <c r="M1402" s="4"/>
      <c r="N1402" s="4"/>
    </row>
    <row r="1403" ht="13.5" hidden="1" customHeight="1">
      <c r="A1403" s="4" t="str">
        <f t="shared" si="1"/>
        <v>RDL-ALPHARD08XYG</v>
      </c>
      <c r="B1403" s="29" t="s">
        <v>1050</v>
      </c>
      <c r="C1403" s="28" t="s">
        <v>73</v>
      </c>
      <c r="D1403" s="28" t="s">
        <v>132</v>
      </c>
      <c r="E1403" s="4" t="s">
        <v>16</v>
      </c>
      <c r="F1403" s="28"/>
      <c r="G1403" s="4"/>
      <c r="H1403" s="4">
        <f>SUMIFS(X!$F$5:$F$2005,X!$D$5:$D$2005,'CEK CICI'!A1403)</f>
        <v>0</v>
      </c>
      <c r="I1403" s="4">
        <f>SUMIFS(PENJUALAN!$E$4:$E$4288,PENJUALAN!$C$4:$C$4288,'CEK CICI'!A1403)</f>
        <v>0</v>
      </c>
      <c r="J1403" s="16">
        <f t="shared" si="2"/>
        <v>0</v>
      </c>
      <c r="K1403" s="4"/>
      <c r="L1403" s="4"/>
      <c r="M1403" s="4"/>
      <c r="N1403" s="4"/>
    </row>
    <row r="1404" ht="13.5" hidden="1" customHeight="1">
      <c r="A1404" s="4" t="str">
        <f t="shared" si="1"/>
        <v>RDR-ALPHARD08XYG</v>
      </c>
      <c r="B1404" s="29" t="s">
        <v>1051</v>
      </c>
      <c r="C1404" s="28" t="s">
        <v>73</v>
      </c>
      <c r="D1404" s="28" t="s">
        <v>134</v>
      </c>
      <c r="E1404" s="4" t="s">
        <v>16</v>
      </c>
      <c r="F1404" s="28"/>
      <c r="G1404" s="4"/>
      <c r="H1404" s="4">
        <f>SUMIFS(X!$F$5:$F$2005,X!$D$5:$D$2005,'CEK CICI'!A1404)</f>
        <v>0</v>
      </c>
      <c r="I1404" s="4">
        <f>SUMIFS(PENJUALAN!$E$4:$E$4288,PENJUALAN!$C$4:$C$4288,'CEK CICI'!A1404)</f>
        <v>0</v>
      </c>
      <c r="J1404" s="16">
        <f t="shared" si="2"/>
        <v>0</v>
      </c>
      <c r="K1404" s="4"/>
      <c r="L1404" s="4"/>
      <c r="M1404" s="4"/>
      <c r="N1404" s="4"/>
    </row>
    <row r="1405" ht="13.5" hidden="1" customHeight="1">
      <c r="A1405" s="4" t="str">
        <f t="shared" si="1"/>
        <v>TRW-ALPHARD08BLACKXYG</v>
      </c>
      <c r="B1405" s="29" t="s">
        <v>1052</v>
      </c>
      <c r="C1405" s="28" t="s">
        <v>1053</v>
      </c>
      <c r="D1405" s="28" t="s">
        <v>41</v>
      </c>
      <c r="E1405" s="4" t="s">
        <v>16</v>
      </c>
      <c r="F1405" s="28" t="s">
        <v>67</v>
      </c>
      <c r="G1405" s="4"/>
      <c r="H1405" s="4">
        <f>SUMIFS(X!$F$5:$F$2005,X!$D$5:$D$2005,'CEK CICI'!A1405)</f>
        <v>3</v>
      </c>
      <c r="I1405" s="4">
        <f>SUMIFS(PENJUALAN!$E$4:$E$4288,PENJUALAN!$C$4:$C$4288,'CEK CICI'!A1405)</f>
        <v>3</v>
      </c>
      <c r="J1405" s="16">
        <f t="shared" si="2"/>
        <v>0</v>
      </c>
      <c r="K1405" s="4"/>
      <c r="L1405" s="4"/>
      <c r="M1405" s="4"/>
      <c r="N1405" s="4"/>
    </row>
    <row r="1406" ht="13.5" customHeight="1">
      <c r="A1406" s="4" t="str">
        <f t="shared" si="1"/>
        <v>SWL-ALPHARD08HITAMXYG</v>
      </c>
      <c r="B1406" s="29" t="s">
        <v>1054</v>
      </c>
      <c r="C1406" s="28" t="s">
        <v>1053</v>
      </c>
      <c r="D1406" s="28" t="s">
        <v>202</v>
      </c>
      <c r="E1406" s="4" t="s">
        <v>16</v>
      </c>
      <c r="F1406" s="28" t="s">
        <v>234</v>
      </c>
      <c r="G1406" s="15">
        <v>1.0</v>
      </c>
      <c r="H1406" s="4">
        <f>SUMIFS(X!$F$5:$F$2005,X!$D$5:$D$2005,'CEK CICI'!A1406)</f>
        <v>1</v>
      </c>
      <c r="I1406" s="4">
        <f>SUMIFS(PENJUALAN!$E$4:$E$4288,PENJUALAN!$C$4:$C$4288,'CEK CICI'!A1406)</f>
        <v>1</v>
      </c>
      <c r="J1406" s="16">
        <f t="shared" si="2"/>
        <v>0</v>
      </c>
      <c r="K1406" s="4"/>
      <c r="L1406" s="4"/>
      <c r="M1406" s="4"/>
      <c r="N1406" s="4"/>
    </row>
    <row r="1407" ht="13.5" hidden="1" customHeight="1">
      <c r="A1407" s="4" t="str">
        <f t="shared" si="1"/>
        <v>SWR-ALPHARD08HITAMXYG</v>
      </c>
      <c r="B1407" s="29" t="s">
        <v>1055</v>
      </c>
      <c r="C1407" s="28" t="s">
        <v>1053</v>
      </c>
      <c r="D1407" s="28" t="s">
        <v>236</v>
      </c>
      <c r="E1407" s="4" t="s">
        <v>16</v>
      </c>
      <c r="F1407" s="28" t="s">
        <v>234</v>
      </c>
      <c r="G1407" s="4"/>
      <c r="H1407" s="4">
        <f>SUMIFS(X!$F$5:$F$2005,X!$D$5:$D$2005,'CEK CICI'!A1407)</f>
        <v>0</v>
      </c>
      <c r="I1407" s="4">
        <f>SUMIFS(PENJUALAN!$E$4:$E$4288,PENJUALAN!$C$4:$C$4288,'CEK CICI'!A1407)</f>
        <v>0</v>
      </c>
      <c r="J1407" s="16">
        <f t="shared" si="2"/>
        <v>0</v>
      </c>
      <c r="K1407" s="4"/>
      <c r="L1407" s="4"/>
      <c r="M1407" s="4"/>
      <c r="N1407" s="4"/>
    </row>
    <row r="1408" ht="13.5" hidden="1" customHeight="1">
      <c r="A1408" s="4" t="str">
        <f t="shared" si="1"/>
        <v>SWL-ALPHARD15HITAMXYG</v>
      </c>
      <c r="B1408" s="29" t="s">
        <v>1826</v>
      </c>
      <c r="C1408" s="28" t="s">
        <v>1064</v>
      </c>
      <c r="D1408" s="28" t="s">
        <v>202</v>
      </c>
      <c r="E1408" s="4" t="s">
        <v>16</v>
      </c>
      <c r="F1408" s="28" t="s">
        <v>1827</v>
      </c>
      <c r="G1408" s="4"/>
      <c r="H1408" s="4">
        <f>SUMIFS(X!$F$5:$F$2005,X!$D$5:$D$2005,'CEK CICI'!A1408)</f>
        <v>1</v>
      </c>
      <c r="I1408" s="4">
        <f>SUMIFS(PENJUALAN!$E$4:$E$4288,PENJUALAN!$C$4:$C$4288,'CEK CICI'!A1408)</f>
        <v>1</v>
      </c>
      <c r="J1408" s="16">
        <f t="shared" si="2"/>
        <v>0</v>
      </c>
      <c r="K1408" s="4"/>
      <c r="L1408" s="4"/>
      <c r="M1408" s="4"/>
      <c r="N1408" s="4"/>
    </row>
    <row r="1409" ht="13.5" hidden="1" customHeight="1">
      <c r="A1409" s="4" t="str">
        <f t="shared" si="1"/>
        <v>SWR-ALPHARD15HITAMXYG</v>
      </c>
      <c r="B1409" s="29" t="s">
        <v>1828</v>
      </c>
      <c r="C1409" s="28" t="s">
        <v>1064</v>
      </c>
      <c r="D1409" s="28" t="s">
        <v>236</v>
      </c>
      <c r="E1409" s="4" t="s">
        <v>16</v>
      </c>
      <c r="F1409" s="28" t="s">
        <v>1827</v>
      </c>
      <c r="G1409" s="4"/>
      <c r="H1409" s="4">
        <f>SUMIFS(X!$F$5:$F$2005,X!$D$5:$D$2005,'CEK CICI'!A1409)</f>
        <v>1</v>
      </c>
      <c r="I1409" s="4">
        <f>SUMIFS(PENJUALAN!$E$4:$E$4288,PENJUALAN!$C$4:$C$4288,'CEK CICI'!A1409)</f>
        <v>1</v>
      </c>
      <c r="J1409" s="16">
        <f t="shared" si="2"/>
        <v>0</v>
      </c>
      <c r="K1409" s="4"/>
      <c r="L1409" s="4"/>
      <c r="M1409" s="4"/>
      <c r="N1409" s="4"/>
    </row>
    <row r="1410" ht="13.5" hidden="1" customHeight="1">
      <c r="A1410" s="4" t="str">
        <f t="shared" si="1"/>
        <v>TRW-ALPHARD15BLACKXYG</v>
      </c>
      <c r="B1410" s="29" t="s">
        <v>1066</v>
      </c>
      <c r="C1410" s="28" t="s">
        <v>1067</v>
      </c>
      <c r="D1410" s="28" t="s">
        <v>41</v>
      </c>
      <c r="E1410" s="4" t="s">
        <v>16</v>
      </c>
      <c r="F1410" s="28" t="s">
        <v>67</v>
      </c>
      <c r="G1410" s="4"/>
      <c r="H1410" s="4">
        <f>SUMIFS(X!$F$5:$F$2005,X!$D$5:$D$2005,'CEK CICI'!A1410)</f>
        <v>4</v>
      </c>
      <c r="I1410" s="4">
        <f>SUMIFS(PENJUALAN!$E$4:$E$4288,PENJUALAN!$C$4:$C$4288,'CEK CICI'!A1410)</f>
        <v>3</v>
      </c>
      <c r="J1410" s="16">
        <f t="shared" si="2"/>
        <v>1</v>
      </c>
      <c r="K1410" s="4"/>
      <c r="L1410" s="4"/>
      <c r="M1410" s="4"/>
      <c r="N1410" s="4"/>
    </row>
    <row r="1411" ht="13.5" hidden="1" customHeight="1">
      <c r="A1411" s="4" t="str">
        <f t="shared" si="1"/>
        <v>LFW-ALPHARD15XYG</v>
      </c>
      <c r="B1411" s="29" t="s">
        <v>1070</v>
      </c>
      <c r="C1411" s="28" t="s">
        <v>1071</v>
      </c>
      <c r="D1411" s="28" t="s">
        <v>22</v>
      </c>
      <c r="E1411" s="4" t="s">
        <v>16</v>
      </c>
      <c r="F1411" s="28" t="s">
        <v>75</v>
      </c>
      <c r="G1411" s="4"/>
      <c r="H1411" s="4">
        <f>SUMIFS(X!$F$5:$F$2005,X!$D$5:$D$2005,'CEK CICI'!A1411)</f>
        <v>0</v>
      </c>
      <c r="I1411" s="4">
        <f>SUMIFS(PENJUALAN!$E$4:$E$4288,PENJUALAN!$C$4:$C$4288,'CEK CICI'!A1411)</f>
        <v>1</v>
      </c>
      <c r="J1411" s="16">
        <f t="shared" si="2"/>
        <v>-1</v>
      </c>
      <c r="K1411" s="4"/>
      <c r="L1411" s="4"/>
      <c r="M1411" s="4"/>
      <c r="N1411" s="4"/>
    </row>
    <row r="1412" ht="13.5" hidden="1" customHeight="1">
      <c r="A1412" s="4" t="str">
        <f t="shared" si="1"/>
        <v>LFW-ALPHARD18XYG</v>
      </c>
      <c r="B1412" s="29" t="s">
        <v>1829</v>
      </c>
      <c r="C1412" s="30" t="s">
        <v>1830</v>
      </c>
      <c r="D1412" s="30" t="s">
        <v>22</v>
      </c>
      <c r="E1412" s="4" t="s">
        <v>16</v>
      </c>
      <c r="F1412" s="34" t="s">
        <v>125</v>
      </c>
      <c r="G1412" s="4"/>
      <c r="H1412" s="4">
        <f>SUMIFS(X!$F$5:$F$2005,X!$D$5:$D$2005,'CEK CICI'!A1412)</f>
        <v>0</v>
      </c>
      <c r="I1412" s="4">
        <f>SUMIFS(PENJUALAN!$E$4:$E$4288,PENJUALAN!$C$4:$C$4288,'CEK CICI'!A1412)</f>
        <v>0</v>
      </c>
      <c r="J1412" s="16">
        <f t="shared" si="2"/>
        <v>0</v>
      </c>
      <c r="K1412" s="4"/>
      <c r="L1412" s="4"/>
      <c r="M1412" s="4"/>
      <c r="N1412" s="4"/>
    </row>
    <row r="1413" ht="13.5" hidden="1" customHeight="1">
      <c r="A1413" s="4" t="str">
        <f t="shared" si="1"/>
        <v>LFW-ALPHARD18RSXYG</v>
      </c>
      <c r="B1413" s="29" t="s">
        <v>1831</v>
      </c>
      <c r="C1413" s="30" t="s">
        <v>1832</v>
      </c>
      <c r="D1413" s="30" t="s">
        <v>22</v>
      </c>
      <c r="E1413" s="4" t="s">
        <v>16</v>
      </c>
      <c r="F1413" s="34" t="s">
        <v>75</v>
      </c>
      <c r="G1413" s="4"/>
      <c r="H1413" s="4">
        <f>SUMIFS(X!$F$5:$F$2005,X!$D$5:$D$2005,'CEK CICI'!A1413)</f>
        <v>0</v>
      </c>
      <c r="I1413" s="4">
        <f>SUMIFS(PENJUALAN!$E$4:$E$4288,PENJUALAN!$C$4:$C$4288,'CEK CICI'!A1413)</f>
        <v>0</v>
      </c>
      <c r="J1413" s="16">
        <f t="shared" si="2"/>
        <v>0</v>
      </c>
      <c r="K1413" s="4"/>
      <c r="L1413" s="4"/>
      <c r="M1413" s="4"/>
      <c r="N1413" s="4"/>
    </row>
    <row r="1414" ht="13.5" hidden="1" customHeight="1">
      <c r="A1414" s="4" t="str">
        <f t="shared" si="1"/>
        <v>LFW-ALPHARD18RS2XYG</v>
      </c>
      <c r="B1414" s="29" t="s">
        <v>1833</v>
      </c>
      <c r="C1414" s="30" t="s">
        <v>1834</v>
      </c>
      <c r="D1414" s="30" t="s">
        <v>22</v>
      </c>
      <c r="E1414" s="4" t="s">
        <v>16</v>
      </c>
      <c r="F1414" s="30" t="s">
        <v>1835</v>
      </c>
      <c r="G1414" s="4"/>
      <c r="H1414" s="4">
        <f>SUMIFS(X!$F$5:$F$2005,X!$D$5:$D$2005,'CEK CICI'!A1414)</f>
        <v>0</v>
      </c>
      <c r="I1414" s="4">
        <f>SUMIFS(PENJUALAN!$E$4:$E$4288,PENJUALAN!$C$4:$C$4288,'CEK CICI'!A1414)</f>
        <v>0</v>
      </c>
      <c r="J1414" s="16">
        <f t="shared" si="2"/>
        <v>0</v>
      </c>
      <c r="K1414" s="4"/>
      <c r="L1414" s="4"/>
      <c r="M1414" s="4"/>
      <c r="N1414" s="4"/>
    </row>
    <row r="1415" ht="13.5" hidden="1" customHeight="1">
      <c r="A1415" s="4" t="str">
        <f t="shared" si="1"/>
        <v>TRW-ALPHARD18XYG</v>
      </c>
      <c r="B1415" s="29" t="s">
        <v>1836</v>
      </c>
      <c r="C1415" s="28" t="s">
        <v>1837</v>
      </c>
      <c r="D1415" s="28" t="s">
        <v>41</v>
      </c>
      <c r="E1415" s="4" t="s">
        <v>16</v>
      </c>
      <c r="F1415" s="28" t="s">
        <v>67</v>
      </c>
      <c r="G1415" s="4"/>
      <c r="H1415" s="4">
        <f>SUMIFS(X!$F$5:$F$2005,X!$D$5:$D$2005,'CEK CICI'!A1415)</f>
        <v>2</v>
      </c>
      <c r="I1415" s="4">
        <f>SUMIFS(PENJUALAN!$E$4:$E$4288,PENJUALAN!$C$4:$C$4288,'CEK CICI'!A1415)</f>
        <v>2</v>
      </c>
      <c r="J1415" s="16">
        <f t="shared" si="2"/>
        <v>0</v>
      </c>
      <c r="K1415" s="4"/>
      <c r="L1415" s="4"/>
      <c r="M1415" s="4"/>
      <c r="N1415" s="4"/>
    </row>
    <row r="1416" ht="13.5" hidden="1" customHeight="1">
      <c r="A1416" s="4" t="str">
        <f t="shared" si="1"/>
        <v>LFW-ALTIS00XYG</v>
      </c>
      <c r="B1416" s="29" t="s">
        <v>1072</v>
      </c>
      <c r="C1416" s="28" t="s">
        <v>1073</v>
      </c>
      <c r="D1416" s="28" t="s">
        <v>22</v>
      </c>
      <c r="E1416" s="4" t="s">
        <v>16</v>
      </c>
      <c r="F1416" s="28" t="s">
        <v>97</v>
      </c>
      <c r="G1416" s="4"/>
      <c r="H1416" s="4">
        <f>SUMIFS(X!$F$5:$F$2005,X!$D$5:$D$2005,'CEK CICI'!A1416)</f>
        <v>2</v>
      </c>
      <c r="I1416" s="4">
        <f>SUMIFS(PENJUALAN!$E$4:$E$4288,PENJUALAN!$C$4:$C$4288,'CEK CICI'!A1416)</f>
        <v>1</v>
      </c>
      <c r="J1416" s="16">
        <f t="shared" si="2"/>
        <v>1</v>
      </c>
      <c r="K1416" s="4"/>
      <c r="L1416" s="4"/>
      <c r="M1416" s="4"/>
      <c r="N1416" s="4"/>
    </row>
    <row r="1417" ht="13.5" hidden="1" customHeight="1">
      <c r="A1417" s="4" t="str">
        <f t="shared" si="1"/>
        <v>TRW-ALTIS00XYG</v>
      </c>
      <c r="B1417" s="29" t="s">
        <v>1074</v>
      </c>
      <c r="C1417" s="28" t="s">
        <v>1073</v>
      </c>
      <c r="D1417" s="28" t="s">
        <v>41</v>
      </c>
      <c r="E1417" s="4" t="s">
        <v>16</v>
      </c>
      <c r="F1417" s="28" t="s">
        <v>67</v>
      </c>
      <c r="G1417" s="4"/>
      <c r="H1417" s="4">
        <f>SUMIFS(X!$F$5:$F$2005,X!$D$5:$D$2005,'CEK CICI'!A1417)</f>
        <v>0</v>
      </c>
      <c r="I1417" s="4">
        <f>SUMIFS(PENJUALAN!$E$4:$E$4288,PENJUALAN!$C$4:$C$4288,'CEK CICI'!A1417)</f>
        <v>0</v>
      </c>
      <c r="J1417" s="16">
        <f t="shared" si="2"/>
        <v>0</v>
      </c>
      <c r="K1417" s="4"/>
      <c r="L1417" s="4"/>
      <c r="M1417" s="4"/>
      <c r="N1417" s="4"/>
    </row>
    <row r="1418" ht="13.5" hidden="1" customHeight="1">
      <c r="A1418" s="4" t="str">
        <f t="shared" si="1"/>
        <v>LFW-ALTIS06XYG</v>
      </c>
      <c r="B1418" s="29" t="s">
        <v>1075</v>
      </c>
      <c r="C1418" s="28" t="s">
        <v>1076</v>
      </c>
      <c r="D1418" s="28" t="s">
        <v>22</v>
      </c>
      <c r="E1418" s="4" t="s">
        <v>16</v>
      </c>
      <c r="F1418" s="28" t="s">
        <v>125</v>
      </c>
      <c r="G1418" s="4"/>
      <c r="H1418" s="4">
        <f>SUMIFS(X!$F$5:$F$2005,X!$D$5:$D$2005,'CEK CICI'!A1418)</f>
        <v>0</v>
      </c>
      <c r="I1418" s="4">
        <f>SUMIFS(PENJUALAN!$E$4:$E$4288,PENJUALAN!$C$4:$C$4288,'CEK CICI'!A1418)</f>
        <v>0</v>
      </c>
      <c r="J1418" s="16">
        <f t="shared" si="2"/>
        <v>0</v>
      </c>
      <c r="K1418" s="4"/>
      <c r="L1418" s="4"/>
      <c r="M1418" s="4"/>
      <c r="N1418" s="4"/>
    </row>
    <row r="1419" ht="13.5" hidden="1" customHeight="1">
      <c r="A1419" s="4" t="str">
        <f t="shared" si="1"/>
        <v>LFW-ALTIS06RSXYG</v>
      </c>
      <c r="B1419" s="29" t="s">
        <v>1077</v>
      </c>
      <c r="C1419" s="28" t="s">
        <v>1078</v>
      </c>
      <c r="D1419" s="28" t="s">
        <v>22</v>
      </c>
      <c r="E1419" s="4" t="s">
        <v>16</v>
      </c>
      <c r="F1419" s="28" t="s">
        <v>75</v>
      </c>
      <c r="G1419" s="4"/>
      <c r="H1419" s="4">
        <f>SUMIFS(X!$F$5:$F$2005,X!$D$5:$D$2005,'CEK CICI'!A1419)</f>
        <v>1</v>
      </c>
      <c r="I1419" s="4">
        <f>SUMIFS(PENJUALAN!$E$4:$E$4288,PENJUALAN!$C$4:$C$4288,'CEK CICI'!A1419)</f>
        <v>1</v>
      </c>
      <c r="J1419" s="16">
        <f t="shared" si="2"/>
        <v>0</v>
      </c>
      <c r="K1419" s="4"/>
      <c r="L1419" s="4"/>
      <c r="M1419" s="4"/>
      <c r="N1419" s="4"/>
    </row>
    <row r="1420" ht="13.5" hidden="1" customHeight="1">
      <c r="A1420" s="4" t="str">
        <f t="shared" si="1"/>
        <v>TRW-ALTIS06XYG</v>
      </c>
      <c r="B1420" s="29" t="s">
        <v>1079</v>
      </c>
      <c r="C1420" s="28" t="s">
        <v>1078</v>
      </c>
      <c r="D1420" s="28" t="s">
        <v>41</v>
      </c>
      <c r="E1420" s="4" t="s">
        <v>16</v>
      </c>
      <c r="F1420" s="28" t="s">
        <v>1080</v>
      </c>
      <c r="G1420" s="4"/>
      <c r="H1420" s="4">
        <f>SUMIFS(X!$F$5:$F$2005,X!$D$5:$D$2005,'CEK CICI'!A1420)</f>
        <v>1</v>
      </c>
      <c r="I1420" s="4">
        <f>SUMIFS(PENJUALAN!$E$4:$E$4288,PENJUALAN!$C$4:$C$4288,'CEK CICI'!A1420)</f>
        <v>1</v>
      </c>
      <c r="J1420" s="16">
        <f t="shared" si="2"/>
        <v>0</v>
      </c>
      <c r="K1420" s="4"/>
      <c r="L1420" s="4"/>
      <c r="M1420" s="4"/>
      <c r="N1420" s="4"/>
    </row>
    <row r="1421" ht="13.5" hidden="1" customHeight="1">
      <c r="A1421" s="4" t="str">
        <f t="shared" si="1"/>
        <v>FDL-ALTIS06XYG</v>
      </c>
      <c r="B1421" s="29" t="s">
        <v>1081</v>
      </c>
      <c r="C1421" s="28" t="s">
        <v>1078</v>
      </c>
      <c r="D1421" s="28" t="s">
        <v>128</v>
      </c>
      <c r="E1421" s="4" t="s">
        <v>16</v>
      </c>
      <c r="F1421" s="28" t="s">
        <v>397</v>
      </c>
      <c r="G1421" s="4"/>
      <c r="H1421" s="4">
        <f>SUMIFS(X!$F$5:$F$2005,X!$D$5:$D$2005,'CEK CICI'!A1421)</f>
        <v>0</v>
      </c>
      <c r="I1421" s="4">
        <f>SUMIFS(PENJUALAN!$E$4:$E$4288,PENJUALAN!$C$4:$C$4288,'CEK CICI'!A1421)</f>
        <v>0</v>
      </c>
      <c r="J1421" s="16">
        <f t="shared" si="2"/>
        <v>0</v>
      </c>
      <c r="K1421" s="4"/>
      <c r="L1421" s="4"/>
      <c r="M1421" s="4"/>
      <c r="N1421" s="4"/>
    </row>
    <row r="1422" ht="13.5" hidden="1" customHeight="1">
      <c r="A1422" s="4" t="str">
        <f t="shared" si="1"/>
        <v>FDR-ALTIS06XYG</v>
      </c>
      <c r="B1422" s="29" t="s">
        <v>1082</v>
      </c>
      <c r="C1422" s="28" t="s">
        <v>1078</v>
      </c>
      <c r="D1422" s="28" t="s">
        <v>130</v>
      </c>
      <c r="E1422" s="4" t="s">
        <v>16</v>
      </c>
      <c r="F1422" s="28" t="s">
        <v>397</v>
      </c>
      <c r="G1422" s="4"/>
      <c r="H1422" s="4">
        <f>SUMIFS(X!$F$5:$F$2005,X!$D$5:$D$2005,'CEK CICI'!A1422)</f>
        <v>0</v>
      </c>
      <c r="I1422" s="4">
        <f>SUMIFS(PENJUALAN!$E$4:$E$4288,PENJUALAN!$C$4:$C$4288,'CEK CICI'!A1422)</f>
        <v>0</v>
      </c>
      <c r="J1422" s="16">
        <f t="shared" si="2"/>
        <v>0</v>
      </c>
      <c r="K1422" s="4"/>
      <c r="L1422" s="4"/>
      <c r="M1422" s="4"/>
      <c r="N1422" s="4"/>
    </row>
    <row r="1423" ht="13.5" hidden="1" customHeight="1">
      <c r="A1423" s="4" t="str">
        <f t="shared" si="1"/>
        <v>RDL-ALTIS06XYG</v>
      </c>
      <c r="B1423" s="29" t="s">
        <v>1083</v>
      </c>
      <c r="C1423" s="28" t="s">
        <v>1078</v>
      </c>
      <c r="D1423" s="28" t="s">
        <v>132</v>
      </c>
      <c r="E1423" s="4" t="s">
        <v>16</v>
      </c>
      <c r="F1423" s="28"/>
      <c r="G1423" s="4"/>
      <c r="H1423" s="4">
        <f>SUMIFS(X!$F$5:$F$2005,X!$D$5:$D$2005,'CEK CICI'!A1423)</f>
        <v>0</v>
      </c>
      <c r="I1423" s="4">
        <f>SUMIFS(PENJUALAN!$E$4:$E$4288,PENJUALAN!$C$4:$C$4288,'CEK CICI'!A1423)</f>
        <v>0</v>
      </c>
      <c r="J1423" s="16">
        <f t="shared" si="2"/>
        <v>0</v>
      </c>
      <c r="K1423" s="4"/>
      <c r="L1423" s="4"/>
      <c r="M1423" s="4"/>
      <c r="N1423" s="4"/>
    </row>
    <row r="1424" ht="13.5" hidden="1" customHeight="1">
      <c r="A1424" s="4" t="str">
        <f t="shared" si="1"/>
        <v>RDR-ALTIS06XYG</v>
      </c>
      <c r="B1424" s="29" t="s">
        <v>1084</v>
      </c>
      <c r="C1424" s="28" t="s">
        <v>1078</v>
      </c>
      <c r="D1424" s="28" t="s">
        <v>134</v>
      </c>
      <c r="E1424" s="4" t="s">
        <v>16</v>
      </c>
      <c r="F1424" s="28"/>
      <c r="G1424" s="4"/>
      <c r="H1424" s="4">
        <f>SUMIFS(X!$F$5:$F$2005,X!$D$5:$D$2005,'CEK CICI'!A1424)</f>
        <v>0</v>
      </c>
      <c r="I1424" s="4">
        <f>SUMIFS(PENJUALAN!$E$4:$E$4288,PENJUALAN!$C$4:$C$4288,'CEK CICI'!A1424)</f>
        <v>0</v>
      </c>
      <c r="J1424" s="16">
        <f t="shared" si="2"/>
        <v>0</v>
      </c>
      <c r="K1424" s="4"/>
      <c r="L1424" s="4"/>
      <c r="M1424" s="4"/>
      <c r="N1424" s="4"/>
    </row>
    <row r="1425" ht="13.5" hidden="1" customHeight="1">
      <c r="A1425" s="4" t="str">
        <f t="shared" si="1"/>
        <v>LFW-ALTIS13RSXYG</v>
      </c>
      <c r="B1425" s="29" t="s">
        <v>1087</v>
      </c>
      <c r="C1425" s="28" t="s">
        <v>1088</v>
      </c>
      <c r="D1425" s="28" t="s">
        <v>22</v>
      </c>
      <c r="E1425" s="4" t="s">
        <v>16</v>
      </c>
      <c r="F1425" s="28" t="s">
        <v>75</v>
      </c>
      <c r="G1425" s="4"/>
      <c r="H1425" s="4">
        <f>SUMIFS(X!$F$5:$F$2005,X!$D$5:$D$2005,'CEK CICI'!A1425)</f>
        <v>2</v>
      </c>
      <c r="I1425" s="4">
        <f>SUMIFS(PENJUALAN!$E$4:$E$4288,PENJUALAN!$C$4:$C$4288,'CEK CICI'!A1425)</f>
        <v>1</v>
      </c>
      <c r="J1425" s="16">
        <f t="shared" si="2"/>
        <v>1</v>
      </c>
      <c r="K1425" s="15" t="s">
        <v>1851</v>
      </c>
      <c r="L1425" s="15"/>
      <c r="M1425" s="4"/>
      <c r="N1425" s="4"/>
    </row>
    <row r="1426" ht="13.5" hidden="1" customHeight="1">
      <c r="A1426" s="4" t="str">
        <f t="shared" si="1"/>
        <v>TRW-ALTIS13XYG</v>
      </c>
      <c r="B1426" s="29" t="s">
        <v>1089</v>
      </c>
      <c r="C1426" s="28" t="s">
        <v>1088</v>
      </c>
      <c r="D1426" s="28" t="s">
        <v>41</v>
      </c>
      <c r="E1426" s="4" t="s">
        <v>16</v>
      </c>
      <c r="F1426" s="28" t="s">
        <v>114</v>
      </c>
      <c r="G1426" s="4"/>
      <c r="H1426" s="4">
        <f>SUMIFS(X!$F$5:$F$2005,X!$D$5:$D$2005,'CEK CICI'!A1426)</f>
        <v>1</v>
      </c>
      <c r="I1426" s="4">
        <f>SUMIFS(PENJUALAN!$E$4:$E$4288,PENJUALAN!$C$4:$C$4288,'CEK CICI'!A1426)</f>
        <v>1</v>
      </c>
      <c r="J1426" s="16">
        <f t="shared" si="2"/>
        <v>0</v>
      </c>
      <c r="K1426" s="4"/>
      <c r="L1426" s="4"/>
      <c r="M1426" s="4"/>
      <c r="N1426" s="4"/>
    </row>
    <row r="1427" ht="13.5" hidden="1" customHeight="1">
      <c r="A1427" s="4" t="str">
        <f t="shared" si="1"/>
        <v>LFW-AVANZA03XYG</v>
      </c>
      <c r="B1427" s="29" t="s">
        <v>1096</v>
      </c>
      <c r="C1427" s="28" t="s">
        <v>65</v>
      </c>
      <c r="D1427" s="28" t="s">
        <v>22</v>
      </c>
      <c r="E1427" s="4" t="s">
        <v>16</v>
      </c>
      <c r="F1427" s="28" t="s">
        <v>97</v>
      </c>
      <c r="G1427" s="4"/>
      <c r="H1427" s="4">
        <f>SUMIFS(X!$F$5:$F$2005,X!$D$5:$D$2005,'CEK CICI'!A1427)</f>
        <v>12</v>
      </c>
      <c r="I1427" s="4">
        <f>SUMIFS(PENJUALAN!$E$4:$E$4288,PENJUALAN!$C$4:$C$4288,'CEK CICI'!A1427)</f>
        <v>5</v>
      </c>
      <c r="J1427" s="16">
        <f t="shared" si="2"/>
        <v>7</v>
      </c>
      <c r="K1427" s="4"/>
      <c r="L1427" s="4"/>
      <c r="M1427" s="4"/>
      <c r="N1427" s="4"/>
    </row>
    <row r="1428" ht="13.5" customHeight="1">
      <c r="A1428" s="4" t="str">
        <f t="shared" si="1"/>
        <v>TRW-AVANZA03XYG</v>
      </c>
      <c r="B1428" s="29" t="s">
        <v>1097</v>
      </c>
      <c r="C1428" s="28" t="s">
        <v>65</v>
      </c>
      <c r="D1428" s="28" t="s">
        <v>41</v>
      </c>
      <c r="E1428" s="4" t="s">
        <v>16</v>
      </c>
      <c r="F1428" s="28" t="s">
        <v>97</v>
      </c>
      <c r="G1428" s="15">
        <v>5.0</v>
      </c>
      <c r="H1428" s="4">
        <f>SUMIFS(X!$F$5:$F$2005,X!$D$5:$D$2005,'CEK CICI'!A1428)</f>
        <v>42</v>
      </c>
      <c r="I1428" s="4">
        <f>SUMIFS(PENJUALAN!$E$4:$E$4288,PENJUALAN!$C$4:$C$4288,'CEK CICI'!A1428)</f>
        <v>40</v>
      </c>
      <c r="J1428" s="16">
        <f t="shared" si="2"/>
        <v>2</v>
      </c>
      <c r="K1428" s="15" t="s">
        <v>1846</v>
      </c>
      <c r="L1428" s="15"/>
      <c r="M1428" s="4"/>
      <c r="N1428" s="4"/>
    </row>
    <row r="1429" ht="13.5" hidden="1" customHeight="1">
      <c r="A1429" s="4" t="str">
        <f t="shared" si="1"/>
        <v>TRW-AVANZA03HXYG</v>
      </c>
      <c r="B1429" s="29" t="s">
        <v>64</v>
      </c>
      <c r="C1429" s="28" t="s">
        <v>65</v>
      </c>
      <c r="D1429" s="28" t="s">
        <v>41</v>
      </c>
      <c r="E1429" s="4" t="s">
        <v>16</v>
      </c>
      <c r="F1429" s="28" t="s">
        <v>67</v>
      </c>
      <c r="G1429" s="4"/>
      <c r="H1429" s="4">
        <f>SUMIFS(X!$F$5:$F$2005,X!$D$5:$D$2005,'CEK CICI'!A1429)</f>
        <v>4</v>
      </c>
      <c r="I1429" s="4">
        <f>SUMIFS(PENJUALAN!$E$4:$E$4288,PENJUALAN!$C$4:$C$4288,'CEK CICI'!A1429)</f>
        <v>1</v>
      </c>
      <c r="J1429" s="16">
        <f t="shared" si="2"/>
        <v>3</v>
      </c>
      <c r="K1429" s="15" t="s">
        <v>1846</v>
      </c>
      <c r="L1429" s="15"/>
      <c r="M1429" s="5">
        <v>2.0</v>
      </c>
      <c r="N1429" s="4"/>
    </row>
    <row r="1430" ht="13.5" hidden="1" customHeight="1">
      <c r="A1430" s="4" t="str">
        <f t="shared" si="1"/>
        <v>LFW-AVANZA11XYG</v>
      </c>
      <c r="B1430" s="29" t="s">
        <v>1098</v>
      </c>
      <c r="C1430" s="28" t="s">
        <v>81</v>
      </c>
      <c r="D1430" s="28" t="s">
        <v>22</v>
      </c>
      <c r="E1430" s="4" t="s">
        <v>16</v>
      </c>
      <c r="F1430" s="28" t="s">
        <v>97</v>
      </c>
      <c r="G1430" s="4"/>
      <c r="H1430" s="4">
        <f>SUMIFS(X!$F$5:$F$2005,X!$D$5:$D$2005,'CEK CICI'!A1430)</f>
        <v>8</v>
      </c>
      <c r="I1430" s="4">
        <f>SUMIFS(PENJUALAN!$E$4:$E$4288,PENJUALAN!$C$4:$C$4288,'CEK CICI'!A1430)</f>
        <v>8</v>
      </c>
      <c r="J1430" s="16">
        <f t="shared" si="2"/>
        <v>0</v>
      </c>
      <c r="K1430" s="4"/>
      <c r="L1430" s="4"/>
      <c r="M1430" s="4"/>
      <c r="N1430" s="4"/>
    </row>
    <row r="1431" ht="13.5" hidden="1" customHeight="1">
      <c r="A1431" s="4" t="str">
        <f t="shared" si="1"/>
        <v>TRW-AVANZA11XYG</v>
      </c>
      <c r="B1431" s="29" t="s">
        <v>87</v>
      </c>
      <c r="C1431" s="33" t="s">
        <v>1472</v>
      </c>
      <c r="D1431" s="28" t="s">
        <v>41</v>
      </c>
      <c r="E1431" s="4" t="s">
        <v>16</v>
      </c>
      <c r="F1431" s="28" t="s">
        <v>97</v>
      </c>
      <c r="G1431" s="4"/>
      <c r="H1431" s="4">
        <f>SUMIFS(X!$F$5:$F$2005,X!$D$5:$D$2005,'CEK CICI'!A1431)</f>
        <v>8</v>
      </c>
      <c r="I1431" s="4">
        <f>SUMIFS(PENJUALAN!$E$4:$E$4288,PENJUALAN!$C$4:$C$4288,'CEK CICI'!A1431)</f>
        <v>7</v>
      </c>
      <c r="J1431" s="16">
        <f t="shared" si="2"/>
        <v>1</v>
      </c>
      <c r="K1431" s="4"/>
      <c r="L1431" s="4"/>
      <c r="M1431" s="4"/>
      <c r="N1431" s="4"/>
    </row>
    <row r="1432" ht="13.5" hidden="1" customHeight="1">
      <c r="A1432" s="4" t="str">
        <f t="shared" si="1"/>
        <v>TRW-AVANZA11HXYG</v>
      </c>
      <c r="B1432" s="29" t="s">
        <v>1099</v>
      </c>
      <c r="C1432" s="33" t="s">
        <v>1472</v>
      </c>
      <c r="D1432" s="28" t="s">
        <v>41</v>
      </c>
      <c r="E1432" s="4" t="s">
        <v>16</v>
      </c>
      <c r="F1432" s="28" t="s">
        <v>67</v>
      </c>
      <c r="G1432" s="4"/>
      <c r="H1432" s="4">
        <f>SUMIFS(X!$F$5:$F$2005,X!$D$5:$D$2005,'CEK CICI'!A1432)</f>
        <v>12</v>
      </c>
      <c r="I1432" s="4">
        <f>SUMIFS(PENJUALAN!$E$4:$E$4288,PENJUALAN!$C$4:$C$4288,'CEK CICI'!A1432)</f>
        <v>8</v>
      </c>
      <c r="J1432" s="16">
        <f t="shared" si="2"/>
        <v>4</v>
      </c>
      <c r="K1432" s="15" t="s">
        <v>1460</v>
      </c>
      <c r="L1432" s="15"/>
      <c r="M1432" s="5">
        <v>2.0</v>
      </c>
      <c r="N1432" s="4"/>
    </row>
    <row r="1433" ht="13.5" hidden="1" customHeight="1">
      <c r="A1433" s="4" t="str">
        <f t="shared" si="1"/>
        <v>LFW-AVANZA16XYG</v>
      </c>
      <c r="B1433" s="29" t="s">
        <v>1100</v>
      </c>
      <c r="C1433" s="28" t="s">
        <v>1101</v>
      </c>
      <c r="D1433" s="28" t="s">
        <v>22</v>
      </c>
      <c r="E1433" s="4" t="s">
        <v>16</v>
      </c>
      <c r="F1433" s="28" t="s">
        <v>97</v>
      </c>
      <c r="G1433" s="4"/>
      <c r="H1433" s="4">
        <f>SUMIFS(X!$F$5:$F$2005,X!$D$5:$D$2005,'CEK CICI'!A1433)</f>
        <v>9</v>
      </c>
      <c r="I1433" s="4">
        <f>SUMIFS(PENJUALAN!$E$4:$E$4288,PENJUALAN!$C$4:$C$4288,'CEK CICI'!A1433)</f>
        <v>3</v>
      </c>
      <c r="J1433" s="16">
        <f t="shared" si="2"/>
        <v>6</v>
      </c>
      <c r="K1433" s="4"/>
      <c r="L1433" s="4"/>
      <c r="M1433" s="4"/>
      <c r="N1433" s="4"/>
    </row>
    <row r="1434" ht="13.5" hidden="1" customHeight="1">
      <c r="A1434" s="4" t="str">
        <f t="shared" si="1"/>
        <v>LFW-CAMRY96XYG</v>
      </c>
      <c r="B1434" s="29" t="s">
        <v>1102</v>
      </c>
      <c r="C1434" s="28" t="s">
        <v>1103</v>
      </c>
      <c r="D1434" s="28" t="s">
        <v>22</v>
      </c>
      <c r="E1434" s="4" t="s">
        <v>16</v>
      </c>
      <c r="F1434" s="28" t="s">
        <v>125</v>
      </c>
      <c r="G1434" s="4"/>
      <c r="H1434" s="4">
        <f>SUMIFS(X!$F$5:$F$2005,X!$D$5:$D$2005,'CEK CICI'!A1434)</f>
        <v>1</v>
      </c>
      <c r="I1434" s="4">
        <f>SUMIFS(PENJUALAN!$E$4:$E$4288,PENJUALAN!$C$4:$C$4288,'CEK CICI'!A1434)</f>
        <v>0</v>
      </c>
      <c r="J1434" s="16">
        <f t="shared" si="2"/>
        <v>1</v>
      </c>
      <c r="K1434" s="15" t="s">
        <v>1851</v>
      </c>
      <c r="L1434" s="15"/>
      <c r="M1434" s="4"/>
      <c r="N1434" s="4"/>
    </row>
    <row r="1435" ht="13.5" hidden="1" customHeight="1">
      <c r="A1435" s="4" t="str">
        <f t="shared" si="1"/>
        <v>LFW-CAMRY02XYG</v>
      </c>
      <c r="B1435" s="29" t="s">
        <v>1105</v>
      </c>
      <c r="C1435" s="28" t="s">
        <v>1106</v>
      </c>
      <c r="D1435" s="28" t="s">
        <v>22</v>
      </c>
      <c r="E1435" s="4" t="s">
        <v>16</v>
      </c>
      <c r="F1435" s="28" t="s">
        <v>125</v>
      </c>
      <c r="G1435" s="4"/>
      <c r="H1435" s="4">
        <f>SUMIFS(X!$F$5:$F$2005,X!$D$5:$D$2005,'CEK CICI'!A1435)</f>
        <v>3</v>
      </c>
      <c r="I1435" s="4">
        <f>SUMIFS(PENJUALAN!$E$4:$E$4288,PENJUALAN!$C$4:$C$4288,'CEK CICI'!A1435)</f>
        <v>2</v>
      </c>
      <c r="J1435" s="16">
        <f t="shared" si="2"/>
        <v>1</v>
      </c>
      <c r="K1435" s="15" t="s">
        <v>1851</v>
      </c>
      <c r="L1435" s="15"/>
      <c r="M1435" s="4"/>
      <c r="N1435" s="4"/>
    </row>
    <row r="1436" ht="13.5" customHeight="1">
      <c r="A1436" s="4" t="str">
        <f t="shared" si="1"/>
        <v>TRW-CAMRY02XYG</v>
      </c>
      <c r="B1436" s="29" t="s">
        <v>1107</v>
      </c>
      <c r="C1436" s="28" t="s">
        <v>1106</v>
      </c>
      <c r="D1436" s="28" t="s">
        <v>41</v>
      </c>
      <c r="E1436" s="4" t="s">
        <v>16</v>
      </c>
      <c r="F1436" s="28" t="s">
        <v>114</v>
      </c>
      <c r="G1436" s="15">
        <v>1.0</v>
      </c>
      <c r="H1436" s="4">
        <f>SUMIFS(X!$F$5:$F$2005,X!$D$5:$D$2005,'CEK CICI'!A1436)</f>
        <v>1</v>
      </c>
      <c r="I1436" s="4">
        <f>SUMIFS(PENJUALAN!$E$4:$E$4288,PENJUALAN!$C$4:$C$4288,'CEK CICI'!A1436)</f>
        <v>1</v>
      </c>
      <c r="J1436" s="16">
        <f t="shared" si="2"/>
        <v>0</v>
      </c>
      <c r="K1436" s="4"/>
      <c r="L1436" s="4"/>
      <c r="M1436" s="4"/>
      <c r="N1436" s="4"/>
    </row>
    <row r="1437" ht="13.5" hidden="1" customHeight="1">
      <c r="A1437" s="4" t="str">
        <f t="shared" si="1"/>
        <v>LFW-CAMRY06XYG</v>
      </c>
      <c r="B1437" s="29" t="s">
        <v>1110</v>
      </c>
      <c r="C1437" s="28" t="s">
        <v>1111</v>
      </c>
      <c r="D1437" s="28" t="s">
        <v>22</v>
      </c>
      <c r="E1437" s="4" t="s">
        <v>16</v>
      </c>
      <c r="F1437" s="28" t="s">
        <v>125</v>
      </c>
      <c r="G1437" s="4"/>
      <c r="H1437" s="4">
        <f>SUMIFS(X!$F$5:$F$2005,X!$D$5:$D$2005,'CEK CICI'!A1437)</f>
        <v>3</v>
      </c>
      <c r="I1437" s="4">
        <f>SUMIFS(PENJUALAN!$E$4:$E$4288,PENJUALAN!$C$4:$C$4288,'CEK CICI'!A1437)</f>
        <v>2</v>
      </c>
      <c r="J1437" s="16">
        <f t="shared" si="2"/>
        <v>1</v>
      </c>
      <c r="K1437" s="15" t="s">
        <v>1851</v>
      </c>
      <c r="L1437" s="15"/>
      <c r="M1437" s="4"/>
      <c r="N1437" s="4"/>
    </row>
    <row r="1438" ht="13.5" hidden="1" customHeight="1">
      <c r="A1438" s="4" t="str">
        <f t="shared" si="1"/>
        <v>LFW-CAMRY06RSXYG</v>
      </c>
      <c r="B1438" s="29" t="s">
        <v>1112</v>
      </c>
      <c r="C1438" s="28" t="s">
        <v>1111</v>
      </c>
      <c r="D1438" s="28" t="s">
        <v>22</v>
      </c>
      <c r="E1438" s="4" t="s">
        <v>16</v>
      </c>
      <c r="F1438" s="28" t="s">
        <v>75</v>
      </c>
      <c r="G1438" s="4"/>
      <c r="H1438" s="4">
        <f>SUMIFS(X!$F$5:$F$2005,X!$D$5:$D$2005,'CEK CICI'!A1438)</f>
        <v>5</v>
      </c>
      <c r="I1438" s="4">
        <f>SUMIFS(PENJUALAN!$E$4:$E$4288,PENJUALAN!$C$4:$C$4288,'CEK CICI'!A1438)</f>
        <v>4</v>
      </c>
      <c r="J1438" s="16">
        <f t="shared" si="2"/>
        <v>1</v>
      </c>
      <c r="K1438" s="15" t="s">
        <v>1851</v>
      </c>
      <c r="L1438" s="15"/>
      <c r="M1438" s="4"/>
      <c r="N1438" s="4"/>
    </row>
    <row r="1439" ht="13.5" hidden="1" customHeight="1">
      <c r="A1439" s="4" t="str">
        <f t="shared" si="1"/>
        <v>LFW-CAMRY11XYG</v>
      </c>
      <c r="B1439" s="29" t="s">
        <v>1114</v>
      </c>
      <c r="C1439" s="28" t="s">
        <v>1115</v>
      </c>
      <c r="D1439" s="28" t="s">
        <v>22</v>
      </c>
      <c r="E1439" s="4" t="s">
        <v>16</v>
      </c>
      <c r="F1439" s="28" t="s">
        <v>75</v>
      </c>
      <c r="G1439" s="4"/>
      <c r="H1439" s="4">
        <f>SUMIFS(X!$F$5:$F$2005,X!$D$5:$D$2005,'CEK CICI'!A1439)</f>
        <v>1</v>
      </c>
      <c r="I1439" s="4">
        <f>SUMIFS(PENJUALAN!$E$4:$E$4288,PENJUALAN!$C$4:$C$4288,'CEK CICI'!A1439)</f>
        <v>0</v>
      </c>
      <c r="J1439" s="16">
        <f t="shared" si="2"/>
        <v>1</v>
      </c>
      <c r="K1439" s="4"/>
      <c r="L1439" s="4"/>
      <c r="M1439" s="4"/>
      <c r="N1439" s="4"/>
    </row>
    <row r="1440" ht="13.5" hidden="1" customHeight="1">
      <c r="A1440" s="4" t="str">
        <f t="shared" si="1"/>
        <v>LFW-CAMRY11NORSXYG</v>
      </c>
      <c r="B1440" s="41" t="s">
        <v>11500</v>
      </c>
      <c r="C1440" s="28" t="s">
        <v>1115</v>
      </c>
      <c r="D1440" s="30" t="s">
        <v>22</v>
      </c>
      <c r="E1440" s="4" t="s">
        <v>16</v>
      </c>
      <c r="F1440" s="28" t="s">
        <v>125</v>
      </c>
      <c r="G1440" s="4"/>
      <c r="H1440" s="4">
        <f>SUMIFS(X!$F$5:$F$2005,X!$D$5:$D$2005,'CEK CICI'!A1440)</f>
        <v>0</v>
      </c>
      <c r="I1440" s="4">
        <f>SUMIFS(PENJUALAN!$E$4:$E$4288,PENJUALAN!$C$4:$C$4288,'CEK CICI'!A1440)</f>
        <v>0</v>
      </c>
      <c r="J1440" s="16">
        <f t="shared" si="2"/>
        <v>0</v>
      </c>
      <c r="K1440" s="4"/>
      <c r="L1440" s="4"/>
      <c r="M1440" s="4"/>
      <c r="N1440" s="4"/>
    </row>
    <row r="1441" ht="13.5" hidden="1" customHeight="1">
      <c r="A1441" s="4" t="str">
        <f t="shared" si="1"/>
        <v>TRW-CAMRY11XYG</v>
      </c>
      <c r="B1441" s="29" t="s">
        <v>1116</v>
      </c>
      <c r="C1441" s="28" t="s">
        <v>1115</v>
      </c>
      <c r="D1441" s="28" t="s">
        <v>41</v>
      </c>
      <c r="E1441" s="4" t="s">
        <v>16</v>
      </c>
      <c r="F1441" s="28" t="s">
        <v>114</v>
      </c>
      <c r="G1441" s="4"/>
      <c r="H1441" s="4">
        <f>SUMIFS(X!$F$5:$F$2005,X!$D$5:$D$2005,'CEK CICI'!A1441)</f>
        <v>0</v>
      </c>
      <c r="I1441" s="4">
        <f>SUMIFS(PENJUALAN!$E$4:$E$4288,PENJUALAN!$C$4:$C$4288,'CEK CICI'!A1441)</f>
        <v>0</v>
      </c>
      <c r="J1441" s="16">
        <f t="shared" si="2"/>
        <v>0</v>
      </c>
      <c r="K1441" s="4"/>
      <c r="L1441" s="4"/>
      <c r="M1441" s="4"/>
      <c r="N1441" s="4"/>
    </row>
    <row r="1442" ht="13.5" hidden="1" customHeight="1">
      <c r="A1442" s="4" t="str">
        <f t="shared" si="1"/>
        <v>LFW-CAMRY18RSXYG</v>
      </c>
      <c r="B1442" s="29" t="s">
        <v>1867</v>
      </c>
      <c r="C1442" s="30" t="s">
        <v>1868</v>
      </c>
      <c r="D1442" s="30" t="s">
        <v>22</v>
      </c>
      <c r="E1442" s="4" t="s">
        <v>16</v>
      </c>
      <c r="F1442" s="28" t="s">
        <v>75</v>
      </c>
      <c r="G1442" s="4"/>
      <c r="H1442" s="4">
        <f>SUMIFS(X!$F$5:$F$2005,X!$D$5:$D$2005,'CEK CICI'!A1442)</f>
        <v>0</v>
      </c>
      <c r="I1442" s="4">
        <f>SUMIFS(PENJUALAN!$E$4:$E$4288,PENJUALAN!$C$4:$C$4288,'CEK CICI'!A1442)</f>
        <v>0</v>
      </c>
      <c r="J1442" s="16">
        <f t="shared" si="2"/>
        <v>0</v>
      </c>
      <c r="K1442" s="4"/>
      <c r="L1442" s="4"/>
      <c r="M1442" s="4"/>
      <c r="N1442" s="4"/>
    </row>
    <row r="1443" ht="13.5" hidden="1" customHeight="1">
      <c r="A1443" s="4" t="str">
        <f t="shared" si="1"/>
        <v>LFW-CHRXYG</v>
      </c>
      <c r="B1443" s="29" t="s">
        <v>1869</v>
      </c>
      <c r="C1443" s="28" t="s">
        <v>1870</v>
      </c>
      <c r="D1443" s="28" t="s">
        <v>22</v>
      </c>
      <c r="E1443" s="4" t="s">
        <v>16</v>
      </c>
      <c r="F1443" s="28" t="s">
        <v>737</v>
      </c>
      <c r="G1443" s="4"/>
      <c r="H1443" s="4">
        <f>SUMIFS(X!$F$5:$F$2005,X!$D$5:$D$2005,'CEK CICI'!A1443)</f>
        <v>1</v>
      </c>
      <c r="I1443" s="4">
        <f>SUMIFS(PENJUALAN!$E$4:$E$4288,PENJUALAN!$C$4:$C$4288,'CEK CICI'!A1443)</f>
        <v>1</v>
      </c>
      <c r="J1443" s="16">
        <f t="shared" si="2"/>
        <v>0</v>
      </c>
      <c r="K1443" s="4"/>
      <c r="L1443" s="4"/>
      <c r="M1443" s="4"/>
      <c r="N1443" s="4"/>
    </row>
    <row r="1444" ht="13.5" hidden="1" customHeight="1">
      <c r="A1444" s="4" t="str">
        <f t="shared" si="1"/>
        <v>LFW-COROLLA87XYG</v>
      </c>
      <c r="B1444" s="29" t="s">
        <v>1871</v>
      </c>
      <c r="C1444" s="28" t="s">
        <v>1120</v>
      </c>
      <c r="D1444" s="28" t="s">
        <v>22</v>
      </c>
      <c r="E1444" s="4" t="s">
        <v>16</v>
      </c>
      <c r="F1444" s="28" t="s">
        <v>97</v>
      </c>
      <c r="G1444" s="4"/>
      <c r="H1444" s="4">
        <f>SUMIFS(X!$F$5:$F$2005,X!$D$5:$D$2005,'CEK CICI'!A1444)</f>
        <v>0</v>
      </c>
      <c r="I1444" s="4">
        <f>SUMIFS(PENJUALAN!$E$4:$E$4288,PENJUALAN!$C$4:$C$4288,'CEK CICI'!A1444)</f>
        <v>0</v>
      </c>
      <c r="J1444" s="16">
        <f t="shared" si="2"/>
        <v>0</v>
      </c>
      <c r="K1444" s="4"/>
      <c r="L1444" s="4"/>
      <c r="M1444" s="4"/>
      <c r="N1444" s="4"/>
    </row>
    <row r="1445" ht="13.5" hidden="1" customHeight="1">
      <c r="A1445" s="4" t="str">
        <f t="shared" si="1"/>
        <v>TRW-COROLLA87XYG</v>
      </c>
      <c r="B1445" s="29" t="s">
        <v>1119</v>
      </c>
      <c r="C1445" s="28" t="s">
        <v>1120</v>
      </c>
      <c r="D1445" s="28" t="s">
        <v>41</v>
      </c>
      <c r="E1445" s="4" t="s">
        <v>16</v>
      </c>
      <c r="F1445" s="28" t="s">
        <v>67</v>
      </c>
      <c r="G1445" s="4"/>
      <c r="H1445" s="4">
        <f>SUMIFS(X!$F$5:$F$2005,X!$D$5:$D$2005,'CEK CICI'!A1445)</f>
        <v>0</v>
      </c>
      <c r="I1445" s="4">
        <f>SUMIFS(PENJUALAN!$E$4:$E$4288,PENJUALAN!$C$4:$C$4288,'CEK CICI'!A1445)</f>
        <v>0</v>
      </c>
      <c r="J1445" s="16">
        <f t="shared" si="2"/>
        <v>0</v>
      </c>
      <c r="K1445" s="4"/>
      <c r="L1445" s="4"/>
      <c r="M1445" s="4"/>
      <c r="N1445" s="4"/>
    </row>
    <row r="1446" ht="13.5" hidden="1" customHeight="1">
      <c r="A1446" s="4" t="str">
        <f t="shared" si="1"/>
        <v>LFW-COROLLA91XYG</v>
      </c>
      <c r="B1446" s="29" t="s">
        <v>1121</v>
      </c>
      <c r="C1446" s="28" t="s">
        <v>1122</v>
      </c>
      <c r="D1446" s="28" t="s">
        <v>22</v>
      </c>
      <c r="E1446" s="4" t="s">
        <v>16</v>
      </c>
      <c r="F1446" s="28" t="s">
        <v>97</v>
      </c>
      <c r="G1446" s="4"/>
      <c r="H1446" s="4">
        <f>SUMIFS(X!$F$5:$F$2005,X!$D$5:$D$2005,'CEK CICI'!A1446)</f>
        <v>0</v>
      </c>
      <c r="I1446" s="4">
        <f>SUMIFS(PENJUALAN!$E$4:$E$4288,PENJUALAN!$C$4:$C$4288,'CEK CICI'!A1446)</f>
        <v>0</v>
      </c>
      <c r="J1446" s="16">
        <f t="shared" si="2"/>
        <v>0</v>
      </c>
      <c r="K1446" s="4"/>
      <c r="L1446" s="4"/>
      <c r="M1446" s="4"/>
      <c r="N1446" s="4"/>
    </row>
    <row r="1447" ht="13.5" hidden="1" customHeight="1">
      <c r="A1447" s="4" t="str">
        <f t="shared" si="1"/>
        <v>FDL-COROLLA91XYG</v>
      </c>
      <c r="B1447" s="29" t="s">
        <v>1872</v>
      </c>
      <c r="C1447" s="30" t="s">
        <v>1122</v>
      </c>
      <c r="D1447" s="30" t="s">
        <v>128</v>
      </c>
      <c r="E1447" s="4" t="s">
        <v>16</v>
      </c>
      <c r="F1447" s="34" t="s">
        <v>397</v>
      </c>
      <c r="G1447" s="4"/>
      <c r="H1447" s="4">
        <f>SUMIFS(X!$F$5:$F$2005,X!$D$5:$D$2005,'CEK CICI'!A1447)</f>
        <v>0</v>
      </c>
      <c r="I1447" s="4">
        <f>SUMIFS(PENJUALAN!$E$4:$E$4288,PENJUALAN!$C$4:$C$4288,'CEK CICI'!A1447)</f>
        <v>0</v>
      </c>
      <c r="J1447" s="16">
        <f t="shared" si="2"/>
        <v>0</v>
      </c>
      <c r="K1447" s="4"/>
      <c r="L1447" s="4"/>
      <c r="M1447" s="4"/>
      <c r="N1447" s="4"/>
    </row>
    <row r="1448" ht="13.5" hidden="1" customHeight="1">
      <c r="A1448" s="4" t="str">
        <f t="shared" si="1"/>
        <v>FDR-COROLLA91XYG</v>
      </c>
      <c r="B1448" s="29" t="s">
        <v>1873</v>
      </c>
      <c r="C1448" s="30" t="s">
        <v>1122</v>
      </c>
      <c r="D1448" s="30" t="s">
        <v>130</v>
      </c>
      <c r="E1448" s="4" t="s">
        <v>16</v>
      </c>
      <c r="F1448" s="34" t="s">
        <v>397</v>
      </c>
      <c r="G1448" s="4"/>
      <c r="H1448" s="4">
        <f>SUMIFS(X!$F$5:$F$2005,X!$D$5:$D$2005,'CEK CICI'!A1448)</f>
        <v>0</v>
      </c>
      <c r="I1448" s="4">
        <f>SUMIFS(PENJUALAN!$E$4:$E$4288,PENJUALAN!$C$4:$C$4288,'CEK CICI'!A1448)</f>
        <v>0</v>
      </c>
      <c r="J1448" s="16">
        <f t="shared" si="2"/>
        <v>0</v>
      </c>
      <c r="K1448" s="4"/>
      <c r="L1448" s="4"/>
      <c r="M1448" s="4"/>
      <c r="N1448" s="4"/>
    </row>
    <row r="1449" ht="13.5" hidden="1" customHeight="1">
      <c r="A1449" s="4" t="str">
        <f t="shared" si="1"/>
        <v>RDL-COROLLA91XYG</v>
      </c>
      <c r="B1449" s="29" t="s">
        <v>1874</v>
      </c>
      <c r="C1449" s="30" t="s">
        <v>1122</v>
      </c>
      <c r="D1449" s="30" t="s">
        <v>132</v>
      </c>
      <c r="E1449" s="4" t="s">
        <v>16</v>
      </c>
      <c r="F1449" s="34"/>
      <c r="G1449" s="4"/>
      <c r="H1449" s="4">
        <f>SUMIFS(X!$F$5:$F$2005,X!$D$5:$D$2005,'CEK CICI'!A1449)</f>
        <v>0</v>
      </c>
      <c r="I1449" s="4">
        <f>SUMIFS(PENJUALAN!$E$4:$E$4288,PENJUALAN!$C$4:$C$4288,'CEK CICI'!A1449)</f>
        <v>0</v>
      </c>
      <c r="J1449" s="16">
        <f t="shared" si="2"/>
        <v>0</v>
      </c>
      <c r="K1449" s="4"/>
      <c r="L1449" s="4"/>
      <c r="M1449" s="4"/>
      <c r="N1449" s="4"/>
    </row>
    <row r="1450" ht="13.5" hidden="1" customHeight="1">
      <c r="A1450" s="4" t="str">
        <f t="shared" si="1"/>
        <v>RDR-COROLLA91XYG</v>
      </c>
      <c r="B1450" s="29" t="s">
        <v>1875</v>
      </c>
      <c r="C1450" s="30" t="s">
        <v>1122</v>
      </c>
      <c r="D1450" s="30" t="s">
        <v>134</v>
      </c>
      <c r="E1450" s="4" t="s">
        <v>16</v>
      </c>
      <c r="F1450" s="34"/>
      <c r="G1450" s="4"/>
      <c r="H1450" s="4">
        <f>SUMIFS(X!$F$5:$F$2005,X!$D$5:$D$2005,'CEK CICI'!A1450)</f>
        <v>0</v>
      </c>
      <c r="I1450" s="4">
        <f>SUMIFS(PENJUALAN!$E$4:$E$4288,PENJUALAN!$C$4:$C$4288,'CEK CICI'!A1450)</f>
        <v>0</v>
      </c>
      <c r="J1450" s="16">
        <f t="shared" si="2"/>
        <v>0</v>
      </c>
      <c r="K1450" s="4"/>
      <c r="L1450" s="4"/>
      <c r="M1450" s="4"/>
      <c r="N1450" s="4"/>
    </row>
    <row r="1451" ht="13.5" hidden="1" customHeight="1">
      <c r="A1451" s="4" t="str">
        <f t="shared" si="1"/>
        <v>LFW-COROLLA95XYG</v>
      </c>
      <c r="B1451" s="29" t="s">
        <v>1972</v>
      </c>
      <c r="C1451" s="28" t="s">
        <v>1125</v>
      </c>
      <c r="D1451" s="28" t="s">
        <v>22</v>
      </c>
      <c r="E1451" s="4" t="s">
        <v>16</v>
      </c>
      <c r="F1451" s="28" t="s">
        <v>97</v>
      </c>
      <c r="G1451" s="15" t="s">
        <v>11501</v>
      </c>
      <c r="H1451" s="4">
        <f>SUMIFS(X!$F$5:$F$2005,X!$D$5:$D$2005,'CEK CICI'!A1451)</f>
        <v>1</v>
      </c>
      <c r="I1451" s="4">
        <f>SUMIFS(PENJUALAN!$E$4:$E$4288,PENJUALAN!$C$4:$C$4288,'CEK CICI'!A1451)</f>
        <v>1</v>
      </c>
      <c r="J1451" s="16">
        <f t="shared" si="2"/>
        <v>0</v>
      </c>
      <c r="K1451" s="4"/>
      <c r="L1451" s="4"/>
      <c r="M1451" s="4"/>
      <c r="N1451" s="4"/>
    </row>
    <row r="1452" ht="13.5" hidden="1" customHeight="1">
      <c r="A1452" s="4" t="str">
        <f t="shared" si="1"/>
        <v>TRW-COROLLA95XYG</v>
      </c>
      <c r="B1452" s="29" t="s">
        <v>1124</v>
      </c>
      <c r="C1452" s="28" t="s">
        <v>1125</v>
      </c>
      <c r="D1452" s="28" t="s">
        <v>41</v>
      </c>
      <c r="E1452" s="4" t="s">
        <v>16</v>
      </c>
      <c r="F1452" s="28" t="s">
        <v>114</v>
      </c>
      <c r="G1452" s="4"/>
      <c r="H1452" s="4">
        <f>SUMIFS(X!$F$5:$F$2005,X!$D$5:$D$2005,'CEK CICI'!A1452)</f>
        <v>0</v>
      </c>
      <c r="I1452" s="4">
        <f>SUMIFS(PENJUALAN!$E$4:$E$4288,PENJUALAN!$C$4:$C$4288,'CEK CICI'!A1452)</f>
        <v>0</v>
      </c>
      <c r="J1452" s="16">
        <f t="shared" si="2"/>
        <v>0</v>
      </c>
      <c r="K1452" s="4"/>
      <c r="L1452" s="4"/>
      <c r="M1452" s="4"/>
      <c r="N1452" s="4"/>
    </row>
    <row r="1453" ht="13.5" hidden="1" customHeight="1">
      <c r="A1453" s="4" t="str">
        <f t="shared" si="1"/>
        <v>LFW-FORTUNER05XYG</v>
      </c>
      <c r="B1453" s="29" t="s">
        <v>1128</v>
      </c>
      <c r="C1453" s="28" t="s">
        <v>1129</v>
      </c>
      <c r="D1453" s="28" t="s">
        <v>22</v>
      </c>
      <c r="E1453" s="4" t="s">
        <v>16</v>
      </c>
      <c r="F1453" s="28" t="s">
        <v>1876</v>
      </c>
      <c r="G1453" s="4"/>
      <c r="H1453" s="4">
        <f>SUMIFS(X!$F$5:$F$2005,X!$D$5:$D$2005,'CEK CICI'!A1453)</f>
        <v>3</v>
      </c>
      <c r="I1453" s="4">
        <f>SUMIFS(PENJUALAN!$E$4:$E$4288,PENJUALAN!$C$4:$C$4288,'CEK CICI'!A1453)</f>
        <v>0</v>
      </c>
      <c r="J1453" s="16">
        <f t="shared" si="2"/>
        <v>3</v>
      </c>
      <c r="K1453" s="4"/>
      <c r="L1453" s="4"/>
      <c r="M1453" s="5">
        <v>2.0</v>
      </c>
      <c r="N1453" s="4"/>
    </row>
    <row r="1454" ht="13.5" hidden="1" customHeight="1">
      <c r="A1454" s="4" t="str">
        <f t="shared" si="1"/>
        <v>TRW-FORTUNER05BLACKXYG</v>
      </c>
      <c r="B1454" s="29" t="s">
        <v>1131</v>
      </c>
      <c r="C1454" s="28" t="s">
        <v>1132</v>
      </c>
      <c r="D1454" s="28" t="s">
        <v>41</v>
      </c>
      <c r="E1454" s="4" t="s">
        <v>16</v>
      </c>
      <c r="F1454" s="28" t="s">
        <v>67</v>
      </c>
      <c r="G1454" s="4"/>
      <c r="H1454" s="4">
        <f>SUMIFS(X!$F$5:$F$2005,X!$D$5:$D$2005,'CEK CICI'!A1454)</f>
        <v>11</v>
      </c>
      <c r="I1454" s="4">
        <f>SUMIFS(PENJUALAN!$E$4:$E$4288,PENJUALAN!$C$4:$C$4288,'CEK CICI'!A1454)</f>
        <v>9</v>
      </c>
      <c r="J1454" s="16">
        <f t="shared" si="2"/>
        <v>2</v>
      </c>
      <c r="K1454" s="15" t="s">
        <v>1884</v>
      </c>
      <c r="L1454" s="15"/>
      <c r="M1454" s="5">
        <v>1.0</v>
      </c>
      <c r="N1454" s="4"/>
    </row>
    <row r="1455" ht="13.5" hidden="1" customHeight="1">
      <c r="A1455" s="4" t="str">
        <f t="shared" si="1"/>
        <v>TRW-FORTUNER05XYG</v>
      </c>
      <c r="B1455" s="31" t="s">
        <v>1130</v>
      </c>
      <c r="C1455" s="33" t="s">
        <v>2289</v>
      </c>
      <c r="D1455" s="28" t="s">
        <v>41</v>
      </c>
      <c r="E1455" s="4" t="s">
        <v>16</v>
      </c>
      <c r="F1455" s="28" t="s">
        <v>67</v>
      </c>
      <c r="G1455" s="4"/>
      <c r="H1455" s="4">
        <f>SUMIFS(X!$F$5:$F$2005,X!$D$5:$D$2005,'CEK CICI'!A1455)</f>
        <v>6</v>
      </c>
      <c r="I1455" s="4">
        <f>SUMIFS(PENJUALAN!$E$4:$E$4288,PENJUALAN!$C$4:$C$4288,'CEK CICI'!A1455)</f>
        <v>5</v>
      </c>
      <c r="J1455" s="16">
        <f t="shared" si="2"/>
        <v>1</v>
      </c>
      <c r="K1455" s="15" t="s">
        <v>1567</v>
      </c>
      <c r="L1455" s="15"/>
      <c r="M1455" s="5"/>
      <c r="N1455" s="15"/>
    </row>
    <row r="1456" ht="13.5" hidden="1" customHeight="1">
      <c r="A1456" s="4" t="str">
        <f t="shared" si="1"/>
        <v>RDL-FORTUNER05XYG</v>
      </c>
      <c r="B1456" s="29" t="s">
        <v>1133</v>
      </c>
      <c r="C1456" s="28" t="s">
        <v>1129</v>
      </c>
      <c r="D1456" s="28" t="s">
        <v>132</v>
      </c>
      <c r="E1456" s="4" t="s">
        <v>16</v>
      </c>
      <c r="F1456" s="28"/>
      <c r="G1456" s="4"/>
      <c r="H1456" s="4">
        <f>SUMIFS(X!$F$5:$F$2005,X!$D$5:$D$2005,'CEK CICI'!A1456)</f>
        <v>2</v>
      </c>
      <c r="I1456" s="4">
        <f>SUMIFS(PENJUALAN!$E$4:$E$4288,PENJUALAN!$C$4:$C$4288,'CEK CICI'!A1456)</f>
        <v>0</v>
      </c>
      <c r="J1456" s="16">
        <f t="shared" si="2"/>
        <v>2</v>
      </c>
      <c r="K1456" s="15" t="s">
        <v>1431</v>
      </c>
      <c r="L1456" s="15"/>
      <c r="M1456" s="5">
        <v>1.0</v>
      </c>
      <c r="N1456" s="4"/>
    </row>
    <row r="1457" ht="13.5" hidden="1" customHeight="1">
      <c r="A1457" s="4" t="str">
        <f t="shared" si="1"/>
        <v>RDR-FORTUNER05XYG</v>
      </c>
      <c r="B1457" s="29" t="s">
        <v>1134</v>
      </c>
      <c r="C1457" s="28" t="s">
        <v>1129</v>
      </c>
      <c r="D1457" s="28" t="s">
        <v>134</v>
      </c>
      <c r="E1457" s="4" t="s">
        <v>16</v>
      </c>
      <c r="F1457" s="28"/>
      <c r="G1457" s="4"/>
      <c r="H1457" s="4">
        <f>SUMIFS(X!$F$5:$F$2005,X!$D$5:$D$2005,'CEK CICI'!A1457)</f>
        <v>2</v>
      </c>
      <c r="I1457" s="4">
        <f>SUMIFS(PENJUALAN!$E$4:$E$4288,PENJUALAN!$C$4:$C$4288,'CEK CICI'!A1457)</f>
        <v>0</v>
      </c>
      <c r="J1457" s="16">
        <f t="shared" si="2"/>
        <v>2</v>
      </c>
      <c r="K1457" s="15" t="s">
        <v>1431</v>
      </c>
      <c r="L1457" s="15"/>
      <c r="M1457" s="4"/>
      <c r="N1457" s="4"/>
    </row>
    <row r="1458" ht="13.5" hidden="1" customHeight="1">
      <c r="A1458" s="4" t="str">
        <f t="shared" si="1"/>
        <v>SWL-FORTUNER05BLACKXYG</v>
      </c>
      <c r="B1458" s="29" t="s">
        <v>1135</v>
      </c>
      <c r="C1458" s="28" t="s">
        <v>1132</v>
      </c>
      <c r="D1458" s="28" t="s">
        <v>202</v>
      </c>
      <c r="E1458" s="4" t="s">
        <v>16</v>
      </c>
      <c r="F1458" s="28" t="s">
        <v>97</v>
      </c>
      <c r="G1458" s="4"/>
      <c r="H1458" s="4">
        <f>SUMIFS(X!$F$5:$F$2005,X!$D$5:$D$2005,'CEK CICI'!A1458)</f>
        <v>2</v>
      </c>
      <c r="I1458" s="4">
        <f>SUMIFS(PENJUALAN!$E$4:$E$4288,PENJUALAN!$C$4:$C$4288,'CEK CICI'!A1458)</f>
        <v>1</v>
      </c>
      <c r="J1458" s="16">
        <f t="shared" si="2"/>
        <v>1</v>
      </c>
      <c r="K1458" s="4"/>
      <c r="L1458" s="4"/>
      <c r="M1458" s="4"/>
      <c r="N1458" s="4"/>
    </row>
    <row r="1459" ht="13.5" hidden="1" customHeight="1">
      <c r="A1459" s="4" t="str">
        <f t="shared" si="1"/>
        <v>SWR-FORTUNER05BLACKXYG</v>
      </c>
      <c r="B1459" s="29" t="s">
        <v>1136</v>
      </c>
      <c r="C1459" s="28" t="s">
        <v>1132</v>
      </c>
      <c r="D1459" s="28" t="s">
        <v>236</v>
      </c>
      <c r="E1459" s="4" t="s">
        <v>16</v>
      </c>
      <c r="F1459" s="28" t="s">
        <v>234</v>
      </c>
      <c r="G1459" s="4"/>
      <c r="H1459" s="4">
        <f>SUMIFS(X!$F$5:$F$2005,X!$D$5:$D$2005,'CEK CICI'!A1459)</f>
        <v>1</v>
      </c>
      <c r="I1459" s="4">
        <f>SUMIFS(PENJUALAN!$E$4:$E$4288,PENJUALAN!$C$4:$C$4288,'CEK CICI'!A1459)</f>
        <v>1</v>
      </c>
      <c r="J1459" s="16">
        <f t="shared" si="2"/>
        <v>0</v>
      </c>
      <c r="K1459" s="4"/>
      <c r="L1459" s="4"/>
      <c r="M1459" s="4"/>
      <c r="N1459" s="4"/>
    </row>
    <row r="1460" ht="13.5" hidden="1" customHeight="1">
      <c r="A1460" s="4" t="str">
        <f t="shared" si="1"/>
        <v>LFW-FORTUNER15XYG</v>
      </c>
      <c r="B1460" s="29" t="s">
        <v>1137</v>
      </c>
      <c r="C1460" s="28" t="s">
        <v>1138</v>
      </c>
      <c r="D1460" s="28" t="s">
        <v>22</v>
      </c>
      <c r="E1460" s="4" t="s">
        <v>16</v>
      </c>
      <c r="F1460" s="28" t="s">
        <v>125</v>
      </c>
      <c r="G1460" s="4"/>
      <c r="H1460" s="4">
        <f>SUMIFS(X!$F$5:$F$2005,X!$D$5:$D$2005,'CEK CICI'!A1460)</f>
        <v>6</v>
      </c>
      <c r="I1460" s="4">
        <f>SUMIFS(PENJUALAN!$E$4:$E$4288,PENJUALAN!$C$4:$C$4288,'CEK CICI'!A1460)</f>
        <v>0</v>
      </c>
      <c r="J1460" s="16">
        <f t="shared" si="2"/>
        <v>6</v>
      </c>
      <c r="K1460" s="4"/>
      <c r="L1460" s="4"/>
      <c r="M1460" s="4"/>
      <c r="N1460" s="4"/>
    </row>
    <row r="1461" ht="13.5" hidden="1" customHeight="1">
      <c r="A1461" s="4" t="str">
        <f t="shared" si="1"/>
        <v>TRW-FORTUNER15XYG</v>
      </c>
      <c r="B1461" s="29" t="s">
        <v>1139</v>
      </c>
      <c r="C1461" s="28" t="s">
        <v>1138</v>
      </c>
      <c r="D1461" s="28" t="s">
        <v>41</v>
      </c>
      <c r="E1461" s="4" t="s">
        <v>16</v>
      </c>
      <c r="F1461" s="28" t="s">
        <v>221</v>
      </c>
      <c r="G1461" s="4"/>
      <c r="H1461" s="4">
        <f>SUMIFS(X!$F$5:$F$2005,X!$D$5:$D$2005,'CEK CICI'!A1461)</f>
        <v>4</v>
      </c>
      <c r="I1461" s="4">
        <f>SUMIFS(PENJUALAN!$E$4:$E$4288,PENJUALAN!$C$4:$C$4288,'CEK CICI'!A1461)</f>
        <v>3</v>
      </c>
      <c r="J1461" s="16">
        <f t="shared" si="2"/>
        <v>1</v>
      </c>
      <c r="K1461" s="56" t="s">
        <v>1884</v>
      </c>
      <c r="L1461" s="56"/>
      <c r="M1461" s="5">
        <v>1.0</v>
      </c>
      <c r="N1461" s="4"/>
    </row>
    <row r="1462" ht="13.5" hidden="1" customHeight="1">
      <c r="A1462" s="4" t="str">
        <f t="shared" si="1"/>
        <v>TRW-FORTUNER15BLACKXYG</v>
      </c>
      <c r="B1462" s="29" t="s">
        <v>1140</v>
      </c>
      <c r="C1462" s="28" t="s">
        <v>1141</v>
      </c>
      <c r="D1462" s="28" t="s">
        <v>41</v>
      </c>
      <c r="E1462" s="4" t="s">
        <v>16</v>
      </c>
      <c r="F1462" s="28" t="s">
        <v>221</v>
      </c>
      <c r="G1462" s="4"/>
      <c r="H1462" s="4">
        <f>SUMIFS(X!$F$5:$F$2005,X!$D$5:$D$2005,'CEK CICI'!A1462)</f>
        <v>2</v>
      </c>
      <c r="I1462" s="4">
        <f>SUMIFS(PENJUALAN!$E$4:$E$4288,PENJUALAN!$C$4:$C$4288,'CEK CICI'!A1462)</f>
        <v>1</v>
      </c>
      <c r="J1462" s="16">
        <f t="shared" si="2"/>
        <v>1</v>
      </c>
      <c r="K1462" s="4"/>
      <c r="L1462" s="4"/>
      <c r="M1462" s="4"/>
      <c r="N1462" s="4"/>
    </row>
    <row r="1463" ht="13.5" hidden="1" customHeight="1">
      <c r="A1463" s="4" t="str">
        <f t="shared" si="1"/>
        <v>RDL-FORTUNER15XYG</v>
      </c>
      <c r="B1463" s="29" t="s">
        <v>1142</v>
      </c>
      <c r="C1463" s="28" t="s">
        <v>1138</v>
      </c>
      <c r="D1463" s="28" t="s">
        <v>132</v>
      </c>
      <c r="E1463" s="4" t="s">
        <v>16</v>
      </c>
      <c r="F1463" s="28"/>
      <c r="G1463" s="4"/>
      <c r="H1463" s="4">
        <f>SUMIFS(X!$F$5:$F$2005,X!$D$5:$D$2005,'CEK CICI'!A1463)</f>
        <v>0</v>
      </c>
      <c r="I1463" s="4">
        <f>SUMIFS(PENJUALAN!$E$4:$E$4288,PENJUALAN!$C$4:$C$4288,'CEK CICI'!A1463)</f>
        <v>0</v>
      </c>
      <c r="J1463" s="16">
        <f t="shared" si="2"/>
        <v>0</v>
      </c>
      <c r="K1463" s="4"/>
      <c r="L1463" s="4"/>
      <c r="M1463" s="4"/>
      <c r="N1463" s="4"/>
    </row>
    <row r="1464" ht="13.5" hidden="1" customHeight="1">
      <c r="A1464" s="4" t="str">
        <f t="shared" si="1"/>
        <v>RDR-FORTUNER15XYG</v>
      </c>
      <c r="B1464" s="29" t="s">
        <v>1143</v>
      </c>
      <c r="C1464" s="28" t="s">
        <v>1138</v>
      </c>
      <c r="D1464" s="28" t="s">
        <v>134</v>
      </c>
      <c r="E1464" s="4" t="s">
        <v>16</v>
      </c>
      <c r="F1464" s="28"/>
      <c r="G1464" s="4"/>
      <c r="H1464" s="4">
        <f>SUMIFS(X!$F$5:$F$2005,X!$D$5:$D$2005,'CEK CICI'!A1464)</f>
        <v>0</v>
      </c>
      <c r="I1464" s="4">
        <f>SUMIFS(PENJUALAN!$E$4:$E$4288,PENJUALAN!$C$4:$C$4288,'CEK CICI'!A1464)</f>
        <v>0</v>
      </c>
      <c r="J1464" s="16">
        <f t="shared" si="2"/>
        <v>0</v>
      </c>
      <c r="K1464" s="4"/>
      <c r="L1464" s="4"/>
      <c r="M1464" s="4"/>
      <c r="N1464" s="4"/>
    </row>
    <row r="1465" ht="13.5" hidden="1" customHeight="1">
      <c r="A1465" s="4" t="str">
        <f t="shared" si="1"/>
        <v>LFW-FT86XYG</v>
      </c>
      <c r="B1465" s="29" t="s">
        <v>1885</v>
      </c>
      <c r="C1465" s="28" t="s">
        <v>1886</v>
      </c>
      <c r="D1465" s="28" t="s">
        <v>22</v>
      </c>
      <c r="E1465" s="4" t="s">
        <v>16</v>
      </c>
      <c r="F1465" s="28" t="s">
        <v>737</v>
      </c>
      <c r="G1465" s="4"/>
      <c r="H1465" s="4">
        <f>SUMIFS(X!$F$5:$F$2005,X!$D$5:$D$2005,'CEK CICI'!A1465)</f>
        <v>0</v>
      </c>
      <c r="I1465" s="4">
        <f>SUMIFS(PENJUALAN!$E$4:$E$4288,PENJUALAN!$C$4:$C$4288,'CEK CICI'!A1465)</f>
        <v>0</v>
      </c>
      <c r="J1465" s="16">
        <f t="shared" si="2"/>
        <v>0</v>
      </c>
      <c r="K1465" s="4"/>
      <c r="L1465" s="4"/>
      <c r="M1465" s="4"/>
      <c r="N1465" s="4"/>
    </row>
    <row r="1466" ht="13.5" hidden="1" customHeight="1">
      <c r="A1466" s="4" t="str">
        <f t="shared" si="1"/>
        <v>TRW-FT86XYG</v>
      </c>
      <c r="B1466" s="29" t="s">
        <v>1887</v>
      </c>
      <c r="C1466" s="28" t="s">
        <v>1886</v>
      </c>
      <c r="D1466" s="28" t="s">
        <v>41</v>
      </c>
      <c r="E1466" s="4" t="s">
        <v>16</v>
      </c>
      <c r="F1466" s="28" t="s">
        <v>67</v>
      </c>
      <c r="G1466" s="4"/>
      <c r="H1466" s="4">
        <f>SUMIFS(X!$F$5:$F$2005,X!$D$5:$D$2005,'CEK CICI'!A1466)</f>
        <v>0</v>
      </c>
      <c r="I1466" s="4">
        <f>SUMIFS(PENJUALAN!$E$4:$E$4288,PENJUALAN!$C$4:$C$4288,'CEK CICI'!A1466)</f>
        <v>0</v>
      </c>
      <c r="J1466" s="16">
        <f t="shared" si="2"/>
        <v>0</v>
      </c>
      <c r="K1466" s="4"/>
      <c r="L1466" s="4"/>
      <c r="M1466" s="4"/>
      <c r="N1466" s="4"/>
    </row>
    <row r="1467" ht="13.5" hidden="1" customHeight="1">
      <c r="A1467" s="4" t="str">
        <f t="shared" si="1"/>
        <v>LFW-HIACEXYG</v>
      </c>
      <c r="B1467" s="29" t="s">
        <v>1144</v>
      </c>
      <c r="C1467" s="28" t="s">
        <v>1145</v>
      </c>
      <c r="D1467" s="28" t="s">
        <v>22</v>
      </c>
      <c r="E1467" s="4" t="s">
        <v>16</v>
      </c>
      <c r="F1467" s="28" t="s">
        <v>125</v>
      </c>
      <c r="G1467" s="4"/>
      <c r="H1467" s="4">
        <f>SUMIFS(X!$F$5:$F$2005,X!$D$5:$D$2005,'CEK CICI'!A1467)</f>
        <v>0</v>
      </c>
      <c r="I1467" s="4">
        <f>SUMIFS(PENJUALAN!$E$4:$E$4288,PENJUALAN!$C$4:$C$4288,'CEK CICI'!A1467)</f>
        <v>0</v>
      </c>
      <c r="J1467" s="16">
        <f t="shared" si="2"/>
        <v>0</v>
      </c>
      <c r="K1467" s="4"/>
      <c r="L1467" s="4"/>
      <c r="M1467" s="4"/>
      <c r="N1467" s="4"/>
    </row>
    <row r="1468" ht="13.5" hidden="1" customHeight="1">
      <c r="A1468" s="4" t="str">
        <f t="shared" si="1"/>
        <v>TRW-HIACEXYG</v>
      </c>
      <c r="B1468" s="29" t="s">
        <v>1146</v>
      </c>
      <c r="C1468" s="28" t="s">
        <v>1145</v>
      </c>
      <c r="D1468" s="28" t="s">
        <v>22</v>
      </c>
      <c r="E1468" s="4" t="s">
        <v>16</v>
      </c>
      <c r="F1468" s="28" t="s">
        <v>439</v>
      </c>
      <c r="G1468" s="4"/>
      <c r="H1468" s="4">
        <f>SUMIFS(X!$F$5:$F$2005,X!$D$5:$D$2005,'CEK CICI'!A1468)</f>
        <v>9</v>
      </c>
      <c r="I1468" s="4">
        <f>SUMIFS(PENJUALAN!$E$4:$E$4288,PENJUALAN!$C$4:$C$4288,'CEK CICI'!A1468)</f>
        <v>8</v>
      </c>
      <c r="J1468" s="16">
        <f t="shared" si="2"/>
        <v>1</v>
      </c>
      <c r="K1468" s="15" t="s">
        <v>1378</v>
      </c>
      <c r="L1468" s="15"/>
      <c r="M1468" s="4"/>
      <c r="N1468" s="15"/>
    </row>
    <row r="1469" ht="13.5" hidden="1" customHeight="1">
      <c r="A1469" s="4" t="str">
        <f t="shared" si="1"/>
        <v>TRW-HIACEC20XYG</v>
      </c>
      <c r="B1469" s="31" t="s">
        <v>2299</v>
      </c>
      <c r="C1469" s="33" t="s">
        <v>2300</v>
      </c>
      <c r="D1469" s="33" t="s">
        <v>41</v>
      </c>
      <c r="E1469" s="15" t="s">
        <v>16</v>
      </c>
      <c r="F1469" s="33" t="s">
        <v>2301</v>
      </c>
      <c r="G1469" s="4"/>
      <c r="H1469" s="4">
        <f>SUMIFS(X!$F$5:$F$2005,X!$D$5:$D$2005,'CEK CICI'!A1469)</f>
        <v>3</v>
      </c>
      <c r="I1469" s="4">
        <f>SUMIFS(PENJUALAN!$E$4:$E$4288,PENJUALAN!$C$4:$C$4288,'CEK CICI'!A1469)</f>
        <v>2</v>
      </c>
      <c r="J1469" s="16">
        <f t="shared" si="2"/>
        <v>1</v>
      </c>
      <c r="K1469" s="15" t="s">
        <v>1378</v>
      </c>
      <c r="L1469" s="15"/>
      <c r="M1469" s="4"/>
      <c r="N1469" s="4"/>
    </row>
    <row r="1470" ht="13.5" hidden="1" customHeight="1">
      <c r="A1470" s="4" t="str">
        <f t="shared" si="1"/>
        <v>FDL-HIACEXYG</v>
      </c>
      <c r="B1470" s="29" t="s">
        <v>1147</v>
      </c>
      <c r="C1470" s="28" t="s">
        <v>1145</v>
      </c>
      <c r="D1470" s="28" t="s">
        <v>128</v>
      </c>
      <c r="E1470" s="4" t="s">
        <v>16</v>
      </c>
      <c r="F1470" s="28" t="s">
        <v>397</v>
      </c>
      <c r="G1470" s="4"/>
      <c r="H1470" s="4">
        <f>SUMIFS(X!$F$5:$F$2005,X!$D$5:$D$2005,'CEK CICI'!A1470)</f>
        <v>7</v>
      </c>
      <c r="I1470" s="4">
        <f>SUMIFS(PENJUALAN!$E$4:$E$4288,PENJUALAN!$C$4:$C$4288,'CEK CICI'!A1470)</f>
        <v>4</v>
      </c>
      <c r="J1470" s="16">
        <f t="shared" si="2"/>
        <v>3</v>
      </c>
      <c r="K1470" s="15" t="s">
        <v>1431</v>
      </c>
      <c r="L1470" s="15"/>
      <c r="M1470" s="4"/>
      <c r="N1470" s="4"/>
    </row>
    <row r="1471" ht="13.5" hidden="1" customHeight="1">
      <c r="A1471" s="4" t="str">
        <f t="shared" si="1"/>
        <v>FDR-HIACEXYG</v>
      </c>
      <c r="B1471" s="29" t="s">
        <v>1148</v>
      </c>
      <c r="C1471" s="28" t="s">
        <v>1145</v>
      </c>
      <c r="D1471" s="28" t="s">
        <v>130</v>
      </c>
      <c r="E1471" s="4" t="s">
        <v>16</v>
      </c>
      <c r="F1471" s="28" t="s">
        <v>397</v>
      </c>
      <c r="G1471" s="4"/>
      <c r="H1471" s="4">
        <f>SUMIFS(X!$F$5:$F$2005,X!$D$5:$D$2005,'CEK CICI'!A1471)</f>
        <v>2</v>
      </c>
      <c r="I1471" s="4">
        <f>SUMIFS(PENJUALAN!$E$4:$E$4288,PENJUALAN!$C$4:$C$4288,'CEK CICI'!A1471)</f>
        <v>1</v>
      </c>
      <c r="J1471" s="16">
        <f t="shared" si="2"/>
        <v>1</v>
      </c>
      <c r="K1471" s="15" t="s">
        <v>1431</v>
      </c>
      <c r="L1471" s="15"/>
      <c r="M1471" s="4"/>
      <c r="N1471" s="4"/>
    </row>
    <row r="1472" ht="13.5" hidden="1" customHeight="1">
      <c r="A1472" s="4" t="str">
        <f t="shared" si="1"/>
        <v>RDR-HIACEXYG</v>
      </c>
      <c r="B1472" s="29" t="s">
        <v>2312</v>
      </c>
      <c r="C1472" s="28" t="s">
        <v>1145</v>
      </c>
      <c r="D1472" s="28" t="s">
        <v>134</v>
      </c>
      <c r="E1472" s="4" t="s">
        <v>16</v>
      </c>
      <c r="F1472" s="28" t="s">
        <v>97</v>
      </c>
      <c r="G1472" s="4"/>
      <c r="H1472" s="4">
        <f>SUMIFS(X!$F$5:$F$2005,X!$D$5:$D$2005,'CEK CICI'!A1472)</f>
        <v>2</v>
      </c>
      <c r="I1472" s="4">
        <f>SUMIFS(PENJUALAN!$E$4:$E$4288,PENJUALAN!$C$4:$C$4288,'CEK CICI'!A1472)</f>
        <v>1</v>
      </c>
      <c r="J1472" s="16">
        <f t="shared" si="2"/>
        <v>1</v>
      </c>
      <c r="K1472" s="15" t="s">
        <v>1616</v>
      </c>
      <c r="L1472" s="15"/>
      <c r="M1472" s="4"/>
      <c r="N1472" s="4"/>
    </row>
    <row r="1473" ht="13.5" hidden="1" customHeight="1">
      <c r="A1473" s="4" t="str">
        <f t="shared" si="1"/>
        <v>SFL-HIACEXYG</v>
      </c>
      <c r="B1473" s="29" t="s">
        <v>2287</v>
      </c>
      <c r="C1473" s="28" t="s">
        <v>1145</v>
      </c>
      <c r="D1473" s="28" t="s">
        <v>904</v>
      </c>
      <c r="E1473" s="4" t="s">
        <v>16</v>
      </c>
      <c r="F1473" s="28" t="s">
        <v>97</v>
      </c>
      <c r="G1473" s="4"/>
      <c r="H1473" s="4">
        <f>SUMIFS(X!$F$5:$F$2005,X!$D$5:$D$2005,'CEK CICI'!A1473)</f>
        <v>6</v>
      </c>
      <c r="I1473" s="4">
        <f>SUMIFS(PENJUALAN!$E$4:$E$4288,PENJUALAN!$C$4:$C$4288,'CEK CICI'!A1473)</f>
        <v>5</v>
      </c>
      <c r="J1473" s="16">
        <f t="shared" si="2"/>
        <v>1</v>
      </c>
      <c r="K1473" s="15" t="s">
        <v>719</v>
      </c>
      <c r="L1473" s="15"/>
      <c r="M1473" s="4"/>
      <c r="N1473" s="4"/>
    </row>
    <row r="1474" ht="13.5" hidden="1" customHeight="1">
      <c r="A1474" s="4" t="str">
        <f t="shared" si="1"/>
        <v>SFR-HIACEXYG</v>
      </c>
      <c r="B1474" s="29" t="s">
        <v>1889</v>
      </c>
      <c r="C1474" s="28" t="s">
        <v>1145</v>
      </c>
      <c r="D1474" s="28" t="s">
        <v>906</v>
      </c>
      <c r="E1474" s="4" t="s">
        <v>16</v>
      </c>
      <c r="F1474" s="28" t="s">
        <v>97</v>
      </c>
      <c r="G1474" s="4"/>
      <c r="H1474" s="4">
        <f>SUMIFS(X!$F$5:$F$2005,X!$D$5:$D$2005,'CEK CICI'!A1474)</f>
        <v>2</v>
      </c>
      <c r="I1474" s="4">
        <f>SUMIFS(PENJUALAN!$E$4:$E$4288,PENJUALAN!$C$4:$C$4288,'CEK CICI'!A1474)</f>
        <v>1</v>
      </c>
      <c r="J1474" s="16">
        <f t="shared" si="2"/>
        <v>1</v>
      </c>
      <c r="K1474" s="15" t="s">
        <v>719</v>
      </c>
      <c r="L1474" s="15"/>
      <c r="M1474" s="4"/>
      <c r="N1474" s="4"/>
    </row>
    <row r="1475" ht="13.5" hidden="1" customHeight="1">
      <c r="A1475" s="4" t="str">
        <f t="shared" si="1"/>
        <v>SRL-HIACEXYG</v>
      </c>
      <c r="B1475" s="29" t="s">
        <v>1149</v>
      </c>
      <c r="C1475" s="28" t="s">
        <v>1145</v>
      </c>
      <c r="D1475" s="28" t="s">
        <v>908</v>
      </c>
      <c r="E1475" s="4" t="s">
        <v>16</v>
      </c>
      <c r="F1475" s="28" t="s">
        <v>97</v>
      </c>
      <c r="G1475" s="4"/>
      <c r="H1475" s="4">
        <f>SUMIFS(X!$F$5:$F$2005,X!$D$5:$D$2005,'CEK CICI'!A1475)</f>
        <v>5</v>
      </c>
      <c r="I1475" s="4">
        <f>SUMIFS(PENJUALAN!$E$4:$E$4288,PENJUALAN!$C$4:$C$4288,'CEK CICI'!A1475)</f>
        <v>4</v>
      </c>
      <c r="J1475" s="16">
        <f t="shared" si="2"/>
        <v>1</v>
      </c>
      <c r="K1475" s="15" t="s">
        <v>1616</v>
      </c>
      <c r="L1475" s="15"/>
      <c r="M1475" s="5">
        <v>1.0</v>
      </c>
      <c r="N1475" s="4"/>
    </row>
    <row r="1476" ht="13.5" hidden="1" customHeight="1">
      <c r="A1476" s="4" t="str">
        <f t="shared" si="1"/>
        <v>SRR-HIACEXYG</v>
      </c>
      <c r="B1476" s="29" t="s">
        <v>1150</v>
      </c>
      <c r="C1476" s="28" t="s">
        <v>1145</v>
      </c>
      <c r="D1476" s="28" t="s">
        <v>911</v>
      </c>
      <c r="E1476" s="4" t="s">
        <v>16</v>
      </c>
      <c r="F1476" s="28" t="s">
        <v>97</v>
      </c>
      <c r="G1476" s="4"/>
      <c r="H1476" s="4">
        <f>SUMIFS(X!$F$5:$F$2005,X!$D$5:$D$2005,'CEK CICI'!A1476)</f>
        <v>3</v>
      </c>
      <c r="I1476" s="4">
        <f>SUMIFS(PENJUALAN!$E$4:$E$4288,PENJUALAN!$C$4:$C$4288,'CEK CICI'!A1476)</f>
        <v>1</v>
      </c>
      <c r="J1476" s="16">
        <f t="shared" si="2"/>
        <v>2</v>
      </c>
      <c r="K1476" s="15" t="s">
        <v>1616</v>
      </c>
      <c r="L1476" s="15"/>
      <c r="M1476" s="4"/>
      <c r="N1476" s="4"/>
    </row>
    <row r="1477" ht="13.5" hidden="1" customHeight="1">
      <c r="A1477" s="4" t="str">
        <f t="shared" si="1"/>
        <v>TRW-HIACEBLACKXYG</v>
      </c>
      <c r="B1477" s="29" t="s">
        <v>1151</v>
      </c>
      <c r="C1477" s="28" t="s">
        <v>1152</v>
      </c>
      <c r="D1477" s="28" t="s">
        <v>41</v>
      </c>
      <c r="E1477" s="4" t="s">
        <v>16</v>
      </c>
      <c r="F1477" s="28" t="s">
        <v>439</v>
      </c>
      <c r="G1477" s="4"/>
      <c r="H1477" s="4">
        <f>SUMIFS(X!$F$5:$F$2005,X!$D$5:$D$2005,'CEK CICI'!A1477)</f>
        <v>6</v>
      </c>
      <c r="I1477" s="4">
        <f>SUMIFS(PENJUALAN!$E$4:$E$4288,PENJUALAN!$C$4:$C$4288,'CEK CICI'!A1477)</f>
        <v>5</v>
      </c>
      <c r="J1477" s="16">
        <f t="shared" si="2"/>
        <v>1</v>
      </c>
      <c r="K1477" s="15" t="s">
        <v>1378</v>
      </c>
      <c r="L1477" s="15"/>
      <c r="M1477" s="4"/>
      <c r="N1477" s="4"/>
    </row>
    <row r="1478" ht="13.5" hidden="1" customHeight="1">
      <c r="A1478" s="4" t="str">
        <f t="shared" si="1"/>
        <v>RDL-HIACEFXYG</v>
      </c>
      <c r="B1478" s="31" t="s">
        <v>1896</v>
      </c>
      <c r="C1478" s="28" t="s">
        <v>1897</v>
      </c>
      <c r="D1478" s="28" t="s">
        <v>132</v>
      </c>
      <c r="E1478" s="4" t="s">
        <v>16</v>
      </c>
      <c r="F1478" s="28" t="s">
        <v>97</v>
      </c>
      <c r="G1478" s="4"/>
      <c r="H1478" s="4">
        <f>SUMIFS(X!$F$5:$F$2005,X!$D$5:$D$2005,'CEK CICI'!A1478)</f>
        <v>5</v>
      </c>
      <c r="I1478" s="4">
        <f>SUMIFS(PENJUALAN!$E$4:$E$4288,PENJUALAN!$C$4:$C$4288,'CEK CICI'!A1478)</f>
        <v>4</v>
      </c>
      <c r="J1478" s="16">
        <f t="shared" si="2"/>
        <v>1</v>
      </c>
      <c r="K1478" s="15" t="s">
        <v>11502</v>
      </c>
      <c r="L1478" s="15"/>
      <c r="M1478" s="4"/>
      <c r="N1478" s="4"/>
    </row>
    <row r="1479" ht="13.5" hidden="1" customHeight="1">
      <c r="A1479" s="4" t="str">
        <f t="shared" si="1"/>
        <v>SRR-HIACEFXYG</v>
      </c>
      <c r="B1479" s="29" t="s">
        <v>2200</v>
      </c>
      <c r="C1479" s="28" t="s">
        <v>1897</v>
      </c>
      <c r="D1479" s="28" t="s">
        <v>911</v>
      </c>
      <c r="E1479" s="4" t="s">
        <v>16</v>
      </c>
      <c r="F1479" s="28" t="s">
        <v>97</v>
      </c>
      <c r="G1479" s="4"/>
      <c r="H1479" s="4">
        <f>SUMIFS(X!$F$5:$F$2005,X!$D$5:$D$2005,'CEK CICI'!A1479)</f>
        <v>6</v>
      </c>
      <c r="I1479" s="4">
        <f>SUMIFS(PENJUALAN!$E$4:$E$4288,PENJUALAN!$C$4:$C$4288,'CEK CICI'!A1479)</f>
        <v>4</v>
      </c>
      <c r="J1479" s="16">
        <f t="shared" si="2"/>
        <v>2</v>
      </c>
      <c r="K1479" s="15" t="s">
        <v>1898</v>
      </c>
      <c r="L1479" s="15"/>
      <c r="M1479" s="5">
        <v>1.0</v>
      </c>
      <c r="N1479" s="4"/>
    </row>
    <row r="1480" ht="13.5" hidden="1" customHeight="1">
      <c r="A1480" s="4" t="str">
        <f t="shared" si="1"/>
        <v>FDL-HIACE19XYG</v>
      </c>
      <c r="B1480" s="29" t="s">
        <v>1899</v>
      </c>
      <c r="C1480" s="28" t="s">
        <v>1900</v>
      </c>
      <c r="D1480" s="28" t="s">
        <v>128</v>
      </c>
      <c r="E1480" s="4" t="s">
        <v>16</v>
      </c>
      <c r="F1480" s="28"/>
      <c r="G1480" s="4"/>
      <c r="H1480" s="4">
        <f>SUMIFS(X!$F$5:$F$2005,X!$D$5:$D$2005,'CEK CICI'!A1480)</f>
        <v>0</v>
      </c>
      <c r="I1480" s="4">
        <f>SUMIFS(PENJUALAN!$E$4:$E$4288,PENJUALAN!$C$4:$C$4288,'CEK CICI'!A1480)</f>
        <v>0</v>
      </c>
      <c r="J1480" s="16">
        <f t="shared" si="2"/>
        <v>0</v>
      </c>
      <c r="K1480" s="4"/>
      <c r="L1480" s="4"/>
      <c r="M1480" s="4"/>
      <c r="N1480" s="4"/>
    </row>
    <row r="1481" ht="13.5" hidden="1" customHeight="1">
      <c r="A1481" s="4" t="str">
        <f t="shared" si="1"/>
        <v>FDR-HIACE19XYG</v>
      </c>
      <c r="B1481" s="29" t="s">
        <v>1901</v>
      </c>
      <c r="C1481" s="28" t="s">
        <v>1900</v>
      </c>
      <c r="D1481" s="28" t="s">
        <v>130</v>
      </c>
      <c r="E1481" s="4" t="s">
        <v>16</v>
      </c>
      <c r="F1481" s="28"/>
      <c r="G1481" s="4"/>
      <c r="H1481" s="4">
        <f>SUMIFS(X!$F$5:$F$2005,X!$D$5:$D$2005,'CEK CICI'!A1481)</f>
        <v>0</v>
      </c>
      <c r="I1481" s="4">
        <f>SUMIFS(PENJUALAN!$E$4:$E$4288,PENJUALAN!$C$4:$C$4288,'CEK CICI'!A1481)</f>
        <v>0</v>
      </c>
      <c r="J1481" s="16">
        <f t="shared" si="2"/>
        <v>0</v>
      </c>
      <c r="K1481" s="4"/>
      <c r="L1481" s="4"/>
      <c r="M1481" s="4"/>
      <c r="N1481" s="4"/>
    </row>
    <row r="1482" ht="13.5" hidden="1" customHeight="1">
      <c r="A1482" s="4" t="str">
        <f t="shared" si="1"/>
        <v>RDL-HIACE19FRAMEXYG</v>
      </c>
      <c r="B1482" s="29" t="s">
        <v>1902</v>
      </c>
      <c r="C1482" s="28" t="s">
        <v>1903</v>
      </c>
      <c r="D1482" s="28" t="s">
        <v>132</v>
      </c>
      <c r="E1482" s="4" t="s">
        <v>16</v>
      </c>
      <c r="F1482" s="28" t="s">
        <v>97</v>
      </c>
      <c r="G1482" s="4"/>
      <c r="H1482" s="4">
        <f>SUMIFS(X!$F$5:$F$2005,X!$D$5:$D$2005,'CEK CICI'!A1482)</f>
        <v>0</v>
      </c>
      <c r="I1482" s="4">
        <f>SUMIFS(PENJUALAN!$E$4:$E$4288,PENJUALAN!$C$4:$C$4288,'CEK CICI'!A1482)</f>
        <v>0</v>
      </c>
      <c r="J1482" s="16">
        <f t="shared" si="2"/>
        <v>0</v>
      </c>
      <c r="K1482" s="4"/>
      <c r="L1482" s="4"/>
      <c r="M1482" s="4"/>
      <c r="N1482" s="4"/>
    </row>
    <row r="1483" ht="13.5" hidden="1" customHeight="1">
      <c r="A1483" s="4" t="str">
        <f t="shared" si="1"/>
        <v>RDR-HIACE19XYG</v>
      </c>
      <c r="B1483" s="29" t="s">
        <v>1904</v>
      </c>
      <c r="C1483" s="28" t="s">
        <v>1900</v>
      </c>
      <c r="D1483" s="28" t="s">
        <v>134</v>
      </c>
      <c r="E1483" s="4" t="s">
        <v>16</v>
      </c>
      <c r="F1483" s="28" t="s">
        <v>97</v>
      </c>
      <c r="G1483" s="4"/>
      <c r="H1483" s="4">
        <f>SUMIFS(X!$F$5:$F$2005,X!$D$5:$D$2005,'CEK CICI'!A1483)</f>
        <v>0</v>
      </c>
      <c r="I1483" s="4">
        <f>SUMIFS(PENJUALAN!$E$4:$E$4288,PENJUALAN!$C$4:$C$4288,'CEK CICI'!A1483)</f>
        <v>0</v>
      </c>
      <c r="J1483" s="16">
        <f t="shared" si="2"/>
        <v>0</v>
      </c>
      <c r="K1483" s="4"/>
      <c r="L1483" s="4"/>
      <c r="M1483" s="4"/>
      <c r="N1483" s="4"/>
    </row>
    <row r="1484" ht="13.5" hidden="1" customHeight="1">
      <c r="A1484" s="4" t="str">
        <f t="shared" si="1"/>
        <v>SRL-HIACE19XYG</v>
      </c>
      <c r="B1484" s="29" t="s">
        <v>1905</v>
      </c>
      <c r="C1484" s="28" t="s">
        <v>1900</v>
      </c>
      <c r="D1484" s="28" t="s">
        <v>908</v>
      </c>
      <c r="E1484" s="4" t="s">
        <v>16</v>
      </c>
      <c r="F1484" s="28" t="s">
        <v>97</v>
      </c>
      <c r="G1484" s="4"/>
      <c r="H1484" s="4">
        <f>SUMIFS(X!$F$5:$F$2005,X!$D$5:$D$2005,'CEK CICI'!A1484)</f>
        <v>0</v>
      </c>
      <c r="I1484" s="4">
        <f>SUMIFS(PENJUALAN!$E$4:$E$4288,PENJUALAN!$C$4:$C$4288,'CEK CICI'!A1484)</f>
        <v>0</v>
      </c>
      <c r="J1484" s="16">
        <f t="shared" si="2"/>
        <v>0</v>
      </c>
      <c r="K1484" s="4"/>
      <c r="L1484" s="4"/>
      <c r="M1484" s="4"/>
      <c r="N1484" s="4"/>
    </row>
    <row r="1485" ht="13.5" hidden="1" customHeight="1">
      <c r="A1485" s="4" t="str">
        <f t="shared" si="1"/>
        <v>SRR-HIACE19FRAMEXYG</v>
      </c>
      <c r="B1485" s="29" t="s">
        <v>1906</v>
      </c>
      <c r="C1485" s="28" t="s">
        <v>1903</v>
      </c>
      <c r="D1485" s="28" t="s">
        <v>911</v>
      </c>
      <c r="E1485" s="4" t="s">
        <v>16</v>
      </c>
      <c r="F1485" s="28" t="s">
        <v>97</v>
      </c>
      <c r="G1485" s="4"/>
      <c r="H1485" s="4">
        <f>SUMIFS(X!$F$5:$F$2005,X!$D$5:$D$2005,'CEK CICI'!A1485)</f>
        <v>0</v>
      </c>
      <c r="I1485" s="4">
        <f>SUMIFS(PENJUALAN!$E$4:$E$4288,PENJUALAN!$C$4:$C$4288,'CEK CICI'!A1485)</f>
        <v>0</v>
      </c>
      <c r="J1485" s="16">
        <f t="shared" si="2"/>
        <v>0</v>
      </c>
      <c r="K1485" s="4"/>
      <c r="L1485" s="4"/>
      <c r="M1485" s="4"/>
      <c r="N1485" s="4"/>
    </row>
    <row r="1486" ht="13.5" hidden="1" customHeight="1">
      <c r="A1486" s="4" t="str">
        <f t="shared" si="1"/>
        <v>LFW-HIACE19XYG</v>
      </c>
      <c r="B1486" s="29" t="s">
        <v>1907</v>
      </c>
      <c r="C1486" s="28" t="s">
        <v>1900</v>
      </c>
      <c r="D1486" s="28" t="s">
        <v>22</v>
      </c>
      <c r="E1486" s="4" t="s">
        <v>16</v>
      </c>
      <c r="F1486" s="28" t="s">
        <v>125</v>
      </c>
      <c r="G1486" s="4"/>
      <c r="H1486" s="4">
        <f>SUMIFS(X!$F$5:$F$2005,X!$D$5:$D$2005,'CEK CICI'!A1486)</f>
        <v>4</v>
      </c>
      <c r="I1486" s="4">
        <f>SUMIFS(PENJUALAN!$E$4:$E$4288,PENJUALAN!$C$4:$C$4288,'CEK CICI'!A1486)</f>
        <v>4</v>
      </c>
      <c r="J1486" s="16">
        <f t="shared" si="2"/>
        <v>0</v>
      </c>
      <c r="K1486" s="4"/>
      <c r="L1486" s="4"/>
      <c r="M1486" s="4"/>
      <c r="N1486" s="4"/>
    </row>
    <row r="1487" ht="13.5" hidden="1" customHeight="1">
      <c r="A1487" s="4" t="str">
        <f t="shared" si="1"/>
        <v>TRW-HIACE19XYG</v>
      </c>
      <c r="B1487" s="29" t="s">
        <v>2297</v>
      </c>
      <c r="C1487" s="28" t="s">
        <v>2298</v>
      </c>
      <c r="D1487" s="28" t="s">
        <v>41</v>
      </c>
      <c r="E1487" s="4" t="s">
        <v>16</v>
      </c>
      <c r="F1487" s="28" t="s">
        <v>221</v>
      </c>
      <c r="G1487" s="4"/>
      <c r="H1487" s="4">
        <f>SUMIFS(X!$F$5:$F$2005,X!$D$5:$D$2005,'CEK CICI'!A1487)</f>
        <v>4</v>
      </c>
      <c r="I1487" s="4">
        <f>SUMIFS(PENJUALAN!$E$4:$E$4288,PENJUALAN!$C$4:$C$4288,'CEK CICI'!A1487)</f>
        <v>3</v>
      </c>
      <c r="J1487" s="16">
        <f t="shared" si="2"/>
        <v>1</v>
      </c>
      <c r="K1487" s="15" t="s">
        <v>1378</v>
      </c>
      <c r="L1487" s="15"/>
      <c r="M1487" s="4"/>
      <c r="N1487" s="4"/>
    </row>
    <row r="1488" ht="13.5" hidden="1" customHeight="1">
      <c r="A1488" s="4" t="str">
        <f t="shared" si="1"/>
        <v>LFW-HILUX05XYG</v>
      </c>
      <c r="B1488" s="29" t="s">
        <v>1909</v>
      </c>
      <c r="C1488" s="28" t="s">
        <v>1154</v>
      </c>
      <c r="D1488" s="30" t="s">
        <v>22</v>
      </c>
      <c r="E1488" s="4" t="s">
        <v>16</v>
      </c>
      <c r="F1488" s="28" t="s">
        <v>125</v>
      </c>
      <c r="G1488" s="4"/>
      <c r="H1488" s="4">
        <f>SUMIFS(X!$F$5:$F$2005,X!$D$5:$D$2005,'CEK CICI'!A1488)</f>
        <v>0</v>
      </c>
      <c r="I1488" s="4">
        <f>SUMIFS(PENJUALAN!$E$4:$E$4288,PENJUALAN!$C$4:$C$4288,'CEK CICI'!A1488)</f>
        <v>0</v>
      </c>
      <c r="J1488" s="16">
        <f t="shared" si="2"/>
        <v>0</v>
      </c>
      <c r="K1488" s="4"/>
      <c r="L1488" s="4"/>
      <c r="M1488" s="4"/>
      <c r="N1488" s="4"/>
    </row>
    <row r="1489" ht="13.5" hidden="1" customHeight="1">
      <c r="A1489" s="4" t="str">
        <f t="shared" si="1"/>
        <v>TRW-HILUX05XYG</v>
      </c>
      <c r="B1489" s="29" t="s">
        <v>1153</v>
      </c>
      <c r="C1489" s="28" t="s">
        <v>1154</v>
      </c>
      <c r="D1489" s="28" t="s">
        <v>41</v>
      </c>
      <c r="E1489" s="4" t="s">
        <v>16</v>
      </c>
      <c r="F1489" s="28" t="s">
        <v>118</v>
      </c>
      <c r="G1489" s="4"/>
      <c r="H1489" s="4">
        <f>SUMIFS(X!$F$5:$F$2005,X!$D$5:$D$2005,'CEK CICI'!A1489)</f>
        <v>6</v>
      </c>
      <c r="I1489" s="4">
        <f>SUMIFS(PENJUALAN!$E$4:$E$4288,PENJUALAN!$C$4:$C$4288,'CEK CICI'!A1489)</f>
        <v>5</v>
      </c>
      <c r="J1489" s="16">
        <f t="shared" si="2"/>
        <v>1</v>
      </c>
      <c r="K1489" s="15" t="s">
        <v>43</v>
      </c>
      <c r="L1489" s="15"/>
      <c r="M1489" s="4"/>
      <c r="N1489" s="4"/>
    </row>
    <row r="1490" ht="13.5" hidden="1" customHeight="1">
      <c r="A1490" s="4" t="str">
        <f t="shared" si="1"/>
        <v>TRW-HILUX15HXYG</v>
      </c>
      <c r="B1490" s="29" t="s">
        <v>1157</v>
      </c>
      <c r="C1490" s="28" t="s">
        <v>1156</v>
      </c>
      <c r="D1490" s="28" t="s">
        <v>41</v>
      </c>
      <c r="E1490" s="4" t="s">
        <v>16</v>
      </c>
      <c r="F1490" s="28" t="s">
        <v>67</v>
      </c>
      <c r="G1490" s="4"/>
      <c r="H1490" s="4">
        <f>SUMIFS(X!$F$5:$F$2005,X!$D$5:$D$2005,'CEK CICI'!A1490)</f>
        <v>4</v>
      </c>
      <c r="I1490" s="4">
        <f>SUMIFS(PENJUALAN!$E$4:$E$4288,PENJUALAN!$C$4:$C$4288,'CEK CICI'!A1490)</f>
        <v>3</v>
      </c>
      <c r="J1490" s="16">
        <f t="shared" si="2"/>
        <v>1</v>
      </c>
      <c r="K1490" s="15" t="s">
        <v>43</v>
      </c>
      <c r="L1490" s="15"/>
      <c r="M1490" s="4"/>
      <c r="N1490" s="4"/>
    </row>
    <row r="1491" ht="13.5" hidden="1" customHeight="1">
      <c r="A1491" s="4" t="str">
        <f t="shared" si="1"/>
        <v>TRW-HILUX15XYG</v>
      </c>
      <c r="B1491" s="29" t="s">
        <v>1158</v>
      </c>
      <c r="C1491" s="28" t="s">
        <v>1156</v>
      </c>
      <c r="D1491" s="28" t="s">
        <v>41</v>
      </c>
      <c r="E1491" s="4" t="s">
        <v>16</v>
      </c>
      <c r="F1491" s="28" t="s">
        <v>97</v>
      </c>
      <c r="G1491" s="4"/>
      <c r="H1491" s="4">
        <f>SUMIFS(X!$F$5:$F$2005,X!$D$5:$D$2005,'CEK CICI'!A1491)</f>
        <v>2</v>
      </c>
      <c r="I1491" s="4">
        <f>SUMIFS(PENJUALAN!$E$4:$E$4288,PENJUALAN!$C$4:$C$4288,'CEK CICI'!A1491)</f>
        <v>1</v>
      </c>
      <c r="J1491" s="16">
        <f t="shared" si="2"/>
        <v>1</v>
      </c>
      <c r="K1491" s="15" t="s">
        <v>43</v>
      </c>
      <c r="L1491" s="15"/>
      <c r="M1491" s="4"/>
      <c r="N1491" s="4"/>
    </row>
    <row r="1492" ht="13.5" hidden="1" customHeight="1">
      <c r="A1492" s="4" t="str">
        <f t="shared" si="1"/>
        <v>RDL-HILUX15XYG</v>
      </c>
      <c r="B1492" s="29" t="s">
        <v>2316</v>
      </c>
      <c r="C1492" s="30" t="s">
        <v>1156</v>
      </c>
      <c r="D1492" s="30" t="s">
        <v>132</v>
      </c>
      <c r="E1492" s="4" t="s">
        <v>16</v>
      </c>
      <c r="F1492" s="30"/>
      <c r="G1492" s="4"/>
      <c r="H1492" s="4">
        <f>SUMIFS(X!$F$5:$F$2005,X!$D$5:$D$2005,'CEK CICI'!A1492)</f>
        <v>2</v>
      </c>
      <c r="I1492" s="4">
        <f>SUMIFS(PENJUALAN!$E$4:$E$4288,PENJUALAN!$C$4:$C$4288,'CEK CICI'!A1492)</f>
        <v>1</v>
      </c>
      <c r="J1492" s="16">
        <f t="shared" si="2"/>
        <v>1</v>
      </c>
      <c r="K1492" s="15" t="s">
        <v>2133</v>
      </c>
      <c r="L1492" s="15"/>
      <c r="M1492" s="4"/>
      <c r="N1492" s="4"/>
    </row>
    <row r="1493" ht="13.5" hidden="1" customHeight="1">
      <c r="A1493" s="4" t="str">
        <f t="shared" si="1"/>
        <v>RDR-HILUX15XYG</v>
      </c>
      <c r="B1493" s="29" t="s">
        <v>2132</v>
      </c>
      <c r="C1493" s="30" t="s">
        <v>1156</v>
      </c>
      <c r="D1493" s="30" t="s">
        <v>134</v>
      </c>
      <c r="E1493" s="4" t="s">
        <v>16</v>
      </c>
      <c r="F1493" s="30"/>
      <c r="G1493" s="4"/>
      <c r="H1493" s="4">
        <f>SUMIFS(X!$F$5:$F$2005,X!$D$5:$D$2005,'CEK CICI'!A1493)</f>
        <v>2</v>
      </c>
      <c r="I1493" s="4">
        <f>SUMIFS(PENJUALAN!$E$4:$E$4288,PENJUALAN!$C$4:$C$4288,'CEK CICI'!A1493)</f>
        <v>2</v>
      </c>
      <c r="J1493" s="16">
        <f t="shared" si="2"/>
        <v>0</v>
      </c>
      <c r="K1493" s="15" t="s">
        <v>2133</v>
      </c>
      <c r="L1493" s="15"/>
      <c r="M1493" s="4"/>
      <c r="N1493" s="4"/>
    </row>
    <row r="1494" ht="13.5" hidden="1" customHeight="1">
      <c r="A1494" s="4" t="str">
        <f t="shared" si="1"/>
        <v>RVL-HILUX15XYG</v>
      </c>
      <c r="B1494" s="29" t="s">
        <v>2137</v>
      </c>
      <c r="C1494" s="30" t="s">
        <v>1156</v>
      </c>
      <c r="D1494" s="30" t="s">
        <v>387</v>
      </c>
      <c r="E1494" s="4" t="s">
        <v>16</v>
      </c>
      <c r="F1494" s="30"/>
      <c r="G1494" s="4"/>
      <c r="H1494" s="4">
        <f>SUMIFS(X!$F$5:$F$2005,X!$D$5:$D$2005,'CEK CICI'!A1494)</f>
        <v>1</v>
      </c>
      <c r="I1494" s="4">
        <f>SUMIFS(PENJUALAN!$E$4:$E$4288,PENJUALAN!$C$4:$C$4288,'CEK CICI'!A1494)</f>
        <v>1</v>
      </c>
      <c r="J1494" s="16">
        <f t="shared" si="2"/>
        <v>0</v>
      </c>
      <c r="K1494" s="4"/>
      <c r="L1494" s="4"/>
      <c r="M1494" s="4"/>
      <c r="N1494" s="4"/>
    </row>
    <row r="1495" ht="13.5" hidden="1" customHeight="1">
      <c r="A1495" s="4" t="str">
        <f t="shared" si="1"/>
        <v>RVR-HILUX15XYG</v>
      </c>
      <c r="B1495" s="29" t="s">
        <v>2138</v>
      </c>
      <c r="C1495" s="30" t="s">
        <v>1156</v>
      </c>
      <c r="D1495" s="30" t="s">
        <v>389</v>
      </c>
      <c r="E1495" s="4" t="s">
        <v>16</v>
      </c>
      <c r="F1495" s="30"/>
      <c r="G1495" s="4"/>
      <c r="H1495" s="4">
        <f>SUMIFS(X!$F$5:$F$2005,X!$D$5:$D$2005,'CEK CICI'!A1495)</f>
        <v>2</v>
      </c>
      <c r="I1495" s="4">
        <f>SUMIFS(PENJUALAN!$E$4:$E$4288,PENJUALAN!$C$4:$C$4288,'CEK CICI'!A1495)</f>
        <v>1</v>
      </c>
      <c r="J1495" s="16">
        <f t="shared" si="2"/>
        <v>1</v>
      </c>
      <c r="K1495" s="15" t="s">
        <v>1470</v>
      </c>
      <c r="L1495" s="15"/>
      <c r="M1495" s="4"/>
      <c r="N1495" s="15"/>
    </row>
    <row r="1496" ht="13.5" hidden="1" customHeight="1">
      <c r="A1496" s="4" t="str">
        <f t="shared" si="1"/>
        <v>LFW-INNOVA04XYG</v>
      </c>
      <c r="B1496" s="29" t="s">
        <v>1159</v>
      </c>
      <c r="C1496" s="28" t="s">
        <v>1160</v>
      </c>
      <c r="D1496" s="28" t="s">
        <v>22</v>
      </c>
      <c r="E1496" s="4" t="s">
        <v>16</v>
      </c>
      <c r="F1496" s="28" t="s">
        <v>125</v>
      </c>
      <c r="G1496" s="15" t="s">
        <v>11503</v>
      </c>
      <c r="H1496" s="4">
        <f>SUMIFS(X!$F$5:$F$2005,X!$D$5:$D$2005,'CEK CICI'!A1496)</f>
        <v>7</v>
      </c>
      <c r="I1496" s="4">
        <f>SUMIFS(PENJUALAN!$E$4:$E$4288,PENJUALAN!$C$4:$C$4288,'CEK CICI'!A1496)</f>
        <v>7</v>
      </c>
      <c r="J1496" s="16">
        <f t="shared" si="2"/>
        <v>0</v>
      </c>
      <c r="K1496" s="15" t="s">
        <v>1863</v>
      </c>
      <c r="L1496" s="15"/>
      <c r="M1496" s="4"/>
      <c r="N1496" s="4"/>
    </row>
    <row r="1497" ht="13.5" hidden="1" customHeight="1">
      <c r="A1497" s="4" t="str">
        <f t="shared" si="1"/>
        <v>TRW-INNOVA04HXYG</v>
      </c>
      <c r="B1497" s="29" t="s">
        <v>1161</v>
      </c>
      <c r="C1497" s="28" t="s">
        <v>1160</v>
      </c>
      <c r="D1497" s="28" t="s">
        <v>41</v>
      </c>
      <c r="E1497" s="4" t="s">
        <v>16</v>
      </c>
      <c r="F1497" s="28" t="s">
        <v>67</v>
      </c>
      <c r="G1497" s="4"/>
      <c r="H1497" s="4">
        <f>SUMIFS(X!$F$5:$F$2005,X!$D$5:$D$2005,'CEK CICI'!A1497)</f>
        <v>13</v>
      </c>
      <c r="I1497" s="4">
        <f>SUMIFS(PENJUALAN!$E$4:$E$4288,PENJUALAN!$C$4:$C$4288,'CEK CICI'!A1497)</f>
        <v>11</v>
      </c>
      <c r="J1497" s="16">
        <f t="shared" si="2"/>
        <v>2</v>
      </c>
      <c r="K1497" s="15" t="s">
        <v>1860</v>
      </c>
      <c r="L1497" s="15"/>
      <c r="M1497" s="5">
        <v>1.0</v>
      </c>
      <c r="N1497" s="15"/>
    </row>
    <row r="1498" ht="13.5" hidden="1" customHeight="1">
      <c r="A1498" s="4" t="str">
        <f t="shared" si="1"/>
        <v>TRW-INNOVA04XYG</v>
      </c>
      <c r="B1498" s="29" t="s">
        <v>1162</v>
      </c>
      <c r="C1498" s="28" t="s">
        <v>1160</v>
      </c>
      <c r="D1498" s="28" t="s">
        <v>41</v>
      </c>
      <c r="E1498" s="4" t="s">
        <v>16</v>
      </c>
      <c r="F1498" s="28" t="s">
        <v>97</v>
      </c>
      <c r="G1498" s="4"/>
      <c r="H1498" s="4">
        <f>SUMIFS(X!$F$5:$F$2005,X!$D$5:$D$2005,'CEK CICI'!A1498)</f>
        <v>16</v>
      </c>
      <c r="I1498" s="4">
        <f>SUMIFS(PENJUALAN!$E$4:$E$4288,PENJUALAN!$C$4:$C$4288,'CEK CICI'!A1498)</f>
        <v>15</v>
      </c>
      <c r="J1498" s="16">
        <f t="shared" si="2"/>
        <v>1</v>
      </c>
      <c r="K1498" s="15" t="s">
        <v>1860</v>
      </c>
      <c r="L1498" s="15"/>
      <c r="M1498" s="5">
        <v>1.0</v>
      </c>
      <c r="N1498" s="15" t="s">
        <v>2127</v>
      </c>
    </row>
    <row r="1499" ht="13.5" hidden="1" customHeight="1">
      <c r="A1499" s="4" t="str">
        <f t="shared" si="1"/>
        <v>LFW-INNOVA15XYG</v>
      </c>
      <c r="B1499" s="29" t="s">
        <v>1166</v>
      </c>
      <c r="C1499" s="28" t="s">
        <v>1167</v>
      </c>
      <c r="D1499" s="28" t="s">
        <v>22</v>
      </c>
      <c r="E1499" s="4" t="s">
        <v>16</v>
      </c>
      <c r="F1499" s="28" t="s">
        <v>125</v>
      </c>
      <c r="G1499" s="4"/>
      <c r="H1499" s="4">
        <f>SUMIFS(X!$F$5:$F$2005,X!$D$5:$D$2005,'CEK CICI'!A1499)</f>
        <v>6</v>
      </c>
      <c r="I1499" s="4">
        <f>SUMIFS(PENJUALAN!$E$4:$E$4288,PENJUALAN!$C$4:$C$4288,'CEK CICI'!A1499)</f>
        <v>5</v>
      </c>
      <c r="J1499" s="16">
        <f t="shared" si="2"/>
        <v>1</v>
      </c>
      <c r="K1499" s="4"/>
      <c r="L1499" s="4"/>
      <c r="M1499" s="4"/>
      <c r="N1499" s="4"/>
    </row>
    <row r="1500" ht="13.5" hidden="1" customHeight="1">
      <c r="A1500" s="4" t="str">
        <f t="shared" si="1"/>
        <v>TRW-INNOVA15XYG</v>
      </c>
      <c r="B1500" s="29" t="s">
        <v>1852</v>
      </c>
      <c r="C1500" s="28" t="s">
        <v>1167</v>
      </c>
      <c r="D1500" s="28" t="s">
        <v>41</v>
      </c>
      <c r="E1500" s="4" t="s">
        <v>16</v>
      </c>
      <c r="F1500" s="28" t="s">
        <v>533</v>
      </c>
      <c r="G1500" s="4"/>
      <c r="H1500" s="4">
        <f>SUMIFS(X!$F$5:$F$2005,X!$D$5:$D$2005,'CEK CICI'!A1500)</f>
        <v>9</v>
      </c>
      <c r="I1500" s="4">
        <f>SUMIFS(PENJUALAN!$E$4:$E$4288,PENJUALAN!$C$4:$C$4288,'CEK CICI'!A1500)</f>
        <v>7</v>
      </c>
      <c r="J1500" s="16">
        <f t="shared" si="2"/>
        <v>2</v>
      </c>
      <c r="K1500" s="15" t="s">
        <v>1860</v>
      </c>
      <c r="L1500" s="15"/>
      <c r="M1500" s="4"/>
      <c r="N1500" s="4"/>
    </row>
    <row r="1501" ht="13.5" hidden="1" customHeight="1">
      <c r="A1501" s="4" t="str">
        <f t="shared" si="1"/>
        <v>TRW-INNOVA15HXYG</v>
      </c>
      <c r="B1501" s="29" t="s">
        <v>1859</v>
      </c>
      <c r="C1501" s="28" t="s">
        <v>1167</v>
      </c>
      <c r="D1501" s="28" t="s">
        <v>41</v>
      </c>
      <c r="E1501" s="4" t="s">
        <v>16</v>
      </c>
      <c r="F1501" s="28" t="s">
        <v>221</v>
      </c>
      <c r="G1501" s="4"/>
      <c r="H1501" s="4">
        <f>SUMIFS(X!$F$5:$F$2005,X!$D$5:$D$2005,'CEK CICI'!A1501)</f>
        <v>7</v>
      </c>
      <c r="I1501" s="4">
        <f>SUMIFS(PENJUALAN!$E$4:$E$4288,PENJUALAN!$C$4:$C$4288,'CEK CICI'!A1501)</f>
        <v>5</v>
      </c>
      <c r="J1501" s="16">
        <f t="shared" si="2"/>
        <v>2</v>
      </c>
      <c r="K1501" s="15" t="s">
        <v>139</v>
      </c>
      <c r="L1501" s="15"/>
      <c r="M1501" s="4"/>
      <c r="N1501" s="4"/>
    </row>
    <row r="1502" ht="13.5" hidden="1" customHeight="1">
      <c r="A1502" s="4" t="str">
        <f t="shared" si="1"/>
        <v>LFW-ISTXYG</v>
      </c>
      <c r="B1502" s="29" t="s">
        <v>1168</v>
      </c>
      <c r="C1502" s="28" t="s">
        <v>1169</v>
      </c>
      <c r="D1502" s="28" t="s">
        <v>22</v>
      </c>
      <c r="E1502" s="4" t="s">
        <v>16</v>
      </c>
      <c r="F1502" s="28" t="s">
        <v>125</v>
      </c>
      <c r="G1502" s="4"/>
      <c r="H1502" s="4">
        <f>SUMIFS(X!$F$5:$F$2005,X!$D$5:$D$2005,'CEK CICI'!A1502)</f>
        <v>1</v>
      </c>
      <c r="I1502" s="4">
        <f>SUMIFS(PENJUALAN!$E$4:$E$4288,PENJUALAN!$C$4:$C$4288,'CEK CICI'!A1502)</f>
        <v>1</v>
      </c>
      <c r="J1502" s="16">
        <f t="shared" si="2"/>
        <v>0</v>
      </c>
      <c r="K1502" s="15" t="s">
        <v>1877</v>
      </c>
      <c r="L1502" s="15"/>
      <c r="M1502" s="4"/>
      <c r="N1502" s="4"/>
    </row>
    <row r="1503" ht="13.5" hidden="1" customHeight="1">
      <c r="A1503" s="4" t="str">
        <f t="shared" si="1"/>
        <v>LFW-KAPSUL97XYG</v>
      </c>
      <c r="B1503" s="29" t="s">
        <v>1916</v>
      </c>
      <c r="C1503" s="28" t="s">
        <v>1917</v>
      </c>
      <c r="D1503" s="28" t="s">
        <v>22</v>
      </c>
      <c r="E1503" s="4" t="s">
        <v>16</v>
      </c>
      <c r="F1503" s="28"/>
      <c r="G1503" s="4"/>
      <c r="H1503" s="4">
        <f>SUMIFS(X!$F$5:$F$2005,X!$D$5:$D$2005,'CEK CICI'!A1503)</f>
        <v>2</v>
      </c>
      <c r="I1503" s="4">
        <f>SUMIFS(PENJUALAN!$E$4:$E$4288,PENJUALAN!$C$4:$C$4288,'CEK CICI'!A1503)</f>
        <v>1</v>
      </c>
      <c r="J1503" s="16">
        <f t="shared" si="2"/>
        <v>1</v>
      </c>
      <c r="K1503" s="15" t="s">
        <v>1416</v>
      </c>
      <c r="L1503" s="4"/>
      <c r="M1503" s="4"/>
      <c r="N1503" s="4"/>
    </row>
    <row r="1504" ht="13.5" hidden="1" customHeight="1">
      <c r="A1504" s="4" t="str">
        <f t="shared" si="1"/>
        <v>LFW-KAPSUL02XYG</v>
      </c>
      <c r="B1504" s="29" t="s">
        <v>1918</v>
      </c>
      <c r="C1504" s="30" t="s">
        <v>1919</v>
      </c>
      <c r="D1504" s="28" t="s">
        <v>22</v>
      </c>
      <c r="E1504" s="4" t="s">
        <v>16</v>
      </c>
      <c r="F1504" s="28" t="s">
        <v>97</v>
      </c>
      <c r="G1504" s="4"/>
      <c r="H1504" s="4">
        <f>SUMIFS(X!$F$5:$F$2005,X!$D$5:$D$2005,'CEK CICI'!A1504)</f>
        <v>9</v>
      </c>
      <c r="I1504" s="4">
        <f>SUMIFS(PENJUALAN!$E$4:$E$4288,PENJUALAN!$C$4:$C$4288,'CEK CICI'!A1504)</f>
        <v>3</v>
      </c>
      <c r="J1504" s="16">
        <f t="shared" si="2"/>
        <v>6</v>
      </c>
      <c r="K1504" s="15" t="s">
        <v>1416</v>
      </c>
      <c r="L1504" s="4"/>
      <c r="M1504" s="4"/>
      <c r="N1504" s="4"/>
    </row>
    <row r="1505" ht="13.5" hidden="1" customHeight="1">
      <c r="A1505" s="4" t="str">
        <f t="shared" si="1"/>
        <v>LFW-FJ40XYG</v>
      </c>
      <c r="B1505" s="41" t="s">
        <v>1921</v>
      </c>
      <c r="C1505" s="28" t="s">
        <v>1922</v>
      </c>
      <c r="D1505" s="28" t="s">
        <v>22</v>
      </c>
      <c r="E1505" s="4" t="s">
        <v>16</v>
      </c>
      <c r="F1505" s="28"/>
      <c r="G1505" s="4"/>
      <c r="H1505" s="4">
        <f>SUMIFS(X!$F$5:$F$2005,X!$D$5:$D$2005,'CEK CICI'!A1505)</f>
        <v>0</v>
      </c>
      <c r="I1505" s="4">
        <f>SUMIFS(PENJUALAN!$E$4:$E$4288,PENJUALAN!$C$4:$C$4288,'CEK CICI'!A1505)</f>
        <v>0</v>
      </c>
      <c r="J1505" s="16">
        <f t="shared" si="2"/>
        <v>0</v>
      </c>
      <c r="K1505" s="4"/>
      <c r="L1505" s="4"/>
      <c r="M1505" s="4"/>
      <c r="N1505" s="4"/>
    </row>
    <row r="1506" ht="13.5" hidden="1" customHeight="1">
      <c r="A1506" s="4" t="str">
        <f t="shared" si="1"/>
        <v>LFW-FJ80XYG</v>
      </c>
      <c r="B1506" s="29" t="s">
        <v>1171</v>
      </c>
      <c r="C1506" s="28" t="s">
        <v>1172</v>
      </c>
      <c r="D1506" s="28" t="s">
        <v>22</v>
      </c>
      <c r="E1506" s="4" t="s">
        <v>16</v>
      </c>
      <c r="F1506" s="28"/>
      <c r="G1506" s="4"/>
      <c r="H1506" s="4">
        <f>SUMIFS(X!$F$5:$F$2005,X!$D$5:$D$2005,'CEK CICI'!A1506)</f>
        <v>0</v>
      </c>
      <c r="I1506" s="4">
        <f>SUMIFS(PENJUALAN!$E$4:$E$4288,PENJUALAN!$C$4:$C$4288,'CEK CICI'!A1506)</f>
        <v>0</v>
      </c>
      <c r="J1506" s="16">
        <f t="shared" si="2"/>
        <v>0</v>
      </c>
      <c r="K1506" s="4"/>
      <c r="L1506" s="4"/>
      <c r="M1506" s="4"/>
      <c r="N1506" s="4"/>
    </row>
    <row r="1507" ht="13.5" hidden="1" customHeight="1">
      <c r="A1507" s="4" t="str">
        <f t="shared" si="1"/>
        <v>TRW-FJ80XYG</v>
      </c>
      <c r="B1507" s="29" t="s">
        <v>1173</v>
      </c>
      <c r="C1507" s="28" t="s">
        <v>1172</v>
      </c>
      <c r="D1507" s="28" t="s">
        <v>41</v>
      </c>
      <c r="E1507" s="4" t="s">
        <v>16</v>
      </c>
      <c r="F1507" s="28" t="s">
        <v>122</v>
      </c>
      <c r="G1507" s="4"/>
      <c r="H1507" s="4">
        <f>SUMIFS(X!$F$5:$F$2005,X!$D$5:$D$2005,'CEK CICI'!A1507)</f>
        <v>0</v>
      </c>
      <c r="I1507" s="4">
        <f>SUMIFS(PENJUALAN!$E$4:$E$4288,PENJUALAN!$C$4:$C$4288,'CEK CICI'!A1507)</f>
        <v>0</v>
      </c>
      <c r="J1507" s="16">
        <f t="shared" si="2"/>
        <v>0</v>
      </c>
      <c r="K1507" s="4"/>
      <c r="L1507" s="4"/>
      <c r="M1507" s="4"/>
      <c r="N1507" s="4"/>
    </row>
    <row r="1508" ht="13.5" hidden="1" customHeight="1">
      <c r="A1508" s="4" t="str">
        <f t="shared" si="1"/>
        <v>LFW-FJ100RSXYG</v>
      </c>
      <c r="B1508" s="29" t="s">
        <v>1923</v>
      </c>
      <c r="C1508" s="28" t="s">
        <v>1924</v>
      </c>
      <c r="D1508" s="28" t="s">
        <v>22</v>
      </c>
      <c r="E1508" s="4" t="s">
        <v>16</v>
      </c>
      <c r="F1508" s="28" t="s">
        <v>75</v>
      </c>
      <c r="G1508" s="4"/>
      <c r="H1508" s="4">
        <f>SUMIFS(X!$F$5:$F$2005,X!$D$5:$D$2005,'CEK CICI'!A1508)</f>
        <v>1</v>
      </c>
      <c r="I1508" s="4">
        <f>SUMIFS(PENJUALAN!$E$4:$E$4288,PENJUALAN!$C$4:$C$4288,'CEK CICI'!A1508)</f>
        <v>1</v>
      </c>
      <c r="J1508" s="16">
        <f t="shared" si="2"/>
        <v>0</v>
      </c>
      <c r="K1508" s="4"/>
      <c r="L1508" s="4"/>
      <c r="M1508" s="4"/>
      <c r="N1508" s="4"/>
    </row>
    <row r="1509" ht="13.5" hidden="1" customHeight="1">
      <c r="A1509" s="4" t="str">
        <f t="shared" si="1"/>
        <v>LFW-FJ200RSXYG</v>
      </c>
      <c r="B1509" s="29" t="s">
        <v>1188</v>
      </c>
      <c r="C1509" s="28" t="s">
        <v>1189</v>
      </c>
      <c r="D1509" s="28" t="s">
        <v>22</v>
      </c>
      <c r="E1509" s="4" t="s">
        <v>16</v>
      </c>
      <c r="F1509" s="28" t="s">
        <v>75</v>
      </c>
      <c r="G1509" s="4"/>
      <c r="H1509" s="4">
        <f>SUMIFS(X!$F$5:$F$2005,X!$D$5:$D$2005,'CEK CICI'!A1509)</f>
        <v>0</v>
      </c>
      <c r="I1509" s="4">
        <f>SUMIFS(PENJUALAN!$E$4:$E$4288,PENJUALAN!$C$4:$C$4288,'CEK CICI'!A1509)</f>
        <v>0</v>
      </c>
      <c r="J1509" s="16">
        <f t="shared" si="2"/>
        <v>0</v>
      </c>
      <c r="K1509" s="4"/>
      <c r="L1509" s="4"/>
      <c r="M1509" s="4"/>
      <c r="N1509" s="4"/>
    </row>
    <row r="1510" ht="13.5" hidden="1" customHeight="1">
      <c r="A1510" s="4" t="str">
        <f t="shared" si="1"/>
        <v>LFW-FJ200XYG</v>
      </c>
      <c r="B1510" s="29" t="s">
        <v>1190</v>
      </c>
      <c r="C1510" s="28" t="s">
        <v>1189</v>
      </c>
      <c r="D1510" s="28" t="s">
        <v>22</v>
      </c>
      <c r="E1510" s="4" t="s">
        <v>16</v>
      </c>
      <c r="F1510" s="28" t="s">
        <v>125</v>
      </c>
      <c r="G1510" s="4"/>
      <c r="H1510" s="4">
        <f>SUMIFS(X!$F$5:$F$2005,X!$D$5:$D$2005,'CEK CICI'!A1510)</f>
        <v>0</v>
      </c>
      <c r="I1510" s="4">
        <f>SUMIFS(PENJUALAN!$E$4:$E$4288,PENJUALAN!$C$4:$C$4288,'CEK CICI'!A1510)</f>
        <v>0</v>
      </c>
      <c r="J1510" s="16">
        <f t="shared" si="2"/>
        <v>0</v>
      </c>
      <c r="K1510" s="4"/>
      <c r="L1510" s="4"/>
      <c r="M1510" s="4"/>
      <c r="N1510" s="4"/>
    </row>
    <row r="1511" ht="13.5" hidden="1" customHeight="1">
      <c r="A1511" s="4" t="str">
        <f t="shared" si="1"/>
        <v>TRW-FJ200XYG</v>
      </c>
      <c r="B1511" s="29" t="s">
        <v>1191</v>
      </c>
      <c r="C1511" s="28" t="s">
        <v>1189</v>
      </c>
      <c r="D1511" s="28" t="s">
        <v>41</v>
      </c>
      <c r="E1511" s="4" t="s">
        <v>16</v>
      </c>
      <c r="F1511" s="28" t="s">
        <v>221</v>
      </c>
      <c r="G1511" s="4"/>
      <c r="H1511" s="4">
        <f>SUMIFS(X!$F$5:$F$2005,X!$D$5:$D$2005,'CEK CICI'!A1511)</f>
        <v>0</v>
      </c>
      <c r="I1511" s="4">
        <f>SUMIFS(PENJUALAN!$E$4:$E$4288,PENJUALAN!$C$4:$C$4288,'CEK CICI'!A1511)</f>
        <v>0</v>
      </c>
      <c r="J1511" s="16">
        <f t="shared" si="2"/>
        <v>0</v>
      </c>
      <c r="K1511" s="4"/>
      <c r="L1511" s="4"/>
      <c r="M1511" s="4"/>
      <c r="N1511" s="4"/>
    </row>
    <row r="1512" ht="13.5" hidden="1" customHeight="1">
      <c r="A1512" s="4" t="str">
        <f t="shared" si="1"/>
        <v>LFW-F90XYG</v>
      </c>
      <c r="B1512" s="29" t="s">
        <v>1928</v>
      </c>
      <c r="C1512" s="28" t="s">
        <v>1929</v>
      </c>
      <c r="D1512" s="28" t="s">
        <v>22</v>
      </c>
      <c r="E1512" s="4" t="s">
        <v>16</v>
      </c>
      <c r="F1512" s="28" t="s">
        <v>1547</v>
      </c>
      <c r="G1512" s="4"/>
      <c r="H1512" s="4">
        <f>SUMIFS(X!$F$5:$F$2005,X!$D$5:$D$2005,'CEK CICI'!A1512)</f>
        <v>0</v>
      </c>
      <c r="I1512" s="4">
        <f>SUMIFS(PENJUALAN!$E$4:$E$4288,PENJUALAN!$C$4:$C$4288,'CEK CICI'!A1512)</f>
        <v>1</v>
      </c>
      <c r="J1512" s="16">
        <f t="shared" si="2"/>
        <v>-1</v>
      </c>
      <c r="K1512" s="4"/>
      <c r="L1512" s="4"/>
      <c r="M1512" s="4"/>
      <c r="N1512" s="4"/>
    </row>
    <row r="1513" ht="13.5" hidden="1" customHeight="1">
      <c r="A1513" s="4" t="str">
        <f t="shared" si="1"/>
        <v>LFW-FJ120XYG</v>
      </c>
      <c r="B1513" s="29" t="s">
        <v>1198</v>
      </c>
      <c r="C1513" s="28" t="s">
        <v>1199</v>
      </c>
      <c r="D1513" s="28" t="s">
        <v>22</v>
      </c>
      <c r="E1513" s="4" t="s">
        <v>16</v>
      </c>
      <c r="F1513" s="28" t="s">
        <v>125</v>
      </c>
      <c r="G1513" s="4"/>
      <c r="H1513" s="4">
        <f>SUMIFS(X!$F$5:$F$2005,X!$D$5:$D$2005,'CEK CICI'!A1513)</f>
        <v>1</v>
      </c>
      <c r="I1513" s="4">
        <f>SUMIFS(PENJUALAN!$E$4:$E$4288,PENJUALAN!$C$4:$C$4288,'CEK CICI'!A1513)</f>
        <v>1</v>
      </c>
      <c r="J1513" s="16">
        <f t="shared" si="2"/>
        <v>0</v>
      </c>
      <c r="K1513" s="4"/>
      <c r="L1513" s="4"/>
      <c r="M1513" s="4"/>
      <c r="N1513" s="4"/>
    </row>
    <row r="1514" ht="13.5" hidden="1" customHeight="1">
      <c r="A1514" s="4" t="str">
        <f t="shared" si="1"/>
        <v>TRW-FJ120XYG</v>
      </c>
      <c r="B1514" s="29" t="s">
        <v>1205</v>
      </c>
      <c r="C1514" s="28" t="s">
        <v>1206</v>
      </c>
      <c r="D1514" s="28" t="s">
        <v>41</v>
      </c>
      <c r="E1514" s="4" t="s">
        <v>16</v>
      </c>
      <c r="F1514" s="28" t="s">
        <v>221</v>
      </c>
      <c r="G1514" s="4"/>
      <c r="H1514" s="4">
        <f>SUMIFS(X!$F$5:$F$2005,X!$D$5:$D$2005,'CEK CICI'!A1514)</f>
        <v>0</v>
      </c>
      <c r="I1514" s="4">
        <f>SUMIFS(PENJUALAN!$E$4:$E$4288,PENJUALAN!$C$4:$C$4288,'CEK CICI'!A1514)</f>
        <v>0</v>
      </c>
      <c r="J1514" s="16">
        <f t="shared" si="2"/>
        <v>0</v>
      </c>
      <c r="K1514" s="4"/>
      <c r="L1514" s="4"/>
      <c r="M1514" s="4"/>
      <c r="N1514" s="4"/>
    </row>
    <row r="1515" ht="13.5" hidden="1" customHeight="1">
      <c r="A1515" s="4" t="str">
        <f t="shared" si="1"/>
        <v>TRW-FJ120NOLBGXYG</v>
      </c>
      <c r="B1515" s="29" t="s">
        <v>1930</v>
      </c>
      <c r="C1515" s="28" t="s">
        <v>1931</v>
      </c>
      <c r="D1515" s="28" t="s">
        <v>41</v>
      </c>
      <c r="E1515" s="4" t="s">
        <v>16</v>
      </c>
      <c r="F1515" s="28" t="s">
        <v>67</v>
      </c>
      <c r="G1515" s="4"/>
      <c r="H1515" s="4">
        <f>SUMIFS(X!$F$5:$F$2005,X!$D$5:$D$2005,'CEK CICI'!A1515)</f>
        <v>0</v>
      </c>
      <c r="I1515" s="4">
        <f>SUMIFS(PENJUALAN!$E$4:$E$4288,PENJUALAN!$C$4:$C$4288,'CEK CICI'!A1515)</f>
        <v>0</v>
      </c>
      <c r="J1515" s="16">
        <f t="shared" si="2"/>
        <v>0</v>
      </c>
      <c r="K1515" s="4"/>
      <c r="L1515" s="4"/>
      <c r="M1515" s="4"/>
      <c r="N1515" s="4"/>
    </row>
    <row r="1516" ht="13.5" hidden="1" customHeight="1">
      <c r="A1516" s="4" t="str">
        <f t="shared" si="1"/>
        <v>LFW-FJ150XYG</v>
      </c>
      <c r="B1516" s="29" t="s">
        <v>1207</v>
      </c>
      <c r="C1516" s="28" t="s">
        <v>1208</v>
      </c>
      <c r="D1516" s="28" t="s">
        <v>22</v>
      </c>
      <c r="E1516" s="4" t="s">
        <v>16</v>
      </c>
      <c r="F1516" s="28" t="s">
        <v>23</v>
      </c>
      <c r="G1516" s="4"/>
      <c r="H1516" s="4">
        <f>SUMIFS(X!$F$5:$F$2005,X!$D$5:$D$2005,'CEK CICI'!A1516)</f>
        <v>2</v>
      </c>
      <c r="I1516" s="4">
        <f>SUMIFS(PENJUALAN!$E$4:$E$4288,PENJUALAN!$C$4:$C$4288,'CEK CICI'!A1516)</f>
        <v>2</v>
      </c>
      <c r="J1516" s="16">
        <f t="shared" si="2"/>
        <v>0</v>
      </c>
      <c r="K1516" s="4"/>
      <c r="L1516" s="4"/>
      <c r="M1516" s="4"/>
      <c r="N1516" s="4"/>
    </row>
    <row r="1517" ht="13.5" customHeight="1">
      <c r="A1517" s="4" t="str">
        <f t="shared" si="1"/>
        <v>LFW-NAV07XYG</v>
      </c>
      <c r="B1517" s="29" t="s">
        <v>1213</v>
      </c>
      <c r="C1517" s="28" t="s">
        <v>1214</v>
      </c>
      <c r="D1517" s="28" t="s">
        <v>22</v>
      </c>
      <c r="E1517" s="4" t="s">
        <v>16</v>
      </c>
      <c r="F1517" s="28" t="s">
        <v>125</v>
      </c>
      <c r="G1517" s="15">
        <v>1.0</v>
      </c>
      <c r="H1517" s="4">
        <f>SUMIFS(X!$F$5:$F$2005,X!$D$5:$D$2005,'CEK CICI'!A1517)</f>
        <v>2</v>
      </c>
      <c r="I1517" s="4">
        <f>SUMIFS(PENJUALAN!$E$4:$E$4288,PENJUALAN!$C$4:$C$4288,'CEK CICI'!A1517)</f>
        <v>2</v>
      </c>
      <c r="J1517" s="16">
        <f t="shared" si="2"/>
        <v>0</v>
      </c>
      <c r="K1517" s="15" t="s">
        <v>1851</v>
      </c>
      <c r="L1517" s="15"/>
      <c r="M1517" s="4"/>
      <c r="N1517" s="4"/>
    </row>
    <row r="1518" ht="13.5" customHeight="1">
      <c r="A1518" s="4" t="str">
        <f t="shared" si="1"/>
        <v>TRW-NAV07XYG</v>
      </c>
      <c r="B1518" s="29" t="s">
        <v>1215</v>
      </c>
      <c r="C1518" s="28" t="s">
        <v>1214</v>
      </c>
      <c r="D1518" s="28" t="s">
        <v>41</v>
      </c>
      <c r="E1518" s="4" t="s">
        <v>16</v>
      </c>
      <c r="F1518" s="28" t="s">
        <v>67</v>
      </c>
      <c r="G1518" s="15">
        <v>1.0</v>
      </c>
      <c r="H1518" s="4">
        <f>SUMIFS(X!$F$5:$F$2005,X!$D$5:$D$2005,'CEK CICI'!A1518)</f>
        <v>1</v>
      </c>
      <c r="I1518" s="4">
        <f>SUMIFS(PENJUALAN!$E$4:$E$4288,PENJUALAN!$C$4:$C$4288,'CEK CICI'!A1518)</f>
        <v>1</v>
      </c>
      <c r="J1518" s="16">
        <f t="shared" si="2"/>
        <v>0</v>
      </c>
      <c r="K1518" s="4"/>
      <c r="L1518" s="4"/>
      <c r="M1518" s="4"/>
      <c r="N1518" s="4"/>
    </row>
    <row r="1519" ht="13.5" hidden="1" customHeight="1">
      <c r="A1519" s="4" t="str">
        <f t="shared" si="1"/>
        <v>LFW-NOAHXYG</v>
      </c>
      <c r="B1519" s="29" t="s">
        <v>1218</v>
      </c>
      <c r="C1519" s="28" t="s">
        <v>1219</v>
      </c>
      <c r="D1519" s="28" t="s">
        <v>22</v>
      </c>
      <c r="E1519" s="4" t="s">
        <v>16</v>
      </c>
      <c r="F1519" s="28" t="s">
        <v>125</v>
      </c>
      <c r="G1519" s="4"/>
      <c r="H1519" s="4">
        <f>SUMIFS(X!$F$5:$F$2005,X!$D$5:$D$2005,'CEK CICI'!A1519)</f>
        <v>0</v>
      </c>
      <c r="I1519" s="4">
        <f>SUMIFS(PENJUALAN!$E$4:$E$4288,PENJUALAN!$C$4:$C$4288,'CEK CICI'!A1519)</f>
        <v>0</v>
      </c>
      <c r="J1519" s="16">
        <f t="shared" si="2"/>
        <v>0</v>
      </c>
      <c r="K1519" s="4"/>
      <c r="L1519" s="4"/>
      <c r="M1519" s="4"/>
      <c r="N1519" s="4"/>
    </row>
    <row r="1520" ht="13.5" hidden="1" customHeight="1">
      <c r="A1520" s="4" t="str">
        <f t="shared" si="1"/>
        <v>TRW-NOAHXYG</v>
      </c>
      <c r="B1520" s="29" t="s">
        <v>1220</v>
      </c>
      <c r="C1520" s="28" t="s">
        <v>1219</v>
      </c>
      <c r="D1520" s="28" t="s">
        <v>41</v>
      </c>
      <c r="E1520" s="4" t="s">
        <v>16</v>
      </c>
      <c r="F1520" s="28" t="s">
        <v>67</v>
      </c>
      <c r="G1520" s="4"/>
      <c r="H1520" s="4">
        <f>SUMIFS(X!$F$5:$F$2005,X!$D$5:$D$2005,'CEK CICI'!A1520)</f>
        <v>0</v>
      </c>
      <c r="I1520" s="4">
        <f>SUMIFS(PENJUALAN!$E$4:$E$4288,PENJUALAN!$C$4:$C$4288,'CEK CICI'!A1520)</f>
        <v>0</v>
      </c>
      <c r="J1520" s="16">
        <f t="shared" si="2"/>
        <v>0</v>
      </c>
      <c r="K1520" s="4"/>
      <c r="L1520" s="4"/>
      <c r="M1520" s="4"/>
      <c r="N1520" s="4"/>
    </row>
    <row r="1521" ht="13.5" hidden="1" customHeight="1">
      <c r="A1521" s="4" t="str">
        <f t="shared" si="1"/>
        <v>LFW-PREVIA00XYG</v>
      </c>
      <c r="B1521" s="29" t="s">
        <v>1224</v>
      </c>
      <c r="C1521" s="28" t="s">
        <v>1225</v>
      </c>
      <c r="D1521" s="28" t="s">
        <v>22</v>
      </c>
      <c r="E1521" s="4" t="s">
        <v>16</v>
      </c>
      <c r="F1521" s="28" t="s">
        <v>97</v>
      </c>
      <c r="G1521" s="4"/>
      <c r="H1521" s="4">
        <f>SUMIFS(X!$F$5:$F$2005,X!$D$5:$D$2005,'CEK CICI'!A1521)</f>
        <v>0</v>
      </c>
      <c r="I1521" s="4">
        <f>SUMIFS(PENJUALAN!$E$4:$E$4288,PENJUALAN!$C$4:$C$4288,'CEK CICI'!A1521)</f>
        <v>0</v>
      </c>
      <c r="J1521" s="16">
        <f t="shared" si="2"/>
        <v>0</v>
      </c>
      <c r="K1521" s="4"/>
      <c r="L1521" s="4"/>
      <c r="M1521" s="4"/>
      <c r="N1521" s="4"/>
    </row>
    <row r="1522" ht="13.5" hidden="1" customHeight="1">
      <c r="A1522" s="4" t="str">
        <f t="shared" si="1"/>
        <v>LFW-PREVIA06XYG</v>
      </c>
      <c r="B1522" s="29" t="s">
        <v>1227</v>
      </c>
      <c r="C1522" s="28" t="s">
        <v>1228</v>
      </c>
      <c r="D1522" s="28" t="s">
        <v>22</v>
      </c>
      <c r="E1522" s="4" t="s">
        <v>16</v>
      </c>
      <c r="F1522" s="28" t="s">
        <v>737</v>
      </c>
      <c r="G1522" s="4"/>
      <c r="H1522" s="4">
        <f>SUMIFS(X!$F$5:$F$2005,X!$D$5:$D$2005,'CEK CICI'!A1522)</f>
        <v>0</v>
      </c>
      <c r="I1522" s="4">
        <f>SUMIFS(PENJUALAN!$E$4:$E$4288,PENJUALAN!$C$4:$C$4288,'CEK CICI'!A1522)</f>
        <v>0</v>
      </c>
      <c r="J1522" s="16">
        <f t="shared" si="2"/>
        <v>0</v>
      </c>
      <c r="K1522" s="4"/>
      <c r="L1522" s="4"/>
      <c r="M1522" s="4"/>
      <c r="N1522" s="4"/>
    </row>
    <row r="1523" ht="13.5" customHeight="1">
      <c r="A1523" s="4" t="str">
        <f t="shared" si="1"/>
        <v>LFW-RAIZERSXYG</v>
      </c>
      <c r="B1523" s="29" t="s">
        <v>2151</v>
      </c>
      <c r="C1523" s="28" t="s">
        <v>2152</v>
      </c>
      <c r="D1523" s="28" t="s">
        <v>22</v>
      </c>
      <c r="E1523" s="4" t="s">
        <v>16</v>
      </c>
      <c r="F1523" s="28" t="s">
        <v>75</v>
      </c>
      <c r="G1523" s="15">
        <v>1.0</v>
      </c>
      <c r="H1523" s="4">
        <f>SUMIFS(X!$F$5:$F$2005,X!$D$5:$D$2005,'CEK CICI'!A1523)</f>
        <v>1</v>
      </c>
      <c r="I1523" s="4">
        <f>SUMIFS(PENJUALAN!$E$4:$E$4288,PENJUALAN!$C$4:$C$4288,'CEK CICI'!A1523)</f>
        <v>1</v>
      </c>
      <c r="J1523" s="16">
        <f t="shared" si="2"/>
        <v>0</v>
      </c>
      <c r="K1523" s="4"/>
      <c r="L1523" s="4"/>
      <c r="M1523" s="4"/>
      <c r="N1523" s="4"/>
    </row>
    <row r="1524" ht="13.5" hidden="1" customHeight="1">
      <c r="A1524" s="4" t="str">
        <f t="shared" si="1"/>
        <v>TRW-RAV400XYG</v>
      </c>
      <c r="B1524" s="29" t="s">
        <v>1230</v>
      </c>
      <c r="C1524" s="28" t="s">
        <v>1231</v>
      </c>
      <c r="D1524" s="28" t="s">
        <v>41</v>
      </c>
      <c r="E1524" s="4" t="s">
        <v>16</v>
      </c>
      <c r="F1524" s="28" t="s">
        <v>221</v>
      </c>
      <c r="G1524" s="4"/>
      <c r="H1524" s="4">
        <f>SUMIFS(X!$F$5:$F$2005,X!$D$5:$D$2005,'CEK CICI'!A1524)</f>
        <v>0</v>
      </c>
      <c r="I1524" s="4">
        <f>SUMIFS(PENJUALAN!$E$4:$E$4288,PENJUALAN!$C$4:$C$4288,'CEK CICI'!A1524)</f>
        <v>0</v>
      </c>
      <c r="J1524" s="16">
        <f t="shared" si="2"/>
        <v>0</v>
      </c>
      <c r="K1524" s="4"/>
      <c r="L1524" s="4"/>
      <c r="M1524" s="4"/>
      <c r="N1524" s="4"/>
    </row>
    <row r="1525" ht="13.5" hidden="1" customHeight="1">
      <c r="A1525" s="4" t="str">
        <f t="shared" si="1"/>
        <v>LFW-RAV400XYG</v>
      </c>
      <c r="B1525" s="29" t="s">
        <v>1232</v>
      </c>
      <c r="C1525" s="28" t="s">
        <v>1233</v>
      </c>
      <c r="D1525" s="28" t="s">
        <v>22</v>
      </c>
      <c r="E1525" s="4" t="s">
        <v>16</v>
      </c>
      <c r="F1525" s="28" t="s">
        <v>125</v>
      </c>
      <c r="G1525" s="4"/>
      <c r="H1525" s="4">
        <f>SUMIFS(X!$F$5:$F$2005,X!$D$5:$D$2005,'CEK CICI'!A1525)</f>
        <v>0</v>
      </c>
      <c r="I1525" s="4">
        <f>SUMIFS(PENJUALAN!$E$4:$E$4288,PENJUALAN!$C$4:$C$4288,'CEK CICI'!A1525)</f>
        <v>0</v>
      </c>
      <c r="J1525" s="16">
        <f t="shared" si="2"/>
        <v>0</v>
      </c>
      <c r="K1525" s="4"/>
      <c r="L1525" s="4"/>
      <c r="M1525" s="4"/>
      <c r="N1525" s="4"/>
    </row>
    <row r="1526" ht="13.5" hidden="1" customHeight="1">
      <c r="A1526" s="4" t="str">
        <f t="shared" si="1"/>
        <v>LFW-TERIOS06XYG</v>
      </c>
      <c r="B1526" s="29" t="s">
        <v>1243</v>
      </c>
      <c r="C1526" s="28" t="s">
        <v>1244</v>
      </c>
      <c r="D1526" s="28" t="s">
        <v>22</v>
      </c>
      <c r="E1526" s="4" t="s">
        <v>16</v>
      </c>
      <c r="F1526" s="28" t="s">
        <v>97</v>
      </c>
      <c r="G1526" s="4"/>
      <c r="H1526" s="4">
        <f>SUMIFS(X!$F$5:$F$2005,X!$D$5:$D$2005,'CEK CICI'!A1526)</f>
        <v>6</v>
      </c>
      <c r="I1526" s="4">
        <f>SUMIFS(PENJUALAN!$E$4:$E$4288,PENJUALAN!$C$4:$C$4288,'CEK CICI'!A1526)</f>
        <v>3</v>
      </c>
      <c r="J1526" s="16">
        <f t="shared" si="2"/>
        <v>3</v>
      </c>
      <c r="K1526" s="4"/>
      <c r="L1526" s="4"/>
      <c r="M1526" s="4"/>
      <c r="N1526" s="4"/>
    </row>
    <row r="1527" ht="13.5" hidden="1" customHeight="1">
      <c r="A1527" s="4" t="str">
        <f t="shared" si="1"/>
        <v>TRW-TERIOS06HOLEXYG</v>
      </c>
      <c r="B1527" s="29" t="s">
        <v>1245</v>
      </c>
      <c r="C1527" s="28" t="s">
        <v>1244</v>
      </c>
      <c r="D1527" s="28" t="s">
        <v>41</v>
      </c>
      <c r="E1527" s="4" t="s">
        <v>16</v>
      </c>
      <c r="F1527" s="28" t="s">
        <v>533</v>
      </c>
      <c r="G1527" s="4"/>
      <c r="H1527" s="4">
        <f>SUMIFS(X!$F$5:$F$2005,X!$D$5:$D$2005,'CEK CICI'!A1527)</f>
        <v>6</v>
      </c>
      <c r="I1527" s="4">
        <f>SUMIFS(PENJUALAN!$E$4:$E$4288,PENJUALAN!$C$4:$C$4288,'CEK CICI'!A1527)</f>
        <v>4</v>
      </c>
      <c r="J1527" s="16">
        <f t="shared" si="2"/>
        <v>2</v>
      </c>
      <c r="K1527" s="15" t="s">
        <v>11504</v>
      </c>
      <c r="L1527" s="15"/>
      <c r="M1527" s="4"/>
      <c r="N1527" s="4"/>
    </row>
    <row r="1528" ht="13.5" hidden="1" customHeight="1">
      <c r="A1528" s="4" t="str">
        <f t="shared" si="1"/>
        <v>TRW-TERIOS06HHOLEXYG</v>
      </c>
      <c r="B1528" s="29" t="s">
        <v>1246</v>
      </c>
      <c r="C1528" s="28" t="s">
        <v>1244</v>
      </c>
      <c r="D1528" s="28" t="s">
        <v>41</v>
      </c>
      <c r="E1528" s="4" t="s">
        <v>16</v>
      </c>
      <c r="F1528" s="28" t="s">
        <v>221</v>
      </c>
      <c r="G1528" s="4"/>
      <c r="H1528" s="4">
        <f>SUMIFS(X!$F$5:$F$2005,X!$D$5:$D$2005,'CEK CICI'!A1528)</f>
        <v>10</v>
      </c>
      <c r="I1528" s="4">
        <f>SUMIFS(PENJUALAN!$E$4:$E$4288,PENJUALAN!$C$4:$C$4288,'CEK CICI'!A1528)</f>
        <v>8</v>
      </c>
      <c r="J1528" s="16">
        <f t="shared" si="2"/>
        <v>2</v>
      </c>
      <c r="K1528" s="15" t="s">
        <v>1765</v>
      </c>
      <c r="L1528" s="15"/>
      <c r="M1528" s="4"/>
      <c r="N1528" s="4"/>
    </row>
    <row r="1529" ht="13.5" hidden="1" customHeight="1">
      <c r="A1529" s="4" t="str">
        <f t="shared" si="1"/>
        <v>TRW-TERIOS06XYG</v>
      </c>
      <c r="B1529" s="29" t="s">
        <v>1247</v>
      </c>
      <c r="C1529" s="28" t="s">
        <v>1244</v>
      </c>
      <c r="D1529" s="28" t="s">
        <v>41</v>
      </c>
      <c r="E1529" s="4" t="s">
        <v>16</v>
      </c>
      <c r="F1529" s="28" t="s">
        <v>97</v>
      </c>
      <c r="G1529" s="4"/>
      <c r="H1529" s="4">
        <f>SUMIFS(X!$F$5:$F$2005,X!$D$5:$D$2005,'CEK CICI'!A1529)</f>
        <v>3</v>
      </c>
      <c r="I1529" s="4">
        <f>SUMIFS(PENJUALAN!$E$4:$E$4288,PENJUALAN!$C$4:$C$4288,'CEK CICI'!A1529)</f>
        <v>1</v>
      </c>
      <c r="J1529" s="16">
        <f t="shared" si="2"/>
        <v>2</v>
      </c>
      <c r="K1529" s="15" t="s">
        <v>1884</v>
      </c>
      <c r="L1529" s="4"/>
      <c r="M1529" s="4"/>
      <c r="N1529" s="4"/>
    </row>
    <row r="1530" ht="13.5" hidden="1" customHeight="1">
      <c r="A1530" s="4" t="str">
        <f t="shared" si="1"/>
        <v>SWL-TERIOS06XYG</v>
      </c>
      <c r="B1530" s="41" t="s">
        <v>1939</v>
      </c>
      <c r="C1530" s="28" t="s">
        <v>1244</v>
      </c>
      <c r="D1530" s="28" t="s">
        <v>202</v>
      </c>
      <c r="E1530" s="4" t="s">
        <v>16</v>
      </c>
      <c r="F1530" s="28" t="s">
        <v>97</v>
      </c>
      <c r="G1530" s="4"/>
      <c r="H1530" s="4">
        <f>SUMIFS(X!$F$5:$F$2005,X!$D$5:$D$2005,'CEK CICI'!A1530)</f>
        <v>0</v>
      </c>
      <c r="I1530" s="4">
        <f>SUMIFS(PENJUALAN!$E$4:$E$4288,PENJUALAN!$C$4:$C$4288,'CEK CICI'!A1530)</f>
        <v>0</v>
      </c>
      <c r="J1530" s="16">
        <f t="shared" si="2"/>
        <v>0</v>
      </c>
      <c r="K1530" s="4"/>
      <c r="L1530" s="4"/>
      <c r="M1530" s="4"/>
      <c r="N1530" s="4"/>
    </row>
    <row r="1531" ht="13.5" hidden="1" customHeight="1">
      <c r="A1531" s="4" t="str">
        <f t="shared" si="1"/>
        <v>SWR-TERIOS06XYG</v>
      </c>
      <c r="B1531" s="41" t="s">
        <v>1940</v>
      </c>
      <c r="C1531" s="28" t="s">
        <v>1244</v>
      </c>
      <c r="D1531" s="28" t="s">
        <v>236</v>
      </c>
      <c r="E1531" s="4" t="s">
        <v>16</v>
      </c>
      <c r="F1531" s="28" t="s">
        <v>97</v>
      </c>
      <c r="G1531" s="4"/>
      <c r="H1531" s="4">
        <f>SUMIFS(X!$F$5:$F$2005,X!$D$5:$D$2005,'CEK CICI'!A1531)</f>
        <v>0</v>
      </c>
      <c r="I1531" s="4">
        <f>SUMIFS(PENJUALAN!$E$4:$E$4288,PENJUALAN!$C$4:$C$4288,'CEK CICI'!A1531)</f>
        <v>0</v>
      </c>
      <c r="J1531" s="16">
        <f t="shared" si="2"/>
        <v>0</v>
      </c>
      <c r="K1531" s="4"/>
      <c r="L1531" s="4"/>
      <c r="M1531" s="4"/>
      <c r="N1531" s="4"/>
    </row>
    <row r="1532" ht="13.5" hidden="1" customHeight="1">
      <c r="A1532" s="4" t="str">
        <f t="shared" si="1"/>
        <v>LFW-RUSH17XYG</v>
      </c>
      <c r="B1532" s="29" t="s">
        <v>1941</v>
      </c>
      <c r="C1532" s="28" t="s">
        <v>1713</v>
      </c>
      <c r="D1532" s="28" t="s">
        <v>22</v>
      </c>
      <c r="E1532" s="4" t="s">
        <v>16</v>
      </c>
      <c r="F1532" s="28" t="s">
        <v>97</v>
      </c>
      <c r="G1532" s="4"/>
      <c r="H1532" s="4">
        <f>SUMIFS(X!$F$5:$F$2005,X!$D$5:$D$2005,'CEK CICI'!A1532)</f>
        <v>1</v>
      </c>
      <c r="I1532" s="4">
        <f>SUMIFS(PENJUALAN!$E$4:$E$4288,PENJUALAN!$C$4:$C$4288,'CEK CICI'!A1532)</f>
        <v>0</v>
      </c>
      <c r="J1532" s="16">
        <f t="shared" si="2"/>
        <v>1</v>
      </c>
      <c r="K1532" s="15" t="s">
        <v>1935</v>
      </c>
      <c r="L1532" s="15"/>
      <c r="M1532" s="4"/>
      <c r="N1532" s="4"/>
    </row>
    <row r="1533" ht="13.5" hidden="1" customHeight="1">
      <c r="A1533" s="4" t="str">
        <f t="shared" si="1"/>
        <v>TRW-RUSH17HXYG</v>
      </c>
      <c r="B1533" s="29" t="s">
        <v>1943</v>
      </c>
      <c r="C1533" s="28" t="s">
        <v>1713</v>
      </c>
      <c r="D1533" s="28" t="s">
        <v>41</v>
      </c>
      <c r="E1533" s="4" t="s">
        <v>16</v>
      </c>
      <c r="F1533" s="28" t="s">
        <v>67</v>
      </c>
      <c r="G1533" s="4"/>
      <c r="H1533" s="4">
        <f>SUMIFS(X!$F$5:$F$2005,X!$D$5:$D$2005,'CEK CICI'!A1533)</f>
        <v>0</v>
      </c>
      <c r="I1533" s="4">
        <f>SUMIFS(PENJUALAN!$E$4:$E$4288,PENJUALAN!$C$4:$C$4288,'CEK CICI'!A1533)</f>
        <v>0</v>
      </c>
      <c r="J1533" s="16">
        <f t="shared" si="2"/>
        <v>0</v>
      </c>
      <c r="K1533" s="4"/>
      <c r="L1533" s="4"/>
      <c r="M1533" s="4"/>
      <c r="N1533" s="4"/>
    </row>
    <row r="1534" ht="13.5" hidden="1" customHeight="1">
      <c r="A1534" s="4" t="str">
        <f t="shared" si="1"/>
        <v>TRW-RUSH17XYG</v>
      </c>
      <c r="B1534" s="29" t="s">
        <v>1944</v>
      </c>
      <c r="C1534" s="28" t="s">
        <v>1713</v>
      </c>
      <c r="D1534" s="28" t="s">
        <v>41</v>
      </c>
      <c r="E1534" s="4" t="s">
        <v>16</v>
      </c>
      <c r="F1534" s="28" t="s">
        <v>97</v>
      </c>
      <c r="G1534" s="4"/>
      <c r="H1534" s="4">
        <f>SUMIFS(X!$F$5:$F$2005,X!$D$5:$D$2005,'CEK CICI'!A1534)</f>
        <v>4</v>
      </c>
      <c r="I1534" s="4">
        <f>SUMIFS(PENJUALAN!$E$4:$E$4288,PENJUALAN!$C$4:$C$4288,'CEK CICI'!A1534)</f>
        <v>2</v>
      </c>
      <c r="J1534" s="16">
        <f t="shared" si="2"/>
        <v>2</v>
      </c>
      <c r="K1534" s="15" t="s">
        <v>1884</v>
      </c>
      <c r="L1534" s="4"/>
      <c r="M1534" s="4"/>
      <c r="N1534" s="4"/>
    </row>
    <row r="1535" ht="13.5" hidden="1" customHeight="1">
      <c r="A1535" s="4" t="str">
        <f t="shared" si="1"/>
        <v>LFW-SIENTAXYG</v>
      </c>
      <c r="B1535" s="29" t="s">
        <v>1248</v>
      </c>
      <c r="C1535" s="28" t="s">
        <v>1249</v>
      </c>
      <c r="D1535" s="28" t="s">
        <v>22</v>
      </c>
      <c r="E1535" s="4" t="s">
        <v>16</v>
      </c>
      <c r="F1535" s="28" t="s">
        <v>125</v>
      </c>
      <c r="G1535" s="4"/>
      <c r="H1535" s="4">
        <f>SUMIFS(X!$F$5:$F$2005,X!$D$5:$D$2005,'CEK CICI'!A1535)</f>
        <v>7</v>
      </c>
      <c r="I1535" s="4">
        <f>SUMIFS(PENJUALAN!$E$4:$E$4288,PENJUALAN!$C$4:$C$4288,'CEK CICI'!A1535)</f>
        <v>6</v>
      </c>
      <c r="J1535" s="16">
        <f t="shared" si="2"/>
        <v>1</v>
      </c>
      <c r="K1535" s="15" t="s">
        <v>1496</v>
      </c>
      <c r="L1535" s="15"/>
      <c r="M1535" s="5">
        <v>1.0</v>
      </c>
      <c r="N1535" s="4"/>
    </row>
    <row r="1536" ht="13.5" hidden="1" customHeight="1">
      <c r="A1536" s="4" t="str">
        <f t="shared" si="1"/>
        <v>TRW-SIENTAXYG</v>
      </c>
      <c r="B1536" s="29" t="s">
        <v>1250</v>
      </c>
      <c r="C1536" s="28" t="s">
        <v>1249</v>
      </c>
      <c r="D1536" s="28" t="s">
        <v>41</v>
      </c>
      <c r="E1536" s="4" t="s">
        <v>16</v>
      </c>
      <c r="F1536" s="28" t="s">
        <v>67</v>
      </c>
      <c r="G1536" s="4"/>
      <c r="H1536" s="4">
        <f>SUMIFS(X!$F$5:$F$2005,X!$D$5:$D$2005,'CEK CICI'!A1536)</f>
        <v>2</v>
      </c>
      <c r="I1536" s="4">
        <f>SUMIFS(PENJUALAN!$E$4:$E$4288,PENJUALAN!$C$4:$C$4288,'CEK CICI'!A1536)</f>
        <v>1</v>
      </c>
      <c r="J1536" s="16">
        <f t="shared" si="2"/>
        <v>1</v>
      </c>
      <c r="K1536" s="15" t="s">
        <v>139</v>
      </c>
      <c r="L1536" s="4"/>
      <c r="M1536" s="4"/>
      <c r="N1536" s="4"/>
    </row>
    <row r="1537" ht="13.5" hidden="1" customHeight="1">
      <c r="A1537" s="4" t="str">
        <f t="shared" si="1"/>
        <v>LFW-SOLUNAXYG</v>
      </c>
      <c r="B1537" s="29" t="s">
        <v>1251</v>
      </c>
      <c r="C1537" s="28" t="s">
        <v>1252</v>
      </c>
      <c r="D1537" s="28" t="s">
        <v>22</v>
      </c>
      <c r="E1537" s="4" t="s">
        <v>16</v>
      </c>
      <c r="F1537" s="28" t="s">
        <v>97</v>
      </c>
      <c r="G1537" s="4"/>
      <c r="H1537" s="4">
        <f>SUMIFS(X!$F$5:$F$2005,X!$D$5:$D$2005,'CEK CICI'!A1537)</f>
        <v>0</v>
      </c>
      <c r="I1537" s="4">
        <f>SUMIFS(PENJUALAN!$E$4:$E$4288,PENJUALAN!$C$4:$C$4288,'CEK CICI'!A1537)</f>
        <v>0</v>
      </c>
      <c r="J1537" s="16">
        <f t="shared" si="2"/>
        <v>0</v>
      </c>
      <c r="K1537" s="4"/>
      <c r="L1537" s="4"/>
      <c r="M1537" s="4"/>
      <c r="N1537" s="4"/>
    </row>
    <row r="1538" ht="13.5" hidden="1" customHeight="1">
      <c r="A1538" s="4" t="str">
        <f t="shared" si="1"/>
        <v>TRW-SOLUNAXYG</v>
      </c>
      <c r="B1538" s="29" t="s">
        <v>1950</v>
      </c>
      <c r="C1538" s="28" t="s">
        <v>1252</v>
      </c>
      <c r="D1538" s="28" t="s">
        <v>41</v>
      </c>
      <c r="E1538" s="4" t="s">
        <v>16</v>
      </c>
      <c r="F1538" s="28" t="s">
        <v>67</v>
      </c>
      <c r="G1538" s="4"/>
      <c r="H1538" s="4">
        <f>SUMIFS(X!$F$5:$F$2005,X!$D$5:$D$2005,'CEK CICI'!A1538)</f>
        <v>0</v>
      </c>
      <c r="I1538" s="4">
        <f>SUMIFS(PENJUALAN!$E$4:$E$4288,PENJUALAN!$C$4:$C$4288,'CEK CICI'!A1538)</f>
        <v>0</v>
      </c>
      <c r="J1538" s="16">
        <f t="shared" si="2"/>
        <v>0</v>
      </c>
      <c r="K1538" s="4"/>
      <c r="L1538" s="4"/>
      <c r="M1538" s="4"/>
      <c r="N1538" s="4"/>
    </row>
    <row r="1539" ht="13.5" hidden="1" customHeight="1">
      <c r="A1539" s="4" t="str">
        <f t="shared" si="1"/>
        <v>LFW-STARLETXYG</v>
      </c>
      <c r="B1539" s="29" t="s">
        <v>1253</v>
      </c>
      <c r="C1539" s="28" t="s">
        <v>1254</v>
      </c>
      <c r="D1539" s="28" t="s">
        <v>22</v>
      </c>
      <c r="E1539" s="4" t="s">
        <v>16</v>
      </c>
      <c r="F1539" s="28" t="s">
        <v>97</v>
      </c>
      <c r="G1539" s="4"/>
      <c r="H1539" s="4">
        <f>SUMIFS(X!$F$5:$F$2005,X!$D$5:$D$2005,'CEK CICI'!A1539)</f>
        <v>1</v>
      </c>
      <c r="I1539" s="4">
        <f>SUMIFS(PENJUALAN!$E$4:$E$4288,PENJUALAN!$C$4:$C$4288,'CEK CICI'!A1539)</f>
        <v>1</v>
      </c>
      <c r="J1539" s="16">
        <f t="shared" si="2"/>
        <v>0</v>
      </c>
      <c r="K1539" s="4"/>
      <c r="L1539" s="4"/>
      <c r="M1539" s="4"/>
      <c r="N1539" s="4"/>
    </row>
    <row r="1540" ht="13.5" hidden="1" customHeight="1">
      <c r="A1540" s="4" t="str">
        <f t="shared" si="1"/>
        <v>TRW-STARLETXYG</v>
      </c>
      <c r="B1540" s="29" t="s">
        <v>1255</v>
      </c>
      <c r="C1540" s="28" t="s">
        <v>1254</v>
      </c>
      <c r="D1540" s="28" t="s">
        <v>41</v>
      </c>
      <c r="E1540" s="4" t="s">
        <v>16</v>
      </c>
      <c r="F1540" s="28" t="s">
        <v>67</v>
      </c>
      <c r="G1540" s="4"/>
      <c r="H1540" s="4">
        <f>SUMIFS(X!$F$5:$F$2005,X!$D$5:$D$2005,'CEK CICI'!A1540)</f>
        <v>0</v>
      </c>
      <c r="I1540" s="4">
        <f>SUMIFS(PENJUALAN!$E$4:$E$4288,PENJUALAN!$C$4:$C$4288,'CEK CICI'!A1540)</f>
        <v>0</v>
      </c>
      <c r="J1540" s="16">
        <f t="shared" si="2"/>
        <v>0</v>
      </c>
      <c r="K1540" s="4"/>
      <c r="L1540" s="4"/>
      <c r="M1540" s="4"/>
      <c r="N1540" s="4"/>
    </row>
    <row r="1541" ht="13.5" hidden="1" customHeight="1">
      <c r="A1541" s="4" t="str">
        <f t="shared" si="1"/>
        <v>RDL-STARLETXYG</v>
      </c>
      <c r="B1541" s="29" t="s">
        <v>1256</v>
      </c>
      <c r="C1541" s="28" t="s">
        <v>1254</v>
      </c>
      <c r="D1541" s="28" t="s">
        <v>132</v>
      </c>
      <c r="E1541" s="4" t="s">
        <v>16</v>
      </c>
      <c r="F1541" s="28"/>
      <c r="G1541" s="4"/>
      <c r="H1541" s="4">
        <f>SUMIFS(X!$F$5:$F$2005,X!$D$5:$D$2005,'CEK CICI'!A1541)</f>
        <v>0</v>
      </c>
      <c r="I1541" s="4">
        <f>SUMIFS(PENJUALAN!$E$4:$E$4288,PENJUALAN!$C$4:$C$4288,'CEK CICI'!A1541)</f>
        <v>0</v>
      </c>
      <c r="J1541" s="16">
        <f t="shared" si="2"/>
        <v>0</v>
      </c>
      <c r="K1541" s="4"/>
      <c r="L1541" s="4"/>
      <c r="M1541" s="4"/>
      <c r="N1541" s="4"/>
    </row>
    <row r="1542" ht="13.5" hidden="1" customHeight="1">
      <c r="A1542" s="4" t="str">
        <f t="shared" si="1"/>
        <v>RDR-STARLETXYG</v>
      </c>
      <c r="B1542" s="29" t="s">
        <v>1257</v>
      </c>
      <c r="C1542" s="28" t="s">
        <v>1254</v>
      </c>
      <c r="D1542" s="28" t="s">
        <v>134</v>
      </c>
      <c r="E1542" s="4" t="s">
        <v>16</v>
      </c>
      <c r="F1542" s="28"/>
      <c r="G1542" s="4"/>
      <c r="H1542" s="4">
        <f>SUMIFS(X!$F$5:$F$2005,X!$D$5:$D$2005,'CEK CICI'!A1542)</f>
        <v>0</v>
      </c>
      <c r="I1542" s="4">
        <f>SUMIFS(PENJUALAN!$E$4:$E$4288,PENJUALAN!$C$4:$C$4288,'CEK CICI'!A1542)</f>
        <v>0</v>
      </c>
      <c r="J1542" s="16">
        <f t="shared" si="2"/>
        <v>0</v>
      </c>
      <c r="K1542" s="4"/>
      <c r="L1542" s="4"/>
      <c r="M1542" s="4"/>
      <c r="N1542" s="4"/>
    </row>
    <row r="1543" ht="13.5" hidden="1" customHeight="1">
      <c r="A1543" s="4" t="str">
        <f t="shared" si="1"/>
        <v>LFW-VIOS02XYG</v>
      </c>
      <c r="B1543" s="29" t="s">
        <v>1951</v>
      </c>
      <c r="C1543" s="28" t="s">
        <v>1259</v>
      </c>
      <c r="D1543" s="28" t="s">
        <v>22</v>
      </c>
      <c r="E1543" s="4" t="s">
        <v>16</v>
      </c>
      <c r="F1543" s="28" t="s">
        <v>125</v>
      </c>
      <c r="G1543" s="4"/>
      <c r="H1543" s="4">
        <f>SUMIFS(X!$F$5:$F$2005,X!$D$5:$D$2005,'CEK CICI'!A1543)</f>
        <v>0</v>
      </c>
      <c r="I1543" s="4">
        <f>SUMIFS(PENJUALAN!$E$4:$E$4288,PENJUALAN!$C$4:$C$4288,'CEK CICI'!A1543)</f>
        <v>0</v>
      </c>
      <c r="J1543" s="16">
        <f t="shared" si="2"/>
        <v>0</v>
      </c>
      <c r="K1543" s="4"/>
      <c r="L1543" s="4"/>
      <c r="M1543" s="4"/>
      <c r="N1543" s="4"/>
    </row>
    <row r="1544" ht="13.5" hidden="1" customHeight="1">
      <c r="A1544" s="4" t="str">
        <f t="shared" si="1"/>
        <v>TRW-VIOS02XYG</v>
      </c>
      <c r="B1544" s="29" t="s">
        <v>1258</v>
      </c>
      <c r="C1544" s="28" t="s">
        <v>1259</v>
      </c>
      <c r="D1544" s="28" t="s">
        <v>41</v>
      </c>
      <c r="E1544" s="4" t="s">
        <v>16</v>
      </c>
      <c r="F1544" s="28" t="s">
        <v>67</v>
      </c>
      <c r="G1544" s="4"/>
      <c r="H1544" s="4">
        <f>SUMIFS(X!$F$5:$F$2005,X!$D$5:$D$2005,'CEK CICI'!A1544)</f>
        <v>1</v>
      </c>
      <c r="I1544" s="4">
        <f>SUMIFS(PENJUALAN!$E$4:$E$4288,PENJUALAN!$C$4:$C$4288,'CEK CICI'!A1544)</f>
        <v>1</v>
      </c>
      <c r="J1544" s="16">
        <f t="shared" si="2"/>
        <v>0</v>
      </c>
      <c r="K1544" s="4"/>
      <c r="L1544" s="4"/>
      <c r="M1544" s="4"/>
      <c r="N1544" s="4"/>
    </row>
    <row r="1545" ht="13.5" hidden="1" customHeight="1">
      <c r="A1545" s="4" t="str">
        <f t="shared" si="1"/>
        <v>FDL-VIOS02XYG</v>
      </c>
      <c r="B1545" s="29" t="s">
        <v>1953</v>
      </c>
      <c r="C1545" s="28" t="s">
        <v>1259</v>
      </c>
      <c r="D1545" s="28" t="s">
        <v>128</v>
      </c>
      <c r="E1545" s="4" t="s">
        <v>16</v>
      </c>
      <c r="F1545" s="28"/>
      <c r="G1545" s="4"/>
      <c r="H1545" s="4">
        <f>SUMIFS(X!$F$5:$F$2005,X!$D$5:$D$2005,'CEK CICI'!A1545)</f>
        <v>0</v>
      </c>
      <c r="I1545" s="4">
        <f>SUMIFS(PENJUALAN!$E$4:$E$4288,PENJUALAN!$C$4:$C$4288,'CEK CICI'!A1545)</f>
        <v>0</v>
      </c>
      <c r="J1545" s="16">
        <f t="shared" si="2"/>
        <v>0</v>
      </c>
      <c r="K1545" s="4"/>
      <c r="L1545" s="4"/>
      <c r="M1545" s="4"/>
      <c r="N1545" s="4"/>
    </row>
    <row r="1546" ht="13.5" hidden="1" customHeight="1">
      <c r="A1546" s="4" t="str">
        <f t="shared" si="1"/>
        <v>FDR-VIOS02XYG</v>
      </c>
      <c r="B1546" s="29" t="s">
        <v>1954</v>
      </c>
      <c r="C1546" s="28" t="s">
        <v>1259</v>
      </c>
      <c r="D1546" s="28" t="s">
        <v>130</v>
      </c>
      <c r="E1546" s="4" t="s">
        <v>16</v>
      </c>
      <c r="F1546" s="28"/>
      <c r="G1546" s="4"/>
      <c r="H1546" s="4">
        <f>SUMIFS(X!$F$5:$F$2005,X!$D$5:$D$2005,'CEK CICI'!A1546)</f>
        <v>0</v>
      </c>
      <c r="I1546" s="4">
        <f>SUMIFS(PENJUALAN!$E$4:$E$4288,PENJUALAN!$C$4:$C$4288,'CEK CICI'!A1546)</f>
        <v>0</v>
      </c>
      <c r="J1546" s="16">
        <f t="shared" si="2"/>
        <v>0</v>
      </c>
      <c r="K1546" s="4"/>
      <c r="L1546" s="4"/>
      <c r="M1546" s="4"/>
      <c r="N1546" s="4"/>
    </row>
    <row r="1547" ht="13.5" hidden="1" customHeight="1">
      <c r="A1547" s="4" t="str">
        <f t="shared" si="1"/>
        <v>RDL-VIOS02XYG</v>
      </c>
      <c r="B1547" s="29" t="s">
        <v>1260</v>
      </c>
      <c r="C1547" s="28" t="s">
        <v>1259</v>
      </c>
      <c r="D1547" s="28" t="s">
        <v>132</v>
      </c>
      <c r="E1547" s="4" t="s">
        <v>16</v>
      </c>
      <c r="F1547" s="28"/>
      <c r="G1547" s="4"/>
      <c r="H1547" s="4">
        <f>SUMIFS(X!$F$5:$F$2005,X!$D$5:$D$2005,'CEK CICI'!A1547)</f>
        <v>0</v>
      </c>
      <c r="I1547" s="4">
        <f>SUMIFS(PENJUALAN!$E$4:$E$4288,PENJUALAN!$C$4:$C$4288,'CEK CICI'!A1547)</f>
        <v>0</v>
      </c>
      <c r="J1547" s="16">
        <f t="shared" si="2"/>
        <v>0</v>
      </c>
      <c r="K1547" s="4"/>
      <c r="L1547" s="4"/>
      <c r="M1547" s="4"/>
      <c r="N1547" s="4"/>
    </row>
    <row r="1548" ht="13.5" hidden="1" customHeight="1">
      <c r="A1548" s="4" t="str">
        <f t="shared" si="1"/>
        <v>RDR-VIOS02XYG</v>
      </c>
      <c r="B1548" s="29" t="s">
        <v>1261</v>
      </c>
      <c r="C1548" s="28" t="s">
        <v>1259</v>
      </c>
      <c r="D1548" s="28" t="s">
        <v>134</v>
      </c>
      <c r="E1548" s="4" t="s">
        <v>16</v>
      </c>
      <c r="F1548" s="28"/>
      <c r="G1548" s="4"/>
      <c r="H1548" s="4">
        <f>SUMIFS(X!$F$5:$F$2005,X!$D$5:$D$2005,'CEK CICI'!A1548)</f>
        <v>0</v>
      </c>
      <c r="I1548" s="4">
        <f>SUMIFS(PENJUALAN!$E$4:$E$4288,PENJUALAN!$C$4:$C$4288,'CEK CICI'!A1548)</f>
        <v>0</v>
      </c>
      <c r="J1548" s="16">
        <f t="shared" si="2"/>
        <v>0</v>
      </c>
      <c r="K1548" s="4"/>
      <c r="L1548" s="4"/>
      <c r="M1548" s="4"/>
      <c r="N1548" s="4"/>
    </row>
    <row r="1549" ht="13.5" hidden="1" customHeight="1">
      <c r="A1549" s="4" t="str">
        <f t="shared" si="1"/>
        <v>LFW-VIOS07XYG</v>
      </c>
      <c r="B1549" s="29" t="s">
        <v>1262</v>
      </c>
      <c r="C1549" s="28" t="s">
        <v>1263</v>
      </c>
      <c r="D1549" s="28" t="s">
        <v>22</v>
      </c>
      <c r="E1549" s="4" t="s">
        <v>16</v>
      </c>
      <c r="F1549" s="28" t="s">
        <v>125</v>
      </c>
      <c r="G1549" s="4"/>
      <c r="H1549" s="4">
        <f>SUMIFS(X!$F$5:$F$2005,X!$D$5:$D$2005,'CEK CICI'!A1549)</f>
        <v>2</v>
      </c>
      <c r="I1549" s="4">
        <f>SUMIFS(PENJUALAN!$E$4:$E$4288,PENJUALAN!$C$4:$C$4288,'CEK CICI'!A1549)</f>
        <v>0</v>
      </c>
      <c r="J1549" s="16">
        <f t="shared" si="2"/>
        <v>2</v>
      </c>
      <c r="K1549" s="4"/>
      <c r="L1549" s="4"/>
      <c r="M1549" s="4"/>
      <c r="N1549" s="4"/>
    </row>
    <row r="1550" ht="13.5" hidden="1" customHeight="1">
      <c r="A1550" s="4" t="str">
        <f t="shared" si="1"/>
        <v>TRW-VIOS07XYG</v>
      </c>
      <c r="B1550" s="29" t="s">
        <v>1265</v>
      </c>
      <c r="C1550" s="28" t="s">
        <v>1263</v>
      </c>
      <c r="D1550" s="28" t="s">
        <v>41</v>
      </c>
      <c r="E1550" s="4" t="s">
        <v>16</v>
      </c>
      <c r="F1550" s="28" t="s">
        <v>67</v>
      </c>
      <c r="G1550" s="4"/>
      <c r="H1550" s="4">
        <f>SUMIFS(X!$F$5:$F$2005,X!$D$5:$D$2005,'CEK CICI'!A1550)</f>
        <v>5</v>
      </c>
      <c r="I1550" s="4">
        <f>SUMIFS(PENJUALAN!$E$4:$E$4288,PENJUALAN!$C$4:$C$4288,'CEK CICI'!A1550)</f>
        <v>4</v>
      </c>
      <c r="J1550" s="16">
        <f t="shared" si="2"/>
        <v>1</v>
      </c>
      <c r="K1550" s="15" t="s">
        <v>1499</v>
      </c>
      <c r="L1550" s="15"/>
      <c r="M1550" s="4"/>
      <c r="N1550" s="4"/>
    </row>
    <row r="1551" ht="13.5" hidden="1" customHeight="1">
      <c r="A1551" s="4" t="str">
        <f t="shared" si="1"/>
        <v>RVL-VIOS07XYG</v>
      </c>
      <c r="B1551" s="29" t="s">
        <v>1268</v>
      </c>
      <c r="C1551" s="28" t="s">
        <v>1263</v>
      </c>
      <c r="D1551" s="28" t="s">
        <v>387</v>
      </c>
      <c r="E1551" s="4" t="s">
        <v>16</v>
      </c>
      <c r="F1551" s="28"/>
      <c r="G1551" s="4"/>
      <c r="H1551" s="4">
        <f>SUMIFS(X!$F$5:$F$2005,X!$D$5:$D$2005,'CEK CICI'!A1551)</f>
        <v>0</v>
      </c>
      <c r="I1551" s="4">
        <f>SUMIFS(PENJUALAN!$E$4:$E$4288,PENJUALAN!$C$4:$C$4288,'CEK CICI'!A1551)</f>
        <v>0</v>
      </c>
      <c r="J1551" s="16">
        <f t="shared" si="2"/>
        <v>0</v>
      </c>
      <c r="K1551" s="4"/>
      <c r="L1551" s="4"/>
      <c r="M1551" s="4"/>
      <c r="N1551" s="4"/>
    </row>
    <row r="1552" ht="13.5" hidden="1" customHeight="1">
      <c r="A1552" s="4" t="str">
        <f t="shared" si="1"/>
        <v>RVR-VIOS07XYG</v>
      </c>
      <c r="B1552" s="29" t="s">
        <v>1955</v>
      </c>
      <c r="C1552" s="28" t="s">
        <v>1263</v>
      </c>
      <c r="D1552" s="28" t="s">
        <v>389</v>
      </c>
      <c r="E1552" s="4" t="s">
        <v>16</v>
      </c>
      <c r="F1552" s="28"/>
      <c r="G1552" s="4"/>
      <c r="H1552" s="4">
        <f>SUMIFS(X!$F$5:$F$2005,X!$D$5:$D$2005,'CEK CICI'!A1552)</f>
        <v>0</v>
      </c>
      <c r="I1552" s="4">
        <f>SUMIFS(PENJUALAN!$E$4:$E$4288,PENJUALAN!$C$4:$C$4288,'CEK CICI'!A1552)</f>
        <v>0</v>
      </c>
      <c r="J1552" s="16">
        <f t="shared" si="2"/>
        <v>0</v>
      </c>
      <c r="K1552" s="4"/>
      <c r="L1552" s="4"/>
      <c r="M1552" s="4"/>
      <c r="N1552" s="4"/>
    </row>
    <row r="1553" ht="13.5" hidden="1" customHeight="1">
      <c r="A1553" s="4" t="str">
        <f t="shared" si="1"/>
        <v>TRW-VIOS07LIMOXYG</v>
      </c>
      <c r="B1553" s="29" t="s">
        <v>2038</v>
      </c>
      <c r="C1553" s="28" t="s">
        <v>2039</v>
      </c>
      <c r="D1553" s="28" t="s">
        <v>41</v>
      </c>
      <c r="E1553" s="4" t="s">
        <v>16</v>
      </c>
      <c r="F1553" s="28" t="s">
        <v>97</v>
      </c>
      <c r="G1553" s="4"/>
      <c r="H1553" s="4">
        <f>SUMIFS(X!$F$5:$F$2005,X!$D$5:$D$2005,'CEK CICI'!A1553)</f>
        <v>2</v>
      </c>
      <c r="I1553" s="4">
        <f>SUMIFS(PENJUALAN!$E$4:$E$4288,PENJUALAN!$C$4:$C$4288,'CEK CICI'!A1553)</f>
        <v>1</v>
      </c>
      <c r="J1553" s="16">
        <f t="shared" si="2"/>
        <v>1</v>
      </c>
      <c r="K1553" s="15" t="s">
        <v>1499</v>
      </c>
      <c r="L1553" s="15"/>
      <c r="M1553" s="4"/>
      <c r="N1553" s="4"/>
    </row>
    <row r="1554" ht="13.5" hidden="1" customHeight="1">
      <c r="A1554" s="4" t="str">
        <f t="shared" si="1"/>
        <v>TRW-VIOS13XYG</v>
      </c>
      <c r="B1554" s="29" t="s">
        <v>1957</v>
      </c>
      <c r="C1554" s="28" t="s">
        <v>1958</v>
      </c>
      <c r="D1554" s="28" t="s">
        <v>41</v>
      </c>
      <c r="E1554" s="4" t="s">
        <v>16</v>
      </c>
      <c r="F1554" s="28" t="s">
        <v>67</v>
      </c>
      <c r="G1554" s="4"/>
      <c r="H1554" s="4">
        <f>SUMIFS(X!$F$5:$F$2005,X!$D$5:$D$2005,'CEK CICI'!A1554)</f>
        <v>0</v>
      </c>
      <c r="I1554" s="4">
        <f>SUMIFS(PENJUALAN!$E$4:$E$4288,PENJUALAN!$C$4:$C$4288,'CEK CICI'!A1554)</f>
        <v>0</v>
      </c>
      <c r="J1554" s="16">
        <f t="shared" si="2"/>
        <v>0</v>
      </c>
      <c r="K1554" s="4"/>
      <c r="L1554" s="4"/>
      <c r="M1554" s="4"/>
      <c r="N1554" s="4"/>
    </row>
    <row r="1555" ht="13.5" hidden="1" customHeight="1">
      <c r="A1555" s="4" t="str">
        <f t="shared" si="1"/>
        <v>LFW-VOXY17XYG</v>
      </c>
      <c r="B1555" s="29" t="s">
        <v>1269</v>
      </c>
      <c r="C1555" s="28" t="s">
        <v>1270</v>
      </c>
      <c r="D1555" s="28" t="s">
        <v>22</v>
      </c>
      <c r="E1555" s="4" t="s">
        <v>16</v>
      </c>
      <c r="F1555" s="28" t="s">
        <v>125</v>
      </c>
      <c r="G1555" s="4"/>
      <c r="H1555" s="4">
        <f>SUMIFS(X!$F$5:$F$2005,X!$D$5:$D$2005,'CEK CICI'!A1555)</f>
        <v>3</v>
      </c>
      <c r="I1555" s="4">
        <f>SUMIFS(PENJUALAN!$E$4:$E$4288,PENJUALAN!$C$4:$C$4288,'CEK CICI'!A1555)</f>
        <v>2</v>
      </c>
      <c r="J1555" s="16">
        <f t="shared" si="2"/>
        <v>1</v>
      </c>
      <c r="K1555" s="15" t="s">
        <v>1851</v>
      </c>
      <c r="L1555" s="15"/>
      <c r="M1555" s="4"/>
      <c r="N1555" s="4"/>
    </row>
    <row r="1556" ht="13.5" customHeight="1">
      <c r="A1556" s="4" t="str">
        <f t="shared" si="1"/>
        <v>TRW-VOXYXYG</v>
      </c>
      <c r="B1556" s="29" t="s">
        <v>1271</v>
      </c>
      <c r="C1556" s="28" t="s">
        <v>1272</v>
      </c>
      <c r="D1556" s="28" t="s">
        <v>41</v>
      </c>
      <c r="E1556" s="4" t="s">
        <v>16</v>
      </c>
      <c r="F1556" s="28" t="s">
        <v>221</v>
      </c>
      <c r="G1556" s="15">
        <v>1.0</v>
      </c>
      <c r="H1556" s="4">
        <f>SUMIFS(X!$F$5:$F$2005,X!$D$5:$D$2005,'CEK CICI'!A1556)</f>
        <v>3</v>
      </c>
      <c r="I1556" s="4">
        <f>SUMIFS(PENJUALAN!$E$4:$E$4288,PENJUALAN!$C$4:$C$4288,'CEK CICI'!A1556)</f>
        <v>2</v>
      </c>
      <c r="J1556" s="16">
        <f t="shared" si="2"/>
        <v>1</v>
      </c>
      <c r="K1556" s="4"/>
      <c r="L1556" s="4"/>
      <c r="M1556" s="4"/>
      <c r="N1556" s="4"/>
    </row>
    <row r="1557" ht="13.5" hidden="1" customHeight="1">
      <c r="A1557" s="4" t="str">
        <f t="shared" si="1"/>
        <v>LFW-WISHXYG</v>
      </c>
      <c r="B1557" s="29" t="s">
        <v>1273</v>
      </c>
      <c r="C1557" s="28" t="s">
        <v>1274</v>
      </c>
      <c r="D1557" s="28" t="s">
        <v>22</v>
      </c>
      <c r="E1557" s="4" t="s">
        <v>16</v>
      </c>
      <c r="F1557" s="28" t="s">
        <v>125</v>
      </c>
      <c r="G1557" s="4"/>
      <c r="H1557" s="4">
        <f>SUMIFS(X!$F$5:$F$2005,X!$D$5:$D$2005,'CEK CICI'!A1557)</f>
        <v>0</v>
      </c>
      <c r="I1557" s="4">
        <f>SUMIFS(PENJUALAN!$E$4:$E$4288,PENJUALAN!$C$4:$C$4288,'CEK CICI'!A1557)</f>
        <v>0</v>
      </c>
      <c r="J1557" s="16">
        <f t="shared" si="2"/>
        <v>0</v>
      </c>
      <c r="K1557" s="4"/>
      <c r="L1557" s="4"/>
      <c r="M1557" s="4"/>
      <c r="N1557" s="4"/>
    </row>
    <row r="1558" ht="13.5" hidden="1" customHeight="1">
      <c r="A1558" s="4" t="str">
        <f t="shared" si="1"/>
        <v>TRW-WISHXYG</v>
      </c>
      <c r="B1558" s="29" t="s">
        <v>1275</v>
      </c>
      <c r="C1558" s="28" t="s">
        <v>1274</v>
      </c>
      <c r="D1558" s="28" t="s">
        <v>41</v>
      </c>
      <c r="E1558" s="4" t="s">
        <v>16</v>
      </c>
      <c r="F1558" s="28" t="s">
        <v>221</v>
      </c>
      <c r="G1558" s="4"/>
      <c r="H1558" s="4">
        <f>SUMIFS(X!$F$5:$F$2005,X!$D$5:$D$2005,'CEK CICI'!A1558)</f>
        <v>0</v>
      </c>
      <c r="I1558" s="4">
        <f>SUMIFS(PENJUALAN!$E$4:$E$4288,PENJUALAN!$C$4:$C$4288,'CEK CICI'!A1558)</f>
        <v>0</v>
      </c>
      <c r="J1558" s="16">
        <f t="shared" si="2"/>
        <v>0</v>
      </c>
      <c r="K1558" s="4"/>
      <c r="L1558" s="4"/>
      <c r="M1558" s="4"/>
      <c r="N1558" s="4"/>
    </row>
    <row r="1559" ht="13.5" hidden="1" customHeight="1">
      <c r="A1559" s="4" t="str">
        <f t="shared" si="1"/>
        <v>LFW-YARIS05XYG</v>
      </c>
      <c r="B1559" s="29" t="s">
        <v>1276</v>
      </c>
      <c r="C1559" s="28" t="s">
        <v>1277</v>
      </c>
      <c r="D1559" s="28" t="s">
        <v>22</v>
      </c>
      <c r="E1559" s="4" t="s">
        <v>16</v>
      </c>
      <c r="F1559" s="28" t="s">
        <v>125</v>
      </c>
      <c r="G1559" s="4"/>
      <c r="H1559" s="4">
        <f>SUMIFS(X!$F$5:$F$2005,X!$D$5:$D$2005,'CEK CICI'!A1559)</f>
        <v>0</v>
      </c>
      <c r="I1559" s="4">
        <f>SUMIFS(PENJUALAN!$E$4:$E$4288,PENJUALAN!$C$4:$C$4288,'CEK CICI'!A1559)</f>
        <v>0</v>
      </c>
      <c r="J1559" s="16">
        <f t="shared" si="2"/>
        <v>0</v>
      </c>
      <c r="K1559" s="4"/>
      <c r="L1559" s="4"/>
      <c r="M1559" s="4"/>
      <c r="N1559" s="4"/>
    </row>
    <row r="1560" ht="13.5" hidden="1" customHeight="1">
      <c r="A1560" s="4" t="str">
        <f t="shared" si="1"/>
        <v>TRW-YARIS05XYG</v>
      </c>
      <c r="B1560" s="29" t="s">
        <v>1278</v>
      </c>
      <c r="C1560" s="28" t="s">
        <v>1277</v>
      </c>
      <c r="D1560" s="28" t="s">
        <v>41</v>
      </c>
      <c r="E1560" s="4" t="s">
        <v>16</v>
      </c>
      <c r="F1560" s="28" t="s">
        <v>67</v>
      </c>
      <c r="G1560" s="4"/>
      <c r="H1560" s="4">
        <f>SUMIFS(X!$F$5:$F$2005,X!$D$5:$D$2005,'CEK CICI'!A1560)</f>
        <v>4</v>
      </c>
      <c r="I1560" s="4">
        <f>SUMIFS(PENJUALAN!$E$4:$E$4288,PENJUALAN!$C$4:$C$4288,'CEK CICI'!A1560)</f>
        <v>3</v>
      </c>
      <c r="J1560" s="16">
        <f t="shared" si="2"/>
        <v>1</v>
      </c>
      <c r="K1560" s="15" t="s">
        <v>1884</v>
      </c>
      <c r="L1560" s="15"/>
      <c r="M1560" s="4"/>
      <c r="N1560" s="4"/>
    </row>
    <row r="1561" ht="13.5" hidden="1" customHeight="1">
      <c r="A1561" s="4" t="str">
        <f t="shared" si="1"/>
        <v>LFW-VIOS13XYG</v>
      </c>
      <c r="B1561" s="29" t="s">
        <v>1279</v>
      </c>
      <c r="C1561" s="28" t="s">
        <v>1280</v>
      </c>
      <c r="D1561" s="28" t="s">
        <v>22</v>
      </c>
      <c r="E1561" s="4" t="s">
        <v>16</v>
      </c>
      <c r="F1561" s="28" t="s">
        <v>125</v>
      </c>
      <c r="G1561" s="4"/>
      <c r="H1561" s="4">
        <f>SUMIFS(X!$F$5:$F$2005,X!$D$5:$D$2005,'CEK CICI'!A1561)</f>
        <v>9</v>
      </c>
      <c r="I1561" s="4">
        <f>SUMIFS(PENJUALAN!$E$4:$E$4288,PENJUALAN!$C$4:$C$4288,'CEK CICI'!A1561)</f>
        <v>5</v>
      </c>
      <c r="J1561" s="16">
        <f t="shared" si="2"/>
        <v>4</v>
      </c>
      <c r="K1561" s="4"/>
      <c r="L1561" s="4"/>
      <c r="M1561" s="4"/>
      <c r="N1561" s="4"/>
    </row>
    <row r="1562" ht="13.5" customHeight="1">
      <c r="A1562" s="4" t="str">
        <f t="shared" si="1"/>
        <v>TRW-YARIS13XYG</v>
      </c>
      <c r="B1562" s="29" t="s">
        <v>1457</v>
      </c>
      <c r="C1562" s="28" t="s">
        <v>1458</v>
      </c>
      <c r="D1562" s="28" t="s">
        <v>41</v>
      </c>
      <c r="E1562" s="4" t="s">
        <v>16</v>
      </c>
      <c r="F1562" s="28" t="s">
        <v>67</v>
      </c>
      <c r="G1562" s="15">
        <v>1.0</v>
      </c>
      <c r="H1562" s="4">
        <f>SUMIFS(X!$F$5:$F$2005,X!$D$5:$D$2005,'CEK CICI'!A1562)</f>
        <v>3</v>
      </c>
      <c r="I1562" s="4">
        <f>SUMIFS(PENJUALAN!$E$4:$E$4288,PENJUALAN!$C$4:$C$4288,'CEK CICI'!A1562)</f>
        <v>2</v>
      </c>
      <c r="J1562" s="16">
        <f t="shared" si="2"/>
        <v>1</v>
      </c>
      <c r="K1562" s="15" t="s">
        <v>1459</v>
      </c>
      <c r="L1562" s="15"/>
      <c r="M1562" s="4"/>
      <c r="N1562" s="4"/>
    </row>
    <row r="1563" ht="13.5" hidden="1" customHeight="1">
      <c r="A1563" s="4" t="str">
        <f t="shared" si="1"/>
        <v>TRW-YARIS17XYG</v>
      </c>
      <c r="B1563" s="29" t="s">
        <v>1693</v>
      </c>
      <c r="C1563" s="28" t="s">
        <v>1694</v>
      </c>
      <c r="D1563" s="28" t="s">
        <v>41</v>
      </c>
      <c r="E1563" s="4" t="s">
        <v>16</v>
      </c>
      <c r="F1563" s="28" t="s">
        <v>67</v>
      </c>
      <c r="G1563" s="4"/>
      <c r="H1563" s="4">
        <f>SUMIFS(X!$F$5:$F$2005,X!$D$5:$D$2005,'CEK CICI'!A1563)</f>
        <v>3</v>
      </c>
      <c r="I1563" s="4">
        <f>SUMIFS(PENJUALAN!$E$4:$E$4288,PENJUALAN!$C$4:$C$4288,'CEK CICI'!A1563)</f>
        <v>2</v>
      </c>
      <c r="J1563" s="16">
        <f t="shared" si="2"/>
        <v>1</v>
      </c>
      <c r="K1563" s="15" t="s">
        <v>1459</v>
      </c>
      <c r="L1563" s="15"/>
      <c r="M1563" s="4"/>
      <c r="N1563" s="4"/>
    </row>
    <row r="1564" ht="13.5" hidden="1" customHeight="1">
      <c r="A1564" s="4" t="str">
        <f t="shared" si="1"/>
        <v>LFW-T5XYG</v>
      </c>
      <c r="B1564" s="29" t="s">
        <v>1281</v>
      </c>
      <c r="C1564" s="28" t="s">
        <v>1282</v>
      </c>
      <c r="D1564" s="28" t="s">
        <v>22</v>
      </c>
      <c r="E1564" s="4" t="s">
        <v>16</v>
      </c>
      <c r="F1564" s="28" t="s">
        <v>125</v>
      </c>
      <c r="G1564" s="4"/>
      <c r="H1564" s="4">
        <f>SUMIFS(X!$F$5:$F$2005,X!$D$5:$D$2005,'CEK CICI'!A1564)</f>
        <v>0</v>
      </c>
      <c r="I1564" s="4">
        <f>SUMIFS(PENJUALAN!$E$4:$E$4288,PENJUALAN!$C$4:$C$4288,'CEK CICI'!A1564)</f>
        <v>0</v>
      </c>
      <c r="J1564" s="16">
        <f t="shared" si="2"/>
        <v>0</v>
      </c>
      <c r="K1564" s="4"/>
      <c r="L1564" s="4"/>
      <c r="M1564" s="4"/>
      <c r="N1564" s="4"/>
    </row>
    <row r="1565" ht="13.5" hidden="1" customHeight="1">
      <c r="A1565" s="4" t="str">
        <f t="shared" si="1"/>
        <v>TRW-T5XYG</v>
      </c>
      <c r="B1565" s="29" t="s">
        <v>1283</v>
      </c>
      <c r="C1565" s="28" t="s">
        <v>1282</v>
      </c>
      <c r="D1565" s="28" t="s">
        <v>41</v>
      </c>
      <c r="E1565" s="4" t="s">
        <v>16</v>
      </c>
      <c r="F1565" s="28" t="s">
        <v>221</v>
      </c>
      <c r="G1565" s="4"/>
      <c r="H1565" s="4">
        <f>SUMIFS(X!$F$5:$F$2005,X!$D$5:$D$2005,'CEK CICI'!A1565)</f>
        <v>0</v>
      </c>
      <c r="I1565" s="4">
        <f>SUMIFS(PENJUALAN!$E$4:$E$4288,PENJUALAN!$C$4:$C$4288,'CEK CICI'!A1565)</f>
        <v>0</v>
      </c>
      <c r="J1565" s="16">
        <f t="shared" si="2"/>
        <v>0</v>
      </c>
      <c r="K1565" s="4"/>
      <c r="L1565" s="4"/>
      <c r="M1565" s="4"/>
      <c r="N1565" s="4"/>
    </row>
    <row r="1566" ht="13.5" hidden="1" customHeight="1">
      <c r="A1566" s="4" t="str">
        <f t="shared" si="1"/>
        <v>LFW-GOLFMK6XYG</v>
      </c>
      <c r="B1566" s="29" t="s">
        <v>1286</v>
      </c>
      <c r="C1566" s="28" t="s">
        <v>1287</v>
      </c>
      <c r="D1566" s="28" t="s">
        <v>22</v>
      </c>
      <c r="E1566" s="4" t="s">
        <v>16</v>
      </c>
      <c r="F1566" s="28" t="s">
        <v>112</v>
      </c>
      <c r="G1566" s="4"/>
      <c r="H1566" s="4">
        <f>SUMIFS(X!$F$5:$F$2005,X!$D$5:$D$2005,'CEK CICI'!A1566)</f>
        <v>0</v>
      </c>
      <c r="I1566" s="4">
        <f>SUMIFS(PENJUALAN!$E$4:$E$4288,PENJUALAN!$C$4:$C$4288,'CEK CICI'!A1566)</f>
        <v>0</v>
      </c>
      <c r="J1566" s="16">
        <f t="shared" si="2"/>
        <v>0</v>
      </c>
      <c r="K1566" s="4"/>
      <c r="L1566" s="4"/>
      <c r="M1566" s="4"/>
      <c r="N1566" s="4"/>
    </row>
    <row r="1567" ht="13.5" hidden="1" customHeight="1">
      <c r="A1567" s="4" t="str">
        <f t="shared" si="1"/>
        <v>TRW-MK6XYG</v>
      </c>
      <c r="B1567" s="29" t="s">
        <v>1288</v>
      </c>
      <c r="C1567" s="28" t="s">
        <v>1287</v>
      </c>
      <c r="D1567" s="28" t="s">
        <v>41</v>
      </c>
      <c r="E1567" s="4" t="s">
        <v>16</v>
      </c>
      <c r="F1567" s="28" t="s">
        <v>659</v>
      </c>
      <c r="G1567" s="4"/>
      <c r="H1567" s="4">
        <f>SUMIFS(X!$F$5:$F$2005,X!$D$5:$D$2005,'CEK CICI'!A1567)</f>
        <v>0</v>
      </c>
      <c r="I1567" s="4">
        <f>SUMIFS(PENJUALAN!$E$4:$E$4288,PENJUALAN!$C$4:$C$4288,'CEK CICI'!A1567)</f>
        <v>0</v>
      </c>
      <c r="J1567" s="16">
        <f t="shared" si="2"/>
        <v>0</v>
      </c>
      <c r="K1567" s="4"/>
      <c r="L1567" s="4"/>
      <c r="M1567" s="4"/>
      <c r="N1567" s="4"/>
    </row>
    <row r="1568" ht="13.5" hidden="1" customHeight="1">
      <c r="A1568" s="4" t="str">
        <f t="shared" si="1"/>
        <v>LFW-POLO09RSXYG</v>
      </c>
      <c r="B1568" s="29" t="s">
        <v>1293</v>
      </c>
      <c r="C1568" s="28" t="s">
        <v>1294</v>
      </c>
      <c r="D1568" s="28" t="s">
        <v>22</v>
      </c>
      <c r="E1568" s="4" t="s">
        <v>16</v>
      </c>
      <c r="F1568" s="28" t="s">
        <v>112</v>
      </c>
      <c r="G1568" s="4"/>
      <c r="H1568" s="4">
        <f>SUMIFS(X!$F$5:$F$2005,X!$D$5:$D$2005,'CEK CICI'!A1568)</f>
        <v>0</v>
      </c>
      <c r="I1568" s="4">
        <f>SUMIFS(PENJUALAN!$E$4:$E$4288,PENJUALAN!$C$4:$C$4288,'CEK CICI'!A1568)</f>
        <v>0</v>
      </c>
      <c r="J1568" s="16">
        <f t="shared" si="2"/>
        <v>0</v>
      </c>
      <c r="K1568" s="4"/>
      <c r="L1568" s="4"/>
      <c r="M1568" s="4"/>
      <c r="N1568" s="4"/>
    </row>
    <row r="1569" ht="13.5" hidden="1" customHeight="1">
      <c r="A1569" s="4" t="str">
        <f t="shared" si="1"/>
        <v>LFW-POLO09XYG</v>
      </c>
      <c r="B1569" s="29" t="s">
        <v>1295</v>
      </c>
      <c r="C1569" s="28" t="s">
        <v>1296</v>
      </c>
      <c r="D1569" s="28" t="s">
        <v>22</v>
      </c>
      <c r="E1569" s="4" t="s">
        <v>16</v>
      </c>
      <c r="F1569" s="28" t="s">
        <v>737</v>
      </c>
      <c r="G1569" s="4"/>
      <c r="H1569" s="4">
        <f>SUMIFS(X!$F$5:$F$2005,X!$D$5:$D$2005,'CEK CICI'!A1569)</f>
        <v>0</v>
      </c>
      <c r="I1569" s="4">
        <f>SUMIFS(PENJUALAN!$E$4:$E$4288,PENJUALAN!$C$4:$C$4288,'CEK CICI'!A1569)</f>
        <v>0</v>
      </c>
      <c r="J1569" s="16">
        <f t="shared" si="2"/>
        <v>0</v>
      </c>
      <c r="K1569" s="4"/>
      <c r="L1569" s="4"/>
      <c r="M1569" s="4"/>
      <c r="N1569" s="4"/>
    </row>
    <row r="1570" ht="13.5" hidden="1" customHeight="1">
      <c r="A1570" s="4" t="str">
        <f t="shared" si="1"/>
        <v>LFW-SCIROCCOXYG</v>
      </c>
      <c r="B1570" s="29" t="s">
        <v>1298</v>
      </c>
      <c r="C1570" s="28" t="s">
        <v>1299</v>
      </c>
      <c r="D1570" s="28" t="s">
        <v>22</v>
      </c>
      <c r="E1570" s="4" t="s">
        <v>16</v>
      </c>
      <c r="F1570" s="28" t="s">
        <v>189</v>
      </c>
      <c r="G1570" s="4"/>
      <c r="H1570" s="4">
        <f>SUMIFS(X!$F$5:$F$2005,X!$D$5:$D$2005,'CEK CICI'!A1570)</f>
        <v>0</v>
      </c>
      <c r="I1570" s="4">
        <f>SUMIFS(PENJUALAN!$E$4:$E$4288,PENJUALAN!$C$4:$C$4288,'CEK CICI'!A1570)</f>
        <v>0</v>
      </c>
      <c r="J1570" s="16">
        <f t="shared" si="2"/>
        <v>0</v>
      </c>
      <c r="K1570" s="4"/>
      <c r="L1570" s="4"/>
      <c r="M1570" s="4"/>
      <c r="N1570" s="4"/>
    </row>
    <row r="1571" ht="13.5" hidden="1" customHeight="1">
      <c r="A1571" s="4" t="str">
        <f t="shared" si="1"/>
        <v>TRW-SCIROCCOXYG</v>
      </c>
      <c r="B1571" s="29" t="s">
        <v>1967</v>
      </c>
      <c r="C1571" s="28" t="s">
        <v>1299</v>
      </c>
      <c r="D1571" s="30" t="s">
        <v>41</v>
      </c>
      <c r="E1571" s="4" t="s">
        <v>16</v>
      </c>
      <c r="F1571" s="30" t="s">
        <v>221</v>
      </c>
      <c r="G1571" s="4"/>
      <c r="H1571" s="4">
        <f>SUMIFS(X!$F$5:$F$2005,X!$D$5:$D$2005,'CEK CICI'!A1571)</f>
        <v>0</v>
      </c>
      <c r="I1571" s="4">
        <f>SUMIFS(PENJUALAN!$E$4:$E$4288,PENJUALAN!$C$4:$C$4288,'CEK CICI'!A1571)</f>
        <v>0</v>
      </c>
      <c r="J1571" s="16">
        <f t="shared" si="2"/>
        <v>0</v>
      </c>
      <c r="K1571" s="4"/>
      <c r="L1571" s="4"/>
      <c r="M1571" s="4"/>
      <c r="N1571" s="4"/>
    </row>
    <row r="1572" ht="13.5" hidden="1" customHeight="1">
      <c r="A1572" s="4" t="str">
        <f t="shared" si="1"/>
        <v>LFW-TIGUANXYG</v>
      </c>
      <c r="B1572" s="29" t="s">
        <v>1300</v>
      </c>
      <c r="C1572" s="28" t="s">
        <v>1301</v>
      </c>
      <c r="D1572" s="28" t="s">
        <v>22</v>
      </c>
      <c r="E1572" s="4" t="s">
        <v>16</v>
      </c>
      <c r="F1572" s="28" t="s">
        <v>112</v>
      </c>
      <c r="G1572" s="4"/>
      <c r="H1572" s="4">
        <f>SUMIFS(X!$F$5:$F$2005,X!$D$5:$D$2005,'CEK CICI'!A1572)</f>
        <v>0</v>
      </c>
      <c r="I1572" s="4">
        <f>SUMIFS(PENJUALAN!$E$4:$E$4288,PENJUALAN!$C$4:$C$4288,'CEK CICI'!A1572)</f>
        <v>0</v>
      </c>
      <c r="J1572" s="16">
        <f t="shared" si="2"/>
        <v>0</v>
      </c>
      <c r="K1572" s="4"/>
      <c r="L1572" s="4"/>
      <c r="M1572" s="4"/>
      <c r="N1572" s="4"/>
    </row>
    <row r="1573" ht="13.5" hidden="1" customHeight="1">
      <c r="A1573" s="4" t="str">
        <f t="shared" si="1"/>
        <v>TRW-TIGUAN07XYG</v>
      </c>
      <c r="B1573" s="41" t="s">
        <v>1968</v>
      </c>
      <c r="C1573" s="28" t="s">
        <v>1301</v>
      </c>
      <c r="D1573" s="28" t="s">
        <v>41</v>
      </c>
      <c r="E1573" s="4" t="s">
        <v>16</v>
      </c>
      <c r="F1573" s="28" t="s">
        <v>221</v>
      </c>
      <c r="G1573" s="4"/>
      <c r="H1573" s="4">
        <f>SUMIFS(X!$F$5:$F$2005,X!$D$5:$D$2005,'CEK CICI'!A1573)</f>
        <v>0</v>
      </c>
      <c r="I1573" s="4">
        <f>SUMIFS(PENJUALAN!$E$4:$E$4288,PENJUALAN!$C$4:$C$4288,'CEK CICI'!A1573)</f>
        <v>0</v>
      </c>
      <c r="J1573" s="16">
        <f t="shared" si="2"/>
        <v>0</v>
      </c>
      <c r="K1573" s="4"/>
      <c r="L1573" s="4"/>
      <c r="M1573" s="4"/>
      <c r="N1573" s="4"/>
    </row>
    <row r="1574" ht="13.5" hidden="1" customHeight="1">
      <c r="A1574" s="4" t="str">
        <f t="shared" si="1"/>
        <v>LFW-TIGUAN17RSXYG</v>
      </c>
      <c r="B1574" s="41" t="s">
        <v>1969</v>
      </c>
      <c r="C1574" s="30" t="s">
        <v>1970</v>
      </c>
      <c r="D1574" s="30" t="s">
        <v>22</v>
      </c>
      <c r="E1574" s="4" t="s">
        <v>16</v>
      </c>
      <c r="F1574" s="30" t="s">
        <v>112</v>
      </c>
      <c r="G1574" s="4"/>
      <c r="H1574" s="4">
        <f>SUMIFS(X!$F$5:$F$2005,X!$D$5:$D$2005,'CEK CICI'!A1574)</f>
        <v>0</v>
      </c>
      <c r="I1574" s="4">
        <f>SUMIFS(PENJUALAN!$E$4:$E$4288,PENJUALAN!$C$4:$C$4288,'CEK CICI'!A1574)</f>
        <v>0</v>
      </c>
      <c r="J1574" s="16">
        <f t="shared" si="2"/>
        <v>0</v>
      </c>
      <c r="K1574" s="4"/>
      <c r="L1574" s="4"/>
      <c r="M1574" s="4"/>
      <c r="N1574" s="4"/>
    </row>
    <row r="1575" ht="13.5" hidden="1" customHeight="1">
      <c r="A1575" s="4" t="str">
        <f t="shared" si="1"/>
        <v>TRW-TIGUAN17XYG</v>
      </c>
      <c r="B1575" s="41" t="s">
        <v>1971</v>
      </c>
      <c r="C1575" s="28" t="s">
        <v>1970</v>
      </c>
      <c r="D1575" s="28" t="s">
        <v>41</v>
      </c>
      <c r="E1575" s="4" t="s">
        <v>16</v>
      </c>
      <c r="F1575" s="28" t="s">
        <v>221</v>
      </c>
      <c r="G1575" s="4"/>
      <c r="H1575" s="4">
        <f>SUMIFS(X!$F$5:$F$2005,X!$D$5:$D$2005,'CEK CICI'!A1575)</f>
        <v>0</v>
      </c>
      <c r="I1575" s="4">
        <f>SUMIFS(PENJUALAN!$E$4:$E$4288,PENJUALAN!$C$4:$C$4288,'CEK CICI'!A1575)</f>
        <v>0</v>
      </c>
      <c r="J1575" s="16">
        <f t="shared" si="2"/>
        <v>0</v>
      </c>
      <c r="K1575" s="4"/>
      <c r="L1575" s="4"/>
      <c r="M1575" s="4"/>
      <c r="N1575" s="4"/>
    </row>
    <row r="1576" ht="13.5" customHeight="1">
      <c r="A1576" s="4" t="str">
        <f t="shared" si="1"/>
        <v>LFW-ALMAZRSXYG</v>
      </c>
      <c r="B1576" s="41" t="s">
        <v>2153</v>
      </c>
      <c r="C1576" s="28" t="s">
        <v>2154</v>
      </c>
      <c r="D1576" s="28" t="s">
        <v>22</v>
      </c>
      <c r="E1576" s="4" t="s">
        <v>16</v>
      </c>
      <c r="F1576" s="33" t="s">
        <v>2034</v>
      </c>
      <c r="G1576" s="15">
        <v>1.0</v>
      </c>
      <c r="H1576" s="4">
        <f>SUMIFS(X!$F$5:$F$2005,X!$D$5:$D$2005,'CEK CICI'!A1576)</f>
        <v>5</v>
      </c>
      <c r="I1576" s="4">
        <f>SUMIFS(PENJUALAN!$E$4:$E$4288,PENJUALAN!$C$4:$C$4288,'CEK CICI'!A1576)</f>
        <v>4</v>
      </c>
      <c r="J1576" s="16">
        <f t="shared" si="2"/>
        <v>1</v>
      </c>
      <c r="K1576" s="4"/>
      <c r="L1576" s="4"/>
      <c r="M1576" s="4"/>
      <c r="N1576" s="4"/>
    </row>
    <row r="1577" ht="13.5" hidden="1" customHeight="1">
      <c r="A1577" s="4" t="str">
        <f t="shared" si="1"/>
        <v>LFW-ALMAZXYG</v>
      </c>
      <c r="B1577" s="29" t="s">
        <v>2130</v>
      </c>
      <c r="C1577" s="28" t="s">
        <v>1976</v>
      </c>
      <c r="D1577" s="28" t="s">
        <v>22</v>
      </c>
      <c r="E1577" s="4" t="s">
        <v>16</v>
      </c>
      <c r="F1577" s="28" t="s">
        <v>125</v>
      </c>
      <c r="G1577" s="4"/>
      <c r="H1577" s="4">
        <f>SUMIFS(X!$F$5:$F$2005,X!$D$5:$D$2005,'CEK CICI'!A1577)</f>
        <v>3</v>
      </c>
      <c r="I1577" s="4">
        <f>SUMIFS(PENJUALAN!$E$4:$E$4288,PENJUALAN!$C$4:$C$4288,'CEK CICI'!A1577)</f>
        <v>3</v>
      </c>
      <c r="J1577" s="16">
        <f t="shared" si="2"/>
        <v>0</v>
      </c>
      <c r="K1577" s="15" t="s">
        <v>2020</v>
      </c>
      <c r="L1577" s="15"/>
      <c r="M1577" s="4"/>
      <c r="N1577" s="4"/>
    </row>
    <row r="1578" ht="13.5" hidden="1" customHeight="1">
      <c r="A1578" s="4" t="str">
        <f t="shared" si="1"/>
        <v>TRW-ALMAZHXYG</v>
      </c>
      <c r="B1578" s="31" t="s">
        <v>1975</v>
      </c>
      <c r="C1578" s="28" t="s">
        <v>1976</v>
      </c>
      <c r="D1578" s="30" t="s">
        <v>41</v>
      </c>
      <c r="E1578" s="4" t="s">
        <v>16</v>
      </c>
      <c r="F1578" s="28" t="s">
        <v>67</v>
      </c>
      <c r="G1578" s="4"/>
      <c r="H1578" s="4">
        <f>SUMIFS(X!$F$5:$F$2005,X!$D$5:$D$2005,'CEK CICI'!A1578)</f>
        <v>0</v>
      </c>
      <c r="I1578" s="4">
        <f>SUMIFS(PENJUALAN!$E$4:$E$4288,PENJUALAN!$C$4:$C$4288,'CEK CICI'!A1578)</f>
        <v>0</v>
      </c>
      <c r="J1578" s="16">
        <f t="shared" si="2"/>
        <v>0</v>
      </c>
      <c r="K1578" s="4"/>
      <c r="L1578" s="4"/>
      <c r="M1578" s="4"/>
      <c r="N1578" s="4"/>
    </row>
    <row r="1579" ht="13.5" hidden="1" customHeight="1">
      <c r="A1579" s="4" t="str">
        <f t="shared" si="1"/>
        <v>TRW-ALMAZXYG</v>
      </c>
      <c r="B1579" s="31" t="s">
        <v>2131</v>
      </c>
      <c r="C1579" s="28" t="s">
        <v>1976</v>
      </c>
      <c r="D1579" s="30" t="s">
        <v>41</v>
      </c>
      <c r="E1579" s="4" t="s">
        <v>16</v>
      </c>
      <c r="F1579" s="33" t="s">
        <v>97</v>
      </c>
      <c r="G1579" s="4"/>
      <c r="H1579" s="4">
        <f>SUMIFS(X!$F$5:$F$2005,X!$D$5:$D$2005,'CEK CICI'!A1579)</f>
        <v>3</v>
      </c>
      <c r="I1579" s="4">
        <f>SUMIFS(PENJUALAN!$E$4:$E$4288,PENJUALAN!$C$4:$C$4288,'CEK CICI'!A1579)</f>
        <v>2</v>
      </c>
      <c r="J1579" s="16">
        <f t="shared" si="2"/>
        <v>1</v>
      </c>
      <c r="K1579" s="15" t="s">
        <v>1366</v>
      </c>
      <c r="L1579" s="15"/>
      <c r="M1579" s="4"/>
      <c r="N1579" s="4"/>
    </row>
    <row r="1580" ht="13.5" customHeight="1">
      <c r="A1580" s="4" t="str">
        <f t="shared" si="1"/>
        <v>LFW-CONFEROXYG</v>
      </c>
      <c r="B1580" s="29" t="s">
        <v>1302</v>
      </c>
      <c r="C1580" s="28" t="s">
        <v>1303</v>
      </c>
      <c r="D1580" s="28" t="s">
        <v>22</v>
      </c>
      <c r="E1580" s="4" t="s">
        <v>16</v>
      </c>
      <c r="F1580" s="28" t="s">
        <v>125</v>
      </c>
      <c r="G1580" s="15">
        <v>2.0</v>
      </c>
      <c r="H1580" s="4">
        <f>SUMIFS(X!$F$5:$F$2005,X!$D$5:$D$2005,'CEK CICI'!A1580)</f>
        <v>9</v>
      </c>
      <c r="I1580" s="4">
        <f>SUMIFS(PENJUALAN!$E$4:$E$4288,PENJUALAN!$C$4:$C$4288,'CEK CICI'!A1580)</f>
        <v>8</v>
      </c>
      <c r="J1580" s="16">
        <f t="shared" si="2"/>
        <v>1</v>
      </c>
      <c r="K1580" s="15" t="s">
        <v>1383</v>
      </c>
      <c r="L1580" s="4"/>
      <c r="M1580" s="4"/>
      <c r="N1580" s="4"/>
    </row>
    <row r="1581" ht="13.5" customHeight="1">
      <c r="A1581" s="4" t="str">
        <f t="shared" si="1"/>
        <v>TRW-CONFEROHHOLEXYG</v>
      </c>
      <c r="B1581" s="29" t="s">
        <v>2036</v>
      </c>
      <c r="C1581" s="33" t="s">
        <v>2037</v>
      </c>
      <c r="D1581" s="28" t="s">
        <v>41</v>
      </c>
      <c r="E1581" s="4" t="s">
        <v>16</v>
      </c>
      <c r="F1581" s="28" t="s">
        <v>221</v>
      </c>
      <c r="G1581" s="15">
        <v>2.0</v>
      </c>
      <c r="H1581" s="4">
        <f>SUMIFS(X!$F$5:$F$2005,X!$D$5:$D$2005,'CEK CICI'!A1581)</f>
        <v>2</v>
      </c>
      <c r="I1581" s="4">
        <f>SUMIFS(PENJUALAN!$E$4:$E$4288,PENJUALAN!$C$4:$C$4288,'CEK CICI'!A1581)</f>
        <v>2</v>
      </c>
      <c r="J1581" s="16">
        <f t="shared" si="2"/>
        <v>0</v>
      </c>
      <c r="K1581" s="15" t="s">
        <v>1366</v>
      </c>
      <c r="L1581" s="15"/>
      <c r="M1581" s="4"/>
      <c r="N1581" s="4"/>
    </row>
    <row r="1582" ht="13.5" hidden="1" customHeight="1">
      <c r="A1582" s="4" t="str">
        <f t="shared" si="1"/>
        <v>TRW-CONFEROHOLEXYG</v>
      </c>
      <c r="B1582" s="29" t="s">
        <v>1981</v>
      </c>
      <c r="C1582" s="30" t="s">
        <v>1982</v>
      </c>
      <c r="D1582" s="30" t="s">
        <v>41</v>
      </c>
      <c r="E1582" s="4" t="s">
        <v>16</v>
      </c>
      <c r="F1582" s="30" t="s">
        <v>533</v>
      </c>
      <c r="G1582" s="4"/>
      <c r="H1582" s="4">
        <f>SUMIFS(X!$F$5:$F$2005,X!$D$5:$D$2005,'CEK CICI'!A1582)</f>
        <v>3</v>
      </c>
      <c r="I1582" s="4">
        <f>SUMIFS(PENJUALAN!$E$4:$E$4288,PENJUALAN!$C$4:$C$4288,'CEK CICI'!A1582)</f>
        <v>2</v>
      </c>
      <c r="J1582" s="16">
        <f t="shared" si="2"/>
        <v>1</v>
      </c>
      <c r="K1582" s="4"/>
      <c r="L1582" s="4"/>
      <c r="M1582" s="4"/>
      <c r="N1582" s="4"/>
    </row>
    <row r="1583" ht="13.5" hidden="1" customHeight="1">
      <c r="A1583" s="4" t="str">
        <f t="shared" si="1"/>
        <v>TRW-CONFEROXYG</v>
      </c>
      <c r="B1583" s="29" t="s">
        <v>1983</v>
      </c>
      <c r="C1583" s="43" t="s">
        <v>1984</v>
      </c>
      <c r="D1583" s="30" t="s">
        <v>41</v>
      </c>
      <c r="E1583" s="4" t="s">
        <v>16</v>
      </c>
      <c r="F1583" s="30" t="s">
        <v>97</v>
      </c>
      <c r="G1583" s="4"/>
      <c r="H1583" s="4">
        <f>SUMIFS(X!$F$5:$F$2005,X!$D$5:$D$2005,'CEK CICI'!A1583)</f>
        <v>2</v>
      </c>
      <c r="I1583" s="4">
        <f>SUMIFS(PENJUALAN!$E$4:$E$4288,PENJUALAN!$C$4:$C$4288,'CEK CICI'!A1583)</f>
        <v>1</v>
      </c>
      <c r="J1583" s="16">
        <f t="shared" si="2"/>
        <v>1</v>
      </c>
      <c r="K1583" s="4"/>
      <c r="L1583" s="4"/>
      <c r="M1583" s="4"/>
      <c r="N1583" s="4"/>
    </row>
    <row r="1584" ht="13.5" customHeight="1">
      <c r="A1584" s="4" t="str">
        <f t="shared" si="1"/>
        <v>LFW-CORTEZRSXYG</v>
      </c>
      <c r="B1584" s="31" t="s">
        <v>2033</v>
      </c>
      <c r="C1584" s="33" t="s">
        <v>1988</v>
      </c>
      <c r="D1584" s="28" t="s">
        <v>22</v>
      </c>
      <c r="E1584" s="4" t="s">
        <v>16</v>
      </c>
      <c r="F1584" s="33" t="s">
        <v>2034</v>
      </c>
      <c r="G1584" s="15">
        <v>1.0</v>
      </c>
      <c r="H1584" s="4">
        <f>SUMIFS(X!$F$5:$F$2005,X!$D$5:$D$2005,'CEK CICI'!A1584)</f>
        <v>6</v>
      </c>
      <c r="I1584" s="4">
        <f>SUMIFS(PENJUALAN!$E$4:$E$4288,PENJUALAN!$C$4:$C$4288,'CEK CICI'!A1584)</f>
        <v>5</v>
      </c>
      <c r="J1584" s="16">
        <f t="shared" si="2"/>
        <v>1</v>
      </c>
      <c r="K1584" s="15" t="s">
        <v>1722</v>
      </c>
      <c r="L1584" s="15"/>
      <c r="M1584" s="4"/>
      <c r="N1584" s="4"/>
    </row>
    <row r="1585" ht="13.5" hidden="1" customHeight="1">
      <c r="A1585" s="4" t="str">
        <f t="shared" si="1"/>
        <v>TRW-CORTEZXYG</v>
      </c>
      <c r="B1585" s="29" t="s">
        <v>1987</v>
      </c>
      <c r="C1585" s="28" t="s">
        <v>1988</v>
      </c>
      <c r="D1585" s="28" t="s">
        <v>41</v>
      </c>
      <c r="E1585" s="4" t="s">
        <v>16</v>
      </c>
      <c r="F1585" s="28" t="s">
        <v>221</v>
      </c>
      <c r="G1585" s="4"/>
      <c r="H1585" s="4">
        <f>SUMIFS(X!$F$5:$F$2005,X!$D$5:$D$2005,'CEK CICI'!A1585)</f>
        <v>3</v>
      </c>
      <c r="I1585" s="4">
        <f>SUMIFS(PENJUALAN!$E$4:$E$4288,PENJUALAN!$C$4:$C$4288,'CEK CICI'!A1585)</f>
        <v>0</v>
      </c>
      <c r="J1585" s="16">
        <f t="shared" si="2"/>
        <v>3</v>
      </c>
      <c r="K1585" s="15" t="s">
        <v>1711</v>
      </c>
      <c r="L1585" s="15"/>
      <c r="M1585" s="4"/>
      <c r="N1585" s="4"/>
    </row>
    <row r="1586" ht="13.5" hidden="1" customHeight="1">
      <c r="A1586" s="4" t="str">
        <f t="shared" si="1"/>
        <v>LFW-LOUHANXYG</v>
      </c>
      <c r="B1586" s="29" t="s">
        <v>1304</v>
      </c>
      <c r="C1586" s="30" t="s">
        <v>1305</v>
      </c>
      <c r="D1586" s="30" t="s">
        <v>22</v>
      </c>
      <c r="E1586" s="4" t="s">
        <v>16</v>
      </c>
      <c r="F1586" s="28"/>
      <c r="G1586" s="4"/>
      <c r="H1586" s="4">
        <f>SUMIFS(X!$F$5:$F$2005,X!$D$5:$D$2005,'CEK CICI'!A1586)</f>
        <v>4</v>
      </c>
      <c r="I1586" s="4">
        <f>SUMIFS(PENJUALAN!$E$4:$E$4288,PENJUALAN!$C$4:$C$4288,'CEK CICI'!A1586)</f>
        <v>3</v>
      </c>
      <c r="J1586" s="16">
        <f t="shared" si="2"/>
        <v>1</v>
      </c>
      <c r="K1586" s="4"/>
      <c r="L1586" s="4"/>
      <c r="M1586" s="4"/>
      <c r="N1586" s="4"/>
    </row>
    <row r="1587" ht="13.5" hidden="1" customHeight="1">
      <c r="A1587" s="4" t="str">
        <f t="shared" si="1"/>
        <v>FDL-LOUHANXYGXYG</v>
      </c>
      <c r="B1587" s="29" t="s">
        <v>1989</v>
      </c>
      <c r="C1587" s="30" t="s">
        <v>1305</v>
      </c>
      <c r="D1587" s="28" t="s">
        <v>128</v>
      </c>
      <c r="E1587" s="4" t="s">
        <v>16</v>
      </c>
      <c r="F1587" s="28"/>
      <c r="G1587" s="4"/>
      <c r="H1587" s="4">
        <f>SUMIFS(X!$F$5:$F$2005,X!$D$5:$D$2005,'CEK CICI'!A1587)</f>
        <v>0</v>
      </c>
      <c r="I1587" s="4">
        <f>SUMIFS(PENJUALAN!$E$4:$E$4288,PENJUALAN!$C$4:$C$4288,'CEK CICI'!A1587)</f>
        <v>0</v>
      </c>
      <c r="J1587" s="16">
        <f t="shared" si="2"/>
        <v>0</v>
      </c>
      <c r="K1587" s="4"/>
      <c r="L1587" s="4"/>
      <c r="M1587" s="4"/>
      <c r="N1587" s="4"/>
    </row>
    <row r="1588" ht="13.5" hidden="1" customHeight="1">
      <c r="A1588" s="4" t="str">
        <f t="shared" si="1"/>
        <v>FDR-LOUHANXYGXYG</v>
      </c>
      <c r="B1588" s="29" t="s">
        <v>1990</v>
      </c>
      <c r="C1588" s="30" t="s">
        <v>1305</v>
      </c>
      <c r="D1588" s="28" t="s">
        <v>130</v>
      </c>
      <c r="E1588" s="4" t="s">
        <v>16</v>
      </c>
      <c r="F1588" s="28"/>
      <c r="G1588" s="4"/>
      <c r="H1588" s="4">
        <f>SUMIFS(X!$F$5:$F$2005,X!$D$5:$D$2005,'CEK CICI'!A1588)</f>
        <v>0</v>
      </c>
      <c r="I1588" s="4">
        <f>SUMIFS(PENJUALAN!$E$4:$E$4288,PENJUALAN!$C$4:$C$4288,'CEK CICI'!A1588)</f>
        <v>0</v>
      </c>
      <c r="J1588" s="16">
        <f t="shared" si="2"/>
        <v>0</v>
      </c>
      <c r="K1588" s="4"/>
      <c r="L1588" s="4"/>
      <c r="M1588" s="4"/>
      <c r="N1588" s="4"/>
    </row>
    <row r="1589" ht="13.5" hidden="1" customHeight="1">
      <c r="A1589" s="4" t="str">
        <f t="shared" si="1"/>
        <v>LFW-MIGHTYXYG</v>
      </c>
      <c r="B1589" s="29" t="s">
        <v>1991</v>
      </c>
      <c r="C1589" s="28" t="s">
        <v>1992</v>
      </c>
      <c r="D1589" s="28" t="s">
        <v>22</v>
      </c>
      <c r="E1589" s="4" t="s">
        <v>16</v>
      </c>
      <c r="F1589" s="28" t="s">
        <v>1993</v>
      </c>
      <c r="G1589" s="4"/>
      <c r="H1589" s="4">
        <f>SUMIFS(X!$F$5:$F$2005,X!$D$5:$D$2005,'CEK CICI'!A1589)</f>
        <v>0</v>
      </c>
      <c r="I1589" s="4">
        <f>SUMIFS(PENJUALAN!$E$4:$E$4288,PENJUALAN!$C$4:$C$4288,'CEK CICI'!A1589)</f>
        <v>0</v>
      </c>
      <c r="J1589" s="16">
        <f t="shared" si="2"/>
        <v>0</v>
      </c>
      <c r="K1589" s="4"/>
      <c r="L1589" s="4"/>
      <c r="M1589" s="4"/>
      <c r="N1589" s="4"/>
    </row>
    <row r="1590" ht="13.5" hidden="1" customHeight="1">
      <c r="A1590" s="4" t="str">
        <f t="shared" si="1"/>
        <v>LFW-ELFNKRXYG</v>
      </c>
      <c r="B1590" s="29" t="s">
        <v>1306</v>
      </c>
      <c r="C1590" s="30" t="s">
        <v>1307</v>
      </c>
      <c r="D1590" s="28" t="s">
        <v>22</v>
      </c>
      <c r="E1590" s="4" t="s">
        <v>16</v>
      </c>
      <c r="F1590" s="28"/>
      <c r="G1590" s="4"/>
      <c r="H1590" s="4">
        <f>SUMIFS(X!$F$5:$F$2005,X!$D$5:$D$2005,'CEK CICI'!A1590)</f>
        <v>6</v>
      </c>
      <c r="I1590" s="4">
        <f>SUMIFS(PENJUALAN!$E$4:$E$4288,PENJUALAN!$C$4:$C$4288,'CEK CICI'!A1590)</f>
        <v>3</v>
      </c>
      <c r="J1590" s="16">
        <f t="shared" si="2"/>
        <v>3</v>
      </c>
      <c r="K1590" s="15" t="s">
        <v>1843</v>
      </c>
      <c r="L1590" s="15"/>
      <c r="M1590" s="4"/>
      <c r="N1590" s="4"/>
    </row>
    <row r="1591" ht="13.5" customHeight="1">
      <c r="A1591" s="4" t="str">
        <f t="shared" si="1"/>
        <v>LFW-ELFNMRXYG</v>
      </c>
      <c r="B1591" s="29" t="s">
        <v>1308</v>
      </c>
      <c r="C1591" s="28" t="s">
        <v>1309</v>
      </c>
      <c r="D1591" s="28" t="s">
        <v>22</v>
      </c>
      <c r="E1591" s="4" t="s">
        <v>16</v>
      </c>
      <c r="F1591" s="33" t="s">
        <v>97</v>
      </c>
      <c r="G1591" s="15">
        <v>2.0</v>
      </c>
      <c r="H1591" s="4">
        <f>SUMIFS(X!$F$5:$F$2005,X!$D$5:$D$2005,'CEK CICI'!A1591)</f>
        <v>13</v>
      </c>
      <c r="I1591" s="4">
        <f>SUMIFS(PENJUALAN!$E$4:$E$4288,PENJUALAN!$C$4:$C$4288,'CEK CICI'!A1591)</f>
        <v>9</v>
      </c>
      <c r="J1591" s="16">
        <f t="shared" si="2"/>
        <v>4</v>
      </c>
      <c r="K1591" s="15" t="s">
        <v>1843</v>
      </c>
      <c r="L1591" s="15"/>
      <c r="M1591" s="4"/>
      <c r="N1591" s="4"/>
    </row>
    <row r="1592" ht="13.5" hidden="1" customHeight="1">
      <c r="A1592" s="4" t="str">
        <f t="shared" si="1"/>
        <v>LFW-GIGALONGXYG</v>
      </c>
      <c r="B1592" s="29" t="s">
        <v>2155</v>
      </c>
      <c r="C1592" s="28" t="s">
        <v>2156</v>
      </c>
      <c r="D1592" s="28" t="s">
        <v>22</v>
      </c>
      <c r="E1592" s="4" t="s">
        <v>16</v>
      </c>
      <c r="F1592" s="28"/>
      <c r="G1592" s="4"/>
      <c r="H1592" s="4">
        <f>SUMIFS(X!$F$5:$F$2005,X!$D$5:$D$2005,'CEK CICI'!A1592)</f>
        <v>4</v>
      </c>
      <c r="I1592" s="4">
        <f>SUMIFS(PENJUALAN!$E$4:$E$4288,PENJUALAN!$C$4:$C$4288,'CEK CICI'!A1592)</f>
        <v>2</v>
      </c>
      <c r="J1592" s="16">
        <f t="shared" si="2"/>
        <v>2</v>
      </c>
      <c r="K1592" s="15" t="s">
        <v>1485</v>
      </c>
      <c r="L1592" s="15"/>
      <c r="M1592" s="4"/>
      <c r="N1592" s="4"/>
    </row>
    <row r="1593" ht="13.5" hidden="1" customHeight="1">
      <c r="A1593" s="4" t="str">
        <f t="shared" si="1"/>
        <v>LFW-GIGASHORTXYG</v>
      </c>
      <c r="B1593" s="29" t="s">
        <v>1998</v>
      </c>
      <c r="C1593" s="28" t="s">
        <v>1999</v>
      </c>
      <c r="D1593" s="28" t="s">
        <v>22</v>
      </c>
      <c r="E1593" s="4" t="s">
        <v>16</v>
      </c>
      <c r="F1593" s="28"/>
      <c r="G1593" s="4"/>
      <c r="H1593" s="4">
        <f>SUMIFS(X!$F$5:$F$2005,X!$D$5:$D$2005,'CEK CICI'!A1593)</f>
        <v>1</v>
      </c>
      <c r="I1593" s="4">
        <f>SUMIFS(PENJUALAN!$E$4:$E$4288,PENJUALAN!$C$4:$C$4288,'CEK CICI'!A1593)</f>
        <v>0</v>
      </c>
      <c r="J1593" s="16">
        <f t="shared" si="2"/>
        <v>1</v>
      </c>
      <c r="K1593" s="15" t="s">
        <v>1485</v>
      </c>
      <c r="L1593" s="15"/>
      <c r="M1593" s="4"/>
      <c r="N1593" s="4"/>
    </row>
    <row r="1594" ht="13.5" hidden="1" customHeight="1">
      <c r="A1594" s="4" t="str">
        <f t="shared" si="1"/>
        <v>LFW-AXORXYG</v>
      </c>
      <c r="B1594" s="41" t="s">
        <v>2000</v>
      </c>
      <c r="C1594" s="30" t="s">
        <v>2001</v>
      </c>
      <c r="D1594" s="30" t="s">
        <v>22</v>
      </c>
      <c r="E1594" s="4" t="s">
        <v>16</v>
      </c>
      <c r="F1594" s="28" t="s">
        <v>97</v>
      </c>
      <c r="G1594" s="4"/>
      <c r="H1594" s="4">
        <f>SUMIFS(X!$F$5:$F$2005,X!$D$5:$D$2005,'CEK CICI'!A1594)</f>
        <v>2</v>
      </c>
      <c r="I1594" s="4">
        <f>SUMIFS(PENJUALAN!$E$4:$E$4288,PENJUALAN!$C$4:$C$4288,'CEK CICI'!A1594)</f>
        <v>2</v>
      </c>
      <c r="J1594" s="16">
        <f t="shared" si="2"/>
        <v>0</v>
      </c>
      <c r="K1594" s="4"/>
      <c r="L1594" s="4"/>
      <c r="M1594" s="4"/>
      <c r="N1594" s="4"/>
    </row>
    <row r="1595" ht="13.5" hidden="1" customHeight="1">
      <c r="A1595" s="4" t="str">
        <f t="shared" si="1"/>
        <v>LFW-FE300XYG</v>
      </c>
      <c r="B1595" s="29" t="s">
        <v>2002</v>
      </c>
      <c r="C1595" s="30" t="s">
        <v>2003</v>
      </c>
      <c r="D1595" s="28" t="s">
        <v>22</v>
      </c>
      <c r="E1595" s="4" t="s">
        <v>16</v>
      </c>
      <c r="F1595" s="28"/>
      <c r="G1595" s="4"/>
      <c r="H1595" s="4">
        <f>SUMIFS(X!$F$5:$F$2005,X!$D$5:$D$2005,'CEK CICI'!A1595)</f>
        <v>0</v>
      </c>
      <c r="I1595" s="4">
        <f>SUMIFS(PENJUALAN!$E$4:$E$4288,PENJUALAN!$C$4:$C$4288,'CEK CICI'!A1595)</f>
        <v>0</v>
      </c>
      <c r="J1595" s="16">
        <f t="shared" si="2"/>
        <v>0</v>
      </c>
      <c r="K1595" s="4"/>
      <c r="L1595" s="4"/>
      <c r="M1595" s="4"/>
      <c r="N1595" s="4"/>
    </row>
    <row r="1596" ht="13.5" hidden="1" customHeight="1">
      <c r="A1596" s="4" t="str">
        <f t="shared" si="1"/>
        <v>LFW-FE700XYG</v>
      </c>
      <c r="B1596" s="29" t="s">
        <v>1310</v>
      </c>
      <c r="C1596" s="30" t="s">
        <v>1311</v>
      </c>
      <c r="D1596" s="28" t="s">
        <v>22</v>
      </c>
      <c r="E1596" s="4" t="s">
        <v>16</v>
      </c>
      <c r="F1596" s="28"/>
      <c r="G1596" s="4"/>
      <c r="H1596" s="4">
        <f>SUMIFS(X!$F$5:$F$2005,X!$D$5:$D$2005,'CEK CICI'!A1596)</f>
        <v>7</v>
      </c>
      <c r="I1596" s="4">
        <f>SUMIFS(PENJUALAN!$E$4:$E$4288,PENJUALAN!$C$4:$C$4288,'CEK CICI'!A1596)</f>
        <v>5</v>
      </c>
      <c r="J1596" s="16">
        <f t="shared" si="2"/>
        <v>2</v>
      </c>
      <c r="K1596" s="15" t="s">
        <v>2351</v>
      </c>
      <c r="L1596" s="15"/>
      <c r="M1596" s="4"/>
      <c r="N1596" s="4"/>
    </row>
    <row r="1597" ht="13.5" hidden="1" customHeight="1">
      <c r="A1597" s="4" t="str">
        <f t="shared" si="1"/>
        <v>LFW-FE800XYG</v>
      </c>
      <c r="B1597" s="29" t="s">
        <v>1312</v>
      </c>
      <c r="C1597" s="30" t="s">
        <v>1313</v>
      </c>
      <c r="D1597" s="28" t="s">
        <v>22</v>
      </c>
      <c r="E1597" s="4" t="s">
        <v>16</v>
      </c>
      <c r="F1597" s="28"/>
      <c r="G1597" s="4"/>
      <c r="H1597" s="4">
        <f>SUMIFS(X!$F$5:$F$2005,X!$D$5:$D$2005,'CEK CICI'!A1597)</f>
        <v>10</v>
      </c>
      <c r="I1597" s="4">
        <f>SUMIFS(PENJUALAN!$E$4:$E$4288,PENJUALAN!$C$4:$C$4288,'CEK CICI'!A1597)</f>
        <v>6</v>
      </c>
      <c r="J1597" s="16">
        <f t="shared" si="2"/>
        <v>4</v>
      </c>
      <c r="K1597" s="15" t="s">
        <v>2351</v>
      </c>
      <c r="L1597" s="15"/>
      <c r="M1597" s="5">
        <v>1.0</v>
      </c>
      <c r="N1597" s="4"/>
    </row>
    <row r="1598" ht="13.5" hidden="1" customHeight="1">
      <c r="A1598" s="4" t="str">
        <f t="shared" si="1"/>
        <v>LFW-FK40XYG</v>
      </c>
      <c r="B1598" s="29" t="s">
        <v>1314</v>
      </c>
      <c r="C1598" s="30" t="s">
        <v>1315</v>
      </c>
      <c r="D1598" s="28" t="s">
        <v>22</v>
      </c>
      <c r="E1598" s="4" t="s">
        <v>16</v>
      </c>
      <c r="F1598" s="28"/>
      <c r="G1598" s="4"/>
      <c r="H1598" s="4">
        <f>SUMIFS(X!$F$5:$F$2005,X!$D$5:$D$2005,'CEK CICI'!A1598)</f>
        <v>5</v>
      </c>
      <c r="I1598" s="4">
        <f>SUMIFS(PENJUALAN!$E$4:$E$4288,PENJUALAN!$C$4:$C$4288,'CEK CICI'!A1598)</f>
        <v>3</v>
      </c>
      <c r="J1598" s="16">
        <f t="shared" si="2"/>
        <v>2</v>
      </c>
      <c r="K1598" s="15" t="s">
        <v>1485</v>
      </c>
      <c r="L1598" s="15"/>
      <c r="M1598" s="4"/>
      <c r="N1598" s="4"/>
    </row>
    <row r="1599" ht="13.5" hidden="1" customHeight="1">
      <c r="A1599" s="4" t="str">
        <f t="shared" si="1"/>
        <v>LFW-FV100XYG</v>
      </c>
      <c r="B1599" s="29" t="s">
        <v>1316</v>
      </c>
      <c r="C1599" s="28" t="s">
        <v>1317</v>
      </c>
      <c r="D1599" s="28" t="s">
        <v>22</v>
      </c>
      <c r="E1599" s="4" t="s">
        <v>16</v>
      </c>
      <c r="F1599" s="28"/>
      <c r="G1599" s="4"/>
      <c r="H1599" s="4">
        <f>SUMIFS(X!$F$5:$F$2005,X!$D$5:$D$2005,'CEK CICI'!A1599)</f>
        <v>0</v>
      </c>
      <c r="I1599" s="4">
        <f>SUMIFS(PENJUALAN!$E$4:$E$4288,PENJUALAN!$C$4:$C$4288,'CEK CICI'!A1599)</f>
        <v>0</v>
      </c>
      <c r="J1599" s="16">
        <f t="shared" si="2"/>
        <v>0</v>
      </c>
      <c r="K1599" s="4"/>
      <c r="L1599" s="4"/>
      <c r="M1599" s="4"/>
      <c r="N1599" s="4"/>
    </row>
    <row r="1600" ht="13.5" hidden="1" customHeight="1">
      <c r="A1600" s="4" t="str">
        <f t="shared" si="1"/>
        <v>LFW-L300XYG</v>
      </c>
      <c r="B1600" s="29" t="s">
        <v>1318</v>
      </c>
      <c r="C1600" s="30" t="s">
        <v>1319</v>
      </c>
      <c r="D1600" s="28" t="s">
        <v>22</v>
      </c>
      <c r="E1600" s="4" t="s">
        <v>16</v>
      </c>
      <c r="F1600" s="28"/>
      <c r="G1600" s="4"/>
      <c r="H1600" s="4">
        <f>SUMIFS(X!$F$5:$F$2005,X!$D$5:$D$2005,'CEK CICI'!A1600)</f>
        <v>2</v>
      </c>
      <c r="I1600" s="4">
        <f>SUMIFS(PENJUALAN!$E$4:$E$4288,PENJUALAN!$C$4:$C$4288,'CEK CICI'!A1600)</f>
        <v>1</v>
      </c>
      <c r="J1600" s="16">
        <f t="shared" si="2"/>
        <v>1</v>
      </c>
      <c r="K1600" s="4"/>
      <c r="L1600" s="4"/>
      <c r="M1600" s="4"/>
      <c r="N1600" s="4"/>
    </row>
    <row r="1601" ht="13.5" hidden="1" customHeight="1">
      <c r="A1601" s="4" t="str">
        <f t="shared" si="1"/>
        <v>LFW-QUESTERXYG</v>
      </c>
      <c r="B1601" s="29" t="s">
        <v>2005</v>
      </c>
      <c r="C1601" s="30" t="s">
        <v>2006</v>
      </c>
      <c r="D1601" s="28" t="s">
        <v>22</v>
      </c>
      <c r="E1601" s="4" t="s">
        <v>16</v>
      </c>
      <c r="F1601" s="28"/>
      <c r="G1601" s="4"/>
      <c r="H1601" s="4">
        <f>SUMIFS(X!$F$5:$F$2005,X!$D$5:$D$2005,'CEK CICI'!A1601)</f>
        <v>0</v>
      </c>
      <c r="I1601" s="4">
        <f>SUMIFS(PENJUALAN!$E$4:$E$4288,PENJUALAN!$C$4:$C$4288,'CEK CICI'!A1601)</f>
        <v>0</v>
      </c>
      <c r="J1601" s="16">
        <f t="shared" si="2"/>
        <v>0</v>
      </c>
      <c r="K1601" s="4"/>
      <c r="L1601" s="4"/>
      <c r="M1601" s="4"/>
      <c r="N1601" s="4"/>
    </row>
    <row r="1602" ht="13.5" hidden="1" customHeight="1">
      <c r="A1602" s="4" t="str">
        <f t="shared" si="1"/>
        <v>LFW-DYNAXYG</v>
      </c>
      <c r="B1602" s="29" t="s">
        <v>2007</v>
      </c>
      <c r="C1602" s="30" t="s">
        <v>1381</v>
      </c>
      <c r="D1602" s="28" t="s">
        <v>22</v>
      </c>
      <c r="E1602" s="4" t="s">
        <v>16</v>
      </c>
      <c r="F1602" s="28"/>
      <c r="G1602" s="4"/>
      <c r="H1602" s="4">
        <f>SUMIFS(X!$F$5:$F$2005,X!$D$5:$D$2005,'CEK CICI'!A1602)</f>
        <v>12</v>
      </c>
      <c r="I1602" s="4">
        <f>SUMIFS(PENJUALAN!$E$4:$E$4288,PENJUALAN!$C$4:$C$4288,'CEK CICI'!A1602)</f>
        <v>4</v>
      </c>
      <c r="J1602" s="16">
        <f t="shared" si="2"/>
        <v>8</v>
      </c>
      <c r="K1602" s="4"/>
      <c r="L1602" s="4"/>
      <c r="M1602" s="4"/>
      <c r="N1602" s="4"/>
    </row>
    <row r="1603" ht="13.5" hidden="1" customHeight="1">
      <c r="A1603" s="4" t="str">
        <f t="shared" si="1"/>
        <v>LFW-AUDIA4B5MU</v>
      </c>
      <c r="B1603" s="65" t="s">
        <v>2008</v>
      </c>
      <c r="C1603" s="65" t="s">
        <v>2009</v>
      </c>
      <c r="D1603" s="65" t="s">
        <v>22</v>
      </c>
      <c r="E1603" s="68" t="s">
        <v>1361</v>
      </c>
      <c r="F1603" s="65" t="s">
        <v>2010</v>
      </c>
      <c r="G1603" s="4"/>
      <c r="H1603" s="4">
        <f>SUMIFS(X!$F$5:$F$2005,X!$D$5:$D$2005,'CEK CICI'!A1603)</f>
        <v>0</v>
      </c>
      <c r="I1603" s="4">
        <f>SUMIFS(PENJUALAN!$E$4:$E$4288,PENJUALAN!$C$4:$C$4288,'CEK CICI'!A1603)</f>
        <v>0</v>
      </c>
      <c r="J1603" s="16">
        <f t="shared" si="2"/>
        <v>0</v>
      </c>
      <c r="K1603" s="68"/>
      <c r="L1603" s="68"/>
      <c r="M1603" s="69">
        <v>1.0</v>
      </c>
      <c r="N1603" s="68"/>
    </row>
    <row r="1604" ht="13.5" hidden="1" customHeight="1">
      <c r="A1604" s="4" t="str">
        <f t="shared" si="1"/>
        <v>LFW-E34MU</v>
      </c>
      <c r="B1604" s="65" t="s">
        <v>2011</v>
      </c>
      <c r="C1604" s="65" t="s">
        <v>2012</v>
      </c>
      <c r="D1604" s="65" t="s">
        <v>22</v>
      </c>
      <c r="E1604" s="68" t="s">
        <v>1361</v>
      </c>
      <c r="F1604" s="65" t="s">
        <v>1876</v>
      </c>
      <c r="G1604" s="4"/>
      <c r="H1604" s="4">
        <f>SUMIFS(X!$F$5:$F$2005,X!$D$5:$D$2005,'CEK CICI'!A1604)</f>
        <v>0</v>
      </c>
      <c r="I1604" s="4">
        <f>SUMIFS(PENJUALAN!$E$4:$E$4288,PENJUALAN!$C$4:$C$4288,'CEK CICI'!A1604)</f>
        <v>0</v>
      </c>
      <c r="J1604" s="16">
        <f t="shared" si="2"/>
        <v>0</v>
      </c>
      <c r="K1604" s="68"/>
      <c r="L1604" s="68"/>
      <c r="M1604" s="69">
        <v>1.0</v>
      </c>
      <c r="N1604" s="68"/>
    </row>
    <row r="1605" ht="13.5" customHeight="1">
      <c r="A1605" s="4" t="str">
        <f t="shared" si="1"/>
        <v>LFW-E36MU</v>
      </c>
      <c r="B1605" s="65" t="s">
        <v>123</v>
      </c>
      <c r="C1605" s="65" t="s">
        <v>124</v>
      </c>
      <c r="D1605" s="65" t="s">
        <v>22</v>
      </c>
      <c r="E1605" s="68" t="s">
        <v>1361</v>
      </c>
      <c r="F1605" s="65" t="s">
        <v>125</v>
      </c>
      <c r="G1605" s="15">
        <v>1.0</v>
      </c>
      <c r="H1605" s="4">
        <f>SUMIFS(X!$F$5:$F$2005,X!$D$5:$D$2005,'CEK CICI'!A1605)</f>
        <v>10</v>
      </c>
      <c r="I1605" s="4">
        <f>SUMIFS(PENJUALAN!$E$4:$E$4288,PENJUALAN!$C$4:$C$4288,'CEK CICI'!A1605)</f>
        <v>10</v>
      </c>
      <c r="J1605" s="16">
        <f t="shared" si="2"/>
        <v>0</v>
      </c>
      <c r="K1605" s="75" t="s">
        <v>1341</v>
      </c>
      <c r="L1605" s="75"/>
      <c r="M1605" s="69">
        <v>1.0</v>
      </c>
      <c r="N1605" s="68"/>
    </row>
    <row r="1606" ht="13.5" customHeight="1">
      <c r="A1606" s="4" t="str">
        <f t="shared" si="1"/>
        <v>LFW-E46NORSMU</v>
      </c>
      <c r="B1606" s="65" t="s">
        <v>2415</v>
      </c>
      <c r="C1606" s="65" t="s">
        <v>136</v>
      </c>
      <c r="D1606" s="65" t="s">
        <v>22</v>
      </c>
      <c r="E1606" s="68" t="s">
        <v>1361</v>
      </c>
      <c r="F1606" s="65" t="s">
        <v>1876</v>
      </c>
      <c r="G1606" s="15">
        <v>1.0</v>
      </c>
      <c r="H1606" s="4">
        <f>SUMIFS(X!$F$5:$F$2005,X!$D$5:$D$2005,'CEK CICI'!A1606)</f>
        <v>6</v>
      </c>
      <c r="I1606" s="4">
        <f>SUMIFS(PENJUALAN!$E$4:$E$4288,PENJUALAN!$C$4:$C$4288,'CEK CICI'!A1606)</f>
        <v>6</v>
      </c>
      <c r="J1606" s="16">
        <f t="shared" si="2"/>
        <v>0</v>
      </c>
      <c r="K1606" s="75" t="s">
        <v>1341</v>
      </c>
      <c r="L1606" s="75"/>
      <c r="M1606" s="69">
        <v>1.0</v>
      </c>
      <c r="N1606" s="68"/>
    </row>
    <row r="1607" ht="13.5" hidden="1" customHeight="1">
      <c r="A1607" s="4" t="str">
        <f t="shared" si="1"/>
        <v>LFW-E8187MU</v>
      </c>
      <c r="B1607" s="65" t="s">
        <v>2016</v>
      </c>
      <c r="C1607" s="65" t="s">
        <v>2017</v>
      </c>
      <c r="D1607" s="65" t="s">
        <v>22</v>
      </c>
      <c r="E1607" s="68" t="s">
        <v>1361</v>
      </c>
      <c r="F1607" s="65" t="s">
        <v>2018</v>
      </c>
      <c r="G1607" s="4"/>
      <c r="H1607" s="4">
        <f>SUMIFS(X!$F$5:$F$2005,X!$D$5:$D$2005,'CEK CICI'!A1607)</f>
        <v>0</v>
      </c>
      <c r="I1607" s="4">
        <f>SUMIFS(PENJUALAN!$E$4:$E$4288,PENJUALAN!$C$4:$C$4288,'CEK CICI'!A1607)</f>
        <v>0</v>
      </c>
      <c r="J1607" s="16">
        <f t="shared" si="2"/>
        <v>0</v>
      </c>
      <c r="K1607" s="68"/>
      <c r="L1607" s="68"/>
      <c r="M1607" s="69">
        <v>1.0</v>
      </c>
      <c r="N1607" s="68"/>
    </row>
    <row r="1608" ht="13.5" customHeight="1">
      <c r="A1608" s="4" t="str">
        <f t="shared" si="1"/>
        <v>LFW-QQ03MU</v>
      </c>
      <c r="B1608" s="29" t="s">
        <v>207</v>
      </c>
      <c r="C1608" s="28" t="s">
        <v>208</v>
      </c>
      <c r="D1608" s="28" t="s">
        <v>22</v>
      </c>
      <c r="E1608" s="4" t="s">
        <v>1361</v>
      </c>
      <c r="F1608" s="28" t="s">
        <v>125</v>
      </c>
      <c r="G1608" s="15">
        <v>1.0</v>
      </c>
      <c r="H1608" s="4">
        <f>SUMIFS(X!$F$5:$F$2005,X!$D$5:$D$2005,'CEK CICI'!A1608)</f>
        <v>1</v>
      </c>
      <c r="I1608" s="4">
        <f>SUMIFS(PENJUALAN!$E$4:$E$4288,PENJUALAN!$C$4:$C$4288,'CEK CICI'!A1608)</f>
        <v>1</v>
      </c>
      <c r="J1608" s="16">
        <f t="shared" si="2"/>
        <v>0</v>
      </c>
      <c r="K1608" s="4"/>
      <c r="L1608" s="4"/>
      <c r="M1608" s="5">
        <v>1.0</v>
      </c>
      <c r="N1608" s="4"/>
    </row>
    <row r="1609" ht="13.5" hidden="1" customHeight="1">
      <c r="A1609" s="4" t="str">
        <f t="shared" si="1"/>
        <v>LFW-AVEO08MU</v>
      </c>
      <c r="B1609" s="29" t="s">
        <v>216</v>
      </c>
      <c r="C1609" s="28" t="s">
        <v>2412</v>
      </c>
      <c r="D1609" s="28" t="s">
        <v>22</v>
      </c>
      <c r="E1609" s="4" t="s">
        <v>1361</v>
      </c>
      <c r="F1609" s="28" t="s">
        <v>97</v>
      </c>
      <c r="G1609" s="4"/>
      <c r="H1609" s="4">
        <f>SUMIFS(X!$F$5:$F$2005,X!$D$5:$D$2005,'CEK CICI'!A1609)</f>
        <v>5</v>
      </c>
      <c r="I1609" s="4">
        <f>SUMIFS(PENJUALAN!$E$4:$E$4288,PENJUALAN!$C$4:$C$4288,'CEK CICI'!A1609)</f>
        <v>5</v>
      </c>
      <c r="J1609" s="16">
        <f t="shared" si="2"/>
        <v>0</v>
      </c>
      <c r="K1609" s="15" t="s">
        <v>1641</v>
      </c>
      <c r="L1609" s="15"/>
      <c r="M1609" s="5">
        <v>1.0</v>
      </c>
      <c r="N1609" s="4"/>
    </row>
    <row r="1610" ht="13.5" hidden="1" customHeight="1">
      <c r="A1610" s="4" t="str">
        <f t="shared" si="1"/>
        <v>LFW-SPINMU</v>
      </c>
      <c r="B1610" s="29" t="s">
        <v>260</v>
      </c>
      <c r="C1610" s="28" t="s">
        <v>261</v>
      </c>
      <c r="D1610" s="28" t="s">
        <v>22</v>
      </c>
      <c r="E1610" s="4" t="s">
        <v>1361</v>
      </c>
      <c r="F1610" s="28" t="s">
        <v>125</v>
      </c>
      <c r="G1610" s="4"/>
      <c r="H1610" s="4">
        <f>SUMIFS(X!$F$5:$F$2005,X!$D$5:$D$2005,'CEK CICI'!A1610)</f>
        <v>5</v>
      </c>
      <c r="I1610" s="4">
        <f>SUMIFS(PENJUALAN!$E$4:$E$4288,PENJUALAN!$C$4:$C$4288,'CEK CICI'!A1610)</f>
        <v>5</v>
      </c>
      <c r="J1610" s="16">
        <f t="shared" si="2"/>
        <v>0</v>
      </c>
      <c r="K1610" s="15" t="s">
        <v>1641</v>
      </c>
      <c r="L1610" s="15"/>
      <c r="M1610" s="5">
        <v>1.0</v>
      </c>
      <c r="N1610" s="4"/>
    </row>
    <row r="1611" ht="13.5" hidden="1" customHeight="1">
      <c r="A1611" s="4" t="str">
        <f t="shared" si="1"/>
        <v>LFW-TROOPERMU</v>
      </c>
      <c r="B1611" s="29" t="s">
        <v>2021</v>
      </c>
      <c r="C1611" s="28" t="s">
        <v>2022</v>
      </c>
      <c r="D1611" s="28" t="s">
        <v>22</v>
      </c>
      <c r="E1611" s="4" t="s">
        <v>1361</v>
      </c>
      <c r="F1611" s="28"/>
      <c r="G1611" s="4"/>
      <c r="H1611" s="4">
        <f>SUMIFS(X!$F$5:$F$2005,X!$D$5:$D$2005,'CEK CICI'!A1611)</f>
        <v>0</v>
      </c>
      <c r="I1611" s="4">
        <f>SUMIFS(PENJUALAN!$E$4:$E$4288,PENJUALAN!$C$4:$C$4288,'CEK CICI'!A1611)</f>
        <v>0</v>
      </c>
      <c r="J1611" s="16">
        <f t="shared" si="2"/>
        <v>0</v>
      </c>
      <c r="K1611" s="4"/>
      <c r="L1611" s="4"/>
      <c r="M1611" s="4"/>
      <c r="N1611" s="4"/>
    </row>
    <row r="1612" ht="13.5" hidden="1" customHeight="1">
      <c r="A1612" s="4" t="str">
        <f t="shared" si="1"/>
        <v>LFW-GRANMAXMU</v>
      </c>
      <c r="B1612" s="29" t="s">
        <v>274</v>
      </c>
      <c r="C1612" s="28" t="s">
        <v>275</v>
      </c>
      <c r="D1612" s="28" t="s">
        <v>22</v>
      </c>
      <c r="E1612" s="4" t="s">
        <v>1361</v>
      </c>
      <c r="F1612" s="28" t="s">
        <v>97</v>
      </c>
      <c r="G1612" s="4"/>
      <c r="H1612" s="4">
        <f>SUMIFS(X!$F$5:$F$2005,X!$D$5:$D$2005,'CEK CICI'!A1612)</f>
        <v>119</v>
      </c>
      <c r="I1612" s="4">
        <f>SUMIFS(PENJUALAN!$E$4:$E$4288,PENJUALAN!$C$4:$C$4288,'CEK CICI'!A1612)</f>
        <v>117</v>
      </c>
      <c r="J1612" s="16">
        <f t="shared" si="2"/>
        <v>2</v>
      </c>
      <c r="K1612" s="15" t="s">
        <v>1878</v>
      </c>
      <c r="L1612" s="15"/>
      <c r="M1612" s="5">
        <v>3.0</v>
      </c>
      <c r="N1612" s="15"/>
    </row>
    <row r="1613" ht="13.5" hidden="1" customHeight="1">
      <c r="A1613" s="4" t="str">
        <f t="shared" si="1"/>
        <v>TRW-GRANMAXVANMU</v>
      </c>
      <c r="B1613" s="29" t="s">
        <v>2023</v>
      </c>
      <c r="C1613" s="28" t="s">
        <v>2024</v>
      </c>
      <c r="D1613" s="28" t="s">
        <v>41</v>
      </c>
      <c r="E1613" s="4" t="s">
        <v>1361</v>
      </c>
      <c r="F1613" s="28" t="s">
        <v>97</v>
      </c>
      <c r="G1613" s="4"/>
      <c r="H1613" s="4">
        <f>SUMIFS(X!$F$5:$F$2005,X!$D$5:$D$2005,'CEK CICI'!A1613)</f>
        <v>18</v>
      </c>
      <c r="I1613" s="4">
        <f>SUMIFS(PENJUALAN!$E$4:$E$4288,PENJUALAN!$C$4:$C$4288,'CEK CICI'!A1613)</f>
        <v>13</v>
      </c>
      <c r="J1613" s="16">
        <f t="shared" si="2"/>
        <v>5</v>
      </c>
      <c r="K1613" s="15" t="s">
        <v>1445</v>
      </c>
      <c r="L1613" s="15"/>
      <c r="M1613" s="5">
        <v>2.0</v>
      </c>
      <c r="N1613" s="4"/>
    </row>
    <row r="1614" ht="13.5" hidden="1" customHeight="1">
      <c r="A1614" s="4" t="str">
        <f t="shared" si="1"/>
        <v>LFW-SIRION1MU</v>
      </c>
      <c r="B1614" s="29" t="s">
        <v>1379</v>
      </c>
      <c r="C1614" s="30" t="s">
        <v>277</v>
      </c>
      <c r="D1614" s="30" t="s">
        <v>22</v>
      </c>
      <c r="E1614" s="4" t="s">
        <v>1361</v>
      </c>
      <c r="F1614" s="34" t="s">
        <v>125</v>
      </c>
      <c r="G1614" s="4"/>
      <c r="H1614" s="4">
        <f>SUMIFS(X!$F$5:$F$2005,X!$D$5:$D$2005,'CEK CICI'!A1614)</f>
        <v>1</v>
      </c>
      <c r="I1614" s="4">
        <f>SUMIFS(PENJUALAN!$E$4:$E$4288,PENJUALAN!$C$4:$C$4288,'CEK CICI'!A1614)</f>
        <v>1</v>
      </c>
      <c r="J1614" s="16">
        <f t="shared" si="2"/>
        <v>0</v>
      </c>
      <c r="K1614" s="4"/>
      <c r="L1614" s="4"/>
      <c r="M1614" s="4"/>
      <c r="N1614" s="4"/>
    </row>
    <row r="1615" ht="13.5" hidden="1" customHeight="1">
      <c r="A1615" s="4" t="str">
        <f t="shared" si="1"/>
        <v>LFW-SIRION2MU</v>
      </c>
      <c r="B1615" s="29" t="s">
        <v>1594</v>
      </c>
      <c r="C1615" s="30" t="s">
        <v>1444</v>
      </c>
      <c r="D1615" s="30" t="s">
        <v>22</v>
      </c>
      <c r="E1615" s="4" t="s">
        <v>1361</v>
      </c>
      <c r="F1615" s="28" t="s">
        <v>125</v>
      </c>
      <c r="G1615" s="4"/>
      <c r="H1615" s="4">
        <f>SUMIFS(X!$F$5:$F$2005,X!$D$5:$D$2005,'CEK CICI'!A1615)</f>
        <v>7</v>
      </c>
      <c r="I1615" s="4">
        <f>SUMIFS(PENJUALAN!$E$4:$E$4288,PENJUALAN!$C$4:$C$4288,'CEK CICI'!A1615)</f>
        <v>6</v>
      </c>
      <c r="J1615" s="16">
        <f t="shared" si="2"/>
        <v>1</v>
      </c>
      <c r="K1615" s="15" t="s">
        <v>1595</v>
      </c>
      <c r="L1615" s="15"/>
      <c r="M1615" s="5">
        <v>1.0</v>
      </c>
      <c r="N1615" s="4"/>
    </row>
    <row r="1616" ht="13.5" customHeight="1">
      <c r="A1616" s="4" t="str">
        <f t="shared" si="1"/>
        <v>LFW-TARUNAMU</v>
      </c>
      <c r="B1616" s="29" t="s">
        <v>1760</v>
      </c>
      <c r="C1616" s="30" t="s">
        <v>1761</v>
      </c>
      <c r="D1616" s="30" t="s">
        <v>22</v>
      </c>
      <c r="E1616" s="4" t="s">
        <v>1361</v>
      </c>
      <c r="F1616" s="28" t="s">
        <v>97</v>
      </c>
      <c r="G1616" s="15">
        <v>1.0</v>
      </c>
      <c r="H1616" s="4">
        <f>SUMIFS(X!$F$5:$F$2005,X!$D$5:$D$2005,'CEK CICI'!A1616)</f>
        <v>7</v>
      </c>
      <c r="I1616" s="4">
        <f>SUMIFS(PENJUALAN!$E$4:$E$4288,PENJUALAN!$C$4:$C$4288,'CEK CICI'!A1616)</f>
        <v>7</v>
      </c>
      <c r="J1616" s="16">
        <f t="shared" si="2"/>
        <v>0</v>
      </c>
      <c r="K1616" s="15" t="s">
        <v>1716</v>
      </c>
      <c r="L1616" s="15"/>
      <c r="M1616" s="5">
        <v>1.0</v>
      </c>
      <c r="N1616" s="4"/>
    </row>
    <row r="1617" ht="13.5" hidden="1" customHeight="1">
      <c r="A1617" s="4" t="str">
        <f t="shared" si="1"/>
        <v>LFW-RANGER04MU</v>
      </c>
      <c r="B1617" s="29" t="s">
        <v>294</v>
      </c>
      <c r="C1617" s="28" t="s">
        <v>295</v>
      </c>
      <c r="D1617" s="28" t="s">
        <v>22</v>
      </c>
      <c r="E1617" s="4" t="s">
        <v>1361</v>
      </c>
      <c r="F1617" s="28" t="s">
        <v>97</v>
      </c>
      <c r="G1617" s="4"/>
      <c r="H1617" s="4">
        <f>SUMIFS(X!$F$5:$F$2005,X!$D$5:$D$2005,'CEK CICI'!A1617)</f>
        <v>11</v>
      </c>
      <c r="I1617" s="4">
        <f>SUMIFS(PENJUALAN!$E$4:$E$4288,PENJUALAN!$C$4:$C$4288,'CEK CICI'!A1617)</f>
        <v>11</v>
      </c>
      <c r="J1617" s="16">
        <f t="shared" si="2"/>
        <v>0</v>
      </c>
      <c r="K1617" s="15" t="s">
        <v>1027</v>
      </c>
      <c r="L1617" s="15"/>
      <c r="M1617" s="5">
        <v>1.0</v>
      </c>
      <c r="N1617" s="4"/>
    </row>
    <row r="1618" ht="13.5" customHeight="1">
      <c r="A1618" s="4" t="str">
        <f t="shared" si="1"/>
        <v>LFW-FIESTAMU</v>
      </c>
      <c r="B1618" s="29" t="s">
        <v>298</v>
      </c>
      <c r="C1618" s="28" t="s">
        <v>299</v>
      </c>
      <c r="D1618" s="28" t="s">
        <v>22</v>
      </c>
      <c r="E1618" s="4" t="s">
        <v>1361</v>
      </c>
      <c r="F1618" s="28" t="s">
        <v>125</v>
      </c>
      <c r="G1618" s="15">
        <v>1.0</v>
      </c>
      <c r="H1618" s="4">
        <f>SUMIFS(X!$F$5:$F$2005,X!$D$5:$D$2005,'CEK CICI'!A1618)</f>
        <v>12</v>
      </c>
      <c r="I1618" s="4">
        <f>SUMIFS(PENJUALAN!$E$4:$E$4288,PENJUALAN!$C$4:$C$4288,'CEK CICI'!A1618)</f>
        <v>12</v>
      </c>
      <c r="J1618" s="16">
        <f t="shared" si="2"/>
        <v>0</v>
      </c>
      <c r="K1618" s="15" t="s">
        <v>1387</v>
      </c>
      <c r="L1618" s="15"/>
      <c r="M1618" s="5">
        <v>1.0</v>
      </c>
      <c r="N1618" s="4"/>
    </row>
    <row r="1619" ht="13.5" hidden="1" customHeight="1">
      <c r="A1619" s="4" t="str">
        <f t="shared" si="1"/>
        <v>LFW-FOCUS04MU</v>
      </c>
      <c r="B1619" s="29" t="s">
        <v>309</v>
      </c>
      <c r="C1619" s="28" t="s">
        <v>310</v>
      </c>
      <c r="D1619" s="28" t="s">
        <v>22</v>
      </c>
      <c r="E1619" s="4" t="s">
        <v>1361</v>
      </c>
      <c r="F1619" s="28"/>
      <c r="G1619" s="4"/>
      <c r="H1619" s="4">
        <f>SUMIFS(X!$F$5:$F$2005,X!$D$5:$D$2005,'CEK CICI'!A1619)</f>
        <v>0</v>
      </c>
      <c r="I1619" s="4">
        <f>SUMIFS(PENJUALAN!$E$4:$E$4288,PENJUALAN!$C$4:$C$4288,'CEK CICI'!A1619)</f>
        <v>0</v>
      </c>
      <c r="J1619" s="16">
        <f t="shared" si="2"/>
        <v>0</v>
      </c>
      <c r="K1619" s="4"/>
      <c r="L1619" s="4"/>
      <c r="M1619" s="5">
        <v>1.0</v>
      </c>
      <c r="N1619" s="4"/>
    </row>
    <row r="1620" ht="13.5" hidden="1" customHeight="1">
      <c r="A1620" s="4" t="str">
        <f t="shared" si="1"/>
        <v>LFW-RANGER11MU</v>
      </c>
      <c r="B1620" s="29" t="s">
        <v>1392</v>
      </c>
      <c r="C1620" s="28" t="s">
        <v>318</v>
      </c>
      <c r="D1620" s="28" t="s">
        <v>22</v>
      </c>
      <c r="E1620" s="4" t="s">
        <v>1361</v>
      </c>
      <c r="F1620" s="28" t="s">
        <v>125</v>
      </c>
      <c r="G1620" s="4"/>
      <c r="H1620" s="4">
        <f>SUMIFS(X!$F$5:$F$2005,X!$D$5:$D$2005,'CEK CICI'!A1620)</f>
        <v>6</v>
      </c>
      <c r="I1620" s="4">
        <f>SUMIFS(PENJUALAN!$E$4:$E$4288,PENJUALAN!$C$4:$C$4288,'CEK CICI'!A1620)</f>
        <v>5</v>
      </c>
      <c r="J1620" s="16">
        <f t="shared" si="2"/>
        <v>1</v>
      </c>
      <c r="K1620" s="15" t="s">
        <v>1027</v>
      </c>
      <c r="L1620" s="15"/>
      <c r="M1620" s="4"/>
      <c r="N1620" s="4"/>
    </row>
    <row r="1621" ht="13.5" hidden="1" customHeight="1">
      <c r="A1621" s="4" t="str">
        <f t="shared" si="1"/>
        <v>LFW-ACCORD93MU</v>
      </c>
      <c r="B1621" s="29" t="s">
        <v>333</v>
      </c>
      <c r="C1621" s="28" t="s">
        <v>334</v>
      </c>
      <c r="D1621" s="28" t="s">
        <v>22</v>
      </c>
      <c r="E1621" s="4" t="s">
        <v>1361</v>
      </c>
      <c r="F1621" s="28"/>
      <c r="G1621" s="4"/>
      <c r="H1621" s="4">
        <f>SUMIFS(X!$F$5:$F$2005,X!$D$5:$D$2005,'CEK CICI'!A1621)</f>
        <v>0</v>
      </c>
      <c r="I1621" s="4">
        <f>SUMIFS(PENJUALAN!$E$4:$E$4288,PENJUALAN!$C$4:$C$4288,'CEK CICI'!A1621)</f>
        <v>0</v>
      </c>
      <c r="J1621" s="16">
        <f t="shared" si="2"/>
        <v>0</v>
      </c>
      <c r="K1621" s="4"/>
      <c r="L1621" s="4"/>
      <c r="M1621" s="5">
        <v>1.0</v>
      </c>
      <c r="N1621" s="4"/>
    </row>
    <row r="1622" ht="13.5" hidden="1" customHeight="1">
      <c r="A1622" s="4" t="str">
        <f t="shared" si="1"/>
        <v>LFW-BRV16MU</v>
      </c>
      <c r="B1622" s="29" t="s">
        <v>1977</v>
      </c>
      <c r="C1622" s="28" t="s">
        <v>1978</v>
      </c>
      <c r="D1622" s="28" t="s">
        <v>22</v>
      </c>
      <c r="E1622" s="4" t="s">
        <v>1361</v>
      </c>
      <c r="F1622" s="28"/>
      <c r="G1622" s="15" t="s">
        <v>11505</v>
      </c>
      <c r="H1622" s="4">
        <f>SUMIFS(X!$F$5:$F$2005,X!$D$5:$D$2005,'CEK CICI'!A1622)</f>
        <v>15</v>
      </c>
      <c r="I1622" s="4">
        <f>SUMIFS(PENJUALAN!$E$4:$E$4288,PENJUALAN!$C$4:$C$4288,'CEK CICI'!A1622)</f>
        <v>13</v>
      </c>
      <c r="J1622" s="16">
        <f t="shared" si="2"/>
        <v>2</v>
      </c>
      <c r="K1622" s="15" t="s">
        <v>1979</v>
      </c>
      <c r="L1622" s="15"/>
      <c r="M1622" s="5">
        <v>1.0</v>
      </c>
      <c r="N1622" s="15" t="s">
        <v>1980</v>
      </c>
    </row>
    <row r="1623" ht="13.5" hidden="1" customHeight="1">
      <c r="A1623" s="4" t="str">
        <f t="shared" si="1"/>
        <v>LFW-BRIOMU</v>
      </c>
      <c r="B1623" s="29" t="s">
        <v>356</v>
      </c>
      <c r="C1623" s="28" t="s">
        <v>357</v>
      </c>
      <c r="D1623" s="28" t="s">
        <v>22</v>
      </c>
      <c r="E1623" s="4" t="s">
        <v>1361</v>
      </c>
      <c r="F1623" s="28" t="s">
        <v>97</v>
      </c>
      <c r="G1623" s="4"/>
      <c r="H1623" s="4">
        <f>SUMIFS(X!$F$5:$F$2005,X!$D$5:$D$2005,'CEK CICI'!A1623)</f>
        <v>22</v>
      </c>
      <c r="I1623" s="4">
        <f>SUMIFS(PENJUALAN!$E$4:$E$4288,PENJUALAN!$C$4:$C$4288,'CEK CICI'!A1623)</f>
        <v>20</v>
      </c>
      <c r="J1623" s="16">
        <f t="shared" si="2"/>
        <v>2</v>
      </c>
      <c r="K1623" s="15" t="s">
        <v>2027</v>
      </c>
      <c r="L1623" s="15"/>
      <c r="M1623" s="5">
        <v>2.0</v>
      </c>
      <c r="N1623" s="15"/>
    </row>
    <row r="1624" ht="13.5" hidden="1" customHeight="1">
      <c r="A1624" s="4" t="str">
        <f t="shared" si="1"/>
        <v>LFW-CITY96MU</v>
      </c>
      <c r="B1624" s="29" t="s">
        <v>358</v>
      </c>
      <c r="C1624" s="28" t="s">
        <v>359</v>
      </c>
      <c r="D1624" s="28" t="s">
        <v>22</v>
      </c>
      <c r="E1624" s="4" t="s">
        <v>1361</v>
      </c>
      <c r="F1624" s="28" t="s">
        <v>2010</v>
      </c>
      <c r="G1624" s="4"/>
      <c r="H1624" s="4">
        <f>SUMIFS(X!$F$5:$F$2005,X!$D$5:$D$2005,'CEK CICI'!A1624)</f>
        <v>1</v>
      </c>
      <c r="I1624" s="4">
        <f>SUMIFS(PENJUALAN!$E$4:$E$4288,PENJUALAN!$C$4:$C$4288,'CEK CICI'!A1624)</f>
        <v>0</v>
      </c>
      <c r="J1624" s="16">
        <f t="shared" si="2"/>
        <v>1</v>
      </c>
      <c r="K1624" s="15" t="s">
        <v>2084</v>
      </c>
      <c r="L1624" s="15"/>
      <c r="M1624" s="5">
        <v>1.0</v>
      </c>
      <c r="N1624" s="4"/>
    </row>
    <row r="1625" ht="13.5" hidden="1" customHeight="1">
      <c r="A1625" s="4" t="str">
        <f t="shared" si="1"/>
        <v>LFW-CITY02MU</v>
      </c>
      <c r="B1625" s="29" t="s">
        <v>361</v>
      </c>
      <c r="C1625" s="28" t="s">
        <v>362</v>
      </c>
      <c r="D1625" s="28" t="s">
        <v>22</v>
      </c>
      <c r="E1625" s="4" t="s">
        <v>1361</v>
      </c>
      <c r="F1625" s="28" t="s">
        <v>97</v>
      </c>
      <c r="G1625" s="4"/>
      <c r="H1625" s="4">
        <f>SUMIFS(X!$F$5:$F$2005,X!$D$5:$D$2005,'CEK CICI'!A1625)</f>
        <v>10</v>
      </c>
      <c r="I1625" s="4">
        <f>SUMIFS(PENJUALAN!$E$4:$E$4288,PENJUALAN!$C$4:$C$4288,'CEK CICI'!A1625)</f>
        <v>10</v>
      </c>
      <c r="J1625" s="16">
        <f t="shared" si="2"/>
        <v>0</v>
      </c>
      <c r="K1625" s="15" t="s">
        <v>2084</v>
      </c>
      <c r="L1625" s="15"/>
      <c r="M1625" s="5">
        <v>1.0</v>
      </c>
      <c r="N1625" s="15" t="s">
        <v>11506</v>
      </c>
    </row>
    <row r="1626" ht="13.5" hidden="1" customHeight="1">
      <c r="A1626" s="4" t="str">
        <f t="shared" si="1"/>
        <v>LFW-CIVIC88MU</v>
      </c>
      <c r="B1626" s="29" t="s">
        <v>2028</v>
      </c>
      <c r="C1626" s="30" t="s">
        <v>2029</v>
      </c>
      <c r="D1626" s="30" t="s">
        <v>22</v>
      </c>
      <c r="E1626" s="4" t="s">
        <v>1361</v>
      </c>
      <c r="F1626" s="28" t="s">
        <v>1961</v>
      </c>
      <c r="G1626" s="4"/>
      <c r="H1626" s="4">
        <f>SUMIFS(X!$F$5:$F$2005,X!$D$5:$D$2005,'CEK CICI'!A1626)</f>
        <v>0</v>
      </c>
      <c r="I1626" s="4">
        <f>SUMIFS(PENJUALAN!$E$4:$E$4288,PENJUALAN!$C$4:$C$4288,'CEK CICI'!A1626)</f>
        <v>0</v>
      </c>
      <c r="J1626" s="16">
        <f t="shared" si="2"/>
        <v>0</v>
      </c>
      <c r="K1626" s="4"/>
      <c r="L1626" s="4"/>
      <c r="M1626" s="5">
        <v>1.0</v>
      </c>
      <c r="N1626" s="4"/>
    </row>
    <row r="1627" ht="13.5" hidden="1" customHeight="1">
      <c r="A1627" s="4" t="str">
        <f t="shared" si="1"/>
        <v>LFW-CIVIC882DMU</v>
      </c>
      <c r="B1627" s="29" t="s">
        <v>2030</v>
      </c>
      <c r="C1627" s="30" t="s">
        <v>2031</v>
      </c>
      <c r="D1627" s="30" t="s">
        <v>22</v>
      </c>
      <c r="E1627" s="4" t="s">
        <v>1361</v>
      </c>
      <c r="F1627" s="28" t="s">
        <v>1961</v>
      </c>
      <c r="G1627" s="4"/>
      <c r="H1627" s="4">
        <f>SUMIFS(X!$F$5:$F$2005,X!$D$5:$D$2005,'CEK CICI'!A1627)</f>
        <v>0</v>
      </c>
      <c r="I1627" s="4">
        <f>SUMIFS(PENJUALAN!$E$4:$E$4288,PENJUALAN!$C$4:$C$4288,'CEK CICI'!A1627)</f>
        <v>0</v>
      </c>
      <c r="J1627" s="16">
        <f t="shared" si="2"/>
        <v>0</v>
      </c>
      <c r="K1627" s="4"/>
      <c r="L1627" s="4"/>
      <c r="M1627" s="5">
        <v>1.0</v>
      </c>
      <c r="N1627" s="4"/>
    </row>
    <row r="1628" ht="13.5" customHeight="1">
      <c r="A1628" s="4" t="str">
        <f t="shared" si="1"/>
        <v>LFW-CIVIC96MU</v>
      </c>
      <c r="B1628" s="29" t="s">
        <v>382</v>
      </c>
      <c r="C1628" s="65" t="s">
        <v>11507</v>
      </c>
      <c r="D1628" s="30" t="s">
        <v>22</v>
      </c>
      <c r="E1628" s="4" t="s">
        <v>1361</v>
      </c>
      <c r="F1628" s="28" t="s">
        <v>2010</v>
      </c>
      <c r="G1628" s="15">
        <v>1.0</v>
      </c>
      <c r="H1628" s="4">
        <f>SUMIFS(X!$F$5:$F$2005,X!$D$5:$D$2005,'CEK CICI'!A1628)</f>
        <v>5</v>
      </c>
      <c r="I1628" s="4">
        <f>SUMIFS(PENJUALAN!$E$4:$E$4288,PENJUALAN!$C$4:$C$4288,'CEK CICI'!A1628)</f>
        <v>5</v>
      </c>
      <c r="J1628" s="16">
        <f t="shared" si="2"/>
        <v>0</v>
      </c>
      <c r="K1628" s="15" t="s">
        <v>1333</v>
      </c>
      <c r="L1628" s="15"/>
      <c r="M1628" s="5">
        <v>1.0</v>
      </c>
      <c r="N1628" s="4"/>
    </row>
    <row r="1629" ht="13.5" hidden="1" customHeight="1">
      <c r="A1629" s="4" t="str">
        <f t="shared" si="1"/>
        <v>LFW-CIVIC05MU</v>
      </c>
      <c r="B1629" s="29" t="s">
        <v>393</v>
      </c>
      <c r="C1629" s="65" t="s">
        <v>394</v>
      </c>
      <c r="D1629" s="30" t="s">
        <v>22</v>
      </c>
      <c r="E1629" s="4" t="s">
        <v>1361</v>
      </c>
      <c r="F1629" s="28" t="s">
        <v>2032</v>
      </c>
      <c r="G1629" s="4"/>
      <c r="H1629" s="4">
        <f>SUMIFS(X!$F$5:$F$2005,X!$D$5:$D$2005,'CEK CICI'!A1629)</f>
        <v>0</v>
      </c>
      <c r="I1629" s="4">
        <f>SUMIFS(PENJUALAN!$E$4:$E$4288,PENJUALAN!$C$4:$C$4288,'CEK CICI'!A1629)</f>
        <v>0</v>
      </c>
      <c r="J1629" s="16">
        <f t="shared" si="2"/>
        <v>0</v>
      </c>
      <c r="K1629" s="4"/>
      <c r="L1629" s="4"/>
      <c r="M1629" s="4"/>
      <c r="N1629" s="4"/>
    </row>
    <row r="1630" ht="13.5" hidden="1" customHeight="1">
      <c r="A1630" s="4" t="str">
        <f t="shared" si="1"/>
        <v>LFW-CRV07MU</v>
      </c>
      <c r="B1630" s="29" t="s">
        <v>428</v>
      </c>
      <c r="C1630" s="28" t="s">
        <v>429</v>
      </c>
      <c r="D1630" s="28" t="s">
        <v>22</v>
      </c>
      <c r="E1630" s="4" t="s">
        <v>1361</v>
      </c>
      <c r="F1630" s="28" t="s">
        <v>1721</v>
      </c>
      <c r="G1630" s="4"/>
      <c r="H1630" s="4">
        <f>SUMIFS(X!$F$5:$F$2005,X!$D$5:$D$2005,'CEK CICI'!A1630)</f>
        <v>3</v>
      </c>
      <c r="I1630" s="4">
        <f>SUMIFS(PENJUALAN!$E$4:$E$4288,PENJUALAN!$C$4:$C$4288,'CEK CICI'!A1630)</f>
        <v>3</v>
      </c>
      <c r="J1630" s="16">
        <f t="shared" si="2"/>
        <v>0</v>
      </c>
      <c r="K1630" s="15" t="s">
        <v>1333</v>
      </c>
      <c r="L1630" s="15"/>
      <c r="M1630" s="5">
        <v>1.0</v>
      </c>
      <c r="N1630" s="4"/>
    </row>
    <row r="1631" ht="13.5" hidden="1" customHeight="1">
      <c r="A1631" s="4" t="str">
        <f t="shared" si="1"/>
        <v>LFW-CRV12MU</v>
      </c>
      <c r="B1631" s="29" t="s">
        <v>434</v>
      </c>
      <c r="C1631" s="28" t="s">
        <v>69</v>
      </c>
      <c r="D1631" s="28" t="s">
        <v>22</v>
      </c>
      <c r="E1631" s="4" t="s">
        <v>1361</v>
      </c>
      <c r="F1631" s="28" t="s">
        <v>1721</v>
      </c>
      <c r="G1631" s="4"/>
      <c r="H1631" s="4">
        <f>SUMIFS(X!$F$5:$F$2005,X!$D$5:$D$2005,'CEK CICI'!A1631)</f>
        <v>0</v>
      </c>
      <c r="I1631" s="4">
        <f>SUMIFS(PENJUALAN!$E$4:$E$4288,PENJUALAN!$C$4:$C$4288,'CEK CICI'!A1631)</f>
        <v>0</v>
      </c>
      <c r="J1631" s="16">
        <f t="shared" si="2"/>
        <v>0</v>
      </c>
      <c r="K1631" s="4"/>
      <c r="L1631" s="4"/>
      <c r="M1631" s="5">
        <v>1.0</v>
      </c>
      <c r="N1631" s="4"/>
    </row>
    <row r="1632" ht="13.5" hidden="1" customHeight="1">
      <c r="A1632" s="4" t="str">
        <f t="shared" si="1"/>
        <v>LFW-FREEDMU</v>
      </c>
      <c r="B1632" s="29" t="s">
        <v>454</v>
      </c>
      <c r="C1632" s="28" t="s">
        <v>455</v>
      </c>
      <c r="D1632" s="28" t="s">
        <v>22</v>
      </c>
      <c r="E1632" s="4" t="s">
        <v>1361</v>
      </c>
      <c r="F1632" s="28" t="s">
        <v>125</v>
      </c>
      <c r="G1632" s="4"/>
      <c r="H1632" s="4">
        <f>SUMIFS(X!$F$5:$F$2005,X!$D$5:$D$2005,'CEK CICI'!A1632)</f>
        <v>0</v>
      </c>
      <c r="I1632" s="4">
        <f>SUMIFS(PENJUALAN!$E$4:$E$4288,PENJUALAN!$C$4:$C$4288,'CEK CICI'!A1632)</f>
        <v>0</v>
      </c>
      <c r="J1632" s="16">
        <f t="shared" si="2"/>
        <v>0</v>
      </c>
      <c r="K1632" s="4"/>
      <c r="L1632" s="72"/>
      <c r="M1632" s="5">
        <v>1.0</v>
      </c>
      <c r="N1632" s="4"/>
    </row>
    <row r="1633" ht="13.5" hidden="1" customHeight="1">
      <c r="A1633" s="4" t="str">
        <f t="shared" si="1"/>
        <v>LFW-HRV14MU</v>
      </c>
      <c r="B1633" s="29" t="s">
        <v>459</v>
      </c>
      <c r="C1633" s="28" t="s">
        <v>460</v>
      </c>
      <c r="D1633" s="28" t="s">
        <v>22</v>
      </c>
      <c r="E1633" s="4" t="s">
        <v>1361</v>
      </c>
      <c r="F1633" s="28" t="s">
        <v>1721</v>
      </c>
      <c r="G1633" s="4"/>
      <c r="H1633" s="4">
        <f>SUMIFS(X!$F$5:$F$2005,X!$D$5:$D$2005,'CEK CICI'!A1633)</f>
        <v>10</v>
      </c>
      <c r="I1633" s="4">
        <f>SUMIFS(PENJUALAN!$E$4:$E$4288,PENJUALAN!$C$4:$C$4288,'CEK CICI'!A1633)</f>
        <v>10</v>
      </c>
      <c r="J1633" s="16">
        <f t="shared" si="2"/>
        <v>0</v>
      </c>
      <c r="K1633" s="15" t="s">
        <v>2085</v>
      </c>
      <c r="L1633" s="74"/>
      <c r="M1633" s="5">
        <v>2.0</v>
      </c>
      <c r="N1633" s="15" t="s">
        <v>11508</v>
      </c>
    </row>
    <row r="1634" ht="13.5" hidden="1" customHeight="1">
      <c r="A1634" s="4" t="str">
        <f t="shared" si="1"/>
        <v>LFW-JAZZ01MU</v>
      </c>
      <c r="B1634" s="29" t="s">
        <v>462</v>
      </c>
      <c r="C1634" s="28" t="s">
        <v>463</v>
      </c>
      <c r="D1634" s="28" t="s">
        <v>22</v>
      </c>
      <c r="E1634" s="4" t="s">
        <v>1361</v>
      </c>
      <c r="F1634" s="28" t="s">
        <v>97</v>
      </c>
      <c r="G1634" s="4"/>
      <c r="H1634" s="4">
        <f>SUMIFS(X!$F$5:$F$2005,X!$D$5:$D$2005,'CEK CICI'!A1634)</f>
        <v>18</v>
      </c>
      <c r="I1634" s="4">
        <f>SUMIFS(PENJUALAN!$E$4:$E$4288,PENJUALAN!$C$4:$C$4288,'CEK CICI'!A1634)</f>
        <v>16</v>
      </c>
      <c r="J1634" s="16">
        <f t="shared" si="2"/>
        <v>2</v>
      </c>
      <c r="K1634" s="15" t="s">
        <v>1475</v>
      </c>
      <c r="L1634" s="15"/>
      <c r="M1634" s="5">
        <v>1.0</v>
      </c>
      <c r="N1634" s="15" t="s">
        <v>11509</v>
      </c>
    </row>
    <row r="1635" ht="13.5" hidden="1" customHeight="1">
      <c r="A1635" s="4" t="str">
        <f t="shared" si="1"/>
        <v>LFW-JAZZ07MU</v>
      </c>
      <c r="B1635" s="29" t="s">
        <v>76</v>
      </c>
      <c r="C1635" s="28" t="s">
        <v>470</v>
      </c>
      <c r="D1635" s="28" t="s">
        <v>22</v>
      </c>
      <c r="E1635" s="4" t="s">
        <v>1361</v>
      </c>
      <c r="F1635" s="28" t="s">
        <v>125</v>
      </c>
      <c r="G1635" s="4"/>
      <c r="H1635" s="4">
        <f>SUMIFS(X!$F$5:$F$2005,X!$D$5:$D$2005,'CEK CICI'!A1635)</f>
        <v>17</v>
      </c>
      <c r="I1635" s="4">
        <f>SUMIFS(PENJUALAN!$E$4:$E$4288,PENJUALAN!$C$4:$C$4288,'CEK CICI'!A1635)</f>
        <v>17</v>
      </c>
      <c r="J1635" s="16">
        <f t="shared" si="2"/>
        <v>0</v>
      </c>
      <c r="K1635" s="15" t="s">
        <v>1964</v>
      </c>
      <c r="L1635" s="15"/>
      <c r="M1635" s="5">
        <v>1.0</v>
      </c>
      <c r="N1635" s="4"/>
    </row>
    <row r="1636" ht="13.5" hidden="1" customHeight="1">
      <c r="A1636" s="4" t="str">
        <f t="shared" si="1"/>
        <v>LFW-JAZZ13MU</v>
      </c>
      <c r="B1636" s="29" t="s">
        <v>475</v>
      </c>
      <c r="C1636" s="28" t="s">
        <v>476</v>
      </c>
      <c r="D1636" s="28" t="s">
        <v>22</v>
      </c>
      <c r="E1636" s="4" t="s">
        <v>1361</v>
      </c>
      <c r="F1636" s="28" t="s">
        <v>125</v>
      </c>
      <c r="G1636" s="4"/>
      <c r="H1636" s="4">
        <f>SUMIFS(X!$F$5:$F$2005,X!$D$5:$D$2005,'CEK CICI'!A1636)</f>
        <v>10</v>
      </c>
      <c r="I1636" s="4">
        <f>SUMIFS(PENJUALAN!$E$4:$E$4288,PENJUALAN!$C$4:$C$4288,'CEK CICI'!A1636)</f>
        <v>10</v>
      </c>
      <c r="J1636" s="16">
        <f t="shared" si="2"/>
        <v>0</v>
      </c>
      <c r="K1636" s="15" t="s">
        <v>1964</v>
      </c>
      <c r="L1636" s="15"/>
      <c r="M1636" s="5">
        <v>1.0</v>
      </c>
      <c r="N1636" s="4"/>
    </row>
    <row r="1637" ht="13.5" hidden="1" customHeight="1">
      <c r="A1637" s="4" t="str">
        <f t="shared" si="1"/>
        <v>LFW-EXCEL94MU</v>
      </c>
      <c r="B1637" s="29" t="s">
        <v>2410</v>
      </c>
      <c r="C1637" s="30" t="s">
        <v>1505</v>
      </c>
      <c r="D1637" s="30" t="s">
        <v>22</v>
      </c>
      <c r="E1637" s="4" t="s">
        <v>1361</v>
      </c>
      <c r="F1637" s="28" t="s">
        <v>97</v>
      </c>
      <c r="G1637" s="4"/>
      <c r="H1637" s="4">
        <f>SUMIFS(X!$F$5:$F$2005,X!$D$5:$D$2005,'CEK CICI'!A1637)</f>
        <v>1</v>
      </c>
      <c r="I1637" s="4">
        <f>SUMIFS(PENJUALAN!$E$4:$E$4288,PENJUALAN!$C$4:$C$4288,'CEK CICI'!A1637)</f>
        <v>1</v>
      </c>
      <c r="J1637" s="16">
        <f t="shared" si="2"/>
        <v>0</v>
      </c>
      <c r="K1637" s="15" t="s">
        <v>1365</v>
      </c>
      <c r="L1637" s="15"/>
      <c r="M1637" s="5">
        <v>1.0</v>
      </c>
      <c r="N1637" s="4"/>
    </row>
    <row r="1638" ht="13.5" hidden="1" customHeight="1">
      <c r="A1638" s="4" t="str">
        <f t="shared" si="1"/>
        <v>LFW-AVEGA01MU</v>
      </c>
      <c r="B1638" s="29" t="s">
        <v>1506</v>
      </c>
      <c r="C1638" s="30" t="s">
        <v>1507</v>
      </c>
      <c r="D1638" s="30" t="s">
        <v>22</v>
      </c>
      <c r="E1638" s="4" t="s">
        <v>1361</v>
      </c>
      <c r="F1638" s="28"/>
      <c r="G1638" s="4"/>
      <c r="H1638" s="4">
        <f>SUMIFS(X!$F$5:$F$2005,X!$D$5:$D$2005,'CEK CICI'!A1638)</f>
        <v>0</v>
      </c>
      <c r="I1638" s="4">
        <f>SUMIFS(PENJUALAN!$E$4:$E$4288,PENJUALAN!$C$4:$C$4288,'CEK CICI'!A1638)</f>
        <v>0</v>
      </c>
      <c r="J1638" s="16">
        <f t="shared" si="2"/>
        <v>0</v>
      </c>
      <c r="K1638" s="4"/>
      <c r="L1638" s="4"/>
      <c r="M1638" s="5">
        <v>1.0</v>
      </c>
      <c r="N1638" s="4"/>
    </row>
    <row r="1639" ht="13.5" customHeight="1">
      <c r="A1639" s="4" t="str">
        <f t="shared" si="1"/>
        <v>LFW-ATOZMU</v>
      </c>
      <c r="B1639" s="29" t="s">
        <v>2407</v>
      </c>
      <c r="C1639" s="30" t="s">
        <v>2408</v>
      </c>
      <c r="D1639" s="30" t="s">
        <v>22</v>
      </c>
      <c r="E1639" s="4" t="s">
        <v>1361</v>
      </c>
      <c r="F1639" s="28" t="s">
        <v>97</v>
      </c>
      <c r="G1639" s="15">
        <v>1.0</v>
      </c>
      <c r="H1639" s="4">
        <f>SUMIFS(X!$F$5:$F$2005,X!$D$5:$D$2005,'CEK CICI'!A1639)</f>
        <v>1</v>
      </c>
      <c r="I1639" s="4">
        <f>SUMIFS(PENJUALAN!$E$4:$E$4288,PENJUALAN!$C$4:$C$4288,'CEK CICI'!A1639)</f>
        <v>1</v>
      </c>
      <c r="J1639" s="16">
        <f t="shared" si="2"/>
        <v>0</v>
      </c>
      <c r="K1639" s="4"/>
      <c r="L1639" s="4"/>
      <c r="M1639" s="5">
        <v>1.0</v>
      </c>
      <c r="N1639" s="4"/>
    </row>
    <row r="1640" ht="13.5" hidden="1" customHeight="1">
      <c r="A1640" s="4" t="str">
        <f t="shared" si="1"/>
        <v>LFW-GETZMU</v>
      </c>
      <c r="B1640" s="29" t="s">
        <v>515</v>
      </c>
      <c r="C1640" s="28" t="s">
        <v>516</v>
      </c>
      <c r="D1640" s="28" t="s">
        <v>22</v>
      </c>
      <c r="E1640" s="4" t="s">
        <v>1361</v>
      </c>
      <c r="F1640" s="28" t="s">
        <v>125</v>
      </c>
      <c r="G1640" s="4"/>
      <c r="H1640" s="4">
        <f>SUMIFS(X!$F$5:$F$2005,X!$D$5:$D$2005,'CEK CICI'!A1640)</f>
        <v>0</v>
      </c>
      <c r="I1640" s="4">
        <f>SUMIFS(PENJUALAN!$E$4:$E$4288,PENJUALAN!$C$4:$C$4288,'CEK CICI'!A1640)</f>
        <v>0</v>
      </c>
      <c r="J1640" s="16">
        <f t="shared" si="2"/>
        <v>0</v>
      </c>
      <c r="K1640" s="4"/>
      <c r="L1640" s="4"/>
      <c r="M1640" s="5">
        <v>1.0</v>
      </c>
      <c r="N1640" s="4"/>
    </row>
    <row r="1641" ht="13.5" hidden="1" customHeight="1">
      <c r="A1641" s="4" t="str">
        <f t="shared" si="1"/>
        <v>LFW-DMAX1MU</v>
      </c>
      <c r="B1641" s="29" t="s">
        <v>2405</v>
      </c>
      <c r="C1641" s="30" t="s">
        <v>40</v>
      </c>
      <c r="D1641" s="30" t="s">
        <v>22</v>
      </c>
      <c r="E1641" s="4" t="s">
        <v>1361</v>
      </c>
      <c r="F1641" s="28" t="s">
        <v>97</v>
      </c>
      <c r="G1641" s="4"/>
      <c r="H1641" s="4">
        <f>SUMIFS(X!$F$5:$F$2005,X!$D$5:$D$2005,'CEK CICI'!A1641)</f>
        <v>4</v>
      </c>
      <c r="I1641" s="4">
        <f>SUMIFS(PENJUALAN!$E$4:$E$4288,PENJUALAN!$C$4:$C$4288,'CEK CICI'!A1641)</f>
        <v>3</v>
      </c>
      <c r="J1641" s="16">
        <f t="shared" si="2"/>
        <v>1</v>
      </c>
      <c r="K1641" s="15" t="s">
        <v>1419</v>
      </c>
      <c r="L1641" s="15"/>
      <c r="M1641" s="5">
        <v>1.0</v>
      </c>
      <c r="N1641" s="4"/>
    </row>
    <row r="1642" ht="13.5" hidden="1" customHeight="1">
      <c r="A1642" s="4" t="str">
        <f t="shared" si="1"/>
        <v>LFW-PANTHER00MU</v>
      </c>
      <c r="B1642" s="29" t="s">
        <v>1780</v>
      </c>
      <c r="C1642" s="28" t="s">
        <v>1781</v>
      </c>
      <c r="D1642" s="30" t="s">
        <v>22</v>
      </c>
      <c r="E1642" s="4" t="s">
        <v>1361</v>
      </c>
      <c r="F1642" s="28"/>
      <c r="G1642" s="4"/>
      <c r="H1642" s="4">
        <f>SUMIFS(X!$F$5:$F$2005,X!$D$5:$D$2005,'CEK CICI'!A1642)</f>
        <v>0</v>
      </c>
      <c r="I1642" s="4">
        <f>SUMIFS(PENJUALAN!$E$4:$E$4288,PENJUALAN!$C$4:$C$4288,'CEK CICI'!A1642)</f>
        <v>0</v>
      </c>
      <c r="J1642" s="16">
        <f t="shared" si="2"/>
        <v>0</v>
      </c>
      <c r="K1642" s="4"/>
      <c r="L1642" s="4"/>
      <c r="M1642" s="5"/>
      <c r="N1642" s="4"/>
    </row>
    <row r="1643" ht="13.5" hidden="1" customHeight="1">
      <c r="A1643" s="4" t="str">
        <f t="shared" si="1"/>
        <v>LFW-PANTHER91MU</v>
      </c>
      <c r="B1643" s="29" t="s">
        <v>1423</v>
      </c>
      <c r="C1643" s="30" t="s">
        <v>1424</v>
      </c>
      <c r="D1643" s="30" t="s">
        <v>22</v>
      </c>
      <c r="E1643" s="4" t="s">
        <v>1361</v>
      </c>
      <c r="F1643" s="28"/>
      <c r="G1643" s="4"/>
      <c r="H1643" s="4">
        <f>SUMIFS(X!$F$5:$F$2005,X!$D$5:$D$2005,'CEK CICI'!A1643)</f>
        <v>6</v>
      </c>
      <c r="I1643" s="4">
        <f>SUMIFS(PENJUALAN!$E$4:$E$4288,PENJUALAN!$C$4:$C$4288,'CEK CICI'!A1643)</f>
        <v>4</v>
      </c>
      <c r="J1643" s="16">
        <f t="shared" si="2"/>
        <v>2</v>
      </c>
      <c r="K1643" s="15" t="s">
        <v>1419</v>
      </c>
      <c r="L1643" s="15"/>
      <c r="M1643" s="5">
        <v>1.0</v>
      </c>
      <c r="N1643" s="4"/>
    </row>
    <row r="1644" ht="13.5" hidden="1" customHeight="1">
      <c r="A1644" s="4" t="str">
        <f t="shared" si="1"/>
        <v>LFW-TRAGAMU</v>
      </c>
      <c r="B1644" s="29" t="s">
        <v>1417</v>
      </c>
      <c r="C1644" s="30" t="s">
        <v>1418</v>
      </c>
      <c r="D1644" s="30" t="s">
        <v>22</v>
      </c>
      <c r="E1644" s="4" t="s">
        <v>1361</v>
      </c>
      <c r="F1644" s="28"/>
      <c r="G1644" s="4"/>
      <c r="H1644" s="4">
        <f>SUMIFS(X!$F$5:$F$2005,X!$D$5:$D$2005,'CEK CICI'!A1644)</f>
        <v>14</v>
      </c>
      <c r="I1644" s="4">
        <f>SUMIFS(PENJUALAN!$E$4:$E$4288,PENJUALAN!$C$4:$C$4288,'CEK CICI'!A1644)</f>
        <v>14</v>
      </c>
      <c r="J1644" s="16">
        <f t="shared" si="2"/>
        <v>0</v>
      </c>
      <c r="K1644" s="15" t="s">
        <v>1419</v>
      </c>
      <c r="L1644" s="15"/>
      <c r="M1644" s="5">
        <v>1.0</v>
      </c>
      <c r="N1644" s="4"/>
    </row>
    <row r="1645" ht="13.5" hidden="1" customHeight="1">
      <c r="A1645" s="4" t="str">
        <f t="shared" si="1"/>
        <v>LFW-CHEROKEEMU</v>
      </c>
      <c r="B1645" s="29" t="s">
        <v>1959</v>
      </c>
      <c r="C1645" s="30" t="s">
        <v>1960</v>
      </c>
      <c r="D1645" s="30" t="s">
        <v>22</v>
      </c>
      <c r="E1645" s="4" t="s">
        <v>1361</v>
      </c>
      <c r="F1645" s="28" t="s">
        <v>1961</v>
      </c>
      <c r="G1645" s="4"/>
      <c r="H1645" s="4">
        <f>SUMIFS(X!$F$5:$F$2005,X!$D$5:$D$2005,'CEK CICI'!A1645)</f>
        <v>5</v>
      </c>
      <c r="I1645" s="4">
        <f>SUMIFS(PENJUALAN!$E$4:$E$4288,PENJUALAN!$C$4:$C$4288,'CEK CICI'!A1645)</f>
        <v>5</v>
      </c>
      <c r="J1645" s="16">
        <f t="shared" si="2"/>
        <v>0</v>
      </c>
      <c r="K1645" s="15" t="s">
        <v>1728</v>
      </c>
      <c r="L1645" s="15"/>
      <c r="M1645" s="5">
        <v>1.0</v>
      </c>
      <c r="N1645" s="4"/>
    </row>
    <row r="1646" ht="13.5" hidden="1" customHeight="1">
      <c r="A1646" s="4" t="str">
        <f t="shared" si="1"/>
        <v>LFW-GCHEROKEEMU</v>
      </c>
      <c r="B1646" s="29" t="s">
        <v>1726</v>
      </c>
      <c r="C1646" s="30" t="s">
        <v>1727</v>
      </c>
      <c r="D1646" s="30" t="s">
        <v>22</v>
      </c>
      <c r="E1646" s="4" t="s">
        <v>1361</v>
      </c>
      <c r="F1646" s="28"/>
      <c r="G1646" s="4"/>
      <c r="H1646" s="4">
        <f>SUMIFS(X!$F$5:$F$2005,X!$D$5:$D$2005,'CEK CICI'!A1646)</f>
        <v>5</v>
      </c>
      <c r="I1646" s="4">
        <f>SUMIFS(PENJUALAN!$E$4:$E$4288,PENJUALAN!$C$4:$C$4288,'CEK CICI'!A1646)</f>
        <v>5</v>
      </c>
      <c r="J1646" s="16">
        <f t="shared" si="2"/>
        <v>0</v>
      </c>
      <c r="K1646" s="15" t="s">
        <v>1728</v>
      </c>
      <c r="L1646" s="15"/>
      <c r="M1646" s="5">
        <v>1.0</v>
      </c>
      <c r="N1646" s="15" t="s">
        <v>11510</v>
      </c>
    </row>
    <row r="1647" ht="13.5" hidden="1" customHeight="1">
      <c r="A1647" s="4" t="str">
        <f t="shared" si="1"/>
        <v>LFW-RUBICON07MU</v>
      </c>
      <c r="B1647" s="29" t="s">
        <v>575</v>
      </c>
      <c r="C1647" s="30" t="s">
        <v>576</v>
      </c>
      <c r="D1647" s="30" t="s">
        <v>22</v>
      </c>
      <c r="E1647" s="4" t="s">
        <v>1361</v>
      </c>
      <c r="F1647" s="28"/>
      <c r="G1647" s="4"/>
      <c r="H1647" s="4">
        <f>SUMIFS(X!$F$5:$F$2005,X!$D$5:$D$2005,'CEK CICI'!A1647)</f>
        <v>0</v>
      </c>
      <c r="I1647" s="4">
        <f>SUMIFS(PENJUALAN!$E$4:$E$4288,PENJUALAN!$C$4:$C$4288,'CEK CICI'!A1647)</f>
        <v>0</v>
      </c>
      <c r="J1647" s="16">
        <f t="shared" si="2"/>
        <v>0</v>
      </c>
      <c r="K1647" s="4"/>
      <c r="L1647" s="4"/>
      <c r="M1647" s="4"/>
      <c r="N1647" s="4"/>
    </row>
    <row r="1648" ht="13.5" hidden="1" customHeight="1">
      <c r="A1648" s="4" t="str">
        <f t="shared" si="1"/>
        <v>LFW-CAREN99MU</v>
      </c>
      <c r="B1648" s="29" t="s">
        <v>579</v>
      </c>
      <c r="C1648" s="30" t="s">
        <v>580</v>
      </c>
      <c r="D1648" s="30" t="s">
        <v>22</v>
      </c>
      <c r="E1648" s="4" t="s">
        <v>1361</v>
      </c>
      <c r="F1648" s="28" t="s">
        <v>1721</v>
      </c>
      <c r="G1648" s="4"/>
      <c r="H1648" s="4">
        <f>SUMIFS(X!$F$5:$F$2005,X!$D$5:$D$2005,'CEK CICI'!A1648)</f>
        <v>5</v>
      </c>
      <c r="I1648" s="4">
        <f>SUMIFS(PENJUALAN!$E$4:$E$4288,PENJUALAN!$C$4:$C$4288,'CEK CICI'!A1648)</f>
        <v>5</v>
      </c>
      <c r="J1648" s="16">
        <f t="shared" si="2"/>
        <v>0</v>
      </c>
      <c r="K1648" s="15" t="s">
        <v>1722</v>
      </c>
      <c r="L1648" s="15"/>
      <c r="M1648" s="5">
        <v>1.0</v>
      </c>
      <c r="N1648" s="4"/>
    </row>
    <row r="1649" ht="13.5" hidden="1" customHeight="1">
      <c r="A1649" s="4" t="str">
        <f t="shared" si="1"/>
        <v>LFW-CERATO09MU</v>
      </c>
      <c r="B1649" s="29" t="s">
        <v>1563</v>
      </c>
      <c r="C1649" s="28" t="s">
        <v>1564</v>
      </c>
      <c r="D1649" s="28" t="s">
        <v>22</v>
      </c>
      <c r="E1649" s="4" t="s">
        <v>1361</v>
      </c>
      <c r="F1649" s="28" t="s">
        <v>125</v>
      </c>
      <c r="G1649" s="4"/>
      <c r="H1649" s="4">
        <f>SUMIFS(X!$F$5:$F$2005,X!$D$5:$D$2005,'CEK CICI'!A1649)</f>
        <v>0</v>
      </c>
      <c r="I1649" s="4">
        <f>SUMIFS(PENJUALAN!$E$4:$E$4288,PENJUALAN!$C$4:$C$4288,'CEK CICI'!A1649)</f>
        <v>0</v>
      </c>
      <c r="J1649" s="16">
        <f t="shared" si="2"/>
        <v>0</v>
      </c>
      <c r="K1649" s="4"/>
      <c r="L1649" s="4"/>
      <c r="M1649" s="5">
        <v>1.0</v>
      </c>
      <c r="N1649" s="4"/>
    </row>
    <row r="1650" ht="13.5" hidden="1" customHeight="1">
      <c r="A1650" s="4" t="str">
        <f t="shared" si="1"/>
        <v>LFW-PREGIOMU</v>
      </c>
      <c r="B1650" s="29" t="s">
        <v>1723</v>
      </c>
      <c r="C1650" s="30" t="s">
        <v>605</v>
      </c>
      <c r="D1650" s="30" t="s">
        <v>22</v>
      </c>
      <c r="E1650" s="4" t="s">
        <v>1361</v>
      </c>
      <c r="F1650" s="28" t="s">
        <v>79</v>
      </c>
      <c r="G1650" s="4"/>
      <c r="H1650" s="4">
        <f>SUMIFS(X!$F$5:$F$2005,X!$D$5:$D$2005,'CEK CICI'!A1650)</f>
        <v>7</v>
      </c>
      <c r="I1650" s="4">
        <f>SUMIFS(PENJUALAN!$E$4:$E$4288,PENJUALAN!$C$4:$C$4288,'CEK CICI'!A1650)</f>
        <v>7</v>
      </c>
      <c r="J1650" s="16">
        <f t="shared" si="2"/>
        <v>0</v>
      </c>
      <c r="K1650" s="15" t="s">
        <v>1722</v>
      </c>
      <c r="L1650" s="15"/>
      <c r="M1650" s="5">
        <v>1.0</v>
      </c>
      <c r="N1650" s="15" t="s">
        <v>11511</v>
      </c>
    </row>
    <row r="1651" ht="13.5" hidden="1" customHeight="1">
      <c r="A1651" s="4" t="str">
        <f t="shared" si="1"/>
        <v>LFW-RIO00MU</v>
      </c>
      <c r="B1651" s="29" t="s">
        <v>609</v>
      </c>
      <c r="C1651" s="65" t="s">
        <v>11512</v>
      </c>
      <c r="D1651" s="30" t="s">
        <v>22</v>
      </c>
      <c r="E1651" s="4" t="s">
        <v>1361</v>
      </c>
      <c r="F1651" s="28" t="s">
        <v>125</v>
      </c>
      <c r="G1651" s="4"/>
      <c r="H1651" s="4">
        <f>SUMIFS(X!$F$5:$F$2005,X!$D$5:$D$2005,'CEK CICI'!A1651)</f>
        <v>3</v>
      </c>
      <c r="I1651" s="4">
        <f>SUMIFS(PENJUALAN!$E$4:$E$4288,PENJUALAN!$C$4:$C$4288,'CEK CICI'!A1651)</f>
        <v>3</v>
      </c>
      <c r="J1651" s="16">
        <f t="shared" si="2"/>
        <v>0</v>
      </c>
      <c r="K1651" s="15" t="s">
        <v>1722</v>
      </c>
      <c r="L1651" s="15"/>
      <c r="M1651" s="5">
        <v>1.0</v>
      </c>
      <c r="N1651" s="4"/>
    </row>
    <row r="1652" ht="13.5" hidden="1" customHeight="1">
      <c r="A1652" s="4" t="str">
        <f t="shared" si="1"/>
        <v>LFW-RIO11MU</v>
      </c>
      <c r="B1652" s="29" t="s">
        <v>617</v>
      </c>
      <c r="C1652" s="65" t="s">
        <v>11513</v>
      </c>
      <c r="D1652" s="30" t="s">
        <v>22</v>
      </c>
      <c r="E1652" s="4" t="s">
        <v>1361</v>
      </c>
      <c r="F1652" s="28" t="s">
        <v>125</v>
      </c>
      <c r="G1652" s="4"/>
      <c r="H1652" s="4">
        <f>SUMIFS(X!$F$5:$F$2005,X!$D$5:$D$2005,'CEK CICI'!A1652)</f>
        <v>1</v>
      </c>
      <c r="I1652" s="4">
        <f>SUMIFS(PENJUALAN!$E$4:$E$4288,PENJUALAN!$C$4:$C$4288,'CEK CICI'!A1652)</f>
        <v>1</v>
      </c>
      <c r="J1652" s="16">
        <f t="shared" si="2"/>
        <v>0</v>
      </c>
      <c r="K1652" s="4"/>
      <c r="L1652" s="4"/>
      <c r="M1652" s="5">
        <v>1.0</v>
      </c>
      <c r="N1652" s="4"/>
    </row>
    <row r="1653" ht="13.5" hidden="1" customHeight="1">
      <c r="A1653" s="4" t="str">
        <f t="shared" si="1"/>
        <v>LFW-SPORTAGE93MU</v>
      </c>
      <c r="B1653" s="29" t="s">
        <v>2044</v>
      </c>
      <c r="C1653" s="65" t="s">
        <v>2045</v>
      </c>
      <c r="D1653" s="30" t="s">
        <v>22</v>
      </c>
      <c r="E1653" s="4" t="s">
        <v>1361</v>
      </c>
      <c r="F1653" s="28" t="s">
        <v>1455</v>
      </c>
      <c r="G1653" s="4"/>
      <c r="H1653" s="4">
        <f>SUMIFS(X!$F$5:$F$2005,X!$D$5:$D$2005,'CEK CICI'!A1653)</f>
        <v>0</v>
      </c>
      <c r="I1653" s="4">
        <f>SUMIFS(PENJUALAN!$E$4:$E$4288,PENJUALAN!$C$4:$C$4288,'CEK CICI'!A1653)</f>
        <v>0</v>
      </c>
      <c r="J1653" s="16">
        <f t="shared" si="2"/>
        <v>0</v>
      </c>
      <c r="K1653" s="4"/>
      <c r="L1653" s="4"/>
      <c r="M1653" s="5">
        <v>1.0</v>
      </c>
      <c r="N1653" s="4"/>
    </row>
    <row r="1654" ht="13.5" hidden="1" customHeight="1">
      <c r="A1654" s="4" t="str">
        <f t="shared" si="1"/>
        <v>LFW-SPORTAGE04MU</v>
      </c>
      <c r="B1654" s="29" t="s">
        <v>1937</v>
      </c>
      <c r="C1654" s="65" t="s">
        <v>1938</v>
      </c>
      <c r="D1654" s="30" t="s">
        <v>22</v>
      </c>
      <c r="E1654" s="4" t="s">
        <v>1361</v>
      </c>
      <c r="F1654" s="28" t="s">
        <v>1721</v>
      </c>
      <c r="G1654" s="4"/>
      <c r="H1654" s="4">
        <f>SUMIFS(X!$F$5:$F$2005,X!$D$5:$D$2005,'CEK CICI'!A1654)</f>
        <v>4</v>
      </c>
      <c r="I1654" s="4">
        <f>SUMIFS(PENJUALAN!$E$4:$E$4288,PENJUALAN!$C$4:$C$4288,'CEK CICI'!A1654)</f>
        <v>3</v>
      </c>
      <c r="J1654" s="16">
        <f t="shared" si="2"/>
        <v>1</v>
      </c>
      <c r="K1654" s="15" t="s">
        <v>1722</v>
      </c>
      <c r="L1654" s="15"/>
      <c r="M1654" s="5">
        <v>1.0</v>
      </c>
      <c r="N1654" s="4"/>
    </row>
    <row r="1655" ht="13.5" hidden="1" customHeight="1">
      <c r="A1655" s="4" t="str">
        <f t="shared" si="1"/>
        <v>LFW-TIMORMU</v>
      </c>
      <c r="B1655" s="29" t="s">
        <v>1948</v>
      </c>
      <c r="C1655" s="28" t="s">
        <v>646</v>
      </c>
      <c r="D1655" s="30" t="s">
        <v>22</v>
      </c>
      <c r="E1655" s="4" t="s">
        <v>1361</v>
      </c>
      <c r="F1655" s="28" t="s">
        <v>97</v>
      </c>
      <c r="G1655" s="4"/>
      <c r="H1655" s="4">
        <f>SUMIFS(X!$F$5:$F$2005,X!$D$5:$D$2005,'CEK CICI'!A1655)</f>
        <v>3</v>
      </c>
      <c r="I1655" s="4">
        <f>SUMIFS(PENJUALAN!$E$4:$E$4288,PENJUALAN!$C$4:$C$4288,'CEK CICI'!A1655)</f>
        <v>2</v>
      </c>
      <c r="J1655" s="16">
        <f t="shared" si="2"/>
        <v>1</v>
      </c>
      <c r="K1655" s="6" t="s">
        <v>1949</v>
      </c>
      <c r="L1655" s="6"/>
      <c r="M1655" s="5">
        <v>1.0</v>
      </c>
      <c r="N1655" s="4"/>
    </row>
    <row r="1656" ht="13.5" hidden="1" customHeight="1">
      <c r="A1656" s="4" t="str">
        <f t="shared" si="1"/>
        <v>LFW-TRAVELLOMU</v>
      </c>
      <c r="B1656" s="29" t="s">
        <v>2048</v>
      </c>
      <c r="C1656" s="30" t="s">
        <v>2049</v>
      </c>
      <c r="D1656" s="30" t="s">
        <v>22</v>
      </c>
      <c r="E1656" s="4" t="s">
        <v>1361</v>
      </c>
      <c r="F1656" s="28" t="s">
        <v>79</v>
      </c>
      <c r="G1656" s="4"/>
      <c r="H1656" s="4">
        <f>SUMIFS(X!$F$5:$F$2005,X!$D$5:$D$2005,'CEK CICI'!A1656)</f>
        <v>0</v>
      </c>
      <c r="I1656" s="4">
        <f>SUMIFS(PENJUALAN!$E$4:$E$4288,PENJUALAN!$C$4:$C$4288,'CEK CICI'!A1656)</f>
        <v>0</v>
      </c>
      <c r="J1656" s="16">
        <f t="shared" si="2"/>
        <v>0</v>
      </c>
      <c r="K1656" s="4"/>
      <c r="L1656" s="4"/>
      <c r="M1656" s="5">
        <v>1.0</v>
      </c>
      <c r="N1656" s="4"/>
    </row>
    <row r="1657" ht="13.5" hidden="1" customHeight="1">
      <c r="A1657" s="4" t="str">
        <f t="shared" si="1"/>
        <v>LFW-VISTOMU</v>
      </c>
      <c r="B1657" s="29" t="s">
        <v>647</v>
      </c>
      <c r="C1657" s="30" t="s">
        <v>648</v>
      </c>
      <c r="D1657" s="30" t="s">
        <v>22</v>
      </c>
      <c r="E1657" s="4" t="s">
        <v>1361</v>
      </c>
      <c r="F1657" s="28" t="s">
        <v>1947</v>
      </c>
      <c r="G1657" s="4"/>
      <c r="H1657" s="4">
        <f>SUMIFS(X!$F$5:$F$2005,X!$D$5:$D$2005,'CEK CICI'!A1657)</f>
        <v>0</v>
      </c>
      <c r="I1657" s="4">
        <f>SUMIFS(PENJUALAN!$E$4:$E$4288,PENJUALAN!$C$4:$C$4288,'CEK CICI'!A1657)</f>
        <v>0</v>
      </c>
      <c r="J1657" s="16">
        <f t="shared" si="2"/>
        <v>0</v>
      </c>
      <c r="K1657" s="4"/>
      <c r="L1657" s="4"/>
      <c r="M1657" s="5">
        <v>1.0</v>
      </c>
      <c r="N1657" s="4"/>
    </row>
    <row r="1658" ht="13.5" hidden="1" customHeight="1">
      <c r="A1658" s="4" t="str">
        <f t="shared" si="1"/>
        <v>LFW-MAZDA209MU</v>
      </c>
      <c r="B1658" s="29" t="s">
        <v>685</v>
      </c>
      <c r="C1658" s="28" t="s">
        <v>686</v>
      </c>
      <c r="D1658" s="28" t="s">
        <v>22</v>
      </c>
      <c r="E1658" s="4" t="s">
        <v>1361</v>
      </c>
      <c r="F1658" s="28" t="s">
        <v>125</v>
      </c>
      <c r="G1658" s="4"/>
      <c r="H1658" s="4">
        <f>SUMIFS(X!$F$5:$F$2005,X!$D$5:$D$2005,'CEK CICI'!A1658)</f>
        <v>5</v>
      </c>
      <c r="I1658" s="4">
        <f>SUMIFS(PENJUALAN!$E$4:$E$4288,PENJUALAN!$C$4:$C$4288,'CEK CICI'!A1658)</f>
        <v>5</v>
      </c>
      <c r="J1658" s="16">
        <f t="shared" si="2"/>
        <v>0</v>
      </c>
      <c r="K1658" s="15" t="s">
        <v>744</v>
      </c>
      <c r="L1658" s="15"/>
      <c r="M1658" s="5">
        <v>1.0</v>
      </c>
      <c r="N1658" s="4"/>
    </row>
    <row r="1659" ht="13.5" hidden="1" customHeight="1">
      <c r="A1659" s="4" t="str">
        <f t="shared" si="1"/>
        <v>LFW-MX6COUPEMU</v>
      </c>
      <c r="B1659" s="29" t="s">
        <v>2050</v>
      </c>
      <c r="C1659" s="65" t="s">
        <v>11514</v>
      </c>
      <c r="D1659" s="28" t="s">
        <v>22</v>
      </c>
      <c r="E1659" s="4" t="s">
        <v>1361</v>
      </c>
      <c r="F1659" s="28"/>
      <c r="G1659" s="4"/>
      <c r="H1659" s="4">
        <f>SUMIFS(X!$F$5:$F$2005,X!$D$5:$D$2005,'CEK CICI'!A1659)</f>
        <v>0</v>
      </c>
      <c r="I1659" s="4">
        <f>SUMIFS(PENJUALAN!$E$4:$E$4288,PENJUALAN!$C$4:$C$4288,'CEK CICI'!A1659)</f>
        <v>0</v>
      </c>
      <c r="J1659" s="16">
        <f t="shared" si="2"/>
        <v>0</v>
      </c>
      <c r="K1659" s="4"/>
      <c r="L1659" s="4"/>
      <c r="M1659" s="4"/>
      <c r="N1659" s="4"/>
    </row>
    <row r="1660" ht="13.5" hidden="1" customHeight="1">
      <c r="A1660" s="4" t="str">
        <f t="shared" si="1"/>
        <v>LFW-INTERPLAYMU</v>
      </c>
      <c r="B1660" s="29" t="s">
        <v>1933</v>
      </c>
      <c r="C1660" s="65" t="s">
        <v>11515</v>
      </c>
      <c r="D1660" s="28" t="s">
        <v>22</v>
      </c>
      <c r="E1660" s="4" t="s">
        <v>1361</v>
      </c>
      <c r="F1660" s="28"/>
      <c r="G1660" s="4"/>
      <c r="H1660" s="4">
        <f>SUMIFS(X!$F$5:$F$2005,X!$D$5:$D$2005,'CEK CICI'!A1660)</f>
        <v>5</v>
      </c>
      <c r="I1660" s="4">
        <f>SUMIFS(PENJUALAN!$E$4:$E$4288,PENJUALAN!$C$4:$C$4288,'CEK CICI'!A1660)</f>
        <v>5</v>
      </c>
      <c r="J1660" s="16">
        <f t="shared" si="2"/>
        <v>0</v>
      </c>
      <c r="K1660" s="15" t="s">
        <v>1695</v>
      </c>
      <c r="L1660" s="15"/>
      <c r="M1660" s="4"/>
      <c r="N1660" s="15" t="s">
        <v>11516</v>
      </c>
    </row>
    <row r="1661" ht="13.5" hidden="1" customHeight="1">
      <c r="A1661" s="4" t="str">
        <f t="shared" si="1"/>
        <v>LFW-LANTISMU</v>
      </c>
      <c r="B1661" s="31" t="s">
        <v>1945</v>
      </c>
      <c r="C1661" s="66" t="s">
        <v>1946</v>
      </c>
      <c r="D1661" s="28" t="s">
        <v>22</v>
      </c>
      <c r="E1661" s="4" t="s">
        <v>1361</v>
      </c>
      <c r="F1661" s="28" t="s">
        <v>1947</v>
      </c>
      <c r="G1661" s="4"/>
      <c r="H1661" s="4">
        <f>SUMIFS(X!$F$5:$F$2005,X!$D$5:$D$2005,'CEK CICI'!A1661)</f>
        <v>3</v>
      </c>
      <c r="I1661" s="4">
        <f>SUMIFS(PENJUALAN!$E$4:$E$4288,PENJUALAN!$C$4:$C$4288,'CEK CICI'!A1661)</f>
        <v>3</v>
      </c>
      <c r="J1661" s="16">
        <f t="shared" si="2"/>
        <v>0</v>
      </c>
      <c r="K1661" s="15" t="s">
        <v>1695</v>
      </c>
      <c r="L1661" s="15"/>
      <c r="M1661" s="5">
        <v>1.0</v>
      </c>
      <c r="N1661" s="4"/>
    </row>
    <row r="1662" ht="13.5" hidden="1" customHeight="1">
      <c r="A1662" s="4" t="str">
        <f t="shared" si="1"/>
        <v>LFW-LELEMU</v>
      </c>
      <c r="B1662" s="29" t="s">
        <v>2052</v>
      </c>
      <c r="C1662" s="30" t="s">
        <v>822</v>
      </c>
      <c r="D1662" s="30" t="s">
        <v>22</v>
      </c>
      <c r="E1662" s="4" t="s">
        <v>1361</v>
      </c>
      <c r="F1662" s="28"/>
      <c r="G1662" s="4"/>
      <c r="H1662" s="4">
        <f>SUMIFS(X!$F$5:$F$2005,X!$D$5:$D$2005,'CEK CICI'!A1662)</f>
        <v>0</v>
      </c>
      <c r="I1662" s="4">
        <f>SUMIFS(PENJUALAN!$E$4:$E$4288,PENJUALAN!$C$4:$C$4288,'CEK CICI'!A1662)</f>
        <v>0</v>
      </c>
      <c r="J1662" s="16">
        <f t="shared" si="2"/>
        <v>0</v>
      </c>
      <c r="K1662" s="4"/>
      <c r="L1662" s="4"/>
      <c r="M1662" s="4"/>
      <c r="N1662" s="4"/>
    </row>
    <row r="1663" ht="13.5" hidden="1" customHeight="1">
      <c r="A1663" s="4" t="str">
        <f t="shared" si="1"/>
        <v>LFW-W203RS2MU</v>
      </c>
      <c r="B1663" s="29" t="s">
        <v>776</v>
      </c>
      <c r="C1663" s="28" t="s">
        <v>777</v>
      </c>
      <c r="D1663" s="30" t="s">
        <v>22</v>
      </c>
      <c r="E1663" s="4" t="s">
        <v>1361</v>
      </c>
      <c r="F1663" s="28" t="s">
        <v>2053</v>
      </c>
      <c r="G1663" s="4"/>
      <c r="H1663" s="4">
        <f>SUMIFS(X!$F$5:$F$2005,X!$D$5:$D$2005,'CEK CICI'!A1663)</f>
        <v>0</v>
      </c>
      <c r="I1663" s="4">
        <f>SUMIFS(PENJUALAN!$E$4:$E$4288,PENJUALAN!$C$4:$C$4288,'CEK CICI'!A1663)</f>
        <v>0</v>
      </c>
      <c r="J1663" s="16">
        <f t="shared" si="2"/>
        <v>0</v>
      </c>
      <c r="K1663" s="4"/>
      <c r="L1663" s="4"/>
      <c r="M1663" s="5">
        <v>1.0</v>
      </c>
      <c r="N1663" s="4"/>
    </row>
    <row r="1664" ht="13.5" hidden="1" customHeight="1">
      <c r="A1664" s="4" t="str">
        <f t="shared" si="1"/>
        <v>LFW-W204RS1MU</v>
      </c>
      <c r="B1664" s="29" t="s">
        <v>2054</v>
      </c>
      <c r="C1664" s="65" t="s">
        <v>11517</v>
      </c>
      <c r="D1664" s="30" t="s">
        <v>22</v>
      </c>
      <c r="E1664" s="4" t="s">
        <v>1361</v>
      </c>
      <c r="F1664" s="28" t="s">
        <v>2018</v>
      </c>
      <c r="G1664" s="4"/>
      <c r="H1664" s="4">
        <f>SUMIFS(X!$F$5:$F$2005,X!$D$5:$D$2005,'CEK CICI'!A1664)</f>
        <v>0</v>
      </c>
      <c r="I1664" s="4">
        <f>SUMIFS(PENJUALAN!$E$4:$E$4288,PENJUALAN!$C$4:$C$4288,'CEK CICI'!A1664)</f>
        <v>0</v>
      </c>
      <c r="J1664" s="16">
        <f t="shared" si="2"/>
        <v>0</v>
      </c>
      <c r="K1664" s="4"/>
      <c r="L1664" s="4"/>
      <c r="M1664" s="5">
        <v>1.0</v>
      </c>
      <c r="N1664" s="4"/>
    </row>
    <row r="1665" ht="13.5" hidden="1" customHeight="1">
      <c r="A1665" s="4" t="str">
        <f t="shared" si="1"/>
        <v>LFW-W1244DOORMU</v>
      </c>
      <c r="B1665" s="29" t="s">
        <v>1648</v>
      </c>
      <c r="C1665" s="65" t="s">
        <v>11518</v>
      </c>
      <c r="D1665" s="30" t="s">
        <v>22</v>
      </c>
      <c r="E1665" s="4" t="s">
        <v>1361</v>
      </c>
      <c r="F1665" s="28" t="s">
        <v>2010</v>
      </c>
      <c r="G1665" s="4"/>
      <c r="H1665" s="4">
        <f>SUMIFS(X!$F$5:$F$2005,X!$D$5:$D$2005,'CEK CICI'!A1665)</f>
        <v>0</v>
      </c>
      <c r="I1665" s="4">
        <f>SUMIFS(PENJUALAN!$E$4:$E$4288,PENJUALAN!$C$4:$C$4288,'CEK CICI'!A1665)</f>
        <v>0</v>
      </c>
      <c r="J1665" s="16">
        <f t="shared" si="2"/>
        <v>0</v>
      </c>
      <c r="K1665" s="4"/>
      <c r="L1665" s="4"/>
      <c r="M1665" s="5">
        <v>1.0</v>
      </c>
      <c r="N1665" s="4"/>
    </row>
    <row r="1666" ht="13.5" hidden="1" customHeight="1">
      <c r="A1666" s="4" t="str">
        <f t="shared" si="1"/>
        <v>LFW-W210MU</v>
      </c>
      <c r="B1666" s="29" t="s">
        <v>795</v>
      </c>
      <c r="C1666" s="65" t="s">
        <v>11519</v>
      </c>
      <c r="D1666" s="30" t="s">
        <v>22</v>
      </c>
      <c r="E1666" s="4" t="s">
        <v>1361</v>
      </c>
      <c r="F1666" s="28" t="s">
        <v>2053</v>
      </c>
      <c r="G1666" s="4"/>
      <c r="H1666" s="4">
        <f>SUMIFS(X!$F$5:$F$2005,X!$D$5:$D$2005,'CEK CICI'!A1666)</f>
        <v>0</v>
      </c>
      <c r="I1666" s="4">
        <f>SUMIFS(PENJUALAN!$E$4:$E$4288,PENJUALAN!$C$4:$C$4288,'CEK CICI'!A1666)</f>
        <v>0</v>
      </c>
      <c r="J1666" s="16">
        <f t="shared" si="2"/>
        <v>0</v>
      </c>
      <c r="K1666" s="4"/>
      <c r="L1666" s="4"/>
      <c r="M1666" s="5">
        <v>1.0</v>
      </c>
      <c r="N1666" s="4"/>
    </row>
    <row r="1667" ht="13.5" hidden="1" customHeight="1">
      <c r="A1667" s="4" t="str">
        <f t="shared" si="1"/>
        <v>LFW-W211MU</v>
      </c>
      <c r="B1667" s="29" t="s">
        <v>798</v>
      </c>
      <c r="C1667" s="65" t="s">
        <v>11520</v>
      </c>
      <c r="D1667" s="30" t="s">
        <v>22</v>
      </c>
      <c r="E1667" s="4" t="s">
        <v>1361</v>
      </c>
      <c r="F1667" s="28" t="s">
        <v>2018</v>
      </c>
      <c r="G1667" s="4"/>
      <c r="H1667" s="4">
        <f>SUMIFS(X!$F$5:$F$2005,X!$D$5:$D$2005,'CEK CICI'!A1667)</f>
        <v>0</v>
      </c>
      <c r="I1667" s="4">
        <f>SUMIFS(PENJUALAN!$E$4:$E$4288,PENJUALAN!$C$4:$C$4288,'CEK CICI'!A1667)</f>
        <v>0</v>
      </c>
      <c r="J1667" s="16">
        <f t="shared" si="2"/>
        <v>0</v>
      </c>
      <c r="K1667" s="4"/>
      <c r="L1667" s="4"/>
      <c r="M1667" s="5">
        <v>1.0</v>
      </c>
      <c r="N1667" s="4"/>
    </row>
    <row r="1668" ht="13.5" hidden="1" customHeight="1">
      <c r="A1668" s="4" t="str">
        <f t="shared" si="1"/>
        <v>LFW-W220MU</v>
      </c>
      <c r="B1668" s="29" t="s">
        <v>1664</v>
      </c>
      <c r="C1668" s="65" t="s">
        <v>11521</v>
      </c>
      <c r="D1668" s="30" t="s">
        <v>22</v>
      </c>
      <c r="E1668" s="4" t="s">
        <v>1361</v>
      </c>
      <c r="F1668" s="28" t="s">
        <v>2053</v>
      </c>
      <c r="G1668" s="4"/>
      <c r="H1668" s="4">
        <f>SUMIFS(X!$F$5:$F$2005,X!$D$5:$D$2005,'CEK CICI'!A1668)</f>
        <v>0</v>
      </c>
      <c r="I1668" s="4">
        <f>SUMIFS(PENJUALAN!$E$4:$E$4288,PENJUALAN!$C$4:$C$4288,'CEK CICI'!A1668)</f>
        <v>0</v>
      </c>
      <c r="J1668" s="16">
        <f t="shared" si="2"/>
        <v>0</v>
      </c>
      <c r="K1668" s="4"/>
      <c r="L1668" s="4"/>
      <c r="M1668" s="5">
        <v>1.0</v>
      </c>
      <c r="N1668" s="4"/>
    </row>
    <row r="1669" ht="13.5" hidden="1" customHeight="1">
      <c r="A1669" s="4" t="str">
        <f t="shared" si="1"/>
        <v>LFW-W123MU</v>
      </c>
      <c r="B1669" s="29" t="s">
        <v>2060</v>
      </c>
      <c r="C1669" s="65" t="s">
        <v>2061</v>
      </c>
      <c r="D1669" s="30" t="s">
        <v>22</v>
      </c>
      <c r="E1669" s="4" t="s">
        <v>1361</v>
      </c>
      <c r="F1669" s="28"/>
      <c r="G1669" s="4"/>
      <c r="H1669" s="4">
        <f>SUMIFS(X!$F$5:$F$2005,X!$D$5:$D$2005,'CEK CICI'!A1669)</f>
        <v>0</v>
      </c>
      <c r="I1669" s="4">
        <f>SUMIFS(PENJUALAN!$E$4:$E$4288,PENJUALAN!$C$4:$C$4288,'CEK CICI'!A1669)</f>
        <v>0</v>
      </c>
      <c r="J1669" s="16">
        <f t="shared" si="2"/>
        <v>0</v>
      </c>
      <c r="K1669" s="4"/>
      <c r="L1669" s="4"/>
      <c r="M1669" s="5">
        <v>1.0</v>
      </c>
      <c r="N1669" s="4"/>
    </row>
    <row r="1670" ht="13.5" hidden="1" customHeight="1">
      <c r="A1670" s="4" t="str">
        <f t="shared" si="1"/>
        <v>LFW-KUDAMU</v>
      </c>
      <c r="B1670" s="29" t="s">
        <v>1932</v>
      </c>
      <c r="C1670" s="30" t="s">
        <v>1463</v>
      </c>
      <c r="D1670" s="30" t="s">
        <v>22</v>
      </c>
      <c r="E1670" s="4" t="s">
        <v>1361</v>
      </c>
      <c r="F1670" s="34" t="s">
        <v>1455</v>
      </c>
      <c r="G1670" s="4"/>
      <c r="H1670" s="4">
        <f>SUMIFS(X!$F$5:$F$2005,X!$D$5:$D$2005,'CEK CICI'!A1670)</f>
        <v>7</v>
      </c>
      <c r="I1670" s="4">
        <f>SUMIFS(PENJUALAN!$E$4:$E$4288,PENJUALAN!$C$4:$C$4288,'CEK CICI'!A1670)</f>
        <v>7</v>
      </c>
      <c r="J1670" s="16">
        <f t="shared" si="2"/>
        <v>0</v>
      </c>
      <c r="K1670" s="15" t="s">
        <v>1683</v>
      </c>
      <c r="L1670" s="15"/>
      <c r="M1670" s="5">
        <v>1.0</v>
      </c>
      <c r="N1670" s="4"/>
    </row>
    <row r="1671" ht="13.5" hidden="1" customHeight="1">
      <c r="A1671" s="4" t="str">
        <f t="shared" si="1"/>
        <v>LFW-EVO3MU</v>
      </c>
      <c r="B1671" s="29" t="s">
        <v>846</v>
      </c>
      <c r="C1671" s="65" t="s">
        <v>11522</v>
      </c>
      <c r="D1671" s="30" t="s">
        <v>22</v>
      </c>
      <c r="E1671" s="4" t="s">
        <v>1361</v>
      </c>
      <c r="F1671" s="34" t="s">
        <v>2010</v>
      </c>
      <c r="G1671" s="4"/>
      <c r="H1671" s="4">
        <f>SUMIFS(X!$F$5:$F$2005,X!$D$5:$D$2005,'CEK CICI'!A1671)</f>
        <v>3</v>
      </c>
      <c r="I1671" s="4">
        <f>SUMIFS(PENJUALAN!$E$4:$E$4288,PENJUALAN!$C$4:$C$4288,'CEK CICI'!A1671)</f>
        <v>3</v>
      </c>
      <c r="J1671" s="16">
        <f t="shared" si="2"/>
        <v>0</v>
      </c>
      <c r="K1671" s="15" t="s">
        <v>1683</v>
      </c>
      <c r="L1671" s="15"/>
      <c r="M1671" s="5">
        <v>1.0</v>
      </c>
      <c r="N1671" s="4"/>
    </row>
    <row r="1672" ht="13.5" hidden="1" customHeight="1">
      <c r="A1672" s="4" t="str">
        <f t="shared" si="1"/>
        <v>LFW-MIRAGEMU</v>
      </c>
      <c r="B1672" s="29" t="s">
        <v>875</v>
      </c>
      <c r="C1672" s="65" t="s">
        <v>11523</v>
      </c>
      <c r="D1672" s="30" t="s">
        <v>22</v>
      </c>
      <c r="E1672" s="4" t="s">
        <v>1361</v>
      </c>
      <c r="F1672" s="34" t="s">
        <v>97</v>
      </c>
      <c r="G1672" s="4"/>
      <c r="H1672" s="4">
        <f>SUMIFS(X!$F$5:$F$2005,X!$D$5:$D$2005,'CEK CICI'!A1672)</f>
        <v>5</v>
      </c>
      <c r="I1672" s="4">
        <f>SUMIFS(PENJUALAN!$E$4:$E$4288,PENJUALAN!$C$4:$C$4288,'CEK CICI'!A1672)</f>
        <v>5</v>
      </c>
      <c r="J1672" s="16">
        <f t="shared" si="2"/>
        <v>0</v>
      </c>
      <c r="K1672" s="15" t="s">
        <v>1683</v>
      </c>
      <c r="L1672" s="15"/>
      <c r="M1672" s="5">
        <v>1.0</v>
      </c>
      <c r="N1672" s="4"/>
    </row>
    <row r="1673" ht="13.5" hidden="1" customHeight="1">
      <c r="A1673" s="4" t="str">
        <f t="shared" si="1"/>
        <v>LFW-PAJERO08MU</v>
      </c>
      <c r="B1673" s="29" t="s">
        <v>881</v>
      </c>
      <c r="C1673" s="28" t="s">
        <v>882</v>
      </c>
      <c r="D1673" s="28" t="s">
        <v>22</v>
      </c>
      <c r="E1673" s="4" t="s">
        <v>1361</v>
      </c>
      <c r="F1673" s="28" t="s">
        <v>125</v>
      </c>
      <c r="G1673" s="4"/>
      <c r="H1673" s="4">
        <f>SUMIFS(X!$F$5:$F$2005,X!$D$5:$D$2005,'CEK CICI'!A1673)</f>
        <v>19</v>
      </c>
      <c r="I1673" s="4">
        <f>SUMIFS(PENJUALAN!$E$4:$E$4288,PENJUALAN!$C$4:$C$4288,'CEK CICI'!A1673)</f>
        <v>19</v>
      </c>
      <c r="J1673" s="16">
        <f t="shared" si="2"/>
        <v>0</v>
      </c>
      <c r="K1673" s="15" t="s">
        <v>1676</v>
      </c>
      <c r="L1673" s="15"/>
      <c r="M1673" s="5">
        <v>1.0</v>
      </c>
      <c r="N1673" s="4"/>
    </row>
    <row r="1674" ht="13.5" hidden="1" customHeight="1">
      <c r="A1674" s="4" t="str">
        <f t="shared" si="1"/>
        <v>LFW-PAJERO16MU</v>
      </c>
      <c r="B1674" s="29" t="s">
        <v>884</v>
      </c>
      <c r="C1674" s="28" t="s">
        <v>830</v>
      </c>
      <c r="D1674" s="28" t="s">
        <v>22</v>
      </c>
      <c r="E1674" s="4" t="s">
        <v>1361</v>
      </c>
      <c r="F1674" s="28" t="s">
        <v>125</v>
      </c>
      <c r="G1674" s="4"/>
      <c r="H1674" s="4">
        <f>SUMIFS(X!$F$5:$F$2005,X!$D$5:$D$2005,'CEK CICI'!A1674)</f>
        <v>17</v>
      </c>
      <c r="I1674" s="4">
        <f>SUMIFS(PENJUALAN!$E$4:$E$4288,PENJUALAN!$C$4:$C$4288,'CEK CICI'!A1674)</f>
        <v>15</v>
      </c>
      <c r="J1674" s="16">
        <f t="shared" si="2"/>
        <v>2</v>
      </c>
      <c r="K1674" s="15" t="s">
        <v>1692</v>
      </c>
      <c r="L1674" s="15"/>
      <c r="M1674" s="5">
        <v>1.0</v>
      </c>
      <c r="N1674" s="4"/>
    </row>
    <row r="1675" ht="13.5" hidden="1" customHeight="1">
      <c r="A1675" s="4" t="str">
        <f t="shared" si="1"/>
        <v>LFW-TRITON05MU</v>
      </c>
      <c r="B1675" s="29" t="s">
        <v>886</v>
      </c>
      <c r="C1675" s="28" t="s">
        <v>887</v>
      </c>
      <c r="D1675" s="28" t="s">
        <v>22</v>
      </c>
      <c r="E1675" s="4" t="s">
        <v>1361</v>
      </c>
      <c r="F1675" s="28" t="s">
        <v>125</v>
      </c>
      <c r="G1675" s="4"/>
      <c r="H1675" s="4">
        <f>SUMIFS(X!$F$5:$F$2005,X!$D$5:$D$2005,'CEK CICI'!A1675)</f>
        <v>11</v>
      </c>
      <c r="I1675" s="4">
        <f>SUMIFS(PENJUALAN!$E$4:$E$4288,PENJUALAN!$C$4:$C$4288,'CEK CICI'!A1675)</f>
        <v>11</v>
      </c>
      <c r="J1675" s="16">
        <f t="shared" si="2"/>
        <v>0</v>
      </c>
      <c r="K1675" s="15" t="s">
        <v>1676</v>
      </c>
      <c r="L1675" s="15"/>
      <c r="M1675" s="4"/>
      <c r="N1675" s="4"/>
    </row>
    <row r="1676" ht="13.5" hidden="1" customHeight="1">
      <c r="A1676" s="4" t="str">
        <f t="shared" si="1"/>
        <v>LFW-TRITON14MU</v>
      </c>
      <c r="B1676" s="29" t="s">
        <v>889</v>
      </c>
      <c r="C1676" s="28" t="s">
        <v>890</v>
      </c>
      <c r="D1676" s="28" t="s">
        <v>22</v>
      </c>
      <c r="E1676" s="4" t="s">
        <v>1361</v>
      </c>
      <c r="F1676" s="28" t="s">
        <v>125</v>
      </c>
      <c r="G1676" s="4"/>
      <c r="H1676" s="4">
        <f>SUMIFS(X!$F$5:$F$2005,X!$D$5:$D$2005,'CEK CICI'!A1676)</f>
        <v>10</v>
      </c>
      <c r="I1676" s="4">
        <f>SUMIFS(PENJUALAN!$E$4:$E$4288,PENJUALAN!$C$4:$C$4288,'CEK CICI'!A1676)</f>
        <v>10</v>
      </c>
      <c r="J1676" s="16">
        <f t="shared" si="2"/>
        <v>0</v>
      </c>
      <c r="K1676" s="15" t="s">
        <v>1692</v>
      </c>
      <c r="L1676" s="15"/>
      <c r="M1676" s="4"/>
      <c r="N1676" s="4"/>
    </row>
    <row r="1677" ht="13.5" hidden="1" customHeight="1">
      <c r="A1677" s="4" t="str">
        <f t="shared" si="1"/>
        <v>TRW-XPANDERHXYG</v>
      </c>
      <c r="B1677" s="31" t="s">
        <v>1708</v>
      </c>
      <c r="C1677" s="33" t="s">
        <v>1628</v>
      </c>
      <c r="D1677" s="28" t="s">
        <v>41</v>
      </c>
      <c r="E1677" s="4" t="s">
        <v>16</v>
      </c>
      <c r="F1677" s="33" t="s">
        <v>1377</v>
      </c>
      <c r="G1677" s="4"/>
      <c r="H1677" s="4">
        <f>SUMIFS(X!$F$5:$F$2005,X!$D$5:$D$2005,'CEK CICI'!A1677)</f>
        <v>9</v>
      </c>
      <c r="I1677" s="4">
        <f>SUMIFS(PENJUALAN!$E$4:$E$4288,PENJUALAN!$C$4:$C$4288,'CEK CICI'!A1677)</f>
        <v>6</v>
      </c>
      <c r="J1677" s="16">
        <f t="shared" si="2"/>
        <v>3</v>
      </c>
      <c r="K1677" s="15" t="s">
        <v>1452</v>
      </c>
      <c r="L1677" s="15"/>
      <c r="M1677" s="5"/>
      <c r="N1677" s="4"/>
    </row>
    <row r="1678" ht="13.5" hidden="1" customHeight="1">
      <c r="A1678" s="4" t="str">
        <f t="shared" si="1"/>
        <v>LFW-XPANDERMU</v>
      </c>
      <c r="B1678" s="29" t="s">
        <v>1467</v>
      </c>
      <c r="C1678" s="28" t="s">
        <v>1706</v>
      </c>
      <c r="D1678" s="28" t="s">
        <v>22</v>
      </c>
      <c r="E1678" s="4" t="s">
        <v>1361</v>
      </c>
      <c r="F1678" s="28" t="s">
        <v>125</v>
      </c>
      <c r="G1678" s="4"/>
      <c r="H1678" s="4">
        <f>SUMIFS(X!$F$5:$F$2005,X!$D$5:$D$2005,'CEK CICI'!A1678)</f>
        <v>30</v>
      </c>
      <c r="I1678" s="4">
        <f>SUMIFS(PENJUALAN!$E$4:$E$4288,PENJUALAN!$C$4:$C$4288,'CEK CICI'!A1678)</f>
        <v>28</v>
      </c>
      <c r="J1678" s="16">
        <f t="shared" si="2"/>
        <v>2</v>
      </c>
      <c r="K1678" s="15" t="s">
        <v>1707</v>
      </c>
      <c r="L1678" s="15"/>
      <c r="M1678" s="5">
        <v>2.0</v>
      </c>
      <c r="N1678" s="4"/>
    </row>
    <row r="1679" ht="13.5" hidden="1" customHeight="1">
      <c r="A1679" s="4" t="str">
        <f t="shared" si="1"/>
        <v>LFW-DATSUNGOMU</v>
      </c>
      <c r="B1679" s="29" t="s">
        <v>2068</v>
      </c>
      <c r="C1679" s="28" t="s">
        <v>895</v>
      </c>
      <c r="D1679" s="28" t="s">
        <v>22</v>
      </c>
      <c r="E1679" s="4" t="s">
        <v>1361</v>
      </c>
      <c r="F1679" s="33" t="s">
        <v>97</v>
      </c>
      <c r="G1679" s="4"/>
      <c r="H1679" s="4">
        <f>SUMIFS(X!$F$5:$F$2005,X!$D$5:$D$2005,'CEK CICI'!A1679)</f>
        <v>15</v>
      </c>
      <c r="I1679" s="4">
        <f>SUMIFS(PENJUALAN!$E$4:$E$4288,PENJUALAN!$C$4:$C$4288,'CEK CICI'!A1679)</f>
        <v>8</v>
      </c>
      <c r="J1679" s="16">
        <f t="shared" si="2"/>
        <v>7</v>
      </c>
      <c r="K1679" s="15" t="s">
        <v>11524</v>
      </c>
      <c r="L1679" s="15"/>
      <c r="M1679" s="5">
        <v>1.0</v>
      </c>
      <c r="N1679" s="70" t="s">
        <v>11525</v>
      </c>
    </row>
    <row r="1680" ht="13.5" hidden="1" customHeight="1">
      <c r="A1680" s="4" t="str">
        <f t="shared" si="1"/>
        <v>LFW-NAVARA97MU</v>
      </c>
      <c r="B1680" s="29" t="s">
        <v>2341</v>
      </c>
      <c r="C1680" s="30" t="s">
        <v>923</v>
      </c>
      <c r="D1680" s="30" t="s">
        <v>22</v>
      </c>
      <c r="E1680" s="4" t="s">
        <v>1361</v>
      </c>
      <c r="F1680" s="28"/>
      <c r="G1680" s="4"/>
      <c r="H1680" s="4">
        <f>SUMIFS(X!$F$5:$F$2005,X!$D$5:$D$2005,'CEK CICI'!A1680)</f>
        <v>2</v>
      </c>
      <c r="I1680" s="4">
        <f>SUMIFS(PENJUALAN!$E$4:$E$4288,PENJUALAN!$C$4:$C$4288,'CEK CICI'!A1680)</f>
        <v>2</v>
      </c>
      <c r="J1680" s="16">
        <f t="shared" si="2"/>
        <v>0</v>
      </c>
      <c r="K1680" s="4"/>
      <c r="L1680" s="4"/>
      <c r="M1680" s="5">
        <v>1.0</v>
      </c>
      <c r="N1680" s="4"/>
    </row>
    <row r="1681" ht="13.5" hidden="1" customHeight="1">
      <c r="A1681" s="4" t="str">
        <f t="shared" si="1"/>
        <v>LFW-NAVARA04MU</v>
      </c>
      <c r="B1681" s="29" t="s">
        <v>924</v>
      </c>
      <c r="C1681" s="30" t="s">
        <v>925</v>
      </c>
      <c r="D1681" s="30" t="s">
        <v>22</v>
      </c>
      <c r="E1681" s="4" t="s">
        <v>1361</v>
      </c>
      <c r="F1681" s="28" t="s">
        <v>125</v>
      </c>
      <c r="G1681" s="4"/>
      <c r="H1681" s="4">
        <f>SUMIFS(X!$F$5:$F$2005,X!$D$5:$D$2005,'CEK CICI'!A1681)</f>
        <v>0</v>
      </c>
      <c r="I1681" s="4">
        <f>SUMIFS(PENJUALAN!$E$4:$E$4288,PENJUALAN!$C$4:$C$4288,'CEK CICI'!A1681)</f>
        <v>0</v>
      </c>
      <c r="J1681" s="16">
        <f t="shared" si="2"/>
        <v>0</v>
      </c>
      <c r="K1681" s="4"/>
      <c r="L1681" s="4"/>
      <c r="M1681" s="5">
        <v>1.0</v>
      </c>
      <c r="N1681" s="4"/>
    </row>
    <row r="1682" ht="13.5" hidden="1" customHeight="1">
      <c r="A1682" s="4" t="str">
        <f t="shared" si="1"/>
        <v>LFW-NAVARA15MU</v>
      </c>
      <c r="B1682" s="29" t="s">
        <v>954</v>
      </c>
      <c r="C1682" s="30" t="s">
        <v>955</v>
      </c>
      <c r="D1682" s="30" t="s">
        <v>22</v>
      </c>
      <c r="E1682" s="4" t="s">
        <v>1361</v>
      </c>
      <c r="F1682" s="28" t="s">
        <v>125</v>
      </c>
      <c r="G1682" s="4"/>
      <c r="H1682" s="4">
        <f>SUMIFS(X!$F$5:$F$2005,X!$D$5:$D$2005,'CEK CICI'!A1682)</f>
        <v>0</v>
      </c>
      <c r="I1682" s="4">
        <f>SUMIFS(PENJUALAN!$E$4:$E$4288,PENJUALAN!$C$4:$C$4288,'CEK CICI'!A1682)</f>
        <v>0</v>
      </c>
      <c r="J1682" s="16">
        <f t="shared" si="2"/>
        <v>0</v>
      </c>
      <c r="K1682" s="4"/>
      <c r="L1682" s="4"/>
      <c r="M1682" s="5">
        <v>1.0</v>
      </c>
      <c r="N1682" s="4"/>
    </row>
    <row r="1683" ht="13.5" hidden="1" customHeight="1">
      <c r="A1683" s="4" t="str">
        <f t="shared" si="1"/>
        <v>LFW-JUKEMU</v>
      </c>
      <c r="B1683" s="29" t="s">
        <v>927</v>
      </c>
      <c r="C1683" s="30" t="s">
        <v>928</v>
      </c>
      <c r="D1683" s="30" t="s">
        <v>22</v>
      </c>
      <c r="E1683" s="4" t="s">
        <v>1361</v>
      </c>
      <c r="F1683" s="28"/>
      <c r="G1683" s="4"/>
      <c r="H1683" s="4">
        <f>SUMIFS(X!$F$5:$F$2005,X!$D$5:$D$2005,'CEK CICI'!A1683)</f>
        <v>5</v>
      </c>
      <c r="I1683" s="4">
        <f>SUMIFS(PENJUALAN!$E$4:$E$4288,PENJUALAN!$C$4:$C$4288,'CEK CICI'!A1683)</f>
        <v>5</v>
      </c>
      <c r="J1683" s="16">
        <f t="shared" si="2"/>
        <v>0</v>
      </c>
      <c r="K1683" s="15" t="s">
        <v>1714</v>
      </c>
      <c r="L1683" s="15"/>
      <c r="M1683" s="5">
        <v>1.0</v>
      </c>
      <c r="N1683" s="4"/>
    </row>
    <row r="1684" ht="13.5" hidden="1" customHeight="1">
      <c r="A1684" s="4" t="str">
        <f t="shared" si="1"/>
        <v>LFW-LATIOMU</v>
      </c>
      <c r="B1684" s="29" t="s">
        <v>2072</v>
      </c>
      <c r="C1684" s="30" t="s">
        <v>2073</v>
      </c>
      <c r="D1684" s="30" t="s">
        <v>22</v>
      </c>
      <c r="E1684" s="4" t="s">
        <v>1361</v>
      </c>
      <c r="F1684" s="28" t="s">
        <v>1721</v>
      </c>
      <c r="G1684" s="4"/>
      <c r="H1684" s="4">
        <f>SUMIFS(X!$F$5:$F$2005,X!$D$5:$D$2005,'CEK CICI'!A1684)</f>
        <v>0</v>
      </c>
      <c r="I1684" s="4">
        <f>SUMIFS(PENJUALAN!$E$4:$E$4288,PENJUALAN!$C$4:$C$4288,'CEK CICI'!A1684)</f>
        <v>0</v>
      </c>
      <c r="J1684" s="16">
        <f t="shared" si="2"/>
        <v>0</v>
      </c>
      <c r="K1684" s="4"/>
      <c r="L1684" s="4"/>
      <c r="M1684" s="5">
        <v>1.0</v>
      </c>
      <c r="N1684" s="4"/>
    </row>
    <row r="1685" ht="13.5" hidden="1" customHeight="1">
      <c r="A1685" s="4" t="str">
        <f t="shared" si="1"/>
        <v>LFW-LIVINA07MU</v>
      </c>
      <c r="B1685" s="29" t="s">
        <v>934</v>
      </c>
      <c r="C1685" s="28" t="s">
        <v>935</v>
      </c>
      <c r="D1685" s="28" t="s">
        <v>22</v>
      </c>
      <c r="E1685" s="4" t="s">
        <v>1361</v>
      </c>
      <c r="F1685" s="28" t="s">
        <v>125</v>
      </c>
      <c r="G1685" s="4"/>
      <c r="H1685" s="4">
        <f>SUMIFS(X!$F$5:$F$2005,X!$D$5:$D$2005,'CEK CICI'!A1685)</f>
        <v>14</v>
      </c>
      <c r="I1685" s="4">
        <f>SUMIFS(PENJUALAN!$E$4:$E$4288,PENJUALAN!$C$4:$C$4288,'CEK CICI'!A1685)</f>
        <v>14</v>
      </c>
      <c r="J1685" s="16">
        <f t="shared" si="2"/>
        <v>0</v>
      </c>
      <c r="K1685" s="15" t="s">
        <v>1716</v>
      </c>
      <c r="L1685" s="15"/>
      <c r="M1685" s="5">
        <v>3.0</v>
      </c>
      <c r="N1685" s="4"/>
    </row>
    <row r="1686" ht="13.5" hidden="1" customHeight="1">
      <c r="A1686" s="4" t="str">
        <f t="shared" si="1"/>
        <v>LFW-MARCHMU</v>
      </c>
      <c r="B1686" s="29" t="s">
        <v>939</v>
      </c>
      <c r="C1686" s="28" t="s">
        <v>940</v>
      </c>
      <c r="D1686" s="28" t="s">
        <v>22</v>
      </c>
      <c r="E1686" s="4" t="s">
        <v>1361</v>
      </c>
      <c r="F1686" s="28" t="s">
        <v>125</v>
      </c>
      <c r="G1686" s="15" t="s">
        <v>11505</v>
      </c>
      <c r="H1686" s="4">
        <f>SUMIFS(X!$F$5:$F$2005,X!$D$5:$D$2005,'CEK CICI'!A1686)</f>
        <v>3</v>
      </c>
      <c r="I1686" s="4">
        <f>SUMIFS(PENJUALAN!$E$4:$E$4288,PENJUALAN!$C$4:$C$4288,'CEK CICI'!A1686)</f>
        <v>3</v>
      </c>
      <c r="J1686" s="16">
        <f t="shared" si="2"/>
        <v>0</v>
      </c>
      <c r="K1686" s="15" t="s">
        <v>1544</v>
      </c>
      <c r="L1686" s="15"/>
      <c r="M1686" s="5">
        <v>1.0</v>
      </c>
      <c r="N1686" s="4"/>
    </row>
    <row r="1687" ht="13.5" hidden="1" customHeight="1">
      <c r="A1687" s="4" t="str">
        <f t="shared" si="1"/>
        <v>LFW-C24MU</v>
      </c>
      <c r="B1687" s="29" t="s">
        <v>963</v>
      </c>
      <c r="C1687" s="28" t="s">
        <v>964</v>
      </c>
      <c r="D1687" s="28" t="s">
        <v>22</v>
      </c>
      <c r="E1687" s="4" t="s">
        <v>1361</v>
      </c>
      <c r="F1687" s="28" t="s">
        <v>97</v>
      </c>
      <c r="G1687" s="4"/>
      <c r="H1687" s="4">
        <f>SUMIFS(X!$F$5:$F$2005,X!$D$5:$D$2005,'CEK CICI'!A1687)</f>
        <v>6</v>
      </c>
      <c r="I1687" s="4">
        <f>SUMIFS(PENJUALAN!$E$4:$E$4288,PENJUALAN!$C$4:$C$4288,'CEK CICI'!A1687)</f>
        <v>6</v>
      </c>
      <c r="J1687" s="16">
        <f t="shared" si="2"/>
        <v>0</v>
      </c>
      <c r="K1687" s="15" t="s">
        <v>1792</v>
      </c>
      <c r="L1687" s="15"/>
      <c r="M1687" s="5">
        <v>1.0</v>
      </c>
      <c r="N1687" s="15" t="s">
        <v>1484</v>
      </c>
    </row>
    <row r="1688" ht="13.5" hidden="1" customHeight="1">
      <c r="A1688" s="4" t="str">
        <f t="shared" si="1"/>
        <v>LFW-TEANAMU</v>
      </c>
      <c r="B1688" s="29" t="s">
        <v>1684</v>
      </c>
      <c r="C1688" s="28" t="s">
        <v>1685</v>
      </c>
      <c r="D1688" s="28" t="s">
        <v>22</v>
      </c>
      <c r="E1688" s="4" t="s">
        <v>1361</v>
      </c>
      <c r="F1688" s="28"/>
      <c r="G1688" s="4"/>
      <c r="H1688" s="4">
        <f>SUMIFS(X!$F$5:$F$2005,X!$D$5:$D$2005,'CEK CICI'!A1688)</f>
        <v>0</v>
      </c>
      <c r="I1688" s="4">
        <f>SUMIFS(PENJUALAN!$E$4:$E$4288,PENJUALAN!$C$4:$C$4288,'CEK CICI'!A1688)</f>
        <v>0</v>
      </c>
      <c r="J1688" s="16">
        <f t="shared" si="2"/>
        <v>0</v>
      </c>
      <c r="K1688" s="4"/>
      <c r="L1688" s="4"/>
      <c r="M1688" s="4"/>
      <c r="N1688" s="4"/>
    </row>
    <row r="1689" ht="13.5" hidden="1" customHeight="1">
      <c r="A1689" s="4" t="str">
        <f t="shared" si="1"/>
        <v>LFW-TERRANOMU</v>
      </c>
      <c r="B1689" s="29" t="s">
        <v>2337</v>
      </c>
      <c r="C1689" s="30" t="s">
        <v>2338</v>
      </c>
      <c r="D1689" s="30" t="s">
        <v>22</v>
      </c>
      <c r="E1689" s="4" t="s">
        <v>1361</v>
      </c>
      <c r="F1689" s="28"/>
      <c r="G1689" s="4"/>
      <c r="H1689" s="4">
        <f>SUMIFS(X!$F$5:$F$2005,X!$D$5:$D$2005,'CEK CICI'!A1689)</f>
        <v>7</v>
      </c>
      <c r="I1689" s="4">
        <f>SUMIFS(PENJUALAN!$E$4:$E$4288,PENJUALAN!$C$4:$C$4288,'CEK CICI'!A1689)</f>
        <v>6</v>
      </c>
      <c r="J1689" s="16">
        <f t="shared" si="2"/>
        <v>1</v>
      </c>
      <c r="K1689" s="15" t="s">
        <v>1878</v>
      </c>
      <c r="L1689" s="15"/>
      <c r="M1689" s="5">
        <v>1.0</v>
      </c>
      <c r="N1689" s="15" t="s">
        <v>2339</v>
      </c>
    </row>
    <row r="1690" ht="13.5" hidden="1" customHeight="1">
      <c r="A1690" s="4" t="str">
        <f t="shared" si="1"/>
        <v>LFW-T30MU</v>
      </c>
      <c r="B1690" s="29" t="s">
        <v>982</v>
      </c>
      <c r="C1690" s="28" t="s">
        <v>983</v>
      </c>
      <c r="D1690" s="28" t="s">
        <v>22</v>
      </c>
      <c r="E1690" s="4" t="s">
        <v>1361</v>
      </c>
      <c r="F1690" s="28" t="s">
        <v>97</v>
      </c>
      <c r="G1690" s="4"/>
      <c r="H1690" s="4">
        <f>SUMIFS(X!$F$5:$F$2005,X!$D$5:$D$2005,'CEK CICI'!A1690)</f>
        <v>7</v>
      </c>
      <c r="I1690" s="4">
        <f>SUMIFS(PENJUALAN!$E$4:$E$4288,PENJUALAN!$C$4:$C$4288,'CEK CICI'!A1690)</f>
        <v>7</v>
      </c>
      <c r="J1690" s="16">
        <f t="shared" si="2"/>
        <v>0</v>
      </c>
      <c r="K1690" s="15" t="s">
        <v>1792</v>
      </c>
      <c r="L1690" s="15"/>
      <c r="M1690" s="5">
        <v>1.0</v>
      </c>
      <c r="N1690" s="15" t="s">
        <v>11526</v>
      </c>
    </row>
    <row r="1691" ht="13.5" hidden="1" customHeight="1">
      <c r="A1691" s="4" t="str">
        <f t="shared" si="1"/>
        <v>LFW-T31MU</v>
      </c>
      <c r="B1691" s="29" t="s">
        <v>990</v>
      </c>
      <c r="C1691" s="28" t="s">
        <v>991</v>
      </c>
      <c r="D1691" s="28" t="s">
        <v>22</v>
      </c>
      <c r="E1691" s="4" t="s">
        <v>1361</v>
      </c>
      <c r="F1691" s="28" t="s">
        <v>1721</v>
      </c>
      <c r="G1691" s="4"/>
      <c r="H1691" s="4">
        <f>SUMIFS(X!$F$5:$F$2005,X!$D$5:$D$2005,'CEK CICI'!A1691)</f>
        <v>5</v>
      </c>
      <c r="I1691" s="4">
        <f>SUMIFS(PENJUALAN!$E$4:$E$4288,PENJUALAN!$C$4:$C$4288,'CEK CICI'!A1691)</f>
        <v>5</v>
      </c>
      <c r="J1691" s="16">
        <f t="shared" si="2"/>
        <v>0</v>
      </c>
      <c r="K1691" s="15" t="s">
        <v>1544</v>
      </c>
      <c r="L1691" s="15"/>
      <c r="M1691" s="5">
        <v>1.0</v>
      </c>
      <c r="N1691" s="15"/>
    </row>
    <row r="1692" ht="13.5" hidden="1" customHeight="1">
      <c r="A1692" s="4" t="str">
        <f t="shared" si="1"/>
        <v>LFW-EXORAMU</v>
      </c>
      <c r="B1692" s="29" t="s">
        <v>1740</v>
      </c>
      <c r="C1692" s="28" t="s">
        <v>1741</v>
      </c>
      <c r="D1692" s="28" t="s">
        <v>22</v>
      </c>
      <c r="E1692" s="4" t="s">
        <v>1361</v>
      </c>
      <c r="F1692" s="28" t="s">
        <v>125</v>
      </c>
      <c r="G1692" s="4"/>
      <c r="H1692" s="4">
        <f>SUMIFS(X!$F$5:$F$2005,X!$D$5:$D$2005,'CEK CICI'!A1692)</f>
        <v>0</v>
      </c>
      <c r="I1692" s="4">
        <f>SUMIFS(PENJUALAN!$E$4:$E$4288,PENJUALAN!$C$4:$C$4288,'CEK CICI'!A1692)</f>
        <v>0</v>
      </c>
      <c r="J1692" s="16">
        <f t="shared" si="2"/>
        <v>0</v>
      </c>
      <c r="K1692" s="4"/>
      <c r="L1692" s="4"/>
      <c r="M1692" s="4"/>
      <c r="N1692" s="4"/>
    </row>
    <row r="1693" ht="13.5" hidden="1" customHeight="1">
      <c r="A1693" s="4" t="str">
        <f t="shared" si="1"/>
        <v>LFW-APVMU</v>
      </c>
      <c r="B1693" s="29" t="s">
        <v>1021</v>
      </c>
      <c r="C1693" s="28" t="s">
        <v>2322</v>
      </c>
      <c r="D1693" s="28" t="s">
        <v>22</v>
      </c>
      <c r="E1693" s="4" t="s">
        <v>1361</v>
      </c>
      <c r="F1693" s="28" t="s">
        <v>97</v>
      </c>
      <c r="G1693" s="4"/>
      <c r="H1693" s="4">
        <f>SUMIFS(X!$F$5:$F$2005,X!$D$5:$D$2005,'CEK CICI'!A1693)</f>
        <v>10</v>
      </c>
      <c r="I1693" s="4">
        <f>SUMIFS(PENJUALAN!$E$4:$E$4288,PENJUALAN!$C$4:$C$4288,'CEK CICI'!A1693)</f>
        <v>10</v>
      </c>
      <c r="J1693" s="16">
        <f t="shared" si="2"/>
        <v>0</v>
      </c>
      <c r="K1693" s="15" t="s">
        <v>1478</v>
      </c>
      <c r="L1693" s="15"/>
      <c r="M1693" s="5">
        <v>3.0</v>
      </c>
      <c r="N1693" s="4"/>
    </row>
    <row r="1694" ht="13.5" hidden="1" customHeight="1">
      <c r="A1694" s="4" t="str">
        <f t="shared" si="1"/>
        <v>TRW-APVVANMU</v>
      </c>
      <c r="B1694" s="29" t="s">
        <v>2041</v>
      </c>
      <c r="C1694" s="30" t="s">
        <v>2042</v>
      </c>
      <c r="D1694" s="30" t="s">
        <v>41</v>
      </c>
      <c r="E1694" s="4" t="s">
        <v>1361</v>
      </c>
      <c r="F1694" s="28"/>
      <c r="G1694" s="4"/>
      <c r="H1694" s="4">
        <f>SUMIFS(X!$F$5:$F$2005,X!$D$5:$D$2005,'CEK CICI'!A1694)</f>
        <v>5</v>
      </c>
      <c r="I1694" s="4">
        <f>SUMIFS(PENJUALAN!$E$4:$E$4288,PENJUALAN!$C$4:$C$4288,'CEK CICI'!A1694)</f>
        <v>3</v>
      </c>
      <c r="J1694" s="16">
        <f t="shared" si="2"/>
        <v>2</v>
      </c>
      <c r="K1694" s="15" t="s">
        <v>1445</v>
      </c>
      <c r="L1694" s="15"/>
      <c r="M1694" s="5">
        <v>3.0</v>
      </c>
      <c r="N1694" s="4"/>
    </row>
    <row r="1695" ht="13.5" hidden="1" customHeight="1">
      <c r="A1695" s="4" t="str">
        <f t="shared" si="1"/>
        <v>LFW-BALENO96MU</v>
      </c>
      <c r="B1695" s="29" t="s">
        <v>1766</v>
      </c>
      <c r="C1695" s="30" t="s">
        <v>1767</v>
      </c>
      <c r="D1695" s="30" t="s">
        <v>22</v>
      </c>
      <c r="E1695" s="4" t="s">
        <v>1361</v>
      </c>
      <c r="F1695" s="28" t="s">
        <v>2010</v>
      </c>
      <c r="G1695" s="4"/>
      <c r="H1695" s="4">
        <f>SUMIFS(X!$F$5:$F$2005,X!$D$5:$D$2005,'CEK CICI'!A1695)</f>
        <v>2</v>
      </c>
      <c r="I1695" s="4">
        <f>SUMIFS(PENJUALAN!$E$4:$E$4288,PENJUALAN!$C$4:$C$4288,'CEK CICI'!A1695)</f>
        <v>0</v>
      </c>
      <c r="J1695" s="16">
        <f t="shared" si="2"/>
        <v>2</v>
      </c>
      <c r="K1695" s="15" t="s">
        <v>1362</v>
      </c>
      <c r="L1695" s="15"/>
      <c r="M1695" s="5">
        <v>1.0</v>
      </c>
      <c r="N1695" s="4"/>
    </row>
    <row r="1696" ht="13.5" hidden="1" customHeight="1">
      <c r="A1696" s="4" t="str">
        <f t="shared" si="1"/>
        <v>LFW-CARRYFUTURAMU</v>
      </c>
      <c r="B1696" s="29" t="s">
        <v>1784</v>
      </c>
      <c r="C1696" s="28" t="s">
        <v>1785</v>
      </c>
      <c r="D1696" s="28" t="s">
        <v>22</v>
      </c>
      <c r="E1696" s="4" t="s">
        <v>1361</v>
      </c>
      <c r="F1696" s="28"/>
      <c r="G1696" s="4"/>
      <c r="H1696" s="4">
        <f>SUMIFS(X!$F$5:$F$2005,X!$D$5:$D$2005,'CEK CICI'!A1696)</f>
        <v>11</v>
      </c>
      <c r="I1696" s="4">
        <f>SUMIFS(PENJUALAN!$E$4:$E$4288,PENJUALAN!$C$4:$C$4288,'CEK CICI'!A1696)</f>
        <v>10</v>
      </c>
      <c r="J1696" s="16">
        <f t="shared" si="2"/>
        <v>1</v>
      </c>
      <c r="K1696" s="15" t="s">
        <v>1996</v>
      </c>
      <c r="L1696" s="15"/>
      <c r="M1696" s="5">
        <v>2.0</v>
      </c>
      <c r="N1696" s="4"/>
    </row>
    <row r="1697" ht="13.5" hidden="1" customHeight="1">
      <c r="A1697" s="4" t="str">
        <f t="shared" si="1"/>
        <v>FDL-CARRYFUTURAMU</v>
      </c>
      <c r="B1697" s="29" t="s">
        <v>2081</v>
      </c>
      <c r="C1697" s="66" t="s">
        <v>2082</v>
      </c>
      <c r="D1697" s="28" t="s">
        <v>93</v>
      </c>
      <c r="E1697" s="4" t="s">
        <v>1361</v>
      </c>
      <c r="F1697" s="28"/>
      <c r="G1697" s="4"/>
      <c r="H1697" s="4">
        <f>SUMIFS(X!$F$5:$F$2005,X!$D$5:$D$2005,'CEK CICI'!A1697)</f>
        <v>0</v>
      </c>
      <c r="I1697" s="4">
        <f>SUMIFS(PENJUALAN!$E$4:$E$4288,PENJUALAN!$C$4:$C$4288,'CEK CICI'!A1697)</f>
        <v>0</v>
      </c>
      <c r="J1697" s="16">
        <f t="shared" si="2"/>
        <v>0</v>
      </c>
      <c r="K1697" s="4"/>
      <c r="L1697" s="4"/>
      <c r="M1697" s="5">
        <v>1.0</v>
      </c>
      <c r="N1697" s="4"/>
    </row>
    <row r="1698" ht="13.5" hidden="1" customHeight="1">
      <c r="A1698" s="4" t="str">
        <f t="shared" si="1"/>
        <v>FDR-CARRYFUTURAMU</v>
      </c>
      <c r="B1698" s="29" t="s">
        <v>2083</v>
      </c>
      <c r="C1698" s="66" t="s">
        <v>2082</v>
      </c>
      <c r="D1698" s="28" t="s">
        <v>45</v>
      </c>
      <c r="E1698" s="4" t="s">
        <v>1361</v>
      </c>
      <c r="F1698" s="28"/>
      <c r="G1698" s="4"/>
      <c r="H1698" s="4">
        <f>SUMIFS(X!$F$5:$F$2005,X!$D$5:$D$2005,'CEK CICI'!A1698)</f>
        <v>0</v>
      </c>
      <c r="I1698" s="4">
        <f>SUMIFS(PENJUALAN!$E$4:$E$4288,PENJUALAN!$C$4:$C$4288,'CEK CICI'!A1698)</f>
        <v>0</v>
      </c>
      <c r="J1698" s="16">
        <f t="shared" si="2"/>
        <v>0</v>
      </c>
      <c r="K1698" s="4"/>
      <c r="L1698" s="4"/>
      <c r="M1698" s="5">
        <v>1.0</v>
      </c>
      <c r="N1698" s="4"/>
    </row>
    <row r="1699" ht="13.5" hidden="1" customHeight="1">
      <c r="A1699" s="4" t="str">
        <f t="shared" si="1"/>
        <v>LFW-CARRY19MU</v>
      </c>
      <c r="B1699" s="29" t="s">
        <v>1994</v>
      </c>
      <c r="C1699" s="65" t="s">
        <v>1995</v>
      </c>
      <c r="D1699" s="28" t="s">
        <v>22</v>
      </c>
      <c r="E1699" s="4" t="s">
        <v>1361</v>
      </c>
      <c r="F1699" s="28"/>
      <c r="G1699" s="4"/>
      <c r="H1699" s="4">
        <f>SUMIFS(X!$F$5:$F$2005,X!$D$5:$D$2005,'CEK CICI'!A1699)</f>
        <v>10</v>
      </c>
      <c r="I1699" s="4">
        <f>SUMIFS(PENJUALAN!$E$4:$E$4288,PENJUALAN!$C$4:$C$4288,'CEK CICI'!A1699)</f>
        <v>10</v>
      </c>
      <c r="J1699" s="16">
        <f t="shared" si="2"/>
        <v>0</v>
      </c>
      <c r="K1699" s="15" t="s">
        <v>1996</v>
      </c>
      <c r="L1699" s="15"/>
      <c r="M1699" s="5">
        <v>1.0</v>
      </c>
      <c r="N1699" s="4"/>
    </row>
    <row r="1700" ht="13.5" hidden="1" customHeight="1">
      <c r="A1700" s="4" t="str">
        <f t="shared" si="1"/>
        <v>LFW-ERTIGA12MU</v>
      </c>
      <c r="B1700" s="29" t="s">
        <v>1023</v>
      </c>
      <c r="C1700" s="28" t="s">
        <v>1024</v>
      </c>
      <c r="D1700" s="28" t="s">
        <v>22</v>
      </c>
      <c r="E1700" s="4" t="s">
        <v>1361</v>
      </c>
      <c r="F1700" s="28" t="s">
        <v>97</v>
      </c>
      <c r="G1700" s="4"/>
      <c r="H1700" s="4">
        <f>SUMIFS(X!$F$5:$F$2005,X!$D$5:$D$2005,'CEK CICI'!A1700)</f>
        <v>22</v>
      </c>
      <c r="I1700" s="4">
        <f>SUMIFS(PENJUALAN!$E$4:$E$4288,PENJUALAN!$C$4:$C$4288,'CEK CICI'!A1700)</f>
        <v>21</v>
      </c>
      <c r="J1700" s="16">
        <f t="shared" si="2"/>
        <v>1</v>
      </c>
      <c r="K1700" s="15" t="s">
        <v>1966</v>
      </c>
      <c r="L1700" s="15"/>
      <c r="M1700" s="5">
        <v>2.0</v>
      </c>
      <c r="N1700" s="4"/>
    </row>
    <row r="1701" ht="13.5" hidden="1" customHeight="1">
      <c r="A1701" s="4" t="str">
        <f t="shared" si="1"/>
        <v>LFW-ERTIGA18MU</v>
      </c>
      <c r="B1701" s="29" t="s">
        <v>1793</v>
      </c>
      <c r="C1701" s="33" t="s">
        <v>1794</v>
      </c>
      <c r="D1701" s="28" t="s">
        <v>22</v>
      </c>
      <c r="E1701" s="4" t="s">
        <v>1361</v>
      </c>
      <c r="F1701" s="28"/>
      <c r="G1701" s="4"/>
      <c r="H1701" s="4">
        <f>SUMIFS(X!$F$5:$F$2005,X!$D$5:$D$2005,'CEK CICI'!A1701)</f>
        <v>20</v>
      </c>
      <c r="I1701" s="4">
        <f>SUMIFS(PENJUALAN!$E$4:$E$4288,PENJUALAN!$C$4:$C$4288,'CEK CICI'!A1701)</f>
        <v>18</v>
      </c>
      <c r="J1701" s="16">
        <f t="shared" si="2"/>
        <v>2</v>
      </c>
      <c r="K1701" s="15" t="s">
        <v>1966</v>
      </c>
      <c r="L1701" s="15"/>
      <c r="M1701" s="5">
        <v>1.0</v>
      </c>
      <c r="N1701" s="4"/>
    </row>
    <row r="1702" ht="13.5" hidden="1" customHeight="1">
      <c r="A1702" s="4" t="str">
        <f t="shared" si="1"/>
        <v>FDL-ERTIGA18MU</v>
      </c>
      <c r="B1702" s="31" t="s">
        <v>2087</v>
      </c>
      <c r="C1702" s="28" t="s">
        <v>2088</v>
      </c>
      <c r="D1702" s="30" t="s">
        <v>128</v>
      </c>
      <c r="E1702" s="4" t="s">
        <v>1361</v>
      </c>
      <c r="F1702" s="28"/>
      <c r="G1702" s="4"/>
      <c r="H1702" s="4">
        <f>SUMIFS(X!$F$5:$F$2005,X!$D$5:$D$2005,'CEK CICI'!A1702)</f>
        <v>3</v>
      </c>
      <c r="I1702" s="4">
        <f>SUMIFS(PENJUALAN!$E$4:$E$4288,PENJUALAN!$C$4:$C$4288,'CEK CICI'!A1702)</f>
        <v>0</v>
      </c>
      <c r="J1702" s="16">
        <f t="shared" si="2"/>
        <v>3</v>
      </c>
      <c r="K1702" s="15" t="s">
        <v>48</v>
      </c>
      <c r="L1702" s="15"/>
      <c r="M1702" s="4"/>
      <c r="N1702" s="4"/>
    </row>
    <row r="1703" ht="13.5" hidden="1" customHeight="1">
      <c r="A1703" s="4" t="str">
        <f t="shared" si="1"/>
        <v>FDR-ERTIGA18MU</v>
      </c>
      <c r="B1703" s="31" t="s">
        <v>2089</v>
      </c>
      <c r="C1703" s="28" t="s">
        <v>2088</v>
      </c>
      <c r="D1703" s="30" t="s">
        <v>130</v>
      </c>
      <c r="E1703" s="4" t="s">
        <v>1361</v>
      </c>
      <c r="F1703" s="28"/>
      <c r="G1703" s="4"/>
      <c r="H1703" s="4">
        <f>SUMIFS(X!$F$5:$F$2005,X!$D$5:$D$2005,'CEK CICI'!A1703)</f>
        <v>5</v>
      </c>
      <c r="I1703" s="4">
        <f>SUMIFS(PENJUALAN!$E$4:$E$4288,PENJUALAN!$C$4:$C$4288,'CEK CICI'!A1703)</f>
        <v>0</v>
      </c>
      <c r="J1703" s="16">
        <f t="shared" si="2"/>
        <v>5</v>
      </c>
      <c r="K1703" s="15" t="s">
        <v>48</v>
      </c>
      <c r="L1703" s="15"/>
      <c r="M1703" s="4"/>
      <c r="N1703" s="4"/>
    </row>
    <row r="1704" ht="13.5" hidden="1" customHeight="1">
      <c r="A1704" s="4" t="str">
        <f t="shared" si="1"/>
        <v>RDL-ERTIGA18MU</v>
      </c>
      <c r="B1704" s="31" t="s">
        <v>2090</v>
      </c>
      <c r="C1704" s="28" t="s">
        <v>2088</v>
      </c>
      <c r="D1704" s="30" t="s">
        <v>132</v>
      </c>
      <c r="E1704" s="4" t="s">
        <v>1361</v>
      </c>
      <c r="F1704" s="28"/>
      <c r="G1704" s="4"/>
      <c r="H1704" s="4">
        <f>SUMIFS(X!$F$5:$F$2005,X!$D$5:$D$2005,'CEK CICI'!A1704)</f>
        <v>3</v>
      </c>
      <c r="I1704" s="4">
        <f>SUMIFS(PENJUALAN!$E$4:$E$4288,PENJUALAN!$C$4:$C$4288,'CEK CICI'!A1704)</f>
        <v>0</v>
      </c>
      <c r="J1704" s="16">
        <f t="shared" si="2"/>
        <v>3</v>
      </c>
      <c r="K1704" s="15" t="s">
        <v>1720</v>
      </c>
      <c r="L1704" s="15"/>
      <c r="M1704" s="4"/>
      <c r="N1704" s="4"/>
    </row>
    <row r="1705" ht="13.5" hidden="1" customHeight="1">
      <c r="A1705" s="4" t="str">
        <f t="shared" si="1"/>
        <v>RDR-ERTIGA18MU</v>
      </c>
      <c r="B1705" s="31" t="s">
        <v>2091</v>
      </c>
      <c r="C1705" s="28" t="s">
        <v>2088</v>
      </c>
      <c r="D1705" s="30" t="s">
        <v>134</v>
      </c>
      <c r="E1705" s="4" t="s">
        <v>1361</v>
      </c>
      <c r="F1705" s="28"/>
      <c r="G1705" s="4"/>
      <c r="H1705" s="4">
        <f>SUMIFS(X!$F$5:$F$2005,X!$D$5:$D$2005,'CEK CICI'!A1705)</f>
        <v>3</v>
      </c>
      <c r="I1705" s="4">
        <f>SUMIFS(PENJUALAN!$E$4:$E$4288,PENJUALAN!$C$4:$C$4288,'CEK CICI'!A1705)</f>
        <v>0</v>
      </c>
      <c r="J1705" s="16">
        <f t="shared" si="2"/>
        <v>3</v>
      </c>
      <c r="K1705" s="15" t="s">
        <v>1720</v>
      </c>
      <c r="L1705" s="15"/>
      <c r="M1705" s="4"/>
      <c r="N1705" s="4"/>
    </row>
    <row r="1706" ht="13.5" hidden="1" customHeight="1">
      <c r="A1706" s="4" t="str">
        <f t="shared" si="1"/>
        <v>LFW-ESTEEMMU</v>
      </c>
      <c r="B1706" s="29" t="s">
        <v>2187</v>
      </c>
      <c r="C1706" s="30" t="s">
        <v>2188</v>
      </c>
      <c r="D1706" s="30" t="s">
        <v>22</v>
      </c>
      <c r="E1706" s="4" t="s">
        <v>1361</v>
      </c>
      <c r="F1706" s="28"/>
      <c r="G1706" s="4"/>
      <c r="H1706" s="4">
        <f>SUMIFS(X!$F$5:$F$2005,X!$D$5:$D$2005,'CEK CICI'!A1706)</f>
        <v>2</v>
      </c>
      <c r="I1706" s="4">
        <f>SUMIFS(PENJUALAN!$E$4:$E$4288,PENJUALAN!$C$4:$C$4288,'CEK CICI'!A1706)</f>
        <v>2</v>
      </c>
      <c r="J1706" s="16">
        <f t="shared" si="2"/>
        <v>0</v>
      </c>
      <c r="K1706" s="4"/>
      <c r="L1706" s="4"/>
      <c r="M1706" s="4"/>
      <c r="N1706" s="4"/>
    </row>
    <row r="1707" ht="13.5" hidden="1" customHeight="1">
      <c r="A1707" s="4" t="str">
        <f t="shared" si="1"/>
        <v>LFW-ESCUDO00MU</v>
      </c>
      <c r="B1707" s="29" t="s">
        <v>1796</v>
      </c>
      <c r="C1707" s="30" t="s">
        <v>1797</v>
      </c>
      <c r="D1707" s="30" t="s">
        <v>22</v>
      </c>
      <c r="E1707" s="4" t="s">
        <v>1361</v>
      </c>
      <c r="F1707" s="28" t="s">
        <v>125</v>
      </c>
      <c r="G1707" s="4"/>
      <c r="H1707" s="4">
        <f>SUMIFS(X!$F$5:$F$2005,X!$D$5:$D$2005,'CEK CICI'!A1707)</f>
        <v>8</v>
      </c>
      <c r="I1707" s="4">
        <f>SUMIFS(PENJUALAN!$E$4:$E$4288,PENJUALAN!$C$4:$C$4288,'CEK CICI'!A1707)</f>
        <v>7</v>
      </c>
      <c r="J1707" s="16">
        <f t="shared" si="2"/>
        <v>1</v>
      </c>
      <c r="K1707" s="15" t="s">
        <v>1362</v>
      </c>
      <c r="L1707" s="15"/>
      <c r="M1707" s="4"/>
      <c r="N1707" s="4"/>
    </row>
    <row r="1708" ht="13.5" hidden="1" customHeight="1">
      <c r="A1708" s="4" t="str">
        <f t="shared" si="1"/>
        <v>LFW-IGNISMU</v>
      </c>
      <c r="B1708" s="29" t="s">
        <v>1801</v>
      </c>
      <c r="C1708" s="30" t="s">
        <v>1802</v>
      </c>
      <c r="D1708" s="28" t="s">
        <v>22</v>
      </c>
      <c r="E1708" s="4" t="s">
        <v>1361</v>
      </c>
      <c r="F1708" s="28" t="s">
        <v>97</v>
      </c>
      <c r="G1708" s="4"/>
      <c r="H1708" s="4">
        <f>SUMIFS(X!$F$5:$F$2005,X!$D$5:$D$2005,'CEK CICI'!A1708)</f>
        <v>1</v>
      </c>
      <c r="I1708" s="4">
        <f>SUMIFS(PENJUALAN!$E$4:$E$4288,PENJUALAN!$C$4:$C$4288,'CEK CICI'!A1708)</f>
        <v>1</v>
      </c>
      <c r="J1708" s="16">
        <f t="shared" si="2"/>
        <v>0</v>
      </c>
      <c r="K1708" s="4"/>
      <c r="L1708" s="4"/>
      <c r="M1708" s="4"/>
      <c r="N1708" s="4"/>
    </row>
    <row r="1709" ht="13.5" hidden="1" customHeight="1">
      <c r="A1709" s="4" t="str">
        <f t="shared" si="1"/>
        <v>LFW-KATANAG84MU</v>
      </c>
      <c r="B1709" s="31" t="s">
        <v>2420</v>
      </c>
      <c r="C1709" s="30" t="s">
        <v>1454</v>
      </c>
      <c r="D1709" s="30" t="s">
        <v>22</v>
      </c>
      <c r="E1709" s="4" t="s">
        <v>1361</v>
      </c>
      <c r="F1709" s="28"/>
      <c r="G1709" s="4"/>
      <c r="H1709" s="4">
        <f>SUMIFS(X!$F$5:$F$2005,X!$D$5:$D$2005,'CEK CICI'!A1709)</f>
        <v>3</v>
      </c>
      <c r="I1709" s="4">
        <f>SUMIFS(PENJUALAN!$E$4:$E$4288,PENJUALAN!$C$4:$C$4288,'CEK CICI'!A1709)</f>
        <v>3</v>
      </c>
      <c r="J1709" s="16">
        <f t="shared" si="2"/>
        <v>0</v>
      </c>
      <c r="K1709" s="15" t="s">
        <v>1456</v>
      </c>
      <c r="L1709" s="15"/>
      <c r="M1709" s="4"/>
      <c r="N1709" s="4"/>
    </row>
    <row r="1710" ht="13.5" customHeight="1">
      <c r="A1710" s="4" t="str">
        <f t="shared" si="1"/>
        <v>LFW-SPLASHMU</v>
      </c>
      <c r="B1710" s="29" t="s">
        <v>1025</v>
      </c>
      <c r="C1710" s="28" t="s">
        <v>1026</v>
      </c>
      <c r="D1710" s="28" t="s">
        <v>22</v>
      </c>
      <c r="E1710" s="4" t="s">
        <v>1361</v>
      </c>
      <c r="F1710" s="28" t="s">
        <v>97</v>
      </c>
      <c r="G1710" s="15">
        <v>1.0</v>
      </c>
      <c r="H1710" s="4">
        <f>SUMIFS(X!$F$5:$F$2005,X!$D$5:$D$2005,'CEK CICI'!A1710)</f>
        <v>5</v>
      </c>
      <c r="I1710" s="4">
        <f>SUMIFS(PENJUALAN!$E$4:$E$4288,PENJUALAN!$C$4:$C$4288,'CEK CICI'!A1710)</f>
        <v>5</v>
      </c>
      <c r="J1710" s="16">
        <f t="shared" si="2"/>
        <v>0</v>
      </c>
      <c r="K1710" s="15" t="s">
        <v>1362</v>
      </c>
      <c r="L1710" s="15"/>
      <c r="M1710" s="5">
        <v>1.0</v>
      </c>
      <c r="N1710" s="4"/>
    </row>
    <row r="1711" ht="13.5" hidden="1" customHeight="1">
      <c r="A1711" s="4" t="str">
        <f t="shared" si="1"/>
        <v>LFW-SWIFT11MU</v>
      </c>
      <c r="B1711" s="29" t="s">
        <v>1482</v>
      </c>
      <c r="C1711" s="30" t="s">
        <v>1483</v>
      </c>
      <c r="D1711" s="30" t="s">
        <v>22</v>
      </c>
      <c r="E1711" s="4" t="s">
        <v>1361</v>
      </c>
      <c r="F1711" s="28"/>
      <c r="G1711" s="4"/>
      <c r="H1711" s="4">
        <f>SUMIFS(X!$F$5:$F$2005,X!$D$5:$D$2005,'CEK CICI'!A1711)</f>
        <v>5</v>
      </c>
      <c r="I1711" s="4">
        <f>SUMIFS(PENJUALAN!$E$4:$E$4288,PENJUALAN!$C$4:$C$4288,'CEK CICI'!A1711)</f>
        <v>5</v>
      </c>
      <c r="J1711" s="16">
        <f t="shared" si="2"/>
        <v>0</v>
      </c>
      <c r="K1711" s="15" t="s">
        <v>1362</v>
      </c>
      <c r="L1711" s="15"/>
      <c r="M1711" s="5">
        <v>1.0</v>
      </c>
      <c r="N1711" s="15" t="s">
        <v>1484</v>
      </c>
    </row>
    <row r="1712" ht="13.5" hidden="1" customHeight="1">
      <c r="A1712" s="4" t="str">
        <f t="shared" si="1"/>
        <v>LFW-VITARA88MU</v>
      </c>
      <c r="B1712" s="29" t="s">
        <v>1480</v>
      </c>
      <c r="C1712" s="30" t="s">
        <v>1481</v>
      </c>
      <c r="D1712" s="30" t="s">
        <v>22</v>
      </c>
      <c r="E1712" s="4" t="s">
        <v>1361</v>
      </c>
      <c r="F1712" s="28"/>
      <c r="G1712" s="4"/>
      <c r="H1712" s="4">
        <f>SUMIFS(X!$F$5:$F$2005,X!$D$5:$D$2005,'CEK CICI'!A1712)</f>
        <v>8</v>
      </c>
      <c r="I1712" s="4">
        <f>SUMIFS(PENJUALAN!$E$4:$E$4288,PENJUALAN!$C$4:$C$4288,'CEK CICI'!A1712)</f>
        <v>7</v>
      </c>
      <c r="J1712" s="16">
        <f t="shared" si="2"/>
        <v>1</v>
      </c>
      <c r="K1712" s="15" t="s">
        <v>1478</v>
      </c>
      <c r="L1712" s="15"/>
      <c r="M1712" s="5">
        <v>1.0</v>
      </c>
      <c r="N1712" s="4"/>
    </row>
    <row r="1713" ht="13.5" hidden="1" customHeight="1">
      <c r="A1713" s="4" t="str">
        <f t="shared" si="1"/>
        <v>LFW-WAGONRMU</v>
      </c>
      <c r="B1713" s="29" t="s">
        <v>1476</v>
      </c>
      <c r="C1713" s="30" t="s">
        <v>1477</v>
      </c>
      <c r="D1713" s="30" t="s">
        <v>22</v>
      </c>
      <c r="E1713" s="4" t="s">
        <v>1361</v>
      </c>
      <c r="F1713" s="28"/>
      <c r="G1713" s="4"/>
      <c r="H1713" s="4">
        <f>SUMIFS(X!$F$5:$F$2005,X!$D$5:$D$2005,'CEK CICI'!A1713)</f>
        <v>5</v>
      </c>
      <c r="I1713" s="4">
        <f>SUMIFS(PENJUALAN!$E$4:$E$4288,PENJUALAN!$C$4:$C$4288,'CEK CICI'!A1713)</f>
        <v>3</v>
      </c>
      <c r="J1713" s="16">
        <f t="shared" si="2"/>
        <v>2</v>
      </c>
      <c r="K1713" s="15" t="s">
        <v>1478</v>
      </c>
      <c r="L1713" s="15"/>
      <c r="M1713" s="5">
        <v>1.0</v>
      </c>
      <c r="N1713" s="15" t="s">
        <v>1479</v>
      </c>
    </row>
    <row r="1714" ht="13.5" hidden="1" customHeight="1">
      <c r="A1714" s="4" t="str">
        <f t="shared" si="1"/>
        <v>LFW-AGYA13MU</v>
      </c>
      <c r="B1714" s="31" t="s">
        <v>2101</v>
      </c>
      <c r="C1714" s="57" t="s">
        <v>85</v>
      </c>
      <c r="D1714" s="30" t="s">
        <v>22</v>
      </c>
      <c r="E1714" s="4" t="s">
        <v>1361</v>
      </c>
      <c r="F1714" s="28" t="s">
        <v>97</v>
      </c>
      <c r="G1714" s="4"/>
      <c r="H1714" s="4">
        <f>SUMIFS(X!$F$5:$F$2005,X!$D$5:$D$2005,'CEK CICI'!A1714)</f>
        <v>39</v>
      </c>
      <c r="I1714" s="4">
        <f>SUMIFS(PENJUALAN!$E$4:$E$4288,PENJUALAN!$C$4:$C$4288,'CEK CICI'!A1714)</f>
        <v>33</v>
      </c>
      <c r="J1714" s="16">
        <f t="shared" si="2"/>
        <v>6</v>
      </c>
      <c r="K1714" s="15" t="s">
        <v>1603</v>
      </c>
      <c r="L1714" s="15"/>
      <c r="M1714" s="5">
        <v>3.0</v>
      </c>
      <c r="N1714" s="4"/>
    </row>
    <row r="1715" ht="13.5" customHeight="1">
      <c r="A1715" s="4" t="str">
        <f t="shared" si="1"/>
        <v>LFW-AGYA23MU</v>
      </c>
      <c r="B1715" s="31" t="s">
        <v>1601</v>
      </c>
      <c r="C1715" s="57" t="s">
        <v>1602</v>
      </c>
      <c r="D1715" s="43" t="s">
        <v>22</v>
      </c>
      <c r="E1715" s="15" t="s">
        <v>1361</v>
      </c>
      <c r="F1715" s="33" t="s">
        <v>97</v>
      </c>
      <c r="G1715" s="15">
        <v>1.0</v>
      </c>
      <c r="H1715" s="4">
        <f>SUMIFS(X!$F$5:$F$2005,X!$D$5:$D$2005,'CEK CICI'!A1715)</f>
        <v>6</v>
      </c>
      <c r="I1715" s="4">
        <f>SUMIFS(PENJUALAN!$E$4:$E$4288,PENJUALAN!$C$4:$C$4288,'CEK CICI'!A1715)</f>
        <v>5</v>
      </c>
      <c r="J1715" s="16">
        <f t="shared" si="2"/>
        <v>1</v>
      </c>
      <c r="K1715" s="15" t="s">
        <v>1603</v>
      </c>
      <c r="L1715" s="15"/>
      <c r="M1715" s="5"/>
      <c r="N1715" s="15" t="s">
        <v>11527</v>
      </c>
    </row>
    <row r="1716" ht="13.5" hidden="1" customHeight="1">
      <c r="A1716" s="4" t="str">
        <f t="shared" si="1"/>
        <v>LFW-ALTIS00MU</v>
      </c>
      <c r="B1716" s="29" t="s">
        <v>1072</v>
      </c>
      <c r="C1716" s="65" t="s">
        <v>1073</v>
      </c>
      <c r="D1716" s="30" t="s">
        <v>22</v>
      </c>
      <c r="E1716" s="4" t="s">
        <v>1361</v>
      </c>
      <c r="F1716" s="28"/>
      <c r="G1716" s="4"/>
      <c r="H1716" s="4">
        <f>SUMIFS(X!$F$5:$F$2005,X!$D$5:$D$2005,'CEK CICI'!A1716)</f>
        <v>0</v>
      </c>
      <c r="I1716" s="4">
        <f>SUMIFS(PENJUALAN!$E$4:$E$4288,PENJUALAN!$C$4:$C$4288,'CEK CICI'!A1716)</f>
        <v>0</v>
      </c>
      <c r="J1716" s="16">
        <f t="shared" si="2"/>
        <v>0</v>
      </c>
      <c r="K1716" s="4"/>
      <c r="L1716" s="4"/>
      <c r="M1716" s="5">
        <v>1.0</v>
      </c>
      <c r="N1716" s="4"/>
    </row>
    <row r="1717" ht="13.5" hidden="1" customHeight="1">
      <c r="A1717" s="4" t="str">
        <f t="shared" si="1"/>
        <v>LFW-AVANZA03MU</v>
      </c>
      <c r="B1717" s="29" t="s">
        <v>1096</v>
      </c>
      <c r="C1717" s="28" t="s">
        <v>65</v>
      </c>
      <c r="D1717" s="28" t="s">
        <v>22</v>
      </c>
      <c r="E1717" s="4" t="s">
        <v>1361</v>
      </c>
      <c r="F1717" s="28" t="s">
        <v>97</v>
      </c>
      <c r="G1717" s="4"/>
      <c r="H1717" s="4">
        <f>SUMIFS(X!$F$5:$F$2005,X!$D$5:$D$2005,'CEK CICI'!A1717)</f>
        <v>35</v>
      </c>
      <c r="I1717" s="4">
        <f>SUMIFS(PENJUALAN!$E$4:$E$4288,PENJUALAN!$C$4:$C$4288,'CEK CICI'!A1717)</f>
        <v>32</v>
      </c>
      <c r="J1717" s="16">
        <f t="shared" si="2"/>
        <v>3</v>
      </c>
      <c r="K1717" s="15" t="s">
        <v>1845</v>
      </c>
      <c r="L1717" s="15"/>
      <c r="M1717" s="5">
        <v>3.0</v>
      </c>
      <c r="N1717" s="15" t="s">
        <v>1850</v>
      </c>
    </row>
    <row r="1718" ht="13.5" hidden="1" customHeight="1">
      <c r="A1718" s="4" t="str">
        <f t="shared" si="1"/>
        <v>SWL-AVANZA03MU</v>
      </c>
      <c r="B1718" s="29" t="s">
        <v>1608</v>
      </c>
      <c r="C1718" s="28" t="s">
        <v>65</v>
      </c>
      <c r="D1718" s="28" t="s">
        <v>1434</v>
      </c>
      <c r="E1718" s="4" t="s">
        <v>1361</v>
      </c>
      <c r="F1718" s="28"/>
      <c r="G1718" s="4"/>
      <c r="H1718" s="4">
        <f>SUMIFS(X!$F$5:$F$2005,X!$D$5:$D$2005,'CEK CICI'!A1718)</f>
        <v>5</v>
      </c>
      <c r="I1718" s="4">
        <f>SUMIFS(PENJUALAN!$E$4:$E$4288,PENJUALAN!$C$4:$C$4288,'CEK CICI'!A1718)</f>
        <v>5</v>
      </c>
      <c r="J1718" s="16">
        <f t="shared" si="2"/>
        <v>0</v>
      </c>
      <c r="K1718" s="15" t="s">
        <v>1473</v>
      </c>
      <c r="L1718" s="15"/>
      <c r="M1718" s="5">
        <v>2.0</v>
      </c>
      <c r="N1718" s="4"/>
    </row>
    <row r="1719" ht="13.5" hidden="1" customHeight="1">
      <c r="A1719" s="4" t="str">
        <f t="shared" si="1"/>
        <v>SWR-AVANZA03MU</v>
      </c>
      <c r="B1719" s="29" t="s">
        <v>1599</v>
      </c>
      <c r="C1719" s="28" t="s">
        <v>65</v>
      </c>
      <c r="D1719" s="28" t="s">
        <v>104</v>
      </c>
      <c r="E1719" s="4" t="s">
        <v>1361</v>
      </c>
      <c r="F1719" s="28"/>
      <c r="G1719" s="4"/>
      <c r="H1719" s="4">
        <f>SUMIFS(X!$F$5:$F$2005,X!$D$5:$D$2005,'CEK CICI'!A1719)</f>
        <v>5</v>
      </c>
      <c r="I1719" s="4">
        <f>SUMIFS(PENJUALAN!$E$4:$E$4288,PENJUALAN!$C$4:$C$4288,'CEK CICI'!A1719)</f>
        <v>5</v>
      </c>
      <c r="J1719" s="16">
        <f t="shared" si="2"/>
        <v>0</v>
      </c>
      <c r="K1719" s="15" t="s">
        <v>1473</v>
      </c>
      <c r="L1719" s="15"/>
      <c r="M1719" s="5">
        <v>2.0</v>
      </c>
      <c r="N1719" s="4"/>
    </row>
    <row r="1720" ht="13.5" hidden="1" customHeight="1">
      <c r="A1720" s="4" t="str">
        <f t="shared" si="1"/>
        <v>LFW-AVANZA11MU</v>
      </c>
      <c r="B1720" s="29" t="s">
        <v>1098</v>
      </c>
      <c r="C1720" s="28" t="s">
        <v>81</v>
      </c>
      <c r="D1720" s="28" t="s">
        <v>22</v>
      </c>
      <c r="E1720" s="4" t="s">
        <v>1361</v>
      </c>
      <c r="F1720" s="28" t="s">
        <v>97</v>
      </c>
      <c r="G1720" s="4"/>
      <c r="H1720" s="4">
        <f>SUMIFS(X!$F$5:$F$2005,X!$D$5:$D$2005,'CEK CICI'!A1720)</f>
        <v>46</v>
      </c>
      <c r="I1720" s="4">
        <f>SUMIFS(PENJUALAN!$E$4:$E$4288,PENJUALAN!$C$4:$C$4288,'CEK CICI'!A1720)</f>
        <v>41</v>
      </c>
      <c r="J1720" s="16">
        <f t="shared" si="2"/>
        <v>5</v>
      </c>
      <c r="K1720" s="15" t="s">
        <v>1848</v>
      </c>
      <c r="L1720" s="15"/>
      <c r="M1720" s="5">
        <v>3.0</v>
      </c>
      <c r="N1720" s="15" t="s">
        <v>1997</v>
      </c>
    </row>
    <row r="1721" ht="13.5" hidden="1" customHeight="1">
      <c r="A1721" s="4" t="str">
        <f t="shared" si="1"/>
        <v>TRW-AVANZA11MU</v>
      </c>
      <c r="B1721" s="29" t="s">
        <v>87</v>
      </c>
      <c r="C1721" s="33" t="s">
        <v>1472</v>
      </c>
      <c r="D1721" s="28" t="s">
        <v>41</v>
      </c>
      <c r="E1721" s="4" t="s">
        <v>1361</v>
      </c>
      <c r="F1721" s="28" t="s">
        <v>97</v>
      </c>
      <c r="G1721" s="4"/>
      <c r="H1721" s="4">
        <f>SUMIFS(X!$F$5:$F$2005,X!$D$5:$D$2005,'CEK CICI'!A1721)</f>
        <v>34</v>
      </c>
      <c r="I1721" s="4">
        <f>SUMIFS(PENJUALAN!$E$4:$E$4288,PENJUALAN!$C$4:$C$4288,'CEK CICI'!A1721)</f>
        <v>25</v>
      </c>
      <c r="J1721" s="16">
        <f t="shared" si="2"/>
        <v>9</v>
      </c>
      <c r="K1721" s="15" t="s">
        <v>11528</v>
      </c>
      <c r="L1721" s="15"/>
      <c r="M1721" s="5">
        <v>2.0</v>
      </c>
      <c r="N1721" s="4"/>
    </row>
    <row r="1722" ht="13.5" hidden="1" customHeight="1">
      <c r="A1722" s="4" t="str">
        <f t="shared" si="1"/>
        <v>SWL-AVANZA11MU</v>
      </c>
      <c r="B1722" s="29" t="s">
        <v>2109</v>
      </c>
      <c r="C1722" s="33" t="s">
        <v>1472</v>
      </c>
      <c r="D1722" s="28" t="s">
        <v>1434</v>
      </c>
      <c r="E1722" s="4" t="s">
        <v>1361</v>
      </c>
      <c r="F1722" s="28"/>
      <c r="G1722" s="4"/>
      <c r="H1722" s="4">
        <f>SUMIFS(X!$F$5:$F$2005,X!$D$5:$D$2005,'CEK CICI'!A1722)</f>
        <v>10</v>
      </c>
      <c r="I1722" s="4">
        <f>SUMIFS(PENJUALAN!$E$4:$E$4288,PENJUALAN!$C$4:$C$4288,'CEK CICI'!A1722)</f>
        <v>8</v>
      </c>
      <c r="J1722" s="16">
        <f t="shared" si="2"/>
        <v>2</v>
      </c>
      <c r="K1722" s="15" t="s">
        <v>1473</v>
      </c>
      <c r="L1722" s="15"/>
      <c r="M1722" s="5">
        <v>2.0</v>
      </c>
      <c r="N1722" s="4"/>
    </row>
    <row r="1723" ht="13.5" hidden="1" customHeight="1">
      <c r="A1723" s="4" t="str">
        <f t="shared" si="1"/>
        <v>SWR-AVANZA11MU</v>
      </c>
      <c r="B1723" s="29" t="s">
        <v>1471</v>
      </c>
      <c r="C1723" s="33" t="s">
        <v>1472</v>
      </c>
      <c r="D1723" s="28" t="s">
        <v>104</v>
      </c>
      <c r="E1723" s="4" t="s">
        <v>1361</v>
      </c>
      <c r="F1723" s="28"/>
      <c r="G1723" s="4"/>
      <c r="H1723" s="4">
        <f>SUMIFS(X!$F$5:$F$2005,X!$D$5:$D$2005,'CEK CICI'!A1723)</f>
        <v>10</v>
      </c>
      <c r="I1723" s="4">
        <f>SUMIFS(PENJUALAN!$E$4:$E$4288,PENJUALAN!$C$4:$C$4288,'CEK CICI'!A1723)</f>
        <v>5</v>
      </c>
      <c r="J1723" s="16">
        <f t="shared" si="2"/>
        <v>5</v>
      </c>
      <c r="K1723" s="15" t="s">
        <v>1473</v>
      </c>
      <c r="L1723" s="15"/>
      <c r="M1723" s="5">
        <v>2.0</v>
      </c>
      <c r="N1723" s="4"/>
    </row>
    <row r="1724" ht="13.5" hidden="1" customHeight="1">
      <c r="A1724" s="4" t="str">
        <f t="shared" si="1"/>
        <v>LFW-AVANZA16MU</v>
      </c>
      <c r="B1724" s="29" t="s">
        <v>1100</v>
      </c>
      <c r="C1724" s="28" t="s">
        <v>1101</v>
      </c>
      <c r="D1724" s="28" t="s">
        <v>22</v>
      </c>
      <c r="E1724" s="4" t="s">
        <v>1361</v>
      </c>
      <c r="F1724" s="28" t="s">
        <v>97</v>
      </c>
      <c r="G1724" s="4"/>
      <c r="H1724" s="4">
        <f>SUMIFS(X!$F$5:$F$2005,X!$D$5:$D$2005,'CEK CICI'!A1724)</f>
        <v>66</v>
      </c>
      <c r="I1724" s="4">
        <f>SUMIFS(PENJUALAN!$E$4:$E$4288,PENJUALAN!$C$4:$C$4288,'CEK CICI'!A1724)</f>
        <v>63</v>
      </c>
      <c r="J1724" s="16">
        <f t="shared" si="2"/>
        <v>3</v>
      </c>
      <c r="K1724" s="15" t="s">
        <v>1845</v>
      </c>
      <c r="L1724" s="15"/>
      <c r="M1724" s="5">
        <v>3.0</v>
      </c>
      <c r="N1724" s="15" t="s">
        <v>11529</v>
      </c>
    </row>
    <row r="1725" ht="13.5" hidden="1" customHeight="1">
      <c r="A1725" s="4" t="str">
        <f t="shared" si="1"/>
        <v>LFW-AVANZA21MU</v>
      </c>
      <c r="B1725" s="41" t="s">
        <v>1768</v>
      </c>
      <c r="C1725" s="30" t="s">
        <v>1769</v>
      </c>
      <c r="D1725" s="30" t="s">
        <v>22</v>
      </c>
      <c r="E1725" s="4" t="s">
        <v>1361</v>
      </c>
      <c r="F1725" s="28" t="s">
        <v>125</v>
      </c>
      <c r="G1725" s="4"/>
      <c r="H1725" s="4">
        <f>SUMIFS(X!$F$5:$F$2005,X!$D$5:$D$2005,'CEK CICI'!A1725)</f>
        <v>24</v>
      </c>
      <c r="I1725" s="4">
        <f>SUMIFS(PENJUALAN!$E$4:$E$4288,PENJUALAN!$C$4:$C$4288,'CEK CICI'!A1725)</f>
        <v>22</v>
      </c>
      <c r="J1725" s="16">
        <f t="shared" si="2"/>
        <v>2</v>
      </c>
      <c r="K1725" s="15" t="s">
        <v>1770</v>
      </c>
      <c r="L1725" s="15"/>
      <c r="M1725" s="5">
        <v>1.0</v>
      </c>
      <c r="N1725" s="4"/>
    </row>
    <row r="1726" ht="13.5" hidden="1" customHeight="1">
      <c r="A1726" s="4" t="str">
        <f t="shared" si="1"/>
        <v>LFW-SIGRA16MU</v>
      </c>
      <c r="B1726" s="31" t="s">
        <v>2111</v>
      </c>
      <c r="C1726" s="30" t="s">
        <v>1517</v>
      </c>
      <c r="D1726" s="30" t="s">
        <v>22</v>
      </c>
      <c r="E1726" s="4" t="s">
        <v>1361</v>
      </c>
      <c r="F1726" s="28"/>
      <c r="G1726" s="4"/>
      <c r="H1726" s="4">
        <f>SUMIFS(X!$F$5:$F$2005,X!$D$5:$D$2005,'CEK CICI'!A1726)</f>
        <v>56</v>
      </c>
      <c r="I1726" s="4">
        <f>SUMIFS(PENJUALAN!$E$4:$E$4288,PENJUALAN!$C$4:$C$4288,'CEK CICI'!A1726)</f>
        <v>55</v>
      </c>
      <c r="J1726" s="16">
        <f t="shared" si="2"/>
        <v>1</v>
      </c>
      <c r="K1726" s="15" t="s">
        <v>1603</v>
      </c>
      <c r="L1726" s="15"/>
      <c r="M1726" s="5">
        <v>3.0</v>
      </c>
      <c r="N1726" s="15" t="s">
        <v>1850</v>
      </c>
    </row>
    <row r="1727" ht="13.5" hidden="1" customHeight="1">
      <c r="A1727" s="4" t="str">
        <f t="shared" si="1"/>
        <v>TRW-SIGRA16MU</v>
      </c>
      <c r="B1727" s="61" t="s">
        <v>1764</v>
      </c>
      <c r="C1727" s="30" t="s">
        <v>1517</v>
      </c>
      <c r="D1727" s="30" t="s">
        <v>41</v>
      </c>
      <c r="E1727" s="4" t="s">
        <v>1361</v>
      </c>
      <c r="F1727" s="28"/>
      <c r="G1727" s="4"/>
      <c r="H1727" s="4">
        <f>SUMIFS(X!$F$5:$F$2005,X!$D$5:$D$2005,'CEK CICI'!A1727)</f>
        <v>40</v>
      </c>
      <c r="I1727" s="4">
        <f>SUMIFS(PENJUALAN!$E$4:$E$4288,PENJUALAN!$C$4:$C$4288,'CEK CICI'!A1727)</f>
        <v>36</v>
      </c>
      <c r="J1727" s="16">
        <f t="shared" si="2"/>
        <v>4</v>
      </c>
      <c r="K1727" s="15" t="s">
        <v>1765</v>
      </c>
      <c r="L1727" s="15"/>
      <c r="M1727" s="5">
        <v>2.0</v>
      </c>
      <c r="N1727" s="4"/>
    </row>
    <row r="1728" ht="13.5" hidden="1" customHeight="1">
      <c r="A1728" s="4" t="str">
        <f t="shared" si="1"/>
        <v>SWL-SIGRA16MU</v>
      </c>
      <c r="B1728" s="29" t="s">
        <v>1773</v>
      </c>
      <c r="C1728" s="28" t="s">
        <v>1517</v>
      </c>
      <c r="D1728" s="28" t="s">
        <v>1434</v>
      </c>
      <c r="E1728" s="4" t="s">
        <v>1361</v>
      </c>
      <c r="F1728" s="28"/>
      <c r="G1728" s="4"/>
      <c r="H1728" s="4">
        <f>SUMIFS(X!$F$5:$F$2005,X!$D$5:$D$2005,'CEK CICI'!A1728)</f>
        <v>10</v>
      </c>
      <c r="I1728" s="4">
        <f>SUMIFS(PENJUALAN!$E$4:$E$4288,PENJUALAN!$C$4:$C$4288,'CEK CICI'!A1728)</f>
        <v>4</v>
      </c>
      <c r="J1728" s="16">
        <f t="shared" si="2"/>
        <v>6</v>
      </c>
      <c r="K1728" s="15" t="s">
        <v>1473</v>
      </c>
      <c r="L1728" s="15"/>
      <c r="M1728" s="5">
        <v>1.0</v>
      </c>
      <c r="N1728" s="4"/>
    </row>
    <row r="1729" ht="13.5" hidden="1" customHeight="1">
      <c r="A1729" s="4" t="str">
        <f t="shared" si="1"/>
        <v>SWR-SIGRA16MU</v>
      </c>
      <c r="B1729" s="29" t="s">
        <v>2114</v>
      </c>
      <c r="C1729" s="28" t="s">
        <v>1517</v>
      </c>
      <c r="D1729" s="28" t="s">
        <v>104</v>
      </c>
      <c r="E1729" s="4" t="s">
        <v>1361</v>
      </c>
      <c r="F1729" s="28"/>
      <c r="G1729" s="4"/>
      <c r="H1729" s="4">
        <f>SUMIFS(X!$F$5:$F$2005,X!$D$5:$D$2005,'CEK CICI'!A1729)</f>
        <v>10</v>
      </c>
      <c r="I1729" s="4">
        <f>SUMIFS(PENJUALAN!$E$4:$E$4288,PENJUALAN!$C$4:$C$4288,'CEK CICI'!A1729)</f>
        <v>3</v>
      </c>
      <c r="J1729" s="16">
        <f t="shared" si="2"/>
        <v>7</v>
      </c>
      <c r="K1729" s="15" t="s">
        <v>1473</v>
      </c>
      <c r="L1729" s="15"/>
      <c r="M1729" s="5">
        <v>1.0</v>
      </c>
      <c r="N1729" s="4"/>
    </row>
    <row r="1730" ht="13.5" hidden="1" customHeight="1">
      <c r="A1730" s="4" t="str">
        <f t="shared" si="1"/>
        <v>FDL-SIGRA16MU</v>
      </c>
      <c r="B1730" s="29" t="s">
        <v>2115</v>
      </c>
      <c r="C1730" s="28" t="s">
        <v>1517</v>
      </c>
      <c r="D1730" s="28" t="s">
        <v>93</v>
      </c>
      <c r="E1730" s="4" t="s">
        <v>1361</v>
      </c>
      <c r="F1730" s="33" t="s">
        <v>397</v>
      </c>
      <c r="G1730" s="4"/>
      <c r="H1730" s="4">
        <f>SUMIFS(X!$F$5:$F$2005,X!$D$5:$D$2005,'CEK CICI'!A1730)</f>
        <v>5</v>
      </c>
      <c r="I1730" s="4">
        <f>SUMIFS(PENJUALAN!$E$4:$E$4288,PENJUALAN!$C$4:$C$4288,'CEK CICI'!A1730)</f>
        <v>2</v>
      </c>
      <c r="J1730" s="16">
        <f t="shared" si="2"/>
        <v>3</v>
      </c>
      <c r="K1730" s="15" t="s">
        <v>1391</v>
      </c>
      <c r="L1730" s="15"/>
      <c r="M1730" s="5">
        <v>1.0</v>
      </c>
    </row>
    <row r="1731" ht="13.5" hidden="1" customHeight="1">
      <c r="A1731" s="4" t="str">
        <f t="shared" si="1"/>
        <v>FDR-SIGRA16MU</v>
      </c>
      <c r="B1731" s="29" t="s">
        <v>1985</v>
      </c>
      <c r="C1731" s="28" t="s">
        <v>1517</v>
      </c>
      <c r="D1731" s="28" t="s">
        <v>45</v>
      </c>
      <c r="E1731" s="4" t="s">
        <v>1361</v>
      </c>
      <c r="F1731" s="33" t="s">
        <v>397</v>
      </c>
      <c r="G1731" s="4"/>
      <c r="H1731" s="4">
        <f>SUMIFS(X!$F$5:$F$2005,X!$D$5:$D$2005,'CEK CICI'!A1731)</f>
        <v>5</v>
      </c>
      <c r="I1731" s="4">
        <f>SUMIFS(PENJUALAN!$E$4:$E$4288,PENJUALAN!$C$4:$C$4288,'CEK CICI'!A1731)</f>
        <v>5</v>
      </c>
      <c r="J1731" s="16">
        <f t="shared" si="2"/>
        <v>0</v>
      </c>
      <c r="K1731" s="15" t="s">
        <v>48</v>
      </c>
      <c r="L1731" s="15"/>
      <c r="M1731" s="5">
        <v>1.0</v>
      </c>
      <c r="N1731" s="56" t="s">
        <v>1986</v>
      </c>
    </row>
    <row r="1732" ht="13.5" hidden="1" customHeight="1">
      <c r="A1732" s="4" t="str">
        <f t="shared" si="1"/>
        <v>LFW-CAMRY11RSMU</v>
      </c>
      <c r="B1732" s="41" t="s">
        <v>1866</v>
      </c>
      <c r="C1732" s="65" t="s">
        <v>1115</v>
      </c>
      <c r="D1732" s="30" t="s">
        <v>22</v>
      </c>
      <c r="E1732" s="4" t="s">
        <v>1361</v>
      </c>
      <c r="F1732" s="28" t="s">
        <v>2116</v>
      </c>
      <c r="G1732" s="4"/>
      <c r="H1732" s="4">
        <f>SUMIFS(X!$F$5:$F$2005,X!$D$5:$D$2005,'CEK CICI'!A1732)</f>
        <v>0</v>
      </c>
      <c r="I1732" s="4">
        <f>SUMIFS(PENJUALAN!$E$4:$E$4288,PENJUALAN!$C$4:$C$4288,'CEK CICI'!A1732)</f>
        <v>0</v>
      </c>
      <c r="J1732" s="16">
        <f t="shared" si="2"/>
        <v>0</v>
      </c>
      <c r="K1732" s="4"/>
      <c r="L1732" s="4"/>
      <c r="M1732" s="5">
        <v>1.0</v>
      </c>
      <c r="N1732" s="4"/>
    </row>
    <row r="1733" ht="13.5" hidden="1" customHeight="1">
      <c r="A1733" s="4" t="str">
        <f t="shared" si="1"/>
        <v>LFW-COROLLA83MU</v>
      </c>
      <c r="B1733" s="41" t="s">
        <v>2117</v>
      </c>
      <c r="C1733" s="65" t="s">
        <v>2118</v>
      </c>
      <c r="D1733" s="30" t="s">
        <v>22</v>
      </c>
      <c r="E1733" s="4" t="s">
        <v>1361</v>
      </c>
      <c r="F1733" s="28" t="s">
        <v>1455</v>
      </c>
      <c r="G1733" s="4"/>
      <c r="H1733" s="4">
        <f>SUMIFS(X!$F$5:$F$2005,X!$D$5:$D$2005,'CEK CICI'!A1733)</f>
        <v>0</v>
      </c>
      <c r="I1733" s="4">
        <f>SUMIFS(PENJUALAN!$E$4:$E$4288,PENJUALAN!$C$4:$C$4288,'CEK CICI'!A1733)</f>
        <v>0</v>
      </c>
      <c r="J1733" s="16">
        <f t="shared" si="2"/>
        <v>0</v>
      </c>
      <c r="K1733" s="4"/>
      <c r="L1733" s="4"/>
      <c r="M1733" s="4"/>
      <c r="N1733" s="4"/>
    </row>
    <row r="1734" ht="13.5" hidden="1" customHeight="1">
      <c r="A1734" s="4" t="str">
        <f t="shared" si="1"/>
        <v>LFW-COROLLA87MU</v>
      </c>
      <c r="B1734" s="41" t="s">
        <v>1871</v>
      </c>
      <c r="C1734" s="65" t="s">
        <v>1120</v>
      </c>
      <c r="D1734" s="30" t="s">
        <v>22</v>
      </c>
      <c r="E1734" s="4" t="s">
        <v>1361</v>
      </c>
      <c r="F1734" s="28" t="s">
        <v>1961</v>
      </c>
      <c r="G1734" s="4"/>
      <c r="H1734" s="4">
        <f>SUMIFS(X!$F$5:$F$2005,X!$D$5:$D$2005,'CEK CICI'!A1734)</f>
        <v>5</v>
      </c>
      <c r="I1734" s="4">
        <f>SUMIFS(PENJUALAN!$E$4:$E$4288,PENJUALAN!$C$4:$C$4288,'CEK CICI'!A1734)</f>
        <v>5</v>
      </c>
      <c r="J1734" s="16">
        <f t="shared" si="2"/>
        <v>0</v>
      </c>
      <c r="K1734" s="15" t="s">
        <v>1416</v>
      </c>
      <c r="L1734" s="15"/>
      <c r="M1734" s="5">
        <v>1.0</v>
      </c>
      <c r="N1734" s="4"/>
    </row>
    <row r="1735" ht="13.5" hidden="1" customHeight="1">
      <c r="A1735" s="4" t="str">
        <f t="shared" si="1"/>
        <v>LFW-COROLLA91MU</v>
      </c>
      <c r="B1735" s="41" t="s">
        <v>1121</v>
      </c>
      <c r="C1735" s="65" t="s">
        <v>1122</v>
      </c>
      <c r="D1735" s="30" t="s">
        <v>22</v>
      </c>
      <c r="E1735" s="4" t="s">
        <v>1361</v>
      </c>
      <c r="F1735" s="28" t="s">
        <v>1961</v>
      </c>
      <c r="G1735" s="4"/>
      <c r="H1735" s="4">
        <f>SUMIFS(X!$F$5:$F$2005,X!$D$5:$D$2005,'CEK CICI'!A1735)</f>
        <v>0</v>
      </c>
      <c r="I1735" s="4">
        <f>SUMIFS(PENJUALAN!$E$4:$E$4288,PENJUALAN!$C$4:$C$4288,'CEK CICI'!A1735)</f>
        <v>0</v>
      </c>
      <c r="J1735" s="16">
        <f t="shared" si="2"/>
        <v>0</v>
      </c>
      <c r="K1735" s="4"/>
      <c r="L1735" s="4"/>
      <c r="M1735" s="5">
        <v>1.0</v>
      </c>
      <c r="N1735" s="4"/>
    </row>
    <row r="1736" ht="13.5" hidden="1" customHeight="1">
      <c r="A1736" s="4" t="str">
        <f t="shared" si="1"/>
        <v>LFW-COROLLA95MU</v>
      </c>
      <c r="B1736" s="29" t="s">
        <v>1972</v>
      </c>
      <c r="C1736" s="28" t="s">
        <v>1973</v>
      </c>
      <c r="D1736" s="28" t="s">
        <v>22</v>
      </c>
      <c r="E1736" s="4" t="s">
        <v>1361</v>
      </c>
      <c r="F1736" s="28" t="s">
        <v>1961</v>
      </c>
      <c r="G1736" s="4"/>
      <c r="H1736" s="4">
        <f>SUMIFS(X!$F$5:$F$2005,X!$D$5:$D$2005,'CEK CICI'!A1736)</f>
        <v>2</v>
      </c>
      <c r="I1736" s="4">
        <f>SUMIFS(PENJUALAN!$E$4:$E$4288,PENJUALAN!$C$4:$C$4288,'CEK CICI'!A1736)</f>
        <v>1</v>
      </c>
      <c r="J1736" s="16">
        <f t="shared" si="2"/>
        <v>1</v>
      </c>
      <c r="K1736" s="15" t="s">
        <v>1416</v>
      </c>
      <c r="L1736" s="15"/>
      <c r="M1736" s="5">
        <v>1.0</v>
      </c>
      <c r="N1736" s="4"/>
    </row>
    <row r="1737" ht="13.5" hidden="1" customHeight="1">
      <c r="A1737" s="4" t="str">
        <f t="shared" si="1"/>
        <v>LFW-FORTUNER05MU</v>
      </c>
      <c r="B1737" s="29" t="s">
        <v>1128</v>
      </c>
      <c r="C1737" s="28" t="s">
        <v>1129</v>
      </c>
      <c r="D1737" s="28" t="s">
        <v>22</v>
      </c>
      <c r="E1737" s="4" t="s">
        <v>1361</v>
      </c>
      <c r="F1737" s="28" t="s">
        <v>1876</v>
      </c>
      <c r="G1737" s="4"/>
      <c r="H1737" s="4">
        <f>SUMIFS(X!$F$5:$F$2005,X!$D$5:$D$2005,'CEK CICI'!A1737)</f>
        <v>22</v>
      </c>
      <c r="I1737" s="4">
        <f>SUMIFS(PENJUALAN!$E$4:$E$4288,PENJUALAN!$C$4:$C$4288,'CEK CICI'!A1737)</f>
        <v>22</v>
      </c>
      <c r="J1737" s="16">
        <f t="shared" si="2"/>
        <v>0</v>
      </c>
      <c r="K1737" s="15" t="s">
        <v>1877</v>
      </c>
      <c r="L1737" s="15"/>
      <c r="M1737" s="5">
        <v>2.0</v>
      </c>
      <c r="N1737" s="15" t="s">
        <v>2080</v>
      </c>
    </row>
    <row r="1738" ht="13.5" hidden="1" customHeight="1">
      <c r="A1738" s="4" t="str">
        <f t="shared" si="1"/>
        <v>LFW-FORTUNER15MU</v>
      </c>
      <c r="B1738" s="29" t="s">
        <v>1137</v>
      </c>
      <c r="C1738" s="28" t="s">
        <v>1138</v>
      </c>
      <c r="D1738" s="28" t="s">
        <v>22</v>
      </c>
      <c r="E1738" s="4" t="s">
        <v>1361</v>
      </c>
      <c r="F1738" s="28" t="s">
        <v>1876</v>
      </c>
      <c r="G1738" s="4"/>
      <c r="H1738" s="4">
        <f>SUMIFS(X!$F$5:$F$2005,X!$D$5:$D$2005,'CEK CICI'!A1738)</f>
        <v>11</v>
      </c>
      <c r="I1738" s="4">
        <f>SUMIFS(PENJUALAN!$E$4:$E$4288,PENJUALAN!$C$4:$C$4288,'CEK CICI'!A1738)</f>
        <v>10</v>
      </c>
      <c r="J1738" s="16">
        <f t="shared" si="2"/>
        <v>1</v>
      </c>
      <c r="K1738" s="15" t="s">
        <v>1877</v>
      </c>
      <c r="L1738" s="4"/>
      <c r="M1738" s="5">
        <v>1.0</v>
      </c>
      <c r="N1738" s="4"/>
    </row>
    <row r="1739" ht="13.5" hidden="1" customHeight="1">
      <c r="A1739" s="4" t="str">
        <f t="shared" si="1"/>
        <v>LFW-HILUX05MU</v>
      </c>
      <c r="B1739" s="29" t="s">
        <v>1909</v>
      </c>
      <c r="C1739" s="28" t="s">
        <v>1154</v>
      </c>
      <c r="D1739" s="30" t="s">
        <v>22</v>
      </c>
      <c r="E1739" s="4" t="s">
        <v>1361</v>
      </c>
      <c r="F1739" s="28" t="s">
        <v>125</v>
      </c>
      <c r="G1739" s="4"/>
      <c r="H1739" s="4">
        <f>SUMIFS(X!$F$5:$F$2005,X!$D$5:$D$2005,'CEK CICI'!A1739)</f>
        <v>1</v>
      </c>
      <c r="I1739" s="4">
        <f>SUMIFS(PENJUALAN!$E$4:$E$4288,PENJUALAN!$C$4:$C$4288,'CEK CICI'!A1739)</f>
        <v>1</v>
      </c>
      <c r="J1739" s="16">
        <f t="shared" si="2"/>
        <v>0</v>
      </c>
      <c r="K1739" s="4"/>
      <c r="L1739" s="4"/>
      <c r="M1739" s="5">
        <v>2.0</v>
      </c>
      <c r="N1739" s="4"/>
    </row>
    <row r="1740" ht="13.5" hidden="1" customHeight="1">
      <c r="A1740" s="4" t="str">
        <f t="shared" si="1"/>
        <v>LFW-HILUX15MU</v>
      </c>
      <c r="B1740" s="29" t="s">
        <v>1155</v>
      </c>
      <c r="C1740" s="33" t="s">
        <v>1156</v>
      </c>
      <c r="D1740" s="30" t="s">
        <v>22</v>
      </c>
      <c r="E1740" s="4" t="s">
        <v>1361</v>
      </c>
      <c r="F1740" s="28" t="s">
        <v>125</v>
      </c>
      <c r="G1740" s="4"/>
      <c r="H1740" s="4">
        <f>SUMIFS(X!$F$5:$F$2005,X!$D$5:$D$2005,'CEK CICI'!A1740)</f>
        <v>10</v>
      </c>
      <c r="I1740" s="4">
        <f>SUMIFS(PENJUALAN!$E$4:$E$4288,PENJUALAN!$C$4:$C$4288,'CEK CICI'!A1740)</f>
        <v>10</v>
      </c>
      <c r="J1740" s="16">
        <f t="shared" si="2"/>
        <v>0</v>
      </c>
      <c r="K1740" s="15" t="s">
        <v>1877</v>
      </c>
      <c r="L1740" s="15"/>
      <c r="M1740" s="5">
        <v>1.0</v>
      </c>
      <c r="N1740" s="4"/>
    </row>
    <row r="1741" ht="13.5" hidden="1" customHeight="1">
      <c r="A1741" s="4" t="str">
        <f t="shared" si="1"/>
        <v>LFW-INNOVA04MU</v>
      </c>
      <c r="B1741" s="29" t="s">
        <v>1159</v>
      </c>
      <c r="C1741" s="28" t="s">
        <v>1160</v>
      </c>
      <c r="D1741" s="28" t="s">
        <v>22</v>
      </c>
      <c r="E1741" s="4" t="s">
        <v>1361</v>
      </c>
      <c r="F1741" s="28" t="s">
        <v>125</v>
      </c>
      <c r="G1741" s="4"/>
      <c r="H1741" s="4">
        <f>SUMIFS(X!$F$5:$F$2005,X!$D$5:$D$2005,'CEK CICI'!A1741)</f>
        <v>33</v>
      </c>
      <c r="I1741" s="4">
        <f>SUMIFS(PENJUALAN!$E$4:$E$4288,PENJUALAN!$C$4:$C$4288,'CEK CICI'!A1741)</f>
        <v>30</v>
      </c>
      <c r="J1741" s="16">
        <f t="shared" si="2"/>
        <v>3</v>
      </c>
      <c r="K1741" s="15" t="s">
        <v>1863</v>
      </c>
      <c r="L1741" s="15"/>
      <c r="M1741" s="5">
        <v>3.0</v>
      </c>
      <c r="N1741" s="4"/>
    </row>
    <row r="1742" ht="13.5" hidden="1" customHeight="1">
      <c r="A1742" s="4" t="str">
        <f t="shared" si="1"/>
        <v>LFW-INNOVA15MU</v>
      </c>
      <c r="B1742" s="29" t="s">
        <v>1166</v>
      </c>
      <c r="C1742" s="28" t="s">
        <v>1167</v>
      </c>
      <c r="D1742" s="28" t="s">
        <v>22</v>
      </c>
      <c r="E1742" s="4" t="s">
        <v>1361</v>
      </c>
      <c r="F1742" s="28" t="s">
        <v>125</v>
      </c>
      <c r="G1742" s="4"/>
      <c r="H1742" s="4">
        <f>SUMIFS(X!$F$5:$F$2005,X!$D$5:$D$2005,'CEK CICI'!A1742)</f>
        <v>19</v>
      </c>
      <c r="I1742" s="4">
        <f>SUMIFS(PENJUALAN!$E$4:$E$4288,PENJUALAN!$C$4:$C$4288,'CEK CICI'!A1742)</f>
        <v>17</v>
      </c>
      <c r="J1742" s="16">
        <f t="shared" si="2"/>
        <v>2</v>
      </c>
      <c r="K1742" s="15" t="s">
        <v>158</v>
      </c>
      <c r="L1742" s="15"/>
      <c r="M1742" s="5">
        <v>2.0</v>
      </c>
      <c r="N1742" s="4"/>
    </row>
    <row r="1743" ht="13.5" hidden="1" customHeight="1">
      <c r="A1743" s="4" t="str">
        <f t="shared" si="1"/>
        <v>LFW-KIJANGK125MU</v>
      </c>
      <c r="B1743" s="29" t="s">
        <v>2078</v>
      </c>
      <c r="C1743" s="33" t="s">
        <v>2079</v>
      </c>
      <c r="D1743" s="28" t="s">
        <v>22</v>
      </c>
      <c r="E1743" s="4" t="s">
        <v>1361</v>
      </c>
      <c r="F1743" s="28"/>
      <c r="G1743" s="4"/>
      <c r="H1743" s="4">
        <f>SUMIFS(X!$F$5:$F$2005,X!$D$5:$D$2005,'CEK CICI'!A1743)</f>
        <v>5</v>
      </c>
      <c r="I1743" s="4">
        <f>SUMIFS(PENJUALAN!$E$4:$E$4288,PENJUALAN!$C$4:$C$4288,'CEK CICI'!A1743)</f>
        <v>5</v>
      </c>
      <c r="J1743" s="16">
        <f t="shared" si="2"/>
        <v>0</v>
      </c>
      <c r="K1743" s="15" t="s">
        <v>1416</v>
      </c>
      <c r="L1743" s="15"/>
      <c r="M1743" s="5">
        <v>1.0</v>
      </c>
      <c r="N1743" s="4"/>
    </row>
    <row r="1744" ht="13.5" hidden="1" customHeight="1">
      <c r="A1744" s="4" t="str">
        <f t="shared" si="1"/>
        <v>LFW-KAPSUL97MU</v>
      </c>
      <c r="B1744" s="29" t="s">
        <v>1916</v>
      </c>
      <c r="C1744" s="28" t="s">
        <v>1917</v>
      </c>
      <c r="D1744" s="28" t="s">
        <v>22</v>
      </c>
      <c r="E1744" s="4" t="s">
        <v>1361</v>
      </c>
      <c r="F1744" s="28"/>
      <c r="G1744" s="15" t="s">
        <v>11505</v>
      </c>
      <c r="H1744" s="4">
        <f>SUMIFS(X!$F$5:$F$2005,X!$D$5:$D$2005,'CEK CICI'!A1744)</f>
        <v>5</v>
      </c>
      <c r="I1744" s="4">
        <f>SUMIFS(PENJUALAN!$E$4:$E$4288,PENJUALAN!$C$4:$C$4288,'CEK CICI'!A1744)</f>
        <v>5</v>
      </c>
      <c r="J1744" s="16">
        <f t="shared" si="2"/>
        <v>0</v>
      </c>
      <c r="K1744" s="15" t="s">
        <v>1416</v>
      </c>
      <c r="L1744" s="15"/>
      <c r="M1744" s="5">
        <v>1.0</v>
      </c>
      <c r="N1744" s="4"/>
    </row>
    <row r="1745" ht="13.5" hidden="1" customHeight="1">
      <c r="A1745" s="4" t="str">
        <f t="shared" si="1"/>
        <v>LFW-KAPSUL02MU</v>
      </c>
      <c r="B1745" s="29" t="s">
        <v>1918</v>
      </c>
      <c r="C1745" s="28" t="s">
        <v>1919</v>
      </c>
      <c r="D1745" s="28" t="s">
        <v>22</v>
      </c>
      <c r="E1745" s="4" t="s">
        <v>1361</v>
      </c>
      <c r="F1745" s="28" t="s">
        <v>97</v>
      </c>
      <c r="G1745" s="15" t="s">
        <v>11505</v>
      </c>
      <c r="H1745" s="4">
        <f>SUMIFS(X!$F$5:$F$2005,X!$D$5:$D$2005,'CEK CICI'!A1745)</f>
        <v>5</v>
      </c>
      <c r="I1745" s="4">
        <f>SUMIFS(PENJUALAN!$E$4:$E$4288,PENJUALAN!$C$4:$C$4288,'CEK CICI'!A1745)</f>
        <v>5</v>
      </c>
      <c r="J1745" s="16">
        <f t="shared" si="2"/>
        <v>0</v>
      </c>
      <c r="K1745" s="15" t="s">
        <v>1416</v>
      </c>
      <c r="L1745" s="15"/>
      <c r="M1745" s="5">
        <v>1.0</v>
      </c>
      <c r="N1745" s="4"/>
    </row>
    <row r="1746" ht="13.5" hidden="1" customHeight="1">
      <c r="A1746" s="4" t="str">
        <f t="shared" si="1"/>
        <v>LFW-FJ40MU</v>
      </c>
      <c r="B1746" s="29" t="s">
        <v>1921</v>
      </c>
      <c r="C1746" s="28" t="s">
        <v>1922</v>
      </c>
      <c r="D1746" s="28" t="s">
        <v>22</v>
      </c>
      <c r="E1746" s="4" t="s">
        <v>1361</v>
      </c>
      <c r="F1746" s="28"/>
      <c r="G1746" s="15"/>
      <c r="H1746" s="4">
        <f>SUMIFS(X!$F$5:$F$2005,X!$D$5:$D$2005,'CEK CICI'!A1746)</f>
        <v>5</v>
      </c>
      <c r="I1746" s="4">
        <f>SUMIFS(PENJUALAN!$E$4:$E$4288,PENJUALAN!$C$4:$C$4288,'CEK CICI'!A1746)</f>
        <v>5</v>
      </c>
      <c r="J1746" s="16">
        <f t="shared" si="2"/>
        <v>0</v>
      </c>
      <c r="K1746" s="15" t="s">
        <v>2403</v>
      </c>
      <c r="L1746" s="15"/>
      <c r="M1746" s="5">
        <v>1.0</v>
      </c>
      <c r="N1746" s="4"/>
    </row>
    <row r="1747" ht="13.5" hidden="1" customHeight="1">
      <c r="A1747" s="4" t="str">
        <f t="shared" si="1"/>
        <v>LFW-FJ70HTOPMU</v>
      </c>
      <c r="B1747" s="29" t="s">
        <v>2125</v>
      </c>
      <c r="C1747" s="28" t="s">
        <v>2126</v>
      </c>
      <c r="D1747" s="30" t="s">
        <v>22</v>
      </c>
      <c r="E1747" s="4" t="s">
        <v>1361</v>
      </c>
      <c r="F1747" s="28"/>
      <c r="G1747" s="4"/>
      <c r="H1747" s="4">
        <f>SUMIFS(X!$F$5:$F$2005,X!$D$5:$D$2005,'CEK CICI'!A1747)</f>
        <v>0</v>
      </c>
      <c r="I1747" s="4">
        <f>SUMIFS(PENJUALAN!$E$4:$E$4288,PENJUALAN!$C$4:$C$4288,'CEK CICI'!A1747)</f>
        <v>0</v>
      </c>
      <c r="J1747" s="16">
        <f t="shared" si="2"/>
        <v>0</v>
      </c>
      <c r="K1747" s="4"/>
      <c r="L1747" s="4"/>
      <c r="M1747" s="5">
        <v>1.0</v>
      </c>
      <c r="N1747" s="4"/>
    </row>
    <row r="1748" ht="13.5" hidden="1" customHeight="1">
      <c r="A1748" s="4" t="str">
        <f t="shared" si="1"/>
        <v>LFW-FJ80MU</v>
      </c>
      <c r="B1748" s="29" t="s">
        <v>1171</v>
      </c>
      <c r="C1748" s="28" t="s">
        <v>1172</v>
      </c>
      <c r="D1748" s="30" t="s">
        <v>22</v>
      </c>
      <c r="E1748" s="4" t="s">
        <v>1361</v>
      </c>
      <c r="F1748" s="28"/>
      <c r="G1748" s="4"/>
      <c r="H1748" s="4">
        <f>SUMIFS(X!$F$5:$F$2005,X!$D$5:$D$2005,'CEK CICI'!A1748)</f>
        <v>1</v>
      </c>
      <c r="I1748" s="4">
        <f>SUMIFS(PENJUALAN!$E$4:$E$4288,PENJUALAN!$C$4:$C$4288,'CEK CICI'!A1748)</f>
        <v>1</v>
      </c>
      <c r="J1748" s="16">
        <f t="shared" si="2"/>
        <v>0</v>
      </c>
      <c r="K1748" s="4"/>
      <c r="L1748" s="4"/>
      <c r="M1748" s="5">
        <v>1.0</v>
      </c>
      <c r="N1748" s="4"/>
    </row>
    <row r="1749" ht="13.5" customHeight="1">
      <c r="A1749" s="4" t="str">
        <f t="shared" si="1"/>
        <v>LFW-RAIZEMU</v>
      </c>
      <c r="B1749" s="29" t="s">
        <v>2404</v>
      </c>
      <c r="C1749" s="28" t="s">
        <v>103</v>
      </c>
      <c r="D1749" s="28" t="s">
        <v>22</v>
      </c>
      <c r="E1749" s="4" t="s">
        <v>1361</v>
      </c>
      <c r="F1749" s="28" t="s">
        <v>125</v>
      </c>
      <c r="G1749" s="15">
        <v>1.0</v>
      </c>
      <c r="H1749" s="4">
        <f>SUMIFS(X!$F$5:$F$2005,X!$D$5:$D$2005,'CEK CICI'!A1749)</f>
        <v>9</v>
      </c>
      <c r="I1749" s="4">
        <f>SUMIFS(PENJUALAN!$E$4:$E$4288,PENJUALAN!$C$4:$C$4288,'CEK CICI'!A1749)</f>
        <v>7</v>
      </c>
      <c r="J1749" s="16">
        <f t="shared" si="2"/>
        <v>2</v>
      </c>
      <c r="K1749" s="15" t="s">
        <v>1770</v>
      </c>
      <c r="L1749" s="15"/>
      <c r="M1749" s="5">
        <v>1.0</v>
      </c>
      <c r="N1749" s="4"/>
    </row>
    <row r="1750" ht="13.5" hidden="1" customHeight="1">
      <c r="A1750" s="4" t="str">
        <f t="shared" si="1"/>
        <v>LFW-TERIOS06MU</v>
      </c>
      <c r="B1750" s="29" t="s">
        <v>1243</v>
      </c>
      <c r="C1750" s="28" t="s">
        <v>1244</v>
      </c>
      <c r="D1750" s="28" t="s">
        <v>22</v>
      </c>
      <c r="E1750" s="4" t="s">
        <v>1361</v>
      </c>
      <c r="F1750" s="28" t="s">
        <v>97</v>
      </c>
      <c r="G1750" s="4"/>
      <c r="H1750" s="4">
        <f>SUMIFS(X!$F$5:$F$2005,X!$D$5:$D$2005,'CEK CICI'!A1750)</f>
        <v>19</v>
      </c>
      <c r="I1750" s="4">
        <f>SUMIFS(PENJUALAN!$E$4:$E$4288,PENJUALAN!$C$4:$C$4288,'CEK CICI'!A1750)</f>
        <v>17</v>
      </c>
      <c r="J1750" s="16">
        <f t="shared" si="2"/>
        <v>2</v>
      </c>
      <c r="K1750" s="15" t="s">
        <v>1935</v>
      </c>
      <c r="L1750" s="15"/>
      <c r="M1750" s="5">
        <v>3.0</v>
      </c>
      <c r="N1750" s="4"/>
    </row>
    <row r="1751" ht="13.5" hidden="1" customHeight="1">
      <c r="A1751" s="4" t="str">
        <f t="shared" si="1"/>
        <v>LFW-RUSH17MU</v>
      </c>
      <c r="B1751" s="29" t="s">
        <v>1941</v>
      </c>
      <c r="C1751" s="28" t="s">
        <v>1713</v>
      </c>
      <c r="D1751" s="28" t="s">
        <v>22</v>
      </c>
      <c r="E1751" s="4" t="s">
        <v>1361</v>
      </c>
      <c r="F1751" s="28" t="s">
        <v>97</v>
      </c>
      <c r="G1751" s="4"/>
      <c r="H1751" s="4">
        <f>SUMIFS(X!$F$5:$F$2005,X!$D$5:$D$2005,'CEK CICI'!A1751)</f>
        <v>25</v>
      </c>
      <c r="I1751" s="4">
        <f>SUMIFS(PENJUALAN!$E$4:$E$4288,PENJUALAN!$C$4:$C$4288,'CEK CICI'!A1751)</f>
        <v>20</v>
      </c>
      <c r="J1751" s="16">
        <f t="shared" si="2"/>
        <v>5</v>
      </c>
      <c r="K1751" s="15" t="s">
        <v>1935</v>
      </c>
      <c r="L1751" s="15"/>
      <c r="M1751" s="5">
        <v>3.0</v>
      </c>
      <c r="N1751" s="4"/>
    </row>
    <row r="1752" ht="13.5" hidden="1" customHeight="1">
      <c r="A1752" s="4" t="str">
        <f t="shared" si="1"/>
        <v>TRW-RUSH17HMU</v>
      </c>
      <c r="B1752" s="29" t="s">
        <v>1943</v>
      </c>
      <c r="C1752" s="28" t="s">
        <v>1713</v>
      </c>
      <c r="D1752" s="28" t="s">
        <v>41</v>
      </c>
      <c r="E1752" s="4" t="s">
        <v>1361</v>
      </c>
      <c r="F1752" s="28" t="s">
        <v>67</v>
      </c>
      <c r="G1752" s="4"/>
      <c r="H1752" s="4">
        <f>SUMIFS(X!$F$5:$F$2005,X!$D$5:$D$2005,'CEK CICI'!A1752)</f>
        <v>15</v>
      </c>
      <c r="I1752" s="4">
        <f>SUMIFS(PENJUALAN!$E$4:$E$4288,PENJUALAN!$C$4:$C$4288,'CEK CICI'!A1752)</f>
        <v>13</v>
      </c>
      <c r="J1752" s="16">
        <f t="shared" si="2"/>
        <v>2</v>
      </c>
      <c r="K1752" s="15" t="s">
        <v>1884</v>
      </c>
      <c r="L1752" s="15"/>
      <c r="M1752" s="5">
        <v>1.0</v>
      </c>
      <c r="N1752" s="4"/>
    </row>
    <row r="1753" ht="13.5" customHeight="1">
      <c r="A1753" s="4" t="str">
        <f t="shared" si="1"/>
        <v>LFW-SOLUNAMU</v>
      </c>
      <c r="B1753" s="29" t="s">
        <v>1251</v>
      </c>
      <c r="C1753" s="28" t="s">
        <v>1252</v>
      </c>
      <c r="D1753" s="28" t="s">
        <v>22</v>
      </c>
      <c r="E1753" s="4" t="s">
        <v>1361</v>
      </c>
      <c r="F1753" s="28" t="s">
        <v>97</v>
      </c>
      <c r="G1753" s="15">
        <v>1.0</v>
      </c>
      <c r="H1753" s="4">
        <f>SUMIFS(X!$F$5:$F$2005,X!$D$5:$D$2005,'CEK CICI'!A1753)</f>
        <v>5</v>
      </c>
      <c r="I1753" s="4">
        <f>SUMIFS(PENJUALAN!$E$4:$E$4288,PENJUALAN!$C$4:$C$4288,'CEK CICI'!A1753)</f>
        <v>6</v>
      </c>
      <c r="J1753" s="16">
        <f t="shared" si="2"/>
        <v>-1</v>
      </c>
      <c r="K1753" s="15" t="s">
        <v>1416</v>
      </c>
      <c r="L1753" s="15"/>
      <c r="M1753" s="5">
        <v>1.0</v>
      </c>
      <c r="N1753" s="15" t="s">
        <v>11530</v>
      </c>
    </row>
    <row r="1754" ht="13.5" hidden="1" customHeight="1">
      <c r="A1754" s="4" t="str">
        <f t="shared" si="1"/>
        <v>LFW-VIOS02MU</v>
      </c>
      <c r="B1754" s="29" t="s">
        <v>1951</v>
      </c>
      <c r="C1754" s="28" t="s">
        <v>1259</v>
      </c>
      <c r="D1754" s="28" t="s">
        <v>22</v>
      </c>
      <c r="E1754" s="4" t="s">
        <v>1361</v>
      </c>
      <c r="F1754" s="28" t="s">
        <v>125</v>
      </c>
      <c r="G1754" s="4"/>
      <c r="H1754" s="4">
        <f>SUMIFS(X!$F$5:$F$2005,X!$D$5:$D$2005,'CEK CICI'!A1754)</f>
        <v>13</v>
      </c>
      <c r="I1754" s="4">
        <f>SUMIFS(PENJUALAN!$E$4:$E$4288,PENJUALAN!$C$4:$C$4288,'CEK CICI'!A1754)</f>
        <v>12</v>
      </c>
      <c r="J1754" s="16">
        <f t="shared" si="2"/>
        <v>1</v>
      </c>
      <c r="K1754" s="15" t="s">
        <v>2345</v>
      </c>
      <c r="L1754" s="15"/>
      <c r="M1754" s="5">
        <v>1.0</v>
      </c>
      <c r="N1754" s="4"/>
    </row>
    <row r="1755" ht="13.5" hidden="1" customHeight="1">
      <c r="A1755" s="4" t="str">
        <f t="shared" si="1"/>
        <v>LFW-VIOS07MU</v>
      </c>
      <c r="B1755" s="29" t="s">
        <v>1262</v>
      </c>
      <c r="C1755" s="28" t="s">
        <v>1263</v>
      </c>
      <c r="D1755" s="28" t="s">
        <v>22</v>
      </c>
      <c r="E1755" s="4" t="s">
        <v>1361</v>
      </c>
      <c r="F1755" s="28" t="s">
        <v>125</v>
      </c>
      <c r="G1755" s="4"/>
      <c r="H1755" s="4">
        <f>SUMIFS(X!$F$5:$F$2005,X!$D$5:$D$2005,'CEK CICI'!A1755)</f>
        <v>15</v>
      </c>
      <c r="I1755" s="4">
        <f>SUMIFS(PENJUALAN!$E$4:$E$4288,PENJUALAN!$C$4:$C$4288,'CEK CICI'!A1755)</f>
        <v>15</v>
      </c>
      <c r="J1755" s="16">
        <f t="shared" si="2"/>
        <v>0</v>
      </c>
      <c r="K1755" s="15" t="s">
        <v>2345</v>
      </c>
      <c r="L1755" s="15"/>
      <c r="M1755" s="5">
        <v>1.0</v>
      </c>
      <c r="N1755" s="4"/>
    </row>
    <row r="1756" ht="13.5" customHeight="1">
      <c r="A1756" s="4" t="str">
        <f t="shared" si="1"/>
        <v>LFW-YARIS05MU</v>
      </c>
      <c r="B1756" s="29" t="s">
        <v>1276</v>
      </c>
      <c r="C1756" s="28" t="s">
        <v>1277</v>
      </c>
      <c r="D1756" s="28" t="s">
        <v>22</v>
      </c>
      <c r="E1756" s="4" t="s">
        <v>1361</v>
      </c>
      <c r="F1756" s="28" t="s">
        <v>125</v>
      </c>
      <c r="G1756" s="15">
        <v>1.0</v>
      </c>
      <c r="H1756" s="4">
        <f>SUMIFS(X!$F$5:$F$2005,X!$D$5:$D$2005,'CEK CICI'!A1756)</f>
        <v>15</v>
      </c>
      <c r="I1756" s="4">
        <f>SUMIFS(PENJUALAN!$E$4:$E$4288,PENJUALAN!$C$4:$C$4288,'CEK CICI'!A1756)</f>
        <v>14</v>
      </c>
      <c r="J1756" s="16">
        <f t="shared" si="2"/>
        <v>1</v>
      </c>
      <c r="K1756" s="15" t="s">
        <v>1979</v>
      </c>
      <c r="L1756" s="15"/>
      <c r="M1756" s="5">
        <v>1.0</v>
      </c>
      <c r="N1756" s="4"/>
    </row>
    <row r="1757" ht="13.5" hidden="1" customHeight="1">
      <c r="A1757" s="4" t="str">
        <f t="shared" si="1"/>
        <v>LFW-VIOS13MU</v>
      </c>
      <c r="B1757" s="29" t="s">
        <v>1279</v>
      </c>
      <c r="C1757" s="28" t="s">
        <v>1280</v>
      </c>
      <c r="D1757" s="28" t="s">
        <v>22</v>
      </c>
      <c r="E1757" s="4" t="s">
        <v>1361</v>
      </c>
      <c r="F1757" s="28" t="s">
        <v>125</v>
      </c>
      <c r="G1757" s="4"/>
      <c r="H1757" s="4">
        <f>SUMIFS(X!$F$5:$F$2005,X!$D$5:$D$2005,'CEK CICI'!A1757)</f>
        <v>21</v>
      </c>
      <c r="I1757" s="4">
        <f>SUMIFS(PENJUALAN!$E$4:$E$4288,PENJUALAN!$C$4:$C$4288,'CEK CICI'!A1757)</f>
        <v>21</v>
      </c>
      <c r="J1757" s="16">
        <f t="shared" si="2"/>
        <v>0</v>
      </c>
      <c r="K1757" s="15" t="s">
        <v>1475</v>
      </c>
      <c r="L1757" s="15"/>
      <c r="M1757" s="5">
        <v>1.0</v>
      </c>
      <c r="N1757" s="4"/>
    </row>
    <row r="1758" ht="13.5" hidden="1" customHeight="1">
      <c r="A1758" s="4" t="str">
        <f t="shared" si="1"/>
        <v>LFW-CONFEROMU</v>
      </c>
      <c r="B1758" s="29" t="s">
        <v>1302</v>
      </c>
      <c r="C1758" s="28" t="s">
        <v>1303</v>
      </c>
      <c r="D1758" s="28" t="s">
        <v>22</v>
      </c>
      <c r="E1758" s="4" t="s">
        <v>1361</v>
      </c>
      <c r="F1758" s="28" t="s">
        <v>1961</v>
      </c>
      <c r="G1758" s="4"/>
      <c r="H1758" s="4">
        <f>SUMIFS(X!$F$5:$F$2005,X!$D$5:$D$2005,'CEK CICI'!A1758)</f>
        <v>14</v>
      </c>
      <c r="I1758" s="4">
        <f>SUMIFS(PENJUALAN!$E$4:$E$4288,PENJUALAN!$C$4:$C$4288,'CEK CICI'!A1758)</f>
        <v>14</v>
      </c>
      <c r="J1758" s="16">
        <f t="shared" si="2"/>
        <v>0</v>
      </c>
      <c r="K1758" s="15" t="s">
        <v>1383</v>
      </c>
      <c r="L1758" s="15"/>
      <c r="M1758" s="5">
        <v>1.0</v>
      </c>
      <c r="N1758" s="4"/>
    </row>
    <row r="1759" ht="13.5" hidden="1" customHeight="1">
      <c r="A1759" s="4" t="str">
        <f t="shared" si="1"/>
        <v>LFW-LOUHANMU</v>
      </c>
      <c r="B1759" s="29" t="s">
        <v>1304</v>
      </c>
      <c r="C1759" s="30" t="s">
        <v>1305</v>
      </c>
      <c r="D1759" s="30" t="s">
        <v>22</v>
      </c>
      <c r="E1759" s="4" t="s">
        <v>1361</v>
      </c>
      <c r="F1759" s="28"/>
      <c r="G1759" s="4"/>
      <c r="H1759" s="4">
        <f>SUMIFS(X!$F$5:$F$2005,X!$D$5:$D$2005,'CEK CICI'!A1759)</f>
        <v>5</v>
      </c>
      <c r="I1759" s="4">
        <f>SUMIFS(PENJUALAN!$E$4:$E$4288,PENJUALAN!$C$4:$C$4288,'CEK CICI'!A1759)</f>
        <v>5</v>
      </c>
      <c r="J1759" s="16">
        <f t="shared" si="2"/>
        <v>0</v>
      </c>
      <c r="K1759" s="4"/>
      <c r="L1759" s="4"/>
      <c r="M1759" s="4"/>
      <c r="N1759" s="4"/>
    </row>
    <row r="1760" ht="13.5" hidden="1" customHeight="1">
      <c r="A1760" s="4" t="str">
        <f t="shared" si="1"/>
        <v>FDL-LOUHANMU</v>
      </c>
      <c r="B1760" s="29" t="s">
        <v>2381</v>
      </c>
      <c r="C1760" s="28" t="s">
        <v>2134</v>
      </c>
      <c r="D1760" s="28" t="s">
        <v>128</v>
      </c>
      <c r="E1760" s="4" t="s">
        <v>1361</v>
      </c>
      <c r="F1760" s="28" t="s">
        <v>397</v>
      </c>
      <c r="G1760" s="4"/>
      <c r="H1760" s="4">
        <f>SUMIFS(X!$F$5:$F$2005,X!$D$5:$D$2005,'CEK CICI'!A1760)</f>
        <v>2</v>
      </c>
      <c r="I1760" s="4">
        <f>SUMIFS(PENJUALAN!$E$4:$E$4288,PENJUALAN!$C$4:$C$4288,'CEK CICI'!A1760)</f>
        <v>1</v>
      </c>
      <c r="J1760" s="16">
        <f t="shared" si="2"/>
        <v>1</v>
      </c>
      <c r="K1760" s="15" t="s">
        <v>1499</v>
      </c>
      <c r="L1760" s="15"/>
      <c r="M1760" s="5">
        <v>1.0</v>
      </c>
      <c r="N1760" s="4"/>
    </row>
    <row r="1761" ht="13.5" hidden="1" customHeight="1">
      <c r="A1761" s="4" t="str">
        <f t="shared" si="1"/>
        <v>FDR-LOUHANMU</v>
      </c>
      <c r="B1761" s="29" t="s">
        <v>738</v>
      </c>
      <c r="C1761" s="28" t="s">
        <v>2134</v>
      </c>
      <c r="D1761" s="28" t="s">
        <v>130</v>
      </c>
      <c r="E1761" s="4" t="s">
        <v>1361</v>
      </c>
      <c r="F1761" s="28" t="s">
        <v>397</v>
      </c>
      <c r="G1761" s="4"/>
      <c r="H1761" s="4">
        <f>SUMIFS(X!$F$5:$F$2005,X!$D$5:$D$2005,'CEK CICI'!A1761)</f>
        <v>2</v>
      </c>
      <c r="I1761" s="4">
        <f>SUMIFS(PENJUALAN!$E$4:$E$4288,PENJUALAN!$C$4:$C$4288,'CEK CICI'!A1761)</f>
        <v>0</v>
      </c>
      <c r="J1761" s="16">
        <f t="shared" si="2"/>
        <v>2</v>
      </c>
      <c r="K1761" s="15" t="s">
        <v>2241</v>
      </c>
      <c r="L1761" s="4"/>
      <c r="M1761" s="5">
        <v>1.0</v>
      </c>
      <c r="N1761" s="4"/>
    </row>
    <row r="1762" ht="13.5" hidden="1" customHeight="1">
      <c r="A1762" s="4" t="str">
        <f t="shared" si="1"/>
        <v>LFW-ACTROSMU</v>
      </c>
      <c r="B1762" s="29" t="s">
        <v>2135</v>
      </c>
      <c r="C1762" s="30" t="s">
        <v>2136</v>
      </c>
      <c r="D1762" s="30" t="s">
        <v>22</v>
      </c>
      <c r="E1762" s="4" t="s">
        <v>1361</v>
      </c>
      <c r="F1762" s="28"/>
      <c r="G1762" s="4"/>
      <c r="H1762" s="4">
        <f>SUMIFS(X!$F$5:$F$2005,X!$D$5:$D$2005,'CEK CICI'!A1762)</f>
        <v>0</v>
      </c>
      <c r="I1762" s="4">
        <f>SUMIFS(PENJUALAN!$E$4:$E$4288,PENJUALAN!$C$4:$C$4288,'CEK CICI'!A1762)</f>
        <v>0</v>
      </c>
      <c r="J1762" s="16">
        <f t="shared" si="2"/>
        <v>0</v>
      </c>
      <c r="K1762" s="4"/>
      <c r="L1762" s="4"/>
      <c r="M1762" s="4"/>
      <c r="N1762" s="4"/>
    </row>
    <row r="1763" ht="13.5" hidden="1" customHeight="1">
      <c r="A1763" s="4" t="str">
        <f t="shared" si="1"/>
        <v>LFW-FE300MU</v>
      </c>
      <c r="B1763" s="29" t="s">
        <v>2002</v>
      </c>
      <c r="C1763" s="30" t="s">
        <v>2003</v>
      </c>
      <c r="D1763" s="28" t="s">
        <v>22</v>
      </c>
      <c r="E1763" s="4" t="s">
        <v>1361</v>
      </c>
      <c r="F1763" s="28"/>
      <c r="G1763" s="4"/>
      <c r="H1763" s="4">
        <f>SUMIFS(X!$F$5:$F$2005,X!$D$5:$D$2005,'CEK CICI'!A1763)</f>
        <v>11</v>
      </c>
      <c r="I1763" s="4">
        <f>SUMIFS(PENJUALAN!$E$4:$E$4288,PENJUALAN!$C$4:$C$4288,'CEK CICI'!A1763)</f>
        <v>10</v>
      </c>
      <c r="J1763" s="16">
        <f t="shared" si="2"/>
        <v>1</v>
      </c>
      <c r="K1763" s="15" t="s">
        <v>11531</v>
      </c>
      <c r="L1763" s="15"/>
      <c r="M1763" s="5">
        <v>1.0</v>
      </c>
      <c r="N1763" s="4"/>
    </row>
    <row r="1764" ht="13.5" hidden="1" customHeight="1">
      <c r="A1764" s="4" t="str">
        <f t="shared" si="1"/>
        <v>LFW-FE700MU</v>
      </c>
      <c r="B1764" s="29" t="s">
        <v>1310</v>
      </c>
      <c r="C1764" s="30" t="s">
        <v>1311</v>
      </c>
      <c r="D1764" s="28" t="s">
        <v>22</v>
      </c>
      <c r="E1764" s="4" t="s">
        <v>1361</v>
      </c>
      <c r="F1764" s="28"/>
      <c r="G1764" s="15" t="s">
        <v>11532</v>
      </c>
      <c r="H1764" s="4">
        <f>SUMIFS(X!$F$5:$F$2005,X!$D$5:$D$2005,'CEK CICI'!A1764)</f>
        <v>6</v>
      </c>
      <c r="I1764" s="4">
        <f>SUMIFS(PENJUALAN!$E$4:$E$4288,PENJUALAN!$C$4:$C$4288,'CEK CICI'!A1764)</f>
        <v>6</v>
      </c>
      <c r="J1764" s="16">
        <f t="shared" si="2"/>
        <v>0</v>
      </c>
      <c r="K1764" s="15" t="s">
        <v>2351</v>
      </c>
      <c r="L1764" s="15"/>
      <c r="M1764" s="5">
        <v>1.0</v>
      </c>
      <c r="N1764" s="4"/>
    </row>
    <row r="1765" ht="13.5" hidden="1" customHeight="1">
      <c r="A1765" s="4" t="str">
        <f t="shared" si="1"/>
        <v>LFW-FK40MU</v>
      </c>
      <c r="B1765" s="29" t="s">
        <v>1314</v>
      </c>
      <c r="C1765" s="65" t="s">
        <v>1315</v>
      </c>
      <c r="D1765" s="28" t="s">
        <v>22</v>
      </c>
      <c r="E1765" s="4" t="s">
        <v>1361</v>
      </c>
      <c r="F1765" s="28"/>
      <c r="G1765" s="4"/>
      <c r="H1765" s="4">
        <f>SUMIFS(X!$F$5:$F$2005,X!$D$5:$D$2005,'CEK CICI'!A1765)</f>
        <v>0</v>
      </c>
      <c r="I1765" s="4">
        <f>SUMIFS(PENJUALAN!$E$4:$E$4288,PENJUALAN!$C$4:$C$4288,'CEK CICI'!A1765)</f>
        <v>0</v>
      </c>
      <c r="J1765" s="16">
        <f t="shared" si="2"/>
        <v>0</v>
      </c>
      <c r="K1765" s="4"/>
      <c r="L1765" s="4"/>
      <c r="M1765" s="4"/>
      <c r="N1765" s="4"/>
    </row>
    <row r="1766" ht="13.5" hidden="1" customHeight="1">
      <c r="A1766" s="4" t="str">
        <f t="shared" si="1"/>
        <v>LFW-L300MU</v>
      </c>
      <c r="B1766" s="29" t="s">
        <v>1318</v>
      </c>
      <c r="C1766" s="30" t="s">
        <v>1319</v>
      </c>
      <c r="D1766" s="28" t="s">
        <v>22</v>
      </c>
      <c r="E1766" s="4" t="s">
        <v>1361</v>
      </c>
      <c r="F1766" s="28"/>
      <c r="G1766" s="4"/>
      <c r="H1766" s="4">
        <f>SUMIFS(X!$F$5:$F$2005,X!$D$5:$D$2005,'CEK CICI'!A1766)</f>
        <v>10</v>
      </c>
      <c r="I1766" s="4">
        <f>SUMIFS(PENJUALAN!$E$4:$E$4288,PENJUALAN!$C$4:$C$4288,'CEK CICI'!A1766)</f>
        <v>9</v>
      </c>
      <c r="J1766" s="16">
        <f t="shared" si="2"/>
        <v>1</v>
      </c>
      <c r="K1766" s="15" t="s">
        <v>11533</v>
      </c>
      <c r="L1766" s="15"/>
      <c r="M1766" s="5">
        <v>1.0</v>
      </c>
      <c r="N1766" s="4"/>
    </row>
    <row r="1767" ht="13.5" hidden="1" customHeight="1">
      <c r="A1767" s="4" t="str">
        <f t="shared" si="1"/>
        <v>LFW-SCANIAMU</v>
      </c>
      <c r="B1767" s="29" t="s">
        <v>2139</v>
      </c>
      <c r="C1767" s="30" t="s">
        <v>2140</v>
      </c>
      <c r="D1767" s="30" t="s">
        <v>22</v>
      </c>
      <c r="E1767" s="4" t="s">
        <v>1361</v>
      </c>
      <c r="F1767" s="28"/>
      <c r="G1767" s="4"/>
      <c r="H1767" s="4">
        <f>SUMIFS(X!$F$5:$F$2005,X!$D$5:$D$2005,'CEK CICI'!A1767)</f>
        <v>0</v>
      </c>
      <c r="I1767" s="4">
        <f>SUMIFS(PENJUALAN!$E$4:$E$4288,PENJUALAN!$C$4:$C$4288,'CEK CICI'!A1767)</f>
        <v>0</v>
      </c>
      <c r="J1767" s="16">
        <f t="shared" si="2"/>
        <v>0</v>
      </c>
      <c r="K1767" s="4"/>
      <c r="L1767" s="4"/>
      <c r="M1767" s="4"/>
      <c r="N1767" s="4"/>
    </row>
    <row r="1768" ht="13.5" hidden="1" customHeight="1">
      <c r="A1768" s="4" t="str">
        <f t="shared" si="1"/>
        <v>LFW-DYNAMU</v>
      </c>
      <c r="B1768" s="29" t="s">
        <v>2007</v>
      </c>
      <c r="C1768" s="30" t="s">
        <v>1381</v>
      </c>
      <c r="D1768" s="28" t="s">
        <v>22</v>
      </c>
      <c r="E1768" s="4" t="s">
        <v>1361</v>
      </c>
      <c r="F1768" s="28"/>
      <c r="G1768" s="4"/>
      <c r="H1768" s="4">
        <f>SUMIFS(X!$F$5:$F$2005,X!$D$5:$D$2005,'CEK CICI'!A1768)</f>
        <v>18</v>
      </c>
      <c r="I1768" s="4">
        <f>SUMIFS(PENJUALAN!$E$4:$E$4288,PENJUALAN!$C$4:$C$4288,'CEK CICI'!A1768)</f>
        <v>17</v>
      </c>
      <c r="J1768" s="16">
        <f t="shared" si="2"/>
        <v>1</v>
      </c>
      <c r="K1768" s="15" t="s">
        <v>11531</v>
      </c>
      <c r="L1768" s="15"/>
      <c r="M1768" s="5">
        <v>2.0</v>
      </c>
      <c r="N1768" s="15" t="s">
        <v>11534</v>
      </c>
    </row>
    <row r="1769" ht="13.5" hidden="1" customHeight="1">
      <c r="A1769" s="4" t="str">
        <f t="shared" si="1"/>
        <v>FDL-DYNAMU</v>
      </c>
      <c r="B1769" s="29" t="s">
        <v>2141</v>
      </c>
      <c r="C1769" s="30" t="s">
        <v>1381</v>
      </c>
      <c r="D1769" s="28" t="s">
        <v>128</v>
      </c>
      <c r="E1769" s="4" t="s">
        <v>1361</v>
      </c>
      <c r="F1769" s="30" t="s">
        <v>2142</v>
      </c>
      <c r="G1769" s="4"/>
      <c r="H1769" s="4">
        <f>SUMIFS(X!$F$5:$F$2005,X!$D$5:$D$2005,'CEK CICI'!A1769)</f>
        <v>0</v>
      </c>
      <c r="I1769" s="4">
        <f>SUMIFS(PENJUALAN!$E$4:$E$4288,PENJUALAN!$C$4:$C$4288,'CEK CICI'!A1769)</f>
        <v>0</v>
      </c>
      <c r="J1769" s="16">
        <f t="shared" si="2"/>
        <v>0</v>
      </c>
      <c r="K1769" s="4"/>
      <c r="L1769" s="4"/>
      <c r="M1769" s="4"/>
      <c r="N1769" s="4"/>
    </row>
    <row r="1770" ht="13.5" hidden="1" customHeight="1">
      <c r="A1770" s="4" t="str">
        <f t="shared" si="1"/>
        <v>FDR-DYNAMU</v>
      </c>
      <c r="B1770" s="29" t="s">
        <v>1380</v>
      </c>
      <c r="C1770" s="30" t="s">
        <v>1381</v>
      </c>
      <c r="D1770" s="28" t="s">
        <v>130</v>
      </c>
      <c r="E1770" s="4" t="s">
        <v>1361</v>
      </c>
      <c r="F1770" s="30" t="s">
        <v>2142</v>
      </c>
      <c r="G1770" s="4"/>
      <c r="H1770" s="4">
        <f>SUMIFS(X!$F$5:$F$2005,X!$D$5:$D$2005,'CEK CICI'!A1770)</f>
        <v>0</v>
      </c>
      <c r="I1770" s="4">
        <f>SUMIFS(PENJUALAN!$E$4:$E$4288,PENJUALAN!$C$4:$C$4288,'CEK CICI'!A1770)</f>
        <v>0</v>
      </c>
      <c r="J1770" s="16">
        <f t="shared" si="2"/>
        <v>0</v>
      </c>
      <c r="K1770" s="4"/>
      <c r="L1770" s="4"/>
      <c r="M1770" s="4"/>
      <c r="N1770" s="4"/>
    </row>
    <row r="1771" ht="13.5" hidden="1" customHeight="1">
      <c r="A1771" s="4" t="str">
        <f t="shared" si="1"/>
        <v>TRW-NKINGMU</v>
      </c>
      <c r="B1771" s="41" t="s">
        <v>2143</v>
      </c>
      <c r="C1771" s="30" t="s">
        <v>2144</v>
      </c>
      <c r="D1771" s="30" t="s">
        <v>41</v>
      </c>
      <c r="E1771" s="4" t="s">
        <v>1361</v>
      </c>
      <c r="F1771" s="30"/>
      <c r="G1771" s="4"/>
      <c r="H1771" s="4">
        <f>SUMIFS(X!$F$5:$F$2005,X!$D$5:$D$2005,'CEK CICI'!A1771)</f>
        <v>0</v>
      </c>
      <c r="I1771" s="4">
        <f>SUMIFS(PENJUALAN!$E$4:$E$4288,PENJUALAN!$C$4:$C$4288,'CEK CICI'!A1771)</f>
        <v>0</v>
      </c>
      <c r="J1771" s="16">
        <f t="shared" si="2"/>
        <v>0</v>
      </c>
      <c r="K1771" s="4"/>
      <c r="L1771" s="4"/>
      <c r="M1771" s="4"/>
      <c r="N1771" s="4"/>
    </row>
    <row r="1772" ht="13.5" hidden="1" customHeight="1">
      <c r="A1772" s="4" t="str">
        <f t="shared" si="1"/>
        <v>LFW-SIRION18XYG</v>
      </c>
      <c r="B1772" s="14" t="s">
        <v>2145</v>
      </c>
      <c r="C1772" s="4" t="s">
        <v>2146</v>
      </c>
      <c r="D1772" s="4" t="s">
        <v>22</v>
      </c>
      <c r="E1772" s="4" t="s">
        <v>16</v>
      </c>
      <c r="F1772" s="4" t="s">
        <v>97</v>
      </c>
      <c r="G1772" s="4"/>
      <c r="H1772" s="4">
        <f>SUMIFS(X!$F$5:$F$2005,X!$D$5:$D$2005,'CEK CICI'!A1772)</f>
        <v>1</v>
      </c>
      <c r="I1772" s="4">
        <f>SUMIFS(PENJUALAN!$E$4:$E$4288,PENJUALAN!$C$4:$C$4288,'CEK CICI'!A1772)</f>
        <v>0</v>
      </c>
      <c r="J1772" s="16">
        <f t="shared" si="2"/>
        <v>1</v>
      </c>
      <c r="K1772" s="4"/>
      <c r="L1772" s="4"/>
      <c r="M1772" s="5"/>
      <c r="N1772" s="4"/>
    </row>
    <row r="1773" ht="13.5" hidden="1" customHeight="1">
      <c r="A1773" s="4" t="str">
        <f t="shared" si="1"/>
        <v>LFW-BRIOAGC</v>
      </c>
      <c r="B1773" s="14" t="s">
        <v>356</v>
      </c>
      <c r="C1773" s="28" t="s">
        <v>357</v>
      </c>
      <c r="D1773" s="4" t="s">
        <v>22</v>
      </c>
      <c r="E1773" s="15" t="s">
        <v>78</v>
      </c>
      <c r="F1773" s="15" t="s">
        <v>90</v>
      </c>
      <c r="G1773" s="4"/>
      <c r="H1773" s="4">
        <f>SUMIFS(X!$F$5:$F$2005,X!$D$5:$D$2005,'CEK CICI'!A1773)</f>
        <v>34</v>
      </c>
      <c r="I1773" s="4">
        <f>SUMIFS(PENJUALAN!$E$4:$E$4288,PENJUALAN!$C$4:$C$4288,'CEK CICI'!A1773)</f>
        <v>32</v>
      </c>
      <c r="J1773" s="16">
        <f t="shared" si="2"/>
        <v>2</v>
      </c>
      <c r="K1773" s="15" t="s">
        <v>1475</v>
      </c>
      <c r="L1773" s="15"/>
      <c r="M1773" s="5"/>
      <c r="N1773" s="4"/>
    </row>
    <row r="1774" ht="13.5" hidden="1" customHeight="1">
      <c r="A1774" s="4" t="str">
        <f t="shared" si="1"/>
        <v>RDR-BRIO18AGC</v>
      </c>
      <c r="B1774" s="14" t="s">
        <v>2149</v>
      </c>
      <c r="C1774" s="28" t="s">
        <v>1421</v>
      </c>
      <c r="D1774" s="4" t="s">
        <v>70</v>
      </c>
      <c r="E1774" s="15" t="s">
        <v>78</v>
      </c>
      <c r="F1774" s="15" t="s">
        <v>2150</v>
      </c>
      <c r="G1774" s="4"/>
      <c r="H1774" s="4">
        <f>SUMIFS(X!$F$5:$F$2005,X!$D$5:$D$2005,'CEK CICI'!A1774)</f>
        <v>2</v>
      </c>
      <c r="I1774" s="4">
        <f>SUMIFS(PENJUALAN!$E$4:$E$4288,PENJUALAN!$C$4:$C$4288,'CEK CICI'!A1774)</f>
        <v>0</v>
      </c>
      <c r="J1774" s="16">
        <f t="shared" si="2"/>
        <v>2</v>
      </c>
      <c r="K1774" s="15" t="s">
        <v>2067</v>
      </c>
      <c r="L1774" s="15"/>
      <c r="M1774" s="5"/>
      <c r="N1774" s="4"/>
    </row>
    <row r="1775" ht="13.5" hidden="1" customHeight="1">
      <c r="A1775" s="4" t="str">
        <f t="shared" si="1"/>
        <v>RDL-BRIO18AGC</v>
      </c>
      <c r="B1775" s="14" t="s">
        <v>2382</v>
      </c>
      <c r="C1775" s="28" t="s">
        <v>1421</v>
      </c>
      <c r="D1775" s="4" t="s">
        <v>47</v>
      </c>
      <c r="E1775" s="15" t="s">
        <v>78</v>
      </c>
      <c r="F1775" s="15" t="s">
        <v>2150</v>
      </c>
      <c r="G1775" s="4"/>
      <c r="H1775" s="4">
        <f>SUMIFS(X!$F$5:$F$2005,X!$D$5:$D$2005,'CEK CICI'!A1775)</f>
        <v>2</v>
      </c>
      <c r="I1775" s="4">
        <f>SUMIFS(PENJUALAN!$E$4:$E$4288,PENJUALAN!$C$4:$C$4288,'CEK CICI'!A1775)</f>
        <v>1</v>
      </c>
      <c r="J1775" s="16">
        <f t="shared" si="2"/>
        <v>1</v>
      </c>
      <c r="K1775" s="15" t="s">
        <v>2067</v>
      </c>
      <c r="L1775" s="15"/>
      <c r="M1775" s="5"/>
      <c r="N1775" s="4"/>
    </row>
    <row r="1776" ht="13.5" hidden="1" customHeight="1">
      <c r="A1776" s="4" t="str">
        <f t="shared" si="1"/>
        <v>FDR-BRIOAGC</v>
      </c>
      <c r="B1776" s="85" t="s">
        <v>2383</v>
      </c>
      <c r="C1776" s="86" t="s">
        <v>2163</v>
      </c>
      <c r="D1776" s="15" t="s">
        <v>45</v>
      </c>
      <c r="E1776" s="15" t="s">
        <v>78</v>
      </c>
      <c r="F1776" s="15" t="s">
        <v>2150</v>
      </c>
      <c r="G1776" s="4"/>
      <c r="H1776" s="4">
        <f>SUMIFS(X!$F$5:$F$2005,X!$D$5:$D$2005,'CEK CICI'!A1776)</f>
        <v>2</v>
      </c>
      <c r="I1776" s="4">
        <f>SUMIFS(PENJUALAN!$E$4:$E$4288,PENJUALAN!$C$4:$C$4288,'CEK CICI'!A1776)</f>
        <v>2</v>
      </c>
      <c r="J1776" s="16">
        <f t="shared" si="2"/>
        <v>0</v>
      </c>
      <c r="K1776" s="15" t="s">
        <v>2067</v>
      </c>
      <c r="L1776" s="15"/>
      <c r="M1776" s="5"/>
      <c r="N1776" s="4"/>
    </row>
    <row r="1777" ht="13.5" hidden="1" customHeight="1">
      <c r="A1777" s="4" t="str">
        <f t="shared" si="1"/>
        <v>FDL-BRIOAGC</v>
      </c>
      <c r="B1777" s="85" t="s">
        <v>2162</v>
      </c>
      <c r="C1777" s="86" t="s">
        <v>2163</v>
      </c>
      <c r="D1777" s="15" t="s">
        <v>93</v>
      </c>
      <c r="E1777" s="15" t="s">
        <v>78</v>
      </c>
      <c r="F1777" s="15" t="s">
        <v>2150</v>
      </c>
      <c r="G1777" s="4"/>
      <c r="H1777" s="4">
        <f>SUMIFS(X!$F$5:$F$2005,X!$D$5:$D$2005,'CEK CICI'!A1777)</f>
        <v>2</v>
      </c>
      <c r="I1777" s="4">
        <f>SUMIFS(PENJUALAN!$E$4:$E$4288,PENJUALAN!$C$4:$C$4288,'CEK CICI'!A1777)</f>
        <v>2</v>
      </c>
      <c r="J1777" s="16">
        <f t="shared" si="2"/>
        <v>0</v>
      </c>
      <c r="K1777" s="15" t="s">
        <v>1428</v>
      </c>
      <c r="L1777" s="15"/>
      <c r="M1777" s="5"/>
      <c r="N1777" s="4"/>
    </row>
    <row r="1778" ht="13.5" hidden="1" customHeight="1">
      <c r="A1778" s="4" t="str">
        <f t="shared" si="1"/>
        <v>SWR-MOBILIOAGC</v>
      </c>
      <c r="B1778" s="85" t="s">
        <v>2385</v>
      </c>
      <c r="C1778" s="86" t="s">
        <v>2386</v>
      </c>
      <c r="D1778" s="15" t="s">
        <v>104</v>
      </c>
      <c r="E1778" s="15" t="s">
        <v>78</v>
      </c>
      <c r="F1778" s="15" t="s">
        <v>90</v>
      </c>
      <c r="G1778" s="4"/>
      <c r="H1778" s="4">
        <f>SUMIFS(X!$F$5:$F$2005,X!$D$5:$D$2005,'CEK CICI'!A1778)</f>
        <v>2</v>
      </c>
      <c r="I1778" s="4">
        <f>SUMIFS(PENJUALAN!$E$4:$E$4288,PENJUALAN!$C$4:$C$4288,'CEK CICI'!A1778)</f>
        <v>2</v>
      </c>
      <c r="J1778" s="16">
        <f t="shared" si="2"/>
        <v>0</v>
      </c>
      <c r="K1778" s="15" t="s">
        <v>1404</v>
      </c>
      <c r="L1778" s="15"/>
      <c r="M1778" s="5"/>
      <c r="N1778" s="4"/>
    </row>
    <row r="1779" ht="13.5" hidden="1" customHeight="1">
      <c r="A1779" s="4" t="str">
        <f t="shared" si="1"/>
        <v>SWL-MOBILIOAGC</v>
      </c>
      <c r="B1779" s="85" t="s">
        <v>2389</v>
      </c>
      <c r="C1779" s="86" t="s">
        <v>2386</v>
      </c>
      <c r="D1779" s="15" t="s">
        <v>1434</v>
      </c>
      <c r="E1779" s="15" t="s">
        <v>78</v>
      </c>
      <c r="F1779" s="15" t="s">
        <v>90</v>
      </c>
      <c r="G1779" s="4"/>
      <c r="H1779" s="4">
        <f>SUMIFS(X!$F$5:$F$2005,X!$D$5:$D$2005,'CEK CICI'!A1779)</f>
        <v>2</v>
      </c>
      <c r="I1779" s="4">
        <f>SUMIFS(PENJUALAN!$E$4:$E$4288,PENJUALAN!$C$4:$C$4288,'CEK CICI'!A1779)</f>
        <v>1</v>
      </c>
      <c r="J1779" s="16">
        <f t="shared" si="2"/>
        <v>1</v>
      </c>
      <c r="K1779" s="15" t="s">
        <v>1404</v>
      </c>
      <c r="L1779" s="15"/>
      <c r="M1779" s="5"/>
      <c r="N1779" s="4"/>
    </row>
    <row r="1780" ht="13.5" hidden="1" customHeight="1">
      <c r="A1780" s="4" t="str">
        <f t="shared" si="1"/>
        <v>LFW-PICANTO04BMU</v>
      </c>
      <c r="B1780" s="14" t="s">
        <v>585</v>
      </c>
      <c r="C1780" s="28" t="s">
        <v>586</v>
      </c>
      <c r="D1780" s="15" t="s">
        <v>22</v>
      </c>
      <c r="E1780" s="4" t="s">
        <v>1361</v>
      </c>
      <c r="F1780" s="4" t="s">
        <v>79</v>
      </c>
      <c r="G1780" s="4"/>
      <c r="H1780" s="4">
        <f>SUMIFS(X!$F$5:$F$2005,X!$D$5:$D$2005,'CEK CICI'!A1780)</f>
        <v>0</v>
      </c>
      <c r="I1780" s="4">
        <f>SUMIFS(PENJUALAN!$E$4:$E$4288,PENJUALAN!$C$4:$C$4288,'CEK CICI'!A1780)</f>
        <v>0</v>
      </c>
      <c r="J1780" s="16">
        <f t="shared" si="2"/>
        <v>0</v>
      </c>
      <c r="K1780" s="4"/>
      <c r="L1780" s="4"/>
      <c r="M1780" s="5"/>
      <c r="N1780" s="4"/>
    </row>
    <row r="1781" ht="13.5" hidden="1" customHeight="1">
      <c r="A1781" s="4" t="str">
        <f t="shared" si="1"/>
        <v>RDL-RIO11XYG</v>
      </c>
      <c r="B1781" s="29" t="s">
        <v>622</v>
      </c>
      <c r="C1781" s="28" t="s">
        <v>618</v>
      </c>
      <c r="D1781" s="28" t="s">
        <v>132</v>
      </c>
      <c r="E1781" s="4" t="s">
        <v>16</v>
      </c>
      <c r="F1781" s="4" t="s">
        <v>397</v>
      </c>
      <c r="G1781" s="4"/>
      <c r="H1781" s="4">
        <f>SUMIFS(X!$F$5:$F$2005,X!$D$5:$D$2005,'CEK CICI'!A1781)</f>
        <v>0</v>
      </c>
      <c r="I1781" s="4">
        <f>SUMIFS(PENJUALAN!$E$4:$E$4288,PENJUALAN!$C$4:$C$4288,'CEK CICI'!A1781)</f>
        <v>0</v>
      </c>
      <c r="J1781" s="16">
        <f t="shared" si="2"/>
        <v>0</v>
      </c>
      <c r="K1781" s="4"/>
      <c r="L1781" s="4"/>
      <c r="M1781" s="5"/>
    </row>
    <row r="1782" ht="13.5" hidden="1" customHeight="1">
      <c r="A1782" s="4" t="str">
        <f t="shared" si="1"/>
        <v>RDR-RIO11XYG</v>
      </c>
      <c r="B1782" s="29" t="s">
        <v>623</v>
      </c>
      <c r="C1782" s="28" t="s">
        <v>618</v>
      </c>
      <c r="D1782" s="28" t="s">
        <v>134</v>
      </c>
      <c r="E1782" s="4" t="s">
        <v>16</v>
      </c>
      <c r="F1782" s="4" t="s">
        <v>397</v>
      </c>
      <c r="G1782" s="4"/>
      <c r="H1782" s="4">
        <f>SUMIFS(X!$F$5:$F$2005,X!$D$5:$D$2005,'CEK CICI'!A1782)</f>
        <v>0</v>
      </c>
      <c r="I1782" s="4">
        <f>SUMIFS(PENJUALAN!$E$4:$E$4288,PENJUALAN!$C$4:$C$4288,'CEK CICI'!A1782)</f>
        <v>0</v>
      </c>
      <c r="J1782" s="16">
        <f t="shared" si="2"/>
        <v>0</v>
      </c>
      <c r="K1782" s="4"/>
      <c r="L1782" s="4"/>
      <c r="M1782" s="5"/>
      <c r="N1782" s="4"/>
    </row>
    <row r="1783" ht="13.5" hidden="1" customHeight="1">
      <c r="A1783" s="4" t="str">
        <f t="shared" si="1"/>
        <v>RDL-EVALIAFRAMEXYG</v>
      </c>
      <c r="B1783" s="14" t="s">
        <v>2157</v>
      </c>
      <c r="C1783" s="28" t="s">
        <v>920</v>
      </c>
      <c r="D1783" s="4" t="s">
        <v>47</v>
      </c>
      <c r="E1783" s="4" t="s">
        <v>16</v>
      </c>
      <c r="F1783" s="4" t="s">
        <v>2158</v>
      </c>
      <c r="G1783" s="4"/>
      <c r="H1783" s="4">
        <f>SUMIFS(X!$F$5:$F$2005,X!$D$5:$D$2005,'CEK CICI'!A1783)</f>
        <v>0</v>
      </c>
      <c r="I1783" s="4">
        <f>SUMIFS(PENJUALAN!$E$4:$E$4288,PENJUALAN!$C$4:$C$4288,'CEK CICI'!A1783)</f>
        <v>0</v>
      </c>
      <c r="J1783" s="16">
        <f t="shared" si="2"/>
        <v>0</v>
      </c>
      <c r="K1783" s="4"/>
      <c r="L1783" s="4"/>
      <c r="M1783" s="5"/>
      <c r="N1783" s="4"/>
    </row>
    <row r="1784" ht="13.5" hidden="1" customHeight="1">
      <c r="A1784" s="4" t="str">
        <f t="shared" si="1"/>
        <v>LFW-PICANTO11MU</v>
      </c>
      <c r="B1784" s="29" t="s">
        <v>597</v>
      </c>
      <c r="C1784" s="28" t="s">
        <v>598</v>
      </c>
      <c r="D1784" s="28" t="s">
        <v>22</v>
      </c>
      <c r="E1784" s="4" t="s">
        <v>1361</v>
      </c>
      <c r="F1784" s="28" t="s">
        <v>125</v>
      </c>
      <c r="G1784" s="4"/>
      <c r="H1784" s="4">
        <f>SUMIFS(X!$F$5:$F$2005,X!$D$5:$D$2005,'CEK CICI'!A1784)</f>
        <v>0</v>
      </c>
      <c r="I1784" s="4">
        <f>SUMIFS(PENJUALAN!$E$4:$E$4288,PENJUALAN!$C$4:$C$4288,'CEK CICI'!A1784)</f>
        <v>0</v>
      </c>
      <c r="J1784" s="16">
        <f t="shared" si="2"/>
        <v>0</v>
      </c>
      <c r="K1784" s="4"/>
      <c r="L1784" s="4"/>
      <c r="M1784" s="5"/>
      <c r="N1784" s="4"/>
    </row>
    <row r="1785" ht="13.5" hidden="1" customHeight="1">
      <c r="A1785" s="4" t="str">
        <f t="shared" si="1"/>
        <v>LFW-F30AUTO</v>
      </c>
      <c r="B1785" s="29" t="s">
        <v>156</v>
      </c>
      <c r="C1785" s="28" t="s">
        <v>157</v>
      </c>
      <c r="D1785" s="28" t="s">
        <v>22</v>
      </c>
      <c r="E1785" s="4" t="s">
        <v>66</v>
      </c>
      <c r="F1785" s="28" t="s">
        <v>112</v>
      </c>
      <c r="G1785" s="4"/>
      <c r="H1785" s="4">
        <f>SUMIFS(X!$F$5:$F$2005,X!$D$5:$D$2005,'CEK CICI'!A1785)</f>
        <v>0</v>
      </c>
      <c r="I1785" s="4">
        <f>SUMIFS(PENJUALAN!$E$4:$E$4288,PENJUALAN!$C$4:$C$4288,'CEK CICI'!A1785)</f>
        <v>0</v>
      </c>
      <c r="J1785" s="16">
        <f t="shared" si="2"/>
        <v>0</v>
      </c>
      <c r="K1785" s="4"/>
      <c r="L1785" s="4"/>
      <c r="M1785" s="5"/>
      <c r="N1785" s="4"/>
    </row>
    <row r="1786" ht="13.5" hidden="1" customHeight="1">
      <c r="A1786" s="4" t="str">
        <f t="shared" si="1"/>
        <v>TRW-BRV16AUTO</v>
      </c>
      <c r="B1786" s="14" t="s">
        <v>105</v>
      </c>
      <c r="C1786" s="28" t="s">
        <v>1978</v>
      </c>
      <c r="D1786" s="4" t="s">
        <v>41</v>
      </c>
      <c r="E1786" s="4" t="s">
        <v>66</v>
      </c>
      <c r="F1786" s="4"/>
      <c r="G1786" s="4"/>
      <c r="H1786" s="4">
        <f>SUMIFS(X!$F$5:$F$2005,X!$D$5:$D$2005,'CEK CICI'!A1786)</f>
        <v>0</v>
      </c>
      <c r="I1786" s="4">
        <f>SUMIFS(PENJUALAN!$E$4:$E$4288,PENJUALAN!$C$4:$C$4288,'CEK CICI'!A1786)</f>
        <v>0</v>
      </c>
      <c r="J1786" s="16">
        <f t="shared" si="2"/>
        <v>0</v>
      </c>
      <c r="K1786" s="4"/>
      <c r="L1786" s="4"/>
      <c r="M1786" s="5"/>
      <c r="N1786" s="4"/>
    </row>
    <row r="1787" ht="13.5" hidden="1" customHeight="1">
      <c r="A1787" s="20" t="str">
        <f t="shared" si="1"/>
        <v>LFW-BRV22ASH</v>
      </c>
      <c r="B1787" s="21" t="s">
        <v>2159</v>
      </c>
      <c r="C1787" s="39" t="s">
        <v>2160</v>
      </c>
      <c r="D1787" s="20" t="s">
        <v>22</v>
      </c>
      <c r="E1787" s="20" t="s">
        <v>82</v>
      </c>
      <c r="F1787" s="20"/>
      <c r="G1787" s="20"/>
      <c r="H1787" s="20">
        <f>SUMIFS(X!$F$5:$F$2005,X!$D$5:$D$2005,'CEK CICI'!A1787)</f>
        <v>10</v>
      </c>
      <c r="I1787" s="20">
        <f>SUMIFS(PENJUALAN!$E$4:$E$4288,PENJUALAN!$C$4:$C$4288,'CEK CICI'!A1787)</f>
        <v>10</v>
      </c>
      <c r="J1787" s="16">
        <f t="shared" si="2"/>
        <v>0</v>
      </c>
      <c r="K1787" s="22" t="s">
        <v>2161</v>
      </c>
      <c r="L1787" s="22"/>
      <c r="M1787" s="23"/>
      <c r="N1787" s="22"/>
    </row>
    <row r="1788" ht="13.5" hidden="1" customHeight="1">
      <c r="A1788" s="4" t="str">
        <f t="shared" si="1"/>
        <v>LFW-ALPHARD15AUTO</v>
      </c>
      <c r="B1788" s="29" t="s">
        <v>1070</v>
      </c>
      <c r="C1788" s="28" t="s">
        <v>1071</v>
      </c>
      <c r="D1788" s="28" t="s">
        <v>22</v>
      </c>
      <c r="E1788" s="4" t="s">
        <v>66</v>
      </c>
      <c r="F1788" s="28" t="s">
        <v>75</v>
      </c>
      <c r="G1788" s="4"/>
      <c r="H1788" s="4">
        <f>SUMIFS(X!$F$5:$F$2005,X!$D$5:$D$2005,'CEK CICI'!A1788)</f>
        <v>0</v>
      </c>
      <c r="I1788" s="4">
        <f>SUMIFS(PENJUALAN!$E$4:$E$4288,PENJUALAN!$C$4:$C$4288,'CEK CICI'!A1788)</f>
        <v>0</v>
      </c>
      <c r="J1788" s="16">
        <f t="shared" si="2"/>
        <v>0</v>
      </c>
      <c r="K1788" s="4"/>
      <c r="L1788" s="4"/>
      <c r="M1788" s="5"/>
      <c r="N1788" s="4"/>
    </row>
    <row r="1789" ht="13.5" hidden="1" customHeight="1">
      <c r="A1789" s="4" t="str">
        <f t="shared" si="1"/>
        <v>LFW-W212RS2AUTO</v>
      </c>
      <c r="B1789" s="29" t="s">
        <v>802</v>
      </c>
      <c r="C1789" s="28" t="s">
        <v>803</v>
      </c>
      <c r="D1789" s="28" t="s">
        <v>22</v>
      </c>
      <c r="E1789" s="4" t="s">
        <v>66</v>
      </c>
      <c r="F1789" s="28" t="s">
        <v>804</v>
      </c>
      <c r="G1789" s="4"/>
      <c r="H1789" s="4">
        <f>SUMIFS(X!$F$5:$F$2005,X!$D$5:$D$2005,'CEK CICI'!A1789)</f>
        <v>0</v>
      </c>
      <c r="I1789" s="4">
        <f>SUMIFS(PENJUALAN!$E$4:$E$4288,PENJUALAN!$C$4:$C$4288,'CEK CICI'!A1789)</f>
        <v>0</v>
      </c>
      <c r="J1789" s="16">
        <f t="shared" si="2"/>
        <v>0</v>
      </c>
      <c r="K1789" s="4"/>
      <c r="L1789" s="4"/>
      <c r="M1789" s="5"/>
      <c r="N1789" s="4"/>
    </row>
    <row r="1790" ht="13.5" hidden="1" customHeight="1">
      <c r="A1790" s="4" t="str">
        <f t="shared" si="1"/>
        <v>FDL-BRIOASH</v>
      </c>
      <c r="B1790" s="14" t="s">
        <v>2162</v>
      </c>
      <c r="C1790" s="4" t="s">
        <v>2163</v>
      </c>
      <c r="D1790" s="4" t="s">
        <v>93</v>
      </c>
      <c r="E1790" s="4" t="s">
        <v>82</v>
      </c>
      <c r="F1790" s="4"/>
      <c r="G1790" s="4"/>
      <c r="H1790" s="4">
        <f>SUMIFS(X!$F$5:$F$2005,X!$D$5:$D$2005,'CEK CICI'!A1790)</f>
        <v>0</v>
      </c>
      <c r="I1790" s="4">
        <f>SUMIFS(PENJUALAN!$E$4:$E$4288,PENJUALAN!$C$4:$C$4288,'CEK CICI'!A1790)</f>
        <v>0</v>
      </c>
      <c r="J1790" s="16">
        <f t="shared" si="2"/>
        <v>0</v>
      </c>
      <c r="K1790" s="4"/>
      <c r="L1790" s="4"/>
      <c r="M1790" s="5"/>
      <c r="N1790" s="4"/>
    </row>
    <row r="1791" ht="13.5" hidden="1" customHeight="1">
      <c r="A1791" s="20" t="str">
        <f t="shared" si="1"/>
        <v>FDL-INNOVA15ASH</v>
      </c>
      <c r="B1791" s="21" t="s">
        <v>1856</v>
      </c>
      <c r="C1791" s="39" t="s">
        <v>1167</v>
      </c>
      <c r="D1791" s="20" t="s">
        <v>93</v>
      </c>
      <c r="E1791" s="20" t="s">
        <v>82</v>
      </c>
      <c r="F1791" s="20" t="s">
        <v>397</v>
      </c>
      <c r="G1791" s="20"/>
      <c r="H1791" s="20">
        <f>SUMIFS(X!$F$5:$F$2005,X!$D$5:$D$2005,'CEK CICI'!A1791)</f>
        <v>5</v>
      </c>
      <c r="I1791" s="20">
        <f>SUMIFS(PENJUALAN!$E$4:$E$4288,PENJUALAN!$C$4:$C$4288,'CEK CICI'!A1791)</f>
        <v>3</v>
      </c>
      <c r="J1791" s="16">
        <f t="shared" si="2"/>
        <v>2</v>
      </c>
      <c r="K1791" s="22" t="s">
        <v>83</v>
      </c>
      <c r="L1791" s="22"/>
      <c r="M1791" s="23"/>
      <c r="N1791" s="20"/>
    </row>
    <row r="1792" ht="13.5" hidden="1" customHeight="1">
      <c r="A1792" s="20" t="str">
        <f t="shared" si="1"/>
        <v>FDR-INNOVA15ASH</v>
      </c>
      <c r="B1792" s="21" t="s">
        <v>1854</v>
      </c>
      <c r="C1792" s="39" t="s">
        <v>1167</v>
      </c>
      <c r="D1792" s="20" t="s">
        <v>45</v>
      </c>
      <c r="E1792" s="20" t="s">
        <v>82</v>
      </c>
      <c r="F1792" s="20" t="s">
        <v>397</v>
      </c>
      <c r="G1792" s="20"/>
      <c r="H1792" s="20">
        <f>SUMIFS(X!$F$5:$F$2005,X!$D$5:$D$2005,'CEK CICI'!A1792)</f>
        <v>3</v>
      </c>
      <c r="I1792" s="20">
        <f>SUMIFS(PENJUALAN!$E$4:$E$4288,PENJUALAN!$C$4:$C$4288,'CEK CICI'!A1792)</f>
        <v>2</v>
      </c>
      <c r="J1792" s="16">
        <f t="shared" si="2"/>
        <v>1</v>
      </c>
      <c r="K1792" s="22" t="s">
        <v>1391</v>
      </c>
      <c r="L1792" s="22"/>
      <c r="M1792" s="23"/>
      <c r="N1792" s="20"/>
    </row>
    <row r="1793" ht="13.5" hidden="1" customHeight="1">
      <c r="A1793" s="4" t="str">
        <f t="shared" si="1"/>
        <v>RDL-INNOVA15ASH</v>
      </c>
      <c r="B1793" s="14" t="s">
        <v>1858</v>
      </c>
      <c r="C1793" s="28" t="s">
        <v>1167</v>
      </c>
      <c r="D1793" s="4" t="s">
        <v>47</v>
      </c>
      <c r="E1793" s="4" t="s">
        <v>82</v>
      </c>
      <c r="F1793" s="4"/>
      <c r="G1793" s="4"/>
      <c r="H1793" s="4">
        <f>SUMIFS(X!$F$5:$F$2005,X!$D$5:$D$2005,'CEK CICI'!A1793)</f>
        <v>0</v>
      </c>
      <c r="I1793" s="4">
        <f>SUMIFS(PENJUALAN!$E$4:$E$4288,PENJUALAN!$C$4:$C$4288,'CEK CICI'!A1793)</f>
        <v>0</v>
      </c>
      <c r="J1793" s="16">
        <f t="shared" si="2"/>
        <v>0</v>
      </c>
      <c r="K1793" s="4"/>
      <c r="L1793" s="4"/>
      <c r="M1793" s="5"/>
      <c r="N1793" s="4"/>
    </row>
    <row r="1794" ht="13.5" hidden="1" customHeight="1">
      <c r="A1794" s="4" t="str">
        <f t="shared" si="1"/>
        <v>RDR-INNOVA15ASH</v>
      </c>
      <c r="B1794" s="14" t="s">
        <v>1857</v>
      </c>
      <c r="C1794" s="28" t="s">
        <v>1167</v>
      </c>
      <c r="D1794" s="4" t="s">
        <v>70</v>
      </c>
      <c r="E1794" s="4" t="s">
        <v>82</v>
      </c>
      <c r="F1794" s="4"/>
      <c r="G1794" s="4"/>
      <c r="H1794" s="4">
        <f>SUMIFS(X!$F$5:$F$2005,X!$D$5:$D$2005,'CEK CICI'!A1794)</f>
        <v>0</v>
      </c>
      <c r="I1794" s="4">
        <f>SUMIFS(PENJUALAN!$E$4:$E$4288,PENJUALAN!$C$4:$C$4288,'CEK CICI'!A1794)</f>
        <v>0</v>
      </c>
      <c r="J1794" s="16">
        <f t="shared" si="2"/>
        <v>0</v>
      </c>
      <c r="K1794" s="4"/>
      <c r="L1794" s="4"/>
      <c r="M1794" s="5"/>
      <c r="N1794" s="4"/>
    </row>
    <row r="1795" ht="13.5" hidden="1" customHeight="1">
      <c r="A1795" s="20" t="str">
        <f t="shared" si="1"/>
        <v>SWL-INNOVA15ASH</v>
      </c>
      <c r="B1795" s="21" t="s">
        <v>2376</v>
      </c>
      <c r="C1795" s="39" t="s">
        <v>1167</v>
      </c>
      <c r="D1795" s="20" t="s">
        <v>1434</v>
      </c>
      <c r="E1795" s="20" t="s">
        <v>82</v>
      </c>
      <c r="F1795" s="20" t="s">
        <v>2165</v>
      </c>
      <c r="G1795" s="20"/>
      <c r="H1795" s="20">
        <f>SUMIFS(X!$F$5:$F$2005,X!$D$5:$D$2005,'CEK CICI'!A1795)</f>
        <v>4</v>
      </c>
      <c r="I1795" s="20">
        <f>SUMIFS(PENJUALAN!$E$4:$E$4288,PENJUALAN!$C$4:$C$4288,'CEK CICI'!A1795)</f>
        <v>4</v>
      </c>
      <c r="J1795" s="16">
        <f t="shared" si="2"/>
        <v>0</v>
      </c>
      <c r="K1795" s="22" t="s">
        <v>1435</v>
      </c>
      <c r="L1795" s="22"/>
      <c r="M1795" s="23"/>
      <c r="N1795" s="20"/>
    </row>
    <row r="1796" ht="13.5" hidden="1" customHeight="1">
      <c r="A1796" s="4" t="str">
        <f t="shared" si="1"/>
        <v>SWR-INNOVA15ASH</v>
      </c>
      <c r="B1796" s="14" t="s">
        <v>2164</v>
      </c>
      <c r="C1796" s="28" t="s">
        <v>1167</v>
      </c>
      <c r="D1796" s="4" t="s">
        <v>104</v>
      </c>
      <c r="E1796" s="4" t="s">
        <v>82</v>
      </c>
      <c r="F1796" s="4" t="s">
        <v>2165</v>
      </c>
      <c r="G1796" s="4"/>
      <c r="H1796" s="4">
        <f>SUMIFS(X!$F$5:$F$2005,X!$D$5:$D$2005,'CEK CICI'!A1796)</f>
        <v>0</v>
      </c>
      <c r="I1796" s="4">
        <f>SUMIFS(PENJUALAN!$E$4:$E$4288,PENJUALAN!$C$4:$C$4288,'CEK CICI'!A1796)</f>
        <v>0</v>
      </c>
      <c r="J1796" s="16">
        <f t="shared" si="2"/>
        <v>0</v>
      </c>
      <c r="K1796" s="4"/>
      <c r="L1796" s="4"/>
      <c r="M1796" s="5"/>
      <c r="N1796" s="4"/>
    </row>
    <row r="1797" ht="15.0" hidden="1" customHeight="1">
      <c r="A1797" s="4" t="str">
        <f t="shared" si="1"/>
        <v>TRW-SPORTAGE04XYG</v>
      </c>
      <c r="B1797" s="29" t="s">
        <v>2166</v>
      </c>
      <c r="C1797" s="65" t="s">
        <v>2167</v>
      </c>
      <c r="D1797" s="28" t="s">
        <v>41</v>
      </c>
      <c r="E1797" s="4" t="s">
        <v>16</v>
      </c>
      <c r="F1797" s="28" t="s">
        <v>2168</v>
      </c>
      <c r="G1797" s="4"/>
      <c r="H1797" s="4">
        <f>SUMIFS(X!$F$5:$F$2005,X!$D$5:$D$2005,'CEK CICI'!A1797)</f>
        <v>0</v>
      </c>
      <c r="I1797" s="4">
        <f>SUMIFS(PENJUALAN!$E$4:$E$4288,PENJUALAN!$C$4:$C$4288,'CEK CICI'!A1797)</f>
        <v>0</v>
      </c>
      <c r="J1797" s="16">
        <f t="shared" si="2"/>
        <v>0</v>
      </c>
      <c r="K1797" s="18"/>
      <c r="L1797" s="18"/>
      <c r="M1797" s="18"/>
      <c r="N1797" s="18"/>
    </row>
    <row r="1798" ht="15.0" hidden="1" customHeight="1">
      <c r="A1798" s="4" t="str">
        <f t="shared" si="1"/>
        <v>FDL-AVANZA03ORI</v>
      </c>
      <c r="B1798" s="14" t="s">
        <v>1879</v>
      </c>
      <c r="C1798" s="4" t="s">
        <v>65</v>
      </c>
      <c r="D1798" s="4" t="s">
        <v>93</v>
      </c>
      <c r="E1798" s="4" t="s">
        <v>89</v>
      </c>
      <c r="F1798" s="4" t="s">
        <v>2169</v>
      </c>
      <c r="G1798" s="4"/>
      <c r="H1798" s="4">
        <f>SUMIFS(X!$F$5:$F$2005,X!$D$5:$D$2005,'CEK CICI'!A1798)</f>
        <v>0</v>
      </c>
      <c r="I1798" s="4">
        <f>SUMIFS(PENJUALAN!$E$4:$E$4288,PENJUALAN!$C$4:$C$4288,'CEK CICI'!A1798)</f>
        <v>0</v>
      </c>
      <c r="J1798" s="16">
        <f t="shared" si="2"/>
        <v>0</v>
      </c>
      <c r="K1798" s="4"/>
      <c r="L1798" s="4"/>
      <c r="M1798" s="18"/>
      <c r="N1798" s="18"/>
    </row>
    <row r="1799" ht="15.0" hidden="1" customHeight="1">
      <c r="A1799" s="4" t="str">
        <f t="shared" si="1"/>
        <v>SWR-BALENOSX408ORI</v>
      </c>
      <c r="B1799" s="4" t="s">
        <v>1776</v>
      </c>
      <c r="C1799" s="28" t="s">
        <v>1775</v>
      </c>
      <c r="D1799" s="4" t="s">
        <v>104</v>
      </c>
      <c r="E1799" s="4" t="s">
        <v>89</v>
      </c>
      <c r="F1799" s="4" t="s">
        <v>97</v>
      </c>
      <c r="G1799" s="4"/>
      <c r="H1799" s="4">
        <f>SUMIFS(X!$F$5:$F$2005,X!$D$5:$D$2005,'CEK CICI'!A1799)</f>
        <v>0</v>
      </c>
      <c r="I1799" s="4">
        <f>SUMIFS(PENJUALAN!$E$4:$E$4288,PENJUALAN!$C$4:$C$4288,'CEK CICI'!A1799)</f>
        <v>0</v>
      </c>
      <c r="J1799" s="16">
        <f t="shared" si="2"/>
        <v>0</v>
      </c>
      <c r="K1799" s="18"/>
      <c r="L1799" s="18"/>
      <c r="M1799" s="18"/>
      <c r="N1799" s="18"/>
    </row>
    <row r="1800" ht="15.0" hidden="1" customHeight="1">
      <c r="A1800" s="4" t="str">
        <f t="shared" si="1"/>
        <v>LFW-TAFTGTASH</v>
      </c>
      <c r="B1800" s="14" t="s">
        <v>2170</v>
      </c>
      <c r="C1800" s="28" t="s">
        <v>2171</v>
      </c>
      <c r="D1800" s="4" t="s">
        <v>22</v>
      </c>
      <c r="E1800" s="4" t="s">
        <v>82</v>
      </c>
      <c r="F1800" s="18"/>
      <c r="G1800" s="4"/>
      <c r="H1800" s="4">
        <f>SUMIFS(X!$F$5:$F$2005,X!$D$5:$D$2005,'CEK CICI'!A1800)</f>
        <v>0</v>
      </c>
      <c r="I1800" s="4">
        <f>SUMIFS(PENJUALAN!$E$4:$E$4288,PENJUALAN!$C$4:$C$4288,'CEK CICI'!A1800)</f>
        <v>0</v>
      </c>
      <c r="J1800" s="16">
        <f t="shared" si="2"/>
        <v>0</v>
      </c>
      <c r="K1800" s="18"/>
      <c r="L1800" s="18"/>
      <c r="M1800" s="18"/>
      <c r="N1800" s="18"/>
    </row>
    <row r="1801" ht="15.0" hidden="1" customHeight="1">
      <c r="A1801" s="4" t="str">
        <f t="shared" si="1"/>
        <v>TRW-TAFTGTASH</v>
      </c>
      <c r="B1801" s="19" t="s">
        <v>2390</v>
      </c>
      <c r="C1801" s="28" t="s">
        <v>2171</v>
      </c>
      <c r="D1801" s="15" t="s">
        <v>41</v>
      </c>
      <c r="E1801" s="15" t="s">
        <v>82</v>
      </c>
      <c r="F1801" s="18"/>
      <c r="G1801" s="4"/>
      <c r="H1801" s="4">
        <f>SUMIFS(X!$F$5:$F$2005,X!$D$5:$D$2005,'CEK CICI'!A1801)</f>
        <v>1</v>
      </c>
      <c r="I1801" s="4">
        <f>SUMIFS(PENJUALAN!$E$4:$E$4288,PENJUALAN!$C$4:$C$4288,'CEK CICI'!A1801)</f>
        <v>1</v>
      </c>
      <c r="J1801" s="16">
        <f t="shared" si="2"/>
        <v>0</v>
      </c>
      <c r="K1801" s="18"/>
      <c r="L1801" s="18"/>
      <c r="M1801" s="18"/>
      <c r="N1801" s="18"/>
    </row>
    <row r="1802" ht="15.0" hidden="1" customHeight="1">
      <c r="A1802" s="4" t="str">
        <f t="shared" si="1"/>
        <v>FDR-ACCORD08MSG</v>
      </c>
      <c r="B1802" s="29" t="s">
        <v>2172</v>
      </c>
      <c r="C1802" s="28" t="s">
        <v>346</v>
      </c>
      <c r="D1802" s="28" t="s">
        <v>45</v>
      </c>
      <c r="E1802" s="4" t="s">
        <v>42</v>
      </c>
      <c r="F1802" s="18"/>
      <c r="G1802" s="4"/>
      <c r="H1802" s="4">
        <f>SUMIFS(X!$F$5:$F$2005,X!$D$5:$D$2005,'CEK CICI'!A1802)</f>
        <v>0</v>
      </c>
      <c r="I1802" s="4">
        <f>SUMIFS(PENJUALAN!$E$4:$E$4288,PENJUALAN!$C$4:$C$4288,'CEK CICI'!A1802)</f>
        <v>0</v>
      </c>
      <c r="J1802" s="16">
        <f t="shared" si="2"/>
        <v>0</v>
      </c>
      <c r="K1802" s="18"/>
      <c r="L1802" s="18"/>
      <c r="M1802" s="18"/>
      <c r="N1802" s="18"/>
    </row>
    <row r="1803" ht="15.0" hidden="1" customHeight="1">
      <c r="A1803" s="4" t="str">
        <f t="shared" si="1"/>
        <v>RDR-BRIOASH</v>
      </c>
      <c r="B1803" s="14" t="s">
        <v>2173</v>
      </c>
      <c r="C1803" s="4" t="s">
        <v>2163</v>
      </c>
      <c r="D1803" s="4" t="s">
        <v>70</v>
      </c>
      <c r="E1803" s="4" t="s">
        <v>82</v>
      </c>
      <c r="F1803" s="18"/>
      <c r="G1803" s="4"/>
      <c r="H1803" s="4">
        <f>SUMIFS(X!$F$5:$F$2005,X!$D$5:$D$2005,'CEK CICI'!A1803)</f>
        <v>0</v>
      </c>
      <c r="I1803" s="4">
        <f>SUMIFS(PENJUALAN!$E$4:$E$4288,PENJUALAN!$C$4:$C$4288,'CEK CICI'!A1803)</f>
        <v>0</v>
      </c>
      <c r="J1803" s="16">
        <f t="shared" si="2"/>
        <v>0</v>
      </c>
      <c r="K1803" s="4"/>
      <c r="L1803" s="4"/>
      <c r="M1803" s="18"/>
      <c r="N1803" s="18"/>
    </row>
    <row r="1804" ht="15.0" hidden="1" customHeight="1">
      <c r="A1804" s="4" t="str">
        <f t="shared" si="1"/>
        <v>FDR-ALTIS00ASH</v>
      </c>
      <c r="B1804" s="29" t="s">
        <v>2174</v>
      </c>
      <c r="C1804" s="65" t="s">
        <v>1073</v>
      </c>
      <c r="D1804" s="28" t="s">
        <v>45</v>
      </c>
      <c r="E1804" s="4" t="s">
        <v>82</v>
      </c>
      <c r="F1804" s="18"/>
      <c r="G1804" s="4"/>
      <c r="H1804" s="4">
        <f>SUMIFS(X!$F$5:$F$2005,X!$D$5:$D$2005,'CEK CICI'!A1804)</f>
        <v>0</v>
      </c>
      <c r="I1804" s="4">
        <f>SUMIFS(PENJUALAN!$E$4:$E$4288,PENJUALAN!$C$4:$C$4288,'CEK CICI'!A1804)</f>
        <v>0</v>
      </c>
      <c r="J1804" s="16">
        <f t="shared" si="2"/>
        <v>0</v>
      </c>
      <c r="K1804" s="18"/>
      <c r="L1804" s="18"/>
      <c r="M1804" s="18"/>
      <c r="N1804" s="18"/>
    </row>
    <row r="1805" ht="15.0" hidden="1" customHeight="1">
      <c r="A1805" s="4" t="str">
        <f t="shared" si="1"/>
        <v>FDR-AVANZA03ORI</v>
      </c>
      <c r="B1805" s="14" t="s">
        <v>2175</v>
      </c>
      <c r="C1805" s="4" t="s">
        <v>65</v>
      </c>
      <c r="D1805" s="4" t="s">
        <v>45</v>
      </c>
      <c r="E1805" s="4" t="s">
        <v>89</v>
      </c>
      <c r="F1805" s="4" t="s">
        <v>2169</v>
      </c>
      <c r="G1805" s="4"/>
      <c r="H1805" s="4">
        <f>SUMIFS(X!$F$5:$F$2005,X!$D$5:$D$2005,'CEK CICI'!A1805)</f>
        <v>0</v>
      </c>
      <c r="I1805" s="4">
        <f>SUMIFS(PENJUALAN!$E$4:$E$4288,PENJUALAN!$C$4:$C$4288,'CEK CICI'!A1805)</f>
        <v>0</v>
      </c>
      <c r="J1805" s="16">
        <f t="shared" si="2"/>
        <v>0</v>
      </c>
      <c r="K1805" s="18"/>
      <c r="L1805" s="18"/>
      <c r="M1805" s="18"/>
      <c r="N1805" s="18"/>
    </row>
    <row r="1806" ht="15.0" hidden="1" customHeight="1">
      <c r="A1806" s="20" t="str">
        <f t="shared" si="1"/>
        <v>TRW-PANTHER00SEALASH</v>
      </c>
      <c r="B1806" s="76" t="s">
        <v>2176</v>
      </c>
      <c r="C1806" s="77" t="s">
        <v>2177</v>
      </c>
      <c r="D1806" s="20" t="s">
        <v>41</v>
      </c>
      <c r="E1806" s="20" t="s">
        <v>82</v>
      </c>
      <c r="F1806" s="22" t="s">
        <v>97</v>
      </c>
      <c r="G1806" s="20"/>
      <c r="H1806" s="20">
        <f>SUMIFS(X!$F$5:$F$2005,X!$D$5:$D$2005,'CEK CICI'!A1806)</f>
        <v>10</v>
      </c>
      <c r="I1806" s="20">
        <f>SUMIFS(PENJUALAN!$E$4:$E$4288,PENJUALAN!$C$4:$C$4288,'CEK CICI'!A1806)</f>
        <v>9</v>
      </c>
      <c r="J1806" s="16">
        <f t="shared" si="2"/>
        <v>1</v>
      </c>
      <c r="K1806" s="22" t="s">
        <v>1456</v>
      </c>
      <c r="L1806" s="22"/>
      <c r="M1806" s="25"/>
      <c r="N1806" s="25"/>
    </row>
    <row r="1807" ht="15.0" hidden="1" customHeight="1">
      <c r="A1807" s="4" t="str">
        <f t="shared" si="1"/>
        <v>TRW-PANTHER00KRTASH</v>
      </c>
      <c r="B1807" s="31" t="s">
        <v>2178</v>
      </c>
      <c r="C1807" s="33" t="s">
        <v>2179</v>
      </c>
      <c r="D1807" s="4" t="s">
        <v>41</v>
      </c>
      <c r="E1807" s="4" t="s">
        <v>82</v>
      </c>
      <c r="F1807" s="4"/>
      <c r="G1807" s="4"/>
      <c r="H1807" s="4">
        <f>SUMIFS(X!$F$5:$F$2005,X!$D$5:$D$2005,'CEK CICI'!A1807)</f>
        <v>1</v>
      </c>
      <c r="I1807" s="4">
        <f>SUMIFS(PENJUALAN!$E$4:$E$4288,PENJUALAN!$C$4:$C$4288,'CEK CICI'!A1807)</f>
        <v>1</v>
      </c>
      <c r="J1807" s="16">
        <f t="shared" si="2"/>
        <v>0</v>
      </c>
      <c r="K1807" s="15" t="s">
        <v>1456</v>
      </c>
      <c r="L1807" s="15"/>
      <c r="M1807" s="18"/>
      <c r="N1807" s="18"/>
    </row>
    <row r="1808" ht="15.0" hidden="1" customHeight="1">
      <c r="A1808" s="4" t="str">
        <f t="shared" si="1"/>
        <v>RDR-BALENOSX408SG</v>
      </c>
      <c r="B1808" s="29" t="s">
        <v>2180</v>
      </c>
      <c r="C1808" s="28" t="s">
        <v>1775</v>
      </c>
      <c r="D1808" s="28" t="s">
        <v>70</v>
      </c>
      <c r="E1808" s="4" t="s">
        <v>71</v>
      </c>
      <c r="F1808" s="18"/>
      <c r="G1808" s="4"/>
      <c r="H1808" s="4">
        <f>SUMIFS(X!$F$5:$F$2005,X!$D$5:$D$2005,'CEK CICI'!A1808)</f>
        <v>0</v>
      </c>
      <c r="I1808" s="4">
        <f>SUMIFS(PENJUALAN!$E$4:$E$4288,PENJUALAN!$C$4:$C$4288,'CEK CICI'!A1808)</f>
        <v>0</v>
      </c>
      <c r="J1808" s="16">
        <f t="shared" si="2"/>
        <v>0</v>
      </c>
      <c r="K1808" s="18"/>
      <c r="L1808" s="18"/>
      <c r="M1808" s="18"/>
      <c r="N1808" s="18"/>
    </row>
    <row r="1809" ht="15.0" hidden="1" customHeight="1">
      <c r="A1809" s="4" t="str">
        <f t="shared" si="1"/>
        <v>SWL-EVEREST06XYG</v>
      </c>
      <c r="B1809" s="14" t="s">
        <v>2181</v>
      </c>
      <c r="C1809" s="28" t="s">
        <v>297</v>
      </c>
      <c r="D1809" s="4" t="s">
        <v>1434</v>
      </c>
      <c r="E1809" s="4" t="s">
        <v>16</v>
      </c>
      <c r="F1809" s="4" t="s">
        <v>97</v>
      </c>
      <c r="G1809" s="4"/>
      <c r="H1809" s="4">
        <f>SUMIFS(X!$F$5:$F$2005,X!$D$5:$D$2005,'CEK CICI'!A1809)</f>
        <v>0</v>
      </c>
      <c r="I1809" s="4">
        <f>SUMIFS(PENJUALAN!$E$4:$E$4288,PENJUALAN!$C$4:$C$4288,'CEK CICI'!A1809)</f>
        <v>0</v>
      </c>
      <c r="J1809" s="16">
        <f t="shared" si="2"/>
        <v>0</v>
      </c>
      <c r="K1809" s="18"/>
      <c r="L1809" s="18"/>
      <c r="M1809" s="18"/>
      <c r="N1809" s="18"/>
    </row>
    <row r="1810" ht="15.0" hidden="1" customHeight="1">
      <c r="A1810" s="4" t="str">
        <f t="shared" si="1"/>
        <v>RDL-EVEREST06XYG</v>
      </c>
      <c r="B1810" s="14" t="s">
        <v>2182</v>
      </c>
      <c r="C1810" s="28" t="s">
        <v>297</v>
      </c>
      <c r="D1810" s="4" t="s">
        <v>47</v>
      </c>
      <c r="E1810" s="4" t="s">
        <v>16</v>
      </c>
      <c r="F1810" s="4"/>
      <c r="G1810" s="4"/>
      <c r="H1810" s="4">
        <f>SUMIFS(X!$F$5:$F$2005,X!$D$5:$D$2005,'CEK CICI'!A1810)</f>
        <v>0</v>
      </c>
      <c r="I1810" s="4">
        <f>SUMIFS(PENJUALAN!$E$4:$E$4288,PENJUALAN!$C$4:$C$4288,'CEK CICI'!A1810)</f>
        <v>0</v>
      </c>
      <c r="J1810" s="16">
        <f t="shared" si="2"/>
        <v>0</v>
      </c>
      <c r="K1810" s="18"/>
      <c r="L1810" s="18"/>
      <c r="M1810" s="18"/>
      <c r="N1810" s="18"/>
    </row>
    <row r="1811" ht="15.0" hidden="1" customHeight="1">
      <c r="A1811" s="4" t="str">
        <f t="shared" si="1"/>
        <v>SWR-EVEREST06XYG</v>
      </c>
      <c r="B1811" s="14" t="s">
        <v>2183</v>
      </c>
      <c r="C1811" s="28" t="s">
        <v>297</v>
      </c>
      <c r="D1811" s="4" t="s">
        <v>104</v>
      </c>
      <c r="E1811" s="4" t="s">
        <v>16</v>
      </c>
      <c r="F1811" s="4" t="s">
        <v>97</v>
      </c>
      <c r="G1811" s="4"/>
      <c r="H1811" s="4">
        <f>SUMIFS(X!$F$5:$F$2005,X!$D$5:$D$2005,'CEK CICI'!A1811)</f>
        <v>0</v>
      </c>
      <c r="I1811" s="4">
        <f>SUMIFS(PENJUALAN!$E$4:$E$4288,PENJUALAN!$C$4:$C$4288,'CEK CICI'!A1811)</f>
        <v>0</v>
      </c>
      <c r="J1811" s="16">
        <f t="shared" si="2"/>
        <v>0</v>
      </c>
      <c r="K1811" s="18"/>
      <c r="L1811" s="18"/>
      <c r="M1811" s="18"/>
      <c r="N1811" s="18"/>
    </row>
    <row r="1812" ht="15.0" hidden="1" customHeight="1">
      <c r="A1812" s="20" t="str">
        <f t="shared" si="1"/>
        <v>TRW-AGYA13ASH</v>
      </c>
      <c r="B1812" s="76" t="s">
        <v>2184</v>
      </c>
      <c r="C1812" s="39" t="s">
        <v>2185</v>
      </c>
      <c r="D1812" s="77" t="s">
        <v>41</v>
      </c>
      <c r="E1812" s="22" t="s">
        <v>82</v>
      </c>
      <c r="F1812" s="77" t="s">
        <v>97</v>
      </c>
      <c r="G1812" s="20"/>
      <c r="H1812" s="20">
        <f>SUMIFS(X!$F$5:$F$2005,X!$D$5:$D$2005,'CEK CICI'!A1812)</f>
        <v>12</v>
      </c>
      <c r="I1812" s="20">
        <f>SUMIFS(PENJUALAN!$E$4:$E$4288,PENJUALAN!$C$4:$C$4288,'CEK CICI'!A1812)</f>
        <v>11</v>
      </c>
      <c r="J1812" s="16">
        <f t="shared" si="2"/>
        <v>1</v>
      </c>
      <c r="K1812" s="22" t="s">
        <v>1846</v>
      </c>
      <c r="L1812" s="22"/>
      <c r="M1812" s="25"/>
      <c r="N1812" s="25"/>
    </row>
    <row r="1813" ht="15.0" hidden="1" customHeight="1">
      <c r="A1813" s="4" t="str">
        <f t="shared" si="1"/>
        <v>TRW-FUTURAMBASH</v>
      </c>
      <c r="B1813" s="31" t="s">
        <v>2377</v>
      </c>
      <c r="C1813" s="43" t="s">
        <v>2378</v>
      </c>
      <c r="D1813" s="43" t="s">
        <v>41</v>
      </c>
      <c r="E1813" s="15" t="s">
        <v>82</v>
      </c>
      <c r="F1813" s="33"/>
      <c r="G1813" s="4"/>
      <c r="H1813" s="4">
        <f>SUMIFS(X!$F$5:$F$2005,X!$D$5:$D$2005,'CEK CICI'!A1813)</f>
        <v>2</v>
      </c>
      <c r="I1813" s="4">
        <f>SUMIFS(PENJUALAN!$E$4:$E$4288,PENJUALAN!$C$4:$C$4288,'CEK CICI'!A1813)</f>
        <v>2</v>
      </c>
      <c r="J1813" s="16">
        <f t="shared" si="2"/>
        <v>0</v>
      </c>
      <c r="K1813" s="15" t="s">
        <v>101</v>
      </c>
      <c r="L1813" s="15"/>
      <c r="M1813" s="18"/>
      <c r="N1813" s="18"/>
    </row>
    <row r="1814" ht="15.0" hidden="1" customHeight="1">
      <c r="A1814" s="4" t="str">
        <f t="shared" si="1"/>
        <v>LFW-KATANAC84MU</v>
      </c>
      <c r="B1814" s="31" t="s">
        <v>1453</v>
      </c>
      <c r="C1814" s="30" t="s">
        <v>1454</v>
      </c>
      <c r="D1814" s="30" t="s">
        <v>22</v>
      </c>
      <c r="E1814" s="4" t="s">
        <v>1361</v>
      </c>
      <c r="F1814" s="33" t="s">
        <v>1455</v>
      </c>
      <c r="G1814" s="4"/>
      <c r="H1814" s="4">
        <f>SUMIFS(X!$F$5:$F$2005,X!$D$5:$D$2005,'CEK CICI'!A1814)</f>
        <v>2</v>
      </c>
      <c r="I1814" s="4">
        <f>SUMIFS(PENJUALAN!$E$4:$E$4288,PENJUALAN!$C$4:$C$4288,'CEK CICI'!A1814)</f>
        <v>2</v>
      </c>
      <c r="J1814" s="16">
        <f t="shared" si="2"/>
        <v>0</v>
      </c>
      <c r="K1814" s="15" t="s">
        <v>1456</v>
      </c>
      <c r="L1814" s="15"/>
      <c r="M1814" s="18"/>
      <c r="N1814" s="18"/>
    </row>
    <row r="1815" ht="15.0" hidden="1" customHeight="1">
      <c r="A1815" s="4" t="str">
        <f t="shared" si="1"/>
        <v>LFW-INNOVA04MSG</v>
      </c>
      <c r="B1815" s="15" t="s">
        <v>1159</v>
      </c>
      <c r="C1815" s="28" t="s">
        <v>1160</v>
      </c>
      <c r="D1815" s="15" t="s">
        <v>22</v>
      </c>
      <c r="E1815" s="15" t="s">
        <v>42</v>
      </c>
      <c r="F1815" s="15" t="s">
        <v>2191</v>
      </c>
      <c r="G1815" s="4"/>
      <c r="H1815" s="4">
        <f>SUMIFS(X!$F$5:$F$2005,X!$D$5:$D$2005,'CEK CICI'!A1815)</f>
        <v>13</v>
      </c>
      <c r="I1815" s="4">
        <f>SUMIFS(PENJUALAN!$E$4:$E$4288,PENJUALAN!$C$4:$C$4288,'CEK CICI'!A1815)</f>
        <v>13</v>
      </c>
      <c r="J1815" s="16">
        <f t="shared" si="2"/>
        <v>0</v>
      </c>
      <c r="K1815" s="15" t="s">
        <v>1863</v>
      </c>
      <c r="L1815" s="15"/>
      <c r="M1815" s="18"/>
      <c r="N1815" s="18"/>
    </row>
    <row r="1816" ht="15.0" hidden="1" customHeight="1">
      <c r="A1816" s="20" t="str">
        <f t="shared" si="1"/>
        <v>TRW-ALPHARD08BLACKFR</v>
      </c>
      <c r="B1816" s="22" t="s">
        <v>1052</v>
      </c>
      <c r="C1816" s="22" t="s">
        <v>1053</v>
      </c>
      <c r="D1816" s="22" t="s">
        <v>41</v>
      </c>
      <c r="E1816" s="22" t="s">
        <v>1449</v>
      </c>
      <c r="F1816" s="22" t="s">
        <v>2193</v>
      </c>
      <c r="G1816" s="20"/>
      <c r="H1816" s="20">
        <f>SUMIFS(X!$F$5:$F$2005,X!$D$5:$D$2005,'CEK CICI'!A1816)</f>
        <v>8</v>
      </c>
      <c r="I1816" s="20">
        <f>SUMIFS(PENJUALAN!$E$4:$E$4288,PENJUALAN!$C$4:$C$4288,'CEK CICI'!A1816)</f>
        <v>8</v>
      </c>
      <c r="J1816" s="16">
        <f t="shared" si="2"/>
        <v>0</v>
      </c>
      <c r="K1816" s="22" t="s">
        <v>1711</v>
      </c>
      <c r="L1816" s="22"/>
      <c r="M1816" s="25"/>
      <c r="N1816" s="25"/>
    </row>
    <row r="1817" ht="15.0" hidden="1" customHeight="1">
      <c r="A1817" s="4" t="str">
        <f t="shared" si="1"/>
        <v>FDL-ALPHARD08FR</v>
      </c>
      <c r="B1817" s="15" t="s">
        <v>1046</v>
      </c>
      <c r="C1817" s="15" t="s">
        <v>73</v>
      </c>
      <c r="D1817" s="15" t="s">
        <v>93</v>
      </c>
      <c r="E1817" s="15" t="s">
        <v>1449</v>
      </c>
      <c r="F1817" s="18"/>
      <c r="G1817" s="4"/>
      <c r="H1817" s="4">
        <f>SUMIFS(X!$F$5:$F$2005,X!$D$5:$D$2005,'CEK CICI'!A1817)</f>
        <v>1</v>
      </c>
      <c r="I1817" s="4">
        <f>SUMIFS(PENJUALAN!$E$4:$E$4288,PENJUALAN!$C$4:$C$4288,'CEK CICI'!A1817)</f>
        <v>0</v>
      </c>
      <c r="J1817" s="16">
        <f t="shared" si="2"/>
        <v>1</v>
      </c>
      <c r="K1817" s="15" t="s">
        <v>596</v>
      </c>
      <c r="L1817" s="15"/>
      <c r="M1817" s="18"/>
      <c r="N1817" s="18"/>
    </row>
    <row r="1818" ht="15.0" hidden="1" customHeight="1">
      <c r="A1818" s="4" t="str">
        <f t="shared" si="1"/>
        <v>FDR-ALPHARD08FR</v>
      </c>
      <c r="B1818" s="15" t="s">
        <v>1047</v>
      </c>
      <c r="C1818" s="15" t="s">
        <v>73</v>
      </c>
      <c r="D1818" s="15" t="s">
        <v>45</v>
      </c>
      <c r="E1818" s="15" t="s">
        <v>1449</v>
      </c>
      <c r="F1818" s="18"/>
      <c r="G1818" s="4"/>
      <c r="H1818" s="4">
        <f>SUMIFS(X!$F$5:$F$2005,X!$D$5:$D$2005,'CEK CICI'!A1818)</f>
        <v>1</v>
      </c>
      <c r="I1818" s="4">
        <f>SUMIFS(PENJUALAN!$E$4:$E$4288,PENJUALAN!$C$4:$C$4288,'CEK CICI'!A1818)</f>
        <v>0</v>
      </c>
      <c r="J1818" s="16">
        <f t="shared" si="2"/>
        <v>1</v>
      </c>
      <c r="K1818" s="15" t="s">
        <v>596</v>
      </c>
      <c r="L1818" s="15"/>
      <c r="M1818" s="18"/>
      <c r="N1818" s="18"/>
    </row>
    <row r="1819" ht="15.0" hidden="1" customHeight="1">
      <c r="A1819" s="4" t="str">
        <f t="shared" si="1"/>
        <v>LFW-ALPHARD08RSFR</v>
      </c>
      <c r="B1819" s="15" t="s">
        <v>72</v>
      </c>
      <c r="C1819" s="15" t="s">
        <v>2065</v>
      </c>
      <c r="D1819" s="15" t="s">
        <v>22</v>
      </c>
      <c r="E1819" s="15" t="s">
        <v>1449</v>
      </c>
      <c r="F1819" s="15" t="s">
        <v>75</v>
      </c>
      <c r="G1819" s="4"/>
      <c r="H1819" s="4">
        <f>SUMIFS(X!$F$5:$F$2005,X!$D$5:$D$2005,'CEK CICI'!A1819)</f>
        <v>4</v>
      </c>
      <c r="I1819" s="4">
        <f>SUMIFS(PENJUALAN!$E$4:$E$4288,PENJUALAN!$C$4:$C$4288,'CEK CICI'!A1819)</f>
        <v>3</v>
      </c>
      <c r="J1819" s="16">
        <f t="shared" si="2"/>
        <v>1</v>
      </c>
      <c r="K1819" s="15" t="s">
        <v>1496</v>
      </c>
      <c r="L1819" s="15"/>
      <c r="M1819" s="18"/>
      <c r="N1819" s="18"/>
    </row>
    <row r="1820" ht="15.0" hidden="1" customHeight="1">
      <c r="A1820" s="4" t="str">
        <f t="shared" si="1"/>
        <v>TRW-ALPHARD15BLACKFR</v>
      </c>
      <c r="B1820" s="15" t="s">
        <v>1066</v>
      </c>
      <c r="C1820" s="15" t="s">
        <v>1067</v>
      </c>
      <c r="D1820" s="15" t="s">
        <v>41</v>
      </c>
      <c r="E1820" s="15" t="s">
        <v>1449</v>
      </c>
      <c r="F1820" s="15" t="s">
        <v>2193</v>
      </c>
      <c r="G1820" s="4"/>
      <c r="H1820" s="4">
        <f>SUMIFS(X!$F$5:$F$2005,X!$D$5:$D$2005,'CEK CICI'!A1820)</f>
        <v>1</v>
      </c>
      <c r="I1820" s="4">
        <f>SUMIFS(PENJUALAN!$E$4:$E$4288,PENJUALAN!$C$4:$C$4288,'CEK CICI'!A1820)</f>
        <v>1</v>
      </c>
      <c r="J1820" s="16">
        <f t="shared" si="2"/>
        <v>0</v>
      </c>
      <c r="K1820" s="15" t="s">
        <v>1616</v>
      </c>
      <c r="L1820" s="15"/>
      <c r="M1820" s="18"/>
      <c r="N1820" s="18"/>
    </row>
    <row r="1821" ht="15.0" hidden="1" customHeight="1">
      <c r="A1821" s="4" t="str">
        <f t="shared" si="1"/>
        <v>RDL-ALPHARD15FR</v>
      </c>
      <c r="B1821" s="15" t="s">
        <v>1059</v>
      </c>
      <c r="C1821" s="15" t="s">
        <v>1057</v>
      </c>
      <c r="D1821" s="15" t="s">
        <v>47</v>
      </c>
      <c r="E1821" s="15" t="s">
        <v>1449</v>
      </c>
      <c r="F1821" s="18"/>
      <c r="G1821" s="4"/>
      <c r="H1821" s="4">
        <f>SUMIFS(X!$F$5:$F$2005,X!$D$5:$D$2005,'CEK CICI'!A1821)</f>
        <v>1</v>
      </c>
      <c r="I1821" s="4">
        <f>SUMIFS(PENJUALAN!$E$4:$E$4288,PENJUALAN!$C$4:$C$4288,'CEK CICI'!A1821)</f>
        <v>0</v>
      </c>
      <c r="J1821" s="16">
        <f t="shared" si="2"/>
        <v>1</v>
      </c>
      <c r="K1821" s="15" t="s">
        <v>1382</v>
      </c>
      <c r="L1821" s="15"/>
      <c r="M1821" s="18"/>
      <c r="N1821" s="18"/>
    </row>
    <row r="1822" ht="15.0" hidden="1" customHeight="1">
      <c r="A1822" s="4" t="str">
        <f t="shared" si="1"/>
        <v>RDR-ALPHARD15FR</v>
      </c>
      <c r="B1822" s="15" t="s">
        <v>1060</v>
      </c>
      <c r="C1822" s="15" t="s">
        <v>1057</v>
      </c>
      <c r="D1822" s="15" t="s">
        <v>70</v>
      </c>
      <c r="E1822" s="15" t="s">
        <v>1449</v>
      </c>
      <c r="F1822" s="18"/>
      <c r="G1822" s="4"/>
      <c r="H1822" s="4">
        <f>SUMIFS(X!$F$5:$F$2005,X!$D$5:$D$2005,'CEK CICI'!A1822)</f>
        <v>1</v>
      </c>
      <c r="I1822" s="4">
        <f>SUMIFS(PENJUALAN!$E$4:$E$4288,PENJUALAN!$C$4:$C$4288,'CEK CICI'!A1822)</f>
        <v>0</v>
      </c>
      <c r="J1822" s="16">
        <f t="shared" si="2"/>
        <v>1</v>
      </c>
      <c r="K1822" s="15" t="s">
        <v>1382</v>
      </c>
      <c r="L1822" s="15"/>
      <c r="M1822" s="18"/>
      <c r="N1822" s="18"/>
    </row>
    <row r="1823" ht="15.0" hidden="1" customHeight="1">
      <c r="A1823" s="4" t="str">
        <f t="shared" si="1"/>
        <v>LFW-ALPHARD15RSFR</v>
      </c>
      <c r="B1823" s="15" t="s">
        <v>2194</v>
      </c>
      <c r="C1823" s="15" t="s">
        <v>1071</v>
      </c>
      <c r="D1823" s="15" t="s">
        <v>22</v>
      </c>
      <c r="E1823" s="15" t="s">
        <v>1449</v>
      </c>
      <c r="F1823" s="15" t="s">
        <v>75</v>
      </c>
      <c r="G1823" s="4"/>
      <c r="H1823" s="4">
        <f>SUMIFS(X!$F$5:$F$2005,X!$D$5:$D$2005,'CEK CICI'!A1823)</f>
        <v>1</v>
      </c>
      <c r="I1823" s="4">
        <f>SUMIFS(PENJUALAN!$E$4:$E$4288,PENJUALAN!$C$4:$C$4288,'CEK CICI'!A1823)</f>
        <v>1</v>
      </c>
      <c r="J1823" s="16">
        <f t="shared" si="2"/>
        <v>0</v>
      </c>
      <c r="K1823" s="15" t="s">
        <v>1496</v>
      </c>
      <c r="L1823" s="15"/>
      <c r="M1823" s="18"/>
      <c r="N1823" s="18"/>
    </row>
    <row r="1824" ht="15.0" hidden="1" customHeight="1">
      <c r="A1824" s="4" t="str">
        <f t="shared" si="1"/>
        <v>TRW-CAPTIVAFR</v>
      </c>
      <c r="B1824" s="15" t="s">
        <v>228</v>
      </c>
      <c r="C1824" s="15" t="s">
        <v>223</v>
      </c>
      <c r="D1824" s="15" t="s">
        <v>41</v>
      </c>
      <c r="E1824" s="15" t="s">
        <v>1449</v>
      </c>
      <c r="F1824" s="15" t="s">
        <v>2193</v>
      </c>
      <c r="G1824" s="4"/>
      <c r="H1824" s="4">
        <f>SUMIFS(X!$F$5:$F$2005,X!$D$5:$D$2005,'CEK CICI'!A1824)</f>
        <v>1</v>
      </c>
      <c r="I1824" s="4">
        <f>SUMIFS(PENJUALAN!$E$4:$E$4288,PENJUALAN!$C$4:$C$4288,'CEK CICI'!A1824)</f>
        <v>0</v>
      </c>
      <c r="J1824" s="16">
        <f t="shared" si="2"/>
        <v>1</v>
      </c>
      <c r="K1824" s="15" t="s">
        <v>1366</v>
      </c>
      <c r="L1824" s="15"/>
      <c r="M1824" s="18"/>
      <c r="N1824" s="18"/>
    </row>
    <row r="1825" ht="15.0" hidden="1" customHeight="1">
      <c r="A1825" s="4" t="str">
        <f t="shared" si="1"/>
        <v>LFW-CAPTIVARSFR</v>
      </c>
      <c r="B1825" s="15" t="s">
        <v>222</v>
      </c>
      <c r="C1825" s="15" t="s">
        <v>223</v>
      </c>
      <c r="D1825" s="15" t="s">
        <v>22</v>
      </c>
      <c r="E1825" s="15" t="s">
        <v>1449</v>
      </c>
      <c r="F1825" s="15" t="s">
        <v>125</v>
      </c>
      <c r="G1825" s="4"/>
      <c r="H1825" s="4">
        <f>SUMIFS(X!$F$5:$F$2005,X!$D$5:$D$2005,'CEK CICI'!A1825)</f>
        <v>1</v>
      </c>
      <c r="I1825" s="4">
        <f>SUMIFS(PENJUALAN!$E$4:$E$4288,PENJUALAN!$C$4:$C$4288,'CEK CICI'!A1825)</f>
        <v>0</v>
      </c>
      <c r="J1825" s="16">
        <f t="shared" si="2"/>
        <v>1</v>
      </c>
      <c r="K1825" s="15" t="s">
        <v>2020</v>
      </c>
      <c r="L1825" s="15"/>
      <c r="M1825" s="18"/>
      <c r="N1825" s="18"/>
    </row>
    <row r="1826" ht="15.0" hidden="1" customHeight="1">
      <c r="A1826" s="4" t="str">
        <f t="shared" si="1"/>
        <v>LFW-W212RS2FR</v>
      </c>
      <c r="B1826" s="15" t="s">
        <v>802</v>
      </c>
      <c r="C1826" s="15" t="s">
        <v>1448</v>
      </c>
      <c r="D1826" s="15" t="s">
        <v>22</v>
      </c>
      <c r="E1826" s="15" t="s">
        <v>1449</v>
      </c>
      <c r="F1826" s="15" t="s">
        <v>1450</v>
      </c>
      <c r="G1826" s="4"/>
      <c r="H1826" s="4">
        <f>SUMIFS(X!$F$5:$F$2005,X!$D$5:$D$2005,'CEK CICI'!A1826)</f>
        <v>2</v>
      </c>
      <c r="I1826" s="4">
        <f>SUMIFS(PENJUALAN!$E$4:$E$4288,PENJUALAN!$C$4:$C$4288,'CEK CICI'!A1826)</f>
        <v>2</v>
      </c>
      <c r="J1826" s="16">
        <f t="shared" si="2"/>
        <v>0</v>
      </c>
      <c r="K1826" s="15" t="s">
        <v>158</v>
      </c>
      <c r="L1826" s="15"/>
      <c r="M1826" s="18"/>
      <c r="N1826" s="18"/>
    </row>
    <row r="1827" ht="15.0" hidden="1" customHeight="1">
      <c r="A1827" s="4" t="str">
        <f t="shared" si="1"/>
        <v>TRW-FIESTAFR</v>
      </c>
      <c r="B1827" s="15" t="s">
        <v>300</v>
      </c>
      <c r="C1827" s="15" t="s">
        <v>299</v>
      </c>
      <c r="D1827" s="15" t="s">
        <v>41</v>
      </c>
      <c r="E1827" s="15" t="s">
        <v>1449</v>
      </c>
      <c r="F1827" s="15" t="s">
        <v>2193</v>
      </c>
      <c r="G1827" s="4"/>
      <c r="H1827" s="4">
        <f>SUMIFS(X!$F$5:$F$2005,X!$D$5:$D$2005,'CEK CICI'!A1827)</f>
        <v>1</v>
      </c>
      <c r="I1827" s="4">
        <f>SUMIFS(PENJUALAN!$E$4:$E$4288,PENJUALAN!$C$4:$C$4288,'CEK CICI'!A1827)</f>
        <v>1</v>
      </c>
      <c r="J1827" s="16">
        <f t="shared" si="2"/>
        <v>0</v>
      </c>
      <c r="K1827" s="15" t="s">
        <v>1366</v>
      </c>
      <c r="L1827" s="15"/>
      <c r="M1827" s="18"/>
      <c r="N1827" s="18"/>
    </row>
    <row r="1828" ht="15.0" hidden="1" customHeight="1">
      <c r="A1828" s="4" t="str">
        <f t="shared" si="1"/>
        <v>FDL-HARRIER480NFR</v>
      </c>
      <c r="B1828" s="15" t="s">
        <v>2195</v>
      </c>
      <c r="C1828" s="15" t="s">
        <v>2196</v>
      </c>
      <c r="D1828" s="15" t="s">
        <v>93</v>
      </c>
      <c r="E1828" s="15" t="s">
        <v>1449</v>
      </c>
      <c r="F1828" s="18"/>
      <c r="G1828" s="4"/>
      <c r="H1828" s="4">
        <f>SUMIFS(X!$F$5:$F$2005,X!$D$5:$D$2005,'CEK CICI'!A1828)</f>
        <v>1</v>
      </c>
      <c r="I1828" s="4">
        <f>SUMIFS(PENJUALAN!$E$4:$E$4288,PENJUALAN!$C$4:$C$4288,'CEK CICI'!A1828)</f>
        <v>0</v>
      </c>
      <c r="J1828" s="16">
        <f t="shared" si="2"/>
        <v>1</v>
      </c>
      <c r="K1828" s="15" t="s">
        <v>48</v>
      </c>
      <c r="L1828" s="15"/>
      <c r="M1828" s="18"/>
      <c r="N1828" s="18"/>
    </row>
    <row r="1829" ht="15.0" hidden="1" customHeight="1">
      <c r="A1829" s="4" t="str">
        <f t="shared" si="1"/>
        <v>FDR-HARRIER480NFR</v>
      </c>
      <c r="B1829" s="15" t="s">
        <v>2197</v>
      </c>
      <c r="C1829" s="15" t="s">
        <v>2196</v>
      </c>
      <c r="D1829" s="15" t="s">
        <v>45</v>
      </c>
      <c r="E1829" s="15" t="s">
        <v>1449</v>
      </c>
      <c r="F1829" s="18"/>
      <c r="G1829" s="4"/>
      <c r="H1829" s="4">
        <f>SUMIFS(X!$F$5:$F$2005,X!$D$5:$D$2005,'CEK CICI'!A1829)</f>
        <v>1</v>
      </c>
      <c r="I1829" s="4">
        <f>SUMIFS(PENJUALAN!$E$4:$E$4288,PENJUALAN!$C$4:$C$4288,'CEK CICI'!A1829)</f>
        <v>1</v>
      </c>
      <c r="J1829" s="16">
        <f t="shared" si="2"/>
        <v>0</v>
      </c>
      <c r="K1829" s="15" t="s">
        <v>48</v>
      </c>
      <c r="L1829" s="15"/>
      <c r="M1829" s="18"/>
      <c r="N1829" s="18"/>
    </row>
    <row r="1830" ht="15.0" hidden="1" customHeight="1">
      <c r="A1830" s="4" t="str">
        <f t="shared" si="1"/>
        <v>RDL-HARRIER480NFR</v>
      </c>
      <c r="B1830" s="15" t="s">
        <v>2198</v>
      </c>
      <c r="C1830" s="15" t="s">
        <v>2196</v>
      </c>
      <c r="D1830" s="15" t="s">
        <v>47</v>
      </c>
      <c r="E1830" s="15" t="s">
        <v>1449</v>
      </c>
      <c r="F1830" s="18"/>
      <c r="G1830" s="4"/>
      <c r="H1830" s="4">
        <f>SUMIFS(X!$F$5:$F$2005,X!$D$5:$D$2005,'CEK CICI'!A1830)</f>
        <v>1</v>
      </c>
      <c r="I1830" s="4">
        <f>SUMIFS(PENJUALAN!$E$4:$E$4288,PENJUALAN!$C$4:$C$4288,'CEK CICI'!A1830)</f>
        <v>0</v>
      </c>
      <c r="J1830" s="16">
        <f t="shared" si="2"/>
        <v>1</v>
      </c>
      <c r="K1830" s="15" t="s">
        <v>48</v>
      </c>
      <c r="L1830" s="15"/>
      <c r="M1830" s="18"/>
      <c r="N1830" s="18"/>
    </row>
    <row r="1831" ht="15.0" hidden="1" customHeight="1">
      <c r="A1831" s="4" t="str">
        <f t="shared" si="1"/>
        <v>RDR-HARRIER480NFR</v>
      </c>
      <c r="B1831" s="15" t="s">
        <v>2199</v>
      </c>
      <c r="C1831" s="15" t="s">
        <v>2196</v>
      </c>
      <c r="D1831" s="15" t="s">
        <v>70</v>
      </c>
      <c r="E1831" s="15" t="s">
        <v>1449</v>
      </c>
      <c r="F1831" s="18"/>
      <c r="G1831" s="4"/>
      <c r="H1831" s="4">
        <f>SUMIFS(X!$F$5:$F$2005,X!$D$5:$D$2005,'CEK CICI'!A1831)</f>
        <v>1</v>
      </c>
      <c r="I1831" s="4">
        <f>SUMIFS(PENJUALAN!$E$4:$E$4288,PENJUALAN!$C$4:$C$4288,'CEK CICI'!A1831)</f>
        <v>0</v>
      </c>
      <c r="J1831" s="16">
        <f t="shared" si="2"/>
        <v>1</v>
      </c>
      <c r="K1831" s="15" t="s">
        <v>48</v>
      </c>
      <c r="L1831" s="15"/>
      <c r="M1831" s="18"/>
      <c r="N1831" s="18"/>
    </row>
    <row r="1832" ht="15.0" hidden="1" customHeight="1">
      <c r="A1832" s="4" t="str">
        <f t="shared" si="1"/>
        <v>SRR-HIACEFFR</v>
      </c>
      <c r="B1832" s="15" t="s">
        <v>2200</v>
      </c>
      <c r="C1832" s="78" t="s">
        <v>1897</v>
      </c>
      <c r="D1832" s="15" t="s">
        <v>2201</v>
      </c>
      <c r="E1832" s="15" t="s">
        <v>1449</v>
      </c>
      <c r="F1832" s="79" t="s">
        <v>97</v>
      </c>
      <c r="G1832" s="4"/>
      <c r="H1832" s="4">
        <f>SUMIFS(X!$F$5:$F$2005,X!$D$5:$D$2005,'CEK CICI'!A1832)</f>
        <v>0</v>
      </c>
      <c r="I1832" s="4">
        <f>SUMIFS(PENJUALAN!$E$4:$E$4288,PENJUALAN!$C$4:$C$4288,'CEK CICI'!A1832)</f>
        <v>0</v>
      </c>
      <c r="J1832" s="16">
        <f t="shared" si="2"/>
        <v>0</v>
      </c>
      <c r="K1832" s="15" t="s">
        <v>1616</v>
      </c>
      <c r="L1832" s="15"/>
      <c r="M1832" s="18"/>
      <c r="N1832" s="18"/>
    </row>
    <row r="1833" ht="15.0" hidden="1" customHeight="1">
      <c r="A1833" s="4" t="str">
        <f t="shared" si="1"/>
        <v>RDL-HIACEFBLACKFR</v>
      </c>
      <c r="B1833" s="15" t="s">
        <v>2202</v>
      </c>
      <c r="C1833" s="80" t="s">
        <v>2203</v>
      </c>
      <c r="D1833" s="15" t="s">
        <v>47</v>
      </c>
      <c r="E1833" s="15" t="s">
        <v>1449</v>
      </c>
      <c r="F1833" s="79" t="s">
        <v>97</v>
      </c>
      <c r="G1833" s="4"/>
      <c r="H1833" s="4">
        <f>SUMIFS(X!$F$5:$F$2005,X!$D$5:$D$2005,'CEK CICI'!A1833)</f>
        <v>1</v>
      </c>
      <c r="I1833" s="4">
        <f>SUMIFS(PENJUALAN!$E$4:$E$4288,PENJUALAN!$C$4:$C$4288,'CEK CICI'!A1833)</f>
        <v>0</v>
      </c>
      <c r="J1833" s="16">
        <f t="shared" si="2"/>
        <v>1</v>
      </c>
      <c r="K1833" s="15" t="s">
        <v>1616</v>
      </c>
      <c r="L1833" s="15"/>
      <c r="M1833" s="18"/>
      <c r="N1833" s="18"/>
    </row>
    <row r="1834" ht="15.0" hidden="1" customHeight="1">
      <c r="A1834" s="4" t="str">
        <f t="shared" si="1"/>
        <v>RDL-HIACEFFR</v>
      </c>
      <c r="B1834" s="15" t="s">
        <v>1896</v>
      </c>
      <c r="C1834" s="78" t="s">
        <v>1897</v>
      </c>
      <c r="D1834" s="15" t="s">
        <v>47</v>
      </c>
      <c r="E1834" s="15" t="s">
        <v>1449</v>
      </c>
      <c r="F1834" s="79" t="s">
        <v>97</v>
      </c>
      <c r="G1834" s="4"/>
      <c r="H1834" s="4">
        <f>SUMIFS(X!$F$5:$F$2005,X!$D$5:$D$2005,'CEK CICI'!A1834)</f>
        <v>1</v>
      </c>
      <c r="I1834" s="4">
        <f>SUMIFS(PENJUALAN!$E$4:$E$4288,PENJUALAN!$C$4:$C$4288,'CEK CICI'!A1834)</f>
        <v>0</v>
      </c>
      <c r="J1834" s="16">
        <f t="shared" si="2"/>
        <v>1</v>
      </c>
      <c r="K1834" s="15" t="s">
        <v>1616</v>
      </c>
      <c r="L1834" s="15"/>
      <c r="M1834" s="18"/>
      <c r="N1834" s="18"/>
    </row>
    <row r="1835" ht="15.0" hidden="1" customHeight="1">
      <c r="A1835" s="4" t="str">
        <f t="shared" si="1"/>
        <v>SRR-HIACEFBLACKFR</v>
      </c>
      <c r="B1835" s="15" t="s">
        <v>2204</v>
      </c>
      <c r="C1835" s="80" t="s">
        <v>2203</v>
      </c>
      <c r="D1835" s="15" t="s">
        <v>2201</v>
      </c>
      <c r="E1835" s="15" t="s">
        <v>1449</v>
      </c>
      <c r="F1835" s="79" t="s">
        <v>97</v>
      </c>
      <c r="G1835" s="4"/>
      <c r="H1835" s="4">
        <f>SUMIFS(X!$F$5:$F$2005,X!$D$5:$D$2005,'CEK CICI'!A1835)</f>
        <v>0</v>
      </c>
      <c r="I1835" s="4">
        <f>SUMIFS(PENJUALAN!$E$4:$E$4288,PENJUALAN!$C$4:$C$4288,'CEK CICI'!A1835)</f>
        <v>0</v>
      </c>
      <c r="J1835" s="16">
        <f t="shared" si="2"/>
        <v>0</v>
      </c>
      <c r="K1835" s="15" t="s">
        <v>1616</v>
      </c>
      <c r="L1835" s="15"/>
      <c r="M1835" s="18"/>
      <c r="N1835" s="18"/>
    </row>
    <row r="1836" ht="15.0" hidden="1" customHeight="1">
      <c r="A1836" s="4" t="str">
        <f t="shared" si="1"/>
        <v>LFW-JUKEFR</v>
      </c>
      <c r="B1836" s="15" t="s">
        <v>927</v>
      </c>
      <c r="C1836" s="15" t="s">
        <v>928</v>
      </c>
      <c r="D1836" s="15" t="s">
        <v>22</v>
      </c>
      <c r="E1836" s="15" t="s">
        <v>1449</v>
      </c>
      <c r="F1836" s="15" t="s">
        <v>125</v>
      </c>
      <c r="G1836" s="4"/>
      <c r="H1836" s="4">
        <f>SUMIFS(X!$F$5:$F$2005,X!$D$5:$D$2005,'CEK CICI'!A1836)</f>
        <v>1</v>
      </c>
      <c r="I1836" s="4">
        <f>SUMIFS(PENJUALAN!$E$4:$E$4288,PENJUALAN!$C$4:$C$4288,'CEK CICI'!A1836)</f>
        <v>1</v>
      </c>
      <c r="J1836" s="16">
        <f t="shared" si="2"/>
        <v>0</v>
      </c>
      <c r="K1836" s="15" t="s">
        <v>1544</v>
      </c>
      <c r="L1836" s="15"/>
      <c r="M1836" s="18"/>
      <c r="N1836" s="18"/>
    </row>
    <row r="1837" ht="15.0" hidden="1" customHeight="1">
      <c r="A1837" s="4" t="str">
        <f t="shared" si="1"/>
        <v>TRW-RX270/350FR</v>
      </c>
      <c r="B1837" s="15" t="s">
        <v>2207</v>
      </c>
      <c r="C1837" s="15" t="s">
        <v>2208</v>
      </c>
      <c r="D1837" s="15" t="s">
        <v>41</v>
      </c>
      <c r="E1837" s="15" t="s">
        <v>1449</v>
      </c>
      <c r="F1837" s="15" t="s">
        <v>2193</v>
      </c>
      <c r="G1837" s="4"/>
      <c r="H1837" s="4">
        <f>SUMIFS(X!$F$5:$F$2005,X!$D$5:$D$2005,'CEK CICI'!A1837)</f>
        <v>1</v>
      </c>
      <c r="I1837" s="4">
        <f>SUMIFS(PENJUALAN!$E$4:$E$4288,PENJUALAN!$C$4:$C$4288,'CEK CICI'!A1837)</f>
        <v>0</v>
      </c>
      <c r="J1837" s="16">
        <f t="shared" si="2"/>
        <v>1</v>
      </c>
      <c r="K1837" s="15" t="s">
        <v>1711</v>
      </c>
      <c r="L1837" s="15"/>
      <c r="M1837" s="18"/>
      <c r="N1837" s="18"/>
    </row>
    <row r="1838" ht="15.0" hidden="1" customHeight="1">
      <c r="A1838" s="4" t="str">
        <f t="shared" si="1"/>
        <v>TRW-VOXY22FR</v>
      </c>
      <c r="B1838" s="15" t="s">
        <v>2209</v>
      </c>
      <c r="C1838" s="15" t="s">
        <v>2210</v>
      </c>
      <c r="D1838" s="15" t="s">
        <v>41</v>
      </c>
      <c r="E1838" s="15" t="s">
        <v>1449</v>
      </c>
      <c r="F1838" s="15" t="s">
        <v>2193</v>
      </c>
      <c r="G1838" s="4"/>
      <c r="H1838" s="4">
        <f>SUMIFS(X!$F$5:$F$2005,X!$D$5:$D$2005,'CEK CICI'!A1838)</f>
        <v>1</v>
      </c>
      <c r="I1838" s="4">
        <f>SUMIFS(PENJUALAN!$E$4:$E$4288,PENJUALAN!$C$4:$C$4288,'CEK CICI'!A1838)</f>
        <v>0</v>
      </c>
      <c r="J1838" s="16">
        <f t="shared" si="2"/>
        <v>1</v>
      </c>
      <c r="K1838" s="15" t="s">
        <v>1846</v>
      </c>
      <c r="L1838" s="15"/>
      <c r="M1838" s="18"/>
      <c r="N1838" s="18"/>
    </row>
    <row r="1839" ht="15.0" hidden="1" customHeight="1">
      <c r="A1839" s="4" t="str">
        <f t="shared" si="1"/>
        <v>LFW-VOXY22RSFR</v>
      </c>
      <c r="B1839" s="15" t="s">
        <v>2211</v>
      </c>
      <c r="C1839" s="15" t="s">
        <v>2212</v>
      </c>
      <c r="D1839" s="15" t="s">
        <v>22</v>
      </c>
      <c r="E1839" s="15" t="s">
        <v>1449</v>
      </c>
      <c r="F1839" s="15" t="s">
        <v>75</v>
      </c>
      <c r="G1839" s="4"/>
      <c r="H1839" s="4">
        <f>SUMIFS(X!$F$5:$F$2005,X!$D$5:$D$2005,'CEK CICI'!A1839)</f>
        <v>1</v>
      </c>
      <c r="I1839" s="4">
        <f>SUMIFS(PENJUALAN!$E$4:$E$4288,PENJUALAN!$C$4:$C$4288,'CEK CICI'!A1839)</f>
        <v>0</v>
      </c>
      <c r="J1839" s="16">
        <f t="shared" si="2"/>
        <v>1</v>
      </c>
      <c r="K1839" s="15" t="s">
        <v>1851</v>
      </c>
      <c r="L1839" s="15"/>
      <c r="M1839" s="18"/>
      <c r="N1839" s="18"/>
    </row>
    <row r="1840" ht="15.0" hidden="1" customHeight="1">
      <c r="A1840" s="4" t="str">
        <f t="shared" si="1"/>
        <v>FDL-HIACE19FR</v>
      </c>
      <c r="B1840" s="15" t="s">
        <v>1899</v>
      </c>
      <c r="C1840" s="79" t="s">
        <v>1900</v>
      </c>
      <c r="D1840" s="15" t="s">
        <v>93</v>
      </c>
      <c r="E1840" s="15" t="s">
        <v>1449</v>
      </c>
      <c r="F1840" s="18"/>
      <c r="G1840" s="4"/>
      <c r="H1840" s="4">
        <f>SUMIFS(X!$F$5:$F$2005,X!$D$5:$D$2005,'CEK CICI'!A1840)</f>
        <v>1</v>
      </c>
      <c r="I1840" s="4">
        <f>SUMIFS(PENJUALAN!$E$4:$E$4288,PENJUALAN!$C$4:$C$4288,'CEK CICI'!A1840)</f>
        <v>0</v>
      </c>
      <c r="J1840" s="16">
        <f t="shared" si="2"/>
        <v>1</v>
      </c>
      <c r="K1840" s="15" t="s">
        <v>1382</v>
      </c>
      <c r="L1840" s="15"/>
      <c r="M1840" s="18"/>
      <c r="N1840" s="18"/>
    </row>
    <row r="1841" ht="15.0" hidden="1" customHeight="1">
      <c r="A1841" s="4" t="str">
        <f t="shared" si="1"/>
        <v>FDR-HIACE19FR</v>
      </c>
      <c r="B1841" s="81" t="s">
        <v>1901</v>
      </c>
      <c r="C1841" s="79" t="s">
        <v>1900</v>
      </c>
      <c r="D1841" s="15" t="s">
        <v>45</v>
      </c>
      <c r="E1841" s="15" t="s">
        <v>1449</v>
      </c>
      <c r="F1841" s="18"/>
      <c r="G1841" s="4"/>
      <c r="H1841" s="4">
        <f>SUMIFS(X!$F$5:$F$2005,X!$D$5:$D$2005,'CEK CICI'!A1841)</f>
        <v>1</v>
      </c>
      <c r="I1841" s="4">
        <f>SUMIFS(PENJUALAN!$E$4:$E$4288,PENJUALAN!$C$4:$C$4288,'CEK CICI'!A1841)</f>
        <v>0</v>
      </c>
      <c r="J1841" s="16">
        <f t="shared" si="2"/>
        <v>1</v>
      </c>
      <c r="K1841" s="15" t="s">
        <v>1382</v>
      </c>
      <c r="L1841" s="15"/>
      <c r="M1841" s="18"/>
      <c r="N1841" s="18"/>
    </row>
    <row r="1842" ht="15.0" hidden="1" customHeight="1">
      <c r="A1842" s="4" t="str">
        <f t="shared" si="1"/>
        <v>LFW-HIACE19FR</v>
      </c>
      <c r="B1842" s="15" t="s">
        <v>1907</v>
      </c>
      <c r="C1842" s="78" t="s">
        <v>1900</v>
      </c>
      <c r="D1842" s="15" t="s">
        <v>22</v>
      </c>
      <c r="E1842" s="15" t="s">
        <v>1449</v>
      </c>
      <c r="F1842" s="27" t="s">
        <v>125</v>
      </c>
      <c r="G1842" s="4"/>
      <c r="H1842" s="4">
        <f>SUMIFS(X!$F$5:$F$2005,X!$D$5:$D$2005,'CEK CICI'!A1842)</f>
        <v>1</v>
      </c>
      <c r="I1842" s="4">
        <f>SUMIFS(PENJUALAN!$E$4:$E$4288,PENJUALAN!$C$4:$C$4288,'CEK CICI'!A1842)</f>
        <v>1</v>
      </c>
      <c r="J1842" s="16">
        <f t="shared" si="2"/>
        <v>0</v>
      </c>
      <c r="K1842" s="15" t="s">
        <v>2351</v>
      </c>
      <c r="L1842" s="15"/>
      <c r="M1842" s="18"/>
      <c r="N1842" s="18"/>
    </row>
    <row r="1843" ht="15.0" hidden="1" customHeight="1">
      <c r="A1843" s="4" t="str">
        <f t="shared" si="1"/>
        <v>RDR-HIACE19FR</v>
      </c>
      <c r="B1843" s="15" t="s">
        <v>1904</v>
      </c>
      <c r="C1843" s="79" t="s">
        <v>1900</v>
      </c>
      <c r="D1843" s="15" t="s">
        <v>70</v>
      </c>
      <c r="E1843" s="15" t="s">
        <v>1449</v>
      </c>
      <c r="F1843" s="79" t="s">
        <v>97</v>
      </c>
      <c r="G1843" s="4"/>
      <c r="H1843" s="4">
        <f>SUMIFS(X!$F$5:$F$2005,X!$D$5:$D$2005,'CEK CICI'!A1843)</f>
        <v>0</v>
      </c>
      <c r="I1843" s="4">
        <f>SUMIFS(PENJUALAN!$E$4:$E$4288,PENJUALAN!$C$4:$C$4288,'CEK CICI'!A1843)</f>
        <v>0</v>
      </c>
      <c r="J1843" s="16">
        <f t="shared" si="2"/>
        <v>0</v>
      </c>
      <c r="K1843" s="15"/>
      <c r="L1843" s="15"/>
      <c r="M1843" s="18"/>
      <c r="N1843" s="18"/>
    </row>
    <row r="1844" ht="15.0" hidden="1" customHeight="1">
      <c r="A1844" s="4" t="str">
        <f t="shared" si="1"/>
        <v>RDL-HIACE19FR</v>
      </c>
      <c r="B1844" s="15" t="s">
        <v>2215</v>
      </c>
      <c r="C1844" s="79" t="s">
        <v>1900</v>
      </c>
      <c r="D1844" s="15" t="s">
        <v>47</v>
      </c>
      <c r="E1844" s="15" t="s">
        <v>1449</v>
      </c>
      <c r="F1844" s="79" t="s">
        <v>97</v>
      </c>
      <c r="G1844" s="4"/>
      <c r="H1844" s="4">
        <f>SUMIFS(X!$F$5:$F$2005,X!$D$5:$D$2005,'CEK CICI'!A1844)</f>
        <v>0</v>
      </c>
      <c r="I1844" s="4">
        <f>SUMIFS(PENJUALAN!$E$4:$E$4288,PENJUALAN!$C$4:$C$4288,'CEK CICI'!A1844)</f>
        <v>0</v>
      </c>
      <c r="J1844" s="16">
        <f t="shared" si="2"/>
        <v>0</v>
      </c>
      <c r="K1844" s="15"/>
      <c r="L1844" s="15"/>
      <c r="M1844" s="18"/>
      <c r="N1844" s="18"/>
    </row>
    <row r="1845" ht="15.0" hidden="1" customHeight="1">
      <c r="A1845" s="4" t="str">
        <f t="shared" si="1"/>
        <v>SRL-HIACE19FR</v>
      </c>
      <c r="B1845" s="15" t="s">
        <v>1905</v>
      </c>
      <c r="C1845" s="79" t="s">
        <v>1900</v>
      </c>
      <c r="D1845" s="15" t="s">
        <v>2216</v>
      </c>
      <c r="E1845" s="15" t="s">
        <v>1449</v>
      </c>
      <c r="F1845" s="79" t="s">
        <v>97</v>
      </c>
      <c r="G1845" s="4"/>
      <c r="H1845" s="4">
        <f>SUMIFS(X!$F$5:$F$2005,X!$D$5:$D$2005,'CEK CICI'!A1845)</f>
        <v>0</v>
      </c>
      <c r="I1845" s="4">
        <f>SUMIFS(PENJUALAN!$E$4:$E$4288,PENJUALAN!$C$4:$C$4288,'CEK CICI'!A1845)</f>
        <v>0</v>
      </c>
      <c r="J1845" s="16">
        <f t="shared" si="2"/>
        <v>0</v>
      </c>
      <c r="K1845" s="15"/>
      <c r="L1845" s="15"/>
      <c r="M1845" s="18"/>
      <c r="N1845" s="18"/>
    </row>
    <row r="1846" ht="15.0" hidden="1" customHeight="1">
      <c r="A1846" s="4" t="str">
        <f t="shared" si="1"/>
        <v>SRR-HIACE19FR</v>
      </c>
      <c r="B1846" s="15" t="s">
        <v>2217</v>
      </c>
      <c r="C1846" s="79" t="s">
        <v>1900</v>
      </c>
      <c r="D1846" s="15" t="s">
        <v>2201</v>
      </c>
      <c r="E1846" s="15" t="s">
        <v>1449</v>
      </c>
      <c r="F1846" s="79" t="s">
        <v>97</v>
      </c>
      <c r="G1846" s="4"/>
      <c r="H1846" s="4">
        <f>SUMIFS(X!$F$5:$F$2005,X!$D$5:$D$2005,'CEK CICI'!A1846)</f>
        <v>0</v>
      </c>
      <c r="I1846" s="4">
        <f>SUMIFS(PENJUALAN!$E$4:$E$4288,PENJUALAN!$C$4:$C$4288,'CEK CICI'!A1846)</f>
        <v>0</v>
      </c>
      <c r="J1846" s="16">
        <f t="shared" si="2"/>
        <v>0</v>
      </c>
      <c r="K1846" s="15"/>
      <c r="L1846" s="15"/>
      <c r="M1846" s="18"/>
      <c r="N1846" s="18"/>
    </row>
    <row r="1847" ht="15.0" hidden="1" customHeight="1">
      <c r="A1847" s="4" t="str">
        <f t="shared" si="1"/>
        <v>TRW-YARIS05FR</v>
      </c>
      <c r="B1847" s="15" t="s">
        <v>1278</v>
      </c>
      <c r="C1847" s="15" t="s">
        <v>1277</v>
      </c>
      <c r="D1847" s="15" t="s">
        <v>41</v>
      </c>
      <c r="E1847" s="15" t="s">
        <v>1449</v>
      </c>
      <c r="F1847" s="15" t="s">
        <v>2193</v>
      </c>
      <c r="G1847" s="4"/>
      <c r="H1847" s="4">
        <f>SUMIFS(X!$F$5:$F$2005,X!$D$5:$D$2005,'CEK CICI'!A1847)</f>
        <v>1</v>
      </c>
      <c r="I1847" s="4">
        <f>SUMIFS(PENJUALAN!$E$4:$E$4288,PENJUALAN!$C$4:$C$4288,'CEK CICI'!A1847)</f>
        <v>1</v>
      </c>
      <c r="J1847" s="16">
        <f t="shared" si="2"/>
        <v>0</v>
      </c>
      <c r="K1847" s="15" t="s">
        <v>1884</v>
      </c>
      <c r="L1847" s="15"/>
      <c r="M1847" s="18"/>
      <c r="N1847" s="18"/>
    </row>
    <row r="1848" ht="15.0" hidden="1" customHeight="1">
      <c r="A1848" s="4" t="str">
        <f t="shared" si="1"/>
        <v>TRW-T30FR</v>
      </c>
      <c r="B1848" s="15" t="s">
        <v>984</v>
      </c>
      <c r="C1848" s="15" t="s">
        <v>983</v>
      </c>
      <c r="D1848" s="15" t="s">
        <v>41</v>
      </c>
      <c r="E1848" s="15" t="s">
        <v>1449</v>
      </c>
      <c r="F1848" s="15" t="s">
        <v>1377</v>
      </c>
      <c r="G1848" s="4"/>
      <c r="H1848" s="4">
        <f>SUMIFS(X!$F$5:$F$2005,X!$D$5:$D$2005,'CEK CICI'!A1848)</f>
        <v>3</v>
      </c>
      <c r="I1848" s="4">
        <f>SUMIFS(PENJUALAN!$E$4:$E$4288,PENJUALAN!$C$4:$C$4288,'CEK CICI'!A1848)</f>
        <v>3</v>
      </c>
      <c r="J1848" s="16">
        <f t="shared" si="2"/>
        <v>0</v>
      </c>
      <c r="K1848" s="15" t="s">
        <v>1711</v>
      </c>
      <c r="L1848" s="15"/>
      <c r="M1848" s="18"/>
      <c r="N1848" s="15" t="s">
        <v>11535</v>
      </c>
    </row>
    <row r="1849" ht="15.0" hidden="1" customHeight="1">
      <c r="A1849" s="4" t="str">
        <f t="shared" si="1"/>
        <v>LFW-T31FR</v>
      </c>
      <c r="B1849" s="15" t="s">
        <v>990</v>
      </c>
      <c r="C1849" s="15" t="s">
        <v>991</v>
      </c>
      <c r="D1849" s="15" t="s">
        <v>22</v>
      </c>
      <c r="E1849" s="15" t="s">
        <v>1449</v>
      </c>
      <c r="F1849" s="15" t="s">
        <v>125</v>
      </c>
      <c r="G1849" s="4"/>
      <c r="H1849" s="4">
        <f>SUMIFS(X!$F$5:$F$2005,X!$D$5:$D$2005,'CEK CICI'!A1849)</f>
        <v>1</v>
      </c>
      <c r="I1849" s="4">
        <f>SUMIFS(PENJUALAN!$E$4:$E$4288,PENJUALAN!$C$4:$C$4288,'CEK CICI'!A1849)</f>
        <v>1</v>
      </c>
      <c r="J1849" s="16">
        <f t="shared" si="2"/>
        <v>0</v>
      </c>
      <c r="K1849" s="15" t="s">
        <v>1544</v>
      </c>
      <c r="L1849" s="15"/>
      <c r="M1849" s="18"/>
      <c r="N1849" s="18"/>
    </row>
    <row r="1850" ht="15.0" hidden="1" customHeight="1">
      <c r="A1850" s="4" t="str">
        <f t="shared" si="1"/>
        <v>LFW-JAZZ13PIL</v>
      </c>
      <c r="B1850" s="15" t="s">
        <v>475</v>
      </c>
      <c r="C1850" s="15" t="s">
        <v>2063</v>
      </c>
      <c r="D1850" s="15" t="str">
        <f>LEFT(A1850,FIND("-",A1850) - 1)</f>
        <v>LFW</v>
      </c>
      <c r="E1850" s="15" t="s">
        <v>74</v>
      </c>
      <c r="F1850" s="15" t="s">
        <v>2064</v>
      </c>
      <c r="G1850" s="4"/>
      <c r="H1850" s="4">
        <f>SUMIFS(X!$F$5:$F$2005,X!$D$5:$D$2005,'CEK CICI'!A1850)</f>
        <v>5</v>
      </c>
      <c r="I1850" s="4">
        <f>SUMIFS(PENJUALAN!$E$4:$E$4288,PENJUALAN!$C$4:$C$4288,'CEK CICI'!A1850)</f>
        <v>5</v>
      </c>
      <c r="J1850" s="16">
        <f t="shared" si="2"/>
        <v>0</v>
      </c>
      <c r="K1850" s="15" t="s">
        <v>1487</v>
      </c>
      <c r="L1850" s="15"/>
      <c r="M1850" s="18"/>
      <c r="N1850" s="18"/>
    </row>
    <row r="1851" ht="15.0" hidden="1" customHeight="1">
      <c r="A1851" s="4" t="str">
        <f t="shared" si="1"/>
        <v>TRW-JAZZ13PIL</v>
      </c>
      <c r="B1851" s="15" t="s">
        <v>477</v>
      </c>
      <c r="C1851" s="15" t="s">
        <v>2063</v>
      </c>
      <c r="D1851" s="15" t="s">
        <v>41</v>
      </c>
      <c r="E1851" s="15" t="s">
        <v>74</v>
      </c>
      <c r="F1851" s="15" t="s">
        <v>108</v>
      </c>
      <c r="G1851" s="4"/>
      <c r="H1851" s="4">
        <f>SUMIFS(X!$F$5:$F$2005,X!$D$5:$D$2005,'CEK CICI'!A1851)</f>
        <v>1</v>
      </c>
      <c r="I1851" s="4">
        <f>SUMIFS(PENJUALAN!$E$4:$E$4288,PENJUALAN!$C$4:$C$4288,'CEK CICI'!A1851)</f>
        <v>0</v>
      </c>
      <c r="J1851" s="16">
        <f t="shared" si="2"/>
        <v>1</v>
      </c>
      <c r="K1851" s="15" t="s">
        <v>1460</v>
      </c>
      <c r="L1851" s="15"/>
      <c r="M1851" s="18"/>
      <c r="N1851" s="18"/>
    </row>
    <row r="1852" ht="15.0" hidden="1" customHeight="1">
      <c r="A1852" s="4" t="str">
        <f t="shared" si="1"/>
        <v>LFW-HIACEPIL</v>
      </c>
      <c r="B1852" s="15" t="s">
        <v>1144</v>
      </c>
      <c r="C1852" s="15" t="s">
        <v>1145</v>
      </c>
      <c r="D1852" s="15" t="str">
        <f t="shared" ref="D1852:D1854" si="3">LEFT(A1852,FIND("-",A1852) - 1)</f>
        <v>LFW</v>
      </c>
      <c r="E1852" s="15" t="s">
        <v>74</v>
      </c>
      <c r="F1852" s="15" t="s">
        <v>97</v>
      </c>
      <c r="G1852" s="4"/>
      <c r="H1852" s="4">
        <f>SUMIFS(X!$F$5:$F$2005,X!$D$5:$D$2005,'CEK CICI'!A1852)</f>
        <v>59</v>
      </c>
      <c r="I1852" s="4">
        <f>SUMIFS(PENJUALAN!$E$4:$E$4288,PENJUALAN!$C$4:$C$4288,'CEK CICI'!A1852)</f>
        <v>54</v>
      </c>
      <c r="J1852" s="16">
        <f t="shared" si="2"/>
        <v>5</v>
      </c>
      <c r="K1852" s="15" t="s">
        <v>2225</v>
      </c>
      <c r="L1852" s="15"/>
      <c r="M1852" s="18"/>
      <c r="N1852" s="18"/>
    </row>
    <row r="1853" ht="15.0" hidden="1" customHeight="1">
      <c r="A1853" s="4" t="str">
        <f t="shared" si="1"/>
        <v>LFW-INNOVA15PIL</v>
      </c>
      <c r="B1853" s="15" t="s">
        <v>1166</v>
      </c>
      <c r="C1853" s="15" t="s">
        <v>1167</v>
      </c>
      <c r="D1853" s="15" t="str">
        <f t="shared" si="3"/>
        <v>LFW</v>
      </c>
      <c r="E1853" s="15" t="s">
        <v>74</v>
      </c>
      <c r="F1853" s="15" t="s">
        <v>2347</v>
      </c>
      <c r="G1853" s="4"/>
      <c r="H1853" s="4">
        <f>SUMIFS(X!$F$5:$F$2005,X!$D$5:$D$2005,'CEK CICI'!A1853)</f>
        <v>4</v>
      </c>
      <c r="I1853" s="4">
        <f>SUMIFS(PENJUALAN!$E$4:$E$4288,PENJUALAN!$C$4:$C$4288,'CEK CICI'!A1853)</f>
        <v>4</v>
      </c>
      <c r="J1853" s="16">
        <f t="shared" si="2"/>
        <v>0</v>
      </c>
      <c r="K1853" s="15" t="s">
        <v>1487</v>
      </c>
      <c r="L1853" s="15"/>
      <c r="M1853" s="18"/>
      <c r="N1853" s="18"/>
    </row>
    <row r="1854" ht="15.0" hidden="1" customHeight="1">
      <c r="A1854" s="4" t="str">
        <f t="shared" si="1"/>
        <v>LFW-HRV14PIL</v>
      </c>
      <c r="B1854" s="29" t="s">
        <v>459</v>
      </c>
      <c r="C1854" s="33" t="s">
        <v>2229</v>
      </c>
      <c r="D1854" s="28" t="str">
        <f t="shared" si="3"/>
        <v>LFW</v>
      </c>
      <c r="E1854" s="15" t="s">
        <v>74</v>
      </c>
      <c r="F1854" s="33" t="s">
        <v>2346</v>
      </c>
      <c r="G1854" s="4"/>
      <c r="H1854" s="4">
        <f>SUMIFS(X!$F$5:$F$2005,X!$D$5:$D$2005,'CEK CICI'!A1854)</f>
        <v>8</v>
      </c>
      <c r="I1854" s="4">
        <f>SUMIFS(PENJUALAN!$E$4:$E$4288,PENJUALAN!$C$4:$C$4288,'CEK CICI'!A1854)</f>
        <v>8</v>
      </c>
      <c r="J1854" s="16">
        <f t="shared" si="2"/>
        <v>0</v>
      </c>
      <c r="K1854" s="15" t="s">
        <v>2085</v>
      </c>
      <c r="L1854" s="15"/>
      <c r="M1854" s="18"/>
      <c r="N1854" s="18"/>
    </row>
    <row r="1855" ht="15.0" hidden="1" customHeight="1">
      <c r="A1855" s="4" t="str">
        <f t="shared" si="1"/>
        <v>TRW-HRV14PIL</v>
      </c>
      <c r="B1855" s="31" t="s">
        <v>461</v>
      </c>
      <c r="C1855" s="33" t="s">
        <v>2229</v>
      </c>
      <c r="D1855" s="33" t="s">
        <v>41</v>
      </c>
      <c r="E1855" s="15" t="s">
        <v>74</v>
      </c>
      <c r="F1855" s="33" t="s">
        <v>108</v>
      </c>
      <c r="G1855" s="4"/>
      <c r="H1855" s="4">
        <f>SUMIFS(X!$F$5:$F$2005,X!$D$5:$D$2005,'CEK CICI'!A1855)</f>
        <v>1</v>
      </c>
      <c r="I1855" s="4">
        <f>SUMIFS(PENJUALAN!$E$4:$E$4288,PENJUALAN!$C$4:$C$4288,'CEK CICI'!A1855)</f>
        <v>1</v>
      </c>
      <c r="J1855" s="16">
        <f t="shared" si="2"/>
        <v>0</v>
      </c>
      <c r="K1855" s="15" t="s">
        <v>1460</v>
      </c>
      <c r="L1855" s="15"/>
      <c r="M1855" s="18"/>
      <c r="N1855" s="18"/>
    </row>
    <row r="1856" ht="15.0" hidden="1" customHeight="1">
      <c r="A1856" s="4" t="str">
        <f t="shared" si="1"/>
        <v>TRW-DATSUN3AGC</v>
      </c>
      <c r="B1856" s="15" t="s">
        <v>2348</v>
      </c>
      <c r="C1856" s="15" t="s">
        <v>2349</v>
      </c>
      <c r="D1856" s="15" t="str">
        <f t="shared" ref="D1856:D1869" si="4">LEFT(A1856,FIND("-",A1856) - 1)</f>
        <v>TRW</v>
      </c>
      <c r="E1856" s="15" t="s">
        <v>78</v>
      </c>
      <c r="F1856" s="15" t="s">
        <v>97</v>
      </c>
      <c r="G1856" s="4"/>
      <c r="H1856" s="4">
        <f>SUMIFS(X!$F$5:$F$2005,X!$D$5:$D$2005,'CEK CICI'!A1856)</f>
        <v>2</v>
      </c>
      <c r="I1856" s="4">
        <f>SUMIFS(PENJUALAN!$E$4:$E$4288,PENJUALAN!$C$4:$C$4288,'CEK CICI'!A1856)</f>
        <v>2</v>
      </c>
      <c r="J1856" s="16">
        <f t="shared" si="2"/>
        <v>0</v>
      </c>
      <c r="K1856" s="15" t="s">
        <v>1567</v>
      </c>
      <c r="L1856" s="15"/>
      <c r="M1856" s="18"/>
      <c r="N1856" s="18"/>
    </row>
    <row r="1857" ht="15.0" hidden="1" customHeight="1">
      <c r="A1857" s="4" t="str">
        <f t="shared" si="1"/>
        <v>LFW-FORTUNER05MSG</v>
      </c>
      <c r="B1857" s="29" t="s">
        <v>1128</v>
      </c>
      <c r="C1857" s="28" t="s">
        <v>1129</v>
      </c>
      <c r="D1857" s="28" t="str">
        <f t="shared" si="4"/>
        <v>LFW</v>
      </c>
      <c r="E1857" s="15" t="s">
        <v>42</v>
      </c>
      <c r="F1857" s="33" t="s">
        <v>2232</v>
      </c>
      <c r="G1857" s="4"/>
      <c r="H1857" s="4">
        <f>SUMIFS(X!$F$5:$F$2005,X!$D$5:$D$2005,'CEK CICI'!A1857)</f>
        <v>15</v>
      </c>
      <c r="I1857" s="4">
        <f>SUMIFS(PENJUALAN!$E$4:$E$4288,PENJUALAN!$C$4:$C$4288,'CEK CICI'!A1857)</f>
        <v>14</v>
      </c>
      <c r="J1857" s="16">
        <f t="shared" si="2"/>
        <v>1</v>
      </c>
      <c r="K1857" s="15" t="s">
        <v>1487</v>
      </c>
      <c r="L1857" s="15"/>
      <c r="M1857" s="18"/>
      <c r="N1857" s="18"/>
    </row>
    <row r="1858" ht="15.0" hidden="1" customHeight="1">
      <c r="A1858" s="4" t="str">
        <f t="shared" si="1"/>
        <v>TRW-FORTUNER05MSG</v>
      </c>
      <c r="B1858" s="15" t="s">
        <v>1130</v>
      </c>
      <c r="C1858" s="28" t="s">
        <v>1129</v>
      </c>
      <c r="D1858" s="15" t="str">
        <f t="shared" si="4"/>
        <v>TRW</v>
      </c>
      <c r="E1858" s="15" t="s">
        <v>42</v>
      </c>
      <c r="F1858" s="15" t="s">
        <v>108</v>
      </c>
      <c r="G1858" s="4"/>
      <c r="H1858" s="4">
        <f>SUMIFS(X!$F$5:$F$2005,X!$D$5:$D$2005,'CEK CICI'!A1858)</f>
        <v>2</v>
      </c>
      <c r="I1858" s="4">
        <f>SUMIFS(PENJUALAN!$E$4:$E$4288,PENJUALAN!$C$4:$C$4288,'CEK CICI'!A1858)</f>
        <v>2</v>
      </c>
      <c r="J1858" s="16">
        <f t="shared" si="2"/>
        <v>0</v>
      </c>
      <c r="K1858" s="15" t="s">
        <v>1884</v>
      </c>
      <c r="L1858" s="15"/>
      <c r="M1858" s="18"/>
      <c r="N1858" s="18"/>
    </row>
    <row r="1859" ht="15.0" hidden="1" customHeight="1">
      <c r="A1859" s="4" t="str">
        <f t="shared" si="1"/>
        <v>LFW-CROSSXYG</v>
      </c>
      <c r="B1859" s="15" t="s">
        <v>1414</v>
      </c>
      <c r="C1859" s="15" t="s">
        <v>1415</v>
      </c>
      <c r="D1859" s="15" t="str">
        <f t="shared" si="4"/>
        <v>LFW</v>
      </c>
      <c r="E1859" s="15" t="s">
        <v>16</v>
      </c>
      <c r="F1859" s="15" t="s">
        <v>75</v>
      </c>
      <c r="G1859" s="4"/>
      <c r="H1859" s="4">
        <f>SUMIFS(X!$F$5:$F$2005,X!$D$5:$D$2005,'CEK CICI'!A1859)</f>
        <v>4</v>
      </c>
      <c r="I1859" s="4">
        <f>SUMIFS(PENJUALAN!$E$4:$E$4288,PENJUALAN!$C$4:$C$4288,'CEK CICI'!A1859)</f>
        <v>4</v>
      </c>
      <c r="J1859" s="16">
        <f t="shared" si="2"/>
        <v>0</v>
      </c>
      <c r="K1859" s="18"/>
      <c r="L1859" s="18"/>
      <c r="M1859" s="18"/>
      <c r="N1859" s="18"/>
    </row>
    <row r="1860" ht="15.0" hidden="1" customHeight="1">
      <c r="A1860" s="4" t="str">
        <f t="shared" si="1"/>
        <v>FDL-HRV14PIL</v>
      </c>
      <c r="B1860" s="15" t="s">
        <v>2234</v>
      </c>
      <c r="C1860" s="28" t="s">
        <v>460</v>
      </c>
      <c r="D1860" s="15" t="str">
        <f t="shared" si="4"/>
        <v>FDL</v>
      </c>
      <c r="E1860" s="15" t="s">
        <v>74</v>
      </c>
      <c r="F1860" s="18"/>
      <c r="G1860" s="4"/>
      <c r="H1860" s="4">
        <f>SUMIFS(X!$F$5:$F$2005,X!$D$5:$D$2005,'CEK CICI'!A1860)</f>
        <v>1</v>
      </c>
      <c r="I1860" s="4">
        <f>SUMIFS(PENJUALAN!$E$4:$E$4288,PENJUALAN!$C$4:$C$4288,'CEK CICI'!A1860)</f>
        <v>0</v>
      </c>
      <c r="J1860" s="16">
        <f t="shared" si="2"/>
        <v>1</v>
      </c>
      <c r="K1860" s="15" t="s">
        <v>596</v>
      </c>
      <c r="L1860" s="15"/>
      <c r="M1860" s="18"/>
      <c r="N1860" s="18"/>
    </row>
    <row r="1861" ht="15.0" hidden="1" customHeight="1">
      <c r="A1861" s="4" t="str">
        <f t="shared" si="1"/>
        <v>FDR-HRV14PIL</v>
      </c>
      <c r="B1861" s="15" t="s">
        <v>595</v>
      </c>
      <c r="C1861" s="28" t="s">
        <v>460</v>
      </c>
      <c r="D1861" s="15" t="str">
        <f t="shared" si="4"/>
        <v>FDR</v>
      </c>
      <c r="E1861" s="15" t="s">
        <v>74</v>
      </c>
      <c r="F1861" s="18"/>
      <c r="G1861" s="4"/>
      <c r="H1861" s="4">
        <f>SUMIFS(X!$F$5:$F$2005,X!$D$5:$D$2005,'CEK CICI'!A1861)</f>
        <v>1</v>
      </c>
      <c r="I1861" s="4">
        <f>SUMIFS(PENJUALAN!$E$4:$E$4288,PENJUALAN!$C$4:$C$4288,'CEK CICI'!A1861)</f>
        <v>1</v>
      </c>
      <c r="J1861" s="16">
        <f t="shared" si="2"/>
        <v>0</v>
      </c>
      <c r="K1861" s="15" t="s">
        <v>596</v>
      </c>
      <c r="L1861" s="15"/>
      <c r="M1861" s="18"/>
      <c r="N1861" s="18"/>
    </row>
    <row r="1862" ht="15.0" hidden="1" customHeight="1">
      <c r="A1862" s="4" t="str">
        <f t="shared" si="1"/>
        <v>RDL-HRV14PIL</v>
      </c>
      <c r="B1862" s="15" t="s">
        <v>2235</v>
      </c>
      <c r="C1862" s="28" t="s">
        <v>460</v>
      </c>
      <c r="D1862" s="15" t="str">
        <f t="shared" si="4"/>
        <v>RDL</v>
      </c>
      <c r="E1862" s="15" t="s">
        <v>74</v>
      </c>
      <c r="F1862" s="15" t="s">
        <v>1855</v>
      </c>
      <c r="G1862" s="4"/>
      <c r="H1862" s="4">
        <f>SUMIFS(X!$F$5:$F$2005,X!$D$5:$D$2005,'CEK CICI'!A1862)</f>
        <v>1</v>
      </c>
      <c r="I1862" s="4">
        <f>SUMIFS(PENJUALAN!$E$4:$E$4288,PENJUALAN!$C$4:$C$4288,'CEK CICI'!A1862)</f>
        <v>0</v>
      </c>
      <c r="J1862" s="16">
        <f t="shared" si="2"/>
        <v>1</v>
      </c>
      <c r="K1862" s="15" t="s">
        <v>596</v>
      </c>
      <c r="L1862" s="15"/>
      <c r="M1862" s="18"/>
      <c r="N1862" s="18"/>
    </row>
    <row r="1863" ht="15.0" hidden="1" customHeight="1">
      <c r="A1863" s="4" t="str">
        <f t="shared" si="1"/>
        <v>FDR-INNOVA04MSG</v>
      </c>
      <c r="B1863" s="15" t="s">
        <v>1384</v>
      </c>
      <c r="C1863" s="28" t="s">
        <v>1160</v>
      </c>
      <c r="D1863" s="15" t="str">
        <f t="shared" si="4"/>
        <v>FDR</v>
      </c>
      <c r="E1863" s="15" t="s">
        <v>42</v>
      </c>
      <c r="F1863" s="18"/>
      <c r="G1863" s="4"/>
      <c r="H1863" s="4">
        <f>SUMIFS(X!$F$5:$F$2005,X!$D$5:$D$2005,'CEK CICI'!A1863)</f>
        <v>2</v>
      </c>
      <c r="I1863" s="4">
        <f>SUMIFS(PENJUALAN!$E$4:$E$4288,PENJUALAN!$C$4:$C$4288,'CEK CICI'!A1863)</f>
        <v>1</v>
      </c>
      <c r="J1863" s="16">
        <f t="shared" si="2"/>
        <v>1</v>
      </c>
      <c r="K1863" s="15" t="s">
        <v>596</v>
      </c>
      <c r="L1863" s="15"/>
      <c r="M1863" s="18"/>
      <c r="N1863" s="18"/>
    </row>
    <row r="1864" ht="15.0" hidden="1" customHeight="1">
      <c r="A1864" s="20" t="str">
        <f t="shared" si="1"/>
        <v>FDL-INNOVA04MSG</v>
      </c>
      <c r="B1864" s="22" t="s">
        <v>1451</v>
      </c>
      <c r="C1864" s="39" t="s">
        <v>1160</v>
      </c>
      <c r="D1864" s="22" t="str">
        <f t="shared" si="4"/>
        <v>FDL</v>
      </c>
      <c r="E1864" s="22" t="s">
        <v>42</v>
      </c>
      <c r="F1864" s="25"/>
      <c r="G1864" s="20"/>
      <c r="H1864" s="20">
        <f>SUMIFS(X!$F$5:$F$2005,X!$D$5:$D$2005,'CEK CICI'!A1864)</f>
        <v>2</v>
      </c>
      <c r="I1864" s="20">
        <f>SUMIFS(PENJUALAN!$E$4:$E$4288,PENJUALAN!$C$4:$C$4288,'CEK CICI'!A1864)</f>
        <v>2</v>
      </c>
      <c r="J1864" s="16">
        <f t="shared" si="2"/>
        <v>0</v>
      </c>
      <c r="K1864" s="22" t="s">
        <v>719</v>
      </c>
      <c r="L1864" s="22"/>
      <c r="M1864" s="25"/>
      <c r="N1864" s="25"/>
    </row>
    <row r="1865" ht="15.0" hidden="1" customHeight="1">
      <c r="A1865" s="4" t="str">
        <f t="shared" si="1"/>
        <v>SWL-LUXIOASH</v>
      </c>
      <c r="B1865" s="32" t="s">
        <v>2240</v>
      </c>
      <c r="C1865" s="15" t="s">
        <v>1862</v>
      </c>
      <c r="D1865" s="15" t="str">
        <f t="shared" si="4"/>
        <v>SWL</v>
      </c>
      <c r="E1865" s="15" t="s">
        <v>82</v>
      </c>
      <c r="F1865" s="18"/>
      <c r="G1865" s="4"/>
      <c r="H1865" s="4">
        <f>SUMIFS(X!$F$5:$F$2005,X!$D$5:$D$2005,'CEK CICI'!A1865)</f>
        <v>1</v>
      </c>
      <c r="I1865" s="4">
        <f>SUMIFS(PENJUALAN!$E$4:$E$4288,PENJUALAN!$C$4:$C$4288,'CEK CICI'!A1865)</f>
        <v>0</v>
      </c>
      <c r="J1865" s="16">
        <f t="shared" si="2"/>
        <v>1</v>
      </c>
      <c r="K1865" s="15" t="s">
        <v>1720</v>
      </c>
      <c r="L1865" s="15"/>
      <c r="M1865" s="18"/>
      <c r="N1865" s="18"/>
    </row>
    <row r="1866" ht="15.0" hidden="1" customHeight="1">
      <c r="A1866" s="4" t="str">
        <f t="shared" si="1"/>
        <v>FDL-TARUNAASH</v>
      </c>
      <c r="B1866" s="32" t="s">
        <v>2242</v>
      </c>
      <c r="C1866" s="15" t="s">
        <v>1761</v>
      </c>
      <c r="D1866" s="15" t="str">
        <f t="shared" si="4"/>
        <v>FDL</v>
      </c>
      <c r="E1866" s="15" t="s">
        <v>82</v>
      </c>
      <c r="F1866" s="18"/>
      <c r="G1866" s="4"/>
      <c r="H1866" s="4">
        <f>SUMIFS(X!$F$5:$F$2005,X!$D$5:$D$2005,'CEK CICI'!A1866)</f>
        <v>1</v>
      </c>
      <c r="I1866" s="4">
        <f>SUMIFS(PENJUALAN!$E$4:$E$4288,PENJUALAN!$C$4:$C$4288,'CEK CICI'!A1866)</f>
        <v>0</v>
      </c>
      <c r="J1866" s="16">
        <f t="shared" si="2"/>
        <v>1</v>
      </c>
      <c r="K1866" s="15" t="s">
        <v>1720</v>
      </c>
      <c r="L1866" s="15"/>
      <c r="M1866" s="18"/>
      <c r="N1866" s="18"/>
    </row>
    <row r="1867" ht="15.0" hidden="1" customHeight="1">
      <c r="A1867" s="4" t="str">
        <f t="shared" si="1"/>
        <v>FDR-TARUNAASH</v>
      </c>
      <c r="B1867" s="32" t="s">
        <v>2243</v>
      </c>
      <c r="C1867" s="15" t="s">
        <v>1761</v>
      </c>
      <c r="D1867" s="15" t="str">
        <f t="shared" si="4"/>
        <v>FDR</v>
      </c>
      <c r="E1867" s="15" t="s">
        <v>82</v>
      </c>
      <c r="F1867" s="18"/>
      <c r="G1867" s="4"/>
      <c r="H1867" s="4">
        <f>SUMIFS(X!$F$5:$F$2005,X!$D$5:$D$2005,'CEK CICI'!A1867)</f>
        <v>1</v>
      </c>
      <c r="I1867" s="4">
        <f>SUMIFS(PENJUALAN!$E$4:$E$4288,PENJUALAN!$C$4:$C$4288,'CEK CICI'!A1867)</f>
        <v>0</v>
      </c>
      <c r="J1867" s="16">
        <f t="shared" si="2"/>
        <v>1</v>
      </c>
      <c r="K1867" s="15" t="s">
        <v>1720</v>
      </c>
      <c r="L1867" s="15"/>
      <c r="M1867" s="18"/>
      <c r="N1867" s="18"/>
    </row>
    <row r="1868" ht="15.0" hidden="1" customHeight="1">
      <c r="A1868" s="4" t="str">
        <f t="shared" si="1"/>
        <v>RDR-TARUNAASH</v>
      </c>
      <c r="B1868" s="32" t="s">
        <v>2244</v>
      </c>
      <c r="C1868" s="15" t="s">
        <v>1761</v>
      </c>
      <c r="D1868" s="15" t="str">
        <f t="shared" si="4"/>
        <v>RDR</v>
      </c>
      <c r="E1868" s="15" t="s">
        <v>82</v>
      </c>
      <c r="F1868" s="18"/>
      <c r="G1868" s="4"/>
      <c r="H1868" s="4">
        <f>SUMIFS(X!$F$5:$F$2005,X!$D$5:$D$2005,'CEK CICI'!A1868)</f>
        <v>1</v>
      </c>
      <c r="I1868" s="4">
        <f>SUMIFS(PENJUALAN!$E$4:$E$4288,PENJUALAN!$C$4:$C$4288,'CEK CICI'!A1868)</f>
        <v>1</v>
      </c>
      <c r="J1868" s="16">
        <f t="shared" si="2"/>
        <v>0</v>
      </c>
      <c r="K1868" s="15" t="s">
        <v>1720</v>
      </c>
      <c r="L1868" s="15"/>
      <c r="M1868" s="18"/>
      <c r="N1868" s="18"/>
    </row>
    <row r="1869" ht="15.0" hidden="1" customHeight="1">
      <c r="A1869" s="4" t="str">
        <f t="shared" si="1"/>
        <v>FDL-DATSUNASH</v>
      </c>
      <c r="B1869" s="32" t="s">
        <v>894</v>
      </c>
      <c r="C1869" s="15" t="s">
        <v>895</v>
      </c>
      <c r="D1869" s="18" t="str">
        <f t="shared" si="4"/>
        <v>FDL</v>
      </c>
      <c r="E1869" s="15" t="s">
        <v>82</v>
      </c>
      <c r="F1869" s="18"/>
      <c r="G1869" s="4"/>
      <c r="H1869" s="4">
        <f>SUMIFS(X!$F$5:$F$2005,X!$D$5:$D$2005,'CEK CICI'!A1869)</f>
        <v>1</v>
      </c>
      <c r="I1869" s="4">
        <f>SUMIFS(PENJUALAN!$E$4:$E$4288,PENJUALAN!$C$4:$C$4288,'CEK CICI'!A1869)</f>
        <v>0</v>
      </c>
      <c r="J1869" s="16">
        <f t="shared" si="2"/>
        <v>1</v>
      </c>
      <c r="K1869" s="15" t="s">
        <v>1720</v>
      </c>
      <c r="L1869" s="15"/>
      <c r="M1869" s="18"/>
      <c r="N1869" s="18"/>
    </row>
    <row r="1870" ht="15.0" hidden="1" customHeight="1">
      <c r="A1870" s="4" t="str">
        <f t="shared" si="1"/>
        <v>FDR-DATSUNASH</v>
      </c>
      <c r="B1870" s="29" t="s">
        <v>1719</v>
      </c>
      <c r="C1870" s="28" t="s">
        <v>895</v>
      </c>
      <c r="D1870" s="28" t="s">
        <v>45</v>
      </c>
      <c r="E1870" s="4" t="s">
        <v>82</v>
      </c>
      <c r="F1870" s="18"/>
      <c r="G1870" s="4"/>
      <c r="H1870" s="4">
        <f>SUMIFS(X!$F$5:$F$2005,X!$D$5:$D$2005,'CEK CICI'!A1870)</f>
        <v>1</v>
      </c>
      <c r="I1870" s="4">
        <f>SUMIFS(PENJUALAN!$E$4:$E$4288,PENJUALAN!$C$4:$C$4288,'CEK CICI'!A1870)</f>
        <v>1</v>
      </c>
      <c r="J1870" s="16">
        <f t="shared" si="2"/>
        <v>0</v>
      </c>
      <c r="K1870" s="15" t="s">
        <v>1720</v>
      </c>
      <c r="L1870" s="15"/>
      <c r="M1870" s="18"/>
      <c r="N1870" s="18"/>
    </row>
    <row r="1871" ht="15.0" hidden="1" customHeight="1">
      <c r="A1871" s="4" t="str">
        <f t="shared" si="1"/>
        <v>RDL-RANGER02ASH</v>
      </c>
      <c r="B1871" s="32" t="s">
        <v>2245</v>
      </c>
      <c r="C1871" s="15" t="s">
        <v>2246</v>
      </c>
      <c r="D1871" s="18" t="str">
        <f t="shared" ref="D1871:D1900" si="5">LEFT(A1871,FIND("-",A1871) - 1)</f>
        <v>RDL</v>
      </c>
      <c r="E1871" s="15" t="s">
        <v>82</v>
      </c>
      <c r="F1871" s="18"/>
      <c r="G1871" s="4"/>
      <c r="H1871" s="4">
        <f>SUMIFS(X!$F$5:$F$2005,X!$D$5:$D$2005,'CEK CICI'!A1871)</f>
        <v>1</v>
      </c>
      <c r="I1871" s="4">
        <f>SUMIFS(PENJUALAN!$E$4:$E$4288,PENJUALAN!$C$4:$C$4288,'CEK CICI'!A1871)</f>
        <v>0</v>
      </c>
      <c r="J1871" s="16">
        <f t="shared" si="2"/>
        <v>1</v>
      </c>
      <c r="K1871" s="15" t="s">
        <v>48</v>
      </c>
      <c r="L1871" s="15"/>
      <c r="M1871" s="18"/>
      <c r="N1871" s="18"/>
    </row>
    <row r="1872" ht="15.0" hidden="1" customHeight="1">
      <c r="A1872" s="4" t="str">
        <f t="shared" si="1"/>
        <v>FDR-RANGER06ASH</v>
      </c>
      <c r="B1872" s="32" t="s">
        <v>2247</v>
      </c>
      <c r="C1872" s="15" t="s">
        <v>2248</v>
      </c>
      <c r="D1872" s="18" t="str">
        <f t="shared" si="5"/>
        <v>FDR</v>
      </c>
      <c r="E1872" s="15" t="s">
        <v>82</v>
      </c>
      <c r="F1872" s="18"/>
      <c r="G1872" s="4"/>
      <c r="H1872" s="4">
        <f>SUMIFS(X!$F$5:$F$2005,X!$D$5:$D$2005,'CEK CICI'!A1872)</f>
        <v>1</v>
      </c>
      <c r="I1872" s="4">
        <f>SUMIFS(PENJUALAN!$E$4:$E$4288,PENJUALAN!$C$4:$C$4288,'CEK CICI'!A1872)</f>
        <v>0</v>
      </c>
      <c r="J1872" s="16">
        <f t="shared" si="2"/>
        <v>1</v>
      </c>
      <c r="K1872" s="15" t="s">
        <v>48</v>
      </c>
      <c r="L1872" s="15"/>
      <c r="M1872" s="18"/>
      <c r="N1872" s="18"/>
    </row>
    <row r="1873" ht="15.0" hidden="1" customHeight="1">
      <c r="A1873" s="4" t="str">
        <f t="shared" si="1"/>
        <v>FDR-RANGER11ASH</v>
      </c>
      <c r="B1873" s="32" t="s">
        <v>2249</v>
      </c>
      <c r="C1873" s="15" t="s">
        <v>2250</v>
      </c>
      <c r="D1873" s="18" t="str">
        <f t="shared" si="5"/>
        <v>FDR</v>
      </c>
      <c r="E1873" s="15" t="s">
        <v>82</v>
      </c>
      <c r="F1873" s="18"/>
      <c r="G1873" s="4"/>
      <c r="H1873" s="4">
        <f>SUMIFS(X!$F$5:$F$2005,X!$D$5:$D$2005,'CEK CICI'!A1873)</f>
        <v>1</v>
      </c>
      <c r="I1873" s="4">
        <f>SUMIFS(PENJUALAN!$E$4:$E$4288,PENJUALAN!$C$4:$C$4288,'CEK CICI'!A1873)</f>
        <v>0</v>
      </c>
      <c r="J1873" s="16">
        <f t="shared" si="2"/>
        <v>1</v>
      </c>
      <c r="K1873" s="15" t="s">
        <v>48</v>
      </c>
      <c r="L1873" s="15"/>
      <c r="M1873" s="18"/>
      <c r="N1873" s="18"/>
    </row>
    <row r="1874" ht="15.0" hidden="1" customHeight="1">
      <c r="A1874" s="4" t="str">
        <f t="shared" si="1"/>
        <v>RDL-BRIO10ASH</v>
      </c>
      <c r="B1874" s="32" t="s">
        <v>2251</v>
      </c>
      <c r="C1874" s="15" t="s">
        <v>2252</v>
      </c>
      <c r="D1874" s="18" t="str">
        <f t="shared" si="5"/>
        <v>RDL</v>
      </c>
      <c r="E1874" s="15" t="s">
        <v>82</v>
      </c>
      <c r="F1874" s="18"/>
      <c r="G1874" s="4"/>
      <c r="H1874" s="4">
        <f>SUMIFS(X!$F$5:$F$2005,X!$D$5:$D$2005,'CEK CICI'!A1874)</f>
        <v>1</v>
      </c>
      <c r="I1874" s="4">
        <f>SUMIFS(PENJUALAN!$E$4:$E$4288,PENJUALAN!$C$4:$C$4288,'CEK CICI'!A1874)</f>
        <v>0</v>
      </c>
      <c r="J1874" s="16">
        <f t="shared" si="2"/>
        <v>1</v>
      </c>
      <c r="K1874" s="15" t="s">
        <v>2067</v>
      </c>
      <c r="L1874" s="15"/>
      <c r="M1874" s="18"/>
      <c r="N1874" s="18"/>
    </row>
    <row r="1875" ht="15.0" hidden="1" customHeight="1">
      <c r="A1875" s="20" t="str">
        <f t="shared" si="1"/>
        <v>FDL-MOBILIOASH</v>
      </c>
      <c r="B1875" s="24" t="s">
        <v>1890</v>
      </c>
      <c r="C1875" s="22" t="s">
        <v>1891</v>
      </c>
      <c r="D1875" s="25" t="str">
        <f t="shared" si="5"/>
        <v>FDL</v>
      </c>
      <c r="E1875" s="22" t="s">
        <v>82</v>
      </c>
      <c r="F1875" s="25"/>
      <c r="G1875" s="20"/>
      <c r="H1875" s="20">
        <f>SUMIFS(X!$F$5:$F$2005,X!$D$5:$D$2005,'CEK CICI'!A1875)</f>
        <v>2</v>
      </c>
      <c r="I1875" s="20">
        <f>SUMIFS(PENJUALAN!$E$4:$E$4288,PENJUALAN!$C$4:$C$4288,'CEK CICI'!A1875)</f>
        <v>1</v>
      </c>
      <c r="J1875" s="16">
        <f t="shared" si="2"/>
        <v>1</v>
      </c>
      <c r="K1875" s="22" t="s">
        <v>1428</v>
      </c>
      <c r="L1875" s="22"/>
      <c r="M1875" s="25"/>
      <c r="N1875" s="25"/>
    </row>
    <row r="1876" ht="15.0" hidden="1" customHeight="1">
      <c r="A1876" s="20" t="str">
        <f t="shared" si="1"/>
        <v>FDR-MOBILIOASH</v>
      </c>
      <c r="B1876" s="24" t="s">
        <v>1892</v>
      </c>
      <c r="C1876" s="22" t="s">
        <v>1891</v>
      </c>
      <c r="D1876" s="25" t="str">
        <f t="shared" si="5"/>
        <v>FDR</v>
      </c>
      <c r="E1876" s="22" t="s">
        <v>82</v>
      </c>
      <c r="F1876" s="25"/>
      <c r="G1876" s="20"/>
      <c r="H1876" s="20">
        <f>SUMIFS(X!$F$5:$F$2005,X!$D$5:$D$2005,'CEK CICI'!A1876)</f>
        <v>2</v>
      </c>
      <c r="I1876" s="20">
        <f>SUMIFS(PENJUALAN!$E$4:$E$4288,PENJUALAN!$C$4:$C$4288,'CEK CICI'!A1876)</f>
        <v>1</v>
      </c>
      <c r="J1876" s="16">
        <f t="shared" si="2"/>
        <v>1</v>
      </c>
      <c r="K1876" s="22" t="s">
        <v>1428</v>
      </c>
      <c r="L1876" s="22"/>
      <c r="M1876" s="25"/>
      <c r="N1876" s="25"/>
    </row>
    <row r="1877" ht="15.0" hidden="1" customHeight="1">
      <c r="A1877" s="20" t="str">
        <f t="shared" si="1"/>
        <v>RDL-MOBILIOASH</v>
      </c>
      <c r="B1877" s="24" t="s">
        <v>1894</v>
      </c>
      <c r="C1877" s="22" t="s">
        <v>1891</v>
      </c>
      <c r="D1877" s="25" t="str">
        <f t="shared" si="5"/>
        <v>RDL</v>
      </c>
      <c r="E1877" s="22" t="s">
        <v>82</v>
      </c>
      <c r="F1877" s="25"/>
      <c r="G1877" s="20"/>
      <c r="H1877" s="20">
        <f>SUMIFS(X!$F$5:$F$2005,X!$D$5:$D$2005,'CEK CICI'!A1877)</f>
        <v>2</v>
      </c>
      <c r="I1877" s="20">
        <f>SUMIFS(PENJUALAN!$E$4:$E$4288,PENJUALAN!$C$4:$C$4288,'CEK CICI'!A1877)</f>
        <v>1</v>
      </c>
      <c r="J1877" s="16">
        <f t="shared" si="2"/>
        <v>1</v>
      </c>
      <c r="K1877" s="22" t="s">
        <v>2067</v>
      </c>
      <c r="L1877" s="22"/>
      <c r="M1877" s="25"/>
      <c r="N1877" s="25"/>
    </row>
    <row r="1878" ht="15.0" hidden="1" customHeight="1">
      <c r="A1878" s="20" t="str">
        <f t="shared" si="1"/>
        <v>RDR-MOBILIOASH</v>
      </c>
      <c r="B1878" s="24" t="s">
        <v>2066</v>
      </c>
      <c r="C1878" s="22" t="s">
        <v>1891</v>
      </c>
      <c r="D1878" s="25" t="str">
        <f t="shared" si="5"/>
        <v>RDR</v>
      </c>
      <c r="E1878" s="22" t="s">
        <v>82</v>
      </c>
      <c r="F1878" s="25"/>
      <c r="G1878" s="20"/>
      <c r="H1878" s="20">
        <f>SUMIFS(X!$F$5:$F$2005,X!$D$5:$D$2005,'CEK CICI'!A1878)</f>
        <v>2</v>
      </c>
      <c r="I1878" s="20">
        <f>SUMIFS(PENJUALAN!$E$4:$E$4288,PENJUALAN!$C$4:$C$4288,'CEK CICI'!A1878)</f>
        <v>2</v>
      </c>
      <c r="J1878" s="16">
        <f t="shared" si="2"/>
        <v>0</v>
      </c>
      <c r="K1878" s="22" t="s">
        <v>2067</v>
      </c>
      <c r="L1878" s="22"/>
      <c r="M1878" s="25"/>
      <c r="N1878" s="25"/>
    </row>
    <row r="1879" ht="15.0" hidden="1" customHeight="1">
      <c r="A1879" s="4" t="str">
        <f t="shared" si="1"/>
        <v>FDL-CRV02ASH</v>
      </c>
      <c r="B1879" s="32" t="s">
        <v>2256</v>
      </c>
      <c r="C1879" s="15" t="s">
        <v>423</v>
      </c>
      <c r="D1879" s="18" t="str">
        <f t="shared" si="5"/>
        <v>FDL</v>
      </c>
      <c r="E1879" s="15" t="s">
        <v>82</v>
      </c>
      <c r="F1879" s="18"/>
      <c r="G1879" s="4"/>
      <c r="H1879" s="4">
        <f>SUMIFS(X!$F$5:$F$2005,X!$D$5:$D$2005,'CEK CICI'!A1879)</f>
        <v>1</v>
      </c>
      <c r="I1879" s="4">
        <f>SUMIFS(PENJUALAN!$E$4:$E$4288,PENJUALAN!$C$4:$C$4288,'CEK CICI'!A1879)</f>
        <v>0</v>
      </c>
      <c r="J1879" s="16">
        <f t="shared" si="2"/>
        <v>1</v>
      </c>
      <c r="K1879" s="15" t="s">
        <v>1428</v>
      </c>
      <c r="L1879" s="15"/>
      <c r="M1879" s="18"/>
      <c r="N1879" s="18"/>
    </row>
    <row r="1880" ht="15.0" hidden="1" customHeight="1">
      <c r="A1880" s="4" t="str">
        <f t="shared" si="1"/>
        <v>FDR-CRV02ASH</v>
      </c>
      <c r="B1880" s="32" t="s">
        <v>2257</v>
      </c>
      <c r="C1880" s="15" t="s">
        <v>423</v>
      </c>
      <c r="D1880" s="18" t="str">
        <f t="shared" si="5"/>
        <v>FDR</v>
      </c>
      <c r="E1880" s="15" t="s">
        <v>82</v>
      </c>
      <c r="F1880" s="18"/>
      <c r="G1880" s="4"/>
      <c r="H1880" s="4">
        <f>SUMIFS(X!$F$5:$F$2005,X!$D$5:$D$2005,'CEK CICI'!A1880)</f>
        <v>1</v>
      </c>
      <c r="I1880" s="4">
        <f>SUMIFS(PENJUALAN!$E$4:$E$4288,PENJUALAN!$C$4:$C$4288,'CEK CICI'!A1880)</f>
        <v>0</v>
      </c>
      <c r="J1880" s="16">
        <f t="shared" si="2"/>
        <v>1</v>
      </c>
      <c r="K1880" s="15" t="s">
        <v>1428</v>
      </c>
      <c r="L1880" s="15"/>
      <c r="M1880" s="18"/>
      <c r="N1880" s="18"/>
    </row>
    <row r="1881" ht="15.0" hidden="1" customHeight="1">
      <c r="A1881" s="4" t="str">
        <f t="shared" si="1"/>
        <v>RDL-CRV02ASH</v>
      </c>
      <c r="B1881" s="32" t="s">
        <v>424</v>
      </c>
      <c r="C1881" s="15" t="s">
        <v>423</v>
      </c>
      <c r="D1881" s="18" t="str">
        <f t="shared" si="5"/>
        <v>RDL</v>
      </c>
      <c r="E1881" s="15" t="s">
        <v>82</v>
      </c>
      <c r="F1881" s="18"/>
      <c r="G1881" s="4"/>
      <c r="H1881" s="4">
        <f>SUMIFS(X!$F$5:$F$2005,X!$D$5:$D$2005,'CEK CICI'!A1881)</f>
        <v>1</v>
      </c>
      <c r="I1881" s="4">
        <f>SUMIFS(PENJUALAN!$E$4:$E$4288,PENJUALAN!$C$4:$C$4288,'CEK CICI'!A1881)</f>
        <v>1</v>
      </c>
      <c r="J1881" s="16">
        <f t="shared" si="2"/>
        <v>0</v>
      </c>
      <c r="K1881" s="15" t="s">
        <v>2067</v>
      </c>
      <c r="L1881" s="15"/>
      <c r="M1881" s="18"/>
      <c r="N1881" s="18"/>
    </row>
    <row r="1882" ht="15.0" hidden="1" customHeight="1">
      <c r="A1882" s="4" t="str">
        <f t="shared" si="1"/>
        <v>RDR-CRV02ASH</v>
      </c>
      <c r="B1882" s="32" t="s">
        <v>425</v>
      </c>
      <c r="C1882" s="15" t="s">
        <v>423</v>
      </c>
      <c r="D1882" s="18" t="str">
        <f t="shared" si="5"/>
        <v>RDR</v>
      </c>
      <c r="E1882" s="15" t="s">
        <v>82</v>
      </c>
      <c r="F1882" s="18"/>
      <c r="G1882" s="4"/>
      <c r="H1882" s="4">
        <f>SUMIFS(X!$F$5:$F$2005,X!$D$5:$D$2005,'CEK CICI'!A1882)</f>
        <v>1</v>
      </c>
      <c r="I1882" s="4">
        <f>SUMIFS(PENJUALAN!$E$4:$E$4288,PENJUALAN!$C$4:$C$4288,'CEK CICI'!A1882)</f>
        <v>0</v>
      </c>
      <c r="J1882" s="16">
        <f t="shared" si="2"/>
        <v>1</v>
      </c>
      <c r="K1882" s="15" t="s">
        <v>2067</v>
      </c>
      <c r="L1882" s="15"/>
      <c r="M1882" s="18"/>
      <c r="N1882" s="18"/>
    </row>
    <row r="1883" ht="15.0" hidden="1" customHeight="1">
      <c r="A1883" s="4" t="str">
        <f t="shared" si="1"/>
        <v>FDR-CRV07ASH</v>
      </c>
      <c r="B1883" s="32" t="s">
        <v>2258</v>
      </c>
      <c r="C1883" s="15" t="s">
        <v>429</v>
      </c>
      <c r="D1883" s="18" t="str">
        <f t="shared" si="5"/>
        <v>FDR</v>
      </c>
      <c r="E1883" s="15" t="s">
        <v>82</v>
      </c>
      <c r="F1883" s="18"/>
      <c r="G1883" s="4"/>
      <c r="H1883" s="4">
        <f>SUMIFS(X!$F$5:$F$2005,X!$D$5:$D$2005,'CEK CICI'!A1883)</f>
        <v>0</v>
      </c>
      <c r="I1883" s="4">
        <f>SUMIFS(PENJUALAN!$E$4:$E$4288,PENJUALAN!$C$4:$C$4288,'CEK CICI'!A1883)</f>
        <v>0</v>
      </c>
      <c r="J1883" s="16">
        <f t="shared" si="2"/>
        <v>0</v>
      </c>
      <c r="K1883" s="18"/>
      <c r="L1883" s="18"/>
      <c r="M1883" s="18"/>
      <c r="N1883" s="18"/>
    </row>
    <row r="1884" ht="15.0" hidden="1" customHeight="1">
      <c r="A1884" s="4" t="str">
        <f t="shared" si="1"/>
        <v>RDL-CRV07ASH</v>
      </c>
      <c r="B1884" s="32" t="s">
        <v>2259</v>
      </c>
      <c r="C1884" s="15" t="s">
        <v>429</v>
      </c>
      <c r="D1884" s="18" t="str">
        <f t="shared" si="5"/>
        <v>RDL</v>
      </c>
      <c r="E1884" s="15" t="s">
        <v>82</v>
      </c>
      <c r="F1884" s="18"/>
      <c r="G1884" s="4"/>
      <c r="H1884" s="4">
        <f>SUMIFS(X!$F$5:$F$2005,X!$D$5:$D$2005,'CEK CICI'!A1884)</f>
        <v>1</v>
      </c>
      <c r="I1884" s="4">
        <f>SUMIFS(PENJUALAN!$E$4:$E$4288,PENJUALAN!$C$4:$C$4288,'CEK CICI'!A1884)</f>
        <v>0</v>
      </c>
      <c r="J1884" s="16">
        <f t="shared" si="2"/>
        <v>1</v>
      </c>
      <c r="K1884" s="15" t="s">
        <v>2067</v>
      </c>
      <c r="L1884" s="15"/>
      <c r="M1884" s="18"/>
      <c r="N1884" s="18"/>
    </row>
    <row r="1885" ht="15.0" hidden="1" customHeight="1">
      <c r="A1885" s="4" t="str">
        <f t="shared" si="1"/>
        <v>RDR-CRV07ASH</v>
      </c>
      <c r="B1885" s="32" t="s">
        <v>2260</v>
      </c>
      <c r="C1885" s="15" t="s">
        <v>429</v>
      </c>
      <c r="D1885" s="18" t="str">
        <f t="shared" si="5"/>
        <v>RDR</v>
      </c>
      <c r="E1885" s="15" t="s">
        <v>82</v>
      </c>
      <c r="F1885" s="18"/>
      <c r="G1885" s="4"/>
      <c r="H1885" s="4">
        <f>SUMIFS(X!$F$5:$F$2005,X!$D$5:$D$2005,'CEK CICI'!A1885)</f>
        <v>1</v>
      </c>
      <c r="I1885" s="4">
        <f>SUMIFS(PENJUALAN!$E$4:$E$4288,PENJUALAN!$C$4:$C$4288,'CEK CICI'!A1885)</f>
        <v>0</v>
      </c>
      <c r="J1885" s="16">
        <f t="shared" si="2"/>
        <v>1</v>
      </c>
      <c r="K1885" s="15" t="s">
        <v>2067</v>
      </c>
      <c r="L1885" s="15"/>
      <c r="M1885" s="18"/>
      <c r="N1885" s="18"/>
    </row>
    <row r="1886" ht="15.0" hidden="1" customHeight="1">
      <c r="A1886" s="4" t="str">
        <f t="shared" si="1"/>
        <v>RDL-JAZZ13ASH</v>
      </c>
      <c r="B1886" s="32" t="s">
        <v>2261</v>
      </c>
      <c r="C1886" s="15" t="s">
        <v>2262</v>
      </c>
      <c r="D1886" s="18" t="str">
        <f t="shared" si="5"/>
        <v>RDL</v>
      </c>
      <c r="E1886" s="15" t="s">
        <v>82</v>
      </c>
      <c r="F1886" s="18"/>
      <c r="G1886" s="4"/>
      <c r="H1886" s="4">
        <f>SUMIFS(X!$F$5:$F$2005,X!$D$5:$D$2005,'CEK CICI'!A1886)</f>
        <v>1</v>
      </c>
      <c r="I1886" s="4">
        <f>SUMIFS(PENJUALAN!$E$4:$E$4288,PENJUALAN!$C$4:$C$4288,'CEK CICI'!A1886)</f>
        <v>0</v>
      </c>
      <c r="J1886" s="16">
        <f t="shared" si="2"/>
        <v>1</v>
      </c>
      <c r="K1886" s="15" t="s">
        <v>2067</v>
      </c>
      <c r="L1886" s="15"/>
      <c r="M1886" s="18"/>
      <c r="N1886" s="18"/>
    </row>
    <row r="1887" ht="15.0" hidden="1" customHeight="1">
      <c r="A1887" s="4" t="str">
        <f t="shared" si="1"/>
        <v>TRW-GIGAPUASH</v>
      </c>
      <c r="B1887" s="32" t="s">
        <v>2263</v>
      </c>
      <c r="C1887" s="15" t="s">
        <v>2264</v>
      </c>
      <c r="D1887" s="18" t="str">
        <f t="shared" si="5"/>
        <v>TRW</v>
      </c>
      <c r="E1887" s="15" t="s">
        <v>82</v>
      </c>
      <c r="F1887" s="18"/>
      <c r="G1887" s="4"/>
      <c r="H1887" s="4">
        <f>SUMIFS(X!$F$5:$F$2005,X!$D$5:$D$2005,'CEK CICI'!A1887)</f>
        <v>1</v>
      </c>
      <c r="I1887" s="4">
        <f>SUMIFS(PENJUALAN!$E$4:$E$4288,PENJUALAN!$C$4:$C$4288,'CEK CICI'!A1887)</f>
        <v>0</v>
      </c>
      <c r="J1887" s="16">
        <f t="shared" si="2"/>
        <v>1</v>
      </c>
      <c r="K1887" s="15" t="s">
        <v>1452</v>
      </c>
      <c r="L1887" s="15"/>
      <c r="M1887" s="18"/>
      <c r="N1887" s="18"/>
    </row>
    <row r="1888" ht="15.0" hidden="1" customHeight="1">
      <c r="A1888" s="4" t="str">
        <f t="shared" si="1"/>
        <v>RDL-TRITON05ASH</v>
      </c>
      <c r="B1888" s="32" t="s">
        <v>2265</v>
      </c>
      <c r="C1888" s="15" t="s">
        <v>887</v>
      </c>
      <c r="D1888" s="18" t="str">
        <f t="shared" si="5"/>
        <v>RDL</v>
      </c>
      <c r="E1888" s="15" t="s">
        <v>82</v>
      </c>
      <c r="F1888" s="18"/>
      <c r="G1888" s="4"/>
      <c r="H1888" s="4">
        <f>SUMIFS(X!$F$5:$F$2005,X!$D$5:$D$2005,'CEK CICI'!A1888)</f>
        <v>1</v>
      </c>
      <c r="I1888" s="4">
        <f>SUMIFS(PENJUALAN!$E$4:$E$4288,PENJUALAN!$C$4:$C$4288,'CEK CICI'!A1888)</f>
        <v>0</v>
      </c>
      <c r="J1888" s="16">
        <f t="shared" si="2"/>
        <v>1</v>
      </c>
      <c r="K1888" s="15" t="s">
        <v>596</v>
      </c>
      <c r="L1888" s="15"/>
      <c r="M1888" s="18"/>
      <c r="N1888" s="18"/>
    </row>
    <row r="1889" ht="15.0" hidden="1" customHeight="1">
      <c r="A1889" s="4" t="str">
        <f t="shared" si="1"/>
        <v>FDL-XPANDERASH</v>
      </c>
      <c r="B1889" s="32" t="s">
        <v>2266</v>
      </c>
      <c r="C1889" s="15" t="s">
        <v>2267</v>
      </c>
      <c r="D1889" s="18" t="str">
        <f t="shared" si="5"/>
        <v>FDL</v>
      </c>
      <c r="E1889" s="15" t="s">
        <v>82</v>
      </c>
      <c r="F1889" s="18"/>
      <c r="G1889" s="4"/>
      <c r="H1889" s="4">
        <f>SUMIFS(X!$F$5:$F$2005,X!$D$5:$D$2005,'CEK CICI'!A1889)</f>
        <v>1</v>
      </c>
      <c r="I1889" s="4">
        <f>SUMIFS(PENJUALAN!$E$4:$E$4288,PENJUALAN!$C$4:$C$4288,'CEK CICI'!A1889)</f>
        <v>0</v>
      </c>
      <c r="J1889" s="16">
        <f t="shared" si="2"/>
        <v>1</v>
      </c>
      <c r="K1889" s="15" t="s">
        <v>596</v>
      </c>
      <c r="L1889" s="15"/>
      <c r="M1889" s="18"/>
      <c r="N1889" s="18"/>
    </row>
    <row r="1890" ht="15.0" hidden="1" customHeight="1">
      <c r="A1890" s="4" t="str">
        <f t="shared" si="1"/>
        <v>FDR-XPANDERASH</v>
      </c>
      <c r="B1890" s="32" t="s">
        <v>2268</v>
      </c>
      <c r="C1890" s="15" t="s">
        <v>2267</v>
      </c>
      <c r="D1890" s="18" t="str">
        <f t="shared" si="5"/>
        <v>FDR</v>
      </c>
      <c r="E1890" s="15" t="s">
        <v>82</v>
      </c>
      <c r="F1890" s="18"/>
      <c r="G1890" s="4"/>
      <c r="H1890" s="4">
        <f>SUMIFS(X!$F$5:$F$2005,X!$D$5:$D$2005,'CEK CICI'!A1890)</f>
        <v>1</v>
      </c>
      <c r="I1890" s="4">
        <f>SUMIFS(PENJUALAN!$E$4:$E$4288,PENJUALAN!$C$4:$C$4288,'CEK CICI'!A1890)</f>
        <v>0</v>
      </c>
      <c r="J1890" s="16">
        <f t="shared" si="2"/>
        <v>1</v>
      </c>
      <c r="K1890" s="15" t="s">
        <v>596</v>
      </c>
      <c r="L1890" s="15"/>
      <c r="M1890" s="18"/>
      <c r="N1890" s="18"/>
    </row>
    <row r="1891" ht="15.0" hidden="1" customHeight="1">
      <c r="A1891" s="4" t="str">
        <f t="shared" si="1"/>
        <v>RDL-XPANDERASH</v>
      </c>
      <c r="B1891" s="32" t="s">
        <v>2269</v>
      </c>
      <c r="C1891" s="15" t="s">
        <v>2267</v>
      </c>
      <c r="D1891" s="18" t="str">
        <f t="shared" si="5"/>
        <v>RDL</v>
      </c>
      <c r="E1891" s="15" t="s">
        <v>82</v>
      </c>
      <c r="F1891" s="18"/>
      <c r="G1891" s="4"/>
      <c r="H1891" s="4">
        <f>SUMIFS(X!$F$5:$F$2005,X!$D$5:$D$2005,'CEK CICI'!A1891)</f>
        <v>1</v>
      </c>
      <c r="I1891" s="4">
        <f>SUMIFS(PENJUALAN!$E$4:$E$4288,PENJUALAN!$C$4:$C$4288,'CEK CICI'!A1891)</f>
        <v>0</v>
      </c>
      <c r="J1891" s="16">
        <f t="shared" si="2"/>
        <v>1</v>
      </c>
      <c r="K1891" s="15" t="s">
        <v>596</v>
      </c>
      <c r="L1891" s="15"/>
      <c r="M1891" s="18"/>
      <c r="N1891" s="18"/>
    </row>
    <row r="1892" ht="15.0" hidden="1" customHeight="1">
      <c r="A1892" s="4" t="str">
        <f t="shared" si="1"/>
        <v>RDR-XPANDERASH</v>
      </c>
      <c r="B1892" s="32" t="s">
        <v>1403</v>
      </c>
      <c r="C1892" s="15" t="s">
        <v>2267</v>
      </c>
      <c r="D1892" s="18" t="str">
        <f t="shared" si="5"/>
        <v>RDR</v>
      </c>
      <c r="E1892" s="15" t="s">
        <v>82</v>
      </c>
      <c r="F1892" s="18"/>
      <c r="G1892" s="4"/>
      <c r="H1892" s="4">
        <f>SUMIFS(X!$F$5:$F$2005,X!$D$5:$D$2005,'CEK CICI'!A1892)</f>
        <v>0</v>
      </c>
      <c r="I1892" s="4">
        <f>SUMIFS(PENJUALAN!$E$4:$E$4288,PENJUALAN!$C$4:$C$4288,'CEK CICI'!A1892)</f>
        <v>0</v>
      </c>
      <c r="J1892" s="16">
        <f t="shared" si="2"/>
        <v>0</v>
      </c>
      <c r="K1892" s="18"/>
      <c r="L1892" s="18"/>
      <c r="M1892" s="18"/>
      <c r="N1892" s="18"/>
    </row>
    <row r="1893" ht="15.0" hidden="1" customHeight="1">
      <c r="A1893" s="4" t="str">
        <f t="shared" si="1"/>
        <v>SWL-XPANDERASH</v>
      </c>
      <c r="B1893" s="32" t="s">
        <v>2270</v>
      </c>
      <c r="C1893" s="15" t="s">
        <v>2267</v>
      </c>
      <c r="D1893" s="18" t="str">
        <f t="shared" si="5"/>
        <v>SWL</v>
      </c>
      <c r="E1893" s="15" t="s">
        <v>82</v>
      </c>
      <c r="F1893" s="15" t="s">
        <v>2271</v>
      </c>
      <c r="G1893" s="4"/>
      <c r="H1893" s="4">
        <f>SUMIFS(X!$F$5:$F$2005,X!$D$5:$D$2005,'CEK CICI'!A1893)</f>
        <v>1</v>
      </c>
      <c r="I1893" s="4">
        <f>SUMIFS(PENJUALAN!$E$4:$E$4288,PENJUALAN!$C$4:$C$4288,'CEK CICI'!A1893)</f>
        <v>0</v>
      </c>
      <c r="J1893" s="16">
        <f t="shared" si="2"/>
        <v>1</v>
      </c>
      <c r="K1893" s="15" t="s">
        <v>1509</v>
      </c>
      <c r="L1893" s="15"/>
      <c r="M1893" s="18"/>
      <c r="N1893" s="18"/>
    </row>
    <row r="1894" ht="15.0" hidden="1" customHeight="1">
      <c r="A1894" s="4" t="str">
        <f t="shared" si="1"/>
        <v>FDL-LIVINA07ASH</v>
      </c>
      <c r="B1894" s="32" t="s">
        <v>938</v>
      </c>
      <c r="C1894" s="15" t="s">
        <v>2272</v>
      </c>
      <c r="D1894" s="18" t="str">
        <f t="shared" si="5"/>
        <v>FDL</v>
      </c>
      <c r="E1894" s="15" t="s">
        <v>82</v>
      </c>
      <c r="F1894" s="18"/>
      <c r="G1894" s="4"/>
      <c r="H1894" s="4">
        <f>SUMIFS(X!$F$5:$F$2005,X!$D$5:$D$2005,'CEK CICI'!A1894)</f>
        <v>5</v>
      </c>
      <c r="I1894" s="4">
        <f>SUMIFS(PENJUALAN!$E$4:$E$4288,PENJUALAN!$C$4:$C$4288,'CEK CICI'!A1894)</f>
        <v>4</v>
      </c>
      <c r="J1894" s="16">
        <f t="shared" si="2"/>
        <v>1</v>
      </c>
      <c r="K1894" s="15" t="s">
        <v>596</v>
      </c>
      <c r="L1894" s="15"/>
      <c r="M1894" s="18"/>
      <c r="N1894" s="18"/>
    </row>
    <row r="1895" ht="15.0" hidden="1" customHeight="1">
      <c r="A1895" s="4" t="str">
        <f t="shared" si="1"/>
        <v>RDL-LIVINA07ASH</v>
      </c>
      <c r="B1895" s="32" t="s">
        <v>2273</v>
      </c>
      <c r="C1895" s="15" t="s">
        <v>2272</v>
      </c>
      <c r="D1895" s="18" t="str">
        <f t="shared" si="5"/>
        <v>RDL</v>
      </c>
      <c r="E1895" s="15" t="s">
        <v>82</v>
      </c>
      <c r="F1895" s="18"/>
      <c r="G1895" s="4"/>
      <c r="H1895" s="4">
        <f>SUMIFS(X!$F$5:$F$2005,X!$D$5:$D$2005,'CEK CICI'!A1895)</f>
        <v>1</v>
      </c>
      <c r="I1895" s="4">
        <f>SUMIFS(PENJUALAN!$E$4:$E$4288,PENJUALAN!$C$4:$C$4288,'CEK CICI'!A1895)</f>
        <v>0</v>
      </c>
      <c r="J1895" s="16">
        <f t="shared" si="2"/>
        <v>1</v>
      </c>
      <c r="K1895" s="15" t="s">
        <v>596</v>
      </c>
      <c r="L1895" s="15"/>
      <c r="M1895" s="18"/>
      <c r="N1895" s="18"/>
    </row>
    <row r="1896" ht="15.0" hidden="1" customHeight="1">
      <c r="A1896" s="4" t="str">
        <f t="shared" si="1"/>
        <v>RDR-LIVINA07ASH</v>
      </c>
      <c r="B1896" s="32" t="s">
        <v>2274</v>
      </c>
      <c r="C1896" s="15" t="s">
        <v>2272</v>
      </c>
      <c r="D1896" s="18" t="str">
        <f t="shared" si="5"/>
        <v>RDR</v>
      </c>
      <c r="E1896" s="15" t="s">
        <v>82</v>
      </c>
      <c r="F1896" s="18"/>
      <c r="G1896" s="4"/>
      <c r="H1896" s="4">
        <f>SUMIFS(X!$F$5:$F$2005,X!$D$5:$D$2005,'CEK CICI'!A1896)</f>
        <v>1</v>
      </c>
      <c r="I1896" s="4">
        <f>SUMIFS(PENJUALAN!$E$4:$E$4288,PENJUALAN!$C$4:$C$4288,'CEK CICI'!A1896)</f>
        <v>0</v>
      </c>
      <c r="J1896" s="16">
        <f t="shared" si="2"/>
        <v>1</v>
      </c>
      <c r="K1896" s="15" t="s">
        <v>596</v>
      </c>
      <c r="L1896" s="15"/>
      <c r="M1896" s="18"/>
      <c r="N1896" s="18"/>
    </row>
    <row r="1897" ht="15.0" hidden="1" customHeight="1">
      <c r="A1897" s="4" t="str">
        <f t="shared" si="1"/>
        <v>FDL-APVASH</v>
      </c>
      <c r="B1897" s="32" t="s">
        <v>2275</v>
      </c>
      <c r="C1897" s="15" t="s">
        <v>1022</v>
      </c>
      <c r="D1897" s="18" t="str">
        <f t="shared" si="5"/>
        <v>FDL</v>
      </c>
      <c r="E1897" s="15" t="s">
        <v>82</v>
      </c>
      <c r="F1897" s="18"/>
      <c r="G1897" s="4"/>
      <c r="H1897" s="4">
        <f>SUMIFS(X!$F$5:$F$2005,X!$D$5:$D$2005,'CEK CICI'!A1897)</f>
        <v>1</v>
      </c>
      <c r="I1897" s="4">
        <f>SUMIFS(PENJUALAN!$E$4:$E$4288,PENJUALAN!$C$4:$C$4288,'CEK CICI'!A1897)</f>
        <v>0</v>
      </c>
      <c r="J1897" s="16">
        <f t="shared" si="2"/>
        <v>1</v>
      </c>
      <c r="K1897" s="15" t="s">
        <v>1720</v>
      </c>
      <c r="L1897" s="15"/>
      <c r="M1897" s="18"/>
      <c r="N1897" s="18"/>
    </row>
    <row r="1898" ht="15.0" hidden="1" customHeight="1">
      <c r="A1898" s="4" t="str">
        <f t="shared" si="1"/>
        <v>SWL-APVASH</v>
      </c>
      <c r="B1898" s="32" t="s">
        <v>2276</v>
      </c>
      <c r="C1898" s="15" t="s">
        <v>1022</v>
      </c>
      <c r="D1898" s="18" t="str">
        <f t="shared" si="5"/>
        <v>SWL</v>
      </c>
      <c r="E1898" s="15" t="s">
        <v>82</v>
      </c>
      <c r="F1898" s="18"/>
      <c r="G1898" s="4"/>
      <c r="H1898" s="4">
        <f>SUMIFS(X!$F$5:$F$2005,X!$D$5:$D$2005,'CEK CICI'!A1898)</f>
        <v>1</v>
      </c>
      <c r="I1898" s="4">
        <f>SUMIFS(PENJUALAN!$E$4:$E$4288,PENJUALAN!$C$4:$C$4288,'CEK CICI'!A1898)</f>
        <v>0</v>
      </c>
      <c r="J1898" s="16">
        <f t="shared" si="2"/>
        <v>1</v>
      </c>
      <c r="K1898" s="15" t="s">
        <v>1720</v>
      </c>
      <c r="L1898" s="15"/>
      <c r="M1898" s="18"/>
      <c r="N1898" s="18"/>
    </row>
    <row r="1899" ht="15.0" hidden="1" customHeight="1">
      <c r="A1899" s="4" t="str">
        <f t="shared" si="1"/>
        <v>FDL-CARRY19ASH</v>
      </c>
      <c r="B1899" s="32" t="s">
        <v>2277</v>
      </c>
      <c r="C1899" s="15" t="s">
        <v>1995</v>
      </c>
      <c r="D1899" s="18" t="str">
        <f t="shared" si="5"/>
        <v>FDL</v>
      </c>
      <c r="E1899" s="15" t="s">
        <v>82</v>
      </c>
      <c r="F1899" s="18"/>
      <c r="G1899" s="4"/>
      <c r="H1899" s="4">
        <f>SUMIFS(X!$F$5:$F$2005,X!$D$5:$D$2005,'CEK CICI'!A1899)</f>
        <v>1</v>
      </c>
      <c r="I1899" s="4">
        <f>SUMIFS(PENJUALAN!$E$4:$E$4288,PENJUALAN!$C$4:$C$4288,'CEK CICI'!A1899)</f>
        <v>0</v>
      </c>
      <c r="J1899" s="16">
        <f t="shared" si="2"/>
        <v>1</v>
      </c>
      <c r="K1899" s="15" t="s">
        <v>2278</v>
      </c>
      <c r="L1899" s="15"/>
      <c r="M1899" s="18"/>
      <c r="N1899" s="18"/>
    </row>
    <row r="1900" ht="15.0" hidden="1" customHeight="1">
      <c r="A1900" s="4" t="str">
        <f t="shared" si="1"/>
        <v>FDR-CARRY19ASH</v>
      </c>
      <c r="B1900" s="32" t="s">
        <v>2279</v>
      </c>
      <c r="C1900" s="15" t="s">
        <v>1995</v>
      </c>
      <c r="D1900" s="18" t="str">
        <f t="shared" si="5"/>
        <v>FDR</v>
      </c>
      <c r="E1900" s="15" t="s">
        <v>82</v>
      </c>
      <c r="F1900" s="18"/>
      <c r="G1900" s="4"/>
      <c r="H1900" s="4">
        <f>SUMIFS(X!$F$5:$F$2005,X!$D$5:$D$2005,'CEK CICI'!A1900)</f>
        <v>1</v>
      </c>
      <c r="I1900" s="4">
        <f>SUMIFS(PENJUALAN!$E$4:$E$4288,PENJUALAN!$C$4:$C$4288,'CEK CICI'!A1900)</f>
        <v>0</v>
      </c>
      <c r="J1900" s="16">
        <f t="shared" si="2"/>
        <v>1</v>
      </c>
      <c r="K1900" s="15" t="s">
        <v>1720</v>
      </c>
      <c r="L1900" s="15"/>
      <c r="M1900" s="18"/>
      <c r="N1900" s="18"/>
    </row>
    <row r="1901" ht="15.0" hidden="1" customHeight="1">
      <c r="A1901" s="4" t="str">
        <f t="shared" si="1"/>
        <v>TRW-CARRY19AGC</v>
      </c>
      <c r="B1901" s="32" t="s">
        <v>2070</v>
      </c>
      <c r="C1901" s="15" t="s">
        <v>2071</v>
      </c>
      <c r="D1901" s="15" t="s">
        <v>41</v>
      </c>
      <c r="E1901" s="15" t="s">
        <v>78</v>
      </c>
      <c r="F1901" s="18"/>
      <c r="G1901" s="4"/>
      <c r="H1901" s="4">
        <f>SUMIFS(X!$F$5:$F$2005,X!$D$5:$D$2005,'CEK CICI'!A1901)</f>
        <v>1</v>
      </c>
      <c r="I1901" s="4">
        <f>SUMIFS(PENJUALAN!$E$4:$E$4288,PENJUALAN!$C$4:$C$4288,'CEK CICI'!A1901)</f>
        <v>1</v>
      </c>
      <c r="J1901" s="16">
        <f t="shared" si="2"/>
        <v>0</v>
      </c>
      <c r="K1901" s="15"/>
      <c r="L1901" s="15"/>
      <c r="M1901" s="18"/>
      <c r="N1901" s="18"/>
    </row>
    <row r="1902" ht="15.0" hidden="1" customHeight="1">
      <c r="A1902" s="4" t="str">
        <f t="shared" si="1"/>
        <v>FVL-ERTIGA12ASH</v>
      </c>
      <c r="B1902" s="32" t="s">
        <v>2280</v>
      </c>
      <c r="C1902" s="15" t="s">
        <v>1024</v>
      </c>
      <c r="D1902" s="18" t="str">
        <f t="shared" ref="D1902:D1937" si="6">LEFT(A1902,FIND("-",A1902) - 1)</f>
        <v>FVL</v>
      </c>
      <c r="E1902" s="15" t="s">
        <v>82</v>
      </c>
      <c r="F1902" s="18"/>
      <c r="G1902" s="4"/>
      <c r="H1902" s="4">
        <f>SUMIFS(X!$F$5:$F$2005,X!$D$5:$D$2005,'CEK CICI'!A1902)</f>
        <v>1</v>
      </c>
      <c r="I1902" s="4">
        <f>SUMIFS(PENJUALAN!$E$4:$E$4288,PENJUALAN!$C$4:$C$4288,'CEK CICI'!A1902)</f>
        <v>0</v>
      </c>
      <c r="J1902" s="16">
        <f t="shared" si="2"/>
        <v>1</v>
      </c>
      <c r="K1902" s="15" t="s">
        <v>1470</v>
      </c>
      <c r="L1902" s="15"/>
      <c r="M1902" s="18"/>
      <c r="N1902" s="18"/>
    </row>
    <row r="1903" ht="15.0" hidden="1" customHeight="1">
      <c r="A1903" s="4" t="str">
        <f t="shared" si="1"/>
        <v>FVR-ERTIGA12ASH</v>
      </c>
      <c r="B1903" s="32" t="s">
        <v>2281</v>
      </c>
      <c r="C1903" s="15" t="s">
        <v>1024</v>
      </c>
      <c r="D1903" s="18" t="str">
        <f t="shared" si="6"/>
        <v>FVR</v>
      </c>
      <c r="E1903" s="15" t="s">
        <v>82</v>
      </c>
      <c r="F1903" s="18"/>
      <c r="G1903" s="4"/>
      <c r="H1903" s="4">
        <f>SUMIFS(X!$F$5:$F$2005,X!$D$5:$D$2005,'CEK CICI'!A1903)</f>
        <v>1</v>
      </c>
      <c r="I1903" s="4">
        <f>SUMIFS(PENJUALAN!$E$4:$E$4288,PENJUALAN!$C$4:$C$4288,'CEK CICI'!A1903)</f>
        <v>0</v>
      </c>
      <c r="J1903" s="16">
        <f t="shared" si="2"/>
        <v>1</v>
      </c>
      <c r="K1903" s="15" t="s">
        <v>1470</v>
      </c>
      <c r="L1903" s="15"/>
      <c r="M1903" s="18"/>
      <c r="N1903" s="18"/>
    </row>
    <row r="1904" ht="15.0" hidden="1" customHeight="1">
      <c r="A1904" s="4" t="str">
        <f t="shared" si="1"/>
        <v>SWR-ERTIGA12ASH</v>
      </c>
      <c r="B1904" s="32" t="s">
        <v>2282</v>
      </c>
      <c r="C1904" s="15" t="s">
        <v>1024</v>
      </c>
      <c r="D1904" s="18" t="str">
        <f t="shared" si="6"/>
        <v>SWR</v>
      </c>
      <c r="E1904" s="15" t="s">
        <v>82</v>
      </c>
      <c r="F1904" s="18"/>
      <c r="G1904" s="4"/>
      <c r="H1904" s="4">
        <f>SUMIFS(X!$F$5:$F$2005,X!$D$5:$D$2005,'CEK CICI'!A1904)</f>
        <v>1</v>
      </c>
      <c r="I1904" s="4">
        <f>SUMIFS(PENJUALAN!$E$4:$E$4288,PENJUALAN!$C$4:$C$4288,'CEK CICI'!A1904)</f>
        <v>0</v>
      </c>
      <c r="J1904" s="16">
        <f t="shared" si="2"/>
        <v>1</v>
      </c>
      <c r="K1904" s="15" t="s">
        <v>1509</v>
      </c>
      <c r="L1904" s="15"/>
      <c r="M1904" s="18"/>
      <c r="N1904" s="18"/>
    </row>
    <row r="1905" ht="15.0" hidden="1" customHeight="1">
      <c r="A1905" s="4" t="str">
        <f t="shared" si="1"/>
        <v>RVL-AGYA13ASH</v>
      </c>
      <c r="B1905" s="32" t="s">
        <v>2283</v>
      </c>
      <c r="C1905" s="15" t="s">
        <v>85</v>
      </c>
      <c r="D1905" s="18" t="str">
        <f t="shared" si="6"/>
        <v>RVL</v>
      </c>
      <c r="E1905" s="15" t="s">
        <v>82</v>
      </c>
      <c r="F1905" s="18"/>
      <c r="G1905" s="4"/>
      <c r="H1905" s="4">
        <f>SUMIFS(X!$F$5:$F$2005,X!$D$5:$D$2005,'CEK CICI'!A1905)</f>
        <v>6</v>
      </c>
      <c r="I1905" s="4">
        <f>SUMIFS(PENJUALAN!$E$4:$E$4288,PENJUALAN!$C$4:$C$4288,'CEK CICI'!A1905)</f>
        <v>4</v>
      </c>
      <c r="J1905" s="16">
        <f t="shared" si="2"/>
        <v>2</v>
      </c>
      <c r="K1905" s="15" t="s">
        <v>1470</v>
      </c>
      <c r="L1905" s="15"/>
      <c r="M1905" s="18"/>
      <c r="N1905" s="18"/>
    </row>
    <row r="1906" ht="15.0" hidden="1" customHeight="1">
      <c r="A1906" s="4" t="str">
        <f t="shared" si="1"/>
        <v>RVR-AGYA13ASH</v>
      </c>
      <c r="B1906" s="32" t="s">
        <v>2284</v>
      </c>
      <c r="C1906" s="15" t="s">
        <v>85</v>
      </c>
      <c r="D1906" s="18" t="str">
        <f t="shared" si="6"/>
        <v>RVR</v>
      </c>
      <c r="E1906" s="15" t="s">
        <v>82</v>
      </c>
      <c r="F1906" s="18"/>
      <c r="G1906" s="4"/>
      <c r="H1906" s="4">
        <f>SUMIFS(X!$F$5:$F$2005,X!$D$5:$D$2005,'CEK CICI'!A1906)</f>
        <v>1</v>
      </c>
      <c r="I1906" s="4">
        <f>SUMIFS(PENJUALAN!$E$4:$E$4288,PENJUALAN!$C$4:$C$4288,'CEK CICI'!A1906)</f>
        <v>0</v>
      </c>
      <c r="J1906" s="16">
        <f t="shared" si="2"/>
        <v>1</v>
      </c>
      <c r="K1906" s="15" t="s">
        <v>1470</v>
      </c>
      <c r="L1906" s="15"/>
      <c r="M1906" s="18"/>
      <c r="N1906" s="18"/>
    </row>
    <row r="1907" ht="15.0" hidden="1" customHeight="1">
      <c r="A1907" s="4" t="str">
        <f t="shared" si="1"/>
        <v>FDL-FORTUNER05ASH</v>
      </c>
      <c r="B1907" s="32" t="s">
        <v>2285</v>
      </c>
      <c r="C1907" s="15" t="s">
        <v>2286</v>
      </c>
      <c r="D1907" s="18" t="str">
        <f t="shared" si="6"/>
        <v>FDL</v>
      </c>
      <c r="E1907" s="15" t="s">
        <v>82</v>
      </c>
      <c r="F1907" s="18"/>
      <c r="G1907" s="4"/>
      <c r="H1907" s="4">
        <f>SUMIFS(X!$F$5:$F$2005,X!$D$5:$D$2005,'CEK CICI'!A1907)</f>
        <v>1</v>
      </c>
      <c r="I1907" s="4">
        <f>SUMIFS(PENJUALAN!$E$4:$E$4288,PENJUALAN!$C$4:$C$4288,'CEK CICI'!A1907)</f>
        <v>0</v>
      </c>
      <c r="J1907" s="16">
        <f t="shared" si="2"/>
        <v>1</v>
      </c>
      <c r="K1907" s="15" t="s">
        <v>1882</v>
      </c>
      <c r="L1907" s="15"/>
      <c r="M1907" s="18"/>
      <c r="N1907" s="18"/>
    </row>
    <row r="1908" ht="15.0" hidden="1" customHeight="1">
      <c r="A1908" s="20" t="str">
        <f t="shared" si="1"/>
        <v>RDR-HILUX05ASH</v>
      </c>
      <c r="B1908" s="24" t="s">
        <v>2353</v>
      </c>
      <c r="C1908" s="22" t="s">
        <v>1154</v>
      </c>
      <c r="D1908" s="25" t="str">
        <f t="shared" si="6"/>
        <v>RDR</v>
      </c>
      <c r="E1908" s="22" t="s">
        <v>82</v>
      </c>
      <c r="F1908" s="25"/>
      <c r="G1908" s="20"/>
      <c r="H1908" s="20">
        <f>SUMIFS(X!$F$5:$F$2005,X!$D$5:$D$2005,'CEK CICI'!A1908)</f>
        <v>2</v>
      </c>
      <c r="I1908" s="20">
        <f>SUMIFS(PENJUALAN!$E$4:$E$4288,PENJUALAN!$C$4:$C$4288,'CEK CICI'!A1908)</f>
        <v>1</v>
      </c>
      <c r="J1908" s="16">
        <f t="shared" si="2"/>
        <v>1</v>
      </c>
      <c r="K1908" s="22" t="s">
        <v>1882</v>
      </c>
      <c r="L1908" s="22"/>
      <c r="M1908" s="25"/>
      <c r="N1908" s="25"/>
    </row>
    <row r="1909" ht="15.0" hidden="1" customHeight="1">
      <c r="A1909" s="20" t="str">
        <f t="shared" si="1"/>
        <v>FDL-FORTUNER15ASH</v>
      </c>
      <c r="B1909" s="24" t="s">
        <v>2354</v>
      </c>
      <c r="C1909" s="22" t="s">
        <v>2355</v>
      </c>
      <c r="D1909" s="25" t="str">
        <f t="shared" si="6"/>
        <v>FDL</v>
      </c>
      <c r="E1909" s="22" t="s">
        <v>82</v>
      </c>
      <c r="F1909" s="25"/>
      <c r="G1909" s="20"/>
      <c r="H1909" s="20">
        <f>SUMIFS(X!$F$5:$F$2005,X!$D$5:$D$2005,'CEK CICI'!A1909)</f>
        <v>2</v>
      </c>
      <c r="I1909" s="20">
        <f>SUMIFS(PENJUALAN!$E$4:$E$4288,PENJUALAN!$C$4:$C$4288,'CEK CICI'!A1909)</f>
        <v>2</v>
      </c>
      <c r="J1909" s="16">
        <f t="shared" si="2"/>
        <v>0</v>
      </c>
      <c r="K1909" s="22" t="s">
        <v>1882</v>
      </c>
      <c r="L1909" s="22"/>
      <c r="M1909" s="25"/>
      <c r="N1909" s="25"/>
    </row>
    <row r="1910" ht="15.0" hidden="1" customHeight="1">
      <c r="A1910" s="4" t="str">
        <f t="shared" si="1"/>
        <v>RDL-FORTUNER15ASH</v>
      </c>
      <c r="B1910" s="32" t="s">
        <v>1142</v>
      </c>
      <c r="C1910" s="15" t="s">
        <v>2224</v>
      </c>
      <c r="D1910" s="18" t="str">
        <f t="shared" si="6"/>
        <v>RDL</v>
      </c>
      <c r="E1910" s="15" t="s">
        <v>82</v>
      </c>
      <c r="F1910" s="18"/>
      <c r="G1910" s="4"/>
      <c r="H1910" s="4">
        <f>SUMIFS(X!$F$5:$F$2005,X!$D$5:$D$2005,'CEK CICI'!A1910)</f>
        <v>2</v>
      </c>
      <c r="I1910" s="4">
        <f>SUMIFS(PENJUALAN!$E$4:$E$4288,PENJUALAN!$C$4:$C$4288,'CEK CICI'!A1910)</f>
        <v>2</v>
      </c>
      <c r="J1910" s="16">
        <f t="shared" si="2"/>
        <v>0</v>
      </c>
      <c r="K1910" s="15" t="s">
        <v>1882</v>
      </c>
      <c r="L1910" s="15"/>
      <c r="M1910" s="18"/>
      <c r="N1910" s="18"/>
    </row>
    <row r="1911" ht="15.0" hidden="1" customHeight="1">
      <c r="A1911" s="4" t="str">
        <f t="shared" si="1"/>
        <v>RDR-FORTUNER15ASH</v>
      </c>
      <c r="B1911" s="32" t="s">
        <v>1143</v>
      </c>
      <c r="C1911" s="15" t="s">
        <v>2224</v>
      </c>
      <c r="D1911" s="18" t="str">
        <f t="shared" si="6"/>
        <v>RDR</v>
      </c>
      <c r="E1911" s="15" t="s">
        <v>82</v>
      </c>
      <c r="F1911" s="18"/>
      <c r="G1911" s="4"/>
      <c r="H1911" s="4">
        <f>SUMIFS(X!$F$5:$F$2005,X!$D$5:$D$2005,'CEK CICI'!A1911)</f>
        <v>1</v>
      </c>
      <c r="I1911" s="4">
        <f>SUMIFS(PENJUALAN!$E$4:$E$4288,PENJUALAN!$C$4:$C$4288,'CEK CICI'!A1911)</f>
        <v>0</v>
      </c>
      <c r="J1911" s="16">
        <f t="shared" si="2"/>
        <v>1</v>
      </c>
      <c r="K1911" s="15" t="s">
        <v>1882</v>
      </c>
      <c r="L1911" s="15"/>
      <c r="M1911" s="18"/>
      <c r="N1911" s="18"/>
    </row>
    <row r="1912" ht="15.0" hidden="1" customHeight="1">
      <c r="A1912" s="20" t="str">
        <f t="shared" si="1"/>
        <v>RVL-FORTUNER15ASH</v>
      </c>
      <c r="B1912" s="24" t="s">
        <v>2356</v>
      </c>
      <c r="C1912" s="22" t="s">
        <v>2224</v>
      </c>
      <c r="D1912" s="25" t="str">
        <f t="shared" si="6"/>
        <v>RVL</v>
      </c>
      <c r="E1912" s="22" t="s">
        <v>82</v>
      </c>
      <c r="F1912" s="25"/>
      <c r="G1912" s="20"/>
      <c r="H1912" s="20">
        <f>SUMIFS(X!$F$5:$F$2005,X!$D$5:$D$2005,'CEK CICI'!A1912)</f>
        <v>2</v>
      </c>
      <c r="I1912" s="20">
        <f>SUMIFS(PENJUALAN!$E$4:$E$4288,PENJUALAN!$C$4:$C$4288,'CEK CICI'!A1912)</f>
        <v>1</v>
      </c>
      <c r="J1912" s="16">
        <f t="shared" si="2"/>
        <v>1</v>
      </c>
      <c r="K1912" s="22" t="s">
        <v>1470</v>
      </c>
      <c r="L1912" s="22"/>
      <c r="M1912" s="25"/>
      <c r="N1912" s="25"/>
    </row>
    <row r="1913" ht="15.0" hidden="1" customHeight="1">
      <c r="A1913" s="20" t="str">
        <f t="shared" si="1"/>
        <v>RVR-FORTUNER15ASH</v>
      </c>
      <c r="B1913" s="24" t="s">
        <v>2359</v>
      </c>
      <c r="C1913" s="22" t="s">
        <v>2224</v>
      </c>
      <c r="D1913" s="25" t="str">
        <f t="shared" si="6"/>
        <v>RVR</v>
      </c>
      <c r="E1913" s="22" t="s">
        <v>82</v>
      </c>
      <c r="F1913" s="25"/>
      <c r="G1913" s="20"/>
      <c r="H1913" s="20">
        <f>SUMIFS(X!$F$5:$F$2005,X!$D$5:$D$2005,'CEK CICI'!A1913)</f>
        <v>2</v>
      </c>
      <c r="I1913" s="20">
        <f>SUMIFS(PENJUALAN!$E$4:$E$4288,PENJUALAN!$C$4:$C$4288,'CEK CICI'!A1913)</f>
        <v>1</v>
      </c>
      <c r="J1913" s="16">
        <f t="shared" si="2"/>
        <v>1</v>
      </c>
      <c r="K1913" s="22" t="s">
        <v>1470</v>
      </c>
      <c r="L1913" s="22"/>
      <c r="M1913" s="25"/>
      <c r="N1913" s="25"/>
    </row>
    <row r="1914" ht="15.0" hidden="1" customHeight="1">
      <c r="A1914" s="20" t="str">
        <f t="shared" si="1"/>
        <v>SWR-FORTUNER15ASH</v>
      </c>
      <c r="B1914" s="24" t="s">
        <v>2350</v>
      </c>
      <c r="C1914" s="22" t="s">
        <v>2224</v>
      </c>
      <c r="D1914" s="25" t="str">
        <f t="shared" si="6"/>
        <v>SWR</v>
      </c>
      <c r="E1914" s="22" t="s">
        <v>82</v>
      </c>
      <c r="F1914" s="25"/>
      <c r="G1914" s="20"/>
      <c r="H1914" s="20">
        <f>SUMIFS(X!$F$5:$F$2005,X!$D$5:$D$2005,'CEK CICI'!A1914)</f>
        <v>7</v>
      </c>
      <c r="I1914" s="20">
        <f>SUMIFS(PENJUALAN!$E$4:$E$4288,PENJUALAN!$C$4:$C$4288,'CEK CICI'!A1914)</f>
        <v>2</v>
      </c>
      <c r="J1914" s="16">
        <f t="shared" si="2"/>
        <v>5</v>
      </c>
      <c r="K1914" s="22" t="s">
        <v>1882</v>
      </c>
      <c r="L1914" s="22"/>
      <c r="M1914" s="25"/>
      <c r="N1914" s="25"/>
    </row>
    <row r="1915" ht="15.0" hidden="1" customHeight="1">
      <c r="A1915" s="4" t="str">
        <f t="shared" si="1"/>
        <v>SWL-FORTUNER15ASH</v>
      </c>
      <c r="B1915" s="32" t="s">
        <v>2288</v>
      </c>
      <c r="C1915" s="15" t="s">
        <v>2224</v>
      </c>
      <c r="D1915" s="18" t="str">
        <f t="shared" si="6"/>
        <v>SWL</v>
      </c>
      <c r="E1915" s="15" t="s">
        <v>82</v>
      </c>
      <c r="F1915" s="18"/>
      <c r="G1915" s="4"/>
      <c r="H1915" s="4">
        <f>SUMIFS(X!$F$5:$F$2005,X!$D$5:$D$2005,'CEK CICI'!A1915)</f>
        <v>7</v>
      </c>
      <c r="I1915" s="4">
        <f>SUMIFS(PENJUALAN!$E$4:$E$4288,PENJUALAN!$C$4:$C$4288,'CEK CICI'!A1915)</f>
        <v>6</v>
      </c>
      <c r="J1915" s="16">
        <f t="shared" si="2"/>
        <v>1</v>
      </c>
      <c r="K1915" s="15" t="s">
        <v>1882</v>
      </c>
      <c r="L1915" s="15"/>
      <c r="M1915" s="18"/>
      <c r="N1915" s="18"/>
    </row>
    <row r="1916" ht="15.0" hidden="1" customHeight="1">
      <c r="A1916" s="4" t="str">
        <f t="shared" si="1"/>
        <v>SWR-CRV07ASH</v>
      </c>
      <c r="B1916" s="32" t="s">
        <v>433</v>
      </c>
      <c r="C1916" s="15" t="s">
        <v>429</v>
      </c>
      <c r="D1916" s="18" t="str">
        <f t="shared" si="6"/>
        <v>SWR</v>
      </c>
      <c r="E1916" s="15" t="s">
        <v>82</v>
      </c>
      <c r="F1916" s="18"/>
      <c r="G1916" s="4"/>
      <c r="H1916" s="4">
        <f>SUMIFS(X!$F$5:$F$2005,X!$D$5:$D$2005,'CEK CICI'!A1916)</f>
        <v>1</v>
      </c>
      <c r="I1916" s="4">
        <f>SUMIFS(PENJUALAN!$E$4:$E$4288,PENJUALAN!$C$4:$C$4288,'CEK CICI'!A1916)</f>
        <v>0</v>
      </c>
      <c r="J1916" s="16">
        <f t="shared" si="2"/>
        <v>1</v>
      </c>
      <c r="K1916" s="15" t="s">
        <v>1470</v>
      </c>
      <c r="L1916" s="15"/>
      <c r="M1916" s="18"/>
      <c r="N1916" s="18"/>
    </row>
    <row r="1917" ht="15.0" hidden="1" customHeight="1">
      <c r="A1917" s="4" t="str">
        <f t="shared" si="1"/>
        <v>FDL-CRV12ASH</v>
      </c>
      <c r="B1917" s="32" t="s">
        <v>440</v>
      </c>
      <c r="C1917" s="15" t="s">
        <v>69</v>
      </c>
      <c r="D1917" s="18" t="str">
        <f t="shared" si="6"/>
        <v>FDL</v>
      </c>
      <c r="E1917" s="15" t="s">
        <v>82</v>
      </c>
      <c r="F1917" s="18"/>
      <c r="G1917" s="4"/>
      <c r="H1917" s="4">
        <f>SUMIFS(X!$F$5:$F$2005,X!$D$5:$D$2005,'CEK CICI'!A1917)</f>
        <v>1</v>
      </c>
      <c r="I1917" s="4">
        <f>SUMIFS(PENJUALAN!$E$4:$E$4288,PENJUALAN!$C$4:$C$4288,'CEK CICI'!A1917)</f>
        <v>0</v>
      </c>
      <c r="J1917" s="16">
        <f t="shared" si="2"/>
        <v>1</v>
      </c>
      <c r="K1917" s="15" t="s">
        <v>1428</v>
      </c>
      <c r="L1917" s="15"/>
      <c r="M1917" s="18"/>
      <c r="N1917" s="18"/>
    </row>
    <row r="1918" ht="15.0" hidden="1" customHeight="1">
      <c r="A1918" s="4" t="str">
        <f t="shared" si="1"/>
        <v>FDR-CRV12ASH</v>
      </c>
      <c r="B1918" s="32" t="s">
        <v>441</v>
      </c>
      <c r="C1918" s="15" t="s">
        <v>69</v>
      </c>
      <c r="D1918" s="18" t="str">
        <f t="shared" si="6"/>
        <v>FDR</v>
      </c>
      <c r="E1918" s="15" t="s">
        <v>82</v>
      </c>
      <c r="F1918" s="18"/>
      <c r="G1918" s="4"/>
      <c r="H1918" s="4">
        <f>SUMIFS(X!$F$5:$F$2005,X!$D$5:$D$2005,'CEK CICI'!A1918)</f>
        <v>1</v>
      </c>
      <c r="I1918" s="4">
        <f>SUMIFS(PENJUALAN!$E$4:$E$4288,PENJUALAN!$C$4:$C$4288,'CEK CICI'!A1918)</f>
        <v>0</v>
      </c>
      <c r="J1918" s="16">
        <f t="shared" si="2"/>
        <v>1</v>
      </c>
      <c r="K1918" s="15" t="s">
        <v>1428</v>
      </c>
      <c r="L1918" s="15"/>
      <c r="M1918" s="18"/>
      <c r="N1918" s="18"/>
    </row>
    <row r="1919" ht="15.0" hidden="1" customHeight="1">
      <c r="A1919" s="4" t="str">
        <f t="shared" si="1"/>
        <v>RDL-CRV12ASH</v>
      </c>
      <c r="B1919" s="32" t="s">
        <v>442</v>
      </c>
      <c r="C1919" s="15" t="s">
        <v>69</v>
      </c>
      <c r="D1919" s="18" t="str">
        <f t="shared" si="6"/>
        <v>RDL</v>
      </c>
      <c r="E1919" s="15" t="s">
        <v>82</v>
      </c>
      <c r="F1919" s="18"/>
      <c r="G1919" s="4"/>
      <c r="H1919" s="4">
        <f>SUMIFS(X!$F$5:$F$2005,X!$D$5:$D$2005,'CEK CICI'!A1919)</f>
        <v>1</v>
      </c>
      <c r="I1919" s="4">
        <f>SUMIFS(PENJUALAN!$E$4:$E$4288,PENJUALAN!$C$4:$C$4288,'CEK CICI'!A1919)</f>
        <v>0</v>
      </c>
      <c r="J1919" s="16">
        <f t="shared" si="2"/>
        <v>1</v>
      </c>
      <c r="K1919" s="15" t="s">
        <v>2067</v>
      </c>
      <c r="L1919" s="15"/>
      <c r="M1919" s="18"/>
      <c r="N1919" s="18"/>
    </row>
    <row r="1920" ht="15.0" hidden="1" customHeight="1">
      <c r="A1920" s="4" t="str">
        <f t="shared" si="1"/>
        <v>RDR-CRV12ASH</v>
      </c>
      <c r="B1920" s="32" t="s">
        <v>68</v>
      </c>
      <c r="C1920" s="15" t="s">
        <v>69</v>
      </c>
      <c r="D1920" s="18" t="str">
        <f t="shared" si="6"/>
        <v>RDR</v>
      </c>
      <c r="E1920" s="15" t="s">
        <v>82</v>
      </c>
      <c r="F1920" s="18"/>
      <c r="G1920" s="4"/>
      <c r="H1920" s="4">
        <f>SUMIFS(X!$F$5:$F$2005,X!$D$5:$D$2005,'CEK CICI'!A1920)</f>
        <v>1</v>
      </c>
      <c r="I1920" s="4">
        <f>SUMIFS(PENJUALAN!$E$4:$E$4288,PENJUALAN!$C$4:$C$4288,'CEK CICI'!A1920)</f>
        <v>1</v>
      </c>
      <c r="J1920" s="16">
        <f t="shared" si="2"/>
        <v>0</v>
      </c>
      <c r="K1920" s="15" t="s">
        <v>2067</v>
      </c>
      <c r="L1920" s="15"/>
      <c r="M1920" s="18"/>
      <c r="N1920" s="18"/>
    </row>
    <row r="1921" ht="15.0" hidden="1" customHeight="1">
      <c r="A1921" s="20" t="str">
        <f t="shared" si="1"/>
        <v>FDL-FREEDASH</v>
      </c>
      <c r="B1921" s="24" t="s">
        <v>1592</v>
      </c>
      <c r="C1921" s="22" t="s">
        <v>455</v>
      </c>
      <c r="D1921" s="25" t="str">
        <f t="shared" si="6"/>
        <v>FDL</v>
      </c>
      <c r="E1921" s="22" t="s">
        <v>82</v>
      </c>
      <c r="F1921" s="25"/>
      <c r="G1921" s="20"/>
      <c r="H1921" s="20">
        <f>SUMIFS(X!$F$5:$F$2005,X!$D$5:$D$2005,'CEK CICI'!A1921)</f>
        <v>2</v>
      </c>
      <c r="I1921" s="20">
        <f>SUMIFS(PENJUALAN!$E$4:$E$4288,PENJUALAN!$C$4:$C$4288,'CEK CICI'!A1921)</f>
        <v>2</v>
      </c>
      <c r="J1921" s="16">
        <f t="shared" si="2"/>
        <v>0</v>
      </c>
      <c r="K1921" s="22" t="s">
        <v>1428</v>
      </c>
      <c r="L1921" s="22"/>
      <c r="M1921" s="25"/>
      <c r="N1921" s="25"/>
    </row>
    <row r="1922" ht="15.0" hidden="1" customHeight="1">
      <c r="A1922" s="4" t="str">
        <f t="shared" si="1"/>
        <v>RDL-FREEDASH</v>
      </c>
      <c r="B1922" s="32" t="s">
        <v>2291</v>
      </c>
      <c r="C1922" s="15" t="s">
        <v>455</v>
      </c>
      <c r="D1922" s="18" t="str">
        <f t="shared" si="6"/>
        <v>RDL</v>
      </c>
      <c r="E1922" s="15" t="s">
        <v>82</v>
      </c>
      <c r="F1922" s="18"/>
      <c r="G1922" s="4"/>
      <c r="H1922" s="4">
        <f>SUMIFS(X!$F$5:$F$2005,X!$D$5:$D$2005,'CEK CICI'!A1922)</f>
        <v>0</v>
      </c>
      <c r="I1922" s="4">
        <f>SUMIFS(PENJUALAN!$E$4:$E$4288,PENJUALAN!$C$4:$C$4288,'CEK CICI'!A1922)</f>
        <v>0</v>
      </c>
      <c r="J1922" s="16">
        <f t="shared" si="2"/>
        <v>0</v>
      </c>
      <c r="K1922" s="18"/>
      <c r="L1922" s="18"/>
      <c r="M1922" s="18"/>
      <c r="N1922" s="18"/>
    </row>
    <row r="1923" ht="15.0" hidden="1" customHeight="1">
      <c r="A1923" s="4" t="str">
        <f t="shared" si="1"/>
        <v>RDR-FREEDASH</v>
      </c>
      <c r="B1923" s="32" t="s">
        <v>2292</v>
      </c>
      <c r="C1923" s="15" t="s">
        <v>455</v>
      </c>
      <c r="D1923" s="18" t="str">
        <f t="shared" si="6"/>
        <v>RDR</v>
      </c>
      <c r="E1923" s="15" t="s">
        <v>82</v>
      </c>
      <c r="F1923" s="18"/>
      <c r="G1923" s="4"/>
      <c r="H1923" s="4">
        <f>SUMIFS(X!$F$5:$F$2005,X!$D$5:$D$2005,'CEK CICI'!A1923)</f>
        <v>1</v>
      </c>
      <c r="I1923" s="4">
        <f>SUMIFS(PENJUALAN!$E$4:$E$4288,PENJUALAN!$C$4:$C$4288,'CEK CICI'!A1923)</f>
        <v>0</v>
      </c>
      <c r="J1923" s="16">
        <f t="shared" si="2"/>
        <v>1</v>
      </c>
      <c r="K1923" s="15" t="s">
        <v>2067</v>
      </c>
      <c r="L1923" s="15"/>
      <c r="M1923" s="18"/>
      <c r="N1923" s="18"/>
    </row>
    <row r="1924" ht="15.0" hidden="1" customHeight="1">
      <c r="A1924" s="4" t="str">
        <f t="shared" si="1"/>
        <v>SWR-FREEDASH</v>
      </c>
      <c r="B1924" s="32" t="s">
        <v>458</v>
      </c>
      <c r="C1924" s="15" t="s">
        <v>455</v>
      </c>
      <c r="D1924" s="18" t="str">
        <f t="shared" si="6"/>
        <v>SWR</v>
      </c>
      <c r="E1924" s="15" t="s">
        <v>82</v>
      </c>
      <c r="F1924" s="18"/>
      <c r="G1924" s="4"/>
      <c r="H1924" s="4">
        <f>SUMIFS(X!$F$5:$F$2005,X!$D$5:$D$2005,'CEK CICI'!A1924)</f>
        <v>0</v>
      </c>
      <c r="I1924" s="4">
        <f>SUMIFS(PENJUALAN!$E$4:$E$4288,PENJUALAN!$C$4:$C$4288,'CEK CICI'!A1924)</f>
        <v>0</v>
      </c>
      <c r="J1924" s="16">
        <f t="shared" si="2"/>
        <v>0</v>
      </c>
      <c r="K1924" s="18"/>
      <c r="L1924" s="18"/>
      <c r="M1924" s="18"/>
      <c r="N1924" s="18"/>
    </row>
    <row r="1925" ht="15.0" hidden="1" customHeight="1">
      <c r="A1925" s="4" t="str">
        <f t="shared" si="1"/>
        <v>FVL-JAZZ01ASH</v>
      </c>
      <c r="B1925" s="32" t="s">
        <v>467</v>
      </c>
      <c r="C1925" s="15" t="s">
        <v>463</v>
      </c>
      <c r="D1925" s="18" t="str">
        <f t="shared" si="6"/>
        <v>FVL</v>
      </c>
      <c r="E1925" s="15" t="s">
        <v>82</v>
      </c>
      <c r="F1925" s="18"/>
      <c r="G1925" s="4"/>
      <c r="H1925" s="4">
        <f>SUMIFS(X!$F$5:$F$2005,X!$D$5:$D$2005,'CEK CICI'!A1925)</f>
        <v>1</v>
      </c>
      <c r="I1925" s="4">
        <f>SUMIFS(PENJUALAN!$E$4:$E$4288,PENJUALAN!$C$4:$C$4288,'CEK CICI'!A1925)</f>
        <v>0</v>
      </c>
      <c r="J1925" s="16">
        <f t="shared" si="2"/>
        <v>1</v>
      </c>
      <c r="K1925" s="15" t="s">
        <v>1470</v>
      </c>
      <c r="L1925" s="15"/>
      <c r="M1925" s="18"/>
      <c r="N1925" s="18"/>
    </row>
    <row r="1926" ht="15.0" hidden="1" customHeight="1">
      <c r="A1926" s="4" t="str">
        <f t="shared" si="1"/>
        <v>FVR-JAZZ01ASH</v>
      </c>
      <c r="B1926" s="32" t="s">
        <v>2293</v>
      </c>
      <c r="C1926" s="15" t="s">
        <v>463</v>
      </c>
      <c r="D1926" s="18" t="str">
        <f t="shared" si="6"/>
        <v>FVR</v>
      </c>
      <c r="E1926" s="15" t="s">
        <v>82</v>
      </c>
      <c r="F1926" s="18"/>
      <c r="G1926" s="4"/>
      <c r="H1926" s="4">
        <f>SUMIFS(X!$F$5:$F$2005,X!$D$5:$D$2005,'CEK CICI'!A1926)</f>
        <v>1</v>
      </c>
      <c r="I1926" s="4">
        <f>SUMIFS(PENJUALAN!$E$4:$E$4288,PENJUALAN!$C$4:$C$4288,'CEK CICI'!A1926)</f>
        <v>0</v>
      </c>
      <c r="J1926" s="16">
        <f t="shared" si="2"/>
        <v>1</v>
      </c>
      <c r="K1926" s="15" t="s">
        <v>1470</v>
      </c>
      <c r="L1926" s="15"/>
      <c r="M1926" s="18"/>
      <c r="N1926" s="18"/>
    </row>
    <row r="1927" ht="15.0" hidden="1" customHeight="1">
      <c r="A1927" s="4" t="str">
        <f t="shared" si="1"/>
        <v>FDR-JAZZ01ASH</v>
      </c>
      <c r="B1927" s="32" t="s">
        <v>1427</v>
      </c>
      <c r="C1927" s="15" t="s">
        <v>463</v>
      </c>
      <c r="D1927" s="18" t="str">
        <f t="shared" si="6"/>
        <v>FDR</v>
      </c>
      <c r="E1927" s="15" t="s">
        <v>82</v>
      </c>
      <c r="F1927" s="18"/>
      <c r="G1927" s="4"/>
      <c r="H1927" s="4">
        <f>SUMIFS(X!$F$5:$F$2005,X!$D$5:$D$2005,'CEK CICI'!A1927)</f>
        <v>6</v>
      </c>
      <c r="I1927" s="4">
        <f>SUMIFS(PENJUALAN!$E$4:$E$4288,PENJUALAN!$C$4:$C$4288,'CEK CICI'!A1927)</f>
        <v>1</v>
      </c>
      <c r="J1927" s="16">
        <f t="shared" si="2"/>
        <v>5</v>
      </c>
      <c r="K1927" s="15" t="s">
        <v>1428</v>
      </c>
      <c r="L1927" s="15"/>
      <c r="M1927" s="18"/>
      <c r="N1927" s="18"/>
    </row>
    <row r="1928" ht="15.0" hidden="1" customHeight="1">
      <c r="A1928" s="4" t="str">
        <f t="shared" si="1"/>
        <v>FVL-JAZZ07ASH</v>
      </c>
      <c r="B1928" s="32" t="s">
        <v>2294</v>
      </c>
      <c r="C1928" s="15" t="s">
        <v>470</v>
      </c>
      <c r="D1928" s="18" t="str">
        <f t="shared" si="6"/>
        <v>FVL</v>
      </c>
      <c r="E1928" s="15" t="s">
        <v>82</v>
      </c>
      <c r="F1928" s="18"/>
      <c r="G1928" s="4"/>
      <c r="H1928" s="4">
        <f>SUMIFS(X!$F$5:$F$2005,X!$D$5:$D$2005,'CEK CICI'!A1928)</f>
        <v>1</v>
      </c>
      <c r="I1928" s="4">
        <f>SUMIFS(PENJUALAN!$E$4:$E$4288,PENJUALAN!$C$4:$C$4288,'CEK CICI'!A1928)</f>
        <v>0</v>
      </c>
      <c r="J1928" s="16">
        <f t="shared" si="2"/>
        <v>1</v>
      </c>
      <c r="K1928" s="15" t="s">
        <v>1470</v>
      </c>
      <c r="L1928" s="15"/>
      <c r="M1928" s="18"/>
      <c r="N1928" s="18"/>
    </row>
    <row r="1929" ht="15.0" hidden="1" customHeight="1">
      <c r="A1929" s="4" t="str">
        <f t="shared" si="1"/>
        <v>RDR-JAZZ07ASH</v>
      </c>
      <c r="B1929" s="32" t="s">
        <v>2295</v>
      </c>
      <c r="C1929" s="15" t="s">
        <v>470</v>
      </c>
      <c r="D1929" s="18" t="str">
        <f t="shared" si="6"/>
        <v>RDR</v>
      </c>
      <c r="E1929" s="15" t="s">
        <v>82</v>
      </c>
      <c r="F1929" s="18"/>
      <c r="G1929" s="4"/>
      <c r="H1929" s="4">
        <f>SUMIFS(X!$F$5:$F$2005,X!$D$5:$D$2005,'CEK CICI'!A1929)</f>
        <v>1</v>
      </c>
      <c r="I1929" s="4">
        <f>SUMIFS(PENJUALAN!$E$4:$E$4288,PENJUALAN!$C$4:$C$4288,'CEK CICI'!A1929)</f>
        <v>0</v>
      </c>
      <c r="J1929" s="16">
        <f t="shared" si="2"/>
        <v>1</v>
      </c>
      <c r="K1929" s="15" t="s">
        <v>2067</v>
      </c>
      <c r="L1929" s="15"/>
      <c r="M1929" s="18"/>
      <c r="N1929" s="18"/>
    </row>
    <row r="1930" ht="15.0" hidden="1" customHeight="1">
      <c r="A1930" s="4" t="str">
        <f t="shared" si="1"/>
        <v>FDL-JAZZ13ASH</v>
      </c>
      <c r="B1930" s="32" t="s">
        <v>2296</v>
      </c>
      <c r="C1930" s="78" t="s">
        <v>2262</v>
      </c>
      <c r="D1930" s="18" t="str">
        <f t="shared" si="6"/>
        <v>FDL</v>
      </c>
      <c r="E1930" s="15" t="s">
        <v>82</v>
      </c>
      <c r="F1930" s="18"/>
      <c r="G1930" s="4"/>
      <c r="H1930" s="4">
        <f>SUMIFS(X!$F$5:$F$2005,X!$D$5:$D$2005,'CEK CICI'!A1930)</f>
        <v>1</v>
      </c>
      <c r="I1930" s="4">
        <f>SUMIFS(PENJUALAN!$E$4:$E$4288,PENJUALAN!$C$4:$C$4288,'CEK CICI'!A1930)</f>
        <v>0</v>
      </c>
      <c r="J1930" s="16">
        <f t="shared" si="2"/>
        <v>1</v>
      </c>
      <c r="K1930" s="15" t="s">
        <v>1428</v>
      </c>
      <c r="L1930" s="15"/>
      <c r="M1930" s="18"/>
      <c r="N1930" s="18"/>
    </row>
    <row r="1931" ht="15.0" hidden="1" customHeight="1">
      <c r="A1931" s="4" t="str">
        <f t="shared" si="1"/>
        <v>FDL-RUSH17ASH</v>
      </c>
      <c r="B1931" s="32" t="s">
        <v>2477</v>
      </c>
      <c r="C1931" s="15" t="s">
        <v>1713</v>
      </c>
      <c r="D1931" s="18" t="str">
        <f t="shared" si="6"/>
        <v>FDL</v>
      </c>
      <c r="E1931" s="15" t="s">
        <v>82</v>
      </c>
      <c r="F1931" s="18"/>
      <c r="G1931" s="4"/>
      <c r="H1931" s="4">
        <f>SUMIFS(X!$F$5:$F$2005,X!$D$5:$D$2005,'CEK CICI'!A1931)</f>
        <v>6</v>
      </c>
      <c r="I1931" s="4">
        <f>SUMIFS(PENJUALAN!$E$4:$E$4288,PENJUALAN!$C$4:$C$4288,'CEK CICI'!A1931)</f>
        <v>1</v>
      </c>
      <c r="J1931" s="16">
        <f t="shared" si="2"/>
        <v>5</v>
      </c>
      <c r="K1931" s="15" t="s">
        <v>1882</v>
      </c>
      <c r="L1931" s="15"/>
      <c r="M1931" s="18"/>
      <c r="N1931" s="18"/>
    </row>
    <row r="1932" ht="15.0" hidden="1" customHeight="1">
      <c r="A1932" s="20" t="str">
        <f t="shared" si="1"/>
        <v>RDL-RUSH17ASH</v>
      </c>
      <c r="B1932" s="24" t="s">
        <v>2360</v>
      </c>
      <c r="C1932" s="22" t="s">
        <v>1713</v>
      </c>
      <c r="D1932" s="25" t="str">
        <f t="shared" si="6"/>
        <v>RDL</v>
      </c>
      <c r="E1932" s="22" t="s">
        <v>82</v>
      </c>
      <c r="F1932" s="25"/>
      <c r="G1932" s="20"/>
      <c r="H1932" s="20">
        <f>SUMIFS(X!$F$5:$F$2005,X!$D$5:$D$2005,'CEK CICI'!A1932)</f>
        <v>2</v>
      </c>
      <c r="I1932" s="20">
        <f>SUMIFS(PENJUALAN!$E$4:$E$4288,PENJUALAN!$C$4:$C$4288,'CEK CICI'!A1932)</f>
        <v>1</v>
      </c>
      <c r="J1932" s="16">
        <f t="shared" si="2"/>
        <v>1</v>
      </c>
      <c r="K1932" s="22" t="s">
        <v>1882</v>
      </c>
      <c r="L1932" s="22"/>
      <c r="M1932" s="25"/>
      <c r="N1932" s="25"/>
    </row>
    <row r="1933" ht="15.0" hidden="1" customHeight="1">
      <c r="A1933" s="20" t="str">
        <f t="shared" si="1"/>
        <v>RDR-RUSH17ASH</v>
      </c>
      <c r="B1933" s="24" t="s">
        <v>1712</v>
      </c>
      <c r="C1933" s="22" t="s">
        <v>1713</v>
      </c>
      <c r="D1933" s="25" t="str">
        <f t="shared" si="6"/>
        <v>RDR</v>
      </c>
      <c r="E1933" s="22" t="s">
        <v>82</v>
      </c>
      <c r="F1933" s="25"/>
      <c r="G1933" s="20"/>
      <c r="H1933" s="20">
        <f>SUMIFS(X!$F$5:$F$2005,X!$D$5:$D$2005,'CEK CICI'!A1933)</f>
        <v>3</v>
      </c>
      <c r="I1933" s="20">
        <f>SUMIFS(PENJUALAN!$E$4:$E$4288,PENJUALAN!$C$4:$C$4288,'CEK CICI'!A1933)</f>
        <v>2</v>
      </c>
      <c r="J1933" s="16">
        <f t="shared" si="2"/>
        <v>1</v>
      </c>
      <c r="K1933" s="22" t="s">
        <v>1882</v>
      </c>
      <c r="L1933" s="22"/>
      <c r="M1933" s="25"/>
      <c r="N1933" s="25"/>
    </row>
    <row r="1934" ht="15.0" hidden="1" customHeight="1">
      <c r="A1934" s="4" t="str">
        <f t="shared" si="1"/>
        <v>RDL-TERIOS06ASH</v>
      </c>
      <c r="B1934" s="32" t="s">
        <v>2361</v>
      </c>
      <c r="C1934" s="15" t="s">
        <v>1244</v>
      </c>
      <c r="D1934" s="18" t="str">
        <f t="shared" si="6"/>
        <v>RDL</v>
      </c>
      <c r="E1934" s="15" t="s">
        <v>82</v>
      </c>
      <c r="F1934" s="18"/>
      <c r="G1934" s="4"/>
      <c r="H1934" s="4">
        <f>SUMIFS(X!$F$5:$F$2005,X!$D$5:$D$2005,'CEK CICI'!A1934)</f>
        <v>2</v>
      </c>
      <c r="I1934" s="4">
        <f>SUMIFS(PENJUALAN!$E$4:$E$4288,PENJUALAN!$C$4:$C$4288,'CEK CICI'!A1934)</f>
        <v>1</v>
      </c>
      <c r="J1934" s="16">
        <f t="shared" si="2"/>
        <v>1</v>
      </c>
      <c r="K1934" s="15" t="s">
        <v>1882</v>
      </c>
      <c r="L1934" s="15"/>
      <c r="M1934" s="18"/>
      <c r="N1934" s="18"/>
    </row>
    <row r="1935" ht="15.0" hidden="1" customHeight="1">
      <c r="A1935" s="4" t="str">
        <f t="shared" si="1"/>
        <v>RDR-TERIOS06ASH</v>
      </c>
      <c r="B1935" s="32" t="s">
        <v>2302</v>
      </c>
      <c r="C1935" s="15" t="s">
        <v>1244</v>
      </c>
      <c r="D1935" s="18" t="str">
        <f t="shared" si="6"/>
        <v>RDR</v>
      </c>
      <c r="E1935" s="15" t="s">
        <v>82</v>
      </c>
      <c r="F1935" s="18"/>
      <c r="G1935" s="4"/>
      <c r="H1935" s="4">
        <f>SUMIFS(X!$F$5:$F$2005,X!$D$5:$D$2005,'CEK CICI'!A1935)</f>
        <v>1</v>
      </c>
      <c r="I1935" s="4">
        <f>SUMIFS(PENJUALAN!$E$4:$E$4288,PENJUALAN!$C$4:$C$4288,'CEK CICI'!A1935)</f>
        <v>1</v>
      </c>
      <c r="J1935" s="16">
        <f t="shared" si="2"/>
        <v>0</v>
      </c>
      <c r="K1935" s="15" t="s">
        <v>1882</v>
      </c>
      <c r="L1935" s="15"/>
      <c r="M1935" s="18"/>
      <c r="N1935" s="18"/>
    </row>
    <row r="1936" ht="15.0" hidden="1" customHeight="1">
      <c r="A1936" s="4" t="str">
        <f t="shared" si="1"/>
        <v>FDL-RAIZEASH</v>
      </c>
      <c r="B1936" s="32" t="s">
        <v>2303</v>
      </c>
      <c r="C1936" s="15" t="s">
        <v>2304</v>
      </c>
      <c r="D1936" s="18" t="str">
        <f t="shared" si="6"/>
        <v>FDL</v>
      </c>
      <c r="E1936" s="15" t="s">
        <v>82</v>
      </c>
      <c r="F1936" s="18"/>
      <c r="G1936" s="4"/>
      <c r="H1936" s="4">
        <f>SUMIFS(X!$F$5:$F$2005,X!$D$5:$D$2005,'CEK CICI'!A1936)</f>
        <v>1</v>
      </c>
      <c r="I1936" s="4">
        <f>SUMIFS(PENJUALAN!$E$4:$E$4288,PENJUALAN!$C$4:$C$4288,'CEK CICI'!A1936)</f>
        <v>0</v>
      </c>
      <c r="J1936" s="16">
        <f t="shared" si="2"/>
        <v>1</v>
      </c>
      <c r="K1936" s="15" t="s">
        <v>719</v>
      </c>
      <c r="L1936" s="15"/>
      <c r="M1936" s="18"/>
      <c r="N1936" s="18"/>
    </row>
    <row r="1937" ht="15.0" hidden="1" customHeight="1">
      <c r="A1937" s="4" t="str">
        <f t="shared" si="1"/>
        <v>TRW-KAPSUL97ASH</v>
      </c>
      <c r="B1937" s="32" t="s">
        <v>2305</v>
      </c>
      <c r="C1937" s="15" t="s">
        <v>2306</v>
      </c>
      <c r="D1937" s="18" t="str">
        <f t="shared" si="6"/>
        <v>TRW</v>
      </c>
      <c r="E1937" s="15" t="s">
        <v>82</v>
      </c>
      <c r="F1937" s="18"/>
      <c r="G1937" s="4"/>
      <c r="H1937" s="4">
        <f>SUMIFS(X!$F$5:$F$2005,X!$D$5:$D$2005,'CEK CICI'!A1937)</f>
        <v>1</v>
      </c>
      <c r="I1937" s="4">
        <f>SUMIFS(PENJUALAN!$E$4:$E$4288,PENJUALAN!$C$4:$C$4288,'CEK CICI'!A1937)</f>
        <v>0</v>
      </c>
      <c r="J1937" s="16">
        <f t="shared" si="2"/>
        <v>1</v>
      </c>
      <c r="K1937" s="15" t="s">
        <v>1616</v>
      </c>
      <c r="L1937" s="15"/>
      <c r="M1937" s="18"/>
      <c r="N1937" s="18"/>
    </row>
    <row r="1938" ht="15.0" customHeight="1">
      <c r="A1938" s="20" t="str">
        <f t="shared" si="1"/>
        <v>TRW-KAPSUL02ASH</v>
      </c>
      <c r="B1938" s="24" t="s">
        <v>2307</v>
      </c>
      <c r="C1938" s="22" t="s">
        <v>2308</v>
      </c>
      <c r="D1938" s="22" t="s">
        <v>41</v>
      </c>
      <c r="E1938" s="22" t="s">
        <v>82</v>
      </c>
      <c r="F1938" s="22" t="s">
        <v>97</v>
      </c>
      <c r="G1938" s="22">
        <v>5.0</v>
      </c>
      <c r="H1938" s="20">
        <f>SUMIFS(X!$F$5:$F$2005,X!$D$5:$D$2005,'CEK CICI'!A1938)</f>
        <v>15</v>
      </c>
      <c r="I1938" s="20">
        <f>SUMIFS(PENJUALAN!$E$4:$E$4288,PENJUALAN!$C$4:$C$4288,'CEK CICI'!A1938)</f>
        <v>10</v>
      </c>
      <c r="J1938" s="16">
        <f t="shared" si="2"/>
        <v>5</v>
      </c>
      <c r="K1938" s="22" t="s">
        <v>1499</v>
      </c>
      <c r="L1938" s="22"/>
      <c r="M1938" s="25"/>
      <c r="N1938" s="25"/>
    </row>
    <row r="1939" ht="15.0" hidden="1" customHeight="1">
      <c r="A1939" s="4" t="str">
        <f t="shared" si="1"/>
        <v>FDR-KAPSUL97ASH</v>
      </c>
      <c r="B1939" s="32" t="s">
        <v>2309</v>
      </c>
      <c r="C1939" s="15" t="s">
        <v>2306</v>
      </c>
      <c r="D1939" s="18" t="str">
        <f t="shared" ref="D1939:D1947" si="7">LEFT(A1939,FIND("-",A1939) - 1)</f>
        <v>FDR</v>
      </c>
      <c r="E1939" s="15" t="s">
        <v>82</v>
      </c>
      <c r="F1939" s="18"/>
      <c r="G1939" s="4"/>
      <c r="H1939" s="4">
        <f>SUMIFS(X!$F$5:$F$2005,X!$D$5:$D$2005,'CEK CICI'!A1939)</f>
        <v>1</v>
      </c>
      <c r="I1939" s="4">
        <f>SUMIFS(PENJUALAN!$E$4:$E$4288,PENJUALAN!$C$4:$C$4288,'CEK CICI'!A1939)</f>
        <v>0</v>
      </c>
      <c r="J1939" s="16">
        <f t="shared" si="2"/>
        <v>1</v>
      </c>
      <c r="K1939" s="15" t="s">
        <v>719</v>
      </c>
      <c r="L1939" s="15"/>
      <c r="M1939" s="18"/>
      <c r="N1939" s="18"/>
    </row>
    <row r="1940" ht="15.0" hidden="1" customHeight="1">
      <c r="A1940" s="4" t="str">
        <f t="shared" si="1"/>
        <v>RVR-KAPSUL97ASH</v>
      </c>
      <c r="B1940" s="32" t="s">
        <v>2310</v>
      </c>
      <c r="C1940" s="15" t="s">
        <v>2306</v>
      </c>
      <c r="D1940" s="18" t="str">
        <f t="shared" si="7"/>
        <v>RVR</v>
      </c>
      <c r="E1940" s="15" t="s">
        <v>82</v>
      </c>
      <c r="F1940" s="18"/>
      <c r="G1940" s="4"/>
      <c r="H1940" s="4">
        <f>SUMIFS(X!$F$5:$F$2005,X!$D$5:$D$2005,'CEK CICI'!A1940)</f>
        <v>1</v>
      </c>
      <c r="I1940" s="4">
        <f>SUMIFS(PENJUALAN!$E$4:$E$4288,PENJUALAN!$C$4:$C$4288,'CEK CICI'!A1940)</f>
        <v>0</v>
      </c>
      <c r="J1940" s="16">
        <f t="shared" si="2"/>
        <v>1</v>
      </c>
      <c r="K1940" s="15" t="s">
        <v>1470</v>
      </c>
      <c r="L1940" s="15"/>
      <c r="M1940" s="18"/>
      <c r="N1940" s="18"/>
    </row>
    <row r="1941" ht="15.0" hidden="1" customHeight="1">
      <c r="A1941" s="4" t="str">
        <f t="shared" si="1"/>
        <v>SWR-KAPSUL02LONGASH</v>
      </c>
      <c r="B1941" s="32" t="s">
        <v>716</v>
      </c>
      <c r="C1941" s="15" t="s">
        <v>717</v>
      </c>
      <c r="D1941" s="18" t="str">
        <f t="shared" si="7"/>
        <v>SWR</v>
      </c>
      <c r="E1941" s="15" t="s">
        <v>82</v>
      </c>
      <c r="F1941" s="15" t="s">
        <v>718</v>
      </c>
      <c r="G1941" s="4"/>
      <c r="H1941" s="4">
        <f>SUMIFS(X!$F$5:$F$2005,X!$D$5:$D$2005,'CEK CICI'!A1941)</f>
        <v>6</v>
      </c>
      <c r="I1941" s="4">
        <f>SUMIFS(PENJUALAN!$E$4:$E$4288,PENJUALAN!$C$4:$C$4288,'CEK CICI'!A1941)</f>
        <v>3</v>
      </c>
      <c r="J1941" s="16">
        <f t="shared" si="2"/>
        <v>3</v>
      </c>
      <c r="K1941" s="15" t="s">
        <v>719</v>
      </c>
      <c r="L1941" s="15"/>
      <c r="M1941" s="18"/>
      <c r="N1941" s="18"/>
    </row>
    <row r="1942" ht="15.0" hidden="1" customHeight="1">
      <c r="A1942" s="4" t="str">
        <f t="shared" si="1"/>
        <v>TGA-KIJANGK125ASH</v>
      </c>
      <c r="B1942" s="32" t="s">
        <v>2311</v>
      </c>
      <c r="C1942" s="15" t="s">
        <v>2079</v>
      </c>
      <c r="D1942" s="18" t="str">
        <f t="shared" si="7"/>
        <v>TGA</v>
      </c>
      <c r="E1942" s="15" t="s">
        <v>82</v>
      </c>
      <c r="F1942" s="18"/>
      <c r="G1942" s="4"/>
      <c r="H1942" s="4">
        <f>SUMIFS(X!$F$5:$F$2005,X!$D$5:$D$2005,'CEK CICI'!A1942)</f>
        <v>1</v>
      </c>
      <c r="I1942" s="4">
        <f>SUMIFS(PENJUALAN!$E$4:$E$4288,PENJUALAN!$C$4:$C$4288,'CEK CICI'!A1942)</f>
        <v>0</v>
      </c>
      <c r="J1942" s="16">
        <f t="shared" si="2"/>
        <v>1</v>
      </c>
      <c r="K1942" s="15" t="s">
        <v>1473</v>
      </c>
      <c r="L1942" s="15"/>
      <c r="M1942" s="18"/>
      <c r="N1942" s="18"/>
    </row>
    <row r="1943" ht="15.0" hidden="1" customHeight="1">
      <c r="A1943" s="4" t="str">
        <f t="shared" si="1"/>
        <v>TRW-KIJANGK125PUASH</v>
      </c>
      <c r="B1943" s="32" t="s">
        <v>1353</v>
      </c>
      <c r="C1943" s="15" t="s">
        <v>1354</v>
      </c>
      <c r="D1943" s="18" t="str">
        <f t="shared" si="7"/>
        <v>TRW</v>
      </c>
      <c r="E1943" s="15" t="s">
        <v>82</v>
      </c>
      <c r="F1943" s="18"/>
      <c r="G1943" s="4"/>
      <c r="H1943" s="4">
        <f>SUMIFS(X!$F$5:$F$2005,X!$D$5:$D$2005,'CEK CICI'!A1943)</f>
        <v>1</v>
      </c>
      <c r="I1943" s="4">
        <f>SUMIFS(PENJUALAN!$E$4:$E$4288,PENJUALAN!$C$4:$C$4288,'CEK CICI'!A1943)</f>
        <v>1</v>
      </c>
      <c r="J1943" s="16">
        <f t="shared" si="2"/>
        <v>0</v>
      </c>
      <c r="K1943" s="15" t="s">
        <v>1355</v>
      </c>
      <c r="L1943" s="15"/>
      <c r="M1943" s="18"/>
      <c r="N1943" s="18"/>
    </row>
    <row r="1944" ht="15.0" hidden="1" customHeight="1">
      <c r="A1944" s="20" t="str">
        <f t="shared" si="1"/>
        <v>FDL-L300ASH</v>
      </c>
      <c r="B1944" s="24" t="s">
        <v>1386</v>
      </c>
      <c r="C1944" s="22" t="s">
        <v>1319</v>
      </c>
      <c r="D1944" s="25" t="str">
        <f t="shared" si="7"/>
        <v>FDL</v>
      </c>
      <c r="E1944" s="22" t="s">
        <v>82</v>
      </c>
      <c r="F1944" s="25"/>
      <c r="G1944" s="20"/>
      <c r="H1944" s="20">
        <f>SUMIFS(X!$F$5:$F$2005,X!$D$5:$D$2005,'CEK CICI'!A1944)</f>
        <v>2</v>
      </c>
      <c r="I1944" s="20">
        <f>SUMIFS(PENJUALAN!$E$4:$E$4288,PENJUALAN!$C$4:$C$4288,'CEK CICI'!A1944)</f>
        <v>1</v>
      </c>
      <c r="J1944" s="16">
        <f t="shared" si="2"/>
        <v>1</v>
      </c>
      <c r="K1944" s="22" t="s">
        <v>832</v>
      </c>
      <c r="L1944" s="22"/>
      <c r="M1944" s="25"/>
      <c r="N1944" s="25"/>
    </row>
    <row r="1945" ht="15.0" hidden="1" customHeight="1">
      <c r="A1945" s="4" t="str">
        <f t="shared" si="1"/>
        <v>FDR-L300ASH</v>
      </c>
      <c r="B1945" s="32" t="s">
        <v>2313</v>
      </c>
      <c r="C1945" s="15" t="s">
        <v>1319</v>
      </c>
      <c r="D1945" s="18" t="str">
        <f t="shared" si="7"/>
        <v>FDR</v>
      </c>
      <c r="E1945" s="15" t="s">
        <v>82</v>
      </c>
      <c r="F1945" s="18"/>
      <c r="G1945" s="4"/>
      <c r="H1945" s="4">
        <f>SUMIFS(X!$F$5:$F$2005,X!$D$5:$D$2005,'CEK CICI'!A1945)</f>
        <v>7</v>
      </c>
      <c r="I1945" s="4">
        <f>SUMIFS(PENJUALAN!$E$4:$E$4288,PENJUALAN!$C$4:$C$4288,'CEK CICI'!A1945)</f>
        <v>2</v>
      </c>
      <c r="J1945" s="16">
        <f t="shared" si="2"/>
        <v>5</v>
      </c>
      <c r="K1945" s="15" t="s">
        <v>832</v>
      </c>
      <c r="L1945" s="15"/>
      <c r="M1945" s="18"/>
      <c r="N1945" s="18"/>
    </row>
    <row r="1946" ht="15.0" hidden="1" customHeight="1">
      <c r="A1946" s="4" t="str">
        <f t="shared" si="1"/>
        <v>TRW-L300PUASH</v>
      </c>
      <c r="B1946" s="32" t="s">
        <v>2314</v>
      </c>
      <c r="C1946" s="15" t="s">
        <v>2315</v>
      </c>
      <c r="D1946" s="18" t="str">
        <f t="shared" si="7"/>
        <v>TRW</v>
      </c>
      <c r="E1946" s="15" t="s">
        <v>82</v>
      </c>
      <c r="F1946" s="18"/>
      <c r="G1946" s="4"/>
      <c r="H1946" s="4">
        <f>SUMIFS(X!$F$5:$F$2005,X!$D$5:$D$2005,'CEK CICI'!A1946)</f>
        <v>1</v>
      </c>
      <c r="I1946" s="4">
        <f>SUMIFS(PENJUALAN!$E$4:$E$4288,PENJUALAN!$C$4:$C$4288,'CEK CICI'!A1946)</f>
        <v>0</v>
      </c>
      <c r="J1946" s="16">
        <f t="shared" si="2"/>
        <v>1</v>
      </c>
      <c r="K1946" s="15" t="s">
        <v>1355</v>
      </c>
      <c r="L1946" s="15"/>
      <c r="M1946" s="18"/>
      <c r="N1946" s="18"/>
    </row>
    <row r="1947" ht="15.0" hidden="1" customHeight="1">
      <c r="A1947" s="4" t="str">
        <f t="shared" si="1"/>
        <v>RVL-INNOVA04ASH</v>
      </c>
      <c r="B1947" s="32" t="s">
        <v>1163</v>
      </c>
      <c r="C1947" s="15" t="s">
        <v>1160</v>
      </c>
      <c r="D1947" s="18" t="str">
        <f t="shared" si="7"/>
        <v>RVL</v>
      </c>
      <c r="E1947" s="15" t="s">
        <v>82</v>
      </c>
      <c r="F1947" s="18"/>
      <c r="G1947" s="4"/>
      <c r="H1947" s="4">
        <f>SUMIFS(X!$F$5:$F$2005,X!$D$5:$D$2005,'CEK CICI'!A1947)</f>
        <v>1</v>
      </c>
      <c r="I1947" s="4">
        <f>SUMIFS(PENJUALAN!$E$4:$E$4288,PENJUALAN!$C$4:$C$4288,'CEK CICI'!A1947)</f>
        <v>0</v>
      </c>
      <c r="J1947" s="16">
        <f t="shared" si="2"/>
        <v>1</v>
      </c>
      <c r="K1947" s="15" t="s">
        <v>1470</v>
      </c>
      <c r="L1947" s="15"/>
      <c r="M1947" s="18"/>
      <c r="N1947" s="18"/>
    </row>
    <row r="1948" ht="15.0" hidden="1" customHeight="1">
      <c r="A1948" s="20" t="str">
        <f t="shared" si="1"/>
        <v>RVR-INNOVA04ASH</v>
      </c>
      <c r="B1948" s="24" t="s">
        <v>1164</v>
      </c>
      <c r="C1948" s="22" t="s">
        <v>1160</v>
      </c>
      <c r="D1948" s="22" t="s">
        <v>1469</v>
      </c>
      <c r="E1948" s="22" t="s">
        <v>82</v>
      </c>
      <c r="F1948" s="25"/>
      <c r="G1948" s="20"/>
      <c r="H1948" s="20">
        <f>SUMIFS(X!$F$5:$F$2005,X!$D$5:$D$2005,'CEK CICI'!A1948)</f>
        <v>5</v>
      </c>
      <c r="I1948" s="20">
        <f>SUMIFS(PENJUALAN!$E$4:$E$4288,PENJUALAN!$C$4:$C$4288,'CEK CICI'!A1948)</f>
        <v>3</v>
      </c>
      <c r="J1948" s="16">
        <f t="shared" si="2"/>
        <v>2</v>
      </c>
      <c r="K1948" s="22" t="s">
        <v>1470</v>
      </c>
      <c r="L1948" s="22"/>
      <c r="M1948" s="25"/>
      <c r="N1948" s="25"/>
    </row>
    <row r="1949" ht="15.0" hidden="1" customHeight="1">
      <c r="A1949" s="4" t="str">
        <f t="shared" si="1"/>
        <v>FVL-INNOVA15ASH</v>
      </c>
      <c r="B1949" s="32" t="s">
        <v>2317</v>
      </c>
      <c r="C1949" s="15" t="s">
        <v>2318</v>
      </c>
      <c r="D1949" s="18" t="str">
        <f t="shared" ref="D1949:D1954" si="8">LEFT(A1949,FIND("-",A1949) - 1)</f>
        <v>FVL</v>
      </c>
      <c r="E1949" s="15" t="s">
        <v>82</v>
      </c>
      <c r="F1949" s="18"/>
      <c r="G1949" s="4"/>
      <c r="H1949" s="4">
        <f>SUMIFS(X!$F$5:$F$2005,X!$D$5:$D$2005,'CEK CICI'!A1949)</f>
        <v>1</v>
      </c>
      <c r="I1949" s="4">
        <f>SUMIFS(PENJUALAN!$E$4:$E$4288,PENJUALAN!$C$4:$C$4288,'CEK CICI'!A1949)</f>
        <v>0</v>
      </c>
      <c r="J1949" s="16">
        <f t="shared" si="2"/>
        <v>1</v>
      </c>
      <c r="K1949" s="15" t="s">
        <v>1473</v>
      </c>
      <c r="L1949" s="15"/>
      <c r="M1949" s="18"/>
      <c r="N1949" s="18"/>
    </row>
    <row r="1950" ht="15.0" hidden="1" customHeight="1">
      <c r="A1950" s="4" t="str">
        <f t="shared" si="1"/>
        <v>FVR-INNOVA15ASH</v>
      </c>
      <c r="B1950" s="32" t="s">
        <v>2319</v>
      </c>
      <c r="C1950" s="15" t="s">
        <v>2318</v>
      </c>
      <c r="D1950" s="18" t="str">
        <f t="shared" si="8"/>
        <v>FVR</v>
      </c>
      <c r="E1950" s="15" t="s">
        <v>82</v>
      </c>
      <c r="F1950" s="18"/>
      <c r="G1950" s="4"/>
      <c r="H1950" s="4">
        <f>SUMIFS(X!$F$5:$F$2005,X!$D$5:$D$2005,'CEK CICI'!A1950)</f>
        <v>1</v>
      </c>
      <c r="I1950" s="4">
        <f>SUMIFS(PENJUALAN!$E$4:$E$4288,PENJUALAN!$C$4:$C$4288,'CEK CICI'!A1950)</f>
        <v>0</v>
      </c>
      <c r="J1950" s="16">
        <f t="shared" si="2"/>
        <v>1</v>
      </c>
      <c r="K1950" s="15" t="s">
        <v>1473</v>
      </c>
      <c r="L1950" s="15"/>
      <c r="M1950" s="18"/>
      <c r="N1950" s="18"/>
    </row>
    <row r="1951" ht="15.0" hidden="1" customHeight="1">
      <c r="A1951" s="4" t="str">
        <f t="shared" si="1"/>
        <v>RVR-INNOVA15ASH</v>
      </c>
      <c r="B1951" s="32" t="s">
        <v>2320</v>
      </c>
      <c r="C1951" s="15" t="s">
        <v>2318</v>
      </c>
      <c r="D1951" s="18" t="str">
        <f t="shared" si="8"/>
        <v>RVR</v>
      </c>
      <c r="E1951" s="15" t="s">
        <v>82</v>
      </c>
      <c r="F1951" s="18"/>
      <c r="G1951" s="4"/>
      <c r="H1951" s="4">
        <f>SUMIFS(X!$F$5:$F$2005,X!$D$5:$D$2005,'CEK CICI'!A1951)</f>
        <v>1</v>
      </c>
      <c r="I1951" s="4">
        <f>SUMIFS(PENJUALAN!$E$4:$E$4288,PENJUALAN!$C$4:$C$4288,'CEK CICI'!A1951)</f>
        <v>1</v>
      </c>
      <c r="J1951" s="16">
        <f t="shared" si="2"/>
        <v>0</v>
      </c>
      <c r="K1951" s="15" t="s">
        <v>1470</v>
      </c>
      <c r="L1951" s="15"/>
      <c r="M1951" s="18"/>
      <c r="N1951" s="18"/>
    </row>
    <row r="1952" ht="15.0" hidden="1" customHeight="1">
      <c r="A1952" s="4" t="str">
        <f t="shared" si="1"/>
        <v>FDL-VIOS07ASH</v>
      </c>
      <c r="B1952" s="32" t="s">
        <v>2321</v>
      </c>
      <c r="C1952" s="15" t="s">
        <v>1263</v>
      </c>
      <c r="D1952" s="18" t="str">
        <f t="shared" si="8"/>
        <v>FDL</v>
      </c>
      <c r="E1952" s="15" t="s">
        <v>82</v>
      </c>
      <c r="F1952" s="18"/>
      <c r="G1952" s="4"/>
      <c r="H1952" s="4">
        <f>SUMIFS(X!$F$5:$F$2005,X!$D$5:$D$2005,'CEK CICI'!A1952)</f>
        <v>1</v>
      </c>
      <c r="I1952" s="4">
        <f>SUMIFS(PENJUALAN!$E$4:$E$4288,PENJUALAN!$C$4:$C$4288,'CEK CICI'!A1952)</f>
        <v>0</v>
      </c>
      <c r="J1952" s="16">
        <f t="shared" si="2"/>
        <v>1</v>
      </c>
      <c r="K1952" s="15" t="s">
        <v>719</v>
      </c>
      <c r="L1952" s="15"/>
      <c r="M1952" s="18"/>
      <c r="N1952" s="18"/>
    </row>
    <row r="1953" ht="15.0" hidden="1" customHeight="1">
      <c r="A1953" s="4" t="str">
        <f t="shared" si="1"/>
        <v>FDR-VIOS07ASH</v>
      </c>
      <c r="B1953" s="32" t="s">
        <v>1593</v>
      </c>
      <c r="C1953" s="15" t="s">
        <v>1263</v>
      </c>
      <c r="D1953" s="18" t="str">
        <f t="shared" si="8"/>
        <v>FDR</v>
      </c>
      <c r="E1953" s="15" t="s">
        <v>82</v>
      </c>
      <c r="F1953" s="18"/>
      <c r="G1953" s="4"/>
      <c r="H1953" s="4">
        <f>SUMIFS(X!$F$5:$F$2005,X!$D$5:$D$2005,'CEK CICI'!A1953)</f>
        <v>1</v>
      </c>
      <c r="I1953" s="4">
        <f>SUMIFS(PENJUALAN!$E$4:$E$4288,PENJUALAN!$C$4:$C$4288,'CEK CICI'!A1953)</f>
        <v>1</v>
      </c>
      <c r="J1953" s="16">
        <f t="shared" si="2"/>
        <v>0</v>
      </c>
      <c r="K1953" s="15" t="s">
        <v>719</v>
      </c>
      <c r="L1953" s="15"/>
      <c r="M1953" s="18"/>
      <c r="N1953" s="18"/>
    </row>
    <row r="1954" ht="15.0" hidden="1" customHeight="1">
      <c r="A1954" s="4" t="str">
        <f t="shared" si="1"/>
        <v>FDL-VIOS13ASH</v>
      </c>
      <c r="B1954" s="32" t="s">
        <v>1584</v>
      </c>
      <c r="C1954" s="15" t="s">
        <v>1585</v>
      </c>
      <c r="D1954" s="18" t="str">
        <f t="shared" si="8"/>
        <v>FDL</v>
      </c>
      <c r="E1954" s="15" t="s">
        <v>82</v>
      </c>
      <c r="F1954" s="18"/>
      <c r="G1954" s="4"/>
      <c r="H1954" s="4">
        <f>SUMIFS(X!$F$5:$F$2005,X!$D$5:$D$2005,'CEK CICI'!A1954)</f>
        <v>2</v>
      </c>
      <c r="I1954" s="4">
        <f>SUMIFS(PENJUALAN!$E$4:$E$4288,PENJUALAN!$C$4:$C$4288,'CEK CICI'!A1954)</f>
        <v>2</v>
      </c>
      <c r="J1954" s="16">
        <f t="shared" si="2"/>
        <v>0</v>
      </c>
      <c r="K1954" s="15" t="s">
        <v>719</v>
      </c>
      <c r="L1954" s="15"/>
      <c r="M1954" s="18"/>
      <c r="N1954" s="18"/>
    </row>
    <row r="1955" ht="15.0" hidden="1" customHeight="1">
      <c r="A1955" s="4" t="str">
        <f t="shared" si="1"/>
        <v>FDR-VIOS13ASH</v>
      </c>
      <c r="B1955" s="32" t="s">
        <v>1589</v>
      </c>
      <c r="C1955" s="15" t="s">
        <v>1585</v>
      </c>
      <c r="D1955" s="15" t="s">
        <v>45</v>
      </c>
      <c r="E1955" s="15" t="s">
        <v>82</v>
      </c>
      <c r="F1955" s="18"/>
      <c r="G1955" s="4"/>
      <c r="H1955" s="4">
        <f>SUMIFS(X!$F$5:$F$2005,X!$D$5:$D$2005,'CEK CICI'!A1955)</f>
        <v>1</v>
      </c>
      <c r="I1955" s="4">
        <f>SUMIFS(PENJUALAN!$E$4:$E$4288,PENJUALAN!$C$4:$C$4288,'CEK CICI'!A1955)</f>
        <v>1</v>
      </c>
      <c r="J1955" s="16">
        <f t="shared" si="2"/>
        <v>0</v>
      </c>
      <c r="K1955" s="15"/>
      <c r="L1955" s="15"/>
      <c r="M1955" s="18"/>
      <c r="N1955" s="18"/>
    </row>
    <row r="1956" ht="15.0" hidden="1" customHeight="1">
      <c r="A1956" s="4" t="str">
        <f t="shared" si="1"/>
        <v>FDL-YARIS05ASH</v>
      </c>
      <c r="B1956" s="32" t="s">
        <v>2324</v>
      </c>
      <c r="C1956" s="15" t="s">
        <v>1277</v>
      </c>
      <c r="D1956" s="18" t="str">
        <f t="shared" ref="D1956:D1978" si="9">LEFT(A1956,FIND("-",A1956) - 1)</f>
        <v>FDL</v>
      </c>
      <c r="E1956" s="15" t="s">
        <v>82</v>
      </c>
      <c r="F1956" s="18"/>
      <c r="G1956" s="4"/>
      <c r="H1956" s="4">
        <f>SUMIFS(X!$F$5:$F$2005,X!$D$5:$D$2005,'CEK CICI'!A1956)</f>
        <v>1</v>
      </c>
      <c r="I1956" s="4">
        <f>SUMIFS(PENJUALAN!$E$4:$E$4288,PENJUALAN!$C$4:$C$4288,'CEK CICI'!A1956)</f>
        <v>0</v>
      </c>
      <c r="J1956" s="16">
        <f t="shared" si="2"/>
        <v>1</v>
      </c>
      <c r="K1956" s="15" t="s">
        <v>719</v>
      </c>
      <c r="L1956" s="15"/>
      <c r="M1956" s="18"/>
      <c r="N1956" s="18"/>
    </row>
    <row r="1957" ht="15.0" hidden="1" customHeight="1">
      <c r="A1957" s="4" t="str">
        <f t="shared" si="1"/>
        <v>FDR-YARIS05ASH</v>
      </c>
      <c r="B1957" s="32" t="s">
        <v>2325</v>
      </c>
      <c r="C1957" s="15" t="s">
        <v>1277</v>
      </c>
      <c r="D1957" s="18" t="str">
        <f t="shared" si="9"/>
        <v>FDR</v>
      </c>
      <c r="E1957" s="15" t="s">
        <v>82</v>
      </c>
      <c r="F1957" s="18"/>
      <c r="G1957" s="4"/>
      <c r="H1957" s="4">
        <f>SUMIFS(X!$F$5:$F$2005,X!$D$5:$D$2005,'CEK CICI'!A1957)</f>
        <v>1</v>
      </c>
      <c r="I1957" s="4">
        <f>SUMIFS(PENJUALAN!$E$4:$E$4288,PENJUALAN!$C$4:$C$4288,'CEK CICI'!A1957)</f>
        <v>0</v>
      </c>
      <c r="J1957" s="16">
        <f t="shared" si="2"/>
        <v>1</v>
      </c>
      <c r="K1957" s="15" t="s">
        <v>719</v>
      </c>
      <c r="L1957" s="15"/>
      <c r="M1957" s="18"/>
      <c r="N1957" s="18"/>
    </row>
    <row r="1958" ht="15.0" hidden="1" customHeight="1">
      <c r="A1958" s="20" t="str">
        <f t="shared" si="1"/>
        <v>FDL-GRANMAXASH</v>
      </c>
      <c r="B1958" s="24" t="s">
        <v>1579</v>
      </c>
      <c r="C1958" s="22" t="s">
        <v>275</v>
      </c>
      <c r="D1958" s="25" t="str">
        <f t="shared" si="9"/>
        <v>FDL</v>
      </c>
      <c r="E1958" s="22" t="s">
        <v>82</v>
      </c>
      <c r="F1958" s="25"/>
      <c r="G1958" s="20"/>
      <c r="H1958" s="20">
        <f>SUMIFS(X!$F$5:$F$2005,X!$D$5:$D$2005,'CEK CICI'!A1958)</f>
        <v>10</v>
      </c>
      <c r="I1958" s="20">
        <f>SUMIFS(PENJUALAN!$E$4:$E$4288,PENJUALAN!$C$4:$C$4288,'CEK CICI'!A1958)</f>
        <v>4</v>
      </c>
      <c r="J1958" s="16">
        <f t="shared" si="2"/>
        <v>6</v>
      </c>
      <c r="K1958" s="22" t="s">
        <v>594</v>
      </c>
      <c r="L1958" s="22"/>
      <c r="M1958" s="25"/>
      <c r="N1958" s="25"/>
    </row>
    <row r="1959" ht="15.0" hidden="1" customHeight="1">
      <c r="A1959" s="20" t="str">
        <f t="shared" si="1"/>
        <v>FDR-GRANMAXASH</v>
      </c>
      <c r="B1959" s="24" t="s">
        <v>1577</v>
      </c>
      <c r="C1959" s="22" t="s">
        <v>275</v>
      </c>
      <c r="D1959" s="25" t="str">
        <f t="shared" si="9"/>
        <v>FDR</v>
      </c>
      <c r="E1959" s="22" t="s">
        <v>82</v>
      </c>
      <c r="F1959" s="25"/>
      <c r="G1959" s="20"/>
      <c r="H1959" s="20">
        <f>SUMIFS(X!$F$5:$F$2005,X!$D$5:$D$2005,'CEK CICI'!A1959)</f>
        <v>10</v>
      </c>
      <c r="I1959" s="20">
        <f>SUMIFS(PENJUALAN!$E$4:$E$4288,PENJUALAN!$C$4:$C$4288,'CEK CICI'!A1959)</f>
        <v>4</v>
      </c>
      <c r="J1959" s="16">
        <f t="shared" si="2"/>
        <v>6</v>
      </c>
      <c r="K1959" s="22" t="s">
        <v>594</v>
      </c>
      <c r="L1959" s="22"/>
      <c r="M1959" s="25"/>
      <c r="N1959" s="25"/>
    </row>
    <row r="1960" ht="15.0" hidden="1" customHeight="1">
      <c r="A1960" s="20" t="str">
        <f t="shared" si="1"/>
        <v>RDL-GRANMAXASH</v>
      </c>
      <c r="B1960" s="24" t="s">
        <v>2326</v>
      </c>
      <c r="C1960" s="22" t="s">
        <v>275</v>
      </c>
      <c r="D1960" s="25" t="str">
        <f t="shared" si="9"/>
        <v>RDL</v>
      </c>
      <c r="E1960" s="22" t="s">
        <v>82</v>
      </c>
      <c r="F1960" s="25"/>
      <c r="G1960" s="20"/>
      <c r="H1960" s="20">
        <f>SUMIFS(X!$F$5:$F$2005,X!$D$5:$D$2005,'CEK CICI'!A1960)</f>
        <v>11</v>
      </c>
      <c r="I1960" s="20">
        <f>SUMIFS(PENJUALAN!$E$4:$E$4288,PENJUALAN!$C$4:$C$4288,'CEK CICI'!A1960)</f>
        <v>9</v>
      </c>
      <c r="J1960" s="16">
        <f t="shared" si="2"/>
        <v>2</v>
      </c>
      <c r="K1960" s="22" t="s">
        <v>2327</v>
      </c>
      <c r="L1960" s="22"/>
      <c r="M1960" s="25"/>
      <c r="N1960" s="84" t="s">
        <v>2328</v>
      </c>
    </row>
    <row r="1961" ht="15.0" hidden="1" customHeight="1">
      <c r="A1961" s="20" t="str">
        <f t="shared" si="1"/>
        <v>RDR-GRANMAXASH</v>
      </c>
      <c r="B1961" s="24" t="s">
        <v>2329</v>
      </c>
      <c r="C1961" s="22" t="s">
        <v>275</v>
      </c>
      <c r="D1961" s="25" t="str">
        <f t="shared" si="9"/>
        <v>RDR</v>
      </c>
      <c r="E1961" s="22" t="s">
        <v>82</v>
      </c>
      <c r="F1961" s="25"/>
      <c r="G1961" s="20"/>
      <c r="H1961" s="20">
        <f>SUMIFS(X!$F$5:$F$2005,X!$D$5:$D$2005,'CEK CICI'!A1961)</f>
        <v>10</v>
      </c>
      <c r="I1961" s="20">
        <f>SUMIFS(PENJUALAN!$E$4:$E$4288,PENJUALAN!$C$4:$C$4288,'CEK CICI'!A1961)</f>
        <v>9</v>
      </c>
      <c r="J1961" s="16">
        <f t="shared" si="2"/>
        <v>1</v>
      </c>
      <c r="K1961" s="22" t="s">
        <v>86</v>
      </c>
      <c r="L1961" s="22"/>
      <c r="M1961" s="25"/>
      <c r="N1961" s="25"/>
    </row>
    <row r="1962" ht="15.0" hidden="1" customHeight="1">
      <c r="A1962" s="20" t="str">
        <f t="shared" si="1"/>
        <v>SWL-GRANMAXASH</v>
      </c>
      <c r="B1962" s="24" t="s">
        <v>2330</v>
      </c>
      <c r="C1962" s="22" t="s">
        <v>2331</v>
      </c>
      <c r="D1962" s="25" t="str">
        <f t="shared" si="9"/>
        <v>SWL</v>
      </c>
      <c r="E1962" s="22" t="s">
        <v>82</v>
      </c>
      <c r="F1962" s="25"/>
      <c r="G1962" s="20"/>
      <c r="H1962" s="20">
        <f>SUMIFS(X!$F$5:$F$2005,X!$D$5:$D$2005,'CEK CICI'!A1962)</f>
        <v>10</v>
      </c>
      <c r="I1962" s="20">
        <f>SUMIFS(PENJUALAN!$E$4:$E$4288,PENJUALAN!$C$4:$C$4288,'CEK CICI'!A1962)</f>
        <v>8</v>
      </c>
      <c r="J1962" s="16">
        <f t="shared" si="2"/>
        <v>2</v>
      </c>
      <c r="K1962" s="22" t="s">
        <v>1720</v>
      </c>
      <c r="L1962" s="22"/>
      <c r="M1962" s="25"/>
      <c r="N1962" s="25"/>
    </row>
    <row r="1963" ht="15.0" hidden="1" customHeight="1">
      <c r="A1963" s="20" t="str">
        <f t="shared" si="1"/>
        <v>SWR-GRANMAXASH</v>
      </c>
      <c r="B1963" s="24" t="s">
        <v>2332</v>
      </c>
      <c r="C1963" s="22" t="s">
        <v>2331</v>
      </c>
      <c r="D1963" s="25" t="str">
        <f t="shared" si="9"/>
        <v>SWR</v>
      </c>
      <c r="E1963" s="22" t="s">
        <v>82</v>
      </c>
      <c r="F1963" s="25"/>
      <c r="G1963" s="20"/>
      <c r="H1963" s="20">
        <f>SUMIFS(X!$F$5:$F$2005,X!$D$5:$D$2005,'CEK CICI'!A1963)</f>
        <v>10</v>
      </c>
      <c r="I1963" s="20">
        <f>SUMIFS(PENJUALAN!$E$4:$E$4288,PENJUALAN!$C$4:$C$4288,'CEK CICI'!A1963)</f>
        <v>9</v>
      </c>
      <c r="J1963" s="16">
        <f t="shared" si="2"/>
        <v>1</v>
      </c>
      <c r="K1963" s="22" t="s">
        <v>1720</v>
      </c>
      <c r="L1963" s="22"/>
      <c r="M1963" s="25"/>
      <c r="N1963" s="25"/>
    </row>
    <row r="1964" ht="15.0" hidden="1" customHeight="1">
      <c r="A1964" s="20" t="str">
        <f t="shared" si="1"/>
        <v>FDL-AVANZA03ASH</v>
      </c>
      <c r="B1964" s="24" t="s">
        <v>1879</v>
      </c>
      <c r="C1964" s="22" t="s">
        <v>65</v>
      </c>
      <c r="D1964" s="25" t="str">
        <f t="shared" si="9"/>
        <v>FDL</v>
      </c>
      <c r="E1964" s="22" t="s">
        <v>82</v>
      </c>
      <c r="F1964" s="25"/>
      <c r="G1964" s="20"/>
      <c r="H1964" s="20">
        <f>SUMIFS(X!$F$5:$F$2005,X!$D$5:$D$2005,'CEK CICI'!A1964)</f>
        <v>5</v>
      </c>
      <c r="I1964" s="20">
        <f>SUMIFS(PENJUALAN!$E$4:$E$4288,PENJUALAN!$C$4:$C$4288,'CEK CICI'!A1964)</f>
        <v>4</v>
      </c>
      <c r="J1964" s="16">
        <f t="shared" si="2"/>
        <v>1</v>
      </c>
      <c r="K1964" s="22" t="s">
        <v>1880</v>
      </c>
      <c r="L1964" s="22"/>
      <c r="M1964" s="25"/>
      <c r="N1964" s="25"/>
    </row>
    <row r="1965" ht="15.0" hidden="1" customHeight="1">
      <c r="A1965" s="20" t="str">
        <f t="shared" si="1"/>
        <v>FDR-AVANZA03ASH</v>
      </c>
      <c r="B1965" s="24" t="s">
        <v>2175</v>
      </c>
      <c r="C1965" s="22" t="s">
        <v>65</v>
      </c>
      <c r="D1965" s="25" t="str">
        <f t="shared" si="9"/>
        <v>FDR</v>
      </c>
      <c r="E1965" s="22" t="s">
        <v>82</v>
      </c>
      <c r="F1965" s="25"/>
      <c r="G1965" s="20"/>
      <c r="H1965" s="20">
        <f>SUMIFS(X!$F$5:$F$2005,X!$D$5:$D$2005,'CEK CICI'!A1965)</f>
        <v>10</v>
      </c>
      <c r="I1965" s="20">
        <f>SUMIFS(PENJUALAN!$E$4:$E$4288,PENJUALAN!$C$4:$C$4288,'CEK CICI'!A1965)</f>
        <v>9</v>
      </c>
      <c r="J1965" s="16">
        <f t="shared" si="2"/>
        <v>1</v>
      </c>
      <c r="K1965" s="22" t="s">
        <v>1880</v>
      </c>
      <c r="L1965" s="22"/>
      <c r="M1965" s="25"/>
      <c r="N1965" s="25"/>
    </row>
    <row r="1966" ht="15.0" hidden="1" customHeight="1">
      <c r="A1966" s="20" t="str">
        <f t="shared" si="1"/>
        <v>RDL-AVANZA03ASH</v>
      </c>
      <c r="B1966" s="24" t="s">
        <v>1881</v>
      </c>
      <c r="C1966" s="22" t="s">
        <v>65</v>
      </c>
      <c r="D1966" s="25" t="str">
        <f t="shared" si="9"/>
        <v>RDL</v>
      </c>
      <c r="E1966" s="22" t="s">
        <v>82</v>
      </c>
      <c r="F1966" s="25"/>
      <c r="G1966" s="20"/>
      <c r="H1966" s="20">
        <f>SUMIFS(X!$F$5:$F$2005,X!$D$5:$D$2005,'CEK CICI'!A1966)</f>
        <v>5</v>
      </c>
      <c r="I1966" s="20">
        <f>SUMIFS(PENJUALAN!$E$4:$E$4288,PENJUALAN!$C$4:$C$4288,'CEK CICI'!A1966)</f>
        <v>3</v>
      </c>
      <c r="J1966" s="16">
        <f t="shared" si="2"/>
        <v>2</v>
      </c>
      <c r="K1966" s="22" t="s">
        <v>86</v>
      </c>
      <c r="L1966" s="22"/>
      <c r="M1966" s="25"/>
      <c r="N1966" s="25"/>
    </row>
    <row r="1967" ht="15.0" hidden="1" customHeight="1">
      <c r="A1967" s="20" t="str">
        <f t="shared" si="1"/>
        <v>RDR-AVANZA03ASH</v>
      </c>
      <c r="B1967" s="24" t="s">
        <v>1883</v>
      </c>
      <c r="C1967" s="22" t="s">
        <v>65</v>
      </c>
      <c r="D1967" s="25" t="str">
        <f t="shared" si="9"/>
        <v>RDR</v>
      </c>
      <c r="E1967" s="22" t="s">
        <v>82</v>
      </c>
      <c r="F1967" s="25"/>
      <c r="G1967" s="20"/>
      <c r="H1967" s="20">
        <f>SUMIFS(X!$F$5:$F$2005,X!$D$5:$D$2005,'CEK CICI'!A1967)</f>
        <v>5</v>
      </c>
      <c r="I1967" s="20">
        <f>SUMIFS(PENJUALAN!$E$4:$E$4288,PENJUALAN!$C$4:$C$4288,'CEK CICI'!A1967)</f>
        <v>4</v>
      </c>
      <c r="J1967" s="16">
        <f t="shared" si="2"/>
        <v>1</v>
      </c>
      <c r="K1967" s="22" t="s">
        <v>86</v>
      </c>
      <c r="L1967" s="22"/>
      <c r="M1967" s="25"/>
      <c r="N1967" s="25"/>
    </row>
    <row r="1968" ht="15.0" hidden="1" customHeight="1">
      <c r="A1968" s="20" t="str">
        <f t="shared" si="1"/>
        <v>FDL-AVANZA11ASH</v>
      </c>
      <c r="B1968" s="24" t="s">
        <v>92</v>
      </c>
      <c r="C1968" s="22" t="s">
        <v>1472</v>
      </c>
      <c r="D1968" s="25" t="str">
        <f t="shared" si="9"/>
        <v>FDL</v>
      </c>
      <c r="E1968" s="22" t="s">
        <v>82</v>
      </c>
      <c r="F1968" s="25"/>
      <c r="G1968" s="20"/>
      <c r="H1968" s="20">
        <f>SUMIFS(X!$F$5:$F$2005,X!$D$5:$D$2005,'CEK CICI'!A1968)</f>
        <v>5</v>
      </c>
      <c r="I1968" s="20">
        <f>SUMIFS(PENJUALAN!$E$4:$E$4288,PENJUALAN!$C$4:$C$4288,'CEK CICI'!A1968)</f>
        <v>3</v>
      </c>
      <c r="J1968" s="16">
        <f t="shared" si="2"/>
        <v>2</v>
      </c>
      <c r="K1968" s="22" t="s">
        <v>1880</v>
      </c>
      <c r="L1968" s="22"/>
      <c r="M1968" s="25"/>
      <c r="N1968" s="25"/>
    </row>
    <row r="1969" ht="15.0" hidden="1" customHeight="1">
      <c r="A1969" s="20" t="str">
        <f t="shared" si="1"/>
        <v>FDR-AVANZA11ASH</v>
      </c>
      <c r="B1969" s="24" t="s">
        <v>94</v>
      </c>
      <c r="C1969" s="22" t="s">
        <v>1472</v>
      </c>
      <c r="D1969" s="25" t="str">
        <f t="shared" si="9"/>
        <v>FDR</v>
      </c>
      <c r="E1969" s="22" t="s">
        <v>82</v>
      </c>
      <c r="F1969" s="25"/>
      <c r="G1969" s="20"/>
      <c r="H1969" s="20">
        <f>SUMIFS(X!$F$5:$F$2005,X!$D$5:$D$2005,'CEK CICI'!A1969)</f>
        <v>10</v>
      </c>
      <c r="I1969" s="20">
        <f>SUMIFS(PENJUALAN!$E$4:$E$4288,PENJUALAN!$C$4:$C$4288,'CEK CICI'!A1969)</f>
        <v>10</v>
      </c>
      <c r="J1969" s="16">
        <f t="shared" si="2"/>
        <v>0</v>
      </c>
      <c r="K1969" s="22" t="s">
        <v>1880</v>
      </c>
      <c r="L1969" s="22"/>
      <c r="M1969" s="25"/>
      <c r="N1969" s="25"/>
    </row>
    <row r="1970" ht="15.0" hidden="1" customHeight="1">
      <c r="A1970" s="20" t="str">
        <f t="shared" si="1"/>
        <v>FDL-AGYA13ASH</v>
      </c>
      <c r="B1970" s="24" t="s">
        <v>2043</v>
      </c>
      <c r="C1970" s="22" t="s">
        <v>85</v>
      </c>
      <c r="D1970" s="25" t="str">
        <f t="shared" si="9"/>
        <v>FDL</v>
      </c>
      <c r="E1970" s="22" t="s">
        <v>82</v>
      </c>
      <c r="F1970" s="25"/>
      <c r="G1970" s="20"/>
      <c r="H1970" s="20">
        <f>SUMIFS(X!$F$5:$F$2005,X!$D$5:$D$2005,'CEK CICI'!A1970)</f>
        <v>5</v>
      </c>
      <c r="I1970" s="20">
        <f>SUMIFS(PENJUALAN!$E$4:$E$4288,PENJUALAN!$C$4:$C$4288,'CEK CICI'!A1970)</f>
        <v>3</v>
      </c>
      <c r="J1970" s="16">
        <f t="shared" si="2"/>
        <v>2</v>
      </c>
      <c r="K1970" s="22" t="s">
        <v>594</v>
      </c>
      <c r="L1970" s="22"/>
      <c r="M1970" s="25"/>
      <c r="N1970" s="25"/>
    </row>
    <row r="1971" ht="15.0" hidden="1" customHeight="1">
      <c r="A1971" s="20" t="str">
        <f t="shared" si="1"/>
        <v>FDR-AGYA13ASH</v>
      </c>
      <c r="B1971" s="24" t="s">
        <v>2323</v>
      </c>
      <c r="C1971" s="22" t="s">
        <v>85</v>
      </c>
      <c r="D1971" s="25" t="str">
        <f t="shared" si="9"/>
        <v>FDR</v>
      </c>
      <c r="E1971" s="22" t="s">
        <v>82</v>
      </c>
      <c r="F1971" s="25"/>
      <c r="G1971" s="20"/>
      <c r="H1971" s="20">
        <f>SUMIFS(X!$F$5:$F$2005,X!$D$5:$D$2005,'CEK CICI'!A1971)</f>
        <v>5</v>
      </c>
      <c r="I1971" s="20">
        <f>SUMIFS(PENJUALAN!$E$4:$E$4288,PENJUALAN!$C$4:$C$4288,'CEK CICI'!A1971)</f>
        <v>4</v>
      </c>
      <c r="J1971" s="16">
        <f t="shared" si="2"/>
        <v>1</v>
      </c>
      <c r="K1971" s="22" t="s">
        <v>594</v>
      </c>
      <c r="L1971" s="22"/>
      <c r="M1971" s="25"/>
      <c r="N1971" s="25"/>
    </row>
    <row r="1972" ht="15.0" hidden="1" customHeight="1">
      <c r="A1972" s="20" t="str">
        <f t="shared" si="1"/>
        <v>RDL-AGYA13ASH</v>
      </c>
      <c r="B1972" s="24" t="s">
        <v>84</v>
      </c>
      <c r="C1972" s="22" t="s">
        <v>85</v>
      </c>
      <c r="D1972" s="25" t="str">
        <f t="shared" si="9"/>
        <v>RDL</v>
      </c>
      <c r="E1972" s="22" t="s">
        <v>82</v>
      </c>
      <c r="F1972" s="25"/>
      <c r="G1972" s="20"/>
      <c r="H1972" s="20">
        <f>SUMIFS(X!$F$5:$F$2005,X!$D$5:$D$2005,'CEK CICI'!A1972)</f>
        <v>5</v>
      </c>
      <c r="I1972" s="20">
        <f>SUMIFS(PENJUALAN!$E$4:$E$4288,PENJUALAN!$C$4:$C$4288,'CEK CICI'!A1972)</f>
        <v>4</v>
      </c>
      <c r="J1972" s="16">
        <f t="shared" si="2"/>
        <v>1</v>
      </c>
      <c r="K1972" s="22" t="s">
        <v>11536</v>
      </c>
      <c r="L1972" s="22"/>
      <c r="M1972" s="25"/>
      <c r="N1972" s="25"/>
    </row>
    <row r="1973" ht="15.0" hidden="1" customHeight="1">
      <c r="A1973" s="20" t="str">
        <f t="shared" si="1"/>
        <v>RDR-AGYA13ASH</v>
      </c>
      <c r="B1973" s="24" t="s">
        <v>745</v>
      </c>
      <c r="C1973" s="22" t="s">
        <v>85</v>
      </c>
      <c r="D1973" s="25" t="str">
        <f t="shared" si="9"/>
        <v>RDR</v>
      </c>
      <c r="E1973" s="22" t="s">
        <v>82</v>
      </c>
      <c r="F1973" s="25"/>
      <c r="G1973" s="20"/>
      <c r="H1973" s="20">
        <f>SUMIFS(X!$F$5:$F$2005,X!$D$5:$D$2005,'CEK CICI'!A1973)</f>
        <v>5</v>
      </c>
      <c r="I1973" s="20">
        <f>SUMIFS(PENJUALAN!$E$4:$E$4288,PENJUALAN!$C$4:$C$4288,'CEK CICI'!A1973)</f>
        <v>3</v>
      </c>
      <c r="J1973" s="16">
        <f t="shared" si="2"/>
        <v>2</v>
      </c>
      <c r="K1973" s="22" t="s">
        <v>11536</v>
      </c>
      <c r="L1973" s="22"/>
      <c r="M1973" s="25"/>
      <c r="N1973" s="25"/>
    </row>
    <row r="1974" ht="15.0" hidden="1" customHeight="1">
      <c r="A1974" s="4" t="str">
        <f t="shared" si="1"/>
        <v>LFW-PICANTO11PIL</v>
      </c>
      <c r="B1974" s="29" t="s">
        <v>597</v>
      </c>
      <c r="C1974" s="28" t="s">
        <v>598</v>
      </c>
      <c r="D1974" s="28" t="str">
        <f t="shared" si="9"/>
        <v>LFW</v>
      </c>
      <c r="E1974" s="15" t="s">
        <v>74</v>
      </c>
      <c r="F1974" s="28" t="s">
        <v>125</v>
      </c>
      <c r="G1974" s="4"/>
      <c r="H1974" s="4">
        <f>SUMIFS(X!$F$5:$F$2005,X!$D$5:$D$2005,'CEK CICI'!A1974)</f>
        <v>2</v>
      </c>
      <c r="I1974" s="4">
        <f>SUMIFS(PENJUALAN!$E$4:$E$4288,PENJUALAN!$C$4:$C$4288,'CEK CICI'!A1974)</f>
        <v>2</v>
      </c>
      <c r="J1974" s="16">
        <f t="shared" si="2"/>
        <v>0</v>
      </c>
      <c r="K1974" s="15" t="s">
        <v>1383</v>
      </c>
      <c r="L1974" s="15"/>
      <c r="M1974" s="18"/>
      <c r="N1974" s="18"/>
    </row>
    <row r="1975" ht="15.0" hidden="1" customHeight="1">
      <c r="A1975" s="20" t="str">
        <f t="shared" si="1"/>
        <v>FDL-DYNAASH</v>
      </c>
      <c r="B1975" s="24" t="s">
        <v>2141</v>
      </c>
      <c r="C1975" s="22" t="s">
        <v>1381</v>
      </c>
      <c r="D1975" s="22" t="str">
        <f t="shared" si="9"/>
        <v>FDL</v>
      </c>
      <c r="E1975" s="22" t="s">
        <v>82</v>
      </c>
      <c r="F1975" s="25"/>
      <c r="G1975" s="20"/>
      <c r="H1975" s="20">
        <f>SUMIFS(X!$F$5:$F$2005,X!$D$5:$D$2005,'CEK CICI'!A1975)</f>
        <v>5</v>
      </c>
      <c r="I1975" s="20">
        <f>SUMIFS(PENJUALAN!$E$4:$E$4288,PENJUALAN!$C$4:$C$4288,'CEK CICI'!A1975)</f>
        <v>5</v>
      </c>
      <c r="J1975" s="16">
        <f t="shared" si="2"/>
        <v>0</v>
      </c>
      <c r="K1975" s="22" t="s">
        <v>2241</v>
      </c>
      <c r="L1975" s="22"/>
      <c r="M1975" s="25"/>
      <c r="N1975" s="25"/>
    </row>
    <row r="1976" ht="15.0" hidden="1" customHeight="1">
      <c r="A1976" s="20" t="str">
        <f t="shared" si="1"/>
        <v>FDR-DYNAASH</v>
      </c>
      <c r="B1976" s="24" t="s">
        <v>1380</v>
      </c>
      <c r="C1976" s="22" t="s">
        <v>1381</v>
      </c>
      <c r="D1976" s="22" t="str">
        <f t="shared" si="9"/>
        <v>FDR</v>
      </c>
      <c r="E1976" s="22" t="s">
        <v>82</v>
      </c>
      <c r="F1976" s="25"/>
      <c r="G1976" s="20"/>
      <c r="H1976" s="20">
        <f>SUMIFS(X!$F$5:$F$2005,X!$D$5:$D$2005,'CEK CICI'!A1976)</f>
        <v>10</v>
      </c>
      <c r="I1976" s="20">
        <f>SUMIFS(PENJUALAN!$E$4:$E$4288,PENJUALAN!$C$4:$C$4288,'CEK CICI'!A1976)</f>
        <v>5</v>
      </c>
      <c r="J1976" s="16">
        <f t="shared" si="2"/>
        <v>5</v>
      </c>
      <c r="K1976" s="22" t="s">
        <v>2241</v>
      </c>
      <c r="L1976" s="22"/>
      <c r="M1976" s="25"/>
      <c r="N1976" s="25"/>
    </row>
    <row r="1977" ht="15.0" hidden="1" customHeight="1">
      <c r="A1977" s="20" t="str">
        <f t="shared" si="1"/>
        <v>RDL-INNOVA04ASH</v>
      </c>
      <c r="B1977" s="24" t="s">
        <v>1370</v>
      </c>
      <c r="C1977" s="39" t="s">
        <v>1160</v>
      </c>
      <c r="D1977" s="22" t="str">
        <f t="shared" si="9"/>
        <v>RDL</v>
      </c>
      <c r="E1977" s="22" t="s">
        <v>82</v>
      </c>
      <c r="F1977" s="25"/>
      <c r="G1977" s="20"/>
      <c r="H1977" s="20">
        <f>SUMIFS(X!$F$5:$F$2005,X!$D$5:$D$2005,'CEK CICI'!A1977)</f>
        <v>5</v>
      </c>
      <c r="I1977" s="20">
        <f>SUMIFS(PENJUALAN!$E$4:$E$4288,PENJUALAN!$C$4:$C$4288,'CEK CICI'!A1977)</f>
        <v>4</v>
      </c>
      <c r="J1977" s="16">
        <f t="shared" si="2"/>
        <v>1</v>
      </c>
      <c r="K1977" s="22" t="s">
        <v>11536</v>
      </c>
      <c r="L1977" s="22"/>
      <c r="M1977" s="25"/>
      <c r="N1977" s="25"/>
    </row>
    <row r="1978" ht="15.0" hidden="1" customHeight="1">
      <c r="A1978" s="20" t="str">
        <f t="shared" si="1"/>
        <v>RDR-INNOVA04ASH</v>
      </c>
      <c r="B1978" s="24" t="s">
        <v>1371</v>
      </c>
      <c r="C1978" s="39" t="s">
        <v>1160</v>
      </c>
      <c r="D1978" s="22" t="str">
        <f t="shared" si="9"/>
        <v>RDR</v>
      </c>
      <c r="E1978" s="22" t="s">
        <v>82</v>
      </c>
      <c r="F1978" s="25"/>
      <c r="G1978" s="20"/>
      <c r="H1978" s="20">
        <f>SUMIFS(X!$F$5:$F$2005,X!$D$5:$D$2005,'CEK CICI'!A1978)</f>
        <v>5</v>
      </c>
      <c r="I1978" s="20">
        <f>SUMIFS(PENJUALAN!$E$4:$E$4288,PENJUALAN!$C$4:$C$4288,'CEK CICI'!A1978)</f>
        <v>4</v>
      </c>
      <c r="J1978" s="16">
        <f t="shared" si="2"/>
        <v>1</v>
      </c>
      <c r="K1978" s="22" t="s">
        <v>11536</v>
      </c>
      <c r="L1978" s="22"/>
      <c r="M1978" s="25"/>
      <c r="N1978" s="25"/>
    </row>
    <row r="1979" ht="15.0" hidden="1" customHeight="1">
      <c r="A1979" s="4" t="str">
        <f t="shared" si="1"/>
        <v>SWL-INNOVA04ASH</v>
      </c>
      <c r="B1979" s="32" t="s">
        <v>2340</v>
      </c>
      <c r="C1979" s="28" t="s">
        <v>1160</v>
      </c>
      <c r="D1979" s="15" t="s">
        <v>1434</v>
      </c>
      <c r="E1979" s="15" t="s">
        <v>82</v>
      </c>
      <c r="F1979" s="18"/>
      <c r="G1979" s="4"/>
      <c r="H1979" s="4">
        <f>SUMIFS(X!$F$5:$F$2005,X!$D$5:$D$2005,'CEK CICI'!A1979)</f>
        <v>5</v>
      </c>
      <c r="I1979" s="4">
        <f>SUMIFS(PENJUALAN!$E$4:$E$4288,PENJUALAN!$C$4:$C$4288,'CEK CICI'!A1979)</f>
        <v>0</v>
      </c>
      <c r="J1979" s="16">
        <f t="shared" si="2"/>
        <v>5</v>
      </c>
      <c r="K1979" s="15"/>
      <c r="L1979" s="15"/>
      <c r="M1979" s="18"/>
      <c r="N1979" s="18"/>
    </row>
    <row r="1980" ht="15.0" hidden="1" customHeight="1">
      <c r="A1980" s="20" t="str">
        <f t="shared" si="1"/>
        <v>SWR-INNOVA04ASH</v>
      </c>
      <c r="B1980" s="24" t="s">
        <v>1426</v>
      </c>
      <c r="C1980" s="39" t="s">
        <v>1160</v>
      </c>
      <c r="D1980" s="22" t="s">
        <v>104</v>
      </c>
      <c r="E1980" s="22" t="s">
        <v>82</v>
      </c>
      <c r="F1980" s="25"/>
      <c r="G1980" s="20"/>
      <c r="H1980" s="20">
        <f>SUMIFS(X!$F$5:$F$2005,X!$D$5:$D$2005,'CEK CICI'!A1980)</f>
        <v>5</v>
      </c>
      <c r="I1980" s="20">
        <f>SUMIFS(PENJUALAN!$E$4:$E$4288,PENJUALAN!$C$4:$C$4288,'CEK CICI'!A1980)</f>
        <v>4</v>
      </c>
      <c r="J1980" s="16">
        <f t="shared" si="2"/>
        <v>1</v>
      </c>
      <c r="K1980" s="22" t="s">
        <v>1404</v>
      </c>
      <c r="L1980" s="22"/>
      <c r="M1980" s="25"/>
      <c r="N1980" s="25"/>
    </row>
    <row r="1981" ht="15.0" hidden="1" customHeight="1">
      <c r="A1981" s="20" t="str">
        <f t="shared" si="1"/>
        <v>FDL-FE700ASH</v>
      </c>
      <c r="B1981" s="24" t="s">
        <v>1437</v>
      </c>
      <c r="C1981" s="22" t="s">
        <v>1311</v>
      </c>
      <c r="D1981" s="25" t="str">
        <f t="shared" ref="D1981:D1986" si="10">LEFT(A1981,FIND("-",A1981) - 1)</f>
        <v>FDL</v>
      </c>
      <c r="E1981" s="22" t="s">
        <v>82</v>
      </c>
      <c r="F1981" s="25"/>
      <c r="G1981" s="20"/>
      <c r="H1981" s="20">
        <f>SUMIFS(X!$F$5:$F$2005,X!$D$5:$D$2005,'CEK CICI'!A1981)</f>
        <v>5</v>
      </c>
      <c r="I1981" s="20">
        <f>SUMIFS(PENJUALAN!$E$4:$E$4288,PENJUALAN!$C$4:$C$4288,'CEK CICI'!A1981)</f>
        <v>4</v>
      </c>
      <c r="J1981" s="16">
        <f t="shared" si="2"/>
        <v>1</v>
      </c>
      <c r="K1981" s="22" t="s">
        <v>1382</v>
      </c>
      <c r="L1981" s="22"/>
      <c r="M1981" s="25"/>
      <c r="N1981" s="25"/>
    </row>
    <row r="1982" ht="15.0" hidden="1" customHeight="1">
      <c r="A1982" s="20" t="str">
        <f t="shared" si="1"/>
        <v>FDR-FE700ASH</v>
      </c>
      <c r="B1982" s="24" t="s">
        <v>2342</v>
      </c>
      <c r="C1982" s="22" t="s">
        <v>1311</v>
      </c>
      <c r="D1982" s="25" t="str">
        <f t="shared" si="10"/>
        <v>FDR</v>
      </c>
      <c r="E1982" s="22" t="s">
        <v>82</v>
      </c>
      <c r="F1982" s="25"/>
      <c r="G1982" s="20"/>
      <c r="H1982" s="20">
        <f>SUMIFS(X!$F$5:$F$2005,X!$D$5:$D$2005,'CEK CICI'!A1982)</f>
        <v>5</v>
      </c>
      <c r="I1982" s="20">
        <f>SUMIFS(PENJUALAN!$E$4:$E$4288,PENJUALAN!$C$4:$C$4288,'CEK CICI'!A1982)</f>
        <v>4</v>
      </c>
      <c r="J1982" s="16">
        <f t="shared" si="2"/>
        <v>1</v>
      </c>
      <c r="K1982" s="22" t="s">
        <v>1382</v>
      </c>
      <c r="L1982" s="22"/>
      <c r="M1982" s="25"/>
      <c r="N1982" s="22" t="s">
        <v>2343</v>
      </c>
    </row>
    <row r="1983" ht="15.0" hidden="1" customHeight="1">
      <c r="A1983" s="20" t="str">
        <f t="shared" si="1"/>
        <v>FDL-ELFNMRASH</v>
      </c>
      <c r="B1983" s="24" t="s">
        <v>2344</v>
      </c>
      <c r="C1983" s="22" t="s">
        <v>1498</v>
      </c>
      <c r="D1983" s="25" t="str">
        <f t="shared" si="10"/>
        <v>FDL</v>
      </c>
      <c r="E1983" s="22" t="s">
        <v>82</v>
      </c>
      <c r="F1983" s="25"/>
      <c r="G1983" s="20"/>
      <c r="H1983" s="20">
        <f>SUMIFS(X!$F$5:$F$2005,X!$D$5:$D$2005,'CEK CICI'!A1983)</f>
        <v>5</v>
      </c>
      <c r="I1983" s="20">
        <f>SUMIFS(PENJUALAN!$E$4:$E$4288,PENJUALAN!$C$4:$C$4288,'CEK CICI'!A1983)</f>
        <v>5</v>
      </c>
      <c r="J1983" s="16">
        <f t="shared" si="2"/>
        <v>0</v>
      </c>
      <c r="K1983" s="22" t="s">
        <v>2241</v>
      </c>
      <c r="L1983" s="22"/>
      <c r="M1983" s="25"/>
      <c r="N1983" s="25"/>
    </row>
    <row r="1984" ht="15.0" hidden="1" customHeight="1">
      <c r="A1984" s="20" t="str">
        <f t="shared" si="1"/>
        <v>FDR-ELFNMRASH</v>
      </c>
      <c r="B1984" s="24" t="s">
        <v>1497</v>
      </c>
      <c r="C1984" s="22" t="s">
        <v>1498</v>
      </c>
      <c r="D1984" s="25" t="str">
        <f t="shared" si="10"/>
        <v>FDR</v>
      </c>
      <c r="E1984" s="22" t="s">
        <v>82</v>
      </c>
      <c r="F1984" s="25"/>
      <c r="G1984" s="20"/>
      <c r="H1984" s="20">
        <f>SUMIFS(X!$F$5:$F$2005,X!$D$5:$D$2005,'CEK CICI'!A1984)</f>
        <v>10</v>
      </c>
      <c r="I1984" s="20">
        <f>SUMIFS(PENJUALAN!$E$4:$E$4288,PENJUALAN!$C$4:$C$4288,'CEK CICI'!A1984)</f>
        <v>5</v>
      </c>
      <c r="J1984" s="16">
        <f t="shared" si="2"/>
        <v>5</v>
      </c>
      <c r="K1984" s="22" t="s">
        <v>2241</v>
      </c>
      <c r="L1984" s="22"/>
      <c r="M1984" s="25"/>
      <c r="N1984" s="25"/>
    </row>
    <row r="1985" ht="15.0" hidden="1" customHeight="1">
      <c r="A1985" s="20" t="str">
        <f t="shared" si="1"/>
        <v>FDL-PAJERO08ASH</v>
      </c>
      <c r="B1985" s="24" t="s">
        <v>1489</v>
      </c>
      <c r="C1985" s="22" t="s">
        <v>882</v>
      </c>
      <c r="D1985" s="25" t="str">
        <f t="shared" si="10"/>
        <v>FDL</v>
      </c>
      <c r="E1985" s="22" t="s">
        <v>82</v>
      </c>
      <c r="F1985" s="25"/>
      <c r="G1985" s="20"/>
      <c r="H1985" s="20">
        <f>SUMIFS(X!$F$5:$F$2005,X!$D$5:$D$2005,'CEK CICI'!A1985)</f>
        <v>5</v>
      </c>
      <c r="I1985" s="20">
        <f>SUMIFS(PENJUALAN!$E$4:$E$4288,PENJUALAN!$C$4:$C$4288,'CEK CICI'!A1985)</f>
        <v>4</v>
      </c>
      <c r="J1985" s="16">
        <f t="shared" si="2"/>
        <v>1</v>
      </c>
      <c r="K1985" s="22" t="s">
        <v>83</v>
      </c>
      <c r="L1985" s="22"/>
      <c r="M1985" s="25"/>
      <c r="N1985" s="25"/>
    </row>
    <row r="1986" ht="15.0" hidden="1" customHeight="1">
      <c r="A1986" s="20" t="str">
        <f t="shared" si="1"/>
        <v>RDR-AVANZA21ASH</v>
      </c>
      <c r="B1986" s="24" t="s">
        <v>1502</v>
      </c>
      <c r="C1986" s="22" t="s">
        <v>1503</v>
      </c>
      <c r="D1986" s="25" t="str">
        <f t="shared" si="10"/>
        <v>RDR</v>
      </c>
      <c r="E1986" s="22" t="s">
        <v>82</v>
      </c>
      <c r="F1986" s="25"/>
      <c r="G1986" s="20"/>
      <c r="H1986" s="20">
        <f>SUMIFS(X!$F$5:$F$2005,X!$D$5:$D$2005,'CEK CICI'!A1986)</f>
        <v>5</v>
      </c>
      <c r="I1986" s="20">
        <f>SUMIFS(PENJUALAN!$E$4:$E$4288,PENJUALAN!$C$4:$C$4288,'CEK CICI'!A1986)</f>
        <v>3</v>
      </c>
      <c r="J1986" s="16">
        <f t="shared" si="2"/>
        <v>2</v>
      </c>
      <c r="K1986" s="22" t="s">
        <v>2133</v>
      </c>
      <c r="L1986" s="22"/>
      <c r="M1986" s="25"/>
      <c r="N1986" s="25"/>
    </row>
    <row r="1987" ht="15.0" hidden="1" customHeight="1">
      <c r="A1987" s="20" t="str">
        <f t="shared" si="1"/>
        <v>SWL-AVANZA21ASH</v>
      </c>
      <c r="B1987" s="24" t="s">
        <v>1508</v>
      </c>
      <c r="C1987" s="22" t="s">
        <v>1503</v>
      </c>
      <c r="D1987" s="22" t="s">
        <v>1434</v>
      </c>
      <c r="E1987" s="22" t="s">
        <v>82</v>
      </c>
      <c r="F1987" s="25"/>
      <c r="G1987" s="20"/>
      <c r="H1987" s="20">
        <f>SUMIFS(X!$F$5:$F$2005,X!$D$5:$D$2005,'CEK CICI'!A1987)</f>
        <v>4</v>
      </c>
      <c r="I1987" s="20">
        <f>SUMIFS(PENJUALAN!$E$4:$E$4288,PENJUALAN!$C$4:$C$4288,'CEK CICI'!A1987)</f>
        <v>3</v>
      </c>
      <c r="J1987" s="16">
        <f t="shared" si="2"/>
        <v>1</v>
      </c>
      <c r="K1987" s="22" t="s">
        <v>1509</v>
      </c>
      <c r="L1987" s="22"/>
      <c r="M1987" s="25"/>
      <c r="N1987" s="25"/>
    </row>
    <row r="1988" ht="15.0" hidden="1" customHeight="1">
      <c r="A1988" s="20" t="str">
        <f t="shared" si="1"/>
        <v>SWR-AVANZA21ASH</v>
      </c>
      <c r="B1988" s="24" t="s">
        <v>1557</v>
      </c>
      <c r="C1988" s="22" t="s">
        <v>1503</v>
      </c>
      <c r="D1988" s="22" t="s">
        <v>104</v>
      </c>
      <c r="E1988" s="22" t="s">
        <v>82</v>
      </c>
      <c r="F1988" s="25"/>
      <c r="G1988" s="20"/>
      <c r="H1988" s="20">
        <f>SUMIFS(X!$F$5:$F$2005,X!$D$5:$D$2005,'CEK CICI'!A1988)</f>
        <v>5</v>
      </c>
      <c r="I1988" s="20">
        <f>SUMIFS(PENJUALAN!$E$4:$E$4288,PENJUALAN!$C$4:$C$4288,'CEK CICI'!A1988)</f>
        <v>3</v>
      </c>
      <c r="J1988" s="16">
        <f t="shared" si="2"/>
        <v>2</v>
      </c>
      <c r="K1988" s="22" t="s">
        <v>1509</v>
      </c>
      <c r="L1988" s="22"/>
      <c r="M1988" s="25"/>
      <c r="N1988" s="25"/>
    </row>
    <row r="1989" ht="15.0" hidden="1" customHeight="1">
      <c r="A1989" s="20" t="str">
        <f t="shared" si="1"/>
        <v>FDR-ELFNKRASH</v>
      </c>
      <c r="B1989" s="24" t="s">
        <v>2189</v>
      </c>
      <c r="C1989" s="22" t="s">
        <v>2190</v>
      </c>
      <c r="D1989" s="22" t="s">
        <v>45</v>
      </c>
      <c r="E1989" s="22" t="s">
        <v>82</v>
      </c>
      <c r="F1989" s="25"/>
      <c r="G1989" s="20"/>
      <c r="H1989" s="20">
        <f>SUMIFS(X!$F$5:$F$2005,X!$D$5:$D$2005,'CEK CICI'!A1989)</f>
        <v>5</v>
      </c>
      <c r="I1989" s="20">
        <f>SUMIFS(PENJUALAN!$E$4:$E$4288,PENJUALAN!$C$4:$C$4288,'CEK CICI'!A1989)</f>
        <v>4</v>
      </c>
      <c r="J1989" s="16">
        <f t="shared" si="2"/>
        <v>1</v>
      </c>
      <c r="K1989" s="22" t="s">
        <v>1499</v>
      </c>
      <c r="L1989" s="22"/>
      <c r="M1989" s="25"/>
      <c r="N1989" s="25"/>
    </row>
    <row r="1990" ht="15.0" hidden="1" customHeight="1">
      <c r="A1990" s="20" t="str">
        <f t="shared" si="1"/>
        <v>FDL-ELFNKRASH</v>
      </c>
      <c r="B1990" s="24" t="s">
        <v>2352</v>
      </c>
      <c r="C1990" s="22" t="s">
        <v>2190</v>
      </c>
      <c r="D1990" s="25" t="str">
        <f t="shared" ref="D1990:D1999" si="11">LEFT(A1990,FIND("-",A1990) - 1)</f>
        <v>FDL</v>
      </c>
      <c r="E1990" s="22" t="s">
        <v>82</v>
      </c>
      <c r="F1990" s="25"/>
      <c r="G1990" s="20"/>
      <c r="H1990" s="20">
        <f>SUMIFS(X!$F$5:$F$2005,X!$D$5:$D$2005,'CEK CICI'!A1990)</f>
        <v>6</v>
      </c>
      <c r="I1990" s="20">
        <f>SUMIFS(PENJUALAN!$E$4:$E$4288,PENJUALAN!$C$4:$C$4288,'CEK CICI'!A1990)</f>
        <v>5</v>
      </c>
      <c r="J1990" s="16">
        <f t="shared" si="2"/>
        <v>1</v>
      </c>
      <c r="K1990" s="22" t="s">
        <v>1382</v>
      </c>
      <c r="L1990" s="22"/>
      <c r="M1990" s="25"/>
      <c r="N1990" s="25"/>
    </row>
    <row r="1991" ht="15.0" hidden="1" customHeight="1">
      <c r="A1991" s="20" t="str">
        <f t="shared" si="1"/>
        <v>FDL-TERIOS06ASH</v>
      </c>
      <c r="B1991" s="22" t="s">
        <v>1430</v>
      </c>
      <c r="C1991" s="22" t="s">
        <v>1244</v>
      </c>
      <c r="D1991" s="25" t="str">
        <f t="shared" si="11"/>
        <v>FDL</v>
      </c>
      <c r="E1991" s="22" t="s">
        <v>82</v>
      </c>
      <c r="F1991" s="25"/>
      <c r="G1991" s="20"/>
      <c r="H1991" s="20">
        <f>SUMIFS(X!$F$5:$F$2005,X!$D$5:$D$2005,'CEK CICI'!A1991)</f>
        <v>10</v>
      </c>
      <c r="I1991" s="20">
        <f>SUMIFS(PENJUALAN!$E$4:$E$4288,PENJUALAN!$C$4:$C$4288,'CEK CICI'!A1991)</f>
        <v>5</v>
      </c>
      <c r="J1991" s="16">
        <f t="shared" si="2"/>
        <v>5</v>
      </c>
      <c r="K1991" s="22" t="s">
        <v>1431</v>
      </c>
      <c r="L1991" s="22"/>
      <c r="M1991" s="25"/>
      <c r="N1991" s="25"/>
    </row>
    <row r="1992" ht="15.0" hidden="1" customHeight="1">
      <c r="A1992" s="20" t="str">
        <f t="shared" si="1"/>
        <v>FDR-TERIOS06ASH</v>
      </c>
      <c r="B1992" s="22" t="s">
        <v>1511</v>
      </c>
      <c r="C1992" s="22" t="s">
        <v>1244</v>
      </c>
      <c r="D1992" s="25" t="str">
        <f t="shared" si="11"/>
        <v>FDR</v>
      </c>
      <c r="E1992" s="22" t="s">
        <v>82</v>
      </c>
      <c r="F1992" s="25"/>
      <c r="G1992" s="20"/>
      <c r="H1992" s="20">
        <f>SUMIFS(X!$F$5:$F$2005,X!$D$5:$D$2005,'CEK CICI'!A1992)</f>
        <v>5</v>
      </c>
      <c r="I1992" s="20">
        <f>SUMIFS(PENJUALAN!$E$4:$E$4288,PENJUALAN!$C$4:$C$4288,'CEK CICI'!A1992)</f>
        <v>4</v>
      </c>
      <c r="J1992" s="16">
        <f t="shared" si="2"/>
        <v>1</v>
      </c>
      <c r="K1992" s="22" t="s">
        <v>1431</v>
      </c>
      <c r="L1992" s="22"/>
      <c r="M1992" s="25"/>
      <c r="N1992" s="25"/>
    </row>
    <row r="1993" ht="15.0" hidden="1" customHeight="1">
      <c r="A1993" s="4" t="str">
        <f t="shared" si="1"/>
        <v>LFW-PAJERO16AGC</v>
      </c>
      <c r="B1993" s="15" t="s">
        <v>884</v>
      </c>
      <c r="C1993" s="15" t="s">
        <v>830</v>
      </c>
      <c r="D1993" s="18" t="str">
        <f t="shared" si="11"/>
        <v>LFW</v>
      </c>
      <c r="E1993" s="15" t="s">
        <v>78</v>
      </c>
      <c r="F1993" s="18"/>
      <c r="G1993" s="4"/>
      <c r="H1993" s="4">
        <f>SUMIFS(X!$F$5:$F$2005,X!$D$5:$D$2005,'CEK CICI'!A1993)</f>
        <v>10</v>
      </c>
      <c r="I1993" s="4">
        <f>SUMIFS(PENJUALAN!$E$4:$E$4288,PENJUALAN!$C$4:$C$4288,'CEK CICI'!A1993)</f>
        <v>7</v>
      </c>
      <c r="J1993" s="16">
        <f t="shared" si="2"/>
        <v>3</v>
      </c>
      <c r="K1993" s="15" t="s">
        <v>1487</v>
      </c>
      <c r="L1993" s="15"/>
      <c r="M1993" s="18"/>
      <c r="N1993" s="15" t="s">
        <v>1488</v>
      </c>
    </row>
    <row r="1994" ht="15.0" hidden="1" customHeight="1">
      <c r="A1994" s="4" t="str">
        <f t="shared" si="1"/>
        <v>LFW-CIVIC05PIL</v>
      </c>
      <c r="B1994" s="15" t="s">
        <v>393</v>
      </c>
      <c r="C1994" s="15" t="s">
        <v>394</v>
      </c>
      <c r="D1994" s="18" t="str">
        <f t="shared" si="11"/>
        <v>LFW</v>
      </c>
      <c r="E1994" s="15" t="s">
        <v>74</v>
      </c>
      <c r="F1994" s="15" t="s">
        <v>79</v>
      </c>
      <c r="G1994" s="4"/>
      <c r="H1994" s="4">
        <f>SUMIFS(X!$F$5:$F$2005,X!$D$5:$D$2005,'CEK CICI'!A1994)</f>
        <v>6</v>
      </c>
      <c r="I1994" s="4">
        <f>SUMIFS(PENJUALAN!$E$4:$E$4288,PENJUALAN!$C$4:$C$4288,'CEK CICI'!A1994)</f>
        <v>4</v>
      </c>
      <c r="J1994" s="16">
        <f t="shared" si="2"/>
        <v>2</v>
      </c>
      <c r="K1994" s="15" t="s">
        <v>1442</v>
      </c>
      <c r="L1994" s="15"/>
      <c r="M1994" s="18"/>
      <c r="N1994" s="18"/>
    </row>
    <row r="1995" ht="15.0" hidden="1" customHeight="1">
      <c r="A1995" s="20" t="str">
        <f t="shared" si="1"/>
        <v>TRW-CRV02PIL</v>
      </c>
      <c r="B1995" s="22" t="s">
        <v>422</v>
      </c>
      <c r="C1995" s="22" t="s">
        <v>423</v>
      </c>
      <c r="D1995" s="25" t="str">
        <f t="shared" si="11"/>
        <v>TRW</v>
      </c>
      <c r="E1995" s="22" t="s">
        <v>74</v>
      </c>
      <c r="F1995" s="22" t="s">
        <v>1838</v>
      </c>
      <c r="G1995" s="20"/>
      <c r="H1995" s="20">
        <f>SUMIFS(X!$F$5:$F$2005,X!$D$5:$D$2005,'CEK CICI'!A1995)</f>
        <v>4</v>
      </c>
      <c r="I1995" s="20">
        <f>SUMIFS(PENJUALAN!$E$4:$E$4288,PENJUALAN!$C$4:$C$4288,'CEK CICI'!A1995)</f>
        <v>4</v>
      </c>
      <c r="J1995" s="16">
        <f t="shared" si="2"/>
        <v>0</v>
      </c>
      <c r="K1995" s="22" t="s">
        <v>1422</v>
      </c>
      <c r="L1995" s="22"/>
      <c r="M1995" s="25"/>
      <c r="N1995" s="25"/>
    </row>
    <row r="1996" ht="15.0" hidden="1" customHeight="1">
      <c r="A1996" s="20" t="str">
        <f t="shared" si="1"/>
        <v>TRW-CRV17PIL</v>
      </c>
      <c r="B1996" s="22" t="s">
        <v>445</v>
      </c>
      <c r="C1996" s="22" t="s">
        <v>2357</v>
      </c>
      <c r="D1996" s="25" t="str">
        <f t="shared" si="11"/>
        <v>TRW</v>
      </c>
      <c r="E1996" s="22" t="s">
        <v>74</v>
      </c>
      <c r="F1996" s="22" t="s">
        <v>2358</v>
      </c>
      <c r="G1996" s="20"/>
      <c r="H1996" s="20">
        <f>SUMIFS(X!$F$5:$F$2005,X!$D$5:$D$2005,'CEK CICI'!A1996)</f>
        <v>6</v>
      </c>
      <c r="I1996" s="20">
        <f>SUMIFS(PENJUALAN!$E$4:$E$4288,PENJUALAN!$C$4:$C$4288,'CEK CICI'!A1996)</f>
        <v>5</v>
      </c>
      <c r="J1996" s="16">
        <f t="shared" si="2"/>
        <v>1</v>
      </c>
      <c r="K1996" s="22" t="s">
        <v>1459</v>
      </c>
      <c r="L1996" s="22"/>
      <c r="M1996" s="25"/>
      <c r="N1996" s="25"/>
    </row>
    <row r="1997" ht="15.0" hidden="1" customHeight="1">
      <c r="A1997" s="4" t="str">
        <f t="shared" si="1"/>
        <v>LFW-TELSTAR93MU</v>
      </c>
      <c r="B1997" s="15" t="s">
        <v>2205</v>
      </c>
      <c r="C1997" s="15" t="s">
        <v>2206</v>
      </c>
      <c r="D1997" s="18" t="str">
        <f t="shared" si="11"/>
        <v>LFW</v>
      </c>
      <c r="E1997" s="15" t="s">
        <v>1361</v>
      </c>
      <c r="F1997" s="15" t="s">
        <v>1961</v>
      </c>
      <c r="G1997" s="4"/>
      <c r="H1997" s="4">
        <f>SUMIFS(X!$F$5:$F$2005,X!$D$5:$D$2005,'CEK CICI'!A1997)</f>
        <v>3</v>
      </c>
      <c r="I1997" s="4">
        <f>SUMIFS(PENJUALAN!$E$4:$E$4288,PENJUALAN!$C$4:$C$4288,'CEK CICI'!A1997)</f>
        <v>3</v>
      </c>
      <c r="J1997" s="16">
        <f t="shared" si="2"/>
        <v>0</v>
      </c>
      <c r="K1997" s="15" t="s">
        <v>1695</v>
      </c>
      <c r="L1997" s="15"/>
      <c r="M1997" s="18"/>
      <c r="N1997" s="18"/>
    </row>
    <row r="1998" ht="15.0" customHeight="1">
      <c r="A1998" s="4" t="str">
        <f t="shared" si="1"/>
        <v>LFW-SPARK10XYG</v>
      </c>
      <c r="B1998" s="15" t="s">
        <v>253</v>
      </c>
      <c r="C1998" s="15" t="s">
        <v>254</v>
      </c>
      <c r="D1998" s="18" t="str">
        <f t="shared" si="11"/>
        <v>LFW</v>
      </c>
      <c r="E1998" s="15" t="s">
        <v>16</v>
      </c>
      <c r="F1998" s="15" t="s">
        <v>125</v>
      </c>
      <c r="G1998" s="15">
        <v>1.0</v>
      </c>
      <c r="H1998" s="4">
        <f>SUMIFS(X!$F$5:$F$2005,X!$D$5:$D$2005,'CEK CICI'!A1998)</f>
        <v>1</v>
      </c>
      <c r="I1998" s="4">
        <f>SUMIFS(PENJUALAN!$E$4:$E$4288,PENJUALAN!$C$4:$C$4288,'CEK CICI'!A1998)</f>
        <v>1</v>
      </c>
      <c r="J1998" s="16">
        <f t="shared" si="2"/>
        <v>0</v>
      </c>
      <c r="K1998" s="18"/>
      <c r="L1998" s="18"/>
      <c r="M1998" s="18"/>
      <c r="N1998" s="18"/>
    </row>
    <row r="1999" ht="15.0" hidden="1" customHeight="1">
      <c r="A1999" s="4" t="str">
        <f t="shared" si="1"/>
        <v>FDL-QUESTERASH</v>
      </c>
      <c r="B1999" s="15" t="s">
        <v>1538</v>
      </c>
      <c r="C1999" s="15" t="s">
        <v>1539</v>
      </c>
      <c r="D1999" s="18" t="str">
        <f t="shared" si="11"/>
        <v>FDL</v>
      </c>
      <c r="E1999" s="15" t="s">
        <v>82</v>
      </c>
      <c r="F1999" s="18"/>
      <c r="G1999" s="4"/>
      <c r="H1999" s="4">
        <f>SUMIFS(X!$F$5:$F$2005,X!$D$5:$D$2005,'CEK CICI'!A1999)</f>
        <v>1</v>
      </c>
      <c r="I1999" s="4">
        <f>SUMIFS(PENJUALAN!$E$4:$E$4288,PENJUALAN!$C$4:$C$4288,'CEK CICI'!A1999)</f>
        <v>1</v>
      </c>
      <c r="J1999" s="16">
        <f t="shared" si="2"/>
        <v>0</v>
      </c>
      <c r="K1999" s="18"/>
      <c r="L1999" s="18"/>
      <c r="M1999" s="18"/>
      <c r="N1999" s="18"/>
    </row>
    <row r="2000" ht="15.0" hidden="1" customHeight="1">
      <c r="A2000" s="20" t="str">
        <f t="shared" si="1"/>
        <v>LFW-HRV22PIL</v>
      </c>
      <c r="B2000" s="22" t="s">
        <v>1330</v>
      </c>
      <c r="C2000" s="22" t="s">
        <v>1331</v>
      </c>
      <c r="D2000" s="22" t="s">
        <v>22</v>
      </c>
      <c r="E2000" s="22" t="s">
        <v>74</v>
      </c>
      <c r="F2000" s="35" t="s">
        <v>1332</v>
      </c>
      <c r="G2000" s="20"/>
      <c r="H2000" s="20">
        <f>SUMIFS(X!$F$5:$F$2005,X!$D$5:$D$2005,'CEK CICI'!A2000)</f>
        <v>5</v>
      </c>
      <c r="I2000" s="20">
        <f>SUMIFS(PENJUALAN!$E$4:$E$4288,PENJUALAN!$C$4:$C$4288,'CEK CICI'!A2000)</f>
        <v>4</v>
      </c>
      <c r="J2000" s="16">
        <f t="shared" si="2"/>
        <v>1</v>
      </c>
      <c r="K2000" s="22" t="s">
        <v>1333</v>
      </c>
      <c r="L2000" s="22"/>
      <c r="M2000" s="25"/>
      <c r="N2000" s="25"/>
    </row>
    <row r="2001" ht="15.0" hidden="1" customHeight="1">
      <c r="A2001" s="4" t="str">
        <f t="shared" si="1"/>
        <v>TRW-ELFNKRASH</v>
      </c>
      <c r="B2001" s="15" t="s">
        <v>2362</v>
      </c>
      <c r="C2001" s="15" t="s">
        <v>2190</v>
      </c>
      <c r="D2001" s="15" t="s">
        <v>41</v>
      </c>
      <c r="E2001" s="15" t="s">
        <v>82</v>
      </c>
      <c r="F2001" s="18"/>
      <c r="G2001" s="4"/>
      <c r="H2001" s="4">
        <f>SUMIFS(X!$F$5:$F$2005,X!$D$5:$D$2005,'CEK CICI'!A2001)</f>
        <v>0</v>
      </c>
      <c r="I2001" s="4">
        <f>SUMIFS(PENJUALAN!$E$4:$E$4288,PENJUALAN!$C$4:$C$4288,'CEK CICI'!A2001)</f>
        <v>0</v>
      </c>
      <c r="J2001" s="16">
        <f t="shared" si="2"/>
        <v>0</v>
      </c>
      <c r="K2001" s="18"/>
      <c r="L2001" s="18"/>
      <c r="M2001" s="18"/>
      <c r="N2001" s="18"/>
    </row>
    <row r="2002" ht="15.0" hidden="1" customHeight="1">
      <c r="A2002" s="4" t="str">
        <f t="shared" si="1"/>
        <v>TRW-CAMRY11PIL</v>
      </c>
      <c r="B2002" s="15" t="s">
        <v>1116</v>
      </c>
      <c r="C2002" s="15" t="s">
        <v>2363</v>
      </c>
      <c r="D2002" s="15" t="s">
        <v>41</v>
      </c>
      <c r="E2002" s="15" t="s">
        <v>74</v>
      </c>
      <c r="F2002" s="15" t="s">
        <v>67</v>
      </c>
      <c r="G2002" s="4"/>
      <c r="H2002" s="4">
        <f>SUMIFS(X!$F$5:$F$2005,X!$D$5:$D$2005,'CEK CICI'!A2002)</f>
        <v>2</v>
      </c>
      <c r="I2002" s="4">
        <f>SUMIFS(PENJUALAN!$E$4:$E$4288,PENJUALAN!$C$4:$C$4288,'CEK CICI'!A2002)</f>
        <v>0</v>
      </c>
      <c r="J2002" s="16">
        <f t="shared" si="2"/>
        <v>2</v>
      </c>
      <c r="K2002" s="15" t="s">
        <v>1378</v>
      </c>
      <c r="L2002" s="15"/>
      <c r="M2002" s="18"/>
      <c r="N2002" s="18"/>
    </row>
    <row r="2003" ht="15.0" hidden="1" customHeight="1">
      <c r="A2003" s="4" t="str">
        <f t="shared" si="1"/>
        <v>LFW-NAVARA04PIL</v>
      </c>
      <c r="B2003" s="15" t="s">
        <v>924</v>
      </c>
      <c r="C2003" s="15" t="s">
        <v>925</v>
      </c>
      <c r="D2003" s="15" t="s">
        <v>22</v>
      </c>
      <c r="E2003" s="15" t="s">
        <v>74</v>
      </c>
      <c r="F2003" s="18"/>
      <c r="G2003" s="4"/>
      <c r="H2003" s="4">
        <f>SUMIFS(X!$F$5:$F$2005,X!$D$5:$D$2005,'CEK CICI'!A2003)</f>
        <v>1</v>
      </c>
      <c r="I2003" s="4">
        <f>SUMIFS(PENJUALAN!$E$4:$E$4288,PENJUALAN!$C$4:$C$4288,'CEK CICI'!A2003)</f>
        <v>0</v>
      </c>
      <c r="J2003" s="16">
        <f t="shared" si="2"/>
        <v>1</v>
      </c>
      <c r="K2003" s="15" t="s">
        <v>1544</v>
      </c>
      <c r="L2003" s="15"/>
      <c r="M2003" s="18"/>
      <c r="N2003" s="18"/>
    </row>
    <row r="2004" ht="15.0" hidden="1" customHeight="1">
      <c r="A2004" s="4" t="str">
        <f t="shared" si="1"/>
        <v>TRW-ERTIGA18ASH</v>
      </c>
      <c r="B2004" s="15" t="s">
        <v>1795</v>
      </c>
      <c r="C2004" s="15" t="s">
        <v>1794</v>
      </c>
      <c r="D2004" s="15" t="s">
        <v>41</v>
      </c>
      <c r="E2004" s="15" t="s">
        <v>82</v>
      </c>
      <c r="F2004" s="15" t="s">
        <v>97</v>
      </c>
      <c r="G2004" s="4"/>
      <c r="H2004" s="4">
        <f>SUMIFS(X!$F$5:$F$2005,X!$D$5:$D$2005,'CEK CICI'!A2004)</f>
        <v>5</v>
      </c>
      <c r="I2004" s="4">
        <f>SUMIFS(PENJUALAN!$E$4:$E$4288,PENJUALAN!$C$4:$C$4288,'CEK CICI'!A2004)</f>
        <v>4</v>
      </c>
      <c r="J2004" s="16">
        <f t="shared" si="2"/>
        <v>1</v>
      </c>
      <c r="K2004" s="15" t="s">
        <v>1398</v>
      </c>
      <c r="L2004" s="15"/>
      <c r="M2004" s="18"/>
      <c r="N2004" s="18"/>
    </row>
    <row r="2005" ht="15.0" hidden="1" customHeight="1">
      <c r="A2005" s="20" t="str">
        <f t="shared" si="1"/>
        <v>RQL-SIGRA16ASH</v>
      </c>
      <c r="B2005" s="22" t="s">
        <v>11537</v>
      </c>
      <c r="C2005" s="22" t="s">
        <v>1514</v>
      </c>
      <c r="D2005" s="22" t="s">
        <v>2214</v>
      </c>
      <c r="E2005" s="22" t="s">
        <v>82</v>
      </c>
      <c r="F2005" s="25"/>
      <c r="G2005" s="20"/>
      <c r="H2005" s="20">
        <f>SUMIFS(X!$F$5:$F$2005,X!$D$5:$D$2005,'CEK CICI'!A2005)</f>
        <v>0</v>
      </c>
      <c r="I2005" s="20">
        <f>SUMIFS(PENJUALAN!$E$4:$E$4288,PENJUALAN!$C$4:$C$4288,'CEK CICI'!A2005)</f>
        <v>0</v>
      </c>
      <c r="J2005" s="16">
        <f t="shared" si="2"/>
        <v>0</v>
      </c>
      <c r="K2005" s="22" t="s">
        <v>1473</v>
      </c>
      <c r="L2005" s="22"/>
      <c r="M2005" s="25"/>
      <c r="N2005" s="25"/>
    </row>
    <row r="2006" ht="15.0" hidden="1" customHeight="1">
      <c r="A2006" s="20" t="str">
        <f t="shared" si="1"/>
        <v>RQR-SIGRA16ASH</v>
      </c>
      <c r="B2006" s="22" t="s">
        <v>11538</v>
      </c>
      <c r="C2006" s="22" t="s">
        <v>1514</v>
      </c>
      <c r="D2006" s="22" t="s">
        <v>1515</v>
      </c>
      <c r="E2006" s="22" t="s">
        <v>82</v>
      </c>
      <c r="F2006" s="25"/>
      <c r="G2006" s="20"/>
      <c r="H2006" s="20">
        <f>SUMIFS(X!$F$5:$F$2005,X!$D$5:$D$2005,'CEK CICI'!A2006)</f>
        <v>0</v>
      </c>
      <c r="I2006" s="20">
        <f>SUMIFS(PENJUALAN!$E$4:$E$4288,PENJUALAN!$C$4:$C$4288,'CEK CICI'!A2006)</f>
        <v>0</v>
      </c>
      <c r="J2006" s="16">
        <f t="shared" si="2"/>
        <v>0</v>
      </c>
      <c r="K2006" s="22" t="s">
        <v>1473</v>
      </c>
      <c r="L2006" s="22"/>
      <c r="M2006" s="25"/>
      <c r="N2006" s="25"/>
    </row>
    <row r="2007" ht="15.0" hidden="1" customHeight="1">
      <c r="A2007" s="20" t="str">
        <f t="shared" si="1"/>
        <v>TRW-DYNAASH</v>
      </c>
      <c r="B2007" s="22" t="s">
        <v>2218</v>
      </c>
      <c r="C2007" s="22" t="s">
        <v>1381</v>
      </c>
      <c r="D2007" s="22" t="s">
        <v>41</v>
      </c>
      <c r="E2007" s="22" t="s">
        <v>82</v>
      </c>
      <c r="F2007" s="25"/>
      <c r="G2007" s="20"/>
      <c r="H2007" s="20">
        <f>SUMIFS(X!$F$5:$F$2005,X!$D$5:$D$2005,'CEK CICI'!A2007)</f>
        <v>5</v>
      </c>
      <c r="I2007" s="20">
        <f>SUMIFS(PENJUALAN!$E$4:$E$4288,PENJUALAN!$C$4:$C$4288,'CEK CICI'!A2007)</f>
        <v>4</v>
      </c>
      <c r="J2007" s="16">
        <f t="shared" si="2"/>
        <v>1</v>
      </c>
      <c r="K2007" s="22" t="s">
        <v>1355</v>
      </c>
      <c r="L2007" s="22"/>
      <c r="M2007" s="25"/>
      <c r="N2007" s="25"/>
    </row>
    <row r="2008" ht="15.0" hidden="1" customHeight="1">
      <c r="A2008" s="20" t="str">
        <f t="shared" si="1"/>
        <v>LFW-AVANZA21RSASH</v>
      </c>
      <c r="B2008" s="22" t="s">
        <v>2366</v>
      </c>
      <c r="C2008" s="22" t="s">
        <v>2367</v>
      </c>
      <c r="D2008" s="22" t="s">
        <v>22</v>
      </c>
      <c r="E2008" s="22" t="s">
        <v>82</v>
      </c>
      <c r="F2008" s="22" t="s">
        <v>189</v>
      </c>
      <c r="G2008" s="20"/>
      <c r="H2008" s="20">
        <f>SUMIFS(X!$F$5:$F$2005,X!$D$5:$D$2005,'CEK CICI'!A2008)</f>
        <v>5</v>
      </c>
      <c r="I2008" s="20">
        <f>SUMIFS(PENJUALAN!$E$4:$E$4288,PENJUALAN!$C$4:$C$4288,'CEK CICI'!A2008)</f>
        <v>4</v>
      </c>
      <c r="J2008" s="16">
        <f t="shared" si="2"/>
        <v>1</v>
      </c>
      <c r="K2008" s="22" t="s">
        <v>1770</v>
      </c>
      <c r="L2008" s="22"/>
      <c r="M2008" s="25"/>
      <c r="N2008" s="25"/>
    </row>
    <row r="2009" ht="15.0" hidden="1" customHeight="1">
      <c r="A2009" s="4" t="str">
        <f t="shared" si="1"/>
        <v>RDL-PAJERO16AGC</v>
      </c>
      <c r="B2009" s="15" t="s">
        <v>2368</v>
      </c>
      <c r="C2009" s="15" t="s">
        <v>830</v>
      </c>
      <c r="D2009" s="15" t="s">
        <v>47</v>
      </c>
      <c r="E2009" s="15" t="s">
        <v>78</v>
      </c>
      <c r="F2009" s="18"/>
      <c r="G2009" s="4"/>
      <c r="H2009" s="4">
        <f>SUMIFS(X!$F$5:$F$2005,X!$D$5:$D$2005,'CEK CICI'!A2009)</f>
        <v>1</v>
      </c>
      <c r="I2009" s="4">
        <f>SUMIFS(PENJUALAN!$E$4:$E$4288,PENJUALAN!$C$4:$C$4288,'CEK CICI'!A2009)</f>
        <v>0</v>
      </c>
      <c r="J2009" s="16">
        <f t="shared" si="2"/>
        <v>1</v>
      </c>
      <c r="K2009" s="15" t="s">
        <v>596</v>
      </c>
      <c r="L2009" s="15"/>
      <c r="M2009" s="18"/>
      <c r="N2009" s="18"/>
    </row>
    <row r="2010" ht="15.0" hidden="1" customHeight="1">
      <c r="A2010" s="4" t="str">
        <f t="shared" si="1"/>
        <v>RDR-PAJERO16AGC</v>
      </c>
      <c r="B2010" s="15" t="s">
        <v>2369</v>
      </c>
      <c r="C2010" s="15" t="s">
        <v>830</v>
      </c>
      <c r="D2010" s="15" t="s">
        <v>70</v>
      </c>
      <c r="E2010" s="15" t="s">
        <v>78</v>
      </c>
      <c r="F2010" s="18"/>
      <c r="G2010" s="4"/>
      <c r="H2010" s="4">
        <f>SUMIFS(X!$F$5:$F$2005,X!$D$5:$D$2005,'CEK CICI'!A2010)</f>
        <v>1</v>
      </c>
      <c r="I2010" s="4">
        <f>SUMIFS(PENJUALAN!$E$4:$E$4288,PENJUALAN!$C$4:$C$4288,'CEK CICI'!A2010)</f>
        <v>0</v>
      </c>
      <c r="J2010" s="16">
        <f t="shared" si="2"/>
        <v>1</v>
      </c>
      <c r="K2010" s="15" t="s">
        <v>596</v>
      </c>
      <c r="L2010" s="15"/>
      <c r="M2010" s="18"/>
      <c r="N2010" s="18"/>
    </row>
    <row r="2011" ht="15.0" hidden="1" customHeight="1">
      <c r="A2011" s="4" t="str">
        <f t="shared" si="1"/>
        <v>FDL-PAJERO16AGC</v>
      </c>
      <c r="B2011" s="15" t="s">
        <v>2219</v>
      </c>
      <c r="C2011" s="15" t="s">
        <v>830</v>
      </c>
      <c r="D2011" s="15" t="s">
        <v>93</v>
      </c>
      <c r="E2011" s="15" t="s">
        <v>78</v>
      </c>
      <c r="F2011" s="18"/>
      <c r="G2011" s="4"/>
      <c r="H2011" s="4">
        <f>SUMIFS(X!$F$5:$F$2005,X!$D$5:$D$2005,'CEK CICI'!A2011)</f>
        <v>1</v>
      </c>
      <c r="I2011" s="4">
        <f>SUMIFS(PENJUALAN!$E$4:$E$4288,PENJUALAN!$C$4:$C$4288,'CEK CICI'!A2011)</f>
        <v>1</v>
      </c>
      <c r="J2011" s="16">
        <f t="shared" si="2"/>
        <v>0</v>
      </c>
      <c r="K2011" s="15" t="s">
        <v>832</v>
      </c>
      <c r="L2011" s="15"/>
      <c r="M2011" s="18"/>
      <c r="N2011" s="18"/>
    </row>
    <row r="2012" ht="15.0" hidden="1" customHeight="1">
      <c r="A2012" s="4" t="str">
        <f t="shared" si="1"/>
        <v>TRW-XPANDERHAGC</v>
      </c>
      <c r="B2012" s="15" t="s">
        <v>1708</v>
      </c>
      <c r="C2012" s="79" t="s">
        <v>2372</v>
      </c>
      <c r="D2012" s="15" t="s">
        <v>41</v>
      </c>
      <c r="E2012" s="15" t="s">
        <v>78</v>
      </c>
      <c r="F2012" s="15" t="s">
        <v>2373</v>
      </c>
      <c r="G2012" s="4"/>
      <c r="H2012" s="4">
        <f>SUMIFS(X!$F$5:$F$2005,X!$D$5:$D$2005,'CEK CICI'!A2012)</f>
        <v>6</v>
      </c>
      <c r="I2012" s="4">
        <f>SUMIFS(PENJUALAN!$E$4:$E$4288,PENJUALAN!$C$4:$C$4288,'CEK CICI'!A2012)</f>
        <v>2</v>
      </c>
      <c r="J2012" s="16">
        <f t="shared" si="2"/>
        <v>4</v>
      </c>
      <c r="K2012" s="15" t="s">
        <v>101</v>
      </c>
      <c r="L2012" s="15"/>
      <c r="M2012" s="18"/>
      <c r="N2012" s="15" t="s">
        <v>11539</v>
      </c>
    </row>
    <row r="2013" ht="15.0" hidden="1" customHeight="1">
      <c r="A2013" s="4" t="str">
        <f t="shared" si="1"/>
        <v>FDR-PAJERO16AGC</v>
      </c>
      <c r="B2013" s="15" t="s">
        <v>2371</v>
      </c>
      <c r="C2013" s="15" t="s">
        <v>830</v>
      </c>
      <c r="D2013" s="15" t="s">
        <v>45</v>
      </c>
      <c r="E2013" s="15" t="s">
        <v>78</v>
      </c>
      <c r="F2013" s="18"/>
      <c r="G2013" s="4"/>
      <c r="H2013" s="4">
        <f>SUMIFS(X!$F$5:$F$2005,X!$D$5:$D$2005,'CEK CICI'!A2013)</f>
        <v>1</v>
      </c>
      <c r="I2013" s="4">
        <f>SUMIFS(PENJUALAN!$E$4:$E$4288,PENJUALAN!$C$4:$C$4288,'CEK CICI'!A2013)</f>
        <v>0</v>
      </c>
      <c r="J2013" s="16">
        <f t="shared" si="2"/>
        <v>1</v>
      </c>
      <c r="K2013" s="15" t="s">
        <v>832</v>
      </c>
      <c r="L2013" s="15"/>
      <c r="M2013" s="18"/>
      <c r="N2013" s="18"/>
    </row>
    <row r="2014" ht="15.0" hidden="1" customHeight="1">
      <c r="A2014" s="20" t="str">
        <f t="shared" si="1"/>
        <v>SWR-PAJERO16AGC</v>
      </c>
      <c r="B2014" s="22" t="s">
        <v>829</v>
      </c>
      <c r="C2014" s="22" t="s">
        <v>830</v>
      </c>
      <c r="D2014" s="22" t="s">
        <v>104</v>
      </c>
      <c r="E2014" s="22" t="s">
        <v>78</v>
      </c>
      <c r="F2014" s="22" t="s">
        <v>831</v>
      </c>
      <c r="G2014" s="20"/>
      <c r="H2014" s="20">
        <f>SUMIFS(X!$F$5:$F$2005,X!$D$5:$D$2005,'CEK CICI'!A2014)</f>
        <v>1</v>
      </c>
      <c r="I2014" s="20">
        <f>SUMIFS(PENJUALAN!$E$4:$E$4288,PENJUALAN!$C$4:$C$4288,'CEK CICI'!A2014)</f>
        <v>1</v>
      </c>
      <c r="J2014" s="16">
        <f t="shared" si="2"/>
        <v>0</v>
      </c>
      <c r="K2014" s="22" t="s">
        <v>832</v>
      </c>
      <c r="L2014" s="22"/>
      <c r="M2014" s="25"/>
      <c r="N2014" s="25"/>
    </row>
    <row r="2015" ht="15.0" hidden="1" customHeight="1">
      <c r="A2015" s="4" t="str">
        <f t="shared" si="1"/>
        <v>RDR-XPANDERAGC</v>
      </c>
      <c r="B2015" s="15" t="s">
        <v>1403</v>
      </c>
      <c r="C2015" s="27" t="s">
        <v>99</v>
      </c>
      <c r="D2015" s="15" t="s">
        <v>70</v>
      </c>
      <c r="E2015" s="15" t="s">
        <v>78</v>
      </c>
      <c r="F2015" s="18"/>
      <c r="G2015" s="4"/>
      <c r="H2015" s="4">
        <f>SUMIFS(X!$F$5:$F$2005,X!$D$5:$D$2005,'CEK CICI'!A2015)</f>
        <v>3</v>
      </c>
      <c r="I2015" s="4">
        <f>SUMIFS(PENJUALAN!$E$4:$E$4288,PENJUALAN!$C$4:$C$4288,'CEK CICI'!A2015)</f>
        <v>2</v>
      </c>
      <c r="J2015" s="16">
        <f t="shared" si="2"/>
        <v>1</v>
      </c>
      <c r="K2015" s="15" t="s">
        <v>832</v>
      </c>
      <c r="L2015" s="15"/>
      <c r="M2015" s="18"/>
      <c r="N2015" s="18"/>
    </row>
    <row r="2016" ht="15.0" hidden="1" customHeight="1">
      <c r="A2016" s="4" t="str">
        <f t="shared" si="1"/>
        <v>TRW-XPANDERAGC</v>
      </c>
      <c r="B2016" s="15" t="s">
        <v>98</v>
      </c>
      <c r="C2016" s="27" t="s">
        <v>99</v>
      </c>
      <c r="D2016" s="15" t="s">
        <v>41</v>
      </c>
      <c r="E2016" s="15" t="s">
        <v>78</v>
      </c>
      <c r="F2016" s="15" t="s">
        <v>100</v>
      </c>
      <c r="G2016" s="4"/>
      <c r="H2016" s="4">
        <f>SUMIFS(X!$F$5:$F$2005,X!$D$5:$D$2005,'CEK CICI'!A2016)</f>
        <v>6</v>
      </c>
      <c r="I2016" s="4">
        <f>SUMIFS(PENJUALAN!$E$4:$E$4288,PENJUALAN!$C$4:$C$4288,'CEK CICI'!A2016)</f>
        <v>5</v>
      </c>
      <c r="J2016" s="16">
        <f t="shared" si="2"/>
        <v>1</v>
      </c>
      <c r="K2016" s="15" t="s">
        <v>101</v>
      </c>
      <c r="L2016" s="15"/>
      <c r="M2016" s="18"/>
      <c r="N2016" s="15" t="s">
        <v>11539</v>
      </c>
    </row>
    <row r="2017" ht="15.0" hidden="1" customHeight="1">
      <c r="A2017" s="4" t="str">
        <f t="shared" si="1"/>
        <v>TRW-XPANDER22HAGC</v>
      </c>
      <c r="B2017" s="15" t="s">
        <v>2374</v>
      </c>
      <c r="C2017" s="27" t="s">
        <v>2375</v>
      </c>
      <c r="D2017" s="15" t="s">
        <v>41</v>
      </c>
      <c r="E2017" s="15" t="s">
        <v>78</v>
      </c>
      <c r="F2017" s="15" t="s">
        <v>67</v>
      </c>
      <c r="G2017" s="4"/>
      <c r="H2017" s="4">
        <f>SUMIFS(X!$F$5:$F$2005,X!$D$5:$D$2005,'CEK CICI'!A2017)</f>
        <v>5</v>
      </c>
      <c r="I2017" s="4">
        <f>SUMIFS(PENJUALAN!$E$4:$E$4288,PENJUALAN!$C$4:$C$4288,'CEK CICI'!A2017)</f>
        <v>2</v>
      </c>
      <c r="J2017" s="16">
        <f t="shared" si="2"/>
        <v>3</v>
      </c>
      <c r="K2017" s="15" t="s">
        <v>1398</v>
      </c>
      <c r="L2017" s="15"/>
      <c r="M2017" s="18"/>
      <c r="N2017" s="15"/>
    </row>
    <row r="2018" ht="15.0" hidden="1" customHeight="1">
      <c r="A2018" s="20" t="str">
        <f t="shared" si="1"/>
        <v>TRW-GRANMAXPUASH</v>
      </c>
      <c r="B2018" s="22" t="s">
        <v>1493</v>
      </c>
      <c r="C2018" s="22" t="s">
        <v>1494</v>
      </c>
      <c r="D2018" s="22" t="s">
        <v>41</v>
      </c>
      <c r="E2018" s="22" t="s">
        <v>82</v>
      </c>
      <c r="F2018" s="25"/>
      <c r="G2018" s="20"/>
      <c r="H2018" s="20">
        <f>SUMIFS(X!$F$5:$F$2005,X!$D$5:$D$2005,'CEK CICI'!A2018)</f>
        <v>5</v>
      </c>
      <c r="I2018" s="20">
        <f>SUMIFS(PENJUALAN!$E$4:$E$4288,PENJUALAN!$C$4:$C$4288,'CEK CICI'!A2018)</f>
        <v>4</v>
      </c>
      <c r="J2018" s="16">
        <f t="shared" si="2"/>
        <v>1</v>
      </c>
      <c r="K2018" s="22" t="s">
        <v>1355</v>
      </c>
      <c r="L2018" s="22"/>
      <c r="M2018" s="25"/>
      <c r="N2018" s="25"/>
    </row>
    <row r="2019" ht="15.0" hidden="1" customHeight="1">
      <c r="A2019" s="4" t="str">
        <f t="shared" si="1"/>
        <v>LFW-PALISADE23RSXYG</v>
      </c>
      <c r="B2019" s="15" t="s">
        <v>1703</v>
      </c>
      <c r="C2019" s="15" t="s">
        <v>1704</v>
      </c>
      <c r="D2019" s="15" t="s">
        <v>22</v>
      </c>
      <c r="E2019" s="15" t="s">
        <v>16</v>
      </c>
      <c r="F2019" s="15" t="s">
        <v>75</v>
      </c>
      <c r="G2019" s="4"/>
      <c r="H2019" s="4">
        <f>SUMIFS(X!$F$5:$F$2005,X!$D$5:$D$2005,'CEK CICI'!A2019)</f>
        <v>2</v>
      </c>
      <c r="I2019" s="4">
        <f>SUMIFS(PENJUALAN!$E$4:$E$4288,PENJUALAN!$C$4:$C$4288,'CEK CICI'!A2019)</f>
        <v>2</v>
      </c>
      <c r="J2019" s="16">
        <f t="shared" si="2"/>
        <v>0</v>
      </c>
      <c r="K2019" s="18"/>
      <c r="L2019" s="18"/>
      <c r="M2019" s="18"/>
      <c r="N2019" s="18"/>
    </row>
    <row r="2020" ht="15.0" hidden="1" customHeight="1">
      <c r="A2020" s="20" t="str">
        <f t="shared" si="1"/>
        <v>RDL-SIGRA16ASH</v>
      </c>
      <c r="B2020" s="22" t="s">
        <v>1516</v>
      </c>
      <c r="C2020" s="39" t="s">
        <v>1517</v>
      </c>
      <c r="D2020" s="22" t="s">
        <v>47</v>
      </c>
      <c r="E2020" s="22" t="s">
        <v>82</v>
      </c>
      <c r="F2020" s="25"/>
      <c r="G2020" s="20"/>
      <c r="H2020" s="20">
        <f>SUMIFS(X!$F$5:$F$2005,X!$D$5:$D$2005,'CEK CICI'!A2020)</f>
        <v>5</v>
      </c>
      <c r="I2020" s="20">
        <f>SUMIFS(PENJUALAN!$E$4:$E$4288,PENJUALAN!$C$4:$C$4288,'CEK CICI'!A2020)</f>
        <v>3</v>
      </c>
      <c r="J2020" s="16">
        <f t="shared" si="2"/>
        <v>2</v>
      </c>
      <c r="K2020" s="22" t="s">
        <v>1391</v>
      </c>
      <c r="L2020" s="22"/>
      <c r="M2020" s="25"/>
      <c r="N2020" s="22" t="s">
        <v>1518</v>
      </c>
    </row>
    <row r="2021" ht="15.0" hidden="1" customHeight="1">
      <c r="A2021" s="20" t="str">
        <f t="shared" si="1"/>
        <v>RDR-SIGRA16ASH</v>
      </c>
      <c r="B2021" s="22" t="s">
        <v>2192</v>
      </c>
      <c r="C2021" s="39" t="s">
        <v>1517</v>
      </c>
      <c r="D2021" s="22" t="s">
        <v>70</v>
      </c>
      <c r="E2021" s="22" t="s">
        <v>82</v>
      </c>
      <c r="F2021" s="25"/>
      <c r="G2021" s="20"/>
      <c r="H2021" s="20">
        <f>SUMIFS(X!$F$5:$F$2005,X!$D$5:$D$2005,'CEK CICI'!A2021)</f>
        <v>5</v>
      </c>
      <c r="I2021" s="20">
        <f>SUMIFS(PENJUALAN!$E$4:$E$4288,PENJUALAN!$C$4:$C$4288,'CEK CICI'!A2021)</f>
        <v>4</v>
      </c>
      <c r="J2021" s="16">
        <f t="shared" si="2"/>
        <v>1</v>
      </c>
      <c r="K2021" s="22" t="s">
        <v>1391</v>
      </c>
      <c r="L2021" s="22"/>
      <c r="M2021" s="25"/>
      <c r="N2021" s="25"/>
    </row>
    <row r="2022" ht="15.0" hidden="1" customHeight="1">
      <c r="A2022" s="20" t="str">
        <f t="shared" si="1"/>
        <v>FDL-FE300ASH</v>
      </c>
      <c r="B2022" s="22" t="s">
        <v>2379</v>
      </c>
      <c r="C2022" s="39" t="s">
        <v>2003</v>
      </c>
      <c r="D2022" s="22" t="s">
        <v>93</v>
      </c>
      <c r="E2022" s="22" t="s">
        <v>82</v>
      </c>
      <c r="F2022" s="25"/>
      <c r="G2022" s="20"/>
      <c r="H2022" s="20">
        <f>SUMIFS(X!$F$5:$F$2005,X!$D$5:$D$2005,'CEK CICI'!A2022)</f>
        <v>5</v>
      </c>
      <c r="I2022" s="20">
        <f>SUMIFS(PENJUALAN!$E$4:$E$4288,PENJUALAN!$C$4:$C$4288,'CEK CICI'!A2022)</f>
        <v>5</v>
      </c>
      <c r="J2022" s="16">
        <f t="shared" si="2"/>
        <v>0</v>
      </c>
      <c r="K2022" s="22" t="s">
        <v>1382</v>
      </c>
      <c r="L2022" s="22"/>
      <c r="M2022" s="25"/>
      <c r="N2022" s="25"/>
    </row>
    <row r="2023" ht="15.0" hidden="1" customHeight="1">
      <c r="A2023" s="4" t="str">
        <f t="shared" si="1"/>
        <v>FDR-LOUHANASH</v>
      </c>
      <c r="B2023" s="15" t="s">
        <v>738</v>
      </c>
      <c r="C2023" s="15" t="s">
        <v>739</v>
      </c>
      <c r="D2023" s="15" t="s">
        <v>45</v>
      </c>
      <c r="E2023" s="15" t="s">
        <v>82</v>
      </c>
      <c r="F2023" s="18"/>
      <c r="G2023" s="4"/>
      <c r="H2023" s="4">
        <f>SUMIFS(X!$F$5:$F$2005,X!$D$5:$D$2005,'CEK CICI'!A2023)</f>
        <v>1</v>
      </c>
      <c r="I2023" s="4">
        <f>SUMIFS(PENJUALAN!$E$4:$E$4288,PENJUALAN!$C$4:$C$4288,'CEK CICI'!A2023)</f>
        <v>1</v>
      </c>
      <c r="J2023" s="16">
        <f t="shared" si="2"/>
        <v>0</v>
      </c>
      <c r="K2023" s="18"/>
      <c r="L2023" s="18"/>
      <c r="M2023" s="18"/>
      <c r="N2023" s="18"/>
    </row>
    <row r="2024" ht="15.0" hidden="1" customHeight="1">
      <c r="A2024" s="4" t="str">
        <f t="shared" si="1"/>
        <v>TRW-HIACE19BNGXYG</v>
      </c>
      <c r="B2024" s="15" t="s">
        <v>1375</v>
      </c>
      <c r="C2024" s="15" t="s">
        <v>1376</v>
      </c>
      <c r="D2024" s="15" t="s">
        <v>41</v>
      </c>
      <c r="E2024" s="15" t="s">
        <v>16</v>
      </c>
      <c r="F2024" s="15" t="s">
        <v>1377</v>
      </c>
      <c r="G2024" s="4"/>
      <c r="H2024" s="4">
        <f>SUMIFS(X!$F$5:$F$2005,X!$D$5:$D$2005,'CEK CICI'!A2024)</f>
        <v>3</v>
      </c>
      <c r="I2024" s="4">
        <f>SUMIFS(PENJUALAN!$E$4:$E$4288,PENJUALAN!$C$4:$C$4288,'CEK CICI'!A2024)</f>
        <v>1</v>
      </c>
      <c r="J2024" s="16">
        <f t="shared" si="2"/>
        <v>2</v>
      </c>
      <c r="K2024" s="15" t="s">
        <v>1378</v>
      </c>
      <c r="L2024" s="15"/>
      <c r="M2024" s="18"/>
      <c r="N2024" s="18"/>
    </row>
    <row r="2025" ht="15.0" hidden="1" customHeight="1">
      <c r="A2025" s="20" t="str">
        <f t="shared" si="1"/>
        <v>FDL-ERTIGA12ASH</v>
      </c>
      <c r="B2025" s="22" t="s">
        <v>1390</v>
      </c>
      <c r="C2025" s="22" t="s">
        <v>1024</v>
      </c>
      <c r="D2025" s="22" t="s">
        <v>93</v>
      </c>
      <c r="E2025" s="22" t="s">
        <v>82</v>
      </c>
      <c r="F2025" s="25"/>
      <c r="G2025" s="20"/>
      <c r="H2025" s="20">
        <f>SUMIFS(X!$F$5:$F$2005,X!$D$5:$D$2005,'CEK CICI'!A2025)</f>
        <v>10</v>
      </c>
      <c r="I2025" s="20">
        <f>SUMIFS(PENJUALAN!$E$4:$E$4288,PENJUALAN!$C$4:$C$4288,'CEK CICI'!A2025)</f>
        <v>4</v>
      </c>
      <c r="J2025" s="16">
        <f t="shared" si="2"/>
        <v>6</v>
      </c>
      <c r="K2025" s="22" t="s">
        <v>1391</v>
      </c>
      <c r="L2025" s="22"/>
      <c r="M2025" s="25"/>
      <c r="N2025" s="25"/>
    </row>
    <row r="2026" ht="15.0" hidden="1" customHeight="1">
      <c r="A2026" s="4" t="str">
        <f t="shared" si="1"/>
        <v>FDR-ERTIGA12ASH</v>
      </c>
      <c r="B2026" s="15" t="s">
        <v>2384</v>
      </c>
      <c r="C2026" s="15" t="s">
        <v>1024</v>
      </c>
      <c r="D2026" s="15" t="s">
        <v>45</v>
      </c>
      <c r="E2026" s="15" t="s">
        <v>82</v>
      </c>
      <c r="F2026" s="18"/>
      <c r="G2026" s="4"/>
      <c r="H2026" s="4">
        <f>SUMIFS(X!$F$5:$F$2005,X!$D$5:$D$2005,'CEK CICI'!A2026)</f>
        <v>5</v>
      </c>
      <c r="I2026" s="4">
        <f>SUMIFS(PENJUALAN!$E$4:$E$4288,PENJUALAN!$C$4:$C$4288,'CEK CICI'!A2026)</f>
        <v>1</v>
      </c>
      <c r="J2026" s="16">
        <f t="shared" si="2"/>
        <v>4</v>
      </c>
      <c r="K2026" s="18"/>
      <c r="L2026" s="18"/>
      <c r="M2026" s="18"/>
      <c r="N2026" s="18"/>
    </row>
    <row r="2027" ht="15.0" hidden="1" customHeight="1">
      <c r="A2027" s="4" t="str">
        <f t="shared" si="1"/>
        <v>FDR-SWIFT04AGC</v>
      </c>
      <c r="B2027" s="15" t="s">
        <v>1405</v>
      </c>
      <c r="C2027" s="15" t="s">
        <v>1406</v>
      </c>
      <c r="D2027" s="15" t="s">
        <v>45</v>
      </c>
      <c r="E2027" s="15" t="s">
        <v>78</v>
      </c>
      <c r="F2027" s="18"/>
      <c r="G2027" s="4"/>
      <c r="H2027" s="4">
        <f>SUMIFS(X!$F$5:$F$2005,X!$D$5:$D$2005,'CEK CICI'!A2027)</f>
        <v>1</v>
      </c>
      <c r="I2027" s="4">
        <f>SUMIFS(PENJUALAN!$E$4:$E$4288,PENJUALAN!$C$4:$C$4288,'CEK CICI'!A2027)</f>
        <v>1</v>
      </c>
      <c r="J2027" s="16">
        <f t="shared" si="2"/>
        <v>0</v>
      </c>
      <c r="K2027" s="18"/>
      <c r="L2027" s="18"/>
      <c r="M2027" s="18"/>
      <c r="N2027" s="18"/>
    </row>
    <row r="2028" ht="15.0" hidden="1" customHeight="1">
      <c r="A2028" s="4" t="str">
        <f t="shared" si="1"/>
        <v>TRW-RANGER02ASH</v>
      </c>
      <c r="B2028" s="15" t="s">
        <v>1408</v>
      </c>
      <c r="C2028" s="15" t="s">
        <v>1409</v>
      </c>
      <c r="D2028" s="15" t="s">
        <v>41</v>
      </c>
      <c r="E2028" s="15" t="s">
        <v>82</v>
      </c>
      <c r="F2028" s="18"/>
      <c r="G2028" s="4"/>
      <c r="H2028" s="4">
        <f>SUMIFS(X!$F$5:$F$2005,X!$D$5:$D$2005,'CEK CICI'!A2028)</f>
        <v>1</v>
      </c>
      <c r="I2028" s="4">
        <f>SUMIFS(PENJUALAN!$E$4:$E$4288,PENJUALAN!$C$4:$C$4288,'CEK CICI'!A2028)</f>
        <v>1</v>
      </c>
      <c r="J2028" s="16">
        <f t="shared" si="2"/>
        <v>0</v>
      </c>
      <c r="K2028" s="18"/>
      <c r="L2028" s="18"/>
      <c r="M2028" s="18"/>
      <c r="N2028" s="18"/>
    </row>
    <row r="2029" ht="15.0" hidden="1" customHeight="1">
      <c r="A2029" s="4" t="str">
        <f t="shared" si="1"/>
        <v>LFW-ALMAZFY</v>
      </c>
      <c r="B2029" s="15" t="s">
        <v>2130</v>
      </c>
      <c r="C2029" s="15" t="s">
        <v>2387</v>
      </c>
      <c r="D2029" s="15" t="s">
        <v>22</v>
      </c>
      <c r="E2029" s="15" t="s">
        <v>111</v>
      </c>
      <c r="F2029" s="15" t="s">
        <v>2388</v>
      </c>
      <c r="G2029" s="4"/>
      <c r="H2029" s="4">
        <f>SUMIFS(X!$F$5:$F$2005,X!$D$5:$D$2005,'CEK CICI'!A2029)</f>
        <v>8</v>
      </c>
      <c r="I2029" s="4">
        <f>SUMIFS(PENJUALAN!$E$4:$E$4288,PENJUALAN!$C$4:$C$4288,'CEK CICI'!A2029)</f>
        <v>7</v>
      </c>
      <c r="J2029" s="16">
        <f t="shared" si="2"/>
        <v>1</v>
      </c>
      <c r="K2029" s="15" t="s">
        <v>2020</v>
      </c>
      <c r="L2029" s="15"/>
      <c r="M2029" s="18"/>
      <c r="N2029" s="15"/>
    </row>
    <row r="2030" ht="15.0" hidden="1" customHeight="1">
      <c r="A2030" s="4" t="str">
        <f t="shared" si="1"/>
        <v>LFW-FJ78MU</v>
      </c>
      <c r="B2030" s="15" t="s">
        <v>1438</v>
      </c>
      <c r="C2030" s="15" t="s">
        <v>1439</v>
      </c>
      <c r="D2030" s="15" t="s">
        <v>22</v>
      </c>
      <c r="E2030" s="15" t="s">
        <v>1361</v>
      </c>
      <c r="F2030" s="15" t="s">
        <v>97</v>
      </c>
      <c r="G2030" s="4"/>
      <c r="H2030" s="4">
        <f>SUMIFS(X!$F$5:$F$2005,X!$D$5:$D$2005,'CEK CICI'!A2030)</f>
        <v>2</v>
      </c>
      <c r="I2030" s="4">
        <f>SUMIFS(PENJUALAN!$E$4:$E$4288,PENJUALAN!$C$4:$C$4288,'CEK CICI'!A2030)</f>
        <v>2</v>
      </c>
      <c r="J2030" s="16">
        <f t="shared" si="2"/>
        <v>0</v>
      </c>
      <c r="K2030" s="18"/>
      <c r="L2030" s="18"/>
      <c r="M2030" s="18"/>
      <c r="N2030" s="18"/>
    </row>
    <row r="2031" ht="15.0" hidden="1" customHeight="1">
      <c r="A2031" s="4" t="str">
        <f t="shared" si="1"/>
        <v>LFW-TERRA18RSXYG</v>
      </c>
      <c r="B2031" s="15" t="s">
        <v>1542</v>
      </c>
      <c r="C2031" s="15" t="s">
        <v>1543</v>
      </c>
      <c r="D2031" s="15" t="s">
        <v>22</v>
      </c>
      <c r="E2031" s="15" t="s">
        <v>16</v>
      </c>
      <c r="F2031" s="15" t="s">
        <v>75</v>
      </c>
      <c r="G2031" s="4"/>
      <c r="H2031" s="4">
        <f>SUMIFS(X!$F$5:$F$2005,X!$D$5:$D$2005,'CEK CICI'!A2031)</f>
        <v>1</v>
      </c>
      <c r="I2031" s="4">
        <f>SUMIFS(PENJUALAN!$E$4:$E$4288,PENJUALAN!$C$4:$C$4288,'CEK CICI'!A2031)</f>
        <v>2</v>
      </c>
      <c r="J2031" s="16">
        <f t="shared" si="2"/>
        <v>-1</v>
      </c>
      <c r="K2031" s="15" t="s">
        <v>1544</v>
      </c>
      <c r="L2031" s="15"/>
      <c r="M2031" s="18"/>
      <c r="N2031" s="18"/>
    </row>
    <row r="2032" ht="15.0" hidden="1" customHeight="1">
      <c r="A2032" s="4" t="str">
        <f t="shared" si="1"/>
        <v>LFW-W169XYG</v>
      </c>
      <c r="B2032" s="15" t="s">
        <v>1545</v>
      </c>
      <c r="C2032" s="15" t="s">
        <v>1546</v>
      </c>
      <c r="D2032" s="15" t="s">
        <v>22</v>
      </c>
      <c r="E2032" s="15" t="s">
        <v>16</v>
      </c>
      <c r="F2032" s="15" t="s">
        <v>1547</v>
      </c>
      <c r="G2032" s="4"/>
      <c r="H2032" s="4">
        <f>SUMIFS(X!$F$5:$F$2005,X!$D$5:$D$2005,'CEK CICI'!A2032)</f>
        <v>1</v>
      </c>
      <c r="I2032" s="4">
        <f>SUMIFS(PENJUALAN!$E$4:$E$4288,PENJUALAN!$C$4:$C$4288,'CEK CICI'!A2032)</f>
        <v>1</v>
      </c>
      <c r="J2032" s="16">
        <f t="shared" si="2"/>
        <v>0</v>
      </c>
      <c r="K2032" s="18"/>
      <c r="L2032" s="18"/>
      <c r="M2032" s="18"/>
      <c r="N2032" s="18"/>
    </row>
    <row r="2033" ht="15.0" hidden="1" customHeight="1">
      <c r="A2033" s="4" t="str">
        <f t="shared" si="1"/>
        <v>LFW-INNOVA15AGC</v>
      </c>
      <c r="B2033" s="63" t="s">
        <v>1166</v>
      </c>
      <c r="C2033" s="15" t="s">
        <v>1853</v>
      </c>
      <c r="D2033" s="15" t="s">
        <v>22</v>
      </c>
      <c r="E2033" s="15" t="s">
        <v>78</v>
      </c>
      <c r="F2033" s="15" t="s">
        <v>79</v>
      </c>
      <c r="G2033" s="4"/>
      <c r="H2033" s="4">
        <f>SUMIFS(X!$F$5:$F$2005,X!$D$5:$D$2005,'CEK CICI'!A2033)</f>
        <v>25</v>
      </c>
      <c r="I2033" s="4">
        <f>SUMIFS(PENJUALAN!$E$4:$E$4288,PENJUALAN!$C$4:$C$4288,'CEK CICI'!A2033)</f>
        <v>24</v>
      </c>
      <c r="J2033" s="16">
        <f t="shared" si="2"/>
        <v>1</v>
      </c>
      <c r="K2033" s="15" t="s">
        <v>1487</v>
      </c>
      <c r="L2033" s="15"/>
      <c r="M2033" s="18"/>
      <c r="N2033" s="18"/>
    </row>
    <row r="2034" ht="15.0" hidden="1" customHeight="1">
      <c r="A2034" s="4" t="str">
        <f t="shared" si="1"/>
        <v>TRW-INNOVA15HAGC</v>
      </c>
      <c r="B2034" s="63" t="s">
        <v>1859</v>
      </c>
      <c r="C2034" s="15" t="s">
        <v>1853</v>
      </c>
      <c r="D2034" s="15" t="s">
        <v>41</v>
      </c>
      <c r="E2034" s="15" t="s">
        <v>78</v>
      </c>
      <c r="F2034" s="15" t="s">
        <v>108</v>
      </c>
      <c r="G2034" s="4"/>
      <c r="H2034" s="4">
        <f>SUMIFS(X!$F$5:$F$2005,X!$D$5:$D$2005,'CEK CICI'!A2034)</f>
        <v>4</v>
      </c>
      <c r="I2034" s="4">
        <f>SUMIFS(PENJUALAN!$E$4:$E$4288,PENJUALAN!$C$4:$C$4288,'CEK CICI'!A2034)</f>
        <v>3</v>
      </c>
      <c r="J2034" s="16">
        <f t="shared" si="2"/>
        <v>1</v>
      </c>
      <c r="K2034" s="15" t="s">
        <v>1860</v>
      </c>
      <c r="L2034" s="15"/>
      <c r="M2034" s="18"/>
      <c r="N2034" s="18"/>
    </row>
    <row r="2035" ht="15.0" hidden="1" customHeight="1">
      <c r="A2035" s="20" t="str">
        <f t="shared" si="1"/>
        <v>SWR-PANTHER91ASH</v>
      </c>
      <c r="B2035" s="22" t="s">
        <v>1839</v>
      </c>
      <c r="C2035" s="22" t="s">
        <v>1840</v>
      </c>
      <c r="D2035" s="22" t="s">
        <v>104</v>
      </c>
      <c r="E2035" s="22" t="s">
        <v>82</v>
      </c>
      <c r="F2035" s="22" t="s">
        <v>1841</v>
      </c>
      <c r="G2035" s="20"/>
      <c r="H2035" s="20">
        <f>SUMIFS(X!$F$5:$F$2005,X!$D$5:$D$2005,'CEK CICI'!A2035)</f>
        <v>5</v>
      </c>
      <c r="I2035" s="20">
        <f>SUMIFS(PENJUALAN!$E$4:$E$4288,PENJUALAN!$C$4:$C$4288,'CEK CICI'!A2035)</f>
        <v>3</v>
      </c>
      <c r="J2035" s="16">
        <f t="shared" si="2"/>
        <v>2</v>
      </c>
      <c r="K2035" s="22" t="s">
        <v>1435</v>
      </c>
      <c r="L2035" s="22"/>
      <c r="M2035" s="25"/>
      <c r="N2035" s="25"/>
    </row>
    <row r="2036" ht="15.0" hidden="1" customHeight="1">
      <c r="A2036" s="4" t="str">
        <f t="shared" si="1"/>
        <v>TRW-ESTILOAIS</v>
      </c>
      <c r="B2036" s="15" t="s">
        <v>1464</v>
      </c>
      <c r="C2036" s="15" t="s">
        <v>1465</v>
      </c>
      <c r="D2036" s="15" t="s">
        <v>41</v>
      </c>
      <c r="E2036" s="15" t="s">
        <v>1466</v>
      </c>
      <c r="F2036" s="15" t="s">
        <v>97</v>
      </c>
      <c r="G2036" s="4"/>
      <c r="H2036" s="4">
        <f>SUMIFS(X!$F$5:$F$2005,X!$D$5:$D$2005,'CEK CICI'!A2036)</f>
        <v>1</v>
      </c>
      <c r="I2036" s="4">
        <f>SUMIFS(PENJUALAN!$E$4:$E$4288,PENJUALAN!$C$4:$C$4288,'CEK CICI'!A2036)</f>
        <v>1</v>
      </c>
      <c r="J2036" s="16">
        <f t="shared" si="2"/>
        <v>0</v>
      </c>
      <c r="K2036" s="15" t="s">
        <v>1398</v>
      </c>
      <c r="L2036" s="15"/>
      <c r="M2036" s="18"/>
      <c r="N2036" s="18"/>
    </row>
    <row r="2037" ht="15.0" hidden="1" customHeight="1">
      <c r="A2037" s="4" t="str">
        <f t="shared" si="1"/>
        <v>LFW-PAJERO20RSAGC</v>
      </c>
      <c r="B2037" s="15" t="s">
        <v>1531</v>
      </c>
      <c r="C2037" s="15" t="s">
        <v>1532</v>
      </c>
      <c r="D2037" s="15" t="s">
        <v>22</v>
      </c>
      <c r="E2037" s="15" t="s">
        <v>78</v>
      </c>
      <c r="F2037" s="15" t="s">
        <v>23</v>
      </c>
      <c r="G2037" s="4"/>
      <c r="H2037" s="4">
        <f>SUMIFS(X!$F$5:$F$2005,X!$D$5:$D$2005,'CEK CICI'!A2037)</f>
        <v>2</v>
      </c>
      <c r="I2037" s="4">
        <f>SUMIFS(PENJUALAN!$E$4:$E$4288,PENJUALAN!$C$4:$C$4288,'CEK CICI'!A2037)</f>
        <v>2</v>
      </c>
      <c r="J2037" s="16">
        <f t="shared" si="2"/>
        <v>0</v>
      </c>
      <c r="K2037" s="18"/>
      <c r="L2037" s="18"/>
      <c r="M2037" s="18"/>
      <c r="N2037" s="18"/>
    </row>
    <row r="2038" ht="15.0" hidden="1" customHeight="1">
      <c r="A2038" s="4" t="str">
        <f t="shared" si="1"/>
        <v>LFW-PAJERO20RS2AGC</v>
      </c>
      <c r="B2038" s="15" t="s">
        <v>2395</v>
      </c>
      <c r="C2038" s="15" t="s">
        <v>2396</v>
      </c>
      <c r="D2038" s="15" t="s">
        <v>22</v>
      </c>
      <c r="E2038" s="15" t="s">
        <v>78</v>
      </c>
      <c r="F2038" s="15" t="s">
        <v>23</v>
      </c>
      <c r="G2038" s="4"/>
      <c r="H2038" s="4">
        <f>SUMIFS(X!$F$5:$F$2005,X!$D$5:$D$2005,'CEK CICI'!A2038)</f>
        <v>1</v>
      </c>
      <c r="I2038" s="4">
        <f>SUMIFS(PENJUALAN!$E$4:$E$4288,PENJUALAN!$C$4:$C$4288,'CEK CICI'!A2038)</f>
        <v>0</v>
      </c>
      <c r="J2038" s="16">
        <f t="shared" si="2"/>
        <v>1</v>
      </c>
      <c r="K2038" s="15" t="s">
        <v>1487</v>
      </c>
      <c r="L2038" s="18"/>
      <c r="M2038" s="18"/>
      <c r="N2038" s="18"/>
    </row>
    <row r="2039" ht="15.0" hidden="1" customHeight="1">
      <c r="A2039" s="4" t="str">
        <f t="shared" si="1"/>
        <v>LFW-PAJERO20RS2XYG</v>
      </c>
      <c r="B2039" s="15" t="s">
        <v>2395</v>
      </c>
      <c r="C2039" s="15" t="s">
        <v>2397</v>
      </c>
      <c r="D2039" s="15" t="s">
        <v>22</v>
      </c>
      <c r="E2039" s="15" t="s">
        <v>16</v>
      </c>
      <c r="F2039" s="15" t="s">
        <v>75</v>
      </c>
      <c r="G2039" s="4"/>
      <c r="H2039" s="4">
        <f>SUMIFS(X!$F$5:$F$2005,X!$D$5:$D$2005,'CEK CICI'!A2039)</f>
        <v>0</v>
      </c>
      <c r="I2039" s="4">
        <f>SUMIFS(PENJUALAN!$E$4:$E$4288,PENJUALAN!$C$4:$C$4288,'CEK CICI'!A2039)</f>
        <v>0</v>
      </c>
      <c r="J2039" s="16">
        <f t="shared" si="2"/>
        <v>0</v>
      </c>
      <c r="K2039" s="18"/>
      <c r="L2039" s="18"/>
      <c r="M2039" s="18"/>
      <c r="N2039" s="18"/>
    </row>
    <row r="2040" ht="15.0" hidden="1" customHeight="1">
      <c r="A2040" s="4" t="str">
        <f t="shared" si="1"/>
        <v>TRW-BRIO10HOLEAGC</v>
      </c>
      <c r="B2040" s="15" t="s">
        <v>2398</v>
      </c>
      <c r="C2040" s="15" t="s">
        <v>2399</v>
      </c>
      <c r="D2040" s="15" t="s">
        <v>41</v>
      </c>
      <c r="E2040" s="15" t="s">
        <v>78</v>
      </c>
      <c r="F2040" s="15" t="s">
        <v>2400</v>
      </c>
      <c r="G2040" s="4"/>
      <c r="H2040" s="4">
        <f>SUMIFS(X!$F$5:$F$2005,X!$D$5:$D$2005,'CEK CICI'!A2040)</f>
        <v>1</v>
      </c>
      <c r="I2040" s="4">
        <f>SUMIFS(PENJUALAN!$E$4:$E$4288,PENJUALAN!$C$4:$C$4288,'CEK CICI'!A2040)</f>
        <v>1</v>
      </c>
      <c r="J2040" s="16">
        <f t="shared" si="2"/>
        <v>0</v>
      </c>
      <c r="K2040" s="15" t="s">
        <v>139</v>
      </c>
      <c r="L2040" s="15"/>
      <c r="M2040" s="18"/>
      <c r="N2040" s="18"/>
    </row>
    <row r="2041" ht="15.0" hidden="1" customHeight="1">
      <c r="A2041" s="4" t="str">
        <f t="shared" si="1"/>
        <v>TRW-DMAX1MSG</v>
      </c>
      <c r="B2041" s="15" t="s">
        <v>39</v>
      </c>
      <c r="C2041" s="15" t="s">
        <v>40</v>
      </c>
      <c r="D2041" s="15" t="s">
        <v>41</v>
      </c>
      <c r="E2041" s="15" t="s">
        <v>42</v>
      </c>
      <c r="F2041" s="18"/>
      <c r="G2041" s="4"/>
      <c r="H2041" s="4">
        <f>SUMIFS(X!$F$5:$F$2005,X!$D$5:$D$2005,'CEK CICI'!A2041)</f>
        <v>2</v>
      </c>
      <c r="I2041" s="4">
        <f>SUMIFS(PENJUALAN!$E$4:$E$4288,PENJUALAN!$C$4:$C$4288,'CEK CICI'!A2041)</f>
        <v>2</v>
      </c>
      <c r="J2041" s="16">
        <f t="shared" si="2"/>
        <v>0</v>
      </c>
      <c r="K2041" s="15" t="s">
        <v>43</v>
      </c>
      <c r="L2041" s="15"/>
      <c r="M2041" s="18"/>
      <c r="N2041" s="18"/>
    </row>
    <row r="2042" ht="15.0" hidden="1" customHeight="1">
      <c r="A2042" s="4" t="str">
        <f t="shared" si="1"/>
        <v>FDL-DMAX1MSG</v>
      </c>
      <c r="B2042" s="15" t="s">
        <v>2401</v>
      </c>
      <c r="C2042" s="15" t="s">
        <v>40</v>
      </c>
      <c r="D2042" s="15" t="s">
        <v>93</v>
      </c>
      <c r="E2042" s="15" t="s">
        <v>42</v>
      </c>
      <c r="F2042" s="18"/>
      <c r="G2042" s="4"/>
      <c r="H2042" s="4">
        <f>SUMIFS(X!$F$5:$F$2005,X!$D$5:$D$2005,'CEK CICI'!A2042)</f>
        <v>0</v>
      </c>
      <c r="I2042" s="4">
        <f>SUMIFS(PENJUALAN!$E$4:$E$4288,PENJUALAN!$C$4:$C$4288,'CEK CICI'!A2042)</f>
        <v>0</v>
      </c>
      <c r="J2042" s="16">
        <f t="shared" si="2"/>
        <v>0</v>
      </c>
      <c r="K2042" s="18"/>
      <c r="L2042" s="18"/>
      <c r="M2042" s="18"/>
      <c r="N2042" s="15"/>
    </row>
    <row r="2043" ht="15.0" hidden="1" customHeight="1">
      <c r="A2043" s="4" t="str">
        <f t="shared" si="1"/>
        <v>FDR-DMAX1MSG</v>
      </c>
      <c r="B2043" s="15" t="s">
        <v>44</v>
      </c>
      <c r="C2043" s="15" t="s">
        <v>40</v>
      </c>
      <c r="D2043" s="15" t="s">
        <v>45</v>
      </c>
      <c r="E2043" s="15" t="s">
        <v>42</v>
      </c>
      <c r="F2043" s="18"/>
      <c r="G2043" s="4"/>
      <c r="H2043" s="4">
        <f>SUMIFS(X!$F$5:$F$2005,X!$D$5:$D$2005,'CEK CICI'!A2043)</f>
        <v>1</v>
      </c>
      <c r="I2043" s="4">
        <f>SUMIFS(PENJUALAN!$E$4:$E$4288,PENJUALAN!$C$4:$C$4288,'CEK CICI'!A2043)</f>
        <v>1</v>
      </c>
      <c r="J2043" s="16">
        <f t="shared" si="2"/>
        <v>0</v>
      </c>
      <c r="K2043" s="18"/>
      <c r="L2043" s="18"/>
      <c r="M2043" s="18"/>
      <c r="N2043" s="18"/>
    </row>
    <row r="2044" ht="15.0" hidden="1" customHeight="1">
      <c r="A2044" s="4" t="str">
        <f t="shared" si="1"/>
        <v>RDL-DMAX1MSG</v>
      </c>
      <c r="B2044" s="15" t="s">
        <v>46</v>
      </c>
      <c r="C2044" s="15" t="s">
        <v>40</v>
      </c>
      <c r="D2044" s="15" t="s">
        <v>47</v>
      </c>
      <c r="E2044" s="15" t="s">
        <v>42</v>
      </c>
      <c r="F2044" s="18"/>
      <c r="G2044" s="4"/>
      <c r="H2044" s="4">
        <f>SUMIFS(X!$F$5:$F$2005,X!$D$5:$D$2005,'CEK CICI'!A2044)</f>
        <v>2</v>
      </c>
      <c r="I2044" s="4">
        <f>SUMIFS(PENJUALAN!$E$4:$E$4288,PENJUALAN!$C$4:$C$4288,'CEK CICI'!A2044)</f>
        <v>1</v>
      </c>
      <c r="J2044" s="16">
        <f t="shared" si="2"/>
        <v>1</v>
      </c>
      <c r="K2044" s="15" t="s">
        <v>48</v>
      </c>
      <c r="L2044" s="15"/>
      <c r="M2044" s="18"/>
      <c r="N2044" s="18"/>
    </row>
    <row r="2045" ht="15.0" hidden="1" customHeight="1">
      <c r="A2045" s="4" t="str">
        <f t="shared" si="1"/>
        <v>RDR-DMAX1MSG</v>
      </c>
      <c r="B2045" s="15" t="s">
        <v>419</v>
      </c>
      <c r="C2045" s="15" t="s">
        <v>40</v>
      </c>
      <c r="D2045" s="15" t="s">
        <v>70</v>
      </c>
      <c r="E2045" s="15" t="s">
        <v>42</v>
      </c>
      <c r="F2045" s="18"/>
      <c r="G2045" s="4"/>
      <c r="H2045" s="4">
        <f>SUMIFS(X!$F$5:$F$2005,X!$D$5:$D$2005,'CEK CICI'!A2045)</f>
        <v>2</v>
      </c>
      <c r="I2045" s="4">
        <f>SUMIFS(PENJUALAN!$E$4:$E$4288,PENJUALAN!$C$4:$C$4288,'CEK CICI'!A2045)</f>
        <v>1</v>
      </c>
      <c r="J2045" s="16">
        <f t="shared" si="2"/>
        <v>1</v>
      </c>
      <c r="K2045" s="15" t="s">
        <v>48</v>
      </c>
      <c r="L2045" s="15"/>
      <c r="M2045" s="18"/>
      <c r="N2045" s="18"/>
    </row>
    <row r="2046" ht="15.0" hidden="1" customHeight="1">
      <c r="A2046" s="20" t="str">
        <f t="shared" si="1"/>
        <v>FDL-CARRYASH</v>
      </c>
      <c r="B2046" s="22" t="s">
        <v>1701</v>
      </c>
      <c r="C2046" s="22" t="s">
        <v>1702</v>
      </c>
      <c r="D2046" s="22" t="s">
        <v>93</v>
      </c>
      <c r="E2046" s="22" t="s">
        <v>82</v>
      </c>
      <c r="F2046" s="25"/>
      <c r="G2046" s="20"/>
      <c r="H2046" s="20">
        <f>SUMIFS(X!$F$5:$F$2005,X!$D$5:$D$2005,'CEK CICI'!A2046)</f>
        <v>5</v>
      </c>
      <c r="I2046" s="20">
        <f>SUMIFS(PENJUALAN!$E$4:$E$4288,PENJUALAN!$C$4:$C$4288,'CEK CICI'!A2046)</f>
        <v>4</v>
      </c>
      <c r="J2046" s="16">
        <f t="shared" si="2"/>
        <v>1</v>
      </c>
      <c r="K2046" s="22" t="s">
        <v>1391</v>
      </c>
      <c r="L2046" s="25"/>
      <c r="M2046" s="25"/>
      <c r="N2046" s="25"/>
    </row>
    <row r="2047" ht="15.0" hidden="1" customHeight="1">
      <c r="A2047" s="4" t="str">
        <f t="shared" si="1"/>
        <v>FDR-CARRYASH</v>
      </c>
      <c r="B2047" s="15" t="s">
        <v>2402</v>
      </c>
      <c r="C2047" s="15" t="s">
        <v>1702</v>
      </c>
      <c r="D2047" s="15" t="s">
        <v>45</v>
      </c>
      <c r="E2047" s="15" t="s">
        <v>82</v>
      </c>
      <c r="F2047" s="18"/>
      <c r="G2047" s="4"/>
      <c r="H2047" s="4">
        <f>SUMIFS(X!$F$5:$F$2005,X!$D$5:$D$2005,'CEK CICI'!A2047)</f>
        <v>0</v>
      </c>
      <c r="I2047" s="4">
        <f>SUMIFS(PENJUALAN!$E$4:$E$4288,PENJUALAN!$C$4:$C$4288,'CEK CICI'!A2047)</f>
        <v>0</v>
      </c>
      <c r="J2047" s="16">
        <f t="shared" si="2"/>
        <v>0</v>
      </c>
      <c r="K2047" s="18"/>
      <c r="L2047" s="18"/>
      <c r="M2047" s="18"/>
      <c r="N2047" s="18"/>
    </row>
    <row r="2048" ht="15.0" hidden="1" customHeight="1">
      <c r="A2048" s="4" t="str">
        <f t="shared" si="1"/>
        <v>SWR-LUXIOAGC</v>
      </c>
      <c r="B2048" s="15" t="s">
        <v>1861</v>
      </c>
      <c r="C2048" s="15" t="s">
        <v>1862</v>
      </c>
      <c r="D2048" s="15" t="s">
        <v>104</v>
      </c>
      <c r="E2048" s="15" t="s">
        <v>78</v>
      </c>
      <c r="F2048" s="15" t="s">
        <v>97</v>
      </c>
      <c r="G2048" s="4"/>
      <c r="H2048" s="4">
        <f>SUMIFS(X!$F$5:$F$2005,X!$D$5:$D$2005,'CEK CICI'!A2048)</f>
        <v>1</v>
      </c>
      <c r="I2048" s="4">
        <f>SUMIFS(PENJUALAN!$E$4:$E$4288,PENJUALAN!$C$4:$C$4288,'CEK CICI'!A2048)</f>
        <v>1</v>
      </c>
      <c r="J2048" s="16">
        <f t="shared" si="2"/>
        <v>0</v>
      </c>
      <c r="K2048" s="18"/>
      <c r="L2048" s="18"/>
      <c r="M2048" s="18"/>
      <c r="N2048" s="18"/>
    </row>
    <row r="2049" ht="15.0" hidden="1" customHeight="1">
      <c r="A2049" s="20" t="str">
        <f t="shared" si="1"/>
        <v>TRW-LIVINA07PIL</v>
      </c>
      <c r="B2049" s="22" t="s">
        <v>936</v>
      </c>
      <c r="C2049" s="22" t="s">
        <v>11540</v>
      </c>
      <c r="D2049" s="22" t="s">
        <v>41</v>
      </c>
      <c r="E2049" s="22" t="s">
        <v>74</v>
      </c>
      <c r="F2049" s="22" t="s">
        <v>108</v>
      </c>
      <c r="G2049" s="20"/>
      <c r="H2049" s="20">
        <f>SUMIFS(X!$F$5:$F$2005,X!$D$5:$D$2005,'CEK CICI'!A2049)</f>
        <v>9</v>
      </c>
      <c r="I2049" s="20">
        <f>SUMIFS(PENJUALAN!$E$4:$E$4288,PENJUALAN!$C$4:$C$4288,'CEK CICI'!A2049)</f>
        <v>9</v>
      </c>
      <c r="J2049" s="16">
        <f t="shared" si="2"/>
        <v>0</v>
      </c>
      <c r="K2049" s="22" t="s">
        <v>11541</v>
      </c>
      <c r="L2049" s="22"/>
      <c r="M2049" s="25"/>
      <c r="N2049" s="22"/>
    </row>
    <row r="2050" ht="15.0" hidden="1" customHeight="1">
      <c r="A2050" s="20" t="str">
        <f t="shared" si="1"/>
        <v>LFW-CARRYASH</v>
      </c>
      <c r="B2050" s="22" t="s">
        <v>1842</v>
      </c>
      <c r="C2050" s="22" t="s">
        <v>1702</v>
      </c>
      <c r="D2050" s="22" t="s">
        <v>22</v>
      </c>
      <c r="E2050" s="22" t="s">
        <v>82</v>
      </c>
      <c r="F2050" s="25"/>
      <c r="G2050" s="20"/>
      <c r="H2050" s="20">
        <f>SUMIFS(X!$F$5:$F$2005,X!$D$5:$D$2005,'CEK CICI'!A2050)</f>
        <v>5</v>
      </c>
      <c r="I2050" s="20">
        <f>SUMIFS(PENJUALAN!$E$4:$E$4288,PENJUALAN!$C$4:$C$4288,'CEK CICI'!A2050)</f>
        <v>3</v>
      </c>
      <c r="J2050" s="16">
        <f t="shared" si="2"/>
        <v>2</v>
      </c>
      <c r="K2050" s="22" t="s">
        <v>11533</v>
      </c>
      <c r="L2050" s="22"/>
      <c r="M2050" s="25"/>
      <c r="N2050" s="25"/>
    </row>
    <row r="2051" ht="15.0" hidden="1" customHeight="1">
      <c r="A2051" s="4" t="str">
        <f t="shared" si="1"/>
        <v>LFW-ALTIS18RSXYG</v>
      </c>
      <c r="B2051" s="15" t="s">
        <v>20</v>
      </c>
      <c r="C2051" s="15" t="s">
        <v>21</v>
      </c>
      <c r="D2051" s="15" t="s">
        <v>22</v>
      </c>
      <c r="E2051" s="15" t="s">
        <v>16</v>
      </c>
      <c r="F2051" s="322" t="s">
        <v>23</v>
      </c>
      <c r="G2051" s="73"/>
      <c r="H2051" s="4">
        <f>SUMIFS(X!$F$5:$F$2005,X!$D$5:$D$2005,'CEK CICI'!A2051)</f>
        <v>1</v>
      </c>
      <c r="I2051" s="4">
        <f>SUMIFS(PENJUALAN!$E$4:$E$4288,PENJUALAN!$C$4:$C$4288,'CEK CICI'!A2051)</f>
        <v>1</v>
      </c>
      <c r="J2051" s="16">
        <f t="shared" si="2"/>
        <v>0</v>
      </c>
      <c r="K2051" s="18"/>
      <c r="L2051" s="18"/>
      <c r="M2051" s="18"/>
      <c r="N2051" s="18"/>
    </row>
    <row r="2052" ht="15.0" hidden="1" customHeight="1">
      <c r="A2052" s="4" t="str">
        <f t="shared" si="1"/>
        <v>SWL-AVANZA21AGC</v>
      </c>
      <c r="B2052" s="15" t="s">
        <v>1508</v>
      </c>
      <c r="C2052" s="15" t="s">
        <v>1503</v>
      </c>
      <c r="D2052" s="15" t="s">
        <v>1434</v>
      </c>
      <c r="E2052" s="15" t="s">
        <v>78</v>
      </c>
      <c r="F2052" s="15" t="s">
        <v>97</v>
      </c>
      <c r="G2052" s="4"/>
      <c r="H2052" s="4">
        <f>SUMIFS(X!$F$5:$F$2005,X!$D$5:$D$2005,'CEK CICI'!A2052)</f>
        <v>0</v>
      </c>
      <c r="I2052" s="4">
        <f>SUMIFS(PENJUALAN!$E$4:$E$4288,PENJUALAN!$C$4:$C$4288,'CEK CICI'!A2052)</f>
        <v>0</v>
      </c>
      <c r="J2052" s="16">
        <f t="shared" si="2"/>
        <v>0</v>
      </c>
      <c r="K2052" s="18"/>
      <c r="L2052" s="18"/>
      <c r="M2052" s="18"/>
      <c r="N2052" s="18"/>
    </row>
    <row r="2053" ht="15.0" hidden="1" customHeight="1">
      <c r="A2053" s="4" t="str">
        <f t="shared" si="1"/>
        <v>SWR-AVANZA21AGC</v>
      </c>
      <c r="B2053" s="15" t="s">
        <v>1557</v>
      </c>
      <c r="C2053" s="15" t="s">
        <v>1503</v>
      </c>
      <c r="D2053" s="15" t="s">
        <v>104</v>
      </c>
      <c r="E2053" s="15" t="s">
        <v>78</v>
      </c>
      <c r="F2053" s="15" t="s">
        <v>97</v>
      </c>
      <c r="G2053" s="4"/>
      <c r="H2053" s="4">
        <f>SUMIFS(X!$F$5:$F$2005,X!$D$5:$D$2005,'CEK CICI'!A2053)</f>
        <v>1</v>
      </c>
      <c r="I2053" s="4">
        <f>SUMIFS(PENJUALAN!$E$4:$E$4288,PENJUALAN!$C$4:$C$4288,'CEK CICI'!A2053)</f>
        <v>1</v>
      </c>
      <c r="J2053" s="16">
        <f t="shared" si="2"/>
        <v>0</v>
      </c>
      <c r="K2053" s="18"/>
      <c r="L2053" s="18"/>
      <c r="M2053" s="18"/>
      <c r="N2053" s="18"/>
    </row>
    <row r="2054" ht="15.0" hidden="1" customHeight="1">
      <c r="A2054" s="4" t="str">
        <f t="shared" si="1"/>
        <v>RDR-YARIS13ASH</v>
      </c>
      <c r="B2054" s="15" t="s">
        <v>2221</v>
      </c>
      <c r="C2054" s="15" t="s">
        <v>2222</v>
      </c>
      <c r="D2054" s="15" t="s">
        <v>70</v>
      </c>
      <c r="E2054" s="15" t="s">
        <v>82</v>
      </c>
      <c r="F2054" s="18"/>
      <c r="G2054" s="4"/>
      <c r="H2054" s="4">
        <f>SUMIFS(X!$F$5:$F$2005,X!$D$5:$D$2005,'CEK CICI'!A2054)</f>
        <v>1</v>
      </c>
      <c r="I2054" s="4">
        <f>SUMIFS(PENJUALAN!$E$4:$E$4288,PENJUALAN!$C$4:$C$4288,'CEK CICI'!A2054)</f>
        <v>1</v>
      </c>
      <c r="J2054" s="16">
        <f t="shared" si="2"/>
        <v>0</v>
      </c>
      <c r="K2054" s="18"/>
      <c r="L2054" s="18"/>
      <c r="M2054" s="18"/>
      <c r="N2054" s="18"/>
    </row>
    <row r="2055" ht="15.0" hidden="1" customHeight="1">
      <c r="A2055" s="4" t="str">
        <f t="shared" si="1"/>
        <v>RDL-YARIS13ASH</v>
      </c>
      <c r="B2055" s="15" t="s">
        <v>2409</v>
      </c>
      <c r="C2055" s="15" t="s">
        <v>2222</v>
      </c>
      <c r="D2055" s="15" t="s">
        <v>47</v>
      </c>
      <c r="E2055" s="15" t="s">
        <v>82</v>
      </c>
      <c r="F2055" s="18"/>
      <c r="G2055" s="4"/>
      <c r="H2055" s="4">
        <f>SUMIFS(X!$F$5:$F$2005,X!$D$5:$D$2005,'CEK CICI'!A2055)</f>
        <v>0</v>
      </c>
      <c r="I2055" s="4">
        <f>SUMIFS(PENJUALAN!$E$4:$E$4288,PENJUALAN!$C$4:$C$4288,'CEK CICI'!A2055)</f>
        <v>0</v>
      </c>
      <c r="J2055" s="16">
        <f t="shared" si="2"/>
        <v>0</v>
      </c>
      <c r="K2055" s="18"/>
      <c r="L2055" s="18"/>
      <c r="M2055" s="18"/>
      <c r="N2055" s="18"/>
    </row>
    <row r="2056" ht="15.0" hidden="1" customHeight="1">
      <c r="A2056" s="4" t="str">
        <f t="shared" si="1"/>
        <v>TRW-ALPHARD02FR</v>
      </c>
      <c r="B2056" s="15" t="s">
        <v>1030</v>
      </c>
      <c r="C2056" s="15" t="s">
        <v>1566</v>
      </c>
      <c r="D2056" s="15" t="s">
        <v>41</v>
      </c>
      <c r="E2056" s="15" t="s">
        <v>1449</v>
      </c>
      <c r="F2056" s="15" t="s">
        <v>67</v>
      </c>
      <c r="G2056" s="4"/>
      <c r="H2056" s="4">
        <f>SUMIFS(X!$F$5:$F$2005,X!$D$5:$D$2005,'CEK CICI'!A2056)</f>
        <v>2</v>
      </c>
      <c r="I2056" s="4">
        <f>SUMIFS(PENJUALAN!$E$4:$E$4288,PENJUALAN!$C$4:$C$4288,'CEK CICI'!A2056)</f>
        <v>1</v>
      </c>
      <c r="J2056" s="16">
        <f t="shared" si="2"/>
        <v>1</v>
      </c>
      <c r="K2056" s="15" t="s">
        <v>139</v>
      </c>
      <c r="L2056" s="15"/>
      <c r="M2056" s="18"/>
      <c r="N2056" s="18"/>
    </row>
    <row r="2057" ht="15.0" hidden="1" customHeight="1">
      <c r="A2057" s="4" t="str">
        <f t="shared" si="1"/>
        <v>FDR-FORTUNER15AGC</v>
      </c>
      <c r="B2057" s="15" t="s">
        <v>2223</v>
      </c>
      <c r="C2057" s="15" t="s">
        <v>2224</v>
      </c>
      <c r="D2057" s="15" t="s">
        <v>45</v>
      </c>
      <c r="E2057" s="15" t="s">
        <v>78</v>
      </c>
      <c r="F2057" s="18"/>
      <c r="G2057" s="4"/>
      <c r="H2057" s="4">
        <f>SUMIFS(X!$F$5:$F$2005,X!$D$5:$D$2005,'CEK CICI'!A2057)</f>
        <v>1</v>
      </c>
      <c r="I2057" s="4">
        <f>SUMIFS(PENJUALAN!$E$4:$E$4288,PENJUALAN!$C$4:$C$4288,'CEK CICI'!A2057)</f>
        <v>1</v>
      </c>
      <c r="J2057" s="16">
        <f t="shared" si="2"/>
        <v>0</v>
      </c>
      <c r="K2057" s="18"/>
      <c r="L2057" s="18"/>
      <c r="M2057" s="18"/>
      <c r="N2057" s="18"/>
    </row>
    <row r="2058" ht="15.0" hidden="1" customHeight="1">
      <c r="A2058" s="4" t="str">
        <f t="shared" si="1"/>
        <v>LFW-FORTUNER05AGC</v>
      </c>
      <c r="B2058" s="15" t="s">
        <v>1128</v>
      </c>
      <c r="C2058" s="15" t="s">
        <v>1568</v>
      </c>
      <c r="D2058" s="15" t="s">
        <v>22</v>
      </c>
      <c r="E2058" s="15" t="s">
        <v>78</v>
      </c>
      <c r="F2058" s="15" t="s">
        <v>1569</v>
      </c>
      <c r="G2058" s="4"/>
      <c r="H2058" s="4">
        <f>SUMIFS(X!$F$5:$F$2005,X!$D$5:$D$2005,'CEK CICI'!A2058)</f>
        <v>1</v>
      </c>
      <c r="I2058" s="4">
        <f>SUMIFS(PENJUALAN!$E$4:$E$4288,PENJUALAN!$C$4:$C$4288,'CEK CICI'!A2058)</f>
        <v>1</v>
      </c>
      <c r="J2058" s="16">
        <f t="shared" si="2"/>
        <v>0</v>
      </c>
      <c r="K2058" s="18"/>
      <c r="L2058" s="18"/>
      <c r="M2058" s="18"/>
      <c r="N2058" s="18"/>
    </row>
    <row r="2059" ht="15.0" hidden="1" customHeight="1">
      <c r="A2059" s="4" t="str">
        <f t="shared" si="1"/>
        <v>LFW-FORTUNER15AGC</v>
      </c>
      <c r="B2059" s="15" t="s">
        <v>1137</v>
      </c>
      <c r="C2059" s="15" t="s">
        <v>2411</v>
      </c>
      <c r="D2059" s="15" t="s">
        <v>22</v>
      </c>
      <c r="E2059" s="15" t="s">
        <v>78</v>
      </c>
      <c r="F2059" s="15" t="s">
        <v>1569</v>
      </c>
      <c r="G2059" s="4"/>
      <c r="H2059" s="4">
        <f>SUMIFS(X!$F$5:$F$2005,X!$D$5:$D$2005,'CEK CICI'!A2059)</f>
        <v>12</v>
      </c>
      <c r="I2059" s="4">
        <f>SUMIFS(PENJUALAN!$E$4:$E$4288,PENJUALAN!$C$4:$C$4288,'CEK CICI'!A2059)</f>
        <v>11</v>
      </c>
      <c r="J2059" s="16">
        <f t="shared" si="2"/>
        <v>1</v>
      </c>
      <c r="K2059" s="15" t="s">
        <v>1877</v>
      </c>
      <c r="L2059" s="15"/>
      <c r="M2059" s="18"/>
      <c r="N2059" s="18"/>
    </row>
    <row r="2060" ht="15.0" hidden="1" customHeight="1">
      <c r="A2060" s="4" t="str">
        <f t="shared" si="1"/>
        <v>LFW-XPANDERAGC</v>
      </c>
      <c r="B2060" s="15" t="s">
        <v>1467</v>
      </c>
      <c r="C2060" s="15" t="s">
        <v>1468</v>
      </c>
      <c r="D2060" s="15" t="s">
        <v>22</v>
      </c>
      <c r="E2060" s="15" t="s">
        <v>78</v>
      </c>
      <c r="F2060" s="15" t="s">
        <v>737</v>
      </c>
      <c r="G2060" s="4"/>
      <c r="H2060" s="4">
        <f>SUMIFS(X!$F$5:$F$2005,X!$D$5:$D$2005,'CEK CICI'!A2060)</f>
        <v>5</v>
      </c>
      <c r="I2060" s="4">
        <f>SUMIFS(PENJUALAN!$E$4:$E$4288,PENJUALAN!$C$4:$C$4288,'CEK CICI'!A2060)</f>
        <v>5</v>
      </c>
      <c r="J2060" s="16">
        <f t="shared" si="2"/>
        <v>0</v>
      </c>
      <c r="K2060" s="18"/>
      <c r="L2060" s="18"/>
      <c r="M2060" s="18"/>
      <c r="N2060" s="18"/>
    </row>
    <row r="2061" ht="15.0" hidden="1" customHeight="1">
      <c r="A2061" s="4" t="str">
        <f t="shared" si="1"/>
        <v>LFW-GRANMAXAGC</v>
      </c>
      <c r="B2061" s="15" t="s">
        <v>274</v>
      </c>
      <c r="C2061" s="15" t="s">
        <v>275</v>
      </c>
      <c r="D2061" s="15" t="s">
        <v>22</v>
      </c>
      <c r="E2061" s="15" t="s">
        <v>78</v>
      </c>
      <c r="F2061" s="15" t="s">
        <v>97</v>
      </c>
      <c r="G2061" s="4"/>
      <c r="H2061" s="4">
        <f>SUMIFS(X!$F$5:$F$2005,X!$D$5:$D$2005,'CEK CICI'!A2061)</f>
        <v>1</v>
      </c>
      <c r="I2061" s="4">
        <f>SUMIFS(PENJUALAN!$E$4:$E$4288,PENJUALAN!$C$4:$C$4288,'CEK CICI'!A2061)</f>
        <v>1</v>
      </c>
      <c r="J2061" s="16">
        <f t="shared" si="2"/>
        <v>0</v>
      </c>
      <c r="K2061" s="18"/>
      <c r="L2061" s="18"/>
      <c r="M2061" s="18"/>
      <c r="N2061" s="18"/>
    </row>
    <row r="2062" ht="15.0" hidden="1" customHeight="1">
      <c r="A2062" s="4" t="str">
        <f t="shared" si="1"/>
        <v>LFW-FORESTERMU</v>
      </c>
      <c r="B2062" s="15" t="s">
        <v>1575</v>
      </c>
      <c r="C2062" s="15" t="s">
        <v>1576</v>
      </c>
      <c r="D2062" s="15" t="s">
        <v>22</v>
      </c>
      <c r="E2062" s="15" t="s">
        <v>1361</v>
      </c>
      <c r="F2062" s="15" t="s">
        <v>125</v>
      </c>
      <c r="G2062" s="4"/>
      <c r="H2062" s="4">
        <f>SUMIFS(X!$F$5:$F$2005,X!$D$5:$D$2005,'CEK CICI'!A2062)</f>
        <v>1</v>
      </c>
      <c r="I2062" s="4">
        <f>SUMIFS(PENJUALAN!$E$4:$E$4288,PENJUALAN!$C$4:$C$4288,'CEK CICI'!A2062)</f>
        <v>1</v>
      </c>
      <c r="J2062" s="16">
        <f t="shared" si="2"/>
        <v>0</v>
      </c>
      <c r="K2062" s="18"/>
      <c r="L2062" s="18"/>
      <c r="M2062" s="18"/>
      <c r="N2062" s="18"/>
    </row>
    <row r="2063" ht="15.0" hidden="1" customHeight="1">
      <c r="A2063" s="4" t="str">
        <f t="shared" si="1"/>
        <v>TRW-ERTIGA18HAGC</v>
      </c>
      <c r="B2063" s="654" t="s">
        <v>1396</v>
      </c>
      <c r="C2063" s="15" t="s">
        <v>1397</v>
      </c>
      <c r="D2063" s="15" t="s">
        <v>41</v>
      </c>
      <c r="E2063" s="15" t="s">
        <v>78</v>
      </c>
      <c r="F2063" s="15" t="s">
        <v>67</v>
      </c>
      <c r="G2063" s="4"/>
      <c r="H2063" s="4">
        <f>SUMIFS(X!$F$5:$F$2005,X!$D$5:$D$2005,'CEK CICI'!A2063)</f>
        <v>5</v>
      </c>
      <c r="I2063" s="4">
        <f>SUMIFS(PENJUALAN!$E$4:$E$4288,PENJUALAN!$C$4:$C$4288,'CEK CICI'!A2063)</f>
        <v>4</v>
      </c>
      <c r="J2063" s="16">
        <f t="shared" si="2"/>
        <v>1</v>
      </c>
      <c r="K2063" s="18"/>
      <c r="L2063" s="18"/>
      <c r="M2063" s="18"/>
      <c r="N2063" s="18"/>
    </row>
    <row r="2064" ht="15.0" hidden="1" customHeight="1">
      <c r="A2064" s="4" t="str">
        <f t="shared" si="1"/>
        <v>TRW-INNOVA04AGC</v>
      </c>
      <c r="B2064" s="654" t="s">
        <v>1162</v>
      </c>
      <c r="C2064" s="15" t="s">
        <v>1853</v>
      </c>
      <c r="D2064" s="15" t="s">
        <v>41</v>
      </c>
      <c r="E2064" s="15" t="s">
        <v>78</v>
      </c>
      <c r="F2064" s="15" t="s">
        <v>90</v>
      </c>
      <c r="G2064" s="4"/>
      <c r="H2064" s="4">
        <f>SUMIFS(X!$F$5:$F$2005,X!$D$5:$D$2005,'CEK CICI'!A2064)</f>
        <v>4</v>
      </c>
      <c r="I2064" s="4">
        <f>SUMIFS(PENJUALAN!$E$4:$E$4288,PENJUALAN!$C$4:$C$4288,'CEK CICI'!A2064)</f>
        <v>4</v>
      </c>
      <c r="J2064" s="16">
        <f t="shared" si="2"/>
        <v>0</v>
      </c>
      <c r="K2064" s="18"/>
      <c r="L2064" s="18"/>
      <c r="M2064" s="18"/>
      <c r="N2064" s="18"/>
    </row>
    <row r="2065" ht="15.0" hidden="1" customHeight="1">
      <c r="A2065" s="20" t="str">
        <f t="shared" si="1"/>
        <v>FDL-KUDAASH</v>
      </c>
      <c r="B2065" s="655" t="s">
        <v>1462</v>
      </c>
      <c r="C2065" s="22" t="s">
        <v>1463</v>
      </c>
      <c r="D2065" s="22" t="s">
        <v>93</v>
      </c>
      <c r="E2065" s="22" t="s">
        <v>82</v>
      </c>
      <c r="F2065" s="25"/>
      <c r="G2065" s="20"/>
      <c r="H2065" s="20">
        <f>SUMIFS(X!$F$5:$F$2005,X!$D$5:$D$2005,'CEK CICI'!A2065)</f>
        <v>5</v>
      </c>
      <c r="I2065" s="20">
        <f>SUMIFS(PENJUALAN!$E$4:$E$4288,PENJUALAN!$C$4:$C$4288,'CEK CICI'!A2065)</f>
        <v>4</v>
      </c>
      <c r="J2065" s="16">
        <f t="shared" si="2"/>
        <v>1</v>
      </c>
      <c r="K2065" s="22" t="s">
        <v>1391</v>
      </c>
      <c r="L2065" s="25"/>
      <c r="M2065" s="25"/>
      <c r="N2065" s="25"/>
    </row>
    <row r="2066" ht="15.0" hidden="1" customHeight="1">
      <c r="A2066" s="4" t="str">
        <f t="shared" si="1"/>
        <v>LFW-JAZZ07AGC</v>
      </c>
      <c r="B2066" s="15" t="s">
        <v>76</v>
      </c>
      <c r="C2066" s="15" t="s">
        <v>77</v>
      </c>
      <c r="D2066" s="15" t="s">
        <v>22</v>
      </c>
      <c r="E2066" s="15" t="s">
        <v>78</v>
      </c>
      <c r="F2066" s="15" t="s">
        <v>79</v>
      </c>
      <c r="G2066" s="4"/>
      <c r="H2066" s="4">
        <f>SUMIFS(X!$F$5:$F$2005,X!$D$5:$D$2005,'CEK CICI'!A2066)</f>
        <v>1</v>
      </c>
      <c r="I2066" s="4">
        <f>SUMIFS(PENJUALAN!$E$4:$E$4288,PENJUALAN!$C$4:$C$4288,'CEK CICI'!A2066)</f>
        <v>1</v>
      </c>
      <c r="J2066" s="16">
        <f t="shared" si="2"/>
        <v>0</v>
      </c>
      <c r="K2066" s="18"/>
      <c r="L2066" s="18"/>
      <c r="M2066" s="18"/>
      <c r="N2066" s="18"/>
    </row>
    <row r="2067" ht="15.0" hidden="1" customHeight="1">
      <c r="A2067" s="4" t="str">
        <f t="shared" si="1"/>
        <v>LFW-W204RSFR</v>
      </c>
      <c r="B2067" s="15" t="s">
        <v>780</v>
      </c>
      <c r="C2067" s="15" t="s">
        <v>2413</v>
      </c>
      <c r="D2067" s="15" t="s">
        <v>22</v>
      </c>
      <c r="E2067" s="15" t="s">
        <v>1449</v>
      </c>
      <c r="F2067" s="15" t="s">
        <v>112</v>
      </c>
      <c r="G2067" s="4"/>
      <c r="H2067" s="4">
        <f>SUMIFS(X!$F$5:$F$2005,X!$D$5:$D$2005,'CEK CICI'!A2067)</f>
        <v>2</v>
      </c>
      <c r="I2067" s="4">
        <f>SUMIFS(PENJUALAN!$E$4:$E$4288,PENJUALAN!$C$4:$C$4288,'CEK CICI'!A2067)</f>
        <v>0</v>
      </c>
      <c r="J2067" s="16">
        <f t="shared" si="2"/>
        <v>2</v>
      </c>
      <c r="K2067" s="15" t="s">
        <v>158</v>
      </c>
      <c r="L2067" s="15"/>
      <c r="M2067" s="18"/>
      <c r="N2067" s="15" t="s">
        <v>11542</v>
      </c>
    </row>
    <row r="2068" ht="15.0" hidden="1" customHeight="1">
      <c r="A2068" s="4" t="str">
        <f t="shared" si="1"/>
        <v>TRW-OUTLANDERFR</v>
      </c>
      <c r="B2068" s="15" t="s">
        <v>880</v>
      </c>
      <c r="C2068" s="15" t="s">
        <v>1844</v>
      </c>
      <c r="D2068" s="15" t="s">
        <v>41</v>
      </c>
      <c r="E2068" s="15" t="s">
        <v>1449</v>
      </c>
      <c r="F2068" s="15" t="s">
        <v>1377</v>
      </c>
      <c r="G2068" s="4"/>
      <c r="H2068" s="4">
        <f>SUMIFS(X!$F$5:$F$2005,X!$D$5:$D$2005,'CEK CICI'!A2068)</f>
        <v>4</v>
      </c>
      <c r="I2068" s="4">
        <f>SUMIFS(PENJUALAN!$E$4:$E$4288,PENJUALAN!$C$4:$C$4288,'CEK CICI'!A2068)</f>
        <v>4</v>
      </c>
      <c r="J2068" s="16">
        <f t="shared" si="2"/>
        <v>0</v>
      </c>
      <c r="K2068" s="15" t="s">
        <v>1452</v>
      </c>
      <c r="L2068" s="18"/>
      <c r="M2068" s="18"/>
      <c r="N2068" s="18"/>
    </row>
    <row r="2069" ht="15.0" hidden="1" customHeight="1">
      <c r="A2069" s="4" t="str">
        <f t="shared" si="1"/>
        <v>TRW-AVANZA21ASH</v>
      </c>
      <c r="B2069" s="15" t="s">
        <v>1519</v>
      </c>
      <c r="C2069" s="15" t="s">
        <v>1503</v>
      </c>
      <c r="D2069" s="15" t="s">
        <v>41</v>
      </c>
      <c r="E2069" s="15" t="s">
        <v>82</v>
      </c>
      <c r="F2069" s="15" t="s">
        <v>97</v>
      </c>
      <c r="G2069" s="4"/>
      <c r="H2069" s="4">
        <f>SUMIFS(X!$F$5:$F$2005,X!$D$5:$D$2005,'CEK CICI'!A2069)</f>
        <v>8</v>
      </c>
      <c r="I2069" s="4">
        <f>SUMIFS(PENJUALAN!$E$4:$E$4288,PENJUALAN!$C$4:$C$4288,'CEK CICI'!A2069)</f>
        <v>8</v>
      </c>
      <c r="J2069" s="16">
        <f t="shared" si="2"/>
        <v>0</v>
      </c>
      <c r="K2069" s="15" t="s">
        <v>1846</v>
      </c>
      <c r="L2069" s="15"/>
      <c r="M2069" s="18"/>
      <c r="N2069" s="18"/>
    </row>
    <row r="2070" ht="15.0" hidden="1" customHeight="1">
      <c r="A2070" s="4" t="str">
        <f t="shared" si="1"/>
        <v>TRW-AVANZA21HASH</v>
      </c>
      <c r="B2070" s="15" t="s">
        <v>2418</v>
      </c>
      <c r="C2070" s="15" t="s">
        <v>1503</v>
      </c>
      <c r="D2070" s="15" t="s">
        <v>41</v>
      </c>
      <c r="E2070" s="15" t="s">
        <v>82</v>
      </c>
      <c r="F2070" s="15" t="s">
        <v>2193</v>
      </c>
      <c r="G2070" s="4"/>
      <c r="H2070" s="4">
        <f>SUMIFS(X!$F$5:$F$2005,X!$D$5:$D$2005,'CEK CICI'!A2070)</f>
        <v>10</v>
      </c>
      <c r="I2070" s="4">
        <f>SUMIFS(PENJUALAN!$E$4:$E$4288,PENJUALAN!$C$4:$C$4288,'CEK CICI'!A2070)</f>
        <v>6</v>
      </c>
      <c r="J2070" s="16">
        <f t="shared" si="2"/>
        <v>4</v>
      </c>
      <c r="K2070" s="15" t="s">
        <v>1846</v>
      </c>
      <c r="L2070" s="15"/>
      <c r="M2070" s="18"/>
      <c r="N2070" s="18"/>
    </row>
    <row r="2071" ht="15.0" hidden="1" customHeight="1">
      <c r="A2071" s="4" t="str">
        <f t="shared" si="1"/>
        <v>TRW-SWIFT04AGC</v>
      </c>
      <c r="B2071" s="15" t="s">
        <v>1811</v>
      </c>
      <c r="C2071" s="15" t="s">
        <v>1406</v>
      </c>
      <c r="D2071" s="15" t="s">
        <v>41</v>
      </c>
      <c r="E2071" s="15" t="s">
        <v>78</v>
      </c>
      <c r="F2071" s="15" t="s">
        <v>97</v>
      </c>
      <c r="G2071" s="4"/>
      <c r="H2071" s="4">
        <f>SUMIFS(X!$F$5:$F$2005,X!$D$5:$D$2005,'CEK CICI'!A2071)</f>
        <v>1</v>
      </c>
      <c r="I2071" s="4">
        <f>SUMIFS(PENJUALAN!$E$4:$E$4288,PENJUALAN!$C$4:$C$4288,'CEK CICI'!A2071)</f>
        <v>0</v>
      </c>
      <c r="J2071" s="16">
        <f t="shared" si="2"/>
        <v>1</v>
      </c>
      <c r="K2071" s="15" t="s">
        <v>1398</v>
      </c>
      <c r="L2071" s="15"/>
      <c r="M2071" s="18"/>
      <c r="N2071" s="18"/>
    </row>
    <row r="2072" ht="15.0" hidden="1" customHeight="1">
      <c r="A2072" s="4" t="str">
        <f t="shared" si="1"/>
        <v>LFW-INNOVA04AGC</v>
      </c>
      <c r="B2072" s="15" t="s">
        <v>1159</v>
      </c>
      <c r="C2072" s="15" t="s">
        <v>1853</v>
      </c>
      <c r="D2072" s="15" t="s">
        <v>22</v>
      </c>
      <c r="E2072" s="15" t="s">
        <v>78</v>
      </c>
      <c r="F2072" s="15" t="s">
        <v>79</v>
      </c>
      <c r="G2072" s="4"/>
      <c r="H2072" s="4">
        <f>SUMIFS(X!$F$5:$F$2005,X!$D$5:$D$2005,'CEK CICI'!A2072)</f>
        <v>5</v>
      </c>
      <c r="I2072" s="4">
        <f>SUMIFS(PENJUALAN!$E$4:$E$4288,PENJUALAN!$C$4:$C$4288,'CEK CICI'!A2072)</f>
        <v>5</v>
      </c>
      <c r="J2072" s="16">
        <f t="shared" si="2"/>
        <v>0</v>
      </c>
      <c r="K2072" s="18"/>
      <c r="L2072" s="18"/>
      <c r="M2072" s="18"/>
      <c r="N2072" s="18"/>
    </row>
    <row r="2073" ht="15.0" hidden="1" customHeight="1">
      <c r="A2073" s="4" t="str">
        <f t="shared" si="1"/>
        <v>LFW-CORTEZASH</v>
      </c>
      <c r="B2073" s="15" t="s">
        <v>2035</v>
      </c>
      <c r="C2073" s="15" t="s">
        <v>1988</v>
      </c>
      <c r="D2073" s="15" t="s">
        <v>22</v>
      </c>
      <c r="E2073" s="15" t="s">
        <v>82</v>
      </c>
      <c r="F2073" s="15" t="s">
        <v>125</v>
      </c>
      <c r="G2073" s="4"/>
      <c r="H2073" s="4">
        <f>SUMIFS(X!$F$5:$F$2005,X!$D$5:$D$2005,'CEK CICI'!A2073)</f>
        <v>5</v>
      </c>
      <c r="I2073" s="4">
        <f>SUMIFS(PENJUALAN!$E$4:$E$4288,PENJUALAN!$C$4:$C$4288,'CEK CICI'!A2073)</f>
        <v>5</v>
      </c>
      <c r="J2073" s="16">
        <f t="shared" si="2"/>
        <v>0</v>
      </c>
      <c r="K2073" s="15" t="s">
        <v>1722</v>
      </c>
      <c r="L2073" s="15"/>
      <c r="M2073" s="18"/>
      <c r="N2073" s="18"/>
    </row>
    <row r="2074" ht="15.0" hidden="1" customHeight="1">
      <c r="A2074" s="4" t="str">
        <f t="shared" si="1"/>
        <v>SWL-ERTIGA18AGC</v>
      </c>
      <c r="B2074" s="15" t="s">
        <v>1963</v>
      </c>
      <c r="C2074" s="15" t="s">
        <v>1794</v>
      </c>
      <c r="D2074" s="15" t="s">
        <v>1434</v>
      </c>
      <c r="E2074" s="15" t="s">
        <v>78</v>
      </c>
      <c r="F2074" s="15" t="s">
        <v>97</v>
      </c>
      <c r="G2074" s="4"/>
      <c r="H2074" s="4">
        <f>SUMIFS(X!$F$5:$F$2005,X!$D$5:$D$2005,'CEK CICI'!A2074)</f>
        <v>1</v>
      </c>
      <c r="I2074" s="4">
        <f>SUMIFS(PENJUALAN!$E$4:$E$4288,PENJUALAN!$C$4:$C$4288,'CEK CICI'!A2074)</f>
        <v>1</v>
      </c>
      <c r="J2074" s="16">
        <f t="shared" si="2"/>
        <v>0</v>
      </c>
      <c r="K2074" s="18"/>
      <c r="L2074" s="18"/>
      <c r="M2074" s="18"/>
      <c r="N2074" s="18"/>
    </row>
    <row r="2075" ht="15.0" hidden="1" customHeight="1">
      <c r="A2075" s="4" t="str">
        <f t="shared" si="1"/>
        <v>SWR-ERTIGA18AGC</v>
      </c>
      <c r="B2075" s="15" t="s">
        <v>2423</v>
      </c>
      <c r="C2075" s="15" t="s">
        <v>1794</v>
      </c>
      <c r="D2075" s="15" t="s">
        <v>104</v>
      </c>
      <c r="E2075" s="15" t="s">
        <v>78</v>
      </c>
      <c r="F2075" s="15" t="s">
        <v>97</v>
      </c>
      <c r="G2075" s="4"/>
      <c r="H2075" s="4">
        <f>SUMIFS(X!$F$5:$F$2005,X!$D$5:$D$2005,'CEK CICI'!A2075)</f>
        <v>0</v>
      </c>
      <c r="I2075" s="4">
        <f>SUMIFS(PENJUALAN!$E$4:$E$4288,PENJUALAN!$C$4:$C$4288,'CEK CICI'!A2075)</f>
        <v>0</v>
      </c>
      <c r="J2075" s="16">
        <f t="shared" si="2"/>
        <v>0</v>
      </c>
      <c r="K2075" s="18"/>
      <c r="L2075" s="18"/>
      <c r="M2075" s="18"/>
      <c r="N2075" s="18"/>
    </row>
    <row r="2076" ht="15.0" hidden="1" customHeight="1">
      <c r="A2076" s="4" t="str">
        <f t="shared" si="1"/>
        <v>LFW-INNOVA04COP</v>
      </c>
      <c r="B2076" s="15" t="s">
        <v>1159</v>
      </c>
      <c r="C2076" s="15" t="s">
        <v>2424</v>
      </c>
      <c r="D2076" s="15" t="s">
        <v>22</v>
      </c>
      <c r="E2076" s="15" t="s">
        <v>2425</v>
      </c>
      <c r="F2076" s="15" t="s">
        <v>79</v>
      </c>
      <c r="G2076" s="4"/>
      <c r="H2076" s="4">
        <f>SUMIFS(X!$F$5:$F$2005,X!$D$5:$D$2005,'CEK CICI'!A2076)</f>
        <v>1</v>
      </c>
      <c r="I2076" s="4">
        <f>SUMIFS(PENJUALAN!$E$4:$E$4288,PENJUALAN!$C$4:$C$4288,'CEK CICI'!A2076)</f>
        <v>0</v>
      </c>
      <c r="J2076" s="16">
        <f t="shared" si="2"/>
        <v>1</v>
      </c>
      <c r="K2076" s="15" t="s">
        <v>1863</v>
      </c>
      <c r="L2076" s="18"/>
      <c r="M2076" s="18"/>
      <c r="N2076" s="18"/>
    </row>
    <row r="2077" ht="15.0" customHeight="1">
      <c r="A2077" s="4" t="str">
        <f t="shared" si="1"/>
        <v>LFW-XPANDERCOP</v>
      </c>
      <c r="B2077" s="15" t="s">
        <v>1467</v>
      </c>
      <c r="C2077" s="15" t="s">
        <v>2426</v>
      </c>
      <c r="D2077" s="15" t="s">
        <v>22</v>
      </c>
      <c r="E2077" s="15" t="s">
        <v>2425</v>
      </c>
      <c r="F2077" s="15" t="s">
        <v>125</v>
      </c>
      <c r="G2077" s="4"/>
      <c r="H2077" s="4">
        <f>SUMIFS(X!$F$5:$F$2005,X!$D$5:$D$2005,'CEK CICI'!A2077)</f>
        <v>1</v>
      </c>
      <c r="I2077" s="4">
        <f>SUMIFS(PENJUALAN!$E$4:$E$4288,PENJUALAN!$C$4:$C$4288,'CEK CICI'!A2077)</f>
        <v>0</v>
      </c>
      <c r="J2077" s="16">
        <f t="shared" si="2"/>
        <v>1</v>
      </c>
      <c r="K2077" s="15" t="s">
        <v>1707</v>
      </c>
      <c r="L2077" s="18"/>
      <c r="M2077" s="18"/>
      <c r="N2077" s="18"/>
    </row>
    <row r="2078" ht="15.0" customHeight="1">
      <c r="A2078" s="4" t="str">
        <f t="shared" si="1"/>
        <v>SWL-TAFTGTASH</v>
      </c>
      <c r="B2078" s="15" t="s">
        <v>2427</v>
      </c>
      <c r="C2078" s="15" t="s">
        <v>2428</v>
      </c>
      <c r="D2078" s="15" t="s">
        <v>1434</v>
      </c>
      <c r="E2078" s="15" t="s">
        <v>82</v>
      </c>
      <c r="F2078" s="15" t="s">
        <v>2429</v>
      </c>
      <c r="G2078" s="4"/>
      <c r="H2078" s="4">
        <f>SUMIFS(X!$F$5:$F$2005,X!$D$5:$D$2005,'CEK CICI'!A2078)</f>
        <v>1</v>
      </c>
      <c r="I2078" s="4">
        <f>SUMIFS(PENJUALAN!$E$4:$E$4288,PENJUALAN!$C$4:$C$4288,'CEK CICI'!A2078)</f>
        <v>1</v>
      </c>
      <c r="J2078" s="16">
        <f t="shared" si="2"/>
        <v>0</v>
      </c>
      <c r="K2078" s="18"/>
      <c r="L2078" s="18"/>
      <c r="M2078" s="18"/>
      <c r="N2078" s="18"/>
    </row>
    <row r="2079" ht="15.0" customHeight="1">
      <c r="A2079" s="4" t="str">
        <f t="shared" si="1"/>
        <v>SWR-TAFTGTASH</v>
      </c>
      <c r="B2079" s="15" t="s">
        <v>2430</v>
      </c>
      <c r="C2079" s="15" t="s">
        <v>2428</v>
      </c>
      <c r="D2079" s="15" t="s">
        <v>104</v>
      </c>
      <c r="E2079" s="15" t="s">
        <v>82</v>
      </c>
      <c r="F2079" s="15" t="s">
        <v>2429</v>
      </c>
      <c r="G2079" s="4"/>
      <c r="H2079" s="4">
        <f>SUMIFS(X!$F$5:$F$2005,X!$D$5:$D$2005,'CEK CICI'!A2079)</f>
        <v>0</v>
      </c>
      <c r="I2079" s="4">
        <f>SUMIFS(PENJUALAN!$E$4:$E$4288,PENJUALAN!$C$4:$C$4288,'CEK CICI'!A2079)</f>
        <v>0</v>
      </c>
      <c r="J2079" s="16">
        <f t="shared" si="2"/>
        <v>0</v>
      </c>
      <c r="K2079" s="18"/>
      <c r="L2079" s="18"/>
      <c r="M2079" s="18"/>
      <c r="N2079" s="18"/>
    </row>
    <row r="2080" ht="15.0" customHeight="1">
      <c r="A2080" s="4" t="str">
        <f t="shared" si="1"/>
        <v>LFW-TERIOS06AGC</v>
      </c>
      <c r="B2080" s="15" t="s">
        <v>1243</v>
      </c>
      <c r="C2080" s="15" t="s">
        <v>2431</v>
      </c>
      <c r="D2080" s="15" t="s">
        <v>22</v>
      </c>
      <c r="E2080" s="15" t="s">
        <v>78</v>
      </c>
      <c r="F2080" s="15" t="s">
        <v>97</v>
      </c>
      <c r="G2080" s="4"/>
      <c r="H2080" s="4">
        <f>SUMIFS(X!$F$5:$F$2005,X!$D$5:$D$2005,'CEK CICI'!A2080)</f>
        <v>1</v>
      </c>
      <c r="I2080" s="4">
        <f>SUMIFS(PENJUALAN!$E$4:$E$4288,PENJUALAN!$C$4:$C$4288,'CEK CICI'!A2080)</f>
        <v>1</v>
      </c>
      <c r="J2080" s="16">
        <f t="shared" si="2"/>
        <v>0</v>
      </c>
      <c r="K2080" s="18"/>
      <c r="L2080" s="18"/>
      <c r="M2080" s="18"/>
      <c r="N2080" s="18"/>
    </row>
    <row r="2081" ht="15.0" customHeight="1">
      <c r="A2081" s="4" t="str">
        <f t="shared" si="1"/>
        <v>SWL-ERTIGA12AGC</v>
      </c>
      <c r="B2081" s="15" t="s">
        <v>2432</v>
      </c>
      <c r="C2081" s="15" t="s">
        <v>2433</v>
      </c>
      <c r="D2081" s="15" t="s">
        <v>1434</v>
      </c>
      <c r="E2081" s="15" t="s">
        <v>78</v>
      </c>
      <c r="F2081" s="15" t="s">
        <v>97</v>
      </c>
      <c r="G2081" s="4"/>
      <c r="H2081" s="4">
        <f>SUMIFS(X!$F$5:$F$2005,X!$D$5:$D$2005,'CEK CICI'!A2081)</f>
        <v>1</v>
      </c>
      <c r="I2081" s="4">
        <f>SUMIFS(PENJUALAN!$E$4:$E$4288,PENJUALAN!$C$4:$C$4288,'CEK CICI'!A2081)</f>
        <v>1</v>
      </c>
      <c r="J2081" s="16">
        <f t="shared" si="2"/>
        <v>0</v>
      </c>
      <c r="K2081" s="18"/>
      <c r="L2081" s="18"/>
      <c r="M2081" s="18"/>
      <c r="N2081" s="18"/>
    </row>
    <row r="2082" ht="15.0" customHeight="1">
      <c r="A2082" s="4" t="str">
        <f t="shared" si="1"/>
        <v>LFW-AGYA13AGC</v>
      </c>
      <c r="B2082" s="15" t="s">
        <v>2101</v>
      </c>
      <c r="C2082" s="15" t="s">
        <v>2434</v>
      </c>
      <c r="D2082" s="15" t="s">
        <v>22</v>
      </c>
      <c r="E2082" s="15" t="s">
        <v>78</v>
      </c>
      <c r="F2082" s="15" t="s">
        <v>97</v>
      </c>
      <c r="G2082" s="4"/>
      <c r="H2082" s="4">
        <f>SUMIFS(X!$F$5:$F$2005,X!$D$5:$D$2005,'CEK CICI'!A2082)</f>
        <v>1</v>
      </c>
      <c r="I2082" s="4">
        <f>SUMIFS(PENJUALAN!$E$4:$E$4288,PENJUALAN!$C$4:$C$4288,'CEK CICI'!A2082)</f>
        <v>1</v>
      </c>
      <c r="J2082" s="16">
        <f t="shared" si="2"/>
        <v>0</v>
      </c>
      <c r="K2082" s="18"/>
      <c r="L2082" s="18"/>
      <c r="M2082" s="18"/>
      <c r="N2082" s="18"/>
    </row>
    <row r="2083" ht="15.0" customHeight="1">
      <c r="A2083" s="4" t="str">
        <f t="shared" si="1"/>
        <v/>
      </c>
      <c r="B2083" s="18"/>
      <c r="C2083" s="18"/>
      <c r="D2083" s="18"/>
      <c r="E2083" s="18"/>
      <c r="F2083" s="18"/>
      <c r="G2083" s="4"/>
      <c r="H2083" s="4">
        <f>SUMIFS(X!$F$5:$F$2005,X!$D$5:$D$2005,'CEK CICI'!A2083)</f>
        <v>3</v>
      </c>
      <c r="I2083" s="4">
        <f>SUMIFS(PENJUALAN!$E$4:$E$4288,PENJUALAN!$C$4:$C$4288,'CEK CICI'!A2083)</f>
        <v>0</v>
      </c>
      <c r="J2083" s="16">
        <f t="shared" si="2"/>
        <v>3</v>
      </c>
      <c r="K2083" s="18"/>
      <c r="L2083" s="18"/>
      <c r="M2083" s="18"/>
      <c r="N2083" s="18"/>
    </row>
    <row r="2084" ht="15.0" customHeight="1">
      <c r="A2084" s="4" t="str">
        <f t="shared" si="1"/>
        <v/>
      </c>
      <c r="B2084" s="18"/>
      <c r="C2084" s="18"/>
      <c r="D2084" s="18"/>
      <c r="E2084" s="18"/>
      <c r="F2084" s="18"/>
      <c r="G2084" s="4"/>
      <c r="H2084" s="4">
        <f>SUMIFS(X!$F$5:$F$2005,X!$D$5:$D$2005,'CEK CICI'!A2084)</f>
        <v>3</v>
      </c>
      <c r="I2084" s="4">
        <f>SUMIFS(PENJUALAN!$E$4:$E$4288,PENJUALAN!$C$4:$C$4288,'CEK CICI'!A2084)</f>
        <v>0</v>
      </c>
      <c r="J2084" s="16">
        <f t="shared" si="2"/>
        <v>3</v>
      </c>
      <c r="K2084" s="18"/>
      <c r="L2084" s="18"/>
      <c r="M2084" s="18"/>
      <c r="N2084" s="18"/>
    </row>
    <row r="2085" ht="15.0" customHeight="1">
      <c r="A2085" s="4" t="str">
        <f t="shared" si="1"/>
        <v/>
      </c>
      <c r="B2085" s="18"/>
      <c r="C2085" s="18"/>
      <c r="D2085" s="18"/>
      <c r="E2085" s="18"/>
      <c r="F2085" s="18"/>
      <c r="G2085" s="4"/>
      <c r="H2085" s="4">
        <f>SUMIFS(X!$F$5:$F$2005,X!$D$5:$D$2005,'CEK CICI'!A2085)</f>
        <v>3</v>
      </c>
      <c r="I2085" s="4">
        <f>SUMIFS(PENJUALAN!$E$4:$E$4288,PENJUALAN!$C$4:$C$4288,'CEK CICI'!A2085)</f>
        <v>0</v>
      </c>
      <c r="J2085" s="16">
        <f t="shared" si="2"/>
        <v>3</v>
      </c>
      <c r="K2085" s="18"/>
      <c r="L2085" s="18"/>
      <c r="M2085" s="18"/>
      <c r="N2085" s="18"/>
    </row>
    <row r="2086" ht="15.0" customHeight="1">
      <c r="A2086" s="4" t="str">
        <f t="shared" si="1"/>
        <v/>
      </c>
      <c r="B2086" s="18"/>
      <c r="C2086" s="18"/>
      <c r="D2086" s="18"/>
      <c r="E2086" s="18"/>
      <c r="F2086" s="18"/>
      <c r="G2086" s="4"/>
      <c r="H2086" s="4">
        <f>SUMIFS(X!$F$5:$F$2005,X!$D$5:$D$2005,'CEK CICI'!A2086)</f>
        <v>3</v>
      </c>
      <c r="I2086" s="4">
        <f>SUMIFS(PENJUALAN!$E$4:$E$4288,PENJUALAN!$C$4:$C$4288,'CEK CICI'!A2086)</f>
        <v>0</v>
      </c>
      <c r="J2086" s="16">
        <f t="shared" si="2"/>
        <v>3</v>
      </c>
      <c r="K2086" s="18"/>
      <c r="L2086" s="18"/>
      <c r="M2086" s="18"/>
      <c r="N2086" s="18"/>
    </row>
    <row r="2087" ht="15.0" customHeight="1">
      <c r="A2087" s="18"/>
      <c r="B2087" s="18"/>
      <c r="C2087" s="18"/>
      <c r="D2087" s="18"/>
      <c r="E2087" s="18"/>
      <c r="F2087" s="18"/>
      <c r="G2087" s="4"/>
      <c r="H2087" s="4">
        <f>SUMIFS(X!$F$5:$F$2005,X!$D$5:$D$2005,'CEK CICI'!A2087)</f>
        <v>0</v>
      </c>
      <c r="I2087" s="4">
        <f>SUMIFS(PENJUALAN!$E$4:$E$4288,PENJUALAN!$C$4:$C$4288,'CEK CICI'!A2087)</f>
        <v>0</v>
      </c>
      <c r="J2087" s="16">
        <f t="shared" si="2"/>
        <v>0</v>
      </c>
      <c r="K2087" s="18"/>
      <c r="L2087" s="18"/>
      <c r="M2087" s="18"/>
      <c r="N2087" s="18"/>
    </row>
    <row r="2088" ht="15.0" customHeight="1">
      <c r="A2088" s="18"/>
      <c r="B2088" s="18"/>
      <c r="C2088" s="18"/>
      <c r="D2088" s="18"/>
      <c r="E2088" s="18"/>
      <c r="F2088" s="18"/>
      <c r="G2088" s="4"/>
      <c r="H2088" s="4">
        <f>SUMIFS(X!$F$5:$F$2005,X!$D$5:$D$2005,'CEK CICI'!A2088)</f>
        <v>0</v>
      </c>
      <c r="I2088" s="4">
        <f>SUMIFS(PENJUALAN!$E$4:$E$4288,PENJUALAN!$C$4:$C$4288,'CEK CICI'!A2088)</f>
        <v>0</v>
      </c>
      <c r="J2088" s="16">
        <f t="shared" si="2"/>
        <v>0</v>
      </c>
      <c r="K2088" s="18"/>
      <c r="L2088" s="18"/>
      <c r="M2088" s="18"/>
      <c r="N2088" s="18"/>
    </row>
    <row r="2089" ht="15.0" customHeight="1">
      <c r="A2089" s="18"/>
      <c r="B2089" s="18"/>
      <c r="C2089" s="18"/>
      <c r="D2089" s="18"/>
      <c r="E2089" s="18"/>
      <c r="F2089" s="18"/>
      <c r="G2089" s="4"/>
      <c r="H2089" s="4">
        <f>SUMIFS(X!$F$5:$F$2005,X!$D$5:$D$2005,'CEK CICI'!A2089)</f>
        <v>0</v>
      </c>
      <c r="I2089" s="4">
        <f>SUMIFS(PENJUALAN!$E$4:$E$4288,PENJUALAN!$C$4:$C$4288,'CEK CICI'!A2089)</f>
        <v>0</v>
      </c>
      <c r="J2089" s="16">
        <f t="shared" si="2"/>
        <v>0</v>
      </c>
      <c r="K2089" s="18"/>
      <c r="L2089" s="18"/>
      <c r="M2089" s="18"/>
      <c r="N2089" s="18"/>
    </row>
    <row r="2090" ht="15.0" customHeight="1">
      <c r="A2090" s="18"/>
      <c r="B2090" s="18"/>
      <c r="C2090" s="18"/>
      <c r="D2090" s="18"/>
      <c r="E2090" s="18"/>
      <c r="F2090" s="18"/>
      <c r="G2090" s="4"/>
      <c r="H2090" s="4">
        <f>SUMIFS(X!$F$5:$F$2005,X!$D$5:$D$2005,'CEK CICI'!A2090)</f>
        <v>0</v>
      </c>
      <c r="I2090" s="4">
        <f>SUMIFS(PENJUALAN!$E$4:$E$4288,PENJUALAN!$C$4:$C$4288,'CEK CICI'!A2090)</f>
        <v>0</v>
      </c>
      <c r="J2090" s="16">
        <f t="shared" si="2"/>
        <v>0</v>
      </c>
      <c r="K2090" s="18"/>
      <c r="L2090" s="18"/>
      <c r="M2090" s="18"/>
      <c r="N2090" s="18"/>
    </row>
    <row r="2091" ht="15.0" customHeight="1">
      <c r="A2091" s="18"/>
      <c r="B2091" s="18"/>
      <c r="C2091" s="18"/>
      <c r="D2091" s="18"/>
      <c r="E2091" s="18"/>
      <c r="F2091" s="18"/>
      <c r="G2091" s="4"/>
      <c r="H2091" s="4">
        <f>SUMIFS(X!$F$5:$F$2005,X!$D$5:$D$2005,'CEK CICI'!A2091)</f>
        <v>0</v>
      </c>
      <c r="I2091" s="18"/>
      <c r="J2091" s="16">
        <f t="shared" si="2"/>
        <v>0</v>
      </c>
      <c r="K2091" s="18"/>
      <c r="L2091" s="18"/>
      <c r="M2091" s="18"/>
      <c r="N2091" s="18"/>
    </row>
    <row r="2092" ht="15.0" customHeight="1">
      <c r="A2092" s="18"/>
      <c r="B2092" s="18"/>
      <c r="C2092" s="18"/>
      <c r="D2092" s="18"/>
      <c r="E2092" s="18"/>
      <c r="F2092" s="18"/>
      <c r="G2092" s="4"/>
      <c r="H2092" s="4">
        <f>SUMIFS(X!$F$5:$F$2005,X!$D$5:$D$2005,'CEK CICI'!A2092)</f>
        <v>0</v>
      </c>
      <c r="I2092" s="18"/>
      <c r="J2092" s="16">
        <f t="shared" si="2"/>
        <v>0</v>
      </c>
      <c r="K2092" s="18"/>
      <c r="L2092" s="18"/>
      <c r="M2092" s="18"/>
      <c r="N2092" s="18"/>
    </row>
    <row r="2093" ht="15.0" customHeight="1">
      <c r="A2093" s="18"/>
      <c r="B2093" s="18"/>
      <c r="C2093" s="18"/>
      <c r="D2093" s="18"/>
      <c r="E2093" s="18"/>
      <c r="F2093" s="18"/>
      <c r="G2093" s="4"/>
      <c r="H2093" s="4"/>
      <c r="I2093" s="18"/>
      <c r="J2093" s="16">
        <f t="shared" si="2"/>
        <v>0</v>
      </c>
      <c r="K2093" s="18"/>
      <c r="L2093" s="18"/>
      <c r="M2093" s="18"/>
      <c r="N2093" s="18"/>
    </row>
    <row r="2094" ht="15.0" customHeight="1">
      <c r="A2094" s="18"/>
      <c r="B2094" s="18"/>
      <c r="C2094" s="18"/>
      <c r="D2094" s="18"/>
      <c r="E2094" s="18"/>
      <c r="F2094" s="18"/>
      <c r="G2094" s="4"/>
      <c r="H2094" s="4"/>
      <c r="I2094" s="18"/>
      <c r="J2094" s="91"/>
      <c r="K2094" s="18"/>
      <c r="L2094" s="18"/>
      <c r="M2094" s="18"/>
      <c r="N2094" s="18"/>
    </row>
    <row r="2095" ht="15.0" customHeight="1">
      <c r="A2095" s="18"/>
      <c r="B2095" s="18"/>
      <c r="C2095" s="18"/>
      <c r="D2095" s="18"/>
      <c r="E2095" s="18"/>
      <c r="F2095" s="18"/>
      <c r="G2095" s="4"/>
      <c r="H2095" s="4"/>
      <c r="I2095" s="18"/>
      <c r="J2095" s="91"/>
      <c r="K2095" s="18"/>
      <c r="L2095" s="18"/>
      <c r="M2095" s="18"/>
      <c r="N2095" s="18"/>
    </row>
    <row r="2096" ht="15.0" customHeight="1">
      <c r="A2096" s="18"/>
      <c r="B2096" s="18"/>
      <c r="C2096" s="18"/>
      <c r="D2096" s="18"/>
      <c r="E2096" s="18"/>
      <c r="F2096" s="18"/>
      <c r="G2096" s="4"/>
      <c r="H2096" s="4"/>
      <c r="I2096" s="18"/>
      <c r="J2096" s="91"/>
      <c r="K2096" s="18"/>
      <c r="L2096" s="18"/>
      <c r="M2096" s="18"/>
      <c r="N2096" s="18"/>
    </row>
    <row r="2097" ht="15.0" customHeight="1">
      <c r="A2097" s="18"/>
      <c r="B2097" s="18"/>
      <c r="C2097" s="18"/>
      <c r="D2097" s="18"/>
      <c r="E2097" s="18"/>
      <c r="F2097" s="18"/>
      <c r="G2097" s="4"/>
      <c r="H2097" s="4"/>
      <c r="I2097" s="18"/>
      <c r="J2097" s="91"/>
      <c r="K2097" s="18"/>
      <c r="L2097" s="18"/>
      <c r="M2097" s="18"/>
      <c r="N2097" s="18"/>
    </row>
    <row r="2098" ht="15.0" customHeight="1">
      <c r="A2098" s="18"/>
      <c r="B2098" s="18"/>
      <c r="C2098" s="18"/>
      <c r="D2098" s="18"/>
      <c r="E2098" s="18"/>
      <c r="F2098" s="18"/>
      <c r="G2098" s="4"/>
      <c r="H2098" s="4"/>
      <c r="I2098" s="18"/>
      <c r="J2098" s="91"/>
      <c r="K2098" s="18"/>
      <c r="L2098" s="18"/>
      <c r="M2098" s="18"/>
      <c r="N2098" s="18"/>
    </row>
    <row r="2099" ht="15.0" customHeight="1">
      <c r="A2099" s="18"/>
      <c r="B2099" s="18"/>
      <c r="C2099" s="18"/>
      <c r="D2099" s="18"/>
      <c r="E2099" s="18"/>
      <c r="F2099" s="18"/>
      <c r="G2099" s="4"/>
      <c r="H2099" s="4"/>
      <c r="I2099" s="18"/>
      <c r="J2099" s="91"/>
      <c r="K2099" s="18"/>
      <c r="L2099" s="18"/>
      <c r="M2099" s="18"/>
      <c r="N2099" s="18"/>
    </row>
    <row r="2100" ht="15.0" customHeight="1">
      <c r="A2100" s="18"/>
      <c r="B2100" s="18"/>
      <c r="C2100" s="18"/>
      <c r="D2100" s="18"/>
      <c r="E2100" s="18"/>
      <c r="F2100" s="18"/>
      <c r="G2100" s="4"/>
      <c r="H2100" s="4"/>
      <c r="I2100" s="18"/>
      <c r="J2100" s="91"/>
      <c r="K2100" s="18"/>
      <c r="L2100" s="18"/>
      <c r="M2100" s="18"/>
      <c r="N2100" s="18"/>
    </row>
    <row r="2101" ht="15.0" customHeight="1">
      <c r="A2101" s="18"/>
      <c r="B2101" s="18"/>
      <c r="C2101" s="18"/>
      <c r="D2101" s="18"/>
      <c r="E2101" s="18"/>
      <c r="F2101" s="18"/>
      <c r="G2101" s="4"/>
      <c r="H2101" s="4"/>
      <c r="I2101" s="18"/>
      <c r="J2101" s="91"/>
      <c r="K2101" s="18"/>
      <c r="L2101" s="18"/>
      <c r="M2101" s="18"/>
      <c r="N2101" s="18"/>
    </row>
    <row r="2102" ht="15.0" customHeight="1">
      <c r="A2102" s="18"/>
      <c r="B2102" s="18"/>
      <c r="C2102" s="18"/>
      <c r="D2102" s="18"/>
      <c r="E2102" s="18"/>
      <c r="F2102" s="18"/>
      <c r="G2102" s="4"/>
      <c r="H2102" s="4"/>
      <c r="I2102" s="18"/>
      <c r="J2102" s="91"/>
      <c r="K2102" s="18"/>
      <c r="L2102" s="18"/>
      <c r="M2102" s="18"/>
      <c r="N2102" s="18"/>
    </row>
    <row r="2103" ht="15.0" customHeight="1">
      <c r="A2103" s="18"/>
      <c r="B2103" s="18"/>
      <c r="C2103" s="18"/>
      <c r="D2103" s="18"/>
      <c r="E2103" s="18"/>
      <c r="F2103" s="18"/>
      <c r="G2103" s="4"/>
      <c r="H2103" s="4"/>
      <c r="I2103" s="18"/>
      <c r="J2103" s="91"/>
      <c r="K2103" s="18"/>
      <c r="L2103" s="18"/>
      <c r="M2103" s="18"/>
      <c r="N2103" s="18"/>
    </row>
    <row r="2104" ht="15.0" customHeight="1">
      <c r="A2104" s="18"/>
      <c r="B2104" s="18"/>
      <c r="C2104" s="18"/>
      <c r="D2104" s="18"/>
      <c r="E2104" s="18"/>
      <c r="F2104" s="18"/>
      <c r="G2104" s="4"/>
      <c r="H2104" s="4"/>
      <c r="I2104" s="18"/>
      <c r="J2104" s="91"/>
      <c r="K2104" s="18"/>
      <c r="L2104" s="18"/>
      <c r="M2104" s="18"/>
      <c r="N2104" s="18"/>
    </row>
    <row r="2105" ht="15.0" customHeight="1">
      <c r="A2105" s="18"/>
      <c r="B2105" s="18"/>
      <c r="C2105" s="18"/>
      <c r="D2105" s="18"/>
      <c r="E2105" s="18"/>
      <c r="F2105" s="18"/>
      <c r="G2105" s="4"/>
      <c r="H2105" s="4"/>
      <c r="I2105" s="18"/>
      <c r="J2105" s="91"/>
      <c r="K2105" s="18"/>
      <c r="L2105" s="18"/>
      <c r="M2105" s="18"/>
      <c r="N2105" s="18"/>
    </row>
    <row r="2106" ht="15.0" customHeight="1">
      <c r="A2106" s="18"/>
      <c r="B2106" s="18"/>
      <c r="C2106" s="18"/>
      <c r="D2106" s="18"/>
      <c r="E2106" s="18"/>
      <c r="F2106" s="18"/>
      <c r="G2106" s="4"/>
      <c r="H2106" s="4"/>
      <c r="I2106" s="18"/>
      <c r="J2106" s="91"/>
      <c r="K2106" s="18"/>
      <c r="L2106" s="18"/>
      <c r="M2106" s="18"/>
      <c r="N2106" s="18"/>
    </row>
    <row r="2107" ht="15.0" customHeight="1">
      <c r="A2107" s="18"/>
      <c r="B2107" s="18"/>
      <c r="C2107" s="18"/>
      <c r="D2107" s="18"/>
      <c r="E2107" s="18"/>
      <c r="F2107" s="18"/>
      <c r="G2107" s="4"/>
      <c r="H2107" s="4"/>
      <c r="I2107" s="18"/>
      <c r="J2107" s="91"/>
      <c r="K2107" s="18"/>
      <c r="L2107" s="18"/>
      <c r="M2107" s="18"/>
      <c r="N2107" s="18"/>
    </row>
    <row r="2108" ht="15.0" customHeight="1">
      <c r="A2108" s="18"/>
      <c r="B2108" s="18"/>
      <c r="C2108" s="18"/>
      <c r="D2108" s="18"/>
      <c r="E2108" s="18"/>
      <c r="F2108" s="18"/>
      <c r="G2108" s="4"/>
      <c r="H2108" s="4"/>
      <c r="I2108" s="18"/>
      <c r="J2108" s="91"/>
      <c r="K2108" s="18"/>
      <c r="L2108" s="18"/>
      <c r="M2108" s="18"/>
      <c r="N2108" s="18"/>
    </row>
    <row r="2109" ht="15.0" customHeight="1">
      <c r="A2109" s="18"/>
      <c r="B2109" s="18"/>
      <c r="C2109" s="18"/>
      <c r="D2109" s="18"/>
      <c r="E2109" s="18"/>
      <c r="F2109" s="18"/>
      <c r="G2109" s="4"/>
      <c r="H2109" s="4"/>
      <c r="I2109" s="18"/>
      <c r="J2109" s="91"/>
      <c r="K2109" s="18"/>
      <c r="L2109" s="18"/>
      <c r="M2109" s="18"/>
      <c r="N2109" s="18"/>
    </row>
    <row r="2110" ht="15.0" customHeight="1">
      <c r="A2110" s="18"/>
      <c r="B2110" s="18"/>
      <c r="C2110" s="18"/>
      <c r="D2110" s="18"/>
      <c r="E2110" s="18"/>
      <c r="F2110" s="18"/>
      <c r="G2110" s="4"/>
      <c r="H2110" s="4"/>
      <c r="I2110" s="18"/>
      <c r="J2110" s="91"/>
      <c r="K2110" s="18"/>
      <c r="L2110" s="18"/>
      <c r="M2110" s="18"/>
      <c r="N2110" s="18"/>
    </row>
    <row r="2111" ht="15.0" customHeight="1">
      <c r="A2111" s="18"/>
      <c r="B2111" s="18"/>
      <c r="C2111" s="18"/>
      <c r="D2111" s="18"/>
      <c r="E2111" s="18"/>
      <c r="F2111" s="18"/>
      <c r="G2111" s="4"/>
      <c r="H2111" s="4"/>
      <c r="I2111" s="18"/>
      <c r="J2111" s="91"/>
      <c r="K2111" s="18"/>
      <c r="L2111" s="18"/>
      <c r="M2111" s="18"/>
      <c r="N2111" s="18"/>
    </row>
    <row r="2112" ht="15.0" customHeight="1">
      <c r="A2112" s="18"/>
      <c r="B2112" s="18"/>
      <c r="C2112" s="18"/>
      <c r="D2112" s="18"/>
      <c r="E2112" s="18"/>
      <c r="F2112" s="18"/>
      <c r="G2112" s="4"/>
      <c r="H2112" s="4"/>
      <c r="I2112" s="18"/>
      <c r="J2112" s="91"/>
      <c r="K2112" s="18"/>
      <c r="L2112" s="18"/>
      <c r="M2112" s="18"/>
      <c r="N2112" s="18"/>
    </row>
    <row r="2113" ht="15.0" customHeight="1">
      <c r="A2113" s="18"/>
      <c r="B2113" s="18"/>
      <c r="C2113" s="18"/>
      <c r="D2113" s="18"/>
      <c r="E2113" s="18"/>
      <c r="F2113" s="18"/>
      <c r="G2113" s="4"/>
      <c r="H2113" s="4"/>
      <c r="I2113" s="18"/>
      <c r="J2113" s="91"/>
      <c r="K2113" s="18"/>
      <c r="L2113" s="18"/>
      <c r="M2113" s="18"/>
      <c r="N2113" s="18"/>
    </row>
    <row r="2114" ht="15.0" customHeight="1">
      <c r="A2114" s="18"/>
      <c r="B2114" s="18"/>
      <c r="C2114" s="18"/>
      <c r="D2114" s="18"/>
      <c r="E2114" s="18"/>
      <c r="F2114" s="18"/>
      <c r="G2114" s="4"/>
      <c r="H2114" s="4"/>
      <c r="I2114" s="18"/>
      <c r="J2114" s="91"/>
      <c r="K2114" s="18"/>
      <c r="L2114" s="18"/>
      <c r="M2114" s="18"/>
      <c r="N2114" s="18"/>
    </row>
    <row r="2115" ht="15.0" customHeight="1">
      <c r="A2115" s="18"/>
      <c r="B2115" s="18"/>
      <c r="C2115" s="18"/>
      <c r="D2115" s="18"/>
      <c r="E2115" s="18"/>
      <c r="F2115" s="18"/>
      <c r="G2115" s="4"/>
      <c r="H2115" s="4"/>
      <c r="I2115" s="18"/>
      <c r="J2115" s="91"/>
      <c r="K2115" s="18"/>
      <c r="L2115" s="18"/>
      <c r="M2115" s="18"/>
      <c r="N2115" s="18"/>
    </row>
    <row r="2116" ht="15.0" customHeight="1">
      <c r="A2116" s="18"/>
      <c r="B2116" s="18"/>
      <c r="C2116" s="18"/>
      <c r="D2116" s="18"/>
      <c r="E2116" s="18"/>
      <c r="F2116" s="18"/>
      <c r="G2116" s="4"/>
      <c r="H2116" s="4"/>
      <c r="I2116" s="18"/>
      <c r="J2116" s="91"/>
      <c r="K2116" s="18"/>
      <c r="L2116" s="18"/>
      <c r="M2116" s="18"/>
      <c r="N2116" s="18"/>
    </row>
    <row r="2117" ht="15.0" customHeight="1">
      <c r="A2117" s="18"/>
      <c r="B2117" s="18"/>
      <c r="C2117" s="18"/>
      <c r="D2117" s="18"/>
      <c r="E2117" s="18"/>
      <c r="F2117" s="18"/>
      <c r="G2117" s="4"/>
      <c r="H2117" s="4"/>
      <c r="I2117" s="18"/>
      <c r="J2117" s="91"/>
      <c r="K2117" s="18"/>
      <c r="L2117" s="18"/>
      <c r="M2117" s="18"/>
      <c r="N2117" s="18"/>
    </row>
    <row r="2118" ht="15.0" customHeight="1">
      <c r="A2118" s="18"/>
      <c r="B2118" s="18"/>
      <c r="C2118" s="18"/>
      <c r="D2118" s="18"/>
      <c r="E2118" s="18"/>
      <c r="F2118" s="18"/>
      <c r="G2118" s="4"/>
      <c r="H2118" s="4"/>
      <c r="I2118" s="18"/>
      <c r="J2118" s="91"/>
      <c r="K2118" s="18"/>
      <c r="L2118" s="18"/>
      <c r="M2118" s="18"/>
      <c r="N2118" s="18"/>
    </row>
    <row r="2119" ht="15.0" customHeight="1">
      <c r="A2119" s="18"/>
      <c r="B2119" s="18"/>
      <c r="C2119" s="18"/>
      <c r="D2119" s="18"/>
      <c r="E2119" s="18"/>
      <c r="F2119" s="18"/>
      <c r="G2119" s="4"/>
      <c r="H2119" s="4"/>
      <c r="I2119" s="18"/>
      <c r="J2119" s="91"/>
      <c r="K2119" s="18"/>
      <c r="L2119" s="18"/>
      <c r="M2119" s="18"/>
      <c r="N2119" s="18"/>
    </row>
    <row r="2120" ht="15.0" customHeight="1">
      <c r="A2120" s="18"/>
      <c r="B2120" s="18"/>
      <c r="C2120" s="18"/>
      <c r="D2120" s="18"/>
      <c r="E2120" s="18"/>
      <c r="F2120" s="18"/>
      <c r="G2120" s="4"/>
      <c r="H2120" s="4"/>
      <c r="I2120" s="18"/>
      <c r="J2120" s="91"/>
      <c r="K2120" s="18"/>
      <c r="L2120" s="18"/>
      <c r="M2120" s="18"/>
      <c r="N2120" s="18"/>
    </row>
    <row r="2121" ht="15.0" customHeight="1">
      <c r="A2121" s="18"/>
      <c r="B2121" s="18"/>
      <c r="C2121" s="18"/>
      <c r="D2121" s="18"/>
      <c r="E2121" s="18"/>
      <c r="F2121" s="18"/>
      <c r="G2121" s="4"/>
      <c r="H2121" s="4"/>
      <c r="I2121" s="18"/>
      <c r="J2121" s="91"/>
      <c r="K2121" s="18"/>
      <c r="L2121" s="18"/>
      <c r="M2121" s="18"/>
      <c r="N2121" s="18"/>
    </row>
    <row r="2122" ht="15.0" customHeight="1">
      <c r="A2122" s="18"/>
      <c r="B2122" s="18"/>
      <c r="C2122" s="18"/>
      <c r="D2122" s="18"/>
      <c r="E2122" s="18"/>
      <c r="F2122" s="18"/>
      <c r="G2122" s="4"/>
      <c r="H2122" s="4"/>
      <c r="I2122" s="18"/>
      <c r="J2122" s="91"/>
      <c r="K2122" s="18"/>
      <c r="L2122" s="18"/>
      <c r="M2122" s="18"/>
      <c r="N2122" s="18"/>
    </row>
    <row r="2123" ht="15.0" customHeight="1">
      <c r="A2123" s="18"/>
      <c r="B2123" s="18"/>
      <c r="C2123" s="18"/>
      <c r="D2123" s="18"/>
      <c r="E2123" s="18"/>
      <c r="F2123" s="18"/>
      <c r="G2123" s="4"/>
      <c r="H2123" s="4"/>
      <c r="I2123" s="18"/>
      <c r="J2123" s="91"/>
      <c r="K2123" s="18"/>
      <c r="L2123" s="18"/>
      <c r="M2123" s="18"/>
      <c r="N2123" s="18"/>
    </row>
    <row r="2124" ht="15.0" customHeight="1">
      <c r="A2124" s="18"/>
      <c r="B2124" s="18"/>
      <c r="C2124" s="18"/>
      <c r="D2124" s="18"/>
      <c r="E2124" s="18"/>
      <c r="F2124" s="18"/>
      <c r="G2124" s="4"/>
      <c r="H2124" s="4"/>
      <c r="I2124" s="18"/>
      <c r="J2124" s="91"/>
      <c r="K2124" s="18"/>
      <c r="L2124" s="18"/>
      <c r="M2124" s="18"/>
      <c r="N2124" s="18"/>
    </row>
    <row r="2125" ht="15.0" customHeight="1">
      <c r="A2125" s="18"/>
      <c r="B2125" s="18"/>
      <c r="C2125" s="18"/>
      <c r="D2125" s="18"/>
      <c r="E2125" s="18"/>
      <c r="F2125" s="18"/>
      <c r="G2125" s="4"/>
      <c r="H2125" s="4"/>
      <c r="I2125" s="18"/>
      <c r="J2125" s="91"/>
      <c r="K2125" s="18"/>
      <c r="L2125" s="18"/>
      <c r="M2125" s="18"/>
      <c r="N2125" s="18"/>
    </row>
    <row r="2126" ht="15.0" customHeight="1">
      <c r="A2126" s="18"/>
      <c r="B2126" s="18"/>
      <c r="C2126" s="18"/>
      <c r="D2126" s="18"/>
      <c r="E2126" s="18"/>
      <c r="F2126" s="18"/>
      <c r="G2126" s="4"/>
      <c r="H2126" s="4"/>
      <c r="I2126" s="18"/>
      <c r="J2126" s="91"/>
      <c r="K2126" s="18"/>
      <c r="L2126" s="18"/>
      <c r="M2126" s="18"/>
      <c r="N2126" s="18"/>
    </row>
    <row r="2127" ht="15.0" customHeight="1">
      <c r="A2127" s="18"/>
      <c r="B2127" s="18"/>
      <c r="C2127" s="18"/>
      <c r="D2127" s="18"/>
      <c r="E2127" s="18"/>
      <c r="F2127" s="18"/>
      <c r="G2127" s="4"/>
      <c r="H2127" s="4"/>
      <c r="I2127" s="18"/>
      <c r="J2127" s="91"/>
      <c r="K2127" s="18"/>
      <c r="L2127" s="18"/>
      <c r="M2127" s="18"/>
      <c r="N2127" s="18"/>
    </row>
    <row r="2128" ht="15.0" customHeight="1">
      <c r="A2128" s="18"/>
      <c r="B2128" s="18"/>
      <c r="C2128" s="18"/>
      <c r="D2128" s="18"/>
      <c r="E2128" s="18"/>
      <c r="F2128" s="18"/>
      <c r="G2128" s="4"/>
      <c r="H2128" s="4"/>
      <c r="I2128" s="18"/>
      <c r="J2128" s="91"/>
      <c r="K2128" s="18"/>
      <c r="L2128" s="18"/>
      <c r="M2128" s="18"/>
      <c r="N2128" s="18"/>
    </row>
    <row r="2129" ht="15.0" customHeight="1">
      <c r="A2129" s="18"/>
      <c r="B2129" s="18"/>
      <c r="C2129" s="18"/>
      <c r="D2129" s="18"/>
      <c r="E2129" s="18"/>
      <c r="F2129" s="18"/>
      <c r="G2129" s="4"/>
      <c r="H2129" s="4"/>
      <c r="I2129" s="18"/>
      <c r="J2129" s="91"/>
      <c r="K2129" s="18"/>
      <c r="L2129" s="18"/>
      <c r="M2129" s="18"/>
      <c r="N2129" s="18"/>
    </row>
    <row r="2130" ht="15.0" customHeight="1">
      <c r="A2130" s="18"/>
      <c r="B2130" s="18"/>
      <c r="C2130" s="18"/>
      <c r="D2130" s="18"/>
      <c r="E2130" s="18"/>
      <c r="F2130" s="18"/>
      <c r="G2130" s="4"/>
      <c r="H2130" s="4"/>
      <c r="I2130" s="18"/>
      <c r="J2130" s="91"/>
      <c r="K2130" s="18"/>
      <c r="L2130" s="18"/>
      <c r="M2130" s="18"/>
      <c r="N2130" s="18"/>
    </row>
    <row r="2131" ht="15.0" customHeight="1">
      <c r="A2131" s="18"/>
      <c r="B2131" s="18"/>
      <c r="C2131" s="18"/>
      <c r="D2131" s="18"/>
      <c r="E2131" s="18"/>
      <c r="F2131" s="18"/>
      <c r="G2131" s="4"/>
      <c r="H2131" s="4"/>
      <c r="I2131" s="18"/>
      <c r="J2131" s="91"/>
      <c r="K2131" s="18"/>
      <c r="L2131" s="18"/>
      <c r="M2131" s="18"/>
      <c r="N2131" s="18"/>
    </row>
    <row r="2132" ht="15.0" customHeight="1">
      <c r="A2132" s="18"/>
      <c r="B2132" s="18"/>
      <c r="C2132" s="18"/>
      <c r="D2132" s="18"/>
      <c r="E2132" s="18"/>
      <c r="F2132" s="18"/>
      <c r="G2132" s="4"/>
      <c r="H2132" s="4"/>
      <c r="I2132" s="18"/>
      <c r="J2132" s="91"/>
      <c r="K2132" s="18"/>
      <c r="L2132" s="18"/>
      <c r="M2132" s="18"/>
      <c r="N2132" s="18"/>
    </row>
    <row r="2133" ht="15.0" customHeight="1">
      <c r="A2133" s="18"/>
      <c r="B2133" s="18"/>
      <c r="C2133" s="18"/>
      <c r="D2133" s="18"/>
      <c r="E2133" s="18"/>
      <c r="F2133" s="18"/>
      <c r="G2133" s="4"/>
      <c r="H2133" s="4"/>
      <c r="I2133" s="18"/>
      <c r="J2133" s="91"/>
      <c r="K2133" s="18"/>
      <c r="L2133" s="18"/>
      <c r="M2133" s="18"/>
      <c r="N2133" s="18"/>
    </row>
    <row r="2134" ht="15.0" customHeight="1">
      <c r="A2134" s="18"/>
      <c r="B2134" s="18"/>
      <c r="C2134" s="18"/>
      <c r="D2134" s="18"/>
      <c r="E2134" s="18"/>
      <c r="F2134" s="18"/>
      <c r="G2134" s="4"/>
      <c r="H2134" s="4"/>
      <c r="I2134" s="18"/>
      <c r="J2134" s="91"/>
      <c r="K2134" s="18"/>
      <c r="L2134" s="18"/>
      <c r="M2134" s="18"/>
      <c r="N2134" s="18"/>
    </row>
    <row r="2135" ht="15.0" customHeight="1">
      <c r="A2135" s="18"/>
      <c r="B2135" s="18"/>
      <c r="C2135" s="18"/>
      <c r="D2135" s="18"/>
      <c r="E2135" s="18"/>
      <c r="F2135" s="18"/>
      <c r="G2135" s="4"/>
      <c r="H2135" s="4"/>
      <c r="I2135" s="18"/>
      <c r="J2135" s="91"/>
      <c r="K2135" s="18"/>
      <c r="L2135" s="18"/>
      <c r="M2135" s="18"/>
      <c r="N2135" s="18"/>
    </row>
    <row r="2136" ht="15.0" customHeight="1">
      <c r="A2136" s="18"/>
      <c r="B2136" s="18"/>
      <c r="C2136" s="18"/>
      <c r="D2136" s="18"/>
      <c r="E2136" s="18"/>
      <c r="F2136" s="18"/>
      <c r="G2136" s="4"/>
      <c r="H2136" s="4"/>
      <c r="I2136" s="18"/>
      <c r="J2136" s="91"/>
      <c r="K2136" s="18"/>
      <c r="L2136" s="18"/>
      <c r="M2136" s="18"/>
      <c r="N2136" s="18"/>
    </row>
    <row r="2137" ht="15.0" customHeight="1">
      <c r="A2137" s="18"/>
      <c r="B2137" s="18"/>
      <c r="C2137" s="18"/>
      <c r="D2137" s="18"/>
      <c r="E2137" s="18"/>
      <c r="F2137" s="18"/>
      <c r="G2137" s="4"/>
      <c r="H2137" s="4"/>
      <c r="I2137" s="18"/>
      <c r="J2137" s="91"/>
      <c r="K2137" s="18"/>
      <c r="L2137" s="18"/>
      <c r="M2137" s="18"/>
      <c r="N2137" s="18"/>
    </row>
    <row r="2138" ht="15.0" customHeight="1">
      <c r="A2138" s="18"/>
      <c r="B2138" s="18"/>
      <c r="C2138" s="18"/>
      <c r="D2138" s="18"/>
      <c r="E2138" s="18"/>
      <c r="F2138" s="18"/>
      <c r="G2138" s="4"/>
      <c r="H2138" s="4"/>
      <c r="I2138" s="18"/>
      <c r="J2138" s="91"/>
      <c r="K2138" s="18"/>
      <c r="L2138" s="18"/>
      <c r="M2138" s="18"/>
      <c r="N2138" s="18"/>
    </row>
    <row r="2139" ht="15.0" customHeight="1">
      <c r="A2139" s="18"/>
      <c r="B2139" s="18"/>
      <c r="C2139" s="18"/>
      <c r="D2139" s="18"/>
      <c r="E2139" s="18"/>
      <c r="F2139" s="18"/>
      <c r="G2139" s="4"/>
      <c r="H2139" s="4"/>
      <c r="I2139" s="18"/>
      <c r="J2139" s="91"/>
      <c r="K2139" s="18"/>
      <c r="L2139" s="18"/>
      <c r="M2139" s="18"/>
      <c r="N2139" s="18"/>
    </row>
    <row r="2140" ht="15.0" customHeight="1">
      <c r="A2140" s="18"/>
      <c r="B2140" s="18"/>
      <c r="C2140" s="18"/>
      <c r="D2140" s="18"/>
      <c r="E2140" s="18"/>
      <c r="F2140" s="18"/>
      <c r="G2140" s="4"/>
      <c r="H2140" s="4"/>
      <c r="I2140" s="18"/>
      <c r="J2140" s="91"/>
      <c r="K2140" s="18"/>
      <c r="L2140" s="18"/>
      <c r="M2140" s="18"/>
      <c r="N2140" s="18"/>
    </row>
    <row r="2141" ht="15.0" customHeight="1">
      <c r="A2141" s="18"/>
      <c r="B2141" s="18"/>
      <c r="C2141" s="18"/>
      <c r="D2141" s="18"/>
      <c r="E2141" s="18"/>
      <c r="F2141" s="18"/>
      <c r="G2141" s="4"/>
      <c r="H2141" s="4"/>
      <c r="I2141" s="18"/>
      <c r="J2141" s="91"/>
      <c r="K2141" s="18"/>
      <c r="L2141" s="18"/>
      <c r="M2141" s="18"/>
      <c r="N2141" s="18"/>
    </row>
    <row r="2142" ht="15.0" customHeight="1">
      <c r="A2142" s="18"/>
      <c r="B2142" s="18"/>
      <c r="C2142" s="18"/>
      <c r="D2142" s="18"/>
      <c r="E2142" s="18"/>
      <c r="F2142" s="18"/>
      <c r="G2142" s="4"/>
      <c r="H2142" s="4"/>
      <c r="I2142" s="18"/>
      <c r="J2142" s="91"/>
      <c r="K2142" s="18"/>
      <c r="L2142" s="18"/>
      <c r="M2142" s="18"/>
      <c r="N2142" s="18"/>
    </row>
    <row r="2143" ht="15.0" customHeight="1">
      <c r="A2143" s="18"/>
      <c r="B2143" s="18"/>
      <c r="C2143" s="18"/>
      <c r="D2143" s="18"/>
      <c r="E2143" s="18"/>
      <c r="F2143" s="18"/>
      <c r="G2143" s="4"/>
      <c r="H2143" s="4"/>
      <c r="I2143" s="18"/>
      <c r="J2143" s="91"/>
      <c r="K2143" s="18"/>
      <c r="L2143" s="18"/>
      <c r="M2143" s="18"/>
      <c r="N2143" s="18"/>
    </row>
    <row r="2144" ht="15.0" customHeight="1">
      <c r="A2144" s="18"/>
      <c r="B2144" s="18"/>
      <c r="C2144" s="18"/>
      <c r="D2144" s="18"/>
      <c r="E2144" s="18"/>
      <c r="F2144" s="18"/>
      <c r="G2144" s="4"/>
      <c r="H2144" s="4"/>
      <c r="I2144" s="18"/>
      <c r="J2144" s="91"/>
      <c r="K2144" s="18"/>
      <c r="L2144" s="18"/>
      <c r="M2144" s="18"/>
      <c r="N2144" s="18"/>
    </row>
    <row r="2145" ht="15.0" customHeight="1">
      <c r="A2145" s="18"/>
      <c r="B2145" s="18"/>
      <c r="C2145" s="18"/>
      <c r="D2145" s="18"/>
      <c r="E2145" s="18"/>
      <c r="F2145" s="18"/>
      <c r="G2145" s="4"/>
      <c r="H2145" s="4"/>
      <c r="I2145" s="18"/>
      <c r="J2145" s="91"/>
      <c r="K2145" s="18"/>
      <c r="L2145" s="18"/>
      <c r="M2145" s="18"/>
      <c r="N2145" s="18"/>
    </row>
    <row r="2146" ht="15.0" customHeight="1">
      <c r="A2146" s="18"/>
      <c r="B2146" s="18"/>
      <c r="C2146" s="18"/>
      <c r="D2146" s="18"/>
      <c r="E2146" s="18"/>
      <c r="F2146" s="18"/>
      <c r="G2146" s="4"/>
      <c r="H2146" s="4"/>
      <c r="I2146" s="18"/>
      <c r="J2146" s="91"/>
      <c r="K2146" s="18"/>
      <c r="L2146" s="18"/>
      <c r="M2146" s="18"/>
      <c r="N2146" s="18"/>
    </row>
    <row r="2147" ht="15.0" customHeight="1">
      <c r="A2147" s="18"/>
      <c r="B2147" s="18"/>
      <c r="C2147" s="18"/>
      <c r="D2147" s="18"/>
      <c r="E2147" s="18"/>
      <c r="F2147" s="18"/>
      <c r="G2147" s="4"/>
      <c r="H2147" s="4"/>
      <c r="I2147" s="18"/>
      <c r="J2147" s="91"/>
      <c r="K2147" s="18"/>
      <c r="L2147" s="18"/>
      <c r="M2147" s="18"/>
      <c r="N2147" s="18"/>
    </row>
    <row r="2148" ht="15.0" customHeight="1">
      <c r="A2148" s="18"/>
      <c r="B2148" s="18"/>
      <c r="C2148" s="18"/>
      <c r="D2148" s="18"/>
      <c r="E2148" s="18"/>
      <c r="F2148" s="18"/>
      <c r="G2148" s="4"/>
      <c r="H2148" s="4"/>
      <c r="I2148" s="18"/>
      <c r="J2148" s="91"/>
      <c r="K2148" s="18"/>
      <c r="L2148" s="18"/>
      <c r="M2148" s="18"/>
      <c r="N2148" s="18"/>
    </row>
    <row r="2149" ht="15.0" customHeight="1">
      <c r="A2149" s="18"/>
      <c r="B2149" s="18"/>
      <c r="C2149" s="18"/>
      <c r="D2149" s="18"/>
      <c r="E2149" s="18"/>
      <c r="F2149" s="18"/>
      <c r="G2149" s="4"/>
      <c r="H2149" s="4"/>
      <c r="I2149" s="18"/>
      <c r="J2149" s="91"/>
      <c r="K2149" s="18"/>
      <c r="L2149" s="18"/>
      <c r="M2149" s="18"/>
      <c r="N2149" s="18"/>
    </row>
    <row r="2150" ht="15.0" customHeight="1">
      <c r="A2150" s="18"/>
      <c r="B2150" s="18"/>
      <c r="C2150" s="18"/>
      <c r="D2150" s="18"/>
      <c r="E2150" s="18"/>
      <c r="F2150" s="18"/>
      <c r="G2150" s="4"/>
      <c r="H2150" s="4"/>
      <c r="I2150" s="18"/>
      <c r="J2150" s="91"/>
      <c r="K2150" s="18"/>
      <c r="L2150" s="18"/>
      <c r="M2150" s="18"/>
      <c r="N2150" s="18"/>
    </row>
    <row r="2151" ht="15.0" customHeight="1">
      <c r="A2151" s="18"/>
      <c r="B2151" s="18"/>
      <c r="C2151" s="18"/>
      <c r="D2151" s="18"/>
      <c r="E2151" s="18"/>
      <c r="F2151" s="18"/>
      <c r="G2151" s="4"/>
      <c r="H2151" s="4"/>
      <c r="I2151" s="18"/>
      <c r="J2151" s="91"/>
      <c r="K2151" s="18"/>
      <c r="L2151" s="18"/>
      <c r="M2151" s="18"/>
      <c r="N2151" s="18"/>
    </row>
    <row r="2152" ht="15.0" customHeight="1">
      <c r="A2152" s="18"/>
      <c r="B2152" s="18"/>
      <c r="C2152" s="18"/>
      <c r="D2152" s="18"/>
      <c r="E2152" s="18"/>
      <c r="F2152" s="18"/>
      <c r="G2152" s="4"/>
      <c r="H2152" s="4"/>
      <c r="I2152" s="18"/>
      <c r="J2152" s="91"/>
      <c r="K2152" s="18"/>
      <c r="L2152" s="18"/>
      <c r="M2152" s="18"/>
      <c r="N2152" s="18"/>
    </row>
    <row r="2153" ht="15.0" customHeight="1">
      <c r="A2153" s="18"/>
      <c r="B2153" s="18"/>
      <c r="C2153" s="18"/>
      <c r="D2153" s="18"/>
      <c r="E2153" s="18"/>
      <c r="F2153" s="18"/>
      <c r="G2153" s="4"/>
      <c r="H2153" s="4"/>
      <c r="I2153" s="18"/>
      <c r="J2153" s="91"/>
      <c r="K2153" s="18"/>
      <c r="L2153" s="18"/>
      <c r="M2153" s="18"/>
      <c r="N2153" s="18"/>
    </row>
    <row r="2154" ht="15.0" customHeight="1">
      <c r="A2154" s="18"/>
      <c r="B2154" s="18"/>
      <c r="C2154" s="18"/>
      <c r="D2154" s="18"/>
      <c r="E2154" s="18"/>
      <c r="F2154" s="18"/>
      <c r="G2154" s="4"/>
      <c r="H2154" s="4"/>
      <c r="I2154" s="18"/>
      <c r="J2154" s="91"/>
      <c r="K2154" s="18"/>
      <c r="L2154" s="18"/>
      <c r="M2154" s="18"/>
      <c r="N2154" s="18"/>
    </row>
    <row r="2155" ht="15.0" customHeight="1">
      <c r="A2155" s="18"/>
      <c r="B2155" s="18"/>
      <c r="C2155" s="18"/>
      <c r="D2155" s="18"/>
      <c r="E2155" s="18"/>
      <c r="F2155" s="18"/>
      <c r="G2155" s="4"/>
      <c r="H2155" s="4"/>
      <c r="I2155" s="18"/>
      <c r="J2155" s="91"/>
      <c r="K2155" s="18"/>
      <c r="L2155" s="18"/>
      <c r="M2155" s="18"/>
      <c r="N2155" s="18"/>
    </row>
    <row r="2156" ht="15.0" customHeight="1">
      <c r="A2156" s="18"/>
      <c r="B2156" s="18"/>
      <c r="C2156" s="18"/>
      <c r="D2156" s="18"/>
      <c r="E2156" s="18"/>
      <c r="F2156" s="18"/>
      <c r="G2156" s="4"/>
      <c r="H2156" s="4"/>
      <c r="I2156" s="18"/>
      <c r="J2156" s="91"/>
      <c r="K2156" s="18"/>
      <c r="L2156" s="18"/>
      <c r="M2156" s="18"/>
      <c r="N2156" s="18"/>
    </row>
    <row r="2157" ht="15.0" customHeight="1">
      <c r="A2157" s="18"/>
      <c r="B2157" s="18"/>
      <c r="C2157" s="18"/>
      <c r="D2157" s="18"/>
      <c r="E2157" s="18"/>
      <c r="F2157" s="18"/>
      <c r="G2157" s="4"/>
      <c r="H2157" s="4"/>
      <c r="I2157" s="18"/>
      <c r="J2157" s="91"/>
      <c r="K2157" s="18"/>
      <c r="L2157" s="18"/>
      <c r="M2157" s="18"/>
      <c r="N2157" s="18"/>
    </row>
    <row r="2158" ht="15.0" customHeight="1">
      <c r="A2158" s="18"/>
      <c r="B2158" s="18"/>
      <c r="C2158" s="18"/>
      <c r="D2158" s="18"/>
      <c r="E2158" s="18"/>
      <c r="F2158" s="18"/>
      <c r="G2158" s="4"/>
      <c r="H2158" s="4"/>
      <c r="I2158" s="18"/>
      <c r="J2158" s="91"/>
      <c r="K2158" s="18"/>
      <c r="L2158" s="18"/>
      <c r="M2158" s="18"/>
      <c r="N2158" s="18"/>
    </row>
    <row r="2159" ht="15.0" customHeight="1">
      <c r="A2159" s="18"/>
      <c r="B2159" s="18"/>
      <c r="C2159" s="18"/>
      <c r="D2159" s="18"/>
      <c r="E2159" s="18"/>
      <c r="F2159" s="18"/>
      <c r="G2159" s="4"/>
      <c r="H2159" s="4"/>
      <c r="I2159" s="18"/>
      <c r="J2159" s="91"/>
      <c r="K2159" s="18"/>
      <c r="L2159" s="18"/>
      <c r="M2159" s="18"/>
      <c r="N2159" s="18"/>
    </row>
    <row r="2160" ht="15.0" customHeight="1">
      <c r="A2160" s="18"/>
      <c r="B2160" s="18"/>
      <c r="C2160" s="18"/>
      <c r="D2160" s="18"/>
      <c r="E2160" s="18"/>
      <c r="F2160" s="18"/>
      <c r="G2160" s="4"/>
      <c r="H2160" s="4"/>
      <c r="I2160" s="18"/>
      <c r="J2160" s="91"/>
      <c r="K2160" s="18"/>
      <c r="L2160" s="18"/>
      <c r="M2160" s="18"/>
      <c r="N2160" s="18"/>
    </row>
    <row r="2161" ht="15.0" customHeight="1">
      <c r="A2161" s="18"/>
      <c r="B2161" s="18"/>
      <c r="C2161" s="18"/>
      <c r="D2161" s="18"/>
      <c r="E2161" s="18"/>
      <c r="F2161" s="18"/>
      <c r="G2161" s="4"/>
      <c r="H2161" s="4"/>
      <c r="I2161" s="18"/>
      <c r="J2161" s="91"/>
      <c r="K2161" s="18"/>
      <c r="L2161" s="18"/>
      <c r="M2161" s="18"/>
      <c r="N2161" s="18"/>
    </row>
    <row r="2162" ht="15.0" customHeight="1">
      <c r="A2162" s="18"/>
      <c r="B2162" s="18"/>
      <c r="C2162" s="18"/>
      <c r="D2162" s="18"/>
      <c r="E2162" s="18"/>
      <c r="F2162" s="18"/>
      <c r="G2162" s="4"/>
      <c r="H2162" s="4"/>
      <c r="I2162" s="18"/>
      <c r="J2162" s="91"/>
      <c r="K2162" s="18"/>
      <c r="L2162" s="18"/>
      <c r="M2162" s="18"/>
      <c r="N2162" s="18"/>
    </row>
    <row r="2163" ht="15.0" customHeight="1">
      <c r="A2163" s="18"/>
      <c r="B2163" s="18"/>
      <c r="C2163" s="18"/>
      <c r="D2163" s="18"/>
      <c r="E2163" s="18"/>
      <c r="F2163" s="18"/>
      <c r="G2163" s="4"/>
      <c r="H2163" s="4"/>
      <c r="I2163" s="18"/>
      <c r="J2163" s="91"/>
      <c r="K2163" s="18"/>
      <c r="L2163" s="18"/>
      <c r="M2163" s="18"/>
      <c r="N2163" s="18"/>
    </row>
    <row r="2164" ht="15.0" customHeight="1">
      <c r="A2164" s="18"/>
      <c r="B2164" s="18"/>
      <c r="C2164" s="18"/>
      <c r="D2164" s="18"/>
      <c r="E2164" s="18"/>
      <c r="F2164" s="18"/>
      <c r="G2164" s="4"/>
      <c r="H2164" s="4"/>
      <c r="I2164" s="18"/>
      <c r="J2164" s="91"/>
      <c r="K2164" s="18"/>
      <c r="L2164" s="18"/>
      <c r="M2164" s="18"/>
      <c r="N2164" s="18"/>
    </row>
    <row r="2165" ht="15.0" customHeight="1">
      <c r="A2165" s="18"/>
      <c r="B2165" s="18"/>
      <c r="C2165" s="18"/>
      <c r="D2165" s="18"/>
      <c r="E2165" s="18"/>
      <c r="F2165" s="18"/>
      <c r="G2165" s="4"/>
      <c r="H2165" s="4"/>
      <c r="I2165" s="18"/>
      <c r="J2165" s="91"/>
      <c r="K2165" s="18"/>
      <c r="L2165" s="18"/>
      <c r="M2165" s="18"/>
      <c r="N2165" s="18"/>
    </row>
    <row r="2166" ht="15.0" customHeight="1">
      <c r="A2166" s="18"/>
      <c r="B2166" s="18"/>
      <c r="C2166" s="18"/>
      <c r="D2166" s="18"/>
      <c r="E2166" s="18"/>
      <c r="F2166" s="18"/>
      <c r="G2166" s="4"/>
      <c r="H2166" s="4"/>
      <c r="I2166" s="18"/>
      <c r="J2166" s="91"/>
      <c r="K2166" s="18"/>
      <c r="L2166" s="18"/>
      <c r="M2166" s="18"/>
      <c r="N2166" s="18"/>
    </row>
    <row r="2167" ht="15.0" customHeight="1">
      <c r="A2167" s="18"/>
      <c r="B2167" s="18"/>
      <c r="C2167" s="18"/>
      <c r="D2167" s="18"/>
      <c r="E2167" s="18"/>
      <c r="F2167" s="18"/>
      <c r="G2167" s="4"/>
      <c r="H2167" s="4"/>
      <c r="I2167" s="18"/>
      <c r="J2167" s="91"/>
      <c r="K2167" s="18"/>
      <c r="L2167" s="18"/>
      <c r="M2167" s="18"/>
      <c r="N2167" s="18"/>
    </row>
    <row r="2168" ht="15.0" customHeight="1">
      <c r="A2168" s="18"/>
      <c r="B2168" s="18"/>
      <c r="C2168" s="18"/>
      <c r="D2168" s="18"/>
      <c r="E2168" s="18"/>
      <c r="F2168" s="18"/>
      <c r="G2168" s="4"/>
      <c r="H2168" s="4"/>
      <c r="I2168" s="18"/>
      <c r="J2168" s="91"/>
      <c r="K2168" s="18"/>
      <c r="L2168" s="18"/>
      <c r="M2168" s="18"/>
      <c r="N2168" s="18"/>
    </row>
    <row r="2169" ht="15.0" customHeight="1">
      <c r="A2169" s="18"/>
      <c r="B2169" s="18"/>
      <c r="C2169" s="18"/>
      <c r="D2169" s="18"/>
      <c r="E2169" s="18"/>
      <c r="F2169" s="18"/>
      <c r="G2169" s="4"/>
      <c r="H2169" s="4"/>
      <c r="I2169" s="18"/>
      <c r="J2169" s="91"/>
      <c r="K2169" s="18"/>
      <c r="L2169" s="18"/>
      <c r="M2169" s="18"/>
      <c r="N2169" s="18"/>
    </row>
    <row r="2170" ht="15.0" customHeight="1">
      <c r="A2170" s="18"/>
      <c r="B2170" s="18"/>
      <c r="C2170" s="18"/>
      <c r="D2170" s="18"/>
      <c r="E2170" s="18"/>
      <c r="F2170" s="18"/>
      <c r="G2170" s="4"/>
      <c r="H2170" s="4"/>
      <c r="I2170" s="18"/>
      <c r="J2170" s="91"/>
      <c r="K2170" s="18"/>
      <c r="L2170" s="18"/>
      <c r="M2170" s="18"/>
      <c r="N2170" s="18"/>
    </row>
    <row r="2171" ht="15.0" customHeight="1">
      <c r="A2171" s="18"/>
      <c r="B2171" s="18"/>
      <c r="C2171" s="18"/>
      <c r="D2171" s="18"/>
      <c r="E2171" s="18"/>
      <c r="F2171" s="18"/>
      <c r="G2171" s="4"/>
      <c r="H2171" s="4"/>
      <c r="I2171" s="18"/>
      <c r="J2171" s="91"/>
      <c r="K2171" s="18"/>
      <c r="L2171" s="18"/>
      <c r="M2171" s="18"/>
      <c r="N2171" s="18"/>
    </row>
    <row r="2172" ht="15.0" customHeight="1">
      <c r="A2172" s="18"/>
      <c r="B2172" s="18"/>
      <c r="C2172" s="18"/>
      <c r="D2172" s="18"/>
      <c r="E2172" s="18"/>
      <c r="F2172" s="18"/>
      <c r="G2172" s="4"/>
      <c r="H2172" s="4"/>
      <c r="I2172" s="18"/>
      <c r="J2172" s="91"/>
      <c r="K2172" s="18"/>
      <c r="L2172" s="18"/>
      <c r="M2172" s="18"/>
      <c r="N2172" s="18"/>
    </row>
    <row r="2173" ht="15.0" customHeight="1">
      <c r="A2173" s="18"/>
      <c r="B2173" s="18"/>
      <c r="C2173" s="18"/>
      <c r="D2173" s="18"/>
      <c r="E2173" s="18"/>
      <c r="F2173" s="18"/>
      <c r="G2173" s="4"/>
      <c r="H2173" s="4"/>
      <c r="I2173" s="18"/>
      <c r="J2173" s="91"/>
      <c r="K2173" s="18"/>
      <c r="L2173" s="18"/>
      <c r="M2173" s="18"/>
      <c r="N2173" s="18"/>
    </row>
    <row r="2174" ht="15.0" customHeight="1">
      <c r="A2174" s="18"/>
      <c r="B2174" s="18"/>
      <c r="C2174" s="18"/>
      <c r="D2174" s="18"/>
      <c r="E2174" s="18"/>
      <c r="F2174" s="18"/>
      <c r="G2174" s="4"/>
      <c r="H2174" s="4"/>
      <c r="I2174" s="18"/>
      <c r="J2174" s="91"/>
      <c r="K2174" s="18"/>
      <c r="L2174" s="18"/>
      <c r="M2174" s="18"/>
      <c r="N2174" s="18"/>
    </row>
    <row r="2175" ht="15.0" customHeight="1">
      <c r="A2175" s="18"/>
      <c r="B2175" s="18"/>
      <c r="C2175" s="18"/>
      <c r="D2175" s="18"/>
      <c r="E2175" s="18"/>
      <c r="F2175" s="18"/>
      <c r="G2175" s="4"/>
      <c r="H2175" s="4"/>
      <c r="I2175" s="18"/>
      <c r="J2175" s="91"/>
      <c r="K2175" s="18"/>
      <c r="L2175" s="18"/>
      <c r="M2175" s="18"/>
      <c r="N2175" s="18"/>
    </row>
    <row r="2176" ht="15.0" customHeight="1">
      <c r="A2176" s="18"/>
      <c r="B2176" s="18"/>
      <c r="C2176" s="18"/>
      <c r="D2176" s="18"/>
      <c r="E2176" s="18"/>
      <c r="F2176" s="18"/>
      <c r="G2176" s="4"/>
      <c r="H2176" s="4"/>
      <c r="I2176" s="18"/>
      <c r="J2176" s="91"/>
      <c r="K2176" s="18"/>
      <c r="L2176" s="18"/>
      <c r="M2176" s="18"/>
      <c r="N2176" s="18"/>
    </row>
    <row r="2177" ht="15.0" customHeight="1">
      <c r="A2177" s="18"/>
      <c r="B2177" s="18"/>
      <c r="C2177" s="18"/>
      <c r="D2177" s="18"/>
      <c r="E2177" s="18"/>
      <c r="F2177" s="18"/>
      <c r="G2177" s="4"/>
      <c r="H2177" s="4"/>
      <c r="I2177" s="18"/>
      <c r="J2177" s="91"/>
      <c r="K2177" s="18"/>
      <c r="L2177" s="18"/>
      <c r="M2177" s="18"/>
      <c r="N2177" s="18"/>
    </row>
    <row r="2178" ht="15.0" customHeight="1">
      <c r="A2178" s="18"/>
      <c r="B2178" s="18"/>
      <c r="C2178" s="18"/>
      <c r="D2178" s="18"/>
      <c r="E2178" s="18"/>
      <c r="F2178" s="18"/>
      <c r="G2178" s="4"/>
      <c r="H2178" s="4"/>
      <c r="I2178" s="18"/>
      <c r="J2178" s="91"/>
      <c r="K2178" s="18"/>
      <c r="L2178" s="18"/>
      <c r="M2178" s="18"/>
      <c r="N2178" s="18"/>
    </row>
    <row r="2179" ht="15.0" customHeight="1">
      <c r="A2179" s="18"/>
      <c r="B2179" s="18"/>
      <c r="C2179" s="18"/>
      <c r="D2179" s="18"/>
      <c r="E2179" s="18"/>
      <c r="F2179" s="18"/>
      <c r="G2179" s="4"/>
      <c r="H2179" s="4"/>
      <c r="I2179" s="18"/>
      <c r="J2179" s="91"/>
      <c r="K2179" s="18"/>
      <c r="L2179" s="18"/>
      <c r="M2179" s="18"/>
      <c r="N2179" s="18"/>
    </row>
    <row r="2180" ht="15.0" customHeight="1">
      <c r="A2180" s="18"/>
      <c r="B2180" s="18"/>
      <c r="C2180" s="18"/>
      <c r="D2180" s="18"/>
      <c r="E2180" s="18"/>
      <c r="F2180" s="18"/>
      <c r="G2180" s="4"/>
      <c r="H2180" s="4"/>
      <c r="I2180" s="18"/>
      <c r="J2180" s="91"/>
      <c r="K2180" s="18"/>
      <c r="L2180" s="18"/>
      <c r="M2180" s="18"/>
      <c r="N2180" s="18"/>
    </row>
    <row r="2181" ht="15.0" customHeight="1">
      <c r="A2181" s="18"/>
      <c r="B2181" s="18"/>
      <c r="C2181" s="18"/>
      <c r="D2181" s="18"/>
      <c r="E2181" s="18"/>
      <c r="F2181" s="18"/>
      <c r="G2181" s="4"/>
      <c r="H2181" s="4"/>
      <c r="I2181" s="18"/>
      <c r="J2181" s="91"/>
      <c r="K2181" s="18"/>
      <c r="L2181" s="18"/>
      <c r="M2181" s="18"/>
      <c r="N2181" s="18"/>
    </row>
    <row r="2182" ht="15.0" customHeight="1">
      <c r="A2182" s="18"/>
      <c r="B2182" s="18"/>
      <c r="C2182" s="18"/>
      <c r="D2182" s="18"/>
      <c r="E2182" s="18"/>
      <c r="F2182" s="18"/>
      <c r="G2182" s="4"/>
      <c r="H2182" s="4"/>
      <c r="I2182" s="18"/>
      <c r="J2182" s="91"/>
      <c r="K2182" s="18"/>
      <c r="L2182" s="18"/>
      <c r="M2182" s="18"/>
      <c r="N2182" s="18"/>
    </row>
    <row r="2183" ht="15.0" customHeight="1">
      <c r="A2183" s="18"/>
      <c r="B2183" s="18"/>
      <c r="C2183" s="18"/>
      <c r="D2183" s="18"/>
      <c r="E2183" s="18"/>
      <c r="F2183" s="18"/>
      <c r="G2183" s="4"/>
      <c r="H2183" s="4"/>
      <c r="I2183" s="18"/>
      <c r="J2183" s="91"/>
      <c r="K2183" s="18"/>
      <c r="L2183" s="18"/>
      <c r="M2183" s="18"/>
      <c r="N2183" s="18"/>
    </row>
    <row r="2184" ht="15.0" customHeight="1">
      <c r="A2184" s="18"/>
      <c r="B2184" s="18"/>
      <c r="C2184" s="18"/>
      <c r="D2184" s="18"/>
      <c r="E2184" s="18"/>
      <c r="F2184" s="18"/>
      <c r="G2184" s="4"/>
      <c r="H2184" s="4"/>
      <c r="I2184" s="18"/>
      <c r="J2184" s="91"/>
      <c r="K2184" s="18"/>
      <c r="L2184" s="18"/>
      <c r="M2184" s="18"/>
      <c r="N2184" s="18"/>
    </row>
    <row r="2185" ht="15.0" customHeight="1">
      <c r="A2185" s="18"/>
      <c r="B2185" s="18"/>
      <c r="C2185" s="18"/>
      <c r="D2185" s="18"/>
      <c r="E2185" s="18"/>
      <c r="F2185" s="18"/>
      <c r="G2185" s="4"/>
      <c r="H2185" s="4"/>
      <c r="I2185" s="18"/>
      <c r="J2185" s="91"/>
      <c r="K2185" s="18"/>
      <c r="L2185" s="18"/>
      <c r="M2185" s="18"/>
      <c r="N2185" s="18"/>
    </row>
    <row r="2186" ht="15.0" customHeight="1">
      <c r="A2186" s="18"/>
      <c r="B2186" s="18"/>
      <c r="C2186" s="18"/>
      <c r="D2186" s="18"/>
      <c r="E2186" s="18"/>
      <c r="F2186" s="18"/>
      <c r="G2186" s="4"/>
      <c r="H2186" s="4"/>
      <c r="I2186" s="18"/>
      <c r="J2186" s="91"/>
      <c r="K2186" s="18"/>
      <c r="L2186" s="18"/>
      <c r="M2186" s="18"/>
      <c r="N2186" s="18"/>
    </row>
    <row r="2187" ht="15.0" customHeight="1">
      <c r="A2187" s="18"/>
      <c r="B2187" s="18"/>
      <c r="C2187" s="18"/>
      <c r="D2187" s="18"/>
      <c r="E2187" s="18"/>
      <c r="F2187" s="18"/>
      <c r="G2187" s="4"/>
      <c r="H2187" s="4"/>
      <c r="I2187" s="18"/>
      <c r="J2187" s="91"/>
      <c r="K2187" s="18"/>
      <c r="L2187" s="18"/>
      <c r="M2187" s="18"/>
      <c r="N2187" s="18"/>
    </row>
    <row r="2188" ht="15.0" customHeight="1">
      <c r="A2188" s="18"/>
      <c r="B2188" s="18"/>
      <c r="C2188" s="18"/>
      <c r="D2188" s="18"/>
      <c r="E2188" s="18"/>
      <c r="F2188" s="18"/>
      <c r="G2188" s="4"/>
      <c r="H2188" s="4"/>
      <c r="I2188" s="18"/>
      <c r="J2188" s="91"/>
      <c r="K2188" s="18"/>
      <c r="L2188" s="18"/>
      <c r="M2188" s="18"/>
      <c r="N2188" s="18"/>
    </row>
    <row r="2189" ht="15.0" customHeight="1">
      <c r="A2189" s="18"/>
      <c r="B2189" s="18"/>
      <c r="C2189" s="18"/>
      <c r="D2189" s="18"/>
      <c r="E2189" s="18"/>
      <c r="F2189" s="18"/>
      <c r="G2189" s="4"/>
      <c r="H2189" s="4"/>
      <c r="I2189" s="18"/>
      <c r="J2189" s="91"/>
      <c r="K2189" s="18"/>
      <c r="L2189" s="18"/>
      <c r="M2189" s="18"/>
      <c r="N2189" s="18"/>
    </row>
    <row r="2190" ht="15.0" customHeight="1">
      <c r="A2190" s="18"/>
      <c r="B2190" s="18"/>
      <c r="C2190" s="18"/>
      <c r="D2190" s="18"/>
      <c r="E2190" s="18"/>
      <c r="F2190" s="18"/>
      <c r="G2190" s="4"/>
      <c r="H2190" s="4"/>
      <c r="I2190" s="18"/>
      <c r="J2190" s="91"/>
      <c r="K2190" s="18"/>
      <c r="L2190" s="18"/>
      <c r="M2190" s="18"/>
      <c r="N2190" s="18"/>
    </row>
    <row r="2191" ht="15.0" customHeight="1">
      <c r="A2191" s="18"/>
      <c r="B2191" s="18"/>
      <c r="C2191" s="18"/>
      <c r="D2191" s="18"/>
      <c r="E2191" s="18"/>
      <c r="F2191" s="18"/>
      <c r="G2191" s="4"/>
      <c r="H2191" s="4"/>
      <c r="I2191" s="18"/>
      <c r="J2191" s="91"/>
      <c r="K2191" s="18"/>
      <c r="L2191" s="18"/>
      <c r="M2191" s="18"/>
      <c r="N2191" s="18"/>
    </row>
    <row r="2192" ht="15.0" customHeight="1">
      <c r="A2192" s="18"/>
      <c r="B2192" s="18"/>
      <c r="C2192" s="18"/>
      <c r="D2192" s="18"/>
      <c r="E2192" s="18"/>
      <c r="F2192" s="18"/>
      <c r="G2192" s="4"/>
      <c r="H2192" s="4"/>
      <c r="I2192" s="18"/>
      <c r="J2192" s="91"/>
      <c r="K2192" s="18"/>
      <c r="L2192" s="18"/>
      <c r="M2192" s="18"/>
      <c r="N2192" s="18"/>
    </row>
    <row r="2193" ht="15.0" customHeight="1">
      <c r="A2193" s="18"/>
      <c r="B2193" s="18"/>
      <c r="C2193" s="18"/>
      <c r="D2193" s="18"/>
      <c r="E2193" s="18"/>
      <c r="F2193" s="18"/>
      <c r="G2193" s="4"/>
      <c r="H2193" s="4"/>
      <c r="I2193" s="18"/>
      <c r="J2193" s="91"/>
      <c r="K2193" s="18"/>
      <c r="L2193" s="18"/>
      <c r="M2193" s="18"/>
      <c r="N2193" s="18"/>
    </row>
    <row r="2194" ht="15.0" customHeight="1">
      <c r="A2194" s="18"/>
      <c r="B2194" s="18"/>
      <c r="C2194" s="18"/>
      <c r="D2194" s="18"/>
      <c r="E2194" s="18"/>
      <c r="F2194" s="18"/>
      <c r="G2194" s="4"/>
      <c r="H2194" s="4"/>
      <c r="I2194" s="18"/>
      <c r="J2194" s="91"/>
      <c r="K2194" s="18"/>
      <c r="L2194" s="18"/>
      <c r="M2194" s="18"/>
      <c r="N2194" s="18"/>
    </row>
    <row r="2195" ht="15.0" customHeight="1">
      <c r="A2195" s="18"/>
      <c r="B2195" s="18"/>
      <c r="C2195" s="18"/>
      <c r="D2195" s="18"/>
      <c r="E2195" s="18"/>
      <c r="F2195" s="18"/>
      <c r="G2195" s="4"/>
      <c r="H2195" s="4"/>
      <c r="I2195" s="18"/>
      <c r="J2195" s="91"/>
      <c r="K2195" s="18"/>
      <c r="L2195" s="18"/>
      <c r="M2195" s="18"/>
      <c r="N2195" s="18"/>
    </row>
    <row r="2196" ht="15.0" customHeight="1">
      <c r="A2196" s="18"/>
      <c r="B2196" s="18"/>
      <c r="C2196" s="18"/>
      <c r="D2196" s="18"/>
      <c r="E2196" s="18"/>
      <c r="F2196" s="18"/>
      <c r="G2196" s="4"/>
      <c r="H2196" s="4"/>
      <c r="I2196" s="18"/>
      <c r="J2196" s="91"/>
      <c r="K2196" s="18"/>
      <c r="L2196" s="18"/>
      <c r="M2196" s="18"/>
      <c r="N2196" s="18"/>
    </row>
    <row r="2197" ht="15.0" customHeight="1">
      <c r="A2197" s="18"/>
      <c r="B2197" s="18"/>
      <c r="C2197" s="18"/>
      <c r="D2197" s="18"/>
      <c r="E2197" s="18"/>
      <c r="F2197" s="18"/>
      <c r="G2197" s="4"/>
      <c r="H2197" s="4"/>
      <c r="I2197" s="18"/>
      <c r="J2197" s="91"/>
      <c r="K2197" s="18"/>
      <c r="L2197" s="18"/>
      <c r="M2197" s="18"/>
      <c r="N2197" s="18"/>
    </row>
    <row r="2198" ht="15.0" customHeight="1">
      <c r="A2198" s="18"/>
      <c r="B2198" s="18"/>
      <c r="C2198" s="18"/>
      <c r="D2198" s="18"/>
      <c r="E2198" s="18"/>
      <c r="F2198" s="18"/>
      <c r="G2198" s="4"/>
      <c r="H2198" s="4"/>
      <c r="I2198" s="18"/>
      <c r="J2198" s="91"/>
      <c r="K2198" s="18"/>
      <c r="L2198" s="18"/>
      <c r="M2198" s="18"/>
      <c r="N2198" s="18"/>
    </row>
    <row r="2199" ht="15.0" customHeight="1">
      <c r="A2199" s="18"/>
      <c r="B2199" s="18"/>
      <c r="C2199" s="18"/>
      <c r="D2199" s="18"/>
      <c r="E2199" s="18"/>
      <c r="F2199" s="18"/>
      <c r="G2199" s="4"/>
      <c r="H2199" s="4"/>
      <c r="I2199" s="18"/>
      <c r="J2199" s="91"/>
      <c r="K2199" s="18"/>
      <c r="L2199" s="18"/>
      <c r="M2199" s="18"/>
      <c r="N2199" s="18"/>
    </row>
    <row r="2200" ht="15.0" customHeight="1">
      <c r="A2200" s="18"/>
      <c r="B2200" s="18"/>
      <c r="C2200" s="18"/>
      <c r="D2200" s="18"/>
      <c r="E2200" s="18"/>
      <c r="F2200" s="18"/>
      <c r="G2200" s="4"/>
      <c r="H2200" s="4"/>
      <c r="I2200" s="18"/>
      <c r="J2200" s="91"/>
      <c r="K2200" s="18"/>
      <c r="L2200" s="18"/>
      <c r="M2200" s="18"/>
      <c r="N2200" s="18"/>
    </row>
    <row r="2201" ht="15.0" customHeight="1">
      <c r="A2201" s="18"/>
      <c r="B2201" s="18"/>
      <c r="C2201" s="18"/>
      <c r="D2201" s="18"/>
      <c r="E2201" s="18"/>
      <c r="F2201" s="18"/>
      <c r="G2201" s="4"/>
      <c r="H2201" s="4"/>
      <c r="I2201" s="18"/>
      <c r="J2201" s="91"/>
      <c r="K2201" s="18"/>
      <c r="L2201" s="18"/>
      <c r="M2201" s="18"/>
      <c r="N2201" s="18"/>
    </row>
    <row r="2202" ht="15.0" customHeight="1">
      <c r="A2202" s="18"/>
      <c r="B2202" s="18"/>
      <c r="C2202" s="18"/>
      <c r="D2202" s="18"/>
      <c r="E2202" s="18"/>
      <c r="F2202" s="18"/>
      <c r="G2202" s="4"/>
      <c r="H2202" s="4"/>
      <c r="I2202" s="18"/>
      <c r="J2202" s="91"/>
      <c r="K2202" s="18"/>
      <c r="L2202" s="18"/>
      <c r="M2202" s="18"/>
      <c r="N2202" s="18"/>
    </row>
    <row r="2203" ht="15.0" customHeight="1">
      <c r="A2203" s="18"/>
      <c r="B2203" s="18"/>
      <c r="C2203" s="18"/>
      <c r="D2203" s="18"/>
      <c r="E2203" s="18"/>
      <c r="F2203" s="18"/>
      <c r="G2203" s="4"/>
      <c r="H2203" s="4"/>
      <c r="I2203" s="18"/>
      <c r="J2203" s="91"/>
      <c r="K2203" s="18"/>
      <c r="L2203" s="18"/>
      <c r="M2203" s="18"/>
      <c r="N2203" s="18"/>
    </row>
    <row r="2204" ht="15.0" customHeight="1">
      <c r="A2204" s="18"/>
      <c r="B2204" s="18"/>
      <c r="C2204" s="18"/>
      <c r="D2204" s="18"/>
      <c r="E2204" s="18"/>
      <c r="F2204" s="18"/>
      <c r="G2204" s="4"/>
      <c r="H2204" s="4"/>
      <c r="I2204" s="18"/>
      <c r="J2204" s="91"/>
      <c r="K2204" s="18"/>
      <c r="L2204" s="18"/>
      <c r="M2204" s="18"/>
      <c r="N2204" s="18"/>
    </row>
    <row r="2205" ht="15.0" customHeight="1">
      <c r="A2205" s="18"/>
      <c r="B2205" s="18"/>
      <c r="C2205" s="18"/>
      <c r="D2205" s="18"/>
      <c r="E2205" s="18"/>
      <c r="F2205" s="18"/>
      <c r="G2205" s="4"/>
      <c r="H2205" s="4"/>
      <c r="I2205" s="18"/>
      <c r="J2205" s="91"/>
      <c r="K2205" s="18"/>
      <c r="L2205" s="18"/>
      <c r="M2205" s="18"/>
      <c r="N2205" s="18"/>
    </row>
    <row r="2206" ht="15.0" customHeight="1">
      <c r="A2206" s="18"/>
      <c r="B2206" s="18"/>
      <c r="C2206" s="18"/>
      <c r="D2206" s="18"/>
      <c r="E2206" s="18"/>
      <c r="F2206" s="18"/>
      <c r="G2206" s="4"/>
      <c r="H2206" s="4"/>
      <c r="I2206" s="18"/>
      <c r="J2206" s="91"/>
      <c r="K2206" s="18"/>
      <c r="L2206" s="18"/>
      <c r="M2206" s="18"/>
      <c r="N2206" s="18"/>
    </row>
    <row r="2207" ht="15.0" customHeight="1">
      <c r="A2207" s="18"/>
      <c r="B2207" s="18"/>
      <c r="C2207" s="18"/>
      <c r="D2207" s="18"/>
      <c r="E2207" s="18"/>
      <c r="F2207" s="18"/>
      <c r="G2207" s="4"/>
      <c r="H2207" s="4"/>
      <c r="I2207" s="18"/>
      <c r="J2207" s="91"/>
      <c r="K2207" s="18"/>
      <c r="L2207" s="18"/>
      <c r="M2207" s="18"/>
      <c r="N2207" s="18"/>
    </row>
    <row r="2208" ht="15.0" customHeight="1">
      <c r="A2208" s="18"/>
      <c r="B2208" s="18"/>
      <c r="C2208" s="18"/>
      <c r="D2208" s="18"/>
      <c r="E2208" s="18"/>
      <c r="F2208" s="18"/>
      <c r="G2208" s="4"/>
      <c r="H2208" s="4"/>
      <c r="I2208" s="18"/>
      <c r="J2208" s="91"/>
      <c r="K2208" s="18"/>
      <c r="L2208" s="18"/>
      <c r="M2208" s="18"/>
      <c r="N2208" s="18"/>
    </row>
    <row r="2209" ht="15.0" customHeight="1">
      <c r="A2209" s="18"/>
      <c r="B2209" s="18"/>
      <c r="C2209" s="18"/>
      <c r="D2209" s="18"/>
      <c r="E2209" s="18"/>
      <c r="F2209" s="18"/>
      <c r="G2209" s="4"/>
      <c r="H2209" s="4"/>
      <c r="I2209" s="18"/>
      <c r="J2209" s="91"/>
      <c r="K2209" s="18"/>
      <c r="L2209" s="18"/>
      <c r="M2209" s="18"/>
      <c r="N2209" s="18"/>
    </row>
    <row r="2210" ht="15.0" customHeight="1">
      <c r="A2210" s="18"/>
      <c r="B2210" s="18"/>
      <c r="C2210" s="18"/>
      <c r="D2210" s="18"/>
      <c r="E2210" s="18"/>
      <c r="F2210" s="18"/>
      <c r="G2210" s="4"/>
      <c r="H2210" s="4"/>
      <c r="I2210" s="18"/>
      <c r="J2210" s="91"/>
      <c r="K2210" s="18"/>
      <c r="L2210" s="18"/>
      <c r="M2210" s="18"/>
      <c r="N2210" s="18"/>
    </row>
    <row r="2211" ht="15.0" customHeight="1">
      <c r="A2211" s="18"/>
      <c r="B2211" s="18"/>
      <c r="C2211" s="18"/>
      <c r="D2211" s="18"/>
      <c r="E2211" s="18"/>
      <c r="F2211" s="18"/>
      <c r="G2211" s="4"/>
      <c r="H2211" s="4"/>
      <c r="I2211" s="18"/>
      <c r="J2211" s="91"/>
      <c r="K2211" s="18"/>
      <c r="L2211" s="18"/>
      <c r="M2211" s="18"/>
      <c r="N2211" s="18"/>
    </row>
    <row r="2212" ht="15.0" customHeight="1">
      <c r="A2212" s="18"/>
      <c r="B2212" s="18"/>
      <c r="C2212" s="18"/>
      <c r="D2212" s="18"/>
      <c r="E2212" s="18"/>
      <c r="F2212" s="18"/>
      <c r="G2212" s="4"/>
      <c r="H2212" s="4"/>
      <c r="I2212" s="18"/>
      <c r="J2212" s="91"/>
      <c r="K2212" s="18"/>
      <c r="L2212" s="18"/>
      <c r="M2212" s="18"/>
      <c r="N2212" s="18"/>
    </row>
    <row r="2213" ht="15.0" customHeight="1">
      <c r="A2213" s="18"/>
      <c r="B2213" s="18"/>
      <c r="C2213" s="18"/>
      <c r="D2213" s="18"/>
      <c r="E2213" s="18"/>
      <c r="F2213" s="18"/>
      <c r="G2213" s="4"/>
      <c r="H2213" s="4"/>
      <c r="I2213" s="18"/>
      <c r="J2213" s="91"/>
      <c r="K2213" s="18"/>
      <c r="L2213" s="18"/>
      <c r="M2213" s="18"/>
      <c r="N2213" s="18"/>
    </row>
    <row r="2214" ht="15.0" customHeight="1">
      <c r="A2214" s="18"/>
      <c r="B2214" s="18"/>
      <c r="C2214" s="18"/>
      <c r="D2214" s="18"/>
      <c r="E2214" s="18"/>
      <c r="F2214" s="18"/>
      <c r="G2214" s="4"/>
      <c r="H2214" s="4"/>
      <c r="I2214" s="18"/>
      <c r="J2214" s="91"/>
      <c r="K2214" s="18"/>
      <c r="L2214" s="18"/>
      <c r="M2214" s="18"/>
      <c r="N2214" s="18"/>
    </row>
    <row r="2215" ht="15.0" customHeight="1">
      <c r="A2215" s="18"/>
      <c r="B2215" s="18"/>
      <c r="C2215" s="18"/>
      <c r="D2215" s="18"/>
      <c r="E2215" s="18"/>
      <c r="F2215" s="18"/>
      <c r="G2215" s="4"/>
      <c r="H2215" s="4"/>
      <c r="I2215" s="18"/>
      <c r="J2215" s="91"/>
      <c r="K2215" s="18"/>
      <c r="L2215" s="18"/>
      <c r="M2215" s="18"/>
      <c r="N2215" s="18"/>
    </row>
    <row r="2216" ht="15.0" customHeight="1">
      <c r="A2216" s="18"/>
      <c r="B2216" s="18"/>
      <c r="C2216" s="18"/>
      <c r="D2216" s="18"/>
      <c r="E2216" s="18"/>
      <c r="F2216" s="18"/>
      <c r="G2216" s="4"/>
      <c r="H2216" s="4"/>
      <c r="I2216" s="18"/>
      <c r="J2216" s="91"/>
      <c r="K2216" s="18"/>
      <c r="L2216" s="18"/>
      <c r="M2216" s="18"/>
      <c r="N2216" s="18"/>
    </row>
    <row r="2217" ht="15.0" customHeight="1">
      <c r="A2217" s="18"/>
      <c r="B2217" s="18"/>
      <c r="C2217" s="18"/>
      <c r="D2217" s="18"/>
      <c r="E2217" s="18"/>
      <c r="F2217" s="18"/>
      <c r="G2217" s="4"/>
      <c r="H2217" s="4"/>
      <c r="I2217" s="18"/>
      <c r="J2217" s="91"/>
      <c r="K2217" s="18"/>
      <c r="L2217" s="18"/>
      <c r="M2217" s="18"/>
      <c r="N2217" s="18"/>
    </row>
    <row r="2218" ht="15.0" customHeight="1">
      <c r="A2218" s="18"/>
      <c r="B2218" s="18"/>
      <c r="C2218" s="18"/>
      <c r="D2218" s="18"/>
      <c r="E2218" s="18"/>
      <c r="F2218" s="18"/>
      <c r="G2218" s="4"/>
      <c r="H2218" s="4"/>
      <c r="I2218" s="18"/>
      <c r="J2218" s="91"/>
      <c r="K2218" s="18"/>
      <c r="L2218" s="18"/>
      <c r="M2218" s="18"/>
      <c r="N2218" s="18"/>
    </row>
    <row r="2219" ht="15.0" customHeight="1">
      <c r="A2219" s="18"/>
      <c r="B2219" s="18"/>
      <c r="C2219" s="18"/>
      <c r="D2219" s="18"/>
      <c r="E2219" s="18"/>
      <c r="F2219" s="18"/>
      <c r="G2219" s="4"/>
      <c r="H2219" s="4"/>
      <c r="I2219" s="18"/>
      <c r="J2219" s="91"/>
      <c r="K2219" s="18"/>
      <c r="L2219" s="18"/>
      <c r="M2219" s="18"/>
      <c r="N2219" s="18"/>
    </row>
    <row r="2220" ht="15.0" customHeight="1">
      <c r="A2220" s="18"/>
      <c r="B2220" s="18"/>
      <c r="C2220" s="18"/>
      <c r="D2220" s="18"/>
      <c r="E2220" s="18"/>
      <c r="F2220" s="18"/>
      <c r="G2220" s="4"/>
      <c r="H2220" s="4"/>
      <c r="I2220" s="18"/>
      <c r="J2220" s="91"/>
      <c r="K2220" s="18"/>
      <c r="L2220" s="18"/>
      <c r="M2220" s="18"/>
      <c r="N2220" s="18"/>
    </row>
    <row r="2221" ht="15.0" customHeight="1">
      <c r="A2221" s="18"/>
      <c r="B2221" s="18"/>
      <c r="C2221" s="18"/>
      <c r="D2221" s="18"/>
      <c r="E2221" s="18"/>
      <c r="F2221" s="18"/>
      <c r="G2221" s="4"/>
      <c r="H2221" s="4"/>
      <c r="I2221" s="18"/>
      <c r="J2221" s="91"/>
      <c r="K2221" s="18"/>
      <c r="L2221" s="18"/>
      <c r="M2221" s="18"/>
      <c r="N2221" s="18"/>
    </row>
    <row r="2222" ht="15.0" customHeight="1">
      <c r="A2222" s="18"/>
      <c r="B2222" s="18"/>
      <c r="C2222" s="18"/>
      <c r="D2222" s="18"/>
      <c r="E2222" s="18"/>
      <c r="F2222" s="18"/>
      <c r="G2222" s="4"/>
      <c r="H2222" s="4"/>
      <c r="I2222" s="18"/>
      <c r="J2222" s="91"/>
      <c r="K2222" s="18"/>
      <c r="L2222" s="18"/>
      <c r="M2222" s="18"/>
      <c r="N2222" s="18"/>
    </row>
    <row r="2223" ht="15.0" customHeight="1">
      <c r="A2223" s="18"/>
      <c r="B2223" s="18"/>
      <c r="C2223" s="18"/>
      <c r="D2223" s="18"/>
      <c r="E2223" s="18"/>
      <c r="F2223" s="18"/>
      <c r="G2223" s="4"/>
      <c r="H2223" s="4"/>
      <c r="I2223" s="18"/>
      <c r="J2223" s="91"/>
      <c r="K2223" s="18"/>
      <c r="L2223" s="18"/>
      <c r="M2223" s="18"/>
      <c r="N2223" s="18"/>
    </row>
    <row r="2224" ht="15.0" customHeight="1">
      <c r="A2224" s="18"/>
      <c r="B2224" s="18"/>
      <c r="C2224" s="18"/>
      <c r="D2224" s="18"/>
      <c r="E2224" s="18"/>
      <c r="F2224" s="18"/>
      <c r="G2224" s="4"/>
      <c r="H2224" s="4"/>
      <c r="I2224" s="18"/>
      <c r="J2224" s="91"/>
      <c r="K2224" s="18"/>
      <c r="L2224" s="18"/>
      <c r="M2224" s="18"/>
      <c r="N2224" s="18"/>
    </row>
    <row r="2225" ht="15.0" customHeight="1">
      <c r="A2225" s="18"/>
      <c r="B2225" s="18"/>
      <c r="C2225" s="18"/>
      <c r="D2225" s="18"/>
      <c r="E2225" s="18"/>
      <c r="F2225" s="18"/>
      <c r="G2225" s="4"/>
      <c r="H2225" s="4"/>
      <c r="I2225" s="18"/>
      <c r="J2225" s="91"/>
      <c r="K2225" s="18"/>
      <c r="L2225" s="18"/>
      <c r="M2225" s="18"/>
      <c r="N2225" s="18"/>
    </row>
    <row r="2226" ht="15.0" customHeight="1">
      <c r="A2226" s="18"/>
      <c r="B2226" s="18"/>
      <c r="C2226" s="18"/>
      <c r="D2226" s="18"/>
      <c r="E2226" s="18"/>
      <c r="F2226" s="18"/>
      <c r="G2226" s="4"/>
      <c r="H2226" s="4"/>
      <c r="I2226" s="18"/>
      <c r="J2226" s="91"/>
      <c r="K2226" s="18"/>
      <c r="L2226" s="18"/>
      <c r="M2226" s="18"/>
      <c r="N2226" s="18"/>
    </row>
    <row r="2227" ht="15.0" customHeight="1">
      <c r="A2227" s="18"/>
      <c r="B2227" s="18"/>
      <c r="C2227" s="18"/>
      <c r="D2227" s="18"/>
      <c r="E2227" s="18"/>
      <c r="F2227" s="18"/>
      <c r="G2227" s="4"/>
      <c r="H2227" s="4"/>
      <c r="I2227" s="18"/>
      <c r="J2227" s="91"/>
      <c r="K2227" s="18"/>
      <c r="L2227" s="18"/>
      <c r="M2227" s="18"/>
      <c r="N2227" s="18"/>
    </row>
    <row r="2228" ht="15.0" customHeight="1">
      <c r="A2228" s="18"/>
      <c r="B2228" s="18"/>
      <c r="C2228" s="18"/>
      <c r="D2228" s="18"/>
      <c r="E2228" s="18"/>
      <c r="F2228" s="18"/>
      <c r="G2228" s="4"/>
      <c r="H2228" s="4"/>
      <c r="I2228" s="18"/>
      <c r="J2228" s="91"/>
      <c r="K2228" s="18"/>
      <c r="L2228" s="18"/>
      <c r="M2228" s="18"/>
      <c r="N2228" s="18"/>
    </row>
    <row r="2229" ht="15.0" customHeight="1">
      <c r="A2229" s="18"/>
      <c r="B2229" s="18"/>
      <c r="C2229" s="18"/>
      <c r="D2229" s="18"/>
      <c r="E2229" s="18"/>
      <c r="F2229" s="18"/>
      <c r="G2229" s="4"/>
      <c r="H2229" s="4"/>
      <c r="I2229" s="18"/>
      <c r="J2229" s="91"/>
      <c r="K2229" s="18"/>
      <c r="L2229" s="18"/>
      <c r="M2229" s="18"/>
      <c r="N2229" s="18"/>
    </row>
    <row r="2230" ht="15.0" customHeight="1">
      <c r="A2230" s="18"/>
      <c r="B2230" s="18"/>
      <c r="C2230" s="18"/>
      <c r="D2230" s="18"/>
      <c r="E2230" s="18"/>
      <c r="F2230" s="18"/>
      <c r="G2230" s="4"/>
      <c r="H2230" s="4"/>
      <c r="I2230" s="18"/>
      <c r="J2230" s="91"/>
      <c r="K2230" s="18"/>
      <c r="L2230" s="18"/>
      <c r="M2230" s="18"/>
      <c r="N2230" s="18"/>
    </row>
    <row r="2231" ht="15.0" customHeight="1">
      <c r="A2231" s="18"/>
      <c r="B2231" s="18"/>
      <c r="C2231" s="18"/>
      <c r="D2231" s="18"/>
      <c r="E2231" s="18"/>
      <c r="F2231" s="18"/>
      <c r="G2231" s="4"/>
      <c r="H2231" s="4"/>
      <c r="I2231" s="18"/>
      <c r="J2231" s="91"/>
      <c r="K2231" s="18"/>
      <c r="L2231" s="18"/>
      <c r="M2231" s="18"/>
      <c r="N2231" s="18"/>
    </row>
    <row r="2232" ht="15.0" customHeight="1">
      <c r="A2232" s="18"/>
      <c r="B2232" s="18"/>
      <c r="C2232" s="18"/>
      <c r="D2232" s="18"/>
      <c r="E2232" s="18"/>
      <c r="F2232" s="18"/>
      <c r="G2232" s="4"/>
      <c r="H2232" s="4"/>
      <c r="I2232" s="18"/>
      <c r="J2232" s="91"/>
      <c r="K2232" s="18"/>
      <c r="L2232" s="18"/>
      <c r="M2232" s="18"/>
      <c r="N2232" s="18"/>
    </row>
    <row r="2233" ht="15.0" customHeight="1">
      <c r="A2233" s="18"/>
      <c r="B2233" s="18"/>
      <c r="C2233" s="18"/>
      <c r="D2233" s="18"/>
      <c r="E2233" s="18"/>
      <c r="F2233" s="18"/>
      <c r="G2233" s="4"/>
      <c r="H2233" s="4"/>
      <c r="I2233" s="18"/>
      <c r="J2233" s="91"/>
      <c r="K2233" s="18"/>
      <c r="L2233" s="18"/>
      <c r="M2233" s="18"/>
      <c r="N2233" s="18"/>
    </row>
    <row r="2234" ht="15.0" customHeight="1">
      <c r="A2234" s="18"/>
      <c r="B2234" s="18"/>
      <c r="C2234" s="18"/>
      <c r="D2234" s="18"/>
      <c r="E2234" s="18"/>
      <c r="F2234" s="18"/>
      <c r="G2234" s="4"/>
      <c r="H2234" s="4"/>
      <c r="I2234" s="18"/>
      <c r="J2234" s="91"/>
      <c r="K2234" s="18"/>
      <c r="L2234" s="18"/>
      <c r="M2234" s="18"/>
      <c r="N2234" s="18"/>
    </row>
    <row r="2235" ht="15.0" customHeight="1">
      <c r="A2235" s="18"/>
      <c r="B2235" s="18"/>
      <c r="C2235" s="18"/>
      <c r="D2235" s="18"/>
      <c r="E2235" s="18"/>
      <c r="F2235" s="18"/>
      <c r="G2235" s="4"/>
      <c r="H2235" s="4"/>
      <c r="I2235" s="18"/>
      <c r="J2235" s="91"/>
      <c r="K2235" s="18"/>
      <c r="L2235" s="18"/>
      <c r="M2235" s="18"/>
      <c r="N2235" s="18"/>
    </row>
    <row r="2236" ht="15.0" customHeight="1">
      <c r="A2236" s="18"/>
      <c r="B2236" s="18"/>
      <c r="C2236" s="18"/>
      <c r="D2236" s="18"/>
      <c r="E2236" s="18"/>
      <c r="F2236" s="18"/>
      <c r="G2236" s="4"/>
      <c r="H2236" s="4"/>
      <c r="I2236" s="18"/>
      <c r="J2236" s="91"/>
      <c r="K2236" s="18"/>
      <c r="L2236" s="18"/>
      <c r="M2236" s="18"/>
      <c r="N2236" s="18"/>
    </row>
    <row r="2237" ht="15.0" customHeight="1">
      <c r="A2237" s="18"/>
      <c r="B2237" s="18"/>
      <c r="C2237" s="18"/>
      <c r="D2237" s="18"/>
      <c r="E2237" s="18"/>
      <c r="F2237" s="18"/>
      <c r="G2237" s="4"/>
      <c r="H2237" s="4"/>
      <c r="I2237" s="18"/>
      <c r="J2237" s="91"/>
      <c r="K2237" s="18"/>
      <c r="L2237" s="18"/>
      <c r="M2237" s="18"/>
      <c r="N2237" s="18"/>
    </row>
    <row r="2238" ht="15.0" customHeight="1">
      <c r="A2238" s="18"/>
      <c r="B2238" s="18"/>
      <c r="C2238" s="18"/>
      <c r="D2238" s="18"/>
      <c r="E2238" s="18"/>
      <c r="F2238" s="18"/>
      <c r="G2238" s="4"/>
      <c r="H2238" s="4"/>
      <c r="I2238" s="18"/>
      <c r="J2238" s="91"/>
      <c r="K2238" s="18"/>
      <c r="L2238" s="18"/>
      <c r="M2238" s="18"/>
      <c r="N2238" s="18"/>
    </row>
    <row r="2239" ht="15.0" customHeight="1">
      <c r="A2239" s="18"/>
      <c r="B2239" s="18"/>
      <c r="C2239" s="18"/>
      <c r="D2239" s="18"/>
      <c r="E2239" s="18"/>
      <c r="F2239" s="18"/>
      <c r="G2239" s="4"/>
      <c r="H2239" s="4"/>
      <c r="I2239" s="18"/>
      <c r="J2239" s="91"/>
      <c r="K2239" s="18"/>
      <c r="L2239" s="18"/>
      <c r="M2239" s="18"/>
      <c r="N2239" s="18"/>
    </row>
    <row r="2240" ht="15.0" customHeight="1">
      <c r="A2240" s="18"/>
      <c r="B2240" s="18"/>
      <c r="C2240" s="18"/>
      <c r="D2240" s="18"/>
      <c r="E2240" s="18"/>
      <c r="F2240" s="18"/>
      <c r="G2240" s="4"/>
      <c r="H2240" s="4"/>
      <c r="I2240" s="18"/>
      <c r="J2240" s="91"/>
      <c r="K2240" s="18"/>
      <c r="L2240" s="18"/>
      <c r="M2240" s="18"/>
      <c r="N2240" s="18"/>
    </row>
    <row r="2241" ht="15.0" customHeight="1">
      <c r="A2241" s="18"/>
      <c r="B2241" s="18"/>
      <c r="C2241" s="18"/>
      <c r="D2241" s="18"/>
      <c r="E2241" s="18"/>
      <c r="F2241" s="18"/>
      <c r="G2241" s="4"/>
      <c r="H2241" s="4"/>
      <c r="I2241" s="18"/>
      <c r="J2241" s="91"/>
      <c r="K2241" s="18"/>
      <c r="L2241" s="18"/>
      <c r="M2241" s="18"/>
      <c r="N2241" s="18"/>
    </row>
    <row r="2242" ht="15.0" customHeight="1">
      <c r="A2242" s="18"/>
      <c r="B2242" s="18"/>
      <c r="C2242" s="18"/>
      <c r="D2242" s="18"/>
      <c r="E2242" s="18"/>
      <c r="F2242" s="18"/>
      <c r="G2242" s="4"/>
      <c r="H2242" s="4"/>
      <c r="I2242" s="18"/>
      <c r="J2242" s="91"/>
      <c r="K2242" s="18"/>
      <c r="L2242" s="18"/>
      <c r="M2242" s="18"/>
      <c r="N2242" s="18"/>
    </row>
    <row r="2243" ht="15.0" customHeight="1">
      <c r="A2243" s="18"/>
      <c r="B2243" s="18"/>
      <c r="C2243" s="18"/>
      <c r="D2243" s="18"/>
      <c r="E2243" s="18"/>
      <c r="F2243" s="18"/>
      <c r="G2243" s="4"/>
      <c r="H2243" s="4"/>
      <c r="I2243" s="18"/>
      <c r="J2243" s="91"/>
      <c r="K2243" s="18"/>
      <c r="L2243" s="18"/>
      <c r="M2243" s="18"/>
      <c r="N2243" s="18"/>
    </row>
    <row r="2244" ht="15.0" customHeight="1">
      <c r="A2244" s="18"/>
      <c r="B2244" s="18"/>
      <c r="C2244" s="18"/>
      <c r="D2244" s="18"/>
      <c r="E2244" s="18"/>
      <c r="F2244" s="18"/>
      <c r="G2244" s="4"/>
      <c r="H2244" s="4"/>
      <c r="I2244" s="18"/>
      <c r="J2244" s="91"/>
      <c r="K2244" s="18"/>
      <c r="L2244" s="18"/>
      <c r="M2244" s="18"/>
      <c r="N2244" s="18"/>
    </row>
    <row r="2245" ht="15.0" customHeight="1">
      <c r="A2245" s="18"/>
      <c r="B2245" s="18"/>
      <c r="C2245" s="18"/>
      <c r="D2245" s="18"/>
      <c r="E2245" s="18"/>
      <c r="F2245" s="18"/>
      <c r="G2245" s="4"/>
      <c r="H2245" s="4"/>
      <c r="I2245" s="18"/>
      <c r="J2245" s="91"/>
      <c r="K2245" s="18"/>
      <c r="L2245" s="18"/>
      <c r="M2245" s="18"/>
      <c r="N2245" s="18"/>
    </row>
    <row r="2246" ht="15.0" customHeight="1">
      <c r="A2246" s="18"/>
      <c r="B2246" s="18"/>
      <c r="C2246" s="18"/>
      <c r="D2246" s="18"/>
      <c r="E2246" s="18"/>
      <c r="F2246" s="18"/>
      <c r="G2246" s="4"/>
      <c r="H2246" s="4"/>
      <c r="I2246" s="18"/>
      <c r="J2246" s="91"/>
      <c r="K2246" s="18"/>
      <c r="L2246" s="18"/>
      <c r="M2246" s="18"/>
      <c r="N2246" s="18"/>
    </row>
    <row r="2247" ht="15.0" customHeight="1">
      <c r="A2247" s="18"/>
      <c r="B2247" s="18"/>
      <c r="C2247" s="18"/>
      <c r="D2247" s="18"/>
      <c r="E2247" s="18"/>
      <c r="F2247" s="18"/>
      <c r="G2247" s="4"/>
      <c r="H2247" s="4"/>
      <c r="I2247" s="18"/>
      <c r="J2247" s="91"/>
      <c r="K2247" s="18"/>
      <c r="L2247" s="18"/>
      <c r="M2247" s="18"/>
      <c r="N2247" s="18"/>
    </row>
    <row r="2248" ht="15.0" customHeight="1">
      <c r="A2248" s="18"/>
      <c r="B2248" s="18"/>
      <c r="C2248" s="18"/>
      <c r="D2248" s="18"/>
      <c r="E2248" s="18"/>
      <c r="F2248" s="18"/>
      <c r="G2248" s="4"/>
      <c r="H2248" s="4"/>
      <c r="I2248" s="18"/>
      <c r="J2248" s="91"/>
      <c r="K2248" s="18"/>
      <c r="L2248" s="18"/>
      <c r="M2248" s="18"/>
      <c r="N2248" s="18"/>
    </row>
    <row r="2249" ht="15.0" customHeight="1">
      <c r="A2249" s="18"/>
      <c r="B2249" s="18"/>
      <c r="C2249" s="18"/>
      <c r="D2249" s="18"/>
      <c r="E2249" s="18"/>
      <c r="F2249" s="18"/>
      <c r="G2249" s="4"/>
      <c r="H2249" s="4"/>
      <c r="I2249" s="18"/>
      <c r="J2249" s="91"/>
      <c r="K2249" s="18"/>
      <c r="L2249" s="18"/>
      <c r="M2249" s="18"/>
      <c r="N2249" s="18"/>
    </row>
    <row r="2250" ht="15.0" customHeight="1">
      <c r="A2250" s="18"/>
      <c r="B2250" s="18"/>
      <c r="C2250" s="18"/>
      <c r="D2250" s="18"/>
      <c r="E2250" s="18"/>
      <c r="F2250" s="18"/>
      <c r="G2250" s="4"/>
      <c r="H2250" s="4"/>
      <c r="I2250" s="18"/>
      <c r="J2250" s="91"/>
      <c r="K2250" s="18"/>
      <c r="L2250" s="18"/>
      <c r="M2250" s="18"/>
      <c r="N2250" s="18"/>
    </row>
    <row r="2251" ht="15.0" customHeight="1">
      <c r="A2251" s="18"/>
      <c r="B2251" s="18"/>
      <c r="C2251" s="18"/>
      <c r="D2251" s="18"/>
      <c r="E2251" s="18"/>
      <c r="F2251" s="18"/>
      <c r="G2251" s="4"/>
      <c r="H2251" s="4"/>
      <c r="I2251" s="18"/>
      <c r="J2251" s="91"/>
      <c r="K2251" s="18"/>
      <c r="L2251" s="18"/>
      <c r="M2251" s="18"/>
      <c r="N2251" s="18"/>
    </row>
    <row r="2252" ht="15.0" customHeight="1">
      <c r="A2252" s="18"/>
      <c r="B2252" s="18"/>
      <c r="C2252" s="18"/>
      <c r="D2252" s="18"/>
      <c r="E2252" s="18"/>
      <c r="F2252" s="18"/>
      <c r="G2252" s="4"/>
      <c r="H2252" s="4"/>
      <c r="I2252" s="18"/>
      <c r="J2252" s="91"/>
      <c r="K2252" s="18"/>
      <c r="L2252" s="18"/>
      <c r="M2252" s="18"/>
      <c r="N2252" s="18"/>
    </row>
    <row r="2253" ht="15.0" customHeight="1">
      <c r="A2253" s="18"/>
      <c r="B2253" s="18"/>
      <c r="C2253" s="18"/>
      <c r="D2253" s="18"/>
      <c r="E2253" s="18"/>
      <c r="F2253" s="18"/>
      <c r="G2253" s="4"/>
      <c r="H2253" s="4"/>
      <c r="I2253" s="18"/>
      <c r="J2253" s="91"/>
      <c r="K2253" s="18"/>
      <c r="L2253" s="18"/>
      <c r="M2253" s="18"/>
      <c r="N2253" s="18"/>
    </row>
    <row r="2254" ht="15.0" customHeight="1">
      <c r="A2254" s="18"/>
      <c r="B2254" s="18"/>
      <c r="C2254" s="18"/>
      <c r="D2254" s="18"/>
      <c r="E2254" s="18"/>
      <c r="F2254" s="18"/>
      <c r="G2254" s="4"/>
      <c r="H2254" s="4"/>
      <c r="I2254" s="18"/>
      <c r="J2254" s="91"/>
      <c r="K2254" s="18"/>
      <c r="L2254" s="18"/>
      <c r="M2254" s="18"/>
      <c r="N2254" s="18"/>
    </row>
    <row r="2255" ht="15.0" customHeight="1">
      <c r="A2255" s="18"/>
      <c r="B2255" s="18"/>
      <c r="C2255" s="18"/>
      <c r="D2255" s="18"/>
      <c r="E2255" s="18"/>
      <c r="F2255" s="18"/>
      <c r="G2255" s="4"/>
      <c r="H2255" s="4"/>
      <c r="I2255" s="18"/>
      <c r="J2255" s="91"/>
      <c r="K2255" s="18"/>
      <c r="L2255" s="18"/>
      <c r="M2255" s="18"/>
      <c r="N2255" s="18"/>
    </row>
    <row r="2256" ht="15.0" customHeight="1">
      <c r="A2256" s="18"/>
      <c r="B2256" s="18"/>
      <c r="C2256" s="18"/>
      <c r="D2256" s="18"/>
      <c r="E2256" s="18"/>
      <c r="F2256" s="18"/>
      <c r="G2256" s="4"/>
      <c r="H2256" s="4"/>
      <c r="I2256" s="18"/>
      <c r="J2256" s="91"/>
      <c r="K2256" s="18"/>
      <c r="L2256" s="18"/>
      <c r="M2256" s="18"/>
      <c r="N2256" s="18"/>
    </row>
    <row r="2257" ht="15.0" customHeight="1">
      <c r="A2257" s="18"/>
      <c r="B2257" s="18"/>
      <c r="C2257" s="18"/>
      <c r="D2257" s="18"/>
      <c r="E2257" s="18"/>
      <c r="F2257" s="18"/>
      <c r="G2257" s="4"/>
      <c r="H2257" s="4"/>
      <c r="I2257" s="18"/>
      <c r="J2257" s="91"/>
      <c r="K2257" s="18"/>
      <c r="L2257" s="18"/>
      <c r="M2257" s="18"/>
      <c r="N2257" s="18"/>
    </row>
    <row r="2258" ht="15.0" customHeight="1">
      <c r="A2258" s="18"/>
      <c r="B2258" s="18"/>
      <c r="C2258" s="18"/>
      <c r="D2258" s="18"/>
      <c r="E2258" s="18"/>
      <c r="F2258" s="18"/>
      <c r="G2258" s="4"/>
      <c r="H2258" s="4"/>
      <c r="I2258" s="18"/>
      <c r="J2258" s="91"/>
      <c r="K2258" s="18"/>
      <c r="L2258" s="18"/>
      <c r="M2258" s="18"/>
      <c r="N2258" s="18"/>
    </row>
    <row r="2259" ht="15.0" customHeight="1">
      <c r="A2259" s="18"/>
      <c r="B2259" s="18"/>
      <c r="C2259" s="18"/>
      <c r="D2259" s="18"/>
      <c r="E2259" s="18"/>
      <c r="F2259" s="18"/>
      <c r="G2259" s="4"/>
      <c r="H2259" s="4"/>
      <c r="I2259" s="18"/>
      <c r="J2259" s="91"/>
      <c r="K2259" s="18"/>
      <c r="L2259" s="18"/>
      <c r="M2259" s="18"/>
      <c r="N2259" s="18"/>
    </row>
    <row r="2260" ht="15.0" customHeight="1">
      <c r="A2260" s="18"/>
      <c r="B2260" s="18"/>
      <c r="C2260" s="18"/>
      <c r="D2260" s="18"/>
      <c r="E2260" s="18"/>
      <c r="F2260" s="18"/>
      <c r="G2260" s="4"/>
      <c r="H2260" s="4"/>
      <c r="I2260" s="18"/>
      <c r="J2260" s="91"/>
      <c r="K2260" s="18"/>
      <c r="L2260" s="18"/>
      <c r="M2260" s="18"/>
      <c r="N2260" s="18"/>
    </row>
    <row r="2261" ht="15.0" customHeight="1">
      <c r="A2261" s="18"/>
      <c r="B2261" s="18"/>
      <c r="C2261" s="18"/>
      <c r="D2261" s="18"/>
      <c r="E2261" s="18"/>
      <c r="F2261" s="18"/>
      <c r="G2261" s="4"/>
      <c r="H2261" s="4"/>
      <c r="I2261" s="18"/>
      <c r="J2261" s="91"/>
      <c r="K2261" s="18"/>
      <c r="L2261" s="18"/>
      <c r="M2261" s="18"/>
      <c r="N2261" s="18"/>
    </row>
    <row r="2262" ht="15.0" customHeight="1">
      <c r="A2262" s="18"/>
      <c r="B2262" s="18"/>
      <c r="C2262" s="18"/>
      <c r="D2262" s="18"/>
      <c r="E2262" s="18"/>
      <c r="F2262" s="18"/>
      <c r="G2262" s="4"/>
      <c r="H2262" s="4"/>
      <c r="I2262" s="18"/>
      <c r="J2262" s="91"/>
      <c r="K2262" s="18"/>
      <c r="L2262" s="18"/>
      <c r="M2262" s="18"/>
      <c r="N2262" s="18"/>
    </row>
    <row r="2263" ht="15.0" customHeight="1">
      <c r="A2263" s="18"/>
      <c r="B2263" s="18"/>
      <c r="C2263" s="18"/>
      <c r="D2263" s="18"/>
      <c r="E2263" s="18"/>
      <c r="F2263" s="18"/>
      <c r="G2263" s="4"/>
      <c r="H2263" s="4"/>
      <c r="I2263" s="18"/>
      <c r="J2263" s="91"/>
      <c r="K2263" s="18"/>
      <c r="L2263" s="18"/>
      <c r="M2263" s="18"/>
      <c r="N2263" s="18"/>
    </row>
    <row r="2264" ht="15.0" customHeight="1">
      <c r="A2264" s="18"/>
      <c r="B2264" s="18"/>
      <c r="C2264" s="18"/>
      <c r="D2264" s="18"/>
      <c r="E2264" s="18"/>
      <c r="F2264" s="18"/>
      <c r="G2264" s="4"/>
      <c r="H2264" s="4"/>
      <c r="I2264" s="18"/>
      <c r="J2264" s="91"/>
      <c r="K2264" s="18"/>
      <c r="L2264" s="18"/>
      <c r="M2264" s="18"/>
      <c r="N2264" s="18"/>
    </row>
    <row r="2265" ht="15.0" customHeight="1">
      <c r="A2265" s="18"/>
      <c r="B2265" s="18"/>
      <c r="C2265" s="18"/>
      <c r="D2265" s="18"/>
      <c r="E2265" s="18"/>
      <c r="F2265" s="18"/>
      <c r="G2265" s="4"/>
      <c r="H2265" s="4"/>
      <c r="I2265" s="18"/>
      <c r="J2265" s="91"/>
      <c r="K2265" s="18"/>
      <c r="L2265" s="18"/>
      <c r="M2265" s="18"/>
      <c r="N2265" s="18"/>
    </row>
    <row r="2266" ht="15.0" customHeight="1">
      <c r="A2266" s="18"/>
      <c r="B2266" s="18"/>
      <c r="C2266" s="18"/>
      <c r="D2266" s="18"/>
      <c r="E2266" s="18"/>
      <c r="F2266" s="18"/>
      <c r="G2266" s="4"/>
      <c r="H2266" s="4"/>
      <c r="I2266" s="18"/>
      <c r="J2266" s="91"/>
      <c r="K2266" s="18"/>
      <c r="L2266" s="18"/>
      <c r="M2266" s="18"/>
      <c r="N2266" s="18"/>
    </row>
    <row r="2267" ht="15.0" customHeight="1">
      <c r="A2267" s="18"/>
      <c r="B2267" s="18"/>
      <c r="C2267" s="18"/>
      <c r="D2267" s="18"/>
      <c r="E2267" s="18"/>
      <c r="F2267" s="18"/>
      <c r="G2267" s="4"/>
      <c r="H2267" s="4"/>
      <c r="I2267" s="18"/>
      <c r="J2267" s="91"/>
      <c r="K2267" s="18"/>
      <c r="L2267" s="18"/>
      <c r="M2267" s="18"/>
      <c r="N2267" s="18"/>
    </row>
    <row r="2268" ht="15.0" customHeight="1">
      <c r="A2268" s="18"/>
      <c r="B2268" s="18"/>
      <c r="C2268" s="18"/>
      <c r="D2268" s="18"/>
      <c r="E2268" s="18"/>
      <c r="F2268" s="18"/>
      <c r="G2268" s="4"/>
      <c r="H2268" s="4"/>
      <c r="I2268" s="18"/>
      <c r="J2268" s="91"/>
      <c r="K2268" s="18"/>
      <c r="L2268" s="18"/>
      <c r="M2268" s="18"/>
      <c r="N2268" s="18"/>
    </row>
    <row r="2269" ht="15.0" customHeight="1">
      <c r="A2269" s="18"/>
      <c r="B2269" s="18"/>
      <c r="C2269" s="18"/>
      <c r="D2269" s="18"/>
      <c r="E2269" s="18"/>
      <c r="F2269" s="18"/>
      <c r="G2269" s="4"/>
      <c r="H2269" s="4"/>
      <c r="I2269" s="18"/>
      <c r="J2269" s="91"/>
      <c r="K2269" s="18"/>
      <c r="L2269" s="18"/>
      <c r="M2269" s="18"/>
      <c r="N2269" s="18"/>
    </row>
    <row r="2270" ht="15.0" customHeight="1">
      <c r="A2270" s="18"/>
      <c r="B2270" s="18"/>
      <c r="C2270" s="18"/>
      <c r="D2270" s="18"/>
      <c r="E2270" s="18"/>
      <c r="F2270" s="18"/>
      <c r="G2270" s="4"/>
      <c r="H2270" s="4"/>
      <c r="I2270" s="18"/>
      <c r="J2270" s="91"/>
      <c r="K2270" s="18"/>
      <c r="L2270" s="18"/>
      <c r="M2270" s="18"/>
      <c r="N2270" s="18"/>
    </row>
    <row r="2271" ht="15.0" customHeight="1">
      <c r="A2271" s="18"/>
      <c r="B2271" s="18"/>
      <c r="C2271" s="18"/>
      <c r="D2271" s="18"/>
      <c r="E2271" s="18"/>
      <c r="F2271" s="18"/>
      <c r="G2271" s="4"/>
      <c r="H2271" s="4"/>
      <c r="I2271" s="18"/>
      <c r="J2271" s="91"/>
      <c r="K2271" s="18"/>
      <c r="L2271" s="18"/>
      <c r="M2271" s="18"/>
      <c r="N2271" s="18"/>
    </row>
    <row r="2272" ht="15.0" customHeight="1">
      <c r="A2272" s="18"/>
      <c r="B2272" s="18"/>
      <c r="C2272" s="18"/>
      <c r="D2272" s="18"/>
      <c r="E2272" s="18"/>
      <c r="F2272" s="18"/>
      <c r="G2272" s="4"/>
      <c r="H2272" s="4"/>
      <c r="I2272" s="18"/>
      <c r="J2272" s="91"/>
      <c r="K2272" s="18"/>
      <c r="L2272" s="18"/>
      <c r="M2272" s="18"/>
      <c r="N2272" s="18"/>
    </row>
    <row r="2273" ht="15.0" customHeight="1">
      <c r="A2273" s="18"/>
      <c r="B2273" s="18"/>
      <c r="C2273" s="18"/>
      <c r="D2273" s="18"/>
      <c r="E2273" s="18"/>
      <c r="F2273" s="18"/>
      <c r="G2273" s="4"/>
      <c r="H2273" s="4"/>
      <c r="I2273" s="18"/>
      <c r="J2273" s="91"/>
      <c r="K2273" s="18"/>
      <c r="L2273" s="18"/>
      <c r="M2273" s="18"/>
      <c r="N2273" s="18"/>
    </row>
    <row r="2274" ht="15.0" customHeight="1">
      <c r="A2274" s="18"/>
      <c r="B2274" s="18"/>
      <c r="C2274" s="18"/>
      <c r="D2274" s="18"/>
      <c r="E2274" s="18"/>
      <c r="F2274" s="18"/>
      <c r="G2274" s="4"/>
      <c r="H2274" s="4"/>
      <c r="I2274" s="18"/>
      <c r="J2274" s="91"/>
      <c r="K2274" s="18"/>
      <c r="L2274" s="18"/>
      <c r="M2274" s="18"/>
      <c r="N2274" s="18"/>
    </row>
    <row r="2275" ht="15.0" customHeight="1">
      <c r="A2275" s="18"/>
      <c r="B2275" s="18"/>
      <c r="C2275" s="18"/>
      <c r="D2275" s="18"/>
      <c r="E2275" s="18"/>
      <c r="F2275" s="18"/>
      <c r="G2275" s="4"/>
      <c r="H2275" s="4"/>
      <c r="I2275" s="18"/>
      <c r="J2275" s="91"/>
      <c r="K2275" s="18"/>
      <c r="L2275" s="18"/>
      <c r="M2275" s="18"/>
      <c r="N2275" s="18"/>
    </row>
    <row r="2276" ht="15.0" customHeight="1">
      <c r="A2276" s="18"/>
      <c r="B2276" s="18"/>
      <c r="C2276" s="18"/>
      <c r="D2276" s="18"/>
      <c r="E2276" s="18"/>
      <c r="F2276" s="18"/>
      <c r="G2276" s="4"/>
      <c r="H2276" s="4"/>
      <c r="I2276" s="18"/>
      <c r="J2276" s="91"/>
      <c r="K2276" s="18"/>
      <c r="L2276" s="18"/>
      <c r="M2276" s="18"/>
      <c r="N2276" s="18"/>
    </row>
    <row r="2277" ht="15.0" customHeight="1">
      <c r="A2277" s="18"/>
      <c r="B2277" s="18"/>
      <c r="C2277" s="18"/>
      <c r="D2277" s="18"/>
      <c r="E2277" s="18"/>
      <c r="F2277" s="18"/>
      <c r="G2277" s="4"/>
      <c r="H2277" s="4"/>
      <c r="I2277" s="18"/>
      <c r="J2277" s="91"/>
      <c r="K2277" s="18"/>
      <c r="L2277" s="18"/>
      <c r="M2277" s="18"/>
      <c r="N2277" s="18"/>
    </row>
    <row r="2278" ht="15.0" customHeight="1">
      <c r="A2278" s="18"/>
      <c r="B2278" s="18"/>
      <c r="C2278" s="18"/>
      <c r="D2278" s="18"/>
      <c r="E2278" s="18"/>
      <c r="F2278" s="18"/>
      <c r="G2278" s="4"/>
      <c r="H2278" s="4"/>
      <c r="I2278" s="18"/>
      <c r="J2278" s="91"/>
      <c r="K2278" s="18"/>
      <c r="L2278" s="18"/>
      <c r="M2278" s="18"/>
      <c r="N2278" s="18"/>
    </row>
    <row r="2279" ht="15.0" customHeight="1">
      <c r="A2279" s="18"/>
      <c r="B2279" s="18"/>
      <c r="C2279" s="18"/>
      <c r="D2279" s="18"/>
      <c r="E2279" s="18"/>
      <c r="F2279" s="18"/>
      <c r="G2279" s="4"/>
      <c r="H2279" s="4"/>
      <c r="I2279" s="18"/>
      <c r="J2279" s="91"/>
      <c r="K2279" s="18"/>
      <c r="L2279" s="18"/>
      <c r="M2279" s="18"/>
      <c r="N2279" s="18"/>
    </row>
    <row r="2280" ht="15.0" customHeight="1">
      <c r="A2280" s="18"/>
      <c r="B2280" s="18"/>
      <c r="C2280" s="18"/>
      <c r="D2280" s="18"/>
      <c r="E2280" s="18"/>
      <c r="F2280" s="18"/>
      <c r="G2280" s="4"/>
      <c r="H2280" s="4"/>
      <c r="I2280" s="18"/>
      <c r="J2280" s="91"/>
      <c r="K2280" s="18"/>
      <c r="L2280" s="18"/>
      <c r="M2280" s="18"/>
      <c r="N2280" s="18"/>
    </row>
    <row r="2281" ht="15.0" customHeight="1">
      <c r="A2281" s="18"/>
      <c r="B2281" s="18"/>
      <c r="C2281" s="18"/>
      <c r="D2281" s="18"/>
      <c r="E2281" s="18"/>
      <c r="F2281" s="18"/>
      <c r="G2281" s="4"/>
      <c r="H2281" s="4"/>
      <c r="I2281" s="18"/>
      <c r="J2281" s="91"/>
      <c r="K2281" s="18"/>
      <c r="L2281" s="18"/>
      <c r="M2281" s="18"/>
      <c r="N2281" s="18"/>
    </row>
    <row r="2282" ht="15.0" customHeight="1">
      <c r="A2282" s="18"/>
      <c r="B2282" s="18"/>
      <c r="C2282" s="18"/>
      <c r="D2282" s="18"/>
      <c r="E2282" s="18"/>
      <c r="F2282" s="18"/>
      <c r="G2282" s="4"/>
      <c r="H2282" s="4"/>
      <c r="I2282" s="18"/>
      <c r="J2282" s="91"/>
      <c r="K2282" s="18"/>
      <c r="L2282" s="18"/>
      <c r="M2282" s="18"/>
      <c r="N2282" s="18"/>
    </row>
    <row r="2283" ht="15.0" customHeight="1">
      <c r="A2283" s="18"/>
      <c r="B2283" s="18"/>
      <c r="C2283" s="18"/>
      <c r="D2283" s="18"/>
      <c r="E2283" s="18"/>
      <c r="F2283" s="18"/>
      <c r="G2283" s="4"/>
      <c r="H2283" s="4"/>
      <c r="I2283" s="18"/>
      <c r="J2283" s="91"/>
      <c r="K2283" s="18"/>
      <c r="L2283" s="18"/>
      <c r="M2283" s="18"/>
      <c r="N2283" s="18"/>
    </row>
    <row r="2284" ht="15.0" customHeight="1">
      <c r="A2284" s="18"/>
      <c r="B2284" s="18"/>
      <c r="C2284" s="18"/>
      <c r="D2284" s="18"/>
      <c r="E2284" s="18"/>
      <c r="F2284" s="18"/>
      <c r="G2284" s="4"/>
      <c r="H2284" s="4"/>
      <c r="I2284" s="18"/>
      <c r="J2284" s="91"/>
      <c r="K2284" s="18"/>
      <c r="L2284" s="18"/>
      <c r="M2284" s="18"/>
      <c r="N2284" s="18"/>
    </row>
    <row r="2285" ht="15.0" customHeight="1">
      <c r="A2285" s="18"/>
      <c r="B2285" s="18"/>
      <c r="C2285" s="18"/>
      <c r="D2285" s="18"/>
      <c r="E2285" s="18"/>
      <c r="F2285" s="18"/>
      <c r="G2285" s="4"/>
      <c r="H2285" s="4"/>
      <c r="I2285" s="18"/>
      <c r="J2285" s="91"/>
      <c r="K2285" s="18"/>
      <c r="L2285" s="18"/>
      <c r="M2285" s="18"/>
      <c r="N2285" s="18"/>
    </row>
    <row r="2286" ht="15.0" customHeight="1">
      <c r="A2286" s="18"/>
      <c r="B2286" s="18"/>
      <c r="C2286" s="18"/>
      <c r="D2286" s="18"/>
      <c r="E2286" s="18"/>
      <c r="F2286" s="18"/>
      <c r="G2286" s="4"/>
      <c r="H2286" s="4"/>
      <c r="I2286" s="18"/>
      <c r="J2286" s="91"/>
      <c r="K2286" s="18"/>
      <c r="L2286" s="18"/>
      <c r="M2286" s="18"/>
      <c r="N2286" s="18"/>
    </row>
    <row r="2287" ht="15.0" customHeight="1">
      <c r="A2287" s="18"/>
      <c r="B2287" s="18"/>
      <c r="C2287" s="18"/>
      <c r="D2287" s="18"/>
      <c r="E2287" s="18"/>
      <c r="F2287" s="18"/>
      <c r="G2287" s="4"/>
      <c r="H2287" s="4"/>
      <c r="I2287" s="18"/>
      <c r="J2287" s="91"/>
      <c r="K2287" s="18"/>
      <c r="L2287" s="18"/>
      <c r="M2287" s="18"/>
      <c r="N2287" s="18"/>
    </row>
    <row r="2288" ht="15.0" customHeight="1">
      <c r="A2288" s="18"/>
      <c r="B2288" s="18"/>
      <c r="C2288" s="18"/>
      <c r="D2288" s="18"/>
      <c r="E2288" s="18"/>
      <c r="F2288" s="18"/>
      <c r="G2288" s="4"/>
      <c r="H2288" s="4"/>
      <c r="I2288" s="18"/>
      <c r="J2288" s="91"/>
      <c r="K2288" s="18"/>
      <c r="L2288" s="18"/>
      <c r="M2288" s="18"/>
      <c r="N2288" s="18"/>
    </row>
    <row r="2289" ht="15.0" customHeight="1">
      <c r="A2289" s="18"/>
      <c r="B2289" s="18"/>
      <c r="C2289" s="18"/>
      <c r="D2289" s="18"/>
      <c r="E2289" s="18"/>
      <c r="F2289" s="18"/>
      <c r="G2289" s="4"/>
      <c r="H2289" s="4"/>
      <c r="I2289" s="18"/>
      <c r="J2289" s="91"/>
      <c r="K2289" s="18"/>
      <c r="L2289" s="18"/>
      <c r="M2289" s="18"/>
      <c r="N2289" s="18"/>
    </row>
    <row r="2290" ht="15.0" customHeight="1">
      <c r="A2290" s="18"/>
      <c r="B2290" s="18"/>
      <c r="C2290" s="18"/>
      <c r="D2290" s="18"/>
      <c r="E2290" s="18"/>
      <c r="F2290" s="18"/>
      <c r="G2290" s="4"/>
      <c r="H2290" s="4"/>
      <c r="I2290" s="18"/>
      <c r="J2290" s="91"/>
      <c r="K2290" s="18"/>
      <c r="L2290" s="18"/>
      <c r="M2290" s="18"/>
      <c r="N2290" s="18"/>
    </row>
    <row r="2291" ht="15.0" customHeight="1">
      <c r="A2291" s="18"/>
      <c r="B2291" s="18"/>
      <c r="C2291" s="18"/>
      <c r="D2291" s="18"/>
      <c r="E2291" s="18"/>
      <c r="F2291" s="18"/>
      <c r="G2291" s="4"/>
      <c r="H2291" s="4"/>
      <c r="I2291" s="18"/>
      <c r="J2291" s="91"/>
      <c r="K2291" s="18"/>
      <c r="L2291" s="18"/>
      <c r="M2291" s="18"/>
      <c r="N2291" s="18"/>
    </row>
    <row r="2292" ht="15.0" customHeight="1">
      <c r="A2292" s="18"/>
      <c r="B2292" s="18"/>
      <c r="C2292" s="18"/>
      <c r="D2292" s="18"/>
      <c r="E2292" s="18"/>
      <c r="F2292" s="18"/>
      <c r="G2292" s="4"/>
      <c r="H2292" s="4"/>
      <c r="I2292" s="18"/>
      <c r="J2292" s="91"/>
      <c r="K2292" s="18"/>
      <c r="L2292" s="18"/>
      <c r="M2292" s="18"/>
      <c r="N2292" s="18"/>
    </row>
    <row r="2293" ht="15.0" customHeight="1">
      <c r="A2293" s="18"/>
      <c r="B2293" s="18"/>
      <c r="C2293" s="18"/>
      <c r="D2293" s="18"/>
      <c r="E2293" s="18"/>
      <c r="F2293" s="18"/>
      <c r="G2293" s="4"/>
      <c r="H2293" s="4"/>
      <c r="I2293" s="18"/>
      <c r="J2293" s="91"/>
      <c r="K2293" s="18"/>
      <c r="L2293" s="18"/>
      <c r="M2293" s="18"/>
      <c r="N2293" s="18"/>
    </row>
    <row r="2294" ht="15.0" customHeight="1">
      <c r="A2294" s="18"/>
      <c r="B2294" s="18"/>
      <c r="C2294" s="18"/>
      <c r="D2294" s="18"/>
      <c r="E2294" s="18"/>
      <c r="F2294" s="18"/>
      <c r="G2294" s="4"/>
      <c r="H2294" s="4"/>
      <c r="I2294" s="18"/>
      <c r="J2294" s="91"/>
      <c r="K2294" s="18"/>
      <c r="L2294" s="18"/>
      <c r="M2294" s="18"/>
      <c r="N2294" s="18"/>
    </row>
    <row r="2295" ht="15.0" customHeight="1">
      <c r="A2295" s="18"/>
      <c r="B2295" s="18"/>
      <c r="C2295" s="18"/>
      <c r="D2295" s="18"/>
      <c r="E2295" s="18"/>
      <c r="F2295" s="18"/>
      <c r="G2295" s="4"/>
      <c r="H2295" s="4"/>
      <c r="I2295" s="18"/>
      <c r="J2295" s="91"/>
      <c r="K2295" s="18"/>
      <c r="L2295" s="18"/>
      <c r="M2295" s="18"/>
      <c r="N2295" s="18"/>
    </row>
    <row r="2296" ht="15.0" customHeight="1">
      <c r="A2296" s="18"/>
      <c r="B2296" s="18"/>
      <c r="C2296" s="18"/>
      <c r="D2296" s="18"/>
      <c r="E2296" s="18"/>
      <c r="F2296" s="18"/>
      <c r="G2296" s="4"/>
      <c r="H2296" s="4"/>
      <c r="I2296" s="18"/>
      <c r="J2296" s="91"/>
      <c r="K2296" s="18"/>
      <c r="L2296" s="18"/>
      <c r="M2296" s="18"/>
      <c r="N2296" s="18"/>
    </row>
    <row r="2297" ht="15.0" customHeight="1">
      <c r="A2297" s="18"/>
      <c r="B2297" s="18"/>
      <c r="C2297" s="18"/>
      <c r="D2297" s="18"/>
      <c r="E2297" s="18"/>
      <c r="F2297" s="18"/>
      <c r="G2297" s="4"/>
      <c r="H2297" s="4"/>
      <c r="I2297" s="18"/>
      <c r="J2297" s="91"/>
      <c r="K2297" s="18"/>
      <c r="L2297" s="18"/>
      <c r="M2297" s="18"/>
      <c r="N2297" s="18"/>
    </row>
    <row r="2298" ht="15.0" customHeight="1">
      <c r="A2298" s="18"/>
      <c r="B2298" s="18"/>
      <c r="C2298" s="18"/>
      <c r="D2298" s="18"/>
      <c r="E2298" s="18"/>
      <c r="F2298" s="18"/>
      <c r="G2298" s="4"/>
      <c r="H2298" s="4"/>
      <c r="I2298" s="18"/>
      <c r="J2298" s="91"/>
      <c r="K2298" s="18"/>
      <c r="L2298" s="18"/>
      <c r="M2298" s="18"/>
      <c r="N2298" s="18"/>
    </row>
    <row r="2299" ht="15.0" customHeight="1">
      <c r="A2299" s="18"/>
      <c r="B2299" s="18"/>
      <c r="C2299" s="18"/>
      <c r="D2299" s="18"/>
      <c r="E2299" s="18"/>
      <c r="F2299" s="18"/>
      <c r="G2299" s="4"/>
      <c r="H2299" s="4"/>
      <c r="I2299" s="18"/>
      <c r="J2299" s="91"/>
      <c r="K2299" s="18"/>
      <c r="L2299" s="18"/>
      <c r="M2299" s="18"/>
      <c r="N2299" s="18"/>
    </row>
    <row r="2300" ht="15.0" customHeight="1">
      <c r="A2300" s="18"/>
      <c r="B2300" s="18"/>
      <c r="C2300" s="18"/>
      <c r="D2300" s="18"/>
      <c r="E2300" s="18"/>
      <c r="F2300" s="18"/>
      <c r="G2300" s="4"/>
      <c r="H2300" s="4"/>
      <c r="I2300" s="18"/>
      <c r="J2300" s="91"/>
      <c r="K2300" s="18"/>
      <c r="L2300" s="18"/>
      <c r="M2300" s="18"/>
      <c r="N2300" s="18"/>
    </row>
    <row r="2301" ht="15.0" customHeight="1">
      <c r="A2301" s="18"/>
      <c r="B2301" s="18"/>
      <c r="C2301" s="18"/>
      <c r="D2301" s="18"/>
      <c r="E2301" s="18"/>
      <c r="F2301" s="18"/>
      <c r="G2301" s="4"/>
      <c r="H2301" s="4"/>
      <c r="I2301" s="18"/>
      <c r="J2301" s="91"/>
      <c r="K2301" s="18"/>
      <c r="L2301" s="18"/>
      <c r="M2301" s="18"/>
      <c r="N2301" s="18"/>
    </row>
    <row r="2302" ht="15.0" customHeight="1">
      <c r="A2302" s="18"/>
      <c r="B2302" s="18"/>
      <c r="C2302" s="18"/>
      <c r="D2302" s="18"/>
      <c r="E2302" s="18"/>
      <c r="F2302" s="18"/>
      <c r="G2302" s="4"/>
      <c r="H2302" s="4"/>
      <c r="I2302" s="18"/>
      <c r="J2302" s="91"/>
      <c r="K2302" s="18"/>
      <c r="L2302" s="18"/>
      <c r="M2302" s="18"/>
      <c r="N2302" s="18"/>
    </row>
    <row r="2303" ht="15.0" customHeight="1">
      <c r="A2303" s="18"/>
      <c r="B2303" s="18"/>
      <c r="C2303" s="18"/>
      <c r="D2303" s="18"/>
      <c r="E2303" s="18"/>
      <c r="F2303" s="18"/>
      <c r="G2303" s="4"/>
      <c r="H2303" s="4"/>
      <c r="I2303" s="18"/>
      <c r="J2303" s="91"/>
      <c r="K2303" s="18"/>
      <c r="L2303" s="18"/>
      <c r="M2303" s="18"/>
      <c r="N2303" s="18"/>
    </row>
    <row r="2304" ht="15.0" customHeight="1">
      <c r="A2304" s="18"/>
      <c r="B2304" s="18"/>
      <c r="C2304" s="18"/>
      <c r="D2304" s="18"/>
      <c r="E2304" s="18"/>
      <c r="F2304" s="18"/>
      <c r="G2304" s="4"/>
      <c r="H2304" s="4"/>
      <c r="I2304" s="18"/>
      <c r="J2304" s="91"/>
      <c r="K2304" s="18"/>
      <c r="L2304" s="18"/>
      <c r="M2304" s="18"/>
      <c r="N2304" s="18"/>
    </row>
    <row r="2305" ht="15.0" customHeight="1">
      <c r="A2305" s="18"/>
      <c r="B2305" s="18"/>
      <c r="C2305" s="18"/>
      <c r="D2305" s="18"/>
      <c r="E2305" s="18"/>
      <c r="F2305" s="18"/>
      <c r="G2305" s="4"/>
      <c r="H2305" s="4"/>
      <c r="I2305" s="18"/>
      <c r="J2305" s="91"/>
      <c r="K2305" s="18"/>
      <c r="L2305" s="18"/>
      <c r="M2305" s="18"/>
      <c r="N2305" s="18"/>
    </row>
    <row r="2306" ht="15.0" customHeight="1">
      <c r="A2306" s="18"/>
      <c r="B2306" s="18"/>
      <c r="C2306" s="18"/>
      <c r="D2306" s="18"/>
      <c r="E2306" s="18"/>
      <c r="F2306" s="18"/>
      <c r="G2306" s="4"/>
      <c r="H2306" s="4"/>
      <c r="I2306" s="18"/>
      <c r="J2306" s="91"/>
      <c r="K2306" s="18"/>
      <c r="L2306" s="18"/>
      <c r="M2306" s="18"/>
      <c r="N2306" s="18"/>
    </row>
    <row r="2307" ht="15.0" customHeight="1">
      <c r="A2307" s="18"/>
      <c r="B2307" s="18"/>
      <c r="C2307" s="18"/>
      <c r="D2307" s="18"/>
      <c r="E2307" s="18"/>
      <c r="F2307" s="18"/>
      <c r="G2307" s="4"/>
      <c r="H2307" s="4"/>
      <c r="I2307" s="18"/>
      <c r="J2307" s="91"/>
      <c r="K2307" s="18"/>
      <c r="L2307" s="18"/>
      <c r="M2307" s="18"/>
      <c r="N2307" s="18"/>
    </row>
    <row r="2308" ht="15.0" customHeight="1">
      <c r="A2308" s="18"/>
      <c r="B2308" s="18"/>
      <c r="C2308" s="18"/>
      <c r="D2308" s="18"/>
      <c r="E2308" s="18"/>
      <c r="F2308" s="18"/>
      <c r="G2308" s="4"/>
      <c r="H2308" s="4"/>
      <c r="I2308" s="18"/>
      <c r="J2308" s="91"/>
      <c r="K2308" s="18"/>
      <c r="L2308" s="18"/>
      <c r="M2308" s="18"/>
      <c r="N2308" s="18"/>
    </row>
    <row r="2309" ht="15.0" customHeight="1">
      <c r="A2309" s="18"/>
      <c r="B2309" s="18"/>
      <c r="C2309" s="18"/>
      <c r="D2309" s="18"/>
      <c r="E2309" s="18"/>
      <c r="F2309" s="18"/>
      <c r="G2309" s="4"/>
      <c r="H2309" s="4"/>
      <c r="I2309" s="18"/>
      <c r="J2309" s="91"/>
      <c r="K2309" s="18"/>
      <c r="L2309" s="18"/>
      <c r="M2309" s="18"/>
      <c r="N2309" s="18"/>
    </row>
    <row r="2310" ht="15.0" customHeight="1">
      <c r="A2310" s="18"/>
      <c r="B2310" s="18"/>
      <c r="C2310" s="18"/>
      <c r="D2310" s="18"/>
      <c r="E2310" s="18"/>
      <c r="F2310" s="18"/>
      <c r="G2310" s="4"/>
      <c r="H2310" s="4"/>
      <c r="I2310" s="18"/>
      <c r="J2310" s="91"/>
      <c r="K2310" s="18"/>
      <c r="L2310" s="18"/>
      <c r="M2310" s="18"/>
      <c r="N2310" s="18"/>
    </row>
    <row r="2311" ht="15.0" customHeight="1">
      <c r="A2311" s="18"/>
      <c r="B2311" s="18"/>
      <c r="C2311" s="18"/>
      <c r="D2311" s="18"/>
      <c r="E2311" s="18"/>
      <c r="F2311" s="18"/>
      <c r="G2311" s="4"/>
      <c r="H2311" s="4"/>
      <c r="I2311" s="18"/>
      <c r="J2311" s="91"/>
      <c r="K2311" s="18"/>
      <c r="L2311" s="18"/>
      <c r="M2311" s="18"/>
      <c r="N2311" s="18"/>
    </row>
    <row r="2312" ht="15.0" customHeight="1">
      <c r="A2312" s="18"/>
      <c r="B2312" s="18"/>
      <c r="C2312" s="18"/>
      <c r="D2312" s="18"/>
      <c r="E2312" s="18"/>
      <c r="F2312" s="18"/>
      <c r="G2312" s="4"/>
      <c r="H2312" s="4"/>
      <c r="I2312" s="18"/>
      <c r="J2312" s="91"/>
      <c r="K2312" s="18"/>
      <c r="L2312" s="18"/>
      <c r="M2312" s="18"/>
      <c r="N2312" s="18"/>
    </row>
    <row r="2313" ht="15.0" customHeight="1">
      <c r="A2313" s="18"/>
      <c r="B2313" s="18"/>
      <c r="C2313" s="18"/>
      <c r="D2313" s="18"/>
      <c r="E2313" s="18"/>
      <c r="F2313" s="18"/>
      <c r="G2313" s="4"/>
      <c r="H2313" s="4"/>
      <c r="I2313" s="18"/>
      <c r="J2313" s="91"/>
      <c r="K2313" s="18"/>
      <c r="L2313" s="18"/>
      <c r="M2313" s="18"/>
      <c r="N2313" s="18"/>
    </row>
    <row r="2314" ht="15.0" customHeight="1">
      <c r="A2314" s="18"/>
      <c r="B2314" s="18"/>
      <c r="C2314" s="18"/>
      <c r="D2314" s="18"/>
      <c r="E2314" s="18"/>
      <c r="F2314" s="18"/>
      <c r="G2314" s="4"/>
      <c r="H2314" s="4"/>
      <c r="I2314" s="18"/>
      <c r="J2314" s="91"/>
      <c r="K2314" s="18"/>
      <c r="L2314" s="18"/>
      <c r="M2314" s="18"/>
      <c r="N2314" s="18"/>
    </row>
    <row r="2315" ht="15.0" customHeight="1">
      <c r="A2315" s="18"/>
      <c r="B2315" s="18"/>
      <c r="C2315" s="18"/>
      <c r="D2315" s="18"/>
      <c r="E2315" s="18"/>
      <c r="F2315" s="18"/>
      <c r="G2315" s="4"/>
      <c r="H2315" s="4"/>
      <c r="I2315" s="18"/>
      <c r="J2315" s="91"/>
      <c r="K2315" s="18"/>
      <c r="L2315" s="18"/>
      <c r="M2315" s="18"/>
      <c r="N2315" s="18"/>
    </row>
    <row r="2316" ht="15.0" customHeight="1">
      <c r="A2316" s="18"/>
      <c r="B2316" s="18"/>
      <c r="C2316" s="18"/>
      <c r="D2316" s="18"/>
      <c r="E2316" s="18"/>
      <c r="F2316" s="18"/>
      <c r="G2316" s="4"/>
      <c r="H2316" s="4"/>
      <c r="I2316" s="18"/>
      <c r="J2316" s="91"/>
      <c r="K2316" s="18"/>
      <c r="L2316" s="18"/>
      <c r="M2316" s="18"/>
      <c r="N2316" s="18"/>
    </row>
    <row r="2317" ht="15.0" customHeight="1">
      <c r="A2317" s="18"/>
      <c r="B2317" s="18"/>
      <c r="C2317" s="18"/>
      <c r="D2317" s="18"/>
      <c r="E2317" s="18"/>
      <c r="F2317" s="18"/>
      <c r="G2317" s="4"/>
      <c r="H2317" s="4"/>
      <c r="I2317" s="18"/>
      <c r="J2317" s="91"/>
      <c r="K2317" s="18"/>
      <c r="L2317" s="18"/>
      <c r="M2317" s="18"/>
      <c r="N2317" s="18"/>
    </row>
    <row r="2318" ht="15.0" customHeight="1">
      <c r="A2318" s="18"/>
      <c r="B2318" s="18"/>
      <c r="C2318" s="18"/>
      <c r="D2318" s="18"/>
      <c r="E2318" s="18"/>
      <c r="F2318" s="18"/>
      <c r="G2318" s="4"/>
      <c r="H2318" s="4"/>
      <c r="I2318" s="18"/>
      <c r="J2318" s="91"/>
      <c r="K2318" s="18"/>
      <c r="L2318" s="18"/>
      <c r="M2318" s="18"/>
      <c r="N2318" s="18"/>
    </row>
    <row r="2319" ht="15.0" customHeight="1">
      <c r="A2319" s="18"/>
      <c r="B2319" s="18"/>
      <c r="C2319" s="18"/>
      <c r="D2319" s="18"/>
      <c r="E2319" s="18"/>
      <c r="F2319" s="18"/>
      <c r="G2319" s="4"/>
      <c r="H2319" s="4"/>
      <c r="I2319" s="18"/>
      <c r="J2319" s="91"/>
      <c r="K2319" s="18"/>
      <c r="L2319" s="18"/>
      <c r="M2319" s="18"/>
      <c r="N2319" s="18"/>
    </row>
    <row r="2320" ht="15.0" customHeight="1">
      <c r="A2320" s="18"/>
      <c r="B2320" s="18"/>
      <c r="C2320" s="18"/>
      <c r="D2320" s="18"/>
      <c r="E2320" s="18"/>
      <c r="F2320" s="18"/>
      <c r="G2320" s="4"/>
      <c r="H2320" s="4"/>
      <c r="I2320" s="18"/>
      <c r="J2320" s="91"/>
      <c r="K2320" s="18"/>
      <c r="L2320" s="18"/>
      <c r="M2320" s="18"/>
      <c r="N2320" s="18"/>
    </row>
    <row r="2321" ht="15.0" customHeight="1">
      <c r="A2321" s="18"/>
      <c r="B2321" s="18"/>
      <c r="C2321" s="18"/>
      <c r="D2321" s="18"/>
      <c r="E2321" s="18"/>
      <c r="F2321" s="18"/>
      <c r="G2321" s="4"/>
      <c r="H2321" s="4"/>
      <c r="I2321" s="18"/>
      <c r="J2321" s="91"/>
      <c r="K2321" s="18"/>
      <c r="L2321" s="18"/>
      <c r="M2321" s="18"/>
      <c r="N2321" s="18"/>
    </row>
    <row r="2322" ht="15.0" customHeight="1">
      <c r="A2322" s="18"/>
      <c r="B2322" s="18"/>
      <c r="C2322" s="18"/>
      <c r="D2322" s="18"/>
      <c r="E2322" s="18"/>
      <c r="F2322" s="18"/>
      <c r="G2322" s="4"/>
      <c r="H2322" s="4"/>
      <c r="I2322" s="18"/>
      <c r="J2322" s="91"/>
      <c r="K2322" s="18"/>
      <c r="L2322" s="18"/>
      <c r="M2322" s="18"/>
      <c r="N2322" s="18"/>
    </row>
    <row r="2323" ht="15.0" customHeight="1">
      <c r="A2323" s="18"/>
      <c r="B2323" s="18"/>
      <c r="C2323" s="18"/>
      <c r="D2323" s="18"/>
      <c r="E2323" s="18"/>
      <c r="F2323" s="18"/>
      <c r="G2323" s="4"/>
      <c r="H2323" s="4"/>
      <c r="I2323" s="18"/>
      <c r="J2323" s="91"/>
      <c r="K2323" s="18"/>
      <c r="L2323" s="18"/>
      <c r="M2323" s="18"/>
      <c r="N2323" s="18"/>
    </row>
    <row r="2324" ht="15.0" customHeight="1">
      <c r="A2324" s="18"/>
      <c r="B2324" s="18"/>
      <c r="C2324" s="18"/>
      <c r="D2324" s="18"/>
      <c r="E2324" s="18"/>
      <c r="F2324" s="18"/>
      <c r="G2324" s="4"/>
      <c r="H2324" s="4"/>
      <c r="I2324" s="18"/>
      <c r="J2324" s="91"/>
      <c r="K2324" s="18"/>
      <c r="L2324" s="18"/>
      <c r="M2324" s="18"/>
      <c r="N2324" s="18"/>
    </row>
    <row r="2325" ht="15.0" customHeight="1">
      <c r="A2325" s="18"/>
      <c r="B2325" s="18"/>
      <c r="C2325" s="18"/>
      <c r="D2325" s="18"/>
      <c r="E2325" s="18"/>
      <c r="F2325" s="18"/>
      <c r="G2325" s="4"/>
      <c r="H2325" s="4"/>
      <c r="I2325" s="18"/>
      <c r="J2325" s="91"/>
      <c r="K2325" s="18"/>
      <c r="L2325" s="18"/>
      <c r="M2325" s="18"/>
      <c r="N2325" s="18"/>
    </row>
    <row r="2326" ht="15.0" customHeight="1">
      <c r="A2326" s="18"/>
      <c r="B2326" s="18"/>
      <c r="C2326" s="18"/>
      <c r="D2326" s="18"/>
      <c r="E2326" s="18"/>
      <c r="F2326" s="18"/>
      <c r="G2326" s="4"/>
      <c r="H2326" s="4"/>
      <c r="I2326" s="18"/>
      <c r="J2326" s="91"/>
      <c r="K2326" s="18"/>
      <c r="L2326" s="18"/>
      <c r="M2326" s="18"/>
      <c r="N2326" s="18"/>
    </row>
    <row r="2327" ht="15.0" customHeight="1">
      <c r="A2327" s="18"/>
      <c r="B2327" s="18"/>
      <c r="C2327" s="18"/>
      <c r="D2327" s="18"/>
      <c r="E2327" s="18"/>
      <c r="F2327" s="18"/>
      <c r="G2327" s="4"/>
      <c r="H2327" s="4"/>
      <c r="I2327" s="18"/>
      <c r="J2327" s="91"/>
      <c r="K2327" s="18"/>
      <c r="L2327" s="18"/>
      <c r="M2327" s="18"/>
      <c r="N2327" s="18"/>
    </row>
    <row r="2328" ht="15.0" customHeight="1">
      <c r="A2328" s="18"/>
      <c r="B2328" s="18"/>
      <c r="C2328" s="18"/>
      <c r="D2328" s="18"/>
      <c r="E2328" s="18"/>
      <c r="F2328" s="18"/>
      <c r="G2328" s="4"/>
      <c r="H2328" s="4"/>
      <c r="I2328" s="18"/>
      <c r="J2328" s="91"/>
      <c r="K2328" s="18"/>
      <c r="L2328" s="18"/>
      <c r="M2328" s="18"/>
      <c r="N2328" s="18"/>
    </row>
    <row r="2329" ht="15.0" customHeight="1">
      <c r="A2329" s="18"/>
      <c r="B2329" s="18"/>
      <c r="C2329" s="18"/>
      <c r="D2329" s="18"/>
      <c r="E2329" s="18"/>
      <c r="F2329" s="18"/>
      <c r="G2329" s="4"/>
      <c r="H2329" s="4"/>
      <c r="I2329" s="18"/>
      <c r="J2329" s="91"/>
      <c r="K2329" s="18"/>
      <c r="L2329" s="18"/>
      <c r="M2329" s="18"/>
      <c r="N2329" s="18"/>
    </row>
    <row r="2330" ht="15.0" customHeight="1">
      <c r="A2330" s="18"/>
      <c r="B2330" s="18"/>
      <c r="C2330" s="18"/>
      <c r="D2330" s="18"/>
      <c r="E2330" s="18"/>
      <c r="F2330" s="18"/>
      <c r="G2330" s="4"/>
      <c r="H2330" s="4"/>
      <c r="I2330" s="18"/>
      <c r="J2330" s="91"/>
      <c r="K2330" s="18"/>
      <c r="L2330" s="18"/>
      <c r="M2330" s="18"/>
      <c r="N2330" s="18"/>
    </row>
    <row r="2331" ht="15.0" customHeight="1">
      <c r="A2331" s="18"/>
      <c r="B2331" s="18"/>
      <c r="C2331" s="18"/>
      <c r="D2331" s="18"/>
      <c r="E2331" s="18"/>
      <c r="F2331" s="18"/>
      <c r="G2331" s="4"/>
      <c r="H2331" s="4"/>
      <c r="I2331" s="18"/>
      <c r="J2331" s="91"/>
      <c r="K2331" s="18"/>
      <c r="L2331" s="18"/>
      <c r="M2331" s="18"/>
      <c r="N2331" s="18"/>
    </row>
    <row r="2332" ht="15.0" customHeight="1">
      <c r="A2332" s="18"/>
      <c r="B2332" s="18"/>
      <c r="C2332" s="18"/>
      <c r="D2332" s="18"/>
      <c r="E2332" s="18"/>
      <c r="F2332" s="18"/>
      <c r="G2332" s="4"/>
      <c r="H2332" s="4"/>
      <c r="I2332" s="18"/>
      <c r="J2332" s="91"/>
      <c r="K2332" s="18"/>
      <c r="L2332" s="18"/>
      <c r="M2332" s="18"/>
      <c r="N2332" s="18"/>
    </row>
    <row r="2333" ht="15.0" customHeight="1">
      <c r="A2333" s="18"/>
      <c r="B2333" s="18"/>
      <c r="C2333" s="18"/>
      <c r="D2333" s="18"/>
      <c r="E2333" s="18"/>
      <c r="F2333" s="18"/>
      <c r="G2333" s="4"/>
      <c r="H2333" s="4"/>
      <c r="I2333" s="18"/>
      <c r="J2333" s="91"/>
      <c r="K2333" s="18"/>
      <c r="L2333" s="18"/>
      <c r="M2333" s="18"/>
      <c r="N2333" s="18"/>
    </row>
    <row r="2334" ht="15.0" customHeight="1">
      <c r="A2334" s="18"/>
      <c r="B2334" s="18"/>
      <c r="C2334" s="18"/>
      <c r="D2334" s="18"/>
      <c r="E2334" s="18"/>
      <c r="F2334" s="18"/>
      <c r="G2334" s="4"/>
      <c r="H2334" s="4"/>
      <c r="I2334" s="18"/>
      <c r="J2334" s="91"/>
      <c r="K2334" s="18"/>
      <c r="L2334" s="18"/>
      <c r="M2334" s="18"/>
      <c r="N2334" s="18"/>
    </row>
    <row r="2335" ht="15.0" customHeight="1">
      <c r="A2335" s="18"/>
      <c r="B2335" s="18"/>
      <c r="C2335" s="18"/>
      <c r="D2335" s="18"/>
      <c r="E2335" s="18"/>
      <c r="F2335" s="18"/>
      <c r="G2335" s="4"/>
      <c r="H2335" s="4"/>
      <c r="I2335" s="18"/>
      <c r="J2335" s="91"/>
      <c r="K2335" s="18"/>
      <c r="L2335" s="18"/>
      <c r="M2335" s="18"/>
      <c r="N2335" s="18"/>
    </row>
    <row r="2336" ht="15.0" customHeight="1">
      <c r="A2336" s="18"/>
      <c r="B2336" s="18"/>
      <c r="C2336" s="18"/>
      <c r="D2336" s="18"/>
      <c r="E2336" s="18"/>
      <c r="F2336" s="18"/>
      <c r="G2336" s="4"/>
      <c r="H2336" s="4"/>
      <c r="I2336" s="18"/>
      <c r="J2336" s="91"/>
      <c r="K2336" s="18"/>
      <c r="L2336" s="18"/>
      <c r="M2336" s="18"/>
      <c r="N2336" s="18"/>
    </row>
    <row r="2337" ht="15.0" customHeight="1">
      <c r="A2337" s="18"/>
      <c r="B2337" s="18"/>
      <c r="C2337" s="18"/>
      <c r="D2337" s="18"/>
      <c r="E2337" s="18"/>
      <c r="F2337" s="18"/>
      <c r="G2337" s="4"/>
      <c r="H2337" s="4"/>
      <c r="I2337" s="18"/>
      <c r="J2337" s="91"/>
      <c r="K2337" s="18"/>
      <c r="L2337" s="18"/>
      <c r="M2337" s="18"/>
      <c r="N2337" s="18"/>
    </row>
    <row r="2338" ht="15.0" customHeight="1">
      <c r="A2338" s="18"/>
      <c r="B2338" s="18"/>
      <c r="C2338" s="18"/>
      <c r="D2338" s="18"/>
      <c r="E2338" s="18"/>
      <c r="F2338" s="18"/>
      <c r="G2338" s="4"/>
      <c r="H2338" s="4"/>
      <c r="I2338" s="18"/>
      <c r="J2338" s="91"/>
      <c r="K2338" s="18"/>
      <c r="L2338" s="18"/>
      <c r="M2338" s="18"/>
      <c r="N2338" s="18"/>
    </row>
    <row r="2339" ht="15.0" customHeight="1">
      <c r="A2339" s="18"/>
      <c r="B2339" s="18"/>
      <c r="C2339" s="18"/>
      <c r="D2339" s="18"/>
      <c r="E2339" s="18"/>
      <c r="F2339" s="18"/>
      <c r="G2339" s="4"/>
      <c r="H2339" s="4"/>
      <c r="I2339" s="18"/>
      <c r="J2339" s="91"/>
      <c r="K2339" s="18"/>
      <c r="L2339" s="18"/>
      <c r="M2339" s="18"/>
      <c r="N2339" s="18"/>
    </row>
    <row r="2340" ht="15.0" customHeight="1">
      <c r="A2340" s="18"/>
      <c r="B2340" s="18"/>
      <c r="C2340" s="18"/>
      <c r="D2340" s="18"/>
      <c r="E2340" s="18"/>
      <c r="F2340" s="18"/>
      <c r="G2340" s="4"/>
      <c r="H2340" s="4"/>
      <c r="I2340" s="18"/>
      <c r="J2340" s="91"/>
      <c r="K2340" s="18"/>
      <c r="L2340" s="18"/>
      <c r="M2340" s="18"/>
      <c r="N2340" s="18"/>
    </row>
    <row r="2341" ht="15.0" customHeight="1">
      <c r="A2341" s="18"/>
      <c r="B2341" s="18"/>
      <c r="C2341" s="18"/>
      <c r="D2341" s="18"/>
      <c r="E2341" s="18"/>
      <c r="F2341" s="18"/>
      <c r="G2341" s="4"/>
      <c r="H2341" s="4"/>
      <c r="I2341" s="18"/>
      <c r="J2341" s="91"/>
      <c r="K2341" s="18"/>
      <c r="L2341" s="18"/>
      <c r="M2341" s="18"/>
      <c r="N2341" s="18"/>
    </row>
    <row r="2342" ht="15.0" customHeight="1">
      <c r="A2342" s="18"/>
      <c r="B2342" s="18"/>
      <c r="C2342" s="18"/>
      <c r="D2342" s="18"/>
      <c r="E2342" s="18"/>
      <c r="F2342" s="18"/>
      <c r="G2342" s="4"/>
      <c r="H2342" s="4"/>
      <c r="I2342" s="18"/>
      <c r="J2342" s="91"/>
      <c r="K2342" s="18"/>
      <c r="L2342" s="18"/>
      <c r="M2342" s="18"/>
      <c r="N2342" s="18"/>
    </row>
    <row r="2343" ht="15.0" customHeight="1">
      <c r="A2343" s="18"/>
      <c r="B2343" s="18"/>
      <c r="C2343" s="18"/>
      <c r="D2343" s="18"/>
      <c r="E2343" s="18"/>
      <c r="F2343" s="18"/>
      <c r="G2343" s="4"/>
      <c r="H2343" s="4"/>
      <c r="I2343" s="18"/>
      <c r="J2343" s="91"/>
      <c r="K2343" s="18"/>
      <c r="L2343" s="18"/>
      <c r="M2343" s="18"/>
      <c r="N2343" s="18"/>
    </row>
    <row r="2344" ht="15.0" customHeight="1">
      <c r="A2344" s="18"/>
      <c r="B2344" s="18"/>
      <c r="C2344" s="18"/>
      <c r="D2344" s="18"/>
      <c r="E2344" s="18"/>
      <c r="F2344" s="18"/>
      <c r="G2344" s="4"/>
      <c r="H2344" s="4"/>
      <c r="I2344" s="18"/>
      <c r="J2344" s="91"/>
      <c r="K2344" s="18"/>
      <c r="L2344" s="18"/>
      <c r="M2344" s="18"/>
      <c r="N2344" s="18"/>
    </row>
    <row r="2345" ht="15.0" customHeight="1">
      <c r="A2345" s="18"/>
      <c r="B2345" s="18"/>
      <c r="C2345" s="18"/>
      <c r="D2345" s="18"/>
      <c r="E2345" s="18"/>
      <c r="F2345" s="18"/>
      <c r="G2345" s="4"/>
      <c r="H2345" s="4"/>
      <c r="I2345" s="18"/>
      <c r="J2345" s="91"/>
      <c r="K2345" s="18"/>
      <c r="L2345" s="18"/>
      <c r="M2345" s="18"/>
      <c r="N2345" s="18"/>
    </row>
    <row r="2346" ht="15.0" customHeight="1">
      <c r="A2346" s="18"/>
      <c r="B2346" s="18"/>
      <c r="C2346" s="18"/>
      <c r="D2346" s="18"/>
      <c r="E2346" s="18"/>
      <c r="F2346" s="18"/>
      <c r="G2346" s="4"/>
      <c r="H2346" s="4"/>
      <c r="I2346" s="18"/>
      <c r="J2346" s="91"/>
      <c r="K2346" s="18"/>
      <c r="L2346" s="18"/>
      <c r="M2346" s="18"/>
      <c r="N2346" s="18"/>
    </row>
    <row r="2347" ht="15.0" customHeight="1">
      <c r="A2347" s="18"/>
      <c r="B2347" s="18"/>
      <c r="C2347" s="18"/>
      <c r="D2347" s="18"/>
      <c r="E2347" s="18"/>
      <c r="F2347" s="18"/>
      <c r="G2347" s="4"/>
      <c r="H2347" s="4"/>
      <c r="I2347" s="18"/>
      <c r="J2347" s="91"/>
      <c r="K2347" s="18"/>
      <c r="L2347" s="18"/>
      <c r="M2347" s="18"/>
      <c r="N2347" s="18"/>
    </row>
    <row r="2348" ht="15.0" customHeight="1">
      <c r="A2348" s="18"/>
      <c r="B2348" s="18"/>
      <c r="C2348" s="18"/>
      <c r="D2348" s="18"/>
      <c r="E2348" s="18"/>
      <c r="F2348" s="18"/>
      <c r="G2348" s="4"/>
      <c r="H2348" s="4"/>
      <c r="I2348" s="18"/>
      <c r="J2348" s="91"/>
      <c r="K2348" s="18"/>
      <c r="L2348" s="18"/>
      <c r="M2348" s="18"/>
      <c r="N2348" s="18"/>
    </row>
    <row r="2349" ht="15.0" customHeight="1">
      <c r="A2349" s="18"/>
      <c r="B2349" s="18"/>
      <c r="C2349" s="18"/>
      <c r="D2349" s="18"/>
      <c r="E2349" s="18"/>
      <c r="F2349" s="18"/>
      <c r="G2349" s="4"/>
      <c r="H2349" s="4"/>
      <c r="I2349" s="18"/>
      <c r="J2349" s="91"/>
      <c r="K2349" s="18"/>
      <c r="L2349" s="18"/>
      <c r="M2349" s="18"/>
      <c r="N2349" s="18"/>
    </row>
    <row r="2350" ht="15.0" customHeight="1">
      <c r="A2350" s="18"/>
      <c r="B2350" s="18"/>
      <c r="C2350" s="18"/>
      <c r="D2350" s="18"/>
      <c r="E2350" s="18"/>
      <c r="F2350" s="18"/>
      <c r="G2350" s="4"/>
      <c r="H2350" s="4"/>
      <c r="I2350" s="18"/>
      <c r="J2350" s="91"/>
      <c r="K2350" s="18"/>
      <c r="L2350" s="18"/>
      <c r="M2350" s="18"/>
      <c r="N2350" s="18"/>
    </row>
    <row r="2351" ht="15.0" customHeight="1">
      <c r="A2351" s="18"/>
      <c r="B2351" s="18"/>
      <c r="C2351" s="18"/>
      <c r="D2351" s="18"/>
      <c r="E2351" s="18"/>
      <c r="F2351" s="18"/>
      <c r="G2351" s="4"/>
      <c r="H2351" s="4"/>
      <c r="I2351" s="18"/>
      <c r="J2351" s="91"/>
      <c r="K2351" s="18"/>
      <c r="L2351" s="18"/>
      <c r="M2351" s="18"/>
      <c r="N2351" s="18"/>
    </row>
    <row r="2352" ht="15.0" customHeight="1">
      <c r="A2352" s="18"/>
      <c r="B2352" s="18"/>
      <c r="C2352" s="18"/>
      <c r="D2352" s="18"/>
      <c r="E2352" s="18"/>
      <c r="F2352" s="18"/>
      <c r="G2352" s="4"/>
      <c r="H2352" s="4"/>
      <c r="I2352" s="18"/>
      <c r="J2352" s="91"/>
      <c r="K2352" s="18"/>
      <c r="L2352" s="18"/>
      <c r="M2352" s="18"/>
      <c r="N2352" s="18"/>
    </row>
    <row r="2353" ht="15.0" customHeight="1">
      <c r="A2353" s="18"/>
      <c r="B2353" s="18"/>
      <c r="C2353" s="18"/>
      <c r="D2353" s="18"/>
      <c r="E2353" s="18"/>
      <c r="F2353" s="18"/>
      <c r="G2353" s="4"/>
      <c r="H2353" s="4"/>
      <c r="I2353" s="18"/>
      <c r="J2353" s="91"/>
      <c r="K2353" s="18"/>
      <c r="L2353" s="18"/>
      <c r="M2353" s="18"/>
      <c r="N2353" s="18"/>
    </row>
    <row r="2354" ht="15.0" customHeight="1">
      <c r="A2354" s="18"/>
      <c r="B2354" s="18"/>
      <c r="C2354" s="18"/>
      <c r="D2354" s="18"/>
      <c r="E2354" s="18"/>
      <c r="F2354" s="18"/>
      <c r="G2354" s="4"/>
      <c r="H2354" s="4"/>
      <c r="I2354" s="18"/>
      <c r="J2354" s="91"/>
      <c r="K2354" s="18"/>
      <c r="L2354" s="18"/>
      <c r="M2354" s="18"/>
      <c r="N2354" s="18"/>
    </row>
    <row r="2355" ht="15.0" customHeight="1">
      <c r="A2355" s="18"/>
      <c r="B2355" s="18"/>
      <c r="C2355" s="18"/>
      <c r="D2355" s="18"/>
      <c r="E2355" s="18"/>
      <c r="F2355" s="18"/>
      <c r="G2355" s="4"/>
      <c r="H2355" s="4"/>
      <c r="I2355" s="18"/>
      <c r="J2355" s="91"/>
      <c r="K2355" s="18"/>
      <c r="L2355" s="18"/>
      <c r="M2355" s="18"/>
      <c r="N2355" s="18"/>
    </row>
    <row r="2356" ht="15.0" customHeight="1">
      <c r="A2356" s="18"/>
      <c r="B2356" s="18"/>
      <c r="C2356" s="18"/>
      <c r="D2356" s="18"/>
      <c r="E2356" s="18"/>
      <c r="F2356" s="18"/>
      <c r="G2356" s="4"/>
      <c r="H2356" s="4"/>
      <c r="I2356" s="18"/>
      <c r="J2356" s="91"/>
      <c r="K2356" s="18"/>
      <c r="L2356" s="18"/>
      <c r="M2356" s="18"/>
      <c r="N2356" s="18"/>
    </row>
    <row r="2357" ht="15.0" customHeight="1">
      <c r="A2357" s="18"/>
      <c r="B2357" s="18"/>
      <c r="C2357" s="18"/>
      <c r="D2357" s="18"/>
      <c r="E2357" s="18"/>
      <c r="F2357" s="18"/>
      <c r="G2357" s="4"/>
      <c r="H2357" s="4"/>
      <c r="I2357" s="18"/>
      <c r="J2357" s="91"/>
      <c r="K2357" s="18"/>
      <c r="L2357" s="18"/>
      <c r="M2357" s="18"/>
      <c r="N2357" s="18"/>
    </row>
    <row r="2358" ht="15.0" customHeight="1">
      <c r="A2358" s="18"/>
      <c r="B2358" s="18"/>
      <c r="C2358" s="18"/>
      <c r="D2358" s="18"/>
      <c r="E2358" s="18"/>
      <c r="F2358" s="18"/>
      <c r="G2358" s="4"/>
      <c r="H2358" s="4"/>
      <c r="I2358" s="18"/>
      <c r="J2358" s="91"/>
      <c r="K2358" s="18"/>
      <c r="L2358" s="18"/>
      <c r="M2358" s="18"/>
      <c r="N2358" s="18"/>
    </row>
    <row r="2359" ht="15.0" customHeight="1">
      <c r="A2359" s="18"/>
      <c r="B2359" s="18"/>
      <c r="C2359" s="18"/>
      <c r="D2359" s="18"/>
      <c r="E2359" s="18"/>
      <c r="F2359" s="18"/>
      <c r="G2359" s="4"/>
      <c r="H2359" s="4"/>
      <c r="I2359" s="18"/>
      <c r="J2359" s="91"/>
      <c r="K2359" s="18"/>
      <c r="L2359" s="18"/>
      <c r="M2359" s="18"/>
      <c r="N2359" s="18"/>
    </row>
    <row r="2360" ht="15.0" customHeight="1">
      <c r="A2360" s="18"/>
      <c r="B2360" s="18"/>
      <c r="C2360" s="18"/>
      <c r="D2360" s="18"/>
      <c r="E2360" s="18"/>
      <c r="F2360" s="18"/>
      <c r="G2360" s="4"/>
      <c r="H2360" s="4"/>
      <c r="I2360" s="18"/>
      <c r="J2360" s="91"/>
      <c r="K2360" s="18"/>
      <c r="L2360" s="18"/>
      <c r="M2360" s="18"/>
      <c r="N2360" s="18"/>
    </row>
    <row r="2361" ht="15.0" customHeight="1">
      <c r="A2361" s="18"/>
      <c r="B2361" s="18"/>
      <c r="C2361" s="18"/>
      <c r="D2361" s="18"/>
      <c r="E2361" s="18"/>
      <c r="F2361" s="18"/>
      <c r="G2361" s="4"/>
      <c r="H2361" s="4"/>
      <c r="I2361" s="18"/>
      <c r="J2361" s="91"/>
      <c r="K2361" s="18"/>
      <c r="L2361" s="18"/>
      <c r="M2361" s="18"/>
      <c r="N2361" s="18"/>
    </row>
    <row r="2362" ht="15.0" customHeight="1">
      <c r="A2362" s="18"/>
      <c r="B2362" s="18"/>
      <c r="C2362" s="18"/>
      <c r="D2362" s="18"/>
      <c r="E2362" s="18"/>
      <c r="F2362" s="18"/>
      <c r="G2362" s="4"/>
      <c r="H2362" s="4"/>
      <c r="I2362" s="18"/>
      <c r="J2362" s="91"/>
      <c r="K2362" s="18"/>
      <c r="L2362" s="18"/>
      <c r="M2362" s="18"/>
      <c r="N2362" s="18"/>
    </row>
    <row r="2363" ht="15.0" customHeight="1">
      <c r="A2363" s="18"/>
      <c r="B2363" s="18"/>
      <c r="C2363" s="18"/>
      <c r="D2363" s="18"/>
      <c r="E2363" s="18"/>
      <c r="F2363" s="18"/>
      <c r="G2363" s="4"/>
      <c r="H2363" s="4"/>
      <c r="I2363" s="18"/>
      <c r="J2363" s="91"/>
      <c r="K2363" s="18"/>
      <c r="L2363" s="18"/>
      <c r="M2363" s="18"/>
      <c r="N2363" s="18"/>
    </row>
    <row r="2364" ht="15.0" customHeight="1">
      <c r="A2364" s="18"/>
      <c r="B2364" s="18"/>
      <c r="C2364" s="18"/>
      <c r="D2364" s="18"/>
      <c r="E2364" s="18"/>
      <c r="F2364" s="18"/>
      <c r="G2364" s="4"/>
      <c r="H2364" s="4"/>
      <c r="I2364" s="18"/>
      <c r="J2364" s="91"/>
      <c r="K2364" s="18"/>
      <c r="L2364" s="18"/>
      <c r="M2364" s="18"/>
      <c r="N2364" s="18"/>
    </row>
    <row r="2365" ht="15.0" customHeight="1">
      <c r="A2365" s="18"/>
      <c r="B2365" s="18"/>
      <c r="C2365" s="18"/>
      <c r="D2365" s="18"/>
      <c r="E2365" s="18"/>
      <c r="F2365" s="18"/>
      <c r="G2365" s="4"/>
      <c r="H2365" s="4"/>
      <c r="I2365" s="18"/>
      <c r="J2365" s="91"/>
      <c r="K2365" s="18"/>
      <c r="L2365" s="18"/>
      <c r="M2365" s="18"/>
      <c r="N2365" s="18"/>
    </row>
    <row r="2366" ht="15.0" customHeight="1">
      <c r="A2366" s="18"/>
      <c r="B2366" s="18"/>
      <c r="C2366" s="18"/>
      <c r="D2366" s="18"/>
      <c r="E2366" s="18"/>
      <c r="F2366" s="18"/>
      <c r="G2366" s="4"/>
      <c r="H2366" s="4"/>
      <c r="I2366" s="18"/>
      <c r="J2366" s="91"/>
      <c r="K2366" s="18"/>
      <c r="L2366" s="18"/>
      <c r="M2366" s="18"/>
      <c r="N2366" s="18"/>
    </row>
    <row r="2367" ht="15.0" customHeight="1">
      <c r="A2367" s="18"/>
      <c r="B2367" s="18"/>
      <c r="C2367" s="18"/>
      <c r="D2367" s="18"/>
      <c r="E2367" s="18"/>
      <c r="F2367" s="18"/>
      <c r="G2367" s="4"/>
      <c r="H2367" s="4"/>
      <c r="I2367" s="18"/>
      <c r="J2367" s="91"/>
      <c r="K2367" s="18"/>
      <c r="L2367" s="18"/>
      <c r="M2367" s="18"/>
      <c r="N2367" s="18"/>
    </row>
    <row r="2368" ht="15.0" customHeight="1">
      <c r="A2368" s="18"/>
      <c r="B2368" s="18"/>
      <c r="C2368" s="18"/>
      <c r="D2368" s="18"/>
      <c r="E2368" s="18"/>
      <c r="F2368" s="18"/>
      <c r="G2368" s="4"/>
      <c r="H2368" s="4"/>
      <c r="I2368" s="18"/>
      <c r="J2368" s="91"/>
      <c r="K2368" s="18"/>
      <c r="L2368" s="18"/>
      <c r="M2368" s="18"/>
      <c r="N2368" s="18"/>
    </row>
    <row r="2369" ht="15.0" customHeight="1">
      <c r="A2369" s="18"/>
      <c r="B2369" s="18"/>
      <c r="C2369" s="18"/>
      <c r="D2369" s="18"/>
      <c r="E2369" s="18"/>
      <c r="F2369" s="18"/>
      <c r="G2369" s="4"/>
      <c r="H2369" s="4"/>
      <c r="I2369" s="18"/>
      <c r="J2369" s="91"/>
      <c r="K2369" s="18"/>
      <c r="L2369" s="18"/>
      <c r="M2369" s="18"/>
      <c r="N2369" s="18"/>
    </row>
    <row r="2370" ht="15.0" customHeight="1">
      <c r="A2370" s="18"/>
      <c r="B2370" s="18"/>
      <c r="C2370" s="18"/>
      <c r="D2370" s="18"/>
      <c r="E2370" s="18"/>
      <c r="F2370" s="18"/>
      <c r="G2370" s="4"/>
      <c r="H2370" s="4"/>
      <c r="I2370" s="18"/>
      <c r="J2370" s="91"/>
      <c r="K2370" s="18"/>
      <c r="L2370" s="18"/>
      <c r="M2370" s="18"/>
      <c r="N2370" s="18"/>
    </row>
    <row r="2371" ht="15.0" customHeight="1">
      <c r="A2371" s="18"/>
      <c r="B2371" s="18"/>
      <c r="C2371" s="18"/>
      <c r="D2371" s="18"/>
      <c r="E2371" s="18"/>
      <c r="F2371" s="18"/>
      <c r="G2371" s="4"/>
      <c r="H2371" s="4"/>
      <c r="I2371" s="18"/>
      <c r="J2371" s="91"/>
      <c r="K2371" s="18"/>
      <c r="L2371" s="18"/>
      <c r="M2371" s="18"/>
      <c r="N2371" s="18"/>
    </row>
    <row r="2372" ht="15.0" customHeight="1">
      <c r="A2372" s="18"/>
      <c r="B2372" s="18"/>
      <c r="C2372" s="18"/>
      <c r="D2372" s="18"/>
      <c r="E2372" s="18"/>
      <c r="F2372" s="18"/>
      <c r="G2372" s="4"/>
      <c r="H2372" s="4"/>
      <c r="I2372" s="18"/>
      <c r="J2372" s="91"/>
      <c r="K2372" s="18"/>
      <c r="L2372" s="18"/>
      <c r="M2372" s="18"/>
      <c r="N2372" s="18"/>
    </row>
    <row r="2373" ht="15.0" customHeight="1">
      <c r="A2373" s="18"/>
      <c r="B2373" s="18"/>
      <c r="C2373" s="18"/>
      <c r="D2373" s="18"/>
      <c r="E2373" s="18"/>
      <c r="F2373" s="18"/>
      <c r="G2373" s="4"/>
      <c r="H2373" s="4"/>
      <c r="I2373" s="18"/>
      <c r="J2373" s="91"/>
      <c r="K2373" s="18"/>
      <c r="L2373" s="18"/>
      <c r="M2373" s="18"/>
      <c r="N2373" s="18"/>
    </row>
    <row r="2374" ht="15.0" customHeight="1">
      <c r="A2374" s="18"/>
      <c r="B2374" s="18"/>
      <c r="C2374" s="18"/>
      <c r="D2374" s="18"/>
      <c r="E2374" s="18"/>
      <c r="F2374" s="18"/>
      <c r="G2374" s="4"/>
      <c r="H2374" s="4"/>
      <c r="I2374" s="18"/>
      <c r="J2374" s="91"/>
      <c r="K2374" s="18"/>
      <c r="L2374" s="18"/>
      <c r="M2374" s="18"/>
      <c r="N2374" s="18"/>
    </row>
    <row r="2375" ht="15.0" customHeight="1">
      <c r="A2375" s="18"/>
      <c r="B2375" s="18"/>
      <c r="C2375" s="18"/>
      <c r="D2375" s="18"/>
      <c r="E2375" s="18"/>
      <c r="F2375" s="18"/>
      <c r="G2375" s="4"/>
      <c r="H2375" s="4"/>
      <c r="I2375" s="18"/>
      <c r="J2375" s="91"/>
      <c r="K2375" s="18"/>
      <c r="L2375" s="18"/>
      <c r="M2375" s="18"/>
      <c r="N2375" s="18"/>
    </row>
    <row r="2376" ht="15.0" customHeight="1">
      <c r="A2376" s="18"/>
      <c r="B2376" s="18"/>
      <c r="C2376" s="18"/>
      <c r="D2376" s="18"/>
      <c r="E2376" s="18"/>
      <c r="F2376" s="18"/>
      <c r="G2376" s="4"/>
      <c r="H2376" s="4"/>
      <c r="I2376" s="18"/>
      <c r="J2376" s="91"/>
      <c r="K2376" s="18"/>
      <c r="L2376" s="18"/>
      <c r="M2376" s="18"/>
      <c r="N2376" s="18"/>
    </row>
    <row r="2377" ht="15.0" customHeight="1">
      <c r="A2377" s="18"/>
      <c r="B2377" s="18"/>
      <c r="C2377" s="18"/>
      <c r="D2377" s="18"/>
      <c r="E2377" s="18"/>
      <c r="F2377" s="18"/>
      <c r="G2377" s="4"/>
      <c r="H2377" s="4"/>
      <c r="I2377" s="18"/>
      <c r="J2377" s="91"/>
      <c r="K2377" s="18"/>
      <c r="L2377" s="18"/>
      <c r="M2377" s="18"/>
      <c r="N2377" s="18"/>
    </row>
    <row r="2378" ht="15.0" customHeight="1">
      <c r="A2378" s="18"/>
      <c r="B2378" s="18"/>
      <c r="C2378" s="18"/>
      <c r="D2378" s="18"/>
      <c r="E2378" s="18"/>
      <c r="F2378" s="18"/>
      <c r="G2378" s="4"/>
      <c r="H2378" s="4"/>
      <c r="I2378" s="18"/>
      <c r="J2378" s="91"/>
      <c r="K2378" s="18"/>
      <c r="L2378" s="18"/>
      <c r="M2378" s="18"/>
      <c r="N2378" s="18"/>
    </row>
    <row r="2379" ht="15.0" customHeight="1">
      <c r="A2379" s="18"/>
      <c r="B2379" s="18"/>
      <c r="C2379" s="18"/>
      <c r="D2379" s="18"/>
      <c r="E2379" s="18"/>
      <c r="F2379" s="18"/>
      <c r="G2379" s="4"/>
      <c r="H2379" s="4"/>
      <c r="I2379" s="18"/>
      <c r="J2379" s="91"/>
      <c r="K2379" s="18"/>
      <c r="L2379" s="18"/>
      <c r="M2379" s="18"/>
      <c r="N2379" s="18"/>
    </row>
    <row r="2380" ht="15.0" customHeight="1">
      <c r="A2380" s="18"/>
      <c r="B2380" s="18"/>
      <c r="C2380" s="18"/>
      <c r="D2380" s="18"/>
      <c r="E2380" s="18"/>
      <c r="F2380" s="18"/>
      <c r="G2380" s="4"/>
      <c r="H2380" s="4"/>
      <c r="I2380" s="18"/>
      <c r="J2380" s="91"/>
      <c r="K2380" s="18"/>
      <c r="L2380" s="18"/>
      <c r="M2380" s="18"/>
      <c r="N2380" s="18"/>
    </row>
    <row r="2381" ht="15.0" customHeight="1">
      <c r="A2381" s="18"/>
      <c r="B2381" s="18"/>
      <c r="C2381" s="18"/>
      <c r="D2381" s="18"/>
      <c r="E2381" s="18"/>
      <c r="F2381" s="18"/>
      <c r="G2381" s="4"/>
      <c r="H2381" s="4"/>
      <c r="I2381" s="18"/>
      <c r="J2381" s="91"/>
      <c r="K2381" s="18"/>
      <c r="L2381" s="18"/>
      <c r="M2381" s="18"/>
      <c r="N2381" s="18"/>
    </row>
    <row r="2382" ht="15.0" customHeight="1">
      <c r="A2382" s="18"/>
      <c r="B2382" s="18"/>
      <c r="C2382" s="18"/>
      <c r="D2382" s="18"/>
      <c r="E2382" s="18"/>
      <c r="F2382" s="18"/>
      <c r="G2382" s="4"/>
      <c r="H2382" s="4"/>
      <c r="I2382" s="18"/>
      <c r="J2382" s="91"/>
      <c r="K2382" s="18"/>
      <c r="L2382" s="18"/>
      <c r="M2382" s="18"/>
      <c r="N2382" s="18"/>
    </row>
    <row r="2383" ht="15.0" customHeight="1">
      <c r="A2383" s="18"/>
      <c r="B2383" s="18"/>
      <c r="C2383" s="18"/>
      <c r="D2383" s="18"/>
      <c r="E2383" s="18"/>
      <c r="F2383" s="18"/>
      <c r="G2383" s="4"/>
      <c r="H2383" s="4"/>
      <c r="I2383" s="18"/>
      <c r="J2383" s="91"/>
      <c r="K2383" s="18"/>
      <c r="L2383" s="18"/>
      <c r="M2383" s="18"/>
      <c r="N2383" s="18"/>
    </row>
    <row r="2384" ht="15.0" customHeight="1">
      <c r="A2384" s="18"/>
      <c r="B2384" s="18"/>
      <c r="C2384" s="18"/>
      <c r="D2384" s="18"/>
      <c r="E2384" s="18"/>
      <c r="F2384" s="18"/>
      <c r="G2384" s="4"/>
      <c r="H2384" s="4"/>
      <c r="I2384" s="18"/>
      <c r="J2384" s="91"/>
      <c r="K2384" s="18"/>
      <c r="L2384" s="18"/>
      <c r="M2384" s="18"/>
      <c r="N2384" s="18"/>
    </row>
    <row r="2385" ht="15.0" customHeight="1">
      <c r="A2385" s="18"/>
      <c r="B2385" s="18"/>
      <c r="C2385" s="18"/>
      <c r="D2385" s="18"/>
      <c r="E2385" s="18"/>
      <c r="F2385" s="18"/>
      <c r="G2385" s="4"/>
      <c r="H2385" s="4"/>
      <c r="I2385" s="18"/>
      <c r="J2385" s="91"/>
      <c r="K2385" s="18"/>
      <c r="L2385" s="18"/>
      <c r="M2385" s="18"/>
      <c r="N2385" s="18"/>
    </row>
    <row r="2386" ht="15.0" customHeight="1">
      <c r="A2386" s="18"/>
      <c r="B2386" s="18"/>
      <c r="C2386" s="18"/>
      <c r="D2386" s="18"/>
      <c r="E2386" s="18"/>
      <c r="F2386" s="18"/>
      <c r="G2386" s="4"/>
      <c r="H2386" s="4"/>
      <c r="I2386" s="18"/>
      <c r="J2386" s="91"/>
      <c r="K2386" s="18"/>
      <c r="L2386" s="18"/>
      <c r="M2386" s="18"/>
      <c r="N2386" s="18"/>
    </row>
    <row r="2387" ht="15.0" customHeight="1">
      <c r="A2387" s="18"/>
      <c r="B2387" s="18"/>
      <c r="C2387" s="18"/>
      <c r="D2387" s="18"/>
      <c r="E2387" s="18"/>
      <c r="F2387" s="18"/>
      <c r="G2387" s="4"/>
      <c r="H2387" s="4"/>
      <c r="I2387" s="18"/>
      <c r="J2387" s="91"/>
      <c r="K2387" s="18"/>
      <c r="L2387" s="18"/>
      <c r="M2387" s="18"/>
      <c r="N2387" s="18"/>
    </row>
    <row r="2388" ht="15.0" customHeight="1">
      <c r="A2388" s="18"/>
      <c r="B2388" s="18"/>
      <c r="C2388" s="18"/>
      <c r="D2388" s="18"/>
      <c r="E2388" s="18"/>
      <c r="F2388" s="18"/>
      <c r="G2388" s="4"/>
      <c r="H2388" s="4"/>
      <c r="I2388" s="18"/>
      <c r="J2388" s="91"/>
      <c r="K2388" s="18"/>
      <c r="L2388" s="18"/>
      <c r="M2388" s="18"/>
      <c r="N2388" s="18"/>
    </row>
    <row r="2389" ht="15.0" customHeight="1">
      <c r="A2389" s="18"/>
      <c r="B2389" s="18"/>
      <c r="C2389" s="18"/>
      <c r="D2389" s="18"/>
      <c r="E2389" s="18"/>
      <c r="F2389" s="18"/>
      <c r="G2389" s="4"/>
      <c r="H2389" s="4"/>
      <c r="I2389" s="18"/>
      <c r="J2389" s="91"/>
      <c r="K2389" s="18"/>
      <c r="L2389" s="18"/>
      <c r="M2389" s="18"/>
      <c r="N2389" s="18"/>
    </row>
    <row r="2390" ht="15.0" customHeight="1">
      <c r="A2390" s="18"/>
      <c r="B2390" s="18"/>
      <c r="C2390" s="18"/>
      <c r="D2390" s="18"/>
      <c r="E2390" s="18"/>
      <c r="F2390" s="18"/>
      <c r="G2390" s="4"/>
      <c r="H2390" s="4"/>
      <c r="I2390" s="18"/>
      <c r="J2390" s="91"/>
      <c r="K2390" s="18"/>
      <c r="L2390" s="18"/>
      <c r="M2390" s="18"/>
      <c r="N2390" s="18"/>
    </row>
    <row r="2391" ht="15.0" customHeight="1">
      <c r="A2391" s="18"/>
      <c r="B2391" s="18"/>
      <c r="C2391" s="18"/>
      <c r="D2391" s="18"/>
      <c r="E2391" s="18"/>
      <c r="F2391" s="18"/>
      <c r="G2391" s="4"/>
      <c r="H2391" s="4"/>
      <c r="I2391" s="18"/>
      <c r="J2391" s="91"/>
      <c r="K2391" s="18"/>
      <c r="L2391" s="18"/>
      <c r="M2391" s="18"/>
      <c r="N2391" s="18"/>
    </row>
    <row r="2392" ht="15.0" customHeight="1">
      <c r="A2392" s="18"/>
      <c r="B2392" s="18"/>
      <c r="C2392" s="18"/>
      <c r="D2392" s="18"/>
      <c r="E2392" s="18"/>
      <c r="F2392" s="18"/>
      <c r="G2392" s="4"/>
      <c r="H2392" s="4"/>
      <c r="I2392" s="18"/>
      <c r="J2392" s="91"/>
      <c r="K2392" s="18"/>
      <c r="L2392" s="18"/>
      <c r="M2392" s="18"/>
      <c r="N2392" s="18"/>
    </row>
    <row r="2393" ht="15.0" customHeight="1">
      <c r="A2393" s="18"/>
      <c r="B2393" s="18"/>
      <c r="C2393" s="18"/>
      <c r="D2393" s="18"/>
      <c r="E2393" s="18"/>
      <c r="F2393" s="18"/>
      <c r="G2393" s="4"/>
      <c r="H2393" s="4"/>
      <c r="I2393" s="18"/>
      <c r="J2393" s="91"/>
      <c r="K2393" s="18"/>
      <c r="L2393" s="18"/>
      <c r="M2393" s="18"/>
      <c r="N2393" s="18"/>
    </row>
    <row r="2394" ht="15.0" customHeight="1">
      <c r="A2394" s="18"/>
      <c r="B2394" s="18"/>
      <c r="C2394" s="18"/>
      <c r="D2394" s="18"/>
      <c r="E2394" s="18"/>
      <c r="F2394" s="18"/>
      <c r="G2394" s="4"/>
      <c r="H2394" s="4"/>
      <c r="I2394" s="18"/>
      <c r="J2394" s="91"/>
      <c r="K2394" s="18"/>
      <c r="L2394" s="18"/>
      <c r="M2394" s="18"/>
      <c r="N2394" s="18"/>
    </row>
    <row r="2395" ht="15.0" customHeight="1">
      <c r="A2395" s="18"/>
      <c r="B2395" s="18"/>
      <c r="C2395" s="18"/>
      <c r="D2395" s="18"/>
      <c r="E2395" s="18"/>
      <c r="F2395" s="18"/>
      <c r="G2395" s="4"/>
      <c r="H2395" s="4"/>
      <c r="I2395" s="18"/>
      <c r="J2395" s="91"/>
      <c r="K2395" s="18"/>
      <c r="L2395" s="18"/>
      <c r="M2395" s="18"/>
      <c r="N2395" s="18"/>
    </row>
    <row r="2396" ht="15.0" customHeight="1">
      <c r="A2396" s="18"/>
      <c r="B2396" s="18"/>
      <c r="C2396" s="18"/>
      <c r="D2396" s="18"/>
      <c r="E2396" s="18"/>
      <c r="F2396" s="18"/>
      <c r="G2396" s="4"/>
      <c r="H2396" s="4"/>
      <c r="I2396" s="18"/>
      <c r="J2396" s="91"/>
      <c r="K2396" s="18"/>
      <c r="L2396" s="18"/>
      <c r="M2396" s="18"/>
      <c r="N2396" s="18"/>
    </row>
    <row r="2397" ht="15.0" customHeight="1">
      <c r="A2397" s="18"/>
      <c r="B2397" s="18"/>
      <c r="C2397" s="18"/>
      <c r="D2397" s="18"/>
      <c r="E2397" s="18"/>
      <c r="F2397" s="18"/>
      <c r="G2397" s="4"/>
      <c r="H2397" s="4"/>
      <c r="I2397" s="18"/>
      <c r="J2397" s="91"/>
      <c r="K2397" s="18"/>
      <c r="L2397" s="18"/>
      <c r="M2397" s="18"/>
      <c r="N2397" s="18"/>
    </row>
    <row r="2398" ht="15.0" customHeight="1">
      <c r="A2398" s="18"/>
      <c r="B2398" s="18"/>
      <c r="C2398" s="18"/>
      <c r="D2398" s="18"/>
      <c r="E2398" s="18"/>
      <c r="F2398" s="18"/>
      <c r="G2398" s="4"/>
      <c r="H2398" s="4"/>
      <c r="I2398" s="18"/>
      <c r="J2398" s="91"/>
      <c r="K2398" s="18"/>
      <c r="L2398" s="18"/>
      <c r="M2398" s="18"/>
      <c r="N2398" s="18"/>
    </row>
    <row r="2399" ht="15.0" customHeight="1">
      <c r="A2399" s="18"/>
      <c r="B2399" s="18"/>
      <c r="C2399" s="18"/>
      <c r="D2399" s="18"/>
      <c r="E2399" s="18"/>
      <c r="F2399" s="18"/>
      <c r="G2399" s="4"/>
      <c r="H2399" s="4"/>
      <c r="I2399" s="18"/>
      <c r="J2399" s="91"/>
      <c r="K2399" s="18"/>
      <c r="L2399" s="18"/>
      <c r="M2399" s="18"/>
      <c r="N2399" s="18"/>
    </row>
    <row r="2400" ht="15.0" customHeight="1">
      <c r="A2400" s="18"/>
      <c r="B2400" s="18"/>
      <c r="C2400" s="18"/>
      <c r="D2400" s="18"/>
      <c r="E2400" s="18"/>
      <c r="F2400" s="18"/>
      <c r="G2400" s="4"/>
      <c r="H2400" s="4"/>
      <c r="I2400" s="18"/>
      <c r="J2400" s="91"/>
      <c r="K2400" s="18"/>
      <c r="L2400" s="18"/>
      <c r="M2400" s="18"/>
      <c r="N2400" s="18"/>
    </row>
    <row r="2401" ht="15.0" customHeight="1">
      <c r="A2401" s="18"/>
      <c r="B2401" s="18"/>
      <c r="C2401" s="18"/>
      <c r="D2401" s="18"/>
      <c r="E2401" s="18"/>
      <c r="F2401" s="18"/>
      <c r="G2401" s="4"/>
      <c r="H2401" s="4"/>
      <c r="I2401" s="18"/>
      <c r="J2401" s="91"/>
      <c r="K2401" s="18"/>
      <c r="L2401" s="18"/>
      <c r="M2401" s="18"/>
      <c r="N2401" s="18"/>
    </row>
    <row r="2402" ht="15.0" customHeight="1">
      <c r="A2402" s="18"/>
      <c r="B2402" s="18"/>
      <c r="C2402" s="18"/>
      <c r="D2402" s="18"/>
      <c r="E2402" s="18"/>
      <c r="F2402" s="18"/>
      <c r="G2402" s="4"/>
      <c r="H2402" s="4"/>
      <c r="I2402" s="18"/>
      <c r="J2402" s="91"/>
      <c r="K2402" s="18"/>
      <c r="L2402" s="18"/>
      <c r="M2402" s="18"/>
      <c r="N2402" s="18"/>
    </row>
    <row r="2403" ht="15.0" customHeight="1">
      <c r="A2403" s="18"/>
      <c r="B2403" s="18"/>
      <c r="C2403" s="18"/>
      <c r="D2403" s="18"/>
      <c r="E2403" s="18"/>
      <c r="F2403" s="18"/>
      <c r="G2403" s="4"/>
      <c r="H2403" s="4"/>
      <c r="I2403" s="18"/>
      <c r="J2403" s="91"/>
      <c r="K2403" s="18"/>
      <c r="L2403" s="18"/>
      <c r="M2403" s="18"/>
      <c r="N2403" s="18"/>
    </row>
    <row r="2404" ht="15.0" customHeight="1">
      <c r="A2404" s="18"/>
      <c r="B2404" s="18"/>
      <c r="C2404" s="18"/>
      <c r="D2404" s="18"/>
      <c r="E2404" s="18"/>
      <c r="F2404" s="18"/>
      <c r="G2404" s="4"/>
      <c r="H2404" s="4"/>
      <c r="I2404" s="18"/>
      <c r="J2404" s="91"/>
      <c r="K2404" s="18"/>
      <c r="L2404" s="18"/>
      <c r="M2404" s="18"/>
      <c r="N2404" s="18"/>
    </row>
    <row r="2405" ht="15.0" customHeight="1">
      <c r="A2405" s="18"/>
      <c r="B2405" s="18"/>
      <c r="C2405" s="18"/>
      <c r="D2405" s="18"/>
      <c r="E2405" s="18"/>
      <c r="F2405" s="18"/>
      <c r="G2405" s="4"/>
      <c r="H2405" s="4"/>
      <c r="I2405" s="18"/>
      <c r="J2405" s="91"/>
      <c r="K2405" s="18"/>
      <c r="L2405" s="18"/>
      <c r="M2405" s="18"/>
      <c r="N2405" s="18"/>
    </row>
    <row r="2406" ht="15.0" customHeight="1">
      <c r="A2406" s="18"/>
      <c r="B2406" s="18"/>
      <c r="C2406" s="18"/>
      <c r="D2406" s="18"/>
      <c r="E2406" s="18"/>
      <c r="F2406" s="18"/>
      <c r="G2406" s="4"/>
      <c r="H2406" s="4"/>
      <c r="I2406" s="18"/>
      <c r="J2406" s="91"/>
      <c r="K2406" s="18"/>
      <c r="L2406" s="18"/>
      <c r="M2406" s="18"/>
      <c r="N2406" s="18"/>
    </row>
    <row r="2407" ht="15.0" customHeight="1">
      <c r="A2407" s="18"/>
      <c r="B2407" s="18"/>
      <c r="C2407" s="18"/>
      <c r="D2407" s="18"/>
      <c r="E2407" s="18"/>
      <c r="F2407" s="18"/>
      <c r="G2407" s="4"/>
      <c r="H2407" s="4"/>
      <c r="I2407" s="18"/>
      <c r="J2407" s="91"/>
      <c r="K2407" s="18"/>
      <c r="L2407" s="18"/>
      <c r="M2407" s="18"/>
      <c r="N2407" s="18"/>
    </row>
    <row r="2408" ht="15.0" customHeight="1">
      <c r="A2408" s="18"/>
      <c r="B2408" s="18"/>
      <c r="C2408" s="18"/>
      <c r="D2408" s="18"/>
      <c r="E2408" s="18"/>
      <c r="F2408" s="18"/>
      <c r="G2408" s="4"/>
      <c r="H2408" s="4"/>
      <c r="I2408" s="18"/>
      <c r="J2408" s="91"/>
      <c r="K2408" s="18"/>
      <c r="L2408" s="18"/>
      <c r="M2408" s="18"/>
      <c r="N2408" s="18"/>
    </row>
    <row r="2409" ht="15.0" customHeight="1">
      <c r="A2409" s="18"/>
      <c r="B2409" s="18"/>
      <c r="C2409" s="18"/>
      <c r="D2409" s="18"/>
      <c r="E2409" s="18"/>
      <c r="F2409" s="18"/>
      <c r="G2409" s="4"/>
      <c r="H2409" s="4"/>
      <c r="I2409" s="18"/>
      <c r="J2409" s="91"/>
      <c r="K2409" s="18"/>
      <c r="L2409" s="18"/>
      <c r="M2409" s="18"/>
      <c r="N2409" s="18"/>
    </row>
    <row r="2410" ht="15.0" customHeight="1">
      <c r="A2410" s="18"/>
      <c r="B2410" s="18"/>
      <c r="C2410" s="18"/>
      <c r="D2410" s="18"/>
      <c r="E2410" s="18"/>
      <c r="F2410" s="18"/>
      <c r="G2410" s="4"/>
      <c r="H2410" s="4"/>
      <c r="I2410" s="18"/>
      <c r="J2410" s="91"/>
      <c r="K2410" s="18"/>
      <c r="L2410" s="18"/>
      <c r="M2410" s="18"/>
      <c r="N2410" s="18"/>
    </row>
    <row r="2411" ht="15.0" customHeight="1">
      <c r="A2411" s="18"/>
      <c r="B2411" s="18"/>
      <c r="C2411" s="18"/>
      <c r="D2411" s="18"/>
      <c r="E2411" s="18"/>
      <c r="F2411" s="18"/>
      <c r="G2411" s="4"/>
      <c r="H2411" s="4"/>
      <c r="I2411" s="18"/>
      <c r="J2411" s="91"/>
      <c r="K2411" s="18"/>
      <c r="L2411" s="18"/>
      <c r="M2411" s="18"/>
      <c r="N2411" s="18"/>
    </row>
    <row r="2412" ht="15.0" customHeight="1">
      <c r="A2412" s="18"/>
      <c r="B2412" s="18"/>
      <c r="C2412" s="18"/>
      <c r="D2412" s="18"/>
      <c r="E2412" s="18"/>
      <c r="F2412" s="18"/>
      <c r="G2412" s="4"/>
      <c r="H2412" s="4"/>
      <c r="I2412" s="18"/>
      <c r="J2412" s="91"/>
      <c r="K2412" s="18"/>
      <c r="L2412" s="18"/>
      <c r="M2412" s="18"/>
      <c r="N2412" s="18"/>
    </row>
    <row r="2413" ht="15.0" customHeight="1">
      <c r="A2413" s="18"/>
      <c r="B2413" s="18"/>
      <c r="C2413" s="18"/>
      <c r="D2413" s="18"/>
      <c r="E2413" s="18"/>
      <c r="F2413" s="18"/>
      <c r="G2413" s="4"/>
      <c r="H2413" s="4"/>
      <c r="I2413" s="18"/>
      <c r="J2413" s="91"/>
      <c r="K2413" s="18"/>
      <c r="L2413" s="18"/>
      <c r="M2413" s="18"/>
      <c r="N2413" s="18"/>
    </row>
    <row r="2414" ht="15.0" customHeight="1">
      <c r="A2414" s="18"/>
      <c r="B2414" s="18"/>
      <c r="C2414" s="18"/>
      <c r="D2414" s="18"/>
      <c r="E2414" s="18"/>
      <c r="F2414" s="18"/>
      <c r="G2414" s="4"/>
      <c r="H2414" s="4"/>
      <c r="I2414" s="18"/>
      <c r="J2414" s="91"/>
      <c r="K2414" s="18"/>
      <c r="L2414" s="18"/>
      <c r="M2414" s="18"/>
      <c r="N2414" s="18"/>
    </row>
    <row r="2415" ht="15.0" customHeight="1">
      <c r="A2415" s="18"/>
      <c r="B2415" s="18"/>
      <c r="C2415" s="18"/>
      <c r="D2415" s="18"/>
      <c r="E2415" s="18"/>
      <c r="F2415" s="18"/>
      <c r="G2415" s="4"/>
      <c r="H2415" s="4"/>
      <c r="I2415" s="18"/>
      <c r="J2415" s="91"/>
      <c r="K2415" s="18"/>
      <c r="L2415" s="18"/>
      <c r="M2415" s="18"/>
      <c r="N2415" s="18"/>
    </row>
    <row r="2416" ht="15.0" customHeight="1">
      <c r="A2416" s="18"/>
      <c r="B2416" s="18"/>
      <c r="C2416" s="18"/>
      <c r="D2416" s="18"/>
      <c r="E2416" s="18"/>
      <c r="F2416" s="18"/>
      <c r="G2416" s="4"/>
      <c r="H2416" s="4"/>
      <c r="I2416" s="18"/>
      <c r="J2416" s="91"/>
      <c r="K2416" s="18"/>
      <c r="L2416" s="18"/>
      <c r="M2416" s="18"/>
      <c r="N2416" s="18"/>
    </row>
    <row r="2417" ht="15.0" customHeight="1">
      <c r="A2417" s="18"/>
      <c r="B2417" s="18"/>
      <c r="C2417" s="18"/>
      <c r="D2417" s="18"/>
      <c r="E2417" s="18"/>
      <c r="F2417" s="18"/>
      <c r="G2417" s="4"/>
      <c r="H2417" s="4"/>
      <c r="I2417" s="18"/>
      <c r="J2417" s="91"/>
      <c r="K2417" s="18"/>
      <c r="L2417" s="18"/>
      <c r="M2417" s="18"/>
      <c r="N2417" s="18"/>
    </row>
    <row r="2418" ht="15.0" customHeight="1">
      <c r="A2418" s="18"/>
      <c r="B2418" s="18"/>
      <c r="C2418" s="18"/>
      <c r="D2418" s="18"/>
      <c r="E2418" s="18"/>
      <c r="F2418" s="18"/>
      <c r="G2418" s="4"/>
      <c r="H2418" s="4"/>
      <c r="I2418" s="18"/>
      <c r="J2418" s="91"/>
      <c r="K2418" s="18"/>
      <c r="L2418" s="18"/>
      <c r="M2418" s="18"/>
      <c r="N2418" s="18"/>
    </row>
    <row r="2419" ht="15.0" customHeight="1">
      <c r="A2419" s="18"/>
      <c r="B2419" s="18"/>
      <c r="C2419" s="18"/>
      <c r="D2419" s="18"/>
      <c r="E2419" s="18"/>
      <c r="F2419" s="18"/>
      <c r="G2419" s="4"/>
      <c r="H2419" s="4"/>
      <c r="I2419" s="18"/>
      <c r="J2419" s="91"/>
      <c r="K2419" s="18"/>
      <c r="L2419" s="18"/>
      <c r="M2419" s="18"/>
      <c r="N2419" s="18"/>
    </row>
    <row r="2420" ht="15.0" customHeight="1">
      <c r="A2420" s="18"/>
      <c r="B2420" s="18"/>
      <c r="C2420" s="18"/>
      <c r="D2420" s="18"/>
      <c r="E2420" s="18"/>
      <c r="F2420" s="18"/>
      <c r="G2420" s="4"/>
      <c r="H2420" s="4"/>
      <c r="I2420" s="18"/>
      <c r="J2420" s="91"/>
      <c r="K2420" s="18"/>
      <c r="L2420" s="18"/>
      <c r="M2420" s="18"/>
      <c r="N2420" s="18"/>
    </row>
    <row r="2421" ht="15.0" customHeight="1">
      <c r="A2421" s="18"/>
      <c r="B2421" s="18"/>
      <c r="C2421" s="18"/>
      <c r="D2421" s="18"/>
      <c r="E2421" s="18"/>
      <c r="F2421" s="18"/>
      <c r="G2421" s="4"/>
      <c r="H2421" s="4"/>
      <c r="I2421" s="18"/>
      <c r="J2421" s="91"/>
      <c r="K2421" s="18"/>
      <c r="L2421" s="18"/>
      <c r="M2421" s="18"/>
      <c r="N2421" s="18"/>
    </row>
    <row r="2422" ht="15.0" customHeight="1">
      <c r="A2422" s="18"/>
      <c r="B2422" s="18"/>
      <c r="C2422" s="18"/>
      <c r="D2422" s="18"/>
      <c r="E2422" s="18"/>
      <c r="F2422" s="18"/>
      <c r="G2422" s="4"/>
      <c r="H2422" s="4"/>
      <c r="I2422" s="18"/>
      <c r="J2422" s="91"/>
      <c r="K2422" s="18"/>
      <c r="L2422" s="18"/>
      <c r="M2422" s="18"/>
      <c r="N2422" s="18"/>
    </row>
    <row r="2423" ht="15.0" customHeight="1">
      <c r="A2423" s="18"/>
      <c r="B2423" s="18"/>
      <c r="C2423" s="18"/>
      <c r="D2423" s="18"/>
      <c r="E2423" s="18"/>
      <c r="F2423" s="18"/>
      <c r="G2423" s="4"/>
      <c r="H2423" s="4"/>
      <c r="I2423" s="18"/>
      <c r="J2423" s="91"/>
      <c r="K2423" s="18"/>
      <c r="L2423" s="18"/>
      <c r="M2423" s="18"/>
      <c r="N2423" s="18"/>
    </row>
    <row r="2424" ht="15.0" customHeight="1">
      <c r="A2424" s="18"/>
      <c r="B2424" s="18"/>
      <c r="C2424" s="18"/>
      <c r="D2424" s="18"/>
      <c r="E2424" s="18"/>
      <c r="F2424" s="18"/>
      <c r="G2424" s="4"/>
      <c r="H2424" s="4"/>
      <c r="I2424" s="18"/>
      <c r="J2424" s="91"/>
      <c r="K2424" s="18"/>
      <c r="L2424" s="18"/>
      <c r="M2424" s="18"/>
      <c r="N2424" s="18"/>
    </row>
    <row r="2425" ht="15.0" customHeight="1">
      <c r="A2425" s="18"/>
      <c r="B2425" s="18"/>
      <c r="C2425" s="18"/>
      <c r="D2425" s="18"/>
      <c r="E2425" s="18"/>
      <c r="F2425" s="18"/>
      <c r="G2425" s="4"/>
      <c r="H2425" s="4"/>
      <c r="I2425" s="18"/>
      <c r="J2425" s="91"/>
      <c r="K2425" s="18"/>
      <c r="L2425" s="18"/>
      <c r="M2425" s="18"/>
      <c r="N2425" s="18"/>
    </row>
    <row r="2426" ht="15.0" customHeight="1">
      <c r="A2426" s="18"/>
      <c r="B2426" s="18"/>
      <c r="C2426" s="18"/>
      <c r="D2426" s="18"/>
      <c r="E2426" s="18"/>
      <c r="F2426" s="18"/>
      <c r="G2426" s="4"/>
      <c r="H2426" s="4"/>
      <c r="I2426" s="18"/>
      <c r="J2426" s="91"/>
      <c r="K2426" s="18"/>
      <c r="L2426" s="18"/>
      <c r="M2426" s="18"/>
      <c r="N2426" s="18"/>
    </row>
    <row r="2427" ht="15.0" customHeight="1">
      <c r="A2427" s="18"/>
      <c r="B2427" s="18"/>
      <c r="C2427" s="18"/>
      <c r="D2427" s="18"/>
      <c r="E2427" s="18"/>
      <c r="F2427" s="18"/>
      <c r="G2427" s="4"/>
      <c r="H2427" s="4"/>
      <c r="I2427" s="18"/>
      <c r="J2427" s="91"/>
      <c r="K2427" s="18"/>
      <c r="L2427" s="18"/>
      <c r="M2427" s="18"/>
      <c r="N2427" s="18"/>
    </row>
    <row r="2428" ht="15.0" customHeight="1">
      <c r="A2428" s="18"/>
      <c r="B2428" s="18"/>
      <c r="C2428" s="18"/>
      <c r="D2428" s="18"/>
      <c r="E2428" s="18"/>
      <c r="F2428" s="18"/>
      <c r="G2428" s="4"/>
      <c r="H2428" s="4"/>
      <c r="I2428" s="18"/>
      <c r="J2428" s="91"/>
      <c r="K2428" s="18"/>
      <c r="L2428" s="18"/>
      <c r="M2428" s="18"/>
      <c r="N2428" s="18"/>
    </row>
    <row r="2429" ht="15.0" customHeight="1">
      <c r="A2429" s="18"/>
      <c r="B2429" s="18"/>
      <c r="C2429" s="18"/>
      <c r="D2429" s="18"/>
      <c r="E2429" s="18"/>
      <c r="F2429" s="18"/>
      <c r="G2429" s="4"/>
      <c r="H2429" s="4"/>
      <c r="I2429" s="18"/>
      <c r="J2429" s="91"/>
      <c r="K2429" s="18"/>
      <c r="L2429" s="18"/>
      <c r="M2429" s="18"/>
      <c r="N2429" s="18"/>
    </row>
    <row r="2430" ht="15.0" customHeight="1">
      <c r="A2430" s="18"/>
      <c r="B2430" s="18"/>
      <c r="C2430" s="18"/>
      <c r="D2430" s="18"/>
      <c r="E2430" s="18"/>
      <c r="F2430" s="18"/>
      <c r="G2430" s="4"/>
      <c r="H2430" s="4"/>
      <c r="I2430" s="18"/>
      <c r="J2430" s="91"/>
      <c r="K2430" s="18"/>
      <c r="L2430" s="18"/>
      <c r="M2430" s="18"/>
      <c r="N2430" s="18"/>
    </row>
    <row r="2431" ht="15.0" customHeight="1">
      <c r="A2431" s="18"/>
      <c r="B2431" s="18"/>
      <c r="C2431" s="18"/>
      <c r="D2431" s="18"/>
      <c r="E2431" s="18"/>
      <c r="F2431" s="18"/>
      <c r="G2431" s="4"/>
      <c r="H2431" s="4"/>
      <c r="I2431" s="18"/>
      <c r="J2431" s="91"/>
      <c r="K2431" s="18"/>
      <c r="L2431" s="18"/>
      <c r="M2431" s="18"/>
      <c r="N2431" s="18"/>
    </row>
    <row r="2432" ht="15.0" customHeight="1">
      <c r="A2432" s="18"/>
      <c r="B2432" s="18"/>
      <c r="C2432" s="18"/>
      <c r="D2432" s="18"/>
      <c r="E2432" s="18"/>
      <c r="F2432" s="18"/>
      <c r="G2432" s="4"/>
      <c r="H2432" s="4"/>
      <c r="I2432" s="18"/>
      <c r="J2432" s="91"/>
      <c r="K2432" s="18"/>
      <c r="L2432" s="18"/>
      <c r="M2432" s="18"/>
      <c r="N2432" s="18"/>
    </row>
    <row r="2433" ht="15.0" customHeight="1">
      <c r="A2433" s="18"/>
      <c r="B2433" s="18"/>
      <c r="C2433" s="18"/>
      <c r="D2433" s="18"/>
      <c r="E2433" s="18"/>
      <c r="F2433" s="18"/>
      <c r="G2433" s="4"/>
      <c r="H2433" s="4"/>
      <c r="I2433" s="18"/>
      <c r="J2433" s="91"/>
      <c r="K2433" s="18"/>
      <c r="L2433" s="18"/>
      <c r="M2433" s="18"/>
      <c r="N2433" s="18"/>
    </row>
    <row r="2434" ht="15.0" customHeight="1">
      <c r="A2434" s="18"/>
      <c r="B2434" s="18"/>
      <c r="C2434" s="18"/>
      <c r="D2434" s="18"/>
      <c r="E2434" s="18"/>
      <c r="F2434" s="18"/>
      <c r="G2434" s="4"/>
      <c r="H2434" s="4"/>
      <c r="I2434" s="18"/>
      <c r="J2434" s="91"/>
      <c r="K2434" s="18"/>
      <c r="L2434" s="18"/>
      <c r="M2434" s="18"/>
      <c r="N2434" s="18"/>
    </row>
    <row r="2435" ht="15.0" customHeight="1">
      <c r="A2435" s="18"/>
      <c r="B2435" s="18"/>
      <c r="C2435" s="18"/>
      <c r="D2435" s="18"/>
      <c r="E2435" s="18"/>
      <c r="F2435" s="18"/>
      <c r="G2435" s="4"/>
      <c r="H2435" s="4"/>
      <c r="I2435" s="18"/>
      <c r="J2435" s="91"/>
      <c r="K2435" s="18"/>
      <c r="L2435" s="18"/>
      <c r="M2435" s="18"/>
      <c r="N2435" s="18"/>
    </row>
    <row r="2436" ht="15.0" customHeight="1">
      <c r="A2436" s="18"/>
      <c r="B2436" s="18"/>
      <c r="C2436" s="18"/>
      <c r="D2436" s="18"/>
      <c r="E2436" s="18"/>
      <c r="F2436" s="18"/>
      <c r="G2436" s="4"/>
      <c r="H2436" s="4"/>
      <c r="I2436" s="18"/>
      <c r="J2436" s="91"/>
      <c r="K2436" s="18"/>
      <c r="L2436" s="18"/>
      <c r="M2436" s="18"/>
      <c r="N2436" s="18"/>
    </row>
    <row r="2437" ht="15.0" customHeight="1">
      <c r="A2437" s="18"/>
      <c r="B2437" s="18"/>
      <c r="C2437" s="18"/>
      <c r="D2437" s="18"/>
      <c r="E2437" s="18"/>
      <c r="F2437" s="18"/>
      <c r="G2437" s="4"/>
      <c r="H2437" s="4"/>
      <c r="I2437" s="18"/>
      <c r="J2437" s="91"/>
      <c r="K2437" s="18"/>
      <c r="L2437" s="18"/>
      <c r="M2437" s="18"/>
      <c r="N2437" s="18"/>
    </row>
    <row r="2438" ht="15.0" customHeight="1">
      <c r="A2438" s="18"/>
      <c r="B2438" s="18"/>
      <c r="C2438" s="18"/>
      <c r="D2438" s="18"/>
      <c r="E2438" s="18"/>
      <c r="F2438" s="18"/>
      <c r="G2438" s="4"/>
      <c r="H2438" s="4"/>
      <c r="I2438" s="18"/>
      <c r="J2438" s="91"/>
      <c r="K2438" s="18"/>
      <c r="L2438" s="18"/>
      <c r="M2438" s="18"/>
      <c r="N2438" s="18"/>
    </row>
    <row r="2439" ht="15.0" customHeight="1">
      <c r="A2439" s="18"/>
      <c r="B2439" s="18"/>
      <c r="C2439" s="18"/>
      <c r="D2439" s="18"/>
      <c r="E2439" s="18"/>
      <c r="F2439" s="18"/>
      <c r="G2439" s="4"/>
      <c r="H2439" s="4"/>
      <c r="I2439" s="18"/>
      <c r="J2439" s="91"/>
      <c r="K2439" s="18"/>
      <c r="L2439" s="18"/>
      <c r="M2439" s="18"/>
      <c r="N2439" s="18"/>
    </row>
    <row r="2440" ht="15.0" customHeight="1">
      <c r="A2440" s="18"/>
      <c r="B2440" s="18"/>
      <c r="C2440" s="18"/>
      <c r="D2440" s="18"/>
      <c r="E2440" s="18"/>
      <c r="F2440" s="18"/>
      <c r="G2440" s="4"/>
      <c r="H2440" s="4"/>
      <c r="I2440" s="18"/>
      <c r="J2440" s="91"/>
      <c r="K2440" s="18"/>
      <c r="L2440" s="18"/>
      <c r="M2440" s="18"/>
      <c r="N2440" s="18"/>
    </row>
    <row r="2441" ht="15.0" customHeight="1">
      <c r="A2441" s="18"/>
      <c r="B2441" s="18"/>
      <c r="C2441" s="18"/>
      <c r="D2441" s="18"/>
      <c r="E2441" s="18"/>
      <c r="F2441" s="18"/>
      <c r="G2441" s="4"/>
      <c r="H2441" s="4"/>
      <c r="I2441" s="18"/>
      <c r="J2441" s="91"/>
      <c r="K2441" s="18"/>
      <c r="L2441" s="18"/>
      <c r="M2441" s="18"/>
      <c r="N2441" s="18"/>
    </row>
    <row r="2442" ht="15.0" customHeight="1">
      <c r="A2442" s="18"/>
      <c r="B2442" s="18"/>
      <c r="C2442" s="18"/>
      <c r="D2442" s="18"/>
      <c r="E2442" s="18"/>
      <c r="F2442" s="18"/>
      <c r="G2442" s="4"/>
      <c r="H2442" s="4"/>
      <c r="I2442" s="18"/>
      <c r="J2442" s="91"/>
      <c r="K2442" s="18"/>
      <c r="L2442" s="18"/>
      <c r="M2442" s="18"/>
      <c r="N2442" s="18"/>
    </row>
    <row r="2443" ht="15.0" customHeight="1">
      <c r="A2443" s="18"/>
      <c r="B2443" s="18"/>
      <c r="C2443" s="18"/>
      <c r="D2443" s="18"/>
      <c r="E2443" s="18"/>
      <c r="F2443" s="18"/>
      <c r="G2443" s="4"/>
      <c r="H2443" s="4"/>
      <c r="I2443" s="18"/>
      <c r="J2443" s="91"/>
      <c r="K2443" s="18"/>
      <c r="L2443" s="18"/>
      <c r="M2443" s="18"/>
      <c r="N2443" s="18"/>
    </row>
    <row r="2444" ht="15.0" customHeight="1">
      <c r="A2444" s="18"/>
      <c r="B2444" s="18"/>
      <c r="C2444" s="18"/>
      <c r="D2444" s="18"/>
      <c r="E2444" s="18"/>
      <c r="F2444" s="18"/>
      <c r="G2444" s="4"/>
      <c r="H2444" s="4"/>
      <c r="I2444" s="18"/>
      <c r="J2444" s="91"/>
      <c r="K2444" s="18"/>
      <c r="L2444" s="18"/>
      <c r="M2444" s="18"/>
      <c r="N2444" s="18"/>
    </row>
    <row r="2445" ht="15.0" customHeight="1">
      <c r="A2445" s="18"/>
      <c r="B2445" s="18"/>
      <c r="C2445" s="18"/>
      <c r="D2445" s="18"/>
      <c r="E2445" s="18"/>
      <c r="F2445" s="18"/>
      <c r="G2445" s="4"/>
      <c r="H2445" s="4"/>
      <c r="I2445" s="18"/>
      <c r="J2445" s="91"/>
      <c r="K2445" s="18"/>
      <c r="L2445" s="18"/>
      <c r="M2445" s="18"/>
      <c r="N2445" s="18"/>
    </row>
    <row r="2446" ht="15.0" customHeight="1">
      <c r="A2446" s="18"/>
      <c r="B2446" s="18"/>
      <c r="C2446" s="18"/>
      <c r="D2446" s="18"/>
      <c r="E2446" s="18"/>
      <c r="F2446" s="18"/>
      <c r="G2446" s="4"/>
      <c r="H2446" s="4"/>
      <c r="I2446" s="18"/>
      <c r="J2446" s="91"/>
      <c r="K2446" s="18"/>
      <c r="L2446" s="18"/>
      <c r="M2446" s="18"/>
      <c r="N2446" s="18"/>
    </row>
    <row r="2447" ht="15.0" customHeight="1">
      <c r="A2447" s="18"/>
      <c r="B2447" s="18"/>
      <c r="C2447" s="18"/>
      <c r="D2447" s="18"/>
      <c r="E2447" s="18"/>
      <c r="F2447" s="18"/>
      <c r="G2447" s="4"/>
      <c r="H2447" s="4"/>
      <c r="I2447" s="18"/>
      <c r="J2447" s="91"/>
      <c r="K2447" s="18"/>
      <c r="L2447" s="18"/>
      <c r="M2447" s="18"/>
      <c r="N2447" s="18"/>
    </row>
    <row r="2448" ht="15.0" customHeight="1">
      <c r="A2448" s="18"/>
      <c r="B2448" s="18"/>
      <c r="C2448" s="18"/>
      <c r="D2448" s="18"/>
      <c r="E2448" s="18"/>
      <c r="F2448" s="18"/>
      <c r="G2448" s="4"/>
      <c r="H2448" s="4"/>
      <c r="I2448" s="18"/>
      <c r="J2448" s="91"/>
      <c r="K2448" s="18"/>
      <c r="L2448" s="18"/>
      <c r="M2448" s="18"/>
      <c r="N2448" s="18"/>
    </row>
    <row r="2449" ht="15.0" customHeight="1">
      <c r="A2449" s="18"/>
      <c r="B2449" s="18"/>
      <c r="C2449" s="18"/>
      <c r="D2449" s="18"/>
      <c r="E2449" s="18"/>
      <c r="F2449" s="18"/>
      <c r="G2449" s="4"/>
      <c r="H2449" s="4"/>
      <c r="I2449" s="18"/>
      <c r="J2449" s="91"/>
      <c r="K2449" s="18"/>
      <c r="L2449" s="18"/>
      <c r="M2449" s="18"/>
      <c r="N2449" s="18"/>
    </row>
    <row r="2450" ht="15.0" customHeight="1">
      <c r="A2450" s="18"/>
      <c r="B2450" s="18"/>
      <c r="C2450" s="18"/>
      <c r="D2450" s="18"/>
      <c r="E2450" s="18"/>
      <c r="F2450" s="18"/>
      <c r="G2450" s="4"/>
      <c r="H2450" s="4"/>
      <c r="I2450" s="18"/>
      <c r="J2450" s="91"/>
      <c r="K2450" s="18"/>
      <c r="L2450" s="18"/>
      <c r="M2450" s="18"/>
      <c r="N2450" s="18"/>
    </row>
    <row r="2451" ht="15.0" customHeight="1">
      <c r="A2451" s="18"/>
      <c r="B2451" s="18"/>
      <c r="C2451" s="18"/>
      <c r="D2451" s="18"/>
      <c r="E2451" s="18"/>
      <c r="F2451" s="18"/>
      <c r="G2451" s="4"/>
      <c r="H2451" s="4"/>
      <c r="I2451" s="18"/>
      <c r="J2451" s="91"/>
      <c r="K2451" s="18"/>
      <c r="L2451" s="18"/>
      <c r="M2451" s="18"/>
      <c r="N2451" s="18"/>
    </row>
    <row r="2452" ht="15.0" customHeight="1">
      <c r="A2452" s="18"/>
      <c r="B2452" s="18"/>
      <c r="C2452" s="18"/>
      <c r="D2452" s="18"/>
      <c r="E2452" s="18"/>
      <c r="F2452" s="18"/>
      <c r="G2452" s="4"/>
      <c r="H2452" s="4"/>
      <c r="I2452" s="18"/>
      <c r="J2452" s="91"/>
      <c r="K2452" s="18"/>
      <c r="L2452" s="18"/>
      <c r="M2452" s="18"/>
      <c r="N2452" s="18"/>
    </row>
    <row r="2453" ht="15.0" customHeight="1">
      <c r="A2453" s="18"/>
      <c r="B2453" s="18"/>
      <c r="C2453" s="18"/>
      <c r="D2453" s="18"/>
      <c r="E2453" s="18"/>
      <c r="F2453" s="18"/>
      <c r="G2453" s="4"/>
      <c r="H2453" s="4"/>
      <c r="I2453" s="18"/>
      <c r="J2453" s="91"/>
      <c r="K2453" s="18"/>
      <c r="L2453" s="18"/>
      <c r="M2453" s="18"/>
      <c r="N2453" s="18"/>
    </row>
    <row r="2454" ht="15.0" customHeight="1">
      <c r="A2454" s="18"/>
      <c r="B2454" s="18"/>
      <c r="C2454" s="18"/>
      <c r="D2454" s="18"/>
      <c r="E2454" s="18"/>
      <c r="F2454" s="18"/>
      <c r="G2454" s="4"/>
      <c r="H2454" s="4"/>
      <c r="I2454" s="18"/>
      <c r="J2454" s="91"/>
      <c r="K2454" s="18"/>
      <c r="L2454" s="18"/>
      <c r="M2454" s="18"/>
      <c r="N2454" s="18"/>
    </row>
    <row r="2455" ht="15.0" customHeight="1">
      <c r="A2455" s="18"/>
      <c r="B2455" s="18"/>
      <c r="C2455" s="18"/>
      <c r="D2455" s="18"/>
      <c r="E2455" s="18"/>
      <c r="F2455" s="18"/>
      <c r="G2455" s="4"/>
      <c r="H2455" s="4"/>
      <c r="I2455" s="18"/>
      <c r="J2455" s="91"/>
      <c r="K2455" s="18"/>
      <c r="L2455" s="18"/>
      <c r="M2455" s="18"/>
      <c r="N2455" s="18"/>
    </row>
    <row r="2456" ht="15.0" customHeight="1">
      <c r="A2456" s="18"/>
      <c r="B2456" s="18"/>
      <c r="C2456" s="18"/>
      <c r="D2456" s="18"/>
      <c r="E2456" s="18"/>
      <c r="F2456" s="18"/>
      <c r="G2456" s="4"/>
      <c r="H2456" s="4"/>
      <c r="I2456" s="18"/>
      <c r="J2456" s="91"/>
      <c r="K2456" s="18"/>
      <c r="L2456" s="18"/>
      <c r="M2456" s="18"/>
      <c r="N2456" s="18"/>
    </row>
    <row r="2457" ht="15.0" customHeight="1">
      <c r="A2457" s="18"/>
      <c r="B2457" s="18"/>
      <c r="C2457" s="18"/>
      <c r="D2457" s="18"/>
      <c r="E2457" s="18"/>
      <c r="F2457" s="18"/>
      <c r="G2457" s="4"/>
      <c r="H2457" s="4"/>
      <c r="I2457" s="18"/>
      <c r="J2457" s="91"/>
      <c r="K2457" s="18"/>
      <c r="L2457" s="18"/>
      <c r="M2457" s="18"/>
      <c r="N2457" s="18"/>
    </row>
    <row r="2458" ht="15.0" customHeight="1">
      <c r="A2458" s="18"/>
      <c r="B2458" s="18"/>
      <c r="C2458" s="18"/>
      <c r="D2458" s="18"/>
      <c r="E2458" s="18"/>
      <c r="F2458" s="18"/>
      <c r="G2458" s="4"/>
      <c r="H2458" s="4"/>
      <c r="I2458" s="18"/>
      <c r="J2458" s="91"/>
      <c r="K2458" s="18"/>
      <c r="L2458" s="18"/>
      <c r="M2458" s="18"/>
      <c r="N2458" s="18"/>
    </row>
    <row r="2459" ht="15.0" customHeight="1">
      <c r="A2459" s="18"/>
      <c r="B2459" s="18"/>
      <c r="C2459" s="18"/>
      <c r="D2459" s="18"/>
      <c r="E2459" s="18"/>
      <c r="F2459" s="18"/>
      <c r="G2459" s="4"/>
      <c r="H2459" s="4"/>
      <c r="I2459" s="18"/>
      <c r="J2459" s="91"/>
      <c r="K2459" s="18"/>
      <c r="L2459" s="18"/>
      <c r="M2459" s="18"/>
      <c r="N2459" s="18"/>
    </row>
    <row r="2460" ht="15.0" customHeight="1">
      <c r="A2460" s="18"/>
      <c r="B2460" s="18"/>
      <c r="C2460" s="18"/>
      <c r="D2460" s="18"/>
      <c r="E2460" s="18"/>
      <c r="F2460" s="18"/>
      <c r="G2460" s="4"/>
      <c r="H2460" s="4"/>
      <c r="I2460" s="18"/>
      <c r="J2460" s="91"/>
      <c r="K2460" s="18"/>
      <c r="L2460" s="18"/>
      <c r="M2460" s="18"/>
      <c r="N2460" s="18"/>
    </row>
    <row r="2461" ht="15.0" customHeight="1">
      <c r="A2461" s="18"/>
      <c r="B2461" s="18"/>
      <c r="C2461" s="18"/>
      <c r="D2461" s="18"/>
      <c r="E2461" s="18"/>
      <c r="F2461" s="18"/>
      <c r="G2461" s="4"/>
      <c r="H2461" s="4"/>
      <c r="I2461" s="18"/>
      <c r="J2461" s="91"/>
      <c r="K2461" s="18"/>
      <c r="L2461" s="18"/>
      <c r="M2461" s="18"/>
      <c r="N2461" s="18"/>
    </row>
    <row r="2462" ht="15.0" customHeight="1">
      <c r="A2462" s="18"/>
      <c r="B2462" s="18"/>
      <c r="C2462" s="18"/>
      <c r="D2462" s="18"/>
      <c r="E2462" s="18"/>
      <c r="F2462" s="18"/>
      <c r="G2462" s="4"/>
      <c r="H2462" s="4"/>
      <c r="I2462" s="18"/>
      <c r="J2462" s="91"/>
      <c r="K2462" s="18"/>
      <c r="L2462" s="18"/>
      <c r="M2462" s="18"/>
      <c r="N2462" s="18"/>
    </row>
    <row r="2463" ht="15.0" customHeight="1">
      <c r="A2463" s="18"/>
      <c r="B2463" s="18"/>
      <c r="C2463" s="18"/>
      <c r="D2463" s="18"/>
      <c r="E2463" s="18"/>
      <c r="F2463" s="18"/>
      <c r="G2463" s="4"/>
      <c r="H2463" s="4"/>
      <c r="I2463" s="18"/>
      <c r="J2463" s="91"/>
      <c r="K2463" s="18"/>
      <c r="L2463" s="18"/>
      <c r="M2463" s="18"/>
      <c r="N2463" s="18"/>
    </row>
    <row r="2464" ht="15.0" customHeight="1">
      <c r="A2464" s="18"/>
      <c r="B2464" s="18"/>
      <c r="C2464" s="18"/>
      <c r="D2464" s="18"/>
      <c r="E2464" s="18"/>
      <c r="F2464" s="18"/>
      <c r="G2464" s="4"/>
      <c r="H2464" s="4"/>
      <c r="I2464" s="18"/>
      <c r="J2464" s="91"/>
      <c r="K2464" s="18"/>
      <c r="L2464" s="18"/>
      <c r="M2464" s="18"/>
      <c r="N2464" s="18"/>
    </row>
    <row r="2465" ht="15.0" customHeight="1">
      <c r="A2465" s="18"/>
      <c r="B2465" s="18"/>
      <c r="C2465" s="18"/>
      <c r="D2465" s="18"/>
      <c r="E2465" s="18"/>
      <c r="F2465" s="18"/>
      <c r="G2465" s="4"/>
      <c r="H2465" s="4"/>
      <c r="I2465" s="18"/>
      <c r="J2465" s="91"/>
      <c r="K2465" s="18"/>
      <c r="L2465" s="18"/>
      <c r="M2465" s="18"/>
      <c r="N2465" s="18"/>
    </row>
    <row r="2466" ht="15.0" customHeight="1">
      <c r="A2466" s="18"/>
      <c r="B2466" s="18"/>
      <c r="C2466" s="18"/>
      <c r="D2466" s="18"/>
      <c r="E2466" s="18"/>
      <c r="F2466" s="18"/>
      <c r="G2466" s="4"/>
      <c r="H2466" s="4"/>
      <c r="I2466" s="18"/>
      <c r="J2466" s="91"/>
      <c r="K2466" s="18"/>
      <c r="L2466" s="18"/>
      <c r="M2466" s="18"/>
      <c r="N2466" s="18"/>
    </row>
    <row r="2467" ht="15.0" customHeight="1">
      <c r="A2467" s="18"/>
      <c r="B2467" s="18"/>
      <c r="C2467" s="18"/>
      <c r="D2467" s="18"/>
      <c r="E2467" s="18"/>
      <c r="F2467" s="18"/>
      <c r="G2467" s="4"/>
      <c r="H2467" s="4"/>
      <c r="I2467" s="18"/>
      <c r="J2467" s="91"/>
      <c r="K2467" s="18"/>
      <c r="L2467" s="18"/>
      <c r="M2467" s="18"/>
      <c r="N2467" s="18"/>
    </row>
    <row r="2468" ht="15.0" customHeight="1">
      <c r="A2468" s="18"/>
      <c r="B2468" s="18"/>
      <c r="C2468" s="18"/>
      <c r="D2468" s="18"/>
      <c r="E2468" s="18"/>
      <c r="F2468" s="18"/>
      <c r="G2468" s="4"/>
      <c r="H2468" s="4"/>
      <c r="I2468" s="18"/>
      <c r="J2468" s="91"/>
      <c r="K2468" s="18"/>
      <c r="L2468" s="18"/>
      <c r="M2468" s="18"/>
      <c r="N2468" s="18"/>
    </row>
    <row r="2469" ht="15.0" customHeight="1">
      <c r="A2469" s="18"/>
      <c r="B2469" s="18"/>
      <c r="C2469" s="18"/>
      <c r="D2469" s="18"/>
      <c r="E2469" s="18"/>
      <c r="F2469" s="18"/>
      <c r="G2469" s="4"/>
      <c r="H2469" s="4"/>
      <c r="I2469" s="18"/>
      <c r="J2469" s="91"/>
      <c r="K2469" s="18"/>
      <c r="L2469" s="18"/>
      <c r="M2469" s="18"/>
      <c r="N2469" s="18"/>
    </row>
    <row r="2470" ht="15.0" customHeight="1">
      <c r="A2470" s="18"/>
      <c r="B2470" s="18"/>
      <c r="C2470" s="18"/>
      <c r="D2470" s="18"/>
      <c r="E2470" s="18"/>
      <c r="F2470" s="18"/>
      <c r="G2470" s="4"/>
      <c r="H2470" s="4"/>
      <c r="I2470" s="18"/>
      <c r="J2470" s="91"/>
      <c r="K2470" s="18"/>
      <c r="L2470" s="18"/>
      <c r="M2470" s="18"/>
      <c r="N2470" s="18"/>
    </row>
    <row r="2471" ht="15.0" customHeight="1">
      <c r="A2471" s="18"/>
      <c r="B2471" s="18"/>
      <c r="C2471" s="18"/>
      <c r="D2471" s="18"/>
      <c r="E2471" s="18"/>
      <c r="F2471" s="18"/>
      <c r="G2471" s="4"/>
      <c r="H2471" s="4"/>
      <c r="I2471" s="18"/>
      <c r="J2471" s="91"/>
      <c r="K2471" s="18"/>
      <c r="L2471" s="18"/>
      <c r="M2471" s="18"/>
      <c r="N2471" s="18"/>
    </row>
    <row r="2472" ht="15.0" customHeight="1">
      <c r="A2472" s="18"/>
      <c r="B2472" s="18"/>
      <c r="C2472" s="18"/>
      <c r="D2472" s="18"/>
      <c r="E2472" s="18"/>
      <c r="F2472" s="18"/>
      <c r="G2472" s="4"/>
      <c r="H2472" s="4"/>
      <c r="I2472" s="18"/>
      <c r="J2472" s="91"/>
      <c r="K2472" s="18"/>
      <c r="L2472" s="18"/>
      <c r="M2472" s="18"/>
      <c r="N2472" s="18"/>
    </row>
    <row r="2473" ht="15.0" customHeight="1">
      <c r="A2473" s="18"/>
      <c r="B2473" s="18"/>
      <c r="C2473" s="18"/>
      <c r="D2473" s="18"/>
      <c r="E2473" s="18"/>
      <c r="F2473" s="18"/>
      <c r="G2473" s="4"/>
      <c r="H2473" s="4"/>
      <c r="I2473" s="18"/>
      <c r="J2473" s="91"/>
      <c r="K2473" s="18"/>
      <c r="L2473" s="18"/>
      <c r="M2473" s="18"/>
      <c r="N2473" s="18"/>
    </row>
    <row r="2474" ht="15.0" customHeight="1">
      <c r="A2474" s="18"/>
      <c r="B2474" s="18"/>
      <c r="C2474" s="18"/>
      <c r="D2474" s="18"/>
      <c r="E2474" s="18"/>
      <c r="F2474" s="18"/>
      <c r="G2474" s="4"/>
      <c r="H2474" s="4"/>
      <c r="I2474" s="18"/>
      <c r="J2474" s="91"/>
      <c r="K2474" s="18"/>
      <c r="L2474" s="18"/>
      <c r="M2474" s="18"/>
      <c r="N2474" s="18"/>
    </row>
    <row r="2475" ht="15.0" customHeight="1">
      <c r="A2475" s="18"/>
      <c r="B2475" s="18"/>
      <c r="C2475" s="18"/>
      <c r="D2475" s="18"/>
      <c r="E2475" s="18"/>
      <c r="F2475" s="18"/>
      <c r="G2475" s="4"/>
      <c r="H2475" s="4"/>
      <c r="I2475" s="18"/>
      <c r="J2475" s="91"/>
      <c r="K2475" s="18"/>
      <c r="L2475" s="18"/>
      <c r="M2475" s="18"/>
      <c r="N2475" s="18"/>
    </row>
    <row r="2476" ht="15.0" customHeight="1">
      <c r="A2476" s="18"/>
      <c r="B2476" s="18"/>
      <c r="C2476" s="18"/>
      <c r="D2476" s="18"/>
      <c r="E2476" s="18"/>
      <c r="F2476" s="18"/>
      <c r="G2476" s="4"/>
      <c r="H2476" s="4"/>
      <c r="I2476" s="18"/>
      <c r="J2476" s="91"/>
      <c r="K2476" s="18"/>
      <c r="L2476" s="18"/>
      <c r="M2476" s="18"/>
      <c r="N2476" s="18"/>
    </row>
    <row r="2477" ht="15.0" customHeight="1">
      <c r="A2477" s="18"/>
      <c r="B2477" s="18"/>
      <c r="C2477" s="18"/>
      <c r="D2477" s="18"/>
      <c r="E2477" s="18"/>
      <c r="F2477" s="18"/>
      <c r="G2477" s="4"/>
      <c r="H2477" s="4"/>
      <c r="I2477" s="18"/>
      <c r="J2477" s="91"/>
      <c r="K2477" s="18"/>
      <c r="L2477" s="18"/>
      <c r="M2477" s="18"/>
      <c r="N2477" s="18"/>
    </row>
    <row r="2478" ht="15.0" customHeight="1">
      <c r="A2478" s="18"/>
      <c r="B2478" s="18"/>
      <c r="C2478" s="18"/>
      <c r="D2478" s="18"/>
      <c r="E2478" s="18"/>
      <c r="F2478" s="18"/>
      <c r="G2478" s="4"/>
      <c r="H2478" s="4"/>
      <c r="I2478" s="18"/>
      <c r="J2478" s="91"/>
      <c r="K2478" s="18"/>
      <c r="L2478" s="18"/>
      <c r="M2478" s="18"/>
      <c r="N2478" s="18"/>
    </row>
    <row r="2479" ht="15.0" customHeight="1">
      <c r="A2479" s="18"/>
      <c r="B2479" s="18"/>
      <c r="C2479" s="18"/>
      <c r="D2479" s="18"/>
      <c r="E2479" s="18"/>
      <c r="F2479" s="18"/>
      <c r="G2479" s="4"/>
      <c r="H2479" s="4"/>
      <c r="I2479" s="18"/>
      <c r="J2479" s="91"/>
      <c r="K2479" s="18"/>
      <c r="L2479" s="18"/>
      <c r="M2479" s="18"/>
      <c r="N2479" s="18"/>
    </row>
    <row r="2480" ht="15.0" customHeight="1">
      <c r="A2480" s="18"/>
      <c r="B2480" s="18"/>
      <c r="C2480" s="18"/>
      <c r="D2480" s="18"/>
      <c r="E2480" s="18"/>
      <c r="F2480" s="18"/>
      <c r="G2480" s="4"/>
      <c r="H2480" s="4"/>
      <c r="I2480" s="18"/>
      <c r="J2480" s="91"/>
      <c r="K2480" s="18"/>
      <c r="L2480" s="18"/>
      <c r="M2480" s="18"/>
      <c r="N2480" s="18"/>
    </row>
    <row r="2481" ht="15.0" customHeight="1">
      <c r="A2481" s="18"/>
      <c r="B2481" s="18"/>
      <c r="C2481" s="18"/>
      <c r="D2481" s="18"/>
      <c r="E2481" s="18"/>
      <c r="F2481" s="18"/>
      <c r="G2481" s="4"/>
      <c r="H2481" s="4"/>
      <c r="I2481" s="18"/>
      <c r="J2481" s="91"/>
      <c r="K2481" s="18"/>
      <c r="L2481" s="18"/>
      <c r="M2481" s="18"/>
      <c r="N2481" s="18"/>
    </row>
    <row r="2482" ht="15.0" customHeight="1">
      <c r="A2482" s="18"/>
      <c r="B2482" s="18"/>
      <c r="C2482" s="18"/>
      <c r="D2482" s="18"/>
      <c r="E2482" s="18"/>
      <c r="F2482" s="18"/>
      <c r="G2482" s="4"/>
      <c r="H2482" s="4"/>
      <c r="I2482" s="18"/>
      <c r="J2482" s="91"/>
      <c r="K2482" s="18"/>
      <c r="L2482" s="18"/>
      <c r="M2482" s="18"/>
      <c r="N2482" s="18"/>
    </row>
    <row r="2483" ht="15.0" customHeight="1">
      <c r="A2483" s="18"/>
      <c r="B2483" s="18"/>
      <c r="C2483" s="18"/>
      <c r="D2483" s="18"/>
      <c r="E2483" s="18"/>
      <c r="F2483" s="18"/>
      <c r="G2483" s="4"/>
      <c r="H2483" s="4"/>
      <c r="I2483" s="18"/>
      <c r="J2483" s="91"/>
      <c r="K2483" s="18"/>
      <c r="L2483" s="18"/>
      <c r="M2483" s="18"/>
      <c r="N2483" s="18"/>
    </row>
    <row r="2484" ht="15.0" customHeight="1">
      <c r="A2484" s="18"/>
      <c r="B2484" s="18"/>
      <c r="C2484" s="18"/>
      <c r="D2484" s="18"/>
      <c r="E2484" s="18"/>
      <c r="F2484" s="18"/>
      <c r="G2484" s="4"/>
      <c r="H2484" s="4"/>
      <c r="I2484" s="18"/>
      <c r="J2484" s="91"/>
      <c r="K2484" s="18"/>
      <c r="L2484" s="18"/>
      <c r="M2484" s="18"/>
      <c r="N2484" s="18"/>
    </row>
    <row r="2485" ht="15.0" customHeight="1">
      <c r="A2485" s="18"/>
      <c r="B2485" s="18"/>
      <c r="C2485" s="18"/>
      <c r="D2485" s="18"/>
      <c r="E2485" s="18"/>
      <c r="F2485" s="18"/>
      <c r="G2485" s="4"/>
      <c r="H2485" s="4"/>
      <c r="I2485" s="18"/>
      <c r="J2485" s="91"/>
      <c r="K2485" s="18"/>
      <c r="L2485" s="18"/>
      <c r="M2485" s="18"/>
      <c r="N2485" s="18"/>
    </row>
    <row r="2486" ht="15.0" customHeight="1">
      <c r="A2486" s="18"/>
      <c r="B2486" s="18"/>
      <c r="C2486" s="18"/>
      <c r="D2486" s="18"/>
      <c r="E2486" s="18"/>
      <c r="F2486" s="18"/>
      <c r="G2486" s="4"/>
      <c r="H2486" s="4"/>
      <c r="I2486" s="18"/>
      <c r="J2486" s="91"/>
      <c r="K2486" s="18"/>
      <c r="L2486" s="18"/>
      <c r="M2486" s="18"/>
      <c r="N2486" s="18"/>
    </row>
    <row r="2487" ht="15.0" customHeight="1">
      <c r="A2487" s="18"/>
      <c r="B2487" s="18"/>
      <c r="C2487" s="18"/>
      <c r="D2487" s="18"/>
      <c r="E2487" s="18"/>
      <c r="F2487" s="18"/>
      <c r="G2487" s="4"/>
      <c r="H2487" s="4"/>
      <c r="I2487" s="18"/>
      <c r="J2487" s="91"/>
      <c r="K2487" s="18"/>
      <c r="L2487" s="18"/>
      <c r="M2487" s="18"/>
      <c r="N2487" s="18"/>
    </row>
    <row r="2488" ht="15.0" customHeight="1">
      <c r="A2488" s="18"/>
      <c r="B2488" s="18"/>
      <c r="C2488" s="18"/>
      <c r="D2488" s="18"/>
      <c r="E2488" s="18"/>
      <c r="F2488" s="18"/>
      <c r="G2488" s="4"/>
      <c r="H2488" s="4"/>
      <c r="I2488" s="18"/>
      <c r="J2488" s="91"/>
      <c r="K2488" s="18"/>
      <c r="L2488" s="18"/>
      <c r="M2488" s="18"/>
      <c r="N2488" s="18"/>
    </row>
    <row r="2489" ht="15.0" customHeight="1">
      <c r="A2489" s="18"/>
      <c r="B2489" s="18"/>
      <c r="C2489" s="18"/>
      <c r="D2489" s="18"/>
      <c r="E2489" s="18"/>
      <c r="F2489" s="18"/>
      <c r="G2489" s="4"/>
      <c r="H2489" s="4"/>
      <c r="I2489" s="18"/>
      <c r="J2489" s="91"/>
      <c r="K2489" s="18"/>
      <c r="L2489" s="18"/>
      <c r="M2489" s="18"/>
      <c r="N2489" s="18"/>
    </row>
    <row r="2490" ht="15.0" customHeight="1">
      <c r="A2490" s="18"/>
      <c r="B2490" s="18"/>
      <c r="C2490" s="18"/>
      <c r="D2490" s="18"/>
      <c r="E2490" s="18"/>
      <c r="F2490" s="18"/>
      <c r="G2490" s="4"/>
      <c r="H2490" s="4"/>
      <c r="I2490" s="18"/>
      <c r="J2490" s="91"/>
      <c r="K2490" s="18"/>
      <c r="L2490" s="18"/>
      <c r="M2490" s="18"/>
      <c r="N2490" s="18"/>
    </row>
    <row r="2491" ht="15.0" customHeight="1">
      <c r="A2491" s="18"/>
      <c r="B2491" s="18"/>
      <c r="C2491" s="18"/>
      <c r="D2491" s="18"/>
      <c r="E2491" s="18"/>
      <c r="F2491" s="18"/>
      <c r="G2491" s="4"/>
      <c r="H2491" s="4"/>
      <c r="I2491" s="18"/>
      <c r="J2491" s="91"/>
      <c r="K2491" s="18"/>
      <c r="L2491" s="18"/>
      <c r="M2491" s="18"/>
      <c r="N2491" s="18"/>
    </row>
    <row r="2492" ht="15.0" customHeight="1">
      <c r="A2492" s="18"/>
      <c r="B2492" s="18"/>
      <c r="C2492" s="18"/>
      <c r="D2492" s="18"/>
      <c r="E2492" s="18"/>
      <c r="F2492" s="18"/>
      <c r="G2492" s="4"/>
      <c r="H2492" s="4"/>
      <c r="I2492" s="18"/>
      <c r="J2492" s="91"/>
      <c r="K2492" s="18"/>
      <c r="L2492" s="18"/>
      <c r="M2492" s="18"/>
      <c r="N2492" s="18"/>
    </row>
    <row r="2493" ht="15.0" customHeight="1">
      <c r="A2493" s="18"/>
      <c r="B2493" s="18"/>
      <c r="C2493" s="18"/>
      <c r="D2493" s="18"/>
      <c r="E2493" s="18"/>
      <c r="F2493" s="18"/>
      <c r="G2493" s="4"/>
      <c r="H2493" s="4"/>
      <c r="I2493" s="18"/>
      <c r="J2493" s="91"/>
      <c r="K2493" s="18"/>
      <c r="L2493" s="18"/>
      <c r="M2493" s="18"/>
      <c r="N2493" s="18"/>
    </row>
    <row r="2494" ht="15.0" customHeight="1">
      <c r="A2494" s="18"/>
      <c r="B2494" s="18"/>
      <c r="C2494" s="18"/>
      <c r="D2494" s="18"/>
      <c r="E2494" s="18"/>
      <c r="F2494" s="18"/>
      <c r="G2494" s="4"/>
      <c r="H2494" s="4"/>
      <c r="I2494" s="18"/>
      <c r="J2494" s="91"/>
      <c r="K2494" s="18"/>
      <c r="L2494" s="18"/>
      <c r="M2494" s="18"/>
      <c r="N2494" s="18"/>
    </row>
    <row r="2495" ht="15.0" customHeight="1">
      <c r="A2495" s="18"/>
      <c r="B2495" s="18"/>
      <c r="C2495" s="18"/>
      <c r="D2495" s="18"/>
      <c r="E2495" s="18"/>
      <c r="F2495" s="18"/>
      <c r="G2495" s="4"/>
      <c r="H2495" s="4"/>
      <c r="I2495" s="18"/>
      <c r="J2495" s="91"/>
      <c r="K2495" s="18"/>
      <c r="L2495" s="18"/>
      <c r="M2495" s="18"/>
      <c r="N2495" s="18"/>
    </row>
    <row r="2496" ht="15.0" customHeight="1">
      <c r="A2496" s="18"/>
      <c r="B2496" s="18"/>
      <c r="C2496" s="18"/>
      <c r="D2496" s="18"/>
      <c r="E2496" s="18"/>
      <c r="F2496" s="18"/>
      <c r="G2496" s="4"/>
      <c r="H2496" s="4"/>
      <c r="I2496" s="18"/>
      <c r="J2496" s="91"/>
      <c r="K2496" s="18"/>
      <c r="L2496" s="18"/>
      <c r="M2496" s="18"/>
      <c r="N2496" s="18"/>
    </row>
    <row r="2497" ht="15.0" customHeight="1">
      <c r="A2497" s="18"/>
      <c r="B2497" s="18"/>
      <c r="C2497" s="18"/>
      <c r="D2497" s="18"/>
      <c r="E2497" s="18"/>
      <c r="F2497" s="18"/>
      <c r="G2497" s="4"/>
      <c r="H2497" s="4"/>
      <c r="I2497" s="18"/>
      <c r="J2497" s="91"/>
      <c r="K2497" s="18"/>
      <c r="L2497" s="18"/>
      <c r="M2497" s="18"/>
      <c r="N2497" s="18"/>
    </row>
    <row r="2498" ht="15.0" customHeight="1">
      <c r="A2498" s="18"/>
      <c r="B2498" s="18"/>
      <c r="C2498" s="18"/>
      <c r="D2498" s="18"/>
      <c r="E2498" s="18"/>
      <c r="F2498" s="18"/>
      <c r="G2498" s="4"/>
      <c r="H2498" s="4"/>
      <c r="I2498" s="18"/>
      <c r="J2498" s="91"/>
      <c r="K2498" s="18"/>
      <c r="L2498" s="18"/>
      <c r="M2498" s="18"/>
      <c r="N2498" s="18"/>
    </row>
    <row r="2499" ht="15.0" customHeight="1">
      <c r="A2499" s="18"/>
      <c r="B2499" s="18"/>
      <c r="C2499" s="18"/>
      <c r="D2499" s="18"/>
      <c r="E2499" s="18"/>
      <c r="F2499" s="18"/>
      <c r="G2499" s="4"/>
      <c r="H2499" s="4"/>
      <c r="I2499" s="18"/>
      <c r="J2499" s="91"/>
      <c r="K2499" s="18"/>
      <c r="L2499" s="18"/>
      <c r="M2499" s="18"/>
      <c r="N2499" s="18"/>
    </row>
    <row r="2500" ht="15.0" customHeight="1">
      <c r="A2500" s="18"/>
      <c r="B2500" s="18"/>
      <c r="C2500" s="18"/>
      <c r="D2500" s="18"/>
      <c r="E2500" s="18"/>
      <c r="F2500" s="18"/>
      <c r="G2500" s="4"/>
      <c r="H2500" s="4"/>
      <c r="I2500" s="18"/>
      <c r="J2500" s="91"/>
      <c r="K2500" s="18"/>
      <c r="L2500" s="18"/>
      <c r="M2500" s="18"/>
      <c r="N2500" s="18"/>
    </row>
    <row r="2501" ht="15.0" customHeight="1">
      <c r="A2501" s="18"/>
      <c r="B2501" s="18"/>
      <c r="C2501" s="18"/>
      <c r="D2501" s="18"/>
      <c r="E2501" s="18"/>
      <c r="F2501" s="18"/>
      <c r="G2501" s="4"/>
      <c r="H2501" s="4"/>
      <c r="I2501" s="18"/>
      <c r="J2501" s="91"/>
      <c r="K2501" s="18"/>
      <c r="L2501" s="18"/>
      <c r="M2501" s="18"/>
      <c r="N2501" s="18"/>
    </row>
    <row r="2502" ht="15.0" customHeight="1">
      <c r="A2502" s="18"/>
      <c r="B2502" s="18"/>
      <c r="C2502" s="18"/>
      <c r="D2502" s="18"/>
      <c r="E2502" s="18"/>
      <c r="F2502" s="18"/>
      <c r="G2502" s="4"/>
      <c r="H2502" s="4"/>
      <c r="I2502" s="18"/>
      <c r="J2502" s="91"/>
      <c r="K2502" s="18"/>
      <c r="L2502" s="18"/>
      <c r="M2502" s="18"/>
      <c r="N2502" s="18"/>
    </row>
    <row r="2503" ht="15.0" customHeight="1">
      <c r="A2503" s="18"/>
      <c r="B2503" s="18"/>
      <c r="C2503" s="18"/>
      <c r="D2503" s="18"/>
      <c r="E2503" s="18"/>
      <c r="F2503" s="18"/>
      <c r="G2503" s="4"/>
      <c r="H2503" s="4"/>
      <c r="I2503" s="18"/>
      <c r="J2503" s="91"/>
      <c r="K2503" s="18"/>
      <c r="L2503" s="18"/>
      <c r="M2503" s="18"/>
      <c r="N2503" s="18"/>
    </row>
    <row r="2504" ht="15.0" customHeight="1">
      <c r="A2504" s="18"/>
      <c r="B2504" s="18"/>
      <c r="C2504" s="18"/>
      <c r="D2504" s="18"/>
      <c r="E2504" s="18"/>
      <c r="F2504" s="18"/>
      <c r="G2504" s="4"/>
      <c r="H2504" s="4"/>
      <c r="I2504" s="18"/>
      <c r="J2504" s="91"/>
      <c r="K2504" s="18"/>
      <c r="L2504" s="18"/>
      <c r="M2504" s="18"/>
      <c r="N2504" s="18"/>
    </row>
    <row r="2505" ht="15.0" customHeight="1">
      <c r="A2505" s="18"/>
      <c r="B2505" s="18"/>
      <c r="C2505" s="18"/>
      <c r="D2505" s="18"/>
      <c r="E2505" s="18"/>
      <c r="F2505" s="18"/>
      <c r="G2505" s="4"/>
      <c r="H2505" s="4"/>
      <c r="I2505" s="18"/>
      <c r="J2505" s="91"/>
      <c r="K2505" s="18"/>
      <c r="L2505" s="18"/>
      <c r="M2505" s="18"/>
      <c r="N2505" s="18"/>
    </row>
    <row r="2506" ht="15.0" customHeight="1">
      <c r="A2506" s="18"/>
      <c r="B2506" s="18"/>
      <c r="C2506" s="18"/>
      <c r="D2506" s="18"/>
      <c r="E2506" s="18"/>
      <c r="F2506" s="18"/>
      <c r="G2506" s="4"/>
      <c r="H2506" s="4"/>
      <c r="I2506" s="18"/>
      <c r="J2506" s="91"/>
      <c r="K2506" s="18"/>
      <c r="L2506" s="18"/>
      <c r="M2506" s="18"/>
      <c r="N2506" s="18"/>
    </row>
    <row r="2507" ht="15.0" customHeight="1">
      <c r="A2507" s="18"/>
      <c r="B2507" s="18"/>
      <c r="C2507" s="18"/>
      <c r="D2507" s="18"/>
      <c r="E2507" s="18"/>
      <c r="F2507" s="18"/>
      <c r="G2507" s="4"/>
      <c r="H2507" s="4"/>
      <c r="I2507" s="18"/>
      <c r="J2507" s="91"/>
      <c r="K2507" s="18"/>
      <c r="L2507" s="18"/>
      <c r="M2507" s="18"/>
      <c r="N2507" s="18"/>
    </row>
    <row r="2508" ht="15.0" customHeight="1">
      <c r="A2508" s="18"/>
      <c r="B2508" s="18"/>
      <c r="C2508" s="18"/>
      <c r="D2508" s="18"/>
      <c r="E2508" s="18"/>
      <c r="F2508" s="18"/>
      <c r="G2508" s="4"/>
      <c r="H2508" s="4"/>
      <c r="I2508" s="18"/>
      <c r="J2508" s="91"/>
      <c r="K2508" s="18"/>
      <c r="L2508" s="18"/>
      <c r="M2508" s="18"/>
      <c r="N2508" s="18"/>
    </row>
    <row r="2509" ht="15.0" customHeight="1">
      <c r="A2509" s="18"/>
      <c r="B2509" s="18"/>
      <c r="C2509" s="18"/>
      <c r="D2509" s="18"/>
      <c r="E2509" s="18"/>
      <c r="F2509" s="18"/>
      <c r="G2509" s="4"/>
      <c r="H2509" s="4"/>
      <c r="I2509" s="18"/>
      <c r="J2509" s="91"/>
      <c r="K2509" s="18"/>
      <c r="L2509" s="18"/>
      <c r="M2509" s="18"/>
      <c r="N2509" s="18"/>
    </row>
    <row r="2510" ht="15.0" customHeight="1">
      <c r="A2510" s="18"/>
      <c r="B2510" s="18"/>
      <c r="C2510" s="18"/>
      <c r="D2510" s="18"/>
      <c r="E2510" s="18"/>
      <c r="F2510" s="18"/>
      <c r="G2510" s="4"/>
      <c r="H2510" s="4"/>
      <c r="I2510" s="18"/>
      <c r="J2510" s="91"/>
      <c r="K2510" s="18"/>
      <c r="L2510" s="18"/>
      <c r="M2510" s="18"/>
      <c r="N2510" s="18"/>
    </row>
    <row r="2511" ht="15.0" customHeight="1">
      <c r="A2511" s="18"/>
      <c r="B2511" s="18"/>
      <c r="C2511" s="18"/>
      <c r="D2511" s="18"/>
      <c r="E2511" s="18"/>
      <c r="F2511" s="18"/>
      <c r="G2511" s="4"/>
      <c r="H2511" s="4"/>
      <c r="I2511" s="18"/>
      <c r="J2511" s="91"/>
      <c r="K2511" s="18"/>
      <c r="L2511" s="18"/>
      <c r="M2511" s="18"/>
      <c r="N2511" s="18"/>
    </row>
    <row r="2512" ht="15.0" customHeight="1">
      <c r="A2512" s="18"/>
      <c r="B2512" s="18"/>
      <c r="C2512" s="18"/>
      <c r="D2512" s="18"/>
      <c r="E2512" s="18"/>
      <c r="F2512" s="18"/>
      <c r="G2512" s="4"/>
      <c r="H2512" s="4"/>
      <c r="I2512" s="18"/>
      <c r="J2512" s="91"/>
      <c r="K2512" s="18"/>
      <c r="L2512" s="18"/>
      <c r="M2512" s="18"/>
      <c r="N2512" s="18"/>
    </row>
    <row r="2513" ht="15.0" customHeight="1">
      <c r="A2513" s="18"/>
      <c r="B2513" s="18"/>
      <c r="C2513" s="18"/>
      <c r="D2513" s="18"/>
      <c r="E2513" s="18"/>
      <c r="F2513" s="18"/>
      <c r="G2513" s="4"/>
      <c r="H2513" s="4"/>
      <c r="I2513" s="18"/>
      <c r="J2513" s="91"/>
      <c r="K2513" s="18"/>
      <c r="L2513" s="18"/>
      <c r="M2513" s="18"/>
      <c r="N2513" s="18"/>
    </row>
    <row r="2514" ht="15.0" customHeight="1">
      <c r="A2514" s="18"/>
      <c r="B2514" s="18"/>
      <c r="C2514" s="18"/>
      <c r="D2514" s="18"/>
      <c r="E2514" s="18"/>
      <c r="F2514" s="18"/>
      <c r="G2514" s="4"/>
      <c r="H2514" s="4"/>
      <c r="I2514" s="18"/>
      <c r="J2514" s="91"/>
      <c r="K2514" s="18"/>
      <c r="L2514" s="18"/>
      <c r="M2514" s="18"/>
      <c r="N2514" s="18"/>
    </row>
    <row r="2515" ht="15.0" customHeight="1">
      <c r="A2515" s="18"/>
      <c r="B2515" s="18"/>
      <c r="C2515" s="18"/>
      <c r="D2515" s="18"/>
      <c r="E2515" s="18"/>
      <c r="F2515" s="18"/>
      <c r="G2515" s="4"/>
      <c r="H2515" s="4"/>
      <c r="I2515" s="18"/>
      <c r="J2515" s="91"/>
      <c r="K2515" s="18"/>
      <c r="L2515" s="18"/>
      <c r="M2515" s="18"/>
      <c r="N2515" s="18"/>
    </row>
    <row r="2516" ht="15.0" customHeight="1">
      <c r="A2516" s="18"/>
      <c r="B2516" s="18"/>
      <c r="C2516" s="18"/>
      <c r="D2516" s="18"/>
      <c r="E2516" s="18"/>
      <c r="F2516" s="18"/>
      <c r="G2516" s="4"/>
      <c r="H2516" s="4"/>
      <c r="I2516" s="18"/>
      <c r="J2516" s="91"/>
      <c r="K2516" s="18"/>
      <c r="L2516" s="18"/>
      <c r="M2516" s="18"/>
      <c r="N2516" s="18"/>
    </row>
    <row r="2517" ht="15.0" customHeight="1">
      <c r="A2517" s="18"/>
      <c r="B2517" s="18"/>
      <c r="C2517" s="18"/>
      <c r="D2517" s="18"/>
      <c r="E2517" s="18"/>
      <c r="F2517" s="18"/>
      <c r="G2517" s="4"/>
      <c r="H2517" s="4"/>
      <c r="I2517" s="18"/>
      <c r="J2517" s="91"/>
      <c r="K2517" s="18"/>
      <c r="L2517" s="18"/>
      <c r="M2517" s="18"/>
      <c r="N2517" s="18"/>
    </row>
    <row r="2518" ht="15.0" customHeight="1">
      <c r="A2518" s="18"/>
      <c r="B2518" s="18"/>
      <c r="C2518" s="18"/>
      <c r="D2518" s="18"/>
      <c r="E2518" s="18"/>
      <c r="F2518" s="18"/>
      <c r="G2518" s="4"/>
      <c r="H2518" s="4"/>
      <c r="I2518" s="18"/>
      <c r="J2518" s="91"/>
      <c r="K2518" s="18"/>
      <c r="L2518" s="18"/>
      <c r="M2518" s="18"/>
      <c r="N2518" s="18"/>
    </row>
    <row r="2519" ht="15.0" customHeight="1">
      <c r="A2519" s="18"/>
      <c r="B2519" s="18"/>
      <c r="C2519" s="18"/>
      <c r="D2519" s="18"/>
      <c r="E2519" s="18"/>
      <c r="F2519" s="18"/>
      <c r="G2519" s="4"/>
      <c r="H2519" s="4"/>
      <c r="I2519" s="18"/>
      <c r="J2519" s="91"/>
      <c r="K2519" s="18"/>
      <c r="L2519" s="18"/>
      <c r="M2519" s="18"/>
      <c r="N2519" s="18"/>
    </row>
    <row r="2520" ht="15.0" customHeight="1">
      <c r="A2520" s="18"/>
      <c r="B2520" s="18"/>
      <c r="C2520" s="18"/>
      <c r="D2520" s="18"/>
      <c r="E2520" s="18"/>
      <c r="F2520" s="18"/>
      <c r="G2520" s="4"/>
      <c r="H2520" s="4"/>
      <c r="I2520" s="18"/>
      <c r="J2520" s="91"/>
      <c r="K2520" s="18"/>
      <c r="L2520" s="18"/>
      <c r="M2520" s="18"/>
      <c r="N2520" s="18"/>
    </row>
    <row r="2521" ht="15.0" customHeight="1">
      <c r="A2521" s="18"/>
      <c r="B2521" s="18"/>
      <c r="C2521" s="18"/>
      <c r="D2521" s="18"/>
      <c r="E2521" s="18"/>
      <c r="F2521" s="18"/>
      <c r="G2521" s="4"/>
      <c r="H2521" s="4"/>
      <c r="I2521" s="18"/>
      <c r="J2521" s="91"/>
      <c r="K2521" s="18"/>
      <c r="L2521" s="18"/>
      <c r="M2521" s="18"/>
      <c r="N2521" s="18"/>
    </row>
    <row r="2522" ht="15.0" customHeight="1">
      <c r="A2522" s="18"/>
      <c r="B2522" s="18"/>
      <c r="C2522" s="18"/>
      <c r="D2522" s="18"/>
      <c r="E2522" s="18"/>
      <c r="F2522" s="18"/>
      <c r="G2522" s="4"/>
      <c r="H2522" s="4"/>
      <c r="I2522" s="18"/>
      <c r="J2522" s="91"/>
      <c r="K2522" s="18"/>
      <c r="L2522" s="18"/>
      <c r="M2522" s="18"/>
      <c r="N2522" s="18"/>
    </row>
    <row r="2523" ht="15.0" customHeight="1">
      <c r="A2523" s="18"/>
      <c r="B2523" s="18"/>
      <c r="C2523" s="18"/>
      <c r="D2523" s="18"/>
      <c r="E2523" s="18"/>
      <c r="F2523" s="18"/>
      <c r="G2523" s="4"/>
      <c r="H2523" s="4"/>
      <c r="I2523" s="18"/>
      <c r="J2523" s="91"/>
      <c r="K2523" s="18"/>
      <c r="L2523" s="18"/>
      <c r="M2523" s="18"/>
      <c r="N2523" s="18"/>
    </row>
    <row r="2524" ht="15.0" customHeight="1">
      <c r="A2524" s="18"/>
      <c r="B2524" s="18"/>
      <c r="C2524" s="18"/>
      <c r="D2524" s="18"/>
      <c r="E2524" s="18"/>
      <c r="F2524" s="18"/>
      <c r="G2524" s="4"/>
      <c r="H2524" s="4"/>
      <c r="I2524" s="18"/>
      <c r="J2524" s="91"/>
      <c r="K2524" s="18"/>
      <c r="L2524" s="18"/>
      <c r="M2524" s="18"/>
      <c r="N2524" s="18"/>
    </row>
    <row r="2525" ht="15.0" customHeight="1">
      <c r="A2525" s="18"/>
      <c r="B2525" s="18"/>
      <c r="C2525" s="18"/>
      <c r="D2525" s="18"/>
      <c r="E2525" s="18"/>
      <c r="F2525" s="18"/>
      <c r="G2525" s="4"/>
      <c r="H2525" s="4"/>
      <c r="I2525" s="18"/>
      <c r="J2525" s="91"/>
      <c r="K2525" s="18"/>
      <c r="L2525" s="18"/>
      <c r="M2525" s="18"/>
      <c r="N2525" s="18"/>
    </row>
    <row r="2526" ht="15.0" customHeight="1">
      <c r="A2526" s="18"/>
      <c r="B2526" s="18"/>
      <c r="C2526" s="18"/>
      <c r="D2526" s="18"/>
      <c r="E2526" s="18"/>
      <c r="F2526" s="18"/>
      <c r="G2526" s="4"/>
      <c r="H2526" s="4"/>
      <c r="I2526" s="18"/>
      <c r="J2526" s="91"/>
      <c r="K2526" s="18"/>
      <c r="L2526" s="18"/>
      <c r="M2526" s="18"/>
      <c r="N2526" s="18"/>
    </row>
    <row r="2527" ht="15.0" customHeight="1">
      <c r="A2527" s="18"/>
      <c r="B2527" s="18"/>
      <c r="C2527" s="18"/>
      <c r="D2527" s="18"/>
      <c r="E2527" s="18"/>
      <c r="F2527" s="18"/>
      <c r="G2527" s="4"/>
      <c r="H2527" s="4"/>
      <c r="I2527" s="18"/>
      <c r="J2527" s="91"/>
      <c r="K2527" s="18"/>
      <c r="L2527" s="18"/>
      <c r="M2527" s="18"/>
      <c r="N2527" s="18"/>
    </row>
    <row r="2528" ht="15.0" customHeight="1">
      <c r="A2528" s="18"/>
      <c r="B2528" s="18"/>
      <c r="C2528" s="18"/>
      <c r="D2528" s="18"/>
      <c r="E2528" s="18"/>
      <c r="F2528" s="18"/>
      <c r="G2528" s="4"/>
      <c r="H2528" s="4"/>
      <c r="I2528" s="18"/>
      <c r="J2528" s="91"/>
      <c r="K2528" s="18"/>
      <c r="L2528" s="18"/>
      <c r="M2528" s="18"/>
      <c r="N2528" s="18"/>
    </row>
    <row r="2529" ht="15.0" customHeight="1">
      <c r="A2529" s="18"/>
      <c r="B2529" s="18"/>
      <c r="C2529" s="18"/>
      <c r="D2529" s="18"/>
      <c r="E2529" s="18"/>
      <c r="F2529" s="18"/>
      <c r="G2529" s="4"/>
      <c r="H2529" s="4"/>
      <c r="I2529" s="18"/>
      <c r="J2529" s="91"/>
      <c r="K2529" s="18"/>
      <c r="L2529" s="18"/>
      <c r="M2529" s="18"/>
      <c r="N2529" s="18"/>
    </row>
    <row r="2530" ht="15.0" customHeight="1">
      <c r="A2530" s="18"/>
      <c r="B2530" s="18"/>
      <c r="C2530" s="18"/>
      <c r="D2530" s="18"/>
      <c r="E2530" s="18"/>
      <c r="F2530" s="18"/>
      <c r="G2530" s="4"/>
      <c r="H2530" s="4"/>
      <c r="I2530" s="18"/>
      <c r="J2530" s="91"/>
      <c r="K2530" s="18"/>
      <c r="L2530" s="18"/>
      <c r="M2530" s="18"/>
      <c r="N2530" s="18"/>
    </row>
    <row r="2531" ht="15.0" customHeight="1">
      <c r="A2531" s="18"/>
      <c r="B2531" s="18"/>
      <c r="C2531" s="18"/>
      <c r="D2531" s="18"/>
      <c r="E2531" s="18"/>
      <c r="F2531" s="18"/>
      <c r="G2531" s="4"/>
      <c r="H2531" s="4"/>
      <c r="I2531" s="18"/>
      <c r="J2531" s="91"/>
      <c r="K2531" s="18"/>
      <c r="L2531" s="18"/>
      <c r="M2531" s="18"/>
      <c r="N2531" s="18"/>
    </row>
    <row r="2532" ht="15.0" customHeight="1">
      <c r="A2532" s="18"/>
      <c r="B2532" s="18"/>
      <c r="C2532" s="18"/>
      <c r="D2532" s="18"/>
      <c r="E2532" s="18"/>
      <c r="F2532" s="18"/>
      <c r="G2532" s="4"/>
      <c r="H2532" s="4"/>
      <c r="I2532" s="18"/>
      <c r="J2532" s="91"/>
      <c r="K2532" s="18"/>
      <c r="L2532" s="18"/>
      <c r="M2532" s="18"/>
      <c r="N2532" s="18"/>
    </row>
    <row r="2533" ht="15.0" customHeight="1">
      <c r="A2533" s="18"/>
      <c r="B2533" s="18"/>
      <c r="C2533" s="18"/>
      <c r="D2533" s="18"/>
      <c r="E2533" s="18"/>
      <c r="F2533" s="18"/>
      <c r="G2533" s="4"/>
      <c r="H2533" s="4"/>
      <c r="I2533" s="18"/>
      <c r="J2533" s="91"/>
      <c r="K2533" s="18"/>
      <c r="L2533" s="18"/>
      <c r="M2533" s="18"/>
      <c r="N2533" s="18"/>
    </row>
    <row r="2534" ht="15.0" customHeight="1">
      <c r="A2534" s="18"/>
      <c r="B2534" s="18"/>
      <c r="C2534" s="18"/>
      <c r="D2534" s="18"/>
      <c r="E2534" s="18"/>
      <c r="F2534" s="18"/>
      <c r="G2534" s="4"/>
      <c r="H2534" s="4"/>
      <c r="I2534" s="18"/>
      <c r="J2534" s="91"/>
      <c r="K2534" s="18"/>
      <c r="L2534" s="18"/>
      <c r="M2534" s="18"/>
      <c r="N2534" s="18"/>
    </row>
    <row r="2535" ht="15.0" customHeight="1">
      <c r="A2535" s="18"/>
      <c r="B2535" s="18"/>
      <c r="C2535" s="18"/>
      <c r="D2535" s="18"/>
      <c r="E2535" s="18"/>
      <c r="F2535" s="18"/>
      <c r="G2535" s="4"/>
      <c r="H2535" s="4"/>
      <c r="I2535" s="18"/>
      <c r="J2535" s="91"/>
      <c r="K2535" s="18"/>
      <c r="L2535" s="18"/>
      <c r="M2535" s="18"/>
      <c r="N2535" s="18"/>
    </row>
    <row r="2536" ht="15.0" customHeight="1">
      <c r="A2536" s="18"/>
      <c r="B2536" s="18"/>
      <c r="C2536" s="18"/>
      <c r="D2536" s="18"/>
      <c r="E2536" s="18"/>
      <c r="F2536" s="18"/>
      <c r="G2536" s="4"/>
      <c r="H2536" s="4"/>
      <c r="I2536" s="18"/>
      <c r="J2536" s="91"/>
      <c r="K2536" s="18"/>
      <c r="L2536" s="18"/>
      <c r="M2536" s="18"/>
      <c r="N2536" s="18"/>
    </row>
    <row r="2537" ht="15.0" customHeight="1">
      <c r="A2537" s="18"/>
      <c r="B2537" s="18"/>
      <c r="C2537" s="18"/>
      <c r="D2537" s="18"/>
      <c r="E2537" s="18"/>
      <c r="F2537" s="18"/>
      <c r="G2537" s="4"/>
      <c r="H2537" s="4"/>
      <c r="I2537" s="18"/>
      <c r="J2537" s="91"/>
      <c r="K2537" s="18"/>
      <c r="L2537" s="18"/>
      <c r="M2537" s="18"/>
      <c r="N2537" s="18"/>
    </row>
    <row r="2538" ht="15.0" customHeight="1">
      <c r="A2538" s="18"/>
      <c r="B2538" s="18"/>
      <c r="C2538" s="18"/>
      <c r="D2538" s="18"/>
      <c r="E2538" s="18"/>
      <c r="F2538" s="18"/>
      <c r="G2538" s="4"/>
      <c r="H2538" s="4"/>
      <c r="I2538" s="18"/>
      <c r="J2538" s="91"/>
      <c r="K2538" s="18"/>
      <c r="L2538" s="18"/>
      <c r="M2538" s="18"/>
      <c r="N2538" s="18"/>
    </row>
    <row r="2539" ht="15.0" customHeight="1">
      <c r="A2539" s="18"/>
      <c r="B2539" s="18"/>
      <c r="C2539" s="18"/>
      <c r="D2539" s="18"/>
      <c r="E2539" s="18"/>
      <c r="F2539" s="18"/>
      <c r="G2539" s="4"/>
      <c r="H2539" s="4"/>
      <c r="I2539" s="18"/>
      <c r="J2539" s="91"/>
      <c r="K2539" s="18"/>
      <c r="L2539" s="18"/>
      <c r="M2539" s="18"/>
      <c r="N2539" s="18"/>
    </row>
    <row r="2540" ht="15.0" customHeight="1">
      <c r="A2540" s="18"/>
      <c r="B2540" s="18"/>
      <c r="C2540" s="18"/>
      <c r="D2540" s="18"/>
      <c r="E2540" s="18"/>
      <c r="F2540" s="18"/>
      <c r="G2540" s="4"/>
      <c r="H2540" s="4"/>
      <c r="I2540" s="18"/>
      <c r="J2540" s="91"/>
      <c r="K2540" s="18"/>
      <c r="L2540" s="18"/>
      <c r="M2540" s="18"/>
      <c r="N2540" s="18"/>
    </row>
    <row r="2541" ht="15.0" customHeight="1">
      <c r="A2541" s="18"/>
      <c r="B2541" s="18"/>
      <c r="C2541" s="18"/>
      <c r="D2541" s="18"/>
      <c r="E2541" s="18"/>
      <c r="F2541" s="18"/>
      <c r="G2541" s="4"/>
      <c r="H2541" s="4"/>
      <c r="I2541" s="18"/>
      <c r="J2541" s="91"/>
      <c r="K2541" s="18"/>
      <c r="L2541" s="18"/>
      <c r="M2541" s="18"/>
      <c r="N2541" s="18"/>
    </row>
    <row r="2542" ht="15.0" customHeight="1">
      <c r="A2542" s="18"/>
      <c r="B2542" s="18"/>
      <c r="C2542" s="18"/>
      <c r="D2542" s="18"/>
      <c r="E2542" s="18"/>
      <c r="F2542" s="18"/>
      <c r="G2542" s="4"/>
      <c r="H2542" s="4"/>
      <c r="I2542" s="18"/>
      <c r="J2542" s="91"/>
      <c r="K2542" s="18"/>
      <c r="L2542" s="18"/>
      <c r="M2542" s="18"/>
      <c r="N2542" s="18"/>
    </row>
    <row r="2543" ht="15.0" customHeight="1">
      <c r="A2543" s="18"/>
      <c r="B2543" s="18"/>
      <c r="C2543" s="18"/>
      <c r="D2543" s="18"/>
      <c r="E2543" s="18"/>
      <c r="F2543" s="18"/>
      <c r="G2543" s="4"/>
      <c r="H2543" s="4"/>
      <c r="I2543" s="18"/>
      <c r="J2543" s="91"/>
      <c r="K2543" s="18"/>
      <c r="L2543" s="18"/>
      <c r="M2543" s="18"/>
      <c r="N2543" s="18"/>
    </row>
    <row r="2544" ht="15.0" customHeight="1">
      <c r="A2544" s="18"/>
      <c r="B2544" s="18"/>
      <c r="C2544" s="18"/>
      <c r="D2544" s="18"/>
      <c r="E2544" s="18"/>
      <c r="F2544" s="18"/>
      <c r="G2544" s="4"/>
      <c r="H2544" s="4"/>
      <c r="I2544" s="18"/>
      <c r="J2544" s="91"/>
      <c r="K2544" s="18"/>
      <c r="L2544" s="18"/>
      <c r="M2544" s="18"/>
      <c r="N2544" s="18"/>
    </row>
    <row r="2545" ht="15.0" customHeight="1">
      <c r="A2545" s="18"/>
      <c r="B2545" s="18"/>
      <c r="C2545" s="18"/>
      <c r="D2545" s="18"/>
      <c r="E2545" s="18"/>
      <c r="F2545" s="18"/>
      <c r="G2545" s="4"/>
      <c r="H2545" s="4"/>
      <c r="I2545" s="18"/>
      <c r="J2545" s="91"/>
      <c r="K2545" s="18"/>
      <c r="L2545" s="18"/>
      <c r="M2545" s="18"/>
      <c r="N2545" s="18"/>
    </row>
    <row r="2546" ht="15.0" customHeight="1">
      <c r="A2546" s="18"/>
      <c r="B2546" s="18"/>
      <c r="C2546" s="18"/>
      <c r="D2546" s="18"/>
      <c r="E2546" s="18"/>
      <c r="F2546" s="18"/>
      <c r="G2546" s="4"/>
      <c r="H2546" s="4"/>
      <c r="I2546" s="18"/>
      <c r="J2546" s="91"/>
      <c r="K2546" s="18"/>
      <c r="L2546" s="18"/>
      <c r="M2546" s="18"/>
      <c r="N2546" s="18"/>
    </row>
    <row r="2547" ht="15.0" customHeight="1">
      <c r="A2547" s="18"/>
      <c r="B2547" s="18"/>
      <c r="C2547" s="18"/>
      <c r="D2547" s="18"/>
      <c r="E2547" s="18"/>
      <c r="F2547" s="18"/>
      <c r="G2547" s="4"/>
      <c r="H2547" s="4"/>
      <c r="I2547" s="18"/>
      <c r="J2547" s="91"/>
      <c r="K2547" s="18"/>
      <c r="L2547" s="18"/>
      <c r="M2547" s="18"/>
      <c r="N2547" s="18"/>
    </row>
    <row r="2548" ht="15.0" customHeight="1">
      <c r="A2548" s="18"/>
      <c r="B2548" s="18"/>
      <c r="C2548" s="18"/>
      <c r="D2548" s="18"/>
      <c r="E2548" s="18"/>
      <c r="F2548" s="18"/>
      <c r="G2548" s="4"/>
      <c r="H2548" s="4"/>
      <c r="I2548" s="18"/>
      <c r="J2548" s="91"/>
      <c r="K2548" s="18"/>
      <c r="L2548" s="18"/>
      <c r="M2548" s="18"/>
      <c r="N2548" s="18"/>
    </row>
    <row r="2549" ht="15.0" customHeight="1">
      <c r="A2549" s="18"/>
      <c r="B2549" s="18"/>
      <c r="C2549" s="18"/>
      <c r="D2549" s="18"/>
      <c r="E2549" s="18"/>
      <c r="F2549" s="18"/>
      <c r="G2549" s="4"/>
      <c r="H2549" s="4"/>
      <c r="I2549" s="18"/>
      <c r="J2549" s="91"/>
      <c r="K2549" s="18"/>
      <c r="L2549" s="18"/>
      <c r="M2549" s="18"/>
      <c r="N2549" s="18"/>
    </row>
    <row r="2550" ht="15.0" customHeight="1">
      <c r="A2550" s="18"/>
      <c r="B2550" s="18"/>
      <c r="C2550" s="18"/>
      <c r="D2550" s="18"/>
      <c r="E2550" s="18"/>
      <c r="F2550" s="18"/>
      <c r="G2550" s="4"/>
      <c r="H2550" s="4"/>
      <c r="I2550" s="18"/>
      <c r="J2550" s="91"/>
      <c r="K2550" s="18"/>
      <c r="L2550" s="18"/>
      <c r="M2550" s="18"/>
      <c r="N2550" s="18"/>
    </row>
    <row r="2551" ht="15.0" customHeight="1">
      <c r="A2551" s="18"/>
      <c r="B2551" s="18"/>
      <c r="C2551" s="18"/>
      <c r="D2551" s="18"/>
      <c r="E2551" s="18"/>
      <c r="F2551" s="18"/>
      <c r="G2551" s="4"/>
      <c r="H2551" s="4"/>
      <c r="I2551" s="18"/>
      <c r="J2551" s="91"/>
      <c r="K2551" s="18"/>
      <c r="L2551" s="18"/>
      <c r="M2551" s="18"/>
      <c r="N2551" s="18"/>
    </row>
    <row r="2552" ht="15.0" customHeight="1">
      <c r="A2552" s="18"/>
      <c r="B2552" s="18"/>
      <c r="C2552" s="18"/>
      <c r="D2552" s="18"/>
      <c r="E2552" s="18"/>
      <c r="F2552" s="18"/>
      <c r="G2552" s="4"/>
      <c r="H2552" s="4"/>
      <c r="I2552" s="18"/>
      <c r="J2552" s="91"/>
      <c r="K2552" s="18"/>
      <c r="L2552" s="18"/>
      <c r="M2552" s="18"/>
      <c r="N2552" s="18"/>
    </row>
    <row r="2553" ht="15.0" customHeight="1">
      <c r="A2553" s="18"/>
      <c r="B2553" s="18"/>
      <c r="C2553" s="18"/>
      <c r="D2553" s="18"/>
      <c r="E2553" s="18"/>
      <c r="F2553" s="18"/>
      <c r="G2553" s="4"/>
      <c r="H2553" s="4"/>
      <c r="I2553" s="18"/>
      <c r="J2553" s="91"/>
      <c r="K2553" s="18"/>
      <c r="L2553" s="18"/>
      <c r="M2553" s="18"/>
      <c r="N2553" s="18"/>
    </row>
    <row r="2554" ht="15.0" customHeight="1">
      <c r="A2554" s="18"/>
      <c r="B2554" s="18"/>
      <c r="C2554" s="18"/>
      <c r="D2554" s="18"/>
      <c r="E2554" s="18"/>
      <c r="F2554" s="18"/>
      <c r="G2554" s="4"/>
      <c r="H2554" s="4"/>
      <c r="I2554" s="18"/>
      <c r="J2554" s="91"/>
      <c r="K2554" s="18"/>
      <c r="L2554" s="18"/>
      <c r="M2554" s="18"/>
      <c r="N2554" s="18"/>
    </row>
    <row r="2555" ht="15.0" customHeight="1">
      <c r="A2555" s="18"/>
      <c r="B2555" s="18"/>
      <c r="C2555" s="18"/>
      <c r="D2555" s="18"/>
      <c r="E2555" s="18"/>
      <c r="F2555" s="18"/>
      <c r="G2555" s="4"/>
      <c r="H2555" s="4"/>
      <c r="I2555" s="18"/>
      <c r="J2555" s="91"/>
      <c r="K2555" s="18"/>
      <c r="L2555" s="18"/>
      <c r="M2555" s="18"/>
      <c r="N2555" s="18"/>
    </row>
    <row r="2556" ht="15.0" customHeight="1">
      <c r="A2556" s="18"/>
      <c r="B2556" s="18"/>
      <c r="C2556" s="18"/>
      <c r="D2556" s="18"/>
      <c r="E2556" s="18"/>
      <c r="F2556" s="18"/>
      <c r="G2556" s="4"/>
      <c r="H2556" s="4"/>
      <c r="I2556" s="18"/>
      <c r="J2556" s="91"/>
      <c r="K2556" s="18"/>
      <c r="L2556" s="18"/>
      <c r="M2556" s="18"/>
      <c r="N2556" s="18"/>
    </row>
    <row r="2557" ht="15.0" customHeight="1">
      <c r="A2557" s="18"/>
      <c r="B2557" s="18"/>
      <c r="C2557" s="18"/>
      <c r="D2557" s="18"/>
      <c r="E2557" s="18"/>
      <c r="F2557" s="18"/>
      <c r="G2557" s="4"/>
      <c r="H2557" s="4"/>
      <c r="I2557" s="18"/>
      <c r="J2557" s="91"/>
      <c r="K2557" s="18"/>
      <c r="L2557" s="18"/>
      <c r="M2557" s="18"/>
      <c r="N2557" s="18"/>
    </row>
    <row r="2558" ht="15.0" customHeight="1">
      <c r="A2558" s="18"/>
      <c r="B2558" s="18"/>
      <c r="C2558" s="18"/>
      <c r="D2558" s="18"/>
      <c r="E2558" s="18"/>
      <c r="F2558" s="18"/>
      <c r="G2558" s="4"/>
      <c r="H2558" s="4"/>
      <c r="I2558" s="18"/>
      <c r="J2558" s="91"/>
      <c r="K2558" s="18"/>
      <c r="L2558" s="18"/>
      <c r="M2558" s="18"/>
      <c r="N2558" s="18"/>
    </row>
    <row r="2559" ht="15.0" customHeight="1">
      <c r="A2559" s="18"/>
      <c r="B2559" s="18"/>
      <c r="C2559" s="18"/>
      <c r="D2559" s="18"/>
      <c r="E2559" s="18"/>
      <c r="F2559" s="18"/>
      <c r="G2559" s="4"/>
      <c r="H2559" s="4"/>
      <c r="I2559" s="18"/>
      <c r="J2559" s="91"/>
      <c r="K2559" s="18"/>
      <c r="L2559" s="18"/>
      <c r="M2559" s="18"/>
      <c r="N2559" s="18"/>
    </row>
    <row r="2560" ht="15.0" customHeight="1">
      <c r="A2560" s="18"/>
      <c r="B2560" s="18"/>
      <c r="C2560" s="18"/>
      <c r="D2560" s="18"/>
      <c r="E2560" s="18"/>
      <c r="F2560" s="18"/>
      <c r="G2560" s="4"/>
      <c r="H2560" s="4"/>
      <c r="I2560" s="18"/>
      <c r="J2560" s="91"/>
      <c r="K2560" s="18"/>
      <c r="L2560" s="18"/>
      <c r="M2560" s="18"/>
      <c r="N2560" s="18"/>
    </row>
    <row r="2561" ht="15.0" customHeight="1">
      <c r="A2561" s="18"/>
      <c r="B2561" s="18"/>
      <c r="C2561" s="18"/>
      <c r="D2561" s="18"/>
      <c r="E2561" s="18"/>
      <c r="F2561" s="18"/>
      <c r="G2561" s="4"/>
      <c r="H2561" s="4"/>
      <c r="I2561" s="18"/>
      <c r="J2561" s="91"/>
      <c r="K2561" s="18"/>
      <c r="L2561" s="18"/>
      <c r="M2561" s="18"/>
      <c r="N2561" s="18"/>
    </row>
    <row r="2562" ht="15.0" customHeight="1">
      <c r="A2562" s="18"/>
      <c r="B2562" s="18"/>
      <c r="C2562" s="18"/>
      <c r="D2562" s="18"/>
      <c r="E2562" s="18"/>
      <c r="F2562" s="18"/>
      <c r="G2562" s="4"/>
      <c r="H2562" s="4"/>
      <c r="I2562" s="18"/>
      <c r="J2562" s="91"/>
      <c r="K2562" s="18"/>
      <c r="L2562" s="18"/>
      <c r="M2562" s="18"/>
      <c r="N2562" s="18"/>
    </row>
    <row r="2563" ht="15.0" customHeight="1">
      <c r="A2563" s="18"/>
      <c r="B2563" s="18"/>
      <c r="C2563" s="18"/>
      <c r="D2563" s="18"/>
      <c r="E2563" s="18"/>
      <c r="F2563" s="18"/>
      <c r="G2563" s="4"/>
      <c r="H2563" s="4"/>
      <c r="I2563" s="18"/>
      <c r="J2563" s="91"/>
      <c r="K2563" s="18"/>
      <c r="L2563" s="18"/>
      <c r="M2563" s="18"/>
      <c r="N2563" s="18"/>
    </row>
    <row r="2564" ht="15.0" customHeight="1">
      <c r="A2564" s="18"/>
      <c r="B2564" s="18"/>
      <c r="C2564" s="18"/>
      <c r="D2564" s="18"/>
      <c r="E2564" s="18"/>
      <c r="F2564" s="18"/>
      <c r="G2564" s="4"/>
      <c r="H2564" s="4"/>
      <c r="I2564" s="18"/>
      <c r="J2564" s="91"/>
      <c r="K2564" s="18"/>
      <c r="L2564" s="18"/>
      <c r="M2564" s="18"/>
      <c r="N2564" s="18"/>
    </row>
    <row r="2565" ht="15.0" customHeight="1">
      <c r="A2565" s="18"/>
      <c r="B2565" s="18"/>
      <c r="C2565" s="18"/>
      <c r="D2565" s="18"/>
      <c r="E2565" s="18"/>
      <c r="F2565" s="18"/>
      <c r="G2565" s="4"/>
      <c r="H2565" s="4"/>
      <c r="I2565" s="18"/>
      <c r="J2565" s="91"/>
      <c r="K2565" s="18"/>
      <c r="L2565" s="18"/>
      <c r="M2565" s="18"/>
      <c r="N2565" s="18"/>
    </row>
    <row r="2566" ht="15.0" customHeight="1">
      <c r="A2566" s="18"/>
      <c r="B2566" s="18"/>
      <c r="C2566" s="18"/>
      <c r="D2566" s="18"/>
      <c r="E2566" s="18"/>
      <c r="F2566" s="18"/>
      <c r="G2566" s="4"/>
      <c r="H2566" s="4"/>
      <c r="I2566" s="18"/>
      <c r="J2566" s="91"/>
      <c r="K2566" s="18"/>
      <c r="L2566" s="18"/>
      <c r="M2566" s="18"/>
      <c r="N2566" s="18"/>
    </row>
    <row r="2567" ht="15.0" customHeight="1">
      <c r="A2567" s="18"/>
      <c r="B2567" s="18"/>
      <c r="C2567" s="18"/>
      <c r="D2567" s="18"/>
      <c r="E2567" s="18"/>
      <c r="F2567" s="18"/>
      <c r="G2567" s="4"/>
      <c r="H2567" s="4"/>
      <c r="I2567" s="18"/>
      <c r="J2567" s="91"/>
      <c r="K2567" s="18"/>
      <c r="L2567" s="18"/>
      <c r="M2567" s="18"/>
      <c r="N2567" s="18"/>
    </row>
    <row r="2568" ht="15.0" customHeight="1">
      <c r="A2568" s="18"/>
      <c r="B2568" s="18"/>
      <c r="C2568" s="18"/>
      <c r="D2568" s="18"/>
      <c r="E2568" s="18"/>
      <c r="F2568" s="18"/>
      <c r="G2568" s="4"/>
      <c r="H2568" s="4"/>
      <c r="I2568" s="18"/>
      <c r="J2568" s="91"/>
      <c r="K2568" s="18"/>
      <c r="L2568" s="18"/>
      <c r="M2568" s="18"/>
      <c r="N2568" s="18"/>
    </row>
    <row r="2569" ht="15.0" customHeight="1">
      <c r="A2569" s="18"/>
      <c r="B2569" s="18"/>
      <c r="C2569" s="18"/>
      <c r="D2569" s="18"/>
      <c r="E2569" s="18"/>
      <c r="F2569" s="18"/>
      <c r="G2569" s="4"/>
      <c r="H2569" s="4"/>
      <c r="I2569" s="18"/>
      <c r="J2569" s="91"/>
      <c r="K2569" s="18"/>
      <c r="L2569" s="18"/>
      <c r="M2569" s="18"/>
      <c r="N2569" s="18"/>
    </row>
    <row r="2570" ht="15.0" customHeight="1">
      <c r="A2570" s="18"/>
      <c r="B2570" s="18"/>
      <c r="C2570" s="18"/>
      <c r="D2570" s="18"/>
      <c r="E2570" s="18"/>
      <c r="F2570" s="18"/>
      <c r="G2570" s="4"/>
      <c r="H2570" s="4"/>
      <c r="I2570" s="18"/>
      <c r="J2570" s="91"/>
      <c r="K2570" s="18"/>
      <c r="L2570" s="18"/>
      <c r="M2570" s="18"/>
      <c r="N2570" s="18"/>
    </row>
    <row r="2571" ht="15.0" customHeight="1">
      <c r="A2571" s="18"/>
      <c r="B2571" s="18"/>
      <c r="C2571" s="18"/>
      <c r="D2571" s="18"/>
      <c r="E2571" s="18"/>
      <c r="F2571" s="18"/>
      <c r="G2571" s="4"/>
      <c r="H2571" s="4"/>
      <c r="I2571" s="18"/>
      <c r="J2571" s="91"/>
      <c r="K2571" s="18"/>
      <c r="L2571" s="18"/>
      <c r="M2571" s="18"/>
      <c r="N2571" s="18"/>
    </row>
    <row r="2572" ht="15.0" customHeight="1">
      <c r="A2572" s="18"/>
      <c r="B2572" s="18"/>
      <c r="C2572" s="18"/>
      <c r="D2572" s="18"/>
      <c r="E2572" s="18"/>
      <c r="F2572" s="18"/>
      <c r="G2572" s="4"/>
      <c r="H2572" s="4"/>
      <c r="I2572" s="18"/>
      <c r="J2572" s="91"/>
      <c r="K2572" s="18"/>
      <c r="L2572" s="18"/>
      <c r="M2572" s="18"/>
      <c r="N2572" s="18"/>
    </row>
    <row r="2573" ht="15.0" customHeight="1">
      <c r="A2573" s="18"/>
      <c r="B2573" s="18"/>
      <c r="C2573" s="18"/>
      <c r="D2573" s="18"/>
      <c r="E2573" s="18"/>
      <c r="F2573" s="18"/>
      <c r="G2573" s="4"/>
      <c r="H2573" s="4"/>
      <c r="I2573" s="18"/>
      <c r="J2573" s="91"/>
      <c r="K2573" s="18"/>
      <c r="L2573" s="18"/>
      <c r="M2573" s="18"/>
      <c r="N2573" s="18"/>
    </row>
    <row r="2574" ht="15.0" customHeight="1">
      <c r="A2574" s="18"/>
      <c r="B2574" s="18"/>
      <c r="C2574" s="18"/>
      <c r="D2574" s="18"/>
      <c r="E2574" s="18"/>
      <c r="F2574" s="18"/>
      <c r="G2574" s="4"/>
      <c r="H2574" s="4"/>
      <c r="I2574" s="18"/>
      <c r="J2574" s="91"/>
      <c r="K2574" s="18"/>
      <c r="L2574" s="18"/>
      <c r="M2574" s="18"/>
      <c r="N2574" s="18"/>
    </row>
    <row r="2575" ht="15.0" customHeight="1">
      <c r="A2575" s="18"/>
      <c r="B2575" s="18"/>
      <c r="C2575" s="18"/>
      <c r="D2575" s="18"/>
      <c r="E2575" s="18"/>
      <c r="F2575" s="18"/>
      <c r="G2575" s="4"/>
      <c r="H2575" s="4"/>
      <c r="I2575" s="18"/>
      <c r="J2575" s="91"/>
      <c r="K2575" s="18"/>
      <c r="L2575" s="18"/>
      <c r="M2575" s="18"/>
      <c r="N2575" s="18"/>
    </row>
    <row r="2576" ht="15.0" customHeight="1">
      <c r="A2576" s="18"/>
      <c r="B2576" s="18"/>
      <c r="C2576" s="18"/>
      <c r="D2576" s="18"/>
      <c r="E2576" s="18"/>
      <c r="F2576" s="18"/>
      <c r="G2576" s="4"/>
      <c r="H2576" s="4"/>
      <c r="I2576" s="18"/>
      <c r="J2576" s="91"/>
      <c r="K2576" s="18"/>
      <c r="L2576" s="18"/>
      <c r="M2576" s="18"/>
      <c r="N2576" s="18"/>
    </row>
    <row r="2577" ht="15.0" customHeight="1">
      <c r="A2577" s="18"/>
      <c r="B2577" s="18"/>
      <c r="C2577" s="18"/>
      <c r="D2577" s="18"/>
      <c r="E2577" s="18"/>
      <c r="F2577" s="18"/>
      <c r="G2577" s="4"/>
      <c r="H2577" s="4"/>
      <c r="I2577" s="18"/>
      <c r="J2577" s="91"/>
      <c r="K2577" s="18"/>
      <c r="L2577" s="18"/>
      <c r="M2577" s="18"/>
      <c r="N2577" s="18"/>
    </row>
    <row r="2578" ht="15.0" customHeight="1">
      <c r="A2578" s="18"/>
      <c r="B2578" s="18"/>
      <c r="C2578" s="18"/>
      <c r="D2578" s="18"/>
      <c r="E2578" s="18"/>
      <c r="F2578" s="18"/>
      <c r="G2578" s="4"/>
      <c r="H2578" s="4"/>
      <c r="I2578" s="18"/>
      <c r="J2578" s="91"/>
      <c r="K2578" s="18"/>
      <c r="L2578" s="18"/>
      <c r="M2578" s="18"/>
      <c r="N2578" s="18"/>
    </row>
    <row r="2579" ht="15.0" customHeight="1">
      <c r="A2579" s="18"/>
      <c r="B2579" s="18"/>
      <c r="C2579" s="18"/>
      <c r="D2579" s="18"/>
      <c r="E2579" s="18"/>
      <c r="F2579" s="18"/>
      <c r="G2579" s="4"/>
      <c r="H2579" s="4"/>
      <c r="I2579" s="18"/>
      <c r="J2579" s="91"/>
      <c r="K2579" s="18"/>
      <c r="L2579" s="18"/>
      <c r="M2579" s="18"/>
      <c r="N2579" s="18"/>
    </row>
    <row r="2580" ht="15.0" customHeight="1">
      <c r="A2580" s="18"/>
      <c r="B2580" s="18"/>
      <c r="C2580" s="18"/>
      <c r="D2580" s="18"/>
      <c r="E2580" s="18"/>
      <c r="F2580" s="18"/>
      <c r="G2580" s="4"/>
      <c r="H2580" s="4"/>
      <c r="I2580" s="18"/>
      <c r="J2580" s="91"/>
      <c r="K2580" s="18"/>
      <c r="L2580" s="18"/>
      <c r="M2580" s="18"/>
      <c r="N2580" s="18"/>
    </row>
    <row r="2581" ht="15.0" customHeight="1">
      <c r="A2581" s="18"/>
      <c r="B2581" s="18"/>
      <c r="C2581" s="18"/>
      <c r="D2581" s="18"/>
      <c r="E2581" s="18"/>
      <c r="F2581" s="18"/>
      <c r="G2581" s="4"/>
      <c r="H2581" s="4"/>
      <c r="I2581" s="18"/>
      <c r="J2581" s="91"/>
      <c r="K2581" s="18"/>
      <c r="L2581" s="18"/>
      <c r="M2581" s="18"/>
      <c r="N2581" s="18"/>
    </row>
    <row r="2582" ht="15.0" customHeight="1">
      <c r="A2582" s="18"/>
      <c r="B2582" s="18"/>
      <c r="C2582" s="18"/>
      <c r="D2582" s="18"/>
      <c r="E2582" s="18"/>
      <c r="F2582" s="18"/>
      <c r="G2582" s="4"/>
      <c r="H2582" s="4"/>
      <c r="I2582" s="18"/>
      <c r="J2582" s="91"/>
      <c r="K2582" s="18"/>
      <c r="L2582" s="18"/>
      <c r="M2582" s="18"/>
      <c r="N2582" s="18"/>
    </row>
    <row r="2583" ht="15.0" customHeight="1">
      <c r="A2583" s="18"/>
      <c r="B2583" s="18"/>
      <c r="C2583" s="18"/>
      <c r="D2583" s="18"/>
      <c r="E2583" s="18"/>
      <c r="F2583" s="18"/>
      <c r="G2583" s="4"/>
      <c r="H2583" s="4"/>
      <c r="I2583" s="18"/>
      <c r="J2583" s="91"/>
      <c r="K2583" s="18"/>
      <c r="L2583" s="18"/>
      <c r="M2583" s="18"/>
      <c r="N2583" s="18"/>
    </row>
    <row r="2584" ht="15.0" customHeight="1">
      <c r="A2584" s="18"/>
      <c r="B2584" s="18"/>
      <c r="C2584" s="18"/>
      <c r="D2584" s="18"/>
      <c r="E2584" s="18"/>
      <c r="F2584" s="18"/>
      <c r="G2584" s="4"/>
      <c r="H2584" s="4"/>
      <c r="I2584" s="18"/>
      <c r="J2584" s="91"/>
      <c r="K2584" s="18"/>
      <c r="L2584" s="18"/>
      <c r="M2584" s="18"/>
      <c r="N2584" s="18"/>
    </row>
    <row r="2585" ht="15.0" customHeight="1">
      <c r="A2585" s="18"/>
      <c r="B2585" s="18"/>
      <c r="C2585" s="18"/>
      <c r="D2585" s="18"/>
      <c r="E2585" s="18"/>
      <c r="F2585" s="18"/>
      <c r="G2585" s="4"/>
      <c r="H2585" s="4"/>
      <c r="I2585" s="18"/>
      <c r="J2585" s="91"/>
      <c r="K2585" s="18"/>
      <c r="L2585" s="18"/>
      <c r="M2585" s="18"/>
      <c r="N2585" s="18"/>
    </row>
    <row r="2586" ht="15.0" customHeight="1">
      <c r="A2586" s="18"/>
      <c r="B2586" s="18"/>
      <c r="C2586" s="18"/>
      <c r="D2586" s="18"/>
      <c r="E2586" s="18"/>
      <c r="F2586" s="18"/>
      <c r="G2586" s="4"/>
      <c r="H2586" s="4"/>
      <c r="I2586" s="18"/>
      <c r="J2586" s="91"/>
      <c r="K2586" s="18"/>
      <c r="L2586" s="18"/>
      <c r="M2586" s="18"/>
      <c r="N2586" s="18"/>
    </row>
    <row r="2587" ht="15.0" customHeight="1">
      <c r="A2587" s="18"/>
      <c r="B2587" s="18"/>
      <c r="C2587" s="18"/>
      <c r="D2587" s="18"/>
      <c r="E2587" s="18"/>
      <c r="F2587" s="18"/>
      <c r="G2587" s="4"/>
      <c r="H2587" s="4"/>
      <c r="I2587" s="18"/>
      <c r="J2587" s="91"/>
      <c r="K2587" s="18"/>
      <c r="L2587" s="18"/>
      <c r="M2587" s="18"/>
      <c r="N2587" s="18"/>
    </row>
    <row r="2588" ht="15.0" customHeight="1">
      <c r="A2588" s="18"/>
      <c r="B2588" s="18"/>
      <c r="C2588" s="18"/>
      <c r="D2588" s="18"/>
      <c r="E2588" s="18"/>
      <c r="F2588" s="18"/>
      <c r="G2588" s="4"/>
      <c r="H2588" s="4"/>
      <c r="I2588" s="18"/>
      <c r="J2588" s="91"/>
      <c r="K2588" s="18"/>
      <c r="L2588" s="18"/>
      <c r="M2588" s="18"/>
      <c r="N2588" s="18"/>
    </row>
    <row r="2589" ht="15.0" customHeight="1">
      <c r="A2589" s="18"/>
      <c r="B2589" s="18"/>
      <c r="C2589" s="18"/>
      <c r="D2589" s="18"/>
      <c r="E2589" s="18"/>
      <c r="F2589" s="18"/>
      <c r="G2589" s="4"/>
      <c r="H2589" s="4"/>
      <c r="I2589" s="18"/>
      <c r="J2589" s="91"/>
      <c r="K2589" s="18"/>
      <c r="L2589" s="18"/>
      <c r="M2589" s="18"/>
      <c r="N2589" s="18"/>
    </row>
    <row r="2590" ht="15.0" customHeight="1">
      <c r="A2590" s="18"/>
      <c r="B2590" s="18"/>
      <c r="C2590" s="18"/>
      <c r="D2590" s="18"/>
      <c r="E2590" s="18"/>
      <c r="F2590" s="18"/>
      <c r="G2590" s="4"/>
      <c r="H2590" s="4"/>
      <c r="I2590" s="18"/>
      <c r="J2590" s="91"/>
      <c r="K2590" s="18"/>
      <c r="L2590" s="18"/>
      <c r="M2590" s="18"/>
      <c r="N2590" s="18"/>
    </row>
    <row r="2591" ht="15.0" customHeight="1">
      <c r="A2591" s="18"/>
      <c r="B2591" s="18"/>
      <c r="C2591" s="18"/>
      <c r="D2591" s="18"/>
      <c r="E2591" s="18"/>
      <c r="F2591" s="18"/>
      <c r="G2591" s="4"/>
      <c r="H2591" s="4"/>
      <c r="I2591" s="18"/>
      <c r="J2591" s="91"/>
      <c r="K2591" s="18"/>
      <c r="L2591" s="18"/>
      <c r="M2591" s="18"/>
      <c r="N2591" s="18"/>
    </row>
    <row r="2592" ht="15.0" customHeight="1">
      <c r="A2592" s="18"/>
      <c r="B2592" s="18"/>
      <c r="C2592" s="18"/>
      <c r="D2592" s="18"/>
      <c r="E2592" s="18"/>
      <c r="F2592" s="18"/>
      <c r="G2592" s="4"/>
      <c r="H2592" s="4"/>
      <c r="I2592" s="18"/>
      <c r="J2592" s="91"/>
      <c r="K2592" s="18"/>
      <c r="L2592" s="18"/>
      <c r="M2592" s="18"/>
      <c r="N2592" s="18"/>
    </row>
    <row r="2593" ht="15.0" customHeight="1">
      <c r="A2593" s="18"/>
      <c r="B2593" s="18"/>
      <c r="C2593" s="18"/>
      <c r="D2593" s="18"/>
      <c r="E2593" s="18"/>
      <c r="F2593" s="18"/>
      <c r="G2593" s="4"/>
      <c r="H2593" s="4"/>
      <c r="I2593" s="18"/>
      <c r="J2593" s="91"/>
      <c r="K2593" s="18"/>
      <c r="L2593" s="18"/>
      <c r="M2593" s="18"/>
      <c r="N2593" s="18"/>
    </row>
    <row r="2594" ht="15.0" customHeight="1">
      <c r="A2594" s="18"/>
      <c r="B2594" s="18"/>
      <c r="C2594" s="18"/>
      <c r="D2594" s="18"/>
      <c r="E2594" s="18"/>
      <c r="F2594" s="18"/>
      <c r="G2594" s="4"/>
      <c r="H2594" s="4"/>
      <c r="I2594" s="18"/>
      <c r="J2594" s="91"/>
      <c r="K2594" s="18"/>
      <c r="L2594" s="18"/>
      <c r="M2594" s="18"/>
      <c r="N2594" s="18"/>
    </row>
    <row r="2595" ht="15.0" customHeight="1">
      <c r="A2595" s="18"/>
      <c r="B2595" s="18"/>
      <c r="C2595" s="18"/>
      <c r="D2595" s="18"/>
      <c r="E2595" s="18"/>
      <c r="F2595" s="18"/>
      <c r="G2595" s="4"/>
      <c r="H2595" s="4"/>
      <c r="I2595" s="18"/>
      <c r="J2595" s="91"/>
      <c r="K2595" s="18"/>
      <c r="L2595" s="18"/>
      <c r="M2595" s="18"/>
      <c r="N2595" s="18"/>
    </row>
    <row r="2596" ht="15.0" customHeight="1">
      <c r="A2596" s="18"/>
      <c r="B2596" s="18"/>
      <c r="C2596" s="18"/>
      <c r="D2596" s="18"/>
      <c r="E2596" s="18"/>
      <c r="F2596" s="18"/>
      <c r="G2596" s="4"/>
      <c r="H2596" s="4"/>
      <c r="I2596" s="18"/>
      <c r="J2596" s="91"/>
      <c r="K2596" s="18"/>
      <c r="L2596" s="18"/>
      <c r="M2596" s="18"/>
      <c r="N2596" s="18"/>
    </row>
    <row r="2597" ht="15.0" customHeight="1">
      <c r="A2597" s="18"/>
      <c r="B2597" s="18"/>
      <c r="C2597" s="18"/>
      <c r="D2597" s="18"/>
      <c r="E2597" s="18"/>
      <c r="F2597" s="18"/>
      <c r="G2597" s="4"/>
      <c r="H2597" s="4"/>
      <c r="I2597" s="18"/>
      <c r="J2597" s="91"/>
      <c r="K2597" s="18"/>
      <c r="L2597" s="18"/>
      <c r="M2597" s="18"/>
      <c r="N2597" s="18"/>
    </row>
    <row r="2598" ht="15.0" customHeight="1">
      <c r="A2598" s="18"/>
      <c r="B2598" s="18"/>
      <c r="C2598" s="18"/>
      <c r="D2598" s="18"/>
      <c r="E2598" s="18"/>
      <c r="F2598" s="18"/>
      <c r="G2598" s="4"/>
      <c r="H2598" s="4"/>
      <c r="I2598" s="18"/>
      <c r="J2598" s="91"/>
      <c r="K2598" s="18"/>
      <c r="L2598" s="18"/>
      <c r="M2598" s="18"/>
      <c r="N2598" s="18"/>
    </row>
    <row r="2599" ht="15.0" customHeight="1">
      <c r="A2599" s="18"/>
      <c r="B2599" s="18"/>
      <c r="C2599" s="18"/>
      <c r="D2599" s="18"/>
      <c r="E2599" s="18"/>
      <c r="F2599" s="18"/>
      <c r="G2599" s="4"/>
      <c r="H2599" s="4"/>
      <c r="I2599" s="18"/>
      <c r="J2599" s="91"/>
      <c r="K2599" s="18"/>
      <c r="L2599" s="18"/>
      <c r="M2599" s="18"/>
      <c r="N2599" s="18"/>
    </row>
    <row r="2600" ht="15.0" customHeight="1">
      <c r="A2600" s="18"/>
      <c r="B2600" s="18"/>
      <c r="C2600" s="18"/>
      <c r="D2600" s="18"/>
      <c r="E2600" s="18"/>
      <c r="F2600" s="18"/>
      <c r="G2600" s="4"/>
      <c r="H2600" s="4"/>
      <c r="I2600" s="18"/>
      <c r="J2600" s="91"/>
      <c r="K2600" s="18"/>
      <c r="L2600" s="18"/>
      <c r="M2600" s="18"/>
      <c r="N2600" s="18"/>
    </row>
    <row r="2601" ht="15.0" customHeight="1">
      <c r="A2601" s="18"/>
      <c r="B2601" s="18"/>
      <c r="C2601" s="18"/>
      <c r="D2601" s="18"/>
      <c r="E2601" s="18"/>
      <c r="F2601" s="18"/>
      <c r="G2601" s="4"/>
      <c r="H2601" s="4"/>
      <c r="I2601" s="18"/>
      <c r="J2601" s="91"/>
      <c r="K2601" s="18"/>
      <c r="L2601" s="18"/>
      <c r="M2601" s="18"/>
      <c r="N2601" s="18"/>
    </row>
    <row r="2602" ht="15.0" customHeight="1">
      <c r="A2602" s="18"/>
      <c r="B2602" s="18"/>
      <c r="C2602" s="18"/>
      <c r="D2602" s="18"/>
      <c r="E2602" s="18"/>
      <c r="F2602" s="18"/>
      <c r="G2602" s="4"/>
      <c r="H2602" s="4"/>
      <c r="I2602" s="18"/>
      <c r="J2602" s="91"/>
      <c r="K2602" s="18"/>
      <c r="L2602" s="18"/>
      <c r="M2602" s="18"/>
      <c r="N2602" s="18"/>
    </row>
    <row r="2603" ht="15.0" customHeight="1">
      <c r="A2603" s="18"/>
      <c r="B2603" s="18"/>
      <c r="C2603" s="18"/>
      <c r="D2603" s="18"/>
      <c r="E2603" s="18"/>
      <c r="F2603" s="18"/>
      <c r="G2603" s="4"/>
      <c r="H2603" s="4"/>
      <c r="I2603" s="18"/>
      <c r="J2603" s="91"/>
      <c r="K2603" s="18"/>
      <c r="L2603" s="18"/>
      <c r="M2603" s="18"/>
      <c r="N2603" s="18"/>
    </row>
    <row r="2604" ht="15.0" customHeight="1">
      <c r="A2604" s="18"/>
      <c r="B2604" s="18"/>
      <c r="C2604" s="18"/>
      <c r="D2604" s="18"/>
      <c r="E2604" s="18"/>
      <c r="F2604" s="18"/>
      <c r="G2604" s="4"/>
      <c r="H2604" s="4"/>
      <c r="I2604" s="18"/>
      <c r="J2604" s="91"/>
      <c r="K2604" s="18"/>
      <c r="L2604" s="18"/>
      <c r="M2604" s="18"/>
      <c r="N2604" s="18"/>
    </row>
    <row r="2605" ht="15.0" customHeight="1">
      <c r="A2605" s="18"/>
      <c r="B2605" s="18"/>
      <c r="C2605" s="18"/>
      <c r="D2605" s="18"/>
      <c r="E2605" s="18"/>
      <c r="F2605" s="18"/>
      <c r="G2605" s="4"/>
      <c r="H2605" s="4"/>
      <c r="I2605" s="18"/>
      <c r="J2605" s="91"/>
      <c r="K2605" s="18"/>
      <c r="L2605" s="18"/>
      <c r="M2605" s="18"/>
      <c r="N2605" s="18"/>
    </row>
    <row r="2606" ht="15.0" customHeight="1">
      <c r="A2606" s="18"/>
      <c r="B2606" s="18"/>
      <c r="C2606" s="18"/>
      <c r="D2606" s="18"/>
      <c r="E2606" s="18"/>
      <c r="F2606" s="18"/>
      <c r="G2606" s="4"/>
      <c r="H2606" s="4"/>
      <c r="I2606" s="18"/>
      <c r="J2606" s="91"/>
      <c r="K2606" s="18"/>
      <c r="L2606" s="18"/>
      <c r="M2606" s="18"/>
      <c r="N2606" s="18"/>
    </row>
    <row r="2607" ht="15.0" customHeight="1">
      <c r="A2607" s="18"/>
      <c r="B2607" s="18"/>
      <c r="C2607" s="18"/>
      <c r="D2607" s="18"/>
      <c r="E2607" s="18"/>
      <c r="F2607" s="18"/>
      <c r="G2607" s="4"/>
      <c r="H2607" s="4"/>
      <c r="I2607" s="18"/>
      <c r="J2607" s="91"/>
      <c r="K2607" s="18"/>
      <c r="L2607" s="18"/>
      <c r="M2607" s="18"/>
      <c r="N2607" s="18"/>
    </row>
    <row r="2608" ht="15.0" customHeight="1">
      <c r="A2608" s="18"/>
      <c r="B2608" s="18"/>
      <c r="C2608" s="18"/>
      <c r="D2608" s="18"/>
      <c r="E2608" s="18"/>
      <c r="F2608" s="18"/>
      <c r="G2608" s="4"/>
      <c r="H2608" s="4"/>
      <c r="I2608" s="18"/>
      <c r="J2608" s="91"/>
      <c r="K2608" s="18"/>
      <c r="L2608" s="18"/>
      <c r="M2608" s="18"/>
      <c r="N2608" s="18"/>
    </row>
    <row r="2609" ht="15.0" customHeight="1">
      <c r="A2609" s="18"/>
      <c r="B2609" s="18"/>
      <c r="C2609" s="18"/>
      <c r="D2609" s="18"/>
      <c r="E2609" s="18"/>
      <c r="F2609" s="18"/>
      <c r="G2609" s="4"/>
      <c r="H2609" s="4"/>
      <c r="I2609" s="18"/>
      <c r="J2609" s="91"/>
      <c r="K2609" s="18"/>
      <c r="L2609" s="18"/>
      <c r="M2609" s="18"/>
      <c r="N2609" s="18"/>
    </row>
    <row r="2610" ht="15.0" customHeight="1">
      <c r="A2610" s="18"/>
      <c r="B2610" s="18"/>
      <c r="C2610" s="18"/>
      <c r="D2610" s="18"/>
      <c r="E2610" s="18"/>
      <c r="F2610" s="18"/>
      <c r="G2610" s="4"/>
      <c r="H2610" s="4"/>
      <c r="I2610" s="18"/>
      <c r="J2610" s="91"/>
      <c r="K2610" s="18"/>
      <c r="L2610" s="18"/>
      <c r="M2610" s="18"/>
      <c r="N2610" s="18"/>
    </row>
    <row r="2611" ht="15.0" customHeight="1">
      <c r="A2611" s="18"/>
      <c r="B2611" s="18"/>
      <c r="C2611" s="18"/>
      <c r="D2611" s="18"/>
      <c r="E2611" s="18"/>
      <c r="F2611" s="18"/>
      <c r="G2611" s="4"/>
      <c r="H2611" s="4"/>
      <c r="I2611" s="18"/>
      <c r="J2611" s="91"/>
      <c r="K2611" s="18"/>
      <c r="L2611" s="18"/>
      <c r="M2611" s="18"/>
      <c r="N2611" s="18"/>
    </row>
    <row r="2612" ht="15.0" customHeight="1">
      <c r="A2612" s="18"/>
      <c r="B2612" s="18"/>
      <c r="C2612" s="18"/>
      <c r="D2612" s="18"/>
      <c r="E2612" s="18"/>
      <c r="F2612" s="18"/>
      <c r="G2612" s="4"/>
      <c r="H2612" s="4"/>
      <c r="I2612" s="18"/>
      <c r="J2612" s="91"/>
      <c r="K2612" s="18"/>
      <c r="L2612" s="18"/>
      <c r="M2612" s="18"/>
      <c r="N2612" s="18"/>
    </row>
    <row r="2613" ht="15.0" customHeight="1">
      <c r="A2613" s="18"/>
      <c r="B2613" s="18"/>
      <c r="C2613" s="18"/>
      <c r="D2613" s="18"/>
      <c r="E2613" s="18"/>
      <c r="F2613" s="18"/>
      <c r="G2613" s="4"/>
      <c r="H2613" s="4"/>
      <c r="I2613" s="18"/>
      <c r="J2613" s="91"/>
      <c r="K2613" s="18"/>
      <c r="L2613" s="18"/>
      <c r="M2613" s="18"/>
      <c r="N2613" s="18"/>
    </row>
    <row r="2614" ht="15.0" customHeight="1">
      <c r="A2614" s="18"/>
      <c r="B2614" s="18"/>
      <c r="C2614" s="18"/>
      <c r="D2614" s="18"/>
      <c r="E2614" s="18"/>
      <c r="F2614" s="18"/>
      <c r="G2614" s="4"/>
      <c r="H2614" s="4"/>
      <c r="I2614" s="18"/>
      <c r="J2614" s="91"/>
      <c r="K2614" s="18"/>
      <c r="L2614" s="18"/>
      <c r="M2614" s="18"/>
      <c r="N2614" s="18"/>
    </row>
    <row r="2615" ht="15.0" customHeight="1">
      <c r="A2615" s="18"/>
      <c r="B2615" s="18"/>
      <c r="C2615" s="18"/>
      <c r="D2615" s="18"/>
      <c r="E2615" s="18"/>
      <c r="F2615" s="18"/>
      <c r="G2615" s="4"/>
      <c r="H2615" s="4"/>
      <c r="I2615" s="18"/>
      <c r="J2615" s="91"/>
      <c r="K2615" s="18"/>
      <c r="L2615" s="18"/>
      <c r="M2615" s="18"/>
      <c r="N2615" s="18"/>
    </row>
    <row r="2616" ht="15.0" customHeight="1">
      <c r="A2616" s="18"/>
      <c r="B2616" s="18"/>
      <c r="C2616" s="18"/>
      <c r="D2616" s="18"/>
      <c r="E2616" s="18"/>
      <c r="F2616" s="18"/>
      <c r="G2616" s="4"/>
      <c r="H2616" s="4"/>
      <c r="I2616" s="18"/>
      <c r="J2616" s="91"/>
      <c r="K2616" s="18"/>
      <c r="L2616" s="18"/>
      <c r="M2616" s="18"/>
      <c r="N2616" s="18"/>
    </row>
    <row r="2617" ht="15.0" customHeight="1">
      <c r="A2617" s="18"/>
      <c r="B2617" s="18"/>
      <c r="C2617" s="18"/>
      <c r="D2617" s="18"/>
      <c r="E2617" s="18"/>
      <c r="F2617" s="18"/>
      <c r="G2617" s="4"/>
      <c r="H2617" s="4"/>
      <c r="I2617" s="18"/>
      <c r="J2617" s="91"/>
      <c r="K2617" s="18"/>
      <c r="L2617" s="18"/>
      <c r="M2617" s="18"/>
      <c r="N2617" s="18"/>
    </row>
    <row r="2618" ht="15.0" customHeight="1">
      <c r="A2618" s="18"/>
      <c r="B2618" s="18"/>
      <c r="C2618" s="18"/>
      <c r="D2618" s="18"/>
      <c r="E2618" s="18"/>
      <c r="F2618" s="18"/>
      <c r="G2618" s="4"/>
      <c r="H2618" s="4"/>
      <c r="I2618" s="18"/>
      <c r="J2618" s="91"/>
      <c r="K2618" s="18"/>
      <c r="L2618" s="18"/>
      <c r="M2618" s="18"/>
      <c r="N2618" s="18"/>
    </row>
    <row r="2619" ht="15.0" customHeight="1">
      <c r="A2619" s="18"/>
      <c r="B2619" s="18"/>
      <c r="C2619" s="18"/>
      <c r="D2619" s="18"/>
      <c r="E2619" s="18"/>
      <c r="F2619" s="18"/>
      <c r="G2619" s="4"/>
      <c r="H2619" s="4"/>
      <c r="I2619" s="18"/>
      <c r="J2619" s="91"/>
      <c r="K2619" s="18"/>
      <c r="L2619" s="18"/>
      <c r="M2619" s="18"/>
      <c r="N2619" s="18"/>
    </row>
    <row r="2620" ht="15.0" customHeight="1">
      <c r="A2620" s="18"/>
      <c r="B2620" s="18"/>
      <c r="C2620" s="18"/>
      <c r="D2620" s="18"/>
      <c r="E2620" s="18"/>
      <c r="F2620" s="18"/>
      <c r="G2620" s="4"/>
      <c r="H2620" s="4"/>
      <c r="I2620" s="18"/>
      <c r="J2620" s="91"/>
      <c r="K2620" s="18"/>
      <c r="L2620" s="18"/>
      <c r="M2620" s="18"/>
      <c r="N2620" s="18"/>
    </row>
    <row r="2621" ht="15.0" customHeight="1">
      <c r="A2621" s="18"/>
      <c r="B2621" s="18"/>
      <c r="C2621" s="18"/>
      <c r="D2621" s="18"/>
      <c r="E2621" s="18"/>
      <c r="F2621" s="18"/>
      <c r="G2621" s="4"/>
      <c r="H2621" s="4"/>
      <c r="I2621" s="18"/>
      <c r="J2621" s="91"/>
      <c r="K2621" s="18"/>
      <c r="L2621" s="18"/>
      <c r="M2621" s="18"/>
      <c r="N2621" s="18"/>
    </row>
    <row r="2622" ht="15.0" customHeight="1">
      <c r="A2622" s="18"/>
      <c r="B2622" s="18"/>
      <c r="C2622" s="18"/>
      <c r="D2622" s="18"/>
      <c r="E2622" s="18"/>
      <c r="F2622" s="18"/>
      <c r="G2622" s="4"/>
      <c r="H2622" s="4"/>
      <c r="I2622" s="18"/>
      <c r="J2622" s="91"/>
      <c r="K2622" s="18"/>
      <c r="L2622" s="18"/>
      <c r="M2622" s="18"/>
      <c r="N2622" s="18"/>
    </row>
    <row r="2623" ht="15.0" customHeight="1">
      <c r="A2623" s="18"/>
      <c r="B2623" s="18"/>
      <c r="C2623" s="18"/>
      <c r="D2623" s="18"/>
      <c r="E2623" s="18"/>
      <c r="F2623" s="18"/>
      <c r="G2623" s="4"/>
      <c r="H2623" s="4"/>
      <c r="I2623" s="18"/>
      <c r="J2623" s="91"/>
      <c r="K2623" s="18"/>
      <c r="L2623" s="18"/>
      <c r="M2623" s="18"/>
      <c r="N2623" s="18"/>
    </row>
    <row r="2624" ht="15.0" customHeight="1">
      <c r="A2624" s="18"/>
      <c r="B2624" s="18"/>
      <c r="C2624" s="18"/>
      <c r="D2624" s="18"/>
      <c r="E2624" s="18"/>
      <c r="F2624" s="18"/>
      <c r="G2624" s="4"/>
      <c r="H2624" s="4"/>
      <c r="I2624" s="18"/>
      <c r="J2624" s="91"/>
      <c r="K2624" s="18"/>
      <c r="L2624" s="18"/>
      <c r="M2624" s="18"/>
      <c r="N2624" s="18"/>
    </row>
    <row r="2625" ht="15.0" customHeight="1">
      <c r="A2625" s="18"/>
      <c r="B2625" s="18"/>
      <c r="C2625" s="18"/>
      <c r="D2625" s="18"/>
      <c r="E2625" s="18"/>
      <c r="F2625" s="18"/>
      <c r="G2625" s="4"/>
      <c r="H2625" s="4"/>
      <c r="I2625" s="18"/>
      <c r="J2625" s="91"/>
      <c r="K2625" s="18"/>
      <c r="L2625" s="18"/>
      <c r="M2625" s="18"/>
      <c r="N2625" s="18"/>
    </row>
    <row r="2626" ht="15.0" customHeight="1">
      <c r="A2626" s="18"/>
      <c r="B2626" s="18"/>
      <c r="C2626" s="18"/>
      <c r="D2626" s="18"/>
      <c r="E2626" s="18"/>
      <c r="F2626" s="18"/>
      <c r="G2626" s="4"/>
      <c r="H2626" s="4"/>
      <c r="I2626" s="18"/>
      <c r="J2626" s="91"/>
      <c r="K2626" s="18"/>
      <c r="L2626" s="18"/>
      <c r="M2626" s="18"/>
      <c r="N2626" s="18"/>
    </row>
    <row r="2627" ht="15.0" customHeight="1">
      <c r="A2627" s="18"/>
      <c r="B2627" s="18"/>
      <c r="C2627" s="18"/>
      <c r="D2627" s="18"/>
      <c r="E2627" s="18"/>
      <c r="F2627" s="18"/>
      <c r="G2627" s="4"/>
      <c r="H2627" s="4"/>
      <c r="I2627" s="18"/>
      <c r="J2627" s="91"/>
      <c r="K2627" s="18"/>
      <c r="L2627" s="18"/>
      <c r="M2627" s="18"/>
      <c r="N2627" s="18"/>
    </row>
    <row r="2628" ht="15.0" customHeight="1">
      <c r="A2628" s="18"/>
      <c r="B2628" s="18"/>
      <c r="C2628" s="18"/>
      <c r="D2628" s="18"/>
      <c r="E2628" s="18"/>
      <c r="F2628" s="18"/>
      <c r="G2628" s="4"/>
      <c r="H2628" s="4"/>
      <c r="I2628" s="18"/>
      <c r="J2628" s="91"/>
      <c r="K2628" s="18"/>
      <c r="L2628" s="18"/>
      <c r="M2628" s="18"/>
      <c r="N2628" s="18"/>
    </row>
    <row r="2629" ht="15.0" customHeight="1">
      <c r="A2629" s="18"/>
      <c r="B2629" s="18"/>
      <c r="C2629" s="18"/>
      <c r="D2629" s="18"/>
      <c r="E2629" s="18"/>
      <c r="F2629" s="18"/>
      <c r="G2629" s="4"/>
      <c r="H2629" s="4"/>
      <c r="I2629" s="18"/>
      <c r="J2629" s="91"/>
      <c r="K2629" s="18"/>
      <c r="L2629" s="18"/>
      <c r="M2629" s="18"/>
      <c r="N2629" s="18"/>
    </row>
    <row r="2630" ht="15.0" customHeight="1">
      <c r="A2630" s="18"/>
      <c r="B2630" s="18"/>
      <c r="C2630" s="18"/>
      <c r="D2630" s="18"/>
      <c r="E2630" s="18"/>
      <c r="F2630" s="18"/>
      <c r="G2630" s="4"/>
      <c r="H2630" s="4"/>
      <c r="I2630" s="18"/>
      <c r="J2630" s="91"/>
      <c r="K2630" s="18"/>
      <c r="L2630" s="18"/>
      <c r="M2630" s="18"/>
      <c r="N2630" s="18"/>
    </row>
    <row r="2631" ht="15.0" customHeight="1">
      <c r="A2631" s="18"/>
      <c r="B2631" s="18"/>
      <c r="C2631" s="18"/>
      <c r="D2631" s="18"/>
      <c r="E2631" s="18"/>
      <c r="F2631" s="18"/>
      <c r="G2631" s="4"/>
      <c r="H2631" s="4"/>
      <c r="I2631" s="18"/>
      <c r="J2631" s="91"/>
      <c r="K2631" s="18"/>
      <c r="L2631" s="18"/>
      <c r="M2631" s="18"/>
      <c r="N2631" s="18"/>
    </row>
    <row r="2632" ht="15.0" customHeight="1">
      <c r="A2632" s="18"/>
      <c r="B2632" s="18"/>
      <c r="C2632" s="18"/>
      <c r="D2632" s="18"/>
      <c r="E2632" s="18"/>
      <c r="F2632" s="18"/>
      <c r="G2632" s="4"/>
      <c r="H2632" s="4"/>
      <c r="I2632" s="18"/>
      <c r="J2632" s="91"/>
      <c r="K2632" s="18"/>
      <c r="L2632" s="18"/>
      <c r="M2632" s="18"/>
      <c r="N2632" s="18"/>
    </row>
    <row r="2633" ht="15.0" customHeight="1">
      <c r="A2633" s="18"/>
      <c r="B2633" s="18"/>
      <c r="C2633" s="18"/>
      <c r="D2633" s="18"/>
      <c r="E2633" s="18"/>
      <c r="F2633" s="18"/>
      <c r="G2633" s="4"/>
      <c r="H2633" s="4"/>
      <c r="I2633" s="18"/>
      <c r="J2633" s="91"/>
      <c r="K2633" s="18"/>
      <c r="L2633" s="18"/>
      <c r="M2633" s="18"/>
      <c r="N2633" s="18"/>
    </row>
    <row r="2634" ht="15.0" customHeight="1">
      <c r="A2634" s="18"/>
      <c r="B2634" s="18"/>
      <c r="C2634" s="18"/>
      <c r="D2634" s="18"/>
      <c r="E2634" s="18"/>
      <c r="F2634" s="18"/>
      <c r="G2634" s="4"/>
      <c r="H2634" s="4"/>
      <c r="I2634" s="18"/>
      <c r="J2634" s="91"/>
      <c r="K2634" s="18"/>
      <c r="L2634" s="18"/>
      <c r="M2634" s="18"/>
      <c r="N2634" s="18"/>
    </row>
    <row r="2635" ht="15.0" customHeight="1">
      <c r="A2635" s="18"/>
      <c r="B2635" s="18"/>
      <c r="C2635" s="18"/>
      <c r="D2635" s="18"/>
      <c r="E2635" s="18"/>
      <c r="F2635" s="18"/>
      <c r="G2635" s="4"/>
      <c r="H2635" s="4"/>
      <c r="I2635" s="18"/>
      <c r="J2635" s="91"/>
      <c r="K2635" s="18"/>
      <c r="L2635" s="18"/>
      <c r="M2635" s="18"/>
      <c r="N2635" s="18"/>
    </row>
    <row r="2636" ht="15.0" customHeight="1">
      <c r="A2636" s="18"/>
      <c r="B2636" s="18"/>
      <c r="C2636" s="18"/>
      <c r="D2636" s="18"/>
      <c r="E2636" s="18"/>
      <c r="F2636" s="18"/>
      <c r="G2636" s="4"/>
      <c r="H2636" s="4"/>
      <c r="I2636" s="18"/>
      <c r="J2636" s="91"/>
      <c r="K2636" s="18"/>
      <c r="L2636" s="18"/>
      <c r="M2636" s="18"/>
      <c r="N2636" s="18"/>
    </row>
    <row r="2637" ht="15.0" customHeight="1">
      <c r="A2637" s="18"/>
      <c r="B2637" s="18"/>
      <c r="C2637" s="18"/>
      <c r="D2637" s="18"/>
      <c r="E2637" s="18"/>
      <c r="F2637" s="18"/>
      <c r="G2637" s="4"/>
      <c r="H2637" s="4"/>
      <c r="I2637" s="18"/>
      <c r="J2637" s="91"/>
      <c r="K2637" s="18"/>
      <c r="L2637" s="18"/>
      <c r="M2637" s="18"/>
      <c r="N2637" s="18"/>
    </row>
    <row r="2638" ht="15.0" customHeight="1">
      <c r="A2638" s="18"/>
      <c r="B2638" s="18"/>
      <c r="C2638" s="18"/>
      <c r="D2638" s="18"/>
      <c r="E2638" s="18"/>
      <c r="F2638" s="18"/>
      <c r="G2638" s="4"/>
      <c r="H2638" s="4"/>
      <c r="I2638" s="18"/>
      <c r="J2638" s="91"/>
      <c r="K2638" s="18"/>
      <c r="L2638" s="18"/>
      <c r="M2638" s="18"/>
      <c r="N2638" s="18"/>
    </row>
    <row r="2639" ht="15.0" customHeight="1">
      <c r="A2639" s="18"/>
      <c r="B2639" s="18"/>
      <c r="C2639" s="18"/>
      <c r="D2639" s="18"/>
      <c r="E2639" s="18"/>
      <c r="F2639" s="18"/>
      <c r="G2639" s="4"/>
      <c r="H2639" s="4"/>
      <c r="I2639" s="18"/>
      <c r="J2639" s="91"/>
      <c r="K2639" s="18"/>
      <c r="L2639" s="18"/>
      <c r="M2639" s="18"/>
      <c r="N2639" s="18"/>
    </row>
    <row r="2640" ht="15.0" customHeight="1">
      <c r="A2640" s="18"/>
      <c r="B2640" s="18"/>
      <c r="C2640" s="18"/>
      <c r="D2640" s="18"/>
      <c r="E2640" s="18"/>
      <c r="F2640" s="18"/>
      <c r="G2640" s="4"/>
      <c r="H2640" s="4"/>
      <c r="I2640" s="18"/>
      <c r="J2640" s="91"/>
      <c r="K2640" s="18"/>
      <c r="L2640" s="18"/>
      <c r="M2640" s="18"/>
      <c r="N2640" s="18"/>
    </row>
    <row r="2641" ht="15.0" customHeight="1">
      <c r="A2641" s="18"/>
      <c r="B2641" s="18"/>
      <c r="C2641" s="18"/>
      <c r="D2641" s="18"/>
      <c r="E2641" s="18"/>
      <c r="F2641" s="18"/>
      <c r="G2641" s="4"/>
      <c r="H2641" s="4"/>
      <c r="I2641" s="18"/>
      <c r="J2641" s="91"/>
      <c r="K2641" s="18"/>
      <c r="L2641" s="18"/>
      <c r="M2641" s="18"/>
      <c r="N2641" s="18"/>
    </row>
    <row r="2642" ht="15.0" customHeight="1">
      <c r="A2642" s="18"/>
      <c r="B2642" s="18"/>
      <c r="C2642" s="18"/>
      <c r="D2642" s="18"/>
      <c r="E2642" s="18"/>
      <c r="F2642" s="18"/>
      <c r="G2642" s="4"/>
      <c r="H2642" s="4"/>
      <c r="I2642" s="18"/>
      <c r="J2642" s="91"/>
      <c r="K2642" s="18"/>
      <c r="L2642" s="18"/>
      <c r="M2642" s="18"/>
      <c r="N2642" s="18"/>
    </row>
    <row r="2643" ht="15.0" customHeight="1">
      <c r="A2643" s="18"/>
      <c r="B2643" s="18"/>
      <c r="C2643" s="18"/>
      <c r="D2643" s="18"/>
      <c r="E2643" s="18"/>
      <c r="F2643" s="18"/>
      <c r="G2643" s="4"/>
      <c r="H2643" s="4"/>
      <c r="I2643" s="18"/>
      <c r="J2643" s="91"/>
      <c r="K2643" s="18"/>
      <c r="L2643" s="18"/>
      <c r="M2643" s="18"/>
      <c r="N2643" s="18"/>
    </row>
    <row r="2644" ht="15.0" customHeight="1">
      <c r="A2644" s="18"/>
      <c r="B2644" s="18"/>
      <c r="C2644" s="18"/>
      <c r="D2644" s="18"/>
      <c r="E2644" s="18"/>
      <c r="F2644" s="18"/>
      <c r="G2644" s="4"/>
      <c r="H2644" s="4"/>
      <c r="I2644" s="18"/>
      <c r="J2644" s="91"/>
      <c r="K2644" s="18"/>
      <c r="L2644" s="18"/>
      <c r="M2644" s="18"/>
      <c r="N2644" s="18"/>
    </row>
    <row r="2645" ht="15.0" customHeight="1">
      <c r="A2645" s="18"/>
      <c r="B2645" s="18"/>
      <c r="C2645" s="18"/>
      <c r="D2645" s="18"/>
      <c r="E2645" s="18"/>
      <c r="F2645" s="18"/>
      <c r="G2645" s="4"/>
      <c r="H2645" s="4"/>
      <c r="I2645" s="18"/>
      <c r="J2645" s="91"/>
      <c r="K2645" s="18"/>
      <c r="L2645" s="18"/>
      <c r="M2645" s="18"/>
      <c r="N2645" s="18"/>
    </row>
    <row r="2646" ht="15.0" customHeight="1">
      <c r="A2646" s="18"/>
      <c r="B2646" s="18"/>
      <c r="C2646" s="18"/>
      <c r="D2646" s="18"/>
      <c r="E2646" s="18"/>
      <c r="F2646" s="18"/>
      <c r="G2646" s="4"/>
      <c r="H2646" s="4"/>
      <c r="I2646" s="18"/>
      <c r="J2646" s="91"/>
      <c r="K2646" s="18"/>
      <c r="L2646" s="18"/>
      <c r="M2646" s="18"/>
      <c r="N2646" s="18"/>
    </row>
    <row r="2647" ht="15.0" customHeight="1">
      <c r="A2647" s="18"/>
      <c r="B2647" s="18"/>
      <c r="C2647" s="18"/>
      <c r="D2647" s="18"/>
      <c r="E2647" s="18"/>
      <c r="F2647" s="18"/>
      <c r="G2647" s="4"/>
      <c r="H2647" s="4"/>
      <c r="I2647" s="18"/>
      <c r="J2647" s="91"/>
      <c r="K2647" s="18"/>
      <c r="L2647" s="18"/>
      <c r="M2647" s="18"/>
      <c r="N2647" s="18"/>
    </row>
    <row r="2648" ht="15.0" customHeight="1">
      <c r="A2648" s="18"/>
      <c r="B2648" s="18"/>
      <c r="C2648" s="18"/>
      <c r="D2648" s="18"/>
      <c r="E2648" s="18"/>
      <c r="F2648" s="18"/>
      <c r="G2648" s="4"/>
      <c r="H2648" s="4"/>
      <c r="I2648" s="18"/>
      <c r="J2648" s="91"/>
      <c r="K2648" s="18"/>
      <c r="L2648" s="18"/>
      <c r="M2648" s="18"/>
      <c r="N2648" s="18"/>
    </row>
    <row r="2649" ht="15.0" customHeight="1">
      <c r="A2649" s="18"/>
      <c r="B2649" s="18"/>
      <c r="C2649" s="18"/>
      <c r="D2649" s="18"/>
      <c r="E2649" s="18"/>
      <c r="F2649" s="18"/>
      <c r="G2649" s="4"/>
      <c r="H2649" s="4"/>
      <c r="I2649" s="18"/>
      <c r="J2649" s="91"/>
      <c r="K2649" s="18"/>
      <c r="L2649" s="18"/>
      <c r="M2649" s="18"/>
      <c r="N2649" s="18"/>
    </row>
    <row r="2650" ht="15.0" customHeight="1">
      <c r="A2650" s="18"/>
      <c r="B2650" s="18"/>
      <c r="C2650" s="18"/>
      <c r="D2650" s="18"/>
      <c r="E2650" s="18"/>
      <c r="F2650" s="18"/>
      <c r="G2650" s="4"/>
      <c r="H2650" s="4"/>
      <c r="I2650" s="18"/>
      <c r="J2650" s="91"/>
      <c r="K2650" s="18"/>
      <c r="L2650" s="18"/>
      <c r="M2650" s="18"/>
      <c r="N2650" s="18"/>
    </row>
    <row r="2651" ht="15.0" customHeight="1">
      <c r="A2651" s="18"/>
      <c r="B2651" s="18"/>
      <c r="C2651" s="18"/>
      <c r="D2651" s="18"/>
      <c r="E2651" s="18"/>
      <c r="F2651" s="18"/>
      <c r="G2651" s="4"/>
      <c r="H2651" s="4"/>
      <c r="I2651" s="18"/>
      <c r="J2651" s="91"/>
      <c r="K2651" s="18"/>
      <c r="L2651" s="18"/>
      <c r="M2651" s="18"/>
      <c r="N2651" s="18"/>
    </row>
    <row r="2652" ht="15.0" customHeight="1">
      <c r="A2652" s="18"/>
      <c r="B2652" s="18"/>
      <c r="C2652" s="18"/>
      <c r="D2652" s="18"/>
      <c r="E2652" s="18"/>
      <c r="F2652" s="18"/>
      <c r="G2652" s="4"/>
      <c r="H2652" s="4"/>
      <c r="I2652" s="18"/>
      <c r="J2652" s="91"/>
      <c r="K2652" s="18"/>
      <c r="L2652" s="18"/>
      <c r="M2652" s="18"/>
      <c r="N2652" s="18"/>
    </row>
    <row r="2653" ht="15.0" customHeight="1">
      <c r="A2653" s="18"/>
      <c r="B2653" s="18"/>
      <c r="C2653" s="18"/>
      <c r="D2653" s="18"/>
      <c r="E2653" s="18"/>
      <c r="F2653" s="18"/>
      <c r="G2653" s="4"/>
      <c r="H2653" s="4"/>
      <c r="I2653" s="18"/>
      <c r="J2653" s="91"/>
      <c r="K2653" s="18"/>
      <c r="L2653" s="18"/>
      <c r="M2653" s="18"/>
      <c r="N2653" s="18"/>
    </row>
    <row r="2654" ht="15.0" customHeight="1">
      <c r="A2654" s="18"/>
      <c r="B2654" s="18"/>
      <c r="C2654" s="18"/>
      <c r="D2654" s="18"/>
      <c r="E2654" s="18"/>
      <c r="F2654" s="18"/>
      <c r="G2654" s="4"/>
      <c r="H2654" s="4"/>
      <c r="I2654" s="18"/>
      <c r="J2654" s="91"/>
      <c r="K2654" s="18"/>
      <c r="L2654" s="18"/>
      <c r="M2654" s="18"/>
      <c r="N2654" s="18"/>
    </row>
    <row r="2655" ht="15.0" customHeight="1">
      <c r="A2655" s="18"/>
      <c r="B2655" s="18"/>
      <c r="C2655" s="18"/>
      <c r="D2655" s="18"/>
      <c r="E2655" s="18"/>
      <c r="F2655" s="18"/>
      <c r="G2655" s="4"/>
      <c r="H2655" s="4"/>
      <c r="I2655" s="18"/>
      <c r="J2655" s="91"/>
      <c r="K2655" s="18"/>
      <c r="L2655" s="18"/>
      <c r="M2655" s="18"/>
      <c r="N2655" s="18"/>
    </row>
    <row r="2656" ht="15.0" customHeight="1">
      <c r="A2656" s="18"/>
      <c r="B2656" s="18"/>
      <c r="C2656" s="18"/>
      <c r="D2656" s="18"/>
      <c r="E2656" s="18"/>
      <c r="F2656" s="18"/>
      <c r="G2656" s="4"/>
      <c r="H2656" s="4"/>
      <c r="I2656" s="18"/>
      <c r="J2656" s="91"/>
      <c r="K2656" s="18"/>
      <c r="L2656" s="18"/>
      <c r="M2656" s="18"/>
      <c r="N2656" s="18"/>
    </row>
    <row r="2657" ht="15.0" customHeight="1">
      <c r="A2657" s="18"/>
      <c r="B2657" s="18"/>
      <c r="C2657" s="18"/>
      <c r="D2657" s="18"/>
      <c r="E2657" s="18"/>
      <c r="F2657" s="18"/>
      <c r="G2657" s="4"/>
      <c r="H2657" s="4"/>
      <c r="I2657" s="18"/>
      <c r="J2657" s="91"/>
      <c r="K2657" s="18"/>
      <c r="L2657" s="18"/>
      <c r="M2657" s="18"/>
      <c r="N2657" s="18"/>
    </row>
    <row r="2658" ht="15.0" customHeight="1">
      <c r="A2658" s="18"/>
      <c r="B2658" s="18"/>
      <c r="C2658" s="18"/>
      <c r="D2658" s="18"/>
      <c r="E2658" s="18"/>
      <c r="F2658" s="18"/>
      <c r="G2658" s="4"/>
      <c r="H2658" s="4"/>
      <c r="I2658" s="18"/>
      <c r="J2658" s="91"/>
      <c r="K2658" s="18"/>
      <c r="L2658" s="18"/>
      <c r="M2658" s="18"/>
      <c r="N2658" s="18"/>
    </row>
    <row r="2659" ht="15.0" customHeight="1">
      <c r="A2659" s="18"/>
      <c r="B2659" s="18"/>
      <c r="C2659" s="18"/>
      <c r="D2659" s="18"/>
      <c r="E2659" s="18"/>
      <c r="F2659" s="18"/>
      <c r="G2659" s="4"/>
      <c r="H2659" s="4"/>
      <c r="I2659" s="18"/>
      <c r="J2659" s="91"/>
      <c r="K2659" s="18"/>
      <c r="L2659" s="18"/>
      <c r="M2659" s="18"/>
      <c r="N2659" s="18"/>
    </row>
    <row r="2660" ht="15.0" customHeight="1">
      <c r="A2660" s="18"/>
      <c r="B2660" s="18"/>
      <c r="C2660" s="18"/>
      <c r="D2660" s="18"/>
      <c r="E2660" s="18"/>
      <c r="F2660" s="18"/>
      <c r="G2660" s="4"/>
      <c r="H2660" s="4"/>
      <c r="I2660" s="18"/>
      <c r="J2660" s="91"/>
      <c r="K2660" s="18"/>
      <c r="L2660" s="18"/>
      <c r="M2660" s="18"/>
      <c r="N2660" s="18"/>
    </row>
    <row r="2661" ht="15.0" customHeight="1">
      <c r="A2661" s="18"/>
      <c r="B2661" s="18"/>
      <c r="C2661" s="18"/>
      <c r="D2661" s="18"/>
      <c r="E2661" s="18"/>
      <c r="F2661" s="18"/>
      <c r="G2661" s="4"/>
      <c r="H2661" s="4"/>
      <c r="I2661" s="18"/>
      <c r="J2661" s="91"/>
      <c r="K2661" s="18"/>
      <c r="L2661" s="18"/>
      <c r="M2661" s="18"/>
      <c r="N2661" s="18"/>
    </row>
    <row r="2662" ht="15.0" customHeight="1">
      <c r="A2662" s="18"/>
      <c r="B2662" s="18"/>
      <c r="C2662" s="18"/>
      <c r="D2662" s="18"/>
      <c r="E2662" s="18"/>
      <c r="F2662" s="18"/>
      <c r="G2662" s="4"/>
      <c r="H2662" s="4"/>
      <c r="I2662" s="18"/>
      <c r="J2662" s="91"/>
      <c r="K2662" s="18"/>
      <c r="L2662" s="18"/>
      <c r="M2662" s="18"/>
      <c r="N2662" s="18"/>
    </row>
    <row r="2663" ht="15.0" customHeight="1">
      <c r="A2663" s="18"/>
      <c r="B2663" s="18"/>
      <c r="C2663" s="18"/>
      <c r="D2663" s="18"/>
      <c r="E2663" s="18"/>
      <c r="F2663" s="18"/>
      <c r="G2663" s="4"/>
      <c r="H2663" s="4"/>
      <c r="I2663" s="18"/>
      <c r="J2663" s="91"/>
      <c r="K2663" s="18"/>
      <c r="L2663" s="18"/>
      <c r="M2663" s="18"/>
      <c r="N2663" s="18"/>
    </row>
    <row r="2664" ht="15.0" customHeight="1">
      <c r="A2664" s="18"/>
      <c r="B2664" s="18"/>
      <c r="C2664" s="18"/>
      <c r="D2664" s="18"/>
      <c r="E2664" s="18"/>
      <c r="F2664" s="18"/>
      <c r="G2664" s="4"/>
      <c r="H2664" s="4"/>
      <c r="I2664" s="18"/>
      <c r="J2664" s="91"/>
      <c r="K2664" s="18"/>
      <c r="L2664" s="18"/>
      <c r="M2664" s="18"/>
      <c r="N2664" s="18"/>
    </row>
    <row r="2665" ht="15.0" customHeight="1">
      <c r="A2665" s="18"/>
      <c r="B2665" s="18"/>
      <c r="C2665" s="18"/>
      <c r="D2665" s="18"/>
      <c r="E2665" s="18"/>
      <c r="F2665" s="18"/>
      <c r="G2665" s="4"/>
      <c r="H2665" s="4"/>
      <c r="I2665" s="18"/>
      <c r="J2665" s="91"/>
      <c r="K2665" s="18"/>
      <c r="L2665" s="18"/>
      <c r="M2665" s="18"/>
      <c r="N2665" s="18"/>
    </row>
    <row r="2666" ht="15.0" customHeight="1">
      <c r="A2666" s="18"/>
      <c r="B2666" s="18"/>
      <c r="C2666" s="18"/>
      <c r="D2666" s="18"/>
      <c r="E2666" s="18"/>
      <c r="F2666" s="18"/>
      <c r="G2666" s="4"/>
      <c r="H2666" s="4"/>
      <c r="I2666" s="18"/>
      <c r="J2666" s="91"/>
      <c r="K2666" s="18"/>
      <c r="L2666" s="18"/>
      <c r="M2666" s="18"/>
      <c r="N2666" s="18"/>
    </row>
    <row r="2667" ht="15.0" customHeight="1">
      <c r="A2667" s="18"/>
      <c r="B2667" s="18"/>
      <c r="C2667" s="18"/>
      <c r="D2667" s="18"/>
      <c r="E2667" s="18"/>
      <c r="F2667" s="18"/>
      <c r="G2667" s="4"/>
      <c r="H2667" s="4"/>
      <c r="I2667" s="18"/>
      <c r="J2667" s="91"/>
      <c r="K2667" s="18"/>
      <c r="L2667" s="18"/>
      <c r="M2667" s="18"/>
      <c r="N2667" s="18"/>
    </row>
    <row r="2668" ht="15.0" customHeight="1">
      <c r="A2668" s="18"/>
      <c r="B2668" s="18"/>
      <c r="C2668" s="18"/>
      <c r="D2668" s="18"/>
      <c r="E2668" s="18"/>
      <c r="F2668" s="18"/>
      <c r="G2668" s="4"/>
      <c r="H2668" s="4"/>
      <c r="I2668" s="18"/>
      <c r="J2668" s="91"/>
      <c r="K2668" s="18"/>
      <c r="L2668" s="18"/>
      <c r="M2668" s="18"/>
      <c r="N2668" s="18"/>
    </row>
    <row r="2669" ht="15.0" customHeight="1">
      <c r="A2669" s="18"/>
      <c r="B2669" s="18"/>
      <c r="C2669" s="18"/>
      <c r="D2669" s="18"/>
      <c r="E2669" s="18"/>
      <c r="F2669" s="18"/>
      <c r="G2669" s="4"/>
      <c r="H2669" s="4"/>
      <c r="I2669" s="18"/>
      <c r="J2669" s="91"/>
      <c r="K2669" s="18"/>
      <c r="L2669" s="18"/>
      <c r="M2669" s="18"/>
      <c r="N2669" s="18"/>
    </row>
    <row r="2670" ht="15.0" customHeight="1">
      <c r="A2670" s="18"/>
      <c r="B2670" s="18"/>
      <c r="C2670" s="18"/>
      <c r="D2670" s="18"/>
      <c r="E2670" s="18"/>
      <c r="F2670" s="18"/>
      <c r="G2670" s="4"/>
      <c r="H2670" s="4"/>
      <c r="I2670" s="18"/>
      <c r="J2670" s="91"/>
      <c r="K2670" s="18"/>
      <c r="L2670" s="18"/>
      <c r="M2670" s="18"/>
      <c r="N2670" s="18"/>
    </row>
    <row r="2671" ht="15.0" customHeight="1">
      <c r="A2671" s="18"/>
      <c r="B2671" s="18"/>
      <c r="C2671" s="18"/>
      <c r="D2671" s="18"/>
      <c r="E2671" s="18"/>
      <c r="F2671" s="18"/>
      <c r="G2671" s="4"/>
      <c r="H2671" s="4"/>
      <c r="I2671" s="18"/>
      <c r="J2671" s="91"/>
      <c r="K2671" s="18"/>
      <c r="L2671" s="18"/>
      <c r="M2671" s="18"/>
      <c r="N2671" s="18"/>
    </row>
    <row r="2672" ht="15.0" customHeight="1">
      <c r="A2672" s="18"/>
      <c r="B2672" s="18"/>
      <c r="C2672" s="18"/>
      <c r="D2672" s="18"/>
      <c r="E2672" s="18"/>
      <c r="F2672" s="18"/>
      <c r="G2672" s="4"/>
      <c r="H2672" s="4"/>
      <c r="I2672" s="18"/>
      <c r="J2672" s="91"/>
      <c r="K2672" s="18"/>
      <c r="L2672" s="18"/>
      <c r="M2672" s="18"/>
      <c r="N2672" s="18"/>
    </row>
    <row r="2673" ht="15.0" customHeight="1">
      <c r="A2673" s="18"/>
      <c r="B2673" s="18"/>
      <c r="C2673" s="18"/>
      <c r="D2673" s="18"/>
      <c r="E2673" s="18"/>
      <c r="F2673" s="18"/>
      <c r="G2673" s="4"/>
      <c r="H2673" s="4"/>
      <c r="I2673" s="18"/>
      <c r="J2673" s="91"/>
      <c r="K2673" s="18"/>
      <c r="L2673" s="18"/>
      <c r="M2673" s="18"/>
      <c r="N2673" s="18"/>
    </row>
    <row r="2674" ht="15.0" customHeight="1">
      <c r="A2674" s="18"/>
      <c r="B2674" s="18"/>
      <c r="C2674" s="18"/>
      <c r="D2674" s="18"/>
      <c r="E2674" s="18"/>
      <c r="F2674" s="18"/>
      <c r="G2674" s="4"/>
      <c r="H2674" s="4"/>
      <c r="I2674" s="18"/>
      <c r="J2674" s="91"/>
      <c r="K2674" s="18"/>
      <c r="L2674" s="18"/>
      <c r="M2674" s="18"/>
      <c r="N2674" s="18"/>
    </row>
    <row r="2675" ht="15.0" customHeight="1">
      <c r="A2675" s="18"/>
      <c r="B2675" s="18"/>
      <c r="C2675" s="18"/>
      <c r="D2675" s="18"/>
      <c r="E2675" s="18"/>
      <c r="F2675" s="18"/>
      <c r="G2675" s="4"/>
      <c r="H2675" s="4"/>
      <c r="I2675" s="18"/>
      <c r="J2675" s="91"/>
      <c r="K2675" s="18"/>
      <c r="L2675" s="18"/>
      <c r="M2675" s="18"/>
      <c r="N2675" s="18"/>
    </row>
    <row r="2676" ht="15.0" customHeight="1">
      <c r="A2676" s="18"/>
      <c r="B2676" s="18"/>
      <c r="C2676" s="18"/>
      <c r="D2676" s="18"/>
      <c r="E2676" s="18"/>
      <c r="F2676" s="18"/>
      <c r="G2676" s="4"/>
      <c r="H2676" s="4"/>
      <c r="I2676" s="18"/>
      <c r="J2676" s="91"/>
      <c r="K2676" s="18"/>
      <c r="L2676" s="18"/>
      <c r="M2676" s="18"/>
      <c r="N2676" s="18"/>
    </row>
    <row r="2677" ht="15.0" customHeight="1">
      <c r="A2677" s="18"/>
      <c r="B2677" s="18"/>
      <c r="C2677" s="18"/>
      <c r="D2677" s="18"/>
      <c r="E2677" s="18"/>
      <c r="F2677" s="18"/>
      <c r="G2677" s="4"/>
      <c r="H2677" s="4"/>
      <c r="I2677" s="18"/>
      <c r="J2677" s="91"/>
      <c r="K2677" s="18"/>
      <c r="L2677" s="18"/>
      <c r="M2677" s="18"/>
      <c r="N2677" s="18"/>
    </row>
    <row r="2678" ht="15.0" customHeight="1">
      <c r="A2678" s="18"/>
      <c r="B2678" s="18"/>
      <c r="C2678" s="18"/>
      <c r="D2678" s="18"/>
      <c r="E2678" s="18"/>
      <c r="F2678" s="18"/>
      <c r="G2678" s="4"/>
      <c r="H2678" s="4"/>
      <c r="I2678" s="18"/>
      <c r="J2678" s="91"/>
      <c r="K2678" s="18"/>
      <c r="L2678" s="18"/>
      <c r="M2678" s="18"/>
      <c r="N2678" s="18"/>
    </row>
    <row r="2679" ht="15.0" customHeight="1">
      <c r="A2679" s="18"/>
      <c r="B2679" s="18"/>
      <c r="C2679" s="18"/>
      <c r="D2679" s="18"/>
      <c r="E2679" s="18"/>
      <c r="F2679" s="18"/>
      <c r="G2679" s="4"/>
      <c r="H2679" s="4"/>
      <c r="I2679" s="18"/>
      <c r="J2679" s="91"/>
      <c r="K2679" s="18"/>
      <c r="L2679" s="18"/>
      <c r="M2679" s="18"/>
      <c r="N2679" s="18"/>
    </row>
    <row r="2680" ht="15.0" customHeight="1">
      <c r="A2680" s="18"/>
      <c r="B2680" s="18"/>
      <c r="C2680" s="18"/>
      <c r="D2680" s="18"/>
      <c r="E2680" s="18"/>
      <c r="F2680" s="18"/>
      <c r="G2680" s="4"/>
      <c r="H2680" s="4"/>
      <c r="I2680" s="18"/>
      <c r="J2680" s="91"/>
      <c r="K2680" s="18"/>
      <c r="L2680" s="18"/>
      <c r="M2680" s="18"/>
      <c r="N2680" s="18"/>
    </row>
    <row r="2681" ht="15.0" customHeight="1">
      <c r="A2681" s="18"/>
      <c r="B2681" s="18"/>
      <c r="C2681" s="18"/>
      <c r="D2681" s="18"/>
      <c r="E2681" s="18"/>
      <c r="F2681" s="18"/>
      <c r="G2681" s="4"/>
      <c r="H2681" s="4"/>
      <c r="I2681" s="18"/>
      <c r="J2681" s="91"/>
      <c r="K2681" s="18"/>
      <c r="L2681" s="18"/>
      <c r="M2681" s="18"/>
      <c r="N2681" s="18"/>
    </row>
    <row r="2682" ht="15.0" customHeight="1">
      <c r="A2682" s="18"/>
      <c r="B2682" s="18"/>
      <c r="C2682" s="18"/>
      <c r="D2682" s="18"/>
      <c r="E2682" s="18"/>
      <c r="F2682" s="18"/>
      <c r="G2682" s="4"/>
      <c r="H2682" s="4"/>
      <c r="I2682" s="18"/>
      <c r="J2682" s="91"/>
      <c r="K2682" s="18"/>
      <c r="L2682" s="18"/>
      <c r="M2682" s="18"/>
      <c r="N2682" s="18"/>
    </row>
    <row r="2683" ht="15.0" customHeight="1">
      <c r="A2683" s="18"/>
      <c r="B2683" s="18"/>
      <c r="C2683" s="18"/>
      <c r="D2683" s="18"/>
      <c r="E2683" s="18"/>
      <c r="F2683" s="18"/>
      <c r="G2683" s="4"/>
      <c r="H2683" s="4"/>
      <c r="I2683" s="18"/>
      <c r="J2683" s="91"/>
      <c r="K2683" s="18"/>
      <c r="L2683" s="18"/>
      <c r="M2683" s="18"/>
      <c r="N2683" s="18"/>
    </row>
    <row r="2684" ht="15.0" customHeight="1">
      <c r="A2684" s="18"/>
      <c r="B2684" s="18"/>
      <c r="C2684" s="18"/>
      <c r="D2684" s="18"/>
      <c r="E2684" s="18"/>
      <c r="F2684" s="18"/>
      <c r="G2684" s="4"/>
      <c r="H2684" s="4"/>
      <c r="I2684" s="18"/>
      <c r="J2684" s="91"/>
      <c r="K2684" s="18"/>
      <c r="L2684" s="18"/>
      <c r="M2684" s="18"/>
      <c r="N2684" s="18"/>
    </row>
    <row r="2685" ht="15.0" customHeight="1">
      <c r="A2685" s="18"/>
      <c r="B2685" s="18"/>
      <c r="C2685" s="18"/>
      <c r="D2685" s="18"/>
      <c r="E2685" s="18"/>
      <c r="F2685" s="18"/>
      <c r="G2685" s="4"/>
      <c r="H2685" s="4"/>
      <c r="I2685" s="18"/>
      <c r="J2685" s="91"/>
      <c r="K2685" s="18"/>
      <c r="L2685" s="18"/>
      <c r="M2685" s="18"/>
      <c r="N2685" s="18"/>
    </row>
    <row r="2686" ht="15.0" customHeight="1">
      <c r="A2686" s="18"/>
      <c r="B2686" s="18"/>
      <c r="C2686" s="18"/>
      <c r="D2686" s="18"/>
      <c r="E2686" s="18"/>
      <c r="F2686" s="18"/>
      <c r="G2686" s="4"/>
      <c r="H2686" s="4"/>
      <c r="I2686" s="18"/>
      <c r="J2686" s="91"/>
      <c r="K2686" s="18"/>
      <c r="L2686" s="18"/>
      <c r="M2686" s="18"/>
      <c r="N2686" s="18"/>
    </row>
    <row r="2687" ht="15.0" customHeight="1">
      <c r="A2687" s="18"/>
      <c r="B2687" s="18"/>
      <c r="C2687" s="18"/>
      <c r="D2687" s="18"/>
      <c r="E2687" s="18"/>
      <c r="F2687" s="18"/>
      <c r="G2687" s="4"/>
      <c r="H2687" s="4"/>
      <c r="I2687" s="18"/>
      <c r="J2687" s="91"/>
      <c r="K2687" s="18"/>
      <c r="L2687" s="18"/>
      <c r="M2687" s="18"/>
      <c r="N2687" s="18"/>
    </row>
    <row r="2688" ht="15.0" customHeight="1">
      <c r="A2688" s="18"/>
      <c r="B2688" s="18"/>
      <c r="C2688" s="18"/>
      <c r="D2688" s="18"/>
      <c r="E2688" s="18"/>
      <c r="F2688" s="18"/>
      <c r="G2688" s="4"/>
      <c r="H2688" s="4"/>
      <c r="I2688" s="18"/>
      <c r="J2688" s="91"/>
      <c r="K2688" s="18"/>
      <c r="L2688" s="18"/>
      <c r="M2688" s="18"/>
      <c r="N2688" s="18"/>
    </row>
    <row r="2689" ht="15.0" customHeight="1">
      <c r="A2689" s="18"/>
      <c r="B2689" s="18"/>
      <c r="C2689" s="18"/>
      <c r="D2689" s="18"/>
      <c r="E2689" s="18"/>
      <c r="F2689" s="18"/>
      <c r="G2689" s="4"/>
      <c r="H2689" s="4"/>
      <c r="I2689" s="18"/>
      <c r="J2689" s="91"/>
      <c r="K2689" s="18"/>
      <c r="L2689" s="18"/>
      <c r="M2689" s="18"/>
      <c r="N2689" s="18"/>
    </row>
    <row r="2690" ht="15.0" customHeight="1">
      <c r="A2690" s="18"/>
      <c r="B2690" s="18"/>
      <c r="C2690" s="18"/>
      <c r="D2690" s="18"/>
      <c r="E2690" s="18"/>
      <c r="F2690" s="18"/>
      <c r="G2690" s="4"/>
      <c r="H2690" s="4"/>
      <c r="I2690" s="18"/>
      <c r="J2690" s="91"/>
      <c r="K2690" s="18"/>
      <c r="L2690" s="18"/>
      <c r="M2690" s="18"/>
      <c r="N2690" s="18"/>
    </row>
    <row r="2691" ht="15.0" customHeight="1">
      <c r="A2691" s="18"/>
      <c r="B2691" s="18"/>
      <c r="C2691" s="18"/>
      <c r="D2691" s="18"/>
      <c r="E2691" s="18"/>
      <c r="F2691" s="18"/>
      <c r="G2691" s="4"/>
      <c r="H2691" s="4"/>
      <c r="I2691" s="18"/>
      <c r="J2691" s="91"/>
      <c r="K2691" s="18"/>
      <c r="L2691" s="18"/>
      <c r="M2691" s="18"/>
      <c r="N2691" s="18"/>
    </row>
    <row r="2692" ht="15.0" customHeight="1">
      <c r="A2692" s="18"/>
      <c r="B2692" s="18"/>
      <c r="C2692" s="18"/>
      <c r="D2692" s="18"/>
      <c r="E2692" s="18"/>
      <c r="F2692" s="18"/>
      <c r="G2692" s="4"/>
      <c r="H2692" s="4"/>
      <c r="I2692" s="18"/>
      <c r="J2692" s="91"/>
      <c r="K2692" s="18"/>
      <c r="L2692" s="18"/>
      <c r="M2692" s="18"/>
      <c r="N2692" s="18"/>
    </row>
    <row r="2693" ht="15.0" customHeight="1">
      <c r="A2693" s="18"/>
      <c r="B2693" s="18"/>
      <c r="C2693" s="18"/>
      <c r="D2693" s="18"/>
      <c r="E2693" s="18"/>
      <c r="F2693" s="18"/>
      <c r="G2693" s="4"/>
      <c r="H2693" s="4"/>
      <c r="I2693" s="18"/>
      <c r="J2693" s="91"/>
      <c r="K2693" s="18"/>
      <c r="L2693" s="18"/>
      <c r="M2693" s="18"/>
      <c r="N2693" s="18"/>
    </row>
    <row r="2694" ht="15.0" customHeight="1">
      <c r="A2694" s="18"/>
      <c r="B2694" s="18"/>
      <c r="C2694" s="18"/>
      <c r="D2694" s="18"/>
      <c r="E2694" s="18"/>
      <c r="F2694" s="18"/>
      <c r="G2694" s="4"/>
      <c r="H2694" s="4"/>
      <c r="I2694" s="18"/>
      <c r="J2694" s="91"/>
      <c r="K2694" s="18"/>
      <c r="L2694" s="18"/>
      <c r="M2694" s="18"/>
      <c r="N2694" s="18"/>
    </row>
    <row r="2695" ht="15.0" customHeight="1">
      <c r="A2695" s="18"/>
      <c r="B2695" s="18"/>
      <c r="C2695" s="18"/>
      <c r="D2695" s="18"/>
      <c r="E2695" s="18"/>
      <c r="F2695" s="18"/>
      <c r="G2695" s="4"/>
      <c r="H2695" s="4"/>
      <c r="I2695" s="18"/>
      <c r="J2695" s="91"/>
      <c r="K2695" s="18"/>
      <c r="L2695" s="18"/>
      <c r="M2695" s="18"/>
      <c r="N2695" s="18"/>
    </row>
    <row r="2696" ht="15.0" customHeight="1">
      <c r="A2696" s="18"/>
      <c r="B2696" s="18"/>
      <c r="C2696" s="18"/>
      <c r="D2696" s="18"/>
      <c r="E2696" s="18"/>
      <c r="F2696" s="18"/>
      <c r="G2696" s="4"/>
      <c r="H2696" s="4"/>
      <c r="I2696" s="18"/>
      <c r="J2696" s="91"/>
      <c r="K2696" s="18"/>
      <c r="L2696" s="18"/>
      <c r="M2696" s="18"/>
      <c r="N2696" s="18"/>
    </row>
    <row r="2697" ht="15.0" customHeight="1">
      <c r="A2697" s="18"/>
      <c r="B2697" s="18"/>
      <c r="C2697" s="18"/>
      <c r="D2697" s="18"/>
      <c r="E2697" s="18"/>
      <c r="F2697" s="18"/>
      <c r="G2697" s="4"/>
      <c r="H2697" s="4"/>
      <c r="I2697" s="18"/>
      <c r="J2697" s="91"/>
      <c r="K2697" s="18"/>
      <c r="L2697" s="18"/>
      <c r="M2697" s="18"/>
      <c r="N2697" s="18"/>
    </row>
    <row r="2698" ht="15.0" customHeight="1">
      <c r="A2698" s="18"/>
      <c r="B2698" s="18"/>
      <c r="C2698" s="18"/>
      <c r="D2698" s="18"/>
      <c r="E2698" s="18"/>
      <c r="F2698" s="18"/>
      <c r="G2698" s="4"/>
      <c r="H2698" s="4"/>
      <c r="I2698" s="18"/>
      <c r="J2698" s="91"/>
      <c r="K2698" s="18"/>
      <c r="L2698" s="18"/>
      <c r="M2698" s="18"/>
      <c r="N2698" s="18"/>
    </row>
    <row r="2699" ht="15.0" customHeight="1">
      <c r="A2699" s="18"/>
      <c r="B2699" s="18"/>
      <c r="C2699" s="18"/>
      <c r="D2699" s="18"/>
      <c r="E2699" s="18"/>
      <c r="F2699" s="18"/>
      <c r="G2699" s="4"/>
      <c r="H2699" s="4"/>
      <c r="I2699" s="18"/>
      <c r="J2699" s="91"/>
      <c r="K2699" s="18"/>
      <c r="L2699" s="18"/>
      <c r="M2699" s="18"/>
      <c r="N2699" s="18"/>
    </row>
    <row r="2700" ht="15.0" customHeight="1">
      <c r="A2700" s="18"/>
      <c r="B2700" s="18"/>
      <c r="C2700" s="18"/>
      <c r="D2700" s="18"/>
      <c r="E2700" s="18"/>
      <c r="F2700" s="18"/>
      <c r="G2700" s="4"/>
      <c r="H2700" s="4"/>
      <c r="I2700" s="18"/>
      <c r="J2700" s="91"/>
      <c r="K2700" s="18"/>
      <c r="L2700" s="18"/>
      <c r="M2700" s="18"/>
      <c r="N2700" s="18"/>
    </row>
    <row r="2701" ht="15.0" customHeight="1">
      <c r="A2701" s="18"/>
      <c r="B2701" s="18"/>
      <c r="C2701" s="18"/>
      <c r="D2701" s="18"/>
      <c r="E2701" s="18"/>
      <c r="F2701" s="18"/>
      <c r="G2701" s="4"/>
      <c r="H2701" s="4"/>
      <c r="I2701" s="18"/>
      <c r="J2701" s="91"/>
      <c r="K2701" s="18"/>
      <c r="L2701" s="18"/>
      <c r="M2701" s="18"/>
      <c r="N2701" s="18"/>
    </row>
    <row r="2702" ht="15.0" customHeight="1">
      <c r="A2702" s="18"/>
      <c r="B2702" s="18"/>
      <c r="C2702" s="18"/>
      <c r="D2702" s="18"/>
      <c r="E2702" s="18"/>
      <c r="F2702" s="18"/>
      <c r="G2702" s="4"/>
      <c r="H2702" s="4"/>
      <c r="I2702" s="18"/>
      <c r="J2702" s="91"/>
      <c r="K2702" s="18"/>
      <c r="L2702" s="18"/>
      <c r="M2702" s="18"/>
      <c r="N2702" s="18"/>
    </row>
    <row r="2703" ht="15.0" customHeight="1">
      <c r="A2703" s="18"/>
      <c r="B2703" s="18"/>
      <c r="C2703" s="18"/>
      <c r="D2703" s="18"/>
      <c r="E2703" s="18"/>
      <c r="F2703" s="18"/>
      <c r="G2703" s="4"/>
      <c r="H2703" s="4"/>
      <c r="I2703" s="18"/>
      <c r="J2703" s="91"/>
      <c r="K2703" s="18"/>
      <c r="L2703" s="18"/>
      <c r="M2703" s="18"/>
      <c r="N2703" s="18"/>
    </row>
    <row r="2704" ht="15.0" customHeight="1">
      <c r="A2704" s="18"/>
      <c r="B2704" s="18"/>
      <c r="C2704" s="18"/>
      <c r="D2704" s="18"/>
      <c r="E2704" s="18"/>
      <c r="F2704" s="18"/>
      <c r="G2704" s="4"/>
      <c r="H2704" s="4"/>
      <c r="I2704" s="18"/>
      <c r="J2704" s="91"/>
      <c r="K2704" s="18"/>
      <c r="L2704" s="18"/>
      <c r="M2704" s="18"/>
      <c r="N2704" s="18"/>
    </row>
    <row r="2705" ht="15.0" customHeight="1">
      <c r="A2705" s="18"/>
      <c r="B2705" s="18"/>
      <c r="C2705" s="18"/>
      <c r="D2705" s="18"/>
      <c r="E2705" s="18"/>
      <c r="F2705" s="18"/>
      <c r="G2705" s="4"/>
      <c r="H2705" s="4"/>
      <c r="I2705" s="18"/>
      <c r="J2705" s="91"/>
      <c r="K2705" s="18"/>
      <c r="L2705" s="18"/>
      <c r="M2705" s="18"/>
      <c r="N2705" s="18"/>
    </row>
    <row r="2706" ht="15.0" customHeight="1">
      <c r="A2706" s="18"/>
      <c r="B2706" s="18"/>
      <c r="C2706" s="18"/>
      <c r="D2706" s="18"/>
      <c r="E2706" s="18"/>
      <c r="F2706" s="18"/>
      <c r="G2706" s="4"/>
      <c r="H2706" s="4"/>
      <c r="I2706" s="18"/>
      <c r="J2706" s="91"/>
      <c r="K2706" s="18"/>
      <c r="L2706" s="18"/>
      <c r="M2706" s="18"/>
      <c r="N2706" s="18"/>
    </row>
    <row r="2707" ht="15.0" customHeight="1">
      <c r="A2707" s="18"/>
      <c r="B2707" s="18"/>
      <c r="C2707" s="18"/>
      <c r="D2707" s="18"/>
      <c r="E2707" s="18"/>
      <c r="F2707" s="18"/>
      <c r="G2707" s="4"/>
      <c r="H2707" s="4"/>
      <c r="I2707" s="18"/>
      <c r="J2707" s="91"/>
      <c r="K2707" s="18"/>
      <c r="L2707" s="18"/>
      <c r="M2707" s="18"/>
      <c r="N2707" s="18"/>
    </row>
    <row r="2708" ht="15.0" customHeight="1">
      <c r="A2708" s="18"/>
      <c r="B2708" s="18"/>
      <c r="C2708" s="18"/>
      <c r="D2708" s="18"/>
      <c r="E2708" s="18"/>
      <c r="F2708" s="18"/>
      <c r="G2708" s="4"/>
      <c r="H2708" s="4"/>
      <c r="I2708" s="18"/>
      <c r="J2708" s="91"/>
      <c r="K2708" s="18"/>
      <c r="L2708" s="18"/>
      <c r="M2708" s="18"/>
      <c r="N2708" s="18"/>
    </row>
    <row r="2709" ht="15.0" customHeight="1">
      <c r="A2709" s="18"/>
      <c r="B2709" s="18"/>
      <c r="C2709" s="18"/>
      <c r="D2709" s="18"/>
      <c r="E2709" s="18"/>
      <c r="F2709" s="18"/>
      <c r="G2709" s="4"/>
      <c r="H2709" s="4"/>
      <c r="I2709" s="18"/>
      <c r="J2709" s="91"/>
      <c r="K2709" s="18"/>
      <c r="L2709" s="18"/>
      <c r="M2709" s="18"/>
      <c r="N2709" s="18"/>
    </row>
    <row r="2710" ht="15.0" customHeight="1">
      <c r="A2710" s="18"/>
      <c r="B2710" s="18"/>
      <c r="C2710" s="18"/>
      <c r="D2710" s="18"/>
      <c r="E2710" s="18"/>
      <c r="F2710" s="18"/>
      <c r="G2710" s="4"/>
      <c r="H2710" s="4"/>
      <c r="I2710" s="18"/>
      <c r="J2710" s="91"/>
      <c r="K2710" s="18"/>
      <c r="L2710" s="18"/>
      <c r="M2710" s="18"/>
      <c r="N2710" s="18"/>
    </row>
    <row r="2711" ht="15.0" customHeight="1">
      <c r="A2711" s="18"/>
      <c r="B2711" s="18"/>
      <c r="C2711" s="18"/>
      <c r="D2711" s="18"/>
      <c r="E2711" s="18"/>
      <c r="F2711" s="18"/>
      <c r="G2711" s="4"/>
      <c r="H2711" s="4"/>
      <c r="I2711" s="18"/>
      <c r="J2711" s="91"/>
      <c r="K2711" s="18"/>
      <c r="L2711" s="18"/>
      <c r="M2711" s="18"/>
      <c r="N2711" s="18"/>
    </row>
    <row r="2712" ht="15.0" customHeight="1">
      <c r="A2712" s="18"/>
      <c r="B2712" s="18"/>
      <c r="C2712" s="18"/>
      <c r="D2712" s="18"/>
      <c r="E2712" s="18"/>
      <c r="F2712" s="18"/>
      <c r="G2712" s="4"/>
      <c r="H2712" s="4"/>
      <c r="I2712" s="18"/>
      <c r="J2712" s="91"/>
      <c r="K2712" s="18"/>
      <c r="L2712" s="18"/>
      <c r="M2712" s="18"/>
      <c r="N2712" s="18"/>
    </row>
    <row r="2713" ht="15.0" customHeight="1">
      <c r="A2713" s="18"/>
      <c r="B2713" s="18"/>
      <c r="C2713" s="18"/>
      <c r="D2713" s="18"/>
      <c r="E2713" s="18"/>
      <c r="F2713" s="18"/>
      <c r="G2713" s="4"/>
      <c r="H2713" s="4"/>
      <c r="I2713" s="18"/>
      <c r="J2713" s="91"/>
      <c r="K2713" s="18"/>
      <c r="L2713" s="18"/>
      <c r="M2713" s="18"/>
      <c r="N2713" s="18"/>
    </row>
    <row r="2714" ht="15.0" customHeight="1">
      <c r="A2714" s="18"/>
      <c r="B2714" s="18"/>
      <c r="C2714" s="18"/>
      <c r="D2714" s="18"/>
      <c r="E2714" s="18"/>
      <c r="F2714" s="18"/>
      <c r="G2714" s="4"/>
      <c r="H2714" s="4"/>
      <c r="I2714" s="18"/>
      <c r="J2714" s="91"/>
      <c r="K2714" s="18"/>
      <c r="L2714" s="18"/>
      <c r="M2714" s="18"/>
      <c r="N2714" s="18"/>
    </row>
    <row r="2715" ht="15.0" customHeight="1">
      <c r="A2715" s="18"/>
      <c r="B2715" s="18"/>
      <c r="C2715" s="18"/>
      <c r="D2715" s="18"/>
      <c r="E2715" s="18"/>
      <c r="F2715" s="18"/>
      <c r="G2715" s="4"/>
      <c r="H2715" s="4"/>
      <c r="I2715" s="18"/>
      <c r="J2715" s="91"/>
      <c r="K2715" s="18"/>
      <c r="L2715" s="18"/>
      <c r="M2715" s="18"/>
      <c r="N2715" s="18"/>
    </row>
    <row r="2716" ht="15.0" customHeight="1">
      <c r="A2716" s="18"/>
      <c r="B2716" s="18"/>
      <c r="C2716" s="18"/>
      <c r="D2716" s="18"/>
      <c r="E2716" s="18"/>
      <c r="F2716" s="18"/>
      <c r="G2716" s="4"/>
      <c r="H2716" s="4"/>
      <c r="I2716" s="18"/>
      <c r="J2716" s="91"/>
      <c r="K2716" s="18"/>
      <c r="L2716" s="18"/>
      <c r="M2716" s="18"/>
      <c r="N2716" s="18"/>
    </row>
    <row r="2717" ht="15.0" customHeight="1">
      <c r="A2717" s="18"/>
      <c r="B2717" s="18"/>
      <c r="C2717" s="18"/>
      <c r="D2717" s="18"/>
      <c r="E2717" s="18"/>
      <c r="F2717" s="18"/>
      <c r="G2717" s="4"/>
      <c r="H2717" s="4"/>
      <c r="I2717" s="18"/>
      <c r="J2717" s="91"/>
      <c r="K2717" s="18"/>
      <c r="L2717" s="18"/>
      <c r="M2717" s="18"/>
      <c r="N2717" s="18"/>
    </row>
    <row r="2718" ht="15.0" customHeight="1">
      <c r="A2718" s="18"/>
      <c r="B2718" s="18"/>
      <c r="C2718" s="18"/>
      <c r="D2718" s="18"/>
      <c r="E2718" s="18"/>
      <c r="F2718" s="18"/>
      <c r="G2718" s="4"/>
      <c r="H2718" s="4"/>
      <c r="I2718" s="18"/>
      <c r="J2718" s="91"/>
      <c r="K2718" s="18"/>
      <c r="L2718" s="18"/>
      <c r="M2718" s="18"/>
      <c r="N2718" s="18"/>
    </row>
    <row r="2719" ht="15.0" customHeight="1">
      <c r="A2719" s="18"/>
      <c r="B2719" s="18"/>
      <c r="C2719" s="18"/>
      <c r="D2719" s="18"/>
      <c r="E2719" s="18"/>
      <c r="F2719" s="18"/>
      <c r="G2719" s="4"/>
      <c r="H2719" s="4"/>
      <c r="I2719" s="18"/>
      <c r="J2719" s="91"/>
      <c r="K2719" s="18"/>
      <c r="L2719" s="18"/>
      <c r="M2719" s="18"/>
      <c r="N2719" s="18"/>
    </row>
    <row r="2720" ht="15.0" customHeight="1">
      <c r="A2720" s="18"/>
      <c r="B2720" s="18"/>
      <c r="C2720" s="18"/>
      <c r="D2720" s="18"/>
      <c r="E2720" s="18"/>
      <c r="F2720" s="18"/>
      <c r="G2720" s="4"/>
      <c r="H2720" s="4"/>
      <c r="I2720" s="18"/>
      <c r="J2720" s="91"/>
      <c r="K2720" s="18"/>
      <c r="L2720" s="18"/>
      <c r="M2720" s="18"/>
      <c r="N2720" s="18"/>
    </row>
    <row r="2721" ht="15.0" customHeight="1">
      <c r="A2721" s="18"/>
      <c r="B2721" s="18"/>
      <c r="C2721" s="18"/>
      <c r="D2721" s="18"/>
      <c r="E2721" s="18"/>
      <c r="F2721" s="18"/>
      <c r="G2721" s="4"/>
      <c r="H2721" s="4"/>
      <c r="I2721" s="18"/>
      <c r="J2721" s="91"/>
      <c r="K2721" s="18"/>
      <c r="L2721" s="18"/>
      <c r="M2721" s="18"/>
      <c r="N2721" s="18"/>
    </row>
    <row r="2722" ht="15.0" customHeight="1">
      <c r="A2722" s="18"/>
      <c r="B2722" s="18"/>
      <c r="C2722" s="18"/>
      <c r="D2722" s="18"/>
      <c r="E2722" s="18"/>
      <c r="F2722" s="18"/>
      <c r="G2722" s="4"/>
      <c r="H2722" s="4"/>
      <c r="I2722" s="18"/>
      <c r="J2722" s="91"/>
      <c r="K2722" s="18"/>
      <c r="L2722" s="18"/>
      <c r="M2722" s="18"/>
      <c r="N2722" s="18"/>
    </row>
    <row r="2723" ht="15.0" customHeight="1">
      <c r="A2723" s="18"/>
      <c r="B2723" s="18"/>
      <c r="C2723" s="18"/>
      <c r="D2723" s="18"/>
      <c r="E2723" s="18"/>
      <c r="F2723" s="18"/>
      <c r="G2723" s="4"/>
      <c r="H2723" s="4"/>
      <c r="I2723" s="18"/>
      <c r="J2723" s="91"/>
      <c r="K2723" s="18"/>
      <c r="L2723" s="18"/>
      <c r="M2723" s="18"/>
      <c r="N2723" s="18"/>
    </row>
    <row r="2724" ht="15.0" customHeight="1">
      <c r="A2724" s="18"/>
      <c r="B2724" s="18"/>
      <c r="C2724" s="18"/>
      <c r="D2724" s="18"/>
      <c r="E2724" s="18"/>
      <c r="F2724" s="18"/>
      <c r="G2724" s="4"/>
      <c r="H2724" s="4"/>
      <c r="I2724" s="18"/>
      <c r="J2724" s="91"/>
      <c r="K2724" s="18"/>
      <c r="L2724" s="18"/>
      <c r="M2724" s="18"/>
      <c r="N2724" s="18"/>
    </row>
    <row r="2725" ht="15.0" customHeight="1">
      <c r="A2725" s="18"/>
      <c r="B2725" s="18"/>
      <c r="C2725" s="18"/>
      <c r="D2725" s="18"/>
      <c r="E2725" s="18"/>
      <c r="F2725" s="18"/>
      <c r="G2725" s="4"/>
      <c r="H2725" s="4"/>
      <c r="I2725" s="18"/>
      <c r="J2725" s="91"/>
      <c r="K2725" s="18"/>
      <c r="L2725" s="18"/>
      <c r="M2725" s="18"/>
      <c r="N2725" s="18"/>
    </row>
    <row r="2726" ht="15.0" customHeight="1">
      <c r="A2726" s="18"/>
      <c r="B2726" s="18"/>
      <c r="C2726" s="18"/>
      <c r="D2726" s="18"/>
      <c r="E2726" s="18"/>
      <c r="F2726" s="18"/>
      <c r="G2726" s="4"/>
      <c r="H2726" s="4"/>
      <c r="I2726" s="18"/>
      <c r="J2726" s="91"/>
      <c r="K2726" s="18"/>
      <c r="L2726" s="18"/>
      <c r="M2726" s="18"/>
      <c r="N2726" s="18"/>
    </row>
    <row r="2727" ht="15.0" customHeight="1">
      <c r="A2727" s="18"/>
      <c r="B2727" s="18"/>
      <c r="C2727" s="18"/>
      <c r="D2727" s="18"/>
      <c r="E2727" s="18"/>
      <c r="F2727" s="18"/>
      <c r="G2727" s="4"/>
      <c r="H2727" s="4"/>
      <c r="I2727" s="18"/>
      <c r="J2727" s="91"/>
      <c r="K2727" s="18"/>
      <c r="L2727" s="18"/>
      <c r="M2727" s="18"/>
      <c r="N2727" s="18"/>
    </row>
    <row r="2728" ht="15.0" customHeight="1">
      <c r="A2728" s="18"/>
      <c r="B2728" s="18"/>
      <c r="C2728" s="18"/>
      <c r="D2728" s="18"/>
      <c r="E2728" s="18"/>
      <c r="F2728" s="18"/>
      <c r="G2728" s="4"/>
      <c r="H2728" s="4"/>
      <c r="I2728" s="18"/>
      <c r="J2728" s="91"/>
      <c r="K2728" s="18"/>
      <c r="L2728" s="18"/>
      <c r="M2728" s="18"/>
      <c r="N2728" s="18"/>
    </row>
    <row r="2729" ht="15.0" customHeight="1">
      <c r="A2729" s="18"/>
      <c r="B2729" s="18"/>
      <c r="C2729" s="18"/>
      <c r="D2729" s="18"/>
      <c r="E2729" s="18"/>
      <c r="F2729" s="18"/>
      <c r="G2729" s="4"/>
      <c r="H2729" s="4"/>
      <c r="I2729" s="18"/>
      <c r="J2729" s="91"/>
      <c r="K2729" s="18"/>
      <c r="L2729" s="18"/>
      <c r="M2729" s="18"/>
      <c r="N2729" s="18"/>
    </row>
    <row r="2730" ht="15.0" customHeight="1">
      <c r="A2730" s="18"/>
      <c r="B2730" s="18"/>
      <c r="C2730" s="18"/>
      <c r="D2730" s="18"/>
      <c r="E2730" s="18"/>
      <c r="F2730" s="18"/>
      <c r="G2730" s="4"/>
      <c r="H2730" s="4"/>
      <c r="I2730" s="18"/>
      <c r="J2730" s="91"/>
      <c r="K2730" s="18"/>
      <c r="L2730" s="18"/>
      <c r="M2730" s="18"/>
      <c r="N2730" s="18"/>
    </row>
    <row r="2731" ht="15.0" customHeight="1">
      <c r="A2731" s="18"/>
      <c r="B2731" s="18"/>
      <c r="C2731" s="18"/>
      <c r="D2731" s="18"/>
      <c r="E2731" s="18"/>
      <c r="F2731" s="18"/>
      <c r="G2731" s="4"/>
      <c r="H2731" s="4"/>
      <c r="I2731" s="18"/>
      <c r="J2731" s="91"/>
      <c r="K2731" s="18"/>
      <c r="L2731" s="18"/>
      <c r="M2731" s="18"/>
      <c r="N2731" s="18"/>
    </row>
    <row r="2732" ht="15.0" customHeight="1">
      <c r="A2732" s="18"/>
      <c r="B2732" s="18"/>
      <c r="C2732" s="18"/>
      <c r="D2732" s="18"/>
      <c r="E2732" s="18"/>
      <c r="F2732" s="18"/>
      <c r="G2732" s="4"/>
      <c r="H2732" s="4"/>
      <c r="I2732" s="18"/>
      <c r="J2732" s="91"/>
      <c r="K2732" s="18"/>
      <c r="L2732" s="18"/>
      <c r="M2732" s="18"/>
      <c r="N2732" s="18"/>
    </row>
    <row r="2733" ht="15.0" customHeight="1">
      <c r="A2733" s="18"/>
      <c r="B2733" s="18"/>
      <c r="C2733" s="18"/>
      <c r="D2733" s="18"/>
      <c r="E2733" s="18"/>
      <c r="F2733" s="18"/>
      <c r="G2733" s="4"/>
      <c r="H2733" s="4"/>
      <c r="I2733" s="18"/>
      <c r="J2733" s="91"/>
      <c r="K2733" s="18"/>
      <c r="L2733" s="18"/>
      <c r="M2733" s="18"/>
      <c r="N2733" s="18"/>
    </row>
    <row r="2734" ht="15.0" customHeight="1">
      <c r="A2734" s="18"/>
      <c r="B2734" s="18"/>
      <c r="C2734" s="18"/>
      <c r="D2734" s="18"/>
      <c r="E2734" s="18"/>
      <c r="F2734" s="18"/>
      <c r="G2734" s="4"/>
      <c r="H2734" s="4"/>
      <c r="I2734" s="18"/>
      <c r="J2734" s="91"/>
      <c r="K2734" s="18"/>
      <c r="L2734" s="18"/>
      <c r="M2734" s="18"/>
      <c r="N2734" s="18"/>
    </row>
    <row r="2735" ht="15.0" customHeight="1">
      <c r="A2735" s="18"/>
      <c r="B2735" s="18"/>
      <c r="C2735" s="18"/>
      <c r="D2735" s="18"/>
      <c r="E2735" s="18"/>
      <c r="F2735" s="18"/>
      <c r="G2735" s="4"/>
      <c r="H2735" s="4"/>
      <c r="I2735" s="18"/>
      <c r="J2735" s="91"/>
      <c r="K2735" s="18"/>
      <c r="L2735" s="18"/>
      <c r="M2735" s="18"/>
      <c r="N2735" s="18"/>
    </row>
    <row r="2736" ht="15.0" customHeight="1">
      <c r="A2736" s="18"/>
      <c r="B2736" s="18"/>
      <c r="C2736" s="18"/>
      <c r="D2736" s="18"/>
      <c r="E2736" s="18"/>
      <c r="F2736" s="18"/>
      <c r="G2736" s="4"/>
      <c r="H2736" s="4"/>
      <c r="I2736" s="18"/>
      <c r="J2736" s="91"/>
      <c r="K2736" s="18"/>
      <c r="L2736" s="18"/>
      <c r="M2736" s="18"/>
      <c r="N2736" s="18"/>
    </row>
    <row r="2737" ht="15.0" customHeight="1">
      <c r="A2737" s="18"/>
      <c r="B2737" s="18"/>
      <c r="C2737" s="18"/>
      <c r="D2737" s="18"/>
      <c r="E2737" s="18"/>
      <c r="F2737" s="18"/>
      <c r="G2737" s="4"/>
      <c r="H2737" s="4"/>
      <c r="I2737" s="18"/>
      <c r="J2737" s="91"/>
      <c r="K2737" s="18"/>
      <c r="L2737" s="18"/>
      <c r="M2737" s="18"/>
      <c r="N2737" s="18"/>
    </row>
    <row r="2738" ht="15.0" customHeight="1">
      <c r="A2738" s="18"/>
      <c r="B2738" s="18"/>
      <c r="C2738" s="18"/>
      <c r="D2738" s="18"/>
      <c r="E2738" s="18"/>
      <c r="F2738" s="18"/>
      <c r="G2738" s="4"/>
      <c r="H2738" s="4"/>
      <c r="I2738" s="18"/>
      <c r="J2738" s="91"/>
      <c r="K2738" s="18"/>
      <c r="L2738" s="18"/>
      <c r="M2738" s="18"/>
      <c r="N2738" s="18"/>
    </row>
    <row r="2739" ht="15.0" customHeight="1">
      <c r="A2739" s="18"/>
      <c r="B2739" s="18"/>
      <c r="C2739" s="18"/>
      <c r="D2739" s="18"/>
      <c r="E2739" s="18"/>
      <c r="F2739" s="18"/>
      <c r="G2739" s="4"/>
      <c r="H2739" s="4"/>
      <c r="I2739" s="18"/>
      <c r="J2739" s="91"/>
      <c r="K2739" s="18"/>
      <c r="L2739" s="18"/>
      <c r="M2739" s="18"/>
      <c r="N2739" s="18"/>
    </row>
    <row r="2740" ht="15.0" customHeight="1">
      <c r="A2740" s="18"/>
      <c r="B2740" s="18"/>
      <c r="C2740" s="18"/>
      <c r="D2740" s="18"/>
      <c r="E2740" s="18"/>
      <c r="F2740" s="18"/>
      <c r="G2740" s="4"/>
      <c r="H2740" s="4"/>
      <c r="I2740" s="18"/>
      <c r="J2740" s="91"/>
      <c r="K2740" s="18"/>
      <c r="L2740" s="18"/>
      <c r="M2740" s="18"/>
      <c r="N2740" s="18"/>
    </row>
    <row r="2741" ht="15.0" customHeight="1">
      <c r="A2741" s="18"/>
      <c r="B2741" s="18"/>
      <c r="C2741" s="18"/>
      <c r="D2741" s="18"/>
      <c r="E2741" s="18"/>
      <c r="F2741" s="18"/>
      <c r="G2741" s="4"/>
      <c r="H2741" s="4"/>
      <c r="I2741" s="18"/>
      <c r="J2741" s="91"/>
      <c r="K2741" s="18"/>
      <c r="L2741" s="18"/>
      <c r="M2741" s="18"/>
      <c r="N2741" s="18"/>
    </row>
    <row r="2742" ht="15.0" customHeight="1">
      <c r="A2742" s="18"/>
      <c r="B2742" s="18"/>
      <c r="C2742" s="18"/>
      <c r="D2742" s="18"/>
      <c r="E2742" s="18"/>
      <c r="F2742" s="18"/>
      <c r="G2742" s="4"/>
      <c r="H2742" s="4"/>
      <c r="I2742" s="18"/>
      <c r="J2742" s="91"/>
      <c r="K2742" s="18"/>
      <c r="L2742" s="18"/>
      <c r="M2742" s="18"/>
      <c r="N2742" s="18"/>
    </row>
    <row r="2743" ht="15.0" customHeight="1">
      <c r="A2743" s="18"/>
      <c r="B2743" s="18"/>
      <c r="C2743" s="18"/>
      <c r="D2743" s="18"/>
      <c r="E2743" s="18"/>
      <c r="F2743" s="18"/>
      <c r="G2743" s="4"/>
      <c r="H2743" s="4"/>
      <c r="I2743" s="18"/>
      <c r="J2743" s="91"/>
      <c r="K2743" s="18"/>
      <c r="L2743" s="18"/>
      <c r="M2743" s="18"/>
      <c r="N2743" s="18"/>
    </row>
    <row r="2744" ht="15.0" customHeight="1">
      <c r="A2744" s="18"/>
      <c r="B2744" s="18"/>
      <c r="C2744" s="18"/>
      <c r="D2744" s="18"/>
      <c r="E2744" s="18"/>
      <c r="F2744" s="18"/>
      <c r="G2744" s="4"/>
      <c r="H2744" s="4"/>
      <c r="I2744" s="18"/>
      <c r="J2744" s="91"/>
      <c r="K2744" s="18"/>
      <c r="L2744" s="18"/>
      <c r="M2744" s="18"/>
      <c r="N2744" s="18"/>
    </row>
    <row r="2745" ht="15.0" customHeight="1">
      <c r="A2745" s="18"/>
      <c r="B2745" s="18"/>
      <c r="C2745" s="18"/>
      <c r="D2745" s="18"/>
      <c r="E2745" s="18"/>
      <c r="F2745" s="18"/>
      <c r="G2745" s="4"/>
      <c r="H2745" s="4"/>
      <c r="I2745" s="18"/>
      <c r="J2745" s="91"/>
      <c r="K2745" s="18"/>
      <c r="L2745" s="18"/>
      <c r="M2745" s="18"/>
      <c r="N2745" s="18"/>
    </row>
    <row r="2746" ht="15.0" customHeight="1">
      <c r="A2746" s="18"/>
      <c r="B2746" s="18"/>
      <c r="C2746" s="18"/>
      <c r="D2746" s="18"/>
      <c r="E2746" s="18"/>
      <c r="F2746" s="18"/>
      <c r="G2746" s="4"/>
      <c r="H2746" s="4"/>
      <c r="I2746" s="18"/>
      <c r="J2746" s="91"/>
      <c r="K2746" s="18"/>
      <c r="L2746" s="18"/>
      <c r="M2746" s="18"/>
      <c r="N2746" s="18"/>
    </row>
    <row r="2747" ht="15.0" customHeight="1">
      <c r="A2747" s="18"/>
      <c r="B2747" s="18"/>
      <c r="C2747" s="18"/>
      <c r="D2747" s="18"/>
      <c r="E2747" s="18"/>
      <c r="F2747" s="18"/>
      <c r="G2747" s="4"/>
      <c r="H2747" s="4"/>
      <c r="I2747" s="18"/>
      <c r="J2747" s="91"/>
      <c r="K2747" s="18"/>
      <c r="L2747" s="18"/>
      <c r="M2747" s="18"/>
      <c r="N2747" s="18"/>
    </row>
    <row r="2748" ht="15.0" customHeight="1">
      <c r="A2748" s="18"/>
      <c r="B2748" s="18"/>
      <c r="C2748" s="18"/>
      <c r="D2748" s="18"/>
      <c r="E2748" s="18"/>
      <c r="F2748" s="18"/>
      <c r="G2748" s="4"/>
      <c r="H2748" s="4"/>
      <c r="I2748" s="18"/>
      <c r="J2748" s="91"/>
      <c r="K2748" s="18"/>
      <c r="L2748" s="18"/>
      <c r="M2748" s="18"/>
      <c r="N2748" s="18"/>
    </row>
    <row r="2749" ht="15.0" customHeight="1">
      <c r="A2749" s="18"/>
      <c r="B2749" s="18"/>
      <c r="C2749" s="18"/>
      <c r="D2749" s="18"/>
      <c r="E2749" s="18"/>
      <c r="F2749" s="18"/>
      <c r="G2749" s="4"/>
      <c r="H2749" s="4"/>
      <c r="I2749" s="18"/>
      <c r="J2749" s="91"/>
      <c r="K2749" s="18"/>
      <c r="L2749" s="18"/>
      <c r="M2749" s="18"/>
      <c r="N2749" s="18"/>
    </row>
    <row r="2750" ht="15.0" customHeight="1">
      <c r="A2750" s="18"/>
      <c r="B2750" s="18"/>
      <c r="C2750" s="18"/>
      <c r="D2750" s="18"/>
      <c r="E2750" s="18"/>
      <c r="F2750" s="18"/>
      <c r="G2750" s="4"/>
      <c r="H2750" s="4"/>
      <c r="I2750" s="18"/>
      <c r="J2750" s="91"/>
      <c r="K2750" s="18"/>
      <c r="L2750" s="18"/>
      <c r="M2750" s="18"/>
      <c r="N2750" s="18"/>
    </row>
    <row r="2751" ht="15.0" customHeight="1">
      <c r="A2751" s="18"/>
      <c r="B2751" s="18"/>
      <c r="C2751" s="18"/>
      <c r="D2751" s="18"/>
      <c r="E2751" s="18"/>
      <c r="F2751" s="18"/>
      <c r="G2751" s="4"/>
      <c r="H2751" s="4"/>
      <c r="I2751" s="18"/>
      <c r="J2751" s="91"/>
      <c r="K2751" s="18"/>
      <c r="L2751" s="18"/>
      <c r="M2751" s="18"/>
      <c r="N2751" s="18"/>
    </row>
    <row r="2752" ht="15.0" customHeight="1">
      <c r="A2752" s="18"/>
      <c r="B2752" s="18"/>
      <c r="C2752" s="18"/>
      <c r="D2752" s="18"/>
      <c r="E2752" s="18"/>
      <c r="F2752" s="18"/>
      <c r="G2752" s="4"/>
      <c r="H2752" s="4"/>
      <c r="I2752" s="18"/>
      <c r="J2752" s="91"/>
      <c r="K2752" s="18"/>
      <c r="L2752" s="18"/>
      <c r="M2752" s="18"/>
      <c r="N2752" s="18"/>
    </row>
    <row r="2753" ht="15.0" customHeight="1">
      <c r="A2753" s="18"/>
      <c r="B2753" s="18"/>
      <c r="C2753" s="18"/>
      <c r="D2753" s="18"/>
      <c r="E2753" s="18"/>
      <c r="F2753" s="18"/>
      <c r="G2753" s="4"/>
      <c r="H2753" s="4"/>
      <c r="I2753" s="18"/>
      <c r="J2753" s="91"/>
      <c r="K2753" s="18"/>
      <c r="L2753" s="18"/>
      <c r="M2753" s="18"/>
      <c r="N2753" s="18"/>
    </row>
    <row r="2754" ht="15.0" customHeight="1">
      <c r="A2754" s="18"/>
      <c r="B2754" s="18"/>
      <c r="C2754" s="18"/>
      <c r="D2754" s="18"/>
      <c r="E2754" s="18"/>
      <c r="F2754" s="18"/>
      <c r="G2754" s="4"/>
      <c r="H2754" s="4"/>
      <c r="I2754" s="18"/>
      <c r="J2754" s="91"/>
      <c r="K2754" s="18"/>
      <c r="L2754" s="18"/>
      <c r="M2754" s="18"/>
      <c r="N2754" s="18"/>
    </row>
    <row r="2755" ht="15.0" customHeight="1">
      <c r="A2755" s="18"/>
      <c r="B2755" s="18"/>
      <c r="C2755" s="18"/>
      <c r="D2755" s="18"/>
      <c r="E2755" s="18"/>
      <c r="F2755" s="18"/>
      <c r="G2755" s="4"/>
      <c r="H2755" s="4"/>
      <c r="I2755" s="18"/>
      <c r="J2755" s="91"/>
      <c r="K2755" s="18"/>
      <c r="L2755" s="18"/>
      <c r="M2755" s="18"/>
      <c r="N2755" s="18"/>
    </row>
    <row r="2756" ht="15.0" customHeight="1">
      <c r="A2756" s="18"/>
      <c r="B2756" s="18"/>
      <c r="C2756" s="18"/>
      <c r="D2756" s="18"/>
      <c r="E2756" s="18"/>
      <c r="F2756" s="18"/>
      <c r="G2756" s="4"/>
      <c r="H2756" s="4"/>
      <c r="I2756" s="18"/>
      <c r="J2756" s="91"/>
      <c r="K2756" s="18"/>
      <c r="L2756" s="18"/>
      <c r="M2756" s="18"/>
      <c r="N2756" s="18"/>
    </row>
    <row r="2757" ht="15.0" customHeight="1">
      <c r="A2757" s="18"/>
      <c r="B2757" s="18"/>
      <c r="C2757" s="18"/>
      <c r="D2757" s="18"/>
      <c r="E2757" s="18"/>
      <c r="F2757" s="18"/>
      <c r="G2757" s="4"/>
      <c r="H2757" s="4"/>
      <c r="I2757" s="18"/>
      <c r="J2757" s="91"/>
      <c r="K2757" s="18"/>
      <c r="L2757" s="18"/>
      <c r="M2757" s="18"/>
      <c r="N2757" s="18"/>
    </row>
    <row r="2758" ht="15.0" customHeight="1">
      <c r="A2758" s="18"/>
      <c r="B2758" s="18"/>
      <c r="C2758" s="18"/>
      <c r="D2758" s="18"/>
      <c r="E2758" s="18"/>
      <c r="F2758" s="18"/>
      <c r="G2758" s="4"/>
      <c r="H2758" s="4"/>
      <c r="I2758" s="18"/>
      <c r="J2758" s="91"/>
      <c r="K2758" s="18"/>
      <c r="L2758" s="18"/>
      <c r="M2758" s="18"/>
      <c r="N2758" s="18"/>
    </row>
    <row r="2759" ht="15.0" customHeight="1">
      <c r="A2759" s="18"/>
      <c r="B2759" s="18"/>
      <c r="C2759" s="18"/>
      <c r="D2759" s="18"/>
      <c r="E2759" s="18"/>
      <c r="F2759" s="18"/>
      <c r="G2759" s="4"/>
      <c r="H2759" s="4"/>
      <c r="I2759" s="18"/>
      <c r="J2759" s="91"/>
      <c r="K2759" s="18"/>
      <c r="L2759" s="18"/>
      <c r="M2759" s="18"/>
      <c r="N2759" s="18"/>
    </row>
    <row r="2760" ht="15.0" customHeight="1">
      <c r="A2760" s="18"/>
      <c r="B2760" s="18"/>
      <c r="C2760" s="18"/>
      <c r="D2760" s="18"/>
      <c r="E2760" s="18"/>
      <c r="F2760" s="18"/>
      <c r="G2760" s="4"/>
      <c r="H2760" s="4"/>
      <c r="I2760" s="18"/>
      <c r="J2760" s="91"/>
      <c r="K2760" s="18"/>
      <c r="L2760" s="18"/>
      <c r="M2760" s="18"/>
      <c r="N2760" s="18"/>
    </row>
    <row r="2761" ht="15.0" customHeight="1">
      <c r="A2761" s="18"/>
      <c r="B2761" s="18"/>
      <c r="C2761" s="18"/>
      <c r="D2761" s="18"/>
      <c r="E2761" s="18"/>
      <c r="F2761" s="18"/>
      <c r="G2761" s="4"/>
      <c r="H2761" s="4"/>
      <c r="I2761" s="18"/>
      <c r="J2761" s="91"/>
      <c r="K2761" s="18"/>
      <c r="L2761" s="18"/>
      <c r="M2761" s="18"/>
      <c r="N2761" s="18"/>
    </row>
    <row r="2762" ht="15.0" customHeight="1">
      <c r="A2762" s="18"/>
      <c r="B2762" s="18"/>
      <c r="C2762" s="18"/>
      <c r="D2762" s="18"/>
      <c r="E2762" s="18"/>
      <c r="F2762" s="18"/>
      <c r="G2762" s="4"/>
      <c r="H2762" s="4"/>
      <c r="I2762" s="18"/>
      <c r="J2762" s="91"/>
      <c r="K2762" s="18"/>
      <c r="L2762" s="18"/>
      <c r="M2762" s="18"/>
      <c r="N2762" s="18"/>
    </row>
    <row r="2763" ht="15.0" customHeight="1">
      <c r="A2763" s="18"/>
      <c r="B2763" s="18"/>
      <c r="C2763" s="18"/>
      <c r="D2763" s="18"/>
      <c r="E2763" s="18"/>
      <c r="F2763" s="18"/>
      <c r="G2763" s="4"/>
      <c r="H2763" s="4"/>
      <c r="I2763" s="18"/>
      <c r="J2763" s="91"/>
      <c r="K2763" s="18"/>
      <c r="L2763" s="18"/>
      <c r="M2763" s="18"/>
      <c r="N2763" s="18"/>
    </row>
    <row r="2764" ht="15.0" customHeight="1">
      <c r="A2764" s="18"/>
      <c r="B2764" s="18"/>
      <c r="C2764" s="18"/>
      <c r="D2764" s="18"/>
      <c r="E2764" s="18"/>
      <c r="F2764" s="18"/>
      <c r="G2764" s="4"/>
      <c r="H2764" s="4"/>
      <c r="I2764" s="18"/>
      <c r="J2764" s="91"/>
      <c r="K2764" s="18"/>
      <c r="L2764" s="18"/>
      <c r="M2764" s="18"/>
      <c r="N2764" s="18"/>
    </row>
    <row r="2765" ht="15.0" customHeight="1">
      <c r="A2765" s="18"/>
      <c r="B2765" s="18"/>
      <c r="C2765" s="18"/>
      <c r="D2765" s="18"/>
      <c r="E2765" s="18"/>
      <c r="F2765" s="18"/>
      <c r="G2765" s="4"/>
      <c r="H2765" s="4"/>
      <c r="I2765" s="18"/>
      <c r="J2765" s="91"/>
      <c r="K2765" s="18"/>
      <c r="L2765" s="18"/>
      <c r="M2765" s="18"/>
      <c r="N2765" s="18"/>
    </row>
    <row r="2766" ht="15.0" customHeight="1">
      <c r="A2766" s="18"/>
      <c r="B2766" s="18"/>
      <c r="C2766" s="18"/>
      <c r="D2766" s="18"/>
      <c r="E2766" s="18"/>
      <c r="F2766" s="18"/>
      <c r="G2766" s="4"/>
      <c r="H2766" s="4"/>
      <c r="I2766" s="18"/>
      <c r="J2766" s="91"/>
      <c r="K2766" s="18"/>
      <c r="L2766" s="18"/>
      <c r="M2766" s="18"/>
      <c r="N2766" s="18"/>
    </row>
    <row r="2767" ht="15.0" customHeight="1">
      <c r="A2767" s="18"/>
      <c r="B2767" s="18"/>
      <c r="C2767" s="18"/>
      <c r="D2767" s="18"/>
      <c r="E2767" s="18"/>
      <c r="F2767" s="18"/>
      <c r="G2767" s="4"/>
      <c r="H2767" s="4"/>
      <c r="I2767" s="18"/>
      <c r="J2767" s="91"/>
      <c r="K2767" s="18"/>
      <c r="L2767" s="18"/>
      <c r="M2767" s="18"/>
      <c r="N2767" s="18"/>
    </row>
    <row r="2768" ht="15.0" customHeight="1">
      <c r="A2768" s="18"/>
      <c r="B2768" s="18"/>
      <c r="C2768" s="18"/>
      <c r="D2768" s="18"/>
      <c r="E2768" s="18"/>
      <c r="F2768" s="18"/>
      <c r="G2768" s="4"/>
      <c r="H2768" s="4"/>
      <c r="I2768" s="18"/>
      <c r="J2768" s="91"/>
      <c r="K2768" s="18"/>
      <c r="L2768" s="18"/>
      <c r="M2768" s="18"/>
      <c r="N2768" s="18"/>
    </row>
    <row r="2769" ht="15.0" customHeight="1">
      <c r="A2769" s="18"/>
      <c r="B2769" s="18"/>
      <c r="C2769" s="18"/>
      <c r="D2769" s="18"/>
      <c r="E2769" s="18"/>
      <c r="F2769" s="18"/>
      <c r="G2769" s="4"/>
      <c r="H2769" s="4"/>
      <c r="I2769" s="18"/>
      <c r="J2769" s="91"/>
      <c r="K2769" s="18"/>
      <c r="L2769" s="18"/>
      <c r="M2769" s="18"/>
      <c r="N2769" s="18"/>
    </row>
    <row r="2770" ht="15.0" customHeight="1">
      <c r="A2770" s="18"/>
      <c r="B2770" s="18"/>
      <c r="C2770" s="18"/>
      <c r="D2770" s="18"/>
      <c r="E2770" s="18"/>
      <c r="F2770" s="18"/>
      <c r="G2770" s="4"/>
      <c r="H2770" s="4"/>
      <c r="I2770" s="18"/>
      <c r="J2770" s="91"/>
      <c r="K2770" s="18"/>
      <c r="L2770" s="18"/>
      <c r="M2770" s="18"/>
      <c r="N2770" s="18"/>
    </row>
    <row r="2771" ht="15.0" customHeight="1">
      <c r="A2771" s="18"/>
      <c r="B2771" s="18"/>
      <c r="C2771" s="18"/>
      <c r="D2771" s="18"/>
      <c r="E2771" s="18"/>
      <c r="F2771" s="18"/>
      <c r="G2771" s="4"/>
      <c r="H2771" s="4"/>
      <c r="I2771" s="18"/>
      <c r="J2771" s="91"/>
      <c r="K2771" s="18"/>
      <c r="L2771" s="18"/>
      <c r="M2771" s="18"/>
      <c r="N2771" s="18"/>
    </row>
    <row r="2772" ht="15.0" customHeight="1">
      <c r="A2772" s="18"/>
      <c r="B2772" s="18"/>
      <c r="C2772" s="18"/>
      <c r="D2772" s="18"/>
      <c r="E2772" s="18"/>
      <c r="F2772" s="18"/>
      <c r="G2772" s="4"/>
      <c r="H2772" s="4"/>
      <c r="I2772" s="18"/>
      <c r="J2772" s="91"/>
      <c r="K2772" s="18"/>
      <c r="L2772" s="18"/>
      <c r="M2772" s="18"/>
      <c r="N2772" s="18"/>
    </row>
    <row r="2773" ht="15.0" customHeight="1">
      <c r="A2773" s="18"/>
      <c r="B2773" s="18"/>
      <c r="C2773" s="18"/>
      <c r="D2773" s="18"/>
      <c r="E2773" s="18"/>
      <c r="F2773" s="18"/>
      <c r="G2773" s="4"/>
      <c r="H2773" s="4"/>
      <c r="I2773" s="18"/>
      <c r="J2773" s="91"/>
      <c r="K2773" s="18"/>
      <c r="L2773" s="18"/>
      <c r="M2773" s="18"/>
      <c r="N2773" s="18"/>
    </row>
    <row r="2774" ht="15.0" customHeight="1">
      <c r="A2774" s="18"/>
      <c r="B2774" s="18"/>
      <c r="C2774" s="18"/>
      <c r="D2774" s="18"/>
      <c r="E2774" s="18"/>
      <c r="F2774" s="18"/>
      <c r="G2774" s="4"/>
      <c r="H2774" s="4"/>
      <c r="I2774" s="18"/>
      <c r="J2774" s="91"/>
      <c r="K2774" s="18"/>
      <c r="L2774" s="18"/>
      <c r="M2774" s="18"/>
      <c r="N2774" s="18"/>
    </row>
    <row r="2775" ht="15.0" customHeight="1">
      <c r="A2775" s="18"/>
      <c r="B2775" s="18"/>
      <c r="C2775" s="18"/>
      <c r="D2775" s="18"/>
      <c r="E2775" s="18"/>
      <c r="F2775" s="18"/>
      <c r="G2775" s="4"/>
      <c r="H2775" s="4"/>
      <c r="I2775" s="18"/>
      <c r="J2775" s="91"/>
      <c r="K2775" s="18"/>
      <c r="L2775" s="18"/>
      <c r="M2775" s="18"/>
      <c r="N2775" s="18"/>
    </row>
    <row r="2776" ht="15.0" customHeight="1">
      <c r="A2776" s="18"/>
      <c r="B2776" s="18"/>
      <c r="C2776" s="18"/>
      <c r="D2776" s="18"/>
      <c r="E2776" s="18"/>
      <c r="F2776" s="18"/>
      <c r="G2776" s="4"/>
      <c r="H2776" s="4"/>
      <c r="I2776" s="18"/>
      <c r="J2776" s="91"/>
      <c r="K2776" s="18"/>
      <c r="L2776" s="18"/>
      <c r="M2776" s="18"/>
      <c r="N2776" s="18"/>
    </row>
    <row r="2777" ht="15.0" customHeight="1">
      <c r="A2777" s="18"/>
      <c r="B2777" s="18"/>
      <c r="C2777" s="18"/>
      <c r="D2777" s="18"/>
      <c r="E2777" s="18"/>
      <c r="F2777" s="18"/>
      <c r="G2777" s="4"/>
      <c r="H2777" s="4"/>
      <c r="I2777" s="18"/>
      <c r="J2777" s="91"/>
      <c r="K2777" s="18"/>
      <c r="L2777" s="18"/>
      <c r="M2777" s="18"/>
      <c r="N2777" s="18"/>
    </row>
    <row r="2778" ht="15.0" customHeight="1">
      <c r="A2778" s="18"/>
      <c r="B2778" s="18"/>
      <c r="C2778" s="18"/>
      <c r="D2778" s="18"/>
      <c r="E2778" s="18"/>
      <c r="F2778" s="18"/>
      <c r="G2778" s="4"/>
      <c r="H2778" s="4"/>
      <c r="I2778" s="18"/>
      <c r="J2778" s="91"/>
      <c r="K2778" s="18"/>
      <c r="L2778" s="18"/>
      <c r="M2778" s="18"/>
      <c r="N2778" s="18"/>
    </row>
    <row r="2779" ht="15.0" customHeight="1">
      <c r="A2779" s="18"/>
      <c r="B2779" s="18"/>
      <c r="C2779" s="18"/>
      <c r="D2779" s="18"/>
      <c r="E2779" s="18"/>
      <c r="F2779" s="18"/>
      <c r="G2779" s="4"/>
      <c r="H2779" s="4"/>
      <c r="I2779" s="18"/>
      <c r="J2779" s="91"/>
      <c r="K2779" s="18"/>
      <c r="L2779" s="18"/>
      <c r="M2779" s="18"/>
      <c r="N2779" s="18"/>
    </row>
    <row r="2780" ht="15.0" customHeight="1">
      <c r="A2780" s="18"/>
      <c r="B2780" s="18"/>
      <c r="C2780" s="18"/>
      <c r="D2780" s="18"/>
      <c r="E2780" s="18"/>
      <c r="F2780" s="18"/>
      <c r="G2780" s="4"/>
      <c r="H2780" s="4"/>
      <c r="I2780" s="18"/>
      <c r="J2780" s="91"/>
      <c r="K2780" s="18"/>
      <c r="L2780" s="18"/>
      <c r="M2780" s="18"/>
      <c r="N2780" s="18"/>
    </row>
    <row r="2781" ht="15.0" customHeight="1">
      <c r="A2781" s="18"/>
      <c r="B2781" s="18"/>
      <c r="C2781" s="18"/>
      <c r="D2781" s="18"/>
      <c r="E2781" s="18"/>
      <c r="F2781" s="18"/>
      <c r="G2781" s="4"/>
      <c r="H2781" s="4"/>
      <c r="I2781" s="18"/>
      <c r="J2781" s="91"/>
      <c r="K2781" s="18"/>
      <c r="L2781" s="18"/>
      <c r="M2781" s="18"/>
      <c r="N2781" s="18"/>
    </row>
    <row r="2782" ht="15.0" customHeight="1">
      <c r="A2782" s="18"/>
      <c r="B2782" s="18"/>
      <c r="C2782" s="18"/>
      <c r="D2782" s="18"/>
      <c r="E2782" s="18"/>
      <c r="F2782" s="18"/>
      <c r="G2782" s="4"/>
      <c r="H2782" s="4"/>
      <c r="I2782" s="18"/>
      <c r="J2782" s="91"/>
      <c r="K2782" s="18"/>
      <c r="L2782" s="18"/>
      <c r="M2782" s="18"/>
      <c r="N2782" s="18"/>
    </row>
    <row r="2783" ht="15.0" customHeight="1">
      <c r="A2783" s="18"/>
      <c r="B2783" s="18"/>
      <c r="C2783" s="18"/>
      <c r="D2783" s="18"/>
      <c r="E2783" s="18"/>
      <c r="F2783" s="18"/>
      <c r="G2783" s="4"/>
      <c r="H2783" s="4"/>
      <c r="I2783" s="18"/>
      <c r="J2783" s="91"/>
      <c r="K2783" s="18"/>
      <c r="L2783" s="18"/>
      <c r="M2783" s="18"/>
      <c r="N2783" s="18"/>
    </row>
    <row r="2784" ht="15.0" customHeight="1">
      <c r="A2784" s="18"/>
      <c r="B2784" s="18"/>
      <c r="C2784" s="18"/>
      <c r="D2784" s="18"/>
      <c r="E2784" s="18"/>
      <c r="F2784" s="18"/>
      <c r="G2784" s="4"/>
      <c r="H2784" s="4"/>
      <c r="I2784" s="18"/>
      <c r="J2784" s="91"/>
      <c r="K2784" s="18"/>
      <c r="L2784" s="18"/>
      <c r="M2784" s="18"/>
      <c r="N2784" s="18"/>
    </row>
    <row r="2785" ht="15.0" customHeight="1">
      <c r="A2785" s="18"/>
      <c r="B2785" s="18"/>
      <c r="C2785" s="18"/>
      <c r="D2785" s="18"/>
      <c r="E2785" s="18"/>
      <c r="F2785" s="18"/>
      <c r="G2785" s="4"/>
      <c r="H2785" s="4"/>
      <c r="I2785" s="18"/>
      <c r="J2785" s="91"/>
      <c r="K2785" s="18"/>
      <c r="L2785" s="18"/>
      <c r="M2785" s="18"/>
      <c r="N2785" s="18"/>
    </row>
    <row r="2786" ht="15.0" customHeight="1">
      <c r="A2786" s="18"/>
      <c r="B2786" s="18"/>
      <c r="C2786" s="18"/>
      <c r="D2786" s="18"/>
      <c r="E2786" s="18"/>
      <c r="F2786" s="18"/>
      <c r="G2786" s="4"/>
      <c r="H2786" s="4"/>
      <c r="I2786" s="18"/>
      <c r="J2786" s="91"/>
      <c r="K2786" s="18"/>
      <c r="L2786" s="18"/>
      <c r="M2786" s="18"/>
      <c r="N2786" s="18"/>
    </row>
    <row r="2787" ht="15.0" customHeight="1">
      <c r="A2787" s="18"/>
      <c r="B2787" s="18"/>
      <c r="C2787" s="18"/>
      <c r="D2787" s="18"/>
      <c r="E2787" s="18"/>
      <c r="F2787" s="18"/>
      <c r="G2787" s="4"/>
      <c r="H2787" s="4"/>
      <c r="I2787" s="18"/>
      <c r="J2787" s="91"/>
      <c r="K2787" s="18"/>
      <c r="L2787" s="18"/>
      <c r="M2787" s="18"/>
      <c r="N2787" s="18"/>
    </row>
    <row r="2788" ht="15.0" customHeight="1">
      <c r="A2788" s="18"/>
      <c r="B2788" s="18"/>
      <c r="C2788" s="18"/>
      <c r="D2788" s="18"/>
      <c r="E2788" s="18"/>
      <c r="F2788" s="18"/>
      <c r="G2788" s="4"/>
      <c r="H2788" s="4"/>
      <c r="I2788" s="18"/>
      <c r="J2788" s="91"/>
      <c r="K2788" s="18"/>
      <c r="L2788" s="18"/>
      <c r="M2788" s="18"/>
      <c r="N2788" s="18"/>
    </row>
    <row r="2789" ht="15.0" customHeight="1">
      <c r="A2789" s="18"/>
      <c r="B2789" s="18"/>
      <c r="C2789" s="18"/>
      <c r="D2789" s="18"/>
      <c r="E2789" s="18"/>
      <c r="F2789" s="18"/>
      <c r="G2789" s="4"/>
      <c r="H2789" s="4"/>
      <c r="I2789" s="18"/>
      <c r="J2789" s="91"/>
      <c r="K2789" s="18"/>
      <c r="L2789" s="18"/>
      <c r="M2789" s="18"/>
      <c r="N2789" s="18"/>
    </row>
    <row r="2790" ht="15.0" customHeight="1">
      <c r="A2790" s="18"/>
      <c r="B2790" s="18"/>
      <c r="C2790" s="18"/>
      <c r="D2790" s="18"/>
      <c r="E2790" s="18"/>
      <c r="F2790" s="18"/>
      <c r="G2790" s="4"/>
      <c r="H2790" s="4"/>
      <c r="I2790" s="18"/>
      <c r="J2790" s="91"/>
      <c r="K2790" s="18"/>
      <c r="L2790" s="18"/>
      <c r="M2790" s="18"/>
      <c r="N2790" s="18"/>
    </row>
    <row r="2791" ht="15.0" customHeight="1">
      <c r="A2791" s="18"/>
      <c r="B2791" s="18"/>
      <c r="C2791" s="18"/>
      <c r="D2791" s="18"/>
      <c r="E2791" s="18"/>
      <c r="F2791" s="18"/>
      <c r="G2791" s="4"/>
      <c r="H2791" s="4"/>
      <c r="I2791" s="18"/>
      <c r="J2791" s="91"/>
      <c r="K2791" s="18"/>
      <c r="L2791" s="18"/>
      <c r="M2791" s="18"/>
      <c r="N2791" s="18"/>
    </row>
    <row r="2792" ht="15.0" customHeight="1">
      <c r="A2792" s="18"/>
      <c r="B2792" s="18"/>
      <c r="C2792" s="18"/>
      <c r="D2792" s="18"/>
      <c r="E2792" s="18"/>
      <c r="F2792" s="18"/>
      <c r="G2792" s="4"/>
      <c r="H2792" s="4"/>
      <c r="I2792" s="18"/>
      <c r="J2792" s="91"/>
      <c r="K2792" s="18"/>
      <c r="L2792" s="18"/>
      <c r="M2792" s="18"/>
      <c r="N2792" s="18"/>
    </row>
    <row r="2793" ht="15.0" customHeight="1">
      <c r="A2793" s="18"/>
      <c r="B2793" s="18"/>
      <c r="C2793" s="18"/>
      <c r="D2793" s="18"/>
      <c r="E2793" s="18"/>
      <c r="F2793" s="18"/>
      <c r="G2793" s="4"/>
      <c r="H2793" s="4"/>
      <c r="I2793" s="18"/>
      <c r="J2793" s="91"/>
      <c r="K2793" s="18"/>
      <c r="L2793" s="18"/>
      <c r="M2793" s="18"/>
      <c r="N2793" s="18"/>
    </row>
    <row r="2794" ht="15.0" customHeight="1">
      <c r="A2794" s="18"/>
      <c r="B2794" s="18"/>
      <c r="C2794" s="18"/>
      <c r="D2794" s="18"/>
      <c r="E2794" s="18"/>
      <c r="F2794" s="18"/>
      <c r="G2794" s="4"/>
      <c r="H2794" s="4"/>
      <c r="I2794" s="18"/>
      <c r="J2794" s="91"/>
      <c r="K2794" s="18"/>
      <c r="L2794" s="18"/>
      <c r="M2794" s="18"/>
      <c r="N2794" s="18"/>
    </row>
    <row r="2795" ht="15.0" customHeight="1">
      <c r="A2795" s="18"/>
      <c r="B2795" s="18"/>
      <c r="C2795" s="18"/>
      <c r="D2795" s="18"/>
      <c r="E2795" s="18"/>
      <c r="F2795" s="18"/>
      <c r="G2795" s="4"/>
      <c r="H2795" s="4"/>
      <c r="I2795" s="18"/>
      <c r="J2795" s="91"/>
      <c r="K2795" s="18"/>
      <c r="L2795" s="18"/>
      <c r="M2795" s="18"/>
      <c r="N2795" s="18"/>
    </row>
    <row r="2796" ht="15.0" customHeight="1">
      <c r="A2796" s="18"/>
      <c r="B2796" s="18"/>
      <c r="C2796" s="18"/>
      <c r="D2796" s="18"/>
      <c r="E2796" s="18"/>
      <c r="F2796" s="18"/>
      <c r="G2796" s="4"/>
      <c r="H2796" s="4"/>
      <c r="I2796" s="18"/>
      <c r="J2796" s="91"/>
      <c r="K2796" s="18"/>
      <c r="L2796" s="18"/>
      <c r="M2796" s="18"/>
      <c r="N2796" s="18"/>
    </row>
    <row r="2797" ht="15.0" customHeight="1">
      <c r="A2797" s="18"/>
      <c r="B2797" s="18"/>
      <c r="C2797" s="18"/>
      <c r="D2797" s="18"/>
      <c r="E2797" s="18"/>
      <c r="F2797" s="18"/>
      <c r="G2797" s="4"/>
      <c r="H2797" s="4"/>
      <c r="I2797" s="18"/>
      <c r="J2797" s="91"/>
      <c r="K2797" s="18"/>
      <c r="L2797" s="18"/>
      <c r="M2797" s="18"/>
      <c r="N2797" s="18"/>
    </row>
    <row r="2798" ht="15.0" customHeight="1">
      <c r="A2798" s="18"/>
      <c r="B2798" s="18"/>
      <c r="C2798" s="18"/>
      <c r="D2798" s="18"/>
      <c r="E2798" s="18"/>
      <c r="F2798" s="18"/>
      <c r="G2798" s="4"/>
      <c r="H2798" s="4"/>
      <c r="I2798" s="18"/>
      <c r="J2798" s="91"/>
      <c r="K2798" s="18"/>
      <c r="L2798" s="18"/>
      <c r="M2798" s="18"/>
      <c r="N2798" s="18"/>
    </row>
    <row r="2799" ht="15.0" customHeight="1">
      <c r="A2799" s="18"/>
      <c r="B2799" s="18"/>
      <c r="C2799" s="18"/>
      <c r="D2799" s="18"/>
      <c r="E2799" s="18"/>
      <c r="F2799" s="18"/>
      <c r="G2799" s="4"/>
      <c r="H2799" s="4"/>
      <c r="I2799" s="18"/>
      <c r="J2799" s="91"/>
      <c r="K2799" s="18"/>
      <c r="L2799" s="18"/>
      <c r="M2799" s="18"/>
      <c r="N2799" s="18"/>
    </row>
    <row r="2800" ht="15.0" customHeight="1">
      <c r="A2800" s="18"/>
      <c r="B2800" s="18"/>
      <c r="C2800" s="18"/>
      <c r="D2800" s="18"/>
      <c r="E2800" s="18"/>
      <c r="F2800" s="18"/>
      <c r="G2800" s="4"/>
      <c r="H2800" s="4"/>
      <c r="I2800" s="18"/>
      <c r="J2800" s="91"/>
      <c r="K2800" s="18"/>
      <c r="L2800" s="18"/>
      <c r="M2800" s="18"/>
      <c r="N2800" s="18"/>
    </row>
  </sheetData>
  <autoFilter ref="$A$1:$N$2076">
    <filterColumn colId="8">
      <filters>
        <filter val="22"/>
        <filter val="24"/>
        <filter val="25"/>
        <filter val="26"/>
        <filter val="27"/>
        <filter val="28"/>
        <filter val="Keluar"/>
        <filter val="271"/>
        <filter val="211"/>
        <filter val="156"/>
        <filter val="358"/>
        <filter val="117"/>
        <filter val="30"/>
        <filter val="32"/>
        <filter val="10"/>
        <filter val="54"/>
        <filter val="11"/>
        <filter val="33"/>
        <filter val="55"/>
        <filter val="12"/>
        <filter val="13"/>
        <filter val="58"/>
        <filter val="14"/>
        <filter val="36"/>
        <filter val="37"/>
        <filter val="15"/>
        <filter val="16"/>
        <filter val="17"/>
        <filter val="18"/>
        <filter val="19"/>
        <filter val="1"/>
        <filter val="2"/>
        <filter val="101"/>
        <filter val="3"/>
        <filter val="4"/>
        <filter val="5"/>
        <filter val="6"/>
        <filter val="7"/>
        <filter val="8"/>
        <filter val="9"/>
        <filter val="40"/>
        <filter val="41"/>
        <filter val="63"/>
        <filter val="20"/>
        <filter val="21"/>
      </filters>
    </filterColumn>
    <filterColumn colId="9">
      <filters>
        <filter val="-1"/>
        <filter val="-12"/>
        <filter val="0"/>
        <filter val="-101"/>
        <filter val="-26"/>
        <filter val="-37"/>
        <filter val="-179"/>
        <filter val="-17"/>
        <filter val="Stok Akhir"/>
        <filter val="796"/>
        <filter val="624"/>
        <filter val="8"/>
        <filter val="-358"/>
      </filters>
    </filterColumn>
    <filterColumn colId="6">
      <filters>
        <filter val="ORDER"/>
        <filter val="1"/>
        <filter val="2"/>
        <filter val="3"/>
        <filter val="5"/>
      </filters>
    </filterColumn>
  </autoFilter>
  <mergeCells count="1">
    <mergeCell ref="A1:J1"/>
  </mergeCells>
  <printOptions/>
  <pageMargins bottom="0.25" footer="0.0" header="0.0" left="0.25" right="0.25" top="0.2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23.14"/>
    <col customWidth="1" min="3" max="3" width="8.71"/>
    <col customWidth="1" min="4" max="4" width="11.43"/>
    <col customWidth="1" min="5" max="5" width="8.71"/>
    <col customWidth="1" min="6" max="6" width="6.71"/>
    <col customWidth="1" min="7" max="7" width="7.57"/>
    <col customWidth="1" min="8" max="8" width="3.57"/>
    <col customWidth="1" min="9" max="9" width="3.43"/>
    <col customWidth="1" min="10" max="11" width="6.43"/>
    <col customWidth="1" min="12" max="12" width="12.0"/>
    <col customWidth="1" min="13" max="20" width="8.71"/>
  </cols>
  <sheetData>
    <row r="1" ht="13.5" customHeight="1">
      <c r="A1" s="507" t="s">
        <v>11543</v>
      </c>
      <c r="B1" s="508"/>
      <c r="C1" s="509"/>
      <c r="D1" s="509"/>
      <c r="E1" s="509"/>
      <c r="F1" s="509"/>
      <c r="G1" s="509"/>
      <c r="H1" s="509"/>
      <c r="I1" s="609" t="s">
        <v>2867</v>
      </c>
      <c r="L1" s="656" t="s">
        <v>11544</v>
      </c>
    </row>
    <row r="2" ht="13.5" customHeight="1">
      <c r="A2" s="513" t="s">
        <v>11488</v>
      </c>
      <c r="B2" s="514"/>
      <c r="C2" s="515"/>
      <c r="D2" s="515"/>
      <c r="E2" s="515"/>
      <c r="F2" s="509"/>
      <c r="G2" s="509"/>
      <c r="H2" s="509"/>
      <c r="I2" s="609" t="s">
        <v>11444</v>
      </c>
    </row>
    <row r="3" ht="13.5" customHeight="1">
      <c r="A3" s="517" t="s">
        <v>11445</v>
      </c>
      <c r="B3" s="518"/>
      <c r="C3" s="509"/>
      <c r="D3" s="519"/>
      <c r="E3" s="519"/>
      <c r="F3" s="519"/>
      <c r="G3" s="519"/>
      <c r="H3" s="519"/>
      <c r="I3" s="487" t="s">
        <v>11545</v>
      </c>
      <c r="J3" s="307"/>
      <c r="K3" s="307"/>
      <c r="L3" s="307"/>
    </row>
    <row r="4" ht="13.5" customHeight="1">
      <c r="A4" s="520"/>
      <c r="B4" s="520"/>
      <c r="C4" s="509"/>
      <c r="D4" s="519"/>
      <c r="E4" s="519"/>
      <c r="F4" s="519"/>
      <c r="G4" s="519"/>
      <c r="H4" s="519"/>
      <c r="I4" s="329" t="s">
        <v>2958</v>
      </c>
      <c r="J4" s="329"/>
      <c r="K4" s="329"/>
      <c r="L4" s="329"/>
    </row>
    <row r="5" ht="13.5" customHeight="1">
      <c r="A5" s="520"/>
      <c r="B5" s="520"/>
      <c r="C5" s="509"/>
      <c r="D5" s="519"/>
      <c r="E5" s="519"/>
      <c r="F5" s="519"/>
      <c r="G5" s="519"/>
      <c r="H5" s="519"/>
      <c r="I5" s="329"/>
      <c r="J5" s="329"/>
      <c r="K5" s="329"/>
      <c r="L5" s="329"/>
    </row>
    <row r="6" ht="13.5" customHeight="1">
      <c r="A6" s="520"/>
      <c r="B6" s="520"/>
      <c r="C6" s="509"/>
      <c r="D6" s="519"/>
      <c r="E6" s="519"/>
      <c r="F6" s="519"/>
      <c r="G6" s="519"/>
      <c r="H6" s="519"/>
      <c r="I6" s="519"/>
      <c r="J6" s="527"/>
      <c r="K6" s="527"/>
      <c r="L6" s="527"/>
    </row>
    <row r="7" ht="13.5" customHeight="1">
      <c r="A7" s="520"/>
      <c r="B7" s="520"/>
      <c r="C7" s="509"/>
      <c r="D7" s="657" t="s">
        <v>11546</v>
      </c>
      <c r="G7" s="519"/>
      <c r="H7" s="519"/>
      <c r="I7" s="519"/>
      <c r="J7" s="527"/>
      <c r="K7" s="527"/>
      <c r="L7" s="527"/>
    </row>
    <row r="8" ht="13.5" customHeight="1">
      <c r="A8" s="73"/>
      <c r="B8" s="518"/>
      <c r="C8" s="73"/>
      <c r="D8" s="526"/>
      <c r="E8" s="526"/>
      <c r="F8" s="526"/>
      <c r="G8" s="73"/>
      <c r="H8" s="73"/>
      <c r="I8" s="73"/>
      <c r="J8" s="527"/>
      <c r="K8" s="527"/>
      <c r="L8" s="527"/>
    </row>
    <row r="9" ht="13.5" customHeight="1">
      <c r="A9" s="528" t="s">
        <v>11469</v>
      </c>
      <c r="B9" s="658" t="s">
        <v>11202</v>
      </c>
      <c r="C9" s="73"/>
      <c r="D9" s="529"/>
      <c r="E9" s="73"/>
      <c r="F9" s="73"/>
      <c r="G9" s="73"/>
      <c r="H9" s="530"/>
      <c r="I9" s="531"/>
      <c r="J9" s="530"/>
      <c r="K9" s="531"/>
      <c r="L9" s="530"/>
    </row>
    <row r="10" ht="13.5" customHeight="1">
      <c r="A10" s="532" t="s">
        <v>11448</v>
      </c>
      <c r="B10" s="533" t="s">
        <v>11449</v>
      </c>
      <c r="C10" s="532" t="s">
        <v>11462</v>
      </c>
      <c r="D10" s="2"/>
      <c r="E10" s="2"/>
      <c r="F10" s="2"/>
      <c r="G10" s="2"/>
      <c r="H10" s="535" t="s">
        <v>2540</v>
      </c>
      <c r="I10" s="536"/>
      <c r="J10" s="536"/>
      <c r="K10" s="536"/>
      <c r="L10" s="532" t="s">
        <v>11470</v>
      </c>
    </row>
    <row r="11" ht="13.5" customHeight="1">
      <c r="A11" s="537">
        <v>1.0</v>
      </c>
      <c r="B11" s="56" t="s">
        <v>11547</v>
      </c>
      <c r="C11" s="222" t="s">
        <v>11548</v>
      </c>
      <c r="H11" s="659"/>
      <c r="I11" s="536"/>
      <c r="J11" s="536"/>
      <c r="K11" s="536"/>
      <c r="L11" s="388">
        <v>100000.0</v>
      </c>
    </row>
    <row r="12" ht="13.5" customHeight="1">
      <c r="A12" s="537"/>
      <c r="B12" s="56"/>
      <c r="C12" s="222" t="str">
        <f>IFERROR(VLOOKUP(B12,Stock,3,FALSE),"")</f>
        <v/>
      </c>
      <c r="H12" s="660" t="s">
        <v>1484</v>
      </c>
      <c r="L12" s="578"/>
      <c r="N12" s="73"/>
      <c r="P12" s="162"/>
      <c r="Q12" s="162"/>
      <c r="R12" s="162"/>
      <c r="S12" s="162"/>
      <c r="T12" s="162"/>
    </row>
    <row r="13" ht="13.5" customHeight="1">
      <c r="A13" s="541"/>
      <c r="B13" s="56"/>
      <c r="C13" s="222" t="str">
        <f>IFERROR(VLOOKUP(B13,Stock,3,FALSE),"")</f>
        <v/>
      </c>
      <c r="H13" s="660"/>
      <c r="L13" s="578"/>
    </row>
    <row r="14" ht="13.5" customHeight="1">
      <c r="A14" s="541"/>
      <c r="B14" s="56"/>
      <c r="C14" s="222" t="str">
        <f>IFERROR(VLOOKUP(B14,Stock,3,FALSE),"")</f>
        <v/>
      </c>
      <c r="H14" s="660"/>
      <c r="L14" s="578"/>
    </row>
    <row r="15" ht="13.5" customHeight="1">
      <c r="A15" s="203"/>
      <c r="B15" s="181"/>
      <c r="C15" s="222" t="str">
        <f>IFERROR(VLOOKUP(B15,Stock,3,FALSE),"")</f>
        <v/>
      </c>
      <c r="H15" s="660"/>
      <c r="L15" s="578"/>
    </row>
    <row r="16" ht="13.5" customHeight="1">
      <c r="A16" s="661"/>
      <c r="B16" s="200"/>
      <c r="C16" s="662"/>
      <c r="D16" s="663"/>
      <c r="E16" s="663"/>
      <c r="F16" s="663"/>
      <c r="G16" s="663"/>
      <c r="H16" s="664"/>
      <c r="I16" s="531"/>
      <c r="J16" s="531"/>
      <c r="K16" s="531"/>
      <c r="L16" s="578"/>
    </row>
    <row r="17" ht="13.5" customHeight="1">
      <c r="A17" s="547"/>
      <c r="B17" s="547"/>
      <c r="C17" s="588"/>
      <c r="D17" s="547"/>
      <c r="E17" s="547"/>
      <c r="F17" s="547"/>
      <c r="G17" s="547"/>
      <c r="H17" s="618"/>
      <c r="I17" s="516"/>
      <c r="J17" s="549"/>
      <c r="K17" s="181" t="s">
        <v>11549</v>
      </c>
      <c r="L17" s="665">
        <f>SUM(L11:L16)</f>
        <v>100000</v>
      </c>
    </row>
    <row r="18" ht="13.5" customHeight="1">
      <c r="A18" s="516"/>
      <c r="B18" s="557"/>
      <c r="C18" s="516"/>
      <c r="D18" s="557"/>
      <c r="E18" s="557" t="s">
        <v>11454</v>
      </c>
      <c r="F18" s="524"/>
      <c r="G18" s="620"/>
      <c r="H18" s="620"/>
      <c r="I18" s="620"/>
      <c r="J18" s="621" t="s">
        <v>11472</v>
      </c>
      <c r="K18" s="536"/>
      <c r="L18" s="622"/>
    </row>
    <row r="19" ht="13.5" customHeight="1">
      <c r="A19" s="509"/>
      <c r="B19" s="557"/>
      <c r="C19" s="557"/>
      <c r="D19" s="557"/>
      <c r="E19" s="557"/>
      <c r="F19" s="620"/>
      <c r="G19" s="620"/>
      <c r="H19" s="620"/>
      <c r="I19" s="620"/>
      <c r="J19" s="623"/>
      <c r="K19" s="531"/>
      <c r="L19" s="160"/>
    </row>
    <row r="20" ht="13.5" customHeight="1">
      <c r="A20" s="509"/>
      <c r="B20" s="520"/>
      <c r="C20" s="520"/>
      <c r="D20" s="563"/>
      <c r="E20" s="563"/>
      <c r="F20" s="620"/>
      <c r="G20" s="620"/>
      <c r="H20" s="620"/>
      <c r="I20" s="620"/>
      <c r="J20" s="564"/>
      <c r="K20" s="200"/>
      <c r="L20" s="565"/>
    </row>
    <row r="21" ht="13.5" customHeight="1">
      <c r="A21" s="509"/>
      <c r="B21" s="520"/>
      <c r="C21" s="520"/>
      <c r="D21" s="520"/>
      <c r="E21" s="520"/>
      <c r="G21" s="620"/>
      <c r="H21" s="620"/>
      <c r="I21" s="620"/>
      <c r="J21" s="564"/>
      <c r="K21" s="566"/>
      <c r="L21" s="627"/>
    </row>
    <row r="22" ht="13.5" customHeight="1">
      <c r="A22" s="509"/>
      <c r="B22" s="666" t="s">
        <v>11459</v>
      </c>
      <c r="E22" s="520" t="s">
        <v>11460</v>
      </c>
      <c r="G22" s="569"/>
      <c r="H22" s="569"/>
      <c r="I22" s="569"/>
      <c r="J22" s="564"/>
      <c r="K22" s="566"/>
      <c r="L22" s="629"/>
    </row>
    <row r="23" ht="13.5" customHeight="1">
      <c r="B23" s="605"/>
      <c r="H23" s="606"/>
      <c r="I23" s="606"/>
      <c r="J23" s="564"/>
      <c r="K23" s="559"/>
      <c r="L23" s="559"/>
    </row>
    <row r="24" ht="13.5" customHeight="1">
      <c r="B24" s="605"/>
      <c r="L24" s="631"/>
    </row>
    <row r="25" ht="13.5" customHeight="1">
      <c r="B25" s="605"/>
      <c r="L25" s="632"/>
    </row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I1:K1"/>
    <mergeCell ref="I2:L2"/>
    <mergeCell ref="D7:F7"/>
    <mergeCell ref="H9:I9"/>
    <mergeCell ref="J9:K9"/>
    <mergeCell ref="C10:G10"/>
    <mergeCell ref="H10:K10"/>
    <mergeCell ref="C14:G14"/>
    <mergeCell ref="C15:G15"/>
    <mergeCell ref="H15:K15"/>
    <mergeCell ref="H16:K16"/>
    <mergeCell ref="J18:L19"/>
    <mergeCell ref="B22:D22"/>
    <mergeCell ref="C11:G11"/>
    <mergeCell ref="H11:K11"/>
    <mergeCell ref="C12:G12"/>
    <mergeCell ref="H12:K12"/>
    <mergeCell ref="C13:G13"/>
    <mergeCell ref="H13:K13"/>
    <mergeCell ref="H14:K14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11550</v>
      </c>
      <c r="B1" s="6" t="s">
        <v>4</v>
      </c>
      <c r="C1" s="6" t="s">
        <v>11551</v>
      </c>
      <c r="D1" s="6" t="s">
        <v>11552</v>
      </c>
      <c r="E1" s="6" t="s">
        <v>2</v>
      </c>
      <c r="F1" s="6" t="s">
        <v>5</v>
      </c>
      <c r="G1" s="6" t="s">
        <v>11553</v>
      </c>
      <c r="H1" s="6" t="s">
        <v>11554</v>
      </c>
      <c r="I1" s="6" t="s">
        <v>11555</v>
      </c>
      <c r="J1" s="6" t="s">
        <v>11556</v>
      </c>
      <c r="K1" s="6" t="s">
        <v>11557</v>
      </c>
      <c r="L1" s="6" t="s">
        <v>11558</v>
      </c>
      <c r="M1" s="6" t="s">
        <v>11559</v>
      </c>
      <c r="N1" s="667" t="s">
        <v>11560</v>
      </c>
      <c r="O1" s="6" t="s">
        <v>11561</v>
      </c>
      <c r="P1" s="6" t="s">
        <v>11562</v>
      </c>
      <c r="Q1" s="6" t="s">
        <v>11563</v>
      </c>
      <c r="R1" s="6" t="s">
        <v>11564</v>
      </c>
      <c r="S1" s="6" t="s">
        <v>11565</v>
      </c>
      <c r="T1" s="6" t="s">
        <v>11566</v>
      </c>
      <c r="U1" s="6" t="s">
        <v>11567</v>
      </c>
    </row>
    <row r="2">
      <c r="A2" s="6" t="s">
        <v>11568</v>
      </c>
      <c r="E2" s="6" t="s">
        <v>11568</v>
      </c>
      <c r="N2" s="668"/>
    </row>
    <row r="3">
      <c r="A3" s="6" t="s">
        <v>1320</v>
      </c>
      <c r="B3" s="6" t="s">
        <v>11569</v>
      </c>
      <c r="C3" s="6" t="s">
        <v>11570</v>
      </c>
      <c r="D3" s="6" t="s">
        <v>22</v>
      </c>
      <c r="E3" s="6" t="s">
        <v>11571</v>
      </c>
      <c r="F3" s="6" t="s">
        <v>737</v>
      </c>
      <c r="G3" s="6" t="s">
        <v>2939</v>
      </c>
      <c r="H3" s="6">
        <v>0.0</v>
      </c>
      <c r="I3" s="6">
        <v>0.0</v>
      </c>
      <c r="J3" s="6">
        <v>2.0</v>
      </c>
      <c r="K3" s="6">
        <v>0.0</v>
      </c>
      <c r="L3" s="6">
        <v>0.0</v>
      </c>
      <c r="M3" s="6">
        <v>0.0</v>
      </c>
      <c r="N3" s="669">
        <v>4681000.0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  <c r="T3" s="6">
        <v>0.0</v>
      </c>
      <c r="U3" s="6">
        <v>0.0</v>
      </c>
    </row>
    <row r="4">
      <c r="A4" s="6" t="s">
        <v>1322</v>
      </c>
      <c r="B4" s="6" t="s">
        <v>11569</v>
      </c>
      <c r="C4" s="6" t="s">
        <v>11570</v>
      </c>
      <c r="D4" s="6" t="s">
        <v>22</v>
      </c>
      <c r="E4" s="6" t="s">
        <v>1323</v>
      </c>
      <c r="F4" s="6" t="s">
        <v>737</v>
      </c>
      <c r="G4" s="6" t="s">
        <v>2939</v>
      </c>
      <c r="H4" s="6">
        <v>0.0</v>
      </c>
      <c r="I4" s="6">
        <v>0.0</v>
      </c>
      <c r="J4" s="6">
        <v>3.0</v>
      </c>
      <c r="K4" s="6">
        <v>0.0</v>
      </c>
      <c r="L4" s="6">
        <v>0.0</v>
      </c>
      <c r="M4" s="6">
        <v>0.0</v>
      </c>
      <c r="N4" s="669">
        <v>4681000.0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  <c r="T4" s="6">
        <v>0.0</v>
      </c>
      <c r="U4" s="6">
        <v>0.0</v>
      </c>
    </row>
    <row r="5">
      <c r="A5" s="6" t="s">
        <v>1324</v>
      </c>
      <c r="B5" s="6" t="s">
        <v>11569</v>
      </c>
      <c r="C5" s="6" t="s">
        <v>11570</v>
      </c>
      <c r="D5" s="6" t="s">
        <v>22</v>
      </c>
      <c r="E5" s="6" t="s">
        <v>1325</v>
      </c>
      <c r="F5" s="6" t="s">
        <v>125</v>
      </c>
      <c r="G5" s="6" t="s">
        <v>2939</v>
      </c>
      <c r="H5" s="6">
        <v>0.0</v>
      </c>
      <c r="I5" s="6">
        <v>0.0</v>
      </c>
      <c r="J5" s="6">
        <v>5.0</v>
      </c>
      <c r="K5" s="6">
        <v>0.0</v>
      </c>
      <c r="L5" s="6">
        <v>0.0</v>
      </c>
      <c r="M5" s="6">
        <v>0.0</v>
      </c>
      <c r="N5" s="669">
        <v>4681000.0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6">
        <v>0.0</v>
      </c>
      <c r="U5" s="6">
        <v>0.0</v>
      </c>
    </row>
    <row r="6">
      <c r="A6" s="6" t="s">
        <v>1326</v>
      </c>
      <c r="B6" s="6" t="s">
        <v>11569</v>
      </c>
      <c r="C6" s="6" t="s">
        <v>11570</v>
      </c>
      <c r="D6" s="6" t="s">
        <v>22</v>
      </c>
      <c r="E6" s="6" t="s">
        <v>11572</v>
      </c>
      <c r="F6" s="6" t="s">
        <v>23</v>
      </c>
      <c r="G6" s="6" t="s">
        <v>2939</v>
      </c>
      <c r="H6" s="6">
        <v>0.0</v>
      </c>
      <c r="I6" s="6">
        <v>0.0</v>
      </c>
      <c r="J6" s="6">
        <v>1.0</v>
      </c>
      <c r="K6" s="6">
        <v>0.0</v>
      </c>
      <c r="L6" s="6">
        <v>0.0</v>
      </c>
      <c r="M6" s="6">
        <v>0.0</v>
      </c>
      <c r="N6" s="669">
        <v>4681000.0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  <c r="T6" s="6">
        <v>0.0</v>
      </c>
      <c r="U6" s="6">
        <v>0.0</v>
      </c>
    </row>
    <row r="7">
      <c r="A7" s="6" t="s">
        <v>11573</v>
      </c>
      <c r="B7" s="6" t="s">
        <v>11569</v>
      </c>
      <c r="C7" s="6" t="s">
        <v>11570</v>
      </c>
      <c r="D7" s="6" t="s">
        <v>22</v>
      </c>
      <c r="E7" s="6" t="s">
        <v>11574</v>
      </c>
      <c r="F7" s="6" t="s">
        <v>112</v>
      </c>
      <c r="G7" s="6" t="s">
        <v>2939</v>
      </c>
      <c r="H7" s="6">
        <v>0.0</v>
      </c>
      <c r="I7" s="6">
        <v>0.0</v>
      </c>
      <c r="J7" s="6">
        <v>3.0</v>
      </c>
      <c r="K7" s="6">
        <v>0.0</v>
      </c>
      <c r="L7" s="6">
        <v>0.0</v>
      </c>
      <c r="M7" s="6">
        <v>0.0</v>
      </c>
      <c r="N7" s="669">
        <v>4681000.0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  <c r="T7" s="6">
        <v>0.0</v>
      </c>
      <c r="U7" s="6">
        <v>0.0</v>
      </c>
    </row>
    <row r="8">
      <c r="A8" s="6" t="s">
        <v>11575</v>
      </c>
      <c r="B8" s="6" t="s">
        <v>11576</v>
      </c>
      <c r="C8" s="6" t="s">
        <v>11570</v>
      </c>
      <c r="D8" s="6" t="s">
        <v>22</v>
      </c>
      <c r="E8" s="6" t="s">
        <v>11577</v>
      </c>
      <c r="F8" s="6" t="s">
        <v>112</v>
      </c>
      <c r="G8" s="6" t="s">
        <v>2939</v>
      </c>
      <c r="H8" s="6">
        <v>0.0</v>
      </c>
      <c r="I8" s="6">
        <v>0.0</v>
      </c>
      <c r="J8" s="6">
        <v>3.0</v>
      </c>
      <c r="K8" s="6">
        <v>0.0</v>
      </c>
      <c r="L8" s="6">
        <v>0.0</v>
      </c>
      <c r="M8" s="6">
        <v>0.0</v>
      </c>
      <c r="N8" s="669">
        <v>4681000.0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6">
        <v>0.0</v>
      </c>
      <c r="U8" s="6">
        <v>5.0</v>
      </c>
    </row>
    <row r="9">
      <c r="A9" s="6" t="s">
        <v>113</v>
      </c>
      <c r="B9" s="6" t="s">
        <v>11578</v>
      </c>
      <c r="C9" s="6" t="s">
        <v>11579</v>
      </c>
      <c r="D9" s="6" t="s">
        <v>41</v>
      </c>
      <c r="E9" s="6" t="s">
        <v>110</v>
      </c>
      <c r="F9" s="6" t="s">
        <v>2062</v>
      </c>
      <c r="G9" s="6" t="s">
        <v>2939</v>
      </c>
      <c r="H9" s="6">
        <v>10.0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69">
        <v>3373000.0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  <c r="T9" s="6">
        <v>0.0</v>
      </c>
      <c r="U9" s="6">
        <v>0.0</v>
      </c>
    </row>
    <row r="10">
      <c r="A10" s="6" t="s">
        <v>1328</v>
      </c>
      <c r="B10" s="6" t="s">
        <v>11569</v>
      </c>
      <c r="C10" s="6" t="s">
        <v>11570</v>
      </c>
      <c r="D10" s="6" t="s">
        <v>22</v>
      </c>
      <c r="E10" s="6" t="s">
        <v>1329</v>
      </c>
      <c r="F10" s="6" t="s">
        <v>189</v>
      </c>
      <c r="G10" s="6" t="s">
        <v>2939</v>
      </c>
      <c r="H10" s="6">
        <v>0.0</v>
      </c>
      <c r="I10" s="6">
        <v>0.0</v>
      </c>
      <c r="J10" s="6">
        <v>4.0</v>
      </c>
      <c r="K10" s="6">
        <v>0.0</v>
      </c>
      <c r="L10" s="6">
        <v>0.0</v>
      </c>
      <c r="M10" s="6">
        <v>0.0</v>
      </c>
      <c r="N10" s="669">
        <v>6282000.0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  <c r="T10" s="6">
        <v>0.0</v>
      </c>
      <c r="U10" s="6">
        <v>0.0</v>
      </c>
    </row>
    <row r="11">
      <c r="A11" s="6" t="s">
        <v>11580</v>
      </c>
      <c r="B11" s="6" t="s">
        <v>11569</v>
      </c>
      <c r="C11" s="6" t="s">
        <v>11579</v>
      </c>
      <c r="D11" s="6" t="s">
        <v>41</v>
      </c>
      <c r="E11" s="6" t="s">
        <v>1329</v>
      </c>
      <c r="F11" s="6" t="s">
        <v>2193</v>
      </c>
      <c r="G11" s="6" t="s">
        <v>2939</v>
      </c>
      <c r="H11" s="6">
        <v>0.0</v>
      </c>
      <c r="I11" s="6">
        <v>0.0</v>
      </c>
      <c r="J11" s="6">
        <v>4.0</v>
      </c>
      <c r="K11" s="6">
        <v>0.0</v>
      </c>
      <c r="L11" s="6">
        <v>0.0</v>
      </c>
      <c r="M11" s="6">
        <v>0.0</v>
      </c>
      <c r="N11" s="669">
        <v>3300000.0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  <c r="T11" s="6">
        <v>0.0</v>
      </c>
      <c r="U11" s="6">
        <v>0.0</v>
      </c>
    </row>
    <row r="12">
      <c r="A12" s="6" t="s">
        <v>115</v>
      </c>
      <c r="B12" s="6" t="s">
        <v>11576</v>
      </c>
      <c r="C12" s="6" t="s">
        <v>11570</v>
      </c>
      <c r="D12" s="6" t="s">
        <v>22</v>
      </c>
      <c r="E12" s="6" t="s">
        <v>11581</v>
      </c>
      <c r="F12" s="6" t="s">
        <v>112</v>
      </c>
      <c r="G12" s="6" t="s">
        <v>2939</v>
      </c>
      <c r="H12" s="6">
        <v>0.0</v>
      </c>
      <c r="I12" s="6">
        <v>0.0</v>
      </c>
      <c r="J12" s="6">
        <v>2.0</v>
      </c>
      <c r="K12" s="6">
        <v>0.0</v>
      </c>
      <c r="L12" s="6">
        <v>0.0</v>
      </c>
      <c r="M12" s="6">
        <v>0.0</v>
      </c>
      <c r="N12" s="669">
        <v>6282000.0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6">
        <v>0.0</v>
      </c>
      <c r="U12" s="6">
        <v>0.0</v>
      </c>
    </row>
    <row r="13">
      <c r="A13" s="6" t="s">
        <v>117</v>
      </c>
      <c r="B13" s="6" t="s">
        <v>11578</v>
      </c>
      <c r="C13" s="6" t="s">
        <v>11579</v>
      </c>
      <c r="D13" s="6" t="s">
        <v>41</v>
      </c>
      <c r="E13" s="6" t="s">
        <v>116</v>
      </c>
      <c r="F13" s="6" t="s">
        <v>11582</v>
      </c>
      <c r="G13" s="6" t="s">
        <v>2939</v>
      </c>
      <c r="H13" s="6">
        <v>4.0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69">
        <v>3373000.0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  <c r="T13" s="6">
        <v>0.0</v>
      </c>
      <c r="U13" s="6">
        <v>0.0</v>
      </c>
    </row>
    <row r="14">
      <c r="A14" s="6" t="s">
        <v>11583</v>
      </c>
      <c r="B14" s="6" t="s">
        <v>11569</v>
      </c>
      <c r="C14" s="6" t="s">
        <v>11570</v>
      </c>
      <c r="D14" s="6" t="s">
        <v>22</v>
      </c>
      <c r="E14" s="6" t="s">
        <v>11584</v>
      </c>
      <c r="F14" s="6" t="s">
        <v>112</v>
      </c>
      <c r="G14" s="6" t="s">
        <v>2939</v>
      </c>
      <c r="H14" s="6">
        <v>0.0</v>
      </c>
      <c r="I14" s="6">
        <v>0.0</v>
      </c>
      <c r="J14" s="6">
        <v>4.0</v>
      </c>
      <c r="K14" s="6">
        <v>0.0</v>
      </c>
      <c r="L14" s="6">
        <v>0.0</v>
      </c>
      <c r="M14" s="6">
        <v>0.0</v>
      </c>
      <c r="N14" s="669">
        <v>4681000.0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  <c r="T14" s="6">
        <v>0.0</v>
      </c>
      <c r="U14" s="6">
        <v>0.0</v>
      </c>
    </row>
    <row r="15">
      <c r="A15" s="6" t="s">
        <v>2046</v>
      </c>
      <c r="B15" s="6" t="s">
        <v>11569</v>
      </c>
      <c r="C15" s="6" t="s">
        <v>11570</v>
      </c>
      <c r="D15" s="6" t="s">
        <v>22</v>
      </c>
      <c r="E15" s="6" t="s">
        <v>2047</v>
      </c>
      <c r="F15" s="6" t="s">
        <v>112</v>
      </c>
      <c r="G15" s="6" t="s">
        <v>2939</v>
      </c>
      <c r="H15" s="6">
        <v>0.0</v>
      </c>
      <c r="I15" s="6">
        <v>0.0</v>
      </c>
      <c r="J15" s="6">
        <v>5.0</v>
      </c>
      <c r="K15" s="6">
        <v>0.0</v>
      </c>
      <c r="L15" s="6">
        <v>0.0</v>
      </c>
      <c r="M15" s="6">
        <v>0.0</v>
      </c>
      <c r="N15" s="669">
        <v>5543000.0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  <c r="T15" s="6">
        <v>0.0</v>
      </c>
      <c r="U15" s="6">
        <v>0.0</v>
      </c>
    </row>
    <row r="16">
      <c r="A16" s="6" t="s">
        <v>1335</v>
      </c>
      <c r="B16" s="6" t="s">
        <v>11569</v>
      </c>
      <c r="C16" s="6" t="s">
        <v>11579</v>
      </c>
      <c r="D16" s="6" t="s">
        <v>41</v>
      </c>
      <c r="E16" s="6" t="s">
        <v>1336</v>
      </c>
      <c r="F16" s="6" t="s">
        <v>2193</v>
      </c>
      <c r="G16" s="6" t="s">
        <v>2939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69">
        <v>5886000.0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  <c r="T16" s="6">
        <v>0.0</v>
      </c>
      <c r="U16" s="6">
        <v>0.0</v>
      </c>
    </row>
    <row r="17">
      <c r="A17" s="6" t="s">
        <v>1337</v>
      </c>
      <c r="B17" s="6" t="s">
        <v>11569</v>
      </c>
      <c r="C17" s="6" t="s">
        <v>11570</v>
      </c>
      <c r="D17" s="6" t="s">
        <v>22</v>
      </c>
      <c r="E17" s="6" t="s">
        <v>1338</v>
      </c>
      <c r="F17" s="6" t="s">
        <v>112</v>
      </c>
      <c r="G17" s="6" t="s">
        <v>2939</v>
      </c>
      <c r="H17" s="6">
        <v>0.0</v>
      </c>
      <c r="I17" s="6">
        <v>0.0</v>
      </c>
      <c r="J17" s="6">
        <v>6.0</v>
      </c>
      <c r="K17" s="6">
        <v>0.0</v>
      </c>
      <c r="L17" s="6">
        <v>0.0</v>
      </c>
      <c r="M17" s="6">
        <v>0.0</v>
      </c>
      <c r="N17" s="669">
        <v>9853000.0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  <c r="T17" s="6">
        <v>0.0</v>
      </c>
      <c r="U17" s="6">
        <v>0.0</v>
      </c>
    </row>
    <row r="18">
      <c r="A18" s="6" t="s">
        <v>1339</v>
      </c>
      <c r="B18" s="6" t="s">
        <v>11569</v>
      </c>
      <c r="C18" s="6" t="s">
        <v>11570</v>
      </c>
      <c r="D18" s="6" t="s">
        <v>22</v>
      </c>
      <c r="E18" s="6" t="s">
        <v>11585</v>
      </c>
      <c r="F18" s="6" t="s">
        <v>112</v>
      </c>
      <c r="G18" s="6" t="s">
        <v>2939</v>
      </c>
      <c r="H18" s="6">
        <v>0.0</v>
      </c>
      <c r="I18" s="6">
        <v>0.0</v>
      </c>
      <c r="J18" s="6">
        <v>4.0</v>
      </c>
      <c r="K18" s="6">
        <v>0.0</v>
      </c>
      <c r="L18" s="6">
        <v>0.0</v>
      </c>
      <c r="M18" s="6">
        <v>0.0</v>
      </c>
      <c r="N18" s="669">
        <v>9853000.0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  <c r="T18" s="6">
        <v>0.0</v>
      </c>
      <c r="U18" s="6">
        <v>0.0</v>
      </c>
    </row>
    <row r="19">
      <c r="A19" s="6" t="s">
        <v>11586</v>
      </c>
      <c r="E19" s="6" t="s">
        <v>11586</v>
      </c>
      <c r="N19" s="668"/>
    </row>
    <row r="20">
      <c r="A20" s="6" t="s">
        <v>119</v>
      </c>
      <c r="B20" s="6" t="s">
        <v>11576</v>
      </c>
      <c r="C20" s="6" t="s">
        <v>11570</v>
      </c>
      <c r="D20" s="6" t="s">
        <v>22</v>
      </c>
      <c r="E20" s="6" t="s">
        <v>11587</v>
      </c>
      <c r="G20" s="6" t="s">
        <v>2939</v>
      </c>
      <c r="H20" s="6">
        <v>0.0</v>
      </c>
      <c r="I20" s="6">
        <v>0.0</v>
      </c>
      <c r="J20" s="6">
        <v>4.0</v>
      </c>
      <c r="K20" s="6">
        <v>0.0</v>
      </c>
      <c r="L20" s="6">
        <v>0.0</v>
      </c>
      <c r="M20" s="6">
        <v>0.0</v>
      </c>
      <c r="N20" s="669">
        <v>1457000.0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  <c r="T20" s="6">
        <v>0.0</v>
      </c>
      <c r="U20" s="6">
        <v>0.0</v>
      </c>
    </row>
    <row r="21">
      <c r="A21" s="6" t="s">
        <v>121</v>
      </c>
      <c r="B21" s="6" t="s">
        <v>11578</v>
      </c>
      <c r="C21" s="6" t="s">
        <v>11579</v>
      </c>
      <c r="D21" s="6" t="s">
        <v>41</v>
      </c>
      <c r="E21" s="6" t="s">
        <v>11587</v>
      </c>
      <c r="F21" s="6" t="s">
        <v>11588</v>
      </c>
      <c r="G21" s="6" t="s">
        <v>2939</v>
      </c>
      <c r="H21" s="6">
        <v>4.0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69">
        <v>1500000.0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  <c r="T21" s="6">
        <v>0.0</v>
      </c>
      <c r="U21" s="6">
        <v>0.0</v>
      </c>
    </row>
    <row r="22">
      <c r="A22" s="6" t="s">
        <v>123</v>
      </c>
      <c r="B22" s="6" t="s">
        <v>11576</v>
      </c>
      <c r="C22" s="6" t="s">
        <v>11570</v>
      </c>
      <c r="D22" s="6" t="s">
        <v>22</v>
      </c>
      <c r="E22" s="6" t="s">
        <v>11589</v>
      </c>
      <c r="F22" s="6" t="s">
        <v>125</v>
      </c>
      <c r="G22" s="6" t="s">
        <v>2939</v>
      </c>
      <c r="H22" s="6">
        <v>0.0</v>
      </c>
      <c r="I22" s="6">
        <v>0.0</v>
      </c>
      <c r="J22" s="6">
        <v>8.0</v>
      </c>
      <c r="K22" s="6">
        <v>9.0</v>
      </c>
      <c r="L22" s="6">
        <v>0.0</v>
      </c>
      <c r="M22" s="6">
        <v>0.0</v>
      </c>
      <c r="N22" s="669">
        <v>1514000.0</v>
      </c>
      <c r="O22" s="6">
        <v>0.0</v>
      </c>
      <c r="P22" s="6">
        <v>0.0</v>
      </c>
      <c r="Q22" s="6">
        <v>0.0</v>
      </c>
      <c r="R22" s="6">
        <v>0.0</v>
      </c>
      <c r="S22" s="6" t="s">
        <v>11590</v>
      </c>
      <c r="T22" s="6">
        <v>10.0</v>
      </c>
      <c r="U22" s="6" t="s">
        <v>11590</v>
      </c>
    </row>
    <row r="23">
      <c r="A23" s="6" t="s">
        <v>126</v>
      </c>
      <c r="B23" s="6" t="s">
        <v>11576</v>
      </c>
      <c r="C23" s="6" t="s">
        <v>11579</v>
      </c>
      <c r="D23" s="6" t="s">
        <v>41</v>
      </c>
      <c r="E23" s="6" t="s">
        <v>11589</v>
      </c>
      <c r="F23" s="6" t="s">
        <v>2193</v>
      </c>
      <c r="G23" s="6" t="s">
        <v>2939</v>
      </c>
      <c r="H23" s="6">
        <v>0.0</v>
      </c>
      <c r="I23" s="6">
        <v>0.0</v>
      </c>
      <c r="J23" s="6">
        <v>3.0</v>
      </c>
      <c r="K23" s="6">
        <v>1.0</v>
      </c>
      <c r="L23" s="6">
        <v>0.0</v>
      </c>
      <c r="M23" s="6">
        <v>0.0</v>
      </c>
      <c r="N23" s="669">
        <v>2083000.0</v>
      </c>
      <c r="O23" s="6">
        <v>0.0</v>
      </c>
      <c r="P23" s="6">
        <v>0.0</v>
      </c>
      <c r="Q23" s="6">
        <v>0.0</v>
      </c>
      <c r="R23" s="6">
        <v>0.0</v>
      </c>
      <c r="S23" s="6">
        <v>0.0</v>
      </c>
      <c r="T23" s="6">
        <v>0.0</v>
      </c>
      <c r="U23" s="6">
        <v>0.0</v>
      </c>
    </row>
    <row r="24">
      <c r="A24" s="6" t="s">
        <v>127</v>
      </c>
      <c r="B24" s="6" t="s">
        <v>11576</v>
      </c>
      <c r="C24" s="6" t="s">
        <v>11591</v>
      </c>
      <c r="D24" s="6" t="s">
        <v>128</v>
      </c>
      <c r="E24" s="6" t="s">
        <v>11589</v>
      </c>
      <c r="G24" s="6" t="s">
        <v>2939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69">
        <v>725000.0</v>
      </c>
      <c r="O24" s="6">
        <v>0.0</v>
      </c>
      <c r="P24" s="6">
        <v>0.0</v>
      </c>
      <c r="Q24" s="6">
        <v>0.0</v>
      </c>
      <c r="R24" s="6">
        <v>0.0</v>
      </c>
      <c r="S24" s="6">
        <v>0.0</v>
      </c>
      <c r="T24" s="6">
        <v>0.0</v>
      </c>
      <c r="U24" s="6">
        <v>0.0</v>
      </c>
    </row>
    <row r="25">
      <c r="A25" s="6" t="s">
        <v>129</v>
      </c>
      <c r="B25" s="6" t="s">
        <v>11576</v>
      </c>
      <c r="C25" s="6" t="s">
        <v>11591</v>
      </c>
      <c r="D25" s="6" t="s">
        <v>130</v>
      </c>
      <c r="E25" s="6" t="s">
        <v>11589</v>
      </c>
      <c r="G25" s="6" t="s">
        <v>2939</v>
      </c>
      <c r="H25" s="6">
        <v>0.0</v>
      </c>
      <c r="I25" s="6">
        <v>0.0</v>
      </c>
      <c r="J25" s="6">
        <v>3.0</v>
      </c>
      <c r="K25" s="6">
        <v>0.0</v>
      </c>
      <c r="L25" s="6">
        <v>0.0</v>
      </c>
      <c r="M25" s="6">
        <v>0.0</v>
      </c>
      <c r="N25" s="669">
        <v>725000.0</v>
      </c>
      <c r="O25" s="6">
        <v>0.0</v>
      </c>
      <c r="P25" s="6">
        <v>0.0</v>
      </c>
      <c r="Q25" s="6">
        <v>0.0</v>
      </c>
      <c r="R25" s="6">
        <v>0.0</v>
      </c>
      <c r="S25" s="6">
        <v>0.0</v>
      </c>
      <c r="T25" s="6">
        <v>0.0</v>
      </c>
      <c r="U25" s="6">
        <v>0.0</v>
      </c>
    </row>
    <row r="26">
      <c r="A26" s="6" t="s">
        <v>131</v>
      </c>
      <c r="B26" s="6" t="s">
        <v>11578</v>
      </c>
      <c r="C26" s="6" t="s">
        <v>11591</v>
      </c>
      <c r="D26" s="6" t="s">
        <v>132</v>
      </c>
      <c r="E26" s="6" t="s">
        <v>11589</v>
      </c>
      <c r="G26" s="6" t="s">
        <v>2939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69">
        <v>644000.0</v>
      </c>
      <c r="O26" s="6">
        <v>0.0</v>
      </c>
      <c r="P26" s="6">
        <v>0.0</v>
      </c>
      <c r="Q26" s="6">
        <v>0.0</v>
      </c>
      <c r="R26" s="6">
        <v>0.0</v>
      </c>
      <c r="S26" s="6">
        <v>0.0</v>
      </c>
      <c r="T26" s="6">
        <v>0.0</v>
      </c>
      <c r="U26" s="6">
        <v>0.0</v>
      </c>
    </row>
    <row r="27">
      <c r="A27" s="6" t="s">
        <v>133</v>
      </c>
      <c r="B27" s="6" t="s">
        <v>11578</v>
      </c>
      <c r="C27" s="6" t="s">
        <v>11591</v>
      </c>
      <c r="D27" s="6" t="s">
        <v>134</v>
      </c>
      <c r="E27" s="6" t="s">
        <v>11589</v>
      </c>
      <c r="G27" s="6" t="s">
        <v>2939</v>
      </c>
      <c r="H27" s="6">
        <v>6.0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69">
        <v>644000.0</v>
      </c>
      <c r="O27" s="6">
        <v>0.0</v>
      </c>
      <c r="P27" s="6">
        <v>0.0</v>
      </c>
      <c r="Q27" s="6">
        <v>0.0</v>
      </c>
      <c r="R27" s="6">
        <v>0.0</v>
      </c>
      <c r="S27" s="6">
        <v>0.0</v>
      </c>
      <c r="T27" s="6">
        <v>0.0</v>
      </c>
      <c r="U27" s="6">
        <v>0.0</v>
      </c>
    </row>
    <row r="28">
      <c r="A28" s="6" t="s">
        <v>146</v>
      </c>
      <c r="B28" s="6" t="s">
        <v>11576</v>
      </c>
      <c r="C28" s="6" t="s">
        <v>11570</v>
      </c>
      <c r="D28" s="6" t="s">
        <v>22</v>
      </c>
      <c r="E28" s="6" t="s">
        <v>11592</v>
      </c>
      <c r="F28" s="6" t="s">
        <v>125</v>
      </c>
      <c r="G28" s="6" t="s">
        <v>2939</v>
      </c>
      <c r="H28" s="6">
        <v>0.0</v>
      </c>
      <c r="I28" s="6">
        <v>0.0</v>
      </c>
      <c r="J28" s="6">
        <v>4.0</v>
      </c>
      <c r="K28" s="6">
        <v>0.0</v>
      </c>
      <c r="L28" s="6">
        <v>0.0</v>
      </c>
      <c r="M28" s="6">
        <v>0.0</v>
      </c>
      <c r="N28" s="669">
        <v>5880000.0</v>
      </c>
      <c r="O28" s="6">
        <v>0.0</v>
      </c>
      <c r="P28" s="6">
        <v>0.0</v>
      </c>
      <c r="Q28" s="6">
        <v>0.0</v>
      </c>
      <c r="R28" s="6">
        <v>0.0</v>
      </c>
      <c r="S28" s="6">
        <v>0.0</v>
      </c>
      <c r="T28" s="6">
        <v>0.0</v>
      </c>
      <c r="U28" s="6">
        <v>0.0</v>
      </c>
    </row>
    <row r="29">
      <c r="A29" s="6" t="s">
        <v>135</v>
      </c>
      <c r="B29" s="6" t="s">
        <v>11578</v>
      </c>
      <c r="C29" s="6" t="s">
        <v>11570</v>
      </c>
      <c r="D29" s="6" t="s">
        <v>22</v>
      </c>
      <c r="E29" s="6" t="s">
        <v>11593</v>
      </c>
      <c r="F29" s="6" t="s">
        <v>75</v>
      </c>
      <c r="G29" s="6" t="s">
        <v>2939</v>
      </c>
      <c r="H29" s="6">
        <v>4.0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69">
        <v>2241000.0</v>
      </c>
      <c r="O29" s="6">
        <v>0.0</v>
      </c>
      <c r="P29" s="6">
        <v>0.0</v>
      </c>
      <c r="Q29" s="6">
        <v>0.0</v>
      </c>
      <c r="R29" s="6">
        <v>0.0</v>
      </c>
      <c r="S29" s="6">
        <v>0.0</v>
      </c>
      <c r="T29" s="6">
        <v>0.0</v>
      </c>
      <c r="U29" s="6">
        <v>0.0</v>
      </c>
    </row>
    <row r="30">
      <c r="A30" s="6" t="s">
        <v>137</v>
      </c>
      <c r="B30" s="6" t="s">
        <v>11576</v>
      </c>
      <c r="C30" s="6" t="s">
        <v>11570</v>
      </c>
      <c r="D30" s="6" t="s">
        <v>22</v>
      </c>
      <c r="E30" s="6" t="s">
        <v>11593</v>
      </c>
      <c r="F30" s="6" t="s">
        <v>125</v>
      </c>
      <c r="G30" s="6" t="s">
        <v>2939</v>
      </c>
      <c r="H30" s="6">
        <v>0.0</v>
      </c>
      <c r="I30" s="6">
        <v>0.0</v>
      </c>
      <c r="J30" s="6">
        <v>2.0</v>
      </c>
      <c r="K30" s="6">
        <v>1.0</v>
      </c>
      <c r="L30" s="6">
        <v>0.0</v>
      </c>
      <c r="M30" s="6">
        <v>0.0</v>
      </c>
      <c r="N30" s="669">
        <v>1805000.0</v>
      </c>
      <c r="O30" s="6">
        <v>0.0</v>
      </c>
      <c r="P30" s="6">
        <v>0.0</v>
      </c>
      <c r="Q30" s="6">
        <v>0.0</v>
      </c>
      <c r="R30" s="6">
        <v>0.0</v>
      </c>
      <c r="S30" s="6" t="s">
        <v>11590</v>
      </c>
      <c r="T30" s="6">
        <v>10.0</v>
      </c>
      <c r="U30" s="6" t="s">
        <v>11590</v>
      </c>
    </row>
    <row r="31">
      <c r="A31" s="6" t="s">
        <v>138</v>
      </c>
      <c r="B31" s="6" t="s">
        <v>11578</v>
      </c>
      <c r="C31" s="6" t="s">
        <v>11579</v>
      </c>
      <c r="D31" s="6" t="s">
        <v>41</v>
      </c>
      <c r="E31" s="6" t="s">
        <v>11593</v>
      </c>
      <c r="F31" s="6" t="s">
        <v>2193</v>
      </c>
      <c r="G31" s="6" t="s">
        <v>2939</v>
      </c>
      <c r="H31" s="6" t="s">
        <v>11590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69">
        <v>2142000.0</v>
      </c>
      <c r="O31" s="6">
        <v>0.0</v>
      </c>
      <c r="P31" s="6">
        <v>0.0</v>
      </c>
      <c r="Q31" s="6">
        <v>0.0</v>
      </c>
      <c r="R31" s="6">
        <v>0.0</v>
      </c>
      <c r="S31" s="6">
        <v>0.0</v>
      </c>
      <c r="T31" s="6">
        <v>0.0</v>
      </c>
      <c r="U31" s="6">
        <v>0.0</v>
      </c>
    </row>
    <row r="32">
      <c r="A32" s="6" t="s">
        <v>140</v>
      </c>
      <c r="B32" s="6" t="s">
        <v>11578</v>
      </c>
      <c r="C32" s="6" t="s">
        <v>11591</v>
      </c>
      <c r="D32" s="6" t="s">
        <v>128</v>
      </c>
      <c r="E32" s="6" t="s">
        <v>11593</v>
      </c>
      <c r="F32" s="6" t="s">
        <v>141</v>
      </c>
      <c r="G32" s="6" t="s">
        <v>2939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69">
        <v>725000.0</v>
      </c>
      <c r="O32" s="6">
        <v>0.0</v>
      </c>
      <c r="P32" s="6">
        <v>0.0</v>
      </c>
      <c r="Q32" s="6">
        <v>0.0</v>
      </c>
      <c r="R32" s="6">
        <v>0.0</v>
      </c>
      <c r="S32" s="6">
        <v>0.0</v>
      </c>
      <c r="T32" s="6">
        <v>0.0</v>
      </c>
      <c r="U32" s="6">
        <v>0.0</v>
      </c>
    </row>
    <row r="33">
      <c r="A33" s="6" t="s">
        <v>142</v>
      </c>
      <c r="B33" s="6" t="s">
        <v>11578</v>
      </c>
      <c r="C33" s="6" t="s">
        <v>11591</v>
      </c>
      <c r="D33" s="6" t="s">
        <v>130</v>
      </c>
      <c r="E33" s="6" t="s">
        <v>11593</v>
      </c>
      <c r="F33" s="6" t="s">
        <v>141</v>
      </c>
      <c r="G33" s="6" t="s">
        <v>2939</v>
      </c>
      <c r="H33" s="6" t="s">
        <v>11590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69">
        <v>725000.0</v>
      </c>
      <c r="O33" s="6">
        <v>0.0</v>
      </c>
      <c r="P33" s="6">
        <v>0.0</v>
      </c>
      <c r="Q33" s="6">
        <v>0.0</v>
      </c>
      <c r="R33" s="6">
        <v>0.0</v>
      </c>
      <c r="S33" s="6">
        <v>0.0</v>
      </c>
      <c r="T33" s="6">
        <v>0.0</v>
      </c>
      <c r="U33" s="6">
        <v>0.0</v>
      </c>
    </row>
    <row r="34">
      <c r="A34" s="6" t="s">
        <v>143</v>
      </c>
      <c r="B34" s="6" t="s">
        <v>11578</v>
      </c>
      <c r="C34" s="6" t="s">
        <v>11591</v>
      </c>
      <c r="D34" s="6" t="s">
        <v>132</v>
      </c>
      <c r="E34" s="6" t="s">
        <v>11593</v>
      </c>
      <c r="F34" s="6" t="s">
        <v>144</v>
      </c>
      <c r="G34" s="6" t="s">
        <v>2939</v>
      </c>
      <c r="H34" s="6">
        <v>7.0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69">
        <v>644000.0</v>
      </c>
      <c r="O34" s="6">
        <v>0.0</v>
      </c>
      <c r="P34" s="6">
        <v>0.0</v>
      </c>
      <c r="Q34" s="6">
        <v>0.0</v>
      </c>
      <c r="R34" s="6">
        <v>0.0</v>
      </c>
      <c r="S34" s="6">
        <v>0.0</v>
      </c>
      <c r="T34" s="6">
        <v>0.0</v>
      </c>
      <c r="U34" s="6">
        <v>0.0</v>
      </c>
    </row>
    <row r="35">
      <c r="A35" s="6" t="s">
        <v>145</v>
      </c>
      <c r="B35" s="6" t="s">
        <v>11578</v>
      </c>
      <c r="C35" s="6" t="s">
        <v>11591</v>
      </c>
      <c r="D35" s="6" t="s">
        <v>134</v>
      </c>
      <c r="E35" s="6" t="s">
        <v>11593</v>
      </c>
      <c r="F35" s="6" t="s">
        <v>144</v>
      </c>
      <c r="G35" s="6" t="s">
        <v>2939</v>
      </c>
      <c r="H35" s="6">
        <v>10.0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69">
        <v>644000.0</v>
      </c>
      <c r="O35" s="6">
        <v>0.0</v>
      </c>
      <c r="P35" s="6">
        <v>0.0</v>
      </c>
      <c r="Q35" s="6">
        <v>0.0</v>
      </c>
      <c r="R35" s="6">
        <v>0.0</v>
      </c>
      <c r="S35" s="6">
        <v>0.0</v>
      </c>
      <c r="T35" s="6">
        <v>0.0</v>
      </c>
      <c r="U35" s="6">
        <v>0.0</v>
      </c>
    </row>
    <row r="36">
      <c r="A36" s="6" t="s">
        <v>148</v>
      </c>
      <c r="B36" s="6" t="s">
        <v>11576</v>
      </c>
      <c r="C36" s="6" t="s">
        <v>11570</v>
      </c>
      <c r="D36" s="6" t="s">
        <v>22</v>
      </c>
      <c r="E36" s="6" t="s">
        <v>11594</v>
      </c>
      <c r="F36" s="6" t="s">
        <v>75</v>
      </c>
      <c r="G36" s="6" t="s">
        <v>2939</v>
      </c>
      <c r="H36" s="6">
        <v>0.0</v>
      </c>
      <c r="I36" s="6">
        <v>0.0</v>
      </c>
      <c r="J36" s="6" t="s">
        <v>11590</v>
      </c>
      <c r="K36" s="6">
        <v>4.0</v>
      </c>
      <c r="L36" s="6">
        <v>0.0</v>
      </c>
      <c r="M36" s="6">
        <v>0.0</v>
      </c>
      <c r="N36" s="669">
        <v>2576000.0</v>
      </c>
      <c r="O36" s="6">
        <v>0.0</v>
      </c>
      <c r="P36" s="6">
        <v>0.0</v>
      </c>
      <c r="Q36" s="6">
        <v>0.0</v>
      </c>
      <c r="R36" s="6">
        <v>0.0</v>
      </c>
      <c r="S36" s="6">
        <v>0.0</v>
      </c>
      <c r="T36" s="6">
        <v>0.0</v>
      </c>
      <c r="U36" s="6">
        <v>0.0</v>
      </c>
    </row>
    <row r="37">
      <c r="A37" s="6" t="s">
        <v>150</v>
      </c>
      <c r="B37" s="6" t="s">
        <v>11576</v>
      </c>
      <c r="C37" s="6" t="s">
        <v>11570</v>
      </c>
      <c r="D37" s="6" t="s">
        <v>22</v>
      </c>
      <c r="E37" s="6" t="s">
        <v>149</v>
      </c>
      <c r="F37" s="6" t="s">
        <v>125</v>
      </c>
      <c r="G37" s="6" t="s">
        <v>2939</v>
      </c>
      <c r="H37" s="6">
        <v>0.0</v>
      </c>
      <c r="I37" s="6">
        <v>0.0</v>
      </c>
      <c r="J37" s="6">
        <v>4.0</v>
      </c>
      <c r="K37" s="6">
        <v>0.0</v>
      </c>
      <c r="L37" s="6">
        <v>0.0</v>
      </c>
      <c r="M37" s="6">
        <v>0.0</v>
      </c>
      <c r="N37" s="669">
        <v>2544000.0</v>
      </c>
      <c r="O37" s="6">
        <v>0.0</v>
      </c>
      <c r="P37" s="6">
        <v>0.0</v>
      </c>
      <c r="Q37" s="6">
        <v>0.0</v>
      </c>
      <c r="R37" s="6">
        <v>0.0</v>
      </c>
      <c r="S37" s="6">
        <v>8.0</v>
      </c>
      <c r="T37" s="6">
        <v>2.0</v>
      </c>
      <c r="U37" s="6">
        <v>0.0</v>
      </c>
    </row>
    <row r="38">
      <c r="A38" s="6" t="s">
        <v>151</v>
      </c>
      <c r="B38" s="6" t="s">
        <v>11578</v>
      </c>
      <c r="C38" s="6" t="s">
        <v>11579</v>
      </c>
      <c r="D38" s="6" t="s">
        <v>41</v>
      </c>
      <c r="E38" s="6" t="s">
        <v>149</v>
      </c>
      <c r="F38" s="6" t="s">
        <v>2193</v>
      </c>
      <c r="G38" s="6" t="s">
        <v>2939</v>
      </c>
      <c r="H38" s="6">
        <v>1.0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69">
        <v>2507000.0</v>
      </c>
      <c r="O38" s="6">
        <v>0.0</v>
      </c>
      <c r="P38" s="6">
        <v>0.0</v>
      </c>
      <c r="Q38" s="6">
        <v>0.0</v>
      </c>
      <c r="R38" s="6">
        <v>0.0</v>
      </c>
      <c r="S38" s="6">
        <v>0.0</v>
      </c>
      <c r="T38" s="6">
        <v>0.0</v>
      </c>
      <c r="U38" s="6">
        <v>0.0</v>
      </c>
    </row>
    <row r="39">
      <c r="A39" s="6" t="s">
        <v>1342</v>
      </c>
      <c r="B39" s="6" t="s">
        <v>11569</v>
      </c>
      <c r="C39" s="6" t="s">
        <v>11579</v>
      </c>
      <c r="D39" s="6" t="s">
        <v>41</v>
      </c>
      <c r="E39" s="6" t="s">
        <v>1343</v>
      </c>
      <c r="F39" s="6" t="s">
        <v>2062</v>
      </c>
      <c r="G39" s="6" t="s">
        <v>2939</v>
      </c>
      <c r="H39" s="6">
        <v>0.0</v>
      </c>
      <c r="I39" s="6">
        <v>0.0</v>
      </c>
      <c r="J39" s="6">
        <v>1.0</v>
      </c>
      <c r="K39" s="6">
        <v>0.0</v>
      </c>
      <c r="L39" s="6">
        <v>0.0</v>
      </c>
      <c r="M39" s="6">
        <v>0.0</v>
      </c>
      <c r="N39" s="669">
        <v>2570000.0</v>
      </c>
      <c r="O39" s="6">
        <v>0.0</v>
      </c>
      <c r="P39" s="6">
        <v>0.0</v>
      </c>
      <c r="Q39" s="6">
        <v>0.0</v>
      </c>
      <c r="R39" s="6">
        <v>0.0</v>
      </c>
      <c r="S39" s="6">
        <v>0.0</v>
      </c>
      <c r="T39" s="6">
        <v>0.0</v>
      </c>
      <c r="U39" s="6">
        <v>0.0</v>
      </c>
    </row>
    <row r="40">
      <c r="A40" s="6" t="s">
        <v>152</v>
      </c>
      <c r="B40" s="6" t="s">
        <v>11578</v>
      </c>
      <c r="C40" s="6" t="s">
        <v>11591</v>
      </c>
      <c r="D40" s="6" t="s">
        <v>128</v>
      </c>
      <c r="E40" s="6" t="s">
        <v>149</v>
      </c>
      <c r="F40" s="6" t="s">
        <v>141</v>
      </c>
      <c r="G40" s="6" t="s">
        <v>2939</v>
      </c>
      <c r="H40" s="6">
        <v>4.0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69">
        <v>804000.0</v>
      </c>
      <c r="O40" s="6">
        <v>0.0</v>
      </c>
      <c r="P40" s="6">
        <v>0.0</v>
      </c>
      <c r="Q40" s="6">
        <v>0.0</v>
      </c>
      <c r="R40" s="6">
        <v>0.0</v>
      </c>
      <c r="S40" s="6">
        <v>0.0</v>
      </c>
      <c r="T40" s="6">
        <v>0.0</v>
      </c>
      <c r="U40" s="6">
        <v>0.0</v>
      </c>
    </row>
    <row r="41">
      <c r="A41" s="6" t="s">
        <v>153</v>
      </c>
      <c r="B41" s="6" t="s">
        <v>11578</v>
      </c>
      <c r="C41" s="6" t="s">
        <v>11591</v>
      </c>
      <c r="D41" s="6" t="s">
        <v>130</v>
      </c>
      <c r="E41" s="6" t="s">
        <v>149</v>
      </c>
      <c r="F41" s="6" t="s">
        <v>141</v>
      </c>
      <c r="G41" s="6" t="s">
        <v>2939</v>
      </c>
      <c r="H41" s="6">
        <v>8.0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69">
        <v>804000.0</v>
      </c>
      <c r="O41" s="6">
        <v>0.0</v>
      </c>
      <c r="P41" s="6">
        <v>0.0</v>
      </c>
      <c r="Q41" s="6">
        <v>0.0</v>
      </c>
      <c r="R41" s="6">
        <v>0.0</v>
      </c>
      <c r="S41" s="6">
        <v>0.0</v>
      </c>
      <c r="T41" s="6">
        <v>0.0</v>
      </c>
      <c r="U41" s="6">
        <v>0.0</v>
      </c>
    </row>
    <row r="42">
      <c r="A42" s="6" t="s">
        <v>154</v>
      </c>
      <c r="B42" s="6" t="s">
        <v>11578</v>
      </c>
      <c r="C42" s="6" t="s">
        <v>11591</v>
      </c>
      <c r="D42" s="6" t="s">
        <v>132</v>
      </c>
      <c r="E42" s="6" t="s">
        <v>149</v>
      </c>
      <c r="F42" s="6" t="s">
        <v>144</v>
      </c>
      <c r="G42" s="6" t="s">
        <v>2939</v>
      </c>
      <c r="H42" s="6">
        <v>4.0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69">
        <v>804000.0</v>
      </c>
      <c r="O42" s="6">
        <v>0.0</v>
      </c>
      <c r="P42" s="6">
        <v>0.0</v>
      </c>
      <c r="Q42" s="6">
        <v>0.0</v>
      </c>
      <c r="R42" s="6">
        <v>0.0</v>
      </c>
      <c r="S42" s="6">
        <v>0.0</v>
      </c>
      <c r="T42" s="6">
        <v>0.0</v>
      </c>
      <c r="U42" s="6">
        <v>0.0</v>
      </c>
    </row>
    <row r="43">
      <c r="A43" s="6" t="s">
        <v>155</v>
      </c>
      <c r="B43" s="6" t="s">
        <v>11578</v>
      </c>
      <c r="C43" s="6" t="s">
        <v>11591</v>
      </c>
      <c r="D43" s="6" t="s">
        <v>134</v>
      </c>
      <c r="E43" s="6" t="s">
        <v>149</v>
      </c>
      <c r="F43" s="6" t="s">
        <v>144</v>
      </c>
      <c r="G43" s="6" t="s">
        <v>2939</v>
      </c>
      <c r="H43" s="6" t="s">
        <v>11590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69">
        <v>804000.0</v>
      </c>
      <c r="O43" s="6">
        <v>0.0</v>
      </c>
      <c r="P43" s="6">
        <v>0.0</v>
      </c>
      <c r="Q43" s="6">
        <v>0.0</v>
      </c>
      <c r="R43" s="6">
        <v>0.0</v>
      </c>
      <c r="S43" s="6">
        <v>0.0</v>
      </c>
      <c r="T43" s="6">
        <v>0.0</v>
      </c>
      <c r="U43" s="6">
        <v>0.0</v>
      </c>
    </row>
    <row r="44">
      <c r="A44" s="6" t="s">
        <v>156</v>
      </c>
      <c r="B44" s="6" t="s">
        <v>11576</v>
      </c>
      <c r="C44" s="6" t="s">
        <v>11570</v>
      </c>
      <c r="D44" s="6" t="s">
        <v>22</v>
      </c>
      <c r="E44" s="6" t="s">
        <v>157</v>
      </c>
      <c r="F44" s="6" t="s">
        <v>112</v>
      </c>
      <c r="G44" s="6" t="s">
        <v>2939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69">
        <v>4202000.0</v>
      </c>
      <c r="O44" s="6">
        <v>0.0</v>
      </c>
      <c r="P44" s="6">
        <v>0.0</v>
      </c>
      <c r="Q44" s="6">
        <v>0.0</v>
      </c>
      <c r="R44" s="6">
        <v>0.0</v>
      </c>
      <c r="S44" s="6" t="s">
        <v>11590</v>
      </c>
      <c r="T44" s="6">
        <v>2.0</v>
      </c>
      <c r="U44" s="6">
        <v>0.0</v>
      </c>
    </row>
    <row r="45">
      <c r="A45" s="6" t="s">
        <v>2422</v>
      </c>
      <c r="B45" s="6" t="s">
        <v>11578</v>
      </c>
      <c r="C45" s="6" t="s">
        <v>11579</v>
      </c>
      <c r="D45" s="6" t="s">
        <v>41</v>
      </c>
      <c r="E45" s="6" t="s">
        <v>157</v>
      </c>
      <c r="F45" s="6" t="s">
        <v>2193</v>
      </c>
      <c r="G45" s="6" t="s">
        <v>2939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69">
        <v>2453000.0</v>
      </c>
      <c r="O45" s="6">
        <v>0.0</v>
      </c>
      <c r="P45" s="6">
        <v>0.0</v>
      </c>
      <c r="Q45" s="6">
        <v>0.0</v>
      </c>
      <c r="R45" s="6">
        <v>0.0</v>
      </c>
      <c r="S45" s="6">
        <v>5.0</v>
      </c>
      <c r="T45" s="6">
        <v>0.0</v>
      </c>
      <c r="U45" s="6">
        <v>0.0</v>
      </c>
    </row>
    <row r="46">
      <c r="A46" s="6" t="s">
        <v>162</v>
      </c>
      <c r="B46" s="6" t="s">
        <v>11576</v>
      </c>
      <c r="C46" s="6" t="s">
        <v>11591</v>
      </c>
      <c r="D46" s="6" t="s">
        <v>128</v>
      </c>
      <c r="E46" s="6" t="s">
        <v>157</v>
      </c>
      <c r="F46" s="6" t="s">
        <v>141</v>
      </c>
      <c r="G46" s="6" t="s">
        <v>2939</v>
      </c>
      <c r="H46" s="6">
        <v>0.0</v>
      </c>
      <c r="I46" s="6">
        <v>0.0</v>
      </c>
      <c r="J46" s="6">
        <v>4.0</v>
      </c>
      <c r="K46" s="6">
        <v>0.0</v>
      </c>
      <c r="L46" s="6">
        <v>0.0</v>
      </c>
      <c r="M46" s="6">
        <v>0.0</v>
      </c>
      <c r="N46" s="669">
        <v>804000.0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  <c r="T46" s="6">
        <v>0.0</v>
      </c>
      <c r="U46" s="6">
        <v>0.0</v>
      </c>
    </row>
    <row r="47">
      <c r="A47" s="6" t="s">
        <v>163</v>
      </c>
      <c r="B47" s="6" t="s">
        <v>11578</v>
      </c>
      <c r="C47" s="6" t="s">
        <v>11591</v>
      </c>
      <c r="D47" s="6" t="s">
        <v>130</v>
      </c>
      <c r="E47" s="6" t="s">
        <v>157</v>
      </c>
      <c r="F47" s="6" t="s">
        <v>141</v>
      </c>
      <c r="G47" s="6" t="s">
        <v>2939</v>
      </c>
      <c r="H47" s="6">
        <v>2.0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69">
        <v>804000.0</v>
      </c>
      <c r="O47" s="6">
        <v>0.0</v>
      </c>
      <c r="P47" s="6">
        <v>0.0</v>
      </c>
      <c r="Q47" s="6">
        <v>0.0</v>
      </c>
      <c r="R47" s="6">
        <v>0.0</v>
      </c>
      <c r="S47" s="6">
        <v>0.0</v>
      </c>
      <c r="T47" s="6">
        <v>0.0</v>
      </c>
      <c r="U47" s="6">
        <v>0.0</v>
      </c>
    </row>
    <row r="48">
      <c r="A48" s="6" t="s">
        <v>164</v>
      </c>
      <c r="B48" s="6" t="s">
        <v>11578</v>
      </c>
      <c r="C48" s="6" t="s">
        <v>11591</v>
      </c>
      <c r="D48" s="6" t="s">
        <v>132</v>
      </c>
      <c r="E48" s="6" t="s">
        <v>157</v>
      </c>
      <c r="F48" s="6" t="s">
        <v>144</v>
      </c>
      <c r="G48" s="6" t="s">
        <v>2939</v>
      </c>
      <c r="H48" s="6">
        <v>8.0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69">
        <v>725000.0</v>
      </c>
      <c r="O48" s="6">
        <v>0.0</v>
      </c>
      <c r="P48" s="6">
        <v>0.0</v>
      </c>
      <c r="Q48" s="6">
        <v>0.0</v>
      </c>
      <c r="R48" s="6">
        <v>0.0</v>
      </c>
      <c r="S48" s="6">
        <v>0.0</v>
      </c>
      <c r="T48" s="6">
        <v>0.0</v>
      </c>
      <c r="U48" s="6">
        <v>0.0</v>
      </c>
    </row>
    <row r="49">
      <c r="A49" s="6" t="s">
        <v>165</v>
      </c>
      <c r="B49" s="6" t="s">
        <v>11578</v>
      </c>
      <c r="C49" s="6" t="s">
        <v>11591</v>
      </c>
      <c r="D49" s="6" t="s">
        <v>134</v>
      </c>
      <c r="E49" s="6" t="s">
        <v>157</v>
      </c>
      <c r="F49" s="6" t="s">
        <v>144</v>
      </c>
      <c r="G49" s="6" t="s">
        <v>2939</v>
      </c>
      <c r="H49" s="6" t="s">
        <v>11590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69">
        <v>725000.0</v>
      </c>
      <c r="O49" s="6">
        <v>0.0</v>
      </c>
      <c r="P49" s="6">
        <v>0.0</v>
      </c>
      <c r="Q49" s="6">
        <v>0.0</v>
      </c>
      <c r="R49" s="6">
        <v>0.0</v>
      </c>
      <c r="S49" s="6">
        <v>0.0</v>
      </c>
      <c r="T49" s="6">
        <v>0.0</v>
      </c>
      <c r="U49" s="6">
        <v>0.0</v>
      </c>
    </row>
    <row r="50">
      <c r="A50" s="6" t="s">
        <v>11595</v>
      </c>
      <c r="B50" s="6" t="s">
        <v>11569</v>
      </c>
      <c r="C50" s="6" t="s">
        <v>11570</v>
      </c>
      <c r="D50" s="6" t="s">
        <v>22</v>
      </c>
      <c r="E50" s="6" t="s">
        <v>11596</v>
      </c>
      <c r="F50" s="6" t="s">
        <v>112</v>
      </c>
      <c r="G50" s="6" t="s">
        <v>2939</v>
      </c>
      <c r="H50" s="6">
        <v>0.0</v>
      </c>
      <c r="I50" s="6">
        <v>0.0</v>
      </c>
      <c r="J50" s="6">
        <v>4.0</v>
      </c>
      <c r="K50" s="6">
        <v>0.0</v>
      </c>
      <c r="L50" s="6">
        <v>0.0</v>
      </c>
      <c r="M50" s="6">
        <v>0.0</v>
      </c>
      <c r="N50" s="669">
        <v>4202000.0</v>
      </c>
      <c r="O50" s="6">
        <v>0.0</v>
      </c>
      <c r="P50" s="6">
        <v>0.0</v>
      </c>
      <c r="Q50" s="6">
        <v>0.0</v>
      </c>
      <c r="R50" s="6">
        <v>0.0</v>
      </c>
      <c r="S50" s="6">
        <v>0.0</v>
      </c>
      <c r="T50" s="6">
        <v>0.0</v>
      </c>
      <c r="U50" s="6">
        <v>0.0</v>
      </c>
    </row>
    <row r="51">
      <c r="A51" s="6" t="s">
        <v>11597</v>
      </c>
      <c r="B51" s="6" t="s">
        <v>11569</v>
      </c>
      <c r="C51" s="6" t="s">
        <v>11570</v>
      </c>
      <c r="D51" s="6" t="s">
        <v>22</v>
      </c>
      <c r="E51" s="6" t="s">
        <v>11598</v>
      </c>
      <c r="F51" s="6" t="s">
        <v>112</v>
      </c>
      <c r="G51" s="6" t="s">
        <v>2939</v>
      </c>
      <c r="H51" s="6">
        <v>0.0</v>
      </c>
      <c r="I51" s="6">
        <v>0.0</v>
      </c>
      <c r="J51" s="6">
        <v>5.0</v>
      </c>
      <c r="K51" s="6">
        <v>0.0</v>
      </c>
      <c r="L51" s="6">
        <v>0.0</v>
      </c>
      <c r="M51" s="6">
        <v>0.0</v>
      </c>
      <c r="N51" s="669">
        <v>4202000.0</v>
      </c>
      <c r="O51" s="6">
        <v>0.0</v>
      </c>
      <c r="P51" s="6">
        <v>0.0</v>
      </c>
      <c r="Q51" s="6">
        <v>0.0</v>
      </c>
      <c r="R51" s="6">
        <v>0.0</v>
      </c>
      <c r="S51" s="6">
        <v>0.0</v>
      </c>
      <c r="T51" s="6">
        <v>0.0</v>
      </c>
      <c r="U51" s="6">
        <v>0.0</v>
      </c>
    </row>
    <row r="52">
      <c r="A52" s="6" t="s">
        <v>1344</v>
      </c>
      <c r="B52" s="6" t="s">
        <v>11569</v>
      </c>
      <c r="C52" s="6" t="s">
        <v>11570</v>
      </c>
      <c r="D52" s="6" t="s">
        <v>22</v>
      </c>
      <c r="E52" s="6" t="s">
        <v>11599</v>
      </c>
      <c r="F52" s="6" t="s">
        <v>125</v>
      </c>
      <c r="G52" s="6" t="s">
        <v>2939</v>
      </c>
      <c r="H52" s="6">
        <v>0.0</v>
      </c>
      <c r="I52" s="6">
        <v>0.0</v>
      </c>
      <c r="J52" s="6">
        <v>5.0</v>
      </c>
      <c r="K52" s="6">
        <v>0.0</v>
      </c>
      <c r="L52" s="6">
        <v>0.0</v>
      </c>
      <c r="M52" s="6">
        <v>0.0</v>
      </c>
      <c r="N52" s="669">
        <v>1848000.0</v>
      </c>
      <c r="O52" s="6">
        <v>0.0</v>
      </c>
      <c r="P52" s="6">
        <v>0.0</v>
      </c>
      <c r="Q52" s="6">
        <v>0.0</v>
      </c>
      <c r="R52" s="6">
        <v>0.0</v>
      </c>
      <c r="S52" s="6">
        <v>0.0</v>
      </c>
      <c r="T52" s="6">
        <v>0.0</v>
      </c>
      <c r="U52" s="6">
        <v>0.0</v>
      </c>
    </row>
    <row r="53">
      <c r="A53" s="6" t="s">
        <v>166</v>
      </c>
      <c r="B53" s="6" t="s">
        <v>11576</v>
      </c>
      <c r="C53" s="6" t="s">
        <v>11570</v>
      </c>
      <c r="D53" s="6" t="s">
        <v>22</v>
      </c>
      <c r="E53" s="6" t="s">
        <v>11600</v>
      </c>
      <c r="F53" s="6" t="s">
        <v>75</v>
      </c>
      <c r="G53" s="6" t="s">
        <v>2939</v>
      </c>
      <c r="H53" s="6">
        <v>0.0</v>
      </c>
      <c r="I53" s="6">
        <v>0.0</v>
      </c>
      <c r="J53" s="6">
        <v>2.0</v>
      </c>
      <c r="K53" s="6">
        <v>0.0</v>
      </c>
      <c r="L53" s="6">
        <v>0.0</v>
      </c>
      <c r="M53" s="6">
        <v>0.0</v>
      </c>
      <c r="N53" s="669">
        <v>2641000.0</v>
      </c>
      <c r="O53" s="6">
        <v>0.0</v>
      </c>
      <c r="P53" s="6">
        <v>0.0</v>
      </c>
      <c r="Q53" s="6">
        <v>0.0</v>
      </c>
      <c r="R53" s="6">
        <v>0.0</v>
      </c>
      <c r="S53" s="6">
        <v>0.0</v>
      </c>
      <c r="T53" s="6">
        <v>0.0</v>
      </c>
      <c r="U53" s="6">
        <v>0.0</v>
      </c>
    </row>
    <row r="54">
      <c r="A54" s="6" t="s">
        <v>168</v>
      </c>
      <c r="B54" s="6" t="s">
        <v>11576</v>
      </c>
      <c r="C54" s="6" t="s">
        <v>11570</v>
      </c>
      <c r="D54" s="6" t="s">
        <v>22</v>
      </c>
      <c r="E54" s="6" t="s">
        <v>11601</v>
      </c>
      <c r="F54" s="6" t="s">
        <v>75</v>
      </c>
      <c r="G54" s="6" t="s">
        <v>2939</v>
      </c>
      <c r="H54" s="6">
        <v>0.0</v>
      </c>
      <c r="I54" s="6">
        <v>0.0</v>
      </c>
      <c r="J54" s="6">
        <v>4.0</v>
      </c>
      <c r="K54" s="6">
        <v>1.0</v>
      </c>
      <c r="L54" s="6">
        <v>0.0</v>
      </c>
      <c r="M54" s="6">
        <v>0.0</v>
      </c>
      <c r="N54" s="669">
        <v>3132000.0</v>
      </c>
      <c r="O54" s="6">
        <v>0.0</v>
      </c>
      <c r="P54" s="6">
        <v>0.0</v>
      </c>
      <c r="Q54" s="6">
        <v>0.0</v>
      </c>
      <c r="R54" s="6">
        <v>0.0</v>
      </c>
      <c r="S54" s="6">
        <v>0.0</v>
      </c>
      <c r="T54" s="6">
        <v>0.0</v>
      </c>
      <c r="U54" s="6">
        <v>0.0</v>
      </c>
    </row>
    <row r="55">
      <c r="A55" s="6" t="s">
        <v>170</v>
      </c>
      <c r="B55" s="6" t="s">
        <v>11576</v>
      </c>
      <c r="C55" s="6" t="s">
        <v>11579</v>
      </c>
      <c r="D55" s="6" t="s">
        <v>41</v>
      </c>
      <c r="E55" s="6" t="s">
        <v>171</v>
      </c>
      <c r="F55" s="6" t="s">
        <v>2193</v>
      </c>
      <c r="G55" s="6" t="s">
        <v>2939</v>
      </c>
      <c r="H55" s="6">
        <v>0.0</v>
      </c>
      <c r="I55" s="6">
        <v>0.0</v>
      </c>
      <c r="J55" s="6">
        <v>4.0</v>
      </c>
      <c r="K55" s="6">
        <v>0.0</v>
      </c>
      <c r="L55" s="6">
        <v>0.0</v>
      </c>
      <c r="M55" s="6">
        <v>0.0</v>
      </c>
      <c r="N55" s="669">
        <v>2892000.0</v>
      </c>
      <c r="O55" s="6">
        <v>0.0</v>
      </c>
      <c r="P55" s="6">
        <v>0.0</v>
      </c>
      <c r="Q55" s="6">
        <v>0.0</v>
      </c>
      <c r="R55" s="6">
        <v>0.0</v>
      </c>
      <c r="S55" s="6">
        <v>0.0</v>
      </c>
      <c r="T55" s="6">
        <v>0.0</v>
      </c>
      <c r="U55" s="6">
        <v>0.0</v>
      </c>
    </row>
    <row r="56">
      <c r="A56" s="6" t="s">
        <v>172</v>
      </c>
      <c r="B56" s="6" t="s">
        <v>11578</v>
      </c>
      <c r="C56" s="6" t="s">
        <v>11591</v>
      </c>
      <c r="D56" s="6" t="s">
        <v>128</v>
      </c>
      <c r="E56" s="6" t="s">
        <v>171</v>
      </c>
      <c r="G56" s="6" t="s">
        <v>2939</v>
      </c>
      <c r="H56" s="6" t="s">
        <v>11590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69">
        <v>804000.0</v>
      </c>
      <c r="O56" s="6">
        <v>0.0</v>
      </c>
      <c r="P56" s="6">
        <v>0.0</v>
      </c>
      <c r="Q56" s="6">
        <v>0.0</v>
      </c>
      <c r="R56" s="6">
        <v>0.0</v>
      </c>
      <c r="S56" s="6">
        <v>0.0</v>
      </c>
      <c r="T56" s="6">
        <v>0.0</v>
      </c>
      <c r="U56" s="6">
        <v>0.0</v>
      </c>
    </row>
    <row r="57">
      <c r="A57" s="6" t="s">
        <v>173</v>
      </c>
      <c r="B57" s="6" t="s">
        <v>11578</v>
      </c>
      <c r="C57" s="6" t="s">
        <v>11591</v>
      </c>
      <c r="D57" s="6" t="s">
        <v>130</v>
      </c>
      <c r="E57" s="6" t="s">
        <v>171</v>
      </c>
      <c r="G57" s="6" t="s">
        <v>2939</v>
      </c>
      <c r="H57" s="6" t="s">
        <v>11590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69">
        <v>804000.0</v>
      </c>
      <c r="O57" s="6">
        <v>0.0</v>
      </c>
      <c r="P57" s="6">
        <v>0.0</v>
      </c>
      <c r="Q57" s="6">
        <v>0.0</v>
      </c>
      <c r="R57" s="6">
        <v>0.0</v>
      </c>
      <c r="S57" s="6">
        <v>0.0</v>
      </c>
      <c r="T57" s="6">
        <v>0.0</v>
      </c>
      <c r="U57" s="6">
        <v>0.0</v>
      </c>
    </row>
    <row r="58">
      <c r="A58" s="6" t="s">
        <v>174</v>
      </c>
      <c r="B58" s="6" t="s">
        <v>11578</v>
      </c>
      <c r="C58" s="6" t="s">
        <v>11591</v>
      </c>
      <c r="D58" s="6" t="s">
        <v>132</v>
      </c>
      <c r="E58" s="6" t="s">
        <v>171</v>
      </c>
      <c r="F58" s="6" t="s">
        <v>144</v>
      </c>
      <c r="G58" s="6" t="s">
        <v>2939</v>
      </c>
      <c r="H58" s="6">
        <v>2.0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69">
        <v>725000.0</v>
      </c>
      <c r="O58" s="6">
        <v>0.0</v>
      </c>
      <c r="P58" s="6">
        <v>0.0</v>
      </c>
      <c r="Q58" s="6">
        <v>0.0</v>
      </c>
      <c r="R58" s="6">
        <v>0.0</v>
      </c>
      <c r="S58" s="6">
        <v>0.0</v>
      </c>
      <c r="T58" s="6">
        <v>0.0</v>
      </c>
      <c r="U58" s="6">
        <v>0.0</v>
      </c>
    </row>
    <row r="59">
      <c r="A59" s="6" t="s">
        <v>175</v>
      </c>
      <c r="B59" s="6" t="s">
        <v>11578</v>
      </c>
      <c r="C59" s="6" t="s">
        <v>11591</v>
      </c>
      <c r="D59" s="6" t="s">
        <v>134</v>
      </c>
      <c r="E59" s="6" t="s">
        <v>171</v>
      </c>
      <c r="F59" s="6" t="s">
        <v>144</v>
      </c>
      <c r="G59" s="6" t="s">
        <v>2939</v>
      </c>
      <c r="H59" s="6">
        <v>4.0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69">
        <v>725000.0</v>
      </c>
      <c r="O59" s="6">
        <v>0.0</v>
      </c>
      <c r="P59" s="6">
        <v>0.0</v>
      </c>
      <c r="Q59" s="6">
        <v>0.0</v>
      </c>
      <c r="R59" s="6">
        <v>0.0</v>
      </c>
      <c r="S59" s="6">
        <v>0.0</v>
      </c>
      <c r="T59" s="6">
        <v>0.0</v>
      </c>
      <c r="U59" s="6">
        <v>0.0</v>
      </c>
    </row>
    <row r="60">
      <c r="A60" s="6" t="s">
        <v>176</v>
      </c>
      <c r="B60" s="6" t="s">
        <v>11576</v>
      </c>
      <c r="C60" s="6" t="s">
        <v>11570</v>
      </c>
      <c r="D60" s="6" t="s">
        <v>22</v>
      </c>
      <c r="E60" s="6" t="s">
        <v>11602</v>
      </c>
      <c r="F60" s="6" t="s">
        <v>75</v>
      </c>
      <c r="G60" s="6" t="s">
        <v>2939</v>
      </c>
      <c r="H60" s="6">
        <v>0.0</v>
      </c>
      <c r="I60" s="6">
        <v>0.0</v>
      </c>
      <c r="J60" s="6">
        <v>6.0</v>
      </c>
      <c r="K60" s="6">
        <v>1.0</v>
      </c>
      <c r="L60" s="6">
        <v>0.0</v>
      </c>
      <c r="M60" s="6">
        <v>0.0</v>
      </c>
      <c r="N60" s="669">
        <v>3865000.0</v>
      </c>
      <c r="O60" s="6">
        <v>0.0</v>
      </c>
      <c r="P60" s="6">
        <v>0.0</v>
      </c>
      <c r="Q60" s="6">
        <v>0.0</v>
      </c>
      <c r="R60" s="6">
        <v>0.0</v>
      </c>
      <c r="S60" s="6">
        <v>0.0</v>
      </c>
      <c r="T60" s="6">
        <v>0.0</v>
      </c>
      <c r="U60" s="6">
        <v>0.0</v>
      </c>
    </row>
    <row r="61">
      <c r="A61" s="6" t="s">
        <v>1346</v>
      </c>
      <c r="B61" s="6" t="s">
        <v>11569</v>
      </c>
      <c r="C61" s="6" t="s">
        <v>11570</v>
      </c>
      <c r="D61" s="6" t="s">
        <v>22</v>
      </c>
      <c r="E61" s="6" t="s">
        <v>11603</v>
      </c>
      <c r="F61" s="6" t="s">
        <v>23</v>
      </c>
      <c r="G61" s="6" t="s">
        <v>2939</v>
      </c>
      <c r="H61" s="6">
        <v>0.0</v>
      </c>
      <c r="I61" s="6">
        <v>0.0</v>
      </c>
      <c r="J61" s="6">
        <v>8.0</v>
      </c>
      <c r="K61" s="6">
        <v>1.0</v>
      </c>
      <c r="L61" s="6">
        <v>0.0</v>
      </c>
      <c r="M61" s="6">
        <v>0.0</v>
      </c>
      <c r="N61" s="669">
        <v>3865000.0</v>
      </c>
      <c r="O61" s="6">
        <v>0.0</v>
      </c>
      <c r="P61" s="6">
        <v>0.0</v>
      </c>
      <c r="Q61" s="6">
        <v>0.0</v>
      </c>
      <c r="R61" s="6">
        <v>0.0</v>
      </c>
      <c r="S61" s="6">
        <v>0.0</v>
      </c>
      <c r="T61" s="6">
        <v>0.0</v>
      </c>
      <c r="U61" s="6">
        <v>0.0</v>
      </c>
    </row>
    <row r="62">
      <c r="A62" s="6" t="s">
        <v>2040</v>
      </c>
      <c r="B62" s="6" t="s">
        <v>11569</v>
      </c>
      <c r="C62" s="6" t="s">
        <v>11579</v>
      </c>
      <c r="D62" s="6" t="s">
        <v>41</v>
      </c>
      <c r="E62" s="6" t="s">
        <v>11604</v>
      </c>
      <c r="F62" s="6" t="s">
        <v>2193</v>
      </c>
      <c r="G62" s="6" t="s">
        <v>2939</v>
      </c>
      <c r="H62" s="6">
        <v>0.0</v>
      </c>
      <c r="I62" s="6">
        <v>0.0</v>
      </c>
      <c r="J62" s="6">
        <v>1.0</v>
      </c>
      <c r="K62" s="6">
        <v>0.0</v>
      </c>
      <c r="L62" s="6">
        <v>0.0</v>
      </c>
      <c r="M62" s="6">
        <v>0.0</v>
      </c>
      <c r="N62" s="669">
        <v>2916000.0</v>
      </c>
      <c r="O62" s="6">
        <v>0.0</v>
      </c>
      <c r="P62" s="6">
        <v>0.0</v>
      </c>
      <c r="Q62" s="6">
        <v>0.0</v>
      </c>
      <c r="R62" s="6">
        <v>0.0</v>
      </c>
      <c r="S62" s="6">
        <v>0.0</v>
      </c>
      <c r="T62" s="6">
        <v>0.0</v>
      </c>
      <c r="U62" s="6">
        <v>5.0</v>
      </c>
    </row>
    <row r="63">
      <c r="A63" s="6" t="s">
        <v>178</v>
      </c>
      <c r="B63" s="6" t="s">
        <v>11578</v>
      </c>
      <c r="C63" s="6" t="s">
        <v>11591</v>
      </c>
      <c r="D63" s="6" t="s">
        <v>128</v>
      </c>
      <c r="E63" s="6" t="s">
        <v>179</v>
      </c>
      <c r="F63" s="6" t="s">
        <v>141</v>
      </c>
      <c r="G63" s="6" t="s">
        <v>2939</v>
      </c>
      <c r="H63" s="6" t="s">
        <v>11590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69">
        <v>884000.0</v>
      </c>
      <c r="O63" s="6">
        <v>0.0</v>
      </c>
      <c r="P63" s="6">
        <v>0.0</v>
      </c>
      <c r="Q63" s="6">
        <v>0.0</v>
      </c>
      <c r="R63" s="6">
        <v>0.0</v>
      </c>
      <c r="S63" s="6">
        <v>0.0</v>
      </c>
      <c r="T63" s="6">
        <v>0.0</v>
      </c>
      <c r="U63" s="6">
        <v>0.0</v>
      </c>
    </row>
    <row r="64">
      <c r="A64" s="6" t="s">
        <v>180</v>
      </c>
      <c r="B64" s="6" t="s">
        <v>11578</v>
      </c>
      <c r="C64" s="6" t="s">
        <v>11591</v>
      </c>
      <c r="D64" s="6" t="s">
        <v>130</v>
      </c>
      <c r="E64" s="6" t="s">
        <v>179</v>
      </c>
      <c r="F64" s="6" t="s">
        <v>141</v>
      </c>
      <c r="G64" s="6" t="s">
        <v>2939</v>
      </c>
      <c r="H64" s="6" t="s">
        <v>11590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69">
        <v>884000.0</v>
      </c>
      <c r="O64" s="6">
        <v>0.0</v>
      </c>
      <c r="P64" s="6">
        <v>0.0</v>
      </c>
      <c r="Q64" s="6">
        <v>0.0</v>
      </c>
      <c r="R64" s="6">
        <v>0.0</v>
      </c>
      <c r="S64" s="6">
        <v>0.0</v>
      </c>
      <c r="T64" s="6">
        <v>0.0</v>
      </c>
      <c r="U64" s="6">
        <v>0.0</v>
      </c>
    </row>
    <row r="65">
      <c r="A65" s="6" t="s">
        <v>181</v>
      </c>
      <c r="B65" s="6" t="s">
        <v>11578</v>
      </c>
      <c r="C65" s="6" t="s">
        <v>11591</v>
      </c>
      <c r="D65" s="6" t="s">
        <v>132</v>
      </c>
      <c r="E65" s="6" t="s">
        <v>179</v>
      </c>
      <c r="F65" s="6" t="s">
        <v>144</v>
      </c>
      <c r="G65" s="6" t="s">
        <v>2939</v>
      </c>
      <c r="H65" s="6">
        <v>5.0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69">
        <v>804000.0</v>
      </c>
      <c r="O65" s="6">
        <v>0.0</v>
      </c>
      <c r="P65" s="6">
        <v>0.0</v>
      </c>
      <c r="Q65" s="6">
        <v>0.0</v>
      </c>
      <c r="R65" s="6">
        <v>0.0</v>
      </c>
      <c r="S65" s="6">
        <v>0.0</v>
      </c>
      <c r="T65" s="6">
        <v>0.0</v>
      </c>
      <c r="U65" s="6">
        <v>0.0</v>
      </c>
    </row>
    <row r="66">
      <c r="A66" s="6" t="s">
        <v>182</v>
      </c>
      <c r="B66" s="6" t="s">
        <v>11578</v>
      </c>
      <c r="C66" s="6" t="s">
        <v>11591</v>
      </c>
      <c r="D66" s="6" t="s">
        <v>134</v>
      </c>
      <c r="E66" s="6" t="s">
        <v>179</v>
      </c>
      <c r="F66" s="6" t="s">
        <v>144</v>
      </c>
      <c r="G66" s="6" t="s">
        <v>2939</v>
      </c>
      <c r="H66" s="6">
        <v>2.0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69">
        <v>804000.0</v>
      </c>
      <c r="O66" s="6">
        <v>0.0</v>
      </c>
      <c r="P66" s="6">
        <v>0.0</v>
      </c>
      <c r="Q66" s="6">
        <v>0.0</v>
      </c>
      <c r="R66" s="6">
        <v>0.0</v>
      </c>
      <c r="S66" s="6">
        <v>0.0</v>
      </c>
      <c r="T66" s="6">
        <v>0.0</v>
      </c>
      <c r="U66" s="6">
        <v>0.0</v>
      </c>
    </row>
    <row r="67">
      <c r="A67" s="6" t="s">
        <v>11605</v>
      </c>
      <c r="B67" s="6" t="s">
        <v>11569</v>
      </c>
      <c r="C67" s="6" t="s">
        <v>11570</v>
      </c>
      <c r="D67" s="6" t="s">
        <v>22</v>
      </c>
      <c r="E67" s="6" t="s">
        <v>11606</v>
      </c>
      <c r="F67" s="6" t="s">
        <v>23</v>
      </c>
      <c r="G67" s="6" t="s">
        <v>2939</v>
      </c>
      <c r="H67" s="6">
        <v>0.0</v>
      </c>
      <c r="I67" s="6">
        <v>0.0</v>
      </c>
      <c r="J67" s="6">
        <v>4.0</v>
      </c>
      <c r="K67" s="6">
        <v>0.0</v>
      </c>
      <c r="L67" s="6">
        <v>0.0</v>
      </c>
      <c r="M67" s="6">
        <v>0.0</v>
      </c>
      <c r="N67" s="669">
        <v>4202000.0</v>
      </c>
      <c r="O67" s="6">
        <v>0.0</v>
      </c>
      <c r="P67" s="6">
        <v>0.0</v>
      </c>
      <c r="Q67" s="6">
        <v>0.0</v>
      </c>
      <c r="R67" s="6">
        <v>0.0</v>
      </c>
      <c r="S67" s="6">
        <v>0.0</v>
      </c>
      <c r="T67" s="6">
        <v>0.0</v>
      </c>
      <c r="U67" s="6">
        <v>0.0</v>
      </c>
    </row>
    <row r="68">
      <c r="A68" s="6" t="s">
        <v>1351</v>
      </c>
      <c r="B68" s="6" t="s">
        <v>11569</v>
      </c>
      <c r="C68" s="6" t="s">
        <v>11570</v>
      </c>
      <c r="D68" s="6" t="s">
        <v>22</v>
      </c>
      <c r="E68" s="6" t="s">
        <v>11607</v>
      </c>
      <c r="F68" s="6" t="s">
        <v>23</v>
      </c>
      <c r="G68" s="6" t="s">
        <v>2939</v>
      </c>
      <c r="H68" s="6">
        <v>0.0</v>
      </c>
      <c r="I68" s="6">
        <v>0.0</v>
      </c>
      <c r="J68" s="6">
        <v>1.0</v>
      </c>
      <c r="K68" s="6">
        <v>0.0</v>
      </c>
      <c r="L68" s="6">
        <v>0.0</v>
      </c>
      <c r="M68" s="6">
        <v>0.0</v>
      </c>
      <c r="N68" s="669">
        <v>8005000.0</v>
      </c>
      <c r="O68" s="6">
        <v>0.0</v>
      </c>
      <c r="P68" s="6">
        <v>0.0</v>
      </c>
      <c r="Q68" s="6">
        <v>0.0</v>
      </c>
      <c r="R68" s="6">
        <v>0.0</v>
      </c>
      <c r="S68" s="6">
        <v>0.0</v>
      </c>
      <c r="T68" s="6">
        <v>0.0</v>
      </c>
      <c r="U68" s="6">
        <v>0.0</v>
      </c>
    </row>
    <row r="69">
      <c r="A69" s="6" t="s">
        <v>11608</v>
      </c>
      <c r="B69" s="6" t="s">
        <v>11569</v>
      </c>
      <c r="C69" s="6" t="s">
        <v>11570</v>
      </c>
      <c r="D69" s="6" t="s">
        <v>22</v>
      </c>
      <c r="E69" s="6" t="s">
        <v>11609</v>
      </c>
      <c r="F69" s="6" t="s">
        <v>737</v>
      </c>
      <c r="G69" s="6" t="s">
        <v>2939</v>
      </c>
      <c r="H69" s="6">
        <v>0.0</v>
      </c>
      <c r="I69" s="6">
        <v>0.0</v>
      </c>
      <c r="J69" s="6">
        <v>1.0</v>
      </c>
      <c r="K69" s="6">
        <v>0.0</v>
      </c>
      <c r="L69" s="6">
        <v>0.0</v>
      </c>
      <c r="M69" s="6">
        <v>0.0</v>
      </c>
      <c r="N69" s="669">
        <v>3700000.0</v>
      </c>
      <c r="O69" s="6">
        <v>0.0</v>
      </c>
      <c r="P69" s="6">
        <v>0.0</v>
      </c>
      <c r="Q69" s="6">
        <v>0.0</v>
      </c>
      <c r="R69" s="6">
        <v>0.0</v>
      </c>
      <c r="S69" s="6">
        <v>0.0</v>
      </c>
      <c r="T69" s="6">
        <v>0.0</v>
      </c>
      <c r="U69" s="6">
        <v>0.0</v>
      </c>
    </row>
    <row r="70">
      <c r="A70" s="6" t="s">
        <v>183</v>
      </c>
      <c r="B70" s="6" t="s">
        <v>11576</v>
      </c>
      <c r="C70" s="6" t="s">
        <v>11570</v>
      </c>
      <c r="D70" s="6" t="s">
        <v>22</v>
      </c>
      <c r="E70" s="6" t="s">
        <v>11610</v>
      </c>
      <c r="F70" s="6" t="s">
        <v>75</v>
      </c>
      <c r="G70" s="6" t="s">
        <v>2939</v>
      </c>
      <c r="H70" s="6">
        <v>0.0</v>
      </c>
      <c r="I70" s="6">
        <v>0.0</v>
      </c>
      <c r="J70" s="6" t="s">
        <v>11590</v>
      </c>
      <c r="K70" s="6">
        <v>0.0</v>
      </c>
      <c r="L70" s="6">
        <v>0.0</v>
      </c>
      <c r="M70" s="6">
        <v>0.0</v>
      </c>
      <c r="N70" s="669">
        <v>3948000.0</v>
      </c>
      <c r="O70" s="6">
        <v>0.0</v>
      </c>
      <c r="P70" s="6">
        <v>0.0</v>
      </c>
      <c r="Q70" s="6">
        <v>0.0</v>
      </c>
      <c r="R70" s="6">
        <v>0.0</v>
      </c>
      <c r="S70" s="6">
        <v>0.0</v>
      </c>
      <c r="T70" s="6">
        <v>0.0</v>
      </c>
      <c r="U70" s="6">
        <v>0.0</v>
      </c>
    </row>
    <row r="71">
      <c r="A71" s="6" t="s">
        <v>185</v>
      </c>
      <c r="B71" s="6" t="s">
        <v>11576</v>
      </c>
      <c r="C71" s="6" t="s">
        <v>11579</v>
      </c>
      <c r="D71" s="6" t="s">
        <v>41</v>
      </c>
      <c r="E71" s="6" t="s">
        <v>186</v>
      </c>
      <c r="F71" s="6" t="s">
        <v>2193</v>
      </c>
      <c r="G71" s="6" t="s">
        <v>2939</v>
      </c>
      <c r="H71" s="6">
        <v>0.0</v>
      </c>
      <c r="I71" s="6">
        <v>0.0</v>
      </c>
      <c r="J71" s="6">
        <v>2.0</v>
      </c>
      <c r="K71" s="6">
        <v>0.0</v>
      </c>
      <c r="L71" s="6">
        <v>0.0</v>
      </c>
      <c r="M71" s="6">
        <v>0.0</v>
      </c>
      <c r="N71" s="669">
        <v>2892000.0</v>
      </c>
      <c r="O71" s="6">
        <v>0.0</v>
      </c>
      <c r="P71" s="6">
        <v>0.0</v>
      </c>
      <c r="Q71" s="6">
        <v>0.0</v>
      </c>
      <c r="R71" s="6">
        <v>0.0</v>
      </c>
      <c r="S71" s="6">
        <v>0.0</v>
      </c>
      <c r="T71" s="6">
        <v>0.0</v>
      </c>
      <c r="U71" s="6">
        <v>0.0</v>
      </c>
    </row>
    <row r="72">
      <c r="A72" s="6" t="s">
        <v>187</v>
      </c>
      <c r="B72" s="6" t="s">
        <v>11576</v>
      </c>
      <c r="C72" s="6" t="s">
        <v>11570</v>
      </c>
      <c r="D72" s="6" t="s">
        <v>22</v>
      </c>
      <c r="E72" s="6" t="s">
        <v>11611</v>
      </c>
      <c r="F72" s="6" t="s">
        <v>189</v>
      </c>
      <c r="G72" s="6" t="s">
        <v>2939</v>
      </c>
      <c r="H72" s="6">
        <v>0.0</v>
      </c>
      <c r="I72" s="6">
        <v>0.0</v>
      </c>
      <c r="J72" s="6">
        <v>9.0</v>
      </c>
      <c r="K72" s="6">
        <v>0.0</v>
      </c>
      <c r="L72" s="6">
        <v>0.0</v>
      </c>
      <c r="M72" s="6">
        <v>0.0</v>
      </c>
      <c r="N72" s="669">
        <v>3695000.0</v>
      </c>
      <c r="O72" s="6">
        <v>0.0</v>
      </c>
      <c r="P72" s="6">
        <v>0.0</v>
      </c>
      <c r="Q72" s="6">
        <v>0.0</v>
      </c>
      <c r="R72" s="6">
        <v>0.0</v>
      </c>
      <c r="S72" s="6">
        <v>0.0</v>
      </c>
      <c r="T72" s="6">
        <v>0.0</v>
      </c>
      <c r="U72" s="6">
        <v>0.0</v>
      </c>
    </row>
    <row r="73">
      <c r="A73" s="6" t="s">
        <v>11612</v>
      </c>
      <c r="B73" s="6" t="s">
        <v>11569</v>
      </c>
      <c r="C73" s="6" t="s">
        <v>11579</v>
      </c>
      <c r="D73" s="6" t="s">
        <v>41</v>
      </c>
      <c r="E73" s="6" t="s">
        <v>11613</v>
      </c>
      <c r="F73" s="6" t="s">
        <v>1377</v>
      </c>
      <c r="G73" s="6" t="s">
        <v>2939</v>
      </c>
      <c r="H73" s="6">
        <v>0.0</v>
      </c>
      <c r="I73" s="6">
        <v>0.0</v>
      </c>
      <c r="J73" s="6">
        <v>6.0</v>
      </c>
      <c r="K73" s="6">
        <v>0.0</v>
      </c>
      <c r="L73" s="6">
        <v>0.0</v>
      </c>
      <c r="M73" s="6">
        <v>0.0</v>
      </c>
      <c r="N73" s="669">
        <v>3800000.0</v>
      </c>
      <c r="O73" s="6">
        <v>0.0</v>
      </c>
      <c r="P73" s="6">
        <v>0.0</v>
      </c>
      <c r="Q73" s="6">
        <v>0.0</v>
      </c>
      <c r="R73" s="6">
        <v>0.0</v>
      </c>
      <c r="S73" s="6">
        <v>0.0</v>
      </c>
      <c r="T73" s="6">
        <v>0.0</v>
      </c>
      <c r="U73" s="6">
        <v>0.0</v>
      </c>
    </row>
    <row r="74">
      <c r="A74" s="6" t="s">
        <v>1356</v>
      </c>
      <c r="B74" s="6" t="s">
        <v>11569</v>
      </c>
      <c r="C74" s="6" t="s">
        <v>11570</v>
      </c>
      <c r="D74" s="6" t="s">
        <v>22</v>
      </c>
      <c r="E74" s="6" t="s">
        <v>1357</v>
      </c>
      <c r="F74" s="6" t="s">
        <v>112</v>
      </c>
      <c r="G74" s="6" t="s">
        <v>2939</v>
      </c>
      <c r="H74" s="6">
        <v>0.0</v>
      </c>
      <c r="I74" s="6">
        <v>0.0</v>
      </c>
      <c r="J74" s="6">
        <v>2.0</v>
      </c>
      <c r="K74" s="6">
        <v>1.0</v>
      </c>
      <c r="L74" s="6">
        <v>0.0</v>
      </c>
      <c r="M74" s="6">
        <v>0.0</v>
      </c>
      <c r="N74" s="669">
        <v>6159000.0</v>
      </c>
      <c r="O74" s="6">
        <v>0.0</v>
      </c>
      <c r="P74" s="6">
        <v>0.0</v>
      </c>
      <c r="Q74" s="6">
        <v>0.0</v>
      </c>
      <c r="R74" s="6">
        <v>0.0</v>
      </c>
      <c r="S74" s="6">
        <v>0.0</v>
      </c>
      <c r="T74" s="6">
        <v>0.0</v>
      </c>
      <c r="U74" s="6">
        <v>0.0</v>
      </c>
    </row>
    <row r="75">
      <c r="A75" s="6" t="s">
        <v>11614</v>
      </c>
      <c r="B75" s="6" t="s">
        <v>11569</v>
      </c>
      <c r="C75" s="6" t="s">
        <v>11579</v>
      </c>
      <c r="D75" s="6" t="s">
        <v>41</v>
      </c>
      <c r="E75" s="6" t="s">
        <v>11615</v>
      </c>
      <c r="F75" s="6" t="s">
        <v>2193</v>
      </c>
      <c r="G75" s="6" t="s">
        <v>2939</v>
      </c>
      <c r="H75" s="6">
        <v>0.0</v>
      </c>
      <c r="I75" s="6">
        <v>0.0</v>
      </c>
      <c r="J75" s="6">
        <v>3.0</v>
      </c>
      <c r="K75" s="6">
        <v>0.0</v>
      </c>
      <c r="L75" s="6">
        <v>0.0</v>
      </c>
      <c r="M75" s="6">
        <v>0.0</v>
      </c>
      <c r="N75" s="669">
        <v>4200000.0</v>
      </c>
      <c r="O75" s="6">
        <v>0.0</v>
      </c>
      <c r="P75" s="6">
        <v>0.0</v>
      </c>
      <c r="Q75" s="6">
        <v>0.0</v>
      </c>
      <c r="R75" s="6">
        <v>0.0</v>
      </c>
      <c r="S75" s="6">
        <v>0.0</v>
      </c>
      <c r="T75" s="6">
        <v>0.0</v>
      </c>
      <c r="U75" s="6">
        <v>0.0</v>
      </c>
    </row>
    <row r="76">
      <c r="A76" s="6" t="s">
        <v>190</v>
      </c>
      <c r="B76" s="6" t="s">
        <v>11576</v>
      </c>
      <c r="C76" s="6" t="s">
        <v>11570</v>
      </c>
      <c r="D76" s="6" t="s">
        <v>22</v>
      </c>
      <c r="E76" s="6" t="s">
        <v>191</v>
      </c>
      <c r="F76" s="6" t="s">
        <v>75</v>
      </c>
      <c r="G76" s="6" t="s">
        <v>2939</v>
      </c>
      <c r="H76" s="6">
        <v>0.0</v>
      </c>
      <c r="I76" s="6">
        <v>0.0</v>
      </c>
      <c r="J76" s="6">
        <v>5.0</v>
      </c>
      <c r="K76" s="6">
        <v>0.0</v>
      </c>
      <c r="L76" s="6">
        <v>0.0</v>
      </c>
      <c r="M76" s="6">
        <v>0.0</v>
      </c>
      <c r="N76" s="669">
        <v>4202000.0</v>
      </c>
      <c r="O76" s="6">
        <v>0.0</v>
      </c>
      <c r="P76" s="6">
        <v>0.0</v>
      </c>
      <c r="Q76" s="6">
        <v>0.0</v>
      </c>
      <c r="R76" s="6">
        <v>0.0</v>
      </c>
      <c r="S76" s="6">
        <v>0.0</v>
      </c>
      <c r="T76" s="6">
        <v>0.0</v>
      </c>
      <c r="U76" s="6">
        <v>0.0</v>
      </c>
    </row>
    <row r="77">
      <c r="A77" s="6" t="s">
        <v>192</v>
      </c>
      <c r="B77" s="6" t="s">
        <v>11576</v>
      </c>
      <c r="C77" s="6" t="s">
        <v>11579</v>
      </c>
      <c r="D77" s="6" t="s">
        <v>41</v>
      </c>
      <c r="E77" s="6" t="s">
        <v>193</v>
      </c>
      <c r="F77" s="6" t="s">
        <v>11616</v>
      </c>
      <c r="G77" s="6" t="s">
        <v>2939</v>
      </c>
      <c r="H77" s="6">
        <v>2.0</v>
      </c>
      <c r="I77" s="6">
        <v>0.0</v>
      </c>
      <c r="J77" s="6">
        <v>6.0</v>
      </c>
      <c r="K77" s="6">
        <v>0.0</v>
      </c>
      <c r="L77" s="6">
        <v>0.0</v>
      </c>
      <c r="M77" s="6">
        <v>0.0</v>
      </c>
      <c r="N77" s="669">
        <v>4282000.0</v>
      </c>
      <c r="O77" s="6">
        <v>0.0</v>
      </c>
      <c r="P77" s="6">
        <v>0.0</v>
      </c>
      <c r="Q77" s="6">
        <v>0.0</v>
      </c>
      <c r="R77" s="6">
        <v>0.0</v>
      </c>
      <c r="S77" s="6">
        <v>0.0</v>
      </c>
      <c r="T77" s="6">
        <v>0.0</v>
      </c>
      <c r="U77" s="6">
        <v>0.0</v>
      </c>
    </row>
    <row r="78">
      <c r="A78" s="6" t="s">
        <v>195</v>
      </c>
      <c r="B78" s="6" t="s">
        <v>11576</v>
      </c>
      <c r="C78" s="6" t="s">
        <v>11570</v>
      </c>
      <c r="D78" s="6" t="s">
        <v>22</v>
      </c>
      <c r="E78" s="6" t="s">
        <v>11617</v>
      </c>
      <c r="F78" s="6" t="s">
        <v>75</v>
      </c>
      <c r="G78" s="6" t="s">
        <v>2939</v>
      </c>
      <c r="H78" s="6">
        <v>2.0</v>
      </c>
      <c r="I78" s="6">
        <v>0.0</v>
      </c>
      <c r="J78" s="6">
        <v>3.0</v>
      </c>
      <c r="K78" s="6">
        <v>0.0</v>
      </c>
      <c r="L78" s="6">
        <v>0.0</v>
      </c>
      <c r="M78" s="6">
        <v>0.0</v>
      </c>
      <c r="N78" s="669">
        <v>4535000.0</v>
      </c>
      <c r="O78" s="6">
        <v>0.0</v>
      </c>
      <c r="P78" s="6">
        <v>0.0</v>
      </c>
      <c r="Q78" s="6">
        <v>0.0</v>
      </c>
      <c r="R78" s="6">
        <v>0.0</v>
      </c>
      <c r="S78" s="6">
        <v>0.0</v>
      </c>
      <c r="T78" s="6">
        <v>0.0</v>
      </c>
      <c r="U78" s="6">
        <v>0.0</v>
      </c>
    </row>
    <row r="79">
      <c r="A79" s="6" t="s">
        <v>197</v>
      </c>
      <c r="B79" s="6" t="s">
        <v>11576</v>
      </c>
      <c r="C79" s="6" t="s">
        <v>11579</v>
      </c>
      <c r="D79" s="6" t="s">
        <v>41</v>
      </c>
      <c r="E79" s="6" t="s">
        <v>198</v>
      </c>
      <c r="F79" s="6" t="s">
        <v>11618</v>
      </c>
      <c r="G79" s="6" t="s">
        <v>2939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69">
        <v>3532000.0</v>
      </c>
      <c r="O79" s="6">
        <v>0.0</v>
      </c>
      <c r="P79" s="6">
        <v>0.0</v>
      </c>
      <c r="Q79" s="6">
        <v>0.0</v>
      </c>
      <c r="R79" s="6">
        <v>0.0</v>
      </c>
      <c r="S79" s="6">
        <v>5.0</v>
      </c>
      <c r="T79" s="6">
        <v>0.0</v>
      </c>
      <c r="U79" s="6">
        <v>0.0</v>
      </c>
    </row>
    <row r="80">
      <c r="A80" s="6" t="s">
        <v>200</v>
      </c>
      <c r="B80" s="6" t="s">
        <v>11578</v>
      </c>
      <c r="C80" s="6" t="s">
        <v>11591</v>
      </c>
      <c r="D80" s="6" t="s">
        <v>132</v>
      </c>
      <c r="E80" s="6" t="s">
        <v>198</v>
      </c>
      <c r="F80" s="6" t="s">
        <v>144</v>
      </c>
      <c r="G80" s="6" t="s">
        <v>2939</v>
      </c>
      <c r="H80" s="6" t="s">
        <v>11590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69">
        <v>966000.0</v>
      </c>
      <c r="O80" s="6">
        <v>0.0</v>
      </c>
      <c r="P80" s="6">
        <v>0.0</v>
      </c>
      <c r="Q80" s="6">
        <v>0.0</v>
      </c>
      <c r="R80" s="6">
        <v>0.0</v>
      </c>
      <c r="S80" s="6">
        <v>0.0</v>
      </c>
      <c r="T80" s="6">
        <v>0.0</v>
      </c>
      <c r="U80" s="6">
        <v>0.0</v>
      </c>
    </row>
    <row r="81">
      <c r="A81" s="6" t="s">
        <v>201</v>
      </c>
      <c r="B81" s="6" t="s">
        <v>11578</v>
      </c>
      <c r="C81" s="6" t="s">
        <v>11591</v>
      </c>
      <c r="D81" s="6" t="s">
        <v>202</v>
      </c>
      <c r="E81" s="6" t="s">
        <v>198</v>
      </c>
      <c r="F81" s="6" t="s">
        <v>97</v>
      </c>
      <c r="G81" s="6" t="s">
        <v>2939</v>
      </c>
      <c r="H81" s="6" t="s">
        <v>11590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69">
        <v>725000.0</v>
      </c>
      <c r="O81" s="6">
        <v>0.0</v>
      </c>
      <c r="P81" s="6">
        <v>0.0</v>
      </c>
      <c r="Q81" s="6">
        <v>0.0</v>
      </c>
      <c r="R81" s="6">
        <v>0.0</v>
      </c>
      <c r="S81" s="6">
        <v>0.0</v>
      </c>
      <c r="T81" s="6">
        <v>0.0</v>
      </c>
      <c r="U81" s="6">
        <v>0.0</v>
      </c>
    </row>
    <row r="82">
      <c r="A82" s="6" t="s">
        <v>203</v>
      </c>
      <c r="B82" s="6" t="s">
        <v>11576</v>
      </c>
      <c r="C82" s="6" t="s">
        <v>11570</v>
      </c>
      <c r="D82" s="6" t="s">
        <v>22</v>
      </c>
      <c r="E82" s="6" t="s">
        <v>204</v>
      </c>
      <c r="F82" s="6" t="s">
        <v>189</v>
      </c>
      <c r="G82" s="6" t="s">
        <v>2939</v>
      </c>
      <c r="H82" s="6">
        <v>1.0</v>
      </c>
      <c r="I82" s="6">
        <v>0.0</v>
      </c>
      <c r="J82" s="6">
        <v>4.0</v>
      </c>
      <c r="K82" s="6">
        <v>0.0</v>
      </c>
      <c r="L82" s="6">
        <v>0.0</v>
      </c>
      <c r="M82" s="6">
        <v>0.0</v>
      </c>
      <c r="N82" s="669">
        <v>4202000.0</v>
      </c>
      <c r="O82" s="6">
        <v>0.0</v>
      </c>
      <c r="P82" s="6">
        <v>0.0</v>
      </c>
      <c r="Q82" s="6">
        <v>0.0</v>
      </c>
      <c r="R82" s="6">
        <v>0.0</v>
      </c>
      <c r="S82" s="6">
        <v>0.0</v>
      </c>
      <c r="T82" s="6">
        <v>0.0</v>
      </c>
      <c r="U82" s="6">
        <v>0.0</v>
      </c>
    </row>
    <row r="83">
      <c r="A83" s="6" t="s">
        <v>11619</v>
      </c>
      <c r="B83" s="6" t="s">
        <v>11569</v>
      </c>
      <c r="C83" s="6" t="s">
        <v>11579</v>
      </c>
      <c r="D83" s="6" t="s">
        <v>41</v>
      </c>
      <c r="E83" s="6" t="s">
        <v>204</v>
      </c>
      <c r="F83" s="6" t="s">
        <v>11620</v>
      </c>
      <c r="G83" s="6" t="s">
        <v>2939</v>
      </c>
      <c r="H83" s="6">
        <v>0.0</v>
      </c>
      <c r="I83" s="6">
        <v>0.0</v>
      </c>
      <c r="J83" s="6">
        <v>4.0</v>
      </c>
      <c r="K83" s="6">
        <v>0.0</v>
      </c>
      <c r="L83" s="6">
        <v>0.0</v>
      </c>
      <c r="M83" s="6">
        <v>0.0</v>
      </c>
      <c r="N83" s="669">
        <v>3532000.0</v>
      </c>
      <c r="O83" s="6">
        <v>0.0</v>
      </c>
      <c r="P83" s="6">
        <v>0.0</v>
      </c>
      <c r="Q83" s="6">
        <v>0.0</v>
      </c>
      <c r="R83" s="6">
        <v>0.0</v>
      </c>
      <c r="S83" s="6">
        <v>0.0</v>
      </c>
      <c r="T83" s="6">
        <v>0.0</v>
      </c>
      <c r="U83" s="6">
        <v>0.0</v>
      </c>
    </row>
    <row r="84">
      <c r="A84" s="6" t="s">
        <v>205</v>
      </c>
      <c r="B84" s="6" t="s">
        <v>11578</v>
      </c>
      <c r="C84" s="6" t="s">
        <v>11591</v>
      </c>
      <c r="D84" s="6" t="s">
        <v>132</v>
      </c>
      <c r="E84" s="6" t="s">
        <v>204</v>
      </c>
      <c r="F84" s="6" t="s">
        <v>144</v>
      </c>
      <c r="G84" s="6" t="s">
        <v>2939</v>
      </c>
      <c r="H84" s="6">
        <v>7.0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69">
        <v>884000.0</v>
      </c>
      <c r="O84" s="6">
        <v>0.0</v>
      </c>
      <c r="P84" s="6">
        <v>0.0</v>
      </c>
      <c r="Q84" s="6">
        <v>0.0</v>
      </c>
      <c r="R84" s="6">
        <v>0.0</v>
      </c>
      <c r="S84" s="6">
        <v>0.0</v>
      </c>
      <c r="T84" s="6">
        <v>0.0</v>
      </c>
      <c r="U84" s="6">
        <v>0.0</v>
      </c>
    </row>
    <row r="85">
      <c r="A85" s="6" t="s">
        <v>206</v>
      </c>
      <c r="B85" s="6" t="s">
        <v>11578</v>
      </c>
      <c r="C85" s="6" t="s">
        <v>11591</v>
      </c>
      <c r="D85" s="6" t="s">
        <v>134</v>
      </c>
      <c r="E85" s="6" t="s">
        <v>204</v>
      </c>
      <c r="F85" s="6" t="s">
        <v>144</v>
      </c>
      <c r="G85" s="6" t="s">
        <v>2939</v>
      </c>
      <c r="H85" s="6">
        <v>9.0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69">
        <v>884000.0</v>
      </c>
      <c r="O85" s="6">
        <v>0.0</v>
      </c>
      <c r="P85" s="6">
        <v>0.0</v>
      </c>
      <c r="Q85" s="6">
        <v>0.0</v>
      </c>
      <c r="R85" s="6">
        <v>0.0</v>
      </c>
      <c r="S85" s="6">
        <v>0.0</v>
      </c>
      <c r="T85" s="6">
        <v>0.0</v>
      </c>
      <c r="U85" s="6">
        <v>0.0</v>
      </c>
    </row>
    <row r="86">
      <c r="A86" s="6" t="s">
        <v>1358</v>
      </c>
      <c r="B86" s="6" t="s">
        <v>11569</v>
      </c>
      <c r="C86" s="6" t="s">
        <v>11570</v>
      </c>
      <c r="D86" s="6" t="s">
        <v>22</v>
      </c>
      <c r="E86" s="6" t="s">
        <v>1359</v>
      </c>
      <c r="F86" s="6" t="s">
        <v>75</v>
      </c>
      <c r="G86" s="6" t="s">
        <v>2939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69">
        <v>5543000.0</v>
      </c>
      <c r="O86" s="6">
        <v>0.0</v>
      </c>
      <c r="P86" s="6">
        <v>0.0</v>
      </c>
      <c r="Q86" s="6">
        <v>0.0</v>
      </c>
      <c r="R86" s="6">
        <v>0.0</v>
      </c>
      <c r="S86" s="6">
        <v>0.0</v>
      </c>
      <c r="T86" s="6">
        <v>0.0</v>
      </c>
      <c r="U86" s="6">
        <v>0.0</v>
      </c>
    </row>
    <row r="87">
      <c r="A87" s="6" t="s">
        <v>11621</v>
      </c>
      <c r="B87" s="6" t="s">
        <v>11569</v>
      </c>
      <c r="C87" s="6" t="s">
        <v>11579</v>
      </c>
      <c r="D87" s="6" t="s">
        <v>41</v>
      </c>
      <c r="E87" s="6" t="s">
        <v>1359</v>
      </c>
      <c r="F87" s="6" t="s">
        <v>2193</v>
      </c>
      <c r="G87" s="6" t="s">
        <v>2939</v>
      </c>
      <c r="H87" s="6">
        <v>0.0</v>
      </c>
      <c r="I87" s="6">
        <v>0.0</v>
      </c>
      <c r="J87" s="6">
        <v>7.0</v>
      </c>
      <c r="K87" s="6">
        <v>0.0</v>
      </c>
      <c r="L87" s="6">
        <v>0.0</v>
      </c>
      <c r="M87" s="6">
        <v>0.0</v>
      </c>
      <c r="N87" s="669">
        <v>7063000.0</v>
      </c>
      <c r="O87" s="6">
        <v>0.0</v>
      </c>
      <c r="P87" s="6">
        <v>0.0</v>
      </c>
      <c r="Q87" s="6">
        <v>0.0</v>
      </c>
      <c r="R87" s="6">
        <v>0.0</v>
      </c>
      <c r="S87" s="6">
        <v>0.0</v>
      </c>
      <c r="T87" s="6">
        <v>0.0</v>
      </c>
      <c r="U87" s="6">
        <v>0.0</v>
      </c>
    </row>
    <row r="88">
      <c r="A88" s="6" t="s">
        <v>11622</v>
      </c>
      <c r="E88" s="6" t="s">
        <v>11622</v>
      </c>
      <c r="N88" s="668"/>
    </row>
    <row r="89">
      <c r="A89" s="6" t="s">
        <v>11623</v>
      </c>
      <c r="B89" s="6" t="s">
        <v>11569</v>
      </c>
      <c r="C89" s="6" t="s">
        <v>11570</v>
      </c>
      <c r="D89" s="6" t="s">
        <v>22</v>
      </c>
      <c r="E89" s="6" t="s">
        <v>11624</v>
      </c>
      <c r="F89" s="6" t="s">
        <v>23</v>
      </c>
      <c r="G89" s="6" t="s">
        <v>11553</v>
      </c>
      <c r="H89" s="6">
        <v>0.0</v>
      </c>
      <c r="I89" s="6">
        <v>0.0</v>
      </c>
      <c r="J89" s="6">
        <v>4.0</v>
      </c>
      <c r="K89" s="6">
        <v>2.0</v>
      </c>
      <c r="L89" s="6">
        <v>0.0</v>
      </c>
      <c r="M89" s="6">
        <v>0.0</v>
      </c>
      <c r="N89" s="669">
        <v>2900000.0</v>
      </c>
      <c r="O89" s="6">
        <v>0.0</v>
      </c>
      <c r="P89" s="6">
        <v>0.0</v>
      </c>
      <c r="Q89" s="6">
        <v>0.0</v>
      </c>
      <c r="R89" s="6">
        <v>0.0</v>
      </c>
      <c r="S89" s="6">
        <v>0.0</v>
      </c>
      <c r="T89" s="6">
        <v>0.0</v>
      </c>
      <c r="U89" s="6">
        <v>0.0</v>
      </c>
    </row>
    <row r="90">
      <c r="A90" s="6" t="s">
        <v>11625</v>
      </c>
      <c r="B90" s="6" t="s">
        <v>11569</v>
      </c>
      <c r="C90" s="6" t="s">
        <v>11570</v>
      </c>
      <c r="D90" s="6" t="s">
        <v>22</v>
      </c>
      <c r="E90" s="6" t="s">
        <v>11626</v>
      </c>
      <c r="F90" s="6" t="s">
        <v>23</v>
      </c>
      <c r="G90" s="6" t="s">
        <v>11553</v>
      </c>
      <c r="H90" s="6">
        <v>0.0</v>
      </c>
      <c r="I90" s="6">
        <v>0.0</v>
      </c>
      <c r="J90" s="6">
        <v>7.0</v>
      </c>
      <c r="K90" s="6">
        <v>0.0</v>
      </c>
      <c r="L90" s="6">
        <v>0.0</v>
      </c>
      <c r="M90" s="6">
        <v>0.0</v>
      </c>
      <c r="N90" s="669">
        <v>3900000.0</v>
      </c>
      <c r="O90" s="6">
        <v>0.0</v>
      </c>
      <c r="P90" s="6">
        <v>0.0</v>
      </c>
      <c r="Q90" s="6">
        <v>0.0</v>
      </c>
      <c r="R90" s="6">
        <v>0.0</v>
      </c>
      <c r="S90" s="6">
        <v>0.0</v>
      </c>
      <c r="T90" s="6">
        <v>0.0</v>
      </c>
      <c r="U90" s="6">
        <v>0.0</v>
      </c>
    </row>
    <row r="91">
      <c r="A91" s="6" t="s">
        <v>11627</v>
      </c>
      <c r="E91" s="6" t="s">
        <v>11627</v>
      </c>
      <c r="N91" s="668"/>
    </row>
    <row r="92">
      <c r="A92" s="6" t="s">
        <v>11628</v>
      </c>
      <c r="B92" s="6" t="s">
        <v>11569</v>
      </c>
      <c r="C92" s="6" t="s">
        <v>11570</v>
      </c>
      <c r="D92" s="6" t="s">
        <v>22</v>
      </c>
      <c r="E92" s="6" t="s">
        <v>11629</v>
      </c>
      <c r="F92" s="6" t="s">
        <v>75</v>
      </c>
      <c r="G92" s="6" t="s">
        <v>11553</v>
      </c>
      <c r="H92" s="6">
        <v>0.0</v>
      </c>
      <c r="I92" s="6">
        <v>0.0</v>
      </c>
      <c r="J92" s="6" t="s">
        <v>11590</v>
      </c>
      <c r="K92" s="6">
        <v>1.0</v>
      </c>
      <c r="L92" s="6">
        <v>0.0</v>
      </c>
      <c r="M92" s="6">
        <v>0.0</v>
      </c>
      <c r="N92" s="669">
        <v>3700000.0</v>
      </c>
      <c r="O92" s="6">
        <v>0.0</v>
      </c>
      <c r="P92" s="6">
        <v>0.0</v>
      </c>
      <c r="Q92" s="6">
        <v>0.0</v>
      </c>
      <c r="R92" s="6">
        <v>0.0</v>
      </c>
      <c r="S92" s="6">
        <v>0.0</v>
      </c>
      <c r="T92" s="6">
        <v>0.0</v>
      </c>
      <c r="U92" s="6">
        <v>0.0</v>
      </c>
    </row>
    <row r="93">
      <c r="A93" s="6" t="s">
        <v>207</v>
      </c>
      <c r="B93" s="6" t="s">
        <v>11630</v>
      </c>
      <c r="C93" s="6" t="s">
        <v>11570</v>
      </c>
      <c r="D93" s="6" t="s">
        <v>22</v>
      </c>
      <c r="E93" s="6" t="s">
        <v>11631</v>
      </c>
      <c r="F93" s="6" t="s">
        <v>125</v>
      </c>
      <c r="G93" s="6" t="s">
        <v>2939</v>
      </c>
      <c r="H93" s="6">
        <v>0.0</v>
      </c>
      <c r="I93" s="6">
        <v>0.0</v>
      </c>
      <c r="J93" s="6" t="s">
        <v>11590</v>
      </c>
      <c r="K93" s="6">
        <v>0.0</v>
      </c>
      <c r="L93" s="6">
        <v>7.0</v>
      </c>
      <c r="M93" s="6" t="s">
        <v>11590</v>
      </c>
      <c r="N93" s="669">
        <v>1340000.0</v>
      </c>
      <c r="O93" s="6">
        <v>0.0</v>
      </c>
      <c r="P93" s="6">
        <v>0.0</v>
      </c>
      <c r="Q93" s="6">
        <v>0.0</v>
      </c>
      <c r="R93" s="6">
        <v>0.0</v>
      </c>
      <c r="S93" s="6">
        <v>0.0</v>
      </c>
      <c r="T93" s="6">
        <v>0.0</v>
      </c>
      <c r="U93" s="6">
        <v>0.0</v>
      </c>
    </row>
    <row r="94">
      <c r="A94" s="6" t="s">
        <v>209</v>
      </c>
      <c r="B94" s="6" t="s">
        <v>11576</v>
      </c>
      <c r="C94" s="6" t="s">
        <v>11579</v>
      </c>
      <c r="D94" s="6" t="s">
        <v>41</v>
      </c>
      <c r="E94" s="6" t="s">
        <v>11631</v>
      </c>
      <c r="F94" s="6" t="s">
        <v>2193</v>
      </c>
      <c r="G94" s="6" t="s">
        <v>2939</v>
      </c>
      <c r="H94" s="6">
        <v>0.0</v>
      </c>
      <c r="I94" s="6">
        <v>0.0</v>
      </c>
      <c r="J94" s="6">
        <v>2.0</v>
      </c>
      <c r="K94" s="6">
        <v>0.0</v>
      </c>
      <c r="L94" s="6">
        <v>0.0</v>
      </c>
      <c r="M94" s="6">
        <v>0.0</v>
      </c>
      <c r="N94" s="669">
        <v>1563000.0</v>
      </c>
      <c r="O94" s="6">
        <v>0.0</v>
      </c>
      <c r="P94" s="6">
        <v>0.0</v>
      </c>
      <c r="Q94" s="6">
        <v>0.0</v>
      </c>
      <c r="R94" s="6">
        <v>0.0</v>
      </c>
      <c r="S94" s="6">
        <v>5.0</v>
      </c>
      <c r="T94" s="6">
        <v>0.0</v>
      </c>
      <c r="U94" s="6">
        <v>0.0</v>
      </c>
    </row>
    <row r="95">
      <c r="A95" s="6" t="s">
        <v>11632</v>
      </c>
      <c r="E95" s="6" t="s">
        <v>11632</v>
      </c>
      <c r="N95" s="668"/>
    </row>
    <row r="96">
      <c r="A96" s="6" t="s">
        <v>210</v>
      </c>
      <c r="B96" s="6" t="s">
        <v>11576</v>
      </c>
      <c r="C96" s="6" t="s">
        <v>11570</v>
      </c>
      <c r="D96" s="6" t="s">
        <v>22</v>
      </c>
      <c r="E96" s="6" t="s">
        <v>11633</v>
      </c>
      <c r="F96" s="6" t="s">
        <v>125</v>
      </c>
      <c r="G96" s="6" t="s">
        <v>2939</v>
      </c>
      <c r="H96" s="6">
        <v>1.0</v>
      </c>
      <c r="I96" s="6">
        <v>0.0</v>
      </c>
      <c r="J96" s="6">
        <v>2.0</v>
      </c>
      <c r="K96" s="6">
        <v>0.0</v>
      </c>
      <c r="L96" s="6">
        <v>0.0</v>
      </c>
      <c r="M96" s="6">
        <v>0.0</v>
      </c>
      <c r="N96" s="669">
        <v>1509000.0</v>
      </c>
      <c r="O96" s="6">
        <v>0.0</v>
      </c>
      <c r="P96" s="6">
        <v>0.0</v>
      </c>
      <c r="Q96" s="6">
        <v>0.0</v>
      </c>
      <c r="R96" s="6">
        <v>0.0</v>
      </c>
      <c r="S96" s="6" t="s">
        <v>11590</v>
      </c>
      <c r="T96" s="6">
        <v>5.0</v>
      </c>
      <c r="U96" s="6">
        <v>0.0</v>
      </c>
    </row>
    <row r="97">
      <c r="A97" s="6" t="s">
        <v>212</v>
      </c>
      <c r="B97" s="6" t="s">
        <v>11576</v>
      </c>
      <c r="C97" s="6" t="s">
        <v>11591</v>
      </c>
      <c r="D97" s="6" t="s">
        <v>128</v>
      </c>
      <c r="E97" s="6" t="s">
        <v>11634</v>
      </c>
      <c r="F97" s="6" t="s">
        <v>141</v>
      </c>
      <c r="G97" s="6" t="s">
        <v>2939</v>
      </c>
      <c r="H97" s="6">
        <v>0.0</v>
      </c>
      <c r="I97" s="6">
        <v>0.0</v>
      </c>
      <c r="J97" s="6">
        <v>4.0</v>
      </c>
      <c r="K97" s="6">
        <v>0.0</v>
      </c>
      <c r="L97" s="6">
        <v>0.0</v>
      </c>
      <c r="M97" s="6">
        <v>0.0</v>
      </c>
      <c r="N97" s="669">
        <v>644000.0</v>
      </c>
      <c r="O97" s="6">
        <v>0.0</v>
      </c>
      <c r="P97" s="6">
        <v>0.0</v>
      </c>
      <c r="Q97" s="6">
        <v>0.0</v>
      </c>
      <c r="R97" s="6">
        <v>0.0</v>
      </c>
      <c r="S97" s="6">
        <v>0.0</v>
      </c>
      <c r="T97" s="6">
        <v>0.0</v>
      </c>
      <c r="U97" s="6">
        <v>0.0</v>
      </c>
    </row>
    <row r="98">
      <c r="A98" s="6" t="s">
        <v>214</v>
      </c>
      <c r="B98" s="6" t="s">
        <v>11576</v>
      </c>
      <c r="C98" s="6" t="s">
        <v>11591</v>
      </c>
      <c r="D98" s="6" t="s">
        <v>130</v>
      </c>
      <c r="E98" s="6" t="s">
        <v>11634</v>
      </c>
      <c r="F98" s="6" t="s">
        <v>141</v>
      </c>
      <c r="G98" s="6" t="s">
        <v>2939</v>
      </c>
      <c r="H98" s="6">
        <v>0.0</v>
      </c>
      <c r="I98" s="6">
        <v>0.0</v>
      </c>
      <c r="J98" s="6">
        <v>3.0</v>
      </c>
      <c r="K98" s="6">
        <v>0.0</v>
      </c>
      <c r="L98" s="6">
        <v>0.0</v>
      </c>
      <c r="M98" s="6">
        <v>0.0</v>
      </c>
      <c r="N98" s="669">
        <v>644000.0</v>
      </c>
      <c r="O98" s="6">
        <v>0.0</v>
      </c>
      <c r="P98" s="6">
        <v>0.0</v>
      </c>
      <c r="Q98" s="6">
        <v>0.0</v>
      </c>
      <c r="R98" s="6">
        <v>0.0</v>
      </c>
      <c r="S98" s="6">
        <v>0.0</v>
      </c>
      <c r="T98" s="6">
        <v>0.0</v>
      </c>
      <c r="U98" s="6">
        <v>0.0</v>
      </c>
    </row>
    <row r="99">
      <c r="A99" s="6" t="s">
        <v>215</v>
      </c>
      <c r="B99" s="6" t="s">
        <v>11576</v>
      </c>
      <c r="C99" s="6" t="s">
        <v>11579</v>
      </c>
      <c r="D99" s="6" t="s">
        <v>41</v>
      </c>
      <c r="E99" s="6" t="s">
        <v>11634</v>
      </c>
      <c r="F99" s="6" t="s">
        <v>2193</v>
      </c>
      <c r="G99" s="6" t="s">
        <v>2939</v>
      </c>
      <c r="H99" s="6">
        <v>0.0</v>
      </c>
      <c r="I99" s="6">
        <v>0.0</v>
      </c>
      <c r="J99" s="6">
        <v>4.0</v>
      </c>
      <c r="K99" s="6">
        <v>1.0</v>
      </c>
      <c r="L99" s="6">
        <v>0.0</v>
      </c>
      <c r="M99" s="6">
        <v>0.0</v>
      </c>
      <c r="N99" s="669">
        <v>1771000.0</v>
      </c>
      <c r="O99" s="6">
        <v>0.0</v>
      </c>
      <c r="P99" s="6">
        <v>0.0</v>
      </c>
      <c r="Q99" s="6">
        <v>0.0</v>
      </c>
      <c r="R99" s="6">
        <v>0.0</v>
      </c>
      <c r="S99" s="6">
        <v>0.0</v>
      </c>
      <c r="T99" s="6">
        <v>0.0</v>
      </c>
      <c r="U99" s="6">
        <v>0.0</v>
      </c>
    </row>
    <row r="100">
      <c r="A100" s="6" t="s">
        <v>11635</v>
      </c>
      <c r="B100" s="6" t="s">
        <v>11569</v>
      </c>
      <c r="C100" s="6" t="s">
        <v>11579</v>
      </c>
      <c r="D100" s="6" t="s">
        <v>41</v>
      </c>
      <c r="E100" s="6" t="s">
        <v>11636</v>
      </c>
      <c r="F100" s="6" t="s">
        <v>2193</v>
      </c>
      <c r="G100" s="6" t="s">
        <v>2939</v>
      </c>
      <c r="H100" s="6">
        <v>0.0</v>
      </c>
      <c r="I100" s="6">
        <v>0.0</v>
      </c>
      <c r="J100" s="6">
        <v>2.0</v>
      </c>
      <c r="K100" s="6">
        <v>2.0</v>
      </c>
      <c r="L100" s="6">
        <v>0.0</v>
      </c>
      <c r="M100" s="6">
        <v>0.0</v>
      </c>
      <c r="N100" s="669">
        <v>1500000.0</v>
      </c>
      <c r="O100" s="6">
        <v>0.0</v>
      </c>
      <c r="P100" s="6">
        <v>0.0</v>
      </c>
      <c r="Q100" s="6">
        <v>0.0</v>
      </c>
      <c r="R100" s="6">
        <v>0.0</v>
      </c>
      <c r="S100" s="6">
        <v>0.0</v>
      </c>
      <c r="T100" s="6">
        <v>0.0</v>
      </c>
      <c r="U100" s="6">
        <v>0.0</v>
      </c>
    </row>
    <row r="101">
      <c r="A101" s="6" t="s">
        <v>216</v>
      </c>
      <c r="B101" s="6" t="s">
        <v>11576</v>
      </c>
      <c r="C101" s="6" t="s">
        <v>11570</v>
      </c>
      <c r="D101" s="6" t="s">
        <v>22</v>
      </c>
      <c r="E101" s="6" t="s">
        <v>11637</v>
      </c>
      <c r="F101" s="6" t="s">
        <v>125</v>
      </c>
      <c r="G101" s="6" t="s">
        <v>2939</v>
      </c>
      <c r="H101" s="6">
        <v>0.0</v>
      </c>
      <c r="I101" s="6">
        <v>0.0</v>
      </c>
      <c r="J101" s="6" t="s">
        <v>11590</v>
      </c>
      <c r="K101" s="6">
        <v>0.0</v>
      </c>
      <c r="L101" s="6">
        <v>0.0</v>
      </c>
      <c r="M101" s="6">
        <v>0.0</v>
      </c>
      <c r="N101" s="669">
        <v>1552000.0</v>
      </c>
      <c r="O101" s="6">
        <v>0.0</v>
      </c>
      <c r="P101" s="6">
        <v>0.0</v>
      </c>
      <c r="Q101" s="6">
        <v>0.0</v>
      </c>
      <c r="R101" s="6">
        <v>0.0</v>
      </c>
      <c r="S101" s="6">
        <v>0.0</v>
      </c>
      <c r="T101" s="6">
        <v>0.0</v>
      </c>
      <c r="U101" s="6">
        <v>0.0</v>
      </c>
    </row>
    <row r="102">
      <c r="A102" s="6" t="s">
        <v>11638</v>
      </c>
      <c r="B102" s="6" t="s">
        <v>11569</v>
      </c>
      <c r="C102" s="6" t="s">
        <v>11579</v>
      </c>
      <c r="D102" s="6" t="s">
        <v>41</v>
      </c>
      <c r="E102" s="6" t="s">
        <v>11639</v>
      </c>
      <c r="F102" s="6" t="s">
        <v>2193</v>
      </c>
      <c r="G102" s="6" t="s">
        <v>2939</v>
      </c>
      <c r="H102" s="6">
        <v>0.0</v>
      </c>
      <c r="I102" s="6">
        <v>0.0</v>
      </c>
      <c r="J102" s="6">
        <v>2.0</v>
      </c>
      <c r="K102" s="6">
        <v>0.0</v>
      </c>
      <c r="L102" s="6">
        <v>0.0</v>
      </c>
      <c r="M102" s="6">
        <v>0.0</v>
      </c>
      <c r="N102" s="669">
        <v>1500000.0</v>
      </c>
      <c r="O102" s="6">
        <v>0.0</v>
      </c>
      <c r="P102" s="6">
        <v>0.0</v>
      </c>
      <c r="Q102" s="6">
        <v>0.0</v>
      </c>
      <c r="R102" s="6">
        <v>0.0</v>
      </c>
      <c r="S102" s="6">
        <v>0.0</v>
      </c>
      <c r="T102" s="6">
        <v>0.0</v>
      </c>
      <c r="U102" s="6">
        <v>0.0</v>
      </c>
    </row>
    <row r="103">
      <c r="A103" s="6" t="s">
        <v>218</v>
      </c>
      <c r="B103" s="6" t="s">
        <v>11576</v>
      </c>
      <c r="C103" s="6" t="s">
        <v>11570</v>
      </c>
      <c r="D103" s="6" t="s">
        <v>22</v>
      </c>
      <c r="E103" s="6" t="s">
        <v>219</v>
      </c>
      <c r="F103" s="6" t="s">
        <v>125</v>
      </c>
      <c r="G103" s="6" t="s">
        <v>2939</v>
      </c>
      <c r="H103" s="6">
        <v>0.0</v>
      </c>
      <c r="I103" s="6">
        <v>0.0</v>
      </c>
      <c r="J103" s="6">
        <v>6.0</v>
      </c>
      <c r="K103" s="6">
        <v>0.0</v>
      </c>
      <c r="L103" s="6">
        <v>0.0</v>
      </c>
      <c r="M103" s="6">
        <v>0.0</v>
      </c>
      <c r="N103" s="669">
        <v>1848000.0</v>
      </c>
      <c r="O103" s="6">
        <v>0.0</v>
      </c>
      <c r="P103" s="6">
        <v>0.0</v>
      </c>
      <c r="Q103" s="6">
        <v>0.0</v>
      </c>
      <c r="R103" s="6">
        <v>0.0</v>
      </c>
      <c r="S103" s="6">
        <v>0.0</v>
      </c>
      <c r="T103" s="6">
        <v>0.0</v>
      </c>
      <c r="U103" s="6">
        <v>0.0</v>
      </c>
    </row>
    <row r="104">
      <c r="A104" s="6" t="s">
        <v>220</v>
      </c>
      <c r="B104" s="6" t="s">
        <v>11576</v>
      </c>
      <c r="C104" s="6" t="s">
        <v>11579</v>
      </c>
      <c r="D104" s="6" t="s">
        <v>41</v>
      </c>
      <c r="E104" s="6" t="s">
        <v>219</v>
      </c>
      <c r="F104" s="6" t="s">
        <v>1377</v>
      </c>
      <c r="G104" s="6" t="s">
        <v>2939</v>
      </c>
      <c r="H104" s="6">
        <v>0.0</v>
      </c>
      <c r="I104" s="6">
        <v>1.0</v>
      </c>
      <c r="J104" s="6">
        <v>3.0</v>
      </c>
      <c r="K104" s="6">
        <v>0.0</v>
      </c>
      <c r="L104" s="6">
        <v>0.0</v>
      </c>
      <c r="M104" s="6">
        <v>0.0</v>
      </c>
      <c r="N104" s="669">
        <v>1928000.0</v>
      </c>
      <c r="O104" s="6">
        <v>0.0</v>
      </c>
      <c r="P104" s="6">
        <v>0.0</v>
      </c>
      <c r="Q104" s="6">
        <v>0.0</v>
      </c>
      <c r="R104" s="6">
        <v>0.0</v>
      </c>
      <c r="S104" s="6">
        <v>0.0</v>
      </c>
      <c r="T104" s="6">
        <v>0.0</v>
      </c>
      <c r="U104" s="6">
        <v>0.0</v>
      </c>
    </row>
    <row r="105">
      <c r="A105" s="6" t="s">
        <v>225</v>
      </c>
      <c r="B105" s="6" t="s">
        <v>11576</v>
      </c>
      <c r="C105" s="6" t="s">
        <v>11570</v>
      </c>
      <c r="D105" s="6" t="s">
        <v>22</v>
      </c>
      <c r="E105" s="6" t="s">
        <v>11640</v>
      </c>
      <c r="F105" s="6" t="s">
        <v>125</v>
      </c>
      <c r="G105" s="6" t="s">
        <v>2939</v>
      </c>
      <c r="H105" s="6">
        <v>0.0</v>
      </c>
      <c r="I105" s="6">
        <v>0.0</v>
      </c>
      <c r="J105" s="6" t="s">
        <v>11590</v>
      </c>
      <c r="K105" s="6">
        <v>0.0</v>
      </c>
      <c r="L105" s="6">
        <v>0.0</v>
      </c>
      <c r="M105" s="6">
        <v>0.0</v>
      </c>
      <c r="N105" s="669">
        <v>1813000.0</v>
      </c>
      <c r="O105" s="6">
        <v>0.0</v>
      </c>
      <c r="P105" s="6">
        <v>0.0</v>
      </c>
      <c r="Q105" s="6">
        <v>0.0</v>
      </c>
      <c r="R105" s="6">
        <v>0.0</v>
      </c>
      <c r="S105" s="6" t="s">
        <v>11590</v>
      </c>
      <c r="T105" s="6">
        <v>8.0</v>
      </c>
      <c r="U105" s="6">
        <v>0.0</v>
      </c>
    </row>
    <row r="106">
      <c r="A106" s="6" t="s">
        <v>222</v>
      </c>
      <c r="B106" s="6" t="s">
        <v>11576</v>
      </c>
      <c r="C106" s="6" t="s">
        <v>11570</v>
      </c>
      <c r="D106" s="6" t="s">
        <v>22</v>
      </c>
      <c r="E106" s="6" t="s">
        <v>11640</v>
      </c>
      <c r="F106" s="6" t="s">
        <v>75</v>
      </c>
      <c r="G106" s="6" t="s">
        <v>2939</v>
      </c>
      <c r="H106" s="6">
        <v>0.0</v>
      </c>
      <c r="I106" s="6">
        <v>0.0</v>
      </c>
      <c r="J106" s="6">
        <v>1.0</v>
      </c>
      <c r="K106" s="6">
        <v>3.0</v>
      </c>
      <c r="L106" s="6">
        <v>0.0</v>
      </c>
      <c r="M106" s="6">
        <v>0.0</v>
      </c>
      <c r="N106" s="669">
        <v>2218000.0</v>
      </c>
      <c r="O106" s="6">
        <v>0.0</v>
      </c>
      <c r="P106" s="6">
        <v>0.0</v>
      </c>
      <c r="Q106" s="6">
        <v>0.0</v>
      </c>
      <c r="R106" s="6">
        <v>0.0</v>
      </c>
      <c r="S106" s="6">
        <v>5.0</v>
      </c>
      <c r="T106" s="6">
        <v>0.0</v>
      </c>
      <c r="U106" s="6">
        <v>0.0</v>
      </c>
    </row>
    <row r="107">
      <c r="A107" s="6" t="s">
        <v>226</v>
      </c>
      <c r="B107" s="6" t="s">
        <v>11576</v>
      </c>
      <c r="C107" s="6" t="s">
        <v>11579</v>
      </c>
      <c r="D107" s="6" t="s">
        <v>41</v>
      </c>
      <c r="E107" s="6" t="s">
        <v>11640</v>
      </c>
      <c r="F107" s="6" t="s">
        <v>11641</v>
      </c>
      <c r="G107" s="6" t="s">
        <v>2939</v>
      </c>
      <c r="H107" s="6">
        <v>0.0</v>
      </c>
      <c r="I107" s="6">
        <v>0.0</v>
      </c>
      <c r="J107" s="6">
        <v>7.0</v>
      </c>
      <c r="K107" s="6">
        <v>2.0</v>
      </c>
      <c r="L107" s="6">
        <v>0.0</v>
      </c>
      <c r="M107" s="6">
        <v>0.0</v>
      </c>
      <c r="N107" s="669">
        <v>1636000.0</v>
      </c>
      <c r="O107" s="6">
        <v>0.0</v>
      </c>
      <c r="P107" s="6">
        <v>0.0</v>
      </c>
      <c r="Q107" s="6">
        <v>0.0</v>
      </c>
      <c r="R107" s="6">
        <v>0.0</v>
      </c>
      <c r="S107" s="6">
        <v>0.0</v>
      </c>
      <c r="T107" s="6">
        <v>0.0</v>
      </c>
      <c r="U107" s="6">
        <v>0.0</v>
      </c>
    </row>
    <row r="108">
      <c r="A108" s="6" t="s">
        <v>228</v>
      </c>
      <c r="B108" s="6" t="s">
        <v>11578</v>
      </c>
      <c r="C108" s="6" t="s">
        <v>11579</v>
      </c>
      <c r="D108" s="6" t="s">
        <v>41</v>
      </c>
      <c r="E108" s="6" t="s">
        <v>11640</v>
      </c>
      <c r="F108" s="6" t="s">
        <v>2193</v>
      </c>
      <c r="G108" s="6" t="s">
        <v>2939</v>
      </c>
      <c r="H108" s="6" t="s">
        <v>11590</v>
      </c>
      <c r="I108" s="6">
        <v>2.0</v>
      </c>
      <c r="J108" s="6">
        <v>0.0</v>
      </c>
      <c r="K108" s="6">
        <v>0.0</v>
      </c>
      <c r="L108" s="6">
        <v>0.0</v>
      </c>
      <c r="M108" s="6">
        <v>0.0</v>
      </c>
      <c r="N108" s="669">
        <v>1507000.0</v>
      </c>
      <c r="O108" s="6">
        <v>0.0</v>
      </c>
      <c r="P108" s="6">
        <v>0.0</v>
      </c>
      <c r="Q108" s="6">
        <v>0.0</v>
      </c>
      <c r="R108" s="6">
        <v>0.0</v>
      </c>
      <c r="S108" s="6">
        <v>0.0</v>
      </c>
      <c r="T108" s="6">
        <v>0.0</v>
      </c>
      <c r="U108" s="6">
        <v>0.0</v>
      </c>
    </row>
    <row r="109">
      <c r="A109" s="6" t="s">
        <v>229</v>
      </c>
      <c r="B109" s="6" t="s">
        <v>11576</v>
      </c>
      <c r="C109" s="6" t="s">
        <v>11591</v>
      </c>
      <c r="D109" s="6" t="s">
        <v>128</v>
      </c>
      <c r="E109" s="6" t="s">
        <v>11640</v>
      </c>
      <c r="F109" s="6" t="s">
        <v>141</v>
      </c>
      <c r="G109" s="6" t="s">
        <v>2939</v>
      </c>
      <c r="H109" s="6">
        <v>0.0</v>
      </c>
      <c r="I109" s="6">
        <v>0.0</v>
      </c>
      <c r="J109" s="6">
        <v>4.0</v>
      </c>
      <c r="K109" s="6">
        <v>0.0</v>
      </c>
      <c r="L109" s="6">
        <v>0.0</v>
      </c>
      <c r="M109" s="6">
        <v>0.0</v>
      </c>
      <c r="N109" s="669">
        <v>1507000.0</v>
      </c>
      <c r="O109" s="6">
        <v>0.0</v>
      </c>
      <c r="P109" s="6">
        <v>0.0</v>
      </c>
      <c r="Q109" s="6">
        <v>0.0</v>
      </c>
      <c r="R109" s="6">
        <v>0.0</v>
      </c>
      <c r="S109" s="6">
        <v>0.0</v>
      </c>
      <c r="T109" s="6">
        <v>0.0</v>
      </c>
      <c r="U109" s="6">
        <v>0.0</v>
      </c>
    </row>
    <row r="110">
      <c r="A110" s="6" t="s">
        <v>230</v>
      </c>
      <c r="B110" s="6" t="s">
        <v>11576</v>
      </c>
      <c r="C110" s="6" t="s">
        <v>11591</v>
      </c>
      <c r="D110" s="6" t="s">
        <v>130</v>
      </c>
      <c r="E110" s="6" t="s">
        <v>11640</v>
      </c>
      <c r="F110" s="6" t="s">
        <v>141</v>
      </c>
      <c r="G110" s="6" t="s">
        <v>2939</v>
      </c>
      <c r="H110" s="6">
        <v>1.0</v>
      </c>
      <c r="I110" s="6">
        <v>0.0</v>
      </c>
      <c r="J110" s="6">
        <v>5.0</v>
      </c>
      <c r="K110" s="6">
        <v>0.0</v>
      </c>
      <c r="L110" s="6">
        <v>0.0</v>
      </c>
      <c r="M110" s="6">
        <v>0.0</v>
      </c>
      <c r="N110" s="669">
        <v>725000.0</v>
      </c>
      <c r="O110" s="6">
        <v>0.0</v>
      </c>
      <c r="P110" s="6">
        <v>0.0</v>
      </c>
      <c r="Q110" s="6">
        <v>0.0</v>
      </c>
      <c r="R110" s="6">
        <v>0.0</v>
      </c>
      <c r="S110" s="6">
        <v>0.0</v>
      </c>
      <c r="T110" s="6">
        <v>0.0</v>
      </c>
      <c r="U110" s="6">
        <v>0.0</v>
      </c>
    </row>
    <row r="111">
      <c r="A111" s="6" t="s">
        <v>231</v>
      </c>
      <c r="B111" s="6" t="s">
        <v>11576</v>
      </c>
      <c r="C111" s="6" t="s">
        <v>11591</v>
      </c>
      <c r="D111" s="6" t="s">
        <v>132</v>
      </c>
      <c r="E111" s="6" t="s">
        <v>11640</v>
      </c>
      <c r="F111" s="6" t="s">
        <v>141</v>
      </c>
      <c r="G111" s="6" t="s">
        <v>2939</v>
      </c>
      <c r="H111" s="6">
        <v>0.0</v>
      </c>
      <c r="I111" s="6">
        <v>0.0</v>
      </c>
      <c r="J111" s="6">
        <v>6.0</v>
      </c>
      <c r="K111" s="6">
        <v>0.0</v>
      </c>
      <c r="L111" s="6">
        <v>0.0</v>
      </c>
      <c r="M111" s="6">
        <v>0.0</v>
      </c>
      <c r="N111" s="669">
        <v>579000.0</v>
      </c>
      <c r="O111" s="6">
        <v>0.0</v>
      </c>
      <c r="P111" s="6">
        <v>0.0</v>
      </c>
      <c r="Q111" s="6">
        <v>0.0</v>
      </c>
      <c r="R111" s="6">
        <v>0.0</v>
      </c>
      <c r="S111" s="6">
        <v>0.0</v>
      </c>
      <c r="T111" s="6">
        <v>0.0</v>
      </c>
      <c r="U111" s="6">
        <v>0.0</v>
      </c>
    </row>
    <row r="112">
      <c r="A112" s="6" t="s">
        <v>232</v>
      </c>
      <c r="B112" s="6" t="s">
        <v>11576</v>
      </c>
      <c r="C112" s="6" t="s">
        <v>11591</v>
      </c>
      <c r="D112" s="6" t="s">
        <v>134</v>
      </c>
      <c r="E112" s="6" t="s">
        <v>11640</v>
      </c>
      <c r="F112" s="6" t="s">
        <v>141</v>
      </c>
      <c r="G112" s="6" t="s">
        <v>2939</v>
      </c>
      <c r="H112" s="6">
        <v>0.0</v>
      </c>
      <c r="I112" s="6">
        <v>0.0</v>
      </c>
      <c r="J112" s="6">
        <v>7.0</v>
      </c>
      <c r="K112" s="6">
        <v>0.0</v>
      </c>
      <c r="L112" s="6">
        <v>0.0</v>
      </c>
      <c r="M112" s="6">
        <v>0.0</v>
      </c>
      <c r="N112" s="669">
        <v>579000.0</v>
      </c>
      <c r="O112" s="6">
        <v>0.0</v>
      </c>
      <c r="P112" s="6">
        <v>0.0</v>
      </c>
      <c r="Q112" s="6">
        <v>0.0</v>
      </c>
      <c r="R112" s="6">
        <v>0.0</v>
      </c>
      <c r="S112" s="6">
        <v>0.0</v>
      </c>
      <c r="T112" s="6">
        <v>0.0</v>
      </c>
      <c r="U112" s="6">
        <v>0.0</v>
      </c>
    </row>
    <row r="113">
      <c r="A113" s="6" t="s">
        <v>233</v>
      </c>
      <c r="B113" s="6" t="s">
        <v>11578</v>
      </c>
      <c r="C113" s="6" t="s">
        <v>11591</v>
      </c>
      <c r="D113" s="6" t="s">
        <v>202</v>
      </c>
      <c r="E113" s="6" t="s">
        <v>11640</v>
      </c>
      <c r="F113" s="6" t="s">
        <v>234</v>
      </c>
      <c r="G113" s="6" t="s">
        <v>2939</v>
      </c>
      <c r="H113" s="6">
        <v>10.0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69">
        <v>1045000.0</v>
      </c>
      <c r="O113" s="6">
        <v>0.0</v>
      </c>
      <c r="P113" s="6">
        <v>0.0</v>
      </c>
      <c r="Q113" s="6">
        <v>0.0</v>
      </c>
      <c r="R113" s="6">
        <v>0.0</v>
      </c>
      <c r="S113" s="6">
        <v>0.0</v>
      </c>
      <c r="T113" s="6">
        <v>0.0</v>
      </c>
      <c r="U113" s="6">
        <v>0.0</v>
      </c>
    </row>
    <row r="114">
      <c r="A114" s="6" t="s">
        <v>235</v>
      </c>
      <c r="B114" s="6" t="s">
        <v>11578</v>
      </c>
      <c r="C114" s="6" t="s">
        <v>11591</v>
      </c>
      <c r="D114" s="6" t="s">
        <v>236</v>
      </c>
      <c r="E114" s="6" t="s">
        <v>11640</v>
      </c>
      <c r="F114" s="6" t="s">
        <v>97</v>
      </c>
      <c r="G114" s="6" t="s">
        <v>2939</v>
      </c>
      <c r="H114" s="6" t="s">
        <v>11590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69">
        <v>644000.0</v>
      </c>
      <c r="O114" s="6">
        <v>0.0</v>
      </c>
      <c r="P114" s="6">
        <v>0.0</v>
      </c>
      <c r="Q114" s="6">
        <v>0.0</v>
      </c>
      <c r="R114" s="6">
        <v>0.0</v>
      </c>
      <c r="S114" s="6">
        <v>0.0</v>
      </c>
      <c r="T114" s="6">
        <v>0.0</v>
      </c>
      <c r="U114" s="6">
        <v>0.0</v>
      </c>
    </row>
    <row r="115">
      <c r="A115" s="6" t="s">
        <v>11642</v>
      </c>
      <c r="B115" s="6" t="s">
        <v>11569</v>
      </c>
      <c r="C115" s="6" t="s">
        <v>11570</v>
      </c>
      <c r="D115" s="6" t="s">
        <v>22</v>
      </c>
      <c r="E115" s="6" t="s">
        <v>11643</v>
      </c>
      <c r="F115" s="6" t="s">
        <v>75</v>
      </c>
      <c r="G115" s="6" t="s">
        <v>2939</v>
      </c>
      <c r="H115" s="6">
        <v>0.0</v>
      </c>
      <c r="I115" s="6">
        <v>0.0</v>
      </c>
      <c r="J115" s="6">
        <v>2.0</v>
      </c>
      <c r="K115" s="6">
        <v>2.0</v>
      </c>
      <c r="L115" s="6">
        <v>0.0</v>
      </c>
      <c r="M115" s="6">
        <v>0.0</v>
      </c>
      <c r="N115" s="669">
        <v>1664000.0</v>
      </c>
      <c r="O115" s="6">
        <v>0.0</v>
      </c>
      <c r="P115" s="6">
        <v>0.0</v>
      </c>
      <c r="Q115" s="6">
        <v>0.0</v>
      </c>
      <c r="R115" s="6">
        <v>0.0</v>
      </c>
      <c r="S115" s="6">
        <v>0.0</v>
      </c>
      <c r="T115" s="6">
        <v>0.0</v>
      </c>
      <c r="U115" s="6">
        <v>5.0</v>
      </c>
    </row>
    <row r="116">
      <c r="A116" s="6" t="s">
        <v>11644</v>
      </c>
      <c r="B116" s="6" t="s">
        <v>11569</v>
      </c>
      <c r="C116" s="6" t="s">
        <v>11579</v>
      </c>
      <c r="D116" s="6" t="s">
        <v>41</v>
      </c>
      <c r="E116" s="6" t="s">
        <v>11643</v>
      </c>
      <c r="F116" s="6" t="s">
        <v>2193</v>
      </c>
      <c r="G116" s="6" t="s">
        <v>11553</v>
      </c>
      <c r="H116" s="6">
        <v>0.0</v>
      </c>
      <c r="I116" s="6">
        <v>0.0</v>
      </c>
      <c r="J116" s="6">
        <v>1.0</v>
      </c>
      <c r="K116" s="6">
        <v>0.0</v>
      </c>
      <c r="L116" s="6">
        <v>0.0</v>
      </c>
      <c r="M116" s="6">
        <v>0.0</v>
      </c>
      <c r="N116" s="669">
        <v>1000000.0</v>
      </c>
      <c r="O116" s="6">
        <v>0.0</v>
      </c>
      <c r="P116" s="6">
        <v>0.0</v>
      </c>
      <c r="Q116" s="6">
        <v>0.0</v>
      </c>
      <c r="R116" s="6">
        <v>0.0</v>
      </c>
      <c r="S116" s="6">
        <v>0.0</v>
      </c>
      <c r="T116" s="6">
        <v>0.0</v>
      </c>
      <c r="U116" s="6">
        <v>0.0</v>
      </c>
    </row>
    <row r="117">
      <c r="A117" s="6" t="s">
        <v>237</v>
      </c>
      <c r="B117" s="6" t="s">
        <v>11576</v>
      </c>
      <c r="C117" s="6" t="s">
        <v>11570</v>
      </c>
      <c r="D117" s="6" t="s">
        <v>22</v>
      </c>
      <c r="E117" s="6" t="s">
        <v>238</v>
      </c>
      <c r="F117" s="6" t="s">
        <v>125</v>
      </c>
      <c r="G117" s="6" t="s">
        <v>2939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69">
        <v>1797000.0</v>
      </c>
      <c r="O117" s="6">
        <v>0.0</v>
      </c>
      <c r="P117" s="6">
        <v>0.0</v>
      </c>
      <c r="Q117" s="6">
        <v>0.0</v>
      </c>
      <c r="R117" s="6">
        <v>0.0</v>
      </c>
      <c r="S117" s="6">
        <v>5.0</v>
      </c>
      <c r="T117" s="6">
        <v>0.0</v>
      </c>
      <c r="U117" s="6">
        <v>0.0</v>
      </c>
    </row>
    <row r="118">
      <c r="A118" s="6" t="s">
        <v>239</v>
      </c>
      <c r="B118" s="6" t="s">
        <v>11576</v>
      </c>
      <c r="C118" s="6" t="s">
        <v>11570</v>
      </c>
      <c r="D118" s="6" t="s">
        <v>22</v>
      </c>
      <c r="E118" s="6" t="s">
        <v>11645</v>
      </c>
      <c r="F118" s="6" t="s">
        <v>75</v>
      </c>
      <c r="G118" s="6" t="s">
        <v>2939</v>
      </c>
      <c r="H118" s="6">
        <v>0.0</v>
      </c>
      <c r="I118" s="6">
        <v>1.0</v>
      </c>
      <c r="J118" s="6">
        <v>6.0</v>
      </c>
      <c r="K118" s="6">
        <v>0.0</v>
      </c>
      <c r="L118" s="6">
        <v>0.0</v>
      </c>
      <c r="M118" s="6">
        <v>0.0</v>
      </c>
      <c r="N118" s="669">
        <v>3529000.0</v>
      </c>
      <c r="O118" s="6">
        <v>0.0</v>
      </c>
      <c r="P118" s="6">
        <v>0.0</v>
      </c>
      <c r="Q118" s="6">
        <v>0.0</v>
      </c>
      <c r="R118" s="6">
        <v>0.0</v>
      </c>
      <c r="S118" s="6">
        <v>0.0</v>
      </c>
      <c r="T118" s="6">
        <v>0.0</v>
      </c>
      <c r="U118" s="6">
        <v>0.0</v>
      </c>
    </row>
    <row r="119">
      <c r="A119" s="6" t="s">
        <v>241</v>
      </c>
      <c r="B119" s="6" t="s">
        <v>11576</v>
      </c>
      <c r="C119" s="6" t="s">
        <v>11570</v>
      </c>
      <c r="D119" s="6" t="s">
        <v>22</v>
      </c>
      <c r="E119" s="6" t="s">
        <v>11645</v>
      </c>
      <c r="F119" s="6" t="s">
        <v>125</v>
      </c>
      <c r="G119" s="6" t="s">
        <v>2939</v>
      </c>
      <c r="H119" s="6">
        <v>1.0</v>
      </c>
      <c r="I119" s="6">
        <v>1.0</v>
      </c>
      <c r="J119" s="6">
        <v>6.0</v>
      </c>
      <c r="K119" s="6">
        <v>0.0</v>
      </c>
      <c r="L119" s="6">
        <v>0.0</v>
      </c>
      <c r="M119" s="6">
        <v>0.0</v>
      </c>
      <c r="N119" s="669">
        <v>3026000.0</v>
      </c>
      <c r="O119" s="6">
        <v>0.0</v>
      </c>
      <c r="P119" s="6">
        <v>0.0</v>
      </c>
      <c r="Q119" s="6">
        <v>0.0</v>
      </c>
      <c r="R119" s="6">
        <v>0.0</v>
      </c>
      <c r="S119" s="6">
        <v>0.0</v>
      </c>
      <c r="T119" s="6">
        <v>0.0</v>
      </c>
      <c r="U119" s="6">
        <v>0.0</v>
      </c>
    </row>
    <row r="120">
      <c r="A120" s="6" t="s">
        <v>11646</v>
      </c>
      <c r="B120" s="6" t="s">
        <v>11569</v>
      </c>
      <c r="C120" s="6" t="s">
        <v>11579</v>
      </c>
      <c r="D120" s="6" t="s">
        <v>41</v>
      </c>
      <c r="E120" s="6" t="s">
        <v>11645</v>
      </c>
      <c r="F120" s="6" t="s">
        <v>1377</v>
      </c>
      <c r="G120" s="6" t="s">
        <v>11553</v>
      </c>
      <c r="H120" s="6">
        <v>0.0</v>
      </c>
      <c r="I120" s="6">
        <v>0.0</v>
      </c>
      <c r="J120" s="6">
        <v>2.0</v>
      </c>
      <c r="K120" s="6">
        <v>0.0</v>
      </c>
      <c r="L120" s="6">
        <v>0.0</v>
      </c>
      <c r="M120" s="6">
        <v>0.0</v>
      </c>
      <c r="N120" s="669">
        <v>1700000.0</v>
      </c>
      <c r="O120" s="6">
        <v>0.0</v>
      </c>
      <c r="P120" s="6">
        <v>0.0</v>
      </c>
      <c r="Q120" s="6">
        <v>0.0</v>
      </c>
      <c r="R120" s="6">
        <v>0.0</v>
      </c>
      <c r="S120" s="6">
        <v>0.0</v>
      </c>
      <c r="T120" s="6">
        <v>0.0</v>
      </c>
      <c r="U120" s="6">
        <v>0.0</v>
      </c>
    </row>
    <row r="121">
      <c r="A121" s="6" t="s">
        <v>242</v>
      </c>
      <c r="B121" s="6" t="s">
        <v>11578</v>
      </c>
      <c r="C121" s="6" t="s">
        <v>11591</v>
      </c>
      <c r="D121" s="6" t="s">
        <v>130</v>
      </c>
      <c r="E121" s="6" t="s">
        <v>11645</v>
      </c>
      <c r="G121" s="6" t="s">
        <v>2939</v>
      </c>
      <c r="H121" s="6" t="s">
        <v>11590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69">
        <v>644000.0</v>
      </c>
      <c r="O121" s="6">
        <v>0.0</v>
      </c>
      <c r="P121" s="6">
        <v>0.0</v>
      </c>
      <c r="Q121" s="6">
        <v>0.0</v>
      </c>
      <c r="R121" s="6">
        <v>0.0</v>
      </c>
      <c r="S121" s="6">
        <v>0.0</v>
      </c>
      <c r="T121" s="6">
        <v>0.0</v>
      </c>
      <c r="U121" s="6">
        <v>0.0</v>
      </c>
    </row>
    <row r="122">
      <c r="A122" s="6" t="s">
        <v>243</v>
      </c>
      <c r="B122" s="6" t="s">
        <v>11578</v>
      </c>
      <c r="C122" s="6" t="s">
        <v>11591</v>
      </c>
      <c r="D122" s="6" t="s">
        <v>132</v>
      </c>
      <c r="E122" s="6" t="s">
        <v>11645</v>
      </c>
      <c r="G122" s="6" t="s">
        <v>2939</v>
      </c>
      <c r="H122" s="6" t="s">
        <v>11590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69">
        <v>644000.0</v>
      </c>
      <c r="O122" s="6">
        <v>0.0</v>
      </c>
      <c r="P122" s="6">
        <v>0.0</v>
      </c>
      <c r="Q122" s="6">
        <v>0.0</v>
      </c>
      <c r="R122" s="6">
        <v>0.0</v>
      </c>
      <c r="S122" s="6">
        <v>0.0</v>
      </c>
      <c r="T122" s="6">
        <v>0.0</v>
      </c>
      <c r="U122" s="6">
        <v>0.0</v>
      </c>
    </row>
    <row r="123">
      <c r="A123" s="6" t="s">
        <v>244</v>
      </c>
      <c r="B123" s="6" t="s">
        <v>11576</v>
      </c>
      <c r="C123" s="6" t="s">
        <v>11570</v>
      </c>
      <c r="D123" s="6" t="s">
        <v>22</v>
      </c>
      <c r="E123" s="6" t="s">
        <v>11647</v>
      </c>
      <c r="F123" s="6" t="s">
        <v>125</v>
      </c>
      <c r="G123" s="6" t="s">
        <v>2939</v>
      </c>
      <c r="H123" s="6">
        <v>0.0</v>
      </c>
      <c r="I123" s="6">
        <v>0.0</v>
      </c>
      <c r="J123" s="6" t="s">
        <v>11590</v>
      </c>
      <c r="K123" s="6">
        <v>0.0</v>
      </c>
      <c r="L123" s="6">
        <v>0.0</v>
      </c>
      <c r="M123" s="6">
        <v>0.0</v>
      </c>
      <c r="N123" s="669">
        <v>1340000.0</v>
      </c>
      <c r="O123" s="6">
        <v>0.0</v>
      </c>
      <c r="P123" s="6">
        <v>0.0</v>
      </c>
      <c r="Q123" s="6">
        <v>0.0</v>
      </c>
      <c r="R123" s="6">
        <v>0.0</v>
      </c>
      <c r="S123" s="6">
        <v>0.0</v>
      </c>
      <c r="T123" s="6">
        <v>0.0</v>
      </c>
      <c r="U123" s="6">
        <v>0.0</v>
      </c>
    </row>
    <row r="124">
      <c r="A124" s="6" t="s">
        <v>246</v>
      </c>
      <c r="B124" s="6" t="s">
        <v>11576</v>
      </c>
      <c r="C124" s="6" t="s">
        <v>11579</v>
      </c>
      <c r="D124" s="6" t="s">
        <v>41</v>
      </c>
      <c r="E124" s="6" t="s">
        <v>11647</v>
      </c>
      <c r="F124" s="6" t="s">
        <v>2193</v>
      </c>
      <c r="G124" s="6" t="s">
        <v>2939</v>
      </c>
      <c r="H124" s="6">
        <v>1.0</v>
      </c>
      <c r="I124" s="6">
        <v>1.0</v>
      </c>
      <c r="J124" s="6">
        <v>4.0</v>
      </c>
      <c r="K124" s="6">
        <v>0.0</v>
      </c>
      <c r="L124" s="6">
        <v>0.0</v>
      </c>
      <c r="M124" s="6">
        <v>0.0</v>
      </c>
      <c r="N124" s="669">
        <v>1563000.0</v>
      </c>
      <c r="O124" s="6">
        <v>0.0</v>
      </c>
      <c r="P124" s="6">
        <v>0.0</v>
      </c>
      <c r="Q124" s="6">
        <v>0.0</v>
      </c>
      <c r="R124" s="6">
        <v>0.0</v>
      </c>
      <c r="S124" s="6">
        <v>0.0</v>
      </c>
      <c r="T124" s="6">
        <v>0.0</v>
      </c>
      <c r="U124" s="6">
        <v>0.0</v>
      </c>
    </row>
    <row r="125">
      <c r="A125" s="6" t="s">
        <v>247</v>
      </c>
      <c r="B125" s="6" t="s">
        <v>11578</v>
      </c>
      <c r="C125" s="6" t="s">
        <v>11570</v>
      </c>
      <c r="D125" s="6" t="s">
        <v>22</v>
      </c>
      <c r="E125" s="6" t="s">
        <v>248</v>
      </c>
      <c r="F125" s="6" t="s">
        <v>125</v>
      </c>
      <c r="G125" s="6" t="s">
        <v>2939</v>
      </c>
      <c r="H125" s="6">
        <v>0.0</v>
      </c>
      <c r="I125" s="6">
        <v>1.0</v>
      </c>
      <c r="J125" s="6">
        <v>0.0</v>
      </c>
      <c r="K125" s="6">
        <v>0.0</v>
      </c>
      <c r="L125" s="6">
        <v>0.0</v>
      </c>
      <c r="M125" s="6">
        <v>0.0</v>
      </c>
      <c r="N125" s="669">
        <v>2334000.0</v>
      </c>
      <c r="O125" s="6">
        <v>0.0</v>
      </c>
      <c r="P125" s="6">
        <v>0.0</v>
      </c>
      <c r="Q125" s="6">
        <v>0.0</v>
      </c>
      <c r="R125" s="6">
        <v>0.0</v>
      </c>
      <c r="S125" s="6">
        <v>0.0</v>
      </c>
      <c r="T125" s="6">
        <v>0.0</v>
      </c>
      <c r="U125" s="6">
        <v>0.0</v>
      </c>
    </row>
    <row r="126">
      <c r="A126" s="6" t="s">
        <v>249</v>
      </c>
      <c r="B126" s="6" t="s">
        <v>11578</v>
      </c>
      <c r="C126" s="6" t="s">
        <v>11579</v>
      </c>
      <c r="D126" s="6" t="s">
        <v>41</v>
      </c>
      <c r="E126" s="6" t="s">
        <v>248</v>
      </c>
      <c r="F126" s="6" t="s">
        <v>2193</v>
      </c>
      <c r="G126" s="6" t="s">
        <v>2939</v>
      </c>
      <c r="H126" s="6">
        <v>6.0</v>
      </c>
      <c r="I126" s="6">
        <v>2.0</v>
      </c>
      <c r="J126" s="6">
        <v>0.0</v>
      </c>
      <c r="K126" s="6">
        <v>0.0</v>
      </c>
      <c r="L126" s="6">
        <v>0.0</v>
      </c>
      <c r="M126" s="6">
        <v>0.0</v>
      </c>
      <c r="N126" s="669">
        <v>1543000.0</v>
      </c>
      <c r="O126" s="6">
        <v>0.0</v>
      </c>
      <c r="P126" s="6">
        <v>0.0</v>
      </c>
      <c r="Q126" s="6">
        <v>0.0</v>
      </c>
      <c r="R126" s="6">
        <v>0.0</v>
      </c>
      <c r="S126" s="6">
        <v>0.0</v>
      </c>
      <c r="T126" s="6">
        <v>0.0</v>
      </c>
      <c r="U126" s="6">
        <v>0.0</v>
      </c>
    </row>
    <row r="127">
      <c r="A127" s="6" t="s">
        <v>250</v>
      </c>
      <c r="B127" s="6" t="s">
        <v>11578</v>
      </c>
      <c r="C127" s="6" t="s">
        <v>11591</v>
      </c>
      <c r="D127" s="6" t="s">
        <v>128</v>
      </c>
      <c r="E127" s="6" t="s">
        <v>248</v>
      </c>
      <c r="F127" s="6" t="s">
        <v>141</v>
      </c>
      <c r="G127" s="6" t="s">
        <v>2939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69">
        <v>644000.0</v>
      </c>
      <c r="O127" s="6">
        <v>0.0</v>
      </c>
      <c r="P127" s="6">
        <v>0.0</v>
      </c>
      <c r="Q127" s="6">
        <v>0.0</v>
      </c>
      <c r="R127" s="6">
        <v>0.0</v>
      </c>
      <c r="S127" s="6">
        <v>0.0</v>
      </c>
      <c r="T127" s="6">
        <v>0.0</v>
      </c>
      <c r="U127" s="6">
        <v>0.0</v>
      </c>
    </row>
    <row r="128">
      <c r="A128" s="6" t="s">
        <v>251</v>
      </c>
      <c r="B128" s="6" t="s">
        <v>11578</v>
      </c>
      <c r="C128" s="6" t="s">
        <v>11591</v>
      </c>
      <c r="D128" s="6" t="s">
        <v>130</v>
      </c>
      <c r="E128" s="6" t="s">
        <v>248</v>
      </c>
      <c r="F128" s="6" t="s">
        <v>141</v>
      </c>
      <c r="G128" s="6" t="s">
        <v>2939</v>
      </c>
      <c r="H128" s="6">
        <v>1.0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69">
        <v>644000.0</v>
      </c>
      <c r="O128" s="6">
        <v>0.0</v>
      </c>
      <c r="P128" s="6">
        <v>0.0</v>
      </c>
      <c r="Q128" s="6">
        <v>0.0</v>
      </c>
      <c r="R128" s="6">
        <v>0.0</v>
      </c>
      <c r="S128" s="6">
        <v>0.0</v>
      </c>
      <c r="T128" s="6">
        <v>0.0</v>
      </c>
      <c r="U128" s="6">
        <v>0.0</v>
      </c>
    </row>
    <row r="129">
      <c r="A129" s="6" t="s">
        <v>252</v>
      </c>
      <c r="B129" s="6" t="s">
        <v>11578</v>
      </c>
      <c r="C129" s="6" t="s">
        <v>11591</v>
      </c>
      <c r="D129" s="6" t="s">
        <v>134</v>
      </c>
      <c r="E129" s="6" t="s">
        <v>248</v>
      </c>
      <c r="G129" s="6" t="s">
        <v>2939</v>
      </c>
      <c r="H129" s="6">
        <v>4.0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69">
        <v>644000.0</v>
      </c>
      <c r="O129" s="6">
        <v>0.0</v>
      </c>
      <c r="P129" s="6">
        <v>0.0</v>
      </c>
      <c r="Q129" s="6">
        <v>0.0</v>
      </c>
      <c r="R129" s="6">
        <v>0.0</v>
      </c>
      <c r="S129" s="6">
        <v>0.0</v>
      </c>
      <c r="T129" s="6">
        <v>0.0</v>
      </c>
      <c r="U129" s="6">
        <v>0.0</v>
      </c>
    </row>
    <row r="130">
      <c r="A130" s="6" t="s">
        <v>253</v>
      </c>
      <c r="B130" s="6" t="s">
        <v>11576</v>
      </c>
      <c r="C130" s="6" t="s">
        <v>11570</v>
      </c>
      <c r="D130" s="6" t="s">
        <v>22</v>
      </c>
      <c r="E130" s="6" t="s">
        <v>254</v>
      </c>
      <c r="F130" s="6" t="s">
        <v>125</v>
      </c>
      <c r="G130" s="6" t="s">
        <v>2939</v>
      </c>
      <c r="H130" s="6">
        <v>0.0</v>
      </c>
      <c r="I130" s="6">
        <v>0.0</v>
      </c>
      <c r="J130" s="6">
        <v>6.0</v>
      </c>
      <c r="K130" s="6">
        <v>2.0</v>
      </c>
      <c r="L130" s="6">
        <v>0.0</v>
      </c>
      <c r="M130" s="6">
        <v>0.0</v>
      </c>
      <c r="N130" s="669">
        <v>1587000.0</v>
      </c>
      <c r="O130" s="6">
        <v>0.0</v>
      </c>
      <c r="P130" s="6">
        <v>0.0</v>
      </c>
      <c r="Q130" s="6">
        <v>0.0</v>
      </c>
      <c r="R130" s="6">
        <v>0.0</v>
      </c>
      <c r="S130" s="6">
        <v>0.0</v>
      </c>
      <c r="T130" s="6">
        <v>0.0</v>
      </c>
      <c r="U130" s="6">
        <v>0.0</v>
      </c>
    </row>
    <row r="131">
      <c r="A131" s="6" t="s">
        <v>255</v>
      </c>
      <c r="B131" s="6" t="s">
        <v>11578</v>
      </c>
      <c r="C131" s="6" t="s">
        <v>11579</v>
      </c>
      <c r="D131" s="6" t="s">
        <v>41</v>
      </c>
      <c r="E131" s="6" t="s">
        <v>254</v>
      </c>
      <c r="F131" s="6" t="s">
        <v>2193</v>
      </c>
      <c r="G131" s="6" t="s">
        <v>2939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69">
        <v>1667000.0</v>
      </c>
      <c r="O131" s="6">
        <v>0.0</v>
      </c>
      <c r="P131" s="6">
        <v>0.0</v>
      </c>
      <c r="Q131" s="6">
        <v>0.0</v>
      </c>
      <c r="R131" s="6">
        <v>0.0</v>
      </c>
      <c r="S131" s="6">
        <v>0.0</v>
      </c>
      <c r="T131" s="6">
        <v>0.0</v>
      </c>
      <c r="U131" s="6">
        <v>0.0</v>
      </c>
    </row>
    <row r="132">
      <c r="A132" s="6" t="s">
        <v>256</v>
      </c>
      <c r="B132" s="6" t="s">
        <v>11578</v>
      </c>
      <c r="C132" s="6" t="s">
        <v>11591</v>
      </c>
      <c r="D132" s="6" t="s">
        <v>128</v>
      </c>
      <c r="E132" s="6" t="s">
        <v>254</v>
      </c>
      <c r="F132" s="6" t="s">
        <v>141</v>
      </c>
      <c r="G132" s="6" t="s">
        <v>2939</v>
      </c>
      <c r="H132" s="6">
        <v>2.0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69">
        <v>644000.0</v>
      </c>
      <c r="O132" s="6">
        <v>0.0</v>
      </c>
      <c r="P132" s="6">
        <v>0.0</v>
      </c>
      <c r="Q132" s="6">
        <v>0.0</v>
      </c>
      <c r="R132" s="6">
        <v>0.0</v>
      </c>
      <c r="S132" s="6">
        <v>0.0</v>
      </c>
      <c r="T132" s="6">
        <v>0.0</v>
      </c>
      <c r="U132" s="6">
        <v>0.0</v>
      </c>
    </row>
    <row r="133">
      <c r="A133" s="6" t="s">
        <v>257</v>
      </c>
      <c r="B133" s="6" t="s">
        <v>11578</v>
      </c>
      <c r="C133" s="6" t="s">
        <v>11591</v>
      </c>
      <c r="D133" s="6" t="s">
        <v>130</v>
      </c>
      <c r="E133" s="6" t="s">
        <v>254</v>
      </c>
      <c r="F133" s="6" t="s">
        <v>141</v>
      </c>
      <c r="G133" s="6" t="s">
        <v>2939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69">
        <v>644000.0</v>
      </c>
      <c r="O133" s="6">
        <v>0.0</v>
      </c>
      <c r="P133" s="6">
        <v>0.0</v>
      </c>
      <c r="Q133" s="6">
        <v>0.0</v>
      </c>
      <c r="R133" s="6">
        <v>0.0</v>
      </c>
      <c r="S133" s="6">
        <v>0.0</v>
      </c>
      <c r="T133" s="6">
        <v>0.0</v>
      </c>
      <c r="U133" s="6">
        <v>0.0</v>
      </c>
    </row>
    <row r="134">
      <c r="A134" s="6" t="s">
        <v>258</v>
      </c>
      <c r="B134" s="6" t="s">
        <v>11576</v>
      </c>
      <c r="C134" s="6" t="s">
        <v>11591</v>
      </c>
      <c r="D134" s="6" t="s">
        <v>132</v>
      </c>
      <c r="E134" s="6" t="s">
        <v>254</v>
      </c>
      <c r="F134" s="6" t="s">
        <v>141</v>
      </c>
      <c r="G134" s="6" t="s">
        <v>2939</v>
      </c>
      <c r="H134" s="6">
        <v>0.0</v>
      </c>
      <c r="I134" s="6">
        <v>0.0</v>
      </c>
      <c r="J134" s="6">
        <v>2.0</v>
      </c>
      <c r="K134" s="6">
        <v>0.0</v>
      </c>
      <c r="L134" s="6">
        <v>0.0</v>
      </c>
      <c r="M134" s="6">
        <v>0.0</v>
      </c>
      <c r="N134" s="669">
        <v>644000.0</v>
      </c>
      <c r="O134" s="6">
        <v>0.0</v>
      </c>
      <c r="P134" s="6">
        <v>0.0</v>
      </c>
      <c r="Q134" s="6">
        <v>0.0</v>
      </c>
      <c r="R134" s="6">
        <v>0.0</v>
      </c>
      <c r="S134" s="6">
        <v>0.0</v>
      </c>
      <c r="T134" s="6">
        <v>0.0</v>
      </c>
      <c r="U134" s="6">
        <v>0.0</v>
      </c>
    </row>
    <row r="135">
      <c r="A135" s="6" t="s">
        <v>259</v>
      </c>
      <c r="B135" s="6" t="s">
        <v>11578</v>
      </c>
      <c r="C135" s="6" t="s">
        <v>11591</v>
      </c>
      <c r="D135" s="6" t="s">
        <v>134</v>
      </c>
      <c r="E135" s="6" t="s">
        <v>254</v>
      </c>
      <c r="F135" s="6" t="s">
        <v>141</v>
      </c>
      <c r="G135" s="6" t="s">
        <v>2939</v>
      </c>
      <c r="H135" s="6">
        <v>4.0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69">
        <v>644000.0</v>
      </c>
      <c r="O135" s="6">
        <v>0.0</v>
      </c>
      <c r="P135" s="6">
        <v>0.0</v>
      </c>
      <c r="Q135" s="6">
        <v>0.0</v>
      </c>
      <c r="R135" s="6">
        <v>0.0</v>
      </c>
      <c r="S135" s="6">
        <v>0.0</v>
      </c>
      <c r="T135" s="6">
        <v>0.0</v>
      </c>
      <c r="U135" s="6">
        <v>0.0</v>
      </c>
    </row>
    <row r="136">
      <c r="A136" s="6" t="s">
        <v>1367</v>
      </c>
      <c r="B136" s="6" t="s">
        <v>11569</v>
      </c>
      <c r="C136" s="6" t="s">
        <v>11570</v>
      </c>
      <c r="D136" s="6" t="s">
        <v>22</v>
      </c>
      <c r="E136" s="6" t="s">
        <v>11648</v>
      </c>
      <c r="F136" s="6" t="s">
        <v>125</v>
      </c>
      <c r="G136" s="6" t="s">
        <v>2939</v>
      </c>
      <c r="H136" s="6">
        <v>0.0</v>
      </c>
      <c r="I136" s="6">
        <v>0.0</v>
      </c>
      <c r="J136" s="6">
        <v>1.0</v>
      </c>
      <c r="K136" s="6">
        <v>1.0</v>
      </c>
      <c r="L136" s="6">
        <v>0.0</v>
      </c>
      <c r="M136" s="6">
        <v>0.0</v>
      </c>
      <c r="N136" s="669">
        <v>1587000.0</v>
      </c>
      <c r="O136" s="6">
        <v>0.0</v>
      </c>
      <c r="P136" s="6">
        <v>0.0</v>
      </c>
      <c r="Q136" s="6">
        <v>0.0</v>
      </c>
      <c r="R136" s="6">
        <v>0.0</v>
      </c>
      <c r="S136" s="6">
        <v>0.0</v>
      </c>
      <c r="T136" s="6">
        <v>0.0</v>
      </c>
      <c r="U136" s="6">
        <v>5.0</v>
      </c>
    </row>
    <row r="137">
      <c r="A137" s="6" t="s">
        <v>1369</v>
      </c>
      <c r="B137" s="6" t="s">
        <v>11569</v>
      </c>
      <c r="C137" s="6" t="s">
        <v>11579</v>
      </c>
      <c r="D137" s="6" t="s">
        <v>41</v>
      </c>
      <c r="E137" s="6" t="s">
        <v>11648</v>
      </c>
      <c r="F137" s="6" t="s">
        <v>1377</v>
      </c>
      <c r="G137" s="6" t="s">
        <v>2939</v>
      </c>
      <c r="H137" s="6">
        <v>0.0</v>
      </c>
      <c r="I137" s="6">
        <v>0.0</v>
      </c>
      <c r="J137" s="6">
        <v>0.0</v>
      </c>
      <c r="K137" s="6">
        <v>2.0</v>
      </c>
      <c r="L137" s="6">
        <v>0.0</v>
      </c>
      <c r="M137" s="6">
        <v>0.0</v>
      </c>
      <c r="N137" s="669">
        <v>1691000.0</v>
      </c>
      <c r="O137" s="6">
        <v>0.0</v>
      </c>
      <c r="P137" s="6">
        <v>0.0</v>
      </c>
      <c r="Q137" s="6">
        <v>0.0</v>
      </c>
      <c r="R137" s="6">
        <v>0.0</v>
      </c>
      <c r="S137" s="6">
        <v>0.0</v>
      </c>
      <c r="T137" s="6">
        <v>0.0</v>
      </c>
      <c r="U137" s="6">
        <v>0.0</v>
      </c>
    </row>
    <row r="138">
      <c r="A138" s="6" t="s">
        <v>260</v>
      </c>
      <c r="B138" s="6" t="s">
        <v>11630</v>
      </c>
      <c r="C138" s="6" t="s">
        <v>11570</v>
      </c>
      <c r="D138" s="6" t="s">
        <v>22</v>
      </c>
      <c r="E138" s="6" t="s">
        <v>261</v>
      </c>
      <c r="F138" s="6" t="s">
        <v>125</v>
      </c>
      <c r="G138" s="6" t="s">
        <v>2939</v>
      </c>
      <c r="H138" s="6">
        <v>0.0</v>
      </c>
      <c r="I138" s="6">
        <v>0.0</v>
      </c>
      <c r="J138" s="6" t="s">
        <v>11590</v>
      </c>
      <c r="K138" s="6">
        <v>1.0</v>
      </c>
      <c r="L138" s="6">
        <v>0.0</v>
      </c>
      <c r="M138" s="6">
        <v>0.0</v>
      </c>
      <c r="N138" s="669">
        <v>1350000.0</v>
      </c>
      <c r="O138" s="6">
        <v>0.0</v>
      </c>
      <c r="P138" s="6">
        <v>0.0</v>
      </c>
      <c r="Q138" s="6">
        <v>0.0</v>
      </c>
      <c r="R138" s="6">
        <v>0.0</v>
      </c>
      <c r="S138" s="6" t="s">
        <v>11590</v>
      </c>
      <c r="T138" s="6" t="s">
        <v>11590</v>
      </c>
      <c r="U138" s="6">
        <v>0.0</v>
      </c>
    </row>
    <row r="139">
      <c r="A139" s="6" t="s">
        <v>2230</v>
      </c>
      <c r="B139" s="6" t="s">
        <v>11569</v>
      </c>
      <c r="C139" s="6" t="s">
        <v>11579</v>
      </c>
      <c r="D139" s="6" t="s">
        <v>41</v>
      </c>
      <c r="E139" s="6" t="s">
        <v>261</v>
      </c>
      <c r="F139" s="6" t="s">
        <v>1377</v>
      </c>
      <c r="G139" s="6" t="s">
        <v>2939</v>
      </c>
      <c r="H139" s="6">
        <v>0.0</v>
      </c>
      <c r="I139" s="6">
        <v>0.0</v>
      </c>
      <c r="J139" s="6">
        <v>8.0</v>
      </c>
      <c r="K139" s="6">
        <v>1.0</v>
      </c>
      <c r="L139" s="6">
        <v>0.0</v>
      </c>
      <c r="M139" s="6">
        <v>0.0</v>
      </c>
      <c r="N139" s="669">
        <v>1166000.0</v>
      </c>
      <c r="O139" s="6">
        <v>0.0</v>
      </c>
      <c r="P139" s="6">
        <v>0.0</v>
      </c>
      <c r="Q139" s="6">
        <v>0.0</v>
      </c>
      <c r="R139" s="6">
        <v>0.0</v>
      </c>
      <c r="S139" s="6" t="s">
        <v>11590</v>
      </c>
      <c r="T139" s="6">
        <v>10.0</v>
      </c>
      <c r="U139" s="6">
        <v>0.0</v>
      </c>
    </row>
    <row r="140">
      <c r="A140" s="6" t="s">
        <v>1372</v>
      </c>
      <c r="B140" s="6" t="s">
        <v>11569</v>
      </c>
      <c r="C140" s="6" t="s">
        <v>11570</v>
      </c>
      <c r="D140" s="6" t="s">
        <v>22</v>
      </c>
      <c r="E140" s="6" t="s">
        <v>263</v>
      </c>
      <c r="F140" s="6" t="s">
        <v>75</v>
      </c>
      <c r="G140" s="6" t="s">
        <v>2939</v>
      </c>
      <c r="H140" s="6">
        <v>0.0</v>
      </c>
      <c r="I140" s="6">
        <v>0.0</v>
      </c>
      <c r="J140" s="6">
        <v>0.0</v>
      </c>
      <c r="K140" s="6">
        <v>4.0</v>
      </c>
      <c r="L140" s="6">
        <v>0.0</v>
      </c>
      <c r="M140" s="6">
        <v>0.0</v>
      </c>
      <c r="N140" s="669">
        <v>2518000.0</v>
      </c>
      <c r="O140" s="6">
        <v>0.0</v>
      </c>
      <c r="P140" s="6">
        <v>0.0</v>
      </c>
      <c r="Q140" s="6">
        <v>0.0</v>
      </c>
      <c r="R140" s="6">
        <v>0.0</v>
      </c>
      <c r="S140" s="6">
        <v>0.0</v>
      </c>
      <c r="T140" s="6">
        <v>0.0</v>
      </c>
      <c r="U140" s="6">
        <v>0.0</v>
      </c>
    </row>
    <row r="141">
      <c r="A141" s="6" t="s">
        <v>265</v>
      </c>
      <c r="B141" s="6" t="s">
        <v>11576</v>
      </c>
      <c r="C141" s="6" t="s">
        <v>11579</v>
      </c>
      <c r="D141" s="6" t="s">
        <v>41</v>
      </c>
      <c r="E141" s="6" t="s">
        <v>11649</v>
      </c>
      <c r="F141" s="6" t="s">
        <v>1377</v>
      </c>
      <c r="G141" s="6" t="s">
        <v>2939</v>
      </c>
      <c r="H141" s="6">
        <v>0.0</v>
      </c>
      <c r="I141" s="6">
        <v>0.0</v>
      </c>
      <c r="J141" s="6">
        <v>3.0</v>
      </c>
      <c r="K141" s="6">
        <v>2.0</v>
      </c>
      <c r="L141" s="6">
        <v>0.0</v>
      </c>
      <c r="M141" s="6">
        <v>0.0</v>
      </c>
      <c r="N141" s="669">
        <v>1928000.0</v>
      </c>
      <c r="O141" s="6">
        <v>0.0</v>
      </c>
      <c r="P141" s="6">
        <v>0.0</v>
      </c>
      <c r="Q141" s="6">
        <v>0.0</v>
      </c>
      <c r="R141" s="6">
        <v>0.0</v>
      </c>
      <c r="S141" s="6">
        <v>10.0</v>
      </c>
      <c r="T141" s="6">
        <v>0.0</v>
      </c>
      <c r="U141" s="6">
        <v>0.0</v>
      </c>
    </row>
    <row r="142">
      <c r="A142" s="6" t="s">
        <v>262</v>
      </c>
      <c r="B142" s="6" t="s">
        <v>11576</v>
      </c>
      <c r="C142" s="6" t="s">
        <v>11591</v>
      </c>
      <c r="D142" s="6" t="s">
        <v>132</v>
      </c>
      <c r="E142" s="6" t="s">
        <v>263</v>
      </c>
      <c r="G142" s="6" t="s">
        <v>2939</v>
      </c>
      <c r="H142" s="6">
        <v>0.0</v>
      </c>
      <c r="I142" s="6">
        <v>0.0</v>
      </c>
      <c r="J142" s="6">
        <v>3.0</v>
      </c>
      <c r="K142" s="6">
        <v>0.0</v>
      </c>
      <c r="L142" s="6">
        <v>0.0</v>
      </c>
      <c r="M142" s="6">
        <v>0.0</v>
      </c>
      <c r="N142" s="669">
        <v>644000.0</v>
      </c>
      <c r="O142" s="6">
        <v>0.0</v>
      </c>
      <c r="P142" s="6">
        <v>0.0</v>
      </c>
      <c r="Q142" s="6">
        <v>0.0</v>
      </c>
      <c r="R142" s="6">
        <v>0.0</v>
      </c>
      <c r="S142" s="6">
        <v>0.0</v>
      </c>
      <c r="T142" s="6">
        <v>0.0</v>
      </c>
      <c r="U142" s="6">
        <v>0.0</v>
      </c>
    </row>
    <row r="143">
      <c r="A143" s="6" t="s">
        <v>264</v>
      </c>
      <c r="B143" s="6" t="s">
        <v>11576</v>
      </c>
      <c r="C143" s="6" t="s">
        <v>11591</v>
      </c>
      <c r="D143" s="6" t="s">
        <v>134</v>
      </c>
      <c r="E143" s="6" t="s">
        <v>263</v>
      </c>
      <c r="G143" s="6" t="s">
        <v>2939</v>
      </c>
      <c r="H143" s="6">
        <v>0.0</v>
      </c>
      <c r="I143" s="6">
        <v>0.0</v>
      </c>
      <c r="J143" s="6">
        <v>4.0</v>
      </c>
      <c r="K143" s="6">
        <v>0.0</v>
      </c>
      <c r="L143" s="6">
        <v>0.0</v>
      </c>
      <c r="M143" s="6">
        <v>0.0</v>
      </c>
      <c r="N143" s="669">
        <v>644000.0</v>
      </c>
      <c r="O143" s="6">
        <v>0.0</v>
      </c>
      <c r="P143" s="6">
        <v>0.0</v>
      </c>
      <c r="Q143" s="6">
        <v>0.0</v>
      </c>
      <c r="R143" s="6">
        <v>0.0</v>
      </c>
      <c r="S143" s="6">
        <v>0.0</v>
      </c>
      <c r="T143" s="6">
        <v>0.0</v>
      </c>
      <c r="U143" s="6">
        <v>0.0</v>
      </c>
    </row>
    <row r="144">
      <c r="A144" s="6" t="s">
        <v>11650</v>
      </c>
      <c r="B144" s="6" t="s">
        <v>11569</v>
      </c>
      <c r="C144" s="6" t="s">
        <v>11591</v>
      </c>
      <c r="D144" s="6" t="s">
        <v>236</v>
      </c>
      <c r="E144" s="6" t="s">
        <v>263</v>
      </c>
      <c r="F144" s="6" t="s">
        <v>1547</v>
      </c>
      <c r="G144" s="6" t="s">
        <v>2939</v>
      </c>
      <c r="H144" s="6">
        <v>0.0</v>
      </c>
      <c r="I144" s="6">
        <v>0.0</v>
      </c>
      <c r="J144" s="6">
        <v>2.0</v>
      </c>
      <c r="K144" s="6">
        <v>0.0</v>
      </c>
      <c r="L144" s="6">
        <v>0.0</v>
      </c>
      <c r="M144" s="6">
        <v>0.0</v>
      </c>
      <c r="N144" s="669">
        <v>1100000.0</v>
      </c>
      <c r="O144" s="6">
        <v>0.0</v>
      </c>
      <c r="P144" s="6">
        <v>0.0</v>
      </c>
      <c r="Q144" s="6">
        <v>0.0</v>
      </c>
      <c r="R144" s="6">
        <v>0.0</v>
      </c>
      <c r="S144" s="6">
        <v>0.0</v>
      </c>
      <c r="T144" s="6">
        <v>0.0</v>
      </c>
      <c r="U144" s="6">
        <v>0.0</v>
      </c>
    </row>
    <row r="145">
      <c r="A145" s="6" t="s">
        <v>267</v>
      </c>
      <c r="B145" s="6" t="s">
        <v>11576</v>
      </c>
      <c r="C145" s="6" t="s">
        <v>11570</v>
      </c>
      <c r="D145" s="6" t="s">
        <v>22</v>
      </c>
      <c r="E145" s="6" t="s">
        <v>11651</v>
      </c>
      <c r="F145" s="6" t="s">
        <v>125</v>
      </c>
      <c r="G145" s="6" t="s">
        <v>2939</v>
      </c>
      <c r="H145" s="6">
        <v>0.0</v>
      </c>
      <c r="I145" s="6">
        <v>0.0</v>
      </c>
      <c r="J145" s="6">
        <v>5.0</v>
      </c>
      <c r="K145" s="6">
        <v>0.0</v>
      </c>
      <c r="L145" s="6">
        <v>0.0</v>
      </c>
      <c r="M145" s="6">
        <v>0.0</v>
      </c>
      <c r="N145" s="669">
        <v>2249000.0</v>
      </c>
      <c r="O145" s="6">
        <v>0.0</v>
      </c>
      <c r="P145" s="6">
        <v>0.0</v>
      </c>
      <c r="Q145" s="6">
        <v>0.0</v>
      </c>
      <c r="R145" s="6">
        <v>0.0</v>
      </c>
      <c r="S145" s="6">
        <v>7.0</v>
      </c>
      <c r="T145" s="6">
        <v>0.0</v>
      </c>
      <c r="U145" s="6">
        <v>5.0</v>
      </c>
    </row>
    <row r="146">
      <c r="A146" s="6" t="s">
        <v>1373</v>
      </c>
      <c r="B146" s="6" t="s">
        <v>11569</v>
      </c>
      <c r="C146" s="6" t="s">
        <v>11570</v>
      </c>
      <c r="D146" s="6" t="s">
        <v>22</v>
      </c>
      <c r="E146" s="6" t="s">
        <v>11651</v>
      </c>
      <c r="F146" s="6" t="s">
        <v>75</v>
      </c>
      <c r="G146" s="6" t="s">
        <v>2939</v>
      </c>
      <c r="H146" s="6">
        <v>0.0</v>
      </c>
      <c r="I146" s="6">
        <v>0.0</v>
      </c>
      <c r="J146" s="6">
        <v>4.0</v>
      </c>
      <c r="K146" s="6">
        <v>0.0</v>
      </c>
      <c r="L146" s="6">
        <v>0.0</v>
      </c>
      <c r="M146" s="6">
        <v>0.0</v>
      </c>
      <c r="N146" s="669">
        <v>2301000.0</v>
      </c>
      <c r="O146" s="6">
        <v>0.0</v>
      </c>
      <c r="P146" s="6">
        <v>0.0</v>
      </c>
      <c r="Q146" s="6">
        <v>0.0</v>
      </c>
      <c r="R146" s="6">
        <v>0.0</v>
      </c>
      <c r="S146" s="6">
        <v>5.0</v>
      </c>
      <c r="T146" s="6">
        <v>0.0</v>
      </c>
      <c r="U146" s="6">
        <v>0.0</v>
      </c>
    </row>
    <row r="147">
      <c r="A147" s="6" t="s">
        <v>269</v>
      </c>
      <c r="B147" s="6" t="s">
        <v>11576</v>
      </c>
      <c r="C147" s="6" t="s">
        <v>11579</v>
      </c>
      <c r="D147" s="6" t="s">
        <v>41</v>
      </c>
      <c r="E147" s="6" t="s">
        <v>11651</v>
      </c>
      <c r="F147" s="6" t="s">
        <v>1377</v>
      </c>
      <c r="G147" s="6" t="s">
        <v>2939</v>
      </c>
      <c r="H147" s="6">
        <v>0.0</v>
      </c>
      <c r="I147" s="6">
        <v>0.0</v>
      </c>
      <c r="J147" s="6">
        <v>1.0</v>
      </c>
      <c r="K147" s="6">
        <v>0.0</v>
      </c>
      <c r="L147" s="6">
        <v>0.0</v>
      </c>
      <c r="M147" s="6">
        <v>0.0</v>
      </c>
      <c r="N147" s="669">
        <v>2083000.0</v>
      </c>
      <c r="O147" s="6">
        <v>0.0</v>
      </c>
      <c r="P147" s="6">
        <v>0.0</v>
      </c>
      <c r="Q147" s="6">
        <v>0.0</v>
      </c>
      <c r="R147" s="6">
        <v>0.0</v>
      </c>
      <c r="S147" s="6">
        <v>5.0</v>
      </c>
      <c r="T147" s="6">
        <v>0.0</v>
      </c>
      <c r="U147" s="6">
        <v>0.0</v>
      </c>
    </row>
    <row r="148">
      <c r="A148" s="6" t="s">
        <v>271</v>
      </c>
      <c r="B148" s="6" t="s">
        <v>11576</v>
      </c>
      <c r="C148" s="6" t="s">
        <v>11570</v>
      </c>
      <c r="D148" s="6" t="s">
        <v>22</v>
      </c>
      <c r="E148" s="6" t="s">
        <v>11652</v>
      </c>
      <c r="F148" s="6" t="s">
        <v>125</v>
      </c>
      <c r="G148" s="6" t="s">
        <v>2939</v>
      </c>
      <c r="H148" s="6">
        <v>0.0</v>
      </c>
      <c r="I148" s="6">
        <v>0.0</v>
      </c>
      <c r="J148" s="6">
        <v>5.0</v>
      </c>
      <c r="K148" s="6">
        <v>0.0</v>
      </c>
      <c r="L148" s="6">
        <v>0.0</v>
      </c>
      <c r="M148" s="6">
        <v>0.0</v>
      </c>
      <c r="N148" s="669">
        <v>1913000.0</v>
      </c>
      <c r="O148" s="6">
        <v>0.0</v>
      </c>
      <c r="P148" s="6">
        <v>0.0</v>
      </c>
      <c r="Q148" s="6">
        <v>0.0</v>
      </c>
      <c r="R148" s="6">
        <v>0.0</v>
      </c>
      <c r="S148" s="6">
        <v>0.0</v>
      </c>
      <c r="T148" s="6">
        <v>0.0</v>
      </c>
      <c r="U148" s="6">
        <v>0.0</v>
      </c>
    </row>
    <row r="149">
      <c r="A149" s="6" t="s">
        <v>273</v>
      </c>
      <c r="B149" s="6" t="s">
        <v>11578</v>
      </c>
      <c r="C149" s="6" t="s">
        <v>11579</v>
      </c>
      <c r="D149" s="6" t="s">
        <v>41</v>
      </c>
      <c r="E149" s="6" t="s">
        <v>11652</v>
      </c>
      <c r="F149" s="6" t="s">
        <v>2193</v>
      </c>
      <c r="G149" s="6" t="s">
        <v>2939</v>
      </c>
      <c r="H149" s="6">
        <v>7.0</v>
      </c>
      <c r="I149" s="6">
        <v>2.0</v>
      </c>
      <c r="J149" s="6">
        <v>0.0</v>
      </c>
      <c r="K149" s="6">
        <v>0.0</v>
      </c>
      <c r="L149" s="6">
        <v>0.0</v>
      </c>
      <c r="M149" s="6">
        <v>0.0</v>
      </c>
      <c r="N149" s="669">
        <v>1667000.0</v>
      </c>
      <c r="O149" s="6">
        <v>0.0</v>
      </c>
      <c r="P149" s="6">
        <v>0.0</v>
      </c>
      <c r="Q149" s="6">
        <v>0.0</v>
      </c>
      <c r="R149" s="6">
        <v>0.0</v>
      </c>
      <c r="S149" s="6">
        <v>0.0</v>
      </c>
      <c r="T149" s="6">
        <v>0.0</v>
      </c>
      <c r="U149" s="6">
        <v>0.0</v>
      </c>
    </row>
    <row r="150">
      <c r="A150" s="6" t="s">
        <v>2392</v>
      </c>
      <c r="E150" s="6" t="s">
        <v>2392</v>
      </c>
      <c r="N150" s="668"/>
    </row>
    <row r="151">
      <c r="A151" s="6" t="s">
        <v>274</v>
      </c>
      <c r="B151" s="6" t="s">
        <v>11630</v>
      </c>
      <c r="C151" s="6" t="s">
        <v>11570</v>
      </c>
      <c r="D151" s="6" t="s">
        <v>22</v>
      </c>
      <c r="E151" s="6" t="s">
        <v>275</v>
      </c>
      <c r="F151" s="6" t="s">
        <v>97</v>
      </c>
      <c r="G151" s="6" t="s">
        <v>2939</v>
      </c>
      <c r="H151" s="6">
        <v>0.0</v>
      </c>
      <c r="I151" s="6">
        <v>0.0</v>
      </c>
      <c r="J151" s="6" t="s">
        <v>11590</v>
      </c>
      <c r="K151" s="6" t="s">
        <v>11590</v>
      </c>
      <c r="L151" s="6">
        <v>3.0</v>
      </c>
      <c r="M151" s="6" t="s">
        <v>11590</v>
      </c>
      <c r="N151" s="669">
        <v>855000.0</v>
      </c>
      <c r="O151" s="6" t="s">
        <v>11590</v>
      </c>
      <c r="P151" s="6">
        <v>0.0</v>
      </c>
      <c r="Q151" s="6">
        <v>0.0</v>
      </c>
      <c r="R151" s="6">
        <v>0.0</v>
      </c>
      <c r="S151" s="6">
        <v>0.0</v>
      </c>
      <c r="T151" s="6">
        <v>0.0</v>
      </c>
      <c r="U151" s="6" t="s">
        <v>11590</v>
      </c>
    </row>
    <row r="152">
      <c r="A152" s="6" t="s">
        <v>2023</v>
      </c>
      <c r="B152" s="6" t="s">
        <v>11653</v>
      </c>
      <c r="C152" s="6" t="s">
        <v>11579</v>
      </c>
      <c r="D152" s="6" t="s">
        <v>41</v>
      </c>
      <c r="E152" s="6" t="s">
        <v>2024</v>
      </c>
      <c r="F152" s="6" t="s">
        <v>97</v>
      </c>
      <c r="G152" s="6" t="s">
        <v>2939</v>
      </c>
      <c r="H152" s="6">
        <v>0.0</v>
      </c>
      <c r="I152" s="6">
        <v>0.0</v>
      </c>
      <c r="J152" s="6">
        <v>0.0</v>
      </c>
      <c r="K152" s="6">
        <v>0.0</v>
      </c>
      <c r="L152" s="6">
        <v>6.0</v>
      </c>
      <c r="M152" s="6" t="s">
        <v>11590</v>
      </c>
      <c r="N152" s="669">
        <v>462000.0</v>
      </c>
      <c r="O152" s="6" t="s">
        <v>11590</v>
      </c>
      <c r="P152" s="6">
        <v>10.0</v>
      </c>
      <c r="Q152" s="6">
        <v>0.0</v>
      </c>
      <c r="R152" s="6">
        <v>0.0</v>
      </c>
      <c r="S152" s="6">
        <v>0.0</v>
      </c>
      <c r="T152" s="6">
        <v>0.0</v>
      </c>
      <c r="U152" s="6">
        <v>0.0</v>
      </c>
    </row>
    <row r="153">
      <c r="A153" s="6" t="s">
        <v>1379</v>
      </c>
      <c r="B153" s="6" t="s">
        <v>11654</v>
      </c>
      <c r="C153" s="6" t="s">
        <v>11570</v>
      </c>
      <c r="D153" s="6" t="s">
        <v>22</v>
      </c>
      <c r="E153" s="6" t="s">
        <v>277</v>
      </c>
      <c r="F153" s="6" t="s">
        <v>125</v>
      </c>
      <c r="G153" s="6" t="s">
        <v>2939</v>
      </c>
      <c r="H153" s="6">
        <v>0.0</v>
      </c>
      <c r="I153" s="6">
        <v>0.0</v>
      </c>
      <c r="J153" s="6" t="s">
        <v>11590</v>
      </c>
      <c r="K153" s="6">
        <v>0.0</v>
      </c>
      <c r="L153" s="6">
        <v>7.0</v>
      </c>
      <c r="M153" s="6">
        <v>0.0</v>
      </c>
      <c r="N153" s="669">
        <v>1319000.0</v>
      </c>
      <c r="O153" s="6">
        <v>0.0</v>
      </c>
      <c r="P153" s="6">
        <v>0.0</v>
      </c>
      <c r="Q153" s="6">
        <v>0.0</v>
      </c>
      <c r="R153" s="6">
        <v>0.0</v>
      </c>
      <c r="S153" s="6">
        <v>0.0</v>
      </c>
      <c r="T153" s="6">
        <v>0.0</v>
      </c>
      <c r="U153" s="6">
        <v>0.0</v>
      </c>
    </row>
    <row r="154">
      <c r="A154" s="6" t="s">
        <v>276</v>
      </c>
      <c r="B154" s="6" t="s">
        <v>11576</v>
      </c>
      <c r="C154" s="6" t="s">
        <v>11579</v>
      </c>
      <c r="D154" s="6" t="s">
        <v>41</v>
      </c>
      <c r="E154" s="6" t="s">
        <v>277</v>
      </c>
      <c r="F154" s="6" t="s">
        <v>2193</v>
      </c>
      <c r="G154" s="6" t="s">
        <v>2939</v>
      </c>
      <c r="H154" s="6">
        <v>0.0</v>
      </c>
      <c r="I154" s="6">
        <v>0.0</v>
      </c>
      <c r="J154" s="6">
        <v>10.0</v>
      </c>
      <c r="K154" s="6">
        <v>3.0</v>
      </c>
      <c r="L154" s="6">
        <v>0.0</v>
      </c>
      <c r="M154" s="6">
        <v>0.0</v>
      </c>
      <c r="N154" s="669">
        <v>922000.0</v>
      </c>
      <c r="O154" s="6">
        <v>0.0</v>
      </c>
      <c r="P154" s="6">
        <v>0.0</v>
      </c>
      <c r="Q154" s="6">
        <v>0.0</v>
      </c>
      <c r="R154" s="6">
        <v>0.0</v>
      </c>
      <c r="S154" s="6">
        <v>5.0</v>
      </c>
      <c r="T154" s="6">
        <v>5.0</v>
      </c>
      <c r="U154" s="6">
        <v>0.0</v>
      </c>
    </row>
    <row r="155">
      <c r="A155" s="6" t="s">
        <v>1594</v>
      </c>
      <c r="B155" s="6" t="s">
        <v>11653</v>
      </c>
      <c r="C155" s="6" t="s">
        <v>11570</v>
      </c>
      <c r="D155" s="6" t="s">
        <v>22</v>
      </c>
      <c r="E155" s="6" t="s">
        <v>1444</v>
      </c>
      <c r="F155" s="6" t="s">
        <v>125</v>
      </c>
      <c r="G155" s="6" t="s">
        <v>2939</v>
      </c>
      <c r="H155" s="6">
        <v>0.0</v>
      </c>
      <c r="I155" s="6">
        <v>0.0</v>
      </c>
      <c r="J155" s="6">
        <v>0.0</v>
      </c>
      <c r="K155" s="6">
        <v>0.0</v>
      </c>
      <c r="L155" s="6" t="s">
        <v>11590</v>
      </c>
      <c r="M155" s="6">
        <v>3.0</v>
      </c>
      <c r="N155" s="669">
        <v>1439000.0</v>
      </c>
      <c r="O155" s="6">
        <v>10.0</v>
      </c>
      <c r="P155" s="6">
        <v>10.0</v>
      </c>
      <c r="Q155" s="6">
        <v>0.0</v>
      </c>
      <c r="R155" s="6">
        <v>0.0</v>
      </c>
      <c r="S155" s="6">
        <v>0.0</v>
      </c>
      <c r="T155" s="6">
        <v>0.0</v>
      </c>
      <c r="U155" s="6">
        <v>0.0</v>
      </c>
    </row>
    <row r="156">
      <c r="A156" s="6" t="s">
        <v>1443</v>
      </c>
      <c r="B156" s="6" t="s">
        <v>11569</v>
      </c>
      <c r="C156" s="6" t="s">
        <v>11579</v>
      </c>
      <c r="D156" s="6" t="s">
        <v>41</v>
      </c>
      <c r="E156" s="6" t="s">
        <v>1444</v>
      </c>
      <c r="F156" s="6" t="s">
        <v>11582</v>
      </c>
      <c r="G156" s="6" t="s">
        <v>2939</v>
      </c>
      <c r="H156" s="6">
        <v>0.0</v>
      </c>
      <c r="I156" s="6">
        <v>0.0</v>
      </c>
      <c r="J156" s="6">
        <v>0.0</v>
      </c>
      <c r="K156" s="6">
        <v>1.0</v>
      </c>
      <c r="L156" s="6">
        <v>0.0</v>
      </c>
      <c r="M156" s="6">
        <v>0.0</v>
      </c>
      <c r="N156" s="669">
        <v>829000.0</v>
      </c>
      <c r="O156" s="6">
        <v>0.0</v>
      </c>
      <c r="P156" s="6">
        <v>0.0</v>
      </c>
      <c r="Q156" s="6">
        <v>0.0</v>
      </c>
      <c r="R156" s="6">
        <v>0.0</v>
      </c>
      <c r="S156" s="6" t="s">
        <v>11590</v>
      </c>
      <c r="T156" s="6">
        <v>10.0</v>
      </c>
      <c r="U156" s="6">
        <v>0.0</v>
      </c>
    </row>
    <row r="157">
      <c r="A157" s="6" t="s">
        <v>11655</v>
      </c>
      <c r="B157" s="6" t="s">
        <v>11569</v>
      </c>
      <c r="C157" s="6" t="s">
        <v>11570</v>
      </c>
      <c r="D157" s="6" t="s">
        <v>22</v>
      </c>
      <c r="E157" s="6" t="s">
        <v>2146</v>
      </c>
      <c r="F157" s="6" t="s">
        <v>97</v>
      </c>
      <c r="G157" s="6" t="s">
        <v>2939</v>
      </c>
      <c r="H157" s="6">
        <v>0.0</v>
      </c>
      <c r="I157" s="6">
        <v>0.0</v>
      </c>
      <c r="J157" s="6">
        <v>4.0</v>
      </c>
      <c r="K157" s="6">
        <v>2.0</v>
      </c>
      <c r="L157" s="6">
        <v>0.0</v>
      </c>
      <c r="M157" s="6">
        <v>0.0</v>
      </c>
      <c r="N157" s="669">
        <v>1450000.0</v>
      </c>
      <c r="O157" s="6">
        <v>0.0</v>
      </c>
      <c r="P157" s="6">
        <v>0.0</v>
      </c>
      <c r="Q157" s="6">
        <v>0.0</v>
      </c>
      <c r="R157" s="6">
        <v>0.0</v>
      </c>
      <c r="S157" s="6">
        <v>5.0</v>
      </c>
      <c r="T157" s="6">
        <v>0.0</v>
      </c>
      <c r="U157" s="6">
        <v>0.0</v>
      </c>
    </row>
    <row r="158">
      <c r="A158" s="6" t="s">
        <v>11656</v>
      </c>
      <c r="B158" s="6" t="s">
        <v>11569</v>
      </c>
      <c r="C158" s="6" t="s">
        <v>11579</v>
      </c>
      <c r="D158" s="6" t="s">
        <v>41</v>
      </c>
      <c r="E158" s="6" t="s">
        <v>2146</v>
      </c>
      <c r="F158" s="6" t="s">
        <v>2193</v>
      </c>
      <c r="G158" s="6" t="s">
        <v>2939</v>
      </c>
      <c r="H158" s="6">
        <v>0.0</v>
      </c>
      <c r="I158" s="6">
        <v>0.0</v>
      </c>
      <c r="J158" s="6">
        <v>2.0</v>
      </c>
      <c r="K158" s="6">
        <v>0.0</v>
      </c>
      <c r="L158" s="6">
        <v>0.0</v>
      </c>
      <c r="M158" s="6">
        <v>0.0</v>
      </c>
      <c r="N158" s="669">
        <v>900000.0</v>
      </c>
      <c r="O158" s="6">
        <v>0.0</v>
      </c>
      <c r="P158" s="6">
        <v>0.0</v>
      </c>
      <c r="Q158" s="6">
        <v>0.0</v>
      </c>
      <c r="R158" s="6">
        <v>0.0</v>
      </c>
      <c r="S158" s="6">
        <v>0.0</v>
      </c>
      <c r="T158" s="6">
        <v>0.0</v>
      </c>
      <c r="U158" s="6">
        <v>0.0</v>
      </c>
    </row>
    <row r="159">
      <c r="A159" s="6" t="s">
        <v>1760</v>
      </c>
      <c r="B159" s="6" t="s">
        <v>11653</v>
      </c>
      <c r="C159" s="6" t="s">
        <v>11570</v>
      </c>
      <c r="D159" s="6" t="s">
        <v>22</v>
      </c>
      <c r="E159" s="6" t="s">
        <v>1761</v>
      </c>
      <c r="G159" s="6" t="s">
        <v>2939</v>
      </c>
      <c r="H159" s="6">
        <v>0.0</v>
      </c>
      <c r="I159" s="6">
        <v>0.0</v>
      </c>
      <c r="J159" s="6">
        <v>0.0</v>
      </c>
      <c r="K159" s="6">
        <v>0.0</v>
      </c>
      <c r="L159" s="6">
        <v>10.0</v>
      </c>
      <c r="M159" s="6">
        <v>2.0</v>
      </c>
      <c r="N159" s="669">
        <v>1100000.0</v>
      </c>
      <c r="O159" s="6">
        <v>10.0</v>
      </c>
      <c r="P159" s="6">
        <v>0.0</v>
      </c>
      <c r="Q159" s="6">
        <v>0.0</v>
      </c>
      <c r="R159" s="6">
        <v>0.0</v>
      </c>
      <c r="S159" s="6">
        <v>0.0</v>
      </c>
      <c r="T159" s="6">
        <v>0.0</v>
      </c>
      <c r="U159" s="6">
        <v>0.0</v>
      </c>
    </row>
    <row r="160">
      <c r="A160" s="6" t="s">
        <v>2102</v>
      </c>
      <c r="B160" s="6" t="s">
        <v>11569</v>
      </c>
      <c r="C160" s="6" t="s">
        <v>11579</v>
      </c>
      <c r="D160" s="6" t="s">
        <v>41</v>
      </c>
      <c r="E160" s="6" t="s">
        <v>1761</v>
      </c>
      <c r="F160" s="6" t="s">
        <v>97</v>
      </c>
      <c r="G160" s="6" t="s">
        <v>2939</v>
      </c>
      <c r="H160" s="6">
        <v>0.0</v>
      </c>
      <c r="I160" s="6">
        <v>0.0</v>
      </c>
      <c r="J160" s="6">
        <v>1.0</v>
      </c>
      <c r="K160" s="6">
        <v>2.0</v>
      </c>
      <c r="L160" s="6">
        <v>0.0</v>
      </c>
      <c r="M160" s="6">
        <v>0.0</v>
      </c>
      <c r="N160" s="669">
        <v>449000.0</v>
      </c>
      <c r="O160" s="6">
        <v>0.0</v>
      </c>
      <c r="P160" s="6">
        <v>0.0</v>
      </c>
      <c r="Q160" s="6">
        <v>0.0</v>
      </c>
      <c r="R160" s="6">
        <v>0.0</v>
      </c>
      <c r="S160" s="6" t="s">
        <v>11590</v>
      </c>
      <c r="T160" s="6" t="s">
        <v>11590</v>
      </c>
      <c r="U160" s="6">
        <v>0.0</v>
      </c>
    </row>
    <row r="161">
      <c r="A161" s="6" t="s">
        <v>278</v>
      </c>
      <c r="B161" s="6" t="s">
        <v>11576</v>
      </c>
      <c r="C161" s="6" t="s">
        <v>11570</v>
      </c>
      <c r="D161" s="6" t="s">
        <v>22</v>
      </c>
      <c r="E161" s="6" t="s">
        <v>279</v>
      </c>
      <c r="F161" s="6" t="s">
        <v>97</v>
      </c>
      <c r="G161" s="6" t="s">
        <v>2939</v>
      </c>
      <c r="H161" s="6">
        <v>0.0</v>
      </c>
      <c r="I161" s="6">
        <v>0.0</v>
      </c>
      <c r="J161" s="6">
        <v>6.0</v>
      </c>
      <c r="K161" s="6">
        <v>0.0</v>
      </c>
      <c r="L161" s="6">
        <v>0.0</v>
      </c>
      <c r="M161" s="6">
        <v>0.0</v>
      </c>
      <c r="N161" s="669">
        <v>2691000.0</v>
      </c>
      <c r="O161" s="6">
        <v>0.0</v>
      </c>
      <c r="P161" s="6">
        <v>0.0</v>
      </c>
      <c r="Q161" s="6">
        <v>0.0</v>
      </c>
      <c r="R161" s="6">
        <v>0.0</v>
      </c>
      <c r="S161" s="6">
        <v>0.0</v>
      </c>
      <c r="T161" s="6">
        <v>0.0</v>
      </c>
      <c r="U161" s="6">
        <v>0.0</v>
      </c>
    </row>
    <row r="162">
      <c r="A162" s="6" t="s">
        <v>11657</v>
      </c>
      <c r="E162" s="6" t="s">
        <v>11657</v>
      </c>
      <c r="N162" s="668"/>
    </row>
    <row r="163">
      <c r="A163" s="6" t="s">
        <v>11658</v>
      </c>
      <c r="B163" s="6" t="s">
        <v>11569</v>
      </c>
      <c r="C163" s="6" t="s">
        <v>11570</v>
      </c>
      <c r="D163" s="6" t="s">
        <v>22</v>
      </c>
      <c r="E163" s="6" t="s">
        <v>11659</v>
      </c>
      <c r="F163" s="6" t="s">
        <v>125</v>
      </c>
      <c r="G163" s="6" t="s">
        <v>2939</v>
      </c>
      <c r="H163" s="6">
        <v>0.0</v>
      </c>
      <c r="I163" s="6">
        <v>0.0</v>
      </c>
      <c r="J163" s="6">
        <v>2.0</v>
      </c>
      <c r="K163" s="6">
        <v>1.0</v>
      </c>
      <c r="L163" s="6">
        <v>0.0</v>
      </c>
      <c r="M163" s="6">
        <v>0.0</v>
      </c>
      <c r="N163" s="669">
        <v>1750000.0</v>
      </c>
      <c r="O163" s="6">
        <v>0.0</v>
      </c>
      <c r="P163" s="6">
        <v>0.0</v>
      </c>
      <c r="Q163" s="6">
        <v>0.0</v>
      </c>
      <c r="R163" s="6">
        <v>0.0</v>
      </c>
      <c r="S163" s="6">
        <v>0.0</v>
      </c>
      <c r="T163" s="6">
        <v>0.0</v>
      </c>
      <c r="U163" s="6">
        <v>0.0</v>
      </c>
    </row>
    <row r="164">
      <c r="A164" s="6" t="s">
        <v>2454</v>
      </c>
      <c r="B164" s="6" t="s">
        <v>11569</v>
      </c>
      <c r="C164" s="6" t="s">
        <v>11570</v>
      </c>
      <c r="D164" s="6" t="s">
        <v>22</v>
      </c>
      <c r="E164" s="6" t="s">
        <v>2455</v>
      </c>
      <c r="F164" s="6" t="s">
        <v>97</v>
      </c>
      <c r="G164" s="6" t="s">
        <v>11553</v>
      </c>
      <c r="H164" s="6">
        <v>0.0</v>
      </c>
      <c r="I164" s="6">
        <v>0.0</v>
      </c>
      <c r="J164" s="6">
        <v>9.0</v>
      </c>
      <c r="K164" s="6">
        <v>0.0</v>
      </c>
      <c r="L164" s="6">
        <v>0.0</v>
      </c>
      <c r="M164" s="6">
        <v>0.0</v>
      </c>
      <c r="N164" s="669">
        <v>1500000.0</v>
      </c>
      <c r="O164" s="6">
        <v>0.0</v>
      </c>
      <c r="P164" s="6">
        <v>0.0</v>
      </c>
      <c r="Q164" s="6">
        <v>0.0</v>
      </c>
      <c r="R164" s="6">
        <v>0.0</v>
      </c>
      <c r="S164" s="6" t="s">
        <v>11590</v>
      </c>
      <c r="T164" s="6">
        <v>0.0</v>
      </c>
      <c r="U164" s="6">
        <v>0.0</v>
      </c>
    </row>
    <row r="165">
      <c r="A165" s="6" t="s">
        <v>11660</v>
      </c>
      <c r="E165" s="6" t="s">
        <v>11660</v>
      </c>
      <c r="N165" s="668"/>
    </row>
    <row r="166">
      <c r="A166" s="6" t="s">
        <v>280</v>
      </c>
      <c r="B166" s="6" t="s">
        <v>11578</v>
      </c>
      <c r="C166" s="6" t="s">
        <v>11570</v>
      </c>
      <c r="D166" s="6" t="s">
        <v>22</v>
      </c>
      <c r="E166" s="6" t="s">
        <v>281</v>
      </c>
      <c r="F166" s="6" t="s">
        <v>125</v>
      </c>
      <c r="G166" s="6" t="s">
        <v>2939</v>
      </c>
      <c r="H166" s="6">
        <v>2.0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69">
        <v>5880000.0</v>
      </c>
      <c r="O166" s="6">
        <v>0.0</v>
      </c>
      <c r="P166" s="6">
        <v>0.0</v>
      </c>
      <c r="Q166" s="6">
        <v>0.0</v>
      </c>
      <c r="R166" s="6">
        <v>0.0</v>
      </c>
      <c r="S166" s="6">
        <v>0.0</v>
      </c>
      <c r="T166" s="6">
        <v>0.0</v>
      </c>
      <c r="U166" s="6">
        <v>0.0</v>
      </c>
    </row>
    <row r="167">
      <c r="A167" s="6" t="s">
        <v>282</v>
      </c>
      <c r="B167" s="6" t="s">
        <v>11576</v>
      </c>
      <c r="C167" s="6" t="s">
        <v>11579</v>
      </c>
      <c r="D167" s="6" t="s">
        <v>41</v>
      </c>
      <c r="E167" s="6" t="s">
        <v>281</v>
      </c>
      <c r="F167" s="6" t="s">
        <v>2193</v>
      </c>
      <c r="G167" s="6" t="s">
        <v>2939</v>
      </c>
      <c r="H167" s="6">
        <v>0.0</v>
      </c>
      <c r="I167" s="6">
        <v>0.0</v>
      </c>
      <c r="J167" s="6">
        <v>4.0</v>
      </c>
      <c r="K167" s="6">
        <v>0.0</v>
      </c>
      <c r="L167" s="6">
        <v>0.0</v>
      </c>
      <c r="M167" s="6">
        <v>0.0</v>
      </c>
      <c r="N167" s="669">
        <v>4336000.0</v>
      </c>
      <c r="O167" s="6">
        <v>0.0</v>
      </c>
      <c r="P167" s="6">
        <v>0.0</v>
      </c>
      <c r="Q167" s="6">
        <v>0.0</v>
      </c>
      <c r="R167" s="6">
        <v>0.0</v>
      </c>
      <c r="S167" s="6">
        <v>0.0</v>
      </c>
      <c r="T167" s="6">
        <v>0.0</v>
      </c>
      <c r="U167" s="6">
        <v>0.0</v>
      </c>
    </row>
    <row r="168">
      <c r="A168" s="6" t="s">
        <v>11661</v>
      </c>
      <c r="B168" s="6" t="s">
        <v>11569</v>
      </c>
      <c r="C168" s="6" t="s">
        <v>11591</v>
      </c>
      <c r="D168" s="6" t="s">
        <v>128</v>
      </c>
      <c r="E168" s="6" t="s">
        <v>281</v>
      </c>
      <c r="G168" s="6" t="s">
        <v>2939</v>
      </c>
      <c r="H168" s="6">
        <v>0.0</v>
      </c>
      <c r="I168" s="6">
        <v>0.0</v>
      </c>
      <c r="J168" s="6">
        <v>3.0</v>
      </c>
      <c r="K168" s="6">
        <v>0.0</v>
      </c>
      <c r="L168" s="6">
        <v>0.0</v>
      </c>
      <c r="M168" s="6">
        <v>0.0</v>
      </c>
      <c r="N168" s="669">
        <v>1100000.0</v>
      </c>
      <c r="O168" s="6">
        <v>0.0</v>
      </c>
      <c r="P168" s="6">
        <v>0.0</v>
      </c>
      <c r="Q168" s="6">
        <v>0.0</v>
      </c>
      <c r="R168" s="6">
        <v>0.0</v>
      </c>
      <c r="S168" s="6">
        <v>0.0</v>
      </c>
      <c r="T168" s="6">
        <v>0.0</v>
      </c>
      <c r="U168" s="6">
        <v>0.0</v>
      </c>
    </row>
    <row r="169">
      <c r="A169" s="6" t="s">
        <v>11662</v>
      </c>
      <c r="B169" s="6" t="s">
        <v>11569</v>
      </c>
      <c r="C169" s="6" t="s">
        <v>11591</v>
      </c>
      <c r="D169" s="6" t="s">
        <v>134</v>
      </c>
      <c r="E169" s="6" t="s">
        <v>281</v>
      </c>
      <c r="G169" s="6" t="s">
        <v>2939</v>
      </c>
      <c r="H169" s="6">
        <v>0.0</v>
      </c>
      <c r="I169" s="6">
        <v>0.0</v>
      </c>
      <c r="J169" s="6">
        <v>2.0</v>
      </c>
      <c r="K169" s="6">
        <v>0.0</v>
      </c>
      <c r="L169" s="6">
        <v>0.0</v>
      </c>
      <c r="M169" s="6">
        <v>0.0</v>
      </c>
      <c r="N169" s="669">
        <v>1100000.0</v>
      </c>
      <c r="O169" s="6">
        <v>0.0</v>
      </c>
      <c r="P169" s="6">
        <v>0.0</v>
      </c>
      <c r="Q169" s="6">
        <v>0.0</v>
      </c>
      <c r="R169" s="6">
        <v>0.0</v>
      </c>
      <c r="S169" s="6">
        <v>0.0</v>
      </c>
      <c r="T169" s="6">
        <v>0.0</v>
      </c>
      <c r="U169" s="6">
        <v>0.0</v>
      </c>
    </row>
    <row r="170">
      <c r="A170" s="6" t="s">
        <v>11663</v>
      </c>
      <c r="E170" s="6" t="s">
        <v>11663</v>
      </c>
      <c r="N170" s="668"/>
    </row>
    <row r="171">
      <c r="A171" s="6" t="s">
        <v>11664</v>
      </c>
      <c r="B171" s="6" t="s">
        <v>11569</v>
      </c>
      <c r="C171" s="6" t="s">
        <v>11570</v>
      </c>
      <c r="D171" s="6" t="s">
        <v>22</v>
      </c>
      <c r="E171" s="6" t="s">
        <v>11665</v>
      </c>
      <c r="F171" s="6" t="s">
        <v>737</v>
      </c>
      <c r="G171" s="6" t="s">
        <v>2939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69">
        <v>6000000.0</v>
      </c>
      <c r="O171" s="6">
        <v>0.0</v>
      </c>
      <c r="P171" s="6">
        <v>0.0</v>
      </c>
      <c r="Q171" s="6">
        <v>0.0</v>
      </c>
      <c r="R171" s="6">
        <v>0.0</v>
      </c>
      <c r="S171" s="6">
        <v>0.0</v>
      </c>
      <c r="T171" s="6">
        <v>0.0</v>
      </c>
      <c r="U171" s="6">
        <v>0.0</v>
      </c>
    </row>
    <row r="172">
      <c r="A172" s="6" t="s">
        <v>11666</v>
      </c>
      <c r="E172" s="6" t="s">
        <v>11666</v>
      </c>
      <c r="N172" s="668"/>
    </row>
    <row r="173">
      <c r="A173" s="6" t="s">
        <v>283</v>
      </c>
      <c r="B173" s="6" t="s">
        <v>11576</v>
      </c>
      <c r="C173" s="6" t="s">
        <v>11570</v>
      </c>
      <c r="D173" s="6" t="s">
        <v>22</v>
      </c>
      <c r="E173" s="6" t="s">
        <v>11667</v>
      </c>
      <c r="F173" s="6" t="s">
        <v>125</v>
      </c>
      <c r="G173" s="6" t="s">
        <v>2939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69">
        <v>2175000.0</v>
      </c>
      <c r="O173" s="6">
        <v>0.0</v>
      </c>
      <c r="P173" s="6">
        <v>0.0</v>
      </c>
      <c r="Q173" s="6">
        <v>0.0</v>
      </c>
      <c r="R173" s="6">
        <v>0.0</v>
      </c>
      <c r="S173" s="6">
        <v>8.0</v>
      </c>
      <c r="T173" s="6">
        <v>0.0</v>
      </c>
      <c r="U173" s="6">
        <v>0.0</v>
      </c>
    </row>
    <row r="174">
      <c r="A174" s="6" t="s">
        <v>285</v>
      </c>
      <c r="B174" s="6" t="s">
        <v>11576</v>
      </c>
      <c r="C174" s="6" t="s">
        <v>11570</v>
      </c>
      <c r="D174" s="6" t="s">
        <v>22</v>
      </c>
      <c r="E174" s="6" t="s">
        <v>11667</v>
      </c>
      <c r="F174" s="6" t="s">
        <v>75</v>
      </c>
      <c r="G174" s="6" t="s">
        <v>2939</v>
      </c>
      <c r="H174" s="6">
        <v>0.0</v>
      </c>
      <c r="I174" s="6">
        <v>0.0</v>
      </c>
      <c r="J174" s="6" t="s">
        <v>11590</v>
      </c>
      <c r="K174" s="6">
        <v>0.0</v>
      </c>
      <c r="L174" s="6">
        <v>0.0</v>
      </c>
      <c r="M174" s="6">
        <v>0.0</v>
      </c>
      <c r="N174" s="669">
        <v>2175000.0</v>
      </c>
      <c r="O174" s="6">
        <v>0.0</v>
      </c>
      <c r="P174" s="6">
        <v>0.0</v>
      </c>
      <c r="Q174" s="6">
        <v>0.0</v>
      </c>
      <c r="R174" s="6">
        <v>0.0</v>
      </c>
      <c r="S174" s="6">
        <v>0.0</v>
      </c>
      <c r="T174" s="6">
        <v>0.0</v>
      </c>
      <c r="U174" s="6">
        <v>0.0</v>
      </c>
    </row>
    <row r="175">
      <c r="A175" s="6" t="s">
        <v>286</v>
      </c>
      <c r="B175" s="6" t="s">
        <v>11576</v>
      </c>
      <c r="C175" s="6" t="s">
        <v>11579</v>
      </c>
      <c r="D175" s="6" t="s">
        <v>41</v>
      </c>
      <c r="E175" s="6" t="s">
        <v>11667</v>
      </c>
      <c r="F175" s="6" t="s">
        <v>1377</v>
      </c>
      <c r="G175" s="6" t="s">
        <v>2939</v>
      </c>
      <c r="H175" s="6">
        <v>0.0</v>
      </c>
      <c r="I175" s="6">
        <v>0.0</v>
      </c>
      <c r="J175" s="6">
        <v>1.0</v>
      </c>
      <c r="K175" s="6">
        <v>0.0</v>
      </c>
      <c r="L175" s="6">
        <v>0.0</v>
      </c>
      <c r="M175" s="6">
        <v>0.0</v>
      </c>
      <c r="N175" s="669">
        <v>1939000.0</v>
      </c>
      <c r="O175" s="6">
        <v>0.0</v>
      </c>
      <c r="P175" s="6">
        <v>0.0</v>
      </c>
      <c r="Q175" s="6">
        <v>0.0</v>
      </c>
      <c r="R175" s="6">
        <v>0.0</v>
      </c>
      <c r="S175" s="6">
        <v>5.0</v>
      </c>
      <c r="T175" s="6">
        <v>0.0</v>
      </c>
      <c r="U175" s="6">
        <v>0.0</v>
      </c>
    </row>
    <row r="176">
      <c r="A176" s="6" t="s">
        <v>287</v>
      </c>
      <c r="B176" s="6" t="s">
        <v>11576</v>
      </c>
      <c r="C176" s="6" t="s">
        <v>11591</v>
      </c>
      <c r="D176" s="6" t="s">
        <v>128</v>
      </c>
      <c r="E176" s="6" t="s">
        <v>11667</v>
      </c>
      <c r="G176" s="6" t="s">
        <v>2939</v>
      </c>
      <c r="H176" s="6">
        <v>0.0</v>
      </c>
      <c r="I176" s="6">
        <v>0.0</v>
      </c>
      <c r="J176" s="6">
        <v>1.0</v>
      </c>
      <c r="K176" s="6">
        <v>0.0</v>
      </c>
      <c r="L176" s="6">
        <v>0.0</v>
      </c>
      <c r="M176" s="6">
        <v>0.0</v>
      </c>
      <c r="N176" s="669">
        <v>725000.0</v>
      </c>
      <c r="O176" s="6">
        <v>0.0</v>
      </c>
      <c r="P176" s="6">
        <v>0.0</v>
      </c>
      <c r="Q176" s="6">
        <v>0.0</v>
      </c>
      <c r="R176" s="6">
        <v>0.0</v>
      </c>
      <c r="S176" s="6">
        <v>0.0</v>
      </c>
      <c r="T176" s="6">
        <v>0.0</v>
      </c>
      <c r="U176" s="6">
        <v>5.0</v>
      </c>
    </row>
    <row r="177">
      <c r="A177" s="6" t="s">
        <v>288</v>
      </c>
      <c r="B177" s="6" t="s">
        <v>11576</v>
      </c>
      <c r="C177" s="6" t="s">
        <v>11591</v>
      </c>
      <c r="D177" s="6" t="s">
        <v>130</v>
      </c>
      <c r="E177" s="6" t="s">
        <v>11667</v>
      </c>
      <c r="G177" s="6" t="s">
        <v>2939</v>
      </c>
      <c r="H177" s="6">
        <v>0.0</v>
      </c>
      <c r="I177" s="6">
        <v>0.0</v>
      </c>
      <c r="J177" s="6">
        <v>2.0</v>
      </c>
      <c r="K177" s="6">
        <v>0.0</v>
      </c>
      <c r="L177" s="6">
        <v>0.0</v>
      </c>
      <c r="M177" s="6">
        <v>0.0</v>
      </c>
      <c r="N177" s="669">
        <v>725000.0</v>
      </c>
      <c r="O177" s="6">
        <v>0.0</v>
      </c>
      <c r="P177" s="6">
        <v>0.0</v>
      </c>
      <c r="Q177" s="6">
        <v>0.0</v>
      </c>
      <c r="R177" s="6">
        <v>0.0</v>
      </c>
      <c r="S177" s="6">
        <v>0.0</v>
      </c>
      <c r="T177" s="6">
        <v>0.0</v>
      </c>
      <c r="U177" s="6">
        <v>0.0</v>
      </c>
    </row>
    <row r="178">
      <c r="A178" s="6" t="s">
        <v>289</v>
      </c>
      <c r="B178" s="6" t="s">
        <v>11576</v>
      </c>
      <c r="C178" s="6" t="s">
        <v>11591</v>
      </c>
      <c r="D178" s="6" t="s">
        <v>132</v>
      </c>
      <c r="E178" s="6" t="s">
        <v>11667</v>
      </c>
      <c r="F178" s="6" t="s">
        <v>144</v>
      </c>
      <c r="G178" s="6" t="s">
        <v>2939</v>
      </c>
      <c r="H178" s="6">
        <v>1.0</v>
      </c>
      <c r="I178" s="6">
        <v>0.0</v>
      </c>
      <c r="J178" s="6">
        <v>4.0</v>
      </c>
      <c r="K178" s="6">
        <v>0.0</v>
      </c>
      <c r="L178" s="6">
        <v>0.0</v>
      </c>
      <c r="M178" s="6">
        <v>0.0</v>
      </c>
      <c r="N178" s="669">
        <v>725000.0</v>
      </c>
      <c r="O178" s="6">
        <v>0.0</v>
      </c>
      <c r="P178" s="6">
        <v>0.0</v>
      </c>
      <c r="Q178" s="6">
        <v>0.0</v>
      </c>
      <c r="R178" s="6">
        <v>0.0</v>
      </c>
      <c r="S178" s="6">
        <v>0.0</v>
      </c>
      <c r="T178" s="6">
        <v>0.0</v>
      </c>
      <c r="U178" s="6">
        <v>0.0</v>
      </c>
    </row>
    <row r="179">
      <c r="A179" s="6" t="s">
        <v>290</v>
      </c>
      <c r="B179" s="6" t="s">
        <v>11576</v>
      </c>
      <c r="C179" s="6" t="s">
        <v>11591</v>
      </c>
      <c r="D179" s="6" t="s">
        <v>134</v>
      </c>
      <c r="E179" s="6" t="s">
        <v>11667</v>
      </c>
      <c r="F179" s="6" t="s">
        <v>144</v>
      </c>
      <c r="G179" s="6" t="s">
        <v>2939</v>
      </c>
      <c r="H179" s="6">
        <v>0.0</v>
      </c>
      <c r="I179" s="6">
        <v>0.0</v>
      </c>
      <c r="J179" s="6">
        <v>2.0</v>
      </c>
      <c r="K179" s="6">
        <v>0.0</v>
      </c>
      <c r="L179" s="6">
        <v>0.0</v>
      </c>
      <c r="M179" s="6">
        <v>0.0</v>
      </c>
      <c r="N179" s="669">
        <v>725000.0</v>
      </c>
      <c r="O179" s="6">
        <v>0.0</v>
      </c>
      <c r="P179" s="6">
        <v>0.0</v>
      </c>
      <c r="Q179" s="6">
        <v>0.0</v>
      </c>
      <c r="R179" s="6">
        <v>0.0</v>
      </c>
      <c r="S179" s="6">
        <v>0.0</v>
      </c>
      <c r="T179" s="6">
        <v>0.0</v>
      </c>
      <c r="U179" s="6">
        <v>0.0</v>
      </c>
    </row>
    <row r="180">
      <c r="A180" s="6" t="s">
        <v>291</v>
      </c>
      <c r="B180" s="6" t="s">
        <v>11576</v>
      </c>
      <c r="C180" s="6" t="s">
        <v>11570</v>
      </c>
      <c r="D180" s="6" t="s">
        <v>22</v>
      </c>
      <c r="E180" s="6" t="s">
        <v>11668</v>
      </c>
      <c r="F180" s="6" t="s">
        <v>125</v>
      </c>
      <c r="G180" s="6" t="s">
        <v>2939</v>
      </c>
      <c r="H180" s="6">
        <v>0.0</v>
      </c>
      <c r="I180" s="6">
        <v>0.0</v>
      </c>
      <c r="J180" s="6" t="s">
        <v>11590</v>
      </c>
      <c r="K180" s="6">
        <v>0.0</v>
      </c>
      <c r="L180" s="6">
        <v>0.0</v>
      </c>
      <c r="M180" s="6">
        <v>0.0</v>
      </c>
      <c r="N180" s="669">
        <v>1682000.0</v>
      </c>
      <c r="O180" s="6">
        <v>0.0</v>
      </c>
      <c r="P180" s="6">
        <v>0.0</v>
      </c>
      <c r="Q180" s="6">
        <v>0.0</v>
      </c>
      <c r="R180" s="6">
        <v>0.0</v>
      </c>
      <c r="S180" s="6">
        <v>0.0</v>
      </c>
      <c r="T180" s="6">
        <v>0.0</v>
      </c>
      <c r="U180" s="6">
        <v>0.0</v>
      </c>
    </row>
    <row r="181">
      <c r="A181" s="6" t="s">
        <v>293</v>
      </c>
      <c r="B181" s="6" t="s">
        <v>11576</v>
      </c>
      <c r="C181" s="6" t="s">
        <v>11579</v>
      </c>
      <c r="D181" s="6" t="s">
        <v>41</v>
      </c>
      <c r="E181" s="6" t="s">
        <v>292</v>
      </c>
      <c r="F181" s="6" t="s">
        <v>11641</v>
      </c>
      <c r="G181" s="6" t="s">
        <v>2939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69">
        <v>2180000.0</v>
      </c>
      <c r="O181" s="6">
        <v>0.0</v>
      </c>
      <c r="P181" s="6">
        <v>0.0</v>
      </c>
      <c r="Q181" s="6">
        <v>0.0</v>
      </c>
      <c r="R181" s="6">
        <v>0.0</v>
      </c>
      <c r="S181" s="6">
        <v>5.0</v>
      </c>
      <c r="T181" s="6">
        <v>0.0</v>
      </c>
      <c r="U181" s="6">
        <v>0.0</v>
      </c>
    </row>
    <row r="182">
      <c r="A182" s="6" t="s">
        <v>294</v>
      </c>
      <c r="B182" s="6" t="s">
        <v>11654</v>
      </c>
      <c r="C182" s="6" t="s">
        <v>11570</v>
      </c>
      <c r="D182" s="6" t="s">
        <v>22</v>
      </c>
      <c r="E182" s="6" t="s">
        <v>295</v>
      </c>
      <c r="F182" s="6" t="s">
        <v>97</v>
      </c>
      <c r="G182" s="6" t="s">
        <v>2939</v>
      </c>
      <c r="H182" s="6">
        <v>0.0</v>
      </c>
      <c r="I182" s="6">
        <v>0.0</v>
      </c>
      <c r="J182" s="6">
        <v>0.0</v>
      </c>
      <c r="K182" s="6">
        <v>0.0</v>
      </c>
      <c r="L182" s="6">
        <v>4.0</v>
      </c>
      <c r="M182" s="6">
        <v>10.0</v>
      </c>
      <c r="N182" s="669">
        <v>1111000.0</v>
      </c>
      <c r="O182" s="6" t="s">
        <v>11590</v>
      </c>
      <c r="P182" s="6" t="s">
        <v>11590</v>
      </c>
      <c r="Q182" s="6">
        <v>0.0</v>
      </c>
      <c r="R182" s="6">
        <v>0.0</v>
      </c>
      <c r="S182" s="6" t="s">
        <v>11590</v>
      </c>
      <c r="T182" s="6" t="s">
        <v>11590</v>
      </c>
      <c r="U182" s="6">
        <v>0.0</v>
      </c>
    </row>
    <row r="183">
      <c r="A183" s="6" t="s">
        <v>296</v>
      </c>
      <c r="B183" s="6" t="s">
        <v>11576</v>
      </c>
      <c r="C183" s="6" t="s">
        <v>11579</v>
      </c>
      <c r="D183" s="6" t="s">
        <v>41</v>
      </c>
      <c r="E183" s="6" t="s">
        <v>11669</v>
      </c>
      <c r="F183" s="6" t="s">
        <v>2193</v>
      </c>
      <c r="G183" s="6" t="s">
        <v>2939</v>
      </c>
      <c r="H183" s="6">
        <v>0.0</v>
      </c>
      <c r="I183" s="6">
        <v>0.0</v>
      </c>
      <c r="J183" s="6">
        <v>1.0</v>
      </c>
      <c r="K183" s="6">
        <v>0.0</v>
      </c>
      <c r="L183" s="6">
        <v>0.0</v>
      </c>
      <c r="M183" s="6">
        <v>0.0</v>
      </c>
      <c r="N183" s="669">
        <v>1928000.0</v>
      </c>
      <c r="O183" s="6">
        <v>0.0</v>
      </c>
      <c r="P183" s="6">
        <v>0.0</v>
      </c>
      <c r="Q183" s="6">
        <v>0.0</v>
      </c>
      <c r="R183" s="6">
        <v>0.0</v>
      </c>
      <c r="S183" s="6" t="s">
        <v>11590</v>
      </c>
      <c r="T183" s="6">
        <v>10.0</v>
      </c>
      <c r="U183" s="6">
        <v>0.0</v>
      </c>
    </row>
    <row r="184">
      <c r="A184" s="6" t="s">
        <v>11670</v>
      </c>
      <c r="B184" s="6" t="s">
        <v>11569</v>
      </c>
      <c r="C184" s="6" t="s">
        <v>11570</v>
      </c>
      <c r="D184" s="6" t="s">
        <v>22</v>
      </c>
      <c r="E184" s="6" t="s">
        <v>11671</v>
      </c>
      <c r="F184" s="6" t="s">
        <v>23</v>
      </c>
      <c r="G184" s="6" t="s">
        <v>2939</v>
      </c>
      <c r="H184" s="6">
        <v>0.0</v>
      </c>
      <c r="I184" s="6">
        <v>0.0</v>
      </c>
      <c r="J184" s="6">
        <v>1.0</v>
      </c>
      <c r="K184" s="6">
        <v>1.0</v>
      </c>
      <c r="L184" s="6">
        <v>0.0</v>
      </c>
      <c r="M184" s="6">
        <v>0.0</v>
      </c>
      <c r="N184" s="669">
        <v>2350000.0</v>
      </c>
      <c r="O184" s="6">
        <v>0.0</v>
      </c>
      <c r="P184" s="6">
        <v>0.0</v>
      </c>
      <c r="Q184" s="6">
        <v>0.0</v>
      </c>
      <c r="R184" s="6">
        <v>0.0</v>
      </c>
      <c r="S184" s="6">
        <v>0.0</v>
      </c>
      <c r="T184" s="6">
        <v>0.0</v>
      </c>
      <c r="U184" s="6">
        <v>0.0</v>
      </c>
    </row>
    <row r="185">
      <c r="A185" s="6" t="s">
        <v>305</v>
      </c>
      <c r="B185" s="6" t="s">
        <v>11576</v>
      </c>
      <c r="C185" s="6" t="s">
        <v>11570</v>
      </c>
      <c r="D185" s="6" t="s">
        <v>22</v>
      </c>
      <c r="E185" s="6" t="s">
        <v>306</v>
      </c>
      <c r="F185" s="6" t="s">
        <v>23</v>
      </c>
      <c r="G185" s="6" t="s">
        <v>2939</v>
      </c>
      <c r="H185" s="6">
        <v>0.0</v>
      </c>
      <c r="I185" s="6">
        <v>0.0</v>
      </c>
      <c r="J185" s="6">
        <v>0.0</v>
      </c>
      <c r="K185" s="6">
        <v>1.0</v>
      </c>
      <c r="L185" s="6">
        <v>0.0</v>
      </c>
      <c r="M185" s="6">
        <v>0.0</v>
      </c>
      <c r="N185" s="669">
        <v>2521000.0</v>
      </c>
      <c r="O185" s="6">
        <v>0.0</v>
      </c>
      <c r="P185" s="6">
        <v>0.0</v>
      </c>
      <c r="Q185" s="6">
        <v>0.0</v>
      </c>
      <c r="R185" s="6">
        <v>0.0</v>
      </c>
      <c r="S185" s="6" t="s">
        <v>11590</v>
      </c>
      <c r="T185" s="6">
        <v>0.0</v>
      </c>
      <c r="U185" s="6">
        <v>0.0</v>
      </c>
    </row>
    <row r="186">
      <c r="A186" s="6" t="s">
        <v>307</v>
      </c>
      <c r="B186" s="6" t="s">
        <v>11576</v>
      </c>
      <c r="C186" s="6" t="s">
        <v>11570</v>
      </c>
      <c r="D186" s="6" t="s">
        <v>22</v>
      </c>
      <c r="E186" s="6" t="s">
        <v>308</v>
      </c>
      <c r="F186" s="6" t="s">
        <v>75</v>
      </c>
      <c r="G186" s="6" t="s">
        <v>2939</v>
      </c>
      <c r="H186" s="6">
        <v>8.0</v>
      </c>
      <c r="I186" s="6">
        <v>0.0</v>
      </c>
      <c r="J186" s="6">
        <v>6.0</v>
      </c>
      <c r="K186" s="6">
        <v>0.0</v>
      </c>
      <c r="L186" s="6">
        <v>0.0</v>
      </c>
      <c r="M186" s="6">
        <v>0.0</v>
      </c>
      <c r="N186" s="669">
        <v>2521000.0</v>
      </c>
      <c r="O186" s="6">
        <v>0.0</v>
      </c>
      <c r="P186" s="6">
        <v>0.0</v>
      </c>
      <c r="Q186" s="6">
        <v>0.0</v>
      </c>
      <c r="R186" s="6">
        <v>0.0</v>
      </c>
      <c r="S186" s="6">
        <v>0.0</v>
      </c>
      <c r="T186" s="6">
        <v>0.0</v>
      </c>
      <c r="U186" s="6">
        <v>0.0</v>
      </c>
    </row>
    <row r="187">
      <c r="A187" s="6" t="s">
        <v>298</v>
      </c>
      <c r="B187" s="6" t="s">
        <v>11630</v>
      </c>
      <c r="C187" s="6" t="s">
        <v>11570</v>
      </c>
      <c r="D187" s="6" t="s">
        <v>22</v>
      </c>
      <c r="E187" s="6" t="s">
        <v>299</v>
      </c>
      <c r="F187" s="6" t="s">
        <v>125</v>
      </c>
      <c r="G187" s="6" t="s">
        <v>2939</v>
      </c>
      <c r="H187" s="6">
        <v>0.0</v>
      </c>
      <c r="I187" s="6">
        <v>0.0</v>
      </c>
      <c r="J187" s="6">
        <v>2.0</v>
      </c>
      <c r="K187" s="6">
        <v>2.0</v>
      </c>
      <c r="L187" s="6">
        <v>0.0</v>
      </c>
      <c r="M187" s="6">
        <v>0.0</v>
      </c>
      <c r="N187" s="669">
        <v>1302000.0</v>
      </c>
      <c r="O187" s="6">
        <v>0.0</v>
      </c>
      <c r="P187" s="6">
        <v>0.0</v>
      </c>
      <c r="Q187" s="6">
        <v>0.0</v>
      </c>
      <c r="R187" s="6">
        <v>0.0</v>
      </c>
      <c r="S187" s="6" t="s">
        <v>11590</v>
      </c>
      <c r="T187" s="6">
        <v>10.0</v>
      </c>
      <c r="U187" s="6">
        <v>0.0</v>
      </c>
    </row>
    <row r="188">
      <c r="A188" s="6" t="s">
        <v>300</v>
      </c>
      <c r="B188" s="6" t="s">
        <v>11576</v>
      </c>
      <c r="C188" s="6" t="s">
        <v>11579</v>
      </c>
      <c r="D188" s="6" t="s">
        <v>41</v>
      </c>
      <c r="E188" s="6" t="s">
        <v>299</v>
      </c>
      <c r="F188" s="6" t="s">
        <v>2193</v>
      </c>
      <c r="G188" s="6" t="s">
        <v>2939</v>
      </c>
      <c r="H188" s="6">
        <v>0.0</v>
      </c>
      <c r="I188" s="6">
        <v>0.0</v>
      </c>
      <c r="J188" s="6" t="s">
        <v>11590</v>
      </c>
      <c r="K188" s="6">
        <v>4.0</v>
      </c>
      <c r="L188" s="6">
        <v>0.0</v>
      </c>
      <c r="M188" s="6">
        <v>0.0</v>
      </c>
      <c r="N188" s="669">
        <v>1272000.0</v>
      </c>
      <c r="O188" s="6">
        <v>0.0</v>
      </c>
      <c r="P188" s="6">
        <v>0.0</v>
      </c>
      <c r="Q188" s="6">
        <v>0.0</v>
      </c>
      <c r="R188" s="6">
        <v>0.0</v>
      </c>
      <c r="S188" s="6">
        <v>5.0</v>
      </c>
      <c r="T188" s="6">
        <v>5.0</v>
      </c>
      <c r="U188" s="6">
        <v>0.0</v>
      </c>
    </row>
    <row r="189">
      <c r="A189" s="6" t="s">
        <v>301</v>
      </c>
      <c r="B189" s="6" t="s">
        <v>11576</v>
      </c>
      <c r="C189" s="6" t="s">
        <v>11591</v>
      </c>
      <c r="D189" s="6" t="s">
        <v>128</v>
      </c>
      <c r="E189" s="6" t="s">
        <v>299</v>
      </c>
      <c r="F189" s="6" t="s">
        <v>144</v>
      </c>
      <c r="G189" s="6" t="s">
        <v>2939</v>
      </c>
      <c r="H189" s="6">
        <v>0.0</v>
      </c>
      <c r="I189" s="6">
        <v>0.0</v>
      </c>
      <c r="J189" s="6" t="s">
        <v>11590</v>
      </c>
      <c r="K189" s="6">
        <v>0.0</v>
      </c>
      <c r="L189" s="6">
        <v>0.0</v>
      </c>
      <c r="M189" s="6">
        <v>0.0</v>
      </c>
      <c r="N189" s="669">
        <v>660000.0</v>
      </c>
      <c r="O189" s="6">
        <v>0.0</v>
      </c>
      <c r="P189" s="6">
        <v>0.0</v>
      </c>
      <c r="Q189" s="6">
        <v>0.0</v>
      </c>
      <c r="R189" s="6">
        <v>0.0</v>
      </c>
      <c r="S189" s="6">
        <v>0.0</v>
      </c>
      <c r="T189" s="6">
        <v>0.0</v>
      </c>
      <c r="U189" s="6">
        <v>0.0</v>
      </c>
    </row>
    <row r="190">
      <c r="A190" s="6" t="s">
        <v>302</v>
      </c>
      <c r="B190" s="6" t="s">
        <v>11576</v>
      </c>
      <c r="C190" s="6" t="s">
        <v>11591</v>
      </c>
      <c r="D190" s="6" t="s">
        <v>130</v>
      </c>
      <c r="E190" s="6" t="s">
        <v>299</v>
      </c>
      <c r="F190" s="6" t="s">
        <v>144</v>
      </c>
      <c r="G190" s="6" t="s">
        <v>2939</v>
      </c>
      <c r="H190" s="6">
        <v>0.0</v>
      </c>
      <c r="I190" s="6">
        <v>0.0</v>
      </c>
      <c r="J190" s="6" t="s">
        <v>11590</v>
      </c>
      <c r="K190" s="6">
        <v>0.0</v>
      </c>
      <c r="L190" s="6">
        <v>0.0</v>
      </c>
      <c r="M190" s="6">
        <v>0.0</v>
      </c>
      <c r="N190" s="669">
        <v>660000.0</v>
      </c>
      <c r="O190" s="6">
        <v>0.0</v>
      </c>
      <c r="P190" s="6">
        <v>0.0</v>
      </c>
      <c r="Q190" s="6">
        <v>0.0</v>
      </c>
      <c r="R190" s="6">
        <v>0.0</v>
      </c>
      <c r="S190" s="6">
        <v>0.0</v>
      </c>
      <c r="T190" s="6">
        <v>0.0</v>
      </c>
      <c r="U190" s="6">
        <v>0.0</v>
      </c>
    </row>
    <row r="191">
      <c r="A191" s="6" t="s">
        <v>303</v>
      </c>
      <c r="B191" s="6" t="s">
        <v>11576</v>
      </c>
      <c r="C191" s="6" t="s">
        <v>11591</v>
      </c>
      <c r="D191" s="6" t="s">
        <v>132</v>
      </c>
      <c r="E191" s="6" t="s">
        <v>299</v>
      </c>
      <c r="G191" s="6" t="s">
        <v>2939</v>
      </c>
      <c r="H191" s="6">
        <v>2.0</v>
      </c>
      <c r="I191" s="6">
        <v>0.0</v>
      </c>
      <c r="J191" s="6" t="s">
        <v>11590</v>
      </c>
      <c r="K191" s="6">
        <v>0.0</v>
      </c>
      <c r="L191" s="6">
        <v>0.0</v>
      </c>
      <c r="M191" s="6">
        <v>0.0</v>
      </c>
      <c r="N191" s="669">
        <v>660000.0</v>
      </c>
      <c r="O191" s="6">
        <v>0.0</v>
      </c>
      <c r="P191" s="6">
        <v>0.0</v>
      </c>
      <c r="Q191" s="6">
        <v>0.0</v>
      </c>
      <c r="R191" s="6">
        <v>0.0</v>
      </c>
      <c r="S191" s="6">
        <v>0.0</v>
      </c>
      <c r="T191" s="6">
        <v>0.0</v>
      </c>
      <c r="U191" s="6">
        <v>0.0</v>
      </c>
    </row>
    <row r="192">
      <c r="A192" s="6" t="s">
        <v>304</v>
      </c>
      <c r="B192" s="6" t="s">
        <v>11576</v>
      </c>
      <c r="C192" s="6" t="s">
        <v>11591</v>
      </c>
      <c r="D192" s="6" t="s">
        <v>134</v>
      </c>
      <c r="E192" s="6" t="s">
        <v>299</v>
      </c>
      <c r="G192" s="6" t="s">
        <v>2939</v>
      </c>
      <c r="H192" s="6" t="s">
        <v>11590</v>
      </c>
      <c r="I192" s="6">
        <v>0.0</v>
      </c>
      <c r="J192" s="6" t="s">
        <v>11590</v>
      </c>
      <c r="K192" s="6">
        <v>0.0</v>
      </c>
      <c r="L192" s="6">
        <v>0.0</v>
      </c>
      <c r="M192" s="6">
        <v>0.0</v>
      </c>
      <c r="N192" s="669">
        <v>660000.0</v>
      </c>
      <c r="O192" s="6">
        <v>0.0</v>
      </c>
      <c r="P192" s="6">
        <v>0.0</v>
      </c>
      <c r="Q192" s="6">
        <v>0.0</v>
      </c>
      <c r="R192" s="6">
        <v>0.0</v>
      </c>
      <c r="S192" s="6">
        <v>0.0</v>
      </c>
      <c r="T192" s="6">
        <v>0.0</v>
      </c>
      <c r="U192" s="6">
        <v>0.0</v>
      </c>
    </row>
    <row r="193">
      <c r="A193" s="6" t="s">
        <v>309</v>
      </c>
      <c r="B193" s="6" t="s">
        <v>11576</v>
      </c>
      <c r="C193" s="6" t="s">
        <v>11570</v>
      </c>
      <c r="D193" s="6" t="s">
        <v>22</v>
      </c>
      <c r="E193" s="6" t="s">
        <v>11672</v>
      </c>
      <c r="F193" s="6" t="s">
        <v>125</v>
      </c>
      <c r="G193" s="6" t="s">
        <v>2939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69">
        <v>2017000.0</v>
      </c>
      <c r="O193" s="6">
        <v>0.0</v>
      </c>
      <c r="P193" s="6">
        <v>0.0</v>
      </c>
      <c r="Q193" s="6">
        <v>0.0</v>
      </c>
      <c r="R193" s="6">
        <v>0.0</v>
      </c>
      <c r="S193" s="6">
        <v>10.0</v>
      </c>
      <c r="T193" s="6">
        <v>0.0</v>
      </c>
      <c r="U193" s="6">
        <v>0.0</v>
      </c>
    </row>
    <row r="194">
      <c r="A194" s="6" t="s">
        <v>311</v>
      </c>
      <c r="B194" s="6" t="s">
        <v>11578</v>
      </c>
      <c r="C194" s="6" t="s">
        <v>11579</v>
      </c>
      <c r="D194" s="6" t="s">
        <v>41</v>
      </c>
      <c r="E194" s="6" t="s">
        <v>312</v>
      </c>
      <c r="F194" s="6" t="s">
        <v>1377</v>
      </c>
      <c r="G194" s="6" t="s">
        <v>2939</v>
      </c>
      <c r="H194" s="6">
        <v>1.0</v>
      </c>
      <c r="I194" s="6">
        <v>2.0</v>
      </c>
      <c r="J194" s="6">
        <v>0.0</v>
      </c>
      <c r="K194" s="6">
        <v>0.0</v>
      </c>
      <c r="L194" s="6">
        <v>0.0</v>
      </c>
      <c r="M194" s="6">
        <v>0.0</v>
      </c>
      <c r="N194" s="669">
        <v>2708000.0</v>
      </c>
      <c r="O194" s="6">
        <v>0.0</v>
      </c>
      <c r="P194" s="6">
        <v>0.0</v>
      </c>
      <c r="Q194" s="6">
        <v>0.0</v>
      </c>
      <c r="R194" s="6">
        <v>0.0</v>
      </c>
      <c r="S194" s="6">
        <v>0.0</v>
      </c>
      <c r="T194" s="6">
        <v>0.0</v>
      </c>
      <c r="U194" s="6">
        <v>0.0</v>
      </c>
    </row>
    <row r="195">
      <c r="A195" s="6" t="s">
        <v>11673</v>
      </c>
      <c r="B195" s="6" t="s">
        <v>11569</v>
      </c>
      <c r="C195" s="6" t="s">
        <v>11579</v>
      </c>
      <c r="D195" s="6" t="s">
        <v>41</v>
      </c>
      <c r="E195" s="6" t="s">
        <v>11674</v>
      </c>
      <c r="F195" s="6" t="s">
        <v>1377</v>
      </c>
      <c r="G195" s="6" t="s">
        <v>2939</v>
      </c>
      <c r="H195" s="6">
        <v>0.0</v>
      </c>
      <c r="I195" s="6">
        <v>0.0</v>
      </c>
      <c r="J195" s="6">
        <v>2.0</v>
      </c>
      <c r="K195" s="6">
        <v>0.0</v>
      </c>
      <c r="L195" s="6">
        <v>0.0</v>
      </c>
      <c r="M195" s="6">
        <v>0.0</v>
      </c>
      <c r="N195" s="669">
        <v>2708000.0</v>
      </c>
      <c r="O195" s="6">
        <v>0.0</v>
      </c>
      <c r="P195" s="6">
        <v>0.0</v>
      </c>
      <c r="Q195" s="6">
        <v>0.0</v>
      </c>
      <c r="R195" s="6">
        <v>0.0</v>
      </c>
      <c r="S195" s="6">
        <v>0.0</v>
      </c>
      <c r="T195" s="6">
        <v>0.0</v>
      </c>
      <c r="U195" s="6">
        <v>0.0</v>
      </c>
    </row>
    <row r="196">
      <c r="A196" s="6" t="s">
        <v>313</v>
      </c>
      <c r="B196" s="6" t="s">
        <v>11576</v>
      </c>
      <c r="C196" s="6" t="s">
        <v>11570</v>
      </c>
      <c r="D196" s="6" t="s">
        <v>22</v>
      </c>
      <c r="E196" s="6" t="s">
        <v>314</v>
      </c>
      <c r="F196" s="6" t="s">
        <v>23</v>
      </c>
      <c r="G196" s="6" t="s">
        <v>2939</v>
      </c>
      <c r="H196" s="6">
        <v>0.0</v>
      </c>
      <c r="I196" s="6">
        <v>0.0</v>
      </c>
      <c r="J196" s="6">
        <v>4.0</v>
      </c>
      <c r="K196" s="6">
        <v>0.0</v>
      </c>
      <c r="L196" s="6">
        <v>0.0</v>
      </c>
      <c r="M196" s="6">
        <v>0.0</v>
      </c>
      <c r="N196" s="669">
        <v>5559000.0</v>
      </c>
      <c r="O196" s="6">
        <v>0.0</v>
      </c>
      <c r="P196" s="6">
        <v>0.0</v>
      </c>
      <c r="Q196" s="6">
        <v>0.0</v>
      </c>
      <c r="R196" s="6">
        <v>0.0</v>
      </c>
      <c r="S196" s="6">
        <v>0.0</v>
      </c>
      <c r="T196" s="6">
        <v>0.0</v>
      </c>
      <c r="U196" s="6">
        <v>0.0</v>
      </c>
    </row>
    <row r="197">
      <c r="A197" s="6" t="s">
        <v>315</v>
      </c>
      <c r="B197" s="6" t="s">
        <v>11578</v>
      </c>
      <c r="C197" s="6" t="s">
        <v>11579</v>
      </c>
      <c r="D197" s="6" t="s">
        <v>41</v>
      </c>
      <c r="E197" s="6" t="s">
        <v>316</v>
      </c>
      <c r="F197" s="6" t="s">
        <v>1377</v>
      </c>
      <c r="G197" s="6" t="s">
        <v>2939</v>
      </c>
      <c r="H197" s="6">
        <v>9.0</v>
      </c>
      <c r="I197" s="6">
        <v>2.0</v>
      </c>
      <c r="J197" s="6">
        <v>0.0</v>
      </c>
      <c r="K197" s="6">
        <v>0.0</v>
      </c>
      <c r="L197" s="6">
        <v>0.0</v>
      </c>
      <c r="M197" s="6">
        <v>0.0</v>
      </c>
      <c r="N197" s="669">
        <v>2997000.0</v>
      </c>
      <c r="O197" s="6">
        <v>0.0</v>
      </c>
      <c r="P197" s="6">
        <v>0.0</v>
      </c>
      <c r="Q197" s="6">
        <v>0.0</v>
      </c>
      <c r="R197" s="6">
        <v>0.0</v>
      </c>
      <c r="S197" s="6">
        <v>0.0</v>
      </c>
      <c r="T197" s="6">
        <v>0.0</v>
      </c>
      <c r="U197" s="6">
        <v>0.0</v>
      </c>
    </row>
    <row r="198">
      <c r="A198" s="6" t="s">
        <v>1388</v>
      </c>
      <c r="B198" s="6" t="s">
        <v>11569</v>
      </c>
      <c r="C198" s="6" t="s">
        <v>11570</v>
      </c>
      <c r="D198" s="6" t="s">
        <v>22</v>
      </c>
      <c r="E198" s="6" t="s">
        <v>11675</v>
      </c>
      <c r="F198" s="6" t="s">
        <v>75</v>
      </c>
      <c r="G198" s="6" t="s">
        <v>2939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69">
        <v>8005000.0</v>
      </c>
      <c r="O198" s="6">
        <v>0.0</v>
      </c>
      <c r="P198" s="6">
        <v>0.0</v>
      </c>
      <c r="Q198" s="6">
        <v>0.0</v>
      </c>
      <c r="R198" s="6">
        <v>0.0</v>
      </c>
      <c r="S198" s="6">
        <v>0.0</v>
      </c>
      <c r="T198" s="6">
        <v>0.0</v>
      </c>
      <c r="U198" s="6">
        <v>0.0</v>
      </c>
    </row>
    <row r="199">
      <c r="A199" s="6" t="s">
        <v>317</v>
      </c>
      <c r="B199" s="6" t="s">
        <v>11576</v>
      </c>
      <c r="C199" s="6" t="s">
        <v>11570</v>
      </c>
      <c r="D199" s="6" t="s">
        <v>22</v>
      </c>
      <c r="E199" s="6" t="s">
        <v>318</v>
      </c>
      <c r="F199" s="6" t="s">
        <v>75</v>
      </c>
      <c r="G199" s="6" t="s">
        <v>2939</v>
      </c>
      <c r="H199" s="6">
        <v>0.0</v>
      </c>
      <c r="I199" s="6">
        <v>1.0</v>
      </c>
      <c r="J199" s="6" t="s">
        <v>11590</v>
      </c>
      <c r="K199" s="6">
        <v>3.0</v>
      </c>
      <c r="L199" s="6">
        <v>0.0</v>
      </c>
      <c r="M199" s="6">
        <v>0.0</v>
      </c>
      <c r="N199" s="669">
        <v>1647000.0</v>
      </c>
      <c r="O199" s="6">
        <v>0.0</v>
      </c>
      <c r="P199" s="6">
        <v>0.0</v>
      </c>
      <c r="Q199" s="6">
        <v>0.0</v>
      </c>
      <c r="R199" s="6">
        <v>0.0</v>
      </c>
      <c r="S199" s="6">
        <v>10.0</v>
      </c>
      <c r="T199" s="6">
        <v>5.0</v>
      </c>
      <c r="U199" s="6">
        <v>0.0</v>
      </c>
    </row>
    <row r="200">
      <c r="A200" s="6" t="s">
        <v>1392</v>
      </c>
      <c r="B200" s="6" t="s">
        <v>11654</v>
      </c>
      <c r="C200" s="6" t="s">
        <v>11570</v>
      </c>
      <c r="D200" s="6" t="s">
        <v>22</v>
      </c>
      <c r="E200" s="6" t="s">
        <v>318</v>
      </c>
      <c r="F200" s="6" t="s">
        <v>125</v>
      </c>
      <c r="G200" s="6" t="s">
        <v>2939</v>
      </c>
      <c r="H200" s="6">
        <v>0.0</v>
      </c>
      <c r="I200" s="6">
        <v>0.0</v>
      </c>
      <c r="J200" s="6" t="s">
        <v>11590</v>
      </c>
      <c r="K200" s="6">
        <v>5.0</v>
      </c>
      <c r="L200" s="6" t="s">
        <v>11590</v>
      </c>
      <c r="M200" s="6">
        <v>6.0</v>
      </c>
      <c r="N200" s="669">
        <v>1439000.0</v>
      </c>
      <c r="O200" s="6">
        <v>0.0</v>
      </c>
      <c r="P200" s="6">
        <v>0.0</v>
      </c>
      <c r="Q200" s="6">
        <v>0.0</v>
      </c>
      <c r="R200" s="6">
        <v>0.0</v>
      </c>
      <c r="S200" s="6">
        <v>0.0</v>
      </c>
      <c r="T200" s="6">
        <v>0.0</v>
      </c>
      <c r="U200" s="6">
        <v>0.0</v>
      </c>
    </row>
    <row r="201">
      <c r="A201" s="6" t="s">
        <v>1393</v>
      </c>
      <c r="B201" s="6" t="s">
        <v>11569</v>
      </c>
      <c r="C201" s="6" t="s">
        <v>11579</v>
      </c>
      <c r="D201" s="6" t="s">
        <v>41</v>
      </c>
      <c r="E201" s="6" t="s">
        <v>318</v>
      </c>
      <c r="F201" s="6" t="s">
        <v>2193</v>
      </c>
      <c r="G201" s="6" t="s">
        <v>2939</v>
      </c>
      <c r="H201" s="6">
        <v>0.0</v>
      </c>
      <c r="I201" s="6">
        <v>0.0</v>
      </c>
      <c r="J201" s="6">
        <v>7.0</v>
      </c>
      <c r="K201" s="6">
        <v>0.0</v>
      </c>
      <c r="L201" s="6">
        <v>0.0</v>
      </c>
      <c r="M201" s="6">
        <v>0.0</v>
      </c>
      <c r="N201" s="669">
        <v>849000.0</v>
      </c>
      <c r="O201" s="6">
        <v>0.0</v>
      </c>
      <c r="P201" s="6">
        <v>0.0</v>
      </c>
      <c r="Q201" s="6">
        <v>0.0</v>
      </c>
      <c r="R201" s="6">
        <v>0.0</v>
      </c>
      <c r="S201" s="6">
        <v>8.0</v>
      </c>
      <c r="T201" s="6">
        <v>7.0</v>
      </c>
      <c r="U201" s="6">
        <v>0.0</v>
      </c>
    </row>
    <row r="202">
      <c r="A202" s="6" t="s">
        <v>11676</v>
      </c>
      <c r="E202" s="6" t="s">
        <v>11676</v>
      </c>
      <c r="N202" s="668"/>
    </row>
    <row r="203">
      <c r="A203" s="6" t="s">
        <v>319</v>
      </c>
      <c r="B203" s="6" t="s">
        <v>11578</v>
      </c>
      <c r="C203" s="6" t="s">
        <v>11570</v>
      </c>
      <c r="D203" s="6" t="s">
        <v>22</v>
      </c>
      <c r="E203" s="6" t="s">
        <v>320</v>
      </c>
      <c r="F203" s="6" t="s">
        <v>125</v>
      </c>
      <c r="G203" s="6" t="s">
        <v>2939</v>
      </c>
      <c r="H203" s="6">
        <v>8.0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69">
        <v>2179000.0</v>
      </c>
      <c r="O203" s="6">
        <v>0.0</v>
      </c>
      <c r="P203" s="6">
        <v>0.0</v>
      </c>
      <c r="Q203" s="6">
        <v>0.0</v>
      </c>
      <c r="R203" s="6">
        <v>0.0</v>
      </c>
      <c r="S203" s="6">
        <v>0.0</v>
      </c>
      <c r="T203" s="6">
        <v>0.0</v>
      </c>
      <c r="U203" s="6">
        <v>0.0</v>
      </c>
    </row>
    <row r="204">
      <c r="A204" s="6" t="s">
        <v>1394</v>
      </c>
      <c r="B204" s="6" t="s">
        <v>11569</v>
      </c>
      <c r="C204" s="6" t="s">
        <v>11570</v>
      </c>
      <c r="D204" s="6" t="s">
        <v>22</v>
      </c>
      <c r="E204" s="6" t="s">
        <v>1395</v>
      </c>
      <c r="F204" s="6" t="s">
        <v>125</v>
      </c>
      <c r="G204" s="6" t="s">
        <v>2939</v>
      </c>
      <c r="H204" s="6">
        <v>0.0</v>
      </c>
      <c r="I204" s="6">
        <v>0.0</v>
      </c>
      <c r="J204" s="6">
        <v>5.0</v>
      </c>
      <c r="K204" s="6">
        <v>0.0</v>
      </c>
      <c r="L204" s="6">
        <v>0.0</v>
      </c>
      <c r="M204" s="6">
        <v>0.0</v>
      </c>
      <c r="N204" s="669">
        <v>1943000.0</v>
      </c>
      <c r="O204" s="6">
        <v>0.0</v>
      </c>
      <c r="P204" s="6">
        <v>0.0</v>
      </c>
      <c r="Q204" s="6">
        <v>0.0</v>
      </c>
      <c r="R204" s="6">
        <v>0.0</v>
      </c>
      <c r="S204" s="6">
        <v>0.0</v>
      </c>
      <c r="T204" s="6">
        <v>0.0</v>
      </c>
      <c r="U204" s="6">
        <v>0.0</v>
      </c>
    </row>
    <row r="205">
      <c r="A205" s="6" t="s">
        <v>321</v>
      </c>
      <c r="B205" s="6" t="s">
        <v>11576</v>
      </c>
      <c r="C205" s="6" t="s">
        <v>11570</v>
      </c>
      <c r="D205" s="6" t="s">
        <v>22</v>
      </c>
      <c r="E205" s="6" t="s">
        <v>322</v>
      </c>
      <c r="F205" s="6" t="s">
        <v>125</v>
      </c>
      <c r="G205" s="6" t="s">
        <v>2939</v>
      </c>
      <c r="H205" s="6">
        <v>0.0</v>
      </c>
      <c r="I205" s="6">
        <v>0.0</v>
      </c>
      <c r="J205" s="6">
        <v>6.0</v>
      </c>
      <c r="K205" s="6">
        <v>0.0</v>
      </c>
      <c r="L205" s="6">
        <v>0.0</v>
      </c>
      <c r="M205" s="6">
        <v>0.0</v>
      </c>
      <c r="N205" s="669">
        <v>2179000.0</v>
      </c>
      <c r="O205" s="6">
        <v>0.0</v>
      </c>
      <c r="P205" s="6">
        <v>0.0</v>
      </c>
      <c r="Q205" s="6">
        <v>0.0</v>
      </c>
      <c r="R205" s="6">
        <v>0.0</v>
      </c>
      <c r="S205" s="6">
        <v>0.0</v>
      </c>
      <c r="T205" s="6">
        <v>0.0</v>
      </c>
      <c r="U205" s="6">
        <v>0.0</v>
      </c>
    </row>
    <row r="206">
      <c r="A206" s="6" t="s">
        <v>1399</v>
      </c>
      <c r="B206" s="6" t="s">
        <v>11569</v>
      </c>
      <c r="C206" s="6" t="s">
        <v>11579</v>
      </c>
      <c r="D206" s="6" t="s">
        <v>41</v>
      </c>
      <c r="E206" s="6" t="s">
        <v>322</v>
      </c>
      <c r="F206" s="6" t="s">
        <v>1377</v>
      </c>
      <c r="G206" s="6" t="s">
        <v>2939</v>
      </c>
      <c r="H206" s="6">
        <v>0.0</v>
      </c>
      <c r="I206" s="6">
        <v>0.0</v>
      </c>
      <c r="J206" s="6">
        <v>6.0</v>
      </c>
      <c r="K206" s="6">
        <v>0.0</v>
      </c>
      <c r="L206" s="6">
        <v>0.0</v>
      </c>
      <c r="M206" s="6">
        <v>0.0</v>
      </c>
      <c r="N206" s="669">
        <v>2518000.0</v>
      </c>
      <c r="O206" s="6">
        <v>0.0</v>
      </c>
      <c r="P206" s="6">
        <v>0.0</v>
      </c>
      <c r="Q206" s="6">
        <v>0.0</v>
      </c>
      <c r="R206" s="6">
        <v>0.0</v>
      </c>
      <c r="S206" s="6">
        <v>0.0</v>
      </c>
      <c r="T206" s="6">
        <v>0.0</v>
      </c>
      <c r="U206" s="6">
        <v>0.0</v>
      </c>
    </row>
    <row r="207">
      <c r="A207" s="6" t="s">
        <v>107</v>
      </c>
      <c r="E207" s="6" t="s">
        <v>107</v>
      </c>
      <c r="N207" s="668"/>
    </row>
    <row r="208">
      <c r="A208" s="6" t="s">
        <v>323</v>
      </c>
      <c r="B208" s="6" t="s">
        <v>11576</v>
      </c>
      <c r="C208" s="6" t="s">
        <v>11570</v>
      </c>
      <c r="D208" s="6" t="s">
        <v>22</v>
      </c>
      <c r="E208" s="6" t="s">
        <v>11677</v>
      </c>
      <c r="F208" s="6" t="s">
        <v>97</v>
      </c>
      <c r="G208" s="6" t="s">
        <v>2939</v>
      </c>
      <c r="H208" s="6">
        <v>0.0</v>
      </c>
      <c r="I208" s="6">
        <v>0.0</v>
      </c>
      <c r="J208" s="6">
        <v>6.0</v>
      </c>
      <c r="K208" s="6">
        <v>1.0</v>
      </c>
      <c r="L208" s="6">
        <v>0.0</v>
      </c>
      <c r="M208" s="6">
        <v>0.0</v>
      </c>
      <c r="N208" s="669">
        <v>1373000.0</v>
      </c>
      <c r="O208" s="6">
        <v>0.0</v>
      </c>
      <c r="P208" s="6">
        <v>0.0</v>
      </c>
      <c r="Q208" s="6">
        <v>0.0</v>
      </c>
      <c r="R208" s="6">
        <v>0.0</v>
      </c>
      <c r="S208" s="6">
        <v>0.0</v>
      </c>
      <c r="T208" s="6">
        <v>0.0</v>
      </c>
      <c r="U208" s="6">
        <v>0.0</v>
      </c>
    </row>
    <row r="209">
      <c r="A209" s="6" t="s">
        <v>325</v>
      </c>
      <c r="B209" s="6" t="s">
        <v>11578</v>
      </c>
      <c r="C209" s="6" t="s">
        <v>11579</v>
      </c>
      <c r="D209" s="6" t="s">
        <v>41</v>
      </c>
      <c r="E209" s="6" t="s">
        <v>11677</v>
      </c>
      <c r="F209" s="6" t="s">
        <v>2193</v>
      </c>
      <c r="G209" s="6" t="s">
        <v>2939</v>
      </c>
      <c r="H209" s="6">
        <v>9.0</v>
      </c>
      <c r="I209" s="6">
        <v>2.0</v>
      </c>
      <c r="J209" s="6">
        <v>0.0</v>
      </c>
      <c r="K209" s="6">
        <v>0.0</v>
      </c>
      <c r="L209" s="6">
        <v>0.0</v>
      </c>
      <c r="M209" s="6">
        <v>0.0</v>
      </c>
      <c r="N209" s="669">
        <v>1686000.0</v>
      </c>
      <c r="O209" s="6">
        <v>0.0</v>
      </c>
      <c r="P209" s="6">
        <v>0.0</v>
      </c>
      <c r="Q209" s="6">
        <v>0.0</v>
      </c>
      <c r="R209" s="6">
        <v>0.0</v>
      </c>
      <c r="S209" s="6">
        <v>0.0</v>
      </c>
      <c r="T209" s="6">
        <v>0.0</v>
      </c>
      <c r="U209" s="6">
        <v>0.0</v>
      </c>
    </row>
    <row r="210">
      <c r="A210" s="6" t="s">
        <v>326</v>
      </c>
      <c r="B210" s="6" t="s">
        <v>11578</v>
      </c>
      <c r="C210" s="6" t="s">
        <v>11591</v>
      </c>
      <c r="D210" s="6" t="s">
        <v>128</v>
      </c>
      <c r="E210" s="6" t="s">
        <v>11677</v>
      </c>
      <c r="G210" s="6" t="s">
        <v>2939</v>
      </c>
      <c r="H210" s="6">
        <v>1.0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69">
        <v>579000.0</v>
      </c>
      <c r="O210" s="6">
        <v>0.0</v>
      </c>
      <c r="P210" s="6">
        <v>0.0</v>
      </c>
      <c r="Q210" s="6">
        <v>0.0</v>
      </c>
      <c r="R210" s="6">
        <v>0.0</v>
      </c>
      <c r="S210" s="6">
        <v>0.0</v>
      </c>
      <c r="T210" s="6">
        <v>0.0</v>
      </c>
      <c r="U210" s="6">
        <v>0.0</v>
      </c>
    </row>
    <row r="211">
      <c r="A211" s="6" t="s">
        <v>327</v>
      </c>
      <c r="B211" s="6" t="s">
        <v>11576</v>
      </c>
      <c r="C211" s="6" t="s">
        <v>11591</v>
      </c>
      <c r="D211" s="6" t="s">
        <v>130</v>
      </c>
      <c r="E211" s="6" t="s">
        <v>11677</v>
      </c>
      <c r="G211" s="6" t="s">
        <v>2939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69">
        <v>579000.0</v>
      </c>
      <c r="O211" s="6">
        <v>0.0</v>
      </c>
      <c r="P211" s="6">
        <v>0.0</v>
      </c>
      <c r="Q211" s="6">
        <v>0.0</v>
      </c>
      <c r="R211" s="6">
        <v>0.0</v>
      </c>
      <c r="S211" s="6">
        <v>0.0</v>
      </c>
      <c r="T211" s="6">
        <v>0.0</v>
      </c>
      <c r="U211" s="6">
        <v>0.0</v>
      </c>
    </row>
    <row r="212">
      <c r="A212" s="6" t="s">
        <v>328</v>
      </c>
      <c r="B212" s="6" t="s">
        <v>11578</v>
      </c>
      <c r="C212" s="6" t="s">
        <v>11591</v>
      </c>
      <c r="D212" s="6" t="s">
        <v>132</v>
      </c>
      <c r="E212" s="6" t="s">
        <v>11677</v>
      </c>
      <c r="G212" s="6" t="s">
        <v>2939</v>
      </c>
      <c r="H212" s="6">
        <v>6.0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69">
        <v>459000.0</v>
      </c>
      <c r="O212" s="6">
        <v>0.0</v>
      </c>
      <c r="P212" s="6">
        <v>0.0</v>
      </c>
      <c r="Q212" s="6">
        <v>0.0</v>
      </c>
      <c r="R212" s="6">
        <v>0.0</v>
      </c>
      <c r="S212" s="6">
        <v>0.0</v>
      </c>
      <c r="T212" s="6">
        <v>0.0</v>
      </c>
      <c r="U212" s="6">
        <v>0.0</v>
      </c>
    </row>
    <row r="213">
      <c r="A213" s="6" t="s">
        <v>329</v>
      </c>
      <c r="B213" s="6" t="s">
        <v>11578</v>
      </c>
      <c r="C213" s="6" t="s">
        <v>11591</v>
      </c>
      <c r="D213" s="6" t="s">
        <v>134</v>
      </c>
      <c r="E213" s="6" t="s">
        <v>11677</v>
      </c>
      <c r="G213" s="6" t="s">
        <v>2939</v>
      </c>
      <c r="H213" s="6">
        <v>4.0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69">
        <v>459000.0</v>
      </c>
      <c r="O213" s="6">
        <v>0.0</v>
      </c>
      <c r="P213" s="6">
        <v>0.0</v>
      </c>
      <c r="Q213" s="6">
        <v>0.0</v>
      </c>
      <c r="R213" s="6">
        <v>0.0</v>
      </c>
      <c r="S213" s="6">
        <v>0.0</v>
      </c>
      <c r="T213" s="6">
        <v>0.0</v>
      </c>
      <c r="U213" s="6">
        <v>0.0</v>
      </c>
    </row>
    <row r="214">
      <c r="A214" s="6" t="s">
        <v>330</v>
      </c>
      <c r="B214" s="6" t="s">
        <v>11576</v>
      </c>
      <c r="C214" s="6" t="s">
        <v>11570</v>
      </c>
      <c r="D214" s="6" t="s">
        <v>22</v>
      </c>
      <c r="E214" s="6" t="s">
        <v>11678</v>
      </c>
      <c r="F214" s="6" t="s">
        <v>97</v>
      </c>
      <c r="G214" s="6" t="s">
        <v>2939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69">
        <v>1352000.0</v>
      </c>
      <c r="O214" s="6">
        <v>0.0</v>
      </c>
      <c r="P214" s="6">
        <v>0.0</v>
      </c>
      <c r="Q214" s="6">
        <v>0.0</v>
      </c>
      <c r="R214" s="6">
        <v>0.0</v>
      </c>
      <c r="S214" s="6">
        <v>10.0</v>
      </c>
      <c r="T214" s="6">
        <v>0.0</v>
      </c>
      <c r="U214" s="6">
        <v>0.0</v>
      </c>
    </row>
    <row r="215">
      <c r="A215" s="6" t="s">
        <v>332</v>
      </c>
      <c r="B215" s="6" t="s">
        <v>11576</v>
      </c>
      <c r="C215" s="6" t="s">
        <v>11579</v>
      </c>
      <c r="D215" s="6" t="s">
        <v>41</v>
      </c>
      <c r="E215" s="6" t="s">
        <v>11678</v>
      </c>
      <c r="F215" s="6" t="s">
        <v>2193</v>
      </c>
      <c r="G215" s="6" t="s">
        <v>2939</v>
      </c>
      <c r="H215" s="6">
        <v>0.0</v>
      </c>
      <c r="I215" s="6">
        <v>0.0</v>
      </c>
      <c r="J215" s="6">
        <v>2.0</v>
      </c>
      <c r="K215" s="6">
        <v>2.0</v>
      </c>
      <c r="L215" s="6">
        <v>0.0</v>
      </c>
      <c r="M215" s="6">
        <v>0.0</v>
      </c>
      <c r="N215" s="669">
        <v>1458000.0</v>
      </c>
      <c r="O215" s="6">
        <v>0.0</v>
      </c>
      <c r="P215" s="6">
        <v>0.0</v>
      </c>
      <c r="Q215" s="6">
        <v>0.0</v>
      </c>
      <c r="R215" s="6">
        <v>0.0</v>
      </c>
      <c r="S215" s="6">
        <v>0.0</v>
      </c>
      <c r="T215" s="6">
        <v>0.0</v>
      </c>
      <c r="U215" s="6">
        <v>0.0</v>
      </c>
    </row>
    <row r="216">
      <c r="A216" s="6" t="s">
        <v>333</v>
      </c>
      <c r="B216" s="6" t="s">
        <v>11576</v>
      </c>
      <c r="C216" s="6" t="s">
        <v>11570</v>
      </c>
      <c r="D216" s="6" t="s">
        <v>22</v>
      </c>
      <c r="E216" s="6" t="s">
        <v>11679</v>
      </c>
      <c r="F216" s="6" t="s">
        <v>97</v>
      </c>
      <c r="G216" s="6" t="s">
        <v>2939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69">
        <v>1453000.0</v>
      </c>
      <c r="O216" s="6">
        <v>0.0</v>
      </c>
      <c r="P216" s="6">
        <v>0.0</v>
      </c>
      <c r="Q216" s="6">
        <v>0.0</v>
      </c>
      <c r="R216" s="6">
        <v>0.0</v>
      </c>
      <c r="S216" s="6">
        <v>10.0</v>
      </c>
      <c r="T216" s="6">
        <v>5.0</v>
      </c>
      <c r="U216" s="6">
        <v>0.0</v>
      </c>
    </row>
    <row r="217">
      <c r="A217" s="6" t="s">
        <v>335</v>
      </c>
      <c r="B217" s="6" t="s">
        <v>11576</v>
      </c>
      <c r="C217" s="6" t="s">
        <v>11579</v>
      </c>
      <c r="D217" s="6" t="s">
        <v>41</v>
      </c>
      <c r="E217" s="6" t="s">
        <v>11680</v>
      </c>
      <c r="F217" s="6" t="s">
        <v>2193</v>
      </c>
      <c r="G217" s="6" t="s">
        <v>2939</v>
      </c>
      <c r="H217" s="6">
        <v>0.0</v>
      </c>
      <c r="I217" s="6">
        <v>0.0</v>
      </c>
      <c r="J217" s="6">
        <v>4.0</v>
      </c>
      <c r="K217" s="6">
        <v>1.0</v>
      </c>
      <c r="L217" s="6">
        <v>0.0</v>
      </c>
      <c r="M217" s="6">
        <v>0.0</v>
      </c>
      <c r="N217" s="669">
        <v>1802000.0</v>
      </c>
      <c r="O217" s="6">
        <v>0.0</v>
      </c>
      <c r="P217" s="6">
        <v>0.0</v>
      </c>
      <c r="Q217" s="6">
        <v>0.0</v>
      </c>
      <c r="R217" s="6">
        <v>0.0</v>
      </c>
      <c r="S217" s="6">
        <v>0.0</v>
      </c>
      <c r="T217" s="6">
        <v>0.0</v>
      </c>
      <c r="U217" s="6">
        <v>0.0</v>
      </c>
    </row>
    <row r="218">
      <c r="A218" s="6" t="s">
        <v>1401</v>
      </c>
      <c r="B218" s="6" t="s">
        <v>11569</v>
      </c>
      <c r="C218" s="6" t="s">
        <v>11579</v>
      </c>
      <c r="D218" s="6" t="s">
        <v>41</v>
      </c>
      <c r="E218" s="6" t="s">
        <v>11681</v>
      </c>
      <c r="F218" s="6" t="s">
        <v>2193</v>
      </c>
      <c r="G218" s="6" t="s">
        <v>2939</v>
      </c>
      <c r="H218" s="6">
        <v>0.0</v>
      </c>
      <c r="I218" s="6">
        <v>0.0</v>
      </c>
      <c r="J218" s="6">
        <v>5.0</v>
      </c>
      <c r="K218" s="6">
        <v>0.0</v>
      </c>
      <c r="L218" s="6">
        <v>0.0</v>
      </c>
      <c r="M218" s="6">
        <v>0.0</v>
      </c>
      <c r="N218" s="669">
        <v>1802000.0</v>
      </c>
      <c r="O218" s="6">
        <v>0.0</v>
      </c>
      <c r="P218" s="6">
        <v>0.0</v>
      </c>
      <c r="Q218" s="6">
        <v>0.0</v>
      </c>
      <c r="R218" s="6">
        <v>0.0</v>
      </c>
      <c r="S218" s="6">
        <v>0.0</v>
      </c>
      <c r="T218" s="6">
        <v>0.0</v>
      </c>
      <c r="U218" s="6">
        <v>0.0</v>
      </c>
    </row>
    <row r="219">
      <c r="A219" s="6" t="s">
        <v>337</v>
      </c>
      <c r="B219" s="6" t="s">
        <v>11576</v>
      </c>
      <c r="C219" s="6" t="s">
        <v>11570</v>
      </c>
      <c r="D219" s="6" t="s">
        <v>22</v>
      </c>
      <c r="E219" s="6" t="s">
        <v>11682</v>
      </c>
      <c r="F219" s="6" t="s">
        <v>125</v>
      </c>
      <c r="G219" s="6" t="s">
        <v>2939</v>
      </c>
      <c r="H219" s="6">
        <v>0.0</v>
      </c>
      <c r="I219" s="6">
        <v>0.0</v>
      </c>
      <c r="J219" s="6">
        <v>5.0</v>
      </c>
      <c r="K219" s="6">
        <v>2.0</v>
      </c>
      <c r="L219" s="6">
        <v>0.0</v>
      </c>
      <c r="M219" s="6">
        <v>0.0</v>
      </c>
      <c r="N219" s="669">
        <v>1645000.0</v>
      </c>
      <c r="O219" s="6">
        <v>0.0</v>
      </c>
      <c r="P219" s="6">
        <v>0.0</v>
      </c>
      <c r="Q219" s="6">
        <v>0.0</v>
      </c>
      <c r="R219" s="6">
        <v>0.0</v>
      </c>
      <c r="S219" s="6">
        <v>10.0</v>
      </c>
      <c r="T219" s="6">
        <v>5.0</v>
      </c>
      <c r="U219" s="6">
        <v>0.0</v>
      </c>
    </row>
    <row r="220">
      <c r="A220" s="6" t="s">
        <v>339</v>
      </c>
      <c r="B220" s="6" t="s">
        <v>11576</v>
      </c>
      <c r="C220" s="6" t="s">
        <v>11579</v>
      </c>
      <c r="D220" s="6" t="s">
        <v>41</v>
      </c>
      <c r="E220" s="6" t="s">
        <v>11682</v>
      </c>
      <c r="F220" s="6" t="s">
        <v>2193</v>
      </c>
      <c r="G220" s="6" t="s">
        <v>2939</v>
      </c>
      <c r="H220" s="6">
        <v>0.0</v>
      </c>
      <c r="I220" s="6">
        <v>0.0</v>
      </c>
      <c r="J220" s="6">
        <v>1.0</v>
      </c>
      <c r="K220" s="6">
        <v>2.0</v>
      </c>
      <c r="L220" s="6">
        <v>0.0</v>
      </c>
      <c r="M220" s="6">
        <v>0.0</v>
      </c>
      <c r="N220" s="669">
        <v>1822000.0</v>
      </c>
      <c r="O220" s="6">
        <v>0.0</v>
      </c>
      <c r="P220" s="6">
        <v>0.0</v>
      </c>
      <c r="Q220" s="6">
        <v>0.0</v>
      </c>
      <c r="R220" s="6">
        <v>0.0</v>
      </c>
      <c r="S220" s="6">
        <v>0.0</v>
      </c>
      <c r="T220" s="6">
        <v>0.0</v>
      </c>
      <c r="U220" s="6">
        <v>0.0</v>
      </c>
    </row>
    <row r="221">
      <c r="A221" s="6" t="s">
        <v>340</v>
      </c>
      <c r="B221" s="6" t="s">
        <v>11578</v>
      </c>
      <c r="C221" s="6" t="s">
        <v>11591</v>
      </c>
      <c r="D221" s="6" t="s">
        <v>132</v>
      </c>
      <c r="E221" s="6" t="s">
        <v>11682</v>
      </c>
      <c r="G221" s="6" t="s">
        <v>2939</v>
      </c>
      <c r="H221" s="6">
        <v>2.0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69">
        <v>522000.0</v>
      </c>
      <c r="O221" s="6">
        <v>0.0</v>
      </c>
      <c r="P221" s="6">
        <v>0.0</v>
      </c>
      <c r="Q221" s="6">
        <v>0.0</v>
      </c>
      <c r="R221" s="6">
        <v>0.0</v>
      </c>
      <c r="S221" s="6">
        <v>0.0</v>
      </c>
      <c r="T221" s="6">
        <v>0.0</v>
      </c>
      <c r="U221" s="6">
        <v>0.0</v>
      </c>
    </row>
    <row r="222">
      <c r="A222" s="6" t="s">
        <v>341</v>
      </c>
      <c r="B222" s="6" t="s">
        <v>11576</v>
      </c>
      <c r="C222" s="6" t="s">
        <v>11591</v>
      </c>
      <c r="D222" s="6" t="s">
        <v>134</v>
      </c>
      <c r="E222" s="6" t="s">
        <v>11682</v>
      </c>
      <c r="G222" s="6" t="s">
        <v>2939</v>
      </c>
      <c r="H222" s="6">
        <v>0.0</v>
      </c>
      <c r="I222" s="6">
        <v>0.0</v>
      </c>
      <c r="J222" s="6">
        <v>5.0</v>
      </c>
      <c r="K222" s="6">
        <v>0.0</v>
      </c>
      <c r="L222" s="6">
        <v>0.0</v>
      </c>
      <c r="M222" s="6">
        <v>0.0</v>
      </c>
      <c r="N222" s="669">
        <v>522000.0</v>
      </c>
      <c r="O222" s="6">
        <v>0.0</v>
      </c>
      <c r="P222" s="6">
        <v>0.0</v>
      </c>
      <c r="Q222" s="6">
        <v>0.0</v>
      </c>
      <c r="R222" s="6">
        <v>0.0</v>
      </c>
      <c r="S222" s="6">
        <v>0.0</v>
      </c>
      <c r="T222" s="6">
        <v>0.0</v>
      </c>
      <c r="U222" s="6">
        <v>0.0</v>
      </c>
    </row>
    <row r="223">
      <c r="A223" s="6" t="s">
        <v>342</v>
      </c>
      <c r="B223" s="6" t="s">
        <v>11576</v>
      </c>
      <c r="C223" s="6" t="s">
        <v>11570</v>
      </c>
      <c r="D223" s="6" t="s">
        <v>22</v>
      </c>
      <c r="E223" s="6" t="s">
        <v>343</v>
      </c>
      <c r="F223" s="6" t="s">
        <v>125</v>
      </c>
      <c r="G223" s="6" t="s">
        <v>2939</v>
      </c>
      <c r="H223" s="6">
        <v>0.0</v>
      </c>
      <c r="I223" s="6">
        <v>0.0</v>
      </c>
      <c r="J223" s="6">
        <v>10.0</v>
      </c>
      <c r="K223" s="6">
        <v>2.0</v>
      </c>
      <c r="L223" s="6">
        <v>0.0</v>
      </c>
      <c r="M223" s="6">
        <v>0.0</v>
      </c>
      <c r="N223" s="669">
        <v>1883000.0</v>
      </c>
      <c r="O223" s="6">
        <v>0.0</v>
      </c>
      <c r="P223" s="6">
        <v>0.0</v>
      </c>
      <c r="Q223" s="6">
        <v>0.0</v>
      </c>
      <c r="R223" s="6">
        <v>0.0</v>
      </c>
      <c r="S223" s="6">
        <v>0.0</v>
      </c>
      <c r="T223" s="6">
        <v>0.0</v>
      </c>
      <c r="U223" s="6">
        <v>10.0</v>
      </c>
    </row>
    <row r="224">
      <c r="A224" s="6" t="s">
        <v>344</v>
      </c>
      <c r="B224" s="6" t="s">
        <v>11576</v>
      </c>
      <c r="C224" s="6" t="s">
        <v>11579</v>
      </c>
      <c r="D224" s="6" t="s">
        <v>41</v>
      </c>
      <c r="E224" s="6" t="s">
        <v>343</v>
      </c>
      <c r="F224" s="6" t="s">
        <v>2062</v>
      </c>
      <c r="G224" s="6" t="s">
        <v>2939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69">
        <v>2024000.0</v>
      </c>
      <c r="O224" s="6">
        <v>0.0</v>
      </c>
      <c r="P224" s="6">
        <v>0.0</v>
      </c>
      <c r="Q224" s="6">
        <v>0.0</v>
      </c>
      <c r="R224" s="6">
        <v>0.0</v>
      </c>
      <c r="S224" s="6">
        <v>5.0</v>
      </c>
      <c r="T224" s="6">
        <v>0.0</v>
      </c>
      <c r="U224" s="6">
        <v>0.0</v>
      </c>
    </row>
    <row r="225">
      <c r="A225" s="6" t="s">
        <v>345</v>
      </c>
      <c r="B225" s="6" t="s">
        <v>11576</v>
      </c>
      <c r="C225" s="6" t="s">
        <v>11570</v>
      </c>
      <c r="D225" s="6" t="s">
        <v>22</v>
      </c>
      <c r="E225" s="6" t="s">
        <v>346</v>
      </c>
      <c r="F225" s="6" t="s">
        <v>125</v>
      </c>
      <c r="G225" s="6" t="s">
        <v>2939</v>
      </c>
      <c r="H225" s="6">
        <v>2.0</v>
      </c>
      <c r="I225" s="6">
        <v>1.0</v>
      </c>
      <c r="J225" s="6">
        <v>8.0</v>
      </c>
      <c r="K225" s="6">
        <v>0.0</v>
      </c>
      <c r="L225" s="6">
        <v>0.0</v>
      </c>
      <c r="M225" s="6">
        <v>0.0</v>
      </c>
      <c r="N225" s="669">
        <v>1905000.0</v>
      </c>
      <c r="O225" s="6">
        <v>0.0</v>
      </c>
      <c r="P225" s="6">
        <v>0.0</v>
      </c>
      <c r="Q225" s="6">
        <v>0.0</v>
      </c>
      <c r="R225" s="6">
        <v>0.0</v>
      </c>
      <c r="S225" s="6">
        <v>0.0</v>
      </c>
      <c r="T225" s="6">
        <v>0.0</v>
      </c>
      <c r="U225" s="6">
        <v>0.0</v>
      </c>
    </row>
    <row r="226">
      <c r="A226" s="6" t="s">
        <v>1407</v>
      </c>
      <c r="B226" s="6" t="s">
        <v>11569</v>
      </c>
      <c r="C226" s="6" t="s">
        <v>11570</v>
      </c>
      <c r="D226" s="6" t="s">
        <v>22</v>
      </c>
      <c r="E226" s="6" t="s">
        <v>346</v>
      </c>
      <c r="F226" s="6" t="s">
        <v>23</v>
      </c>
      <c r="G226" s="6" t="s">
        <v>2939</v>
      </c>
      <c r="H226" s="6">
        <v>0.0</v>
      </c>
      <c r="I226" s="6">
        <v>0.0</v>
      </c>
      <c r="J226" s="6" t="s">
        <v>11590</v>
      </c>
      <c r="K226" s="6">
        <v>2.0</v>
      </c>
      <c r="L226" s="6">
        <v>0.0</v>
      </c>
      <c r="M226" s="6">
        <v>0.0</v>
      </c>
      <c r="N226" s="669">
        <v>2280000.0</v>
      </c>
      <c r="O226" s="6">
        <v>0.0</v>
      </c>
      <c r="P226" s="6">
        <v>0.0</v>
      </c>
      <c r="Q226" s="6">
        <v>0.0</v>
      </c>
      <c r="R226" s="6">
        <v>0.0</v>
      </c>
      <c r="S226" s="6">
        <v>0.0</v>
      </c>
      <c r="T226" s="6">
        <v>0.0</v>
      </c>
      <c r="U226" s="6">
        <v>0.0</v>
      </c>
    </row>
    <row r="227">
      <c r="A227" s="6" t="s">
        <v>347</v>
      </c>
      <c r="B227" s="6" t="s">
        <v>11576</v>
      </c>
      <c r="C227" s="6" t="s">
        <v>11579</v>
      </c>
      <c r="D227" s="6" t="s">
        <v>41</v>
      </c>
      <c r="E227" s="6" t="s">
        <v>346</v>
      </c>
      <c r="F227" s="6" t="s">
        <v>2062</v>
      </c>
      <c r="G227" s="6" t="s">
        <v>2939</v>
      </c>
      <c r="H227" s="6">
        <v>0.0</v>
      </c>
      <c r="I227" s="6">
        <v>0.0</v>
      </c>
      <c r="J227" s="6">
        <v>1.0</v>
      </c>
      <c r="K227" s="6">
        <v>0.0</v>
      </c>
      <c r="L227" s="6">
        <v>0.0</v>
      </c>
      <c r="M227" s="6">
        <v>0.0</v>
      </c>
      <c r="N227" s="669">
        <v>1785000.0</v>
      </c>
      <c r="O227" s="6">
        <v>0.0</v>
      </c>
      <c r="P227" s="6">
        <v>0.0</v>
      </c>
      <c r="Q227" s="6">
        <v>0.0</v>
      </c>
      <c r="R227" s="6">
        <v>0.0</v>
      </c>
      <c r="S227" s="6">
        <v>5.0</v>
      </c>
      <c r="T227" s="6">
        <v>0.0</v>
      </c>
      <c r="U227" s="6">
        <v>0.0</v>
      </c>
    </row>
    <row r="228">
      <c r="A228" s="6" t="s">
        <v>348</v>
      </c>
      <c r="B228" s="6" t="s">
        <v>11576</v>
      </c>
      <c r="C228" s="6" t="s">
        <v>11570</v>
      </c>
      <c r="D228" s="6" t="s">
        <v>22</v>
      </c>
      <c r="E228" s="6" t="s">
        <v>349</v>
      </c>
      <c r="F228" s="6" t="s">
        <v>75</v>
      </c>
      <c r="G228" s="6" t="s">
        <v>2939</v>
      </c>
      <c r="H228" s="6">
        <v>0.0</v>
      </c>
      <c r="I228" s="6">
        <v>0.0</v>
      </c>
      <c r="J228" s="6">
        <v>5.0</v>
      </c>
      <c r="K228" s="6">
        <v>2.0</v>
      </c>
      <c r="L228" s="6">
        <v>0.0</v>
      </c>
      <c r="M228" s="6">
        <v>0.0</v>
      </c>
      <c r="N228" s="669">
        <v>2464000.0</v>
      </c>
      <c r="O228" s="6">
        <v>0.0</v>
      </c>
      <c r="P228" s="6">
        <v>0.0</v>
      </c>
      <c r="Q228" s="6">
        <v>0.0</v>
      </c>
      <c r="R228" s="6">
        <v>0.0</v>
      </c>
      <c r="S228" s="6">
        <v>0.0</v>
      </c>
      <c r="T228" s="6">
        <v>0.0</v>
      </c>
      <c r="U228" s="6">
        <v>0.0</v>
      </c>
    </row>
    <row r="229">
      <c r="A229" s="6" t="s">
        <v>350</v>
      </c>
      <c r="B229" s="6" t="s">
        <v>11576</v>
      </c>
      <c r="C229" s="6" t="s">
        <v>11570</v>
      </c>
      <c r="D229" s="6" t="s">
        <v>22</v>
      </c>
      <c r="E229" s="6" t="s">
        <v>351</v>
      </c>
      <c r="F229" s="6" t="s">
        <v>125</v>
      </c>
      <c r="G229" s="6" t="s">
        <v>2939</v>
      </c>
      <c r="H229" s="6">
        <v>0.0</v>
      </c>
      <c r="I229" s="6">
        <v>0.0</v>
      </c>
      <c r="J229" s="6">
        <v>2.0</v>
      </c>
      <c r="K229" s="6">
        <v>0.0</v>
      </c>
      <c r="L229" s="6">
        <v>0.0</v>
      </c>
      <c r="M229" s="6">
        <v>0.0</v>
      </c>
      <c r="N229" s="669">
        <v>1883000.0</v>
      </c>
      <c r="O229" s="6">
        <v>0.0</v>
      </c>
      <c r="P229" s="6">
        <v>0.0</v>
      </c>
      <c r="Q229" s="6">
        <v>0.0</v>
      </c>
      <c r="R229" s="6">
        <v>0.0</v>
      </c>
      <c r="S229" s="6">
        <v>0.0</v>
      </c>
      <c r="T229" s="6">
        <v>0.0</v>
      </c>
      <c r="U229" s="6">
        <v>0.0</v>
      </c>
    </row>
    <row r="230">
      <c r="A230" s="6" t="s">
        <v>352</v>
      </c>
      <c r="B230" s="6" t="s">
        <v>11576</v>
      </c>
      <c r="C230" s="6" t="s">
        <v>11579</v>
      </c>
      <c r="D230" s="6" t="s">
        <v>41</v>
      </c>
      <c r="E230" s="6" t="s">
        <v>353</v>
      </c>
      <c r="F230" s="6" t="s">
        <v>2062</v>
      </c>
      <c r="G230" s="6" t="s">
        <v>2939</v>
      </c>
      <c r="H230" s="6">
        <v>0.0</v>
      </c>
      <c r="I230" s="6">
        <v>0.0</v>
      </c>
      <c r="J230" s="6">
        <v>4.0</v>
      </c>
      <c r="K230" s="6">
        <v>0.0</v>
      </c>
      <c r="L230" s="6">
        <v>0.0</v>
      </c>
      <c r="M230" s="6">
        <v>0.0</v>
      </c>
      <c r="N230" s="669">
        <v>1983000.0</v>
      </c>
      <c r="O230" s="6">
        <v>0.0</v>
      </c>
      <c r="P230" s="6">
        <v>0.0</v>
      </c>
      <c r="Q230" s="6">
        <v>0.0</v>
      </c>
      <c r="R230" s="6">
        <v>0.0</v>
      </c>
      <c r="S230" s="6">
        <v>0.0</v>
      </c>
      <c r="T230" s="6">
        <v>0.0</v>
      </c>
      <c r="U230" s="6">
        <v>0.0</v>
      </c>
    </row>
    <row r="231">
      <c r="A231" s="6" t="s">
        <v>354</v>
      </c>
      <c r="B231" s="6" t="s">
        <v>11578</v>
      </c>
      <c r="C231" s="6" t="s">
        <v>11591</v>
      </c>
      <c r="D231" s="6" t="s">
        <v>130</v>
      </c>
      <c r="E231" s="6" t="s">
        <v>353</v>
      </c>
      <c r="G231" s="6" t="s">
        <v>2939</v>
      </c>
      <c r="H231" s="6">
        <v>10.0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69">
        <v>564000.0</v>
      </c>
      <c r="O231" s="6">
        <v>0.0</v>
      </c>
      <c r="P231" s="6">
        <v>0.0</v>
      </c>
      <c r="Q231" s="6">
        <v>0.0</v>
      </c>
      <c r="R231" s="6">
        <v>0.0</v>
      </c>
      <c r="S231" s="6">
        <v>0.0</v>
      </c>
      <c r="T231" s="6">
        <v>0.0</v>
      </c>
      <c r="U231" s="6">
        <v>0.0</v>
      </c>
    </row>
    <row r="232">
      <c r="A232" s="6" t="s">
        <v>355</v>
      </c>
      <c r="B232" s="6" t="s">
        <v>11578</v>
      </c>
      <c r="C232" s="6" t="s">
        <v>11591</v>
      </c>
      <c r="D232" s="6" t="s">
        <v>132</v>
      </c>
      <c r="E232" s="6" t="s">
        <v>353</v>
      </c>
      <c r="G232" s="6" t="s">
        <v>2939</v>
      </c>
      <c r="H232" s="6">
        <v>10.0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69">
        <v>484000.0</v>
      </c>
      <c r="O232" s="6">
        <v>0.0</v>
      </c>
      <c r="P232" s="6">
        <v>0.0</v>
      </c>
      <c r="Q232" s="6">
        <v>0.0</v>
      </c>
      <c r="R232" s="6">
        <v>0.0</v>
      </c>
      <c r="S232" s="6">
        <v>0.0</v>
      </c>
      <c r="T232" s="6">
        <v>0.0</v>
      </c>
      <c r="U232" s="6">
        <v>0.0</v>
      </c>
    </row>
    <row r="233">
      <c r="A233" s="6" t="s">
        <v>11683</v>
      </c>
      <c r="B233" s="6" t="s">
        <v>11569</v>
      </c>
      <c r="C233" s="6" t="s">
        <v>11570</v>
      </c>
      <c r="D233" s="6" t="s">
        <v>22</v>
      </c>
      <c r="E233" s="6" t="s">
        <v>11684</v>
      </c>
      <c r="F233" s="6" t="s">
        <v>75</v>
      </c>
      <c r="G233" s="6" t="s">
        <v>2939</v>
      </c>
      <c r="H233" s="6">
        <v>0.0</v>
      </c>
      <c r="I233" s="6">
        <v>0.0</v>
      </c>
      <c r="J233" s="6">
        <v>2.0</v>
      </c>
      <c r="K233" s="6">
        <v>0.0</v>
      </c>
      <c r="L233" s="6">
        <v>0.0</v>
      </c>
      <c r="M233" s="6">
        <v>0.0</v>
      </c>
      <c r="N233" s="669">
        <v>2800000.0</v>
      </c>
      <c r="O233" s="6">
        <v>0.0</v>
      </c>
      <c r="P233" s="6">
        <v>0.0</v>
      </c>
      <c r="Q233" s="6">
        <v>0.0</v>
      </c>
      <c r="R233" s="6">
        <v>0.0</v>
      </c>
      <c r="S233" s="6">
        <v>0.0</v>
      </c>
      <c r="T233" s="6">
        <v>0.0</v>
      </c>
      <c r="U233" s="6">
        <v>0.0</v>
      </c>
    </row>
    <row r="234">
      <c r="A234" s="6" t="s">
        <v>11685</v>
      </c>
      <c r="B234" s="6" t="s">
        <v>11569</v>
      </c>
      <c r="C234" s="6" t="s">
        <v>11570</v>
      </c>
      <c r="D234" s="6" t="s">
        <v>22</v>
      </c>
      <c r="E234" s="6" t="s">
        <v>11686</v>
      </c>
      <c r="F234" s="6" t="s">
        <v>97</v>
      </c>
      <c r="G234" s="6" t="s">
        <v>2939</v>
      </c>
      <c r="H234" s="6">
        <v>0.0</v>
      </c>
      <c r="I234" s="6">
        <v>0.0</v>
      </c>
      <c r="J234" s="6">
        <v>7.0</v>
      </c>
      <c r="K234" s="6">
        <v>0.0</v>
      </c>
      <c r="L234" s="6">
        <v>0.0</v>
      </c>
      <c r="M234" s="6">
        <v>0.0</v>
      </c>
      <c r="N234" s="669">
        <v>1183000.0</v>
      </c>
      <c r="O234" s="6">
        <v>0.0</v>
      </c>
      <c r="P234" s="6">
        <v>0.0</v>
      </c>
      <c r="Q234" s="6">
        <v>0.0</v>
      </c>
      <c r="R234" s="6">
        <v>0.0</v>
      </c>
      <c r="S234" s="6" t="s">
        <v>11590</v>
      </c>
      <c r="T234" s="6" t="s">
        <v>11590</v>
      </c>
      <c r="U234" s="6">
        <v>0.0</v>
      </c>
    </row>
    <row r="235">
      <c r="A235" s="6" t="s">
        <v>11687</v>
      </c>
      <c r="B235" s="6" t="s">
        <v>11569</v>
      </c>
      <c r="C235" s="6" t="s">
        <v>11579</v>
      </c>
      <c r="D235" s="6" t="s">
        <v>41</v>
      </c>
      <c r="E235" s="6" t="s">
        <v>11686</v>
      </c>
      <c r="F235" s="6" t="s">
        <v>533</v>
      </c>
      <c r="G235" s="6" t="s">
        <v>2939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69">
        <v>1061000.0</v>
      </c>
      <c r="O235" s="6">
        <v>0.0</v>
      </c>
      <c r="P235" s="6">
        <v>0.0</v>
      </c>
      <c r="Q235" s="6">
        <v>0.0</v>
      </c>
      <c r="R235" s="6">
        <v>0.0</v>
      </c>
      <c r="S235" s="6" t="s">
        <v>11590</v>
      </c>
      <c r="T235" s="6" t="s">
        <v>11590</v>
      </c>
      <c r="U235" s="6">
        <v>0.0</v>
      </c>
    </row>
    <row r="236">
      <c r="A236" s="6" t="s">
        <v>2159</v>
      </c>
      <c r="B236" s="6" t="s">
        <v>11569</v>
      </c>
      <c r="C236" s="6" t="s">
        <v>11570</v>
      </c>
      <c r="D236" s="6" t="s">
        <v>22</v>
      </c>
      <c r="E236" s="6" t="s">
        <v>11688</v>
      </c>
      <c r="F236" s="6" t="s">
        <v>75</v>
      </c>
      <c r="G236" s="6" t="s">
        <v>2939</v>
      </c>
      <c r="H236" s="6">
        <v>0.0</v>
      </c>
      <c r="I236" s="6">
        <v>0.0</v>
      </c>
      <c r="J236" s="6" t="s">
        <v>11590</v>
      </c>
      <c r="K236" s="6">
        <v>8.0</v>
      </c>
      <c r="L236" s="6">
        <v>0.0</v>
      </c>
      <c r="M236" s="6">
        <v>0.0</v>
      </c>
      <c r="N236" s="669">
        <v>2000000.0</v>
      </c>
      <c r="O236" s="6">
        <v>0.0</v>
      </c>
      <c r="P236" s="6">
        <v>0.0</v>
      </c>
      <c r="Q236" s="6">
        <v>0.0</v>
      </c>
      <c r="R236" s="6">
        <v>0.0</v>
      </c>
      <c r="S236" s="6">
        <v>0.0</v>
      </c>
      <c r="T236" s="6">
        <v>0.0</v>
      </c>
      <c r="U236" s="6">
        <v>0.0</v>
      </c>
    </row>
    <row r="237">
      <c r="A237" s="6" t="s">
        <v>356</v>
      </c>
      <c r="B237" s="6" t="s">
        <v>11630</v>
      </c>
      <c r="C237" s="6" t="s">
        <v>11570</v>
      </c>
      <c r="D237" s="6" t="s">
        <v>22</v>
      </c>
      <c r="E237" s="6" t="s">
        <v>357</v>
      </c>
      <c r="F237" s="6" t="s">
        <v>97</v>
      </c>
      <c r="G237" s="6" t="s">
        <v>2939</v>
      </c>
      <c r="H237" s="6">
        <v>0.0</v>
      </c>
      <c r="I237" s="6">
        <v>0.0</v>
      </c>
      <c r="J237" s="6">
        <v>7.0</v>
      </c>
      <c r="K237" s="6" t="s">
        <v>11590</v>
      </c>
      <c r="L237" s="6" t="s">
        <v>11590</v>
      </c>
      <c r="M237" s="6" t="s">
        <v>11590</v>
      </c>
      <c r="N237" s="669">
        <v>1042000.0</v>
      </c>
      <c r="O237" s="6">
        <v>0.0</v>
      </c>
      <c r="P237" s="6">
        <v>0.0</v>
      </c>
      <c r="Q237" s="6">
        <v>0.0</v>
      </c>
      <c r="R237" s="6">
        <v>0.0</v>
      </c>
      <c r="S237" s="6">
        <v>0.0</v>
      </c>
      <c r="T237" s="6">
        <v>0.0</v>
      </c>
      <c r="U237" s="6">
        <v>0.0</v>
      </c>
    </row>
    <row r="238">
      <c r="A238" s="6" t="s">
        <v>2104</v>
      </c>
      <c r="B238" s="6" t="s">
        <v>11569</v>
      </c>
      <c r="C238" s="6" t="s">
        <v>11579</v>
      </c>
      <c r="D238" s="6" t="s">
        <v>41</v>
      </c>
      <c r="E238" s="6" t="s">
        <v>2105</v>
      </c>
      <c r="F238" s="6" t="s">
        <v>97</v>
      </c>
      <c r="G238" s="6" t="s">
        <v>2939</v>
      </c>
      <c r="H238" s="6">
        <v>0.0</v>
      </c>
      <c r="I238" s="6">
        <v>0.0</v>
      </c>
      <c r="J238" s="6" t="s">
        <v>11590</v>
      </c>
      <c r="K238" s="6">
        <v>4.0</v>
      </c>
      <c r="L238" s="6">
        <v>0.0</v>
      </c>
      <c r="M238" s="6">
        <v>0.0</v>
      </c>
      <c r="N238" s="669">
        <v>955000.0</v>
      </c>
      <c r="O238" s="6">
        <v>0.0</v>
      </c>
      <c r="P238" s="6">
        <v>0.0</v>
      </c>
      <c r="Q238" s="6">
        <v>0.0</v>
      </c>
      <c r="R238" s="6">
        <v>0.0</v>
      </c>
      <c r="S238" s="6">
        <v>5.0</v>
      </c>
      <c r="T238" s="6">
        <v>5.0</v>
      </c>
      <c r="U238" s="6">
        <v>0.0</v>
      </c>
    </row>
    <row r="239">
      <c r="A239" s="6" t="s">
        <v>2106</v>
      </c>
      <c r="B239" s="6" t="s">
        <v>11569</v>
      </c>
      <c r="C239" s="6" t="s">
        <v>11579</v>
      </c>
      <c r="D239" s="6" t="s">
        <v>41</v>
      </c>
      <c r="E239" s="6" t="s">
        <v>2107</v>
      </c>
      <c r="F239" s="6" t="s">
        <v>2108</v>
      </c>
      <c r="G239" s="6" t="s">
        <v>2939</v>
      </c>
      <c r="H239" s="6">
        <v>0.0</v>
      </c>
      <c r="I239" s="6">
        <v>0.0</v>
      </c>
      <c r="J239" s="6" t="s">
        <v>11590</v>
      </c>
      <c r="K239" s="6">
        <v>2.0</v>
      </c>
      <c r="L239" s="6">
        <v>0.0</v>
      </c>
      <c r="M239" s="6">
        <v>0.0</v>
      </c>
      <c r="N239" s="669">
        <v>1018000.0</v>
      </c>
      <c r="O239" s="6">
        <v>0.0</v>
      </c>
      <c r="P239" s="6">
        <v>0.0</v>
      </c>
      <c r="Q239" s="6">
        <v>0.0</v>
      </c>
      <c r="R239" s="6">
        <v>0.0</v>
      </c>
      <c r="S239" s="6" t="s">
        <v>11590</v>
      </c>
      <c r="T239" s="6">
        <v>10.0</v>
      </c>
      <c r="U239" s="6">
        <v>0.0</v>
      </c>
    </row>
    <row r="240">
      <c r="A240" s="6" t="s">
        <v>1420</v>
      </c>
      <c r="B240" s="6" t="s">
        <v>11569</v>
      </c>
      <c r="C240" s="6" t="s">
        <v>11579</v>
      </c>
      <c r="D240" s="6" t="s">
        <v>41</v>
      </c>
      <c r="E240" s="6" t="s">
        <v>1421</v>
      </c>
      <c r="F240" s="6" t="s">
        <v>97</v>
      </c>
      <c r="G240" s="6" t="s">
        <v>2939</v>
      </c>
      <c r="H240" s="6">
        <v>0.0</v>
      </c>
      <c r="I240" s="6">
        <v>0.0</v>
      </c>
      <c r="J240" s="6" t="s">
        <v>11590</v>
      </c>
      <c r="K240" s="6">
        <v>6.0</v>
      </c>
      <c r="L240" s="6">
        <v>0.0</v>
      </c>
      <c r="M240" s="6">
        <v>0.0</v>
      </c>
      <c r="N240" s="669">
        <v>840000.0</v>
      </c>
      <c r="O240" s="6">
        <v>0.0</v>
      </c>
      <c r="P240" s="6">
        <v>0.0</v>
      </c>
      <c r="Q240" s="6">
        <v>0.0</v>
      </c>
      <c r="R240" s="6">
        <v>0.0</v>
      </c>
      <c r="S240" s="6" t="s">
        <v>11590</v>
      </c>
      <c r="T240" s="6">
        <v>10.0</v>
      </c>
      <c r="U240" s="6">
        <v>0.0</v>
      </c>
    </row>
    <row r="241">
      <c r="A241" s="6" t="s">
        <v>358</v>
      </c>
      <c r="B241" s="6" t="s">
        <v>11630</v>
      </c>
      <c r="C241" s="6" t="s">
        <v>11570</v>
      </c>
      <c r="D241" s="6" t="s">
        <v>22</v>
      </c>
      <c r="E241" s="6" t="s">
        <v>11689</v>
      </c>
      <c r="F241" s="6" t="s">
        <v>97</v>
      </c>
      <c r="G241" s="6" t="s">
        <v>2939</v>
      </c>
      <c r="H241" s="6">
        <v>1.0</v>
      </c>
      <c r="I241" s="6">
        <v>0.0</v>
      </c>
      <c r="J241" s="6">
        <v>7.0</v>
      </c>
      <c r="K241" s="6">
        <v>0.0</v>
      </c>
      <c r="L241" s="6">
        <v>1.0</v>
      </c>
      <c r="M241" s="6">
        <v>0.0</v>
      </c>
      <c r="N241" s="669">
        <v>1190000.0</v>
      </c>
      <c r="O241" s="6">
        <v>0.0</v>
      </c>
      <c r="P241" s="6">
        <v>0.0</v>
      </c>
      <c r="Q241" s="6">
        <v>0.0</v>
      </c>
      <c r="R241" s="6">
        <v>0.0</v>
      </c>
      <c r="S241" s="6">
        <v>5.0</v>
      </c>
      <c r="T241" s="6">
        <v>5.0</v>
      </c>
      <c r="U241" s="6">
        <v>0.0</v>
      </c>
    </row>
    <row r="242">
      <c r="A242" s="6" t="s">
        <v>360</v>
      </c>
      <c r="B242" s="6" t="s">
        <v>11576</v>
      </c>
      <c r="C242" s="6" t="s">
        <v>11579</v>
      </c>
      <c r="D242" s="6" t="s">
        <v>41</v>
      </c>
      <c r="E242" s="6" t="s">
        <v>11689</v>
      </c>
      <c r="F242" s="6" t="s">
        <v>2193</v>
      </c>
      <c r="G242" s="6" t="s">
        <v>2939</v>
      </c>
      <c r="H242" s="6">
        <v>0.0</v>
      </c>
      <c r="I242" s="6">
        <v>0.0</v>
      </c>
      <c r="J242" s="6">
        <v>5.0</v>
      </c>
      <c r="K242" s="6">
        <v>1.0</v>
      </c>
      <c r="L242" s="6">
        <v>0.0</v>
      </c>
      <c r="M242" s="6">
        <v>0.0</v>
      </c>
      <c r="N242" s="669">
        <v>1672000.0</v>
      </c>
      <c r="O242" s="6">
        <v>0.0</v>
      </c>
      <c r="P242" s="6">
        <v>0.0</v>
      </c>
      <c r="Q242" s="6">
        <v>0.0</v>
      </c>
      <c r="R242" s="6">
        <v>0.0</v>
      </c>
      <c r="S242" s="6">
        <v>5.0</v>
      </c>
      <c r="T242" s="6">
        <v>5.0</v>
      </c>
      <c r="U242" s="6">
        <v>0.0</v>
      </c>
    </row>
    <row r="243">
      <c r="A243" s="6" t="s">
        <v>361</v>
      </c>
      <c r="B243" s="6" t="s">
        <v>11630</v>
      </c>
      <c r="C243" s="6" t="s">
        <v>11570</v>
      </c>
      <c r="D243" s="6" t="s">
        <v>22</v>
      </c>
      <c r="E243" s="6" t="s">
        <v>362</v>
      </c>
      <c r="F243" s="6" t="s">
        <v>97</v>
      </c>
      <c r="G243" s="6" t="s">
        <v>2939</v>
      </c>
      <c r="H243" s="6">
        <v>0.0</v>
      </c>
      <c r="I243" s="6">
        <v>0.0</v>
      </c>
      <c r="J243" s="6">
        <v>3.0</v>
      </c>
      <c r="K243" s="6">
        <v>5.0</v>
      </c>
      <c r="L243" s="6">
        <v>0.0</v>
      </c>
      <c r="M243" s="6">
        <v>0.0</v>
      </c>
      <c r="N243" s="669">
        <v>1671000.0</v>
      </c>
      <c r="O243" s="6">
        <v>0.0</v>
      </c>
      <c r="P243" s="6">
        <v>0.0</v>
      </c>
      <c r="Q243" s="6">
        <v>0.0</v>
      </c>
      <c r="R243" s="6">
        <v>0.0</v>
      </c>
      <c r="S243" s="6" t="s">
        <v>11590</v>
      </c>
      <c r="T243" s="6" t="s">
        <v>11590</v>
      </c>
      <c r="U243" s="6" t="s">
        <v>11590</v>
      </c>
    </row>
    <row r="244">
      <c r="A244" s="6" t="s">
        <v>363</v>
      </c>
      <c r="B244" s="6" t="s">
        <v>11576</v>
      </c>
      <c r="C244" s="6" t="s">
        <v>11579</v>
      </c>
      <c r="D244" s="6" t="s">
        <v>41</v>
      </c>
      <c r="E244" s="6" t="s">
        <v>364</v>
      </c>
      <c r="F244" s="6" t="s">
        <v>2193</v>
      </c>
      <c r="G244" s="6" t="s">
        <v>2939</v>
      </c>
      <c r="H244" s="6">
        <v>0.0</v>
      </c>
      <c r="I244" s="6">
        <v>0.0</v>
      </c>
      <c r="J244" s="6">
        <v>10.0</v>
      </c>
      <c r="K244" s="6">
        <v>5.0</v>
      </c>
      <c r="L244" s="6">
        <v>0.0</v>
      </c>
      <c r="M244" s="6">
        <v>0.0</v>
      </c>
      <c r="N244" s="669">
        <v>1543000.0</v>
      </c>
      <c r="O244" s="6">
        <v>0.0</v>
      </c>
      <c r="P244" s="6">
        <v>0.0</v>
      </c>
      <c r="Q244" s="6">
        <v>0.0</v>
      </c>
      <c r="R244" s="6">
        <v>0.0</v>
      </c>
      <c r="S244" s="6" t="s">
        <v>11590</v>
      </c>
      <c r="T244" s="6">
        <v>10.0</v>
      </c>
      <c r="U244" s="6">
        <v>0.0</v>
      </c>
    </row>
    <row r="245">
      <c r="A245" s="6" t="s">
        <v>365</v>
      </c>
      <c r="B245" s="6" t="s">
        <v>11576</v>
      </c>
      <c r="C245" s="6" t="s">
        <v>11570</v>
      </c>
      <c r="D245" s="6" t="s">
        <v>22</v>
      </c>
      <c r="E245" s="6" t="s">
        <v>366</v>
      </c>
      <c r="F245" s="6" t="s">
        <v>97</v>
      </c>
      <c r="G245" s="6" t="s">
        <v>2939</v>
      </c>
      <c r="H245" s="6">
        <v>0.0</v>
      </c>
      <c r="I245" s="6">
        <v>0.0</v>
      </c>
      <c r="J245" s="6" t="s">
        <v>11590</v>
      </c>
      <c r="K245" s="6">
        <v>5.0</v>
      </c>
      <c r="L245" s="6">
        <v>0.0</v>
      </c>
      <c r="M245" s="6">
        <v>0.0</v>
      </c>
      <c r="N245" s="669">
        <v>1570000.0</v>
      </c>
      <c r="O245" s="6">
        <v>0.0</v>
      </c>
      <c r="P245" s="6">
        <v>0.0</v>
      </c>
      <c r="Q245" s="6">
        <v>0.0</v>
      </c>
      <c r="R245" s="6">
        <v>0.0</v>
      </c>
      <c r="S245" s="6">
        <v>0.0</v>
      </c>
      <c r="T245" s="6">
        <v>0.0</v>
      </c>
      <c r="U245" s="6" t="s">
        <v>11590</v>
      </c>
    </row>
    <row r="246">
      <c r="A246" s="6" t="s">
        <v>367</v>
      </c>
      <c r="B246" s="6" t="s">
        <v>11576</v>
      </c>
      <c r="C246" s="6" t="s">
        <v>11579</v>
      </c>
      <c r="D246" s="6" t="s">
        <v>41</v>
      </c>
      <c r="E246" s="6" t="s">
        <v>366</v>
      </c>
      <c r="F246" s="6" t="s">
        <v>2193</v>
      </c>
      <c r="G246" s="6" t="s">
        <v>2939</v>
      </c>
      <c r="H246" s="6">
        <v>0.0</v>
      </c>
      <c r="I246" s="6">
        <v>0.0</v>
      </c>
      <c r="J246" s="6">
        <v>0.0</v>
      </c>
      <c r="K246" s="6">
        <v>2.0</v>
      </c>
      <c r="L246" s="6">
        <v>0.0</v>
      </c>
      <c r="M246" s="6">
        <v>0.0</v>
      </c>
      <c r="N246" s="669">
        <v>1308000.0</v>
      </c>
      <c r="O246" s="6">
        <v>0.0</v>
      </c>
      <c r="P246" s="6">
        <v>0.0</v>
      </c>
      <c r="Q246" s="6">
        <v>0.0</v>
      </c>
      <c r="R246" s="6">
        <v>0.0</v>
      </c>
      <c r="S246" s="6">
        <v>8.0</v>
      </c>
      <c r="T246" s="6">
        <v>0.0</v>
      </c>
      <c r="U246" s="6">
        <v>0.0</v>
      </c>
    </row>
    <row r="247">
      <c r="A247" s="6" t="s">
        <v>368</v>
      </c>
      <c r="B247" s="6" t="s">
        <v>11576</v>
      </c>
      <c r="C247" s="6" t="s">
        <v>11570</v>
      </c>
      <c r="D247" s="6" t="s">
        <v>22</v>
      </c>
      <c r="E247" s="6" t="s">
        <v>369</v>
      </c>
      <c r="F247" s="6" t="s">
        <v>125</v>
      </c>
      <c r="G247" s="6" t="s">
        <v>2939</v>
      </c>
      <c r="H247" s="6">
        <v>0.0</v>
      </c>
      <c r="I247" s="6">
        <v>0.0</v>
      </c>
      <c r="J247" s="6" t="s">
        <v>11590</v>
      </c>
      <c r="K247" s="6">
        <v>5.0</v>
      </c>
      <c r="L247" s="6">
        <v>0.0</v>
      </c>
      <c r="M247" s="6">
        <v>0.0</v>
      </c>
      <c r="N247" s="669">
        <v>1765000.0</v>
      </c>
      <c r="O247" s="6">
        <v>0.0</v>
      </c>
      <c r="P247" s="6">
        <v>0.0</v>
      </c>
      <c r="Q247" s="6">
        <v>0.0</v>
      </c>
      <c r="R247" s="6">
        <v>0.0</v>
      </c>
      <c r="S247" s="6">
        <v>0.0</v>
      </c>
      <c r="T247" s="6">
        <v>0.0</v>
      </c>
      <c r="U247" s="6" t="s">
        <v>11590</v>
      </c>
    </row>
    <row r="248">
      <c r="A248" s="6" t="s">
        <v>1429</v>
      </c>
      <c r="B248" s="6" t="s">
        <v>11569</v>
      </c>
      <c r="C248" s="6" t="s">
        <v>11579</v>
      </c>
      <c r="D248" s="6" t="s">
        <v>41</v>
      </c>
      <c r="E248" s="6" t="s">
        <v>369</v>
      </c>
      <c r="F248" s="6" t="s">
        <v>2193</v>
      </c>
      <c r="G248" s="6" t="s">
        <v>2939</v>
      </c>
      <c r="H248" s="6">
        <v>0.0</v>
      </c>
      <c r="I248" s="6">
        <v>0.0</v>
      </c>
      <c r="J248" s="6">
        <v>0.0</v>
      </c>
      <c r="K248" s="6">
        <v>2.0</v>
      </c>
      <c r="L248" s="6">
        <v>0.0</v>
      </c>
      <c r="M248" s="6">
        <v>0.0</v>
      </c>
      <c r="N248" s="669">
        <v>1413000.0</v>
      </c>
      <c r="O248" s="6">
        <v>0.0</v>
      </c>
      <c r="P248" s="6">
        <v>0.0</v>
      </c>
      <c r="Q248" s="6">
        <v>0.0</v>
      </c>
      <c r="R248" s="6">
        <v>0.0</v>
      </c>
      <c r="S248" s="6">
        <v>5.0</v>
      </c>
      <c r="T248" s="6">
        <v>0.0</v>
      </c>
      <c r="U248" s="6">
        <v>0.0</v>
      </c>
    </row>
    <row r="249">
      <c r="A249" s="6" t="s">
        <v>2112</v>
      </c>
      <c r="B249" s="6" t="s">
        <v>11569</v>
      </c>
      <c r="C249" s="6" t="s">
        <v>11570</v>
      </c>
      <c r="D249" s="6" t="s">
        <v>22</v>
      </c>
      <c r="E249" s="6" t="s">
        <v>2113</v>
      </c>
      <c r="F249" s="6" t="s">
        <v>125</v>
      </c>
      <c r="G249" s="6" t="s">
        <v>2939</v>
      </c>
      <c r="H249" s="6">
        <v>0.0</v>
      </c>
      <c r="I249" s="6">
        <v>0.0</v>
      </c>
      <c r="J249" s="6">
        <v>3.0</v>
      </c>
      <c r="K249" s="6">
        <v>0.0</v>
      </c>
      <c r="L249" s="6">
        <v>0.0</v>
      </c>
      <c r="M249" s="6">
        <v>0.0</v>
      </c>
      <c r="N249" s="669">
        <v>2322000.0</v>
      </c>
      <c r="O249" s="6">
        <v>0.0</v>
      </c>
      <c r="P249" s="6">
        <v>0.0</v>
      </c>
      <c r="Q249" s="6">
        <v>0.0</v>
      </c>
      <c r="R249" s="6">
        <v>0.0</v>
      </c>
      <c r="S249" s="6" t="s">
        <v>11590</v>
      </c>
      <c r="T249" s="6">
        <v>0.0</v>
      </c>
      <c r="U249" s="6">
        <v>0.0</v>
      </c>
    </row>
    <row r="250">
      <c r="A250" s="6" t="s">
        <v>2028</v>
      </c>
      <c r="B250" s="6" t="s">
        <v>11653</v>
      </c>
      <c r="C250" s="6" t="s">
        <v>11570</v>
      </c>
      <c r="D250" s="6" t="s">
        <v>22</v>
      </c>
      <c r="E250" s="6" t="s">
        <v>2029</v>
      </c>
      <c r="G250" s="6" t="s">
        <v>2939</v>
      </c>
      <c r="H250" s="6">
        <v>0.0</v>
      </c>
      <c r="I250" s="6">
        <v>0.0</v>
      </c>
      <c r="J250" s="6">
        <v>0.0</v>
      </c>
      <c r="K250" s="6">
        <v>0.0</v>
      </c>
      <c r="L250" s="6">
        <v>3.0</v>
      </c>
      <c r="M250" s="6">
        <v>0.0</v>
      </c>
      <c r="N250" s="669">
        <v>1375000.0</v>
      </c>
      <c r="O250" s="6">
        <v>0.0</v>
      </c>
      <c r="P250" s="6">
        <v>0.0</v>
      </c>
      <c r="Q250" s="6">
        <v>0.0</v>
      </c>
      <c r="R250" s="6">
        <v>0.0</v>
      </c>
      <c r="S250" s="6">
        <v>0.0</v>
      </c>
      <c r="T250" s="6">
        <v>0.0</v>
      </c>
      <c r="U250" s="6">
        <v>0.0</v>
      </c>
    </row>
    <row r="251">
      <c r="A251" s="6" t="s">
        <v>370</v>
      </c>
      <c r="B251" s="6" t="s">
        <v>11576</v>
      </c>
      <c r="C251" s="6" t="s">
        <v>11570</v>
      </c>
      <c r="D251" s="6" t="s">
        <v>22</v>
      </c>
      <c r="E251" s="6" t="s">
        <v>11690</v>
      </c>
      <c r="F251" s="6" t="s">
        <v>125</v>
      </c>
      <c r="G251" s="6" t="s">
        <v>2939</v>
      </c>
      <c r="H251" s="6">
        <v>0.0</v>
      </c>
      <c r="I251" s="6">
        <v>0.0</v>
      </c>
      <c r="J251" s="6" t="s">
        <v>11590</v>
      </c>
      <c r="K251" s="6">
        <v>0.0</v>
      </c>
      <c r="L251" s="6">
        <v>0.0</v>
      </c>
      <c r="M251" s="6">
        <v>0.0</v>
      </c>
      <c r="N251" s="669">
        <v>1305000.0</v>
      </c>
      <c r="O251" s="6">
        <v>0.0</v>
      </c>
      <c r="P251" s="6">
        <v>0.0</v>
      </c>
      <c r="Q251" s="6">
        <v>0.0</v>
      </c>
      <c r="R251" s="6">
        <v>0.0</v>
      </c>
      <c r="S251" s="6">
        <v>0.0</v>
      </c>
      <c r="T251" s="6">
        <v>0.0</v>
      </c>
      <c r="U251" s="6">
        <v>0.0</v>
      </c>
    </row>
    <row r="252">
      <c r="A252" s="6" t="s">
        <v>372</v>
      </c>
      <c r="B252" s="6" t="s">
        <v>11576</v>
      </c>
      <c r="C252" s="6" t="s">
        <v>11579</v>
      </c>
      <c r="D252" s="6" t="s">
        <v>41</v>
      </c>
      <c r="E252" s="6" t="s">
        <v>11690</v>
      </c>
      <c r="F252" s="6" t="s">
        <v>11691</v>
      </c>
      <c r="G252" s="6" t="s">
        <v>2939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69">
        <v>1776000.0</v>
      </c>
      <c r="O252" s="6">
        <v>0.0</v>
      </c>
      <c r="P252" s="6">
        <v>0.0</v>
      </c>
      <c r="Q252" s="6">
        <v>0.0</v>
      </c>
      <c r="R252" s="6">
        <v>0.0</v>
      </c>
      <c r="S252" s="6">
        <v>5.0</v>
      </c>
      <c r="T252" s="6">
        <v>0.0</v>
      </c>
      <c r="U252" s="6">
        <v>0.0</v>
      </c>
    </row>
    <row r="253">
      <c r="A253" s="6" t="s">
        <v>374</v>
      </c>
      <c r="B253" s="6" t="s">
        <v>11576</v>
      </c>
      <c r="C253" s="6" t="s">
        <v>11591</v>
      </c>
      <c r="D253" s="6" t="s">
        <v>128</v>
      </c>
      <c r="E253" s="6" t="s">
        <v>11690</v>
      </c>
      <c r="G253" s="6" t="s">
        <v>2939</v>
      </c>
      <c r="H253" s="6">
        <v>0.0</v>
      </c>
      <c r="I253" s="6">
        <v>0.0</v>
      </c>
      <c r="J253" s="6">
        <v>2.0</v>
      </c>
      <c r="K253" s="6">
        <v>0.0</v>
      </c>
      <c r="L253" s="6">
        <v>0.0</v>
      </c>
      <c r="M253" s="6">
        <v>0.0</v>
      </c>
      <c r="N253" s="669">
        <v>589000.0</v>
      </c>
      <c r="O253" s="6">
        <v>0.0</v>
      </c>
      <c r="P253" s="6">
        <v>0.0</v>
      </c>
      <c r="Q253" s="6">
        <v>0.0</v>
      </c>
      <c r="R253" s="6">
        <v>0.0</v>
      </c>
      <c r="S253" s="6">
        <v>0.0</v>
      </c>
      <c r="T253" s="6">
        <v>0.0</v>
      </c>
      <c r="U253" s="6">
        <v>0.0</v>
      </c>
    </row>
    <row r="254">
      <c r="A254" s="6" t="s">
        <v>375</v>
      </c>
      <c r="B254" s="6" t="s">
        <v>11576</v>
      </c>
      <c r="C254" s="6" t="s">
        <v>11591</v>
      </c>
      <c r="D254" s="6" t="s">
        <v>130</v>
      </c>
      <c r="E254" s="6" t="s">
        <v>11690</v>
      </c>
      <c r="G254" s="6" t="s">
        <v>2939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69">
        <v>589000.0</v>
      </c>
      <c r="O254" s="6">
        <v>0.0</v>
      </c>
      <c r="P254" s="6">
        <v>0.0</v>
      </c>
      <c r="Q254" s="6">
        <v>0.0</v>
      </c>
      <c r="R254" s="6">
        <v>0.0</v>
      </c>
      <c r="S254" s="6">
        <v>0.0</v>
      </c>
      <c r="T254" s="6">
        <v>0.0</v>
      </c>
      <c r="U254" s="6">
        <v>0.0</v>
      </c>
    </row>
    <row r="255">
      <c r="A255" s="6" t="s">
        <v>376</v>
      </c>
      <c r="B255" s="6" t="s">
        <v>11576</v>
      </c>
      <c r="C255" s="6" t="s">
        <v>11591</v>
      </c>
      <c r="D255" s="6" t="s">
        <v>202</v>
      </c>
      <c r="E255" s="6" t="s">
        <v>11690</v>
      </c>
      <c r="F255" s="6" t="s">
        <v>97</v>
      </c>
      <c r="G255" s="6" t="s">
        <v>2939</v>
      </c>
      <c r="H255" s="6">
        <v>0.0</v>
      </c>
      <c r="I255" s="6">
        <v>0.0</v>
      </c>
      <c r="J255" s="6">
        <v>1.0</v>
      </c>
      <c r="K255" s="6">
        <v>0.0</v>
      </c>
      <c r="L255" s="6">
        <v>0.0</v>
      </c>
      <c r="M255" s="6">
        <v>0.0</v>
      </c>
      <c r="N255" s="669">
        <v>795000.0</v>
      </c>
      <c r="O255" s="6">
        <v>0.0</v>
      </c>
      <c r="P255" s="6">
        <v>0.0</v>
      </c>
      <c r="Q255" s="6">
        <v>0.0</v>
      </c>
      <c r="R255" s="6">
        <v>0.0</v>
      </c>
      <c r="S255" s="6">
        <v>0.0</v>
      </c>
      <c r="T255" s="6">
        <v>0.0</v>
      </c>
      <c r="U255" s="6">
        <v>0.0</v>
      </c>
    </row>
    <row r="256">
      <c r="A256" s="6" t="s">
        <v>377</v>
      </c>
      <c r="B256" s="6" t="s">
        <v>11576</v>
      </c>
      <c r="C256" s="6" t="s">
        <v>11591</v>
      </c>
      <c r="D256" s="6" t="s">
        <v>236</v>
      </c>
      <c r="E256" s="6" t="s">
        <v>11690</v>
      </c>
      <c r="F256" s="6" t="s">
        <v>97</v>
      </c>
      <c r="G256" s="6" t="s">
        <v>2939</v>
      </c>
      <c r="H256" s="6">
        <v>0.0</v>
      </c>
      <c r="I256" s="6">
        <v>0.0</v>
      </c>
      <c r="J256" s="6">
        <v>1.0</v>
      </c>
      <c r="K256" s="6">
        <v>0.0</v>
      </c>
      <c r="L256" s="6">
        <v>0.0</v>
      </c>
      <c r="M256" s="6">
        <v>0.0</v>
      </c>
      <c r="N256" s="669">
        <v>795000.0</v>
      </c>
      <c r="O256" s="6">
        <v>0.0</v>
      </c>
      <c r="P256" s="6">
        <v>0.0</v>
      </c>
      <c r="Q256" s="6">
        <v>0.0</v>
      </c>
      <c r="R256" s="6">
        <v>0.0</v>
      </c>
      <c r="S256" s="6">
        <v>0.0</v>
      </c>
      <c r="T256" s="6">
        <v>0.0</v>
      </c>
      <c r="U256" s="6">
        <v>0.0</v>
      </c>
    </row>
    <row r="257">
      <c r="A257" s="6" t="s">
        <v>378</v>
      </c>
      <c r="B257" s="6" t="s">
        <v>11576</v>
      </c>
      <c r="C257" s="6" t="s">
        <v>11570</v>
      </c>
      <c r="D257" s="6" t="s">
        <v>22</v>
      </c>
      <c r="E257" s="6" t="s">
        <v>11692</v>
      </c>
      <c r="F257" s="6" t="s">
        <v>125</v>
      </c>
      <c r="G257" s="6" t="s">
        <v>2939</v>
      </c>
      <c r="H257" s="6">
        <v>0.0</v>
      </c>
      <c r="I257" s="6">
        <v>0.0</v>
      </c>
      <c r="J257" s="6">
        <v>8.0</v>
      </c>
      <c r="K257" s="6">
        <v>6.0</v>
      </c>
      <c r="L257" s="6">
        <v>0.0</v>
      </c>
      <c r="M257" s="6">
        <v>0.0</v>
      </c>
      <c r="N257" s="669">
        <v>1204000.0</v>
      </c>
      <c r="O257" s="6">
        <v>0.0</v>
      </c>
      <c r="P257" s="6">
        <v>0.0</v>
      </c>
      <c r="Q257" s="6">
        <v>0.0</v>
      </c>
      <c r="R257" s="6">
        <v>0.0</v>
      </c>
      <c r="S257" s="6">
        <v>0.0</v>
      </c>
      <c r="T257" s="6">
        <v>0.0</v>
      </c>
      <c r="U257" s="6">
        <v>0.0</v>
      </c>
    </row>
    <row r="258">
      <c r="A258" s="6" t="s">
        <v>380</v>
      </c>
      <c r="B258" s="6" t="s">
        <v>11578</v>
      </c>
      <c r="C258" s="6" t="s">
        <v>11591</v>
      </c>
      <c r="D258" s="6" t="s">
        <v>132</v>
      </c>
      <c r="E258" s="6" t="s">
        <v>11692</v>
      </c>
      <c r="G258" s="6" t="s">
        <v>2939</v>
      </c>
      <c r="H258" s="6">
        <v>5.0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69">
        <v>354000.0</v>
      </c>
      <c r="O258" s="6">
        <v>0.0</v>
      </c>
      <c r="P258" s="6">
        <v>0.0</v>
      </c>
      <c r="Q258" s="6">
        <v>0.0</v>
      </c>
      <c r="R258" s="6">
        <v>0.0</v>
      </c>
      <c r="S258" s="6">
        <v>0.0</v>
      </c>
      <c r="T258" s="6">
        <v>0.0</v>
      </c>
      <c r="U258" s="6">
        <v>0.0</v>
      </c>
    </row>
    <row r="259">
      <c r="A259" s="6" t="s">
        <v>381</v>
      </c>
      <c r="B259" s="6" t="s">
        <v>11576</v>
      </c>
      <c r="C259" s="6" t="s">
        <v>11579</v>
      </c>
      <c r="D259" s="6" t="s">
        <v>41</v>
      </c>
      <c r="E259" s="6" t="s">
        <v>11692</v>
      </c>
      <c r="F259" s="6" t="s">
        <v>2193</v>
      </c>
      <c r="G259" s="6" t="s">
        <v>2939</v>
      </c>
      <c r="H259" s="6">
        <v>0.0</v>
      </c>
      <c r="I259" s="6">
        <v>0.0</v>
      </c>
      <c r="J259" s="6">
        <v>8.0</v>
      </c>
      <c r="K259" s="6">
        <v>1.0</v>
      </c>
      <c r="L259" s="6">
        <v>0.0</v>
      </c>
      <c r="M259" s="6">
        <v>0.0</v>
      </c>
      <c r="N259" s="669">
        <v>1667000.0</v>
      </c>
      <c r="O259" s="6">
        <v>0.0</v>
      </c>
      <c r="P259" s="6">
        <v>0.0</v>
      </c>
      <c r="Q259" s="6">
        <v>0.0</v>
      </c>
      <c r="R259" s="6">
        <v>0.0</v>
      </c>
      <c r="S259" s="6">
        <v>0.0</v>
      </c>
      <c r="T259" s="6">
        <v>0.0</v>
      </c>
      <c r="U259" s="6">
        <v>0.0</v>
      </c>
    </row>
    <row r="260">
      <c r="A260" s="6" t="s">
        <v>382</v>
      </c>
      <c r="B260" s="6" t="s">
        <v>11576</v>
      </c>
      <c r="C260" s="6" t="s">
        <v>11570</v>
      </c>
      <c r="D260" s="6" t="s">
        <v>22</v>
      </c>
      <c r="E260" s="6" t="s">
        <v>11693</v>
      </c>
      <c r="F260" s="6" t="s">
        <v>97</v>
      </c>
      <c r="G260" s="6" t="s">
        <v>2939</v>
      </c>
      <c r="H260" s="6">
        <v>0.0</v>
      </c>
      <c r="I260" s="6">
        <v>0.0</v>
      </c>
      <c r="J260" s="6" t="s">
        <v>11590</v>
      </c>
      <c r="K260" s="6">
        <v>0.0</v>
      </c>
      <c r="L260" s="6">
        <v>0.0</v>
      </c>
      <c r="M260" s="6">
        <v>0.0</v>
      </c>
      <c r="N260" s="669">
        <v>1220000.0</v>
      </c>
      <c r="O260" s="6">
        <v>0.0</v>
      </c>
      <c r="P260" s="6">
        <v>0.0</v>
      </c>
      <c r="Q260" s="6">
        <v>0.0</v>
      </c>
      <c r="R260" s="6">
        <v>0.0</v>
      </c>
      <c r="S260" s="6">
        <v>10.0</v>
      </c>
      <c r="T260" s="6">
        <v>5.0</v>
      </c>
      <c r="U260" s="6">
        <v>0.0</v>
      </c>
    </row>
    <row r="261">
      <c r="A261" s="6" t="s">
        <v>384</v>
      </c>
      <c r="B261" s="6" t="s">
        <v>11576</v>
      </c>
      <c r="C261" s="6" t="s">
        <v>11579</v>
      </c>
      <c r="D261" s="6" t="s">
        <v>41</v>
      </c>
      <c r="E261" s="6" t="s">
        <v>11693</v>
      </c>
      <c r="F261" s="6" t="s">
        <v>2193</v>
      </c>
      <c r="G261" s="6" t="s">
        <v>2939</v>
      </c>
      <c r="H261" s="6">
        <v>0.0</v>
      </c>
      <c r="I261" s="6">
        <v>0.0</v>
      </c>
      <c r="J261" s="6">
        <v>1.0</v>
      </c>
      <c r="K261" s="6">
        <v>0.0</v>
      </c>
      <c r="L261" s="6">
        <v>0.0</v>
      </c>
      <c r="M261" s="6">
        <v>0.0</v>
      </c>
      <c r="N261" s="669">
        <v>1776000.0</v>
      </c>
      <c r="O261" s="6">
        <v>0.0</v>
      </c>
      <c r="P261" s="6">
        <v>0.0</v>
      </c>
      <c r="Q261" s="6">
        <v>0.0</v>
      </c>
      <c r="R261" s="6">
        <v>0.0</v>
      </c>
      <c r="S261" s="6">
        <v>5.0</v>
      </c>
      <c r="T261" s="6">
        <v>0.0</v>
      </c>
      <c r="U261" s="6">
        <v>0.0</v>
      </c>
    </row>
    <row r="262">
      <c r="A262" s="6" t="s">
        <v>385</v>
      </c>
      <c r="B262" s="6" t="s">
        <v>11578</v>
      </c>
      <c r="C262" s="6" t="s">
        <v>11591</v>
      </c>
      <c r="D262" s="6" t="s">
        <v>134</v>
      </c>
      <c r="E262" s="6" t="s">
        <v>11693</v>
      </c>
      <c r="G262" s="6" t="s">
        <v>2939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69">
        <v>354000.0</v>
      </c>
      <c r="O262" s="6">
        <v>0.0</v>
      </c>
      <c r="P262" s="6">
        <v>0.0</v>
      </c>
      <c r="Q262" s="6">
        <v>0.0</v>
      </c>
      <c r="R262" s="6">
        <v>0.0</v>
      </c>
      <c r="S262" s="6">
        <v>0.0</v>
      </c>
      <c r="T262" s="6">
        <v>0.0</v>
      </c>
      <c r="U262" s="6">
        <v>0.0</v>
      </c>
    </row>
    <row r="263">
      <c r="A263" s="6" t="s">
        <v>386</v>
      </c>
      <c r="B263" s="6" t="s">
        <v>11578</v>
      </c>
      <c r="C263" s="6" t="s">
        <v>11591</v>
      </c>
      <c r="D263" s="6" t="s">
        <v>387</v>
      </c>
      <c r="E263" s="6" t="s">
        <v>11693</v>
      </c>
      <c r="F263" s="6" t="s">
        <v>97</v>
      </c>
      <c r="G263" s="6" t="s">
        <v>2939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69">
        <v>195000.0</v>
      </c>
      <c r="O263" s="6">
        <v>0.0</v>
      </c>
      <c r="P263" s="6">
        <v>0.0</v>
      </c>
      <c r="Q263" s="6">
        <v>0.0</v>
      </c>
      <c r="R263" s="6">
        <v>0.0</v>
      </c>
      <c r="S263" s="6">
        <v>0.0</v>
      </c>
      <c r="T263" s="6">
        <v>0.0</v>
      </c>
      <c r="U263" s="6">
        <v>0.0</v>
      </c>
    </row>
    <row r="264">
      <c r="A264" s="6" t="s">
        <v>388</v>
      </c>
      <c r="B264" s="6" t="s">
        <v>11578</v>
      </c>
      <c r="C264" s="6" t="s">
        <v>11591</v>
      </c>
      <c r="D264" s="6" t="s">
        <v>389</v>
      </c>
      <c r="E264" s="6" t="s">
        <v>11693</v>
      </c>
      <c r="F264" s="6" t="s">
        <v>97</v>
      </c>
      <c r="G264" s="6" t="s">
        <v>2939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69">
        <v>195000.0</v>
      </c>
      <c r="O264" s="6">
        <v>0.0</v>
      </c>
      <c r="P264" s="6">
        <v>0.0</v>
      </c>
      <c r="Q264" s="6">
        <v>0.0</v>
      </c>
      <c r="R264" s="6">
        <v>0.0</v>
      </c>
      <c r="S264" s="6">
        <v>0.0</v>
      </c>
      <c r="T264" s="6">
        <v>0.0</v>
      </c>
      <c r="U264" s="6">
        <v>0.0</v>
      </c>
    </row>
    <row r="265">
      <c r="A265" s="6" t="s">
        <v>390</v>
      </c>
      <c r="B265" s="6" t="s">
        <v>11576</v>
      </c>
      <c r="C265" s="6" t="s">
        <v>11570</v>
      </c>
      <c r="D265" s="6" t="s">
        <v>22</v>
      </c>
      <c r="E265" s="6" t="s">
        <v>11694</v>
      </c>
      <c r="F265" s="6" t="s">
        <v>97</v>
      </c>
      <c r="G265" s="6" t="s">
        <v>2939</v>
      </c>
      <c r="H265" s="6">
        <v>0.0</v>
      </c>
      <c r="I265" s="6">
        <v>0.0</v>
      </c>
      <c r="J265" s="6">
        <v>8.0</v>
      </c>
      <c r="K265" s="6" t="s">
        <v>11590</v>
      </c>
      <c r="L265" s="6">
        <v>0.0</v>
      </c>
      <c r="M265" s="6">
        <v>0.0</v>
      </c>
      <c r="N265" s="669">
        <v>2118000.0</v>
      </c>
      <c r="O265" s="6">
        <v>0.0</v>
      </c>
      <c r="P265" s="6">
        <v>0.0</v>
      </c>
      <c r="Q265" s="6">
        <v>0.0</v>
      </c>
      <c r="R265" s="6">
        <v>0.0</v>
      </c>
      <c r="S265" s="6" t="s">
        <v>11590</v>
      </c>
      <c r="T265" s="6">
        <v>0.0</v>
      </c>
      <c r="U265" s="6">
        <v>0.0</v>
      </c>
    </row>
    <row r="266">
      <c r="A266" s="6" t="s">
        <v>392</v>
      </c>
      <c r="B266" s="6" t="s">
        <v>11576</v>
      </c>
      <c r="C266" s="6" t="s">
        <v>11579</v>
      </c>
      <c r="D266" s="6" t="s">
        <v>41</v>
      </c>
      <c r="E266" s="6" t="s">
        <v>11694</v>
      </c>
      <c r="F266" s="6" t="s">
        <v>2062</v>
      </c>
      <c r="G266" s="6" t="s">
        <v>2939</v>
      </c>
      <c r="H266" s="6">
        <v>0.0</v>
      </c>
      <c r="I266" s="6">
        <v>0.0</v>
      </c>
      <c r="J266" s="6" t="s">
        <v>11590</v>
      </c>
      <c r="K266" s="6">
        <v>7.0</v>
      </c>
      <c r="L266" s="6">
        <v>0.0</v>
      </c>
      <c r="M266" s="6">
        <v>0.0</v>
      </c>
      <c r="N266" s="669">
        <v>2084000.0</v>
      </c>
      <c r="O266" s="6">
        <v>0.0</v>
      </c>
      <c r="P266" s="6">
        <v>0.0</v>
      </c>
      <c r="Q266" s="6">
        <v>0.0</v>
      </c>
      <c r="R266" s="6">
        <v>0.0</v>
      </c>
      <c r="S266" s="6">
        <v>0.0</v>
      </c>
      <c r="T266" s="6">
        <v>0.0</v>
      </c>
      <c r="U266" s="6">
        <v>0.0</v>
      </c>
    </row>
    <row r="267">
      <c r="A267" s="6" t="s">
        <v>1440</v>
      </c>
      <c r="B267" s="6" t="s">
        <v>11569</v>
      </c>
      <c r="C267" s="6" t="s">
        <v>11579</v>
      </c>
      <c r="D267" s="6" t="s">
        <v>41</v>
      </c>
      <c r="E267" s="6" t="s">
        <v>11695</v>
      </c>
      <c r="F267" s="6" t="s">
        <v>2193</v>
      </c>
      <c r="G267" s="6" t="s">
        <v>2939</v>
      </c>
      <c r="H267" s="6">
        <v>0.0</v>
      </c>
      <c r="I267" s="6">
        <v>0.0</v>
      </c>
      <c r="J267" s="6">
        <v>2.0</v>
      </c>
      <c r="K267" s="6">
        <v>0.0</v>
      </c>
      <c r="L267" s="6">
        <v>0.0</v>
      </c>
      <c r="M267" s="6">
        <v>0.0</v>
      </c>
      <c r="N267" s="669">
        <v>3297000.0</v>
      </c>
      <c r="O267" s="6">
        <v>0.0</v>
      </c>
      <c r="P267" s="6">
        <v>0.0</v>
      </c>
      <c r="Q267" s="6">
        <v>0.0</v>
      </c>
      <c r="R267" s="6">
        <v>0.0</v>
      </c>
      <c r="S267" s="6">
        <v>0.0</v>
      </c>
      <c r="T267" s="6">
        <v>0.0</v>
      </c>
      <c r="U267" s="6">
        <v>0.0</v>
      </c>
    </row>
    <row r="268">
      <c r="A268" s="6" t="s">
        <v>393</v>
      </c>
      <c r="B268" s="6" t="s">
        <v>11576</v>
      </c>
      <c r="C268" s="6" t="s">
        <v>11570</v>
      </c>
      <c r="D268" s="6" t="s">
        <v>22</v>
      </c>
      <c r="E268" s="6" t="s">
        <v>394</v>
      </c>
      <c r="F268" s="6" t="s">
        <v>125</v>
      </c>
      <c r="G268" s="6" t="s">
        <v>2939</v>
      </c>
      <c r="H268" s="6">
        <v>0.0</v>
      </c>
      <c r="I268" s="6">
        <v>0.0</v>
      </c>
      <c r="J268" s="6" t="s">
        <v>11590</v>
      </c>
      <c r="K268" s="6">
        <v>9.0</v>
      </c>
      <c r="L268" s="6">
        <v>0.0</v>
      </c>
      <c r="M268" s="6">
        <v>0.0</v>
      </c>
      <c r="N268" s="669">
        <v>1636000.0</v>
      </c>
      <c r="O268" s="6">
        <v>0.0</v>
      </c>
      <c r="P268" s="6">
        <v>0.0</v>
      </c>
      <c r="Q268" s="6">
        <v>0.0</v>
      </c>
      <c r="R268" s="6">
        <v>0.0</v>
      </c>
      <c r="S268" s="6" t="s">
        <v>11590</v>
      </c>
      <c r="T268" s="6">
        <v>5.0</v>
      </c>
      <c r="U268" s="6">
        <v>0.0</v>
      </c>
    </row>
    <row r="269">
      <c r="A269" s="6" t="s">
        <v>395</v>
      </c>
      <c r="B269" s="6" t="s">
        <v>11576</v>
      </c>
      <c r="C269" s="6" t="s">
        <v>11579</v>
      </c>
      <c r="D269" s="6" t="s">
        <v>41</v>
      </c>
      <c r="E269" s="6" t="s">
        <v>394</v>
      </c>
      <c r="F269" s="6" t="s">
        <v>2193</v>
      </c>
      <c r="G269" s="6" t="s">
        <v>2939</v>
      </c>
      <c r="H269" s="6">
        <v>0.0</v>
      </c>
      <c r="I269" s="6">
        <v>0.0</v>
      </c>
      <c r="J269" s="6">
        <v>2.0</v>
      </c>
      <c r="K269" s="6">
        <v>1.0</v>
      </c>
      <c r="L269" s="6">
        <v>0.0</v>
      </c>
      <c r="M269" s="6">
        <v>0.0</v>
      </c>
      <c r="N269" s="669">
        <v>1696000.0</v>
      </c>
      <c r="O269" s="6">
        <v>0.0</v>
      </c>
      <c r="P269" s="6">
        <v>0.0</v>
      </c>
      <c r="Q269" s="6">
        <v>0.0</v>
      </c>
      <c r="R269" s="6">
        <v>0.0</v>
      </c>
      <c r="S269" s="6">
        <v>5.0</v>
      </c>
      <c r="T269" s="6">
        <v>0.0</v>
      </c>
      <c r="U269" s="6">
        <v>0.0</v>
      </c>
    </row>
    <row r="270">
      <c r="A270" s="6" t="s">
        <v>396</v>
      </c>
      <c r="B270" s="6" t="s">
        <v>11576</v>
      </c>
      <c r="C270" s="6" t="s">
        <v>11591</v>
      </c>
      <c r="D270" s="6" t="s">
        <v>128</v>
      </c>
      <c r="E270" s="6" t="s">
        <v>394</v>
      </c>
      <c r="F270" s="6" t="s">
        <v>397</v>
      </c>
      <c r="G270" s="6" t="s">
        <v>2939</v>
      </c>
      <c r="H270" s="6">
        <v>0.0</v>
      </c>
      <c r="I270" s="6">
        <v>0.0</v>
      </c>
      <c r="J270" s="6">
        <v>3.0</v>
      </c>
      <c r="K270" s="6">
        <v>0.0</v>
      </c>
      <c r="L270" s="6">
        <v>0.0</v>
      </c>
      <c r="M270" s="6">
        <v>0.0</v>
      </c>
      <c r="N270" s="669">
        <v>461000.0</v>
      </c>
      <c r="O270" s="6">
        <v>0.0</v>
      </c>
      <c r="P270" s="6">
        <v>0.0</v>
      </c>
      <c r="Q270" s="6">
        <v>0.0</v>
      </c>
      <c r="R270" s="6">
        <v>0.0</v>
      </c>
      <c r="S270" s="6">
        <v>0.0</v>
      </c>
      <c r="T270" s="6">
        <v>0.0</v>
      </c>
      <c r="U270" s="6">
        <v>5.0</v>
      </c>
    </row>
    <row r="271">
      <c r="A271" s="6" t="s">
        <v>398</v>
      </c>
      <c r="B271" s="6" t="s">
        <v>11576</v>
      </c>
      <c r="C271" s="6" t="s">
        <v>11591</v>
      </c>
      <c r="D271" s="6" t="s">
        <v>130</v>
      </c>
      <c r="E271" s="6" t="s">
        <v>394</v>
      </c>
      <c r="F271" s="6" t="s">
        <v>397</v>
      </c>
      <c r="G271" s="6" t="s">
        <v>2939</v>
      </c>
      <c r="H271" s="6">
        <v>0.0</v>
      </c>
      <c r="I271" s="6">
        <v>0.0</v>
      </c>
      <c r="J271" s="6">
        <v>5.0</v>
      </c>
      <c r="K271" s="6">
        <v>0.0</v>
      </c>
      <c r="L271" s="6">
        <v>0.0</v>
      </c>
      <c r="M271" s="6">
        <v>0.0</v>
      </c>
      <c r="N271" s="669">
        <v>461000.0</v>
      </c>
      <c r="O271" s="6">
        <v>0.0</v>
      </c>
      <c r="P271" s="6">
        <v>0.0</v>
      </c>
      <c r="Q271" s="6">
        <v>0.0</v>
      </c>
      <c r="R271" s="6">
        <v>0.0</v>
      </c>
      <c r="S271" s="6">
        <v>0.0</v>
      </c>
      <c r="T271" s="6">
        <v>0.0</v>
      </c>
      <c r="U271" s="6">
        <v>5.0</v>
      </c>
    </row>
    <row r="272">
      <c r="A272" s="6" t="s">
        <v>399</v>
      </c>
      <c r="B272" s="6" t="s">
        <v>11576</v>
      </c>
      <c r="C272" s="6" t="s">
        <v>11591</v>
      </c>
      <c r="D272" s="6" t="s">
        <v>400</v>
      </c>
      <c r="E272" s="6" t="s">
        <v>394</v>
      </c>
      <c r="F272" s="6" t="s">
        <v>97</v>
      </c>
      <c r="G272" s="6" t="s">
        <v>2939</v>
      </c>
      <c r="H272" s="6">
        <v>0.0</v>
      </c>
      <c r="I272" s="6">
        <v>0.0</v>
      </c>
      <c r="J272" s="6">
        <v>2.0</v>
      </c>
      <c r="K272" s="6">
        <v>0.0</v>
      </c>
      <c r="L272" s="6">
        <v>0.0</v>
      </c>
      <c r="M272" s="6">
        <v>0.0</v>
      </c>
      <c r="N272" s="669">
        <v>250000.0</v>
      </c>
      <c r="O272" s="6">
        <v>0.0</v>
      </c>
      <c r="P272" s="6">
        <v>0.0</v>
      </c>
      <c r="Q272" s="6">
        <v>0.0</v>
      </c>
      <c r="R272" s="6">
        <v>0.0</v>
      </c>
      <c r="S272" s="6">
        <v>0.0</v>
      </c>
      <c r="T272" s="6">
        <v>0.0</v>
      </c>
      <c r="U272" s="6">
        <v>0.0</v>
      </c>
    </row>
    <row r="273">
      <c r="A273" s="6" t="s">
        <v>401</v>
      </c>
      <c r="B273" s="6" t="s">
        <v>11576</v>
      </c>
      <c r="C273" s="6" t="s">
        <v>11591</v>
      </c>
      <c r="D273" s="6" t="s">
        <v>402</v>
      </c>
      <c r="E273" s="6" t="s">
        <v>394</v>
      </c>
      <c r="F273" s="6" t="s">
        <v>97</v>
      </c>
      <c r="G273" s="6" t="s">
        <v>2939</v>
      </c>
      <c r="H273" s="6">
        <v>0.0</v>
      </c>
      <c r="I273" s="6">
        <v>0.0</v>
      </c>
      <c r="J273" s="6">
        <v>2.0</v>
      </c>
      <c r="K273" s="6">
        <v>0.0</v>
      </c>
      <c r="L273" s="6">
        <v>0.0</v>
      </c>
      <c r="M273" s="6">
        <v>0.0</v>
      </c>
      <c r="N273" s="669">
        <v>250000.0</v>
      </c>
      <c r="O273" s="6">
        <v>0.0</v>
      </c>
      <c r="P273" s="6">
        <v>0.0</v>
      </c>
      <c r="Q273" s="6">
        <v>0.0</v>
      </c>
      <c r="R273" s="6">
        <v>0.0</v>
      </c>
      <c r="S273" s="6">
        <v>0.0</v>
      </c>
      <c r="T273" s="6">
        <v>0.0</v>
      </c>
      <c r="U273" s="6">
        <v>0.0</v>
      </c>
    </row>
    <row r="274">
      <c r="A274" s="6" t="s">
        <v>403</v>
      </c>
      <c r="B274" s="6" t="s">
        <v>11578</v>
      </c>
      <c r="C274" s="6" t="s">
        <v>11591</v>
      </c>
      <c r="D274" s="6" t="s">
        <v>387</v>
      </c>
      <c r="E274" s="6" t="s">
        <v>394</v>
      </c>
      <c r="G274" s="6" t="s">
        <v>2939</v>
      </c>
      <c r="H274" s="6">
        <v>1.0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69">
        <v>219000.0</v>
      </c>
      <c r="O274" s="6">
        <v>0.0</v>
      </c>
      <c r="P274" s="6">
        <v>0.0</v>
      </c>
      <c r="Q274" s="6">
        <v>0.0</v>
      </c>
      <c r="R274" s="6">
        <v>0.0</v>
      </c>
      <c r="S274" s="6">
        <v>0.0</v>
      </c>
      <c r="T274" s="6">
        <v>0.0</v>
      </c>
      <c r="U274" s="6">
        <v>0.0</v>
      </c>
    </row>
    <row r="275">
      <c r="A275" s="6" t="s">
        <v>404</v>
      </c>
      <c r="B275" s="6" t="s">
        <v>11578</v>
      </c>
      <c r="C275" s="6" t="s">
        <v>11591</v>
      </c>
      <c r="D275" s="6" t="s">
        <v>389</v>
      </c>
      <c r="E275" s="6" t="s">
        <v>394</v>
      </c>
      <c r="G275" s="6" t="s">
        <v>2939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69">
        <v>219000.0</v>
      </c>
      <c r="O275" s="6">
        <v>0.0</v>
      </c>
      <c r="P275" s="6">
        <v>0.0</v>
      </c>
      <c r="Q275" s="6">
        <v>0.0</v>
      </c>
      <c r="R275" s="6">
        <v>0.0</v>
      </c>
      <c r="S275" s="6">
        <v>0.0</v>
      </c>
      <c r="T275" s="6">
        <v>0.0</v>
      </c>
      <c r="U275" s="6">
        <v>0.0</v>
      </c>
    </row>
    <row r="276">
      <c r="A276" s="6" t="s">
        <v>405</v>
      </c>
      <c r="B276" s="6" t="s">
        <v>11576</v>
      </c>
      <c r="C276" s="6" t="s">
        <v>11570</v>
      </c>
      <c r="D276" s="6" t="s">
        <v>22</v>
      </c>
      <c r="E276" s="6" t="s">
        <v>11696</v>
      </c>
      <c r="F276" s="6" t="s">
        <v>125</v>
      </c>
      <c r="G276" s="6" t="s">
        <v>2939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69">
        <v>1785000.0</v>
      </c>
      <c r="O276" s="6">
        <v>0.0</v>
      </c>
      <c r="P276" s="6">
        <v>0.0</v>
      </c>
      <c r="Q276" s="6">
        <v>0.0</v>
      </c>
      <c r="R276" s="6">
        <v>0.0</v>
      </c>
      <c r="S276" s="6" t="s">
        <v>11590</v>
      </c>
      <c r="T276" s="6">
        <v>0.0</v>
      </c>
      <c r="U276" s="6">
        <v>0.0</v>
      </c>
    </row>
    <row r="277">
      <c r="A277" s="6" t="s">
        <v>407</v>
      </c>
      <c r="B277" s="6" t="s">
        <v>11576</v>
      </c>
      <c r="C277" s="6" t="s">
        <v>11579</v>
      </c>
      <c r="D277" s="6" t="s">
        <v>41</v>
      </c>
      <c r="E277" s="6" t="s">
        <v>11696</v>
      </c>
      <c r="F277" s="6" t="s">
        <v>2062</v>
      </c>
      <c r="G277" s="6" t="s">
        <v>2939</v>
      </c>
      <c r="H277" s="6">
        <v>0.0</v>
      </c>
      <c r="I277" s="6">
        <v>1.0</v>
      </c>
      <c r="J277" s="6">
        <v>2.0</v>
      </c>
      <c r="K277" s="6">
        <v>1.0</v>
      </c>
      <c r="L277" s="6">
        <v>0.0</v>
      </c>
      <c r="M277" s="6">
        <v>0.0</v>
      </c>
      <c r="N277" s="669">
        <v>2119000.0</v>
      </c>
      <c r="O277" s="6">
        <v>0.0</v>
      </c>
      <c r="P277" s="6">
        <v>0.0</v>
      </c>
      <c r="Q277" s="6">
        <v>0.0</v>
      </c>
      <c r="R277" s="6">
        <v>0.0</v>
      </c>
      <c r="S277" s="6">
        <v>0.0</v>
      </c>
      <c r="T277" s="6">
        <v>0.0</v>
      </c>
      <c r="U277" s="6">
        <v>0.0</v>
      </c>
    </row>
    <row r="278">
      <c r="A278" s="6" t="s">
        <v>2238</v>
      </c>
      <c r="B278" s="6" t="s">
        <v>11569</v>
      </c>
      <c r="C278" s="6" t="s">
        <v>11570</v>
      </c>
      <c r="D278" s="6" t="s">
        <v>22</v>
      </c>
      <c r="E278" s="6" t="s">
        <v>11697</v>
      </c>
      <c r="F278" s="6" t="s">
        <v>75</v>
      </c>
      <c r="G278" s="6" t="s">
        <v>2939</v>
      </c>
      <c r="H278" s="6">
        <v>0.0</v>
      </c>
      <c r="I278" s="6">
        <v>0.0</v>
      </c>
      <c r="J278" s="6" t="s">
        <v>11590</v>
      </c>
      <c r="K278" s="6">
        <v>0.0</v>
      </c>
      <c r="L278" s="6">
        <v>0.0</v>
      </c>
      <c r="M278" s="6">
        <v>0.0</v>
      </c>
      <c r="N278" s="669">
        <v>2341000.0</v>
      </c>
      <c r="O278" s="6">
        <v>0.0</v>
      </c>
      <c r="P278" s="6">
        <v>0.0</v>
      </c>
      <c r="Q278" s="6">
        <v>0.0</v>
      </c>
      <c r="R278" s="6">
        <v>0.0</v>
      </c>
      <c r="S278" s="6">
        <v>8.0</v>
      </c>
      <c r="T278" s="6">
        <v>2.0</v>
      </c>
      <c r="U278" s="6">
        <v>0.0</v>
      </c>
    </row>
    <row r="279">
      <c r="A279" s="6" t="s">
        <v>1446</v>
      </c>
      <c r="B279" s="6" t="s">
        <v>11569</v>
      </c>
      <c r="C279" s="6" t="s">
        <v>11579</v>
      </c>
      <c r="D279" s="6" t="s">
        <v>41</v>
      </c>
      <c r="E279" s="6" t="s">
        <v>11698</v>
      </c>
      <c r="F279" s="6" t="s">
        <v>2062</v>
      </c>
      <c r="G279" s="6" t="s">
        <v>2939</v>
      </c>
      <c r="H279" s="6">
        <v>0.0</v>
      </c>
      <c r="I279" s="6">
        <v>0.0</v>
      </c>
      <c r="J279" s="6">
        <v>6.0</v>
      </c>
      <c r="K279" s="6">
        <v>1.0</v>
      </c>
      <c r="L279" s="6">
        <v>0.0</v>
      </c>
      <c r="M279" s="6">
        <v>0.0</v>
      </c>
      <c r="N279" s="669">
        <v>2725000.0</v>
      </c>
      <c r="O279" s="6">
        <v>0.0</v>
      </c>
      <c r="P279" s="6">
        <v>0.0</v>
      </c>
      <c r="Q279" s="6">
        <v>0.0</v>
      </c>
      <c r="R279" s="6">
        <v>0.0</v>
      </c>
      <c r="S279" s="6">
        <v>0.0</v>
      </c>
      <c r="T279" s="6">
        <v>0.0</v>
      </c>
      <c r="U279" s="6">
        <v>0.0</v>
      </c>
    </row>
    <row r="280">
      <c r="A280" s="6" t="s">
        <v>408</v>
      </c>
      <c r="B280" s="6" t="s">
        <v>11576</v>
      </c>
      <c r="C280" s="6" t="s">
        <v>11579</v>
      </c>
      <c r="D280" s="6" t="s">
        <v>41</v>
      </c>
      <c r="E280" s="6" t="s">
        <v>11699</v>
      </c>
      <c r="F280" s="6" t="s">
        <v>2062</v>
      </c>
      <c r="G280" s="6" t="s">
        <v>2939</v>
      </c>
      <c r="H280" s="6">
        <v>2.0</v>
      </c>
      <c r="I280" s="6">
        <v>0.0</v>
      </c>
      <c r="J280" s="6">
        <v>6.0</v>
      </c>
      <c r="K280" s="6">
        <v>1.0</v>
      </c>
      <c r="L280" s="6">
        <v>0.0</v>
      </c>
      <c r="M280" s="6">
        <v>0.0</v>
      </c>
      <c r="N280" s="669">
        <v>2398000.0</v>
      </c>
      <c r="O280" s="6">
        <v>0.0</v>
      </c>
      <c r="P280" s="6">
        <v>0.0</v>
      </c>
      <c r="Q280" s="6">
        <v>0.0</v>
      </c>
      <c r="R280" s="6">
        <v>0.0</v>
      </c>
      <c r="S280" s="6">
        <v>0.0</v>
      </c>
      <c r="T280" s="6">
        <v>0.0</v>
      </c>
      <c r="U280" s="6">
        <v>0.0</v>
      </c>
    </row>
    <row r="281">
      <c r="A281" s="6" t="s">
        <v>11700</v>
      </c>
      <c r="B281" s="6" t="s">
        <v>11569</v>
      </c>
      <c r="C281" s="6" t="s">
        <v>11570</v>
      </c>
      <c r="D281" s="6" t="s">
        <v>22</v>
      </c>
      <c r="E281" s="6" t="s">
        <v>11701</v>
      </c>
      <c r="F281" s="6" t="s">
        <v>112</v>
      </c>
      <c r="G281" s="6" t="s">
        <v>2939</v>
      </c>
      <c r="H281" s="6">
        <v>0.0</v>
      </c>
      <c r="I281" s="6">
        <v>0.0</v>
      </c>
      <c r="J281" s="6">
        <v>10.0</v>
      </c>
      <c r="K281" s="6">
        <v>0.0</v>
      </c>
      <c r="L281" s="6">
        <v>0.0</v>
      </c>
      <c r="M281" s="6">
        <v>0.0</v>
      </c>
      <c r="N281" s="669">
        <v>2800000.0</v>
      </c>
      <c r="O281" s="6">
        <v>0.0</v>
      </c>
      <c r="P281" s="6">
        <v>0.0</v>
      </c>
      <c r="Q281" s="6">
        <v>0.0</v>
      </c>
      <c r="R281" s="6">
        <v>0.0</v>
      </c>
      <c r="S281" s="6">
        <v>0.0</v>
      </c>
      <c r="T281" s="6">
        <v>0.0</v>
      </c>
      <c r="U281" s="6">
        <v>0.0</v>
      </c>
    </row>
    <row r="282">
      <c r="A282" s="6" t="s">
        <v>410</v>
      </c>
      <c r="B282" s="6" t="s">
        <v>11576</v>
      </c>
      <c r="C282" s="6" t="s">
        <v>11570</v>
      </c>
      <c r="D282" s="6" t="s">
        <v>22</v>
      </c>
      <c r="E282" s="6" t="s">
        <v>11702</v>
      </c>
      <c r="F282" s="6" t="s">
        <v>97</v>
      </c>
      <c r="G282" s="6" t="s">
        <v>2939</v>
      </c>
      <c r="H282" s="6">
        <v>0.0</v>
      </c>
      <c r="I282" s="6">
        <v>0.0</v>
      </c>
      <c r="J282" s="6">
        <v>7.0</v>
      </c>
      <c r="K282" s="6">
        <v>2.0</v>
      </c>
      <c r="L282" s="6">
        <v>0.0</v>
      </c>
      <c r="M282" s="6">
        <v>0.0</v>
      </c>
      <c r="N282" s="669">
        <v>1458000.0</v>
      </c>
      <c r="O282" s="6">
        <v>0.0</v>
      </c>
      <c r="P282" s="6">
        <v>0.0</v>
      </c>
      <c r="Q282" s="6">
        <v>0.0</v>
      </c>
      <c r="R282" s="6">
        <v>0.0</v>
      </c>
      <c r="S282" s="6" t="s">
        <v>11590</v>
      </c>
      <c r="T282" s="6">
        <v>5.0</v>
      </c>
      <c r="U282" s="6">
        <v>0.0</v>
      </c>
    </row>
    <row r="283">
      <c r="A283" s="6" t="s">
        <v>412</v>
      </c>
      <c r="B283" s="6" t="s">
        <v>11576</v>
      </c>
      <c r="C283" s="6" t="s">
        <v>11579</v>
      </c>
      <c r="D283" s="6" t="s">
        <v>41</v>
      </c>
      <c r="E283" s="6" t="s">
        <v>11702</v>
      </c>
      <c r="F283" s="6" t="s">
        <v>11691</v>
      </c>
      <c r="G283" s="6" t="s">
        <v>2939</v>
      </c>
      <c r="H283" s="6">
        <v>0.0</v>
      </c>
      <c r="I283" s="6">
        <v>0.0</v>
      </c>
      <c r="J283" s="6">
        <v>3.0</v>
      </c>
      <c r="K283" s="6">
        <v>5.0</v>
      </c>
      <c r="L283" s="6">
        <v>0.0</v>
      </c>
      <c r="M283" s="6">
        <v>0.0</v>
      </c>
      <c r="N283" s="669">
        <v>1776000.0</v>
      </c>
      <c r="O283" s="6">
        <v>0.0</v>
      </c>
      <c r="P283" s="6">
        <v>0.0</v>
      </c>
      <c r="Q283" s="6">
        <v>0.0</v>
      </c>
      <c r="R283" s="6">
        <v>0.0</v>
      </c>
      <c r="S283" s="6">
        <v>0.0</v>
      </c>
      <c r="T283" s="6">
        <v>0.0</v>
      </c>
      <c r="U283" s="6">
        <v>0.0</v>
      </c>
    </row>
    <row r="284">
      <c r="A284" s="6" t="s">
        <v>413</v>
      </c>
      <c r="B284" s="6" t="s">
        <v>11578</v>
      </c>
      <c r="C284" s="6" t="s">
        <v>11591</v>
      </c>
      <c r="D284" s="6" t="s">
        <v>128</v>
      </c>
      <c r="E284" s="6" t="s">
        <v>11702</v>
      </c>
      <c r="G284" s="6" t="s">
        <v>2939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69">
        <v>386000.0</v>
      </c>
      <c r="O284" s="6">
        <v>0.0</v>
      </c>
      <c r="P284" s="6">
        <v>0.0</v>
      </c>
      <c r="Q284" s="6">
        <v>0.0</v>
      </c>
      <c r="R284" s="6">
        <v>0.0</v>
      </c>
      <c r="S284" s="6">
        <v>0.0</v>
      </c>
      <c r="T284" s="6">
        <v>0.0</v>
      </c>
      <c r="U284" s="6">
        <v>0.0</v>
      </c>
    </row>
    <row r="285">
      <c r="A285" s="6" t="s">
        <v>414</v>
      </c>
      <c r="B285" s="6" t="s">
        <v>11578</v>
      </c>
      <c r="C285" s="6" t="s">
        <v>11591</v>
      </c>
      <c r="D285" s="6" t="s">
        <v>130</v>
      </c>
      <c r="E285" s="6" t="s">
        <v>11702</v>
      </c>
      <c r="G285" s="6" t="s">
        <v>2939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69">
        <v>386000.0</v>
      </c>
      <c r="O285" s="6">
        <v>0.0</v>
      </c>
      <c r="P285" s="6">
        <v>0.0</v>
      </c>
      <c r="Q285" s="6">
        <v>0.0</v>
      </c>
      <c r="R285" s="6">
        <v>0.0</v>
      </c>
      <c r="S285" s="6">
        <v>0.0</v>
      </c>
      <c r="T285" s="6">
        <v>0.0</v>
      </c>
      <c r="U285" s="6">
        <v>0.0</v>
      </c>
    </row>
    <row r="286">
      <c r="A286" s="6" t="s">
        <v>415</v>
      </c>
      <c r="B286" s="6" t="s">
        <v>11578</v>
      </c>
      <c r="C286" s="6" t="s">
        <v>11591</v>
      </c>
      <c r="D286" s="6" t="s">
        <v>387</v>
      </c>
      <c r="E286" s="6" t="s">
        <v>11702</v>
      </c>
      <c r="G286" s="6" t="s">
        <v>2939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69">
        <v>248000.0</v>
      </c>
      <c r="O286" s="6">
        <v>0.0</v>
      </c>
      <c r="P286" s="6">
        <v>0.0</v>
      </c>
      <c r="Q286" s="6">
        <v>0.0</v>
      </c>
      <c r="R286" s="6">
        <v>0.0</v>
      </c>
      <c r="S286" s="6">
        <v>0.0</v>
      </c>
      <c r="T286" s="6">
        <v>0.0</v>
      </c>
      <c r="U286" s="6">
        <v>0.0</v>
      </c>
    </row>
    <row r="287">
      <c r="A287" s="6" t="s">
        <v>416</v>
      </c>
      <c r="B287" s="6" t="s">
        <v>11578</v>
      </c>
      <c r="C287" s="6" t="s">
        <v>11591</v>
      </c>
      <c r="D287" s="6" t="s">
        <v>389</v>
      </c>
      <c r="E287" s="6" t="s">
        <v>11702</v>
      </c>
      <c r="G287" s="6" t="s">
        <v>2939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69">
        <v>248000.0</v>
      </c>
      <c r="O287" s="6">
        <v>0.0</v>
      </c>
      <c r="P287" s="6">
        <v>0.0</v>
      </c>
      <c r="Q287" s="6">
        <v>0.0</v>
      </c>
      <c r="R287" s="6">
        <v>0.0</v>
      </c>
      <c r="S287" s="6">
        <v>0.0</v>
      </c>
      <c r="T287" s="6">
        <v>0.0</v>
      </c>
      <c r="U287" s="6">
        <v>0.0</v>
      </c>
    </row>
    <row r="288">
      <c r="A288" s="6" t="s">
        <v>417</v>
      </c>
      <c r="B288" s="6" t="s">
        <v>11576</v>
      </c>
      <c r="C288" s="6" t="s">
        <v>11591</v>
      </c>
      <c r="D288" s="6" t="s">
        <v>202</v>
      </c>
      <c r="E288" s="6" t="s">
        <v>11702</v>
      </c>
      <c r="F288" s="6" t="s">
        <v>97</v>
      </c>
      <c r="G288" s="6" t="s">
        <v>2939</v>
      </c>
      <c r="H288" s="6">
        <v>0.0</v>
      </c>
      <c r="I288" s="6">
        <v>0.0</v>
      </c>
      <c r="J288" s="6">
        <v>1.0</v>
      </c>
      <c r="K288" s="6">
        <v>0.0</v>
      </c>
      <c r="L288" s="6">
        <v>0.0</v>
      </c>
      <c r="M288" s="6">
        <v>0.0</v>
      </c>
      <c r="N288" s="669">
        <v>940000.0</v>
      </c>
      <c r="O288" s="6">
        <v>0.0</v>
      </c>
      <c r="P288" s="6">
        <v>0.0</v>
      </c>
      <c r="Q288" s="6">
        <v>0.0</v>
      </c>
      <c r="R288" s="6">
        <v>0.0</v>
      </c>
      <c r="S288" s="6">
        <v>0.0</v>
      </c>
      <c r="T288" s="6">
        <v>0.0</v>
      </c>
      <c r="U288" s="6">
        <v>0.0</v>
      </c>
    </row>
    <row r="289">
      <c r="A289" s="6" t="s">
        <v>418</v>
      </c>
      <c r="B289" s="6" t="s">
        <v>11576</v>
      </c>
      <c r="C289" s="6" t="s">
        <v>11591</v>
      </c>
      <c r="D289" s="6" t="s">
        <v>236</v>
      </c>
      <c r="E289" s="6" t="s">
        <v>11702</v>
      </c>
      <c r="F289" s="6" t="s">
        <v>97</v>
      </c>
      <c r="G289" s="6" t="s">
        <v>2939</v>
      </c>
      <c r="H289" s="6">
        <v>0.0</v>
      </c>
      <c r="I289" s="6">
        <v>0.0</v>
      </c>
      <c r="J289" s="6">
        <v>5.0</v>
      </c>
      <c r="K289" s="6">
        <v>0.0</v>
      </c>
      <c r="L289" s="6">
        <v>0.0</v>
      </c>
      <c r="M289" s="6">
        <v>0.0</v>
      </c>
      <c r="N289" s="669">
        <v>940000.0</v>
      </c>
      <c r="O289" s="6">
        <v>0.0</v>
      </c>
      <c r="P289" s="6">
        <v>0.0</v>
      </c>
      <c r="Q289" s="6">
        <v>0.0</v>
      </c>
      <c r="R289" s="6">
        <v>0.0</v>
      </c>
      <c r="S289" s="6">
        <v>0.0</v>
      </c>
      <c r="T289" s="6">
        <v>0.0</v>
      </c>
      <c r="U289" s="6">
        <v>0.0</v>
      </c>
    </row>
    <row r="290">
      <c r="A290" s="6" t="s">
        <v>1864</v>
      </c>
      <c r="B290" s="6" t="s">
        <v>11576</v>
      </c>
      <c r="C290" s="6" t="s">
        <v>11570</v>
      </c>
      <c r="D290" s="6" t="s">
        <v>22</v>
      </c>
      <c r="E290" s="6" t="s">
        <v>11703</v>
      </c>
      <c r="F290" s="6" t="s">
        <v>125</v>
      </c>
      <c r="G290" s="6" t="s">
        <v>2939</v>
      </c>
      <c r="H290" s="6">
        <v>0.0</v>
      </c>
      <c r="I290" s="6">
        <v>0.0</v>
      </c>
      <c r="J290" s="6">
        <v>4.0</v>
      </c>
      <c r="K290" s="6">
        <v>10.0</v>
      </c>
      <c r="L290" s="6">
        <v>0.0</v>
      </c>
      <c r="M290" s="6">
        <v>0.0</v>
      </c>
      <c r="N290" s="669">
        <v>1482000.0</v>
      </c>
      <c r="O290" s="6">
        <v>0.0</v>
      </c>
      <c r="P290" s="6">
        <v>0.0</v>
      </c>
      <c r="Q290" s="6">
        <v>0.0</v>
      </c>
      <c r="R290" s="6">
        <v>0.0</v>
      </c>
      <c r="S290" s="6" t="s">
        <v>11590</v>
      </c>
      <c r="T290" s="6">
        <v>10.0</v>
      </c>
      <c r="U290" s="6">
        <v>0.0</v>
      </c>
    </row>
    <row r="291">
      <c r="A291" s="6" t="s">
        <v>420</v>
      </c>
      <c r="B291" s="6" t="s">
        <v>11576</v>
      </c>
      <c r="C291" s="6" t="s">
        <v>11570</v>
      </c>
      <c r="D291" s="6" t="s">
        <v>22</v>
      </c>
      <c r="E291" s="6" t="s">
        <v>11704</v>
      </c>
      <c r="F291" s="6" t="s">
        <v>125</v>
      </c>
      <c r="G291" s="6" t="s">
        <v>2939</v>
      </c>
      <c r="H291" s="6">
        <v>7.0</v>
      </c>
      <c r="I291" s="6">
        <v>0.0</v>
      </c>
      <c r="J291" s="6" t="s">
        <v>11590</v>
      </c>
      <c r="K291" s="6" t="s">
        <v>11590</v>
      </c>
      <c r="L291" s="6">
        <v>0.0</v>
      </c>
      <c r="M291" s="6">
        <v>0.0</v>
      </c>
      <c r="N291" s="669">
        <v>1482000.0</v>
      </c>
      <c r="O291" s="6">
        <v>0.0</v>
      </c>
      <c r="P291" s="6">
        <v>0.0</v>
      </c>
      <c r="Q291" s="6">
        <v>0.0</v>
      </c>
      <c r="R291" s="6">
        <v>0.0</v>
      </c>
      <c r="S291" s="6" t="s">
        <v>11590</v>
      </c>
      <c r="T291" s="6">
        <v>10.0</v>
      </c>
      <c r="U291" s="6">
        <v>0.0</v>
      </c>
    </row>
    <row r="292">
      <c r="A292" s="6" t="s">
        <v>422</v>
      </c>
      <c r="B292" s="6" t="s">
        <v>11576</v>
      </c>
      <c r="C292" s="6" t="s">
        <v>11579</v>
      </c>
      <c r="D292" s="6" t="s">
        <v>41</v>
      </c>
      <c r="E292" s="6" t="s">
        <v>423</v>
      </c>
      <c r="F292" s="6" t="s">
        <v>11641</v>
      </c>
      <c r="G292" s="6" t="s">
        <v>2939</v>
      </c>
      <c r="H292" s="6">
        <v>0.0</v>
      </c>
      <c r="I292" s="6">
        <v>0.0</v>
      </c>
      <c r="J292" s="6" t="s">
        <v>11590</v>
      </c>
      <c r="K292" s="6">
        <v>2.0</v>
      </c>
      <c r="L292" s="6">
        <v>0.0</v>
      </c>
      <c r="M292" s="6">
        <v>0.0</v>
      </c>
      <c r="N292" s="669">
        <v>1735000.0</v>
      </c>
      <c r="O292" s="6">
        <v>0.0</v>
      </c>
      <c r="P292" s="6">
        <v>0.0</v>
      </c>
      <c r="Q292" s="6">
        <v>0.0</v>
      </c>
      <c r="R292" s="6">
        <v>0.0</v>
      </c>
      <c r="S292" s="6" t="s">
        <v>11590</v>
      </c>
      <c r="T292" s="6">
        <v>10.0</v>
      </c>
      <c r="U292" s="6">
        <v>0.0</v>
      </c>
    </row>
    <row r="293">
      <c r="A293" s="6" t="s">
        <v>424</v>
      </c>
      <c r="B293" s="6" t="s">
        <v>11578</v>
      </c>
      <c r="C293" s="6" t="s">
        <v>11591</v>
      </c>
      <c r="D293" s="6" t="s">
        <v>132</v>
      </c>
      <c r="E293" s="6" t="s">
        <v>423</v>
      </c>
      <c r="G293" s="6" t="s">
        <v>2939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69">
        <v>313000.0</v>
      </c>
      <c r="O293" s="6">
        <v>0.0</v>
      </c>
      <c r="P293" s="6">
        <v>0.0</v>
      </c>
      <c r="Q293" s="6">
        <v>0.0</v>
      </c>
      <c r="R293" s="6">
        <v>0.0</v>
      </c>
      <c r="S293" s="6">
        <v>0.0</v>
      </c>
      <c r="T293" s="6">
        <v>0.0</v>
      </c>
      <c r="U293" s="6">
        <v>0.0</v>
      </c>
    </row>
    <row r="294">
      <c r="A294" s="6" t="s">
        <v>425</v>
      </c>
      <c r="B294" s="6" t="s">
        <v>11578</v>
      </c>
      <c r="C294" s="6" t="s">
        <v>11591</v>
      </c>
      <c r="D294" s="6" t="s">
        <v>134</v>
      </c>
      <c r="E294" s="6" t="s">
        <v>423</v>
      </c>
      <c r="G294" s="6" t="s">
        <v>2939</v>
      </c>
      <c r="H294" s="6">
        <v>1.0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69">
        <v>313000.0</v>
      </c>
      <c r="O294" s="6">
        <v>0.0</v>
      </c>
      <c r="P294" s="6">
        <v>0.0</v>
      </c>
      <c r="Q294" s="6">
        <v>0.0</v>
      </c>
      <c r="R294" s="6">
        <v>0.0</v>
      </c>
      <c r="S294" s="6">
        <v>0.0</v>
      </c>
      <c r="T294" s="6">
        <v>0.0</v>
      </c>
      <c r="U294" s="6">
        <v>0.0</v>
      </c>
    </row>
    <row r="295">
      <c r="A295" s="6" t="s">
        <v>426</v>
      </c>
      <c r="B295" s="6" t="s">
        <v>11576</v>
      </c>
      <c r="C295" s="6" t="s">
        <v>11591</v>
      </c>
      <c r="D295" s="6" t="s">
        <v>202</v>
      </c>
      <c r="E295" s="6" t="s">
        <v>423</v>
      </c>
      <c r="F295" s="6" t="s">
        <v>97</v>
      </c>
      <c r="G295" s="6" t="s">
        <v>2939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69">
        <v>940000.0</v>
      </c>
      <c r="O295" s="6">
        <v>0.0</v>
      </c>
      <c r="P295" s="6">
        <v>0.0</v>
      </c>
      <c r="Q295" s="6">
        <v>0.0</v>
      </c>
      <c r="R295" s="6">
        <v>0.0</v>
      </c>
      <c r="S295" s="6">
        <v>5.0</v>
      </c>
      <c r="T295" s="6">
        <v>0.0</v>
      </c>
      <c r="U295" s="6">
        <v>0.0</v>
      </c>
    </row>
    <row r="296">
      <c r="A296" s="6" t="s">
        <v>427</v>
      </c>
      <c r="B296" s="6" t="s">
        <v>11576</v>
      </c>
      <c r="C296" s="6" t="s">
        <v>11591</v>
      </c>
      <c r="D296" s="6" t="s">
        <v>236</v>
      </c>
      <c r="E296" s="6" t="s">
        <v>423</v>
      </c>
      <c r="F296" s="6" t="s">
        <v>97</v>
      </c>
      <c r="G296" s="6" t="s">
        <v>2939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69">
        <v>940000.0</v>
      </c>
      <c r="O296" s="6">
        <v>0.0</v>
      </c>
      <c r="P296" s="6">
        <v>0.0</v>
      </c>
      <c r="Q296" s="6">
        <v>0.0</v>
      </c>
      <c r="R296" s="6">
        <v>0.0</v>
      </c>
      <c r="S296" s="6">
        <v>5.0</v>
      </c>
      <c r="T296" s="6">
        <v>0.0</v>
      </c>
      <c r="U296" s="6">
        <v>0.0</v>
      </c>
    </row>
    <row r="297">
      <c r="A297" s="6" t="s">
        <v>428</v>
      </c>
      <c r="B297" s="6" t="s">
        <v>11630</v>
      </c>
      <c r="C297" s="6" t="s">
        <v>11570</v>
      </c>
      <c r="D297" s="6" t="s">
        <v>22</v>
      </c>
      <c r="E297" s="6" t="s">
        <v>429</v>
      </c>
      <c r="F297" s="6" t="s">
        <v>125</v>
      </c>
      <c r="G297" s="6" t="s">
        <v>2939</v>
      </c>
      <c r="H297" s="6">
        <v>0.0</v>
      </c>
      <c r="I297" s="6">
        <v>0.0</v>
      </c>
      <c r="J297" s="6">
        <v>3.0</v>
      </c>
      <c r="K297" s="6">
        <v>0.0</v>
      </c>
      <c r="L297" s="6" t="s">
        <v>11590</v>
      </c>
      <c r="M297" s="6" t="s">
        <v>11590</v>
      </c>
      <c r="N297" s="669">
        <v>1502000.0</v>
      </c>
      <c r="O297" s="6" t="s">
        <v>11590</v>
      </c>
      <c r="P297" s="6">
        <v>10.0</v>
      </c>
      <c r="Q297" s="6">
        <v>0.0</v>
      </c>
      <c r="R297" s="6">
        <v>0.0</v>
      </c>
      <c r="S297" s="6">
        <v>0.0</v>
      </c>
      <c r="T297" s="6">
        <v>0.0</v>
      </c>
      <c r="U297" s="6">
        <v>0.0</v>
      </c>
    </row>
    <row r="298">
      <c r="A298" s="6" t="s">
        <v>430</v>
      </c>
      <c r="B298" s="6" t="s">
        <v>11576</v>
      </c>
      <c r="C298" s="6" t="s">
        <v>11579</v>
      </c>
      <c r="D298" s="6" t="s">
        <v>41</v>
      </c>
      <c r="E298" s="6" t="s">
        <v>429</v>
      </c>
      <c r="F298" s="6" t="s">
        <v>11705</v>
      </c>
      <c r="G298" s="6" t="s">
        <v>2939</v>
      </c>
      <c r="H298" s="6">
        <v>0.0</v>
      </c>
      <c r="I298" s="6">
        <v>0.0</v>
      </c>
      <c r="J298" s="6">
        <v>2.0</v>
      </c>
      <c r="K298" s="6">
        <v>5.0</v>
      </c>
      <c r="L298" s="6">
        <v>0.0</v>
      </c>
      <c r="M298" s="6">
        <v>0.0</v>
      </c>
      <c r="N298" s="669">
        <v>1119000.0</v>
      </c>
      <c r="O298" s="6">
        <v>0.0</v>
      </c>
      <c r="P298" s="6">
        <v>0.0</v>
      </c>
      <c r="Q298" s="6">
        <v>0.0</v>
      </c>
      <c r="R298" s="6">
        <v>0.0</v>
      </c>
      <c r="S298" s="6" t="s">
        <v>11590</v>
      </c>
      <c r="T298" s="6" t="s">
        <v>11590</v>
      </c>
      <c r="U298" s="6">
        <v>0.0</v>
      </c>
    </row>
    <row r="299">
      <c r="A299" s="6" t="s">
        <v>432</v>
      </c>
      <c r="B299" s="6" t="s">
        <v>11576</v>
      </c>
      <c r="C299" s="6" t="s">
        <v>11591</v>
      </c>
      <c r="D299" s="6" t="s">
        <v>202</v>
      </c>
      <c r="E299" s="6" t="s">
        <v>429</v>
      </c>
      <c r="F299" s="6" t="s">
        <v>97</v>
      </c>
      <c r="G299" s="6" t="s">
        <v>2939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69">
        <v>407000.0</v>
      </c>
      <c r="O299" s="6">
        <v>0.0</v>
      </c>
      <c r="P299" s="6">
        <v>0.0</v>
      </c>
      <c r="Q299" s="6">
        <v>0.0</v>
      </c>
      <c r="R299" s="6">
        <v>0.0</v>
      </c>
      <c r="S299" s="6">
        <v>0.0</v>
      </c>
      <c r="T299" s="6">
        <v>0.0</v>
      </c>
      <c r="U299" s="6">
        <v>0.0</v>
      </c>
    </row>
    <row r="300">
      <c r="A300" s="6" t="s">
        <v>433</v>
      </c>
      <c r="B300" s="6" t="s">
        <v>11576</v>
      </c>
      <c r="C300" s="6" t="s">
        <v>11591</v>
      </c>
      <c r="D300" s="6" t="s">
        <v>236</v>
      </c>
      <c r="E300" s="6" t="s">
        <v>429</v>
      </c>
      <c r="F300" s="6" t="s">
        <v>97</v>
      </c>
      <c r="G300" s="6" t="s">
        <v>2939</v>
      </c>
      <c r="H300" s="6">
        <v>0.0</v>
      </c>
      <c r="I300" s="6">
        <v>0.0</v>
      </c>
      <c r="J300" s="6">
        <v>1.0</v>
      </c>
      <c r="K300" s="6">
        <v>0.0</v>
      </c>
      <c r="L300" s="6">
        <v>0.0</v>
      </c>
      <c r="M300" s="6">
        <v>0.0</v>
      </c>
      <c r="N300" s="669">
        <v>407000.0</v>
      </c>
      <c r="O300" s="6">
        <v>0.0</v>
      </c>
      <c r="P300" s="6">
        <v>0.0</v>
      </c>
      <c r="Q300" s="6">
        <v>0.0</v>
      </c>
      <c r="R300" s="6">
        <v>0.0</v>
      </c>
      <c r="S300" s="6">
        <v>0.0</v>
      </c>
      <c r="T300" s="6">
        <v>0.0</v>
      </c>
      <c r="U300" s="6">
        <v>0.0</v>
      </c>
    </row>
    <row r="301">
      <c r="A301" s="6" t="s">
        <v>434</v>
      </c>
      <c r="B301" s="6" t="s">
        <v>11630</v>
      </c>
      <c r="C301" s="6" t="s">
        <v>11570</v>
      </c>
      <c r="D301" s="6" t="s">
        <v>22</v>
      </c>
      <c r="E301" s="6" t="s">
        <v>11706</v>
      </c>
      <c r="F301" s="6" t="s">
        <v>125</v>
      </c>
      <c r="G301" s="6" t="s">
        <v>2939</v>
      </c>
      <c r="H301" s="6">
        <v>1.0</v>
      </c>
      <c r="I301" s="6">
        <v>0.0</v>
      </c>
      <c r="J301" s="6">
        <v>0.0</v>
      </c>
      <c r="K301" s="6">
        <v>1.0</v>
      </c>
      <c r="L301" s="6">
        <v>0.0</v>
      </c>
      <c r="M301" s="6">
        <v>0.0</v>
      </c>
      <c r="N301" s="669">
        <v>1599000.0</v>
      </c>
      <c r="O301" s="6">
        <v>0.0</v>
      </c>
      <c r="P301" s="6">
        <v>0.0</v>
      </c>
      <c r="Q301" s="6">
        <v>0.0</v>
      </c>
      <c r="R301" s="6">
        <v>0.0</v>
      </c>
      <c r="S301" s="6" t="s">
        <v>11590</v>
      </c>
      <c r="T301" s="6" t="s">
        <v>11590</v>
      </c>
      <c r="U301" s="6" t="s">
        <v>11590</v>
      </c>
    </row>
    <row r="302">
      <c r="A302" s="6" t="s">
        <v>435</v>
      </c>
      <c r="B302" s="6" t="s">
        <v>11576</v>
      </c>
      <c r="C302" s="6" t="s">
        <v>11579</v>
      </c>
      <c r="D302" s="6" t="s">
        <v>41</v>
      </c>
      <c r="E302" s="6" t="s">
        <v>11707</v>
      </c>
      <c r="F302" s="6" t="s">
        <v>1377</v>
      </c>
      <c r="G302" s="6" t="s">
        <v>2939</v>
      </c>
      <c r="H302" s="6">
        <v>1.0</v>
      </c>
      <c r="I302" s="6">
        <v>0.0</v>
      </c>
      <c r="J302" s="6" t="s">
        <v>11590</v>
      </c>
      <c r="K302" s="6">
        <v>1.0</v>
      </c>
      <c r="L302" s="6">
        <v>0.0</v>
      </c>
      <c r="M302" s="6">
        <v>0.0</v>
      </c>
      <c r="N302" s="669">
        <v>1196000.0</v>
      </c>
      <c r="O302" s="6">
        <v>0.0</v>
      </c>
      <c r="P302" s="6">
        <v>0.0</v>
      </c>
      <c r="Q302" s="6">
        <v>0.0</v>
      </c>
      <c r="R302" s="6">
        <v>0.0</v>
      </c>
      <c r="S302" s="6">
        <v>0.0</v>
      </c>
      <c r="T302" s="6">
        <v>0.0</v>
      </c>
      <c r="U302" s="6">
        <v>0.0</v>
      </c>
    </row>
    <row r="303">
      <c r="A303" s="6" t="s">
        <v>437</v>
      </c>
      <c r="B303" s="6" t="s">
        <v>11576</v>
      </c>
      <c r="C303" s="6" t="s">
        <v>11579</v>
      </c>
      <c r="D303" s="6" t="s">
        <v>41</v>
      </c>
      <c r="E303" s="6" t="s">
        <v>11708</v>
      </c>
      <c r="F303" s="6" t="s">
        <v>2301</v>
      </c>
      <c r="G303" s="6" t="s">
        <v>2939</v>
      </c>
      <c r="H303" s="6">
        <v>0.0</v>
      </c>
      <c r="I303" s="6">
        <v>0.0</v>
      </c>
      <c r="J303" s="6">
        <v>7.0</v>
      </c>
      <c r="K303" s="6" t="s">
        <v>11590</v>
      </c>
      <c r="L303" s="6">
        <v>0.0</v>
      </c>
      <c r="M303" s="6">
        <v>0.0</v>
      </c>
      <c r="N303" s="669">
        <v>1196000.0</v>
      </c>
      <c r="O303" s="6">
        <v>0.0</v>
      </c>
      <c r="P303" s="6">
        <v>0.0</v>
      </c>
      <c r="Q303" s="6">
        <v>0.0</v>
      </c>
      <c r="R303" s="6">
        <v>0.0</v>
      </c>
      <c r="S303" s="6">
        <v>10.0</v>
      </c>
      <c r="T303" s="6">
        <v>0.0</v>
      </c>
      <c r="U303" s="6">
        <v>0.0</v>
      </c>
    </row>
    <row r="304">
      <c r="A304" s="6" t="s">
        <v>440</v>
      </c>
      <c r="B304" s="6" t="s">
        <v>11578</v>
      </c>
      <c r="C304" s="6" t="s">
        <v>11591</v>
      </c>
      <c r="D304" s="6" t="s">
        <v>128</v>
      </c>
      <c r="E304" s="6" t="s">
        <v>69</v>
      </c>
      <c r="G304" s="6" t="s">
        <v>2939</v>
      </c>
      <c r="H304" s="6">
        <v>1.0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69">
        <v>309000.0</v>
      </c>
      <c r="O304" s="6">
        <v>0.0</v>
      </c>
      <c r="P304" s="6">
        <v>0.0</v>
      </c>
      <c r="Q304" s="6">
        <v>0.0</v>
      </c>
      <c r="R304" s="6">
        <v>0.0</v>
      </c>
      <c r="S304" s="6">
        <v>0.0</v>
      </c>
      <c r="T304" s="6">
        <v>0.0</v>
      </c>
      <c r="U304" s="6">
        <v>0.0</v>
      </c>
    </row>
    <row r="305">
      <c r="A305" s="6" t="s">
        <v>441</v>
      </c>
      <c r="B305" s="6" t="s">
        <v>11578</v>
      </c>
      <c r="C305" s="6" t="s">
        <v>11591</v>
      </c>
      <c r="D305" s="6" t="s">
        <v>130</v>
      </c>
      <c r="E305" s="6" t="s">
        <v>69</v>
      </c>
      <c r="G305" s="6" t="s">
        <v>2939</v>
      </c>
      <c r="H305" s="6" t="s">
        <v>11590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  <c r="N305" s="669">
        <v>309000.0</v>
      </c>
      <c r="O305" s="6">
        <v>0.0</v>
      </c>
      <c r="P305" s="6">
        <v>0.0</v>
      </c>
      <c r="Q305" s="6">
        <v>0.0</v>
      </c>
      <c r="R305" s="6">
        <v>0.0</v>
      </c>
      <c r="S305" s="6">
        <v>0.0</v>
      </c>
      <c r="T305" s="6">
        <v>0.0</v>
      </c>
      <c r="U305" s="6">
        <v>0.0</v>
      </c>
    </row>
    <row r="306">
      <c r="A306" s="6" t="s">
        <v>442</v>
      </c>
      <c r="B306" s="6" t="s">
        <v>11578</v>
      </c>
      <c r="C306" s="6" t="s">
        <v>11591</v>
      </c>
      <c r="D306" s="6" t="s">
        <v>132</v>
      </c>
      <c r="E306" s="6" t="s">
        <v>69</v>
      </c>
      <c r="G306" s="6" t="s">
        <v>2939</v>
      </c>
      <c r="H306" s="6">
        <v>3.0</v>
      </c>
      <c r="I306" s="6">
        <v>0.0</v>
      </c>
      <c r="J306" s="6">
        <v>0.0</v>
      </c>
      <c r="K306" s="6">
        <v>0.0</v>
      </c>
      <c r="L306" s="6">
        <v>0.0</v>
      </c>
      <c r="M306" s="6">
        <v>0.0</v>
      </c>
      <c r="N306" s="669">
        <v>378000.0</v>
      </c>
      <c r="O306" s="6">
        <v>0.0</v>
      </c>
      <c r="P306" s="6">
        <v>0.0</v>
      </c>
      <c r="Q306" s="6">
        <v>0.0</v>
      </c>
      <c r="R306" s="6">
        <v>0.0</v>
      </c>
      <c r="S306" s="6">
        <v>0.0</v>
      </c>
      <c r="T306" s="6">
        <v>0.0</v>
      </c>
      <c r="U306" s="6">
        <v>0.0</v>
      </c>
    </row>
    <row r="307">
      <c r="A307" s="6" t="s">
        <v>68</v>
      </c>
      <c r="B307" s="6" t="s">
        <v>11578</v>
      </c>
      <c r="C307" s="6" t="s">
        <v>11591</v>
      </c>
      <c r="D307" s="6" t="s">
        <v>134</v>
      </c>
      <c r="E307" s="6" t="s">
        <v>69</v>
      </c>
      <c r="G307" s="6" t="s">
        <v>2939</v>
      </c>
      <c r="H307" s="6" t="s">
        <v>11590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  <c r="N307" s="669">
        <v>378000.0</v>
      </c>
      <c r="O307" s="6">
        <v>0.0</v>
      </c>
      <c r="P307" s="6">
        <v>0.0</v>
      </c>
      <c r="Q307" s="6">
        <v>0.0</v>
      </c>
      <c r="R307" s="6">
        <v>0.0</v>
      </c>
      <c r="S307" s="6">
        <v>0.0</v>
      </c>
      <c r="T307" s="6">
        <v>0.0</v>
      </c>
      <c r="U307" s="6">
        <v>0.0</v>
      </c>
    </row>
    <row r="308">
      <c r="A308" s="6" t="s">
        <v>1461</v>
      </c>
      <c r="B308" s="6" t="s">
        <v>11569</v>
      </c>
      <c r="C308" s="6" t="s">
        <v>11570</v>
      </c>
      <c r="D308" s="6" t="s">
        <v>22</v>
      </c>
      <c r="E308" s="6" t="s">
        <v>2357</v>
      </c>
      <c r="F308" s="6" t="s">
        <v>75</v>
      </c>
      <c r="G308" s="6" t="s">
        <v>2939</v>
      </c>
      <c r="H308" s="6">
        <v>0.0</v>
      </c>
      <c r="I308" s="6">
        <v>0.0</v>
      </c>
      <c r="J308" s="6">
        <v>7.0</v>
      </c>
      <c r="K308" s="6">
        <v>1.0</v>
      </c>
      <c r="L308" s="6">
        <v>0.0</v>
      </c>
      <c r="M308" s="6">
        <v>0.0</v>
      </c>
      <c r="N308" s="669">
        <v>2500000.0</v>
      </c>
      <c r="O308" s="6">
        <v>0.0</v>
      </c>
      <c r="P308" s="6">
        <v>0.0</v>
      </c>
      <c r="Q308" s="6">
        <v>0.0</v>
      </c>
      <c r="R308" s="6">
        <v>0.0</v>
      </c>
      <c r="S308" s="6">
        <v>0.0</v>
      </c>
      <c r="T308" s="6">
        <v>0.0</v>
      </c>
      <c r="U308" s="6">
        <v>0.0</v>
      </c>
    </row>
    <row r="309">
      <c r="A309" s="6" t="s">
        <v>443</v>
      </c>
      <c r="B309" s="6" t="s">
        <v>11576</v>
      </c>
      <c r="C309" s="6" t="s">
        <v>11570</v>
      </c>
      <c r="D309" s="6" t="s">
        <v>22</v>
      </c>
      <c r="E309" s="6" t="s">
        <v>2357</v>
      </c>
      <c r="F309" s="6" t="s">
        <v>125</v>
      </c>
      <c r="G309" s="6" t="s">
        <v>2939</v>
      </c>
      <c r="H309" s="6">
        <v>0.0</v>
      </c>
      <c r="I309" s="6">
        <v>0.0</v>
      </c>
      <c r="J309" s="6">
        <v>6.0</v>
      </c>
      <c r="K309" s="6">
        <v>0.0</v>
      </c>
      <c r="L309" s="6">
        <v>0.0</v>
      </c>
      <c r="M309" s="6">
        <v>0.0</v>
      </c>
      <c r="N309" s="669">
        <v>1552000.0</v>
      </c>
      <c r="O309" s="6">
        <v>0.0</v>
      </c>
      <c r="P309" s="6">
        <v>0.0</v>
      </c>
      <c r="Q309" s="6">
        <v>0.0</v>
      </c>
      <c r="R309" s="6">
        <v>0.0</v>
      </c>
      <c r="S309" s="6" t="s">
        <v>11590</v>
      </c>
      <c r="T309" s="6">
        <v>5.0</v>
      </c>
      <c r="U309" s="6">
        <v>0.0</v>
      </c>
    </row>
    <row r="310">
      <c r="A310" s="6" t="s">
        <v>445</v>
      </c>
      <c r="B310" s="6" t="s">
        <v>11576</v>
      </c>
      <c r="C310" s="6" t="s">
        <v>11579</v>
      </c>
      <c r="D310" s="6" t="s">
        <v>41</v>
      </c>
      <c r="E310" s="6" t="s">
        <v>2357</v>
      </c>
      <c r="F310" s="6" t="s">
        <v>2301</v>
      </c>
      <c r="G310" s="6" t="s">
        <v>2939</v>
      </c>
      <c r="H310" s="6">
        <v>0.0</v>
      </c>
      <c r="I310" s="6">
        <v>0.0</v>
      </c>
      <c r="J310" s="6">
        <v>9.0</v>
      </c>
      <c r="K310" s="6">
        <v>2.0</v>
      </c>
      <c r="L310" s="6">
        <v>0.0</v>
      </c>
      <c r="M310" s="6">
        <v>0.0</v>
      </c>
      <c r="N310" s="669">
        <v>1037000.0</v>
      </c>
      <c r="O310" s="6">
        <v>0.0</v>
      </c>
      <c r="P310" s="6">
        <v>0.0</v>
      </c>
      <c r="Q310" s="6">
        <v>0.0</v>
      </c>
      <c r="R310" s="6">
        <v>0.0</v>
      </c>
      <c r="S310" s="6" t="s">
        <v>11590</v>
      </c>
      <c r="T310" s="6">
        <v>8.0</v>
      </c>
      <c r="U310" s="6">
        <v>0.0</v>
      </c>
    </row>
    <row r="311">
      <c r="A311" s="6" t="s">
        <v>11709</v>
      </c>
      <c r="B311" s="6" t="s">
        <v>11569</v>
      </c>
      <c r="C311" s="6" t="s">
        <v>11570</v>
      </c>
      <c r="D311" s="6" t="s">
        <v>22</v>
      </c>
      <c r="E311" s="6" t="s">
        <v>11710</v>
      </c>
      <c r="F311" s="6" t="s">
        <v>75</v>
      </c>
      <c r="G311" s="6" t="s">
        <v>2939</v>
      </c>
      <c r="H311" s="6">
        <v>0.0</v>
      </c>
      <c r="I311" s="6">
        <v>0.0</v>
      </c>
      <c r="J311" s="6">
        <v>2.0</v>
      </c>
      <c r="K311" s="6">
        <v>0.0</v>
      </c>
      <c r="L311" s="6">
        <v>0.0</v>
      </c>
      <c r="M311" s="6">
        <v>0.0</v>
      </c>
      <c r="N311" s="669">
        <v>2600000.0</v>
      </c>
      <c r="O311" s="6">
        <v>0.0</v>
      </c>
      <c r="P311" s="6">
        <v>0.0</v>
      </c>
      <c r="Q311" s="6">
        <v>0.0</v>
      </c>
      <c r="R311" s="6">
        <v>0.0</v>
      </c>
      <c r="S311" s="6">
        <v>0.0</v>
      </c>
      <c r="T311" s="6">
        <v>0.0</v>
      </c>
      <c r="U311" s="6">
        <v>0.0</v>
      </c>
    </row>
    <row r="312">
      <c r="A312" s="6" t="s">
        <v>446</v>
      </c>
      <c r="B312" s="6" t="s">
        <v>11576</v>
      </c>
      <c r="C312" s="6" t="s">
        <v>11570</v>
      </c>
      <c r="D312" s="6" t="s">
        <v>22</v>
      </c>
      <c r="E312" s="6" t="s">
        <v>447</v>
      </c>
      <c r="F312" s="6" t="s">
        <v>75</v>
      </c>
      <c r="G312" s="6" t="s">
        <v>2939</v>
      </c>
      <c r="H312" s="6">
        <v>0.0</v>
      </c>
      <c r="I312" s="6">
        <v>0.0</v>
      </c>
      <c r="J312" s="6">
        <v>5.0</v>
      </c>
      <c r="K312" s="6">
        <v>0.0</v>
      </c>
      <c r="L312" s="6">
        <v>0.0</v>
      </c>
      <c r="M312" s="6">
        <v>0.0</v>
      </c>
      <c r="N312" s="669">
        <v>5263000.0</v>
      </c>
      <c r="O312" s="6">
        <v>0.0</v>
      </c>
      <c r="P312" s="6">
        <v>0.0</v>
      </c>
      <c r="Q312" s="6">
        <v>0.0</v>
      </c>
      <c r="R312" s="6">
        <v>0.0</v>
      </c>
      <c r="S312" s="6">
        <v>0.0</v>
      </c>
      <c r="T312" s="6">
        <v>0.0</v>
      </c>
      <c r="U312" s="6">
        <v>0.0</v>
      </c>
    </row>
    <row r="313">
      <c r="A313" s="6" t="s">
        <v>448</v>
      </c>
      <c r="B313" s="6" t="s">
        <v>11576</v>
      </c>
      <c r="C313" s="6" t="s">
        <v>11570</v>
      </c>
      <c r="D313" s="6" t="s">
        <v>22</v>
      </c>
      <c r="E313" s="6" t="s">
        <v>449</v>
      </c>
      <c r="F313" s="6" t="s">
        <v>125</v>
      </c>
      <c r="G313" s="6" t="s">
        <v>2939</v>
      </c>
      <c r="H313" s="6">
        <v>0.0</v>
      </c>
      <c r="I313" s="6">
        <v>0.0</v>
      </c>
      <c r="J313" s="6">
        <v>3.0</v>
      </c>
      <c r="K313" s="6">
        <v>1.0</v>
      </c>
      <c r="L313" s="6">
        <v>0.0</v>
      </c>
      <c r="M313" s="6">
        <v>0.0</v>
      </c>
      <c r="N313" s="669">
        <v>5880000.0</v>
      </c>
      <c r="O313" s="6">
        <v>0.0</v>
      </c>
      <c r="P313" s="6">
        <v>0.0</v>
      </c>
      <c r="Q313" s="6">
        <v>0.0</v>
      </c>
      <c r="R313" s="6">
        <v>0.0</v>
      </c>
      <c r="S313" s="6">
        <v>0.0</v>
      </c>
      <c r="T313" s="6">
        <v>0.0</v>
      </c>
      <c r="U313" s="6">
        <v>0.0</v>
      </c>
    </row>
    <row r="314">
      <c r="A314" s="6" t="s">
        <v>450</v>
      </c>
      <c r="B314" s="6" t="s">
        <v>11576</v>
      </c>
      <c r="C314" s="6" t="s">
        <v>11579</v>
      </c>
      <c r="D314" s="6" t="s">
        <v>41</v>
      </c>
      <c r="E314" s="6" t="s">
        <v>451</v>
      </c>
      <c r="F314" s="6" t="s">
        <v>1377</v>
      </c>
      <c r="G314" s="6" t="s">
        <v>2939</v>
      </c>
      <c r="H314" s="6">
        <v>0.0</v>
      </c>
      <c r="I314" s="6">
        <v>0.0</v>
      </c>
      <c r="J314" s="6">
        <v>0.0</v>
      </c>
      <c r="K314" s="6">
        <v>3.0</v>
      </c>
      <c r="L314" s="6">
        <v>0.0</v>
      </c>
      <c r="M314" s="6">
        <v>0.0</v>
      </c>
      <c r="N314" s="669">
        <v>4175000.0</v>
      </c>
      <c r="O314" s="6">
        <v>0.0</v>
      </c>
      <c r="P314" s="6">
        <v>0.0</v>
      </c>
      <c r="Q314" s="6">
        <v>0.0</v>
      </c>
      <c r="R314" s="6">
        <v>0.0</v>
      </c>
      <c r="S314" s="6">
        <v>0.0</v>
      </c>
      <c r="T314" s="6">
        <v>0.0</v>
      </c>
      <c r="U314" s="6">
        <v>0.0</v>
      </c>
    </row>
    <row r="315">
      <c r="A315" s="6" t="s">
        <v>452</v>
      </c>
      <c r="B315" s="6" t="s">
        <v>11576</v>
      </c>
      <c r="C315" s="6" t="s">
        <v>11579</v>
      </c>
      <c r="D315" s="6" t="s">
        <v>41</v>
      </c>
      <c r="E315" s="6" t="s">
        <v>453</v>
      </c>
      <c r="F315" s="6" t="s">
        <v>2301</v>
      </c>
      <c r="G315" s="6" t="s">
        <v>2939</v>
      </c>
      <c r="H315" s="6">
        <v>0.0</v>
      </c>
      <c r="I315" s="6">
        <v>0.0</v>
      </c>
      <c r="J315" s="6">
        <v>2.0</v>
      </c>
      <c r="K315" s="6">
        <v>2.0</v>
      </c>
      <c r="L315" s="6">
        <v>0.0</v>
      </c>
      <c r="M315" s="6">
        <v>0.0</v>
      </c>
      <c r="N315" s="669">
        <v>4497000.0</v>
      </c>
      <c r="O315" s="6">
        <v>0.0</v>
      </c>
      <c r="P315" s="6">
        <v>0.0</v>
      </c>
      <c r="Q315" s="6">
        <v>0.0</v>
      </c>
      <c r="R315" s="6">
        <v>0.0</v>
      </c>
      <c r="S315" s="6">
        <v>0.0</v>
      </c>
      <c r="T315" s="6">
        <v>0.0</v>
      </c>
      <c r="U315" s="6">
        <v>0.0</v>
      </c>
    </row>
    <row r="316">
      <c r="A316" s="6" t="s">
        <v>454</v>
      </c>
      <c r="B316" s="6" t="s">
        <v>11630</v>
      </c>
      <c r="C316" s="6" t="s">
        <v>11570</v>
      </c>
      <c r="D316" s="6" t="s">
        <v>22</v>
      </c>
      <c r="E316" s="6" t="s">
        <v>11711</v>
      </c>
      <c r="F316" s="6" t="s">
        <v>125</v>
      </c>
      <c r="G316" s="6" t="s">
        <v>2939</v>
      </c>
      <c r="H316" s="6">
        <v>0.0</v>
      </c>
      <c r="I316" s="6">
        <v>0.0</v>
      </c>
      <c r="J316" s="6" t="s">
        <v>11590</v>
      </c>
      <c r="K316" s="6">
        <v>1.0</v>
      </c>
      <c r="L316" s="6">
        <v>0.0</v>
      </c>
      <c r="M316" s="6">
        <v>0.0</v>
      </c>
      <c r="N316" s="669">
        <v>1418000.0</v>
      </c>
      <c r="O316" s="6">
        <v>0.0</v>
      </c>
      <c r="P316" s="6">
        <v>0.0</v>
      </c>
      <c r="Q316" s="6">
        <v>0.0</v>
      </c>
      <c r="R316" s="6">
        <v>0.0</v>
      </c>
      <c r="S316" s="6" t="s">
        <v>11590</v>
      </c>
      <c r="T316" s="6" t="s">
        <v>11590</v>
      </c>
      <c r="U316" s="6">
        <v>0.0</v>
      </c>
    </row>
    <row r="317">
      <c r="A317" s="6" t="s">
        <v>456</v>
      </c>
      <c r="B317" s="6" t="s">
        <v>11576</v>
      </c>
      <c r="C317" s="6" t="s">
        <v>11579</v>
      </c>
      <c r="D317" s="6" t="s">
        <v>41</v>
      </c>
      <c r="E317" s="6" t="s">
        <v>11711</v>
      </c>
      <c r="F317" s="6" t="s">
        <v>2193</v>
      </c>
      <c r="G317" s="6" t="s">
        <v>2939</v>
      </c>
      <c r="H317" s="6">
        <v>0.0</v>
      </c>
      <c r="I317" s="6">
        <v>0.0</v>
      </c>
      <c r="J317" s="6" t="s">
        <v>11590</v>
      </c>
      <c r="K317" s="6">
        <v>6.0</v>
      </c>
      <c r="L317" s="6">
        <v>0.0</v>
      </c>
      <c r="M317" s="6">
        <v>0.0</v>
      </c>
      <c r="N317" s="669">
        <v>1196000.0</v>
      </c>
      <c r="O317" s="6">
        <v>0.0</v>
      </c>
      <c r="P317" s="6">
        <v>0.0</v>
      </c>
      <c r="Q317" s="6">
        <v>0.0</v>
      </c>
      <c r="R317" s="6">
        <v>0.0</v>
      </c>
      <c r="S317" s="6" t="s">
        <v>11590</v>
      </c>
      <c r="T317" s="6" t="s">
        <v>11590</v>
      </c>
      <c r="U317" s="6">
        <v>0.0</v>
      </c>
    </row>
    <row r="318">
      <c r="A318" s="6" t="s">
        <v>457</v>
      </c>
      <c r="B318" s="6" t="s">
        <v>11578</v>
      </c>
      <c r="C318" s="6" t="s">
        <v>11591</v>
      </c>
      <c r="D318" s="6" t="s">
        <v>202</v>
      </c>
      <c r="E318" s="6" t="s">
        <v>11711</v>
      </c>
      <c r="F318" s="6" t="s">
        <v>97</v>
      </c>
      <c r="G318" s="6" t="s">
        <v>2939</v>
      </c>
      <c r="H318" s="6">
        <v>0.0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  <c r="N318" s="669">
        <v>363000.0</v>
      </c>
      <c r="O318" s="6">
        <v>0.0</v>
      </c>
      <c r="P318" s="6">
        <v>0.0</v>
      </c>
      <c r="Q318" s="6">
        <v>0.0</v>
      </c>
      <c r="R318" s="6">
        <v>0.0</v>
      </c>
      <c r="S318" s="6">
        <v>0.0</v>
      </c>
      <c r="T318" s="6">
        <v>0.0</v>
      </c>
      <c r="U318" s="6">
        <v>0.0</v>
      </c>
    </row>
    <row r="319">
      <c r="A319" s="6" t="s">
        <v>458</v>
      </c>
      <c r="B319" s="6" t="s">
        <v>11578</v>
      </c>
      <c r="C319" s="6" t="s">
        <v>11591</v>
      </c>
      <c r="D319" s="6" t="s">
        <v>236</v>
      </c>
      <c r="E319" s="6" t="s">
        <v>11711</v>
      </c>
      <c r="F319" s="6" t="s">
        <v>97</v>
      </c>
      <c r="G319" s="6" t="s">
        <v>2939</v>
      </c>
      <c r="H319" s="6">
        <v>0.0</v>
      </c>
      <c r="I319" s="6">
        <v>0.0</v>
      </c>
      <c r="J319" s="6">
        <v>0.0</v>
      </c>
      <c r="K319" s="6">
        <v>0.0</v>
      </c>
      <c r="L319" s="6">
        <v>0.0</v>
      </c>
      <c r="M319" s="6">
        <v>0.0</v>
      </c>
      <c r="N319" s="669">
        <v>378000.0</v>
      </c>
      <c r="O319" s="6">
        <v>0.0</v>
      </c>
      <c r="P319" s="6">
        <v>0.0</v>
      </c>
      <c r="Q319" s="6">
        <v>0.0</v>
      </c>
      <c r="R319" s="6">
        <v>0.0</v>
      </c>
      <c r="S319" s="6">
        <v>0.0</v>
      </c>
      <c r="T319" s="6">
        <v>0.0</v>
      </c>
      <c r="U319" s="6">
        <v>0.0</v>
      </c>
    </row>
    <row r="320">
      <c r="A320" s="6" t="s">
        <v>11712</v>
      </c>
      <c r="B320" s="6" t="s">
        <v>11576</v>
      </c>
      <c r="C320" s="6" t="s">
        <v>11570</v>
      </c>
      <c r="D320" s="6" t="s">
        <v>22</v>
      </c>
      <c r="E320" s="6" t="s">
        <v>460</v>
      </c>
      <c r="F320" s="6" t="s">
        <v>125</v>
      </c>
      <c r="G320" s="6" t="s">
        <v>2939</v>
      </c>
      <c r="H320" s="6">
        <v>0.0</v>
      </c>
      <c r="I320" s="6">
        <v>0.0</v>
      </c>
      <c r="J320" s="6" t="s">
        <v>11590</v>
      </c>
      <c r="K320" s="6">
        <v>0.0</v>
      </c>
      <c r="L320" s="6">
        <v>0.0</v>
      </c>
      <c r="M320" s="6">
        <v>0.0</v>
      </c>
      <c r="N320" s="669">
        <v>1606000.0</v>
      </c>
      <c r="O320" s="6">
        <v>0.0</v>
      </c>
      <c r="P320" s="6">
        <v>0.0</v>
      </c>
      <c r="Q320" s="6">
        <v>0.0</v>
      </c>
      <c r="R320" s="6">
        <v>0.0</v>
      </c>
      <c r="S320" s="6" t="s">
        <v>11590</v>
      </c>
      <c r="T320" s="6" t="s">
        <v>11590</v>
      </c>
      <c r="U320" s="6" t="s">
        <v>11590</v>
      </c>
    </row>
    <row r="321">
      <c r="A321" s="6" t="s">
        <v>11713</v>
      </c>
      <c r="B321" s="6" t="s">
        <v>11576</v>
      </c>
      <c r="C321" s="6" t="s">
        <v>11579</v>
      </c>
      <c r="D321" s="6" t="s">
        <v>41</v>
      </c>
      <c r="E321" s="6" t="s">
        <v>460</v>
      </c>
      <c r="F321" s="6" t="s">
        <v>1377</v>
      </c>
      <c r="G321" s="6" t="s">
        <v>2939</v>
      </c>
      <c r="H321" s="6">
        <v>0.0</v>
      </c>
      <c r="I321" s="6">
        <v>0.0</v>
      </c>
      <c r="J321" s="6">
        <v>3.0</v>
      </c>
      <c r="K321" s="6">
        <v>6.0</v>
      </c>
      <c r="L321" s="6">
        <v>0.0</v>
      </c>
      <c r="M321" s="6">
        <v>0.0</v>
      </c>
      <c r="N321" s="669">
        <v>965000.0</v>
      </c>
      <c r="O321" s="6">
        <v>0.0</v>
      </c>
      <c r="P321" s="6">
        <v>0.0</v>
      </c>
      <c r="Q321" s="6">
        <v>0.0</v>
      </c>
      <c r="R321" s="6">
        <v>0.0</v>
      </c>
      <c r="S321" s="6" t="s">
        <v>11590</v>
      </c>
      <c r="T321" s="6" t="s">
        <v>11590</v>
      </c>
      <c r="U321" s="6">
        <v>0.0</v>
      </c>
    </row>
    <row r="322">
      <c r="A322" s="6" t="s">
        <v>1330</v>
      </c>
      <c r="B322" s="6" t="s">
        <v>11569</v>
      </c>
      <c r="C322" s="6" t="s">
        <v>11570</v>
      </c>
      <c r="D322" s="6" t="s">
        <v>22</v>
      </c>
      <c r="E322" s="6" t="s">
        <v>11714</v>
      </c>
      <c r="F322" s="6" t="s">
        <v>75</v>
      </c>
      <c r="G322" s="6" t="s">
        <v>2939</v>
      </c>
      <c r="H322" s="6">
        <v>0.0</v>
      </c>
      <c r="I322" s="6">
        <v>0.0</v>
      </c>
      <c r="J322" s="6" t="s">
        <v>11590</v>
      </c>
      <c r="K322" s="6">
        <v>0.0</v>
      </c>
      <c r="L322" s="6">
        <v>0.0</v>
      </c>
      <c r="M322" s="6">
        <v>0.0</v>
      </c>
      <c r="N322" s="669">
        <v>2600000.0</v>
      </c>
      <c r="O322" s="6">
        <v>0.0</v>
      </c>
      <c r="P322" s="6">
        <v>0.0</v>
      </c>
      <c r="Q322" s="6">
        <v>0.0</v>
      </c>
      <c r="R322" s="6">
        <v>0.0</v>
      </c>
      <c r="S322" s="6">
        <v>0.0</v>
      </c>
      <c r="T322" s="6">
        <v>0.0</v>
      </c>
      <c r="U322" s="6">
        <v>0.0</v>
      </c>
    </row>
    <row r="323">
      <c r="A323" s="6" t="s">
        <v>462</v>
      </c>
      <c r="B323" s="6" t="s">
        <v>11630</v>
      </c>
      <c r="C323" s="6" t="s">
        <v>11570</v>
      </c>
      <c r="D323" s="6" t="s">
        <v>22</v>
      </c>
      <c r="E323" s="6" t="s">
        <v>463</v>
      </c>
      <c r="F323" s="6" t="s">
        <v>97</v>
      </c>
      <c r="G323" s="6" t="s">
        <v>2939</v>
      </c>
      <c r="H323" s="6">
        <v>0.0</v>
      </c>
      <c r="I323" s="6">
        <v>0.0</v>
      </c>
      <c r="J323" s="6">
        <v>1.0</v>
      </c>
      <c r="K323" s="6">
        <v>7.0</v>
      </c>
      <c r="L323" s="6" t="s">
        <v>11590</v>
      </c>
      <c r="M323" s="6" t="s">
        <v>11590</v>
      </c>
      <c r="N323" s="669">
        <v>1224000.0</v>
      </c>
      <c r="O323" s="6">
        <v>0.0</v>
      </c>
      <c r="P323" s="6">
        <v>0.0</v>
      </c>
      <c r="Q323" s="6">
        <v>0.0</v>
      </c>
      <c r="R323" s="6">
        <v>0.0</v>
      </c>
      <c r="S323" s="6">
        <v>0.0</v>
      </c>
      <c r="T323" s="6">
        <v>0.0</v>
      </c>
      <c r="U323" s="6">
        <v>0.0</v>
      </c>
    </row>
    <row r="324">
      <c r="A324" s="6" t="s">
        <v>464</v>
      </c>
      <c r="B324" s="6" t="s">
        <v>11576</v>
      </c>
      <c r="C324" s="6" t="s">
        <v>11579</v>
      </c>
      <c r="D324" s="6" t="s">
        <v>41</v>
      </c>
      <c r="E324" s="6" t="s">
        <v>463</v>
      </c>
      <c r="F324" s="6" t="s">
        <v>1377</v>
      </c>
      <c r="G324" s="6" t="s">
        <v>2939</v>
      </c>
      <c r="H324" s="6">
        <v>0.0</v>
      </c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  <c r="N324" s="669">
        <v>1003000.0</v>
      </c>
      <c r="O324" s="6">
        <v>0.0</v>
      </c>
      <c r="P324" s="6">
        <v>0.0</v>
      </c>
      <c r="Q324" s="6">
        <v>0.0</v>
      </c>
      <c r="R324" s="6">
        <v>0.0</v>
      </c>
      <c r="S324" s="6" t="s">
        <v>11590</v>
      </c>
      <c r="T324" s="6" t="s">
        <v>11590</v>
      </c>
      <c r="U324" s="6">
        <v>0.0</v>
      </c>
    </row>
    <row r="325">
      <c r="A325" s="6" t="s">
        <v>465</v>
      </c>
      <c r="B325" s="6" t="s">
        <v>11578</v>
      </c>
      <c r="C325" s="6" t="s">
        <v>11591</v>
      </c>
      <c r="D325" s="6" t="s">
        <v>128</v>
      </c>
      <c r="E325" s="6" t="s">
        <v>463</v>
      </c>
      <c r="F325" s="6" t="s">
        <v>466</v>
      </c>
      <c r="G325" s="6" t="s">
        <v>2939</v>
      </c>
      <c r="H325" s="6">
        <v>0.0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  <c r="N325" s="669">
        <v>393000.0</v>
      </c>
      <c r="O325" s="6">
        <v>0.0</v>
      </c>
      <c r="P325" s="6">
        <v>0.0</v>
      </c>
      <c r="Q325" s="6">
        <v>0.0</v>
      </c>
      <c r="R325" s="6">
        <v>0.0</v>
      </c>
      <c r="S325" s="6">
        <v>0.0</v>
      </c>
      <c r="T325" s="6">
        <v>0.0</v>
      </c>
      <c r="U325" s="6">
        <v>0.0</v>
      </c>
    </row>
    <row r="326">
      <c r="A326" s="6" t="s">
        <v>467</v>
      </c>
      <c r="B326" s="6" t="s">
        <v>11578</v>
      </c>
      <c r="C326" s="6" t="s">
        <v>11591</v>
      </c>
      <c r="D326" s="6" t="s">
        <v>400</v>
      </c>
      <c r="E326" s="6" t="s">
        <v>463</v>
      </c>
      <c r="F326" s="6" t="s">
        <v>97</v>
      </c>
      <c r="G326" s="6" t="s">
        <v>2939</v>
      </c>
      <c r="H326" s="6">
        <v>2.0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  <c r="N326" s="669">
        <v>154000.0</v>
      </c>
      <c r="O326" s="6">
        <v>0.0</v>
      </c>
      <c r="P326" s="6">
        <v>0.0</v>
      </c>
      <c r="Q326" s="6">
        <v>0.0</v>
      </c>
      <c r="R326" s="6">
        <v>0.0</v>
      </c>
      <c r="S326" s="6">
        <v>0.0</v>
      </c>
      <c r="T326" s="6">
        <v>0.0</v>
      </c>
      <c r="U326" s="6">
        <v>0.0</v>
      </c>
    </row>
    <row r="327">
      <c r="A327" s="6" t="s">
        <v>468</v>
      </c>
      <c r="B327" s="6" t="s">
        <v>11578</v>
      </c>
      <c r="C327" s="6" t="s">
        <v>11591</v>
      </c>
      <c r="D327" s="6" t="s">
        <v>132</v>
      </c>
      <c r="E327" s="6" t="s">
        <v>463</v>
      </c>
      <c r="F327" s="6" t="s">
        <v>466</v>
      </c>
      <c r="G327" s="6" t="s">
        <v>2939</v>
      </c>
      <c r="H327" s="6">
        <v>0.0</v>
      </c>
      <c r="I327" s="6">
        <v>0.0</v>
      </c>
      <c r="J327" s="6">
        <v>0.0</v>
      </c>
      <c r="K327" s="6">
        <v>0.0</v>
      </c>
      <c r="L327" s="6">
        <v>0.0</v>
      </c>
      <c r="M327" s="6">
        <v>0.0</v>
      </c>
      <c r="N327" s="669">
        <v>305000.0</v>
      </c>
      <c r="O327" s="6">
        <v>0.0</v>
      </c>
      <c r="P327" s="6">
        <v>0.0</v>
      </c>
      <c r="Q327" s="6">
        <v>0.0</v>
      </c>
      <c r="R327" s="6">
        <v>0.0</v>
      </c>
      <c r="S327" s="6">
        <v>0.0</v>
      </c>
      <c r="T327" s="6">
        <v>0.0</v>
      </c>
      <c r="U327" s="6">
        <v>0.0</v>
      </c>
    </row>
    <row r="328">
      <c r="A328" s="6" t="s">
        <v>469</v>
      </c>
      <c r="B328" s="6" t="s">
        <v>11578</v>
      </c>
      <c r="C328" s="6" t="s">
        <v>11591</v>
      </c>
      <c r="D328" s="6" t="s">
        <v>134</v>
      </c>
      <c r="E328" s="6" t="s">
        <v>463</v>
      </c>
      <c r="F328" s="6" t="s">
        <v>466</v>
      </c>
      <c r="G328" s="6" t="s">
        <v>2939</v>
      </c>
      <c r="H328" s="6">
        <v>0.0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  <c r="N328" s="669">
        <v>305000.0</v>
      </c>
      <c r="O328" s="6">
        <v>0.0</v>
      </c>
      <c r="P328" s="6">
        <v>0.0</v>
      </c>
      <c r="Q328" s="6">
        <v>0.0</v>
      </c>
      <c r="R328" s="6">
        <v>0.0</v>
      </c>
      <c r="S328" s="6">
        <v>0.0</v>
      </c>
      <c r="T328" s="6">
        <v>0.0</v>
      </c>
      <c r="U328" s="6">
        <v>0.0</v>
      </c>
    </row>
    <row r="329">
      <c r="A329" s="6" t="s">
        <v>76</v>
      </c>
      <c r="B329" s="6" t="s">
        <v>11630</v>
      </c>
      <c r="C329" s="6" t="s">
        <v>11570</v>
      </c>
      <c r="D329" s="6" t="s">
        <v>22</v>
      </c>
      <c r="E329" s="6" t="s">
        <v>470</v>
      </c>
      <c r="F329" s="6" t="s">
        <v>125</v>
      </c>
      <c r="G329" s="6" t="s">
        <v>2939</v>
      </c>
      <c r="H329" s="6">
        <v>0.0</v>
      </c>
      <c r="I329" s="6">
        <v>0.0</v>
      </c>
      <c r="J329" s="6" t="s">
        <v>11590</v>
      </c>
      <c r="K329" s="6" t="s">
        <v>11590</v>
      </c>
      <c r="L329" s="6" t="s">
        <v>11590</v>
      </c>
      <c r="M329" s="6" t="s">
        <v>11590</v>
      </c>
      <c r="N329" s="669">
        <v>1418000.0</v>
      </c>
      <c r="O329" s="6">
        <v>10.0</v>
      </c>
      <c r="P329" s="6">
        <v>0.0</v>
      </c>
      <c r="Q329" s="6">
        <v>0.0</v>
      </c>
      <c r="R329" s="6">
        <v>0.0</v>
      </c>
      <c r="S329" s="6">
        <v>0.0</v>
      </c>
      <c r="T329" s="6">
        <v>0.0</v>
      </c>
      <c r="U329" s="6">
        <v>0.0</v>
      </c>
    </row>
    <row r="330">
      <c r="A330" s="6" t="s">
        <v>471</v>
      </c>
      <c r="B330" s="6" t="s">
        <v>11576</v>
      </c>
      <c r="C330" s="6" t="s">
        <v>11579</v>
      </c>
      <c r="D330" s="6" t="s">
        <v>41</v>
      </c>
      <c r="E330" s="6" t="s">
        <v>470</v>
      </c>
      <c r="F330" s="6" t="s">
        <v>2193</v>
      </c>
      <c r="G330" s="6" t="s">
        <v>2939</v>
      </c>
      <c r="H330" s="6">
        <v>0.0</v>
      </c>
      <c r="I330" s="6">
        <v>0.0</v>
      </c>
      <c r="J330" s="6" t="s">
        <v>11590</v>
      </c>
      <c r="K330" s="6">
        <v>1.0</v>
      </c>
      <c r="L330" s="6">
        <v>0.0</v>
      </c>
      <c r="M330" s="6">
        <v>0.0</v>
      </c>
      <c r="N330" s="669">
        <v>987000.0</v>
      </c>
      <c r="O330" s="6">
        <v>0.0</v>
      </c>
      <c r="P330" s="6">
        <v>0.0</v>
      </c>
      <c r="Q330" s="6">
        <v>0.0</v>
      </c>
      <c r="R330" s="6">
        <v>0.0</v>
      </c>
      <c r="S330" s="6" t="s">
        <v>11590</v>
      </c>
      <c r="T330" s="6" t="s">
        <v>11590</v>
      </c>
      <c r="U330" s="6">
        <v>0.0</v>
      </c>
    </row>
    <row r="331">
      <c r="A331" s="6" t="s">
        <v>472</v>
      </c>
      <c r="B331" s="6" t="s">
        <v>11578</v>
      </c>
      <c r="C331" s="6" t="s">
        <v>11591</v>
      </c>
      <c r="D331" s="6" t="s">
        <v>128</v>
      </c>
      <c r="E331" s="6" t="s">
        <v>470</v>
      </c>
      <c r="G331" s="6" t="s">
        <v>2939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  <c r="N331" s="669">
        <v>322000.0</v>
      </c>
      <c r="O331" s="6">
        <v>0.0</v>
      </c>
      <c r="P331" s="6">
        <v>0.0</v>
      </c>
      <c r="Q331" s="6">
        <v>0.0</v>
      </c>
      <c r="R331" s="6">
        <v>0.0</v>
      </c>
      <c r="S331" s="6">
        <v>0.0</v>
      </c>
      <c r="T331" s="6">
        <v>0.0</v>
      </c>
      <c r="U331" s="6">
        <v>0.0</v>
      </c>
    </row>
    <row r="332">
      <c r="A332" s="6" t="s">
        <v>473</v>
      </c>
      <c r="B332" s="6" t="s">
        <v>11578</v>
      </c>
      <c r="C332" s="6" t="s">
        <v>11591</v>
      </c>
      <c r="D332" s="6" t="s">
        <v>202</v>
      </c>
      <c r="E332" s="6" t="s">
        <v>470</v>
      </c>
      <c r="F332" s="6" t="s">
        <v>97</v>
      </c>
      <c r="G332" s="6" t="s">
        <v>2939</v>
      </c>
      <c r="H332" s="6">
        <v>0.0</v>
      </c>
      <c r="I332" s="6">
        <v>0.0</v>
      </c>
      <c r="J332" s="6">
        <v>0.0</v>
      </c>
      <c r="K332" s="6">
        <v>0.0</v>
      </c>
      <c r="L332" s="6">
        <v>0.0</v>
      </c>
      <c r="M332" s="6">
        <v>0.0</v>
      </c>
      <c r="N332" s="669">
        <v>279000.0</v>
      </c>
      <c r="O332" s="6">
        <v>0.0</v>
      </c>
      <c r="P332" s="6">
        <v>0.0</v>
      </c>
      <c r="Q332" s="6">
        <v>0.0</v>
      </c>
      <c r="R332" s="6">
        <v>0.0</v>
      </c>
      <c r="S332" s="6">
        <v>0.0</v>
      </c>
      <c r="T332" s="6">
        <v>0.0</v>
      </c>
      <c r="U332" s="6">
        <v>0.0</v>
      </c>
    </row>
    <row r="333">
      <c r="A333" s="6" t="s">
        <v>474</v>
      </c>
      <c r="B333" s="6" t="s">
        <v>11578</v>
      </c>
      <c r="C333" s="6" t="s">
        <v>11591</v>
      </c>
      <c r="D333" s="6" t="s">
        <v>236</v>
      </c>
      <c r="E333" s="6" t="s">
        <v>470</v>
      </c>
      <c r="F333" s="6" t="s">
        <v>97</v>
      </c>
      <c r="G333" s="6" t="s">
        <v>2939</v>
      </c>
      <c r="H333" s="6">
        <v>0.0</v>
      </c>
      <c r="I333" s="6">
        <v>0.0</v>
      </c>
      <c r="J333" s="6">
        <v>0.0</v>
      </c>
      <c r="K333" s="6">
        <v>0.0</v>
      </c>
      <c r="L333" s="6">
        <v>0.0</v>
      </c>
      <c r="M333" s="6">
        <v>0.0</v>
      </c>
      <c r="N333" s="669">
        <v>279000.0</v>
      </c>
      <c r="O333" s="6">
        <v>0.0</v>
      </c>
      <c r="P333" s="6">
        <v>0.0</v>
      </c>
      <c r="Q333" s="6">
        <v>0.0</v>
      </c>
      <c r="R333" s="6">
        <v>0.0</v>
      </c>
      <c r="S333" s="6">
        <v>0.0</v>
      </c>
      <c r="T333" s="6">
        <v>0.0</v>
      </c>
      <c r="U333" s="6">
        <v>0.0</v>
      </c>
    </row>
    <row r="334">
      <c r="A334" s="6" t="s">
        <v>475</v>
      </c>
      <c r="B334" s="6" t="s">
        <v>11576</v>
      </c>
      <c r="C334" s="6" t="s">
        <v>11570</v>
      </c>
      <c r="D334" s="6" t="s">
        <v>22</v>
      </c>
      <c r="E334" s="6" t="s">
        <v>2262</v>
      </c>
      <c r="F334" s="6" t="s">
        <v>125</v>
      </c>
      <c r="G334" s="6" t="s">
        <v>2939</v>
      </c>
      <c r="H334" s="6">
        <v>0.0</v>
      </c>
      <c r="I334" s="6">
        <v>0.0</v>
      </c>
      <c r="J334" s="6" t="s">
        <v>11590</v>
      </c>
      <c r="K334" s="6">
        <v>3.0</v>
      </c>
      <c r="L334" s="6">
        <v>0.0</v>
      </c>
      <c r="M334" s="6">
        <v>0.0</v>
      </c>
      <c r="N334" s="669">
        <v>1157000.0</v>
      </c>
      <c r="O334" s="6">
        <v>0.0</v>
      </c>
      <c r="P334" s="6">
        <v>0.0</v>
      </c>
      <c r="Q334" s="6">
        <v>0.0</v>
      </c>
      <c r="R334" s="6">
        <v>0.0</v>
      </c>
      <c r="S334" s="6" t="s">
        <v>11590</v>
      </c>
      <c r="T334" s="6" t="s">
        <v>11590</v>
      </c>
      <c r="U334" s="6">
        <v>0.0</v>
      </c>
    </row>
    <row r="335">
      <c r="A335" s="6" t="s">
        <v>477</v>
      </c>
      <c r="B335" s="6" t="s">
        <v>11576</v>
      </c>
      <c r="C335" s="6" t="s">
        <v>11579</v>
      </c>
      <c r="D335" s="6" t="s">
        <v>41</v>
      </c>
      <c r="E335" s="6" t="s">
        <v>2262</v>
      </c>
      <c r="F335" s="6" t="s">
        <v>2193</v>
      </c>
      <c r="G335" s="6" t="s">
        <v>2939</v>
      </c>
      <c r="H335" s="6">
        <v>0.0</v>
      </c>
      <c r="I335" s="6">
        <v>0.0</v>
      </c>
      <c r="J335" s="6" t="s">
        <v>11590</v>
      </c>
      <c r="K335" s="6">
        <v>0.0</v>
      </c>
      <c r="L335" s="6">
        <v>0.0</v>
      </c>
      <c r="M335" s="6">
        <v>0.0</v>
      </c>
      <c r="N335" s="669">
        <v>1003000.0</v>
      </c>
      <c r="O335" s="6">
        <v>0.0</v>
      </c>
      <c r="P335" s="6">
        <v>0.0</v>
      </c>
      <c r="Q335" s="6">
        <v>0.0</v>
      </c>
      <c r="R335" s="6">
        <v>0.0</v>
      </c>
      <c r="S335" s="6" t="s">
        <v>11590</v>
      </c>
      <c r="T335" s="6" t="s">
        <v>11590</v>
      </c>
      <c r="U335" s="6">
        <v>0.0</v>
      </c>
    </row>
    <row r="336">
      <c r="A336" s="6" t="s">
        <v>478</v>
      </c>
      <c r="B336" s="6" t="s">
        <v>11578</v>
      </c>
      <c r="C336" s="6" t="s">
        <v>11570</v>
      </c>
      <c r="D336" s="6" t="s">
        <v>22</v>
      </c>
      <c r="E336" s="6" t="s">
        <v>11715</v>
      </c>
      <c r="F336" s="6" t="s">
        <v>75</v>
      </c>
      <c r="G336" s="6" t="s">
        <v>2939</v>
      </c>
      <c r="H336" s="6">
        <v>2.0</v>
      </c>
      <c r="I336" s="6">
        <v>0.0</v>
      </c>
      <c r="J336" s="6">
        <v>0.0</v>
      </c>
      <c r="K336" s="6">
        <v>0.0</v>
      </c>
      <c r="L336" s="6">
        <v>0.0</v>
      </c>
      <c r="M336" s="6">
        <v>0.0</v>
      </c>
      <c r="N336" s="669">
        <v>7839000.0</v>
      </c>
      <c r="O336" s="6">
        <v>0.0</v>
      </c>
      <c r="P336" s="6">
        <v>0.0</v>
      </c>
      <c r="Q336" s="6">
        <v>0.0</v>
      </c>
      <c r="R336" s="6">
        <v>0.0</v>
      </c>
      <c r="S336" s="6">
        <v>0.0</v>
      </c>
      <c r="T336" s="6">
        <v>0.0</v>
      </c>
      <c r="U336" s="6">
        <v>0.0</v>
      </c>
    </row>
    <row r="337">
      <c r="A337" s="6" t="s">
        <v>2333</v>
      </c>
      <c r="B337" s="6" t="s">
        <v>11569</v>
      </c>
      <c r="C337" s="6" t="s">
        <v>11579</v>
      </c>
      <c r="D337" s="6" t="s">
        <v>41</v>
      </c>
      <c r="E337" s="6" t="s">
        <v>2334</v>
      </c>
      <c r="F337" s="6" t="s">
        <v>97</v>
      </c>
      <c r="G337" s="6" t="s">
        <v>2939</v>
      </c>
      <c r="H337" s="6">
        <v>0.0</v>
      </c>
      <c r="I337" s="6">
        <v>0.0</v>
      </c>
      <c r="J337" s="6" t="s">
        <v>11590</v>
      </c>
      <c r="K337" s="6" t="s">
        <v>11590</v>
      </c>
      <c r="L337" s="6">
        <v>0.0</v>
      </c>
      <c r="M337" s="6">
        <v>0.0</v>
      </c>
      <c r="N337" s="669">
        <v>901000.0</v>
      </c>
      <c r="O337" s="6">
        <v>0.0</v>
      </c>
      <c r="P337" s="6">
        <v>0.0</v>
      </c>
      <c r="Q337" s="6">
        <v>0.0</v>
      </c>
      <c r="R337" s="6">
        <v>0.0</v>
      </c>
      <c r="S337" s="6">
        <v>0.0</v>
      </c>
      <c r="T337" s="6" t="s">
        <v>11590</v>
      </c>
      <c r="U337" s="6">
        <v>0.0</v>
      </c>
    </row>
    <row r="338">
      <c r="A338" s="6" t="s">
        <v>11716</v>
      </c>
      <c r="B338" s="6" t="s">
        <v>11569</v>
      </c>
      <c r="C338" s="6" t="s">
        <v>11579</v>
      </c>
      <c r="D338" s="6" t="s">
        <v>41</v>
      </c>
      <c r="E338" s="6" t="s">
        <v>11717</v>
      </c>
      <c r="F338" s="6" t="s">
        <v>2193</v>
      </c>
      <c r="G338" s="6" t="s">
        <v>2939</v>
      </c>
      <c r="H338" s="6">
        <v>0.0</v>
      </c>
      <c r="I338" s="6">
        <v>0.0</v>
      </c>
      <c r="J338" s="6">
        <v>2.0</v>
      </c>
      <c r="K338" s="6">
        <v>0.0</v>
      </c>
      <c r="L338" s="6">
        <v>0.0</v>
      </c>
      <c r="M338" s="6">
        <v>0.0</v>
      </c>
      <c r="N338" s="669">
        <v>3200000.0</v>
      </c>
      <c r="O338" s="6">
        <v>0.0</v>
      </c>
      <c r="P338" s="6">
        <v>0.0</v>
      </c>
      <c r="Q338" s="6">
        <v>0.0</v>
      </c>
      <c r="R338" s="6">
        <v>0.0</v>
      </c>
      <c r="S338" s="6">
        <v>0.0</v>
      </c>
      <c r="T338" s="6">
        <v>0.0</v>
      </c>
      <c r="U338" s="6">
        <v>0.0</v>
      </c>
    </row>
    <row r="339">
      <c r="A339" s="6" t="s">
        <v>480</v>
      </c>
      <c r="B339" s="6" t="s">
        <v>11576</v>
      </c>
      <c r="C339" s="6" t="s">
        <v>11570</v>
      </c>
      <c r="D339" s="6" t="s">
        <v>22</v>
      </c>
      <c r="E339" s="6" t="s">
        <v>11718</v>
      </c>
      <c r="F339" s="6" t="s">
        <v>125</v>
      </c>
      <c r="G339" s="6" t="s">
        <v>2939</v>
      </c>
      <c r="H339" s="6">
        <v>0.0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  <c r="N339" s="669">
        <v>3175000.0</v>
      </c>
      <c r="O339" s="6">
        <v>0.0</v>
      </c>
      <c r="P339" s="6">
        <v>0.0</v>
      </c>
      <c r="Q339" s="6">
        <v>0.0</v>
      </c>
      <c r="R339" s="6">
        <v>0.0</v>
      </c>
      <c r="S339" s="6">
        <v>5.0</v>
      </c>
      <c r="T339" s="6">
        <v>0.0</v>
      </c>
      <c r="U339" s="6">
        <v>0.0</v>
      </c>
    </row>
    <row r="340">
      <c r="A340" s="6" t="s">
        <v>482</v>
      </c>
      <c r="B340" s="6" t="s">
        <v>11576</v>
      </c>
      <c r="C340" s="6" t="s">
        <v>11579</v>
      </c>
      <c r="D340" s="6" t="s">
        <v>41</v>
      </c>
      <c r="E340" s="6" t="s">
        <v>11718</v>
      </c>
      <c r="F340" s="6" t="s">
        <v>1377</v>
      </c>
      <c r="G340" s="6" t="s">
        <v>2939</v>
      </c>
      <c r="H340" s="6">
        <v>3.0</v>
      </c>
      <c r="I340" s="6">
        <v>1.0</v>
      </c>
      <c r="J340" s="6">
        <v>3.0</v>
      </c>
      <c r="K340" s="6">
        <v>0.0</v>
      </c>
      <c r="L340" s="6">
        <v>0.0</v>
      </c>
      <c r="M340" s="6">
        <v>0.0</v>
      </c>
      <c r="N340" s="669">
        <v>3710000.0</v>
      </c>
      <c r="O340" s="6">
        <v>0.0</v>
      </c>
      <c r="P340" s="6">
        <v>0.0</v>
      </c>
      <c r="Q340" s="6">
        <v>0.0</v>
      </c>
      <c r="R340" s="6">
        <v>0.0</v>
      </c>
      <c r="S340" s="6">
        <v>0.0</v>
      </c>
      <c r="T340" s="6">
        <v>0.0</v>
      </c>
      <c r="U340" s="6">
        <v>0.0</v>
      </c>
    </row>
    <row r="341">
      <c r="A341" s="6" t="s">
        <v>483</v>
      </c>
      <c r="B341" s="6" t="s">
        <v>11576</v>
      </c>
      <c r="C341" s="6" t="s">
        <v>11570</v>
      </c>
      <c r="D341" s="6" t="s">
        <v>22</v>
      </c>
      <c r="E341" s="6" t="s">
        <v>484</v>
      </c>
      <c r="F341" s="6" t="s">
        <v>125</v>
      </c>
      <c r="G341" s="6" t="s">
        <v>2939</v>
      </c>
      <c r="H341" s="6">
        <v>0.0</v>
      </c>
      <c r="I341" s="6">
        <v>0.0</v>
      </c>
      <c r="J341" s="6">
        <v>4.0</v>
      </c>
      <c r="K341" s="6">
        <v>0.0</v>
      </c>
      <c r="L341" s="6">
        <v>0.0</v>
      </c>
      <c r="M341" s="6">
        <v>0.0</v>
      </c>
      <c r="N341" s="669">
        <v>2667000.0</v>
      </c>
      <c r="O341" s="6">
        <v>0.0</v>
      </c>
      <c r="P341" s="6">
        <v>0.0</v>
      </c>
      <c r="Q341" s="6">
        <v>0.0</v>
      </c>
      <c r="R341" s="6">
        <v>0.0</v>
      </c>
      <c r="S341" s="6">
        <v>5.0</v>
      </c>
      <c r="T341" s="6">
        <v>0.0</v>
      </c>
      <c r="U341" s="6">
        <v>0.0</v>
      </c>
    </row>
    <row r="342">
      <c r="A342" s="6" t="s">
        <v>485</v>
      </c>
      <c r="B342" s="6" t="s">
        <v>11576</v>
      </c>
      <c r="C342" s="6" t="s">
        <v>11579</v>
      </c>
      <c r="D342" s="6" t="s">
        <v>41</v>
      </c>
      <c r="E342" s="6" t="s">
        <v>484</v>
      </c>
      <c r="F342" s="6" t="s">
        <v>1377</v>
      </c>
      <c r="G342" s="6" t="s">
        <v>2939</v>
      </c>
      <c r="H342" s="6">
        <v>0.0</v>
      </c>
      <c r="I342" s="6">
        <v>0.0</v>
      </c>
      <c r="J342" s="6" t="s">
        <v>11590</v>
      </c>
      <c r="K342" s="6">
        <v>0.0</v>
      </c>
      <c r="L342" s="6">
        <v>0.0</v>
      </c>
      <c r="M342" s="6">
        <v>0.0</v>
      </c>
      <c r="N342" s="669">
        <v>3867000.0</v>
      </c>
      <c r="O342" s="6">
        <v>0.0</v>
      </c>
      <c r="P342" s="6">
        <v>0.0</v>
      </c>
      <c r="Q342" s="6">
        <v>0.0</v>
      </c>
      <c r="R342" s="6">
        <v>0.0</v>
      </c>
      <c r="S342" s="6">
        <v>0.0</v>
      </c>
      <c r="T342" s="6">
        <v>0.0</v>
      </c>
      <c r="U342" s="6">
        <v>0.0</v>
      </c>
    </row>
    <row r="343">
      <c r="A343" s="6" t="s">
        <v>486</v>
      </c>
      <c r="B343" s="6" t="s">
        <v>11578</v>
      </c>
      <c r="C343" s="6" t="s">
        <v>11591</v>
      </c>
      <c r="D343" s="6" t="s">
        <v>128</v>
      </c>
      <c r="E343" s="6" t="s">
        <v>484</v>
      </c>
      <c r="G343" s="6" t="s">
        <v>2939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  <c r="N343" s="669">
        <v>1045000.0</v>
      </c>
      <c r="O343" s="6">
        <v>0.0</v>
      </c>
      <c r="P343" s="6">
        <v>0.0</v>
      </c>
      <c r="Q343" s="6">
        <v>0.0</v>
      </c>
      <c r="R343" s="6">
        <v>0.0</v>
      </c>
      <c r="S343" s="6">
        <v>0.0</v>
      </c>
      <c r="T343" s="6">
        <v>0.0</v>
      </c>
      <c r="U343" s="6">
        <v>0.0</v>
      </c>
    </row>
    <row r="344">
      <c r="A344" s="6" t="s">
        <v>487</v>
      </c>
      <c r="B344" s="6" t="s">
        <v>11578</v>
      </c>
      <c r="C344" s="6" t="s">
        <v>11591</v>
      </c>
      <c r="D344" s="6" t="s">
        <v>130</v>
      </c>
      <c r="E344" s="6" t="s">
        <v>484</v>
      </c>
      <c r="G344" s="6" t="s">
        <v>2939</v>
      </c>
      <c r="H344" s="6">
        <v>6.0</v>
      </c>
      <c r="I344" s="6">
        <v>0.0</v>
      </c>
      <c r="J344" s="6">
        <v>0.0</v>
      </c>
      <c r="K344" s="6">
        <v>0.0</v>
      </c>
      <c r="L344" s="6">
        <v>0.0</v>
      </c>
      <c r="M344" s="6">
        <v>0.0</v>
      </c>
      <c r="N344" s="669">
        <v>1045000.0</v>
      </c>
      <c r="O344" s="6">
        <v>0.0</v>
      </c>
      <c r="P344" s="6">
        <v>0.0</v>
      </c>
      <c r="Q344" s="6">
        <v>0.0</v>
      </c>
      <c r="R344" s="6">
        <v>0.0</v>
      </c>
      <c r="S344" s="6">
        <v>0.0</v>
      </c>
      <c r="T344" s="6">
        <v>0.0</v>
      </c>
      <c r="U344" s="6">
        <v>0.0</v>
      </c>
    </row>
    <row r="345">
      <c r="A345" s="6" t="s">
        <v>488</v>
      </c>
      <c r="B345" s="6" t="s">
        <v>11578</v>
      </c>
      <c r="C345" s="6" t="s">
        <v>11591</v>
      </c>
      <c r="D345" s="6" t="s">
        <v>132</v>
      </c>
      <c r="E345" s="6" t="s">
        <v>484</v>
      </c>
      <c r="G345" s="6" t="s">
        <v>2939</v>
      </c>
      <c r="H345" s="6" t="s">
        <v>11590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  <c r="N345" s="669">
        <v>966000.0</v>
      </c>
      <c r="O345" s="6">
        <v>0.0</v>
      </c>
      <c r="P345" s="6">
        <v>0.0</v>
      </c>
      <c r="Q345" s="6">
        <v>0.0</v>
      </c>
      <c r="R345" s="6">
        <v>0.0</v>
      </c>
      <c r="S345" s="6">
        <v>0.0</v>
      </c>
      <c r="T345" s="6">
        <v>0.0</v>
      </c>
      <c r="U345" s="6">
        <v>0.0</v>
      </c>
    </row>
    <row r="346">
      <c r="A346" s="6" t="s">
        <v>489</v>
      </c>
      <c r="B346" s="6" t="s">
        <v>11578</v>
      </c>
      <c r="C346" s="6" t="s">
        <v>11591</v>
      </c>
      <c r="D346" s="6" t="s">
        <v>134</v>
      </c>
      <c r="E346" s="6" t="s">
        <v>484</v>
      </c>
      <c r="G346" s="6" t="s">
        <v>2939</v>
      </c>
      <c r="H346" s="6" t="s">
        <v>11590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  <c r="N346" s="669">
        <v>966000.0</v>
      </c>
      <c r="O346" s="6">
        <v>0.0</v>
      </c>
      <c r="P346" s="6">
        <v>0.0</v>
      </c>
      <c r="Q346" s="6">
        <v>0.0</v>
      </c>
      <c r="R346" s="6">
        <v>0.0</v>
      </c>
      <c r="S346" s="6">
        <v>0.0</v>
      </c>
      <c r="T346" s="6">
        <v>0.0</v>
      </c>
      <c r="U346" s="6">
        <v>0.0</v>
      </c>
    </row>
    <row r="347">
      <c r="A347" s="6" t="s">
        <v>490</v>
      </c>
      <c r="B347" s="6" t="s">
        <v>11578</v>
      </c>
      <c r="C347" s="6" t="s">
        <v>11591</v>
      </c>
      <c r="D347" s="6" t="s">
        <v>202</v>
      </c>
      <c r="E347" s="6" t="s">
        <v>484</v>
      </c>
      <c r="F347" s="6" t="s">
        <v>97</v>
      </c>
      <c r="G347" s="6" t="s">
        <v>2939</v>
      </c>
      <c r="H347" s="6">
        <v>6.0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  <c r="N347" s="669">
        <v>1060000.0</v>
      </c>
      <c r="O347" s="6">
        <v>0.0</v>
      </c>
      <c r="P347" s="6">
        <v>0.0</v>
      </c>
      <c r="Q347" s="6">
        <v>0.0</v>
      </c>
      <c r="R347" s="6">
        <v>0.0</v>
      </c>
      <c r="S347" s="6">
        <v>0.0</v>
      </c>
      <c r="T347" s="6">
        <v>0.0</v>
      </c>
      <c r="U347" s="6">
        <v>0.0</v>
      </c>
    </row>
    <row r="348">
      <c r="A348" s="6" t="s">
        <v>491</v>
      </c>
      <c r="B348" s="6" t="s">
        <v>11578</v>
      </c>
      <c r="C348" s="6" t="s">
        <v>11591</v>
      </c>
      <c r="D348" s="6" t="s">
        <v>236</v>
      </c>
      <c r="E348" s="6" t="s">
        <v>484</v>
      </c>
      <c r="F348" s="6" t="s">
        <v>234</v>
      </c>
      <c r="G348" s="6" t="s">
        <v>2939</v>
      </c>
      <c r="H348" s="6">
        <v>2.0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  <c r="N348" s="669">
        <v>1286000.0</v>
      </c>
      <c r="O348" s="6">
        <v>0.0</v>
      </c>
      <c r="P348" s="6">
        <v>0.0</v>
      </c>
      <c r="Q348" s="6">
        <v>0.0</v>
      </c>
      <c r="R348" s="6">
        <v>0.0</v>
      </c>
      <c r="S348" s="6">
        <v>0.0</v>
      </c>
      <c r="T348" s="6">
        <v>0.0</v>
      </c>
      <c r="U348" s="6">
        <v>0.0</v>
      </c>
    </row>
    <row r="349">
      <c r="A349" s="6" t="s">
        <v>492</v>
      </c>
      <c r="B349" s="6" t="s">
        <v>11576</v>
      </c>
      <c r="C349" s="6" t="s">
        <v>11570</v>
      </c>
      <c r="D349" s="6" t="s">
        <v>22</v>
      </c>
      <c r="E349" s="6" t="s">
        <v>493</v>
      </c>
      <c r="F349" s="6" t="s">
        <v>125</v>
      </c>
      <c r="G349" s="6" t="s">
        <v>2939</v>
      </c>
      <c r="H349" s="6">
        <v>0.0</v>
      </c>
      <c r="I349" s="6">
        <v>0.0</v>
      </c>
      <c r="J349" s="6">
        <v>3.0</v>
      </c>
      <c r="K349" s="6">
        <v>0.0</v>
      </c>
      <c r="L349" s="6">
        <v>0.0</v>
      </c>
      <c r="M349" s="6">
        <v>0.0</v>
      </c>
      <c r="N349" s="669">
        <v>3529000.0</v>
      </c>
      <c r="O349" s="6">
        <v>0.0</v>
      </c>
      <c r="P349" s="6">
        <v>0.0</v>
      </c>
      <c r="Q349" s="6">
        <v>0.0</v>
      </c>
      <c r="R349" s="6">
        <v>0.0</v>
      </c>
      <c r="S349" s="6">
        <v>0.0</v>
      </c>
      <c r="T349" s="6">
        <v>0.0</v>
      </c>
      <c r="U349" s="6">
        <v>5.0</v>
      </c>
    </row>
    <row r="350">
      <c r="A350" s="6" t="s">
        <v>1495</v>
      </c>
      <c r="B350" s="6" t="s">
        <v>11569</v>
      </c>
      <c r="C350" s="6" t="s">
        <v>11579</v>
      </c>
      <c r="D350" s="6" t="s">
        <v>41</v>
      </c>
      <c r="E350" s="6" t="s">
        <v>493</v>
      </c>
      <c r="F350" s="6" t="s">
        <v>2193</v>
      </c>
      <c r="G350" s="6" t="s">
        <v>2939</v>
      </c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  <c r="N350" s="669">
        <v>3590000.0</v>
      </c>
      <c r="O350" s="6">
        <v>0.0</v>
      </c>
      <c r="P350" s="6">
        <v>0.0</v>
      </c>
      <c r="Q350" s="6">
        <v>0.0</v>
      </c>
      <c r="R350" s="6">
        <v>0.0</v>
      </c>
      <c r="S350" s="6">
        <v>7.0</v>
      </c>
      <c r="T350" s="6">
        <v>0.0</v>
      </c>
      <c r="U350" s="6">
        <v>0.0</v>
      </c>
    </row>
    <row r="351">
      <c r="A351" s="6" t="s">
        <v>494</v>
      </c>
      <c r="B351" s="6" t="s">
        <v>11578</v>
      </c>
      <c r="C351" s="6" t="s">
        <v>11591</v>
      </c>
      <c r="D351" s="6" t="s">
        <v>128</v>
      </c>
      <c r="E351" s="6" t="s">
        <v>493</v>
      </c>
      <c r="G351" s="6" t="s">
        <v>2939</v>
      </c>
      <c r="H351" s="6" t="s">
        <v>11590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  <c r="N351" s="669">
        <v>1045000.0</v>
      </c>
      <c r="O351" s="6">
        <v>0.0</v>
      </c>
      <c r="P351" s="6">
        <v>0.0</v>
      </c>
      <c r="Q351" s="6">
        <v>0.0</v>
      </c>
      <c r="R351" s="6">
        <v>0.0</v>
      </c>
      <c r="S351" s="6">
        <v>0.0</v>
      </c>
      <c r="T351" s="6">
        <v>0.0</v>
      </c>
      <c r="U351" s="6">
        <v>0.0</v>
      </c>
    </row>
    <row r="352">
      <c r="A352" s="6" t="s">
        <v>495</v>
      </c>
      <c r="B352" s="6" t="s">
        <v>11578</v>
      </c>
      <c r="C352" s="6" t="s">
        <v>11591</v>
      </c>
      <c r="D352" s="6" t="s">
        <v>130</v>
      </c>
      <c r="E352" s="6" t="s">
        <v>493</v>
      </c>
      <c r="G352" s="6" t="s">
        <v>2939</v>
      </c>
      <c r="H352" s="6" t="s">
        <v>11590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  <c r="N352" s="669">
        <v>1045000.0</v>
      </c>
      <c r="O352" s="6">
        <v>0.0</v>
      </c>
      <c r="P352" s="6">
        <v>0.0</v>
      </c>
      <c r="Q352" s="6">
        <v>0.0</v>
      </c>
      <c r="R352" s="6">
        <v>0.0</v>
      </c>
      <c r="S352" s="6">
        <v>0.0</v>
      </c>
      <c r="T352" s="6">
        <v>0.0</v>
      </c>
      <c r="U352" s="6">
        <v>0.0</v>
      </c>
    </row>
    <row r="353">
      <c r="A353" s="6" t="s">
        <v>496</v>
      </c>
      <c r="B353" s="6" t="s">
        <v>11578</v>
      </c>
      <c r="C353" s="6" t="s">
        <v>11591</v>
      </c>
      <c r="D353" s="6" t="s">
        <v>132</v>
      </c>
      <c r="E353" s="6" t="s">
        <v>493</v>
      </c>
      <c r="G353" s="6" t="s">
        <v>2939</v>
      </c>
      <c r="H353" s="6" t="s">
        <v>11590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  <c r="N353" s="669">
        <v>966000.0</v>
      </c>
      <c r="O353" s="6">
        <v>0.0</v>
      </c>
      <c r="P353" s="6">
        <v>0.0</v>
      </c>
      <c r="Q353" s="6">
        <v>0.0</v>
      </c>
      <c r="R353" s="6">
        <v>0.0</v>
      </c>
      <c r="S353" s="6">
        <v>0.0</v>
      </c>
      <c r="T353" s="6">
        <v>0.0</v>
      </c>
      <c r="U353" s="6">
        <v>0.0</v>
      </c>
    </row>
    <row r="354">
      <c r="A354" s="6" t="s">
        <v>497</v>
      </c>
      <c r="B354" s="6" t="s">
        <v>11578</v>
      </c>
      <c r="C354" s="6" t="s">
        <v>11591</v>
      </c>
      <c r="D354" s="6" t="s">
        <v>134</v>
      </c>
      <c r="E354" s="6" t="s">
        <v>493</v>
      </c>
      <c r="G354" s="6" t="s">
        <v>2939</v>
      </c>
      <c r="H354" s="6" t="s">
        <v>11590</v>
      </c>
      <c r="I354" s="6">
        <v>0.0</v>
      </c>
      <c r="J354" s="6">
        <v>0.0</v>
      </c>
      <c r="K354" s="6">
        <v>0.0</v>
      </c>
      <c r="L354" s="6">
        <v>0.0</v>
      </c>
      <c r="M354" s="6">
        <v>0.0</v>
      </c>
      <c r="N354" s="669">
        <v>966000.0</v>
      </c>
      <c r="O354" s="6">
        <v>0.0</v>
      </c>
      <c r="P354" s="6">
        <v>0.0</v>
      </c>
      <c r="Q354" s="6">
        <v>0.0</v>
      </c>
      <c r="R354" s="6">
        <v>0.0</v>
      </c>
      <c r="S354" s="6">
        <v>0.0</v>
      </c>
      <c r="T354" s="6">
        <v>0.0</v>
      </c>
      <c r="U354" s="6">
        <v>0.0</v>
      </c>
    </row>
    <row r="355">
      <c r="A355" s="6" t="s">
        <v>498</v>
      </c>
      <c r="B355" s="6" t="s">
        <v>11578</v>
      </c>
      <c r="C355" s="6" t="s">
        <v>11591</v>
      </c>
      <c r="D355" s="6" t="s">
        <v>202</v>
      </c>
      <c r="E355" s="6" t="s">
        <v>493</v>
      </c>
      <c r="F355" s="6" t="s">
        <v>97</v>
      </c>
      <c r="G355" s="6" t="s">
        <v>2939</v>
      </c>
      <c r="H355" s="6">
        <v>7.0</v>
      </c>
      <c r="I355" s="6">
        <v>0.0</v>
      </c>
      <c r="J355" s="6">
        <v>0.0</v>
      </c>
      <c r="K355" s="6">
        <v>0.0</v>
      </c>
      <c r="L355" s="6">
        <v>0.0</v>
      </c>
      <c r="M355" s="6">
        <v>0.0</v>
      </c>
      <c r="N355" s="669">
        <v>966000.0</v>
      </c>
      <c r="O355" s="6">
        <v>0.0</v>
      </c>
      <c r="P355" s="6">
        <v>0.0</v>
      </c>
      <c r="Q355" s="6">
        <v>0.0</v>
      </c>
      <c r="R355" s="6">
        <v>0.0</v>
      </c>
      <c r="S355" s="6">
        <v>0.0</v>
      </c>
      <c r="T355" s="6">
        <v>0.0</v>
      </c>
      <c r="U355" s="6">
        <v>0.0</v>
      </c>
    </row>
    <row r="356">
      <c r="A356" s="6" t="s">
        <v>499</v>
      </c>
      <c r="B356" s="6" t="s">
        <v>11578</v>
      </c>
      <c r="C356" s="6" t="s">
        <v>11591</v>
      </c>
      <c r="D356" s="6" t="s">
        <v>236</v>
      </c>
      <c r="E356" s="6" t="s">
        <v>493</v>
      </c>
      <c r="F356" s="6" t="s">
        <v>234</v>
      </c>
      <c r="G356" s="6" t="s">
        <v>2939</v>
      </c>
      <c r="H356" s="6">
        <v>7.0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  <c r="N356" s="669">
        <v>1286000.0</v>
      </c>
      <c r="O356" s="6">
        <v>0.0</v>
      </c>
      <c r="P356" s="6">
        <v>0.0</v>
      </c>
      <c r="Q356" s="6">
        <v>0.0</v>
      </c>
      <c r="R356" s="6">
        <v>0.0</v>
      </c>
      <c r="S356" s="6">
        <v>0.0</v>
      </c>
      <c r="T356" s="6">
        <v>0.0</v>
      </c>
      <c r="U356" s="6">
        <v>0.0</v>
      </c>
    </row>
    <row r="357">
      <c r="A357" s="6" t="s">
        <v>500</v>
      </c>
      <c r="B357" s="6" t="s">
        <v>11576</v>
      </c>
      <c r="C357" s="6" t="s">
        <v>11570</v>
      </c>
      <c r="D357" s="6" t="s">
        <v>22</v>
      </c>
      <c r="E357" s="6" t="s">
        <v>11719</v>
      </c>
      <c r="F357" s="6" t="s">
        <v>125</v>
      </c>
      <c r="G357" s="6" t="s">
        <v>2939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  <c r="N357" s="669">
        <v>3473000.0</v>
      </c>
      <c r="O357" s="6">
        <v>0.0</v>
      </c>
      <c r="P357" s="6">
        <v>0.0</v>
      </c>
      <c r="Q357" s="6">
        <v>0.0</v>
      </c>
      <c r="R357" s="6">
        <v>0.0</v>
      </c>
      <c r="S357" s="6">
        <v>5.0</v>
      </c>
      <c r="T357" s="6">
        <v>0.0</v>
      </c>
      <c r="U357" s="6">
        <v>0.0</v>
      </c>
    </row>
    <row r="358">
      <c r="A358" s="6" t="s">
        <v>502</v>
      </c>
      <c r="B358" s="6" t="s">
        <v>11576</v>
      </c>
      <c r="C358" s="6" t="s">
        <v>11579</v>
      </c>
      <c r="D358" s="6" t="s">
        <v>41</v>
      </c>
      <c r="E358" s="6" t="s">
        <v>11719</v>
      </c>
      <c r="F358" s="6" t="s">
        <v>1377</v>
      </c>
      <c r="G358" s="6" t="s">
        <v>2939</v>
      </c>
      <c r="H358" s="6">
        <v>0.0</v>
      </c>
      <c r="I358" s="6">
        <v>0.0</v>
      </c>
      <c r="J358" s="6">
        <v>1.0</v>
      </c>
      <c r="K358" s="6">
        <v>0.0</v>
      </c>
      <c r="L358" s="6">
        <v>0.0</v>
      </c>
      <c r="M358" s="6">
        <v>0.0</v>
      </c>
      <c r="N358" s="669">
        <v>3345000.0</v>
      </c>
      <c r="O358" s="6">
        <v>0.0</v>
      </c>
      <c r="P358" s="6">
        <v>0.0</v>
      </c>
      <c r="Q358" s="6">
        <v>0.0</v>
      </c>
      <c r="R358" s="6">
        <v>0.0</v>
      </c>
      <c r="S358" s="6">
        <v>0.0</v>
      </c>
      <c r="T358" s="6">
        <v>0.0</v>
      </c>
      <c r="U358" s="6">
        <v>0.0</v>
      </c>
    </row>
    <row r="359">
      <c r="A359" s="6" t="s">
        <v>503</v>
      </c>
      <c r="B359" s="6" t="s">
        <v>11578</v>
      </c>
      <c r="C359" s="6" t="s">
        <v>11591</v>
      </c>
      <c r="D359" s="6" t="s">
        <v>132</v>
      </c>
      <c r="E359" s="6" t="s">
        <v>11719</v>
      </c>
      <c r="G359" s="6" t="s">
        <v>2939</v>
      </c>
      <c r="H359" s="6">
        <v>5.0</v>
      </c>
      <c r="I359" s="6">
        <v>0.0</v>
      </c>
      <c r="J359" s="6">
        <v>0.0</v>
      </c>
      <c r="K359" s="6">
        <v>0.0</v>
      </c>
      <c r="L359" s="6">
        <v>0.0</v>
      </c>
      <c r="M359" s="6">
        <v>0.0</v>
      </c>
      <c r="N359" s="669">
        <v>884000.0</v>
      </c>
      <c r="O359" s="6">
        <v>0.0</v>
      </c>
      <c r="P359" s="6">
        <v>0.0</v>
      </c>
      <c r="Q359" s="6">
        <v>0.0</v>
      </c>
      <c r="R359" s="6">
        <v>0.0</v>
      </c>
      <c r="S359" s="6">
        <v>0.0</v>
      </c>
      <c r="T359" s="6">
        <v>0.0</v>
      </c>
      <c r="U359" s="6">
        <v>0.0</v>
      </c>
    </row>
    <row r="360">
      <c r="A360" s="6" t="s">
        <v>504</v>
      </c>
      <c r="B360" s="6" t="s">
        <v>11578</v>
      </c>
      <c r="C360" s="6" t="s">
        <v>11591</v>
      </c>
      <c r="D360" s="6" t="s">
        <v>134</v>
      </c>
      <c r="E360" s="6" t="s">
        <v>11719</v>
      </c>
      <c r="G360" s="6" t="s">
        <v>2939</v>
      </c>
      <c r="H360" s="6">
        <v>5.0</v>
      </c>
      <c r="I360" s="6">
        <v>1.0</v>
      </c>
      <c r="J360" s="6">
        <v>0.0</v>
      </c>
      <c r="K360" s="6">
        <v>0.0</v>
      </c>
      <c r="L360" s="6">
        <v>0.0</v>
      </c>
      <c r="M360" s="6">
        <v>0.0</v>
      </c>
      <c r="N360" s="669">
        <v>884000.0</v>
      </c>
      <c r="O360" s="6">
        <v>0.0</v>
      </c>
      <c r="P360" s="6">
        <v>0.0</v>
      </c>
      <c r="Q360" s="6">
        <v>0.0</v>
      </c>
      <c r="R360" s="6">
        <v>0.0</v>
      </c>
      <c r="S360" s="6">
        <v>0.0</v>
      </c>
      <c r="T360" s="6">
        <v>0.0</v>
      </c>
      <c r="U360" s="6">
        <v>0.0</v>
      </c>
    </row>
    <row r="361">
      <c r="A361" s="6" t="s">
        <v>505</v>
      </c>
      <c r="B361" s="6" t="s">
        <v>11578</v>
      </c>
      <c r="C361" s="6" t="s">
        <v>11591</v>
      </c>
      <c r="D361" s="6" t="s">
        <v>202</v>
      </c>
      <c r="E361" s="6" t="s">
        <v>11719</v>
      </c>
      <c r="F361" s="6" t="s">
        <v>234</v>
      </c>
      <c r="G361" s="6" t="s">
        <v>2939</v>
      </c>
      <c r="H361" s="6" t="s">
        <v>11590</v>
      </c>
      <c r="I361" s="6">
        <v>0.0</v>
      </c>
      <c r="J361" s="6">
        <v>0.0</v>
      </c>
      <c r="K361" s="6">
        <v>0.0</v>
      </c>
      <c r="L361" s="6">
        <v>0.0</v>
      </c>
      <c r="M361" s="6">
        <v>0.0</v>
      </c>
      <c r="N361" s="669">
        <v>1286000.0</v>
      </c>
      <c r="O361" s="6">
        <v>0.0</v>
      </c>
      <c r="P361" s="6">
        <v>0.0</v>
      </c>
      <c r="Q361" s="6">
        <v>0.0</v>
      </c>
      <c r="R361" s="6">
        <v>0.0</v>
      </c>
      <c r="S361" s="6">
        <v>0.0</v>
      </c>
      <c r="T361" s="6">
        <v>0.0</v>
      </c>
      <c r="U361" s="6">
        <v>0.0</v>
      </c>
    </row>
    <row r="362">
      <c r="A362" s="6" t="s">
        <v>1500</v>
      </c>
      <c r="B362" s="6" t="s">
        <v>11569</v>
      </c>
      <c r="C362" s="6" t="s">
        <v>11570</v>
      </c>
      <c r="D362" s="6" t="s">
        <v>22</v>
      </c>
      <c r="E362" s="6" t="s">
        <v>1501</v>
      </c>
      <c r="F362" s="6" t="s">
        <v>97</v>
      </c>
      <c r="G362" s="6" t="s">
        <v>2939</v>
      </c>
      <c r="H362" s="6">
        <v>0.0</v>
      </c>
      <c r="I362" s="6">
        <v>0.0</v>
      </c>
      <c r="J362" s="6">
        <v>6.0</v>
      </c>
      <c r="K362" s="6">
        <v>0.0</v>
      </c>
      <c r="L362" s="6">
        <v>0.0</v>
      </c>
      <c r="M362" s="6">
        <v>0.0</v>
      </c>
      <c r="N362" s="669">
        <v>1743000.0</v>
      </c>
      <c r="O362" s="6">
        <v>0.0</v>
      </c>
      <c r="P362" s="6">
        <v>0.0</v>
      </c>
      <c r="Q362" s="6">
        <v>0.0</v>
      </c>
      <c r="R362" s="6">
        <v>0.0</v>
      </c>
      <c r="S362" s="6">
        <v>5.0</v>
      </c>
      <c r="T362" s="6">
        <v>0.0</v>
      </c>
      <c r="U362" s="6">
        <v>0.0</v>
      </c>
    </row>
    <row r="363">
      <c r="A363" s="6" t="s">
        <v>509</v>
      </c>
      <c r="B363" s="6" t="s">
        <v>11576</v>
      </c>
      <c r="C363" s="6" t="s">
        <v>11570</v>
      </c>
      <c r="D363" s="6" t="s">
        <v>22</v>
      </c>
      <c r="E363" s="6" t="s">
        <v>510</v>
      </c>
      <c r="F363" s="6" t="s">
        <v>125</v>
      </c>
      <c r="G363" s="6" t="s">
        <v>2939</v>
      </c>
      <c r="H363" s="6">
        <v>0.0</v>
      </c>
      <c r="I363" s="6">
        <v>0.0</v>
      </c>
      <c r="J363" s="6" t="s">
        <v>11590</v>
      </c>
      <c r="K363" s="6">
        <v>9.0</v>
      </c>
      <c r="L363" s="6">
        <v>0.0</v>
      </c>
      <c r="M363" s="6">
        <v>0.0</v>
      </c>
      <c r="N363" s="669">
        <v>1743000.0</v>
      </c>
      <c r="O363" s="6">
        <v>0.0</v>
      </c>
      <c r="P363" s="6">
        <v>0.0</v>
      </c>
      <c r="Q363" s="6">
        <v>0.0</v>
      </c>
      <c r="R363" s="6">
        <v>0.0</v>
      </c>
      <c r="S363" s="6">
        <v>10.0</v>
      </c>
      <c r="T363" s="6">
        <v>0.0</v>
      </c>
      <c r="U363" s="6">
        <v>0.0</v>
      </c>
    </row>
    <row r="364">
      <c r="A364" s="6" t="s">
        <v>506</v>
      </c>
      <c r="B364" s="6" t="s">
        <v>11576</v>
      </c>
      <c r="C364" s="6" t="s">
        <v>11579</v>
      </c>
      <c r="D364" s="6" t="s">
        <v>41</v>
      </c>
      <c r="E364" s="6" t="s">
        <v>507</v>
      </c>
      <c r="F364" s="6" t="s">
        <v>1377</v>
      </c>
      <c r="G364" s="6" t="s">
        <v>2939</v>
      </c>
      <c r="H364" s="6">
        <v>0.0</v>
      </c>
      <c r="I364" s="6">
        <v>0.0</v>
      </c>
      <c r="J364" s="6">
        <v>7.0</v>
      </c>
      <c r="K364" s="6">
        <v>1.0</v>
      </c>
      <c r="L364" s="6">
        <v>0.0</v>
      </c>
      <c r="M364" s="6">
        <v>0.0</v>
      </c>
      <c r="N364" s="669">
        <v>1640000.0</v>
      </c>
      <c r="O364" s="6">
        <v>0.0</v>
      </c>
      <c r="P364" s="6">
        <v>0.0</v>
      </c>
      <c r="Q364" s="6">
        <v>0.0</v>
      </c>
      <c r="R364" s="6">
        <v>0.0</v>
      </c>
      <c r="S364" s="6" t="s">
        <v>11590</v>
      </c>
      <c r="T364" s="6">
        <v>10.0</v>
      </c>
      <c r="U364" s="6">
        <v>0.0</v>
      </c>
    </row>
    <row r="365">
      <c r="A365" s="6" t="s">
        <v>508</v>
      </c>
      <c r="B365" s="6" t="s">
        <v>11578</v>
      </c>
      <c r="C365" s="6" t="s">
        <v>11591</v>
      </c>
      <c r="D365" s="6" t="s">
        <v>134</v>
      </c>
      <c r="E365" s="6" t="s">
        <v>507</v>
      </c>
      <c r="G365" s="6" t="s">
        <v>2939</v>
      </c>
      <c r="H365" s="6">
        <v>0.0</v>
      </c>
      <c r="I365" s="6">
        <v>0.0</v>
      </c>
      <c r="J365" s="6">
        <v>0.0</v>
      </c>
      <c r="K365" s="6">
        <v>0.0</v>
      </c>
      <c r="L365" s="6">
        <v>0.0</v>
      </c>
      <c r="M365" s="6">
        <v>0.0</v>
      </c>
      <c r="N365" s="669">
        <v>437000.0</v>
      </c>
      <c r="O365" s="6">
        <v>0.0</v>
      </c>
      <c r="P365" s="6">
        <v>0.0</v>
      </c>
      <c r="Q365" s="6">
        <v>0.0</v>
      </c>
      <c r="R365" s="6">
        <v>0.0</v>
      </c>
      <c r="S365" s="6">
        <v>0.0</v>
      </c>
      <c r="T365" s="6">
        <v>0.0</v>
      </c>
      <c r="U365" s="6">
        <v>0.0</v>
      </c>
    </row>
    <row r="366">
      <c r="A366" s="6" t="s">
        <v>11720</v>
      </c>
      <c r="E366" s="6" t="s">
        <v>11720</v>
      </c>
      <c r="N366" s="668"/>
    </row>
    <row r="367">
      <c r="A367" s="6" t="s">
        <v>2410</v>
      </c>
      <c r="B367" s="6" t="s">
        <v>11653</v>
      </c>
      <c r="C367" s="6" t="s">
        <v>11570</v>
      </c>
      <c r="D367" s="6" t="s">
        <v>22</v>
      </c>
      <c r="E367" s="6" t="s">
        <v>11721</v>
      </c>
      <c r="F367" s="6" t="s">
        <v>97</v>
      </c>
      <c r="G367" s="6" t="s">
        <v>2939</v>
      </c>
      <c r="H367" s="6">
        <v>0.0</v>
      </c>
      <c r="I367" s="6">
        <v>0.0</v>
      </c>
      <c r="J367" s="6">
        <v>0.0</v>
      </c>
      <c r="K367" s="6">
        <v>0.0</v>
      </c>
      <c r="L367" s="6">
        <v>10.0</v>
      </c>
      <c r="M367" s="6">
        <v>5.0</v>
      </c>
      <c r="N367" s="669">
        <v>1470000.0</v>
      </c>
      <c r="O367" s="6">
        <v>0.0</v>
      </c>
      <c r="P367" s="6">
        <v>0.0</v>
      </c>
      <c r="Q367" s="6">
        <v>0.0</v>
      </c>
      <c r="R367" s="6">
        <v>0.0</v>
      </c>
      <c r="S367" s="6">
        <v>0.0</v>
      </c>
      <c r="T367" s="6">
        <v>0.0</v>
      </c>
      <c r="U367" s="6">
        <v>0.0</v>
      </c>
    </row>
    <row r="368">
      <c r="A368" s="6" t="s">
        <v>1504</v>
      </c>
      <c r="B368" s="6" t="s">
        <v>11569</v>
      </c>
      <c r="C368" s="6" t="s">
        <v>11579</v>
      </c>
      <c r="D368" s="6" t="s">
        <v>41</v>
      </c>
      <c r="E368" s="6" t="s">
        <v>11721</v>
      </c>
      <c r="F368" s="6" t="s">
        <v>2193</v>
      </c>
      <c r="G368" s="6" t="s">
        <v>2939</v>
      </c>
      <c r="H368" s="6">
        <v>0.0</v>
      </c>
      <c r="I368" s="6">
        <v>0.0</v>
      </c>
      <c r="J368" s="6">
        <v>4.0</v>
      </c>
      <c r="K368" s="6">
        <v>2.0</v>
      </c>
      <c r="L368" s="6">
        <v>0.0</v>
      </c>
      <c r="M368" s="6">
        <v>0.0</v>
      </c>
      <c r="N368" s="669">
        <v>1510000.0</v>
      </c>
      <c r="O368" s="6">
        <v>0.0</v>
      </c>
      <c r="P368" s="6">
        <v>0.0</v>
      </c>
      <c r="Q368" s="6">
        <v>0.0</v>
      </c>
      <c r="R368" s="6">
        <v>0.0</v>
      </c>
      <c r="S368" s="6">
        <v>0.0</v>
      </c>
      <c r="T368" s="6">
        <v>0.0</v>
      </c>
      <c r="U368" s="6">
        <v>0.0</v>
      </c>
    </row>
    <row r="369">
      <c r="A369" s="6" t="s">
        <v>1506</v>
      </c>
      <c r="B369" s="6" t="s">
        <v>11569</v>
      </c>
      <c r="C369" s="6" t="s">
        <v>11570</v>
      </c>
      <c r="D369" s="6" t="s">
        <v>22</v>
      </c>
      <c r="E369" s="6" t="s">
        <v>11722</v>
      </c>
      <c r="F369" s="6" t="s">
        <v>125</v>
      </c>
      <c r="G369" s="6" t="s">
        <v>2939</v>
      </c>
      <c r="H369" s="6">
        <v>0.0</v>
      </c>
      <c r="I369" s="6">
        <v>0.0</v>
      </c>
      <c r="J369" s="6" t="s">
        <v>11590</v>
      </c>
      <c r="K369" s="6">
        <v>0.0</v>
      </c>
      <c r="L369" s="6">
        <v>0.0</v>
      </c>
      <c r="M369" s="6">
        <v>0.0</v>
      </c>
      <c r="N369" s="669">
        <v>1213000.0</v>
      </c>
      <c r="O369" s="6">
        <v>0.0</v>
      </c>
      <c r="P369" s="6">
        <v>0.0</v>
      </c>
      <c r="Q369" s="6">
        <v>0.0</v>
      </c>
      <c r="R369" s="6">
        <v>0.0</v>
      </c>
      <c r="S369" s="6">
        <v>0.0</v>
      </c>
      <c r="T369" s="6">
        <v>0.0</v>
      </c>
      <c r="U369" s="6" t="s">
        <v>11590</v>
      </c>
    </row>
    <row r="370">
      <c r="A370" s="6" t="s">
        <v>511</v>
      </c>
      <c r="B370" s="6" t="s">
        <v>11576</v>
      </c>
      <c r="C370" s="6" t="s">
        <v>11579</v>
      </c>
      <c r="D370" s="6" t="s">
        <v>41</v>
      </c>
      <c r="E370" s="6" t="s">
        <v>11723</v>
      </c>
      <c r="F370" s="6" t="s">
        <v>2193</v>
      </c>
      <c r="G370" s="6" t="s">
        <v>2939</v>
      </c>
      <c r="H370" s="6">
        <v>0.0</v>
      </c>
      <c r="I370" s="6">
        <v>0.0</v>
      </c>
      <c r="J370" s="6">
        <v>2.0</v>
      </c>
      <c r="K370" s="6">
        <v>1.0</v>
      </c>
      <c r="L370" s="6">
        <v>0.0</v>
      </c>
      <c r="M370" s="6">
        <v>0.0</v>
      </c>
      <c r="N370" s="669">
        <v>1563000.0</v>
      </c>
      <c r="O370" s="6">
        <v>0.0</v>
      </c>
      <c r="P370" s="6">
        <v>0.0</v>
      </c>
      <c r="Q370" s="6">
        <v>0.0</v>
      </c>
      <c r="R370" s="6">
        <v>0.0</v>
      </c>
      <c r="S370" s="6">
        <v>0.0</v>
      </c>
      <c r="T370" s="6">
        <v>0.0</v>
      </c>
      <c r="U370" s="6">
        <v>0.0</v>
      </c>
    </row>
    <row r="371">
      <c r="A371" s="6" t="s">
        <v>2253</v>
      </c>
      <c r="B371" s="6" t="s">
        <v>11569</v>
      </c>
      <c r="C371" s="6" t="s">
        <v>11579</v>
      </c>
      <c r="D371" s="6" t="s">
        <v>41</v>
      </c>
      <c r="E371" s="6" t="s">
        <v>11724</v>
      </c>
      <c r="F371" s="6" t="s">
        <v>2193</v>
      </c>
      <c r="G371" s="6" t="s">
        <v>2939</v>
      </c>
      <c r="H371" s="6">
        <v>0.0</v>
      </c>
      <c r="I371" s="6">
        <v>0.0</v>
      </c>
      <c r="J371" s="6">
        <v>2.0</v>
      </c>
      <c r="K371" s="6">
        <v>2.0</v>
      </c>
      <c r="L371" s="6">
        <v>0.0</v>
      </c>
      <c r="M371" s="6">
        <v>0.0</v>
      </c>
      <c r="N371" s="669">
        <v>1766000.0</v>
      </c>
      <c r="O371" s="6">
        <v>0.0</v>
      </c>
      <c r="P371" s="6">
        <v>0.0</v>
      </c>
      <c r="Q371" s="6">
        <v>0.0</v>
      </c>
      <c r="R371" s="6">
        <v>0.0</v>
      </c>
      <c r="S371" s="6">
        <v>0.0</v>
      </c>
      <c r="T371" s="6">
        <v>0.0</v>
      </c>
      <c r="U371" s="6">
        <v>0.0</v>
      </c>
    </row>
    <row r="372">
      <c r="A372" s="6" t="s">
        <v>2407</v>
      </c>
      <c r="B372" s="6" t="s">
        <v>11653</v>
      </c>
      <c r="C372" s="6" t="s">
        <v>11570</v>
      </c>
      <c r="D372" s="6" t="s">
        <v>22</v>
      </c>
      <c r="E372" s="6" t="s">
        <v>2408</v>
      </c>
      <c r="G372" s="6" t="s">
        <v>2939</v>
      </c>
      <c r="H372" s="6">
        <v>0.0</v>
      </c>
      <c r="I372" s="6">
        <v>0.0</v>
      </c>
      <c r="J372" s="6">
        <v>0.0</v>
      </c>
      <c r="K372" s="6">
        <v>0.0</v>
      </c>
      <c r="L372" s="6">
        <v>0.0</v>
      </c>
      <c r="M372" s="6">
        <v>10.0</v>
      </c>
      <c r="N372" s="669">
        <v>1120000.0</v>
      </c>
      <c r="O372" s="6">
        <v>10.0</v>
      </c>
      <c r="P372" s="6">
        <v>10.0</v>
      </c>
      <c r="Q372" s="6">
        <v>0.0</v>
      </c>
      <c r="R372" s="6">
        <v>0.0</v>
      </c>
      <c r="S372" s="6">
        <v>0.0</v>
      </c>
      <c r="T372" s="6">
        <v>0.0</v>
      </c>
      <c r="U372" s="6">
        <v>0.0</v>
      </c>
    </row>
    <row r="373">
      <c r="A373" s="6" t="s">
        <v>1510</v>
      </c>
      <c r="B373" s="6" t="s">
        <v>11569</v>
      </c>
      <c r="C373" s="6" t="s">
        <v>11570</v>
      </c>
      <c r="D373" s="6" t="s">
        <v>22</v>
      </c>
      <c r="E373" s="6" t="s">
        <v>11725</v>
      </c>
      <c r="F373" s="6" t="s">
        <v>75</v>
      </c>
      <c r="G373" s="6" t="s">
        <v>2939</v>
      </c>
      <c r="H373" s="6">
        <v>0.0</v>
      </c>
      <c r="I373" s="6">
        <v>0.0</v>
      </c>
      <c r="J373" s="6">
        <v>3.0</v>
      </c>
      <c r="K373" s="6">
        <v>0.0</v>
      </c>
      <c r="L373" s="6">
        <v>0.0</v>
      </c>
      <c r="M373" s="6">
        <v>0.0</v>
      </c>
      <c r="N373" s="669">
        <v>2300000.0</v>
      </c>
      <c r="O373" s="6">
        <v>0.0</v>
      </c>
      <c r="P373" s="6">
        <v>0.0</v>
      </c>
      <c r="Q373" s="6">
        <v>0.0</v>
      </c>
      <c r="R373" s="6">
        <v>0.0</v>
      </c>
      <c r="S373" s="6">
        <v>5.0</v>
      </c>
      <c r="T373" s="6">
        <v>0.0</v>
      </c>
      <c r="U373" s="6">
        <v>0.0</v>
      </c>
    </row>
    <row r="374">
      <c r="A374" s="6" t="s">
        <v>1363</v>
      </c>
      <c r="B374" s="6" t="s">
        <v>11569</v>
      </c>
      <c r="C374" s="6" t="s">
        <v>11570</v>
      </c>
      <c r="D374" s="6" t="s">
        <v>22</v>
      </c>
      <c r="E374" s="6" t="s">
        <v>11725</v>
      </c>
      <c r="F374" s="6" t="s">
        <v>125</v>
      </c>
      <c r="G374" s="6" t="s">
        <v>2939</v>
      </c>
      <c r="H374" s="6">
        <v>0.0</v>
      </c>
      <c r="I374" s="6">
        <v>0.0</v>
      </c>
      <c r="J374" s="6" t="s">
        <v>11590</v>
      </c>
      <c r="K374" s="6">
        <v>1.0</v>
      </c>
      <c r="L374" s="6">
        <v>0.0</v>
      </c>
      <c r="M374" s="6">
        <v>0.0</v>
      </c>
      <c r="N374" s="669">
        <v>1950000.0</v>
      </c>
      <c r="O374" s="6">
        <v>0.0</v>
      </c>
      <c r="P374" s="6">
        <v>0.0</v>
      </c>
      <c r="Q374" s="6">
        <v>0.0</v>
      </c>
      <c r="R374" s="6">
        <v>0.0</v>
      </c>
      <c r="S374" s="6">
        <v>0.0</v>
      </c>
      <c r="T374" s="6">
        <v>0.0</v>
      </c>
      <c r="U374" s="6">
        <v>0.0</v>
      </c>
    </row>
    <row r="375">
      <c r="A375" s="6" t="s">
        <v>1512</v>
      </c>
      <c r="B375" s="6" t="s">
        <v>11569</v>
      </c>
      <c r="C375" s="6" t="s">
        <v>11579</v>
      </c>
      <c r="D375" s="6" t="s">
        <v>41</v>
      </c>
      <c r="E375" s="6" t="s">
        <v>11725</v>
      </c>
      <c r="F375" s="6" t="s">
        <v>533</v>
      </c>
      <c r="G375" s="6" t="s">
        <v>2939</v>
      </c>
      <c r="H375" s="6">
        <v>0.0</v>
      </c>
      <c r="I375" s="6">
        <v>0.0</v>
      </c>
      <c r="J375" s="6">
        <v>0.0</v>
      </c>
      <c r="K375" s="6">
        <v>2.0</v>
      </c>
      <c r="L375" s="6">
        <v>0.0</v>
      </c>
      <c r="M375" s="6">
        <v>0.0</v>
      </c>
      <c r="N375" s="669">
        <v>1150000.0</v>
      </c>
      <c r="O375" s="6">
        <v>0.0</v>
      </c>
      <c r="P375" s="6">
        <v>0.0</v>
      </c>
      <c r="Q375" s="6">
        <v>0.0</v>
      </c>
      <c r="R375" s="6">
        <v>0.0</v>
      </c>
      <c r="S375" s="6">
        <v>0.0</v>
      </c>
      <c r="T375" s="6">
        <v>0.0</v>
      </c>
      <c r="U375" s="6">
        <v>0.0</v>
      </c>
    </row>
    <row r="376">
      <c r="A376" s="6" t="s">
        <v>11726</v>
      </c>
      <c r="B376" s="6" t="s">
        <v>11569</v>
      </c>
      <c r="C376" s="6" t="s">
        <v>11579</v>
      </c>
      <c r="D376" s="6" t="s">
        <v>41</v>
      </c>
      <c r="E376" s="6" t="s">
        <v>11725</v>
      </c>
      <c r="F376" s="6" t="s">
        <v>1377</v>
      </c>
      <c r="G376" s="6" t="s">
        <v>2939</v>
      </c>
      <c r="H376" s="6">
        <v>0.0</v>
      </c>
      <c r="I376" s="6">
        <v>0.0</v>
      </c>
      <c r="J376" s="6" t="s">
        <v>11590</v>
      </c>
      <c r="K376" s="6">
        <v>0.0</v>
      </c>
      <c r="L376" s="6">
        <v>0.0</v>
      </c>
      <c r="M376" s="6">
        <v>0.0</v>
      </c>
      <c r="N376" s="669">
        <v>1150000.0</v>
      </c>
      <c r="O376" s="6">
        <v>0.0</v>
      </c>
      <c r="P376" s="6">
        <v>0.0</v>
      </c>
      <c r="Q376" s="6">
        <v>0.0</v>
      </c>
      <c r="R376" s="6">
        <v>0.0</v>
      </c>
      <c r="S376" s="6">
        <v>0.0</v>
      </c>
      <c r="T376" s="6">
        <v>0.0</v>
      </c>
      <c r="U376" s="6">
        <v>0.0</v>
      </c>
    </row>
    <row r="377">
      <c r="A377" s="6" t="s">
        <v>513</v>
      </c>
      <c r="B377" s="6" t="s">
        <v>11576</v>
      </c>
      <c r="C377" s="6" t="s">
        <v>11570</v>
      </c>
      <c r="D377" s="6" t="s">
        <v>22</v>
      </c>
      <c r="E377" s="6" t="s">
        <v>514</v>
      </c>
      <c r="F377" s="6" t="s">
        <v>125</v>
      </c>
      <c r="G377" s="6" t="s">
        <v>2939</v>
      </c>
      <c r="H377" s="6">
        <v>0.0</v>
      </c>
      <c r="I377" s="6">
        <v>0.0</v>
      </c>
      <c r="J377" s="6">
        <v>2.0</v>
      </c>
      <c r="K377" s="6">
        <v>0.0</v>
      </c>
      <c r="L377" s="6">
        <v>0.0</v>
      </c>
      <c r="M377" s="6">
        <v>0.0</v>
      </c>
      <c r="N377" s="669">
        <v>3080000.0</v>
      </c>
      <c r="O377" s="6">
        <v>0.0</v>
      </c>
      <c r="P377" s="6">
        <v>0.0</v>
      </c>
      <c r="Q377" s="6">
        <v>0.0</v>
      </c>
      <c r="R377" s="6">
        <v>0.0</v>
      </c>
      <c r="S377" s="6">
        <v>0.0</v>
      </c>
      <c r="T377" s="6">
        <v>0.0</v>
      </c>
      <c r="U377" s="6">
        <v>0.0</v>
      </c>
    </row>
    <row r="378">
      <c r="A378" s="6" t="s">
        <v>515</v>
      </c>
      <c r="B378" s="6" t="s">
        <v>11630</v>
      </c>
      <c r="C378" s="6" t="s">
        <v>11570</v>
      </c>
      <c r="D378" s="6" t="s">
        <v>22</v>
      </c>
      <c r="E378" s="6" t="s">
        <v>516</v>
      </c>
      <c r="F378" s="6" t="s">
        <v>125</v>
      </c>
      <c r="G378" s="6" t="s">
        <v>2939</v>
      </c>
      <c r="H378" s="6">
        <v>0.0</v>
      </c>
      <c r="I378" s="6">
        <v>0.0</v>
      </c>
      <c r="J378" s="6">
        <v>7.0</v>
      </c>
      <c r="K378" s="6">
        <v>0.0</v>
      </c>
      <c r="L378" s="6">
        <v>1.0</v>
      </c>
      <c r="M378" s="6">
        <v>0.0</v>
      </c>
      <c r="N378" s="669">
        <v>1547000.0</v>
      </c>
      <c r="O378" s="6">
        <v>0.0</v>
      </c>
      <c r="P378" s="6">
        <v>0.0</v>
      </c>
      <c r="Q378" s="6">
        <v>0.0</v>
      </c>
      <c r="R378" s="6">
        <v>0.0</v>
      </c>
      <c r="S378" s="6">
        <v>0.0</v>
      </c>
      <c r="T378" s="6">
        <v>0.0</v>
      </c>
      <c r="U378" s="6">
        <v>0.0</v>
      </c>
    </row>
    <row r="379">
      <c r="A379" s="6" t="s">
        <v>517</v>
      </c>
      <c r="B379" s="6" t="s">
        <v>11576</v>
      </c>
      <c r="C379" s="6" t="s">
        <v>11579</v>
      </c>
      <c r="D379" s="6" t="s">
        <v>41</v>
      </c>
      <c r="E379" s="6" t="s">
        <v>516</v>
      </c>
      <c r="F379" s="6" t="s">
        <v>1377</v>
      </c>
      <c r="G379" s="6" t="s">
        <v>2939</v>
      </c>
      <c r="H379" s="6">
        <v>0.0</v>
      </c>
      <c r="I379" s="6">
        <v>0.0</v>
      </c>
      <c r="J379" s="6">
        <v>5.0</v>
      </c>
      <c r="K379" s="6">
        <v>0.0</v>
      </c>
      <c r="L379" s="6">
        <v>0.0</v>
      </c>
      <c r="M379" s="6">
        <v>0.0</v>
      </c>
      <c r="N379" s="669">
        <v>1286000.0</v>
      </c>
      <c r="O379" s="6">
        <v>0.0</v>
      </c>
      <c r="P379" s="6">
        <v>0.0</v>
      </c>
      <c r="Q379" s="6">
        <v>0.0</v>
      </c>
      <c r="R379" s="6">
        <v>0.0</v>
      </c>
      <c r="S379" s="6">
        <v>0.0</v>
      </c>
      <c r="T379" s="6">
        <v>0.0</v>
      </c>
      <c r="U379" s="6">
        <v>10.0</v>
      </c>
    </row>
    <row r="380">
      <c r="A380" s="6" t="s">
        <v>518</v>
      </c>
      <c r="B380" s="6" t="s">
        <v>11569</v>
      </c>
      <c r="C380" s="6" t="s">
        <v>11591</v>
      </c>
      <c r="D380" s="6" t="s">
        <v>128</v>
      </c>
      <c r="E380" s="6" t="s">
        <v>516</v>
      </c>
      <c r="F380" s="6" t="s">
        <v>141</v>
      </c>
      <c r="G380" s="6" t="s">
        <v>2939</v>
      </c>
      <c r="H380" s="6">
        <v>0.0</v>
      </c>
      <c r="I380" s="6">
        <v>0.0</v>
      </c>
      <c r="J380" s="6">
        <v>5.0</v>
      </c>
      <c r="K380" s="6">
        <v>0.0</v>
      </c>
      <c r="L380" s="6">
        <v>0.0</v>
      </c>
      <c r="M380" s="6">
        <v>0.0</v>
      </c>
      <c r="N380" s="669">
        <v>644000.0</v>
      </c>
      <c r="O380" s="6">
        <v>0.0</v>
      </c>
      <c r="P380" s="6">
        <v>0.0</v>
      </c>
      <c r="Q380" s="6">
        <v>0.0</v>
      </c>
      <c r="R380" s="6">
        <v>0.0</v>
      </c>
      <c r="S380" s="6">
        <v>0.0</v>
      </c>
      <c r="T380" s="6">
        <v>0.0</v>
      </c>
      <c r="U380" s="6">
        <v>0.0</v>
      </c>
    </row>
    <row r="381">
      <c r="A381" s="6" t="s">
        <v>519</v>
      </c>
      <c r="B381" s="6" t="s">
        <v>11569</v>
      </c>
      <c r="C381" s="6" t="s">
        <v>11591</v>
      </c>
      <c r="D381" s="6" t="s">
        <v>130</v>
      </c>
      <c r="E381" s="6" t="s">
        <v>516</v>
      </c>
      <c r="F381" s="6" t="s">
        <v>141</v>
      </c>
      <c r="G381" s="6" t="s">
        <v>2939</v>
      </c>
      <c r="H381" s="6">
        <v>0.0</v>
      </c>
      <c r="I381" s="6">
        <v>0.0</v>
      </c>
      <c r="J381" s="6">
        <v>1.0</v>
      </c>
      <c r="K381" s="6">
        <v>0.0</v>
      </c>
      <c r="L381" s="6">
        <v>0.0</v>
      </c>
      <c r="M381" s="6">
        <v>0.0</v>
      </c>
      <c r="N381" s="669">
        <v>644000.0</v>
      </c>
      <c r="O381" s="6">
        <v>0.0</v>
      </c>
      <c r="P381" s="6">
        <v>0.0</v>
      </c>
      <c r="Q381" s="6">
        <v>0.0</v>
      </c>
      <c r="R381" s="6">
        <v>0.0</v>
      </c>
      <c r="S381" s="6">
        <v>5.0</v>
      </c>
      <c r="T381" s="6">
        <v>0.0</v>
      </c>
      <c r="U381" s="6">
        <v>0.0</v>
      </c>
    </row>
    <row r="382">
      <c r="A382" s="6" t="s">
        <v>520</v>
      </c>
      <c r="B382" s="6" t="s">
        <v>11578</v>
      </c>
      <c r="C382" s="6" t="s">
        <v>11591</v>
      </c>
      <c r="D382" s="6" t="s">
        <v>132</v>
      </c>
      <c r="E382" s="6" t="s">
        <v>516</v>
      </c>
      <c r="G382" s="6" t="s">
        <v>2939</v>
      </c>
      <c r="H382" s="6" t="s">
        <v>11590</v>
      </c>
      <c r="I382" s="6">
        <v>0.0</v>
      </c>
      <c r="J382" s="6">
        <v>0.0</v>
      </c>
      <c r="K382" s="6">
        <v>0.0</v>
      </c>
      <c r="L382" s="6">
        <v>0.0</v>
      </c>
      <c r="M382" s="6">
        <v>0.0</v>
      </c>
      <c r="N382" s="669">
        <v>484000.0</v>
      </c>
      <c r="O382" s="6">
        <v>0.0</v>
      </c>
      <c r="P382" s="6">
        <v>0.0</v>
      </c>
      <c r="Q382" s="6">
        <v>0.0</v>
      </c>
      <c r="R382" s="6">
        <v>0.0</v>
      </c>
      <c r="S382" s="6">
        <v>0.0</v>
      </c>
      <c r="T382" s="6">
        <v>0.0</v>
      </c>
      <c r="U382" s="6">
        <v>0.0</v>
      </c>
    </row>
    <row r="383">
      <c r="A383" s="6" t="s">
        <v>521</v>
      </c>
      <c r="B383" s="6" t="s">
        <v>11576</v>
      </c>
      <c r="C383" s="6" t="s">
        <v>11591</v>
      </c>
      <c r="D383" s="6" t="s">
        <v>134</v>
      </c>
      <c r="E383" s="6" t="s">
        <v>516</v>
      </c>
      <c r="G383" s="6" t="s">
        <v>2939</v>
      </c>
      <c r="H383" s="6">
        <v>0.0</v>
      </c>
      <c r="I383" s="6">
        <v>0.0</v>
      </c>
      <c r="J383" s="6">
        <v>0.0</v>
      </c>
      <c r="K383" s="6">
        <v>0.0</v>
      </c>
      <c r="L383" s="6">
        <v>0.0</v>
      </c>
      <c r="M383" s="6">
        <v>0.0</v>
      </c>
      <c r="N383" s="669">
        <v>484000.0</v>
      </c>
      <c r="O383" s="6">
        <v>0.0</v>
      </c>
      <c r="P383" s="6">
        <v>0.0</v>
      </c>
      <c r="Q383" s="6">
        <v>0.0</v>
      </c>
      <c r="R383" s="6">
        <v>0.0</v>
      </c>
      <c r="S383" s="6">
        <v>0.0</v>
      </c>
      <c r="T383" s="6">
        <v>0.0</v>
      </c>
      <c r="U383" s="6">
        <v>0.0</v>
      </c>
    </row>
    <row r="384">
      <c r="A384" s="6" t="s">
        <v>522</v>
      </c>
      <c r="B384" s="6" t="s">
        <v>11576</v>
      </c>
      <c r="C384" s="6" t="s">
        <v>11570</v>
      </c>
      <c r="D384" s="6" t="s">
        <v>22</v>
      </c>
      <c r="E384" s="6" t="s">
        <v>11727</v>
      </c>
      <c r="F384" s="6" t="s">
        <v>125</v>
      </c>
      <c r="G384" s="6" t="s">
        <v>2939</v>
      </c>
      <c r="H384" s="6">
        <v>0.0</v>
      </c>
      <c r="I384" s="6">
        <v>0.0</v>
      </c>
      <c r="J384" s="6" t="s">
        <v>11590</v>
      </c>
      <c r="K384" s="6">
        <v>0.0</v>
      </c>
      <c r="L384" s="6">
        <v>0.0</v>
      </c>
      <c r="M384" s="6">
        <v>0.0</v>
      </c>
      <c r="N384" s="669">
        <v>1793000.0</v>
      </c>
      <c r="O384" s="6">
        <v>0.0</v>
      </c>
      <c r="P384" s="6">
        <v>0.0</v>
      </c>
      <c r="Q384" s="6">
        <v>0.0</v>
      </c>
      <c r="R384" s="6">
        <v>0.0</v>
      </c>
      <c r="S384" s="6">
        <v>0.0</v>
      </c>
      <c r="T384" s="6">
        <v>0.0</v>
      </c>
      <c r="U384" s="6">
        <v>0.0</v>
      </c>
    </row>
    <row r="385">
      <c r="A385" s="6" t="s">
        <v>524</v>
      </c>
      <c r="B385" s="6" t="s">
        <v>11576</v>
      </c>
      <c r="C385" s="6" t="s">
        <v>11579</v>
      </c>
      <c r="D385" s="6" t="s">
        <v>41</v>
      </c>
      <c r="E385" s="6" t="s">
        <v>523</v>
      </c>
      <c r="F385" s="6" t="s">
        <v>1377</v>
      </c>
      <c r="G385" s="6" t="s">
        <v>2939</v>
      </c>
      <c r="H385" s="6">
        <v>2.0</v>
      </c>
      <c r="I385" s="6">
        <v>0.0</v>
      </c>
      <c r="J385" s="6">
        <v>1.0</v>
      </c>
      <c r="K385" s="6">
        <v>6.0</v>
      </c>
      <c r="L385" s="6">
        <v>0.0</v>
      </c>
      <c r="M385" s="6">
        <v>0.0</v>
      </c>
      <c r="N385" s="669">
        <v>1928000.0</v>
      </c>
      <c r="O385" s="6">
        <v>0.0</v>
      </c>
      <c r="P385" s="6">
        <v>0.0</v>
      </c>
      <c r="Q385" s="6">
        <v>0.0</v>
      </c>
      <c r="R385" s="6">
        <v>0.0</v>
      </c>
      <c r="S385" s="6">
        <v>0.0</v>
      </c>
      <c r="T385" s="6">
        <v>0.0</v>
      </c>
      <c r="U385" s="6">
        <v>0.0</v>
      </c>
    </row>
    <row r="386">
      <c r="A386" s="6" t="s">
        <v>525</v>
      </c>
      <c r="B386" s="6" t="s">
        <v>11576</v>
      </c>
      <c r="C386" s="6" t="s">
        <v>11591</v>
      </c>
      <c r="D386" s="6" t="s">
        <v>132</v>
      </c>
      <c r="E386" s="6" t="s">
        <v>523</v>
      </c>
      <c r="F386" s="6" t="s">
        <v>141</v>
      </c>
      <c r="G386" s="6" t="s">
        <v>2939</v>
      </c>
      <c r="H386" s="6">
        <v>0.0</v>
      </c>
      <c r="I386" s="6">
        <v>0.0</v>
      </c>
      <c r="J386" s="6">
        <v>0.0</v>
      </c>
      <c r="K386" s="6">
        <v>0.0</v>
      </c>
      <c r="L386" s="6">
        <v>0.0</v>
      </c>
      <c r="M386" s="6">
        <v>0.0</v>
      </c>
      <c r="N386" s="669">
        <v>564000.0</v>
      </c>
      <c r="O386" s="6">
        <v>0.0</v>
      </c>
      <c r="P386" s="6">
        <v>0.0</v>
      </c>
      <c r="Q386" s="6">
        <v>0.0</v>
      </c>
      <c r="R386" s="6">
        <v>0.0</v>
      </c>
      <c r="S386" s="6">
        <v>0.0</v>
      </c>
      <c r="T386" s="6">
        <v>0.0</v>
      </c>
      <c r="U386" s="6">
        <v>0.0</v>
      </c>
    </row>
    <row r="387">
      <c r="A387" s="6" t="s">
        <v>526</v>
      </c>
      <c r="B387" s="6" t="s">
        <v>11578</v>
      </c>
      <c r="C387" s="6" t="s">
        <v>11591</v>
      </c>
      <c r="D387" s="6" t="s">
        <v>134</v>
      </c>
      <c r="E387" s="6" t="s">
        <v>523</v>
      </c>
      <c r="F387" s="6" t="s">
        <v>141</v>
      </c>
      <c r="G387" s="6" t="s">
        <v>2939</v>
      </c>
      <c r="H387" s="6">
        <v>0.0</v>
      </c>
      <c r="I387" s="6">
        <v>0.0</v>
      </c>
      <c r="J387" s="6">
        <v>0.0</v>
      </c>
      <c r="K387" s="6">
        <v>0.0</v>
      </c>
      <c r="L387" s="6">
        <v>0.0</v>
      </c>
      <c r="M387" s="6">
        <v>0.0</v>
      </c>
      <c r="N387" s="669">
        <v>564000.0</v>
      </c>
      <c r="O387" s="6">
        <v>0.0</v>
      </c>
      <c r="P387" s="6">
        <v>0.0</v>
      </c>
      <c r="Q387" s="6">
        <v>0.0</v>
      </c>
      <c r="R387" s="6">
        <v>0.0</v>
      </c>
      <c r="S387" s="6">
        <v>0.0</v>
      </c>
      <c r="T387" s="6">
        <v>0.0</v>
      </c>
      <c r="U387" s="6">
        <v>0.0</v>
      </c>
    </row>
    <row r="388">
      <c r="A388" s="6" t="s">
        <v>527</v>
      </c>
      <c r="B388" s="6" t="s">
        <v>11576</v>
      </c>
      <c r="C388" s="6" t="s">
        <v>11570</v>
      </c>
      <c r="D388" s="6" t="s">
        <v>22</v>
      </c>
      <c r="E388" s="6" t="s">
        <v>528</v>
      </c>
      <c r="F388" s="6" t="s">
        <v>125</v>
      </c>
      <c r="G388" s="6" t="s">
        <v>2939</v>
      </c>
      <c r="H388" s="6">
        <v>0.0</v>
      </c>
      <c r="I388" s="6">
        <v>0.0</v>
      </c>
      <c r="J388" s="6">
        <v>8.0</v>
      </c>
      <c r="K388" s="6">
        <v>0.0</v>
      </c>
      <c r="L388" s="6">
        <v>0.0</v>
      </c>
      <c r="M388" s="6">
        <v>0.0</v>
      </c>
      <c r="N388" s="669">
        <v>1796000.0</v>
      </c>
      <c r="O388" s="6">
        <v>0.0</v>
      </c>
      <c r="P388" s="6">
        <v>0.0</v>
      </c>
      <c r="Q388" s="6">
        <v>0.0</v>
      </c>
      <c r="R388" s="6">
        <v>0.0</v>
      </c>
      <c r="S388" s="6">
        <v>10.0</v>
      </c>
      <c r="T388" s="6">
        <v>0.0</v>
      </c>
      <c r="U388" s="6">
        <v>0.0</v>
      </c>
    </row>
    <row r="389">
      <c r="A389" s="6" t="s">
        <v>529</v>
      </c>
      <c r="B389" s="6" t="s">
        <v>11576</v>
      </c>
      <c r="C389" s="6" t="s">
        <v>11579</v>
      </c>
      <c r="D389" s="6" t="s">
        <v>41</v>
      </c>
      <c r="E389" s="6" t="s">
        <v>530</v>
      </c>
      <c r="F389" s="6" t="s">
        <v>1377</v>
      </c>
      <c r="G389" s="6" t="s">
        <v>2939</v>
      </c>
      <c r="H389" s="6">
        <v>0.0</v>
      </c>
      <c r="I389" s="6">
        <v>0.0</v>
      </c>
      <c r="J389" s="6">
        <v>7.0</v>
      </c>
      <c r="K389" s="6">
        <v>1.0</v>
      </c>
      <c r="L389" s="6">
        <v>0.0</v>
      </c>
      <c r="M389" s="6">
        <v>0.0</v>
      </c>
      <c r="N389" s="669">
        <v>1983000.0</v>
      </c>
      <c r="O389" s="6">
        <v>0.0</v>
      </c>
      <c r="P389" s="6">
        <v>0.0</v>
      </c>
      <c r="Q389" s="6">
        <v>0.0</v>
      </c>
      <c r="R389" s="6">
        <v>0.0</v>
      </c>
      <c r="S389" s="6">
        <v>10.0</v>
      </c>
      <c r="T389" s="6">
        <v>0.0</v>
      </c>
      <c r="U389" s="6">
        <v>0.0</v>
      </c>
    </row>
    <row r="390">
      <c r="A390" s="6" t="s">
        <v>1521</v>
      </c>
      <c r="B390" s="6" t="s">
        <v>11569</v>
      </c>
      <c r="C390" s="6" t="s">
        <v>11579</v>
      </c>
      <c r="D390" s="6" t="s">
        <v>41</v>
      </c>
      <c r="E390" s="6" t="s">
        <v>1522</v>
      </c>
      <c r="F390" s="6" t="s">
        <v>2193</v>
      </c>
      <c r="G390" s="6" t="s">
        <v>2939</v>
      </c>
      <c r="H390" s="6">
        <v>0.0</v>
      </c>
      <c r="I390" s="6">
        <v>0.0</v>
      </c>
      <c r="J390" s="6">
        <v>9.0</v>
      </c>
      <c r="K390" s="6">
        <v>0.0</v>
      </c>
      <c r="L390" s="6">
        <v>0.0</v>
      </c>
      <c r="M390" s="6">
        <v>0.0</v>
      </c>
      <c r="N390" s="669">
        <v>1983000.0</v>
      </c>
      <c r="O390" s="6">
        <v>0.0</v>
      </c>
      <c r="P390" s="6">
        <v>0.0</v>
      </c>
      <c r="Q390" s="6">
        <v>0.0</v>
      </c>
      <c r="R390" s="6">
        <v>0.0</v>
      </c>
      <c r="S390" s="6">
        <v>0.0</v>
      </c>
      <c r="T390" s="6">
        <v>0.0</v>
      </c>
      <c r="U390" s="6">
        <v>0.0</v>
      </c>
    </row>
    <row r="391">
      <c r="A391" s="6" t="s">
        <v>531</v>
      </c>
      <c r="B391" s="6" t="s">
        <v>11578</v>
      </c>
      <c r="C391" s="6" t="s">
        <v>11591</v>
      </c>
      <c r="D391" s="6" t="s">
        <v>132</v>
      </c>
      <c r="E391" s="6" t="s">
        <v>532</v>
      </c>
      <c r="F391" s="6" t="s">
        <v>533</v>
      </c>
      <c r="G391" s="6" t="s">
        <v>2939</v>
      </c>
      <c r="H391" s="6">
        <v>3.0</v>
      </c>
      <c r="I391" s="6">
        <v>0.0</v>
      </c>
      <c r="J391" s="6">
        <v>0.0</v>
      </c>
      <c r="K391" s="6">
        <v>0.0</v>
      </c>
      <c r="L391" s="6">
        <v>0.0</v>
      </c>
      <c r="M391" s="6">
        <v>0.0</v>
      </c>
      <c r="N391" s="669">
        <v>832000.0</v>
      </c>
      <c r="O391" s="6">
        <v>0.0</v>
      </c>
      <c r="P391" s="6">
        <v>0.0</v>
      </c>
      <c r="Q391" s="6">
        <v>0.0</v>
      </c>
      <c r="R391" s="6">
        <v>0.0</v>
      </c>
      <c r="S391" s="6">
        <v>0.0</v>
      </c>
      <c r="T391" s="6">
        <v>0.0</v>
      </c>
      <c r="U391" s="6">
        <v>0.0</v>
      </c>
    </row>
    <row r="392">
      <c r="A392" s="6" t="s">
        <v>1523</v>
      </c>
      <c r="B392" s="6" t="s">
        <v>11569</v>
      </c>
      <c r="C392" s="6" t="s">
        <v>11591</v>
      </c>
      <c r="D392" s="6" t="s">
        <v>132</v>
      </c>
      <c r="E392" s="6" t="s">
        <v>1524</v>
      </c>
      <c r="G392" s="6" t="s">
        <v>2939</v>
      </c>
      <c r="H392" s="6">
        <v>0.0</v>
      </c>
      <c r="I392" s="6">
        <v>0.0</v>
      </c>
      <c r="J392" s="6">
        <v>3.0</v>
      </c>
      <c r="K392" s="6">
        <v>0.0</v>
      </c>
      <c r="L392" s="6">
        <v>0.0</v>
      </c>
      <c r="M392" s="6">
        <v>0.0</v>
      </c>
      <c r="N392" s="669">
        <v>2425000.0</v>
      </c>
      <c r="O392" s="6">
        <v>0.0</v>
      </c>
      <c r="P392" s="6">
        <v>0.0</v>
      </c>
      <c r="Q392" s="6">
        <v>0.0</v>
      </c>
      <c r="R392" s="6">
        <v>0.0</v>
      </c>
      <c r="S392" s="6">
        <v>0.0</v>
      </c>
      <c r="T392" s="6">
        <v>0.0</v>
      </c>
      <c r="U392" s="6">
        <v>0.0</v>
      </c>
    </row>
    <row r="393">
      <c r="A393" s="6" t="s">
        <v>1525</v>
      </c>
      <c r="B393" s="6" t="s">
        <v>11569</v>
      </c>
      <c r="C393" s="6" t="s">
        <v>11591</v>
      </c>
      <c r="D393" s="6" t="s">
        <v>134</v>
      </c>
      <c r="E393" s="6" t="s">
        <v>1524</v>
      </c>
      <c r="G393" s="6" t="s">
        <v>2939</v>
      </c>
      <c r="H393" s="6">
        <v>0.0</v>
      </c>
      <c r="I393" s="6">
        <v>0.0</v>
      </c>
      <c r="J393" s="6">
        <v>2.0</v>
      </c>
      <c r="K393" s="6">
        <v>0.0</v>
      </c>
      <c r="L393" s="6">
        <v>0.0</v>
      </c>
      <c r="M393" s="6">
        <v>0.0</v>
      </c>
      <c r="N393" s="669">
        <v>2425000.0</v>
      </c>
      <c r="O393" s="6">
        <v>0.0</v>
      </c>
      <c r="P393" s="6">
        <v>0.0</v>
      </c>
      <c r="Q393" s="6">
        <v>0.0</v>
      </c>
      <c r="R393" s="6">
        <v>0.0</v>
      </c>
      <c r="S393" s="6">
        <v>0.0</v>
      </c>
      <c r="T393" s="6">
        <v>0.0</v>
      </c>
      <c r="U393" s="6">
        <v>0.0</v>
      </c>
    </row>
    <row r="394">
      <c r="A394" s="6" t="s">
        <v>534</v>
      </c>
      <c r="B394" s="6" t="s">
        <v>11578</v>
      </c>
      <c r="C394" s="6" t="s">
        <v>11591</v>
      </c>
      <c r="D394" s="6" t="s">
        <v>202</v>
      </c>
      <c r="E394" s="6" t="s">
        <v>528</v>
      </c>
      <c r="F394" s="6" t="s">
        <v>533</v>
      </c>
      <c r="G394" s="6" t="s">
        <v>2939</v>
      </c>
      <c r="H394" s="6">
        <v>5.0</v>
      </c>
      <c r="I394" s="6">
        <v>0.0</v>
      </c>
      <c r="J394" s="6">
        <v>0.0</v>
      </c>
      <c r="K394" s="6">
        <v>0.0</v>
      </c>
      <c r="L394" s="6">
        <v>0.0</v>
      </c>
      <c r="M394" s="6">
        <v>0.0</v>
      </c>
      <c r="N394" s="669">
        <v>869000.0</v>
      </c>
      <c r="O394" s="6">
        <v>0.0</v>
      </c>
      <c r="P394" s="6">
        <v>0.0</v>
      </c>
      <c r="Q394" s="6">
        <v>0.0</v>
      </c>
      <c r="R394" s="6">
        <v>0.0</v>
      </c>
      <c r="S394" s="6">
        <v>0.0</v>
      </c>
      <c r="T394" s="6">
        <v>0.0</v>
      </c>
      <c r="U394" s="6">
        <v>0.0</v>
      </c>
    </row>
    <row r="395">
      <c r="A395" s="6" t="s">
        <v>535</v>
      </c>
      <c r="B395" s="6" t="s">
        <v>11576</v>
      </c>
      <c r="C395" s="6" t="s">
        <v>11570</v>
      </c>
      <c r="D395" s="6" t="s">
        <v>22</v>
      </c>
      <c r="E395" s="6" t="s">
        <v>11728</v>
      </c>
      <c r="F395" s="6" t="s">
        <v>125</v>
      </c>
      <c r="G395" s="6" t="s">
        <v>2939</v>
      </c>
      <c r="H395" s="6">
        <v>0.0</v>
      </c>
      <c r="I395" s="6">
        <v>0.0</v>
      </c>
      <c r="J395" s="6">
        <v>0.0</v>
      </c>
      <c r="K395" s="6">
        <v>0.0</v>
      </c>
      <c r="L395" s="6">
        <v>0.0</v>
      </c>
      <c r="M395" s="6">
        <v>0.0</v>
      </c>
      <c r="N395" s="669">
        <v>1362000.0</v>
      </c>
      <c r="O395" s="6">
        <v>0.0</v>
      </c>
      <c r="P395" s="6">
        <v>0.0</v>
      </c>
      <c r="Q395" s="6">
        <v>0.0</v>
      </c>
      <c r="R395" s="6">
        <v>0.0</v>
      </c>
      <c r="S395" s="6">
        <v>0.0</v>
      </c>
      <c r="T395" s="6">
        <v>0.0</v>
      </c>
      <c r="U395" s="6">
        <v>0.0</v>
      </c>
    </row>
    <row r="396">
      <c r="A396" s="6" t="s">
        <v>537</v>
      </c>
      <c r="B396" s="6" t="s">
        <v>11576</v>
      </c>
      <c r="C396" s="6" t="s">
        <v>11579</v>
      </c>
      <c r="D396" s="6" t="s">
        <v>41</v>
      </c>
      <c r="E396" s="6" t="s">
        <v>11728</v>
      </c>
      <c r="F396" s="6" t="s">
        <v>2193</v>
      </c>
      <c r="G396" s="6" t="s">
        <v>2939</v>
      </c>
      <c r="H396" s="6">
        <v>0.0</v>
      </c>
      <c r="I396" s="6">
        <v>0.0</v>
      </c>
      <c r="J396" s="6">
        <v>1.0</v>
      </c>
      <c r="K396" s="6">
        <v>2.0</v>
      </c>
      <c r="L396" s="6">
        <v>0.0</v>
      </c>
      <c r="M396" s="6">
        <v>0.0</v>
      </c>
      <c r="N396" s="669">
        <v>2050000.0</v>
      </c>
      <c r="O396" s="6">
        <v>0.0</v>
      </c>
      <c r="P396" s="6">
        <v>0.0</v>
      </c>
      <c r="Q396" s="6">
        <v>0.0</v>
      </c>
      <c r="R396" s="6">
        <v>0.0</v>
      </c>
      <c r="S396" s="6">
        <v>0.0</v>
      </c>
      <c r="T396" s="6">
        <v>0.0</v>
      </c>
      <c r="U396" s="6">
        <v>0.0</v>
      </c>
    </row>
    <row r="397">
      <c r="A397" s="6" t="s">
        <v>538</v>
      </c>
      <c r="B397" s="6" t="s">
        <v>11578</v>
      </c>
      <c r="C397" s="6" t="s">
        <v>11591</v>
      </c>
      <c r="D397" s="6" t="s">
        <v>128</v>
      </c>
      <c r="E397" s="6" t="s">
        <v>11728</v>
      </c>
      <c r="F397" s="6" t="s">
        <v>141</v>
      </c>
      <c r="G397" s="6" t="s">
        <v>2939</v>
      </c>
      <c r="H397" s="6">
        <v>9.0</v>
      </c>
      <c r="I397" s="6">
        <v>0.0</v>
      </c>
      <c r="J397" s="6">
        <v>0.0</v>
      </c>
      <c r="K397" s="6">
        <v>0.0</v>
      </c>
      <c r="L397" s="6">
        <v>0.0</v>
      </c>
      <c r="M397" s="6">
        <v>0.0</v>
      </c>
      <c r="N397" s="669">
        <v>675000.0</v>
      </c>
      <c r="O397" s="6">
        <v>0.0</v>
      </c>
      <c r="P397" s="6">
        <v>0.0</v>
      </c>
      <c r="Q397" s="6">
        <v>0.0</v>
      </c>
      <c r="R397" s="6">
        <v>0.0</v>
      </c>
      <c r="S397" s="6">
        <v>0.0</v>
      </c>
      <c r="T397" s="6">
        <v>0.0</v>
      </c>
      <c r="U397" s="6">
        <v>0.0</v>
      </c>
    </row>
    <row r="398">
      <c r="A398" s="6" t="s">
        <v>539</v>
      </c>
      <c r="B398" s="6" t="s">
        <v>11578</v>
      </c>
      <c r="C398" s="6" t="s">
        <v>11591</v>
      </c>
      <c r="D398" s="6" t="s">
        <v>130</v>
      </c>
      <c r="E398" s="6" t="s">
        <v>11728</v>
      </c>
      <c r="F398" s="6" t="s">
        <v>141</v>
      </c>
      <c r="G398" s="6" t="s">
        <v>2939</v>
      </c>
      <c r="H398" s="6">
        <v>9.0</v>
      </c>
      <c r="I398" s="6">
        <v>0.0</v>
      </c>
      <c r="J398" s="6">
        <v>0.0</v>
      </c>
      <c r="K398" s="6">
        <v>0.0</v>
      </c>
      <c r="L398" s="6">
        <v>0.0</v>
      </c>
      <c r="M398" s="6">
        <v>0.0</v>
      </c>
      <c r="N398" s="669">
        <v>675000.0</v>
      </c>
      <c r="O398" s="6">
        <v>0.0</v>
      </c>
      <c r="P398" s="6">
        <v>0.0</v>
      </c>
      <c r="Q398" s="6">
        <v>0.0</v>
      </c>
      <c r="R398" s="6">
        <v>0.0</v>
      </c>
      <c r="S398" s="6">
        <v>0.0</v>
      </c>
      <c r="T398" s="6">
        <v>0.0</v>
      </c>
      <c r="U398" s="6">
        <v>0.0</v>
      </c>
    </row>
    <row r="399">
      <c r="A399" s="6" t="s">
        <v>540</v>
      </c>
      <c r="B399" s="6" t="s">
        <v>11576</v>
      </c>
      <c r="C399" s="6" t="s">
        <v>11591</v>
      </c>
      <c r="D399" s="6" t="s">
        <v>132</v>
      </c>
      <c r="E399" s="6" t="s">
        <v>11728</v>
      </c>
      <c r="G399" s="6" t="s">
        <v>2939</v>
      </c>
      <c r="H399" s="6">
        <v>0.0</v>
      </c>
      <c r="I399" s="6">
        <v>0.0</v>
      </c>
      <c r="J399" s="6">
        <v>5.0</v>
      </c>
      <c r="K399" s="6">
        <v>0.0</v>
      </c>
      <c r="L399" s="6">
        <v>0.0</v>
      </c>
      <c r="M399" s="6">
        <v>0.0</v>
      </c>
      <c r="N399" s="669">
        <v>508000.0</v>
      </c>
      <c r="O399" s="6">
        <v>0.0</v>
      </c>
      <c r="P399" s="6">
        <v>0.0</v>
      </c>
      <c r="Q399" s="6">
        <v>0.0</v>
      </c>
      <c r="R399" s="6">
        <v>0.0</v>
      </c>
      <c r="S399" s="6">
        <v>0.0</v>
      </c>
      <c r="T399" s="6">
        <v>0.0</v>
      </c>
      <c r="U399" s="6">
        <v>0.0</v>
      </c>
    </row>
    <row r="400">
      <c r="A400" s="6" t="s">
        <v>541</v>
      </c>
      <c r="B400" s="6" t="s">
        <v>11576</v>
      </c>
      <c r="C400" s="6" t="s">
        <v>11591</v>
      </c>
      <c r="D400" s="6" t="s">
        <v>134</v>
      </c>
      <c r="E400" s="6" t="s">
        <v>11728</v>
      </c>
      <c r="G400" s="6" t="s">
        <v>2939</v>
      </c>
      <c r="H400" s="6">
        <v>0.0</v>
      </c>
      <c r="I400" s="6">
        <v>0.0</v>
      </c>
      <c r="J400" s="6">
        <v>4.0</v>
      </c>
      <c r="K400" s="6">
        <v>0.0</v>
      </c>
      <c r="L400" s="6">
        <v>0.0</v>
      </c>
      <c r="M400" s="6">
        <v>0.0</v>
      </c>
      <c r="N400" s="669">
        <v>508000.0</v>
      </c>
      <c r="O400" s="6">
        <v>0.0</v>
      </c>
      <c r="P400" s="6">
        <v>0.0</v>
      </c>
      <c r="Q400" s="6">
        <v>0.0</v>
      </c>
      <c r="R400" s="6">
        <v>0.0</v>
      </c>
      <c r="S400" s="6">
        <v>0.0</v>
      </c>
      <c r="T400" s="6">
        <v>0.0</v>
      </c>
      <c r="U400" s="6">
        <v>0.0</v>
      </c>
    </row>
    <row r="401">
      <c r="A401" s="6" t="s">
        <v>542</v>
      </c>
      <c r="B401" s="6" t="s">
        <v>11576</v>
      </c>
      <c r="C401" s="6" t="s">
        <v>11570</v>
      </c>
      <c r="D401" s="6" t="s">
        <v>22</v>
      </c>
      <c r="E401" s="6" t="s">
        <v>543</v>
      </c>
      <c r="F401" s="6" t="s">
        <v>125</v>
      </c>
      <c r="G401" s="6" t="s">
        <v>2939</v>
      </c>
      <c r="H401" s="6">
        <v>1.0</v>
      </c>
      <c r="I401" s="6">
        <v>0.0</v>
      </c>
      <c r="J401" s="6">
        <v>3.0</v>
      </c>
      <c r="K401" s="6">
        <v>1.0</v>
      </c>
      <c r="L401" s="6">
        <v>0.0</v>
      </c>
      <c r="M401" s="6">
        <v>0.0</v>
      </c>
      <c r="N401" s="669">
        <v>2200000.0</v>
      </c>
      <c r="O401" s="6">
        <v>0.0</v>
      </c>
      <c r="P401" s="6">
        <v>0.0</v>
      </c>
      <c r="Q401" s="6">
        <v>0.0</v>
      </c>
      <c r="R401" s="6">
        <v>0.0</v>
      </c>
      <c r="S401" s="6">
        <v>0.0</v>
      </c>
      <c r="T401" s="6">
        <v>0.0</v>
      </c>
      <c r="U401" s="6">
        <v>0.0</v>
      </c>
    </row>
    <row r="402">
      <c r="A402" s="6" t="s">
        <v>544</v>
      </c>
      <c r="B402" s="6" t="s">
        <v>11576</v>
      </c>
      <c r="C402" s="6" t="s">
        <v>11579</v>
      </c>
      <c r="D402" s="6" t="s">
        <v>41</v>
      </c>
      <c r="E402" s="6" t="s">
        <v>543</v>
      </c>
      <c r="F402" s="6" t="s">
        <v>2301</v>
      </c>
      <c r="G402" s="6" t="s">
        <v>2939</v>
      </c>
      <c r="H402" s="6">
        <v>0.0</v>
      </c>
      <c r="I402" s="6">
        <v>0.0</v>
      </c>
      <c r="J402" s="6">
        <v>0.0</v>
      </c>
      <c r="K402" s="6">
        <v>0.0</v>
      </c>
      <c r="L402" s="6">
        <v>0.0</v>
      </c>
      <c r="M402" s="6">
        <v>0.0</v>
      </c>
      <c r="N402" s="669">
        <v>2085000.0</v>
      </c>
      <c r="O402" s="6">
        <v>0.0</v>
      </c>
      <c r="P402" s="6">
        <v>0.0</v>
      </c>
      <c r="Q402" s="6">
        <v>0.0</v>
      </c>
      <c r="R402" s="6">
        <v>0.0</v>
      </c>
      <c r="S402" s="6">
        <v>0.0</v>
      </c>
      <c r="T402" s="6">
        <v>0.0</v>
      </c>
      <c r="U402" s="6">
        <v>0.0</v>
      </c>
    </row>
    <row r="403">
      <c r="A403" s="6" t="s">
        <v>545</v>
      </c>
      <c r="B403" s="6" t="s">
        <v>11578</v>
      </c>
      <c r="C403" s="6" t="s">
        <v>11591</v>
      </c>
      <c r="D403" s="6" t="s">
        <v>132</v>
      </c>
      <c r="E403" s="6" t="s">
        <v>543</v>
      </c>
      <c r="G403" s="6" t="s">
        <v>2939</v>
      </c>
      <c r="H403" s="6">
        <v>10.0</v>
      </c>
      <c r="I403" s="6">
        <v>0.0</v>
      </c>
      <c r="J403" s="6">
        <v>0.0</v>
      </c>
      <c r="K403" s="6">
        <v>0.0</v>
      </c>
      <c r="L403" s="6">
        <v>0.0</v>
      </c>
      <c r="M403" s="6">
        <v>0.0</v>
      </c>
      <c r="N403" s="669">
        <v>725000.0</v>
      </c>
      <c r="O403" s="6">
        <v>0.0</v>
      </c>
      <c r="P403" s="6">
        <v>0.0</v>
      </c>
      <c r="Q403" s="6">
        <v>0.0</v>
      </c>
      <c r="R403" s="6">
        <v>0.0</v>
      </c>
      <c r="S403" s="6">
        <v>0.0</v>
      </c>
      <c r="T403" s="6">
        <v>0.0</v>
      </c>
      <c r="U403" s="6">
        <v>0.0</v>
      </c>
    </row>
    <row r="404">
      <c r="A404" s="6" t="s">
        <v>546</v>
      </c>
      <c r="B404" s="6" t="s">
        <v>11578</v>
      </c>
      <c r="C404" s="6" t="s">
        <v>11591</v>
      </c>
      <c r="D404" s="6" t="s">
        <v>134</v>
      </c>
      <c r="E404" s="6" t="s">
        <v>543</v>
      </c>
      <c r="G404" s="6" t="s">
        <v>2939</v>
      </c>
      <c r="H404" s="6">
        <v>3.0</v>
      </c>
      <c r="I404" s="6">
        <v>0.0</v>
      </c>
      <c r="J404" s="6">
        <v>0.0</v>
      </c>
      <c r="K404" s="6">
        <v>0.0</v>
      </c>
      <c r="L404" s="6">
        <v>0.0</v>
      </c>
      <c r="M404" s="6">
        <v>0.0</v>
      </c>
      <c r="N404" s="669">
        <v>725000.0</v>
      </c>
      <c r="O404" s="6">
        <v>0.0</v>
      </c>
      <c r="P404" s="6">
        <v>0.0</v>
      </c>
      <c r="Q404" s="6">
        <v>0.0</v>
      </c>
      <c r="R404" s="6">
        <v>0.0</v>
      </c>
      <c r="S404" s="6">
        <v>0.0</v>
      </c>
      <c r="T404" s="6">
        <v>0.0</v>
      </c>
      <c r="U404" s="6">
        <v>0.0</v>
      </c>
    </row>
    <row r="405">
      <c r="A405" s="6" t="s">
        <v>547</v>
      </c>
      <c r="B405" s="6" t="s">
        <v>11578</v>
      </c>
      <c r="C405" s="6" t="s">
        <v>11591</v>
      </c>
      <c r="D405" s="6" t="s">
        <v>387</v>
      </c>
      <c r="E405" s="6" t="s">
        <v>543</v>
      </c>
      <c r="G405" s="6" t="s">
        <v>2939</v>
      </c>
      <c r="H405" s="6">
        <v>4.0</v>
      </c>
      <c r="I405" s="6">
        <v>0.0</v>
      </c>
      <c r="J405" s="6">
        <v>0.0</v>
      </c>
      <c r="K405" s="6">
        <v>0.0</v>
      </c>
      <c r="L405" s="6">
        <v>0.0</v>
      </c>
      <c r="M405" s="6">
        <v>0.0</v>
      </c>
      <c r="N405" s="669">
        <v>291000.0</v>
      </c>
      <c r="O405" s="6">
        <v>0.0</v>
      </c>
      <c r="P405" s="6">
        <v>0.0</v>
      </c>
      <c r="Q405" s="6">
        <v>0.0</v>
      </c>
      <c r="R405" s="6">
        <v>0.0</v>
      </c>
      <c r="S405" s="6">
        <v>0.0</v>
      </c>
      <c r="T405" s="6">
        <v>0.0</v>
      </c>
      <c r="U405" s="6">
        <v>0.0</v>
      </c>
    </row>
    <row r="406">
      <c r="A406" s="6" t="s">
        <v>548</v>
      </c>
      <c r="B406" s="6" t="s">
        <v>11578</v>
      </c>
      <c r="C406" s="6" t="s">
        <v>11591</v>
      </c>
      <c r="D406" s="6" t="s">
        <v>389</v>
      </c>
      <c r="E406" s="6" t="s">
        <v>543</v>
      </c>
      <c r="G406" s="6" t="s">
        <v>2939</v>
      </c>
      <c r="H406" s="6">
        <v>4.0</v>
      </c>
      <c r="I406" s="6">
        <v>0.0</v>
      </c>
      <c r="J406" s="6">
        <v>0.0</v>
      </c>
      <c r="K406" s="6">
        <v>0.0</v>
      </c>
      <c r="L406" s="6">
        <v>0.0</v>
      </c>
      <c r="M406" s="6">
        <v>0.0</v>
      </c>
      <c r="N406" s="669">
        <v>291000.0</v>
      </c>
      <c r="O406" s="6">
        <v>0.0</v>
      </c>
      <c r="P406" s="6">
        <v>0.0</v>
      </c>
      <c r="Q406" s="6">
        <v>0.0</v>
      </c>
      <c r="R406" s="6">
        <v>0.0</v>
      </c>
      <c r="S406" s="6">
        <v>0.0</v>
      </c>
      <c r="T406" s="6">
        <v>0.0</v>
      </c>
      <c r="U406" s="6">
        <v>0.0</v>
      </c>
    </row>
    <row r="407">
      <c r="A407" s="6" t="s">
        <v>1526</v>
      </c>
      <c r="B407" s="6" t="s">
        <v>11569</v>
      </c>
      <c r="C407" s="6" t="s">
        <v>11570</v>
      </c>
      <c r="D407" s="6" t="s">
        <v>22</v>
      </c>
      <c r="E407" s="6" t="s">
        <v>11729</v>
      </c>
      <c r="F407" s="6" t="s">
        <v>125</v>
      </c>
      <c r="G407" s="6" t="s">
        <v>2939</v>
      </c>
      <c r="H407" s="6">
        <v>0.0</v>
      </c>
      <c r="I407" s="6">
        <v>0.0</v>
      </c>
      <c r="J407" s="6" t="s">
        <v>11590</v>
      </c>
      <c r="K407" s="6">
        <v>0.0</v>
      </c>
      <c r="L407" s="6">
        <v>0.0</v>
      </c>
      <c r="M407" s="6">
        <v>0.0</v>
      </c>
      <c r="N407" s="669">
        <v>2376000.0</v>
      </c>
      <c r="O407" s="6">
        <v>0.0</v>
      </c>
      <c r="P407" s="6">
        <v>0.0</v>
      </c>
      <c r="Q407" s="6">
        <v>0.0</v>
      </c>
      <c r="R407" s="6">
        <v>0.0</v>
      </c>
      <c r="S407" s="6">
        <v>0.0</v>
      </c>
      <c r="T407" s="6">
        <v>0.0</v>
      </c>
      <c r="U407" s="6">
        <v>0.0</v>
      </c>
    </row>
    <row r="408">
      <c r="A408" s="6" t="s">
        <v>11730</v>
      </c>
      <c r="B408" s="6" t="s">
        <v>11569</v>
      </c>
      <c r="C408" s="6" t="s">
        <v>11570</v>
      </c>
      <c r="D408" s="6" t="s">
        <v>22</v>
      </c>
      <c r="E408" s="6" t="s">
        <v>11731</v>
      </c>
      <c r="F408" s="6" t="s">
        <v>125</v>
      </c>
      <c r="G408" s="6" t="s">
        <v>2939</v>
      </c>
      <c r="H408" s="6">
        <v>0.0</v>
      </c>
      <c r="I408" s="6">
        <v>0.0</v>
      </c>
      <c r="J408" s="6">
        <v>5.0</v>
      </c>
      <c r="K408" s="6">
        <v>0.0</v>
      </c>
      <c r="L408" s="6">
        <v>0.0</v>
      </c>
      <c r="M408" s="6">
        <v>0.0</v>
      </c>
      <c r="N408" s="669">
        <v>2376000.0</v>
      </c>
      <c r="O408" s="6">
        <v>0.0</v>
      </c>
      <c r="P408" s="6">
        <v>0.0</v>
      </c>
      <c r="Q408" s="6">
        <v>0.0</v>
      </c>
      <c r="R408" s="6">
        <v>0.0</v>
      </c>
      <c r="S408" s="6">
        <v>0.0</v>
      </c>
      <c r="T408" s="6">
        <v>0.0</v>
      </c>
      <c r="U408" s="6">
        <v>0.0</v>
      </c>
    </row>
    <row r="409">
      <c r="A409" s="6" t="s">
        <v>11732</v>
      </c>
      <c r="B409" s="6" t="s">
        <v>11569</v>
      </c>
      <c r="C409" s="6" t="s">
        <v>11570</v>
      </c>
      <c r="D409" s="6" t="s">
        <v>22</v>
      </c>
      <c r="E409" s="6" t="s">
        <v>11733</v>
      </c>
      <c r="F409" s="6" t="s">
        <v>23</v>
      </c>
      <c r="G409" s="6" t="s">
        <v>11553</v>
      </c>
      <c r="H409" s="6">
        <v>0.0</v>
      </c>
      <c r="I409" s="6">
        <v>0.0</v>
      </c>
      <c r="J409" s="6">
        <v>0.0</v>
      </c>
      <c r="K409" s="6">
        <v>0.0</v>
      </c>
      <c r="L409" s="6">
        <v>0.0</v>
      </c>
      <c r="M409" s="6">
        <v>0.0</v>
      </c>
      <c r="N409" s="669">
        <v>4435000.0</v>
      </c>
      <c r="O409" s="6">
        <v>0.0</v>
      </c>
      <c r="P409" s="6">
        <v>0.0</v>
      </c>
      <c r="Q409" s="6">
        <v>0.0</v>
      </c>
      <c r="R409" s="6">
        <v>0.0</v>
      </c>
      <c r="S409" s="6">
        <v>0.0</v>
      </c>
      <c r="T409" s="6">
        <v>0.0</v>
      </c>
      <c r="U409" s="6">
        <v>0.0</v>
      </c>
    </row>
    <row r="410">
      <c r="A410" s="6" t="s">
        <v>11734</v>
      </c>
      <c r="B410" s="6" t="s">
        <v>11569</v>
      </c>
      <c r="C410" s="6" t="s">
        <v>11570</v>
      </c>
      <c r="D410" s="6" t="s">
        <v>22</v>
      </c>
      <c r="E410" s="6" t="s">
        <v>11735</v>
      </c>
      <c r="F410" s="6" t="s">
        <v>75</v>
      </c>
      <c r="G410" s="6" t="s">
        <v>2939</v>
      </c>
      <c r="H410" s="6">
        <v>0.0</v>
      </c>
      <c r="I410" s="6">
        <v>0.0</v>
      </c>
      <c r="J410" s="6">
        <v>6.0</v>
      </c>
      <c r="K410" s="6">
        <v>0.0</v>
      </c>
      <c r="L410" s="6">
        <v>0.0</v>
      </c>
      <c r="M410" s="6">
        <v>0.0</v>
      </c>
      <c r="N410" s="669">
        <v>4000000.0</v>
      </c>
      <c r="O410" s="6">
        <v>0.0</v>
      </c>
      <c r="P410" s="6">
        <v>0.0</v>
      </c>
      <c r="Q410" s="6">
        <v>0.0</v>
      </c>
      <c r="R410" s="6">
        <v>0.0</v>
      </c>
      <c r="S410" s="6">
        <v>0.0</v>
      </c>
      <c r="T410" s="6">
        <v>0.0</v>
      </c>
      <c r="U410" s="6">
        <v>0.0</v>
      </c>
    </row>
    <row r="411">
      <c r="A411" s="6" t="s">
        <v>11736</v>
      </c>
      <c r="B411" s="6" t="s">
        <v>11569</v>
      </c>
      <c r="C411" s="6" t="s">
        <v>11579</v>
      </c>
      <c r="D411" s="6" t="s">
        <v>41</v>
      </c>
      <c r="E411" s="6" t="s">
        <v>11737</v>
      </c>
      <c r="F411" s="6" t="s">
        <v>2193</v>
      </c>
      <c r="G411" s="6" t="s">
        <v>2939</v>
      </c>
      <c r="H411" s="6">
        <v>0.0</v>
      </c>
      <c r="I411" s="6">
        <v>0.0</v>
      </c>
      <c r="J411" s="6">
        <v>2.0</v>
      </c>
      <c r="K411" s="6">
        <v>0.0</v>
      </c>
      <c r="L411" s="6">
        <v>0.0</v>
      </c>
      <c r="M411" s="6">
        <v>0.0</v>
      </c>
      <c r="N411" s="669">
        <v>2900000.0</v>
      </c>
      <c r="O411" s="6">
        <v>0.0</v>
      </c>
      <c r="P411" s="6">
        <v>0.0</v>
      </c>
      <c r="Q411" s="6">
        <v>0.0</v>
      </c>
      <c r="R411" s="6">
        <v>0.0</v>
      </c>
      <c r="S411" s="6">
        <v>0.0</v>
      </c>
      <c r="T411" s="6">
        <v>0.0</v>
      </c>
      <c r="U411" s="6">
        <v>0.0</v>
      </c>
    </row>
    <row r="412">
      <c r="A412" s="6" t="s">
        <v>549</v>
      </c>
      <c r="B412" s="6" t="s">
        <v>11576</v>
      </c>
      <c r="C412" s="6" t="s">
        <v>11570</v>
      </c>
      <c r="D412" s="6" t="s">
        <v>22</v>
      </c>
      <c r="E412" s="6" t="s">
        <v>550</v>
      </c>
      <c r="F412" s="6" t="s">
        <v>125</v>
      </c>
      <c r="G412" s="6" t="s">
        <v>2939</v>
      </c>
      <c r="H412" s="6">
        <v>0.0</v>
      </c>
      <c r="I412" s="6">
        <v>0.0</v>
      </c>
      <c r="J412" s="6">
        <v>7.0</v>
      </c>
      <c r="K412" s="6">
        <v>0.0</v>
      </c>
      <c r="L412" s="6">
        <v>0.0</v>
      </c>
      <c r="M412" s="6">
        <v>0.0</v>
      </c>
      <c r="N412" s="669">
        <v>2350000.0</v>
      </c>
      <c r="O412" s="6">
        <v>0.0</v>
      </c>
      <c r="P412" s="6">
        <v>0.0</v>
      </c>
      <c r="Q412" s="6">
        <v>0.0</v>
      </c>
      <c r="R412" s="6">
        <v>0.0</v>
      </c>
      <c r="S412" s="6">
        <v>0.0</v>
      </c>
      <c r="T412" s="6">
        <v>0.0</v>
      </c>
      <c r="U412" s="6">
        <v>0.0</v>
      </c>
    </row>
    <row r="413">
      <c r="A413" s="6" t="s">
        <v>551</v>
      </c>
      <c r="B413" s="6" t="s">
        <v>11578</v>
      </c>
      <c r="C413" s="6" t="s">
        <v>11579</v>
      </c>
      <c r="D413" s="6" t="s">
        <v>41</v>
      </c>
      <c r="E413" s="6" t="s">
        <v>550</v>
      </c>
      <c r="F413" s="6" t="s">
        <v>2193</v>
      </c>
      <c r="G413" s="6" t="s">
        <v>2939</v>
      </c>
      <c r="H413" s="6">
        <v>5.0</v>
      </c>
      <c r="I413" s="6">
        <v>2.0</v>
      </c>
      <c r="J413" s="6">
        <v>0.0</v>
      </c>
      <c r="K413" s="6">
        <v>0.0</v>
      </c>
      <c r="L413" s="6">
        <v>0.0</v>
      </c>
      <c r="M413" s="6">
        <v>0.0</v>
      </c>
      <c r="N413" s="669">
        <v>1393000.0</v>
      </c>
      <c r="O413" s="6">
        <v>0.0</v>
      </c>
      <c r="P413" s="6">
        <v>0.0</v>
      </c>
      <c r="Q413" s="6">
        <v>0.0</v>
      </c>
      <c r="R413" s="6">
        <v>0.0</v>
      </c>
      <c r="S413" s="6">
        <v>0.0</v>
      </c>
      <c r="T413" s="6">
        <v>0.0</v>
      </c>
      <c r="U413" s="6">
        <v>0.0</v>
      </c>
    </row>
    <row r="414">
      <c r="A414" s="6" t="s">
        <v>552</v>
      </c>
      <c r="B414" s="6" t="s">
        <v>11578</v>
      </c>
      <c r="C414" s="6" t="s">
        <v>11579</v>
      </c>
      <c r="D414" s="6" t="s">
        <v>41</v>
      </c>
      <c r="E414" s="6" t="s">
        <v>550</v>
      </c>
      <c r="F414" s="6" t="s">
        <v>1377</v>
      </c>
      <c r="G414" s="6" t="s">
        <v>2939</v>
      </c>
      <c r="H414" s="6">
        <v>2.0</v>
      </c>
      <c r="I414" s="6">
        <v>2.0</v>
      </c>
      <c r="J414" s="6">
        <v>0.0</v>
      </c>
      <c r="K414" s="6">
        <v>0.0</v>
      </c>
      <c r="L414" s="6">
        <v>0.0</v>
      </c>
      <c r="M414" s="6">
        <v>0.0</v>
      </c>
      <c r="N414" s="669">
        <v>1608000.0</v>
      </c>
      <c r="O414" s="6">
        <v>0.0</v>
      </c>
      <c r="P414" s="6">
        <v>0.0</v>
      </c>
      <c r="Q414" s="6">
        <v>0.0</v>
      </c>
      <c r="R414" s="6">
        <v>0.0</v>
      </c>
      <c r="S414" s="6">
        <v>0.0</v>
      </c>
      <c r="T414" s="6">
        <v>0.0</v>
      </c>
      <c r="U414" s="6">
        <v>0.0</v>
      </c>
    </row>
    <row r="415">
      <c r="A415" s="6" t="s">
        <v>1528</v>
      </c>
      <c r="B415" s="6" t="s">
        <v>11569</v>
      </c>
      <c r="C415" s="6" t="s">
        <v>11570</v>
      </c>
      <c r="D415" s="6" t="s">
        <v>22</v>
      </c>
      <c r="E415" s="6" t="s">
        <v>1529</v>
      </c>
      <c r="F415" s="6" t="s">
        <v>125</v>
      </c>
      <c r="G415" s="6" t="s">
        <v>2939</v>
      </c>
      <c r="H415" s="6">
        <v>0.0</v>
      </c>
      <c r="I415" s="6">
        <v>0.0</v>
      </c>
      <c r="J415" s="6" t="s">
        <v>11590</v>
      </c>
      <c r="K415" s="6">
        <v>0.0</v>
      </c>
      <c r="L415" s="6">
        <v>0.0</v>
      </c>
      <c r="M415" s="6">
        <v>0.0</v>
      </c>
      <c r="N415" s="669">
        <v>3650000.0</v>
      </c>
      <c r="O415" s="6">
        <v>0.0</v>
      </c>
      <c r="P415" s="6">
        <v>0.0</v>
      </c>
      <c r="Q415" s="6">
        <v>0.0</v>
      </c>
      <c r="R415" s="6">
        <v>0.0</v>
      </c>
      <c r="S415" s="6">
        <v>0.0</v>
      </c>
      <c r="T415" s="6">
        <v>0.0</v>
      </c>
      <c r="U415" s="6">
        <v>0.0</v>
      </c>
    </row>
    <row r="416">
      <c r="A416" s="6" t="s">
        <v>11738</v>
      </c>
      <c r="B416" s="6" t="s">
        <v>11569</v>
      </c>
      <c r="C416" s="6" t="s">
        <v>11570</v>
      </c>
      <c r="D416" s="6" t="s">
        <v>22</v>
      </c>
      <c r="E416" s="6" t="s">
        <v>11739</v>
      </c>
      <c r="F416" s="6" t="s">
        <v>75</v>
      </c>
      <c r="G416" s="6" t="s">
        <v>2939</v>
      </c>
      <c r="H416" s="6">
        <v>0.0</v>
      </c>
      <c r="I416" s="6">
        <v>0.0</v>
      </c>
      <c r="J416" s="6">
        <v>6.0</v>
      </c>
      <c r="K416" s="6">
        <v>0.0</v>
      </c>
      <c r="L416" s="6">
        <v>0.0</v>
      </c>
      <c r="M416" s="6">
        <v>0.0</v>
      </c>
      <c r="N416" s="669">
        <v>3800000.0</v>
      </c>
      <c r="O416" s="6">
        <v>0.0</v>
      </c>
      <c r="P416" s="6">
        <v>0.0</v>
      </c>
      <c r="Q416" s="6">
        <v>0.0</v>
      </c>
      <c r="R416" s="6">
        <v>0.0</v>
      </c>
      <c r="S416" s="6">
        <v>0.0</v>
      </c>
      <c r="T416" s="6">
        <v>0.0</v>
      </c>
      <c r="U416" s="6">
        <v>0.0</v>
      </c>
    </row>
    <row r="417">
      <c r="A417" s="6" t="s">
        <v>11740</v>
      </c>
      <c r="B417" s="6" t="s">
        <v>11569</v>
      </c>
      <c r="C417" s="6" t="s">
        <v>11570</v>
      </c>
      <c r="D417" s="6" t="s">
        <v>22</v>
      </c>
      <c r="E417" s="6" t="s">
        <v>11741</v>
      </c>
      <c r="F417" s="6" t="s">
        <v>75</v>
      </c>
      <c r="G417" s="6" t="s">
        <v>2939</v>
      </c>
      <c r="H417" s="6">
        <v>0.0</v>
      </c>
      <c r="I417" s="6">
        <v>0.0</v>
      </c>
      <c r="J417" s="6">
        <v>10.0</v>
      </c>
      <c r="K417" s="6">
        <v>0.0</v>
      </c>
      <c r="L417" s="6">
        <v>0.0</v>
      </c>
      <c r="M417" s="6">
        <v>0.0</v>
      </c>
      <c r="N417" s="669">
        <v>3800000.0</v>
      </c>
      <c r="O417" s="6">
        <v>0.0</v>
      </c>
      <c r="P417" s="6">
        <v>0.0</v>
      </c>
      <c r="Q417" s="6">
        <v>0.0</v>
      </c>
      <c r="R417" s="6">
        <v>0.0</v>
      </c>
      <c r="S417" s="6">
        <v>0.0</v>
      </c>
      <c r="T417" s="6">
        <v>0.0</v>
      </c>
      <c r="U417" s="6">
        <v>0.0</v>
      </c>
    </row>
    <row r="418">
      <c r="A418" s="6" t="s">
        <v>1530</v>
      </c>
      <c r="B418" s="6" t="s">
        <v>11569</v>
      </c>
      <c r="C418" s="6" t="s">
        <v>11579</v>
      </c>
      <c r="D418" s="6" t="s">
        <v>41</v>
      </c>
      <c r="E418" s="6" t="s">
        <v>1529</v>
      </c>
      <c r="F418" s="6" t="s">
        <v>1377</v>
      </c>
      <c r="G418" s="6" t="s">
        <v>2939</v>
      </c>
      <c r="H418" s="6">
        <v>0.0</v>
      </c>
      <c r="I418" s="6">
        <v>0.0</v>
      </c>
      <c r="J418" s="6">
        <v>2.0</v>
      </c>
      <c r="K418" s="6">
        <v>0.0</v>
      </c>
      <c r="L418" s="6">
        <v>0.0</v>
      </c>
      <c r="M418" s="6">
        <v>0.0</v>
      </c>
      <c r="N418" s="669">
        <v>2250000.0</v>
      </c>
      <c r="O418" s="6">
        <v>0.0</v>
      </c>
      <c r="P418" s="6">
        <v>0.0</v>
      </c>
      <c r="Q418" s="6">
        <v>0.0</v>
      </c>
      <c r="R418" s="6">
        <v>0.0</v>
      </c>
      <c r="S418" s="6">
        <v>5.0</v>
      </c>
      <c r="T418" s="6">
        <v>0.0</v>
      </c>
      <c r="U418" s="6">
        <v>0.0</v>
      </c>
    </row>
    <row r="419">
      <c r="A419" s="6" t="s">
        <v>553</v>
      </c>
      <c r="B419" s="6" t="s">
        <v>11576</v>
      </c>
      <c r="C419" s="6" t="s">
        <v>11570</v>
      </c>
      <c r="D419" s="6" t="s">
        <v>22</v>
      </c>
      <c r="E419" s="6" t="s">
        <v>554</v>
      </c>
      <c r="F419" s="6" t="s">
        <v>125</v>
      </c>
      <c r="G419" s="6" t="s">
        <v>2939</v>
      </c>
      <c r="H419" s="6">
        <v>1.0</v>
      </c>
      <c r="I419" s="6">
        <v>0.0</v>
      </c>
      <c r="J419" s="6">
        <v>2.0</v>
      </c>
      <c r="K419" s="6">
        <v>0.0</v>
      </c>
      <c r="L419" s="6">
        <v>0.0</v>
      </c>
      <c r="M419" s="6">
        <v>0.0</v>
      </c>
      <c r="N419" s="669">
        <v>2521000.0</v>
      </c>
      <c r="O419" s="6">
        <v>0.0</v>
      </c>
      <c r="P419" s="6">
        <v>0.0</v>
      </c>
      <c r="Q419" s="6">
        <v>0.0</v>
      </c>
      <c r="R419" s="6">
        <v>0.0</v>
      </c>
      <c r="S419" s="6">
        <v>0.0</v>
      </c>
      <c r="T419" s="6">
        <v>0.0</v>
      </c>
      <c r="U419" s="6">
        <v>0.0</v>
      </c>
    </row>
    <row r="420">
      <c r="A420" s="6" t="s">
        <v>555</v>
      </c>
      <c r="B420" s="6" t="s">
        <v>11578</v>
      </c>
      <c r="C420" s="6" t="s">
        <v>11579</v>
      </c>
      <c r="D420" s="6" t="s">
        <v>41</v>
      </c>
      <c r="E420" s="6" t="s">
        <v>554</v>
      </c>
      <c r="F420" s="6" t="s">
        <v>1377</v>
      </c>
      <c r="G420" s="6" t="s">
        <v>2939</v>
      </c>
      <c r="H420" s="6">
        <v>6.0</v>
      </c>
      <c r="I420" s="6">
        <v>1.0</v>
      </c>
      <c r="J420" s="6">
        <v>0.0</v>
      </c>
      <c r="K420" s="6">
        <v>0.0</v>
      </c>
      <c r="L420" s="6">
        <v>0.0</v>
      </c>
      <c r="M420" s="6">
        <v>0.0</v>
      </c>
      <c r="N420" s="669">
        <v>2083000.0</v>
      </c>
      <c r="O420" s="6">
        <v>0.0</v>
      </c>
      <c r="P420" s="6">
        <v>0.0</v>
      </c>
      <c r="Q420" s="6">
        <v>0.0</v>
      </c>
      <c r="R420" s="6">
        <v>0.0</v>
      </c>
      <c r="S420" s="6">
        <v>0.0</v>
      </c>
      <c r="T420" s="6">
        <v>0.0</v>
      </c>
      <c r="U420" s="6">
        <v>0.0</v>
      </c>
    </row>
    <row r="421">
      <c r="A421" s="6" t="s">
        <v>556</v>
      </c>
      <c r="B421" s="6" t="s">
        <v>11578</v>
      </c>
      <c r="C421" s="6" t="s">
        <v>11591</v>
      </c>
      <c r="D421" s="6" t="s">
        <v>130</v>
      </c>
      <c r="E421" s="6" t="s">
        <v>554</v>
      </c>
      <c r="G421" s="6" t="s">
        <v>2939</v>
      </c>
      <c r="H421" s="6" t="s">
        <v>11590</v>
      </c>
      <c r="I421" s="6">
        <v>0.0</v>
      </c>
      <c r="J421" s="6">
        <v>0.0</v>
      </c>
      <c r="K421" s="6">
        <v>0.0</v>
      </c>
      <c r="L421" s="6">
        <v>0.0</v>
      </c>
      <c r="M421" s="6">
        <v>0.0</v>
      </c>
      <c r="N421" s="669">
        <v>795000.0</v>
      </c>
      <c r="O421" s="6">
        <v>0.0</v>
      </c>
      <c r="P421" s="6">
        <v>0.0</v>
      </c>
      <c r="Q421" s="6">
        <v>0.0</v>
      </c>
      <c r="R421" s="6">
        <v>0.0</v>
      </c>
      <c r="S421" s="6">
        <v>0.0</v>
      </c>
      <c r="T421" s="6">
        <v>0.0</v>
      </c>
      <c r="U421" s="6">
        <v>0.0</v>
      </c>
    </row>
    <row r="422">
      <c r="A422" s="6" t="s">
        <v>557</v>
      </c>
      <c r="B422" s="6" t="s">
        <v>11578</v>
      </c>
      <c r="C422" s="6" t="s">
        <v>11591</v>
      </c>
      <c r="D422" s="6" t="s">
        <v>132</v>
      </c>
      <c r="E422" s="6" t="s">
        <v>554</v>
      </c>
      <c r="G422" s="6" t="s">
        <v>2939</v>
      </c>
      <c r="H422" s="6" t="s">
        <v>11590</v>
      </c>
      <c r="I422" s="6">
        <v>0.0</v>
      </c>
      <c r="J422" s="6">
        <v>0.0</v>
      </c>
      <c r="K422" s="6">
        <v>0.0</v>
      </c>
      <c r="L422" s="6">
        <v>0.0</v>
      </c>
      <c r="M422" s="6">
        <v>0.0</v>
      </c>
      <c r="N422" s="669">
        <v>795000.0</v>
      </c>
      <c r="O422" s="6">
        <v>0.0</v>
      </c>
      <c r="P422" s="6">
        <v>0.0</v>
      </c>
      <c r="Q422" s="6">
        <v>0.0</v>
      </c>
      <c r="R422" s="6">
        <v>0.0</v>
      </c>
      <c r="S422" s="6">
        <v>0.0</v>
      </c>
      <c r="T422" s="6">
        <v>0.0</v>
      </c>
      <c r="U422" s="6">
        <v>0.0</v>
      </c>
    </row>
    <row r="423">
      <c r="A423" s="6" t="s">
        <v>558</v>
      </c>
      <c r="B423" s="6" t="s">
        <v>11578</v>
      </c>
      <c r="C423" s="6" t="s">
        <v>11591</v>
      </c>
      <c r="D423" s="6" t="s">
        <v>202</v>
      </c>
      <c r="E423" s="6" t="s">
        <v>554</v>
      </c>
      <c r="F423" s="6" t="s">
        <v>97</v>
      </c>
      <c r="G423" s="6" t="s">
        <v>2939</v>
      </c>
      <c r="H423" s="6" t="s">
        <v>11590</v>
      </c>
      <c r="I423" s="6">
        <v>0.0</v>
      </c>
      <c r="J423" s="6">
        <v>0.0</v>
      </c>
      <c r="K423" s="6">
        <v>0.0</v>
      </c>
      <c r="L423" s="6">
        <v>0.0</v>
      </c>
      <c r="M423" s="6">
        <v>0.0</v>
      </c>
      <c r="N423" s="669">
        <v>436000.0</v>
      </c>
      <c r="O423" s="6">
        <v>0.0</v>
      </c>
      <c r="P423" s="6">
        <v>0.0</v>
      </c>
      <c r="Q423" s="6">
        <v>0.0</v>
      </c>
      <c r="R423" s="6">
        <v>0.0</v>
      </c>
      <c r="S423" s="6">
        <v>0.0</v>
      </c>
      <c r="T423" s="6">
        <v>0.0</v>
      </c>
      <c r="U423" s="6">
        <v>0.0</v>
      </c>
    </row>
    <row r="424">
      <c r="A424" s="6" t="s">
        <v>559</v>
      </c>
      <c r="B424" s="6" t="s">
        <v>11576</v>
      </c>
      <c r="C424" s="6" t="s">
        <v>11570</v>
      </c>
      <c r="D424" s="6" t="s">
        <v>22</v>
      </c>
      <c r="E424" s="6" t="s">
        <v>560</v>
      </c>
      <c r="F424" s="6" t="s">
        <v>125</v>
      </c>
      <c r="G424" s="6" t="s">
        <v>2939</v>
      </c>
      <c r="H424" s="6">
        <v>0.0</v>
      </c>
      <c r="I424" s="6">
        <v>0.0</v>
      </c>
      <c r="J424" s="6">
        <v>0.0</v>
      </c>
      <c r="K424" s="6">
        <v>0.0</v>
      </c>
      <c r="L424" s="6">
        <v>0.0</v>
      </c>
      <c r="M424" s="6">
        <v>0.0</v>
      </c>
      <c r="N424" s="669">
        <v>2118000.0</v>
      </c>
      <c r="O424" s="6">
        <v>0.0</v>
      </c>
      <c r="P424" s="6">
        <v>0.0</v>
      </c>
      <c r="Q424" s="6">
        <v>0.0</v>
      </c>
      <c r="R424" s="6">
        <v>0.0</v>
      </c>
      <c r="S424" s="6" t="s">
        <v>11590</v>
      </c>
      <c r="T424" s="6">
        <v>0.0</v>
      </c>
      <c r="U424" s="6">
        <v>0.0</v>
      </c>
    </row>
    <row r="425">
      <c r="A425" s="6" t="s">
        <v>561</v>
      </c>
      <c r="B425" s="6" t="s">
        <v>11576</v>
      </c>
      <c r="C425" s="6" t="s">
        <v>11579</v>
      </c>
      <c r="D425" s="6" t="s">
        <v>41</v>
      </c>
      <c r="E425" s="6" t="s">
        <v>560</v>
      </c>
      <c r="F425" s="6" t="s">
        <v>1377</v>
      </c>
      <c r="G425" s="6" t="s">
        <v>2939</v>
      </c>
      <c r="H425" s="6">
        <v>0.0</v>
      </c>
      <c r="I425" s="6">
        <v>0.0</v>
      </c>
      <c r="J425" s="6">
        <v>3.0</v>
      </c>
      <c r="K425" s="6">
        <v>0.0</v>
      </c>
      <c r="L425" s="6">
        <v>0.0</v>
      </c>
      <c r="M425" s="6">
        <v>0.0</v>
      </c>
      <c r="N425" s="669">
        <v>2570000.0</v>
      </c>
      <c r="O425" s="6">
        <v>0.0</v>
      </c>
      <c r="P425" s="6">
        <v>0.0</v>
      </c>
      <c r="Q425" s="6">
        <v>0.0</v>
      </c>
      <c r="R425" s="6">
        <v>0.0</v>
      </c>
      <c r="S425" s="6">
        <v>5.0</v>
      </c>
      <c r="T425" s="6">
        <v>0.0</v>
      </c>
      <c r="U425" s="6">
        <v>0.0</v>
      </c>
    </row>
    <row r="426">
      <c r="A426" s="6" t="s">
        <v>562</v>
      </c>
      <c r="B426" s="6" t="s">
        <v>11578</v>
      </c>
      <c r="C426" s="6" t="s">
        <v>11591</v>
      </c>
      <c r="D426" s="6" t="s">
        <v>130</v>
      </c>
      <c r="E426" s="6" t="s">
        <v>560</v>
      </c>
      <c r="G426" s="6" t="s">
        <v>2939</v>
      </c>
      <c r="H426" s="6" t="s">
        <v>11590</v>
      </c>
      <c r="I426" s="6">
        <v>0.0</v>
      </c>
      <c r="J426" s="6">
        <v>0.0</v>
      </c>
      <c r="K426" s="6">
        <v>0.0</v>
      </c>
      <c r="L426" s="6">
        <v>0.0</v>
      </c>
      <c r="M426" s="6">
        <v>0.0</v>
      </c>
      <c r="N426" s="669">
        <v>802000.0</v>
      </c>
      <c r="O426" s="6">
        <v>0.0</v>
      </c>
      <c r="P426" s="6">
        <v>0.0</v>
      </c>
      <c r="Q426" s="6">
        <v>0.0</v>
      </c>
      <c r="R426" s="6">
        <v>0.0</v>
      </c>
      <c r="S426" s="6">
        <v>0.0</v>
      </c>
      <c r="T426" s="6">
        <v>0.0</v>
      </c>
      <c r="U426" s="6">
        <v>0.0</v>
      </c>
    </row>
    <row r="427">
      <c r="A427" s="6" t="s">
        <v>563</v>
      </c>
      <c r="B427" s="6" t="s">
        <v>11578</v>
      </c>
      <c r="C427" s="6" t="s">
        <v>11591</v>
      </c>
      <c r="D427" s="6" t="s">
        <v>132</v>
      </c>
      <c r="E427" s="6" t="s">
        <v>560</v>
      </c>
      <c r="G427" s="6" t="s">
        <v>2939</v>
      </c>
      <c r="H427" s="6" t="s">
        <v>11590</v>
      </c>
      <c r="I427" s="6">
        <v>1.0</v>
      </c>
      <c r="J427" s="6">
        <v>0.0</v>
      </c>
      <c r="K427" s="6">
        <v>0.0</v>
      </c>
      <c r="L427" s="6">
        <v>0.0</v>
      </c>
      <c r="M427" s="6">
        <v>0.0</v>
      </c>
      <c r="N427" s="669">
        <v>579000.0</v>
      </c>
      <c r="O427" s="6">
        <v>0.0</v>
      </c>
      <c r="P427" s="6">
        <v>0.0</v>
      </c>
      <c r="Q427" s="6">
        <v>0.0</v>
      </c>
      <c r="R427" s="6">
        <v>0.0</v>
      </c>
      <c r="S427" s="6">
        <v>0.0</v>
      </c>
      <c r="T427" s="6">
        <v>0.0</v>
      </c>
      <c r="U427" s="6">
        <v>0.0</v>
      </c>
    </row>
    <row r="428">
      <c r="A428" s="6" t="s">
        <v>564</v>
      </c>
      <c r="B428" s="6" t="s">
        <v>11576</v>
      </c>
      <c r="C428" s="6" t="s">
        <v>11591</v>
      </c>
      <c r="D428" s="6" t="s">
        <v>134</v>
      </c>
      <c r="E428" s="6" t="s">
        <v>560</v>
      </c>
      <c r="G428" s="6" t="s">
        <v>2939</v>
      </c>
      <c r="H428" s="6">
        <v>0.0</v>
      </c>
      <c r="I428" s="6">
        <v>0.0</v>
      </c>
      <c r="J428" s="6">
        <v>2.0</v>
      </c>
      <c r="K428" s="6">
        <v>0.0</v>
      </c>
      <c r="L428" s="6">
        <v>0.0</v>
      </c>
      <c r="M428" s="6">
        <v>0.0</v>
      </c>
      <c r="N428" s="669">
        <v>579000.0</v>
      </c>
      <c r="O428" s="6">
        <v>0.0</v>
      </c>
      <c r="P428" s="6">
        <v>0.0</v>
      </c>
      <c r="Q428" s="6">
        <v>0.0</v>
      </c>
      <c r="R428" s="6">
        <v>0.0</v>
      </c>
      <c r="S428" s="6">
        <v>0.0</v>
      </c>
      <c r="T428" s="6">
        <v>0.0</v>
      </c>
      <c r="U428" s="6">
        <v>0.0</v>
      </c>
    </row>
    <row r="429">
      <c r="A429" s="6" t="s">
        <v>11742</v>
      </c>
      <c r="B429" s="6" t="s">
        <v>11569</v>
      </c>
      <c r="C429" s="6" t="s">
        <v>11570</v>
      </c>
      <c r="D429" s="6" t="s">
        <v>22</v>
      </c>
      <c r="E429" s="6" t="s">
        <v>11743</v>
      </c>
      <c r="F429" s="6" t="s">
        <v>75</v>
      </c>
      <c r="G429" s="6" t="s">
        <v>2939</v>
      </c>
      <c r="H429" s="6">
        <v>0.0</v>
      </c>
      <c r="I429" s="6">
        <v>0.0</v>
      </c>
      <c r="J429" s="6">
        <v>7.0</v>
      </c>
      <c r="K429" s="6">
        <v>0.0</v>
      </c>
      <c r="L429" s="6">
        <v>0.0</v>
      </c>
      <c r="M429" s="6">
        <v>0.0</v>
      </c>
      <c r="N429" s="669">
        <v>3200000.0</v>
      </c>
      <c r="O429" s="6">
        <v>0.0</v>
      </c>
      <c r="P429" s="6">
        <v>0.0</v>
      </c>
      <c r="Q429" s="6">
        <v>0.0</v>
      </c>
      <c r="R429" s="6">
        <v>0.0</v>
      </c>
      <c r="S429" s="6">
        <v>0.0</v>
      </c>
      <c r="T429" s="6">
        <v>0.0</v>
      </c>
      <c r="U429" s="6">
        <v>0.0</v>
      </c>
    </row>
    <row r="430">
      <c r="A430" s="6" t="s">
        <v>11744</v>
      </c>
      <c r="B430" s="6" t="s">
        <v>11569</v>
      </c>
      <c r="C430" s="6" t="s">
        <v>11570</v>
      </c>
      <c r="D430" s="6" t="s">
        <v>22</v>
      </c>
      <c r="E430" s="6" t="s">
        <v>11745</v>
      </c>
      <c r="F430" s="6" t="s">
        <v>75</v>
      </c>
      <c r="G430" s="6" t="s">
        <v>2939</v>
      </c>
      <c r="H430" s="6">
        <v>0.0</v>
      </c>
      <c r="I430" s="6">
        <v>0.0</v>
      </c>
      <c r="J430" s="6">
        <v>0.0</v>
      </c>
      <c r="K430" s="6">
        <v>0.0</v>
      </c>
      <c r="L430" s="6">
        <v>0.0</v>
      </c>
      <c r="M430" s="6">
        <v>0.0</v>
      </c>
      <c r="N430" s="669">
        <v>3200000.0</v>
      </c>
      <c r="O430" s="6">
        <v>0.0</v>
      </c>
      <c r="P430" s="6">
        <v>0.0</v>
      </c>
      <c r="Q430" s="6">
        <v>0.0</v>
      </c>
      <c r="R430" s="6">
        <v>0.0</v>
      </c>
      <c r="S430" s="6">
        <v>0.0</v>
      </c>
      <c r="T430" s="6">
        <v>0.0</v>
      </c>
      <c r="U430" s="6">
        <v>0.0</v>
      </c>
    </row>
    <row r="431">
      <c r="A431" s="6" t="s">
        <v>1533</v>
      </c>
      <c r="B431" s="6" t="s">
        <v>11569</v>
      </c>
      <c r="C431" s="6" t="s">
        <v>11570</v>
      </c>
      <c r="D431" s="6" t="s">
        <v>22</v>
      </c>
      <c r="E431" s="6" t="s">
        <v>1534</v>
      </c>
      <c r="F431" s="6" t="s">
        <v>125</v>
      </c>
      <c r="G431" s="6" t="s">
        <v>2939</v>
      </c>
      <c r="H431" s="6">
        <v>0.0</v>
      </c>
      <c r="I431" s="6">
        <v>0.0</v>
      </c>
      <c r="J431" s="6">
        <v>7.0</v>
      </c>
      <c r="K431" s="6">
        <v>0.0</v>
      </c>
      <c r="L431" s="6">
        <v>0.0</v>
      </c>
      <c r="M431" s="6">
        <v>0.0</v>
      </c>
      <c r="N431" s="669">
        <v>2464000.0</v>
      </c>
      <c r="O431" s="6">
        <v>0.0</v>
      </c>
      <c r="P431" s="6">
        <v>0.0</v>
      </c>
      <c r="Q431" s="6">
        <v>0.0</v>
      </c>
      <c r="R431" s="6">
        <v>0.0</v>
      </c>
      <c r="S431" s="6">
        <v>0.0</v>
      </c>
      <c r="T431" s="6">
        <v>0.0</v>
      </c>
      <c r="U431" s="6">
        <v>0.0</v>
      </c>
    </row>
    <row r="432">
      <c r="A432" s="6" t="s">
        <v>1535</v>
      </c>
      <c r="B432" s="6" t="s">
        <v>11569</v>
      </c>
      <c r="C432" s="6" t="s">
        <v>11579</v>
      </c>
      <c r="D432" s="6" t="s">
        <v>41</v>
      </c>
      <c r="E432" s="6" t="s">
        <v>1534</v>
      </c>
      <c r="F432" s="6" t="s">
        <v>2193</v>
      </c>
      <c r="G432" s="6" t="s">
        <v>2939</v>
      </c>
      <c r="H432" s="6">
        <v>0.0</v>
      </c>
      <c r="I432" s="6">
        <v>0.0</v>
      </c>
      <c r="J432" s="6">
        <v>3.0</v>
      </c>
      <c r="K432" s="6">
        <v>0.0</v>
      </c>
      <c r="L432" s="6">
        <v>0.0</v>
      </c>
      <c r="M432" s="6">
        <v>0.0</v>
      </c>
      <c r="N432" s="669">
        <v>2237000.0</v>
      </c>
      <c r="O432" s="6">
        <v>0.0</v>
      </c>
      <c r="P432" s="6">
        <v>0.0</v>
      </c>
      <c r="Q432" s="6">
        <v>0.0</v>
      </c>
      <c r="R432" s="6">
        <v>0.0</v>
      </c>
      <c r="S432" s="6">
        <v>0.0</v>
      </c>
      <c r="T432" s="6">
        <v>0.0</v>
      </c>
      <c r="U432" s="6">
        <v>0.0</v>
      </c>
    </row>
    <row r="433">
      <c r="A433" s="6" t="s">
        <v>1536</v>
      </c>
      <c r="B433" s="6" t="s">
        <v>11569</v>
      </c>
      <c r="C433" s="6" t="s">
        <v>11570</v>
      </c>
      <c r="D433" s="6" t="s">
        <v>22</v>
      </c>
      <c r="E433" s="6" t="s">
        <v>1537</v>
      </c>
      <c r="F433" s="6" t="s">
        <v>125</v>
      </c>
      <c r="G433" s="6" t="s">
        <v>2939</v>
      </c>
      <c r="H433" s="6">
        <v>0.0</v>
      </c>
      <c r="I433" s="6">
        <v>0.0</v>
      </c>
      <c r="J433" s="6" t="s">
        <v>11590</v>
      </c>
      <c r="K433" s="6">
        <v>0.0</v>
      </c>
      <c r="L433" s="6">
        <v>0.0</v>
      </c>
      <c r="M433" s="6">
        <v>0.0</v>
      </c>
      <c r="N433" s="669">
        <v>1650000.0</v>
      </c>
      <c r="O433" s="6">
        <v>0.0</v>
      </c>
      <c r="P433" s="6">
        <v>0.0</v>
      </c>
      <c r="Q433" s="6">
        <v>0.0</v>
      </c>
      <c r="R433" s="6">
        <v>0.0</v>
      </c>
      <c r="S433" s="6">
        <v>0.0</v>
      </c>
      <c r="T433" s="6">
        <v>0.0</v>
      </c>
      <c r="U433" s="6">
        <v>0.0</v>
      </c>
    </row>
    <row r="434">
      <c r="A434" s="6" t="s">
        <v>1624</v>
      </c>
      <c r="B434" s="6" t="s">
        <v>11569</v>
      </c>
      <c r="C434" s="6" t="s">
        <v>11570</v>
      </c>
      <c r="D434" s="6" t="s">
        <v>22</v>
      </c>
      <c r="E434" s="6" t="s">
        <v>1537</v>
      </c>
      <c r="F434" s="6" t="s">
        <v>75</v>
      </c>
      <c r="G434" s="6" t="s">
        <v>2939</v>
      </c>
      <c r="H434" s="6">
        <v>0.0</v>
      </c>
      <c r="I434" s="6">
        <v>0.0</v>
      </c>
      <c r="J434" s="6">
        <v>5.0</v>
      </c>
      <c r="K434" s="6">
        <v>0.0</v>
      </c>
      <c r="L434" s="6">
        <v>0.0</v>
      </c>
      <c r="M434" s="6">
        <v>0.0</v>
      </c>
      <c r="N434" s="669">
        <v>2100000.0</v>
      </c>
      <c r="O434" s="6">
        <v>0.0</v>
      </c>
      <c r="P434" s="6">
        <v>0.0</v>
      </c>
      <c r="Q434" s="6">
        <v>0.0</v>
      </c>
      <c r="R434" s="6">
        <v>0.0</v>
      </c>
      <c r="S434" s="6">
        <v>10.0</v>
      </c>
      <c r="T434" s="6">
        <v>0.0</v>
      </c>
      <c r="U434" s="6">
        <v>0.0</v>
      </c>
    </row>
    <row r="435">
      <c r="A435" s="6" t="s">
        <v>1615</v>
      </c>
      <c r="B435" s="6" t="s">
        <v>11569</v>
      </c>
      <c r="C435" s="6" t="s">
        <v>11579</v>
      </c>
      <c r="D435" s="6" t="s">
        <v>41</v>
      </c>
      <c r="E435" s="6" t="s">
        <v>1537</v>
      </c>
      <c r="F435" s="6" t="s">
        <v>533</v>
      </c>
      <c r="G435" s="6" t="s">
        <v>2939</v>
      </c>
      <c r="H435" s="6">
        <v>0.0</v>
      </c>
      <c r="I435" s="6">
        <v>0.0</v>
      </c>
      <c r="J435" s="6">
        <v>2.0</v>
      </c>
      <c r="K435" s="6">
        <v>0.0</v>
      </c>
      <c r="L435" s="6">
        <v>0.0</v>
      </c>
      <c r="M435" s="6">
        <v>0.0</v>
      </c>
      <c r="N435" s="669">
        <v>1350000.0</v>
      </c>
      <c r="O435" s="6">
        <v>0.0</v>
      </c>
      <c r="P435" s="6">
        <v>0.0</v>
      </c>
      <c r="Q435" s="6">
        <v>0.0</v>
      </c>
      <c r="R435" s="6">
        <v>0.0</v>
      </c>
      <c r="S435" s="6" t="s">
        <v>11590</v>
      </c>
      <c r="T435" s="6">
        <v>10.0</v>
      </c>
      <c r="U435" s="6">
        <v>0.0</v>
      </c>
    </row>
    <row r="436">
      <c r="A436" s="6" t="s">
        <v>2470</v>
      </c>
      <c r="B436" s="6" t="s">
        <v>11569</v>
      </c>
      <c r="C436" s="6" t="s">
        <v>11579</v>
      </c>
      <c r="D436" s="6" t="s">
        <v>41</v>
      </c>
      <c r="E436" s="6" t="s">
        <v>2471</v>
      </c>
      <c r="F436" s="6" t="s">
        <v>1377</v>
      </c>
      <c r="G436" s="6" t="s">
        <v>2939</v>
      </c>
      <c r="H436" s="6">
        <v>0.0</v>
      </c>
      <c r="I436" s="6">
        <v>0.0</v>
      </c>
      <c r="J436" s="6">
        <v>4.0</v>
      </c>
      <c r="K436" s="6">
        <v>0.0</v>
      </c>
      <c r="L436" s="6">
        <v>0.0</v>
      </c>
      <c r="M436" s="6">
        <v>0.0</v>
      </c>
      <c r="N436" s="669">
        <v>1200000.0</v>
      </c>
      <c r="O436" s="6">
        <v>0.0</v>
      </c>
      <c r="P436" s="6">
        <v>0.0</v>
      </c>
      <c r="Q436" s="6">
        <v>0.0</v>
      </c>
      <c r="R436" s="6">
        <v>0.0</v>
      </c>
      <c r="S436" s="6">
        <v>0.0</v>
      </c>
      <c r="T436" s="6">
        <v>0.0</v>
      </c>
      <c r="U436" s="6">
        <v>0.0</v>
      </c>
    </row>
    <row r="437">
      <c r="A437" s="6" t="s">
        <v>565</v>
      </c>
      <c r="B437" s="6" t="s">
        <v>11576</v>
      </c>
      <c r="C437" s="6" t="s">
        <v>11570</v>
      </c>
      <c r="D437" s="6" t="s">
        <v>22</v>
      </c>
      <c r="E437" s="6" t="s">
        <v>566</v>
      </c>
      <c r="F437" s="6" t="s">
        <v>125</v>
      </c>
      <c r="G437" s="6" t="s">
        <v>2939</v>
      </c>
      <c r="H437" s="6">
        <v>1.0</v>
      </c>
      <c r="I437" s="6">
        <v>0.0</v>
      </c>
      <c r="J437" s="6">
        <v>4.0</v>
      </c>
      <c r="K437" s="6">
        <v>1.0</v>
      </c>
      <c r="L437" s="6">
        <v>0.0</v>
      </c>
      <c r="M437" s="6">
        <v>0.0</v>
      </c>
      <c r="N437" s="669">
        <v>2280000.0</v>
      </c>
      <c r="O437" s="6">
        <v>0.0</v>
      </c>
      <c r="P437" s="6">
        <v>0.0</v>
      </c>
      <c r="Q437" s="6">
        <v>0.0</v>
      </c>
      <c r="R437" s="6">
        <v>0.0</v>
      </c>
      <c r="S437" s="6">
        <v>0.0</v>
      </c>
      <c r="T437" s="6">
        <v>0.0</v>
      </c>
      <c r="U437" s="6">
        <v>0.0</v>
      </c>
    </row>
    <row r="438">
      <c r="A438" s="6" t="s">
        <v>567</v>
      </c>
      <c r="B438" s="6" t="s">
        <v>11576</v>
      </c>
      <c r="C438" s="6" t="s">
        <v>11570</v>
      </c>
      <c r="D438" s="6" t="s">
        <v>22</v>
      </c>
      <c r="E438" s="6" t="s">
        <v>568</v>
      </c>
      <c r="F438" s="6" t="s">
        <v>125</v>
      </c>
      <c r="G438" s="6" t="s">
        <v>2939</v>
      </c>
      <c r="H438" s="6">
        <v>0.0</v>
      </c>
      <c r="I438" s="6">
        <v>0.0</v>
      </c>
      <c r="J438" s="6" t="s">
        <v>11590</v>
      </c>
      <c r="K438" s="6">
        <v>0.0</v>
      </c>
      <c r="L438" s="6">
        <v>0.0</v>
      </c>
      <c r="M438" s="6">
        <v>0.0</v>
      </c>
      <c r="N438" s="669">
        <v>2268000.0</v>
      </c>
      <c r="O438" s="6">
        <v>0.0</v>
      </c>
      <c r="P438" s="6">
        <v>0.0</v>
      </c>
      <c r="Q438" s="6">
        <v>0.0</v>
      </c>
      <c r="R438" s="6">
        <v>0.0</v>
      </c>
      <c r="S438" s="6">
        <v>0.0</v>
      </c>
      <c r="T438" s="6">
        <v>0.0</v>
      </c>
      <c r="U438" s="6">
        <v>0.0</v>
      </c>
    </row>
    <row r="439">
      <c r="A439" s="6" t="s">
        <v>569</v>
      </c>
      <c r="B439" s="6" t="s">
        <v>11576</v>
      </c>
      <c r="C439" s="6" t="s">
        <v>11579</v>
      </c>
      <c r="D439" s="6" t="s">
        <v>41</v>
      </c>
      <c r="E439" s="6" t="s">
        <v>568</v>
      </c>
      <c r="F439" s="6" t="s">
        <v>1377</v>
      </c>
      <c r="G439" s="6" t="s">
        <v>2939</v>
      </c>
      <c r="H439" s="6">
        <v>0.0</v>
      </c>
      <c r="I439" s="6">
        <v>0.0</v>
      </c>
      <c r="J439" s="6">
        <v>5.0</v>
      </c>
      <c r="K439" s="6">
        <v>0.0</v>
      </c>
      <c r="L439" s="6">
        <v>0.0</v>
      </c>
      <c r="M439" s="6">
        <v>0.0</v>
      </c>
      <c r="N439" s="669">
        <v>2088000.0</v>
      </c>
      <c r="O439" s="6">
        <v>0.0</v>
      </c>
      <c r="P439" s="6">
        <v>0.0</v>
      </c>
      <c r="Q439" s="6">
        <v>0.0</v>
      </c>
      <c r="R439" s="6">
        <v>0.0</v>
      </c>
      <c r="S439" s="6">
        <v>0.0</v>
      </c>
      <c r="T439" s="6">
        <v>0.0</v>
      </c>
      <c r="U439" s="6">
        <v>0.0</v>
      </c>
    </row>
    <row r="440">
      <c r="A440" s="6" t="s">
        <v>570</v>
      </c>
      <c r="B440" s="6" t="s">
        <v>11576</v>
      </c>
      <c r="C440" s="6" t="s">
        <v>11570</v>
      </c>
      <c r="D440" s="6" t="s">
        <v>22</v>
      </c>
      <c r="E440" s="6" t="s">
        <v>571</v>
      </c>
      <c r="F440" s="6" t="s">
        <v>125</v>
      </c>
      <c r="G440" s="6" t="s">
        <v>2939</v>
      </c>
      <c r="H440" s="6">
        <v>0.0</v>
      </c>
      <c r="I440" s="6">
        <v>0.0</v>
      </c>
      <c r="J440" s="6">
        <v>10.0</v>
      </c>
      <c r="K440" s="6">
        <v>0.0</v>
      </c>
      <c r="L440" s="6">
        <v>0.0</v>
      </c>
      <c r="M440" s="6">
        <v>0.0</v>
      </c>
      <c r="N440" s="669">
        <v>3361000.0</v>
      </c>
      <c r="O440" s="6">
        <v>0.0</v>
      </c>
      <c r="P440" s="6">
        <v>0.0</v>
      </c>
      <c r="Q440" s="6">
        <v>0.0</v>
      </c>
      <c r="R440" s="6">
        <v>0.0</v>
      </c>
      <c r="S440" s="6">
        <v>0.0</v>
      </c>
      <c r="T440" s="6">
        <v>0.0</v>
      </c>
      <c r="U440" s="6">
        <v>0.0</v>
      </c>
    </row>
    <row r="441">
      <c r="A441" s="6" t="s">
        <v>572</v>
      </c>
      <c r="B441" s="6" t="s">
        <v>11578</v>
      </c>
      <c r="C441" s="6" t="s">
        <v>11579</v>
      </c>
      <c r="D441" s="6" t="s">
        <v>41</v>
      </c>
      <c r="E441" s="6" t="s">
        <v>571</v>
      </c>
      <c r="F441" s="6" t="s">
        <v>1377</v>
      </c>
      <c r="G441" s="6" t="s">
        <v>2939</v>
      </c>
      <c r="H441" s="6">
        <v>8.0</v>
      </c>
      <c r="I441" s="6">
        <v>2.0</v>
      </c>
      <c r="J441" s="6">
        <v>0.0</v>
      </c>
      <c r="K441" s="6">
        <v>0.0</v>
      </c>
      <c r="L441" s="6">
        <v>0.0</v>
      </c>
      <c r="M441" s="6">
        <v>0.0</v>
      </c>
      <c r="N441" s="669">
        <v>2231000.0</v>
      </c>
      <c r="O441" s="6">
        <v>0.0</v>
      </c>
      <c r="P441" s="6">
        <v>0.0</v>
      </c>
      <c r="Q441" s="6">
        <v>0.0</v>
      </c>
      <c r="R441" s="6">
        <v>0.0</v>
      </c>
      <c r="S441" s="6">
        <v>0.0</v>
      </c>
      <c r="T441" s="6">
        <v>0.0</v>
      </c>
      <c r="U441" s="6">
        <v>0.0</v>
      </c>
    </row>
    <row r="442">
      <c r="A442" s="6" t="s">
        <v>11746</v>
      </c>
      <c r="E442" s="6" t="s">
        <v>11746</v>
      </c>
      <c r="N442" s="668"/>
    </row>
    <row r="443">
      <c r="A443" s="6" t="s">
        <v>2405</v>
      </c>
      <c r="B443" s="6" t="s">
        <v>11653</v>
      </c>
      <c r="C443" s="6" t="s">
        <v>11570</v>
      </c>
      <c r="D443" s="6" t="s">
        <v>22</v>
      </c>
      <c r="E443" s="6" t="s">
        <v>40</v>
      </c>
      <c r="G443" s="6" t="s">
        <v>2939</v>
      </c>
      <c r="H443" s="6">
        <v>0.0</v>
      </c>
      <c r="I443" s="6">
        <v>0.0</v>
      </c>
      <c r="J443" s="6">
        <v>0.0</v>
      </c>
      <c r="K443" s="6">
        <v>0.0</v>
      </c>
      <c r="L443" s="6" t="s">
        <v>11590</v>
      </c>
      <c r="M443" s="6">
        <v>10.0</v>
      </c>
      <c r="N443" s="669">
        <v>1439000.0</v>
      </c>
      <c r="O443" s="6">
        <v>0.0</v>
      </c>
      <c r="P443" s="6">
        <v>0.0</v>
      </c>
      <c r="Q443" s="6">
        <v>0.0</v>
      </c>
      <c r="R443" s="6">
        <v>0.0</v>
      </c>
      <c r="S443" s="6">
        <v>0.0</v>
      </c>
      <c r="T443" s="6">
        <v>0.0</v>
      </c>
      <c r="U443" s="6">
        <v>0.0</v>
      </c>
    </row>
    <row r="444">
      <c r="A444" s="6" t="s">
        <v>1786</v>
      </c>
      <c r="B444" s="6" t="s">
        <v>11569</v>
      </c>
      <c r="C444" s="6" t="s">
        <v>11570</v>
      </c>
      <c r="D444" s="6" t="s">
        <v>22</v>
      </c>
      <c r="E444" s="6" t="s">
        <v>11747</v>
      </c>
      <c r="F444" s="6" t="s">
        <v>125</v>
      </c>
      <c r="G444" s="6" t="s">
        <v>2939</v>
      </c>
      <c r="H444" s="6">
        <v>0.0</v>
      </c>
      <c r="I444" s="6">
        <v>0.0</v>
      </c>
      <c r="J444" s="6">
        <v>4.0</v>
      </c>
      <c r="K444" s="6" t="s">
        <v>11590</v>
      </c>
      <c r="L444" s="6">
        <v>0.0</v>
      </c>
      <c r="M444" s="6">
        <v>0.0</v>
      </c>
      <c r="N444" s="669">
        <v>1648000.0</v>
      </c>
      <c r="O444" s="6">
        <v>0.0</v>
      </c>
      <c r="P444" s="6">
        <v>0.0</v>
      </c>
      <c r="Q444" s="6">
        <v>0.0</v>
      </c>
      <c r="R444" s="6">
        <v>0.0</v>
      </c>
      <c r="S444" s="6">
        <v>0.0</v>
      </c>
      <c r="T444" s="6">
        <v>0.0</v>
      </c>
      <c r="U444" s="6">
        <v>0.0</v>
      </c>
    </row>
    <row r="445">
      <c r="A445" s="6" t="s">
        <v>2489</v>
      </c>
      <c r="B445" s="6" t="s">
        <v>11569</v>
      </c>
      <c r="C445" s="6" t="s">
        <v>11570</v>
      </c>
      <c r="D445" s="6" t="s">
        <v>22</v>
      </c>
      <c r="E445" s="6" t="s">
        <v>2490</v>
      </c>
      <c r="F445" s="6" t="s">
        <v>125</v>
      </c>
      <c r="G445" s="6" t="s">
        <v>2939</v>
      </c>
      <c r="H445" s="6">
        <v>0.0</v>
      </c>
      <c r="I445" s="6">
        <v>0.0</v>
      </c>
      <c r="J445" s="6" t="s">
        <v>11590</v>
      </c>
      <c r="K445" s="6" t="s">
        <v>11590</v>
      </c>
      <c r="L445" s="6">
        <v>0.0</v>
      </c>
      <c r="M445" s="6">
        <v>0.0</v>
      </c>
      <c r="N445" s="669">
        <v>1500000.0</v>
      </c>
      <c r="O445" s="6">
        <v>0.0</v>
      </c>
      <c r="P445" s="6">
        <v>0.0</v>
      </c>
      <c r="Q445" s="6">
        <v>0.0</v>
      </c>
      <c r="R445" s="6">
        <v>0.0</v>
      </c>
      <c r="S445" s="6">
        <v>0.0</v>
      </c>
      <c r="T445" s="6">
        <v>0.0</v>
      </c>
      <c r="U445" s="6">
        <v>0.0</v>
      </c>
    </row>
    <row r="446">
      <c r="A446" s="6" t="s">
        <v>573</v>
      </c>
      <c r="B446" s="6" t="s">
        <v>11576</v>
      </c>
      <c r="C446" s="6" t="s">
        <v>11570</v>
      </c>
      <c r="D446" s="6" t="s">
        <v>22</v>
      </c>
      <c r="E446" s="6" t="s">
        <v>11748</v>
      </c>
      <c r="F446" s="6" t="s">
        <v>125</v>
      </c>
      <c r="G446" s="6" t="s">
        <v>2939</v>
      </c>
      <c r="H446" s="6">
        <v>0.0</v>
      </c>
      <c r="I446" s="6">
        <v>0.0</v>
      </c>
      <c r="J446" s="6">
        <v>5.0</v>
      </c>
      <c r="K446" s="6">
        <v>1.0</v>
      </c>
      <c r="L446" s="6">
        <v>0.0</v>
      </c>
      <c r="M446" s="6">
        <v>0.0</v>
      </c>
      <c r="N446" s="669">
        <v>1664000.0</v>
      </c>
      <c r="O446" s="6">
        <v>0.0</v>
      </c>
      <c r="P446" s="6">
        <v>0.0</v>
      </c>
      <c r="Q446" s="6">
        <v>0.0</v>
      </c>
      <c r="R446" s="6">
        <v>0.0</v>
      </c>
      <c r="S446" s="6">
        <v>0.0</v>
      </c>
      <c r="T446" s="6">
        <v>0.0</v>
      </c>
      <c r="U446" s="6">
        <v>0.0</v>
      </c>
    </row>
    <row r="447">
      <c r="A447" s="6" t="s">
        <v>1423</v>
      </c>
      <c r="B447" s="6" t="s">
        <v>11653</v>
      </c>
      <c r="C447" s="6" t="s">
        <v>11570</v>
      </c>
      <c r="D447" s="6" t="s">
        <v>22</v>
      </c>
      <c r="E447" s="6" t="s">
        <v>1840</v>
      </c>
      <c r="G447" s="6" t="s">
        <v>2939</v>
      </c>
      <c r="H447" s="6">
        <v>0.0</v>
      </c>
      <c r="I447" s="6">
        <v>0.0</v>
      </c>
      <c r="J447" s="6">
        <v>0.0</v>
      </c>
      <c r="K447" s="6">
        <v>0.0</v>
      </c>
      <c r="L447" s="6">
        <v>8.0</v>
      </c>
      <c r="M447" s="6">
        <v>10.0</v>
      </c>
      <c r="N447" s="669">
        <v>885000.0</v>
      </c>
      <c r="O447" s="6">
        <v>10.0</v>
      </c>
      <c r="P447" s="6">
        <v>0.0</v>
      </c>
      <c r="Q447" s="6">
        <v>0.0</v>
      </c>
      <c r="R447" s="6">
        <v>0.0</v>
      </c>
      <c r="S447" s="6">
        <v>0.0</v>
      </c>
      <c r="T447" s="6">
        <v>0.0</v>
      </c>
      <c r="U447" s="6">
        <v>0.0</v>
      </c>
    </row>
    <row r="448">
      <c r="A448" s="6" t="s">
        <v>1780</v>
      </c>
      <c r="B448" s="6" t="s">
        <v>11569</v>
      </c>
      <c r="C448" s="6" t="s">
        <v>11570</v>
      </c>
      <c r="D448" s="6" t="s">
        <v>22</v>
      </c>
      <c r="E448" s="6" t="s">
        <v>1781</v>
      </c>
      <c r="G448" s="6" t="s">
        <v>2939</v>
      </c>
      <c r="H448" s="6">
        <v>0.0</v>
      </c>
      <c r="I448" s="6">
        <v>0.0</v>
      </c>
      <c r="J448" s="6">
        <v>6.0</v>
      </c>
      <c r="K448" s="6">
        <v>0.0</v>
      </c>
      <c r="L448" s="6">
        <v>0.0</v>
      </c>
      <c r="M448" s="6">
        <v>0.0</v>
      </c>
      <c r="N448" s="669">
        <v>938000.0</v>
      </c>
      <c r="O448" s="6">
        <v>0.0</v>
      </c>
      <c r="P448" s="6">
        <v>0.0</v>
      </c>
      <c r="Q448" s="6">
        <v>0.0</v>
      </c>
      <c r="R448" s="6">
        <v>0.0</v>
      </c>
      <c r="S448" s="6" t="s">
        <v>11590</v>
      </c>
      <c r="T448" s="6" t="s">
        <v>11590</v>
      </c>
      <c r="U448" s="6">
        <v>0.0</v>
      </c>
    </row>
    <row r="449">
      <c r="A449" s="6" t="s">
        <v>11749</v>
      </c>
      <c r="E449" s="6" t="s">
        <v>11749</v>
      </c>
      <c r="N449" s="668"/>
    </row>
    <row r="450">
      <c r="A450" s="6" t="s">
        <v>1548</v>
      </c>
      <c r="B450" s="6" t="s">
        <v>11569</v>
      </c>
      <c r="C450" s="6" t="s">
        <v>11570</v>
      </c>
      <c r="D450" s="6" t="s">
        <v>22</v>
      </c>
      <c r="E450" s="6" t="s">
        <v>11750</v>
      </c>
      <c r="F450" s="6" t="s">
        <v>75</v>
      </c>
      <c r="G450" s="6" t="s">
        <v>2939</v>
      </c>
      <c r="H450" s="6">
        <v>0.0</v>
      </c>
      <c r="I450" s="6">
        <v>0.0</v>
      </c>
      <c r="J450" s="6">
        <v>2.0</v>
      </c>
      <c r="K450" s="6">
        <v>0.0</v>
      </c>
      <c r="L450" s="6">
        <v>0.0</v>
      </c>
      <c r="M450" s="6">
        <v>0.0</v>
      </c>
      <c r="N450" s="669">
        <v>7390000.0</v>
      </c>
      <c r="O450" s="6">
        <v>0.0</v>
      </c>
      <c r="P450" s="6">
        <v>0.0</v>
      </c>
      <c r="Q450" s="6">
        <v>0.0</v>
      </c>
      <c r="R450" s="6">
        <v>0.0</v>
      </c>
      <c r="S450" s="6">
        <v>0.0</v>
      </c>
      <c r="T450" s="6">
        <v>0.0</v>
      </c>
      <c r="U450" s="6">
        <v>0.0</v>
      </c>
    </row>
    <row r="451">
      <c r="A451" s="6" t="s">
        <v>11751</v>
      </c>
      <c r="E451" s="6" t="s">
        <v>11751</v>
      </c>
      <c r="N451" s="668"/>
    </row>
    <row r="452">
      <c r="A452" s="6" t="s">
        <v>1959</v>
      </c>
      <c r="B452" s="6" t="s">
        <v>11653</v>
      </c>
      <c r="C452" s="6" t="s">
        <v>11570</v>
      </c>
      <c r="D452" s="6" t="s">
        <v>22</v>
      </c>
      <c r="E452" s="6" t="s">
        <v>1960</v>
      </c>
      <c r="G452" s="6" t="s">
        <v>2939</v>
      </c>
      <c r="H452" s="6">
        <v>0.0</v>
      </c>
      <c r="I452" s="6">
        <v>0.0</v>
      </c>
      <c r="J452" s="6">
        <v>0.0</v>
      </c>
      <c r="K452" s="6">
        <v>0.0</v>
      </c>
      <c r="L452" s="6">
        <v>0.0</v>
      </c>
      <c r="M452" s="6">
        <v>0.0</v>
      </c>
      <c r="N452" s="669">
        <v>1199000.0</v>
      </c>
      <c r="O452" s="6">
        <v>10.0</v>
      </c>
      <c r="P452" s="6">
        <v>0.0</v>
      </c>
      <c r="Q452" s="6">
        <v>0.0</v>
      </c>
      <c r="R452" s="6">
        <v>0.0</v>
      </c>
      <c r="S452" s="6">
        <v>0.0</v>
      </c>
      <c r="T452" s="6">
        <v>0.0</v>
      </c>
      <c r="U452" s="6">
        <v>0.0</v>
      </c>
    </row>
    <row r="453">
      <c r="A453" s="6" t="s">
        <v>1726</v>
      </c>
      <c r="B453" s="6" t="s">
        <v>11653</v>
      </c>
      <c r="C453" s="6" t="s">
        <v>11570</v>
      </c>
      <c r="D453" s="6" t="s">
        <v>22</v>
      </c>
      <c r="E453" s="6" t="s">
        <v>1727</v>
      </c>
      <c r="G453" s="6" t="s">
        <v>2939</v>
      </c>
      <c r="H453" s="6">
        <v>0.0</v>
      </c>
      <c r="I453" s="6">
        <v>0.0</v>
      </c>
      <c r="J453" s="6">
        <v>0.0</v>
      </c>
      <c r="K453" s="6">
        <v>0.0</v>
      </c>
      <c r="L453" s="6" t="s">
        <v>11590</v>
      </c>
      <c r="M453" s="6">
        <v>0.0</v>
      </c>
      <c r="N453" s="669">
        <v>1559000.0</v>
      </c>
      <c r="O453" s="6">
        <v>0.0</v>
      </c>
      <c r="P453" s="6">
        <v>0.0</v>
      </c>
      <c r="Q453" s="6">
        <v>0.0</v>
      </c>
      <c r="R453" s="6">
        <v>0.0</v>
      </c>
      <c r="S453" s="6">
        <v>0.0</v>
      </c>
      <c r="T453" s="6">
        <v>0.0</v>
      </c>
      <c r="U453" s="6">
        <v>0.0</v>
      </c>
    </row>
    <row r="454">
      <c r="A454" s="6" t="s">
        <v>11752</v>
      </c>
      <c r="B454" s="6" t="s">
        <v>11569</v>
      </c>
      <c r="C454" s="6" t="s">
        <v>11570</v>
      </c>
      <c r="D454" s="6" t="s">
        <v>22</v>
      </c>
      <c r="E454" s="6" t="s">
        <v>11753</v>
      </c>
      <c r="F454" s="6" t="s">
        <v>804</v>
      </c>
      <c r="G454" s="6" t="s">
        <v>2939</v>
      </c>
      <c r="H454" s="6">
        <v>0.0</v>
      </c>
      <c r="I454" s="6">
        <v>0.0</v>
      </c>
      <c r="J454" s="6">
        <v>0.0</v>
      </c>
      <c r="K454" s="6">
        <v>0.0</v>
      </c>
      <c r="L454" s="6">
        <v>0.0</v>
      </c>
      <c r="M454" s="6">
        <v>0.0</v>
      </c>
      <c r="N454" s="669">
        <v>6000000.0</v>
      </c>
      <c r="O454" s="6">
        <v>0.0</v>
      </c>
      <c r="P454" s="6">
        <v>0.0</v>
      </c>
      <c r="Q454" s="6">
        <v>0.0</v>
      </c>
      <c r="R454" s="6">
        <v>0.0</v>
      </c>
      <c r="S454" s="6">
        <v>0.0</v>
      </c>
      <c r="T454" s="6">
        <v>0.0</v>
      </c>
      <c r="U454" s="6">
        <v>0.0</v>
      </c>
    </row>
    <row r="455">
      <c r="A455" s="6" t="s">
        <v>1550</v>
      </c>
      <c r="B455" s="6" t="s">
        <v>11569</v>
      </c>
      <c r="C455" s="6" t="s">
        <v>11579</v>
      </c>
      <c r="D455" s="6" t="s">
        <v>41</v>
      </c>
      <c r="E455" s="6" t="s">
        <v>1551</v>
      </c>
      <c r="G455" s="6" t="s">
        <v>2939</v>
      </c>
      <c r="H455" s="6">
        <v>0.0</v>
      </c>
      <c r="I455" s="6">
        <v>0.0</v>
      </c>
      <c r="J455" s="6">
        <v>2.0</v>
      </c>
      <c r="K455" s="6">
        <v>0.0</v>
      </c>
      <c r="L455" s="6">
        <v>0.0</v>
      </c>
      <c r="M455" s="6">
        <v>0.0</v>
      </c>
      <c r="N455" s="669">
        <v>6000000.0</v>
      </c>
      <c r="O455" s="6">
        <v>0.0</v>
      </c>
      <c r="P455" s="6">
        <v>0.0</v>
      </c>
      <c r="Q455" s="6">
        <v>0.0</v>
      </c>
      <c r="R455" s="6">
        <v>0.0</v>
      </c>
      <c r="S455" s="6">
        <v>0.0</v>
      </c>
      <c r="T455" s="6">
        <v>0.0</v>
      </c>
      <c r="U455" s="6">
        <v>0.0</v>
      </c>
    </row>
    <row r="456">
      <c r="A456" s="6" t="s">
        <v>575</v>
      </c>
      <c r="B456" s="6" t="s">
        <v>11576</v>
      </c>
      <c r="C456" s="6" t="s">
        <v>11570</v>
      </c>
      <c r="D456" s="6" t="s">
        <v>22</v>
      </c>
      <c r="E456" s="6" t="s">
        <v>11754</v>
      </c>
      <c r="F456" s="6" t="s">
        <v>125</v>
      </c>
      <c r="G456" s="6" t="s">
        <v>2939</v>
      </c>
      <c r="H456" s="6">
        <v>0.0</v>
      </c>
      <c r="I456" s="6">
        <v>0.0</v>
      </c>
      <c r="J456" s="6">
        <v>0.0</v>
      </c>
      <c r="K456" s="6">
        <v>0.0</v>
      </c>
      <c r="L456" s="6">
        <v>0.0</v>
      </c>
      <c r="M456" s="6">
        <v>0.0</v>
      </c>
      <c r="N456" s="669">
        <v>3881000.0</v>
      </c>
      <c r="O456" s="6">
        <v>0.0</v>
      </c>
      <c r="P456" s="6">
        <v>0.0</v>
      </c>
      <c r="Q456" s="6">
        <v>0.0</v>
      </c>
      <c r="R456" s="6">
        <v>0.0</v>
      </c>
      <c r="S456" s="6">
        <v>5.0</v>
      </c>
      <c r="T456" s="6">
        <v>0.0</v>
      </c>
      <c r="U456" s="6">
        <v>0.0</v>
      </c>
    </row>
    <row r="457">
      <c r="A457" s="6" t="s">
        <v>1552</v>
      </c>
      <c r="B457" s="6" t="s">
        <v>11569</v>
      </c>
      <c r="C457" s="6" t="s">
        <v>11579</v>
      </c>
      <c r="D457" s="6" t="s">
        <v>41</v>
      </c>
      <c r="E457" s="6" t="s">
        <v>11755</v>
      </c>
      <c r="F457" s="6" t="s">
        <v>11641</v>
      </c>
      <c r="G457" s="6" t="s">
        <v>2939</v>
      </c>
      <c r="H457" s="6">
        <v>0.0</v>
      </c>
      <c r="I457" s="6">
        <v>0.0</v>
      </c>
      <c r="J457" s="6">
        <v>4.0</v>
      </c>
      <c r="K457" s="6">
        <v>0.0</v>
      </c>
      <c r="L457" s="6">
        <v>0.0</v>
      </c>
      <c r="M457" s="6">
        <v>0.0</v>
      </c>
      <c r="N457" s="669">
        <v>6900000.0</v>
      </c>
      <c r="O457" s="6">
        <v>0.0</v>
      </c>
      <c r="P457" s="6">
        <v>0.0</v>
      </c>
      <c r="Q457" s="6">
        <v>0.0</v>
      </c>
      <c r="R457" s="6">
        <v>0.0</v>
      </c>
      <c r="S457" s="6">
        <v>0.0</v>
      </c>
      <c r="T457" s="6">
        <v>0.0</v>
      </c>
      <c r="U457" s="6">
        <v>0.0</v>
      </c>
    </row>
    <row r="458">
      <c r="A458" s="6" t="s">
        <v>1554</v>
      </c>
      <c r="B458" s="6" t="s">
        <v>11569</v>
      </c>
      <c r="C458" s="6" t="s">
        <v>11579</v>
      </c>
      <c r="D458" s="6" t="s">
        <v>41</v>
      </c>
      <c r="E458" s="6" t="s">
        <v>1555</v>
      </c>
      <c r="F458" s="6" t="s">
        <v>11756</v>
      </c>
      <c r="G458" s="6" t="s">
        <v>2939</v>
      </c>
      <c r="H458" s="6">
        <v>0.0</v>
      </c>
      <c r="I458" s="6">
        <v>0.0</v>
      </c>
      <c r="J458" s="6">
        <v>2.0</v>
      </c>
      <c r="K458" s="6">
        <v>0.0</v>
      </c>
      <c r="L458" s="6">
        <v>0.0</v>
      </c>
      <c r="M458" s="6">
        <v>0.0</v>
      </c>
      <c r="N458" s="669">
        <v>6900000.0</v>
      </c>
      <c r="O458" s="6">
        <v>0.0</v>
      </c>
      <c r="P458" s="6">
        <v>0.0</v>
      </c>
      <c r="Q458" s="6">
        <v>0.0</v>
      </c>
      <c r="R458" s="6">
        <v>0.0</v>
      </c>
      <c r="S458" s="6">
        <v>0.0</v>
      </c>
      <c r="T458" s="6">
        <v>0.0</v>
      </c>
      <c r="U458" s="6">
        <v>0.0</v>
      </c>
    </row>
    <row r="459">
      <c r="A459" s="6" t="s">
        <v>1788</v>
      </c>
      <c r="B459" s="6" t="s">
        <v>11569</v>
      </c>
      <c r="C459" s="6" t="s">
        <v>11570</v>
      </c>
      <c r="D459" s="6" t="s">
        <v>22</v>
      </c>
      <c r="E459" s="6" t="s">
        <v>1789</v>
      </c>
      <c r="F459" s="6" t="s">
        <v>125</v>
      </c>
      <c r="G459" s="6" t="s">
        <v>2939</v>
      </c>
      <c r="H459" s="6">
        <v>0.0</v>
      </c>
      <c r="I459" s="6">
        <v>0.0</v>
      </c>
      <c r="J459" s="6">
        <v>5.0</v>
      </c>
      <c r="K459" s="6">
        <v>0.0</v>
      </c>
      <c r="L459" s="6">
        <v>0.0</v>
      </c>
      <c r="M459" s="6">
        <v>0.0</v>
      </c>
      <c r="N459" s="669">
        <v>4311000.0</v>
      </c>
      <c r="O459" s="6">
        <v>0.0</v>
      </c>
      <c r="P459" s="6">
        <v>0.0</v>
      </c>
      <c r="Q459" s="6">
        <v>0.0</v>
      </c>
      <c r="R459" s="6">
        <v>0.0</v>
      </c>
      <c r="S459" s="6">
        <v>0.0</v>
      </c>
      <c r="T459" s="6">
        <v>0.0</v>
      </c>
      <c r="U459" s="6">
        <v>0.0</v>
      </c>
    </row>
    <row r="460">
      <c r="A460" s="6" t="s">
        <v>1558</v>
      </c>
      <c r="B460" s="6" t="s">
        <v>11569</v>
      </c>
      <c r="C460" s="6" t="s">
        <v>11579</v>
      </c>
      <c r="D460" s="6" t="s">
        <v>41</v>
      </c>
      <c r="E460" s="6" t="s">
        <v>1559</v>
      </c>
      <c r="F460" s="6" t="s">
        <v>2193</v>
      </c>
      <c r="G460" s="6" t="s">
        <v>2939</v>
      </c>
      <c r="H460" s="6">
        <v>0.0</v>
      </c>
      <c r="I460" s="6">
        <v>0.0</v>
      </c>
      <c r="J460" s="6">
        <v>4.0</v>
      </c>
      <c r="K460" s="6">
        <v>0.0</v>
      </c>
      <c r="L460" s="6">
        <v>0.0</v>
      </c>
      <c r="M460" s="6">
        <v>0.0</v>
      </c>
      <c r="N460" s="669">
        <v>7100000.0</v>
      </c>
      <c r="O460" s="6">
        <v>0.0</v>
      </c>
      <c r="P460" s="6">
        <v>0.0</v>
      </c>
      <c r="Q460" s="6">
        <v>0.0</v>
      </c>
      <c r="R460" s="6">
        <v>0.0</v>
      </c>
      <c r="S460" s="6">
        <v>0.0</v>
      </c>
      <c r="T460" s="6">
        <v>0.0</v>
      </c>
      <c r="U460" s="6">
        <v>0.0</v>
      </c>
    </row>
    <row r="461">
      <c r="A461" s="6" t="s">
        <v>11757</v>
      </c>
      <c r="E461" s="6" t="s">
        <v>11757</v>
      </c>
      <c r="N461" s="668"/>
    </row>
    <row r="462">
      <c r="A462" s="6" t="s">
        <v>577</v>
      </c>
      <c r="B462" s="6" t="s">
        <v>11576</v>
      </c>
      <c r="C462" s="6" t="s">
        <v>11579</v>
      </c>
      <c r="D462" s="6" t="s">
        <v>41</v>
      </c>
      <c r="E462" s="6" t="s">
        <v>578</v>
      </c>
      <c r="F462" s="6" t="s">
        <v>2193</v>
      </c>
      <c r="G462" s="6" t="s">
        <v>2939</v>
      </c>
      <c r="H462" s="6">
        <v>0.0</v>
      </c>
      <c r="I462" s="6">
        <v>0.0</v>
      </c>
      <c r="J462" s="6">
        <v>1.0</v>
      </c>
      <c r="K462" s="6">
        <v>1.0</v>
      </c>
      <c r="L462" s="6">
        <v>0.0</v>
      </c>
      <c r="M462" s="6">
        <v>0.0</v>
      </c>
      <c r="N462" s="669">
        <v>1961000.0</v>
      </c>
      <c r="O462" s="6">
        <v>0.0</v>
      </c>
      <c r="P462" s="6">
        <v>0.0</v>
      </c>
      <c r="Q462" s="6">
        <v>0.0</v>
      </c>
      <c r="R462" s="6">
        <v>0.0</v>
      </c>
      <c r="S462" s="6">
        <v>0.0</v>
      </c>
      <c r="T462" s="6">
        <v>0.0</v>
      </c>
      <c r="U462" s="6">
        <v>0.0</v>
      </c>
    </row>
    <row r="463">
      <c r="A463" s="6" t="s">
        <v>579</v>
      </c>
      <c r="B463" s="6" t="s">
        <v>11576</v>
      </c>
      <c r="C463" s="6" t="s">
        <v>11570</v>
      </c>
      <c r="D463" s="6" t="s">
        <v>22</v>
      </c>
      <c r="E463" s="6" t="s">
        <v>580</v>
      </c>
      <c r="F463" s="6" t="s">
        <v>125</v>
      </c>
      <c r="G463" s="6" t="s">
        <v>2939</v>
      </c>
      <c r="H463" s="6">
        <v>0.0</v>
      </c>
      <c r="I463" s="6">
        <v>0.0</v>
      </c>
      <c r="J463" s="6">
        <v>5.0</v>
      </c>
      <c r="K463" s="6">
        <v>0.0</v>
      </c>
      <c r="L463" s="6">
        <v>0.0</v>
      </c>
      <c r="M463" s="6">
        <v>0.0</v>
      </c>
      <c r="N463" s="669">
        <v>1373000.0</v>
      </c>
      <c r="O463" s="6">
        <v>0.0</v>
      </c>
      <c r="P463" s="6">
        <v>0.0</v>
      </c>
      <c r="Q463" s="6">
        <v>0.0</v>
      </c>
      <c r="R463" s="6">
        <v>0.0</v>
      </c>
      <c r="S463" s="6">
        <v>10.0</v>
      </c>
      <c r="T463" s="6">
        <v>0.0</v>
      </c>
      <c r="U463" s="6">
        <v>0.0</v>
      </c>
    </row>
    <row r="464">
      <c r="A464" s="6" t="s">
        <v>581</v>
      </c>
      <c r="B464" s="6" t="s">
        <v>11578</v>
      </c>
      <c r="C464" s="6" t="s">
        <v>11579</v>
      </c>
      <c r="D464" s="6" t="s">
        <v>41</v>
      </c>
      <c r="E464" s="6" t="s">
        <v>582</v>
      </c>
      <c r="F464" s="6" t="s">
        <v>2193</v>
      </c>
      <c r="G464" s="6" t="s">
        <v>2939</v>
      </c>
      <c r="H464" s="6">
        <v>2.0</v>
      </c>
      <c r="I464" s="6">
        <v>2.0</v>
      </c>
      <c r="J464" s="6">
        <v>0.0</v>
      </c>
      <c r="K464" s="6">
        <v>0.0</v>
      </c>
      <c r="L464" s="6">
        <v>0.0</v>
      </c>
      <c r="M464" s="6">
        <v>0.0</v>
      </c>
      <c r="N464" s="669">
        <v>2602000.0</v>
      </c>
      <c r="O464" s="6">
        <v>0.0</v>
      </c>
      <c r="P464" s="6">
        <v>0.0</v>
      </c>
      <c r="Q464" s="6">
        <v>0.0</v>
      </c>
      <c r="R464" s="6">
        <v>0.0</v>
      </c>
      <c r="S464" s="6">
        <v>0.0</v>
      </c>
      <c r="T464" s="6">
        <v>0.0</v>
      </c>
      <c r="U464" s="6">
        <v>0.0</v>
      </c>
    </row>
    <row r="465">
      <c r="A465" s="6" t="s">
        <v>583</v>
      </c>
      <c r="B465" s="6" t="s">
        <v>11578</v>
      </c>
      <c r="C465" s="6" t="s">
        <v>11579</v>
      </c>
      <c r="D465" s="6" t="s">
        <v>41</v>
      </c>
      <c r="E465" s="6" t="s">
        <v>584</v>
      </c>
      <c r="F465" s="6" t="s">
        <v>1377</v>
      </c>
      <c r="G465" s="6" t="s">
        <v>2939</v>
      </c>
      <c r="H465" s="6" t="s">
        <v>11590</v>
      </c>
      <c r="I465" s="6">
        <v>1.0</v>
      </c>
      <c r="J465" s="6">
        <v>0.0</v>
      </c>
      <c r="K465" s="6">
        <v>0.0</v>
      </c>
      <c r="L465" s="6">
        <v>0.0</v>
      </c>
      <c r="M465" s="6">
        <v>0.0</v>
      </c>
      <c r="N465" s="669">
        <v>2892000.0</v>
      </c>
      <c r="O465" s="6">
        <v>0.0</v>
      </c>
      <c r="P465" s="6">
        <v>0.0</v>
      </c>
      <c r="Q465" s="6">
        <v>0.0</v>
      </c>
      <c r="R465" s="6">
        <v>0.0</v>
      </c>
      <c r="S465" s="6">
        <v>0.0</v>
      </c>
      <c r="T465" s="6">
        <v>0.0</v>
      </c>
      <c r="U465" s="6">
        <v>0.0</v>
      </c>
    </row>
    <row r="466">
      <c r="A466" s="6" t="s">
        <v>1560</v>
      </c>
      <c r="B466" s="6" t="s">
        <v>11569</v>
      </c>
      <c r="C466" s="6" t="s">
        <v>11570</v>
      </c>
      <c r="D466" s="6" t="s">
        <v>22</v>
      </c>
      <c r="E466" s="6" t="s">
        <v>11758</v>
      </c>
      <c r="F466" s="6" t="s">
        <v>737</v>
      </c>
      <c r="G466" s="6" t="s">
        <v>2939</v>
      </c>
      <c r="H466" s="6">
        <v>0.0</v>
      </c>
      <c r="I466" s="6">
        <v>0.0</v>
      </c>
      <c r="J466" s="6">
        <v>3.0</v>
      </c>
      <c r="K466" s="6">
        <v>1.0</v>
      </c>
      <c r="L466" s="6">
        <v>0.0</v>
      </c>
      <c r="M466" s="6">
        <v>0.0</v>
      </c>
      <c r="N466" s="669">
        <v>3695000.0</v>
      </c>
      <c r="O466" s="6">
        <v>0.0</v>
      </c>
      <c r="P466" s="6">
        <v>0.0</v>
      </c>
      <c r="Q466" s="6">
        <v>0.0</v>
      </c>
      <c r="R466" s="6">
        <v>0.0</v>
      </c>
      <c r="S466" s="6">
        <v>0.0</v>
      </c>
      <c r="T466" s="6">
        <v>0.0</v>
      </c>
      <c r="U466" s="6">
        <v>0.0</v>
      </c>
    </row>
    <row r="467">
      <c r="A467" s="6" t="s">
        <v>1562</v>
      </c>
      <c r="B467" s="6" t="s">
        <v>11569</v>
      </c>
      <c r="C467" s="6" t="s">
        <v>11579</v>
      </c>
      <c r="D467" s="6" t="s">
        <v>41</v>
      </c>
      <c r="E467" s="6" t="s">
        <v>11758</v>
      </c>
      <c r="F467" s="6" t="s">
        <v>1377</v>
      </c>
      <c r="G467" s="6" t="s">
        <v>2939</v>
      </c>
      <c r="H467" s="6">
        <v>0.0</v>
      </c>
      <c r="I467" s="6">
        <v>0.0</v>
      </c>
      <c r="J467" s="6">
        <v>0.0</v>
      </c>
      <c r="K467" s="6">
        <v>2.0</v>
      </c>
      <c r="L467" s="6">
        <v>0.0</v>
      </c>
      <c r="M467" s="6">
        <v>0.0</v>
      </c>
      <c r="N467" s="669">
        <v>2414000.0</v>
      </c>
      <c r="O467" s="6">
        <v>0.0</v>
      </c>
      <c r="P467" s="6">
        <v>0.0</v>
      </c>
      <c r="Q467" s="6">
        <v>0.0</v>
      </c>
      <c r="R467" s="6">
        <v>0.0</v>
      </c>
      <c r="S467" s="6">
        <v>0.0</v>
      </c>
      <c r="T467" s="6">
        <v>0.0</v>
      </c>
      <c r="U467" s="6">
        <v>0.0</v>
      </c>
    </row>
    <row r="468">
      <c r="A468" s="6" t="s">
        <v>1563</v>
      </c>
      <c r="B468" s="6" t="s">
        <v>11654</v>
      </c>
      <c r="C468" s="6" t="s">
        <v>11570</v>
      </c>
      <c r="D468" s="6" t="s">
        <v>22</v>
      </c>
      <c r="E468" s="6" t="s">
        <v>1564</v>
      </c>
      <c r="F468" s="6" t="s">
        <v>125</v>
      </c>
      <c r="G468" s="6" t="s">
        <v>2939</v>
      </c>
      <c r="H468" s="6">
        <v>0.0</v>
      </c>
      <c r="I468" s="6">
        <v>0.0</v>
      </c>
      <c r="J468" s="6">
        <v>0.0</v>
      </c>
      <c r="K468" s="6">
        <v>0.0</v>
      </c>
      <c r="L468" s="6">
        <v>9.0</v>
      </c>
      <c r="M468" s="6">
        <v>1.0</v>
      </c>
      <c r="N468" s="669">
        <v>2332000.0</v>
      </c>
      <c r="O468" s="6">
        <v>0.0</v>
      </c>
      <c r="P468" s="6">
        <v>0.0</v>
      </c>
      <c r="Q468" s="6">
        <v>0.0</v>
      </c>
      <c r="R468" s="6">
        <v>0.0</v>
      </c>
      <c r="S468" s="6">
        <v>0.0</v>
      </c>
      <c r="T468" s="6">
        <v>0.0</v>
      </c>
      <c r="U468" s="6">
        <v>0.0</v>
      </c>
    </row>
    <row r="469">
      <c r="A469" s="6" t="s">
        <v>1565</v>
      </c>
      <c r="B469" s="6" t="s">
        <v>11569</v>
      </c>
      <c r="C469" s="6" t="s">
        <v>11579</v>
      </c>
      <c r="D469" s="6" t="s">
        <v>41</v>
      </c>
      <c r="E469" s="6" t="s">
        <v>1564</v>
      </c>
      <c r="F469" s="6" t="s">
        <v>2193</v>
      </c>
      <c r="G469" s="6" t="s">
        <v>2939</v>
      </c>
      <c r="H469" s="6">
        <v>0.0</v>
      </c>
      <c r="I469" s="6">
        <v>0.0</v>
      </c>
      <c r="J469" s="6">
        <v>0.0</v>
      </c>
      <c r="K469" s="6">
        <v>0.0</v>
      </c>
      <c r="L469" s="6">
        <v>0.0</v>
      </c>
      <c r="M469" s="6">
        <v>0.0</v>
      </c>
      <c r="N469" s="669">
        <v>2355000.0</v>
      </c>
      <c r="O469" s="6">
        <v>0.0</v>
      </c>
      <c r="P469" s="6">
        <v>0.0</v>
      </c>
      <c r="Q469" s="6">
        <v>0.0</v>
      </c>
      <c r="R469" s="6">
        <v>0.0</v>
      </c>
      <c r="S469" s="6">
        <v>0.0</v>
      </c>
      <c r="T469" s="6">
        <v>0.0</v>
      </c>
      <c r="U469" s="6">
        <v>0.0</v>
      </c>
    </row>
    <row r="470">
      <c r="A470" s="6" t="s">
        <v>585</v>
      </c>
      <c r="B470" s="6" t="s">
        <v>11578</v>
      </c>
      <c r="C470" s="6" t="s">
        <v>11570</v>
      </c>
      <c r="D470" s="6" t="s">
        <v>22</v>
      </c>
      <c r="E470" s="6" t="s">
        <v>11759</v>
      </c>
      <c r="F470" s="6" t="s">
        <v>125</v>
      </c>
      <c r="G470" s="6" t="s">
        <v>2939</v>
      </c>
      <c r="H470" s="6">
        <v>0.0</v>
      </c>
      <c r="I470" s="6">
        <v>0.0</v>
      </c>
      <c r="J470" s="6">
        <v>0.0</v>
      </c>
      <c r="K470" s="6">
        <v>0.0</v>
      </c>
      <c r="L470" s="6">
        <v>0.0</v>
      </c>
      <c r="M470" s="6">
        <v>0.0</v>
      </c>
      <c r="N470" s="669">
        <v>1570000.0</v>
      </c>
      <c r="O470" s="6">
        <v>0.0</v>
      </c>
      <c r="P470" s="6">
        <v>0.0</v>
      </c>
      <c r="Q470" s="6">
        <v>0.0</v>
      </c>
      <c r="R470" s="6">
        <v>0.0</v>
      </c>
      <c r="S470" s="6">
        <v>0.0</v>
      </c>
      <c r="T470" s="6">
        <v>0.0</v>
      </c>
      <c r="U470" s="6">
        <v>0.0</v>
      </c>
    </row>
    <row r="471">
      <c r="A471" s="6" t="s">
        <v>587</v>
      </c>
      <c r="B471" s="6" t="s">
        <v>11576</v>
      </c>
      <c r="C471" s="6" t="s">
        <v>11570</v>
      </c>
      <c r="D471" s="6" t="s">
        <v>22</v>
      </c>
      <c r="E471" s="6" t="s">
        <v>11760</v>
      </c>
      <c r="F471" s="6" t="s">
        <v>125</v>
      </c>
      <c r="G471" s="6" t="s">
        <v>2939</v>
      </c>
      <c r="H471" s="6">
        <v>0.0</v>
      </c>
      <c r="I471" s="6">
        <v>0.0</v>
      </c>
      <c r="J471" s="6">
        <v>0.0</v>
      </c>
      <c r="K471" s="6">
        <v>8.0</v>
      </c>
      <c r="L471" s="6">
        <v>0.0</v>
      </c>
      <c r="M471" s="6">
        <v>0.0</v>
      </c>
      <c r="N471" s="669">
        <v>1570000.0</v>
      </c>
      <c r="O471" s="6">
        <v>0.0</v>
      </c>
      <c r="P471" s="6">
        <v>0.0</v>
      </c>
      <c r="Q471" s="6">
        <v>0.0</v>
      </c>
      <c r="R471" s="6">
        <v>0.0</v>
      </c>
      <c r="S471" s="6">
        <v>0.0</v>
      </c>
      <c r="T471" s="6">
        <v>0.0</v>
      </c>
      <c r="U471" s="6">
        <v>0.0</v>
      </c>
    </row>
    <row r="472">
      <c r="A472" s="6" t="s">
        <v>589</v>
      </c>
      <c r="B472" s="6" t="s">
        <v>11576</v>
      </c>
      <c r="C472" s="6" t="s">
        <v>11579</v>
      </c>
      <c r="D472" s="6" t="s">
        <v>41</v>
      </c>
      <c r="E472" s="6" t="s">
        <v>590</v>
      </c>
      <c r="F472" s="6" t="s">
        <v>1377</v>
      </c>
      <c r="G472" s="6" t="s">
        <v>2939</v>
      </c>
      <c r="H472" s="6">
        <v>0.0</v>
      </c>
      <c r="I472" s="6">
        <v>0.0</v>
      </c>
      <c r="J472" s="6" t="s">
        <v>11590</v>
      </c>
      <c r="K472" s="6">
        <v>6.0</v>
      </c>
      <c r="L472" s="6">
        <v>0.0</v>
      </c>
      <c r="M472" s="6">
        <v>0.0</v>
      </c>
      <c r="N472" s="669">
        <v>1967000.0</v>
      </c>
      <c r="O472" s="6">
        <v>0.0</v>
      </c>
      <c r="P472" s="6">
        <v>0.0</v>
      </c>
      <c r="Q472" s="6">
        <v>0.0</v>
      </c>
      <c r="R472" s="6">
        <v>0.0</v>
      </c>
      <c r="S472" s="6" t="s">
        <v>11590</v>
      </c>
      <c r="T472" s="6">
        <v>0.0</v>
      </c>
      <c r="U472" s="6">
        <v>0.0</v>
      </c>
    </row>
    <row r="473">
      <c r="A473" s="6" t="s">
        <v>591</v>
      </c>
      <c r="B473" s="6" t="s">
        <v>11576</v>
      </c>
      <c r="C473" s="6" t="s">
        <v>11591</v>
      </c>
      <c r="D473" s="6" t="s">
        <v>128</v>
      </c>
      <c r="E473" s="6" t="s">
        <v>590</v>
      </c>
      <c r="F473" s="6" t="s">
        <v>141</v>
      </c>
      <c r="G473" s="6" t="s">
        <v>2939</v>
      </c>
      <c r="H473" s="6">
        <v>1.0</v>
      </c>
      <c r="I473" s="6">
        <v>0.0</v>
      </c>
      <c r="J473" s="6">
        <v>5.0</v>
      </c>
      <c r="K473" s="6">
        <v>0.0</v>
      </c>
      <c r="L473" s="6">
        <v>0.0</v>
      </c>
      <c r="M473" s="6">
        <v>0.0</v>
      </c>
      <c r="N473" s="669">
        <v>725000.0</v>
      </c>
      <c r="O473" s="6">
        <v>0.0</v>
      </c>
      <c r="P473" s="6">
        <v>0.0</v>
      </c>
      <c r="Q473" s="6">
        <v>0.0</v>
      </c>
      <c r="R473" s="6">
        <v>0.0</v>
      </c>
      <c r="S473" s="6">
        <v>0.0</v>
      </c>
      <c r="T473" s="6">
        <v>0.0</v>
      </c>
      <c r="U473" s="6">
        <v>0.0</v>
      </c>
    </row>
    <row r="474">
      <c r="A474" s="6" t="s">
        <v>592</v>
      </c>
      <c r="B474" s="6" t="s">
        <v>11576</v>
      </c>
      <c r="C474" s="6" t="s">
        <v>11591</v>
      </c>
      <c r="D474" s="6" t="s">
        <v>130</v>
      </c>
      <c r="E474" s="6" t="s">
        <v>590</v>
      </c>
      <c r="F474" s="6" t="s">
        <v>141</v>
      </c>
      <c r="G474" s="6" t="s">
        <v>2939</v>
      </c>
      <c r="H474" s="6">
        <v>0.0</v>
      </c>
      <c r="I474" s="6">
        <v>0.0</v>
      </c>
      <c r="J474" s="6">
        <v>9.0</v>
      </c>
      <c r="K474" s="6">
        <v>0.0</v>
      </c>
      <c r="L474" s="6">
        <v>0.0</v>
      </c>
      <c r="M474" s="6">
        <v>0.0</v>
      </c>
      <c r="N474" s="669">
        <v>725000.0</v>
      </c>
      <c r="O474" s="6">
        <v>0.0</v>
      </c>
      <c r="P474" s="6">
        <v>0.0</v>
      </c>
      <c r="Q474" s="6">
        <v>0.0</v>
      </c>
      <c r="R474" s="6">
        <v>0.0</v>
      </c>
      <c r="S474" s="6">
        <v>0.0</v>
      </c>
      <c r="T474" s="6">
        <v>0.0</v>
      </c>
      <c r="U474" s="6">
        <v>0.0</v>
      </c>
    </row>
    <row r="475">
      <c r="A475" s="6" t="s">
        <v>593</v>
      </c>
      <c r="B475" s="6" t="s">
        <v>11578</v>
      </c>
      <c r="C475" s="6" t="s">
        <v>11591</v>
      </c>
      <c r="D475" s="6" t="s">
        <v>132</v>
      </c>
      <c r="E475" s="6" t="s">
        <v>590</v>
      </c>
      <c r="G475" s="6" t="s">
        <v>2939</v>
      </c>
      <c r="H475" s="6" t="s">
        <v>11590</v>
      </c>
      <c r="I475" s="6">
        <v>0.0</v>
      </c>
      <c r="J475" s="6">
        <v>0.0</v>
      </c>
      <c r="K475" s="6">
        <v>0.0</v>
      </c>
      <c r="L475" s="6">
        <v>0.0</v>
      </c>
      <c r="M475" s="6">
        <v>0.0</v>
      </c>
      <c r="N475" s="669">
        <v>725000.0</v>
      </c>
      <c r="O475" s="6">
        <v>0.0</v>
      </c>
      <c r="P475" s="6">
        <v>0.0</v>
      </c>
      <c r="Q475" s="6">
        <v>0.0</v>
      </c>
      <c r="R475" s="6">
        <v>0.0</v>
      </c>
      <c r="S475" s="6">
        <v>0.0</v>
      </c>
      <c r="T475" s="6">
        <v>0.0</v>
      </c>
      <c r="U475" s="6">
        <v>0.0</v>
      </c>
    </row>
    <row r="476">
      <c r="A476" s="6" t="s">
        <v>2013</v>
      </c>
      <c r="B476" s="6" t="s">
        <v>11576</v>
      </c>
      <c r="C476" s="6" t="s">
        <v>11591</v>
      </c>
      <c r="D476" s="6" t="s">
        <v>134</v>
      </c>
      <c r="E476" s="6" t="s">
        <v>590</v>
      </c>
      <c r="G476" s="6" t="s">
        <v>2939</v>
      </c>
      <c r="H476" s="6">
        <v>1.0</v>
      </c>
      <c r="I476" s="6">
        <v>0.0</v>
      </c>
      <c r="J476" s="6">
        <v>4.0</v>
      </c>
      <c r="K476" s="6">
        <v>0.0</v>
      </c>
      <c r="L476" s="6">
        <v>0.0</v>
      </c>
      <c r="M476" s="6">
        <v>0.0</v>
      </c>
      <c r="N476" s="669">
        <v>725000.0</v>
      </c>
      <c r="O476" s="6">
        <v>0.0</v>
      </c>
      <c r="P476" s="6">
        <v>0.0</v>
      </c>
      <c r="Q476" s="6">
        <v>0.0</v>
      </c>
      <c r="R476" s="6">
        <v>0.0</v>
      </c>
      <c r="S476" s="6">
        <v>0.0</v>
      </c>
      <c r="T476" s="6">
        <v>0.0</v>
      </c>
      <c r="U476" s="6">
        <v>0.0</v>
      </c>
    </row>
    <row r="477">
      <c r="A477" s="6" t="s">
        <v>597</v>
      </c>
      <c r="B477" s="6" t="s">
        <v>11576</v>
      </c>
      <c r="C477" s="6" t="s">
        <v>11570</v>
      </c>
      <c r="D477" s="6" t="s">
        <v>22</v>
      </c>
      <c r="E477" s="6" t="s">
        <v>598</v>
      </c>
      <c r="F477" s="6" t="s">
        <v>125</v>
      </c>
      <c r="G477" s="6" t="s">
        <v>2939</v>
      </c>
      <c r="H477" s="6">
        <v>0.0</v>
      </c>
      <c r="I477" s="6">
        <v>0.0</v>
      </c>
      <c r="J477" s="6" t="s">
        <v>11590</v>
      </c>
      <c r="K477" s="6" t="s">
        <v>11590</v>
      </c>
      <c r="L477" s="6">
        <v>0.0</v>
      </c>
      <c r="M477" s="6">
        <v>0.0</v>
      </c>
      <c r="N477" s="669">
        <v>1287000.0</v>
      </c>
      <c r="O477" s="6">
        <v>0.0</v>
      </c>
      <c r="P477" s="6">
        <v>0.0</v>
      </c>
      <c r="Q477" s="6">
        <v>0.0</v>
      </c>
      <c r="R477" s="6">
        <v>0.0</v>
      </c>
      <c r="S477" s="6" t="s">
        <v>11590</v>
      </c>
      <c r="T477" s="6">
        <v>0.0</v>
      </c>
      <c r="U477" s="6">
        <v>0.0</v>
      </c>
    </row>
    <row r="478">
      <c r="A478" s="6" t="s">
        <v>599</v>
      </c>
      <c r="B478" s="6" t="s">
        <v>11576</v>
      </c>
      <c r="C478" s="6" t="s">
        <v>11579</v>
      </c>
      <c r="D478" s="6" t="s">
        <v>41</v>
      </c>
      <c r="E478" s="6" t="s">
        <v>598</v>
      </c>
      <c r="F478" s="6" t="s">
        <v>1377</v>
      </c>
      <c r="G478" s="6" t="s">
        <v>2939</v>
      </c>
      <c r="H478" s="6">
        <v>0.0</v>
      </c>
      <c r="I478" s="6">
        <v>0.0</v>
      </c>
      <c r="J478" s="6" t="s">
        <v>11590</v>
      </c>
      <c r="K478" s="6">
        <v>0.0</v>
      </c>
      <c r="L478" s="6">
        <v>0.0</v>
      </c>
      <c r="M478" s="6">
        <v>0.0</v>
      </c>
      <c r="N478" s="669">
        <v>1967000.0</v>
      </c>
      <c r="O478" s="6">
        <v>0.0</v>
      </c>
      <c r="P478" s="6">
        <v>0.0</v>
      </c>
      <c r="Q478" s="6">
        <v>0.0</v>
      </c>
      <c r="R478" s="6">
        <v>0.0</v>
      </c>
      <c r="S478" s="6" t="s">
        <v>11590</v>
      </c>
      <c r="T478" s="6">
        <v>10.0</v>
      </c>
      <c r="U478" s="6">
        <v>0.0</v>
      </c>
    </row>
    <row r="479">
      <c r="A479" s="6" t="s">
        <v>600</v>
      </c>
      <c r="B479" s="6" t="s">
        <v>11576</v>
      </c>
      <c r="C479" s="6" t="s">
        <v>11591</v>
      </c>
      <c r="D479" s="6" t="s">
        <v>128</v>
      </c>
      <c r="E479" s="6" t="s">
        <v>598</v>
      </c>
      <c r="F479" s="6" t="s">
        <v>397</v>
      </c>
      <c r="G479" s="6" t="s">
        <v>2939</v>
      </c>
      <c r="H479" s="6">
        <v>0.0</v>
      </c>
      <c r="I479" s="6">
        <v>0.0</v>
      </c>
      <c r="J479" s="6">
        <v>7.0</v>
      </c>
      <c r="K479" s="6">
        <v>0.0</v>
      </c>
      <c r="L479" s="6">
        <v>0.0</v>
      </c>
      <c r="M479" s="6">
        <v>0.0</v>
      </c>
      <c r="N479" s="669">
        <v>725000.0</v>
      </c>
      <c r="O479" s="6">
        <v>0.0</v>
      </c>
      <c r="P479" s="6">
        <v>0.0</v>
      </c>
      <c r="Q479" s="6">
        <v>0.0</v>
      </c>
      <c r="R479" s="6">
        <v>0.0</v>
      </c>
      <c r="S479" s="6">
        <v>0.0</v>
      </c>
      <c r="T479" s="6">
        <v>0.0</v>
      </c>
      <c r="U479" s="6">
        <v>0.0</v>
      </c>
    </row>
    <row r="480">
      <c r="A480" s="6" t="s">
        <v>601</v>
      </c>
      <c r="B480" s="6" t="s">
        <v>11576</v>
      </c>
      <c r="C480" s="6" t="s">
        <v>11591</v>
      </c>
      <c r="D480" s="6" t="s">
        <v>130</v>
      </c>
      <c r="E480" s="6" t="s">
        <v>598</v>
      </c>
      <c r="F480" s="6" t="s">
        <v>397</v>
      </c>
      <c r="G480" s="6" t="s">
        <v>2939</v>
      </c>
      <c r="H480" s="6">
        <v>0.0</v>
      </c>
      <c r="I480" s="6">
        <v>0.0</v>
      </c>
      <c r="J480" s="6">
        <v>5.0</v>
      </c>
      <c r="K480" s="6">
        <v>0.0</v>
      </c>
      <c r="L480" s="6">
        <v>0.0</v>
      </c>
      <c r="M480" s="6">
        <v>0.0</v>
      </c>
      <c r="N480" s="669">
        <v>725000.0</v>
      </c>
      <c r="O480" s="6">
        <v>0.0</v>
      </c>
      <c r="P480" s="6">
        <v>0.0</v>
      </c>
      <c r="Q480" s="6">
        <v>0.0</v>
      </c>
      <c r="R480" s="6">
        <v>0.0</v>
      </c>
      <c r="S480" s="6">
        <v>0.0</v>
      </c>
      <c r="T480" s="6">
        <v>0.0</v>
      </c>
      <c r="U480" s="6">
        <v>5.0</v>
      </c>
    </row>
    <row r="481">
      <c r="A481" s="6" t="s">
        <v>602</v>
      </c>
      <c r="B481" s="6" t="s">
        <v>11576</v>
      </c>
      <c r="C481" s="6" t="s">
        <v>11591</v>
      </c>
      <c r="D481" s="6" t="s">
        <v>132</v>
      </c>
      <c r="E481" s="6" t="s">
        <v>598</v>
      </c>
      <c r="G481" s="6" t="s">
        <v>2939</v>
      </c>
      <c r="H481" s="6">
        <v>1.0</v>
      </c>
      <c r="I481" s="6">
        <v>0.0</v>
      </c>
      <c r="J481" s="6">
        <v>4.0</v>
      </c>
      <c r="K481" s="6">
        <v>0.0</v>
      </c>
      <c r="L481" s="6">
        <v>0.0</v>
      </c>
      <c r="M481" s="6">
        <v>0.0</v>
      </c>
      <c r="N481" s="669">
        <v>725000.0</v>
      </c>
      <c r="O481" s="6">
        <v>0.0</v>
      </c>
      <c r="P481" s="6">
        <v>0.0</v>
      </c>
      <c r="Q481" s="6">
        <v>0.0</v>
      </c>
      <c r="R481" s="6">
        <v>0.0</v>
      </c>
      <c r="S481" s="6">
        <v>0.0</v>
      </c>
      <c r="T481" s="6">
        <v>0.0</v>
      </c>
      <c r="U481" s="6">
        <v>0.0</v>
      </c>
    </row>
    <row r="482">
      <c r="A482" s="6" t="s">
        <v>603</v>
      </c>
      <c r="B482" s="6" t="s">
        <v>11578</v>
      </c>
      <c r="C482" s="6" t="s">
        <v>11591</v>
      </c>
      <c r="D482" s="6" t="s">
        <v>134</v>
      </c>
      <c r="E482" s="6" t="s">
        <v>598</v>
      </c>
      <c r="G482" s="6" t="s">
        <v>2939</v>
      </c>
      <c r="H482" s="6">
        <v>4.0</v>
      </c>
      <c r="I482" s="6">
        <v>0.0</v>
      </c>
      <c r="J482" s="6">
        <v>0.0</v>
      </c>
      <c r="K482" s="6">
        <v>0.0</v>
      </c>
      <c r="L482" s="6">
        <v>0.0</v>
      </c>
      <c r="M482" s="6">
        <v>0.0</v>
      </c>
      <c r="N482" s="669">
        <v>725000.0</v>
      </c>
      <c r="O482" s="6">
        <v>0.0</v>
      </c>
      <c r="P482" s="6">
        <v>0.0</v>
      </c>
      <c r="Q482" s="6">
        <v>0.0</v>
      </c>
      <c r="R482" s="6">
        <v>0.0</v>
      </c>
      <c r="S482" s="6">
        <v>0.0</v>
      </c>
      <c r="T482" s="6">
        <v>0.0</v>
      </c>
      <c r="U482" s="6">
        <v>0.0</v>
      </c>
    </row>
    <row r="483">
      <c r="A483" s="6" t="s">
        <v>1723</v>
      </c>
      <c r="B483" s="6" t="s">
        <v>11653</v>
      </c>
      <c r="C483" s="6" t="s">
        <v>11570</v>
      </c>
      <c r="D483" s="6" t="s">
        <v>22</v>
      </c>
      <c r="E483" s="6" t="s">
        <v>605</v>
      </c>
      <c r="F483" s="6" t="s">
        <v>125</v>
      </c>
      <c r="G483" s="6" t="s">
        <v>2939</v>
      </c>
      <c r="H483" s="6">
        <v>0.0</v>
      </c>
      <c r="I483" s="6">
        <v>0.0</v>
      </c>
      <c r="J483" s="6">
        <v>0.0</v>
      </c>
      <c r="K483" s="6">
        <v>0.0</v>
      </c>
      <c r="L483" s="6">
        <v>4.0</v>
      </c>
      <c r="M483" s="6">
        <v>10.0</v>
      </c>
      <c r="N483" s="669">
        <v>1507000.0</v>
      </c>
      <c r="O483" s="6">
        <v>0.0</v>
      </c>
      <c r="P483" s="6">
        <v>0.0</v>
      </c>
      <c r="Q483" s="6">
        <v>0.0</v>
      </c>
      <c r="R483" s="6">
        <v>0.0</v>
      </c>
      <c r="S483" s="6">
        <v>0.0</v>
      </c>
      <c r="T483" s="6">
        <v>0.0</v>
      </c>
      <c r="U483" s="6">
        <v>0.0</v>
      </c>
    </row>
    <row r="484">
      <c r="A484" s="6" t="s">
        <v>604</v>
      </c>
      <c r="B484" s="6" t="s">
        <v>11578</v>
      </c>
      <c r="C484" s="6" t="s">
        <v>11591</v>
      </c>
      <c r="D484" s="6" t="s">
        <v>128</v>
      </c>
      <c r="E484" s="6" t="s">
        <v>605</v>
      </c>
      <c r="F484" s="6" t="s">
        <v>141</v>
      </c>
      <c r="G484" s="6" t="s">
        <v>2939</v>
      </c>
      <c r="H484" s="6">
        <v>3.0</v>
      </c>
      <c r="I484" s="6">
        <v>0.0</v>
      </c>
      <c r="J484" s="6">
        <v>0.0</v>
      </c>
      <c r="K484" s="6">
        <v>0.0</v>
      </c>
      <c r="L484" s="6">
        <v>0.0</v>
      </c>
      <c r="M484" s="6">
        <v>0.0</v>
      </c>
      <c r="N484" s="669">
        <v>884000.0</v>
      </c>
      <c r="O484" s="6">
        <v>0.0</v>
      </c>
      <c r="P484" s="6">
        <v>0.0</v>
      </c>
      <c r="Q484" s="6">
        <v>0.0</v>
      </c>
      <c r="R484" s="6">
        <v>0.0</v>
      </c>
      <c r="S484" s="6">
        <v>0.0</v>
      </c>
      <c r="T484" s="6">
        <v>0.0</v>
      </c>
      <c r="U484" s="6">
        <v>0.0</v>
      </c>
    </row>
    <row r="485">
      <c r="A485" s="6" t="s">
        <v>606</v>
      </c>
      <c r="B485" s="6" t="s">
        <v>11576</v>
      </c>
      <c r="C485" s="6" t="s">
        <v>11591</v>
      </c>
      <c r="D485" s="6" t="s">
        <v>130</v>
      </c>
      <c r="E485" s="6" t="s">
        <v>605</v>
      </c>
      <c r="F485" s="6" t="s">
        <v>141</v>
      </c>
      <c r="G485" s="6" t="s">
        <v>2939</v>
      </c>
      <c r="H485" s="6">
        <v>0.0</v>
      </c>
      <c r="I485" s="6">
        <v>0.0</v>
      </c>
      <c r="J485" s="6">
        <v>1.0</v>
      </c>
      <c r="K485" s="6">
        <v>0.0</v>
      </c>
      <c r="L485" s="6">
        <v>0.0</v>
      </c>
      <c r="M485" s="6">
        <v>0.0</v>
      </c>
      <c r="N485" s="669">
        <v>884000.0</v>
      </c>
      <c r="O485" s="6">
        <v>0.0</v>
      </c>
      <c r="P485" s="6">
        <v>0.0</v>
      </c>
      <c r="Q485" s="6">
        <v>0.0</v>
      </c>
      <c r="R485" s="6">
        <v>0.0</v>
      </c>
      <c r="S485" s="6">
        <v>0.0</v>
      </c>
      <c r="T485" s="6">
        <v>0.0</v>
      </c>
      <c r="U485" s="6">
        <v>0.0</v>
      </c>
    </row>
    <row r="486">
      <c r="A486" s="6" t="s">
        <v>607</v>
      </c>
      <c r="B486" s="6" t="s">
        <v>11576</v>
      </c>
      <c r="C486" s="6" t="s">
        <v>11579</v>
      </c>
      <c r="D486" s="6" t="s">
        <v>41</v>
      </c>
      <c r="E486" s="6" t="s">
        <v>608</v>
      </c>
      <c r="F486" s="6" t="s">
        <v>2193</v>
      </c>
      <c r="G486" s="6" t="s">
        <v>2939</v>
      </c>
      <c r="H486" s="6">
        <v>0.0</v>
      </c>
      <c r="I486" s="6">
        <v>0.0</v>
      </c>
      <c r="J486" s="6">
        <v>4.0</v>
      </c>
      <c r="K486" s="6">
        <v>0.0</v>
      </c>
      <c r="L486" s="6">
        <v>0.0</v>
      </c>
      <c r="M486" s="6">
        <v>0.0</v>
      </c>
      <c r="N486" s="669">
        <v>1961000.0</v>
      </c>
      <c r="O486" s="6">
        <v>0.0</v>
      </c>
      <c r="P486" s="6">
        <v>0.0</v>
      </c>
      <c r="Q486" s="6">
        <v>0.0</v>
      </c>
      <c r="R486" s="6">
        <v>0.0</v>
      </c>
      <c r="S486" s="6">
        <v>8.0</v>
      </c>
      <c r="T486" s="6">
        <v>0.0</v>
      </c>
      <c r="U486" s="6">
        <v>0.0</v>
      </c>
    </row>
    <row r="487">
      <c r="A487" s="6" t="s">
        <v>609</v>
      </c>
      <c r="B487" s="6" t="s">
        <v>11576</v>
      </c>
      <c r="C487" s="6" t="s">
        <v>11570</v>
      </c>
      <c r="D487" s="6" t="s">
        <v>22</v>
      </c>
      <c r="E487" s="6" t="s">
        <v>11761</v>
      </c>
      <c r="F487" s="6" t="s">
        <v>125</v>
      </c>
      <c r="G487" s="6" t="s">
        <v>2939</v>
      </c>
      <c r="H487" s="6">
        <v>0.0</v>
      </c>
      <c r="I487" s="6">
        <v>0.0</v>
      </c>
      <c r="J487" s="6">
        <v>6.0</v>
      </c>
      <c r="K487" s="6">
        <v>0.0</v>
      </c>
      <c r="L487" s="6">
        <v>0.0</v>
      </c>
      <c r="M487" s="6">
        <v>0.0</v>
      </c>
      <c r="N487" s="669">
        <v>1233000.0</v>
      </c>
      <c r="O487" s="6">
        <v>0.0</v>
      </c>
      <c r="P487" s="6">
        <v>0.0</v>
      </c>
      <c r="Q487" s="6">
        <v>0.0</v>
      </c>
      <c r="R487" s="6">
        <v>0.0</v>
      </c>
      <c r="S487" s="6">
        <v>0.0</v>
      </c>
      <c r="T487" s="6">
        <v>0.0</v>
      </c>
      <c r="U487" s="6">
        <v>0.0</v>
      </c>
    </row>
    <row r="488">
      <c r="A488" s="6" t="s">
        <v>611</v>
      </c>
      <c r="B488" s="6" t="s">
        <v>11578</v>
      </c>
      <c r="C488" s="6" t="s">
        <v>11579</v>
      </c>
      <c r="D488" s="6" t="s">
        <v>41</v>
      </c>
      <c r="E488" s="6" t="s">
        <v>612</v>
      </c>
      <c r="F488" s="6" t="s">
        <v>2193</v>
      </c>
      <c r="G488" s="6" t="s">
        <v>2939</v>
      </c>
      <c r="H488" s="6" t="s">
        <v>11590</v>
      </c>
      <c r="I488" s="6">
        <v>3.0</v>
      </c>
      <c r="J488" s="6">
        <v>0.0</v>
      </c>
      <c r="K488" s="6">
        <v>0.0</v>
      </c>
      <c r="L488" s="6">
        <v>0.0</v>
      </c>
      <c r="M488" s="6">
        <v>0.0</v>
      </c>
      <c r="N488" s="669">
        <v>1714000.0</v>
      </c>
      <c r="O488" s="6">
        <v>0.0</v>
      </c>
      <c r="P488" s="6">
        <v>0.0</v>
      </c>
      <c r="Q488" s="6">
        <v>0.0</v>
      </c>
      <c r="R488" s="6">
        <v>0.0</v>
      </c>
      <c r="S488" s="6">
        <v>0.0</v>
      </c>
      <c r="T488" s="6">
        <v>0.0</v>
      </c>
      <c r="U488" s="6">
        <v>0.0</v>
      </c>
    </row>
    <row r="489">
      <c r="A489" s="6" t="s">
        <v>613</v>
      </c>
      <c r="B489" s="6" t="s">
        <v>11576</v>
      </c>
      <c r="C489" s="6" t="s">
        <v>11570</v>
      </c>
      <c r="D489" s="6" t="s">
        <v>22</v>
      </c>
      <c r="E489" s="6" t="s">
        <v>11762</v>
      </c>
      <c r="F489" s="6" t="s">
        <v>125</v>
      </c>
      <c r="G489" s="6" t="s">
        <v>2939</v>
      </c>
      <c r="H489" s="6">
        <v>0.0</v>
      </c>
      <c r="I489" s="6">
        <v>0.0</v>
      </c>
      <c r="J489" s="6">
        <v>10.0</v>
      </c>
      <c r="K489" s="6">
        <v>1.0</v>
      </c>
      <c r="L489" s="6">
        <v>0.0</v>
      </c>
      <c r="M489" s="6">
        <v>0.0</v>
      </c>
      <c r="N489" s="669">
        <v>1765000.0</v>
      </c>
      <c r="O489" s="6">
        <v>0.0</v>
      </c>
      <c r="P489" s="6">
        <v>0.0</v>
      </c>
      <c r="Q489" s="6">
        <v>0.0</v>
      </c>
      <c r="R489" s="6">
        <v>0.0</v>
      </c>
      <c r="S489" s="6">
        <v>0.0</v>
      </c>
      <c r="T489" s="6">
        <v>0.0</v>
      </c>
      <c r="U489" s="6">
        <v>0.0</v>
      </c>
    </row>
    <row r="490">
      <c r="A490" s="6" t="s">
        <v>615</v>
      </c>
      <c r="B490" s="6" t="s">
        <v>11576</v>
      </c>
      <c r="C490" s="6" t="s">
        <v>11579</v>
      </c>
      <c r="D490" s="6" t="s">
        <v>41</v>
      </c>
      <c r="E490" s="6" t="s">
        <v>616</v>
      </c>
      <c r="F490" s="6" t="s">
        <v>1377</v>
      </c>
      <c r="G490" s="6" t="s">
        <v>2939</v>
      </c>
      <c r="H490" s="6">
        <v>0.0</v>
      </c>
      <c r="I490" s="6">
        <v>0.0</v>
      </c>
      <c r="J490" s="6">
        <v>3.0</v>
      </c>
      <c r="K490" s="6">
        <v>3.0</v>
      </c>
      <c r="L490" s="6">
        <v>0.0</v>
      </c>
      <c r="M490" s="6">
        <v>0.0</v>
      </c>
      <c r="N490" s="669">
        <v>1928000.0</v>
      </c>
      <c r="O490" s="6">
        <v>0.0</v>
      </c>
      <c r="P490" s="6">
        <v>0.0</v>
      </c>
      <c r="Q490" s="6">
        <v>0.0</v>
      </c>
      <c r="R490" s="6">
        <v>0.0</v>
      </c>
      <c r="S490" s="6">
        <v>0.0</v>
      </c>
      <c r="T490" s="6">
        <v>0.0</v>
      </c>
      <c r="U490" s="6">
        <v>0.0</v>
      </c>
    </row>
    <row r="491">
      <c r="A491" s="6" t="s">
        <v>617</v>
      </c>
      <c r="B491" s="6" t="s">
        <v>11576</v>
      </c>
      <c r="C491" s="6" t="s">
        <v>11570</v>
      </c>
      <c r="D491" s="6" t="s">
        <v>22</v>
      </c>
      <c r="E491" s="6" t="s">
        <v>618</v>
      </c>
      <c r="F491" s="6" t="s">
        <v>125</v>
      </c>
      <c r="G491" s="6" t="s">
        <v>2939</v>
      </c>
      <c r="H491" s="6">
        <v>0.0</v>
      </c>
      <c r="I491" s="6">
        <v>0.0</v>
      </c>
      <c r="J491" s="6">
        <v>0.0</v>
      </c>
      <c r="K491" s="6">
        <v>0.0</v>
      </c>
      <c r="L491" s="6">
        <v>0.0</v>
      </c>
      <c r="M491" s="6">
        <v>0.0</v>
      </c>
      <c r="N491" s="669">
        <v>1934000.0</v>
      </c>
      <c r="O491" s="6">
        <v>0.0</v>
      </c>
      <c r="P491" s="6">
        <v>0.0</v>
      </c>
      <c r="Q491" s="6">
        <v>0.0</v>
      </c>
      <c r="R491" s="6">
        <v>0.0</v>
      </c>
      <c r="S491" s="6" t="s">
        <v>11590</v>
      </c>
      <c r="T491" s="6">
        <v>0.0</v>
      </c>
      <c r="U491" s="6">
        <v>0.0</v>
      </c>
    </row>
    <row r="492">
      <c r="A492" s="6" t="s">
        <v>619</v>
      </c>
      <c r="B492" s="6" t="s">
        <v>11576</v>
      </c>
      <c r="C492" s="6" t="s">
        <v>11579</v>
      </c>
      <c r="D492" s="6" t="s">
        <v>41</v>
      </c>
      <c r="E492" s="6" t="s">
        <v>618</v>
      </c>
      <c r="F492" s="6" t="s">
        <v>1377</v>
      </c>
      <c r="G492" s="6" t="s">
        <v>2939</v>
      </c>
      <c r="H492" s="6">
        <v>0.0</v>
      </c>
      <c r="I492" s="6">
        <v>0.0</v>
      </c>
      <c r="J492" s="6">
        <v>4.0</v>
      </c>
      <c r="K492" s="6">
        <v>2.0</v>
      </c>
      <c r="L492" s="6">
        <v>0.0</v>
      </c>
      <c r="M492" s="6">
        <v>0.0</v>
      </c>
      <c r="N492" s="669">
        <v>2410000.0</v>
      </c>
      <c r="O492" s="6">
        <v>0.0</v>
      </c>
      <c r="P492" s="6">
        <v>0.0</v>
      </c>
      <c r="Q492" s="6">
        <v>0.0</v>
      </c>
      <c r="R492" s="6">
        <v>0.0</v>
      </c>
      <c r="S492" s="6">
        <v>0.0</v>
      </c>
      <c r="T492" s="6">
        <v>0.0</v>
      </c>
      <c r="U492" s="6">
        <v>0.0</v>
      </c>
    </row>
    <row r="493">
      <c r="A493" s="6" t="s">
        <v>620</v>
      </c>
      <c r="B493" s="6" t="s">
        <v>11576</v>
      </c>
      <c r="C493" s="6" t="s">
        <v>11591</v>
      </c>
      <c r="D493" s="6" t="s">
        <v>128</v>
      </c>
      <c r="E493" s="6" t="s">
        <v>618</v>
      </c>
      <c r="G493" s="6" t="s">
        <v>2939</v>
      </c>
      <c r="H493" s="6" t="s">
        <v>11590</v>
      </c>
      <c r="I493" s="6">
        <v>0.0</v>
      </c>
      <c r="J493" s="6">
        <v>1.0</v>
      </c>
      <c r="K493" s="6">
        <v>0.0</v>
      </c>
      <c r="L493" s="6">
        <v>0.0</v>
      </c>
      <c r="M493" s="6">
        <v>0.0</v>
      </c>
      <c r="N493" s="669">
        <v>925000.0</v>
      </c>
      <c r="O493" s="6">
        <v>0.0</v>
      </c>
      <c r="P493" s="6">
        <v>0.0</v>
      </c>
      <c r="Q493" s="6">
        <v>0.0</v>
      </c>
      <c r="R493" s="6">
        <v>0.0</v>
      </c>
      <c r="S493" s="6">
        <v>0.0</v>
      </c>
      <c r="T493" s="6">
        <v>0.0</v>
      </c>
      <c r="U493" s="6">
        <v>0.0</v>
      </c>
    </row>
    <row r="494">
      <c r="A494" s="6" t="s">
        <v>621</v>
      </c>
      <c r="B494" s="6" t="s">
        <v>11576</v>
      </c>
      <c r="C494" s="6" t="s">
        <v>11591</v>
      </c>
      <c r="D494" s="6" t="s">
        <v>130</v>
      </c>
      <c r="E494" s="6" t="s">
        <v>618</v>
      </c>
      <c r="G494" s="6" t="s">
        <v>2939</v>
      </c>
      <c r="H494" s="6">
        <v>7.0</v>
      </c>
      <c r="I494" s="6">
        <v>0.0</v>
      </c>
      <c r="J494" s="6">
        <v>0.0</v>
      </c>
      <c r="K494" s="6">
        <v>0.0</v>
      </c>
      <c r="L494" s="6">
        <v>0.0</v>
      </c>
      <c r="M494" s="6">
        <v>0.0</v>
      </c>
      <c r="N494" s="669">
        <v>925000.0</v>
      </c>
      <c r="O494" s="6">
        <v>0.0</v>
      </c>
      <c r="P494" s="6">
        <v>0.0</v>
      </c>
      <c r="Q494" s="6">
        <v>0.0</v>
      </c>
      <c r="R494" s="6">
        <v>0.0</v>
      </c>
      <c r="S494" s="6">
        <v>0.0</v>
      </c>
      <c r="T494" s="6">
        <v>0.0</v>
      </c>
      <c r="U494" s="6">
        <v>0.0</v>
      </c>
    </row>
    <row r="495">
      <c r="A495" s="6" t="s">
        <v>622</v>
      </c>
      <c r="B495" s="6" t="s">
        <v>11576</v>
      </c>
      <c r="C495" s="6" t="s">
        <v>11591</v>
      </c>
      <c r="D495" s="6" t="s">
        <v>132</v>
      </c>
      <c r="E495" s="6" t="s">
        <v>618</v>
      </c>
      <c r="G495" s="6" t="s">
        <v>2939</v>
      </c>
      <c r="H495" s="6">
        <v>0.0</v>
      </c>
      <c r="I495" s="6">
        <v>0.0</v>
      </c>
      <c r="J495" s="6">
        <v>2.0</v>
      </c>
      <c r="K495" s="6">
        <v>0.0</v>
      </c>
      <c r="L495" s="6">
        <v>0.0</v>
      </c>
      <c r="M495" s="6">
        <v>0.0</v>
      </c>
      <c r="N495" s="669">
        <v>925000.0</v>
      </c>
      <c r="O495" s="6">
        <v>0.0</v>
      </c>
      <c r="P495" s="6">
        <v>0.0</v>
      </c>
      <c r="Q495" s="6">
        <v>0.0</v>
      </c>
      <c r="R495" s="6">
        <v>0.0</v>
      </c>
      <c r="S495" s="6">
        <v>0.0</v>
      </c>
      <c r="T495" s="6">
        <v>0.0</v>
      </c>
      <c r="U495" s="6">
        <v>0.0</v>
      </c>
    </row>
    <row r="496">
      <c r="A496" s="6" t="s">
        <v>623</v>
      </c>
      <c r="B496" s="6" t="s">
        <v>11576</v>
      </c>
      <c r="C496" s="6" t="s">
        <v>11591</v>
      </c>
      <c r="D496" s="6" t="s">
        <v>134</v>
      </c>
      <c r="E496" s="6" t="s">
        <v>618</v>
      </c>
      <c r="G496" s="6" t="s">
        <v>2939</v>
      </c>
      <c r="H496" s="6">
        <v>0.0</v>
      </c>
      <c r="I496" s="6">
        <v>0.0</v>
      </c>
      <c r="J496" s="6">
        <v>4.0</v>
      </c>
      <c r="K496" s="6">
        <v>0.0</v>
      </c>
      <c r="L496" s="6">
        <v>0.0</v>
      </c>
      <c r="M496" s="6">
        <v>0.0</v>
      </c>
      <c r="N496" s="669">
        <v>925000.0</v>
      </c>
      <c r="O496" s="6">
        <v>0.0</v>
      </c>
      <c r="P496" s="6">
        <v>0.0</v>
      </c>
      <c r="Q496" s="6">
        <v>0.0</v>
      </c>
      <c r="R496" s="6">
        <v>0.0</v>
      </c>
      <c r="S496" s="6">
        <v>0.0</v>
      </c>
      <c r="T496" s="6">
        <v>0.0</v>
      </c>
      <c r="U496" s="6">
        <v>0.0</v>
      </c>
    </row>
    <row r="497">
      <c r="A497" s="6" t="s">
        <v>1570</v>
      </c>
      <c r="B497" s="6" t="s">
        <v>11569</v>
      </c>
      <c r="C497" s="6" t="s">
        <v>11570</v>
      </c>
      <c r="D497" s="6" t="s">
        <v>22</v>
      </c>
      <c r="E497" s="6" t="s">
        <v>1571</v>
      </c>
      <c r="F497" s="6" t="s">
        <v>737</v>
      </c>
      <c r="G497" s="6" t="s">
        <v>2939</v>
      </c>
      <c r="H497" s="6">
        <v>0.0</v>
      </c>
      <c r="I497" s="6">
        <v>0.0</v>
      </c>
      <c r="J497" s="6">
        <v>2.0</v>
      </c>
      <c r="K497" s="6">
        <v>2.0</v>
      </c>
      <c r="L497" s="6">
        <v>0.0</v>
      </c>
      <c r="M497" s="6">
        <v>0.0</v>
      </c>
      <c r="N497" s="669">
        <v>3650000.0</v>
      </c>
      <c r="O497" s="6">
        <v>0.0</v>
      </c>
      <c r="P497" s="6">
        <v>0.0</v>
      </c>
      <c r="Q497" s="6">
        <v>0.0</v>
      </c>
      <c r="R497" s="6">
        <v>0.0</v>
      </c>
      <c r="S497" s="6">
        <v>0.0</v>
      </c>
      <c r="T497" s="6">
        <v>0.0</v>
      </c>
      <c r="U497" s="6">
        <v>0.0</v>
      </c>
    </row>
    <row r="498">
      <c r="A498" s="6" t="s">
        <v>1572</v>
      </c>
      <c r="B498" s="6" t="s">
        <v>11569</v>
      </c>
      <c r="C498" s="6" t="s">
        <v>11579</v>
      </c>
      <c r="D498" s="6" t="s">
        <v>41</v>
      </c>
      <c r="E498" s="6" t="s">
        <v>1571</v>
      </c>
      <c r="F498" s="6" t="s">
        <v>2193</v>
      </c>
      <c r="G498" s="6" t="s">
        <v>2939</v>
      </c>
      <c r="H498" s="6">
        <v>0.0</v>
      </c>
      <c r="I498" s="6">
        <v>0.0</v>
      </c>
      <c r="J498" s="6">
        <v>4.0</v>
      </c>
      <c r="K498" s="6">
        <v>1.0</v>
      </c>
      <c r="L498" s="6">
        <v>0.0</v>
      </c>
      <c r="M498" s="6">
        <v>0.0</v>
      </c>
      <c r="N498" s="669">
        <v>2850000.0</v>
      </c>
      <c r="O498" s="6">
        <v>0.0</v>
      </c>
      <c r="P498" s="6">
        <v>0.0</v>
      </c>
      <c r="Q498" s="6">
        <v>0.0</v>
      </c>
      <c r="R498" s="6">
        <v>0.0</v>
      </c>
      <c r="S498" s="6">
        <v>0.0</v>
      </c>
      <c r="T498" s="6">
        <v>0.0</v>
      </c>
      <c r="U498" s="6">
        <v>0.0</v>
      </c>
    </row>
    <row r="499">
      <c r="A499" s="6" t="s">
        <v>624</v>
      </c>
      <c r="B499" s="6" t="s">
        <v>11576</v>
      </c>
      <c r="C499" s="6" t="s">
        <v>11570</v>
      </c>
      <c r="D499" s="6" t="s">
        <v>22</v>
      </c>
      <c r="E499" s="6" t="s">
        <v>625</v>
      </c>
      <c r="F499" s="6" t="s">
        <v>125</v>
      </c>
      <c r="G499" s="6" t="s">
        <v>2939</v>
      </c>
      <c r="H499" s="6">
        <v>0.0</v>
      </c>
      <c r="I499" s="6">
        <v>0.0</v>
      </c>
      <c r="J499" s="6">
        <v>7.0</v>
      </c>
      <c r="K499" s="6">
        <v>1.0</v>
      </c>
      <c r="L499" s="6">
        <v>0.0</v>
      </c>
      <c r="M499" s="6">
        <v>0.0</v>
      </c>
      <c r="N499" s="669">
        <v>1971000.0</v>
      </c>
      <c r="O499" s="6">
        <v>0.0</v>
      </c>
      <c r="P499" s="6">
        <v>0.0</v>
      </c>
      <c r="Q499" s="6">
        <v>0.0</v>
      </c>
      <c r="R499" s="6">
        <v>0.0</v>
      </c>
      <c r="S499" s="6">
        <v>0.0</v>
      </c>
      <c r="T499" s="6">
        <v>0.0</v>
      </c>
      <c r="U499" s="6">
        <v>0.0</v>
      </c>
    </row>
    <row r="500">
      <c r="A500" s="6" t="s">
        <v>626</v>
      </c>
      <c r="B500" s="6" t="s">
        <v>11578</v>
      </c>
      <c r="C500" s="6" t="s">
        <v>11579</v>
      </c>
      <c r="D500" s="6" t="s">
        <v>41</v>
      </c>
      <c r="E500" s="6" t="s">
        <v>627</v>
      </c>
      <c r="F500" s="6" t="s">
        <v>2193</v>
      </c>
      <c r="G500" s="6" t="s">
        <v>2939</v>
      </c>
      <c r="H500" s="6">
        <v>4.0</v>
      </c>
      <c r="I500" s="6">
        <v>3.0</v>
      </c>
      <c r="J500" s="6">
        <v>0.0</v>
      </c>
      <c r="K500" s="6">
        <v>0.0</v>
      </c>
      <c r="L500" s="6">
        <v>0.0</v>
      </c>
      <c r="M500" s="6">
        <v>0.0</v>
      </c>
      <c r="N500" s="669">
        <v>2249000.0</v>
      </c>
      <c r="O500" s="6">
        <v>0.0</v>
      </c>
      <c r="P500" s="6">
        <v>0.0</v>
      </c>
      <c r="Q500" s="6">
        <v>0.0</v>
      </c>
      <c r="R500" s="6">
        <v>0.0</v>
      </c>
      <c r="S500" s="6">
        <v>0.0</v>
      </c>
      <c r="T500" s="6">
        <v>0.0</v>
      </c>
      <c r="U500" s="6">
        <v>0.0</v>
      </c>
    </row>
    <row r="501">
      <c r="A501" s="6" t="s">
        <v>11763</v>
      </c>
      <c r="B501" s="6" t="s">
        <v>11569</v>
      </c>
      <c r="C501" s="6" t="s">
        <v>11570</v>
      </c>
      <c r="D501" s="6" t="s">
        <v>22</v>
      </c>
      <c r="E501" s="6" t="s">
        <v>11764</v>
      </c>
      <c r="F501" s="6" t="s">
        <v>125</v>
      </c>
      <c r="G501" s="6" t="s">
        <v>2939</v>
      </c>
      <c r="H501" s="6">
        <v>0.0</v>
      </c>
      <c r="I501" s="6">
        <v>0.0</v>
      </c>
      <c r="J501" s="6">
        <v>5.0</v>
      </c>
      <c r="K501" s="6">
        <v>1.0</v>
      </c>
      <c r="L501" s="6">
        <v>0.0</v>
      </c>
      <c r="M501" s="6">
        <v>0.0</v>
      </c>
      <c r="N501" s="669">
        <v>1950000.0</v>
      </c>
      <c r="O501" s="6">
        <v>0.0</v>
      </c>
      <c r="P501" s="6">
        <v>0.0</v>
      </c>
      <c r="Q501" s="6">
        <v>0.0</v>
      </c>
      <c r="R501" s="6">
        <v>0.0</v>
      </c>
      <c r="S501" s="6">
        <v>0.0</v>
      </c>
      <c r="T501" s="6">
        <v>0.0</v>
      </c>
      <c r="U501" s="6">
        <v>0.0</v>
      </c>
    </row>
    <row r="502">
      <c r="A502" s="6" t="s">
        <v>11765</v>
      </c>
      <c r="B502" s="6" t="s">
        <v>11569</v>
      </c>
      <c r="C502" s="6" t="s">
        <v>11579</v>
      </c>
      <c r="D502" s="6" t="s">
        <v>41</v>
      </c>
      <c r="E502" s="6" t="s">
        <v>11764</v>
      </c>
      <c r="F502" s="6" t="s">
        <v>1377</v>
      </c>
      <c r="G502" s="6" t="s">
        <v>2939</v>
      </c>
      <c r="H502" s="6">
        <v>0.0</v>
      </c>
      <c r="I502" s="6">
        <v>0.0</v>
      </c>
      <c r="J502" s="6">
        <v>6.0</v>
      </c>
      <c r="K502" s="6">
        <v>2.0</v>
      </c>
      <c r="L502" s="6">
        <v>0.0</v>
      </c>
      <c r="M502" s="6">
        <v>0.0</v>
      </c>
      <c r="N502" s="669">
        <v>1650000.0</v>
      </c>
      <c r="O502" s="6">
        <v>0.0</v>
      </c>
      <c r="P502" s="6">
        <v>0.0</v>
      </c>
      <c r="Q502" s="6">
        <v>0.0</v>
      </c>
      <c r="R502" s="6">
        <v>0.0</v>
      </c>
      <c r="S502" s="6">
        <v>0.0</v>
      </c>
      <c r="T502" s="6">
        <v>0.0</v>
      </c>
      <c r="U502" s="6">
        <v>0.0</v>
      </c>
    </row>
    <row r="503">
      <c r="A503" s="6" t="s">
        <v>2026</v>
      </c>
      <c r="B503" s="6" t="s">
        <v>11569</v>
      </c>
      <c r="C503" s="6" t="s">
        <v>11570</v>
      </c>
      <c r="D503" s="6" t="s">
        <v>22</v>
      </c>
      <c r="E503" s="6" t="s">
        <v>1574</v>
      </c>
      <c r="F503" s="6" t="s">
        <v>125</v>
      </c>
      <c r="G503" s="6" t="s">
        <v>2939</v>
      </c>
      <c r="H503" s="6">
        <v>0.0</v>
      </c>
      <c r="I503" s="6">
        <v>0.0</v>
      </c>
      <c r="J503" s="6">
        <v>6.0</v>
      </c>
      <c r="K503" s="6">
        <v>0.0</v>
      </c>
      <c r="L503" s="6">
        <v>0.0</v>
      </c>
      <c r="M503" s="6">
        <v>0.0</v>
      </c>
      <c r="N503" s="669">
        <v>1650000.0</v>
      </c>
      <c r="O503" s="6">
        <v>0.0</v>
      </c>
      <c r="P503" s="6">
        <v>0.0</v>
      </c>
      <c r="Q503" s="6">
        <v>0.0</v>
      </c>
      <c r="R503" s="6">
        <v>0.0</v>
      </c>
      <c r="S503" s="6">
        <v>0.0</v>
      </c>
      <c r="T503" s="6">
        <v>0.0</v>
      </c>
      <c r="U503" s="6">
        <v>10.0</v>
      </c>
    </row>
    <row r="504">
      <c r="A504" s="6" t="s">
        <v>1573</v>
      </c>
      <c r="B504" s="6" t="s">
        <v>11569</v>
      </c>
      <c r="C504" s="6" t="s">
        <v>11579</v>
      </c>
      <c r="D504" s="6" t="s">
        <v>41</v>
      </c>
      <c r="E504" s="6" t="s">
        <v>1574</v>
      </c>
      <c r="F504" s="6" t="s">
        <v>533</v>
      </c>
      <c r="G504" s="6" t="s">
        <v>2939</v>
      </c>
      <c r="H504" s="6">
        <v>0.0</v>
      </c>
      <c r="I504" s="6">
        <v>0.0</v>
      </c>
      <c r="J504" s="6">
        <v>6.0</v>
      </c>
      <c r="K504" s="6">
        <v>2.0</v>
      </c>
      <c r="L504" s="6">
        <v>0.0</v>
      </c>
      <c r="M504" s="6">
        <v>0.0</v>
      </c>
      <c r="N504" s="669">
        <v>1200000.0</v>
      </c>
      <c r="O504" s="6">
        <v>0.0</v>
      </c>
      <c r="P504" s="6">
        <v>0.0</v>
      </c>
      <c r="Q504" s="6">
        <v>0.0</v>
      </c>
      <c r="R504" s="6">
        <v>0.0</v>
      </c>
      <c r="S504" s="6">
        <v>0.0</v>
      </c>
      <c r="T504" s="6">
        <v>0.0</v>
      </c>
      <c r="U504" s="6">
        <v>0.0</v>
      </c>
    </row>
    <row r="505">
      <c r="A505" s="6" t="s">
        <v>628</v>
      </c>
      <c r="B505" s="6" t="s">
        <v>11576</v>
      </c>
      <c r="C505" s="6" t="s">
        <v>11570</v>
      </c>
      <c r="D505" s="6" t="s">
        <v>22</v>
      </c>
      <c r="E505" s="6" t="s">
        <v>629</v>
      </c>
      <c r="F505" s="6" t="s">
        <v>125</v>
      </c>
      <c r="G505" s="6" t="s">
        <v>2939</v>
      </c>
      <c r="H505" s="6">
        <v>0.0</v>
      </c>
      <c r="I505" s="6">
        <v>0.0</v>
      </c>
      <c r="J505" s="6">
        <v>2.0</v>
      </c>
      <c r="K505" s="6">
        <v>0.0</v>
      </c>
      <c r="L505" s="6">
        <v>0.0</v>
      </c>
      <c r="M505" s="6">
        <v>0.0</v>
      </c>
      <c r="N505" s="669">
        <v>2101000.0</v>
      </c>
      <c r="O505" s="6">
        <v>0.0</v>
      </c>
      <c r="P505" s="6">
        <v>0.0</v>
      </c>
      <c r="Q505" s="6">
        <v>0.0</v>
      </c>
      <c r="R505" s="6">
        <v>0.0</v>
      </c>
      <c r="S505" s="6">
        <v>5.0</v>
      </c>
      <c r="T505" s="6">
        <v>0.0</v>
      </c>
      <c r="U505" s="6">
        <v>0.0</v>
      </c>
    </row>
    <row r="506">
      <c r="A506" s="6" t="s">
        <v>630</v>
      </c>
      <c r="B506" s="6" t="s">
        <v>11578</v>
      </c>
      <c r="C506" s="6" t="s">
        <v>11579</v>
      </c>
      <c r="D506" s="6" t="s">
        <v>41</v>
      </c>
      <c r="E506" s="6" t="s">
        <v>629</v>
      </c>
      <c r="F506" s="6" t="s">
        <v>1377</v>
      </c>
      <c r="G506" s="6" t="s">
        <v>2939</v>
      </c>
      <c r="H506" s="6">
        <v>4.0</v>
      </c>
      <c r="I506" s="6">
        <v>2.0</v>
      </c>
      <c r="J506" s="6">
        <v>0.0</v>
      </c>
      <c r="K506" s="6">
        <v>0.0</v>
      </c>
      <c r="L506" s="6">
        <v>0.0</v>
      </c>
      <c r="M506" s="6">
        <v>0.0</v>
      </c>
      <c r="N506" s="669">
        <v>2181000.0</v>
      </c>
      <c r="O506" s="6">
        <v>0.0</v>
      </c>
      <c r="P506" s="6">
        <v>0.0</v>
      </c>
      <c r="Q506" s="6">
        <v>0.0</v>
      </c>
      <c r="R506" s="6">
        <v>0.0</v>
      </c>
      <c r="S506" s="6">
        <v>0.0</v>
      </c>
      <c r="T506" s="6">
        <v>0.0</v>
      </c>
      <c r="U506" s="6">
        <v>0.0</v>
      </c>
    </row>
    <row r="507">
      <c r="A507" s="6" t="s">
        <v>11766</v>
      </c>
      <c r="B507" s="6" t="s">
        <v>11569</v>
      </c>
      <c r="C507" s="6" t="s">
        <v>11570</v>
      </c>
      <c r="D507" s="6" t="s">
        <v>22</v>
      </c>
      <c r="E507" s="6" t="s">
        <v>1938</v>
      </c>
      <c r="F507" s="6" t="s">
        <v>125</v>
      </c>
      <c r="G507" s="6" t="s">
        <v>2939</v>
      </c>
      <c r="H507" s="6">
        <v>0.0</v>
      </c>
      <c r="I507" s="6">
        <v>0.0</v>
      </c>
      <c r="J507" s="6">
        <v>0.0</v>
      </c>
      <c r="K507" s="6">
        <v>0.0</v>
      </c>
      <c r="L507" s="6">
        <v>0.0</v>
      </c>
      <c r="M507" s="6">
        <v>0.0</v>
      </c>
      <c r="N507" s="669">
        <v>2000000.0</v>
      </c>
      <c r="O507" s="6">
        <v>0.0</v>
      </c>
      <c r="P507" s="6">
        <v>0.0</v>
      </c>
      <c r="Q507" s="6">
        <v>0.0</v>
      </c>
      <c r="R507" s="6">
        <v>0.0</v>
      </c>
      <c r="S507" s="6">
        <v>3.0</v>
      </c>
      <c r="T507" s="6">
        <v>0.0</v>
      </c>
      <c r="U507" s="6">
        <v>0.0</v>
      </c>
    </row>
    <row r="508">
      <c r="A508" s="6" t="s">
        <v>631</v>
      </c>
      <c r="B508" s="6" t="s">
        <v>11576</v>
      </c>
      <c r="C508" s="6" t="s">
        <v>11570</v>
      </c>
      <c r="D508" s="6" t="s">
        <v>22</v>
      </c>
      <c r="E508" s="6" t="s">
        <v>632</v>
      </c>
      <c r="F508" s="6" t="s">
        <v>125</v>
      </c>
      <c r="G508" s="6" t="s">
        <v>2939</v>
      </c>
      <c r="H508" s="6">
        <v>0.0</v>
      </c>
      <c r="I508" s="6">
        <v>0.0</v>
      </c>
      <c r="J508" s="6">
        <v>5.0</v>
      </c>
      <c r="K508" s="6">
        <v>0.0</v>
      </c>
      <c r="L508" s="6">
        <v>0.0</v>
      </c>
      <c r="M508" s="6">
        <v>0.0</v>
      </c>
      <c r="N508" s="669">
        <v>3361000.0</v>
      </c>
      <c r="O508" s="6">
        <v>0.0</v>
      </c>
      <c r="P508" s="6">
        <v>0.0</v>
      </c>
      <c r="Q508" s="6">
        <v>0.0</v>
      </c>
      <c r="R508" s="6">
        <v>0.0</v>
      </c>
      <c r="S508" s="6">
        <v>0.0</v>
      </c>
      <c r="T508" s="6">
        <v>0.0</v>
      </c>
      <c r="U508" s="6">
        <v>0.0</v>
      </c>
    </row>
    <row r="509">
      <c r="A509" s="6" t="s">
        <v>633</v>
      </c>
      <c r="B509" s="6" t="s">
        <v>11576</v>
      </c>
      <c r="C509" s="6" t="s">
        <v>11591</v>
      </c>
      <c r="D509" s="6" t="s">
        <v>128</v>
      </c>
      <c r="E509" s="6" t="s">
        <v>632</v>
      </c>
      <c r="G509" s="6" t="s">
        <v>2939</v>
      </c>
      <c r="H509" s="6">
        <v>1.0</v>
      </c>
      <c r="I509" s="6">
        <v>0.0</v>
      </c>
      <c r="J509" s="6">
        <v>7.0</v>
      </c>
      <c r="K509" s="6">
        <v>0.0</v>
      </c>
      <c r="L509" s="6">
        <v>0.0</v>
      </c>
      <c r="M509" s="6">
        <v>0.0</v>
      </c>
      <c r="N509" s="669">
        <v>869000.0</v>
      </c>
      <c r="O509" s="6">
        <v>0.0</v>
      </c>
      <c r="P509" s="6">
        <v>0.0</v>
      </c>
      <c r="Q509" s="6">
        <v>0.0</v>
      </c>
      <c r="R509" s="6">
        <v>0.0</v>
      </c>
      <c r="S509" s="6">
        <v>0.0</v>
      </c>
      <c r="T509" s="6">
        <v>0.0</v>
      </c>
      <c r="U509" s="6">
        <v>0.0</v>
      </c>
    </row>
    <row r="510">
      <c r="A510" s="6" t="s">
        <v>634</v>
      </c>
      <c r="B510" s="6" t="s">
        <v>11578</v>
      </c>
      <c r="C510" s="6" t="s">
        <v>11591</v>
      </c>
      <c r="D510" s="6" t="s">
        <v>130</v>
      </c>
      <c r="E510" s="6" t="s">
        <v>632</v>
      </c>
      <c r="G510" s="6" t="s">
        <v>2939</v>
      </c>
      <c r="H510" s="6">
        <v>10.0</v>
      </c>
      <c r="I510" s="6">
        <v>0.0</v>
      </c>
      <c r="J510" s="6">
        <v>0.0</v>
      </c>
      <c r="K510" s="6">
        <v>0.0</v>
      </c>
      <c r="L510" s="6">
        <v>0.0</v>
      </c>
      <c r="M510" s="6">
        <v>0.0</v>
      </c>
      <c r="N510" s="669">
        <v>869000.0</v>
      </c>
      <c r="O510" s="6">
        <v>0.0</v>
      </c>
      <c r="P510" s="6">
        <v>0.0</v>
      </c>
      <c r="Q510" s="6">
        <v>0.0</v>
      </c>
      <c r="R510" s="6">
        <v>0.0</v>
      </c>
      <c r="S510" s="6">
        <v>0.0</v>
      </c>
      <c r="T510" s="6">
        <v>0.0</v>
      </c>
      <c r="U510" s="6">
        <v>0.0</v>
      </c>
    </row>
    <row r="511">
      <c r="A511" s="6" t="s">
        <v>635</v>
      </c>
      <c r="B511" s="6" t="s">
        <v>11578</v>
      </c>
      <c r="C511" s="6" t="s">
        <v>11591</v>
      </c>
      <c r="D511" s="6" t="s">
        <v>132</v>
      </c>
      <c r="E511" s="6" t="s">
        <v>632</v>
      </c>
      <c r="G511" s="6" t="s">
        <v>2939</v>
      </c>
      <c r="H511" s="6">
        <v>3.0</v>
      </c>
      <c r="I511" s="6">
        <v>0.0</v>
      </c>
      <c r="J511" s="6">
        <v>0.0</v>
      </c>
      <c r="K511" s="6">
        <v>0.0</v>
      </c>
      <c r="L511" s="6">
        <v>0.0</v>
      </c>
      <c r="M511" s="6">
        <v>0.0</v>
      </c>
      <c r="N511" s="669">
        <v>869000.0</v>
      </c>
      <c r="O511" s="6">
        <v>0.0</v>
      </c>
      <c r="P511" s="6">
        <v>0.0</v>
      </c>
      <c r="Q511" s="6">
        <v>0.0</v>
      </c>
      <c r="R511" s="6">
        <v>0.0</v>
      </c>
      <c r="S511" s="6">
        <v>0.0</v>
      </c>
      <c r="T511" s="6">
        <v>0.0</v>
      </c>
      <c r="U511" s="6">
        <v>0.0</v>
      </c>
    </row>
    <row r="512">
      <c r="A512" s="6" t="s">
        <v>636</v>
      </c>
      <c r="B512" s="6" t="s">
        <v>11576</v>
      </c>
      <c r="C512" s="6" t="s">
        <v>11591</v>
      </c>
      <c r="D512" s="6" t="s">
        <v>134</v>
      </c>
      <c r="E512" s="6" t="s">
        <v>632</v>
      </c>
      <c r="G512" s="6" t="s">
        <v>2939</v>
      </c>
      <c r="H512" s="6">
        <v>0.0</v>
      </c>
      <c r="I512" s="6">
        <v>0.0</v>
      </c>
      <c r="J512" s="6">
        <v>1.0</v>
      </c>
      <c r="K512" s="6">
        <v>0.0</v>
      </c>
      <c r="L512" s="6">
        <v>0.0</v>
      </c>
      <c r="M512" s="6">
        <v>0.0</v>
      </c>
      <c r="N512" s="669">
        <v>869000.0</v>
      </c>
      <c r="O512" s="6">
        <v>0.0</v>
      </c>
      <c r="P512" s="6">
        <v>0.0</v>
      </c>
      <c r="Q512" s="6">
        <v>0.0</v>
      </c>
      <c r="R512" s="6">
        <v>0.0</v>
      </c>
      <c r="S512" s="6">
        <v>0.0</v>
      </c>
      <c r="T512" s="6">
        <v>0.0</v>
      </c>
      <c r="U512" s="6">
        <v>0.0</v>
      </c>
    </row>
    <row r="513">
      <c r="A513" s="6" t="s">
        <v>637</v>
      </c>
      <c r="B513" s="6" t="s">
        <v>11576</v>
      </c>
      <c r="C513" s="6" t="s">
        <v>11579</v>
      </c>
      <c r="D513" s="6" t="s">
        <v>41</v>
      </c>
      <c r="E513" s="6" t="s">
        <v>638</v>
      </c>
      <c r="F513" s="6" t="s">
        <v>1377</v>
      </c>
      <c r="G513" s="6" t="s">
        <v>2939</v>
      </c>
      <c r="H513" s="6">
        <v>0.0</v>
      </c>
      <c r="I513" s="6">
        <v>0.0</v>
      </c>
      <c r="J513" s="6">
        <v>4.0</v>
      </c>
      <c r="K513" s="6">
        <v>0.0</v>
      </c>
      <c r="L513" s="6">
        <v>0.0</v>
      </c>
      <c r="M513" s="6">
        <v>0.0</v>
      </c>
      <c r="N513" s="669">
        <v>2570000.0</v>
      </c>
      <c r="O513" s="6">
        <v>0.0</v>
      </c>
      <c r="P513" s="6">
        <v>0.0</v>
      </c>
      <c r="Q513" s="6">
        <v>0.0</v>
      </c>
      <c r="R513" s="6">
        <v>0.0</v>
      </c>
      <c r="S513" s="6">
        <v>0.0</v>
      </c>
      <c r="T513" s="6">
        <v>0.0</v>
      </c>
      <c r="U513" s="6">
        <v>0.0</v>
      </c>
    </row>
    <row r="514">
      <c r="A514" s="6" t="s">
        <v>1580</v>
      </c>
      <c r="B514" s="6" t="s">
        <v>11569</v>
      </c>
      <c r="C514" s="6" t="s">
        <v>11579</v>
      </c>
      <c r="D514" s="6" t="s">
        <v>41</v>
      </c>
      <c r="E514" s="6" t="s">
        <v>1581</v>
      </c>
      <c r="F514" s="6" t="s">
        <v>1377</v>
      </c>
      <c r="G514" s="6" t="s">
        <v>2939</v>
      </c>
      <c r="H514" s="6">
        <v>0.0</v>
      </c>
      <c r="I514" s="6">
        <v>0.0</v>
      </c>
      <c r="J514" s="6">
        <v>1.0</v>
      </c>
      <c r="K514" s="6">
        <v>2.0</v>
      </c>
      <c r="L514" s="6">
        <v>0.0</v>
      </c>
      <c r="M514" s="6">
        <v>0.0</v>
      </c>
      <c r="N514" s="669">
        <v>2708000.0</v>
      </c>
      <c r="O514" s="6">
        <v>0.0</v>
      </c>
      <c r="P514" s="6">
        <v>0.0</v>
      </c>
      <c r="Q514" s="6">
        <v>0.0</v>
      </c>
      <c r="R514" s="6">
        <v>0.0</v>
      </c>
      <c r="S514" s="6">
        <v>0.0</v>
      </c>
      <c r="T514" s="6">
        <v>0.0</v>
      </c>
      <c r="U514" s="6">
        <v>0.0</v>
      </c>
    </row>
    <row r="515">
      <c r="A515" s="6" t="s">
        <v>639</v>
      </c>
      <c r="B515" s="6" t="s">
        <v>11578</v>
      </c>
      <c r="C515" s="6" t="s">
        <v>11570</v>
      </c>
      <c r="D515" s="6" t="s">
        <v>22</v>
      </c>
      <c r="E515" s="6" t="s">
        <v>640</v>
      </c>
      <c r="F515" s="6" t="s">
        <v>75</v>
      </c>
      <c r="G515" s="6" t="s">
        <v>2939</v>
      </c>
      <c r="H515" s="6">
        <v>0.0</v>
      </c>
      <c r="I515" s="6">
        <v>0.0</v>
      </c>
      <c r="J515" s="6">
        <v>0.0</v>
      </c>
      <c r="K515" s="6">
        <v>0.0</v>
      </c>
      <c r="L515" s="6">
        <v>0.0</v>
      </c>
      <c r="M515" s="6">
        <v>0.0</v>
      </c>
      <c r="N515" s="669">
        <v>3026000.0</v>
      </c>
      <c r="O515" s="6">
        <v>0.0</v>
      </c>
      <c r="P515" s="6">
        <v>0.0</v>
      </c>
      <c r="Q515" s="6">
        <v>0.0</v>
      </c>
      <c r="R515" s="6">
        <v>0.0</v>
      </c>
      <c r="S515" s="6">
        <v>5.0</v>
      </c>
      <c r="T515" s="6">
        <v>0.0</v>
      </c>
      <c r="U515" s="6">
        <v>0.0</v>
      </c>
    </row>
    <row r="516">
      <c r="A516" s="6" t="s">
        <v>641</v>
      </c>
      <c r="B516" s="6" t="s">
        <v>11578</v>
      </c>
      <c r="C516" s="6" t="s">
        <v>11579</v>
      </c>
      <c r="D516" s="6" t="s">
        <v>41</v>
      </c>
      <c r="E516" s="6" t="s">
        <v>640</v>
      </c>
      <c r="F516" s="6" t="s">
        <v>1377</v>
      </c>
      <c r="G516" s="6" t="s">
        <v>2939</v>
      </c>
      <c r="H516" s="6">
        <v>4.0</v>
      </c>
      <c r="I516" s="6">
        <v>1.0</v>
      </c>
      <c r="J516" s="6">
        <v>0.0</v>
      </c>
      <c r="K516" s="6">
        <v>0.0</v>
      </c>
      <c r="L516" s="6">
        <v>0.0</v>
      </c>
      <c r="M516" s="6">
        <v>0.0</v>
      </c>
      <c r="N516" s="669">
        <v>2892000.0</v>
      </c>
      <c r="O516" s="6">
        <v>0.0</v>
      </c>
      <c r="P516" s="6">
        <v>0.0</v>
      </c>
      <c r="Q516" s="6">
        <v>0.0</v>
      </c>
      <c r="R516" s="6">
        <v>0.0</v>
      </c>
      <c r="S516" s="6">
        <v>0.0</v>
      </c>
      <c r="T516" s="6">
        <v>0.0</v>
      </c>
      <c r="U516" s="6">
        <v>0.0</v>
      </c>
    </row>
    <row r="517">
      <c r="A517" s="6" t="s">
        <v>642</v>
      </c>
      <c r="B517" s="6" t="s">
        <v>11578</v>
      </c>
      <c r="C517" s="6" t="s">
        <v>11591</v>
      </c>
      <c r="D517" s="6" t="s">
        <v>130</v>
      </c>
      <c r="E517" s="6" t="s">
        <v>640</v>
      </c>
      <c r="G517" s="6" t="s">
        <v>2939</v>
      </c>
      <c r="H517" s="6" t="s">
        <v>11590</v>
      </c>
      <c r="I517" s="6">
        <v>0.0</v>
      </c>
      <c r="J517" s="6">
        <v>0.0</v>
      </c>
      <c r="K517" s="6">
        <v>0.0</v>
      </c>
      <c r="L517" s="6">
        <v>0.0</v>
      </c>
      <c r="M517" s="6">
        <v>0.0</v>
      </c>
      <c r="N517" s="669">
        <v>966000.0</v>
      </c>
      <c r="O517" s="6">
        <v>0.0</v>
      </c>
      <c r="P517" s="6">
        <v>0.0</v>
      </c>
      <c r="Q517" s="6">
        <v>0.0</v>
      </c>
      <c r="R517" s="6">
        <v>0.0</v>
      </c>
      <c r="S517" s="6">
        <v>0.0</v>
      </c>
      <c r="T517" s="6">
        <v>0.0</v>
      </c>
      <c r="U517" s="6">
        <v>0.0</v>
      </c>
    </row>
    <row r="518">
      <c r="A518" s="6" t="s">
        <v>643</v>
      </c>
      <c r="B518" s="6" t="s">
        <v>11578</v>
      </c>
      <c r="C518" s="6" t="s">
        <v>11591</v>
      </c>
      <c r="D518" s="6" t="s">
        <v>132</v>
      </c>
      <c r="E518" s="6" t="s">
        <v>640</v>
      </c>
      <c r="G518" s="6" t="s">
        <v>2939</v>
      </c>
      <c r="H518" s="6">
        <v>3.0</v>
      </c>
      <c r="I518" s="6">
        <v>0.0</v>
      </c>
      <c r="J518" s="6">
        <v>0.0</v>
      </c>
      <c r="K518" s="6">
        <v>0.0</v>
      </c>
      <c r="L518" s="6">
        <v>0.0</v>
      </c>
      <c r="M518" s="6">
        <v>0.0</v>
      </c>
      <c r="N518" s="669">
        <v>966000.0</v>
      </c>
      <c r="O518" s="6">
        <v>0.0</v>
      </c>
      <c r="P518" s="6">
        <v>0.0</v>
      </c>
      <c r="Q518" s="6">
        <v>0.0</v>
      </c>
      <c r="R518" s="6">
        <v>0.0</v>
      </c>
      <c r="S518" s="6">
        <v>0.0</v>
      </c>
      <c r="T518" s="6">
        <v>0.0</v>
      </c>
      <c r="U518" s="6">
        <v>0.0</v>
      </c>
    </row>
    <row r="519">
      <c r="A519" s="6" t="s">
        <v>644</v>
      </c>
      <c r="B519" s="6" t="s">
        <v>11578</v>
      </c>
      <c r="C519" s="6" t="s">
        <v>11591</v>
      </c>
      <c r="D519" s="6" t="s">
        <v>134</v>
      </c>
      <c r="E519" s="6" t="s">
        <v>640</v>
      </c>
      <c r="G519" s="6" t="s">
        <v>2939</v>
      </c>
      <c r="H519" s="6">
        <v>3.0</v>
      </c>
      <c r="I519" s="6">
        <v>0.0</v>
      </c>
      <c r="J519" s="6">
        <v>0.0</v>
      </c>
      <c r="K519" s="6">
        <v>0.0</v>
      </c>
      <c r="L519" s="6">
        <v>0.0</v>
      </c>
      <c r="M519" s="6">
        <v>0.0</v>
      </c>
      <c r="N519" s="669">
        <v>966000.0</v>
      </c>
      <c r="O519" s="6">
        <v>0.0</v>
      </c>
      <c r="P519" s="6">
        <v>0.0</v>
      </c>
      <c r="Q519" s="6">
        <v>0.0</v>
      </c>
      <c r="R519" s="6">
        <v>0.0</v>
      </c>
      <c r="S519" s="6">
        <v>0.0</v>
      </c>
      <c r="T519" s="6">
        <v>0.0</v>
      </c>
      <c r="U519" s="6">
        <v>0.0</v>
      </c>
    </row>
    <row r="520">
      <c r="A520" s="6" t="s">
        <v>1948</v>
      </c>
      <c r="B520" s="6" t="s">
        <v>11653</v>
      </c>
      <c r="C520" s="6" t="s">
        <v>11570</v>
      </c>
      <c r="D520" s="6" t="s">
        <v>22</v>
      </c>
      <c r="E520" s="6" t="s">
        <v>646</v>
      </c>
      <c r="F520" s="6" t="s">
        <v>97</v>
      </c>
      <c r="G520" s="6" t="s">
        <v>2939</v>
      </c>
      <c r="H520" s="6">
        <v>0.0</v>
      </c>
      <c r="I520" s="6">
        <v>0.0</v>
      </c>
      <c r="J520" s="6">
        <v>0.0</v>
      </c>
      <c r="K520" s="6">
        <v>0.0</v>
      </c>
      <c r="L520" s="6" t="s">
        <v>11590</v>
      </c>
      <c r="M520" s="6">
        <v>0.0</v>
      </c>
      <c r="N520" s="669">
        <v>1150000.0</v>
      </c>
      <c r="O520" s="6">
        <v>10.0</v>
      </c>
      <c r="P520" s="6">
        <v>0.0</v>
      </c>
      <c r="Q520" s="6">
        <v>0.0</v>
      </c>
      <c r="R520" s="6">
        <v>0.0</v>
      </c>
      <c r="S520" s="6">
        <v>0.0</v>
      </c>
      <c r="T520" s="6">
        <v>0.0</v>
      </c>
      <c r="U520" s="6">
        <v>0.0</v>
      </c>
    </row>
    <row r="521">
      <c r="A521" s="6" t="s">
        <v>645</v>
      </c>
      <c r="B521" s="6" t="s">
        <v>11576</v>
      </c>
      <c r="C521" s="6" t="s">
        <v>11579</v>
      </c>
      <c r="D521" s="6" t="s">
        <v>41</v>
      </c>
      <c r="E521" s="6" t="s">
        <v>646</v>
      </c>
      <c r="F521" s="6" t="s">
        <v>2193</v>
      </c>
      <c r="G521" s="6" t="s">
        <v>2939</v>
      </c>
      <c r="H521" s="6">
        <v>0.0</v>
      </c>
      <c r="I521" s="6">
        <v>0.0</v>
      </c>
      <c r="J521" s="6">
        <v>7.0</v>
      </c>
      <c r="K521" s="6">
        <v>0.0</v>
      </c>
      <c r="L521" s="6">
        <v>0.0</v>
      </c>
      <c r="M521" s="6">
        <v>0.0</v>
      </c>
      <c r="N521" s="669">
        <v>2313000.0</v>
      </c>
      <c r="O521" s="6">
        <v>0.0</v>
      </c>
      <c r="P521" s="6">
        <v>0.0</v>
      </c>
      <c r="Q521" s="6">
        <v>0.0</v>
      </c>
      <c r="R521" s="6">
        <v>0.0</v>
      </c>
      <c r="S521" s="6">
        <v>0.0</v>
      </c>
      <c r="T521" s="6">
        <v>0.0</v>
      </c>
      <c r="U521" s="6">
        <v>0.0</v>
      </c>
    </row>
    <row r="522">
      <c r="A522" s="6" t="s">
        <v>2048</v>
      </c>
      <c r="B522" s="6" t="s">
        <v>11653</v>
      </c>
      <c r="C522" s="6" t="s">
        <v>11570</v>
      </c>
      <c r="D522" s="6" t="s">
        <v>22</v>
      </c>
      <c r="E522" s="6" t="s">
        <v>2049</v>
      </c>
      <c r="F522" s="6" t="s">
        <v>125</v>
      </c>
      <c r="G522" s="6" t="s">
        <v>2939</v>
      </c>
      <c r="H522" s="6">
        <v>0.0</v>
      </c>
      <c r="I522" s="6">
        <v>0.0</v>
      </c>
      <c r="J522" s="6">
        <v>0.0</v>
      </c>
      <c r="K522" s="6">
        <v>0.0</v>
      </c>
      <c r="L522" s="6">
        <v>10.0</v>
      </c>
      <c r="M522" s="6">
        <v>10.0</v>
      </c>
      <c r="N522" s="669">
        <v>1619000.0</v>
      </c>
      <c r="O522" s="6">
        <v>0.0</v>
      </c>
      <c r="P522" s="6">
        <v>10.0</v>
      </c>
      <c r="Q522" s="6">
        <v>0.0</v>
      </c>
      <c r="R522" s="6">
        <v>0.0</v>
      </c>
      <c r="S522" s="6">
        <v>0.0</v>
      </c>
      <c r="T522" s="6">
        <v>0.0</v>
      </c>
      <c r="U522" s="6">
        <v>0.0</v>
      </c>
    </row>
    <row r="523">
      <c r="A523" s="6" t="s">
        <v>647</v>
      </c>
      <c r="B523" s="6" t="s">
        <v>11576</v>
      </c>
      <c r="C523" s="6" t="s">
        <v>11570</v>
      </c>
      <c r="D523" s="6" t="s">
        <v>22</v>
      </c>
      <c r="E523" s="6" t="s">
        <v>648</v>
      </c>
      <c r="F523" s="6" t="s">
        <v>97</v>
      </c>
      <c r="G523" s="6" t="s">
        <v>2939</v>
      </c>
      <c r="H523" s="6">
        <v>0.0</v>
      </c>
      <c r="I523" s="6">
        <v>0.0</v>
      </c>
      <c r="J523" s="6">
        <v>1.0</v>
      </c>
      <c r="K523" s="6">
        <v>0.0</v>
      </c>
      <c r="L523" s="6">
        <v>0.0</v>
      </c>
      <c r="M523" s="6">
        <v>0.0</v>
      </c>
      <c r="N523" s="669">
        <v>1209000.0</v>
      </c>
      <c r="O523" s="6">
        <v>0.0</v>
      </c>
      <c r="P523" s="6">
        <v>0.0</v>
      </c>
      <c r="Q523" s="6">
        <v>0.0</v>
      </c>
      <c r="R523" s="6">
        <v>0.0</v>
      </c>
      <c r="S523" s="6" t="s">
        <v>11590</v>
      </c>
      <c r="T523" s="6">
        <v>10.0</v>
      </c>
      <c r="U523" s="6">
        <v>0.0</v>
      </c>
    </row>
    <row r="524">
      <c r="A524" s="6" t="s">
        <v>649</v>
      </c>
      <c r="B524" s="6" t="s">
        <v>11576</v>
      </c>
      <c r="C524" s="6" t="s">
        <v>11579</v>
      </c>
      <c r="D524" s="6" t="s">
        <v>41</v>
      </c>
      <c r="E524" s="6" t="s">
        <v>648</v>
      </c>
      <c r="F524" s="6" t="s">
        <v>2193</v>
      </c>
      <c r="G524" s="6" t="s">
        <v>2939</v>
      </c>
      <c r="H524" s="6">
        <v>0.0</v>
      </c>
      <c r="I524" s="6">
        <v>0.0</v>
      </c>
      <c r="J524" s="6">
        <v>0.0</v>
      </c>
      <c r="K524" s="6">
        <v>6.0</v>
      </c>
      <c r="L524" s="6">
        <v>0.0</v>
      </c>
      <c r="M524" s="6">
        <v>0.0</v>
      </c>
      <c r="N524" s="669">
        <v>1832000.0</v>
      </c>
      <c r="O524" s="6">
        <v>0.0</v>
      </c>
      <c r="P524" s="6">
        <v>0.0</v>
      </c>
      <c r="Q524" s="6">
        <v>0.0</v>
      </c>
      <c r="R524" s="6">
        <v>0.0</v>
      </c>
      <c r="S524" s="6">
        <v>5.0</v>
      </c>
      <c r="T524" s="6">
        <v>0.0</v>
      </c>
      <c r="U524" s="6">
        <v>0.0</v>
      </c>
    </row>
    <row r="525">
      <c r="A525" s="6" t="s">
        <v>11767</v>
      </c>
      <c r="E525" s="6" t="s">
        <v>11767</v>
      </c>
      <c r="N525" s="668"/>
    </row>
    <row r="526">
      <c r="A526" s="6" t="s">
        <v>1582</v>
      </c>
      <c r="B526" s="6" t="s">
        <v>11569</v>
      </c>
      <c r="C526" s="6" t="s">
        <v>11570</v>
      </c>
      <c r="D526" s="6" t="s">
        <v>22</v>
      </c>
      <c r="E526" s="6" t="s">
        <v>11768</v>
      </c>
      <c r="F526" s="6" t="s">
        <v>23</v>
      </c>
      <c r="G526" s="6" t="s">
        <v>2939</v>
      </c>
      <c r="H526" s="6">
        <v>0.0</v>
      </c>
      <c r="I526" s="6">
        <v>0.0</v>
      </c>
      <c r="J526" s="6">
        <v>1.0</v>
      </c>
      <c r="K526" s="6">
        <v>0.0</v>
      </c>
      <c r="L526" s="6">
        <v>0.0</v>
      </c>
      <c r="M526" s="6">
        <v>0.0</v>
      </c>
      <c r="N526" s="669">
        <v>5051000.0</v>
      </c>
      <c r="O526" s="6">
        <v>0.0</v>
      </c>
      <c r="P526" s="6">
        <v>0.0</v>
      </c>
      <c r="Q526" s="6">
        <v>0.0</v>
      </c>
      <c r="R526" s="6">
        <v>0.0</v>
      </c>
      <c r="S526" s="6">
        <v>5.0</v>
      </c>
      <c r="T526" s="6">
        <v>0.0</v>
      </c>
      <c r="U526" s="6">
        <v>0.0</v>
      </c>
    </row>
    <row r="527">
      <c r="A527" s="6" t="s">
        <v>650</v>
      </c>
      <c r="B527" s="6" t="s">
        <v>11576</v>
      </c>
      <c r="C527" s="6" t="s">
        <v>11570</v>
      </c>
      <c r="D527" s="6" t="s">
        <v>22</v>
      </c>
      <c r="E527" s="6" t="s">
        <v>11769</v>
      </c>
      <c r="F527" s="6" t="s">
        <v>125</v>
      </c>
      <c r="G527" s="6" t="s">
        <v>2939</v>
      </c>
      <c r="H527" s="6">
        <v>0.0</v>
      </c>
      <c r="I527" s="6">
        <v>0.0</v>
      </c>
      <c r="J527" s="6">
        <v>0.0</v>
      </c>
      <c r="K527" s="6">
        <v>4.0</v>
      </c>
      <c r="L527" s="6">
        <v>0.0</v>
      </c>
      <c r="M527" s="6">
        <v>0.0</v>
      </c>
      <c r="N527" s="669">
        <v>4032000.0</v>
      </c>
      <c r="O527" s="6">
        <v>0.0</v>
      </c>
      <c r="P527" s="6">
        <v>0.0</v>
      </c>
      <c r="Q527" s="6">
        <v>0.0</v>
      </c>
      <c r="R527" s="6">
        <v>0.0</v>
      </c>
      <c r="S527" s="6">
        <v>0.0</v>
      </c>
      <c r="T527" s="6">
        <v>0.0</v>
      </c>
      <c r="U527" s="6">
        <v>0.0</v>
      </c>
    </row>
    <row r="528">
      <c r="A528" s="6" t="s">
        <v>652</v>
      </c>
      <c r="B528" s="6" t="s">
        <v>11578</v>
      </c>
      <c r="C528" s="6" t="s">
        <v>11579</v>
      </c>
      <c r="D528" s="6" t="s">
        <v>41</v>
      </c>
      <c r="E528" s="6" t="s">
        <v>11770</v>
      </c>
      <c r="F528" s="6" t="s">
        <v>2193</v>
      </c>
      <c r="G528" s="6" t="s">
        <v>2939</v>
      </c>
      <c r="H528" s="6">
        <v>2.0</v>
      </c>
      <c r="I528" s="6">
        <v>0.0</v>
      </c>
      <c r="J528" s="6">
        <v>0.0</v>
      </c>
      <c r="K528" s="6">
        <v>0.0</v>
      </c>
      <c r="L528" s="6">
        <v>0.0</v>
      </c>
      <c r="M528" s="6">
        <v>0.0</v>
      </c>
      <c r="N528" s="669">
        <v>3532000.0</v>
      </c>
      <c r="O528" s="6">
        <v>0.0</v>
      </c>
      <c r="P528" s="6">
        <v>0.0</v>
      </c>
      <c r="Q528" s="6">
        <v>0.0</v>
      </c>
      <c r="R528" s="6">
        <v>0.0</v>
      </c>
      <c r="S528" s="6">
        <v>0.0</v>
      </c>
      <c r="T528" s="6">
        <v>0.0</v>
      </c>
      <c r="U528" s="6">
        <v>0.0</v>
      </c>
    </row>
    <row r="529">
      <c r="A529" s="6" t="s">
        <v>654</v>
      </c>
      <c r="B529" s="6" t="s">
        <v>11576</v>
      </c>
      <c r="C529" s="6" t="s">
        <v>11570</v>
      </c>
      <c r="D529" s="6" t="s">
        <v>22</v>
      </c>
      <c r="E529" s="6" t="s">
        <v>11771</v>
      </c>
      <c r="F529" s="6" t="s">
        <v>75</v>
      </c>
      <c r="G529" s="6" t="s">
        <v>2939</v>
      </c>
      <c r="H529" s="6">
        <v>1.0</v>
      </c>
      <c r="I529" s="6">
        <v>0.0</v>
      </c>
      <c r="J529" s="6">
        <v>2.0</v>
      </c>
      <c r="K529" s="6">
        <v>0.0</v>
      </c>
      <c r="L529" s="6">
        <v>0.0</v>
      </c>
      <c r="M529" s="6">
        <v>0.0</v>
      </c>
      <c r="N529" s="669">
        <v>4032000.0</v>
      </c>
      <c r="O529" s="6">
        <v>0.0</v>
      </c>
      <c r="P529" s="6">
        <v>0.0</v>
      </c>
      <c r="Q529" s="6">
        <v>0.0</v>
      </c>
      <c r="R529" s="6">
        <v>0.0</v>
      </c>
      <c r="S529" s="6">
        <v>5.0</v>
      </c>
      <c r="T529" s="6">
        <v>0.0</v>
      </c>
      <c r="U529" s="6">
        <v>0.0</v>
      </c>
    </row>
    <row r="530">
      <c r="A530" s="6" t="s">
        <v>656</v>
      </c>
      <c r="B530" s="6" t="s">
        <v>11576</v>
      </c>
      <c r="C530" s="6" t="s">
        <v>11570</v>
      </c>
      <c r="D530" s="6" t="s">
        <v>22</v>
      </c>
      <c r="E530" s="6" t="s">
        <v>11771</v>
      </c>
      <c r="F530" s="6" t="s">
        <v>125</v>
      </c>
      <c r="G530" s="6" t="s">
        <v>2939</v>
      </c>
      <c r="H530" s="6">
        <v>0.0</v>
      </c>
      <c r="I530" s="6">
        <v>0.0</v>
      </c>
      <c r="J530" s="6" t="s">
        <v>11590</v>
      </c>
      <c r="K530" s="6">
        <v>0.0</v>
      </c>
      <c r="L530" s="6">
        <v>0.0</v>
      </c>
      <c r="M530" s="6">
        <v>0.0</v>
      </c>
      <c r="N530" s="669">
        <v>3865000.0</v>
      </c>
      <c r="O530" s="6">
        <v>0.0</v>
      </c>
      <c r="P530" s="6">
        <v>0.0</v>
      </c>
      <c r="Q530" s="6">
        <v>0.0</v>
      </c>
      <c r="R530" s="6">
        <v>0.0</v>
      </c>
      <c r="S530" s="6">
        <v>10.0</v>
      </c>
      <c r="T530" s="6">
        <v>0.0</v>
      </c>
      <c r="U530" s="6">
        <v>0.0</v>
      </c>
    </row>
    <row r="531">
      <c r="A531" s="6" t="s">
        <v>657</v>
      </c>
      <c r="B531" s="6" t="s">
        <v>11569</v>
      </c>
      <c r="C531" s="6" t="s">
        <v>11579</v>
      </c>
      <c r="D531" s="6" t="s">
        <v>41</v>
      </c>
      <c r="E531" s="6" t="s">
        <v>11772</v>
      </c>
      <c r="F531" s="6" t="s">
        <v>11773</v>
      </c>
      <c r="G531" s="6" t="s">
        <v>2939</v>
      </c>
      <c r="H531" s="6">
        <v>0.0</v>
      </c>
      <c r="I531" s="6">
        <v>0.0</v>
      </c>
      <c r="J531" s="6">
        <v>9.0</v>
      </c>
      <c r="K531" s="6">
        <v>0.0</v>
      </c>
      <c r="L531" s="6">
        <v>0.0</v>
      </c>
      <c r="M531" s="6">
        <v>0.0</v>
      </c>
      <c r="N531" s="669">
        <v>3863000.0</v>
      </c>
      <c r="O531" s="6">
        <v>0.0</v>
      </c>
      <c r="P531" s="6">
        <v>0.0</v>
      </c>
      <c r="Q531" s="6">
        <v>0.0</v>
      </c>
      <c r="R531" s="6">
        <v>0.0</v>
      </c>
      <c r="S531" s="6">
        <v>0.0</v>
      </c>
      <c r="T531" s="6">
        <v>0.0</v>
      </c>
      <c r="U531" s="6">
        <v>0.0</v>
      </c>
    </row>
    <row r="532">
      <c r="A532" s="6" t="s">
        <v>660</v>
      </c>
      <c r="B532" s="6" t="s">
        <v>11578</v>
      </c>
      <c r="C532" s="6" t="s">
        <v>11579</v>
      </c>
      <c r="D532" s="6" t="s">
        <v>41</v>
      </c>
      <c r="E532" s="6" t="s">
        <v>11774</v>
      </c>
      <c r="F532" s="6" t="s">
        <v>11773</v>
      </c>
      <c r="G532" s="6" t="s">
        <v>2939</v>
      </c>
      <c r="H532" s="6">
        <v>5.0</v>
      </c>
      <c r="I532" s="6">
        <v>0.0</v>
      </c>
      <c r="J532" s="6">
        <v>0.0</v>
      </c>
      <c r="K532" s="6">
        <v>0.0</v>
      </c>
      <c r="L532" s="6">
        <v>0.0</v>
      </c>
      <c r="M532" s="6">
        <v>0.0</v>
      </c>
      <c r="N532" s="669">
        <v>4336000.0</v>
      </c>
      <c r="O532" s="6">
        <v>0.0</v>
      </c>
      <c r="P532" s="6">
        <v>0.0</v>
      </c>
      <c r="Q532" s="6">
        <v>0.0</v>
      </c>
      <c r="R532" s="6">
        <v>0.0</v>
      </c>
      <c r="S532" s="6">
        <v>0.0</v>
      </c>
      <c r="T532" s="6">
        <v>0.0</v>
      </c>
      <c r="U532" s="6">
        <v>0.0</v>
      </c>
    </row>
    <row r="533">
      <c r="A533" s="6" t="s">
        <v>662</v>
      </c>
      <c r="B533" s="6" t="s">
        <v>11576</v>
      </c>
      <c r="C533" s="6" t="s">
        <v>11591</v>
      </c>
      <c r="D533" s="6" t="s">
        <v>128</v>
      </c>
      <c r="E533" s="6" t="s">
        <v>655</v>
      </c>
      <c r="G533" s="6" t="s">
        <v>2939</v>
      </c>
      <c r="H533" s="6">
        <v>0.0</v>
      </c>
      <c r="I533" s="6">
        <v>0.0</v>
      </c>
      <c r="J533" s="6">
        <v>6.0</v>
      </c>
      <c r="K533" s="6">
        <v>0.0</v>
      </c>
      <c r="L533" s="6">
        <v>0.0</v>
      </c>
      <c r="M533" s="6">
        <v>0.0</v>
      </c>
      <c r="N533" s="669">
        <v>804000.0</v>
      </c>
      <c r="O533" s="6">
        <v>0.0</v>
      </c>
      <c r="P533" s="6">
        <v>0.0</v>
      </c>
      <c r="Q533" s="6">
        <v>0.0</v>
      </c>
      <c r="R533" s="6">
        <v>0.0</v>
      </c>
      <c r="S533" s="6">
        <v>0.0</v>
      </c>
      <c r="T533" s="6">
        <v>0.0</v>
      </c>
      <c r="U533" s="6">
        <v>0.0</v>
      </c>
    </row>
    <row r="534">
      <c r="A534" s="6" t="s">
        <v>663</v>
      </c>
      <c r="B534" s="6" t="s">
        <v>11576</v>
      </c>
      <c r="C534" s="6" t="s">
        <v>11591</v>
      </c>
      <c r="D534" s="6" t="s">
        <v>130</v>
      </c>
      <c r="E534" s="6" t="s">
        <v>655</v>
      </c>
      <c r="G534" s="6" t="s">
        <v>2939</v>
      </c>
      <c r="H534" s="6">
        <v>0.0</v>
      </c>
      <c r="I534" s="6">
        <v>0.0</v>
      </c>
      <c r="J534" s="6">
        <v>3.0</v>
      </c>
      <c r="K534" s="6">
        <v>0.0</v>
      </c>
      <c r="L534" s="6">
        <v>0.0</v>
      </c>
      <c r="M534" s="6">
        <v>0.0</v>
      </c>
      <c r="N534" s="669">
        <v>804000.0</v>
      </c>
      <c r="O534" s="6">
        <v>0.0</v>
      </c>
      <c r="P534" s="6">
        <v>0.0</v>
      </c>
      <c r="Q534" s="6">
        <v>0.0</v>
      </c>
      <c r="R534" s="6">
        <v>0.0</v>
      </c>
      <c r="S534" s="6">
        <v>0.0</v>
      </c>
      <c r="T534" s="6">
        <v>0.0</v>
      </c>
      <c r="U534" s="6">
        <v>0.0</v>
      </c>
    </row>
    <row r="535">
      <c r="A535" s="6" t="s">
        <v>664</v>
      </c>
      <c r="B535" s="6" t="s">
        <v>11578</v>
      </c>
      <c r="C535" s="6" t="s">
        <v>11591</v>
      </c>
      <c r="D535" s="6" t="s">
        <v>132</v>
      </c>
      <c r="E535" s="6" t="s">
        <v>655</v>
      </c>
      <c r="G535" s="6" t="s">
        <v>2939</v>
      </c>
      <c r="H535" s="6">
        <v>3.0</v>
      </c>
      <c r="I535" s="6">
        <v>0.0</v>
      </c>
      <c r="J535" s="6">
        <v>0.0</v>
      </c>
      <c r="K535" s="6">
        <v>0.0</v>
      </c>
      <c r="L535" s="6">
        <v>0.0</v>
      </c>
      <c r="M535" s="6">
        <v>0.0</v>
      </c>
      <c r="N535" s="669">
        <v>804000.0</v>
      </c>
      <c r="O535" s="6">
        <v>0.0</v>
      </c>
      <c r="P535" s="6">
        <v>0.0</v>
      </c>
      <c r="Q535" s="6">
        <v>0.0</v>
      </c>
      <c r="R535" s="6">
        <v>0.0</v>
      </c>
      <c r="S535" s="6">
        <v>0.0</v>
      </c>
      <c r="T535" s="6">
        <v>0.0</v>
      </c>
      <c r="U535" s="6">
        <v>0.0</v>
      </c>
    </row>
    <row r="536">
      <c r="A536" s="6" t="s">
        <v>665</v>
      </c>
      <c r="B536" s="6" t="s">
        <v>11576</v>
      </c>
      <c r="C536" s="6" t="s">
        <v>11591</v>
      </c>
      <c r="D536" s="6" t="s">
        <v>134</v>
      </c>
      <c r="E536" s="6" t="s">
        <v>655</v>
      </c>
      <c r="G536" s="6" t="s">
        <v>2939</v>
      </c>
      <c r="H536" s="6">
        <v>0.0</v>
      </c>
      <c r="I536" s="6">
        <v>0.0</v>
      </c>
      <c r="J536" s="6">
        <v>2.0</v>
      </c>
      <c r="K536" s="6">
        <v>0.0</v>
      </c>
      <c r="L536" s="6">
        <v>0.0</v>
      </c>
      <c r="M536" s="6">
        <v>0.0</v>
      </c>
      <c r="N536" s="669">
        <v>804000.0</v>
      </c>
      <c r="O536" s="6">
        <v>0.0</v>
      </c>
      <c r="P536" s="6">
        <v>0.0</v>
      </c>
      <c r="Q536" s="6">
        <v>0.0</v>
      </c>
      <c r="R536" s="6">
        <v>0.0</v>
      </c>
      <c r="S536" s="6">
        <v>0.0</v>
      </c>
      <c r="T536" s="6">
        <v>0.0</v>
      </c>
      <c r="U536" s="6">
        <v>0.0</v>
      </c>
    </row>
    <row r="537">
      <c r="A537" s="6" t="s">
        <v>666</v>
      </c>
      <c r="B537" s="6" t="s">
        <v>11578</v>
      </c>
      <c r="C537" s="6" t="s">
        <v>11591</v>
      </c>
      <c r="D537" s="6" t="s">
        <v>387</v>
      </c>
      <c r="E537" s="6" t="s">
        <v>655</v>
      </c>
      <c r="G537" s="6" t="s">
        <v>2939</v>
      </c>
      <c r="H537" s="6">
        <v>1.0</v>
      </c>
      <c r="I537" s="6">
        <v>0.0</v>
      </c>
      <c r="J537" s="6">
        <v>0.0</v>
      </c>
      <c r="K537" s="6">
        <v>0.0</v>
      </c>
      <c r="L537" s="6">
        <v>0.0</v>
      </c>
      <c r="M537" s="6">
        <v>0.0</v>
      </c>
      <c r="N537" s="669">
        <v>436000.0</v>
      </c>
      <c r="O537" s="6">
        <v>0.0</v>
      </c>
      <c r="P537" s="6">
        <v>0.0</v>
      </c>
      <c r="Q537" s="6">
        <v>0.0</v>
      </c>
      <c r="R537" s="6">
        <v>0.0</v>
      </c>
      <c r="S537" s="6">
        <v>0.0</v>
      </c>
      <c r="T537" s="6">
        <v>0.0</v>
      </c>
      <c r="U537" s="6">
        <v>0.0</v>
      </c>
    </row>
    <row r="538">
      <c r="A538" s="6" t="s">
        <v>667</v>
      </c>
      <c r="B538" s="6" t="s">
        <v>11578</v>
      </c>
      <c r="C538" s="6" t="s">
        <v>11591</v>
      </c>
      <c r="D538" s="6" t="s">
        <v>389</v>
      </c>
      <c r="E538" s="6" t="s">
        <v>655</v>
      </c>
      <c r="G538" s="6" t="s">
        <v>2939</v>
      </c>
      <c r="H538" s="6">
        <v>0.0</v>
      </c>
      <c r="I538" s="6">
        <v>0.0</v>
      </c>
      <c r="J538" s="6">
        <v>0.0</v>
      </c>
      <c r="K538" s="6">
        <v>0.0</v>
      </c>
      <c r="L538" s="6">
        <v>0.0</v>
      </c>
      <c r="M538" s="6">
        <v>0.0</v>
      </c>
      <c r="N538" s="669">
        <v>436000.0</v>
      </c>
      <c r="O538" s="6">
        <v>0.0</v>
      </c>
      <c r="P538" s="6">
        <v>0.0</v>
      </c>
      <c r="Q538" s="6">
        <v>0.0</v>
      </c>
      <c r="R538" s="6">
        <v>0.0</v>
      </c>
      <c r="S538" s="6">
        <v>0.0</v>
      </c>
      <c r="T538" s="6">
        <v>0.0</v>
      </c>
      <c r="U538" s="6">
        <v>0.0</v>
      </c>
    </row>
    <row r="539">
      <c r="A539" s="6" t="s">
        <v>668</v>
      </c>
      <c r="B539" s="6" t="s">
        <v>11578</v>
      </c>
      <c r="C539" s="6" t="s">
        <v>11591</v>
      </c>
      <c r="D539" s="6" t="s">
        <v>202</v>
      </c>
      <c r="E539" s="6" t="s">
        <v>655</v>
      </c>
      <c r="F539" s="6" t="s">
        <v>97</v>
      </c>
      <c r="G539" s="6" t="s">
        <v>2939</v>
      </c>
      <c r="H539" s="6">
        <v>5.0</v>
      </c>
      <c r="I539" s="6">
        <v>0.0</v>
      </c>
      <c r="J539" s="6">
        <v>0.0</v>
      </c>
      <c r="K539" s="6">
        <v>0.0</v>
      </c>
      <c r="L539" s="6">
        <v>0.0</v>
      </c>
      <c r="M539" s="6">
        <v>0.0</v>
      </c>
      <c r="N539" s="669">
        <v>725000.0</v>
      </c>
      <c r="O539" s="6">
        <v>0.0</v>
      </c>
      <c r="P539" s="6">
        <v>0.0</v>
      </c>
      <c r="Q539" s="6">
        <v>0.0</v>
      </c>
      <c r="R539" s="6">
        <v>0.0</v>
      </c>
      <c r="S539" s="6">
        <v>0.0</v>
      </c>
      <c r="T539" s="6">
        <v>0.0</v>
      </c>
      <c r="U539" s="6">
        <v>0.0</v>
      </c>
    </row>
    <row r="540">
      <c r="A540" s="6" t="s">
        <v>669</v>
      </c>
      <c r="B540" s="6" t="s">
        <v>11578</v>
      </c>
      <c r="C540" s="6" t="s">
        <v>11591</v>
      </c>
      <c r="D540" s="6" t="s">
        <v>236</v>
      </c>
      <c r="E540" s="6" t="s">
        <v>655</v>
      </c>
      <c r="F540" s="6" t="s">
        <v>97</v>
      </c>
      <c r="G540" s="6" t="s">
        <v>2939</v>
      </c>
      <c r="H540" s="6">
        <v>3.0</v>
      </c>
      <c r="I540" s="6">
        <v>0.0</v>
      </c>
      <c r="J540" s="6">
        <v>0.0</v>
      </c>
      <c r="K540" s="6">
        <v>0.0</v>
      </c>
      <c r="L540" s="6">
        <v>0.0</v>
      </c>
      <c r="M540" s="6">
        <v>0.0</v>
      </c>
      <c r="N540" s="669">
        <v>725000.0</v>
      </c>
      <c r="O540" s="6">
        <v>0.0</v>
      </c>
      <c r="P540" s="6">
        <v>0.0</v>
      </c>
      <c r="Q540" s="6">
        <v>0.0</v>
      </c>
      <c r="R540" s="6">
        <v>0.0</v>
      </c>
      <c r="S540" s="6">
        <v>0.0</v>
      </c>
      <c r="T540" s="6">
        <v>0.0</v>
      </c>
      <c r="U540" s="6">
        <v>0.0</v>
      </c>
    </row>
    <row r="541">
      <c r="A541" s="6" t="s">
        <v>670</v>
      </c>
      <c r="B541" s="6" t="s">
        <v>11576</v>
      </c>
      <c r="C541" s="6" t="s">
        <v>11570</v>
      </c>
      <c r="D541" s="6" t="s">
        <v>22</v>
      </c>
      <c r="E541" s="6" t="s">
        <v>671</v>
      </c>
      <c r="F541" s="6" t="s">
        <v>672</v>
      </c>
      <c r="G541" s="6" t="s">
        <v>2939</v>
      </c>
      <c r="H541" s="6">
        <v>0.0</v>
      </c>
      <c r="I541" s="6">
        <v>0.0</v>
      </c>
      <c r="J541" s="6">
        <v>7.0</v>
      </c>
      <c r="K541" s="6">
        <v>0.0</v>
      </c>
      <c r="L541" s="6">
        <v>0.0</v>
      </c>
      <c r="M541" s="6">
        <v>0.0</v>
      </c>
      <c r="N541" s="669">
        <v>4202000.0</v>
      </c>
      <c r="O541" s="6">
        <v>0.0</v>
      </c>
      <c r="P541" s="6">
        <v>0.0</v>
      </c>
      <c r="Q541" s="6">
        <v>0.0</v>
      </c>
      <c r="R541" s="6">
        <v>0.0</v>
      </c>
      <c r="S541" s="6">
        <v>0.0</v>
      </c>
      <c r="T541" s="6">
        <v>0.0</v>
      </c>
      <c r="U541" s="6">
        <v>0.0</v>
      </c>
    </row>
    <row r="542">
      <c r="A542" s="6" t="s">
        <v>673</v>
      </c>
      <c r="B542" s="6" t="s">
        <v>11576</v>
      </c>
      <c r="C542" s="6" t="s">
        <v>11579</v>
      </c>
      <c r="D542" s="6" t="s">
        <v>41</v>
      </c>
      <c r="E542" s="6" t="s">
        <v>674</v>
      </c>
      <c r="F542" s="6" t="s">
        <v>2062</v>
      </c>
      <c r="G542" s="6" t="s">
        <v>2939</v>
      </c>
      <c r="H542" s="6">
        <v>0.0</v>
      </c>
      <c r="I542" s="6">
        <v>0.0</v>
      </c>
      <c r="J542" s="6">
        <v>4.0</v>
      </c>
      <c r="K542" s="6">
        <v>5.0</v>
      </c>
      <c r="L542" s="6">
        <v>0.0</v>
      </c>
      <c r="M542" s="6">
        <v>0.0</v>
      </c>
      <c r="N542" s="669">
        <v>4096000.0</v>
      </c>
      <c r="O542" s="6">
        <v>0.0</v>
      </c>
      <c r="P542" s="6">
        <v>0.0</v>
      </c>
      <c r="Q542" s="6">
        <v>0.0</v>
      </c>
      <c r="R542" s="6">
        <v>0.0</v>
      </c>
      <c r="S542" s="6">
        <v>0.0</v>
      </c>
      <c r="T542" s="6">
        <v>0.0</v>
      </c>
      <c r="U542" s="6">
        <v>0.0</v>
      </c>
    </row>
    <row r="543">
      <c r="A543" s="6" t="s">
        <v>675</v>
      </c>
      <c r="B543" s="6" t="s">
        <v>11576</v>
      </c>
      <c r="C543" s="6" t="s">
        <v>11570</v>
      </c>
      <c r="D543" s="6" t="s">
        <v>22</v>
      </c>
      <c r="E543" s="6" t="s">
        <v>11775</v>
      </c>
      <c r="F543" s="6" t="s">
        <v>75</v>
      </c>
      <c r="G543" s="6" t="s">
        <v>2939</v>
      </c>
      <c r="H543" s="6">
        <v>0.0</v>
      </c>
      <c r="I543" s="6">
        <v>0.0</v>
      </c>
      <c r="J543" s="6">
        <v>3.0</v>
      </c>
      <c r="K543" s="6">
        <v>0.0</v>
      </c>
      <c r="L543" s="6">
        <v>0.0</v>
      </c>
      <c r="M543" s="6">
        <v>0.0</v>
      </c>
      <c r="N543" s="669">
        <v>4032000.0</v>
      </c>
      <c r="O543" s="6">
        <v>0.0</v>
      </c>
      <c r="P543" s="6">
        <v>0.0</v>
      </c>
      <c r="Q543" s="6">
        <v>0.0</v>
      </c>
      <c r="R543" s="6">
        <v>0.0</v>
      </c>
      <c r="S543" s="6">
        <v>0.0</v>
      </c>
      <c r="T543" s="6">
        <v>0.0</v>
      </c>
      <c r="U543" s="6">
        <v>0.0</v>
      </c>
    </row>
    <row r="544">
      <c r="A544" s="6" t="s">
        <v>677</v>
      </c>
      <c r="B544" s="6" t="s">
        <v>11576</v>
      </c>
      <c r="C544" s="6" t="s">
        <v>11579</v>
      </c>
      <c r="D544" s="6" t="s">
        <v>41</v>
      </c>
      <c r="E544" s="6" t="s">
        <v>11776</v>
      </c>
      <c r="F544" s="6" t="s">
        <v>1377</v>
      </c>
      <c r="G544" s="6" t="s">
        <v>2939</v>
      </c>
      <c r="H544" s="6">
        <v>0.0</v>
      </c>
      <c r="I544" s="6">
        <v>0.0</v>
      </c>
      <c r="J544" s="6">
        <v>4.0</v>
      </c>
      <c r="K544" s="6">
        <v>0.0</v>
      </c>
      <c r="L544" s="6">
        <v>0.0</v>
      </c>
      <c r="M544" s="6">
        <v>0.0</v>
      </c>
      <c r="N544" s="669">
        <v>3532000.0</v>
      </c>
      <c r="O544" s="6">
        <v>0.0</v>
      </c>
      <c r="P544" s="6">
        <v>0.0</v>
      </c>
      <c r="Q544" s="6">
        <v>0.0</v>
      </c>
      <c r="R544" s="6">
        <v>0.0</v>
      </c>
      <c r="S544" s="6">
        <v>0.0</v>
      </c>
      <c r="T544" s="6">
        <v>0.0</v>
      </c>
      <c r="U544" s="6">
        <v>0.0</v>
      </c>
    </row>
    <row r="545">
      <c r="A545" s="6" t="s">
        <v>11777</v>
      </c>
      <c r="B545" s="6" t="s">
        <v>11569</v>
      </c>
      <c r="C545" s="6" t="s">
        <v>11591</v>
      </c>
      <c r="D545" s="6" t="s">
        <v>128</v>
      </c>
      <c r="E545" s="6" t="s">
        <v>11776</v>
      </c>
      <c r="G545" s="6" t="s">
        <v>2939</v>
      </c>
      <c r="H545" s="6">
        <v>0.0</v>
      </c>
      <c r="I545" s="6">
        <v>0.0</v>
      </c>
      <c r="J545" s="6">
        <v>5.0</v>
      </c>
      <c r="K545" s="6">
        <v>0.0</v>
      </c>
      <c r="L545" s="6">
        <v>0.0</v>
      </c>
      <c r="M545" s="6">
        <v>0.0</v>
      </c>
      <c r="N545" s="669">
        <v>966000.0</v>
      </c>
      <c r="O545" s="6">
        <v>0.0</v>
      </c>
      <c r="P545" s="6">
        <v>0.0</v>
      </c>
      <c r="Q545" s="6">
        <v>0.0</v>
      </c>
      <c r="R545" s="6">
        <v>0.0</v>
      </c>
      <c r="S545" s="6">
        <v>0.0</v>
      </c>
      <c r="T545" s="6">
        <v>0.0</v>
      </c>
      <c r="U545" s="6">
        <v>0.0</v>
      </c>
    </row>
    <row r="546">
      <c r="A546" s="6" t="s">
        <v>11778</v>
      </c>
      <c r="B546" s="6" t="s">
        <v>11569</v>
      </c>
      <c r="C546" s="6" t="s">
        <v>11591</v>
      </c>
      <c r="D546" s="6" t="s">
        <v>130</v>
      </c>
      <c r="E546" s="6" t="s">
        <v>11776</v>
      </c>
      <c r="G546" s="6" t="s">
        <v>2939</v>
      </c>
      <c r="H546" s="6">
        <v>0.0</v>
      </c>
      <c r="I546" s="6">
        <v>0.0</v>
      </c>
      <c r="J546" s="6">
        <v>0.0</v>
      </c>
      <c r="K546" s="6">
        <v>0.0</v>
      </c>
      <c r="L546" s="6">
        <v>0.0</v>
      </c>
      <c r="M546" s="6">
        <v>0.0</v>
      </c>
      <c r="N546" s="669">
        <v>966000.0</v>
      </c>
      <c r="O546" s="6">
        <v>0.0</v>
      </c>
      <c r="P546" s="6">
        <v>0.0</v>
      </c>
      <c r="Q546" s="6">
        <v>0.0</v>
      </c>
      <c r="R546" s="6">
        <v>0.0</v>
      </c>
      <c r="S546" s="6">
        <v>0.0</v>
      </c>
      <c r="T546" s="6">
        <v>0.0</v>
      </c>
      <c r="U546" s="6">
        <v>0.0</v>
      </c>
    </row>
    <row r="547">
      <c r="A547" s="6" t="s">
        <v>679</v>
      </c>
      <c r="B547" s="6" t="s">
        <v>11578</v>
      </c>
      <c r="C547" s="6" t="s">
        <v>11591</v>
      </c>
      <c r="D547" s="6" t="s">
        <v>132</v>
      </c>
      <c r="E547" s="6" t="s">
        <v>11776</v>
      </c>
      <c r="G547" s="6" t="s">
        <v>2939</v>
      </c>
      <c r="H547" s="6">
        <v>0.0</v>
      </c>
      <c r="I547" s="6">
        <v>0.0</v>
      </c>
      <c r="J547" s="6">
        <v>0.0</v>
      </c>
      <c r="K547" s="6">
        <v>0.0</v>
      </c>
      <c r="L547" s="6">
        <v>0.0</v>
      </c>
      <c r="M547" s="6">
        <v>0.0</v>
      </c>
      <c r="N547" s="669">
        <v>966000.0</v>
      </c>
      <c r="O547" s="6">
        <v>0.0</v>
      </c>
      <c r="P547" s="6">
        <v>0.0</v>
      </c>
      <c r="Q547" s="6">
        <v>0.0</v>
      </c>
      <c r="R547" s="6">
        <v>0.0</v>
      </c>
      <c r="S547" s="6">
        <v>0.0</v>
      </c>
      <c r="T547" s="6">
        <v>0.0</v>
      </c>
      <c r="U547" s="6">
        <v>0.0</v>
      </c>
    </row>
    <row r="548">
      <c r="A548" s="6" t="s">
        <v>680</v>
      </c>
      <c r="B548" s="6" t="s">
        <v>11578</v>
      </c>
      <c r="C548" s="6" t="s">
        <v>11591</v>
      </c>
      <c r="D548" s="6" t="s">
        <v>134</v>
      </c>
      <c r="E548" s="6" t="s">
        <v>11776</v>
      </c>
      <c r="G548" s="6" t="s">
        <v>2939</v>
      </c>
      <c r="H548" s="6">
        <v>1.0</v>
      </c>
      <c r="I548" s="6">
        <v>0.0</v>
      </c>
      <c r="J548" s="6">
        <v>0.0</v>
      </c>
      <c r="K548" s="6">
        <v>0.0</v>
      </c>
      <c r="L548" s="6">
        <v>0.0</v>
      </c>
      <c r="M548" s="6">
        <v>0.0</v>
      </c>
      <c r="N548" s="669">
        <v>966000.0</v>
      </c>
      <c r="O548" s="6">
        <v>0.0</v>
      </c>
      <c r="P548" s="6">
        <v>0.0</v>
      </c>
      <c r="Q548" s="6">
        <v>0.0</v>
      </c>
      <c r="R548" s="6">
        <v>0.0</v>
      </c>
      <c r="S548" s="6">
        <v>0.0</v>
      </c>
      <c r="T548" s="6">
        <v>0.0</v>
      </c>
      <c r="U548" s="6">
        <v>0.0</v>
      </c>
    </row>
    <row r="549">
      <c r="A549" s="6" t="s">
        <v>681</v>
      </c>
      <c r="B549" s="6" t="s">
        <v>11578</v>
      </c>
      <c r="C549" s="6" t="s">
        <v>11591</v>
      </c>
      <c r="D549" s="6" t="s">
        <v>387</v>
      </c>
      <c r="E549" s="6" t="s">
        <v>11776</v>
      </c>
      <c r="G549" s="6" t="s">
        <v>2939</v>
      </c>
      <c r="H549" s="6">
        <v>3.0</v>
      </c>
      <c r="I549" s="6">
        <v>0.0</v>
      </c>
      <c r="J549" s="6">
        <v>0.0</v>
      </c>
      <c r="K549" s="6">
        <v>0.0</v>
      </c>
      <c r="L549" s="6">
        <v>0.0</v>
      </c>
      <c r="M549" s="6">
        <v>0.0</v>
      </c>
      <c r="N549" s="669">
        <v>403000.0</v>
      </c>
      <c r="O549" s="6">
        <v>0.0</v>
      </c>
      <c r="P549" s="6">
        <v>0.0</v>
      </c>
      <c r="Q549" s="6">
        <v>0.0</v>
      </c>
      <c r="R549" s="6">
        <v>0.0</v>
      </c>
      <c r="S549" s="6">
        <v>0.0</v>
      </c>
      <c r="T549" s="6">
        <v>0.0</v>
      </c>
      <c r="U549" s="6">
        <v>0.0</v>
      </c>
    </row>
    <row r="550">
      <c r="A550" s="6" t="s">
        <v>682</v>
      </c>
      <c r="B550" s="6" t="s">
        <v>11578</v>
      </c>
      <c r="C550" s="6" t="s">
        <v>11591</v>
      </c>
      <c r="D550" s="6" t="s">
        <v>389</v>
      </c>
      <c r="E550" s="6" t="s">
        <v>11776</v>
      </c>
      <c r="G550" s="6" t="s">
        <v>2939</v>
      </c>
      <c r="H550" s="6">
        <v>3.0</v>
      </c>
      <c r="I550" s="6">
        <v>0.0</v>
      </c>
      <c r="J550" s="6">
        <v>0.0</v>
      </c>
      <c r="K550" s="6">
        <v>0.0</v>
      </c>
      <c r="L550" s="6">
        <v>0.0</v>
      </c>
      <c r="M550" s="6">
        <v>0.0</v>
      </c>
      <c r="N550" s="669">
        <v>403000.0</v>
      </c>
      <c r="O550" s="6">
        <v>0.0</v>
      </c>
      <c r="P550" s="6">
        <v>0.0</v>
      </c>
      <c r="Q550" s="6">
        <v>0.0</v>
      </c>
      <c r="R550" s="6">
        <v>0.0</v>
      </c>
      <c r="S550" s="6">
        <v>0.0</v>
      </c>
      <c r="T550" s="6">
        <v>0.0</v>
      </c>
      <c r="U550" s="6">
        <v>0.0</v>
      </c>
    </row>
    <row r="551">
      <c r="A551" s="6" t="s">
        <v>683</v>
      </c>
      <c r="B551" s="6" t="s">
        <v>11578</v>
      </c>
      <c r="C551" s="6" t="s">
        <v>11591</v>
      </c>
      <c r="D551" s="6" t="s">
        <v>202</v>
      </c>
      <c r="E551" s="6" t="s">
        <v>11776</v>
      </c>
      <c r="F551" s="6" t="s">
        <v>97</v>
      </c>
      <c r="G551" s="6" t="s">
        <v>2939</v>
      </c>
      <c r="H551" s="6">
        <v>6.0</v>
      </c>
      <c r="I551" s="6">
        <v>0.0</v>
      </c>
      <c r="J551" s="6">
        <v>0.0</v>
      </c>
      <c r="K551" s="6">
        <v>0.0</v>
      </c>
      <c r="L551" s="6">
        <v>0.0</v>
      </c>
      <c r="M551" s="6">
        <v>0.0</v>
      </c>
      <c r="N551" s="669">
        <v>644000.0</v>
      </c>
      <c r="O551" s="6">
        <v>0.0</v>
      </c>
      <c r="P551" s="6">
        <v>0.0</v>
      </c>
      <c r="Q551" s="6">
        <v>0.0</v>
      </c>
      <c r="R551" s="6">
        <v>0.0</v>
      </c>
      <c r="S551" s="6">
        <v>0.0</v>
      </c>
      <c r="T551" s="6">
        <v>0.0</v>
      </c>
      <c r="U551" s="6">
        <v>0.0</v>
      </c>
    </row>
    <row r="552">
      <c r="A552" s="6" t="s">
        <v>684</v>
      </c>
      <c r="B552" s="6" t="s">
        <v>11578</v>
      </c>
      <c r="C552" s="6" t="s">
        <v>11591</v>
      </c>
      <c r="D552" s="6" t="s">
        <v>236</v>
      </c>
      <c r="E552" s="6" t="s">
        <v>11776</v>
      </c>
      <c r="F552" s="6" t="s">
        <v>97</v>
      </c>
      <c r="G552" s="6" t="s">
        <v>2939</v>
      </c>
      <c r="H552" s="6">
        <v>8.0</v>
      </c>
      <c r="I552" s="6">
        <v>0.0</v>
      </c>
      <c r="J552" s="6">
        <v>0.0</v>
      </c>
      <c r="K552" s="6">
        <v>0.0</v>
      </c>
      <c r="L552" s="6">
        <v>0.0</v>
      </c>
      <c r="M552" s="6">
        <v>0.0</v>
      </c>
      <c r="N552" s="669">
        <v>644000.0</v>
      </c>
      <c r="O552" s="6">
        <v>0.0</v>
      </c>
      <c r="P552" s="6">
        <v>0.0</v>
      </c>
      <c r="Q552" s="6">
        <v>0.0</v>
      </c>
      <c r="R552" s="6">
        <v>0.0</v>
      </c>
      <c r="S552" s="6">
        <v>0.0</v>
      </c>
      <c r="T552" s="6">
        <v>0.0</v>
      </c>
      <c r="U552" s="6">
        <v>0.0</v>
      </c>
    </row>
    <row r="553">
      <c r="A553" s="6" t="s">
        <v>1586</v>
      </c>
      <c r="B553" s="6" t="s">
        <v>11569</v>
      </c>
      <c r="C553" s="6" t="s">
        <v>11570</v>
      </c>
      <c r="D553" s="6" t="s">
        <v>22</v>
      </c>
      <c r="E553" s="6" t="s">
        <v>11779</v>
      </c>
      <c r="F553" s="6" t="s">
        <v>1588</v>
      </c>
      <c r="G553" s="6" t="s">
        <v>2939</v>
      </c>
      <c r="H553" s="6">
        <v>0.0</v>
      </c>
      <c r="I553" s="6">
        <v>0.0</v>
      </c>
      <c r="J553" s="6">
        <v>7.0</v>
      </c>
      <c r="K553" s="6">
        <v>0.0</v>
      </c>
      <c r="L553" s="6">
        <v>0.0</v>
      </c>
      <c r="M553" s="6">
        <v>0.0</v>
      </c>
      <c r="N553" s="669">
        <v>5051000.0</v>
      </c>
      <c r="O553" s="6">
        <v>0.0</v>
      </c>
      <c r="P553" s="6">
        <v>0.0</v>
      </c>
      <c r="Q553" s="6">
        <v>0.0</v>
      </c>
      <c r="R553" s="6">
        <v>0.0</v>
      </c>
      <c r="S553" s="6">
        <v>0.0</v>
      </c>
      <c r="T553" s="6">
        <v>0.0</v>
      </c>
      <c r="U553" s="6">
        <v>0.0</v>
      </c>
    </row>
    <row r="554">
      <c r="A554" s="6" t="s">
        <v>11780</v>
      </c>
      <c r="B554" s="6" t="s">
        <v>11569</v>
      </c>
      <c r="C554" s="6" t="s">
        <v>11579</v>
      </c>
      <c r="D554" s="6" t="s">
        <v>41</v>
      </c>
      <c r="E554" s="6" t="s">
        <v>11779</v>
      </c>
      <c r="F554" s="6" t="s">
        <v>2193</v>
      </c>
      <c r="G554" s="6" t="s">
        <v>2939</v>
      </c>
      <c r="H554" s="6">
        <v>0.0</v>
      </c>
      <c r="I554" s="6">
        <v>0.0</v>
      </c>
      <c r="J554" s="6">
        <v>3.0</v>
      </c>
      <c r="K554" s="6">
        <v>0.0</v>
      </c>
      <c r="L554" s="6">
        <v>0.0</v>
      </c>
      <c r="M554" s="6">
        <v>0.0</v>
      </c>
      <c r="N554" s="669">
        <v>3800000.0</v>
      </c>
      <c r="O554" s="6">
        <v>0.0</v>
      </c>
      <c r="P554" s="6">
        <v>0.0</v>
      </c>
      <c r="Q554" s="6">
        <v>0.0</v>
      </c>
      <c r="R554" s="6">
        <v>0.0</v>
      </c>
      <c r="S554" s="6">
        <v>0.0</v>
      </c>
      <c r="T554" s="6">
        <v>0.0</v>
      </c>
      <c r="U554" s="6">
        <v>0.0</v>
      </c>
    </row>
    <row r="555">
      <c r="A555" s="6" t="s">
        <v>11781</v>
      </c>
      <c r="E555" s="6" t="s">
        <v>11781</v>
      </c>
      <c r="N555" s="668"/>
    </row>
    <row r="556">
      <c r="A556" s="6" t="s">
        <v>685</v>
      </c>
      <c r="B556" s="6" t="s">
        <v>11630</v>
      </c>
      <c r="C556" s="6" t="s">
        <v>11570</v>
      </c>
      <c r="D556" s="6" t="s">
        <v>22</v>
      </c>
      <c r="E556" s="6" t="s">
        <v>11782</v>
      </c>
      <c r="F556" s="6" t="s">
        <v>125</v>
      </c>
      <c r="G556" s="6" t="s">
        <v>2939</v>
      </c>
      <c r="H556" s="6">
        <v>0.0</v>
      </c>
      <c r="I556" s="6">
        <v>0.0</v>
      </c>
      <c r="J556" s="6" t="s">
        <v>11590</v>
      </c>
      <c r="K556" s="6">
        <v>5.0</v>
      </c>
      <c r="L556" s="6">
        <v>0.0</v>
      </c>
      <c r="M556" s="6">
        <v>0.0</v>
      </c>
      <c r="N556" s="669">
        <v>1599000.0</v>
      </c>
      <c r="O556" s="6">
        <v>0.0</v>
      </c>
      <c r="P556" s="6">
        <v>0.0</v>
      </c>
      <c r="Q556" s="6">
        <v>0.0</v>
      </c>
      <c r="R556" s="6">
        <v>0.0</v>
      </c>
      <c r="S556" s="6" t="s">
        <v>11590</v>
      </c>
      <c r="T556" s="6">
        <v>10.0</v>
      </c>
      <c r="U556" s="6">
        <v>0.0</v>
      </c>
    </row>
    <row r="557">
      <c r="A557" s="6" t="s">
        <v>1590</v>
      </c>
      <c r="B557" s="6" t="s">
        <v>11569</v>
      </c>
      <c r="C557" s="6" t="s">
        <v>11579</v>
      </c>
      <c r="D557" s="6" t="s">
        <v>41</v>
      </c>
      <c r="E557" s="6" t="s">
        <v>1591</v>
      </c>
      <c r="F557" s="6" t="s">
        <v>2193</v>
      </c>
      <c r="G557" s="6" t="s">
        <v>2939</v>
      </c>
      <c r="H557" s="6">
        <v>0.0</v>
      </c>
      <c r="I557" s="6">
        <v>0.0</v>
      </c>
      <c r="J557" s="6">
        <v>4.0</v>
      </c>
      <c r="K557" s="6">
        <v>1.0</v>
      </c>
      <c r="L557" s="6">
        <v>0.0</v>
      </c>
      <c r="M557" s="6">
        <v>0.0</v>
      </c>
      <c r="N557" s="669">
        <v>1308000.0</v>
      </c>
      <c r="O557" s="6">
        <v>0.0</v>
      </c>
      <c r="P557" s="6">
        <v>0.0</v>
      </c>
      <c r="Q557" s="6">
        <v>0.0</v>
      </c>
      <c r="R557" s="6">
        <v>0.0</v>
      </c>
      <c r="S557" s="6">
        <v>0.0</v>
      </c>
      <c r="T557" s="6">
        <v>0.0</v>
      </c>
      <c r="U557" s="6">
        <v>0.0</v>
      </c>
    </row>
    <row r="558">
      <c r="A558" s="6" t="s">
        <v>687</v>
      </c>
      <c r="B558" s="6" t="s">
        <v>11576</v>
      </c>
      <c r="C558" s="6" t="s">
        <v>11579</v>
      </c>
      <c r="D558" s="6" t="s">
        <v>41</v>
      </c>
      <c r="E558" s="6" t="s">
        <v>688</v>
      </c>
      <c r="F558" s="6" t="s">
        <v>2193</v>
      </c>
      <c r="G558" s="6" t="s">
        <v>2939</v>
      </c>
      <c r="H558" s="6">
        <v>0.0</v>
      </c>
      <c r="I558" s="6">
        <v>0.0</v>
      </c>
      <c r="J558" s="6">
        <v>7.0</v>
      </c>
      <c r="K558" s="6">
        <v>0.0</v>
      </c>
      <c r="L558" s="6">
        <v>0.0</v>
      </c>
      <c r="M558" s="6">
        <v>0.0</v>
      </c>
      <c r="N558" s="669">
        <v>1061000.0</v>
      </c>
      <c r="O558" s="6">
        <v>0.0</v>
      </c>
      <c r="P558" s="6">
        <v>0.0</v>
      </c>
      <c r="Q558" s="6">
        <v>0.0</v>
      </c>
      <c r="R558" s="6">
        <v>0.0</v>
      </c>
      <c r="S558" s="6">
        <v>10.0</v>
      </c>
      <c r="T558" s="6">
        <v>0.0</v>
      </c>
      <c r="U558" s="6">
        <v>0.0</v>
      </c>
    </row>
    <row r="559">
      <c r="A559" s="6" t="s">
        <v>689</v>
      </c>
      <c r="B559" s="6" t="s">
        <v>11576</v>
      </c>
      <c r="C559" s="6" t="s">
        <v>11591</v>
      </c>
      <c r="D559" s="6" t="s">
        <v>128</v>
      </c>
      <c r="E559" s="6" t="s">
        <v>11782</v>
      </c>
      <c r="F559" s="6" t="s">
        <v>141</v>
      </c>
      <c r="G559" s="6" t="s">
        <v>2939</v>
      </c>
      <c r="H559" s="6">
        <v>0.0</v>
      </c>
      <c r="I559" s="6">
        <v>0.0</v>
      </c>
      <c r="J559" s="6">
        <v>6.0</v>
      </c>
      <c r="K559" s="6">
        <v>0.0</v>
      </c>
      <c r="L559" s="6">
        <v>0.0</v>
      </c>
      <c r="M559" s="6">
        <v>0.0</v>
      </c>
      <c r="N559" s="669">
        <v>653000.0</v>
      </c>
      <c r="O559" s="6">
        <v>0.0</v>
      </c>
      <c r="P559" s="6">
        <v>0.0</v>
      </c>
      <c r="Q559" s="6">
        <v>0.0</v>
      </c>
      <c r="R559" s="6">
        <v>0.0</v>
      </c>
      <c r="S559" s="6">
        <v>0.0</v>
      </c>
      <c r="T559" s="6">
        <v>0.0</v>
      </c>
      <c r="U559" s="6">
        <v>0.0</v>
      </c>
    </row>
    <row r="560">
      <c r="A560" s="6" t="s">
        <v>690</v>
      </c>
      <c r="B560" s="6" t="s">
        <v>11576</v>
      </c>
      <c r="C560" s="6" t="s">
        <v>11591</v>
      </c>
      <c r="D560" s="6" t="s">
        <v>130</v>
      </c>
      <c r="E560" s="6" t="s">
        <v>11782</v>
      </c>
      <c r="F560" s="6" t="s">
        <v>141</v>
      </c>
      <c r="G560" s="6" t="s">
        <v>2939</v>
      </c>
      <c r="H560" s="6">
        <v>0.0</v>
      </c>
      <c r="I560" s="6">
        <v>0.0</v>
      </c>
      <c r="J560" s="6">
        <v>3.0</v>
      </c>
      <c r="K560" s="6">
        <v>0.0</v>
      </c>
      <c r="L560" s="6">
        <v>0.0</v>
      </c>
      <c r="M560" s="6">
        <v>0.0</v>
      </c>
      <c r="N560" s="669">
        <v>653000.0</v>
      </c>
      <c r="O560" s="6">
        <v>0.0</v>
      </c>
      <c r="P560" s="6">
        <v>0.0</v>
      </c>
      <c r="Q560" s="6">
        <v>0.0</v>
      </c>
      <c r="R560" s="6">
        <v>0.0</v>
      </c>
      <c r="S560" s="6">
        <v>0.0</v>
      </c>
      <c r="T560" s="6">
        <v>0.0</v>
      </c>
      <c r="U560" s="6">
        <v>5.0</v>
      </c>
    </row>
    <row r="561">
      <c r="A561" s="6" t="s">
        <v>691</v>
      </c>
      <c r="B561" s="6" t="s">
        <v>11576</v>
      </c>
      <c r="C561" s="6" t="s">
        <v>11591</v>
      </c>
      <c r="D561" s="6" t="s">
        <v>132</v>
      </c>
      <c r="E561" s="6" t="s">
        <v>11782</v>
      </c>
      <c r="F561" s="6" t="s">
        <v>141</v>
      </c>
      <c r="G561" s="6" t="s">
        <v>2939</v>
      </c>
      <c r="H561" s="6">
        <v>0.0</v>
      </c>
      <c r="I561" s="6">
        <v>0.0</v>
      </c>
      <c r="J561" s="6" t="s">
        <v>11590</v>
      </c>
      <c r="K561" s="6">
        <v>0.0</v>
      </c>
      <c r="L561" s="6">
        <v>0.0</v>
      </c>
      <c r="M561" s="6">
        <v>0.0</v>
      </c>
      <c r="N561" s="669">
        <v>653000.0</v>
      </c>
      <c r="O561" s="6">
        <v>0.0</v>
      </c>
      <c r="P561" s="6">
        <v>0.0</v>
      </c>
      <c r="Q561" s="6">
        <v>0.0</v>
      </c>
      <c r="R561" s="6">
        <v>0.0</v>
      </c>
      <c r="S561" s="6">
        <v>0.0</v>
      </c>
      <c r="T561" s="6">
        <v>0.0</v>
      </c>
      <c r="U561" s="6">
        <v>0.0</v>
      </c>
    </row>
    <row r="562">
      <c r="A562" s="6" t="s">
        <v>692</v>
      </c>
      <c r="B562" s="6" t="s">
        <v>11576</v>
      </c>
      <c r="C562" s="6" t="s">
        <v>11591</v>
      </c>
      <c r="D562" s="6" t="s">
        <v>134</v>
      </c>
      <c r="E562" s="6" t="s">
        <v>11782</v>
      </c>
      <c r="F562" s="6" t="s">
        <v>141</v>
      </c>
      <c r="G562" s="6" t="s">
        <v>2939</v>
      </c>
      <c r="H562" s="6">
        <v>0.0</v>
      </c>
      <c r="I562" s="6">
        <v>0.0</v>
      </c>
      <c r="J562" s="6">
        <v>10.0</v>
      </c>
      <c r="K562" s="6">
        <v>0.0</v>
      </c>
      <c r="L562" s="6">
        <v>0.0</v>
      </c>
      <c r="M562" s="6">
        <v>0.0</v>
      </c>
      <c r="N562" s="669">
        <v>653000.0</v>
      </c>
      <c r="O562" s="6">
        <v>0.0</v>
      </c>
      <c r="P562" s="6">
        <v>0.0</v>
      </c>
      <c r="Q562" s="6">
        <v>0.0</v>
      </c>
      <c r="R562" s="6">
        <v>0.0</v>
      </c>
      <c r="S562" s="6">
        <v>0.0</v>
      </c>
      <c r="T562" s="6">
        <v>0.0</v>
      </c>
      <c r="U562" s="6">
        <v>0.0</v>
      </c>
    </row>
    <row r="563">
      <c r="A563" s="6" t="s">
        <v>693</v>
      </c>
      <c r="B563" s="6" t="s">
        <v>11576</v>
      </c>
      <c r="C563" s="6" t="s">
        <v>11570</v>
      </c>
      <c r="D563" s="6" t="s">
        <v>22</v>
      </c>
      <c r="E563" s="6" t="s">
        <v>694</v>
      </c>
      <c r="F563" s="6" t="s">
        <v>125</v>
      </c>
      <c r="G563" s="6" t="s">
        <v>2939</v>
      </c>
      <c r="H563" s="6">
        <v>0.0</v>
      </c>
      <c r="I563" s="6">
        <v>0.0</v>
      </c>
      <c r="J563" s="6">
        <v>3.0</v>
      </c>
      <c r="K563" s="6">
        <v>1.0</v>
      </c>
      <c r="L563" s="6">
        <v>0.0</v>
      </c>
      <c r="M563" s="6">
        <v>0.0</v>
      </c>
      <c r="N563" s="669">
        <v>2366000.0</v>
      </c>
      <c r="O563" s="6">
        <v>0.0</v>
      </c>
      <c r="P563" s="6">
        <v>0.0</v>
      </c>
      <c r="Q563" s="6">
        <v>0.0</v>
      </c>
      <c r="R563" s="6">
        <v>0.0</v>
      </c>
      <c r="S563" s="6" t="s">
        <v>11590</v>
      </c>
      <c r="T563" s="6">
        <v>0.0</v>
      </c>
      <c r="U563" s="6">
        <v>0.0</v>
      </c>
    </row>
    <row r="564">
      <c r="A564" s="6" t="s">
        <v>2121</v>
      </c>
      <c r="B564" s="6" t="s">
        <v>11569</v>
      </c>
      <c r="C564" s="6" t="s">
        <v>11570</v>
      </c>
      <c r="D564" s="6" t="s">
        <v>22</v>
      </c>
      <c r="E564" s="6" t="s">
        <v>11783</v>
      </c>
      <c r="F564" s="6" t="s">
        <v>75</v>
      </c>
      <c r="G564" s="6" t="s">
        <v>2939</v>
      </c>
      <c r="H564" s="6">
        <v>0.0</v>
      </c>
      <c r="I564" s="6">
        <v>0.0</v>
      </c>
      <c r="J564" s="6">
        <v>10.0</v>
      </c>
      <c r="K564" s="6">
        <v>0.0</v>
      </c>
      <c r="L564" s="6">
        <v>0.0</v>
      </c>
      <c r="M564" s="6">
        <v>0.0</v>
      </c>
      <c r="N564" s="669">
        <v>2708000.0</v>
      </c>
      <c r="O564" s="6">
        <v>0.0</v>
      </c>
      <c r="P564" s="6">
        <v>0.0</v>
      </c>
      <c r="Q564" s="6">
        <v>0.0</v>
      </c>
      <c r="R564" s="6">
        <v>0.0</v>
      </c>
      <c r="S564" s="6">
        <v>0.0</v>
      </c>
      <c r="T564" s="6">
        <v>0.0</v>
      </c>
      <c r="U564" s="6">
        <v>0.0</v>
      </c>
    </row>
    <row r="565">
      <c r="A565" s="6" t="s">
        <v>695</v>
      </c>
      <c r="B565" s="6" t="s">
        <v>11576</v>
      </c>
      <c r="C565" s="6" t="s">
        <v>11570</v>
      </c>
      <c r="D565" s="6" t="s">
        <v>22</v>
      </c>
      <c r="E565" s="6" t="s">
        <v>11784</v>
      </c>
      <c r="F565" s="6" t="s">
        <v>697</v>
      </c>
      <c r="G565" s="6" t="s">
        <v>2939</v>
      </c>
      <c r="H565" s="6">
        <v>0.0</v>
      </c>
      <c r="I565" s="6">
        <v>0.0</v>
      </c>
      <c r="J565" s="6">
        <v>1.0</v>
      </c>
      <c r="K565" s="6">
        <v>0.0</v>
      </c>
      <c r="L565" s="6">
        <v>0.0</v>
      </c>
      <c r="M565" s="6">
        <v>0.0</v>
      </c>
      <c r="N565" s="669">
        <v>3249000.0</v>
      </c>
      <c r="O565" s="6">
        <v>0.0</v>
      </c>
      <c r="P565" s="6">
        <v>0.0</v>
      </c>
      <c r="Q565" s="6">
        <v>0.0</v>
      </c>
      <c r="R565" s="6">
        <v>0.0</v>
      </c>
      <c r="S565" s="6">
        <v>10.0</v>
      </c>
      <c r="T565" s="6">
        <v>0.0</v>
      </c>
      <c r="U565" s="6">
        <v>0.0</v>
      </c>
    </row>
    <row r="566">
      <c r="A566" s="6" t="s">
        <v>1596</v>
      </c>
      <c r="B566" s="6" t="s">
        <v>11569</v>
      </c>
      <c r="C566" s="6" t="s">
        <v>11570</v>
      </c>
      <c r="D566" s="6" t="s">
        <v>22</v>
      </c>
      <c r="E566" s="6" t="s">
        <v>11785</v>
      </c>
      <c r="F566" s="6" t="s">
        <v>1598</v>
      </c>
      <c r="G566" s="6" t="s">
        <v>2939</v>
      </c>
      <c r="H566" s="6">
        <v>0.0</v>
      </c>
      <c r="I566" s="6">
        <v>0.0</v>
      </c>
      <c r="J566" s="6">
        <v>0.0</v>
      </c>
      <c r="K566" s="6">
        <v>0.0</v>
      </c>
      <c r="L566" s="6">
        <v>0.0</v>
      </c>
      <c r="M566" s="6">
        <v>0.0</v>
      </c>
      <c r="N566" s="669">
        <v>3512000.0</v>
      </c>
      <c r="O566" s="6">
        <v>0.0</v>
      </c>
      <c r="P566" s="6">
        <v>0.0</v>
      </c>
      <c r="Q566" s="6">
        <v>0.0</v>
      </c>
      <c r="R566" s="6">
        <v>0.0</v>
      </c>
      <c r="S566" s="6">
        <v>8.0</v>
      </c>
      <c r="T566" s="6">
        <v>0.0</v>
      </c>
      <c r="U566" s="6">
        <v>0.0</v>
      </c>
    </row>
    <row r="567">
      <c r="A567" s="6" t="s">
        <v>698</v>
      </c>
      <c r="B567" s="6" t="s">
        <v>11576</v>
      </c>
      <c r="C567" s="6" t="s">
        <v>11579</v>
      </c>
      <c r="D567" s="6" t="s">
        <v>41</v>
      </c>
      <c r="E567" s="6" t="s">
        <v>699</v>
      </c>
      <c r="F567" s="6" t="s">
        <v>2193</v>
      </c>
      <c r="G567" s="6" t="s">
        <v>2939</v>
      </c>
      <c r="H567" s="6">
        <v>0.0</v>
      </c>
      <c r="I567" s="6">
        <v>0.0</v>
      </c>
      <c r="J567" s="6">
        <v>6.0</v>
      </c>
      <c r="K567" s="6">
        <v>2.0</v>
      </c>
      <c r="L567" s="6">
        <v>0.0</v>
      </c>
      <c r="M567" s="6">
        <v>0.0</v>
      </c>
      <c r="N567" s="669">
        <v>1649000.0</v>
      </c>
      <c r="O567" s="6">
        <v>0.0</v>
      </c>
      <c r="P567" s="6">
        <v>0.0</v>
      </c>
      <c r="Q567" s="6">
        <v>0.0</v>
      </c>
      <c r="R567" s="6">
        <v>0.0</v>
      </c>
      <c r="S567" s="6">
        <v>0.0</v>
      </c>
      <c r="T567" s="6">
        <v>0.0</v>
      </c>
      <c r="U567" s="6">
        <v>5.0</v>
      </c>
    </row>
    <row r="568">
      <c r="A568" s="6" t="s">
        <v>700</v>
      </c>
      <c r="B568" s="6" t="s">
        <v>11576</v>
      </c>
      <c r="C568" s="6" t="s">
        <v>11591</v>
      </c>
      <c r="D568" s="6" t="s">
        <v>128</v>
      </c>
      <c r="E568" s="6" t="s">
        <v>699</v>
      </c>
      <c r="F568" s="6" t="s">
        <v>397</v>
      </c>
      <c r="G568" s="6" t="s">
        <v>2939</v>
      </c>
      <c r="H568" s="6">
        <v>0.0</v>
      </c>
      <c r="I568" s="6">
        <v>0.0</v>
      </c>
      <c r="J568" s="6">
        <v>2.0</v>
      </c>
      <c r="K568" s="6">
        <v>1.0</v>
      </c>
      <c r="L568" s="6">
        <v>0.0</v>
      </c>
      <c r="M568" s="6">
        <v>0.0</v>
      </c>
      <c r="N568" s="669">
        <v>725000.0</v>
      </c>
      <c r="O568" s="6">
        <v>0.0</v>
      </c>
      <c r="P568" s="6">
        <v>0.0</v>
      </c>
      <c r="Q568" s="6">
        <v>0.0</v>
      </c>
      <c r="R568" s="6">
        <v>0.0</v>
      </c>
      <c r="S568" s="6">
        <v>5.0</v>
      </c>
      <c r="T568" s="6">
        <v>0.0</v>
      </c>
      <c r="U568" s="6">
        <v>0.0</v>
      </c>
    </row>
    <row r="569">
      <c r="A569" s="6" t="s">
        <v>701</v>
      </c>
      <c r="B569" s="6" t="s">
        <v>11576</v>
      </c>
      <c r="C569" s="6" t="s">
        <v>11591</v>
      </c>
      <c r="D569" s="6" t="s">
        <v>130</v>
      </c>
      <c r="E569" s="6" t="s">
        <v>699</v>
      </c>
      <c r="F569" s="6" t="s">
        <v>397</v>
      </c>
      <c r="G569" s="6" t="s">
        <v>2939</v>
      </c>
      <c r="H569" s="6">
        <v>0.0</v>
      </c>
      <c r="I569" s="6">
        <v>0.0</v>
      </c>
      <c r="J569" s="6">
        <v>10.0</v>
      </c>
      <c r="K569" s="6">
        <v>0.0</v>
      </c>
      <c r="L569" s="6">
        <v>0.0</v>
      </c>
      <c r="M569" s="6">
        <v>0.0</v>
      </c>
      <c r="N569" s="669">
        <v>725000.0</v>
      </c>
      <c r="O569" s="6">
        <v>0.0</v>
      </c>
      <c r="P569" s="6">
        <v>0.0</v>
      </c>
      <c r="Q569" s="6">
        <v>0.0</v>
      </c>
      <c r="R569" s="6">
        <v>0.0</v>
      </c>
      <c r="S569" s="6">
        <v>0.0</v>
      </c>
      <c r="T569" s="6">
        <v>0.0</v>
      </c>
      <c r="U569" s="6">
        <v>0.0</v>
      </c>
    </row>
    <row r="570">
      <c r="A570" s="6" t="s">
        <v>702</v>
      </c>
      <c r="B570" s="6" t="s">
        <v>11576</v>
      </c>
      <c r="C570" s="6" t="s">
        <v>11591</v>
      </c>
      <c r="D570" s="6" t="s">
        <v>132</v>
      </c>
      <c r="E570" s="6" t="s">
        <v>699</v>
      </c>
      <c r="G570" s="6" t="s">
        <v>2939</v>
      </c>
      <c r="H570" s="6">
        <v>0.0</v>
      </c>
      <c r="I570" s="6">
        <v>0.0</v>
      </c>
      <c r="J570" s="6">
        <v>3.0</v>
      </c>
      <c r="K570" s="6">
        <v>0.0</v>
      </c>
      <c r="L570" s="6">
        <v>0.0</v>
      </c>
      <c r="M570" s="6">
        <v>0.0</v>
      </c>
      <c r="N570" s="669">
        <v>884000.0</v>
      </c>
      <c r="O570" s="6">
        <v>0.0</v>
      </c>
      <c r="P570" s="6">
        <v>0.0</v>
      </c>
      <c r="Q570" s="6">
        <v>0.0</v>
      </c>
      <c r="R570" s="6">
        <v>0.0</v>
      </c>
      <c r="S570" s="6">
        <v>0.0</v>
      </c>
      <c r="T570" s="6">
        <v>0.0</v>
      </c>
      <c r="U570" s="6">
        <v>5.0</v>
      </c>
    </row>
    <row r="571">
      <c r="A571" s="6" t="s">
        <v>703</v>
      </c>
      <c r="B571" s="6" t="s">
        <v>11576</v>
      </c>
      <c r="C571" s="6" t="s">
        <v>11591</v>
      </c>
      <c r="D571" s="6" t="s">
        <v>134</v>
      </c>
      <c r="E571" s="6" t="s">
        <v>699</v>
      </c>
      <c r="G571" s="6" t="s">
        <v>2939</v>
      </c>
      <c r="H571" s="6">
        <v>0.0</v>
      </c>
      <c r="I571" s="6">
        <v>0.0</v>
      </c>
      <c r="J571" s="6">
        <v>6.0</v>
      </c>
      <c r="K571" s="6">
        <v>0.0</v>
      </c>
      <c r="L571" s="6">
        <v>0.0</v>
      </c>
      <c r="M571" s="6">
        <v>0.0</v>
      </c>
      <c r="N571" s="669">
        <v>884000.0</v>
      </c>
      <c r="O571" s="6">
        <v>0.0</v>
      </c>
      <c r="P571" s="6">
        <v>0.0</v>
      </c>
      <c r="Q571" s="6">
        <v>0.0</v>
      </c>
      <c r="R571" s="6">
        <v>0.0</v>
      </c>
      <c r="S571" s="6">
        <v>0.0</v>
      </c>
      <c r="T571" s="6">
        <v>0.0</v>
      </c>
      <c r="U571" s="6">
        <v>0.0</v>
      </c>
    </row>
    <row r="572">
      <c r="A572" s="6" t="s">
        <v>11786</v>
      </c>
      <c r="B572" s="6" t="s">
        <v>11569</v>
      </c>
      <c r="C572" s="6" t="s">
        <v>11570</v>
      </c>
      <c r="D572" s="6" t="s">
        <v>22</v>
      </c>
      <c r="E572" s="6" t="s">
        <v>11787</v>
      </c>
      <c r="F572" s="6" t="s">
        <v>23</v>
      </c>
      <c r="G572" s="6" t="s">
        <v>2939</v>
      </c>
      <c r="H572" s="6">
        <v>0.0</v>
      </c>
      <c r="I572" s="6">
        <v>0.0</v>
      </c>
      <c r="J572" s="6">
        <v>8.0</v>
      </c>
      <c r="K572" s="6">
        <v>0.0</v>
      </c>
      <c r="L572" s="6">
        <v>0.0</v>
      </c>
      <c r="M572" s="6">
        <v>0.0</v>
      </c>
      <c r="N572" s="669">
        <v>2950000.0</v>
      </c>
      <c r="O572" s="6">
        <v>0.0</v>
      </c>
      <c r="P572" s="6">
        <v>0.0</v>
      </c>
      <c r="Q572" s="6">
        <v>0.0</v>
      </c>
      <c r="R572" s="6">
        <v>0.0</v>
      </c>
      <c r="S572" s="6">
        <v>0.0</v>
      </c>
      <c r="T572" s="6">
        <v>0.0</v>
      </c>
      <c r="U572" s="6">
        <v>0.0</v>
      </c>
    </row>
    <row r="573">
      <c r="A573" s="6" t="s">
        <v>11788</v>
      </c>
      <c r="B573" s="6" t="s">
        <v>11569</v>
      </c>
      <c r="C573" s="6" t="s">
        <v>11579</v>
      </c>
      <c r="D573" s="6" t="s">
        <v>41</v>
      </c>
      <c r="E573" s="6" t="s">
        <v>11789</v>
      </c>
      <c r="F573" s="6" t="s">
        <v>11620</v>
      </c>
      <c r="G573" s="6" t="s">
        <v>2939</v>
      </c>
      <c r="H573" s="6">
        <v>0.0</v>
      </c>
      <c r="I573" s="6">
        <v>0.0</v>
      </c>
      <c r="J573" s="6">
        <v>2.0</v>
      </c>
      <c r="K573" s="6">
        <v>0.0</v>
      </c>
      <c r="L573" s="6">
        <v>0.0</v>
      </c>
      <c r="M573" s="6">
        <v>0.0</v>
      </c>
      <c r="N573" s="669">
        <v>1950000.0</v>
      </c>
      <c r="O573" s="6">
        <v>0.0</v>
      </c>
      <c r="P573" s="6">
        <v>0.0</v>
      </c>
      <c r="Q573" s="6">
        <v>0.0</v>
      </c>
      <c r="R573" s="6">
        <v>0.0</v>
      </c>
      <c r="S573" s="6">
        <v>5.0</v>
      </c>
      <c r="T573" s="6">
        <v>0.0</v>
      </c>
      <c r="U573" s="6">
        <v>0.0</v>
      </c>
    </row>
    <row r="574">
      <c r="A574" s="6" t="s">
        <v>11790</v>
      </c>
      <c r="B574" s="6" t="s">
        <v>11653</v>
      </c>
      <c r="C574" s="6" t="s">
        <v>11570</v>
      </c>
      <c r="D574" s="6" t="s">
        <v>22</v>
      </c>
      <c r="E574" s="6" t="s">
        <v>11791</v>
      </c>
      <c r="F574" s="6" t="s">
        <v>97</v>
      </c>
      <c r="G574" s="6" t="s">
        <v>2939</v>
      </c>
      <c r="H574" s="6">
        <v>0.0</v>
      </c>
      <c r="I574" s="6">
        <v>0.0</v>
      </c>
      <c r="J574" s="6">
        <v>0.0</v>
      </c>
      <c r="K574" s="6">
        <v>0.0</v>
      </c>
      <c r="L574" s="6">
        <v>5.0</v>
      </c>
      <c r="M574" s="6">
        <v>0.0</v>
      </c>
      <c r="N574" s="669">
        <v>1182000.0</v>
      </c>
      <c r="O574" s="6">
        <v>0.0</v>
      </c>
      <c r="P574" s="6">
        <v>0.0</v>
      </c>
      <c r="Q574" s="6">
        <v>0.0</v>
      </c>
      <c r="R574" s="6">
        <v>0.0</v>
      </c>
      <c r="S574" s="6">
        <v>0.0</v>
      </c>
      <c r="T574" s="6">
        <v>0.0</v>
      </c>
      <c r="U574" s="6">
        <v>0.0</v>
      </c>
    </row>
    <row r="575">
      <c r="A575" s="6" t="s">
        <v>1933</v>
      </c>
      <c r="B575" s="6" t="s">
        <v>11654</v>
      </c>
      <c r="C575" s="6" t="s">
        <v>11570</v>
      </c>
      <c r="D575" s="6" t="s">
        <v>22</v>
      </c>
      <c r="E575" s="6" t="s">
        <v>11792</v>
      </c>
      <c r="F575" s="6" t="s">
        <v>97</v>
      </c>
      <c r="G575" s="6" t="s">
        <v>2939</v>
      </c>
      <c r="H575" s="6">
        <v>0.0</v>
      </c>
      <c r="I575" s="6">
        <v>0.0</v>
      </c>
      <c r="J575" s="6">
        <v>5.0</v>
      </c>
      <c r="K575" s="6">
        <v>3.0</v>
      </c>
      <c r="L575" s="6">
        <v>0.0</v>
      </c>
      <c r="M575" s="6">
        <v>0.0</v>
      </c>
      <c r="N575" s="669">
        <v>1182000.0</v>
      </c>
      <c r="O575" s="6">
        <v>0.0</v>
      </c>
      <c r="P575" s="6">
        <v>0.0</v>
      </c>
      <c r="Q575" s="6">
        <v>0.0</v>
      </c>
      <c r="R575" s="6">
        <v>0.0</v>
      </c>
      <c r="S575" s="6">
        <v>0.0</v>
      </c>
      <c r="T575" s="6">
        <v>0.0</v>
      </c>
      <c r="U575" s="6">
        <v>0.0</v>
      </c>
    </row>
    <row r="576">
      <c r="A576" s="6" t="s">
        <v>704</v>
      </c>
      <c r="B576" s="6" t="s">
        <v>11578</v>
      </c>
      <c r="C576" s="6" t="s">
        <v>11570</v>
      </c>
      <c r="D576" s="6" t="s">
        <v>22</v>
      </c>
      <c r="E576" s="6" t="s">
        <v>705</v>
      </c>
      <c r="F576" s="6" t="s">
        <v>125</v>
      </c>
      <c r="G576" s="6" t="s">
        <v>2939</v>
      </c>
      <c r="H576" s="6">
        <v>3.0</v>
      </c>
      <c r="I576" s="6">
        <v>1.0</v>
      </c>
      <c r="J576" s="6">
        <v>0.0</v>
      </c>
      <c r="K576" s="6">
        <v>0.0</v>
      </c>
      <c r="L576" s="6">
        <v>0.0</v>
      </c>
      <c r="M576" s="6">
        <v>0.0</v>
      </c>
      <c r="N576" s="669">
        <v>3865000.0</v>
      </c>
      <c r="O576" s="6">
        <v>0.0</v>
      </c>
      <c r="P576" s="6">
        <v>0.0</v>
      </c>
      <c r="Q576" s="6">
        <v>0.0</v>
      </c>
      <c r="R576" s="6">
        <v>0.0</v>
      </c>
      <c r="S576" s="6">
        <v>0.0</v>
      </c>
      <c r="T576" s="6">
        <v>0.0</v>
      </c>
      <c r="U576" s="6">
        <v>0.0</v>
      </c>
    </row>
    <row r="577">
      <c r="A577" s="6" t="s">
        <v>706</v>
      </c>
      <c r="B577" s="6" t="s">
        <v>11578</v>
      </c>
      <c r="C577" s="6" t="s">
        <v>11579</v>
      </c>
      <c r="D577" s="6" t="s">
        <v>41</v>
      </c>
      <c r="E577" s="6" t="s">
        <v>705</v>
      </c>
      <c r="F577" s="6" t="s">
        <v>2062</v>
      </c>
      <c r="G577" s="6" t="s">
        <v>2939</v>
      </c>
      <c r="H577" s="6">
        <v>4.0</v>
      </c>
      <c r="I577" s="6">
        <v>1.0</v>
      </c>
      <c r="J577" s="6">
        <v>0.0</v>
      </c>
      <c r="K577" s="6">
        <v>0.0</v>
      </c>
      <c r="L577" s="6">
        <v>0.0</v>
      </c>
      <c r="M577" s="6">
        <v>0.0</v>
      </c>
      <c r="N577" s="669">
        <v>2943000.0</v>
      </c>
      <c r="O577" s="6">
        <v>0.0</v>
      </c>
      <c r="P577" s="6">
        <v>0.0</v>
      </c>
      <c r="Q577" s="6">
        <v>0.0</v>
      </c>
      <c r="R577" s="6">
        <v>0.0</v>
      </c>
      <c r="S577" s="6">
        <v>0.0</v>
      </c>
      <c r="T577" s="6">
        <v>0.0</v>
      </c>
      <c r="U577" s="6">
        <v>0.0</v>
      </c>
    </row>
    <row r="578">
      <c r="A578" s="6" t="s">
        <v>707</v>
      </c>
      <c r="B578" s="6" t="s">
        <v>11578</v>
      </c>
      <c r="C578" s="6" t="s">
        <v>11570</v>
      </c>
      <c r="D578" s="6" t="s">
        <v>22</v>
      </c>
      <c r="E578" s="6" t="s">
        <v>708</v>
      </c>
      <c r="F578" s="6" t="s">
        <v>125</v>
      </c>
      <c r="G578" s="6" t="s">
        <v>2939</v>
      </c>
      <c r="H578" s="6">
        <v>0.0</v>
      </c>
      <c r="I578" s="6">
        <v>1.0</v>
      </c>
      <c r="J578" s="6">
        <v>0.0</v>
      </c>
      <c r="K578" s="6">
        <v>0.0</v>
      </c>
      <c r="L578" s="6">
        <v>0.0</v>
      </c>
      <c r="M578" s="6">
        <v>0.0</v>
      </c>
      <c r="N578" s="669">
        <v>3865000.0</v>
      </c>
      <c r="O578" s="6">
        <v>0.0</v>
      </c>
      <c r="P578" s="6">
        <v>0.0</v>
      </c>
      <c r="Q578" s="6">
        <v>0.0</v>
      </c>
      <c r="R578" s="6">
        <v>0.0</v>
      </c>
      <c r="S578" s="6">
        <v>0.0</v>
      </c>
      <c r="T578" s="6">
        <v>0.0</v>
      </c>
      <c r="U578" s="6">
        <v>0.0</v>
      </c>
    </row>
    <row r="579">
      <c r="A579" s="6" t="s">
        <v>709</v>
      </c>
      <c r="B579" s="6" t="s">
        <v>11578</v>
      </c>
      <c r="C579" s="6" t="s">
        <v>11579</v>
      </c>
      <c r="D579" s="6" t="s">
        <v>41</v>
      </c>
      <c r="E579" s="6" t="s">
        <v>708</v>
      </c>
      <c r="F579" s="6" t="s">
        <v>2193</v>
      </c>
      <c r="G579" s="6" t="s">
        <v>2939</v>
      </c>
      <c r="H579" s="6">
        <v>0.0</v>
      </c>
      <c r="I579" s="6">
        <v>0.0</v>
      </c>
      <c r="J579" s="6">
        <v>0.0</v>
      </c>
      <c r="K579" s="6">
        <v>0.0</v>
      </c>
      <c r="L579" s="6">
        <v>0.0</v>
      </c>
      <c r="M579" s="6">
        <v>0.0</v>
      </c>
      <c r="N579" s="669">
        <v>2974000.0</v>
      </c>
      <c r="O579" s="6">
        <v>0.0</v>
      </c>
      <c r="P579" s="6">
        <v>0.0</v>
      </c>
      <c r="Q579" s="6">
        <v>0.0</v>
      </c>
      <c r="R579" s="6">
        <v>0.0</v>
      </c>
      <c r="S579" s="6">
        <v>0.0</v>
      </c>
      <c r="T579" s="6">
        <v>0.0</v>
      </c>
      <c r="U579" s="6">
        <v>3.0</v>
      </c>
    </row>
    <row r="580">
      <c r="A580" s="6" t="s">
        <v>710</v>
      </c>
      <c r="B580" s="6" t="s">
        <v>11578</v>
      </c>
      <c r="C580" s="6" t="s">
        <v>11591</v>
      </c>
      <c r="D580" s="6" t="s">
        <v>128</v>
      </c>
      <c r="E580" s="6" t="s">
        <v>708</v>
      </c>
      <c r="G580" s="6" t="s">
        <v>2939</v>
      </c>
      <c r="H580" s="6" t="s">
        <v>11590</v>
      </c>
      <c r="I580" s="6">
        <v>0.0</v>
      </c>
      <c r="J580" s="6">
        <v>0.0</v>
      </c>
      <c r="K580" s="6">
        <v>0.0</v>
      </c>
      <c r="L580" s="6">
        <v>0.0</v>
      </c>
      <c r="M580" s="6">
        <v>0.0</v>
      </c>
      <c r="N580" s="669">
        <v>869000.0</v>
      </c>
      <c r="O580" s="6">
        <v>0.0</v>
      </c>
      <c r="P580" s="6">
        <v>0.0</v>
      </c>
      <c r="Q580" s="6">
        <v>0.0</v>
      </c>
      <c r="R580" s="6">
        <v>0.0</v>
      </c>
      <c r="S580" s="6">
        <v>0.0</v>
      </c>
      <c r="T580" s="6">
        <v>0.0</v>
      </c>
      <c r="U580" s="6">
        <v>0.0</v>
      </c>
    </row>
    <row r="581">
      <c r="A581" s="6" t="s">
        <v>711</v>
      </c>
      <c r="B581" s="6" t="s">
        <v>11578</v>
      </c>
      <c r="C581" s="6" t="s">
        <v>11591</v>
      </c>
      <c r="D581" s="6" t="s">
        <v>130</v>
      </c>
      <c r="E581" s="6" t="s">
        <v>708</v>
      </c>
      <c r="G581" s="6" t="s">
        <v>2939</v>
      </c>
      <c r="H581" s="6" t="s">
        <v>11590</v>
      </c>
      <c r="I581" s="6">
        <v>0.0</v>
      </c>
      <c r="J581" s="6">
        <v>0.0</v>
      </c>
      <c r="K581" s="6">
        <v>0.0</v>
      </c>
      <c r="L581" s="6">
        <v>0.0</v>
      </c>
      <c r="M581" s="6">
        <v>0.0</v>
      </c>
      <c r="N581" s="669">
        <v>869000.0</v>
      </c>
      <c r="O581" s="6">
        <v>0.0</v>
      </c>
      <c r="P581" s="6">
        <v>0.0</v>
      </c>
      <c r="Q581" s="6">
        <v>0.0</v>
      </c>
      <c r="R581" s="6">
        <v>0.0</v>
      </c>
      <c r="S581" s="6">
        <v>0.0</v>
      </c>
      <c r="T581" s="6">
        <v>0.0</v>
      </c>
      <c r="U581" s="6">
        <v>0.0</v>
      </c>
    </row>
    <row r="582">
      <c r="A582" s="6" t="s">
        <v>712</v>
      </c>
      <c r="B582" s="6" t="s">
        <v>11578</v>
      </c>
      <c r="C582" s="6" t="s">
        <v>11570</v>
      </c>
      <c r="D582" s="6" t="s">
        <v>22</v>
      </c>
      <c r="E582" s="6" t="s">
        <v>708</v>
      </c>
      <c r="F582" s="6" t="s">
        <v>23</v>
      </c>
      <c r="G582" s="6" t="s">
        <v>2939</v>
      </c>
      <c r="H582" s="6">
        <v>1.0</v>
      </c>
      <c r="I582" s="6">
        <v>1.0</v>
      </c>
      <c r="J582" s="6">
        <v>0.0</v>
      </c>
      <c r="K582" s="6">
        <v>0.0</v>
      </c>
      <c r="L582" s="6">
        <v>0.0</v>
      </c>
      <c r="M582" s="6">
        <v>0.0</v>
      </c>
      <c r="N582" s="669">
        <v>4202000.0</v>
      </c>
      <c r="O582" s="6">
        <v>0.0</v>
      </c>
      <c r="P582" s="6">
        <v>0.0</v>
      </c>
      <c r="Q582" s="6">
        <v>0.0</v>
      </c>
      <c r="R582" s="6">
        <v>0.0</v>
      </c>
      <c r="S582" s="6">
        <v>0.0</v>
      </c>
      <c r="T582" s="6">
        <v>0.0</v>
      </c>
      <c r="U582" s="6">
        <v>0.0</v>
      </c>
    </row>
    <row r="583">
      <c r="A583" s="6" t="s">
        <v>713</v>
      </c>
      <c r="B583" s="6" t="s">
        <v>11576</v>
      </c>
      <c r="C583" s="6" t="s">
        <v>11570</v>
      </c>
      <c r="D583" s="6" t="s">
        <v>22</v>
      </c>
      <c r="E583" s="6" t="s">
        <v>11793</v>
      </c>
      <c r="F583" s="6" t="s">
        <v>125</v>
      </c>
      <c r="G583" s="6" t="s">
        <v>2939</v>
      </c>
      <c r="H583" s="6">
        <v>0.0</v>
      </c>
      <c r="I583" s="6">
        <v>0.0</v>
      </c>
      <c r="J583" s="6">
        <v>1.0</v>
      </c>
      <c r="K583" s="6">
        <v>0.0</v>
      </c>
      <c r="L583" s="6">
        <v>0.0</v>
      </c>
      <c r="M583" s="6">
        <v>0.0</v>
      </c>
      <c r="N583" s="669">
        <v>3695000.0</v>
      </c>
      <c r="O583" s="6">
        <v>0.0</v>
      </c>
      <c r="P583" s="6">
        <v>0.0</v>
      </c>
      <c r="Q583" s="6">
        <v>0.0</v>
      </c>
      <c r="R583" s="6">
        <v>0.0</v>
      </c>
      <c r="S583" s="6">
        <v>5.0</v>
      </c>
      <c r="T583" s="6">
        <v>0.0</v>
      </c>
      <c r="U583" s="6">
        <v>0.0</v>
      </c>
    </row>
    <row r="584">
      <c r="A584" s="6" t="s">
        <v>715</v>
      </c>
      <c r="B584" s="6" t="s">
        <v>11576</v>
      </c>
      <c r="C584" s="6" t="s">
        <v>11570</v>
      </c>
      <c r="D584" s="6" t="s">
        <v>22</v>
      </c>
      <c r="E584" s="6" t="s">
        <v>11794</v>
      </c>
      <c r="F584" s="6" t="s">
        <v>75</v>
      </c>
      <c r="G584" s="6" t="s">
        <v>2939</v>
      </c>
      <c r="H584" s="6">
        <v>0.0</v>
      </c>
      <c r="I584" s="6">
        <v>0.0</v>
      </c>
      <c r="J584" s="6">
        <v>7.0</v>
      </c>
      <c r="K584" s="6">
        <v>0.0</v>
      </c>
      <c r="L584" s="6">
        <v>0.0</v>
      </c>
      <c r="M584" s="6">
        <v>0.0</v>
      </c>
      <c r="N584" s="669">
        <v>4202000.0</v>
      </c>
      <c r="O584" s="6">
        <v>0.0</v>
      </c>
      <c r="P584" s="6">
        <v>0.0</v>
      </c>
      <c r="Q584" s="6">
        <v>0.0</v>
      </c>
      <c r="R584" s="6">
        <v>0.0</v>
      </c>
      <c r="S584" s="6">
        <v>0.0</v>
      </c>
      <c r="T584" s="6">
        <v>0.0</v>
      </c>
      <c r="U584" s="6">
        <v>0.0</v>
      </c>
    </row>
    <row r="585">
      <c r="A585" s="6" t="s">
        <v>11795</v>
      </c>
      <c r="B585" s="6" t="s">
        <v>11569</v>
      </c>
      <c r="C585" s="6" t="s">
        <v>11570</v>
      </c>
      <c r="D585" s="6" t="s">
        <v>22</v>
      </c>
      <c r="E585" s="6" t="s">
        <v>11796</v>
      </c>
      <c r="F585" s="6" t="s">
        <v>23</v>
      </c>
      <c r="G585" s="6" t="s">
        <v>2939</v>
      </c>
      <c r="H585" s="6">
        <v>0.0</v>
      </c>
      <c r="I585" s="6">
        <v>0.0</v>
      </c>
      <c r="J585" s="6">
        <v>2.0</v>
      </c>
      <c r="K585" s="6">
        <v>0.0</v>
      </c>
      <c r="L585" s="6">
        <v>0.0</v>
      </c>
      <c r="M585" s="6">
        <v>0.0</v>
      </c>
      <c r="N585" s="669">
        <v>4202000.0</v>
      </c>
      <c r="O585" s="6">
        <v>0.0</v>
      </c>
      <c r="P585" s="6">
        <v>0.0</v>
      </c>
      <c r="Q585" s="6">
        <v>0.0</v>
      </c>
      <c r="R585" s="6">
        <v>0.0</v>
      </c>
      <c r="S585" s="6">
        <v>0.0</v>
      </c>
      <c r="T585" s="6">
        <v>0.0</v>
      </c>
      <c r="U585" s="6">
        <v>0.0</v>
      </c>
    </row>
    <row r="586">
      <c r="A586" s="6" t="s">
        <v>2100</v>
      </c>
      <c r="B586" s="6" t="s">
        <v>11578</v>
      </c>
      <c r="C586" s="6" t="s">
        <v>11579</v>
      </c>
      <c r="D586" s="6" t="s">
        <v>41</v>
      </c>
      <c r="E586" s="6" t="s">
        <v>11793</v>
      </c>
      <c r="F586" s="6" t="s">
        <v>2193</v>
      </c>
      <c r="G586" s="6" t="s">
        <v>2939</v>
      </c>
      <c r="H586" s="6">
        <v>5.0</v>
      </c>
      <c r="I586" s="6">
        <v>2.0</v>
      </c>
      <c r="J586" s="6">
        <v>0.0</v>
      </c>
      <c r="K586" s="6">
        <v>0.0</v>
      </c>
      <c r="L586" s="6">
        <v>0.0</v>
      </c>
      <c r="M586" s="6">
        <v>0.0</v>
      </c>
      <c r="N586" s="669">
        <v>3614000.0</v>
      </c>
      <c r="O586" s="6">
        <v>0.0</v>
      </c>
      <c r="P586" s="6">
        <v>0.0</v>
      </c>
      <c r="Q586" s="6">
        <v>0.0</v>
      </c>
      <c r="R586" s="6">
        <v>0.0</v>
      </c>
      <c r="S586" s="6">
        <v>0.0</v>
      </c>
      <c r="T586" s="6">
        <v>0.0</v>
      </c>
      <c r="U586" s="6">
        <v>0.0</v>
      </c>
    </row>
    <row r="587">
      <c r="A587" s="6" t="s">
        <v>720</v>
      </c>
      <c r="B587" s="6" t="s">
        <v>11578</v>
      </c>
      <c r="C587" s="6" t="s">
        <v>11591</v>
      </c>
      <c r="D587" s="6" t="s">
        <v>128</v>
      </c>
      <c r="E587" s="6" t="s">
        <v>11793</v>
      </c>
      <c r="G587" s="6" t="s">
        <v>2939</v>
      </c>
      <c r="H587" s="6" t="s">
        <v>11590</v>
      </c>
      <c r="I587" s="6">
        <v>0.0</v>
      </c>
      <c r="J587" s="6">
        <v>0.0</v>
      </c>
      <c r="K587" s="6">
        <v>0.0</v>
      </c>
      <c r="L587" s="6">
        <v>0.0</v>
      </c>
      <c r="M587" s="6">
        <v>0.0</v>
      </c>
      <c r="N587" s="669">
        <v>869000.0</v>
      </c>
      <c r="O587" s="6">
        <v>0.0</v>
      </c>
      <c r="P587" s="6">
        <v>0.0</v>
      </c>
      <c r="Q587" s="6">
        <v>0.0</v>
      </c>
      <c r="R587" s="6">
        <v>0.0</v>
      </c>
      <c r="S587" s="6">
        <v>0.0</v>
      </c>
      <c r="T587" s="6">
        <v>0.0</v>
      </c>
      <c r="U587" s="6">
        <v>0.0</v>
      </c>
    </row>
    <row r="588">
      <c r="A588" s="6" t="s">
        <v>721</v>
      </c>
      <c r="B588" s="6" t="s">
        <v>11578</v>
      </c>
      <c r="C588" s="6" t="s">
        <v>11591</v>
      </c>
      <c r="D588" s="6" t="s">
        <v>130</v>
      </c>
      <c r="E588" s="6" t="s">
        <v>11793</v>
      </c>
      <c r="G588" s="6" t="s">
        <v>2939</v>
      </c>
      <c r="H588" s="6" t="s">
        <v>11590</v>
      </c>
      <c r="I588" s="6">
        <v>0.0</v>
      </c>
      <c r="J588" s="6">
        <v>0.0</v>
      </c>
      <c r="K588" s="6">
        <v>0.0</v>
      </c>
      <c r="L588" s="6">
        <v>0.0</v>
      </c>
      <c r="M588" s="6">
        <v>0.0</v>
      </c>
      <c r="N588" s="669">
        <v>869000.0</v>
      </c>
      <c r="O588" s="6">
        <v>0.0</v>
      </c>
      <c r="P588" s="6">
        <v>0.0</v>
      </c>
      <c r="Q588" s="6">
        <v>0.0</v>
      </c>
      <c r="R588" s="6">
        <v>0.0</v>
      </c>
      <c r="S588" s="6">
        <v>0.0</v>
      </c>
      <c r="T588" s="6">
        <v>0.0</v>
      </c>
      <c r="U588" s="6">
        <v>0.0</v>
      </c>
    </row>
    <row r="589">
      <c r="A589" s="6" t="s">
        <v>722</v>
      </c>
      <c r="B589" s="6" t="s">
        <v>11578</v>
      </c>
      <c r="C589" s="6" t="s">
        <v>11570</v>
      </c>
      <c r="D589" s="6" t="s">
        <v>22</v>
      </c>
      <c r="E589" s="6" t="s">
        <v>723</v>
      </c>
      <c r="F589" s="6" t="s">
        <v>125</v>
      </c>
      <c r="G589" s="6" t="s">
        <v>2939</v>
      </c>
      <c r="H589" s="6">
        <v>0.0</v>
      </c>
      <c r="I589" s="6">
        <v>0.0</v>
      </c>
      <c r="J589" s="6">
        <v>0.0</v>
      </c>
      <c r="K589" s="6">
        <v>0.0</v>
      </c>
      <c r="L589" s="6">
        <v>0.0</v>
      </c>
      <c r="M589" s="6">
        <v>0.0</v>
      </c>
      <c r="N589" s="669">
        <v>4535000.0</v>
      </c>
      <c r="O589" s="6">
        <v>0.0</v>
      </c>
      <c r="P589" s="6">
        <v>0.0</v>
      </c>
      <c r="Q589" s="6">
        <v>0.0</v>
      </c>
      <c r="R589" s="6">
        <v>0.0</v>
      </c>
      <c r="S589" s="6">
        <v>0.0</v>
      </c>
      <c r="T589" s="6">
        <v>0.0</v>
      </c>
      <c r="U589" s="6">
        <v>0.0</v>
      </c>
    </row>
    <row r="590">
      <c r="A590" s="6" t="s">
        <v>1600</v>
      </c>
      <c r="B590" s="6" t="s">
        <v>11569</v>
      </c>
      <c r="C590" s="6" t="s">
        <v>11570</v>
      </c>
      <c r="D590" s="6" t="s">
        <v>22</v>
      </c>
      <c r="E590" s="6" t="s">
        <v>723</v>
      </c>
      <c r="F590" s="6" t="s">
        <v>75</v>
      </c>
      <c r="G590" s="6" t="s">
        <v>2939</v>
      </c>
      <c r="H590" s="6">
        <v>0.0</v>
      </c>
      <c r="I590" s="6">
        <v>0.0</v>
      </c>
      <c r="J590" s="6">
        <v>0.0</v>
      </c>
      <c r="K590" s="6">
        <v>0.0</v>
      </c>
      <c r="L590" s="6">
        <v>0.0</v>
      </c>
      <c r="M590" s="6">
        <v>0.0</v>
      </c>
      <c r="N590" s="669">
        <v>4860000.0</v>
      </c>
      <c r="O590" s="6">
        <v>0.0</v>
      </c>
      <c r="P590" s="6">
        <v>0.0</v>
      </c>
      <c r="Q590" s="6">
        <v>0.0</v>
      </c>
      <c r="R590" s="6">
        <v>0.0</v>
      </c>
      <c r="S590" s="6">
        <v>5.0</v>
      </c>
      <c r="T590" s="6">
        <v>0.0</v>
      </c>
      <c r="U590" s="6">
        <v>0.0</v>
      </c>
    </row>
    <row r="591">
      <c r="A591" s="6" t="s">
        <v>724</v>
      </c>
      <c r="B591" s="6" t="s">
        <v>11576</v>
      </c>
      <c r="C591" s="6" t="s">
        <v>11579</v>
      </c>
      <c r="D591" s="6" t="s">
        <v>41</v>
      </c>
      <c r="E591" s="6" t="s">
        <v>723</v>
      </c>
      <c r="F591" s="6" t="s">
        <v>1377</v>
      </c>
      <c r="G591" s="6" t="s">
        <v>2939</v>
      </c>
      <c r="H591" s="6">
        <v>0.0</v>
      </c>
      <c r="I591" s="6">
        <v>0.0</v>
      </c>
      <c r="J591" s="6">
        <v>5.0</v>
      </c>
      <c r="K591" s="6">
        <v>0.0</v>
      </c>
      <c r="L591" s="6">
        <v>0.0</v>
      </c>
      <c r="M591" s="6">
        <v>0.0</v>
      </c>
      <c r="N591" s="669">
        <v>4336000.0</v>
      </c>
      <c r="O591" s="6">
        <v>0.0</v>
      </c>
      <c r="P591" s="6">
        <v>0.0</v>
      </c>
      <c r="Q591" s="6">
        <v>0.0</v>
      </c>
      <c r="R591" s="6">
        <v>0.0</v>
      </c>
      <c r="S591" s="6">
        <v>0.0</v>
      </c>
      <c r="T591" s="6">
        <v>0.0</v>
      </c>
      <c r="U591" s="6">
        <v>0.0</v>
      </c>
    </row>
    <row r="592">
      <c r="A592" s="6" t="s">
        <v>725</v>
      </c>
      <c r="B592" s="6" t="s">
        <v>11576</v>
      </c>
      <c r="C592" s="6" t="s">
        <v>11570</v>
      </c>
      <c r="D592" s="6" t="s">
        <v>22</v>
      </c>
      <c r="E592" s="6" t="s">
        <v>11797</v>
      </c>
      <c r="F592" s="6" t="s">
        <v>23</v>
      </c>
      <c r="G592" s="6" t="s">
        <v>2939</v>
      </c>
      <c r="H592" s="6">
        <v>0.0</v>
      </c>
      <c r="I592" s="6">
        <v>0.0</v>
      </c>
      <c r="J592" s="6" t="s">
        <v>11590</v>
      </c>
      <c r="K592" s="6">
        <v>1.0</v>
      </c>
      <c r="L592" s="6">
        <v>0.0</v>
      </c>
      <c r="M592" s="6">
        <v>0.0</v>
      </c>
      <c r="N592" s="669">
        <v>4480000.0</v>
      </c>
      <c r="O592" s="6">
        <v>0.0</v>
      </c>
      <c r="P592" s="6">
        <v>0.0</v>
      </c>
      <c r="Q592" s="6">
        <v>0.0</v>
      </c>
      <c r="R592" s="6">
        <v>0.0</v>
      </c>
      <c r="S592" s="6">
        <v>0.0</v>
      </c>
      <c r="T592" s="6">
        <v>0.0</v>
      </c>
      <c r="U592" s="6">
        <v>0.0</v>
      </c>
    </row>
    <row r="593">
      <c r="A593" s="6" t="s">
        <v>727</v>
      </c>
      <c r="B593" s="6" t="s">
        <v>11576</v>
      </c>
      <c r="C593" s="6" t="s">
        <v>11570</v>
      </c>
      <c r="D593" s="6" t="s">
        <v>22</v>
      </c>
      <c r="E593" s="6" t="s">
        <v>11797</v>
      </c>
      <c r="F593" s="6" t="s">
        <v>125</v>
      </c>
      <c r="G593" s="6" t="s">
        <v>2939</v>
      </c>
      <c r="H593" s="6">
        <v>1.0</v>
      </c>
      <c r="I593" s="6">
        <v>0.0</v>
      </c>
      <c r="J593" s="6">
        <v>10.0</v>
      </c>
      <c r="K593" s="6">
        <v>2.0</v>
      </c>
      <c r="L593" s="6">
        <v>0.0</v>
      </c>
      <c r="M593" s="6">
        <v>0.0</v>
      </c>
      <c r="N593" s="669">
        <v>3311000.0</v>
      </c>
      <c r="O593" s="6">
        <v>0.0</v>
      </c>
      <c r="P593" s="6">
        <v>0.0</v>
      </c>
      <c r="Q593" s="6">
        <v>0.0</v>
      </c>
      <c r="R593" s="6">
        <v>0.0</v>
      </c>
      <c r="S593" s="6">
        <v>0.0</v>
      </c>
      <c r="T593" s="6">
        <v>0.0</v>
      </c>
      <c r="U593" s="6">
        <v>0.0</v>
      </c>
    </row>
    <row r="594">
      <c r="A594" s="6" t="s">
        <v>728</v>
      </c>
      <c r="B594" s="6" t="s">
        <v>11578</v>
      </c>
      <c r="C594" s="6" t="s">
        <v>11579</v>
      </c>
      <c r="D594" s="6" t="s">
        <v>41</v>
      </c>
      <c r="E594" s="6" t="s">
        <v>11798</v>
      </c>
      <c r="F594" s="6" t="s">
        <v>1377</v>
      </c>
      <c r="G594" s="6" t="s">
        <v>2939</v>
      </c>
      <c r="H594" s="6">
        <v>0.0</v>
      </c>
      <c r="I594" s="6">
        <v>0.0</v>
      </c>
      <c r="J594" s="6">
        <v>0.0</v>
      </c>
      <c r="K594" s="6">
        <v>0.0</v>
      </c>
      <c r="L594" s="6">
        <v>0.0</v>
      </c>
      <c r="M594" s="6">
        <v>0.0</v>
      </c>
      <c r="N594" s="669">
        <v>2848000.0</v>
      </c>
      <c r="O594" s="6">
        <v>0.0</v>
      </c>
      <c r="P594" s="6">
        <v>0.0</v>
      </c>
      <c r="Q594" s="6">
        <v>0.0</v>
      </c>
      <c r="R594" s="6">
        <v>0.0</v>
      </c>
      <c r="S594" s="6">
        <v>0.0</v>
      </c>
      <c r="T594" s="6">
        <v>0.0</v>
      </c>
      <c r="U594" s="6">
        <v>0.0</v>
      </c>
    </row>
    <row r="595">
      <c r="A595" s="6" t="s">
        <v>729</v>
      </c>
      <c r="B595" s="6" t="s">
        <v>11576</v>
      </c>
      <c r="C595" s="6" t="s">
        <v>11579</v>
      </c>
      <c r="D595" s="6" t="s">
        <v>41</v>
      </c>
      <c r="E595" s="6" t="s">
        <v>11799</v>
      </c>
      <c r="F595" s="6" t="s">
        <v>2301</v>
      </c>
      <c r="G595" s="6" t="s">
        <v>2939</v>
      </c>
      <c r="H595" s="6">
        <v>0.0</v>
      </c>
      <c r="I595" s="6">
        <v>0.0</v>
      </c>
      <c r="J595" s="6">
        <v>10.0</v>
      </c>
      <c r="K595" s="6">
        <v>1.0</v>
      </c>
      <c r="L595" s="6">
        <v>0.0</v>
      </c>
      <c r="M595" s="6">
        <v>0.0</v>
      </c>
      <c r="N595" s="669">
        <v>3093000.0</v>
      </c>
      <c r="O595" s="6">
        <v>0.0</v>
      </c>
      <c r="P595" s="6">
        <v>0.0</v>
      </c>
      <c r="Q595" s="6">
        <v>0.0</v>
      </c>
      <c r="R595" s="6">
        <v>0.0</v>
      </c>
      <c r="S595" s="6">
        <v>10.0</v>
      </c>
      <c r="T595" s="6">
        <v>0.0</v>
      </c>
      <c r="U595" s="6">
        <v>0.0</v>
      </c>
    </row>
    <row r="596">
      <c r="A596" s="6" t="s">
        <v>731</v>
      </c>
      <c r="B596" s="6" t="s">
        <v>11578</v>
      </c>
      <c r="C596" s="6" t="s">
        <v>11591</v>
      </c>
      <c r="D596" s="6" t="s">
        <v>132</v>
      </c>
      <c r="E596" s="6" t="s">
        <v>726</v>
      </c>
      <c r="G596" s="6" t="s">
        <v>2939</v>
      </c>
      <c r="H596" s="6">
        <v>2.0</v>
      </c>
      <c r="I596" s="6">
        <v>0.0</v>
      </c>
      <c r="J596" s="6">
        <v>0.0</v>
      </c>
      <c r="K596" s="6">
        <v>0.0</v>
      </c>
      <c r="L596" s="6">
        <v>0.0</v>
      </c>
      <c r="M596" s="6">
        <v>0.0</v>
      </c>
      <c r="N596" s="669">
        <v>1448000.0</v>
      </c>
      <c r="O596" s="6">
        <v>0.0</v>
      </c>
      <c r="P596" s="6">
        <v>0.0</v>
      </c>
      <c r="Q596" s="6">
        <v>0.0</v>
      </c>
      <c r="R596" s="6">
        <v>0.0</v>
      </c>
      <c r="S596" s="6">
        <v>0.0</v>
      </c>
      <c r="T596" s="6">
        <v>0.0</v>
      </c>
      <c r="U596" s="6">
        <v>5.0</v>
      </c>
    </row>
    <row r="597">
      <c r="A597" s="6" t="s">
        <v>732</v>
      </c>
      <c r="B597" s="6" t="s">
        <v>11578</v>
      </c>
      <c r="C597" s="6" t="s">
        <v>11591</v>
      </c>
      <c r="D597" s="6" t="s">
        <v>134</v>
      </c>
      <c r="E597" s="6" t="s">
        <v>726</v>
      </c>
      <c r="G597" s="6" t="s">
        <v>2939</v>
      </c>
      <c r="H597" s="6">
        <v>0.0</v>
      </c>
      <c r="I597" s="6">
        <v>0.0</v>
      </c>
      <c r="J597" s="6">
        <v>0.0</v>
      </c>
      <c r="K597" s="6">
        <v>0.0</v>
      </c>
      <c r="L597" s="6">
        <v>0.0</v>
      </c>
      <c r="M597" s="6">
        <v>0.0</v>
      </c>
      <c r="N597" s="669">
        <v>1448000.0</v>
      </c>
      <c r="O597" s="6">
        <v>0.0</v>
      </c>
      <c r="P597" s="6">
        <v>0.0</v>
      </c>
      <c r="Q597" s="6">
        <v>0.0</v>
      </c>
      <c r="R597" s="6">
        <v>0.0</v>
      </c>
      <c r="S597" s="6">
        <v>5.0</v>
      </c>
      <c r="T597" s="6">
        <v>0.0</v>
      </c>
      <c r="U597" s="6">
        <v>0.0</v>
      </c>
    </row>
    <row r="598">
      <c r="A598" s="6" t="s">
        <v>733</v>
      </c>
      <c r="B598" s="6" t="s">
        <v>11578</v>
      </c>
      <c r="C598" s="6" t="s">
        <v>11591</v>
      </c>
      <c r="D598" s="6" t="s">
        <v>202</v>
      </c>
      <c r="E598" s="6" t="s">
        <v>726</v>
      </c>
      <c r="F598" s="6" t="s">
        <v>97</v>
      </c>
      <c r="G598" s="6" t="s">
        <v>2939</v>
      </c>
      <c r="H598" s="6">
        <v>2.0</v>
      </c>
      <c r="I598" s="6">
        <v>0.0</v>
      </c>
      <c r="J598" s="6">
        <v>0.0</v>
      </c>
      <c r="K598" s="6">
        <v>0.0</v>
      </c>
      <c r="L598" s="6">
        <v>0.0</v>
      </c>
      <c r="M598" s="6">
        <v>0.0</v>
      </c>
      <c r="N598" s="669">
        <v>1766000.0</v>
      </c>
      <c r="O598" s="6">
        <v>0.0</v>
      </c>
      <c r="P598" s="6">
        <v>0.0</v>
      </c>
      <c r="Q598" s="6">
        <v>0.0</v>
      </c>
      <c r="R598" s="6">
        <v>0.0</v>
      </c>
      <c r="S598" s="6">
        <v>0.0</v>
      </c>
      <c r="T598" s="6">
        <v>0.0</v>
      </c>
      <c r="U598" s="6">
        <v>0.0</v>
      </c>
    </row>
    <row r="599">
      <c r="A599" s="6" t="s">
        <v>734</v>
      </c>
      <c r="B599" s="6" t="s">
        <v>11578</v>
      </c>
      <c r="C599" s="6" t="s">
        <v>11591</v>
      </c>
      <c r="D599" s="6" t="s">
        <v>236</v>
      </c>
      <c r="E599" s="6" t="s">
        <v>726</v>
      </c>
      <c r="F599" s="6" t="s">
        <v>234</v>
      </c>
      <c r="G599" s="6" t="s">
        <v>2939</v>
      </c>
      <c r="H599" s="6">
        <v>0.0</v>
      </c>
      <c r="I599" s="6">
        <v>0.0</v>
      </c>
      <c r="J599" s="6">
        <v>0.0</v>
      </c>
      <c r="K599" s="6">
        <v>0.0</v>
      </c>
      <c r="L599" s="6">
        <v>0.0</v>
      </c>
      <c r="M599" s="6">
        <v>0.0</v>
      </c>
      <c r="N599" s="669">
        <v>1928000.0</v>
      </c>
      <c r="O599" s="6">
        <v>0.0</v>
      </c>
      <c r="P599" s="6">
        <v>0.0</v>
      </c>
      <c r="Q599" s="6">
        <v>0.0</v>
      </c>
      <c r="R599" s="6">
        <v>0.0</v>
      </c>
      <c r="S599" s="6">
        <v>0.0</v>
      </c>
      <c r="T599" s="6">
        <v>0.0</v>
      </c>
      <c r="U599" s="6">
        <v>0.0</v>
      </c>
    </row>
    <row r="600">
      <c r="A600" s="6" t="s">
        <v>1604</v>
      </c>
      <c r="B600" s="6" t="s">
        <v>11569</v>
      </c>
      <c r="C600" s="6" t="s">
        <v>11591</v>
      </c>
      <c r="D600" s="6" t="s">
        <v>202</v>
      </c>
      <c r="E600" s="6" t="s">
        <v>730</v>
      </c>
      <c r="G600" s="6" t="s">
        <v>2939</v>
      </c>
      <c r="H600" s="6">
        <v>0.0</v>
      </c>
      <c r="I600" s="6">
        <v>0.0</v>
      </c>
      <c r="J600" s="6">
        <v>2.0</v>
      </c>
      <c r="K600" s="6">
        <v>0.0</v>
      </c>
      <c r="L600" s="6">
        <v>0.0</v>
      </c>
      <c r="M600" s="6">
        <v>0.0</v>
      </c>
      <c r="N600" s="669">
        <v>1928000.0</v>
      </c>
      <c r="O600" s="6">
        <v>0.0</v>
      </c>
      <c r="P600" s="6">
        <v>0.0</v>
      </c>
      <c r="Q600" s="6">
        <v>0.0</v>
      </c>
      <c r="R600" s="6">
        <v>0.0</v>
      </c>
      <c r="S600" s="6">
        <v>0.0</v>
      </c>
      <c r="T600" s="6">
        <v>0.0</v>
      </c>
      <c r="U600" s="6">
        <v>5.0</v>
      </c>
    </row>
    <row r="601">
      <c r="A601" s="6" t="s">
        <v>1605</v>
      </c>
      <c r="B601" s="6" t="s">
        <v>11569</v>
      </c>
      <c r="C601" s="6" t="s">
        <v>11591</v>
      </c>
      <c r="D601" s="6" t="s">
        <v>236</v>
      </c>
      <c r="E601" s="6" t="s">
        <v>730</v>
      </c>
      <c r="G601" s="6" t="s">
        <v>2939</v>
      </c>
      <c r="H601" s="6">
        <v>0.0</v>
      </c>
      <c r="I601" s="6">
        <v>0.0</v>
      </c>
      <c r="J601" s="6">
        <v>8.0</v>
      </c>
      <c r="K601" s="6">
        <v>0.0</v>
      </c>
      <c r="L601" s="6">
        <v>0.0</v>
      </c>
      <c r="M601" s="6">
        <v>0.0</v>
      </c>
      <c r="N601" s="669">
        <v>1928000.0</v>
      </c>
      <c r="O601" s="6">
        <v>0.0</v>
      </c>
      <c r="P601" s="6">
        <v>0.0</v>
      </c>
      <c r="Q601" s="6">
        <v>0.0</v>
      </c>
      <c r="R601" s="6">
        <v>0.0</v>
      </c>
      <c r="S601" s="6">
        <v>0.0</v>
      </c>
      <c r="T601" s="6">
        <v>0.0</v>
      </c>
      <c r="U601" s="6">
        <v>0.0</v>
      </c>
    </row>
    <row r="602">
      <c r="A602" s="6" t="s">
        <v>11800</v>
      </c>
      <c r="B602" s="6" t="s">
        <v>11569</v>
      </c>
      <c r="C602" s="6" t="s">
        <v>11570</v>
      </c>
      <c r="D602" s="6" t="s">
        <v>22</v>
      </c>
      <c r="E602" s="6" t="s">
        <v>11801</v>
      </c>
      <c r="F602" s="6" t="s">
        <v>23</v>
      </c>
      <c r="G602" s="6" t="s">
        <v>2939</v>
      </c>
      <c r="H602" s="6">
        <v>0.0</v>
      </c>
      <c r="I602" s="6">
        <v>0.0</v>
      </c>
      <c r="J602" s="6">
        <v>2.0</v>
      </c>
      <c r="K602" s="6">
        <v>0.0</v>
      </c>
      <c r="L602" s="6">
        <v>0.0</v>
      </c>
      <c r="M602" s="6">
        <v>0.0</v>
      </c>
      <c r="N602" s="669">
        <v>4558000.0</v>
      </c>
      <c r="O602" s="6">
        <v>0.0</v>
      </c>
      <c r="P602" s="6">
        <v>0.0</v>
      </c>
      <c r="Q602" s="6">
        <v>0.0</v>
      </c>
      <c r="R602" s="6">
        <v>0.0</v>
      </c>
      <c r="S602" s="6">
        <v>0.0</v>
      </c>
      <c r="T602" s="6">
        <v>0.0</v>
      </c>
      <c r="U602" s="6">
        <v>0.0</v>
      </c>
    </row>
    <row r="603">
      <c r="A603" s="6" t="s">
        <v>1606</v>
      </c>
      <c r="B603" s="6" t="s">
        <v>11569</v>
      </c>
      <c r="C603" s="6" t="s">
        <v>11570</v>
      </c>
      <c r="D603" s="6" t="s">
        <v>22</v>
      </c>
      <c r="E603" s="6" t="s">
        <v>1607</v>
      </c>
      <c r="F603" s="6" t="s">
        <v>23</v>
      </c>
      <c r="G603" s="6" t="s">
        <v>2939</v>
      </c>
      <c r="H603" s="6">
        <v>0.0</v>
      </c>
      <c r="I603" s="6">
        <v>0.0</v>
      </c>
      <c r="J603" s="6">
        <v>0.0</v>
      </c>
      <c r="K603" s="6">
        <v>0.0</v>
      </c>
      <c r="L603" s="6">
        <v>0.0</v>
      </c>
      <c r="M603" s="6">
        <v>0.0</v>
      </c>
      <c r="N603" s="669">
        <v>4558000.0</v>
      </c>
      <c r="O603" s="6">
        <v>0.0</v>
      </c>
      <c r="P603" s="6">
        <v>0.0</v>
      </c>
      <c r="Q603" s="6">
        <v>0.0</v>
      </c>
      <c r="R603" s="6">
        <v>0.0</v>
      </c>
      <c r="S603" s="6">
        <v>5.0</v>
      </c>
      <c r="T603" s="6">
        <v>0.0</v>
      </c>
      <c r="U603" s="6">
        <v>0.0</v>
      </c>
    </row>
    <row r="604">
      <c r="A604" s="6" t="s">
        <v>2521</v>
      </c>
      <c r="B604" s="6" t="s">
        <v>11569</v>
      </c>
      <c r="C604" s="6" t="s">
        <v>11579</v>
      </c>
      <c r="D604" s="6" t="s">
        <v>41</v>
      </c>
      <c r="E604" s="6" t="s">
        <v>11802</v>
      </c>
      <c r="F604" s="6" t="s">
        <v>1377</v>
      </c>
      <c r="G604" s="6" t="s">
        <v>2939</v>
      </c>
      <c r="H604" s="6">
        <v>0.0</v>
      </c>
      <c r="I604" s="6">
        <v>0.0</v>
      </c>
      <c r="J604" s="6">
        <v>3.0</v>
      </c>
      <c r="K604" s="6">
        <v>2.0</v>
      </c>
      <c r="L604" s="6">
        <v>0.0</v>
      </c>
      <c r="M604" s="6">
        <v>0.0</v>
      </c>
      <c r="N604" s="669">
        <v>2400000.0</v>
      </c>
      <c r="O604" s="6">
        <v>0.0</v>
      </c>
      <c r="P604" s="6">
        <v>0.0</v>
      </c>
      <c r="Q604" s="6">
        <v>0.0</v>
      </c>
      <c r="R604" s="6">
        <v>0.0</v>
      </c>
      <c r="S604" s="6">
        <v>0.0</v>
      </c>
      <c r="T604" s="6">
        <v>0.0</v>
      </c>
      <c r="U604" s="6">
        <v>0.0</v>
      </c>
    </row>
    <row r="605">
      <c r="A605" s="6" t="s">
        <v>735</v>
      </c>
      <c r="B605" s="6" t="s">
        <v>11576</v>
      </c>
      <c r="C605" s="6" t="s">
        <v>11570</v>
      </c>
      <c r="D605" s="6" t="s">
        <v>22</v>
      </c>
      <c r="E605" s="6" t="s">
        <v>11803</v>
      </c>
      <c r="F605" s="6" t="s">
        <v>737</v>
      </c>
      <c r="G605" s="6" t="s">
        <v>2939</v>
      </c>
      <c r="H605" s="6">
        <v>0.0</v>
      </c>
      <c r="I605" s="6">
        <v>0.0</v>
      </c>
      <c r="J605" s="6" t="s">
        <v>11590</v>
      </c>
      <c r="K605" s="6">
        <v>0.0</v>
      </c>
      <c r="L605" s="6">
        <v>0.0</v>
      </c>
      <c r="M605" s="6">
        <v>0.0</v>
      </c>
      <c r="N605" s="669">
        <v>2576000.0</v>
      </c>
      <c r="O605" s="6">
        <v>0.0</v>
      </c>
      <c r="P605" s="6">
        <v>0.0</v>
      </c>
      <c r="Q605" s="6">
        <v>0.0</v>
      </c>
      <c r="R605" s="6">
        <v>0.0</v>
      </c>
      <c r="S605" s="6">
        <v>0.0</v>
      </c>
      <c r="T605" s="6">
        <v>0.0</v>
      </c>
      <c r="U605" s="6">
        <v>0.0</v>
      </c>
    </row>
    <row r="606">
      <c r="A606" s="6" t="s">
        <v>740</v>
      </c>
      <c r="B606" s="6" t="s">
        <v>11576</v>
      </c>
      <c r="C606" s="6" t="s">
        <v>11570</v>
      </c>
      <c r="D606" s="6" t="s">
        <v>22</v>
      </c>
      <c r="E606" s="6" t="s">
        <v>11804</v>
      </c>
      <c r="F606" s="6" t="s">
        <v>23</v>
      </c>
      <c r="G606" s="6" t="s">
        <v>2939</v>
      </c>
      <c r="H606" s="6">
        <v>0.0</v>
      </c>
      <c r="I606" s="6">
        <v>0.0</v>
      </c>
      <c r="J606" s="6">
        <v>8.0</v>
      </c>
      <c r="K606" s="6">
        <v>1.0</v>
      </c>
      <c r="L606" s="6">
        <v>0.0</v>
      </c>
      <c r="M606" s="6">
        <v>0.0</v>
      </c>
      <c r="N606" s="669">
        <v>3026000.0</v>
      </c>
      <c r="O606" s="6">
        <v>0.0</v>
      </c>
      <c r="P606" s="6">
        <v>0.0</v>
      </c>
      <c r="Q606" s="6">
        <v>0.0</v>
      </c>
      <c r="R606" s="6">
        <v>0.0</v>
      </c>
      <c r="S606" s="6">
        <v>10.0</v>
      </c>
      <c r="T606" s="6">
        <v>0.0</v>
      </c>
      <c r="U606" s="6">
        <v>0.0</v>
      </c>
    </row>
    <row r="607">
      <c r="A607" s="6" t="s">
        <v>742</v>
      </c>
      <c r="B607" s="6" t="s">
        <v>11569</v>
      </c>
      <c r="C607" s="6" t="s">
        <v>11570</v>
      </c>
      <c r="D607" s="6" t="s">
        <v>22</v>
      </c>
      <c r="E607" s="6" t="s">
        <v>743</v>
      </c>
      <c r="F607" s="6" t="s">
        <v>23</v>
      </c>
      <c r="G607" s="6" t="s">
        <v>11553</v>
      </c>
      <c r="H607" s="6">
        <v>0.0</v>
      </c>
      <c r="I607" s="6">
        <v>0.0</v>
      </c>
      <c r="J607" s="6">
        <v>9.0</v>
      </c>
      <c r="K607" s="6">
        <v>0.0</v>
      </c>
      <c r="L607" s="6">
        <v>0.0</v>
      </c>
      <c r="M607" s="6">
        <v>0.0</v>
      </c>
      <c r="N607" s="669">
        <v>3500000.0</v>
      </c>
      <c r="O607" s="6">
        <v>0.0</v>
      </c>
      <c r="P607" s="6">
        <v>0.0</v>
      </c>
      <c r="Q607" s="6">
        <v>0.0</v>
      </c>
      <c r="R607" s="6">
        <v>0.0</v>
      </c>
      <c r="S607" s="6">
        <v>10.0</v>
      </c>
      <c r="T607" s="6">
        <v>0.0</v>
      </c>
      <c r="U607" s="6">
        <v>0.0</v>
      </c>
    </row>
    <row r="608">
      <c r="A608" s="6" t="s">
        <v>2014</v>
      </c>
      <c r="B608" s="6" t="s">
        <v>11576</v>
      </c>
      <c r="C608" s="6" t="s">
        <v>11570</v>
      </c>
      <c r="D608" s="6" t="s">
        <v>22</v>
      </c>
      <c r="E608" s="6" t="s">
        <v>11805</v>
      </c>
      <c r="F608" s="6" t="s">
        <v>2019</v>
      </c>
      <c r="G608" s="6" t="s">
        <v>2939</v>
      </c>
      <c r="H608" s="6">
        <v>0.0</v>
      </c>
      <c r="I608" s="6">
        <v>0.0</v>
      </c>
      <c r="J608" s="6">
        <v>8.0</v>
      </c>
      <c r="K608" s="6">
        <v>0.0</v>
      </c>
      <c r="L608" s="6">
        <v>0.0</v>
      </c>
      <c r="M608" s="6">
        <v>0.0</v>
      </c>
      <c r="N608" s="669">
        <v>4257000.0</v>
      </c>
      <c r="O608" s="6">
        <v>0.0</v>
      </c>
      <c r="P608" s="6">
        <v>0.0</v>
      </c>
      <c r="Q608" s="6">
        <v>0.0</v>
      </c>
      <c r="R608" s="6">
        <v>0.0</v>
      </c>
      <c r="S608" s="6">
        <v>5.0</v>
      </c>
      <c r="T608" s="6">
        <v>0.0</v>
      </c>
      <c r="U608" s="6">
        <v>0.0</v>
      </c>
    </row>
    <row r="609">
      <c r="A609" s="6" t="s">
        <v>746</v>
      </c>
      <c r="B609" s="6" t="s">
        <v>11576</v>
      </c>
      <c r="C609" s="6" t="s">
        <v>11579</v>
      </c>
      <c r="D609" s="6" t="s">
        <v>41</v>
      </c>
      <c r="E609" s="6" t="s">
        <v>747</v>
      </c>
      <c r="F609" s="6" t="s">
        <v>1377</v>
      </c>
      <c r="G609" s="6" t="s">
        <v>2939</v>
      </c>
      <c r="H609" s="6">
        <v>1.0</v>
      </c>
      <c r="I609" s="6">
        <v>0.0</v>
      </c>
      <c r="J609" s="6">
        <v>3.0</v>
      </c>
      <c r="K609" s="6">
        <v>2.0</v>
      </c>
      <c r="L609" s="6">
        <v>0.0</v>
      </c>
      <c r="M609" s="6">
        <v>0.0</v>
      </c>
      <c r="N609" s="669">
        <v>2294000.0</v>
      </c>
      <c r="O609" s="6">
        <v>0.0</v>
      </c>
      <c r="P609" s="6">
        <v>0.0</v>
      </c>
      <c r="Q609" s="6">
        <v>0.0</v>
      </c>
      <c r="R609" s="6">
        <v>0.0</v>
      </c>
      <c r="S609" s="6">
        <v>0.0</v>
      </c>
      <c r="T609" s="6">
        <v>0.0</v>
      </c>
      <c r="U609" s="6">
        <v>5.0</v>
      </c>
    </row>
    <row r="610">
      <c r="A610" s="6" t="s">
        <v>748</v>
      </c>
      <c r="B610" s="6" t="s">
        <v>11576</v>
      </c>
      <c r="C610" s="6" t="s">
        <v>11591</v>
      </c>
      <c r="D610" s="6" t="s">
        <v>128</v>
      </c>
      <c r="E610" s="6" t="s">
        <v>747</v>
      </c>
      <c r="G610" s="6" t="s">
        <v>2939</v>
      </c>
      <c r="H610" s="6">
        <v>0.0</v>
      </c>
      <c r="I610" s="6">
        <v>0.0</v>
      </c>
      <c r="J610" s="6">
        <v>0.0</v>
      </c>
      <c r="K610" s="6">
        <v>0.0</v>
      </c>
      <c r="L610" s="6">
        <v>0.0</v>
      </c>
      <c r="M610" s="6">
        <v>0.0</v>
      </c>
      <c r="N610" s="669">
        <v>804000.0</v>
      </c>
      <c r="O610" s="6">
        <v>0.0</v>
      </c>
      <c r="P610" s="6">
        <v>0.0</v>
      </c>
      <c r="Q610" s="6">
        <v>0.0</v>
      </c>
      <c r="R610" s="6">
        <v>0.0</v>
      </c>
      <c r="S610" s="6">
        <v>5.0</v>
      </c>
      <c r="T610" s="6">
        <v>0.0</v>
      </c>
      <c r="U610" s="6">
        <v>0.0</v>
      </c>
    </row>
    <row r="611">
      <c r="A611" s="6" t="s">
        <v>749</v>
      </c>
      <c r="B611" s="6" t="s">
        <v>11576</v>
      </c>
      <c r="C611" s="6" t="s">
        <v>11591</v>
      </c>
      <c r="D611" s="6" t="s">
        <v>130</v>
      </c>
      <c r="E611" s="6" t="s">
        <v>747</v>
      </c>
      <c r="G611" s="6" t="s">
        <v>2939</v>
      </c>
      <c r="H611" s="6">
        <v>1.0</v>
      </c>
      <c r="I611" s="6">
        <v>0.0</v>
      </c>
      <c r="J611" s="6">
        <v>0.0</v>
      </c>
      <c r="K611" s="6">
        <v>0.0</v>
      </c>
      <c r="L611" s="6">
        <v>0.0</v>
      </c>
      <c r="M611" s="6">
        <v>0.0</v>
      </c>
      <c r="N611" s="669">
        <v>804000.0</v>
      </c>
      <c r="O611" s="6">
        <v>0.0</v>
      </c>
      <c r="P611" s="6">
        <v>0.0</v>
      </c>
      <c r="Q611" s="6">
        <v>0.0</v>
      </c>
      <c r="R611" s="6">
        <v>0.0</v>
      </c>
      <c r="S611" s="6">
        <v>0.0</v>
      </c>
      <c r="T611" s="6">
        <v>0.0</v>
      </c>
      <c r="U611" s="6">
        <v>5.0</v>
      </c>
    </row>
    <row r="612">
      <c r="A612" s="6" t="s">
        <v>750</v>
      </c>
      <c r="B612" s="6" t="s">
        <v>11576</v>
      </c>
      <c r="C612" s="6" t="s">
        <v>11591</v>
      </c>
      <c r="D612" s="6" t="s">
        <v>132</v>
      </c>
      <c r="E612" s="6" t="s">
        <v>747</v>
      </c>
      <c r="G612" s="6" t="s">
        <v>2939</v>
      </c>
      <c r="H612" s="6">
        <v>0.0</v>
      </c>
      <c r="I612" s="6">
        <v>0.0</v>
      </c>
      <c r="J612" s="6">
        <v>2.0</v>
      </c>
      <c r="K612" s="6">
        <v>0.0</v>
      </c>
      <c r="L612" s="6">
        <v>0.0</v>
      </c>
      <c r="M612" s="6">
        <v>0.0</v>
      </c>
      <c r="N612" s="669">
        <v>725000.0</v>
      </c>
      <c r="O612" s="6">
        <v>0.0</v>
      </c>
      <c r="P612" s="6">
        <v>0.0</v>
      </c>
      <c r="Q612" s="6">
        <v>0.0</v>
      </c>
      <c r="R612" s="6">
        <v>0.0</v>
      </c>
      <c r="S612" s="6">
        <v>0.0</v>
      </c>
      <c r="T612" s="6">
        <v>0.0</v>
      </c>
      <c r="U612" s="6">
        <v>0.0</v>
      </c>
    </row>
    <row r="613">
      <c r="A613" s="6" t="s">
        <v>751</v>
      </c>
      <c r="B613" s="6" t="s">
        <v>11576</v>
      </c>
      <c r="C613" s="6" t="s">
        <v>11591</v>
      </c>
      <c r="D613" s="6" t="s">
        <v>134</v>
      </c>
      <c r="E613" s="6" t="s">
        <v>747</v>
      </c>
      <c r="G613" s="6" t="s">
        <v>2939</v>
      </c>
      <c r="H613" s="6">
        <v>0.0</v>
      </c>
      <c r="I613" s="6">
        <v>0.0</v>
      </c>
      <c r="J613" s="6">
        <v>1.0</v>
      </c>
      <c r="K613" s="6">
        <v>0.0</v>
      </c>
      <c r="L613" s="6">
        <v>0.0</v>
      </c>
      <c r="M613" s="6">
        <v>0.0</v>
      </c>
      <c r="N613" s="669">
        <v>725000.0</v>
      </c>
      <c r="O613" s="6">
        <v>0.0</v>
      </c>
      <c r="P613" s="6">
        <v>0.0</v>
      </c>
      <c r="Q613" s="6">
        <v>0.0</v>
      </c>
      <c r="R613" s="6">
        <v>0.0</v>
      </c>
      <c r="S613" s="6">
        <v>0.0</v>
      </c>
      <c r="T613" s="6">
        <v>0.0</v>
      </c>
      <c r="U613" s="6">
        <v>5.0</v>
      </c>
    </row>
    <row r="614">
      <c r="A614" s="6" t="s">
        <v>752</v>
      </c>
      <c r="B614" s="6" t="s">
        <v>11578</v>
      </c>
      <c r="C614" s="6" t="s">
        <v>11591</v>
      </c>
      <c r="D614" s="6" t="s">
        <v>387</v>
      </c>
      <c r="E614" s="6" t="s">
        <v>747</v>
      </c>
      <c r="G614" s="6" t="s">
        <v>2939</v>
      </c>
      <c r="H614" s="6">
        <v>1.0</v>
      </c>
      <c r="I614" s="6">
        <v>0.0</v>
      </c>
      <c r="J614" s="6">
        <v>0.0</v>
      </c>
      <c r="K614" s="6">
        <v>0.0</v>
      </c>
      <c r="L614" s="6">
        <v>0.0</v>
      </c>
      <c r="M614" s="6">
        <v>0.0</v>
      </c>
      <c r="N614" s="669">
        <v>291000.0</v>
      </c>
      <c r="O614" s="6">
        <v>0.0</v>
      </c>
      <c r="P614" s="6">
        <v>0.0</v>
      </c>
      <c r="Q614" s="6">
        <v>0.0</v>
      </c>
      <c r="R614" s="6">
        <v>0.0</v>
      </c>
      <c r="S614" s="6">
        <v>0.0</v>
      </c>
      <c r="T614" s="6">
        <v>0.0</v>
      </c>
      <c r="U614" s="6">
        <v>0.0</v>
      </c>
    </row>
    <row r="615">
      <c r="A615" s="6" t="s">
        <v>753</v>
      </c>
      <c r="B615" s="6" t="s">
        <v>11578</v>
      </c>
      <c r="C615" s="6" t="s">
        <v>11591</v>
      </c>
      <c r="D615" s="6" t="s">
        <v>389</v>
      </c>
      <c r="E615" s="6" t="s">
        <v>747</v>
      </c>
      <c r="G615" s="6" t="s">
        <v>2939</v>
      </c>
      <c r="H615" s="6">
        <v>3.0</v>
      </c>
      <c r="I615" s="6">
        <v>0.0</v>
      </c>
      <c r="J615" s="6">
        <v>0.0</v>
      </c>
      <c r="K615" s="6">
        <v>0.0</v>
      </c>
      <c r="L615" s="6">
        <v>0.0</v>
      </c>
      <c r="M615" s="6">
        <v>0.0</v>
      </c>
      <c r="N615" s="669">
        <v>291000.0</v>
      </c>
      <c r="O615" s="6">
        <v>0.0</v>
      </c>
      <c r="P615" s="6">
        <v>0.0</v>
      </c>
      <c r="Q615" s="6">
        <v>0.0</v>
      </c>
      <c r="R615" s="6">
        <v>0.0</v>
      </c>
      <c r="S615" s="6">
        <v>0.0</v>
      </c>
      <c r="T615" s="6">
        <v>0.0</v>
      </c>
      <c r="U615" s="6">
        <v>0.0</v>
      </c>
    </row>
    <row r="616">
      <c r="A616" s="6" t="s">
        <v>1609</v>
      </c>
      <c r="B616" s="6" t="s">
        <v>11569</v>
      </c>
      <c r="C616" s="6" t="s">
        <v>11570</v>
      </c>
      <c r="D616" s="6" t="s">
        <v>22</v>
      </c>
      <c r="E616" s="6" t="s">
        <v>11806</v>
      </c>
      <c r="F616" s="6" t="s">
        <v>23</v>
      </c>
      <c r="G616" s="6" t="s">
        <v>2939</v>
      </c>
      <c r="H616" s="6">
        <v>0.0</v>
      </c>
      <c r="I616" s="6">
        <v>0.0</v>
      </c>
      <c r="J616" s="6">
        <v>0.0</v>
      </c>
      <c r="K616" s="6">
        <v>0.0</v>
      </c>
      <c r="L616" s="6">
        <v>0.0</v>
      </c>
      <c r="M616" s="6">
        <v>0.0</v>
      </c>
      <c r="N616" s="669">
        <v>4644000.0</v>
      </c>
      <c r="O616" s="6">
        <v>0.0</v>
      </c>
      <c r="P616" s="6">
        <v>0.0</v>
      </c>
      <c r="Q616" s="6">
        <v>0.0</v>
      </c>
      <c r="R616" s="6">
        <v>0.0</v>
      </c>
      <c r="S616" s="6">
        <v>5.0</v>
      </c>
      <c r="T616" s="6">
        <v>0.0</v>
      </c>
      <c r="U616" s="6">
        <v>0.0</v>
      </c>
    </row>
    <row r="617">
      <c r="A617" s="6" t="s">
        <v>2496</v>
      </c>
      <c r="B617" s="6" t="s">
        <v>11569</v>
      </c>
      <c r="C617" s="6" t="s">
        <v>11570</v>
      </c>
      <c r="D617" s="6" t="s">
        <v>22</v>
      </c>
      <c r="E617" s="6" t="s">
        <v>11807</v>
      </c>
      <c r="F617" s="6" t="s">
        <v>1350</v>
      </c>
      <c r="G617" s="6" t="s">
        <v>2939</v>
      </c>
      <c r="H617" s="6">
        <v>0.0</v>
      </c>
      <c r="I617" s="6">
        <v>0.0</v>
      </c>
      <c r="J617" s="6">
        <v>1.0</v>
      </c>
      <c r="K617" s="6">
        <v>0.0</v>
      </c>
      <c r="L617" s="6">
        <v>0.0</v>
      </c>
      <c r="M617" s="6">
        <v>0.0</v>
      </c>
      <c r="N617" s="669">
        <v>5051000.0</v>
      </c>
      <c r="O617" s="6">
        <v>0.0</v>
      </c>
      <c r="P617" s="6">
        <v>0.0</v>
      </c>
      <c r="Q617" s="6">
        <v>0.0</v>
      </c>
      <c r="R617" s="6">
        <v>0.0</v>
      </c>
      <c r="S617" s="6">
        <v>8.0</v>
      </c>
      <c r="T617" s="6">
        <v>0.0</v>
      </c>
      <c r="U617" s="6">
        <v>0.0</v>
      </c>
    </row>
    <row r="618">
      <c r="A618" s="6" t="s">
        <v>1613</v>
      </c>
      <c r="B618" s="6" t="s">
        <v>11569</v>
      </c>
      <c r="C618" s="6" t="s">
        <v>11579</v>
      </c>
      <c r="D618" s="6" t="s">
        <v>41</v>
      </c>
      <c r="E618" s="6" t="s">
        <v>1614</v>
      </c>
      <c r="F618" s="6" t="s">
        <v>1377</v>
      </c>
      <c r="G618" s="6" t="s">
        <v>2939</v>
      </c>
      <c r="H618" s="6">
        <v>0.0</v>
      </c>
      <c r="I618" s="6">
        <v>0.0</v>
      </c>
      <c r="J618" s="6">
        <v>4.0</v>
      </c>
      <c r="K618" s="6">
        <v>0.0</v>
      </c>
      <c r="L618" s="6">
        <v>0.0</v>
      </c>
      <c r="M618" s="6">
        <v>0.0</v>
      </c>
      <c r="N618" s="669">
        <v>2767000.0</v>
      </c>
      <c r="O618" s="6">
        <v>0.0</v>
      </c>
      <c r="P618" s="6">
        <v>0.0</v>
      </c>
      <c r="Q618" s="6">
        <v>0.0</v>
      </c>
      <c r="R618" s="6">
        <v>0.0</v>
      </c>
      <c r="S618" s="6">
        <v>0.0</v>
      </c>
      <c r="T618" s="6">
        <v>0.0</v>
      </c>
      <c r="U618" s="6">
        <v>5.0</v>
      </c>
    </row>
    <row r="619">
      <c r="A619" s="6" t="s">
        <v>2393</v>
      </c>
      <c r="B619" s="6" t="s">
        <v>11569</v>
      </c>
      <c r="C619" s="6" t="s">
        <v>11591</v>
      </c>
      <c r="D619" s="6" t="s">
        <v>128</v>
      </c>
      <c r="E619" s="6" t="s">
        <v>1614</v>
      </c>
      <c r="F619" s="6" t="s">
        <v>397</v>
      </c>
      <c r="G619" s="6" t="s">
        <v>2939</v>
      </c>
      <c r="H619" s="6">
        <v>0.0</v>
      </c>
      <c r="I619" s="6">
        <v>0.0</v>
      </c>
      <c r="J619" s="6">
        <v>3.0</v>
      </c>
      <c r="K619" s="6">
        <v>0.0</v>
      </c>
      <c r="L619" s="6">
        <v>0.0</v>
      </c>
      <c r="M619" s="6">
        <v>0.0</v>
      </c>
      <c r="N619" s="669">
        <v>566000.0</v>
      </c>
      <c r="O619" s="6">
        <v>0.0</v>
      </c>
      <c r="P619" s="6">
        <v>0.0</v>
      </c>
      <c r="Q619" s="6">
        <v>0.0</v>
      </c>
      <c r="R619" s="6">
        <v>0.0</v>
      </c>
      <c r="S619" s="6">
        <v>0.0</v>
      </c>
      <c r="T619" s="6">
        <v>0.0</v>
      </c>
      <c r="U619" s="6">
        <v>0.0</v>
      </c>
    </row>
    <row r="620">
      <c r="A620" s="6" t="s">
        <v>1617</v>
      </c>
      <c r="B620" s="6" t="s">
        <v>11569</v>
      </c>
      <c r="C620" s="6" t="s">
        <v>11591</v>
      </c>
      <c r="D620" s="6" t="s">
        <v>130</v>
      </c>
      <c r="E620" s="6" t="s">
        <v>1614</v>
      </c>
      <c r="F620" s="6" t="s">
        <v>397</v>
      </c>
      <c r="G620" s="6" t="s">
        <v>2939</v>
      </c>
      <c r="H620" s="6">
        <v>0.0</v>
      </c>
      <c r="I620" s="6">
        <v>0.0</v>
      </c>
      <c r="J620" s="6">
        <v>1.0</v>
      </c>
      <c r="K620" s="6">
        <v>0.0</v>
      </c>
      <c r="L620" s="6">
        <v>0.0</v>
      </c>
      <c r="M620" s="6">
        <v>0.0</v>
      </c>
      <c r="N620" s="669">
        <v>566000.0</v>
      </c>
      <c r="O620" s="6">
        <v>0.0</v>
      </c>
      <c r="P620" s="6">
        <v>0.0</v>
      </c>
      <c r="Q620" s="6">
        <v>0.0</v>
      </c>
      <c r="R620" s="6">
        <v>0.0</v>
      </c>
      <c r="S620" s="6">
        <v>5.0</v>
      </c>
      <c r="T620" s="6">
        <v>0.0</v>
      </c>
      <c r="U620" s="6">
        <v>0.0</v>
      </c>
    </row>
    <row r="621">
      <c r="A621" s="6" t="s">
        <v>1618</v>
      </c>
      <c r="B621" s="6" t="s">
        <v>11569</v>
      </c>
      <c r="C621" s="6" t="s">
        <v>11591</v>
      </c>
      <c r="D621" s="6" t="s">
        <v>132</v>
      </c>
      <c r="E621" s="6" t="s">
        <v>1614</v>
      </c>
      <c r="F621" s="6" t="s">
        <v>397</v>
      </c>
      <c r="G621" s="6" t="s">
        <v>2939</v>
      </c>
      <c r="H621" s="6">
        <v>0.0</v>
      </c>
      <c r="I621" s="6">
        <v>0.0</v>
      </c>
      <c r="J621" s="6">
        <v>4.0</v>
      </c>
      <c r="K621" s="6">
        <v>0.0</v>
      </c>
      <c r="L621" s="6">
        <v>0.0</v>
      </c>
      <c r="M621" s="6">
        <v>0.0</v>
      </c>
      <c r="N621" s="669">
        <v>566000.0</v>
      </c>
      <c r="O621" s="6">
        <v>0.0</v>
      </c>
      <c r="P621" s="6">
        <v>0.0</v>
      </c>
      <c r="Q621" s="6">
        <v>0.0</v>
      </c>
      <c r="R621" s="6">
        <v>0.0</v>
      </c>
      <c r="S621" s="6">
        <v>0.0</v>
      </c>
      <c r="T621" s="6">
        <v>0.0</v>
      </c>
      <c r="U621" s="6">
        <v>0.0</v>
      </c>
    </row>
    <row r="622">
      <c r="A622" s="6" t="s">
        <v>1619</v>
      </c>
      <c r="B622" s="6" t="s">
        <v>11569</v>
      </c>
      <c r="C622" s="6" t="s">
        <v>11591</v>
      </c>
      <c r="D622" s="6" t="s">
        <v>134</v>
      </c>
      <c r="E622" s="6" t="s">
        <v>1614</v>
      </c>
      <c r="F622" s="6" t="s">
        <v>397</v>
      </c>
      <c r="G622" s="6" t="s">
        <v>2939</v>
      </c>
      <c r="H622" s="6">
        <v>0.0</v>
      </c>
      <c r="I622" s="6">
        <v>0.0</v>
      </c>
      <c r="J622" s="6">
        <v>2.0</v>
      </c>
      <c r="K622" s="6">
        <v>0.0</v>
      </c>
      <c r="L622" s="6">
        <v>0.0</v>
      </c>
      <c r="M622" s="6">
        <v>0.0</v>
      </c>
      <c r="N622" s="669">
        <v>566000.0</v>
      </c>
      <c r="O622" s="6">
        <v>0.0</v>
      </c>
      <c r="P622" s="6">
        <v>0.0</v>
      </c>
      <c r="Q622" s="6">
        <v>0.0</v>
      </c>
      <c r="R622" s="6">
        <v>0.0</v>
      </c>
      <c r="S622" s="6">
        <v>0.0</v>
      </c>
      <c r="T622" s="6">
        <v>0.0</v>
      </c>
      <c r="U622" s="6">
        <v>0.0</v>
      </c>
    </row>
    <row r="623">
      <c r="A623" s="6" t="s">
        <v>1620</v>
      </c>
      <c r="B623" s="6" t="s">
        <v>11569</v>
      </c>
      <c r="C623" s="6" t="s">
        <v>11591</v>
      </c>
      <c r="D623" s="6" t="s">
        <v>202</v>
      </c>
      <c r="E623" s="6" t="s">
        <v>1614</v>
      </c>
      <c r="F623" s="6" t="s">
        <v>2193</v>
      </c>
      <c r="G623" s="6" t="s">
        <v>2939</v>
      </c>
      <c r="H623" s="6">
        <v>0.0</v>
      </c>
      <c r="I623" s="6">
        <v>0.0</v>
      </c>
      <c r="J623" s="6">
        <v>4.0</v>
      </c>
      <c r="K623" s="6">
        <v>0.0</v>
      </c>
      <c r="L623" s="6">
        <v>0.0</v>
      </c>
      <c r="M623" s="6">
        <v>0.0</v>
      </c>
      <c r="N623" s="669">
        <v>566000.0</v>
      </c>
      <c r="O623" s="6">
        <v>0.0</v>
      </c>
      <c r="P623" s="6">
        <v>0.0</v>
      </c>
      <c r="Q623" s="6">
        <v>0.0</v>
      </c>
      <c r="R623" s="6">
        <v>0.0</v>
      </c>
      <c r="S623" s="6">
        <v>0.0</v>
      </c>
      <c r="T623" s="6">
        <v>0.0</v>
      </c>
      <c r="U623" s="6">
        <v>0.0</v>
      </c>
    </row>
    <row r="624">
      <c r="A624" s="6" t="s">
        <v>1621</v>
      </c>
      <c r="B624" s="6" t="s">
        <v>11569</v>
      </c>
      <c r="C624" s="6" t="s">
        <v>11591</v>
      </c>
      <c r="D624" s="6" t="s">
        <v>236</v>
      </c>
      <c r="E624" s="6" t="s">
        <v>1614</v>
      </c>
      <c r="F624" s="6" t="s">
        <v>2193</v>
      </c>
      <c r="G624" s="6" t="s">
        <v>2939</v>
      </c>
      <c r="H624" s="6">
        <v>0.0</v>
      </c>
      <c r="I624" s="6">
        <v>0.0</v>
      </c>
      <c r="J624" s="6">
        <v>1.0</v>
      </c>
      <c r="K624" s="6">
        <v>0.0</v>
      </c>
      <c r="L624" s="6">
        <v>0.0</v>
      </c>
      <c r="M624" s="6">
        <v>0.0</v>
      </c>
      <c r="N624" s="669">
        <v>566000.0</v>
      </c>
      <c r="O624" s="6">
        <v>0.0</v>
      </c>
      <c r="P624" s="6">
        <v>0.0</v>
      </c>
      <c r="Q624" s="6">
        <v>0.0</v>
      </c>
      <c r="R624" s="6">
        <v>0.0</v>
      </c>
      <c r="S624" s="6">
        <v>0.0</v>
      </c>
      <c r="T624" s="6">
        <v>0.0</v>
      </c>
      <c r="U624" s="6">
        <v>0.0</v>
      </c>
    </row>
    <row r="625">
      <c r="A625" s="6" t="s">
        <v>754</v>
      </c>
      <c r="B625" s="6" t="s">
        <v>11576</v>
      </c>
      <c r="C625" s="6" t="s">
        <v>11570</v>
      </c>
      <c r="D625" s="6" t="s">
        <v>22</v>
      </c>
      <c r="E625" s="6" t="s">
        <v>11808</v>
      </c>
      <c r="F625" s="6" t="s">
        <v>75</v>
      </c>
      <c r="G625" s="6" t="s">
        <v>2939</v>
      </c>
      <c r="H625" s="6">
        <v>0.0</v>
      </c>
      <c r="I625" s="6">
        <v>0.0</v>
      </c>
      <c r="J625" s="6">
        <v>1.0</v>
      </c>
      <c r="K625" s="6">
        <v>1.0</v>
      </c>
      <c r="L625" s="6">
        <v>0.0</v>
      </c>
      <c r="M625" s="6">
        <v>0.0</v>
      </c>
      <c r="N625" s="669">
        <v>4927000.0</v>
      </c>
      <c r="O625" s="6">
        <v>0.0</v>
      </c>
      <c r="P625" s="6">
        <v>0.0</v>
      </c>
      <c r="Q625" s="6">
        <v>0.0</v>
      </c>
      <c r="R625" s="6">
        <v>0.0</v>
      </c>
      <c r="S625" s="6">
        <v>5.0</v>
      </c>
      <c r="T625" s="6">
        <v>0.0</v>
      </c>
      <c r="U625" s="6">
        <v>0.0</v>
      </c>
    </row>
    <row r="626">
      <c r="A626" s="6" t="s">
        <v>756</v>
      </c>
      <c r="B626" s="6" t="s">
        <v>11576</v>
      </c>
      <c r="C626" s="6" t="s">
        <v>11570</v>
      </c>
      <c r="D626" s="6" t="s">
        <v>22</v>
      </c>
      <c r="E626" s="6" t="s">
        <v>11809</v>
      </c>
      <c r="F626" s="6" t="s">
        <v>737</v>
      </c>
      <c r="G626" s="6" t="s">
        <v>2939</v>
      </c>
      <c r="H626" s="6">
        <v>0.0</v>
      </c>
      <c r="I626" s="6">
        <v>0.0</v>
      </c>
      <c r="J626" s="6">
        <v>3.0</v>
      </c>
      <c r="K626" s="6">
        <v>1.0</v>
      </c>
      <c r="L626" s="6">
        <v>0.0</v>
      </c>
      <c r="M626" s="6">
        <v>0.0</v>
      </c>
      <c r="N626" s="669">
        <v>4480000.0</v>
      </c>
      <c r="O626" s="6">
        <v>0.0</v>
      </c>
      <c r="P626" s="6">
        <v>0.0</v>
      </c>
      <c r="Q626" s="6">
        <v>0.0</v>
      </c>
      <c r="R626" s="6">
        <v>0.0</v>
      </c>
      <c r="S626" s="6">
        <v>0.0</v>
      </c>
      <c r="T626" s="6">
        <v>0.0</v>
      </c>
      <c r="U626" s="6">
        <v>0.0</v>
      </c>
    </row>
    <row r="627">
      <c r="A627" s="6" t="s">
        <v>758</v>
      </c>
      <c r="B627" s="6" t="s">
        <v>11576</v>
      </c>
      <c r="C627" s="6" t="s">
        <v>11579</v>
      </c>
      <c r="D627" s="6" t="s">
        <v>41</v>
      </c>
      <c r="E627" s="6" t="s">
        <v>759</v>
      </c>
      <c r="F627" s="6" t="s">
        <v>2364</v>
      </c>
      <c r="G627" s="6" t="s">
        <v>2939</v>
      </c>
      <c r="H627" s="6">
        <v>0.0</v>
      </c>
      <c r="I627" s="6">
        <v>0.0</v>
      </c>
      <c r="J627" s="6">
        <v>5.0</v>
      </c>
      <c r="K627" s="6">
        <v>0.0</v>
      </c>
      <c r="L627" s="6">
        <v>0.0</v>
      </c>
      <c r="M627" s="6">
        <v>0.0</v>
      </c>
      <c r="N627" s="669">
        <v>3717000.0</v>
      </c>
      <c r="O627" s="6">
        <v>0.0</v>
      </c>
      <c r="P627" s="6">
        <v>0.0</v>
      </c>
      <c r="Q627" s="6">
        <v>0.0</v>
      </c>
      <c r="R627" s="6">
        <v>0.0</v>
      </c>
      <c r="S627" s="6">
        <v>0.0</v>
      </c>
      <c r="T627" s="6">
        <v>0.0</v>
      </c>
      <c r="U627" s="6">
        <v>0.0</v>
      </c>
    </row>
    <row r="628">
      <c r="A628" s="6" t="s">
        <v>761</v>
      </c>
      <c r="B628" s="6" t="s">
        <v>11578</v>
      </c>
      <c r="C628" s="6" t="s">
        <v>11591</v>
      </c>
      <c r="D628" s="6" t="s">
        <v>130</v>
      </c>
      <c r="E628" s="6" t="s">
        <v>759</v>
      </c>
      <c r="F628" s="6" t="s">
        <v>141</v>
      </c>
      <c r="G628" s="6" t="s">
        <v>2939</v>
      </c>
      <c r="H628" s="6">
        <v>5.0</v>
      </c>
      <c r="I628" s="6">
        <v>0.0</v>
      </c>
      <c r="J628" s="6">
        <v>0.0</v>
      </c>
      <c r="K628" s="6">
        <v>0.0</v>
      </c>
      <c r="L628" s="6">
        <v>0.0</v>
      </c>
      <c r="M628" s="6">
        <v>0.0</v>
      </c>
      <c r="N628" s="669">
        <v>1045000.0</v>
      </c>
      <c r="O628" s="6">
        <v>0.0</v>
      </c>
      <c r="P628" s="6">
        <v>0.0</v>
      </c>
      <c r="Q628" s="6">
        <v>0.0</v>
      </c>
      <c r="R628" s="6">
        <v>0.0</v>
      </c>
      <c r="S628" s="6">
        <v>0.0</v>
      </c>
      <c r="T628" s="6">
        <v>0.0</v>
      </c>
      <c r="U628" s="6">
        <v>0.0</v>
      </c>
    </row>
    <row r="629">
      <c r="A629" s="6" t="s">
        <v>762</v>
      </c>
      <c r="B629" s="6" t="s">
        <v>11578</v>
      </c>
      <c r="C629" s="6" t="s">
        <v>11591</v>
      </c>
      <c r="D629" s="6" t="s">
        <v>132</v>
      </c>
      <c r="E629" s="6" t="s">
        <v>759</v>
      </c>
      <c r="F629" s="6" t="s">
        <v>144</v>
      </c>
      <c r="G629" s="6" t="s">
        <v>2939</v>
      </c>
      <c r="H629" s="6">
        <v>7.0</v>
      </c>
      <c r="I629" s="6">
        <v>0.0</v>
      </c>
      <c r="J629" s="6">
        <v>0.0</v>
      </c>
      <c r="K629" s="6">
        <v>0.0</v>
      </c>
      <c r="L629" s="6">
        <v>0.0</v>
      </c>
      <c r="M629" s="6">
        <v>0.0</v>
      </c>
      <c r="N629" s="669">
        <v>869000.0</v>
      </c>
      <c r="O629" s="6">
        <v>0.0</v>
      </c>
      <c r="P629" s="6">
        <v>0.0</v>
      </c>
      <c r="Q629" s="6">
        <v>0.0</v>
      </c>
      <c r="R629" s="6">
        <v>0.0</v>
      </c>
      <c r="S629" s="6">
        <v>0.0</v>
      </c>
      <c r="T629" s="6">
        <v>0.0</v>
      </c>
      <c r="U629" s="6">
        <v>0.0</v>
      </c>
    </row>
    <row r="630">
      <c r="A630" s="6" t="s">
        <v>763</v>
      </c>
      <c r="B630" s="6" t="s">
        <v>11578</v>
      </c>
      <c r="C630" s="6" t="s">
        <v>11591</v>
      </c>
      <c r="D630" s="6" t="s">
        <v>134</v>
      </c>
      <c r="E630" s="6" t="s">
        <v>759</v>
      </c>
      <c r="F630" s="6" t="s">
        <v>144</v>
      </c>
      <c r="G630" s="6" t="s">
        <v>2939</v>
      </c>
      <c r="H630" s="6">
        <v>7.0</v>
      </c>
      <c r="I630" s="6">
        <v>0.0</v>
      </c>
      <c r="J630" s="6">
        <v>0.0</v>
      </c>
      <c r="K630" s="6">
        <v>0.0</v>
      </c>
      <c r="L630" s="6">
        <v>0.0</v>
      </c>
      <c r="M630" s="6">
        <v>0.0</v>
      </c>
      <c r="N630" s="669">
        <v>869000.0</v>
      </c>
      <c r="O630" s="6">
        <v>0.0</v>
      </c>
      <c r="P630" s="6">
        <v>0.0</v>
      </c>
      <c r="Q630" s="6">
        <v>0.0</v>
      </c>
      <c r="R630" s="6">
        <v>0.0</v>
      </c>
      <c r="S630" s="6">
        <v>0.0</v>
      </c>
      <c r="T630" s="6">
        <v>0.0</v>
      </c>
      <c r="U630" s="6">
        <v>0.0</v>
      </c>
    </row>
    <row r="631">
      <c r="A631" s="6" t="s">
        <v>764</v>
      </c>
      <c r="B631" s="6" t="s">
        <v>11578</v>
      </c>
      <c r="C631" s="6" t="s">
        <v>11591</v>
      </c>
      <c r="D631" s="6" t="s">
        <v>202</v>
      </c>
      <c r="E631" s="6" t="s">
        <v>759</v>
      </c>
      <c r="F631" s="6" t="s">
        <v>97</v>
      </c>
      <c r="G631" s="6" t="s">
        <v>2939</v>
      </c>
      <c r="H631" s="6" t="s">
        <v>11590</v>
      </c>
      <c r="I631" s="6">
        <v>0.0</v>
      </c>
      <c r="J631" s="6">
        <v>0.0</v>
      </c>
      <c r="K631" s="6">
        <v>0.0</v>
      </c>
      <c r="L631" s="6">
        <v>0.0</v>
      </c>
      <c r="M631" s="6">
        <v>0.0</v>
      </c>
      <c r="N631" s="669">
        <v>869000.0</v>
      </c>
      <c r="O631" s="6">
        <v>0.0</v>
      </c>
      <c r="P631" s="6">
        <v>0.0</v>
      </c>
      <c r="Q631" s="6">
        <v>0.0</v>
      </c>
      <c r="R631" s="6">
        <v>0.0</v>
      </c>
      <c r="S631" s="6">
        <v>0.0</v>
      </c>
      <c r="T631" s="6">
        <v>0.0</v>
      </c>
      <c r="U631" s="6">
        <v>0.0</v>
      </c>
    </row>
    <row r="632">
      <c r="A632" s="6" t="s">
        <v>765</v>
      </c>
      <c r="B632" s="6" t="s">
        <v>11578</v>
      </c>
      <c r="C632" s="6" t="s">
        <v>11591</v>
      </c>
      <c r="D632" s="6" t="s">
        <v>236</v>
      </c>
      <c r="E632" s="6" t="s">
        <v>759</v>
      </c>
      <c r="F632" s="6" t="s">
        <v>97</v>
      </c>
      <c r="G632" s="6" t="s">
        <v>2939</v>
      </c>
      <c r="H632" s="6" t="s">
        <v>11590</v>
      </c>
      <c r="I632" s="6">
        <v>0.0</v>
      </c>
      <c r="J632" s="6">
        <v>0.0</v>
      </c>
      <c r="K632" s="6">
        <v>0.0</v>
      </c>
      <c r="L632" s="6">
        <v>0.0</v>
      </c>
      <c r="M632" s="6">
        <v>0.0</v>
      </c>
      <c r="N632" s="669">
        <v>869000.0</v>
      </c>
      <c r="O632" s="6">
        <v>0.0</v>
      </c>
      <c r="P632" s="6">
        <v>0.0</v>
      </c>
      <c r="Q632" s="6">
        <v>0.0</v>
      </c>
      <c r="R632" s="6">
        <v>0.0</v>
      </c>
      <c r="S632" s="6">
        <v>0.0</v>
      </c>
      <c r="T632" s="6">
        <v>0.0</v>
      </c>
      <c r="U632" s="6">
        <v>0.0</v>
      </c>
    </row>
    <row r="633">
      <c r="A633" s="6" t="s">
        <v>766</v>
      </c>
      <c r="B633" s="6" t="s">
        <v>11576</v>
      </c>
      <c r="C633" s="6" t="s">
        <v>11570</v>
      </c>
      <c r="D633" s="6" t="s">
        <v>22</v>
      </c>
      <c r="E633" s="6" t="s">
        <v>11810</v>
      </c>
      <c r="F633" s="6" t="s">
        <v>189</v>
      </c>
      <c r="G633" s="6" t="s">
        <v>2939</v>
      </c>
      <c r="H633" s="6">
        <v>0.0</v>
      </c>
      <c r="I633" s="6">
        <v>0.0</v>
      </c>
      <c r="J633" s="6">
        <v>1.0</v>
      </c>
      <c r="K633" s="6">
        <v>0.0</v>
      </c>
      <c r="L633" s="6">
        <v>0.0</v>
      </c>
      <c r="M633" s="6">
        <v>0.0</v>
      </c>
      <c r="N633" s="669">
        <v>5040000.0</v>
      </c>
      <c r="O633" s="6">
        <v>0.0</v>
      </c>
      <c r="P633" s="6">
        <v>0.0</v>
      </c>
      <c r="Q633" s="6">
        <v>0.0</v>
      </c>
      <c r="R633" s="6">
        <v>0.0</v>
      </c>
      <c r="S633" s="6">
        <v>5.0</v>
      </c>
      <c r="T633" s="6">
        <v>0.0</v>
      </c>
      <c r="U633" s="6">
        <v>0.0</v>
      </c>
    </row>
    <row r="634">
      <c r="A634" s="6" t="s">
        <v>11811</v>
      </c>
      <c r="B634" s="6" t="s">
        <v>11569</v>
      </c>
      <c r="C634" s="6" t="s">
        <v>11570</v>
      </c>
      <c r="D634" s="6" t="s">
        <v>22</v>
      </c>
      <c r="E634" s="6" t="s">
        <v>11812</v>
      </c>
      <c r="F634" s="6" t="s">
        <v>23</v>
      </c>
      <c r="G634" s="6" t="s">
        <v>2939</v>
      </c>
      <c r="H634" s="6">
        <v>0.0</v>
      </c>
      <c r="I634" s="6">
        <v>0.0</v>
      </c>
      <c r="J634" s="6">
        <v>5.0</v>
      </c>
      <c r="K634" s="6">
        <v>0.0</v>
      </c>
      <c r="L634" s="6">
        <v>0.0</v>
      </c>
      <c r="M634" s="6">
        <v>0.0</v>
      </c>
      <c r="N634" s="669">
        <v>5040000.0</v>
      </c>
      <c r="O634" s="6">
        <v>0.0</v>
      </c>
      <c r="P634" s="6">
        <v>0.0</v>
      </c>
      <c r="Q634" s="6">
        <v>0.0</v>
      </c>
      <c r="R634" s="6">
        <v>0.0</v>
      </c>
      <c r="S634" s="6">
        <v>0.0</v>
      </c>
      <c r="T634" s="6">
        <v>0.0</v>
      </c>
      <c r="U634" s="6">
        <v>0.0</v>
      </c>
    </row>
    <row r="635">
      <c r="A635" s="6" t="s">
        <v>768</v>
      </c>
      <c r="B635" s="6" t="s">
        <v>11576</v>
      </c>
      <c r="C635" s="6" t="s">
        <v>11579</v>
      </c>
      <c r="D635" s="6" t="s">
        <v>41</v>
      </c>
      <c r="E635" s="6" t="s">
        <v>767</v>
      </c>
      <c r="F635" s="6" t="s">
        <v>2364</v>
      </c>
      <c r="G635" s="6" t="s">
        <v>2939</v>
      </c>
      <c r="H635" s="6">
        <v>0.0</v>
      </c>
      <c r="I635" s="6">
        <v>0.0</v>
      </c>
      <c r="J635" s="6">
        <v>0.0</v>
      </c>
      <c r="K635" s="6">
        <v>0.0</v>
      </c>
      <c r="L635" s="6">
        <v>0.0</v>
      </c>
      <c r="M635" s="6">
        <v>0.0</v>
      </c>
      <c r="N635" s="669">
        <v>3717000.0</v>
      </c>
      <c r="O635" s="6">
        <v>0.0</v>
      </c>
      <c r="P635" s="6">
        <v>0.0</v>
      </c>
      <c r="Q635" s="6">
        <v>0.0</v>
      </c>
      <c r="R635" s="6">
        <v>0.0</v>
      </c>
      <c r="S635" s="6">
        <v>5.0</v>
      </c>
      <c r="T635" s="6">
        <v>0.0</v>
      </c>
      <c r="U635" s="6">
        <v>0.0</v>
      </c>
    </row>
    <row r="636">
      <c r="A636" s="6" t="s">
        <v>11813</v>
      </c>
      <c r="B636" s="6" t="s">
        <v>11569</v>
      </c>
      <c r="C636" s="6" t="s">
        <v>11570</v>
      </c>
      <c r="D636" s="6" t="s">
        <v>22</v>
      </c>
      <c r="E636" s="6" t="s">
        <v>11814</v>
      </c>
      <c r="F636" s="6" t="s">
        <v>23</v>
      </c>
      <c r="G636" s="6" t="s">
        <v>2939</v>
      </c>
      <c r="H636" s="6">
        <v>0.0</v>
      </c>
      <c r="I636" s="6">
        <v>0.0</v>
      </c>
      <c r="J636" s="6">
        <v>2.0</v>
      </c>
      <c r="K636" s="6">
        <v>0.0</v>
      </c>
      <c r="L636" s="6">
        <v>0.0</v>
      </c>
      <c r="M636" s="6">
        <v>0.0</v>
      </c>
      <c r="N636" s="669">
        <v>5040000.0</v>
      </c>
      <c r="O636" s="6">
        <v>0.0</v>
      </c>
      <c r="P636" s="6">
        <v>0.0</v>
      </c>
      <c r="Q636" s="6">
        <v>0.0</v>
      </c>
      <c r="R636" s="6">
        <v>0.0</v>
      </c>
      <c r="S636" s="6">
        <v>5.0</v>
      </c>
      <c r="T636" s="6">
        <v>0.0</v>
      </c>
      <c r="U636" s="6">
        <v>0.0</v>
      </c>
    </row>
    <row r="637">
      <c r="A637" s="6" t="s">
        <v>1625</v>
      </c>
      <c r="B637" s="6" t="s">
        <v>11569</v>
      </c>
      <c r="C637" s="6" t="s">
        <v>11579</v>
      </c>
      <c r="D637" s="6" t="s">
        <v>41</v>
      </c>
      <c r="E637" s="6" t="s">
        <v>1626</v>
      </c>
      <c r="F637" s="6" t="s">
        <v>1377</v>
      </c>
      <c r="G637" s="6" t="s">
        <v>2939</v>
      </c>
      <c r="H637" s="6">
        <v>0.0</v>
      </c>
      <c r="I637" s="6">
        <v>0.0</v>
      </c>
      <c r="J637" s="6">
        <v>0.0</v>
      </c>
      <c r="K637" s="6">
        <v>0.0</v>
      </c>
      <c r="L637" s="6">
        <v>0.0</v>
      </c>
      <c r="M637" s="6">
        <v>0.0</v>
      </c>
      <c r="N637" s="669">
        <v>4121000.0</v>
      </c>
      <c r="O637" s="6">
        <v>0.0</v>
      </c>
      <c r="P637" s="6">
        <v>0.0</v>
      </c>
      <c r="Q637" s="6">
        <v>0.0</v>
      </c>
      <c r="R637" s="6">
        <v>0.0</v>
      </c>
      <c r="S637" s="6">
        <v>5.0</v>
      </c>
      <c r="T637" s="6">
        <v>0.0</v>
      </c>
      <c r="U637" s="6">
        <v>0.0</v>
      </c>
    </row>
    <row r="638">
      <c r="A638" s="6" t="s">
        <v>769</v>
      </c>
      <c r="B638" s="6" t="s">
        <v>11576</v>
      </c>
      <c r="C638" s="6" t="s">
        <v>11570</v>
      </c>
      <c r="D638" s="6" t="s">
        <v>22</v>
      </c>
      <c r="E638" s="6" t="s">
        <v>11815</v>
      </c>
      <c r="F638" s="6" t="s">
        <v>125</v>
      </c>
      <c r="G638" s="6" t="s">
        <v>2939</v>
      </c>
      <c r="H638" s="6">
        <v>2.0</v>
      </c>
      <c r="I638" s="6">
        <v>0.0</v>
      </c>
      <c r="J638" s="6">
        <v>2.0</v>
      </c>
      <c r="K638" s="6">
        <v>0.0</v>
      </c>
      <c r="L638" s="6">
        <v>0.0</v>
      </c>
      <c r="M638" s="6">
        <v>0.0</v>
      </c>
      <c r="N638" s="669">
        <v>5599000.0</v>
      </c>
      <c r="O638" s="6">
        <v>0.0</v>
      </c>
      <c r="P638" s="6">
        <v>0.0</v>
      </c>
      <c r="Q638" s="6">
        <v>0.0</v>
      </c>
      <c r="R638" s="6">
        <v>0.0</v>
      </c>
      <c r="S638" s="6">
        <v>0.0</v>
      </c>
      <c r="T638" s="6">
        <v>0.0</v>
      </c>
      <c r="U638" s="6">
        <v>0.0</v>
      </c>
    </row>
    <row r="639">
      <c r="A639" s="6" t="s">
        <v>11816</v>
      </c>
      <c r="E639" s="6" t="s">
        <v>11816</v>
      </c>
      <c r="N639" s="668"/>
    </row>
    <row r="640">
      <c r="A640" s="6" t="s">
        <v>771</v>
      </c>
      <c r="B640" s="6" t="s">
        <v>11576</v>
      </c>
      <c r="C640" s="6" t="s">
        <v>11570</v>
      </c>
      <c r="D640" s="6" t="s">
        <v>22</v>
      </c>
      <c r="E640" s="6" t="s">
        <v>11817</v>
      </c>
      <c r="F640" s="6" t="s">
        <v>125</v>
      </c>
      <c r="G640" s="6" t="s">
        <v>2939</v>
      </c>
      <c r="H640" s="6">
        <v>0.0</v>
      </c>
      <c r="I640" s="6">
        <v>0.0</v>
      </c>
      <c r="J640" s="6">
        <v>2.0</v>
      </c>
      <c r="K640" s="6">
        <v>0.0</v>
      </c>
      <c r="L640" s="6">
        <v>0.0</v>
      </c>
      <c r="M640" s="6">
        <v>0.0</v>
      </c>
      <c r="N640" s="669">
        <v>1682000.0</v>
      </c>
      <c r="O640" s="6">
        <v>0.0</v>
      </c>
      <c r="P640" s="6">
        <v>0.0</v>
      </c>
      <c r="Q640" s="6">
        <v>0.0</v>
      </c>
      <c r="R640" s="6">
        <v>0.0</v>
      </c>
      <c r="S640" s="6">
        <v>0.0</v>
      </c>
      <c r="T640" s="6">
        <v>0.0</v>
      </c>
      <c r="U640" s="6">
        <v>0.0</v>
      </c>
    </row>
    <row r="641">
      <c r="A641" s="6" t="s">
        <v>773</v>
      </c>
      <c r="B641" s="6" t="s">
        <v>11578</v>
      </c>
      <c r="C641" s="6" t="s">
        <v>11579</v>
      </c>
      <c r="D641" s="6" t="s">
        <v>41</v>
      </c>
      <c r="E641" s="6" t="s">
        <v>11817</v>
      </c>
      <c r="F641" s="6" t="s">
        <v>2193</v>
      </c>
      <c r="G641" s="6" t="s">
        <v>2939</v>
      </c>
      <c r="H641" s="6" t="s">
        <v>11590</v>
      </c>
      <c r="I641" s="6">
        <v>0.0</v>
      </c>
      <c r="J641" s="6">
        <v>0.0</v>
      </c>
      <c r="K641" s="6">
        <v>0.0</v>
      </c>
      <c r="L641" s="6">
        <v>0.0</v>
      </c>
      <c r="M641" s="6">
        <v>0.0</v>
      </c>
      <c r="N641" s="669">
        <v>1766000.0</v>
      </c>
      <c r="O641" s="6">
        <v>0.0</v>
      </c>
      <c r="P641" s="6">
        <v>0.0</v>
      </c>
      <c r="Q641" s="6">
        <v>0.0</v>
      </c>
      <c r="R641" s="6">
        <v>0.0</v>
      </c>
      <c r="S641" s="6">
        <v>0.0</v>
      </c>
      <c r="T641" s="6">
        <v>0.0</v>
      </c>
      <c r="U641" s="6">
        <v>0.0</v>
      </c>
    </row>
    <row r="642">
      <c r="A642" s="6" t="s">
        <v>11818</v>
      </c>
      <c r="B642" s="6" t="s">
        <v>11569</v>
      </c>
      <c r="C642" s="6" t="s">
        <v>11570</v>
      </c>
      <c r="D642" s="6" t="s">
        <v>22</v>
      </c>
      <c r="E642" s="6" t="s">
        <v>1546</v>
      </c>
      <c r="F642" s="6" t="s">
        <v>1547</v>
      </c>
      <c r="G642" s="6" t="s">
        <v>2939</v>
      </c>
      <c r="H642" s="6">
        <v>0.0</v>
      </c>
      <c r="I642" s="6">
        <v>0.0</v>
      </c>
      <c r="J642" s="6">
        <v>4.0</v>
      </c>
      <c r="K642" s="6">
        <v>6.0</v>
      </c>
      <c r="L642" s="6">
        <v>0.0</v>
      </c>
      <c r="M642" s="6">
        <v>0.0</v>
      </c>
      <c r="N642" s="669">
        <v>4212000.0</v>
      </c>
      <c r="O642" s="6">
        <v>0.0</v>
      </c>
      <c r="P642" s="6">
        <v>0.0</v>
      </c>
      <c r="Q642" s="6">
        <v>0.0</v>
      </c>
      <c r="R642" s="6">
        <v>0.0</v>
      </c>
      <c r="S642" s="6">
        <v>0.0</v>
      </c>
      <c r="T642" s="6">
        <v>0.0</v>
      </c>
      <c r="U642" s="6">
        <v>0.0</v>
      </c>
    </row>
    <row r="643">
      <c r="A643" s="6" t="s">
        <v>1545</v>
      </c>
      <c r="B643" s="6" t="s">
        <v>11569</v>
      </c>
      <c r="C643" s="6" t="s">
        <v>11570</v>
      </c>
      <c r="D643" s="6" t="s">
        <v>22</v>
      </c>
      <c r="E643" s="6" t="s">
        <v>1546</v>
      </c>
      <c r="F643" s="6" t="s">
        <v>112</v>
      </c>
      <c r="G643" s="6" t="s">
        <v>2939</v>
      </c>
      <c r="H643" s="6">
        <v>0.0</v>
      </c>
      <c r="I643" s="6">
        <v>0.0</v>
      </c>
      <c r="J643" s="6">
        <v>10.0</v>
      </c>
      <c r="K643" s="6">
        <v>0.0</v>
      </c>
      <c r="L643" s="6">
        <v>0.0</v>
      </c>
      <c r="M643" s="6">
        <v>0.0</v>
      </c>
      <c r="N643" s="669">
        <v>4434000.0</v>
      </c>
      <c r="O643" s="6">
        <v>0.0</v>
      </c>
      <c r="P643" s="6">
        <v>0.0</v>
      </c>
      <c r="Q643" s="6">
        <v>0.0</v>
      </c>
      <c r="R643" s="6">
        <v>0.0</v>
      </c>
      <c r="S643" s="6">
        <v>0.0</v>
      </c>
      <c r="T643" s="6">
        <v>0.0</v>
      </c>
      <c r="U643" s="6">
        <v>0.0</v>
      </c>
    </row>
    <row r="644">
      <c r="A644" s="6" t="s">
        <v>774</v>
      </c>
      <c r="B644" s="6" t="s">
        <v>11576</v>
      </c>
      <c r="C644" s="6" t="s">
        <v>11570</v>
      </c>
      <c r="D644" s="6" t="s">
        <v>22</v>
      </c>
      <c r="E644" s="6" t="s">
        <v>11819</v>
      </c>
      <c r="F644" s="6" t="s">
        <v>23</v>
      </c>
      <c r="G644" s="6" t="s">
        <v>2939</v>
      </c>
      <c r="H644" s="6">
        <v>0.0</v>
      </c>
      <c r="I644" s="6">
        <v>0.0</v>
      </c>
      <c r="J644" s="6">
        <v>0.0</v>
      </c>
      <c r="K644" s="6">
        <v>0.0</v>
      </c>
      <c r="L644" s="6">
        <v>0.0</v>
      </c>
      <c r="M644" s="6">
        <v>0.0</v>
      </c>
      <c r="N644" s="669">
        <v>5376000.0</v>
      </c>
      <c r="O644" s="6">
        <v>0.0</v>
      </c>
      <c r="P644" s="6">
        <v>0.0</v>
      </c>
      <c r="Q644" s="6">
        <v>0.0</v>
      </c>
      <c r="R644" s="6">
        <v>0.0</v>
      </c>
      <c r="S644" s="6">
        <v>10.0</v>
      </c>
      <c r="T644" s="6">
        <v>0.0</v>
      </c>
      <c r="U644" s="6">
        <v>0.0</v>
      </c>
    </row>
    <row r="645">
      <c r="A645" s="6" t="s">
        <v>11820</v>
      </c>
      <c r="B645" s="6" t="s">
        <v>11569</v>
      </c>
      <c r="C645" s="6" t="s">
        <v>11570</v>
      </c>
      <c r="D645" s="6" t="s">
        <v>22</v>
      </c>
      <c r="E645" s="6" t="s">
        <v>11821</v>
      </c>
      <c r="F645" s="6" t="s">
        <v>23</v>
      </c>
      <c r="G645" s="6" t="s">
        <v>2939</v>
      </c>
      <c r="H645" s="6">
        <v>0.0</v>
      </c>
      <c r="I645" s="6">
        <v>0.0</v>
      </c>
      <c r="J645" s="6">
        <v>2.0</v>
      </c>
      <c r="K645" s="6">
        <v>0.0</v>
      </c>
      <c r="L645" s="6">
        <v>0.0</v>
      </c>
      <c r="M645" s="6">
        <v>0.0</v>
      </c>
      <c r="N645" s="669">
        <v>5376000.0</v>
      </c>
      <c r="O645" s="6">
        <v>0.0</v>
      </c>
      <c r="P645" s="6">
        <v>0.0</v>
      </c>
      <c r="Q645" s="6">
        <v>0.0</v>
      </c>
      <c r="R645" s="6">
        <v>0.0</v>
      </c>
      <c r="S645" s="6">
        <v>0.0</v>
      </c>
      <c r="T645" s="6">
        <v>0.0</v>
      </c>
      <c r="U645" s="6">
        <v>0.0</v>
      </c>
    </row>
    <row r="646">
      <c r="A646" s="6" t="s">
        <v>11822</v>
      </c>
      <c r="B646" s="6" t="s">
        <v>11569</v>
      </c>
      <c r="C646" s="6" t="s">
        <v>11579</v>
      </c>
      <c r="D646" s="6" t="s">
        <v>41</v>
      </c>
      <c r="E646" s="6" t="s">
        <v>11823</v>
      </c>
      <c r="F646" s="6" t="s">
        <v>11620</v>
      </c>
      <c r="G646" s="6" t="s">
        <v>2939</v>
      </c>
      <c r="H646" s="6">
        <v>0.0</v>
      </c>
      <c r="I646" s="6">
        <v>0.0</v>
      </c>
      <c r="J646" s="6">
        <v>4.0</v>
      </c>
      <c r="K646" s="6">
        <v>0.0</v>
      </c>
      <c r="L646" s="6">
        <v>0.0</v>
      </c>
      <c r="M646" s="6">
        <v>0.0</v>
      </c>
      <c r="N646" s="669">
        <v>3300000.0</v>
      </c>
      <c r="O646" s="6">
        <v>0.0</v>
      </c>
      <c r="P646" s="6">
        <v>0.0</v>
      </c>
      <c r="Q646" s="6">
        <v>0.0</v>
      </c>
      <c r="R646" s="6">
        <v>0.0</v>
      </c>
      <c r="S646" s="6">
        <v>0.0</v>
      </c>
      <c r="T646" s="6">
        <v>0.0</v>
      </c>
      <c r="U646" s="6">
        <v>0.0</v>
      </c>
    </row>
    <row r="647">
      <c r="A647" s="6" t="s">
        <v>11824</v>
      </c>
      <c r="B647" s="6" t="s">
        <v>11569</v>
      </c>
      <c r="C647" s="6" t="s">
        <v>11570</v>
      </c>
      <c r="D647" s="6" t="s">
        <v>22</v>
      </c>
      <c r="E647" s="6" t="s">
        <v>11825</v>
      </c>
      <c r="F647" s="6" t="s">
        <v>23</v>
      </c>
      <c r="G647" s="6" t="s">
        <v>2939</v>
      </c>
      <c r="H647" s="6">
        <v>0.0</v>
      </c>
      <c r="I647" s="6">
        <v>0.0</v>
      </c>
      <c r="J647" s="6">
        <v>5.0</v>
      </c>
      <c r="K647" s="6">
        <v>0.0</v>
      </c>
      <c r="L647" s="6">
        <v>0.0</v>
      </c>
      <c r="M647" s="6">
        <v>0.0</v>
      </c>
      <c r="N647" s="669">
        <v>1.1E7</v>
      </c>
      <c r="O647" s="6">
        <v>0.0</v>
      </c>
      <c r="P647" s="6">
        <v>0.0</v>
      </c>
      <c r="Q647" s="6">
        <v>0.0</v>
      </c>
      <c r="R647" s="6">
        <v>0.0</v>
      </c>
      <c r="S647" s="6">
        <v>0.0</v>
      </c>
      <c r="T647" s="6">
        <v>0.0</v>
      </c>
      <c r="U647" s="6">
        <v>0.0</v>
      </c>
    </row>
    <row r="648">
      <c r="A648" s="6" t="s">
        <v>1633</v>
      </c>
      <c r="B648" s="6" t="s">
        <v>11569</v>
      </c>
      <c r="C648" s="6" t="s">
        <v>11570</v>
      </c>
      <c r="D648" s="6" t="s">
        <v>22</v>
      </c>
      <c r="E648" s="6" t="s">
        <v>1634</v>
      </c>
      <c r="F648" s="6" t="s">
        <v>23</v>
      </c>
      <c r="G648" s="6" t="s">
        <v>2939</v>
      </c>
      <c r="H648" s="6">
        <v>0.0</v>
      </c>
      <c r="I648" s="6">
        <v>0.0</v>
      </c>
      <c r="J648" s="6">
        <v>5.0</v>
      </c>
      <c r="K648" s="6">
        <v>0.0</v>
      </c>
      <c r="L648" s="6">
        <v>0.0</v>
      </c>
      <c r="M648" s="6">
        <v>0.0</v>
      </c>
      <c r="N648" s="669">
        <v>5543000.0</v>
      </c>
      <c r="O648" s="6">
        <v>0.0</v>
      </c>
      <c r="P648" s="6">
        <v>0.0</v>
      </c>
      <c r="Q648" s="6">
        <v>0.0</v>
      </c>
      <c r="R648" s="6">
        <v>0.0</v>
      </c>
      <c r="S648" s="6">
        <v>0.0</v>
      </c>
      <c r="T648" s="6">
        <v>0.0</v>
      </c>
      <c r="U648" s="6">
        <v>0.0</v>
      </c>
    </row>
    <row r="649">
      <c r="A649" s="6" t="s">
        <v>11826</v>
      </c>
      <c r="B649" s="6" t="s">
        <v>11569</v>
      </c>
      <c r="C649" s="6" t="s">
        <v>11570</v>
      </c>
      <c r="D649" s="6" t="s">
        <v>22</v>
      </c>
      <c r="E649" s="6" t="s">
        <v>11827</v>
      </c>
      <c r="F649" s="6" t="s">
        <v>23</v>
      </c>
      <c r="G649" s="6" t="s">
        <v>2939</v>
      </c>
      <c r="H649" s="6">
        <v>0.0</v>
      </c>
      <c r="I649" s="6">
        <v>0.0</v>
      </c>
      <c r="J649" s="6">
        <v>3.0</v>
      </c>
      <c r="K649" s="6">
        <v>0.0</v>
      </c>
      <c r="L649" s="6">
        <v>0.0</v>
      </c>
      <c r="M649" s="6">
        <v>0.0</v>
      </c>
      <c r="N649" s="669">
        <v>5543000.0</v>
      </c>
      <c r="O649" s="6">
        <v>0.0</v>
      </c>
      <c r="P649" s="6">
        <v>0.0</v>
      </c>
      <c r="Q649" s="6">
        <v>0.0</v>
      </c>
      <c r="R649" s="6">
        <v>0.0</v>
      </c>
      <c r="S649" s="6">
        <v>0.0</v>
      </c>
      <c r="T649" s="6">
        <v>0.0</v>
      </c>
      <c r="U649" s="6">
        <v>0.0</v>
      </c>
    </row>
    <row r="650">
      <c r="A650" s="6" t="s">
        <v>1635</v>
      </c>
      <c r="B650" s="6" t="s">
        <v>11569</v>
      </c>
      <c r="C650" s="6" t="s">
        <v>11570</v>
      </c>
      <c r="D650" s="6" t="s">
        <v>22</v>
      </c>
      <c r="E650" s="6" t="s">
        <v>11828</v>
      </c>
      <c r="F650" s="6" t="s">
        <v>97</v>
      </c>
      <c r="G650" s="6" t="s">
        <v>2939</v>
      </c>
      <c r="H650" s="6">
        <v>0.0</v>
      </c>
      <c r="I650" s="6">
        <v>0.0</v>
      </c>
      <c r="J650" s="6">
        <v>3.0</v>
      </c>
      <c r="K650" s="6">
        <v>0.0</v>
      </c>
      <c r="L650" s="6">
        <v>0.0</v>
      </c>
      <c r="M650" s="6">
        <v>0.0</v>
      </c>
      <c r="N650" s="669">
        <v>1728000.0</v>
      </c>
      <c r="O650" s="6">
        <v>0.0</v>
      </c>
      <c r="P650" s="6">
        <v>0.0</v>
      </c>
      <c r="Q650" s="6">
        <v>0.0</v>
      </c>
      <c r="R650" s="6">
        <v>0.0</v>
      </c>
      <c r="S650" s="6">
        <v>0.0</v>
      </c>
      <c r="T650" s="6">
        <v>0.0</v>
      </c>
      <c r="U650" s="6">
        <v>0.0</v>
      </c>
    </row>
    <row r="651">
      <c r="A651" s="6" t="s">
        <v>1637</v>
      </c>
      <c r="B651" s="6" t="s">
        <v>11569</v>
      </c>
      <c r="C651" s="6" t="s">
        <v>11570</v>
      </c>
      <c r="D651" s="6" t="s">
        <v>22</v>
      </c>
      <c r="E651" s="6" t="s">
        <v>11829</v>
      </c>
      <c r="F651" s="6" t="s">
        <v>112</v>
      </c>
      <c r="G651" s="6" t="s">
        <v>2939</v>
      </c>
      <c r="H651" s="6">
        <v>0.0</v>
      </c>
      <c r="I651" s="6">
        <v>0.0</v>
      </c>
      <c r="J651" s="6">
        <v>4.0</v>
      </c>
      <c r="K651" s="6">
        <v>0.0</v>
      </c>
      <c r="L651" s="6">
        <v>0.0</v>
      </c>
      <c r="M651" s="6">
        <v>0.0</v>
      </c>
      <c r="N651" s="669">
        <v>6774000.0</v>
      </c>
      <c r="O651" s="6">
        <v>0.0</v>
      </c>
      <c r="P651" s="6">
        <v>0.0</v>
      </c>
      <c r="Q651" s="6">
        <v>0.0</v>
      </c>
      <c r="R651" s="6">
        <v>0.0</v>
      </c>
      <c r="S651" s="6">
        <v>0.0</v>
      </c>
      <c r="T651" s="6">
        <v>0.0</v>
      </c>
      <c r="U651" s="6">
        <v>0.0</v>
      </c>
    </row>
    <row r="652">
      <c r="A652" s="6" t="s">
        <v>776</v>
      </c>
      <c r="B652" s="6" t="s">
        <v>11576</v>
      </c>
      <c r="C652" s="6" t="s">
        <v>11570</v>
      </c>
      <c r="D652" s="6" t="s">
        <v>22</v>
      </c>
      <c r="E652" s="6" t="s">
        <v>11830</v>
      </c>
      <c r="F652" s="6" t="s">
        <v>112</v>
      </c>
      <c r="G652" s="6" t="s">
        <v>2939</v>
      </c>
      <c r="H652" s="6">
        <v>2.0</v>
      </c>
      <c r="I652" s="6">
        <v>0.0</v>
      </c>
      <c r="J652" s="6">
        <v>6.0</v>
      </c>
      <c r="K652" s="6">
        <v>0.0</v>
      </c>
      <c r="L652" s="6">
        <v>0.0</v>
      </c>
      <c r="M652" s="6">
        <v>0.0</v>
      </c>
      <c r="N652" s="669">
        <v>3361000.0</v>
      </c>
      <c r="O652" s="6">
        <v>0.0</v>
      </c>
      <c r="P652" s="6">
        <v>0.0</v>
      </c>
      <c r="Q652" s="6">
        <v>0.0</v>
      </c>
      <c r="R652" s="6">
        <v>0.0</v>
      </c>
      <c r="S652" s="6">
        <v>0.0</v>
      </c>
      <c r="T652" s="6">
        <v>0.0</v>
      </c>
      <c r="U652" s="6">
        <v>0.0</v>
      </c>
    </row>
    <row r="653">
      <c r="A653" s="6" t="s">
        <v>1639</v>
      </c>
      <c r="B653" s="6" t="s">
        <v>11569</v>
      </c>
      <c r="C653" s="6" t="s">
        <v>11570</v>
      </c>
      <c r="D653" s="6" t="s">
        <v>22</v>
      </c>
      <c r="E653" s="6" t="s">
        <v>11831</v>
      </c>
      <c r="F653" s="6" t="s">
        <v>112</v>
      </c>
      <c r="G653" s="6" t="s">
        <v>2939</v>
      </c>
      <c r="H653" s="6">
        <v>0.0</v>
      </c>
      <c r="I653" s="6">
        <v>0.0</v>
      </c>
      <c r="J653" s="6">
        <v>1.0</v>
      </c>
      <c r="K653" s="6">
        <v>0.0</v>
      </c>
      <c r="L653" s="6">
        <v>0.0</v>
      </c>
      <c r="M653" s="6">
        <v>0.0</v>
      </c>
      <c r="N653" s="669">
        <v>3941000.0</v>
      </c>
      <c r="O653" s="6">
        <v>0.0</v>
      </c>
      <c r="P653" s="6">
        <v>0.0</v>
      </c>
      <c r="Q653" s="6">
        <v>0.0</v>
      </c>
      <c r="R653" s="6">
        <v>0.0</v>
      </c>
      <c r="S653" s="6">
        <v>0.0</v>
      </c>
      <c r="T653" s="6">
        <v>0.0</v>
      </c>
      <c r="U653" s="6">
        <v>0.0</v>
      </c>
    </row>
    <row r="654">
      <c r="A654" s="6" t="s">
        <v>778</v>
      </c>
      <c r="B654" s="6" t="s">
        <v>11576</v>
      </c>
      <c r="C654" s="6" t="s">
        <v>11579</v>
      </c>
      <c r="D654" s="6" t="s">
        <v>41</v>
      </c>
      <c r="E654" s="6" t="s">
        <v>11832</v>
      </c>
      <c r="F654" s="6" t="s">
        <v>2062</v>
      </c>
      <c r="G654" s="6" t="s">
        <v>2939</v>
      </c>
      <c r="H654" s="6">
        <v>0.0</v>
      </c>
      <c r="I654" s="6">
        <v>0.0</v>
      </c>
      <c r="J654" s="6">
        <v>1.0</v>
      </c>
      <c r="K654" s="6">
        <v>0.0</v>
      </c>
      <c r="L654" s="6">
        <v>0.0</v>
      </c>
      <c r="M654" s="6">
        <v>0.0</v>
      </c>
      <c r="N654" s="669">
        <v>2892000.0</v>
      </c>
      <c r="O654" s="6">
        <v>0.0</v>
      </c>
      <c r="P654" s="6">
        <v>0.0</v>
      </c>
      <c r="Q654" s="6">
        <v>0.0</v>
      </c>
      <c r="R654" s="6">
        <v>0.0</v>
      </c>
      <c r="S654" s="6">
        <v>0.0</v>
      </c>
      <c r="T654" s="6">
        <v>0.0</v>
      </c>
      <c r="U654" s="6">
        <v>5.0</v>
      </c>
    </row>
    <row r="655">
      <c r="A655" s="6" t="s">
        <v>11833</v>
      </c>
      <c r="B655" s="6" t="s">
        <v>11569</v>
      </c>
      <c r="C655" s="6" t="s">
        <v>11570</v>
      </c>
      <c r="D655" s="6" t="s">
        <v>22</v>
      </c>
      <c r="E655" s="6" t="s">
        <v>11834</v>
      </c>
      <c r="F655" s="6" t="s">
        <v>23</v>
      </c>
      <c r="G655" s="6" t="s">
        <v>2939</v>
      </c>
      <c r="H655" s="6">
        <v>0.0</v>
      </c>
      <c r="I655" s="6">
        <v>0.0</v>
      </c>
      <c r="J655" s="6">
        <v>5.0</v>
      </c>
      <c r="K655" s="6">
        <v>0.0</v>
      </c>
      <c r="L655" s="6">
        <v>0.0</v>
      </c>
      <c r="M655" s="6">
        <v>0.0</v>
      </c>
      <c r="N655" s="669">
        <v>4275000.0</v>
      </c>
      <c r="O655" s="6">
        <v>0.0</v>
      </c>
      <c r="P655" s="6">
        <v>0.0</v>
      </c>
      <c r="Q655" s="6">
        <v>0.0</v>
      </c>
      <c r="R655" s="6">
        <v>0.0</v>
      </c>
      <c r="S655" s="6">
        <v>0.0</v>
      </c>
      <c r="T655" s="6">
        <v>0.0</v>
      </c>
      <c r="U655" s="6">
        <v>0.0</v>
      </c>
    </row>
    <row r="656">
      <c r="A656" s="6" t="s">
        <v>11835</v>
      </c>
      <c r="B656" s="6" t="s">
        <v>11569</v>
      </c>
      <c r="C656" s="6" t="s">
        <v>11570</v>
      </c>
      <c r="D656" s="6" t="s">
        <v>22</v>
      </c>
      <c r="E656" s="6" t="s">
        <v>11836</v>
      </c>
      <c r="F656" s="6" t="s">
        <v>23</v>
      </c>
      <c r="G656" s="6" t="s">
        <v>2939</v>
      </c>
      <c r="H656" s="6">
        <v>0.0</v>
      </c>
      <c r="I656" s="6">
        <v>0.0</v>
      </c>
      <c r="J656" s="6">
        <v>10.0</v>
      </c>
      <c r="K656" s="6">
        <v>0.0</v>
      </c>
      <c r="L656" s="6">
        <v>0.0</v>
      </c>
      <c r="M656" s="6">
        <v>0.0</v>
      </c>
      <c r="N656" s="669">
        <v>4275000.0</v>
      </c>
      <c r="O656" s="6">
        <v>0.0</v>
      </c>
      <c r="P656" s="6">
        <v>0.0</v>
      </c>
      <c r="Q656" s="6">
        <v>0.0</v>
      </c>
      <c r="R656" s="6">
        <v>0.0</v>
      </c>
      <c r="S656" s="6">
        <v>0.0</v>
      </c>
      <c r="T656" s="6">
        <v>0.0</v>
      </c>
      <c r="U656" s="6">
        <v>0.0</v>
      </c>
    </row>
    <row r="657">
      <c r="A657" s="6" t="s">
        <v>780</v>
      </c>
      <c r="B657" s="6" t="s">
        <v>11576</v>
      </c>
      <c r="C657" s="6" t="s">
        <v>11570</v>
      </c>
      <c r="D657" s="6" t="s">
        <v>22</v>
      </c>
      <c r="E657" s="6" t="s">
        <v>2413</v>
      </c>
      <c r="F657" s="6" t="s">
        <v>112</v>
      </c>
      <c r="G657" s="6" t="s">
        <v>2939</v>
      </c>
      <c r="H657" s="6">
        <v>0.0</v>
      </c>
      <c r="I657" s="6">
        <v>0.0</v>
      </c>
      <c r="J657" s="6">
        <v>0.0</v>
      </c>
      <c r="K657" s="6">
        <v>0.0</v>
      </c>
      <c r="L657" s="6">
        <v>0.0</v>
      </c>
      <c r="M657" s="6">
        <v>0.0</v>
      </c>
      <c r="N657" s="669">
        <v>3272000.0</v>
      </c>
      <c r="O657" s="6">
        <v>0.0</v>
      </c>
      <c r="P657" s="6">
        <v>0.0</v>
      </c>
      <c r="Q657" s="6">
        <v>0.0</v>
      </c>
      <c r="R657" s="6">
        <v>0.0</v>
      </c>
      <c r="S657" s="6" t="s">
        <v>11590</v>
      </c>
      <c r="T657" s="6">
        <v>0.0</v>
      </c>
      <c r="U657" s="6">
        <v>0.0</v>
      </c>
    </row>
    <row r="658">
      <c r="A658" s="6" t="s">
        <v>1643</v>
      </c>
      <c r="B658" s="6" t="s">
        <v>11569</v>
      </c>
      <c r="C658" s="6" t="s">
        <v>11570</v>
      </c>
      <c r="D658" s="6" t="s">
        <v>22</v>
      </c>
      <c r="E658" s="6" t="s">
        <v>11837</v>
      </c>
      <c r="F658" s="6" t="s">
        <v>112</v>
      </c>
      <c r="G658" s="6" t="s">
        <v>2939</v>
      </c>
      <c r="H658" s="6">
        <v>0.0</v>
      </c>
      <c r="I658" s="6">
        <v>0.0</v>
      </c>
      <c r="J658" s="6">
        <v>7.0</v>
      </c>
      <c r="K658" s="6">
        <v>1.0</v>
      </c>
      <c r="L658" s="6">
        <v>0.0</v>
      </c>
      <c r="M658" s="6">
        <v>0.0</v>
      </c>
      <c r="N658" s="669">
        <v>3572000.0</v>
      </c>
      <c r="O658" s="6">
        <v>0.0</v>
      </c>
      <c r="P658" s="6">
        <v>0.0</v>
      </c>
      <c r="Q658" s="6">
        <v>0.0</v>
      </c>
      <c r="R658" s="6">
        <v>0.0</v>
      </c>
      <c r="S658" s="6">
        <v>0.0</v>
      </c>
      <c r="T658" s="6">
        <v>0.0</v>
      </c>
      <c r="U658" s="6">
        <v>0.0</v>
      </c>
    </row>
    <row r="659">
      <c r="A659" s="6" t="s">
        <v>782</v>
      </c>
      <c r="B659" s="6" t="s">
        <v>11576</v>
      </c>
      <c r="C659" s="6" t="s">
        <v>11579</v>
      </c>
      <c r="D659" s="6" t="s">
        <v>41</v>
      </c>
      <c r="E659" s="6" t="s">
        <v>11838</v>
      </c>
      <c r="F659" s="6" t="s">
        <v>2062</v>
      </c>
      <c r="G659" s="6" t="s">
        <v>2939</v>
      </c>
      <c r="H659" s="6">
        <v>0.0</v>
      </c>
      <c r="I659" s="6">
        <v>0.0</v>
      </c>
      <c r="J659" s="6">
        <v>0.0</v>
      </c>
      <c r="K659" s="6">
        <v>2.0</v>
      </c>
      <c r="L659" s="6">
        <v>0.0</v>
      </c>
      <c r="M659" s="6">
        <v>0.0</v>
      </c>
      <c r="N659" s="669">
        <v>2570000.0</v>
      </c>
      <c r="O659" s="6">
        <v>0.0</v>
      </c>
      <c r="P659" s="6">
        <v>0.0</v>
      </c>
      <c r="Q659" s="6">
        <v>0.0</v>
      </c>
      <c r="R659" s="6">
        <v>0.0</v>
      </c>
      <c r="S659" s="6">
        <v>5.0</v>
      </c>
      <c r="T659" s="6">
        <v>0.0</v>
      </c>
      <c r="U659" s="6">
        <v>0.0</v>
      </c>
    </row>
    <row r="660">
      <c r="A660" s="6" t="s">
        <v>784</v>
      </c>
      <c r="B660" s="6" t="s">
        <v>11576</v>
      </c>
      <c r="C660" s="6" t="s">
        <v>11570</v>
      </c>
      <c r="D660" s="6" t="s">
        <v>22</v>
      </c>
      <c r="E660" s="6" t="s">
        <v>11839</v>
      </c>
      <c r="F660" s="6" t="s">
        <v>112</v>
      </c>
      <c r="G660" s="6" t="s">
        <v>2939</v>
      </c>
      <c r="H660" s="6">
        <v>0.0</v>
      </c>
      <c r="I660" s="6">
        <v>0.0</v>
      </c>
      <c r="J660" s="6">
        <v>3.0</v>
      </c>
      <c r="K660" s="6">
        <v>0.0</v>
      </c>
      <c r="L660" s="6">
        <v>0.0</v>
      </c>
      <c r="M660" s="6">
        <v>0.0</v>
      </c>
      <c r="N660" s="669">
        <v>3361000.0</v>
      </c>
      <c r="O660" s="6">
        <v>0.0</v>
      </c>
      <c r="P660" s="6">
        <v>0.0</v>
      </c>
      <c r="Q660" s="6">
        <v>0.0</v>
      </c>
      <c r="R660" s="6">
        <v>0.0</v>
      </c>
      <c r="S660" s="6">
        <v>0.0</v>
      </c>
      <c r="T660" s="6">
        <v>0.0</v>
      </c>
      <c r="U660" s="6">
        <v>0.0</v>
      </c>
    </row>
    <row r="661">
      <c r="A661" s="6" t="s">
        <v>786</v>
      </c>
      <c r="B661" s="6" t="s">
        <v>11576</v>
      </c>
      <c r="C661" s="6" t="s">
        <v>11570</v>
      </c>
      <c r="D661" s="6" t="s">
        <v>22</v>
      </c>
      <c r="E661" s="6" t="s">
        <v>11840</v>
      </c>
      <c r="F661" s="6" t="s">
        <v>11841</v>
      </c>
      <c r="G661" s="6" t="s">
        <v>2939</v>
      </c>
      <c r="H661" s="6">
        <v>0.0</v>
      </c>
      <c r="I661" s="6">
        <v>0.0</v>
      </c>
      <c r="J661" s="6">
        <v>5.0</v>
      </c>
      <c r="K661" s="6">
        <v>0.0</v>
      </c>
      <c r="L661" s="6">
        <v>0.0</v>
      </c>
      <c r="M661" s="6">
        <v>0.0</v>
      </c>
      <c r="N661" s="669">
        <v>3865000.0</v>
      </c>
      <c r="O661" s="6">
        <v>0.0</v>
      </c>
      <c r="P661" s="6">
        <v>0.0</v>
      </c>
      <c r="Q661" s="6">
        <v>0.0</v>
      </c>
      <c r="R661" s="6">
        <v>0.0</v>
      </c>
      <c r="S661" s="6">
        <v>0.0</v>
      </c>
      <c r="T661" s="6">
        <v>0.0</v>
      </c>
      <c r="U661" s="6">
        <v>0.0</v>
      </c>
    </row>
    <row r="662">
      <c r="A662" s="6" t="s">
        <v>789</v>
      </c>
      <c r="B662" s="6" t="s">
        <v>11576</v>
      </c>
      <c r="C662" s="6" t="s">
        <v>11570</v>
      </c>
      <c r="D662" s="6" t="s">
        <v>22</v>
      </c>
      <c r="E662" s="6" t="s">
        <v>11842</v>
      </c>
      <c r="F662" s="6" t="s">
        <v>11841</v>
      </c>
      <c r="G662" s="6" t="s">
        <v>2939</v>
      </c>
      <c r="H662" s="6">
        <v>3.0</v>
      </c>
      <c r="I662" s="6">
        <v>0.0</v>
      </c>
      <c r="J662" s="6">
        <v>0.0</v>
      </c>
      <c r="K662" s="6">
        <v>0.0</v>
      </c>
      <c r="L662" s="6">
        <v>0.0</v>
      </c>
      <c r="M662" s="6">
        <v>0.0</v>
      </c>
      <c r="N662" s="669">
        <v>3865000.0</v>
      </c>
      <c r="O662" s="6">
        <v>0.0</v>
      </c>
      <c r="P662" s="6">
        <v>0.0</v>
      </c>
      <c r="Q662" s="6">
        <v>0.0</v>
      </c>
      <c r="R662" s="6">
        <v>0.0</v>
      </c>
      <c r="S662" s="6">
        <v>0.0</v>
      </c>
      <c r="T662" s="6">
        <v>0.0</v>
      </c>
      <c r="U662" s="6">
        <v>0.0</v>
      </c>
    </row>
    <row r="663">
      <c r="A663" s="6" t="s">
        <v>1645</v>
      </c>
      <c r="B663" s="6" t="s">
        <v>11569</v>
      </c>
      <c r="C663" s="6" t="s">
        <v>11579</v>
      </c>
      <c r="D663" s="6" t="s">
        <v>41</v>
      </c>
      <c r="E663" s="6" t="s">
        <v>11843</v>
      </c>
      <c r="F663" s="6" t="s">
        <v>11582</v>
      </c>
      <c r="G663" s="6" t="s">
        <v>2939</v>
      </c>
      <c r="H663" s="6">
        <v>0.0</v>
      </c>
      <c r="I663" s="6">
        <v>0.0</v>
      </c>
      <c r="J663" s="6">
        <v>0.0</v>
      </c>
      <c r="K663" s="6">
        <v>0.0</v>
      </c>
      <c r="L663" s="6">
        <v>0.0</v>
      </c>
      <c r="M663" s="6">
        <v>0.0</v>
      </c>
      <c r="N663" s="669">
        <v>2379000.0</v>
      </c>
      <c r="O663" s="6">
        <v>0.0</v>
      </c>
      <c r="P663" s="6">
        <v>0.0</v>
      </c>
      <c r="Q663" s="6">
        <v>0.0</v>
      </c>
      <c r="R663" s="6">
        <v>0.0</v>
      </c>
      <c r="S663" s="6">
        <v>5.0</v>
      </c>
      <c r="T663" s="6">
        <v>0.0</v>
      </c>
      <c r="U663" s="6">
        <v>0.0</v>
      </c>
    </row>
    <row r="664">
      <c r="A664" s="6" t="s">
        <v>11844</v>
      </c>
      <c r="B664" s="6" t="s">
        <v>11569</v>
      </c>
      <c r="C664" s="6" t="s">
        <v>11570</v>
      </c>
      <c r="D664" s="6" t="s">
        <v>22</v>
      </c>
      <c r="E664" s="6" t="s">
        <v>11845</v>
      </c>
      <c r="F664" s="6" t="s">
        <v>23</v>
      </c>
      <c r="G664" s="6" t="s">
        <v>11553</v>
      </c>
      <c r="H664" s="6">
        <v>0.0</v>
      </c>
      <c r="I664" s="6">
        <v>0.0</v>
      </c>
      <c r="J664" s="6">
        <v>2.0</v>
      </c>
      <c r="K664" s="6">
        <v>0.0</v>
      </c>
      <c r="L664" s="6">
        <v>0.0</v>
      </c>
      <c r="M664" s="6">
        <v>0.0</v>
      </c>
      <c r="N664" s="669">
        <v>9000000.0</v>
      </c>
      <c r="O664" s="6">
        <v>0.0</v>
      </c>
      <c r="P664" s="6">
        <v>0.0</v>
      </c>
      <c r="Q664" s="6">
        <v>0.0</v>
      </c>
      <c r="R664" s="6">
        <v>0.0</v>
      </c>
      <c r="S664" s="6">
        <v>0.0</v>
      </c>
      <c r="T664" s="6">
        <v>0.0</v>
      </c>
      <c r="U664" s="6">
        <v>0.0</v>
      </c>
    </row>
    <row r="665">
      <c r="A665" s="6" t="s">
        <v>791</v>
      </c>
      <c r="B665" s="6" t="s">
        <v>11576</v>
      </c>
      <c r="C665" s="6" t="s">
        <v>11570</v>
      </c>
      <c r="D665" s="6" t="s">
        <v>22</v>
      </c>
      <c r="E665" s="6" t="s">
        <v>11846</v>
      </c>
      <c r="F665" s="6" t="s">
        <v>23</v>
      </c>
      <c r="G665" s="6" t="s">
        <v>2939</v>
      </c>
      <c r="H665" s="6">
        <v>0.0</v>
      </c>
      <c r="I665" s="6">
        <v>0.0</v>
      </c>
      <c r="J665" s="6">
        <v>8.0</v>
      </c>
      <c r="K665" s="6">
        <v>0.0</v>
      </c>
      <c r="L665" s="6">
        <v>0.0</v>
      </c>
      <c r="M665" s="6">
        <v>0.0</v>
      </c>
      <c r="N665" s="669">
        <v>5376000.0</v>
      </c>
      <c r="O665" s="6">
        <v>0.0</v>
      </c>
      <c r="P665" s="6">
        <v>0.0</v>
      </c>
      <c r="Q665" s="6">
        <v>0.0</v>
      </c>
      <c r="R665" s="6">
        <v>0.0</v>
      </c>
      <c r="S665" s="6">
        <v>0.0</v>
      </c>
      <c r="T665" s="6">
        <v>0.0</v>
      </c>
      <c r="U665" s="6">
        <v>0.0</v>
      </c>
    </row>
    <row r="666">
      <c r="A666" s="6" t="s">
        <v>2511</v>
      </c>
      <c r="B666" s="6" t="s">
        <v>11569</v>
      </c>
      <c r="C666" s="6" t="s">
        <v>11579</v>
      </c>
      <c r="D666" s="6" t="s">
        <v>41</v>
      </c>
      <c r="E666" s="6" t="s">
        <v>2512</v>
      </c>
      <c r="F666" s="6" t="s">
        <v>11582</v>
      </c>
      <c r="G666" s="6" t="s">
        <v>2939</v>
      </c>
      <c r="H666" s="6">
        <v>0.0</v>
      </c>
      <c r="I666" s="6">
        <v>0.0</v>
      </c>
      <c r="J666" s="6">
        <v>2.0</v>
      </c>
      <c r="K666" s="6">
        <v>0.0</v>
      </c>
      <c r="L666" s="6">
        <v>0.0</v>
      </c>
      <c r="M666" s="6">
        <v>0.0</v>
      </c>
      <c r="N666" s="669">
        <v>4500000.0</v>
      </c>
      <c r="O666" s="6">
        <v>0.0</v>
      </c>
      <c r="P666" s="6">
        <v>0.0</v>
      </c>
      <c r="Q666" s="6">
        <v>0.0</v>
      </c>
      <c r="R666" s="6">
        <v>0.0</v>
      </c>
      <c r="S666" s="6">
        <v>0.0</v>
      </c>
      <c r="T666" s="6">
        <v>0.0</v>
      </c>
      <c r="U666" s="6">
        <v>5.0</v>
      </c>
    </row>
    <row r="667">
      <c r="A667" s="6" t="s">
        <v>1647</v>
      </c>
      <c r="B667" s="6" t="s">
        <v>11569</v>
      </c>
      <c r="C667" s="6" t="s">
        <v>11570</v>
      </c>
      <c r="D667" s="6" t="s">
        <v>22</v>
      </c>
      <c r="E667" s="6" t="s">
        <v>11847</v>
      </c>
      <c r="F667" s="6" t="s">
        <v>1547</v>
      </c>
      <c r="G667" s="6" t="s">
        <v>2939</v>
      </c>
      <c r="H667" s="6">
        <v>0.0</v>
      </c>
      <c r="I667" s="6">
        <v>0.0</v>
      </c>
      <c r="J667" s="6">
        <v>1.0</v>
      </c>
      <c r="K667" s="6">
        <v>0.0</v>
      </c>
      <c r="L667" s="6">
        <v>0.0</v>
      </c>
      <c r="M667" s="6">
        <v>0.0</v>
      </c>
      <c r="N667" s="669">
        <v>2355000.0</v>
      </c>
      <c r="O667" s="6">
        <v>0.0</v>
      </c>
      <c r="P667" s="6">
        <v>0.0</v>
      </c>
      <c r="Q667" s="6">
        <v>0.0</v>
      </c>
      <c r="R667" s="6">
        <v>0.0</v>
      </c>
      <c r="S667" s="6">
        <v>5.0</v>
      </c>
      <c r="T667" s="6">
        <v>0.0</v>
      </c>
      <c r="U667" s="6">
        <v>0.0</v>
      </c>
    </row>
    <row r="668">
      <c r="A668" s="6" t="s">
        <v>1648</v>
      </c>
      <c r="B668" s="6" t="s">
        <v>11569</v>
      </c>
      <c r="C668" s="6" t="s">
        <v>11570</v>
      </c>
      <c r="D668" s="6" t="s">
        <v>22</v>
      </c>
      <c r="E668" s="6" t="s">
        <v>11848</v>
      </c>
      <c r="F668" s="6" t="s">
        <v>1547</v>
      </c>
      <c r="G668" s="6" t="s">
        <v>2939</v>
      </c>
      <c r="H668" s="6">
        <v>0.0</v>
      </c>
      <c r="I668" s="6">
        <v>0.0</v>
      </c>
      <c r="J668" s="6">
        <v>4.0</v>
      </c>
      <c r="K668" s="6">
        <v>0.0</v>
      </c>
      <c r="L668" s="6">
        <v>0.0</v>
      </c>
      <c r="M668" s="6">
        <v>0.0</v>
      </c>
      <c r="N668" s="669">
        <v>2237000.0</v>
      </c>
      <c r="O668" s="6">
        <v>0.0</v>
      </c>
      <c r="P668" s="6">
        <v>0.0</v>
      </c>
      <c r="Q668" s="6">
        <v>0.0</v>
      </c>
      <c r="R668" s="6">
        <v>0.0</v>
      </c>
      <c r="S668" s="6">
        <v>0.0</v>
      </c>
      <c r="T668" s="6">
        <v>0.0</v>
      </c>
      <c r="U668" s="6">
        <v>5.0</v>
      </c>
    </row>
    <row r="669">
      <c r="A669" s="6" t="s">
        <v>793</v>
      </c>
      <c r="B669" s="6" t="s">
        <v>11576</v>
      </c>
      <c r="C669" s="6" t="s">
        <v>11579</v>
      </c>
      <c r="D669" s="6" t="s">
        <v>41</v>
      </c>
      <c r="E669" s="6" t="s">
        <v>11849</v>
      </c>
      <c r="F669" s="6" t="s">
        <v>2193</v>
      </c>
      <c r="G669" s="6" t="s">
        <v>2939</v>
      </c>
      <c r="H669" s="6">
        <v>0.0</v>
      </c>
      <c r="I669" s="6">
        <v>0.0</v>
      </c>
      <c r="J669" s="6">
        <v>6.0</v>
      </c>
      <c r="K669" s="6">
        <v>0.0</v>
      </c>
      <c r="L669" s="6">
        <v>0.0</v>
      </c>
      <c r="M669" s="6">
        <v>0.0</v>
      </c>
      <c r="N669" s="669">
        <v>5940000.0</v>
      </c>
      <c r="O669" s="6">
        <v>0.0</v>
      </c>
      <c r="P669" s="6">
        <v>0.0</v>
      </c>
      <c r="Q669" s="6">
        <v>0.0</v>
      </c>
      <c r="R669" s="6">
        <v>0.0</v>
      </c>
      <c r="S669" s="6">
        <v>0.0</v>
      </c>
      <c r="T669" s="6">
        <v>0.0</v>
      </c>
      <c r="U669" s="6">
        <v>0.0</v>
      </c>
    </row>
    <row r="670">
      <c r="A670" s="6" t="s">
        <v>11850</v>
      </c>
      <c r="B670" s="6" t="s">
        <v>11569</v>
      </c>
      <c r="C670" s="6" t="s">
        <v>11579</v>
      </c>
      <c r="D670" s="6" t="s">
        <v>41</v>
      </c>
      <c r="E670" s="6" t="s">
        <v>11851</v>
      </c>
      <c r="F670" s="6" t="s">
        <v>2193</v>
      </c>
      <c r="G670" s="6" t="s">
        <v>2939</v>
      </c>
      <c r="H670" s="6">
        <v>0.0</v>
      </c>
      <c r="I670" s="6">
        <v>0.0</v>
      </c>
      <c r="J670" s="6">
        <v>4.0</v>
      </c>
      <c r="K670" s="6">
        <v>0.0</v>
      </c>
      <c r="L670" s="6">
        <v>0.0</v>
      </c>
      <c r="M670" s="6">
        <v>0.0</v>
      </c>
      <c r="N670" s="669">
        <v>5940000.0</v>
      </c>
      <c r="O670" s="6">
        <v>0.0</v>
      </c>
      <c r="P670" s="6">
        <v>0.0</v>
      </c>
      <c r="Q670" s="6">
        <v>0.0</v>
      </c>
      <c r="R670" s="6">
        <v>0.0</v>
      </c>
      <c r="S670" s="6">
        <v>0.0</v>
      </c>
      <c r="T670" s="6">
        <v>0.0</v>
      </c>
      <c r="U670" s="6">
        <v>0.0</v>
      </c>
    </row>
    <row r="671">
      <c r="A671" s="6" t="s">
        <v>795</v>
      </c>
      <c r="B671" s="6" t="s">
        <v>11576</v>
      </c>
      <c r="C671" s="6" t="s">
        <v>11570</v>
      </c>
      <c r="D671" s="6" t="s">
        <v>22</v>
      </c>
      <c r="E671" s="6" t="s">
        <v>11852</v>
      </c>
      <c r="F671" s="6" t="s">
        <v>189</v>
      </c>
      <c r="G671" s="6" t="s">
        <v>2939</v>
      </c>
      <c r="H671" s="6">
        <v>4.0</v>
      </c>
      <c r="I671" s="6">
        <v>0.0</v>
      </c>
      <c r="J671" s="6">
        <v>0.0</v>
      </c>
      <c r="K671" s="6">
        <v>0.0</v>
      </c>
      <c r="L671" s="6">
        <v>0.0</v>
      </c>
      <c r="M671" s="6">
        <v>0.0</v>
      </c>
      <c r="N671" s="669">
        <v>3026000.0</v>
      </c>
      <c r="O671" s="6">
        <v>0.0</v>
      </c>
      <c r="P671" s="6">
        <v>0.0</v>
      </c>
      <c r="Q671" s="6">
        <v>0.0</v>
      </c>
      <c r="R671" s="6">
        <v>0.0</v>
      </c>
      <c r="S671" s="6">
        <v>0.0</v>
      </c>
      <c r="T671" s="6">
        <v>0.0</v>
      </c>
      <c r="U671" s="6">
        <v>0.0</v>
      </c>
    </row>
    <row r="672">
      <c r="A672" s="6" t="s">
        <v>11853</v>
      </c>
      <c r="B672" s="6" t="s">
        <v>11569</v>
      </c>
      <c r="C672" s="6" t="s">
        <v>11570</v>
      </c>
      <c r="D672" s="6" t="s">
        <v>22</v>
      </c>
      <c r="E672" s="6" t="s">
        <v>11852</v>
      </c>
      <c r="F672" s="6" t="s">
        <v>97</v>
      </c>
      <c r="G672" s="6" t="s">
        <v>2939</v>
      </c>
      <c r="H672" s="6">
        <v>0.0</v>
      </c>
      <c r="I672" s="6">
        <v>0.0</v>
      </c>
      <c r="J672" s="6">
        <v>5.0</v>
      </c>
      <c r="K672" s="6">
        <v>0.0</v>
      </c>
      <c r="L672" s="6">
        <v>0.0</v>
      </c>
      <c r="M672" s="6">
        <v>0.0</v>
      </c>
      <c r="N672" s="669">
        <v>2900000.0</v>
      </c>
      <c r="O672" s="6">
        <v>0.0</v>
      </c>
      <c r="P672" s="6">
        <v>0.0</v>
      </c>
      <c r="Q672" s="6">
        <v>0.0</v>
      </c>
      <c r="R672" s="6">
        <v>0.0</v>
      </c>
      <c r="S672" s="6">
        <v>0.0</v>
      </c>
      <c r="T672" s="6">
        <v>0.0</v>
      </c>
      <c r="U672" s="6">
        <v>0.0</v>
      </c>
    </row>
    <row r="673">
      <c r="A673" s="6" t="s">
        <v>797</v>
      </c>
      <c r="B673" s="6" t="s">
        <v>11578</v>
      </c>
      <c r="C673" s="6" t="s">
        <v>11579</v>
      </c>
      <c r="D673" s="6" t="s">
        <v>41</v>
      </c>
      <c r="E673" s="6" t="s">
        <v>11852</v>
      </c>
      <c r="F673" s="6" t="s">
        <v>2062</v>
      </c>
      <c r="G673" s="6" t="s">
        <v>2939</v>
      </c>
      <c r="H673" s="6">
        <v>6.0</v>
      </c>
      <c r="I673" s="6">
        <v>0.0</v>
      </c>
      <c r="J673" s="6">
        <v>0.0</v>
      </c>
      <c r="K673" s="6">
        <v>0.0</v>
      </c>
      <c r="L673" s="6">
        <v>0.0</v>
      </c>
      <c r="M673" s="6">
        <v>0.0</v>
      </c>
      <c r="N673" s="669">
        <v>2570000.0</v>
      </c>
      <c r="O673" s="6">
        <v>0.0</v>
      </c>
      <c r="P673" s="6">
        <v>0.0</v>
      </c>
      <c r="Q673" s="6">
        <v>0.0</v>
      </c>
      <c r="R673" s="6">
        <v>0.0</v>
      </c>
      <c r="S673" s="6">
        <v>0.0</v>
      </c>
      <c r="T673" s="6">
        <v>0.0</v>
      </c>
      <c r="U673" s="6">
        <v>0.0</v>
      </c>
    </row>
    <row r="674">
      <c r="A674" s="6" t="s">
        <v>11854</v>
      </c>
      <c r="B674" s="6" t="s">
        <v>11569</v>
      </c>
      <c r="C674" s="6" t="s">
        <v>11570</v>
      </c>
      <c r="D674" s="6" t="s">
        <v>22</v>
      </c>
      <c r="E674" s="6" t="s">
        <v>11855</v>
      </c>
      <c r="F674" s="6" t="s">
        <v>189</v>
      </c>
      <c r="G674" s="6" t="s">
        <v>2939</v>
      </c>
      <c r="H674" s="6">
        <v>0.0</v>
      </c>
      <c r="I674" s="6">
        <v>0.0</v>
      </c>
      <c r="J674" s="6">
        <v>5.0</v>
      </c>
      <c r="K674" s="6">
        <v>0.0</v>
      </c>
      <c r="L674" s="6">
        <v>0.0</v>
      </c>
      <c r="M674" s="6">
        <v>0.0</v>
      </c>
      <c r="N674" s="669">
        <v>7500000.0</v>
      </c>
      <c r="O674" s="6">
        <v>0.0</v>
      </c>
      <c r="P674" s="6">
        <v>0.0</v>
      </c>
      <c r="Q674" s="6">
        <v>0.0</v>
      </c>
      <c r="R674" s="6">
        <v>0.0</v>
      </c>
      <c r="S674" s="6">
        <v>0.0</v>
      </c>
      <c r="T674" s="6">
        <v>0.0</v>
      </c>
      <c r="U674" s="6">
        <v>0.0</v>
      </c>
    </row>
    <row r="675">
      <c r="A675" s="6" t="s">
        <v>798</v>
      </c>
      <c r="B675" s="6" t="s">
        <v>11576</v>
      </c>
      <c r="C675" s="6" t="s">
        <v>11570</v>
      </c>
      <c r="D675" s="6" t="s">
        <v>22</v>
      </c>
      <c r="E675" s="6" t="s">
        <v>11856</v>
      </c>
      <c r="F675" s="6" t="s">
        <v>189</v>
      </c>
      <c r="G675" s="6" t="s">
        <v>2939</v>
      </c>
      <c r="H675" s="6">
        <v>0.0</v>
      </c>
      <c r="I675" s="6">
        <v>0.0</v>
      </c>
      <c r="J675" s="6" t="s">
        <v>11590</v>
      </c>
      <c r="K675" s="6">
        <v>0.0</v>
      </c>
      <c r="L675" s="6">
        <v>0.0</v>
      </c>
      <c r="M675" s="6">
        <v>0.0</v>
      </c>
      <c r="N675" s="669">
        <v>3026000.0</v>
      </c>
      <c r="O675" s="6">
        <v>0.0</v>
      </c>
      <c r="P675" s="6">
        <v>0.0</v>
      </c>
      <c r="Q675" s="6">
        <v>0.0</v>
      </c>
      <c r="R675" s="6">
        <v>0.0</v>
      </c>
      <c r="S675" s="6">
        <v>0.0</v>
      </c>
      <c r="T675" s="6">
        <v>0.0</v>
      </c>
      <c r="U675" s="6">
        <v>0.0</v>
      </c>
    </row>
    <row r="676">
      <c r="A676" s="6" t="s">
        <v>1652</v>
      </c>
      <c r="B676" s="6" t="s">
        <v>11569</v>
      </c>
      <c r="C676" s="6" t="s">
        <v>11579</v>
      </c>
      <c r="D676" s="6" t="s">
        <v>41</v>
      </c>
      <c r="E676" s="6" t="s">
        <v>11857</v>
      </c>
      <c r="F676" s="6" t="s">
        <v>11858</v>
      </c>
      <c r="G676" s="6" t="s">
        <v>2939</v>
      </c>
      <c r="H676" s="6">
        <v>0.0</v>
      </c>
      <c r="I676" s="6">
        <v>0.0</v>
      </c>
      <c r="J676" s="6">
        <v>1.0</v>
      </c>
      <c r="K676" s="6">
        <v>0.0</v>
      </c>
      <c r="L676" s="6">
        <v>0.0</v>
      </c>
      <c r="M676" s="6">
        <v>0.0</v>
      </c>
      <c r="N676" s="669">
        <v>3237000.0</v>
      </c>
      <c r="O676" s="6">
        <v>0.0</v>
      </c>
      <c r="P676" s="6">
        <v>0.0</v>
      </c>
      <c r="Q676" s="6">
        <v>0.0</v>
      </c>
      <c r="R676" s="6">
        <v>0.0</v>
      </c>
      <c r="S676" s="6">
        <v>0.0</v>
      </c>
      <c r="T676" s="6">
        <v>0.0</v>
      </c>
      <c r="U676" s="6">
        <v>0.0</v>
      </c>
    </row>
    <row r="677">
      <c r="A677" s="6" t="s">
        <v>800</v>
      </c>
      <c r="B677" s="6" t="s">
        <v>11576</v>
      </c>
      <c r="C677" s="6" t="s">
        <v>11570</v>
      </c>
      <c r="D677" s="6" t="s">
        <v>22</v>
      </c>
      <c r="E677" s="6" t="s">
        <v>11859</v>
      </c>
      <c r="F677" s="6" t="s">
        <v>112</v>
      </c>
      <c r="G677" s="6" t="s">
        <v>2939</v>
      </c>
      <c r="H677" s="6">
        <v>1.0</v>
      </c>
      <c r="I677" s="6">
        <v>0.0</v>
      </c>
      <c r="J677" s="6">
        <v>8.0</v>
      </c>
      <c r="K677" s="6">
        <v>1.0</v>
      </c>
      <c r="L677" s="6">
        <v>0.0</v>
      </c>
      <c r="M677" s="6">
        <v>0.0</v>
      </c>
      <c r="N677" s="669">
        <v>3920000.0</v>
      </c>
      <c r="O677" s="6">
        <v>0.0</v>
      </c>
      <c r="P677" s="6">
        <v>0.0</v>
      </c>
      <c r="Q677" s="6">
        <v>0.0</v>
      </c>
      <c r="R677" s="6">
        <v>0.0</v>
      </c>
      <c r="S677" s="6">
        <v>0.0</v>
      </c>
      <c r="T677" s="6">
        <v>0.0</v>
      </c>
      <c r="U677" s="6">
        <v>0.0</v>
      </c>
    </row>
    <row r="678">
      <c r="A678" s="6" t="s">
        <v>802</v>
      </c>
      <c r="B678" s="6" t="s">
        <v>11576</v>
      </c>
      <c r="C678" s="6" t="s">
        <v>11570</v>
      </c>
      <c r="D678" s="6" t="s">
        <v>22</v>
      </c>
      <c r="E678" s="6" t="s">
        <v>1448</v>
      </c>
      <c r="F678" s="6" t="s">
        <v>1450</v>
      </c>
      <c r="G678" s="6" t="s">
        <v>2939</v>
      </c>
      <c r="H678" s="6">
        <v>0.0</v>
      </c>
      <c r="I678" s="6">
        <v>0.0</v>
      </c>
      <c r="J678" s="6">
        <v>3.0</v>
      </c>
      <c r="K678" s="6">
        <v>0.0</v>
      </c>
      <c r="L678" s="6">
        <v>0.0</v>
      </c>
      <c r="M678" s="6">
        <v>0.0</v>
      </c>
      <c r="N678" s="669">
        <v>4032000.0</v>
      </c>
      <c r="O678" s="6">
        <v>0.0</v>
      </c>
      <c r="P678" s="6">
        <v>0.0</v>
      </c>
      <c r="Q678" s="6">
        <v>0.0</v>
      </c>
      <c r="R678" s="6">
        <v>0.0</v>
      </c>
      <c r="S678" s="6">
        <v>10.0</v>
      </c>
      <c r="T678" s="6">
        <v>0.0</v>
      </c>
      <c r="U678" s="6">
        <v>0.0</v>
      </c>
    </row>
    <row r="679">
      <c r="A679" s="6" t="s">
        <v>11860</v>
      </c>
      <c r="B679" s="6" t="s">
        <v>11569</v>
      </c>
      <c r="C679" s="6" t="s">
        <v>11570</v>
      </c>
      <c r="D679" s="6" t="s">
        <v>22</v>
      </c>
      <c r="E679" s="6" t="s">
        <v>11861</v>
      </c>
      <c r="F679" s="6" t="s">
        <v>1450</v>
      </c>
      <c r="G679" s="6" t="s">
        <v>2939</v>
      </c>
      <c r="H679" s="6">
        <v>0.0</v>
      </c>
      <c r="I679" s="6">
        <v>0.0</v>
      </c>
      <c r="J679" s="6">
        <v>0.0</v>
      </c>
      <c r="K679" s="6">
        <v>0.0</v>
      </c>
      <c r="L679" s="6">
        <v>0.0</v>
      </c>
      <c r="M679" s="6">
        <v>0.0</v>
      </c>
      <c r="N679" s="669">
        <v>4032000.0</v>
      </c>
      <c r="O679" s="6">
        <v>0.0</v>
      </c>
      <c r="P679" s="6">
        <v>0.0</v>
      </c>
      <c r="Q679" s="6">
        <v>0.0</v>
      </c>
      <c r="R679" s="6">
        <v>0.0</v>
      </c>
      <c r="S679" s="6">
        <v>5.0</v>
      </c>
      <c r="T679" s="6">
        <v>0.0</v>
      </c>
      <c r="U679" s="6">
        <v>0.0</v>
      </c>
    </row>
    <row r="680">
      <c r="A680" s="6" t="s">
        <v>805</v>
      </c>
      <c r="B680" s="6" t="s">
        <v>11578</v>
      </c>
      <c r="C680" s="6" t="s">
        <v>11579</v>
      </c>
      <c r="D680" s="6" t="s">
        <v>41</v>
      </c>
      <c r="E680" s="6" t="s">
        <v>11862</v>
      </c>
      <c r="F680" s="6" t="s">
        <v>2062</v>
      </c>
      <c r="G680" s="6" t="s">
        <v>2939</v>
      </c>
      <c r="H680" s="6" t="s">
        <v>11590</v>
      </c>
      <c r="I680" s="6">
        <v>0.0</v>
      </c>
      <c r="J680" s="6">
        <v>0.0</v>
      </c>
      <c r="K680" s="6">
        <v>0.0</v>
      </c>
      <c r="L680" s="6">
        <v>0.0</v>
      </c>
      <c r="M680" s="6">
        <v>0.0</v>
      </c>
      <c r="N680" s="669">
        <v>2997000.0</v>
      </c>
      <c r="O680" s="6">
        <v>0.0</v>
      </c>
      <c r="P680" s="6">
        <v>0.0</v>
      </c>
      <c r="Q680" s="6">
        <v>0.0</v>
      </c>
      <c r="R680" s="6">
        <v>0.0</v>
      </c>
      <c r="S680" s="6">
        <v>0.0</v>
      </c>
      <c r="T680" s="6">
        <v>0.0</v>
      </c>
      <c r="U680" s="6">
        <v>0.0</v>
      </c>
    </row>
    <row r="681">
      <c r="A681" s="6" t="s">
        <v>1655</v>
      </c>
      <c r="B681" s="6" t="s">
        <v>11569</v>
      </c>
      <c r="C681" s="6" t="s">
        <v>11570</v>
      </c>
      <c r="D681" s="6" t="s">
        <v>22</v>
      </c>
      <c r="E681" s="6" t="s">
        <v>11863</v>
      </c>
      <c r="F681" s="6" t="s">
        <v>112</v>
      </c>
      <c r="G681" s="6" t="s">
        <v>2939</v>
      </c>
      <c r="H681" s="6">
        <v>0.0</v>
      </c>
      <c r="I681" s="6">
        <v>0.0</v>
      </c>
      <c r="J681" s="6">
        <v>4.0</v>
      </c>
      <c r="K681" s="6">
        <v>0.0</v>
      </c>
      <c r="L681" s="6">
        <v>0.0</v>
      </c>
      <c r="M681" s="6">
        <v>0.0</v>
      </c>
      <c r="N681" s="669">
        <v>7390000.0</v>
      </c>
      <c r="O681" s="6">
        <v>0.0</v>
      </c>
      <c r="P681" s="6">
        <v>0.0</v>
      </c>
      <c r="Q681" s="6">
        <v>0.0</v>
      </c>
      <c r="R681" s="6">
        <v>0.0</v>
      </c>
      <c r="S681" s="6">
        <v>0.0</v>
      </c>
      <c r="T681" s="6">
        <v>0.0</v>
      </c>
      <c r="U681" s="6">
        <v>0.0</v>
      </c>
    </row>
    <row r="682">
      <c r="A682" s="6" t="s">
        <v>1653</v>
      </c>
      <c r="B682" s="6" t="s">
        <v>11569</v>
      </c>
      <c r="C682" s="6" t="s">
        <v>11579</v>
      </c>
      <c r="D682" s="6" t="s">
        <v>41</v>
      </c>
      <c r="E682" s="6" t="s">
        <v>11864</v>
      </c>
      <c r="F682" s="6" t="s">
        <v>2193</v>
      </c>
      <c r="G682" s="6" t="s">
        <v>2939</v>
      </c>
      <c r="H682" s="6">
        <v>0.0</v>
      </c>
      <c r="I682" s="6">
        <v>0.0</v>
      </c>
      <c r="J682" s="6">
        <v>3.0</v>
      </c>
      <c r="K682" s="6">
        <v>0.0</v>
      </c>
      <c r="L682" s="6">
        <v>0.0</v>
      </c>
      <c r="M682" s="6">
        <v>0.0</v>
      </c>
      <c r="N682" s="669">
        <v>4121000.0</v>
      </c>
      <c r="O682" s="6">
        <v>0.0</v>
      </c>
      <c r="P682" s="6">
        <v>0.0</v>
      </c>
      <c r="Q682" s="6">
        <v>0.0</v>
      </c>
      <c r="R682" s="6">
        <v>0.0</v>
      </c>
      <c r="S682" s="6">
        <v>0.0</v>
      </c>
      <c r="T682" s="6">
        <v>0.0</v>
      </c>
      <c r="U682" s="6">
        <v>0.0</v>
      </c>
    </row>
    <row r="683">
      <c r="A683" s="6" t="s">
        <v>11865</v>
      </c>
      <c r="B683" s="6" t="s">
        <v>11569</v>
      </c>
      <c r="C683" s="6" t="s">
        <v>11579</v>
      </c>
      <c r="D683" s="6" t="s">
        <v>41</v>
      </c>
      <c r="E683" s="6" t="s">
        <v>11866</v>
      </c>
      <c r="F683" s="6" t="s">
        <v>1377</v>
      </c>
      <c r="G683" s="6" t="s">
        <v>2939</v>
      </c>
      <c r="H683" s="6">
        <v>0.0</v>
      </c>
      <c r="I683" s="6">
        <v>0.0</v>
      </c>
      <c r="J683" s="6">
        <v>7.0</v>
      </c>
      <c r="K683" s="6">
        <v>0.0</v>
      </c>
      <c r="L683" s="6">
        <v>0.0</v>
      </c>
      <c r="M683" s="6">
        <v>0.0</v>
      </c>
      <c r="N683" s="669">
        <v>4709000.0</v>
      </c>
      <c r="O683" s="6">
        <v>0.0</v>
      </c>
      <c r="P683" s="6">
        <v>0.0</v>
      </c>
      <c r="Q683" s="6">
        <v>0.0</v>
      </c>
      <c r="R683" s="6">
        <v>0.0</v>
      </c>
      <c r="S683" s="6">
        <v>0.0</v>
      </c>
      <c r="T683" s="6">
        <v>0.0</v>
      </c>
      <c r="U683" s="6">
        <v>0.0</v>
      </c>
    </row>
    <row r="684">
      <c r="A684" s="6" t="s">
        <v>807</v>
      </c>
      <c r="B684" s="6" t="s">
        <v>11576</v>
      </c>
      <c r="C684" s="6" t="s">
        <v>11570</v>
      </c>
      <c r="D684" s="6" t="s">
        <v>22</v>
      </c>
      <c r="E684" s="6" t="s">
        <v>11867</v>
      </c>
      <c r="F684" s="6" t="s">
        <v>112</v>
      </c>
      <c r="G684" s="6" t="s">
        <v>2939</v>
      </c>
      <c r="H684" s="6">
        <v>0.0</v>
      </c>
      <c r="I684" s="6">
        <v>0.0</v>
      </c>
      <c r="J684" s="6">
        <v>4.0</v>
      </c>
      <c r="K684" s="6">
        <v>0.0</v>
      </c>
      <c r="L684" s="6">
        <v>0.0</v>
      </c>
      <c r="M684" s="6">
        <v>0.0</v>
      </c>
      <c r="N684" s="669">
        <v>5292000.0</v>
      </c>
      <c r="O684" s="6">
        <v>0.0</v>
      </c>
      <c r="P684" s="6">
        <v>0.0</v>
      </c>
      <c r="Q684" s="6">
        <v>0.0</v>
      </c>
      <c r="R684" s="6">
        <v>0.0</v>
      </c>
      <c r="S684" s="6">
        <v>0.0</v>
      </c>
      <c r="T684" s="6">
        <v>0.0</v>
      </c>
      <c r="U684" s="6">
        <v>0.0</v>
      </c>
    </row>
    <row r="685">
      <c r="A685" s="6" t="s">
        <v>11868</v>
      </c>
      <c r="B685" s="6" t="s">
        <v>11569</v>
      </c>
      <c r="C685" s="6" t="s">
        <v>11570</v>
      </c>
      <c r="D685" s="6" t="s">
        <v>22</v>
      </c>
      <c r="E685" s="6" t="s">
        <v>11869</v>
      </c>
      <c r="F685" s="6" t="s">
        <v>112</v>
      </c>
      <c r="G685" s="6" t="s">
        <v>2939</v>
      </c>
      <c r="H685" s="6">
        <v>0.0</v>
      </c>
      <c r="I685" s="6">
        <v>0.0</v>
      </c>
      <c r="J685" s="6">
        <v>1.0</v>
      </c>
      <c r="K685" s="6">
        <v>0.0</v>
      </c>
      <c r="L685" s="6">
        <v>0.0</v>
      </c>
      <c r="M685" s="6">
        <v>0.0</v>
      </c>
      <c r="N685" s="669">
        <v>5292000.0</v>
      </c>
      <c r="O685" s="6">
        <v>0.0</v>
      </c>
      <c r="P685" s="6">
        <v>0.0</v>
      </c>
      <c r="Q685" s="6">
        <v>0.0</v>
      </c>
      <c r="R685" s="6">
        <v>0.0</v>
      </c>
      <c r="S685" s="6">
        <v>0.0</v>
      </c>
      <c r="T685" s="6">
        <v>0.0</v>
      </c>
      <c r="U685" s="6">
        <v>0.0</v>
      </c>
    </row>
    <row r="686">
      <c r="A686" s="6" t="s">
        <v>809</v>
      </c>
      <c r="B686" s="6" t="s">
        <v>11578</v>
      </c>
      <c r="C686" s="6" t="s">
        <v>11579</v>
      </c>
      <c r="D686" s="6" t="s">
        <v>41</v>
      </c>
      <c r="E686" s="6" t="s">
        <v>11870</v>
      </c>
      <c r="F686" s="6" t="s">
        <v>1377</v>
      </c>
      <c r="G686" s="6" t="s">
        <v>2939</v>
      </c>
      <c r="H686" s="6" t="s">
        <v>11590</v>
      </c>
      <c r="I686" s="6">
        <v>0.0</v>
      </c>
      <c r="J686" s="6">
        <v>0.0</v>
      </c>
      <c r="K686" s="6">
        <v>0.0</v>
      </c>
      <c r="L686" s="6">
        <v>0.0</v>
      </c>
      <c r="M686" s="6">
        <v>0.0</v>
      </c>
      <c r="N686" s="669">
        <v>4625000.0</v>
      </c>
      <c r="O686" s="6">
        <v>0.0</v>
      </c>
      <c r="P686" s="6">
        <v>0.0</v>
      </c>
      <c r="Q686" s="6">
        <v>0.0</v>
      </c>
      <c r="R686" s="6">
        <v>0.0</v>
      </c>
      <c r="S686" s="6">
        <v>0.0</v>
      </c>
      <c r="T686" s="6">
        <v>0.0</v>
      </c>
      <c r="U686" s="6">
        <v>0.0</v>
      </c>
    </row>
    <row r="687">
      <c r="A687" s="6" t="s">
        <v>1659</v>
      </c>
      <c r="B687" s="6" t="s">
        <v>11569</v>
      </c>
      <c r="C687" s="6" t="s">
        <v>11570</v>
      </c>
      <c r="D687" s="6" t="s">
        <v>22</v>
      </c>
      <c r="E687" s="6" t="s">
        <v>11871</v>
      </c>
      <c r="F687" s="6" t="s">
        <v>804</v>
      </c>
      <c r="G687" s="6" t="s">
        <v>2939</v>
      </c>
      <c r="H687" s="6">
        <v>0.0</v>
      </c>
      <c r="I687" s="6">
        <v>0.0</v>
      </c>
      <c r="J687" s="6">
        <v>2.0</v>
      </c>
      <c r="K687" s="6">
        <v>0.0</v>
      </c>
      <c r="L687" s="6">
        <v>0.0</v>
      </c>
      <c r="M687" s="6">
        <v>0.0</v>
      </c>
      <c r="N687" s="669">
        <v>5789000.0</v>
      </c>
      <c r="O687" s="6">
        <v>0.0</v>
      </c>
      <c r="P687" s="6">
        <v>0.0</v>
      </c>
      <c r="Q687" s="6">
        <v>0.0</v>
      </c>
      <c r="R687" s="6">
        <v>0.0</v>
      </c>
      <c r="S687" s="6">
        <v>0.0</v>
      </c>
      <c r="T687" s="6">
        <v>0.0</v>
      </c>
      <c r="U687" s="6">
        <v>0.0</v>
      </c>
    </row>
    <row r="688">
      <c r="A688" s="6" t="s">
        <v>1661</v>
      </c>
      <c r="B688" s="6" t="s">
        <v>11569</v>
      </c>
      <c r="C688" s="6" t="s">
        <v>11570</v>
      </c>
      <c r="D688" s="6" t="s">
        <v>22</v>
      </c>
      <c r="E688" s="6" t="s">
        <v>11872</v>
      </c>
      <c r="F688" s="6" t="s">
        <v>804</v>
      </c>
      <c r="G688" s="6" t="s">
        <v>2939</v>
      </c>
      <c r="H688" s="6">
        <v>0.0</v>
      </c>
      <c r="I688" s="6">
        <v>0.0</v>
      </c>
      <c r="J688" s="6">
        <v>1.0</v>
      </c>
      <c r="K688" s="6">
        <v>0.0</v>
      </c>
      <c r="L688" s="6">
        <v>0.0</v>
      </c>
      <c r="M688" s="6">
        <v>0.0</v>
      </c>
      <c r="N688" s="669">
        <v>5940000.0</v>
      </c>
      <c r="O688" s="6">
        <v>0.0</v>
      </c>
      <c r="P688" s="6">
        <v>0.0</v>
      </c>
      <c r="Q688" s="6">
        <v>0.0</v>
      </c>
      <c r="R688" s="6">
        <v>0.0</v>
      </c>
      <c r="S688" s="6">
        <v>5.0</v>
      </c>
      <c r="T688" s="6">
        <v>0.0</v>
      </c>
      <c r="U688" s="6">
        <v>0.0</v>
      </c>
    </row>
    <row r="689">
      <c r="A689" s="6" t="s">
        <v>11873</v>
      </c>
      <c r="B689" s="6" t="s">
        <v>11569</v>
      </c>
      <c r="C689" s="6" t="s">
        <v>11570</v>
      </c>
      <c r="D689" s="6" t="s">
        <v>22</v>
      </c>
      <c r="E689" s="6" t="s">
        <v>11874</v>
      </c>
      <c r="F689" s="6" t="s">
        <v>804</v>
      </c>
      <c r="G689" s="6" t="s">
        <v>11553</v>
      </c>
      <c r="H689" s="6">
        <v>0.0</v>
      </c>
      <c r="I689" s="6">
        <v>0.0</v>
      </c>
      <c r="J689" s="6">
        <v>0.0</v>
      </c>
      <c r="K689" s="6">
        <v>0.0</v>
      </c>
      <c r="L689" s="6">
        <v>0.0</v>
      </c>
      <c r="M689" s="6">
        <v>0.0</v>
      </c>
      <c r="N689" s="669">
        <v>5994000.0</v>
      </c>
      <c r="O689" s="6">
        <v>0.0</v>
      </c>
      <c r="P689" s="6">
        <v>0.0</v>
      </c>
      <c r="Q689" s="6">
        <v>0.0</v>
      </c>
      <c r="R689" s="6">
        <v>0.0</v>
      </c>
      <c r="S689" s="6">
        <v>0.0</v>
      </c>
      <c r="T689" s="6">
        <v>0.0</v>
      </c>
      <c r="U689" s="6">
        <v>0.0</v>
      </c>
    </row>
    <row r="690">
      <c r="A690" s="6" t="s">
        <v>11875</v>
      </c>
      <c r="B690" s="6" t="s">
        <v>11569</v>
      </c>
      <c r="C690" s="6" t="s">
        <v>11579</v>
      </c>
      <c r="D690" s="6" t="s">
        <v>41</v>
      </c>
      <c r="E690" s="6" t="s">
        <v>11876</v>
      </c>
      <c r="F690" s="6" t="s">
        <v>1377</v>
      </c>
      <c r="G690" s="6" t="s">
        <v>2939</v>
      </c>
      <c r="H690" s="6">
        <v>0.0</v>
      </c>
      <c r="I690" s="6">
        <v>0.0</v>
      </c>
      <c r="J690" s="6">
        <v>2.0</v>
      </c>
      <c r="K690" s="6">
        <v>0.0</v>
      </c>
      <c r="L690" s="6">
        <v>0.0</v>
      </c>
      <c r="M690" s="6">
        <v>0.0</v>
      </c>
      <c r="N690" s="669">
        <v>6375000.0</v>
      </c>
      <c r="O690" s="6">
        <v>0.0</v>
      </c>
      <c r="P690" s="6">
        <v>0.0</v>
      </c>
      <c r="Q690" s="6">
        <v>0.0</v>
      </c>
      <c r="R690" s="6">
        <v>0.0</v>
      </c>
      <c r="S690" s="6">
        <v>0.0</v>
      </c>
      <c r="T690" s="6">
        <v>0.0</v>
      </c>
      <c r="U690" s="6">
        <v>0.0</v>
      </c>
    </row>
    <row r="691">
      <c r="A691" s="6" t="s">
        <v>11877</v>
      </c>
      <c r="B691" s="6" t="s">
        <v>11569</v>
      </c>
      <c r="C691" s="6" t="s">
        <v>11579</v>
      </c>
      <c r="D691" s="6" t="s">
        <v>41</v>
      </c>
      <c r="E691" s="6" t="s">
        <v>11878</v>
      </c>
      <c r="F691" s="6" t="s">
        <v>1377</v>
      </c>
      <c r="G691" s="6" t="s">
        <v>2939</v>
      </c>
      <c r="H691" s="6">
        <v>0.0</v>
      </c>
      <c r="I691" s="6">
        <v>0.0</v>
      </c>
      <c r="J691" s="6">
        <v>1.0</v>
      </c>
      <c r="K691" s="6">
        <v>0.0</v>
      </c>
      <c r="L691" s="6">
        <v>0.0</v>
      </c>
      <c r="M691" s="6">
        <v>0.0</v>
      </c>
      <c r="N691" s="669">
        <v>6375000.0</v>
      </c>
      <c r="O691" s="6">
        <v>0.0</v>
      </c>
      <c r="P691" s="6">
        <v>0.0</v>
      </c>
      <c r="Q691" s="6">
        <v>0.0</v>
      </c>
      <c r="R691" s="6">
        <v>0.0</v>
      </c>
      <c r="S691" s="6">
        <v>0.0</v>
      </c>
      <c r="T691" s="6">
        <v>0.0</v>
      </c>
      <c r="U691" s="6">
        <v>0.0</v>
      </c>
    </row>
    <row r="692">
      <c r="A692" s="6" t="s">
        <v>810</v>
      </c>
      <c r="B692" s="6" t="s">
        <v>11576</v>
      </c>
      <c r="C692" s="6" t="s">
        <v>11570</v>
      </c>
      <c r="D692" s="6" t="s">
        <v>22</v>
      </c>
      <c r="E692" s="6" t="s">
        <v>11879</v>
      </c>
      <c r="F692" s="6" t="s">
        <v>97</v>
      </c>
      <c r="G692" s="6" t="s">
        <v>2939</v>
      </c>
      <c r="H692" s="6">
        <v>0.0</v>
      </c>
      <c r="I692" s="6">
        <v>0.0</v>
      </c>
      <c r="J692" s="6">
        <v>8.0</v>
      </c>
      <c r="K692" s="6">
        <v>0.0</v>
      </c>
      <c r="L692" s="6">
        <v>0.0</v>
      </c>
      <c r="M692" s="6">
        <v>0.0</v>
      </c>
      <c r="N692" s="669">
        <v>6774000.0</v>
      </c>
      <c r="O692" s="6">
        <v>0.0</v>
      </c>
      <c r="P692" s="6">
        <v>0.0</v>
      </c>
      <c r="Q692" s="6">
        <v>0.0</v>
      </c>
      <c r="R692" s="6">
        <v>0.0</v>
      </c>
      <c r="S692" s="6">
        <v>0.0</v>
      </c>
      <c r="T692" s="6">
        <v>0.0</v>
      </c>
      <c r="U692" s="6">
        <v>0.0</v>
      </c>
    </row>
    <row r="693">
      <c r="A693" s="6" t="s">
        <v>1663</v>
      </c>
      <c r="B693" s="6" t="s">
        <v>11569</v>
      </c>
      <c r="C693" s="6" t="s">
        <v>11570</v>
      </c>
      <c r="D693" s="6" t="s">
        <v>22</v>
      </c>
      <c r="E693" s="6" t="s">
        <v>11880</v>
      </c>
      <c r="F693" s="6" t="s">
        <v>189</v>
      </c>
      <c r="G693" s="6" t="s">
        <v>2939</v>
      </c>
      <c r="H693" s="6">
        <v>0.0</v>
      </c>
      <c r="I693" s="6">
        <v>0.0</v>
      </c>
      <c r="J693" s="6">
        <v>4.0</v>
      </c>
      <c r="K693" s="6">
        <v>0.0</v>
      </c>
      <c r="L693" s="6">
        <v>0.0</v>
      </c>
      <c r="M693" s="6">
        <v>0.0</v>
      </c>
      <c r="N693" s="669">
        <v>7267000.0</v>
      </c>
      <c r="O693" s="6">
        <v>0.0</v>
      </c>
      <c r="P693" s="6">
        <v>0.0</v>
      </c>
      <c r="Q693" s="6">
        <v>0.0</v>
      </c>
      <c r="R693" s="6">
        <v>0.0</v>
      </c>
      <c r="S693" s="6">
        <v>0.0</v>
      </c>
      <c r="T693" s="6">
        <v>0.0</v>
      </c>
      <c r="U693" s="6">
        <v>0.0</v>
      </c>
    </row>
    <row r="694">
      <c r="A694" s="6" t="s">
        <v>812</v>
      </c>
      <c r="B694" s="6" t="s">
        <v>11576</v>
      </c>
      <c r="C694" s="6" t="s">
        <v>11579</v>
      </c>
      <c r="D694" s="6" t="s">
        <v>41</v>
      </c>
      <c r="E694" s="6" t="s">
        <v>11881</v>
      </c>
      <c r="F694" s="6" t="s">
        <v>2193</v>
      </c>
      <c r="G694" s="6" t="s">
        <v>2939</v>
      </c>
      <c r="H694" s="6">
        <v>0.0</v>
      </c>
      <c r="I694" s="6">
        <v>0.0</v>
      </c>
      <c r="J694" s="6">
        <v>4.0</v>
      </c>
      <c r="K694" s="6">
        <v>0.0</v>
      </c>
      <c r="L694" s="6">
        <v>0.0</v>
      </c>
      <c r="M694" s="6">
        <v>0.0</v>
      </c>
      <c r="N694" s="669">
        <v>6422000.0</v>
      </c>
      <c r="O694" s="6">
        <v>0.0</v>
      </c>
      <c r="P694" s="6">
        <v>0.0</v>
      </c>
      <c r="Q694" s="6">
        <v>0.0</v>
      </c>
      <c r="R694" s="6">
        <v>0.0</v>
      </c>
      <c r="S694" s="6">
        <v>0.0</v>
      </c>
      <c r="T694" s="6">
        <v>0.0</v>
      </c>
      <c r="U694" s="6">
        <v>0.0</v>
      </c>
    </row>
    <row r="695">
      <c r="A695" s="6" t="s">
        <v>1664</v>
      </c>
      <c r="B695" s="6" t="s">
        <v>11569</v>
      </c>
      <c r="C695" s="6" t="s">
        <v>11570</v>
      </c>
      <c r="D695" s="6" t="s">
        <v>22</v>
      </c>
      <c r="E695" s="6" t="s">
        <v>11882</v>
      </c>
      <c r="F695" s="6" t="s">
        <v>804</v>
      </c>
      <c r="G695" s="6" t="s">
        <v>2939</v>
      </c>
      <c r="H695" s="6">
        <v>0.0</v>
      </c>
      <c r="I695" s="6">
        <v>0.0</v>
      </c>
      <c r="J695" s="6">
        <v>6.0</v>
      </c>
      <c r="K695" s="6">
        <v>0.0</v>
      </c>
      <c r="L695" s="6">
        <v>0.0</v>
      </c>
      <c r="M695" s="6">
        <v>0.0</v>
      </c>
      <c r="N695" s="669">
        <v>6159000.0</v>
      </c>
      <c r="O695" s="6">
        <v>0.0</v>
      </c>
      <c r="P695" s="6">
        <v>0.0</v>
      </c>
      <c r="Q695" s="6">
        <v>0.0</v>
      </c>
      <c r="R695" s="6">
        <v>0.0</v>
      </c>
      <c r="S695" s="6">
        <v>0.0</v>
      </c>
      <c r="T695" s="6">
        <v>0.0</v>
      </c>
      <c r="U695" s="6">
        <v>0.0</v>
      </c>
    </row>
    <row r="696">
      <c r="A696" s="6" t="s">
        <v>11883</v>
      </c>
      <c r="B696" s="6" t="s">
        <v>11569</v>
      </c>
      <c r="C696" s="6" t="s">
        <v>11570</v>
      </c>
      <c r="D696" s="6" t="s">
        <v>22</v>
      </c>
      <c r="E696" s="6" t="s">
        <v>11884</v>
      </c>
      <c r="F696" s="6" t="s">
        <v>23</v>
      </c>
      <c r="G696" s="6" t="s">
        <v>2939</v>
      </c>
      <c r="H696" s="6">
        <v>0.0</v>
      </c>
      <c r="I696" s="6">
        <v>0.0</v>
      </c>
      <c r="J696" s="6">
        <v>4.0</v>
      </c>
      <c r="K696" s="6">
        <v>0.0</v>
      </c>
      <c r="L696" s="6">
        <v>0.0</v>
      </c>
      <c r="M696" s="6">
        <v>0.0</v>
      </c>
      <c r="N696" s="669">
        <v>6159000.0</v>
      </c>
      <c r="O696" s="6">
        <v>0.0</v>
      </c>
      <c r="P696" s="6">
        <v>0.0</v>
      </c>
      <c r="Q696" s="6">
        <v>0.0</v>
      </c>
      <c r="R696" s="6">
        <v>0.0</v>
      </c>
      <c r="S696" s="6">
        <v>0.0</v>
      </c>
      <c r="T696" s="6">
        <v>0.0</v>
      </c>
      <c r="U696" s="6">
        <v>0.0</v>
      </c>
    </row>
    <row r="697">
      <c r="A697" s="6" t="s">
        <v>813</v>
      </c>
      <c r="B697" s="6" t="s">
        <v>11576</v>
      </c>
      <c r="C697" s="6" t="s">
        <v>11579</v>
      </c>
      <c r="D697" s="6" t="s">
        <v>41</v>
      </c>
      <c r="E697" s="6" t="s">
        <v>11885</v>
      </c>
      <c r="F697" s="6" t="s">
        <v>2062</v>
      </c>
      <c r="G697" s="6" t="s">
        <v>2939</v>
      </c>
      <c r="H697" s="6">
        <v>0.0</v>
      </c>
      <c r="I697" s="6">
        <v>0.0</v>
      </c>
      <c r="J697" s="6">
        <v>3.0</v>
      </c>
      <c r="K697" s="6">
        <v>0.0</v>
      </c>
      <c r="L697" s="6">
        <v>0.0</v>
      </c>
      <c r="M697" s="6">
        <v>0.0</v>
      </c>
      <c r="N697" s="669">
        <v>5298000.0</v>
      </c>
      <c r="O697" s="6">
        <v>0.0</v>
      </c>
      <c r="P697" s="6">
        <v>0.0</v>
      </c>
      <c r="Q697" s="6">
        <v>0.0</v>
      </c>
      <c r="R697" s="6">
        <v>0.0</v>
      </c>
      <c r="S697" s="6">
        <v>0.0</v>
      </c>
      <c r="T697" s="6">
        <v>0.0</v>
      </c>
      <c r="U697" s="6">
        <v>0.0</v>
      </c>
    </row>
    <row r="698">
      <c r="A698" s="6" t="s">
        <v>1666</v>
      </c>
      <c r="B698" s="6" t="s">
        <v>11569</v>
      </c>
      <c r="C698" s="6" t="s">
        <v>11570</v>
      </c>
      <c r="D698" s="6" t="s">
        <v>22</v>
      </c>
      <c r="E698" s="6" t="s">
        <v>11886</v>
      </c>
      <c r="F698" s="6" t="s">
        <v>804</v>
      </c>
      <c r="G698" s="6" t="s">
        <v>2939</v>
      </c>
      <c r="H698" s="6">
        <v>0.0</v>
      </c>
      <c r="I698" s="6">
        <v>0.0</v>
      </c>
      <c r="J698" s="6">
        <v>1.0</v>
      </c>
      <c r="K698" s="6">
        <v>4.0</v>
      </c>
      <c r="L698" s="6">
        <v>0.0</v>
      </c>
      <c r="M698" s="6">
        <v>0.0</v>
      </c>
      <c r="N698" s="669">
        <v>9580000.0</v>
      </c>
      <c r="O698" s="6">
        <v>0.0</v>
      </c>
      <c r="P698" s="6">
        <v>0.0</v>
      </c>
      <c r="Q698" s="6">
        <v>0.0</v>
      </c>
      <c r="R698" s="6">
        <v>0.0</v>
      </c>
      <c r="S698" s="6">
        <v>0.0</v>
      </c>
      <c r="T698" s="6">
        <v>0.0</v>
      </c>
      <c r="U698" s="6">
        <v>0.0</v>
      </c>
    </row>
    <row r="699">
      <c r="A699" s="6" t="s">
        <v>11887</v>
      </c>
      <c r="B699" s="6" t="s">
        <v>11569</v>
      </c>
      <c r="C699" s="6" t="s">
        <v>11570</v>
      </c>
      <c r="D699" s="6" t="s">
        <v>22</v>
      </c>
      <c r="E699" s="6" t="s">
        <v>11888</v>
      </c>
      <c r="F699" s="6" t="s">
        <v>804</v>
      </c>
      <c r="G699" s="6" t="s">
        <v>2939</v>
      </c>
      <c r="H699" s="6">
        <v>0.0</v>
      </c>
      <c r="I699" s="6">
        <v>0.0</v>
      </c>
      <c r="J699" s="6">
        <v>4.0</v>
      </c>
      <c r="K699" s="6">
        <v>0.0</v>
      </c>
      <c r="L699" s="6">
        <v>0.0</v>
      </c>
      <c r="M699" s="6">
        <v>0.0</v>
      </c>
      <c r="N699" s="669">
        <v>9580000.0</v>
      </c>
      <c r="O699" s="6">
        <v>0.0</v>
      </c>
      <c r="P699" s="6">
        <v>0.0</v>
      </c>
      <c r="Q699" s="6">
        <v>0.0</v>
      </c>
      <c r="R699" s="6">
        <v>0.0</v>
      </c>
      <c r="S699" s="6">
        <v>0.0</v>
      </c>
      <c r="T699" s="6">
        <v>0.0</v>
      </c>
      <c r="U699" s="6">
        <v>0.0</v>
      </c>
    </row>
    <row r="700">
      <c r="A700" s="6" t="s">
        <v>159</v>
      </c>
      <c r="B700" s="6" t="s">
        <v>11569</v>
      </c>
      <c r="C700" s="6" t="s">
        <v>11570</v>
      </c>
      <c r="D700" s="6" t="s">
        <v>22</v>
      </c>
      <c r="E700" s="6" t="s">
        <v>160</v>
      </c>
      <c r="F700" s="6" t="s">
        <v>11889</v>
      </c>
      <c r="G700" s="6" t="s">
        <v>2939</v>
      </c>
      <c r="H700" s="6">
        <v>0.0</v>
      </c>
      <c r="I700" s="6">
        <v>0.0</v>
      </c>
      <c r="J700" s="6">
        <v>3.0</v>
      </c>
      <c r="K700" s="6">
        <v>0.0</v>
      </c>
      <c r="L700" s="6">
        <v>0.0</v>
      </c>
      <c r="M700" s="6">
        <v>0.0</v>
      </c>
      <c r="N700" s="669">
        <v>1.03E7</v>
      </c>
      <c r="O700" s="6">
        <v>0.0</v>
      </c>
      <c r="P700" s="6">
        <v>0.0</v>
      </c>
      <c r="Q700" s="6">
        <v>0.0</v>
      </c>
      <c r="R700" s="6">
        <v>0.0</v>
      </c>
      <c r="S700" s="6">
        <v>0.0</v>
      </c>
      <c r="T700" s="6">
        <v>0.0</v>
      </c>
      <c r="U700" s="6">
        <v>0.0</v>
      </c>
    </row>
    <row r="701">
      <c r="A701" s="6" t="s">
        <v>1668</v>
      </c>
      <c r="B701" s="6" t="s">
        <v>11569</v>
      </c>
      <c r="C701" s="6" t="s">
        <v>11570</v>
      </c>
      <c r="D701" s="6" t="s">
        <v>22</v>
      </c>
      <c r="E701" s="6" t="s">
        <v>1669</v>
      </c>
      <c r="F701" s="6" t="s">
        <v>112</v>
      </c>
      <c r="G701" s="6" t="s">
        <v>2939</v>
      </c>
      <c r="H701" s="6">
        <v>0.0</v>
      </c>
      <c r="I701" s="6">
        <v>0.0</v>
      </c>
      <c r="J701" s="6">
        <v>0.0</v>
      </c>
      <c r="K701" s="6">
        <v>0.0</v>
      </c>
      <c r="L701" s="6">
        <v>0.0</v>
      </c>
      <c r="M701" s="6">
        <v>0.0</v>
      </c>
      <c r="N701" s="669">
        <v>1.0777E7</v>
      </c>
      <c r="O701" s="6">
        <v>0.0</v>
      </c>
      <c r="P701" s="6">
        <v>0.0</v>
      </c>
      <c r="Q701" s="6">
        <v>0.0</v>
      </c>
      <c r="R701" s="6">
        <v>0.0</v>
      </c>
      <c r="S701" s="6">
        <v>0.0</v>
      </c>
      <c r="T701" s="6">
        <v>0.0</v>
      </c>
      <c r="U701" s="6">
        <v>0.0</v>
      </c>
    </row>
    <row r="702">
      <c r="A702" s="6" t="s">
        <v>11890</v>
      </c>
      <c r="B702" s="6" t="s">
        <v>11569</v>
      </c>
      <c r="C702" s="6" t="s">
        <v>11570</v>
      </c>
      <c r="D702" s="6" t="s">
        <v>41</v>
      </c>
      <c r="E702" s="6" t="s">
        <v>11891</v>
      </c>
      <c r="F702" s="6" t="s">
        <v>11620</v>
      </c>
      <c r="G702" s="6" t="s">
        <v>2939</v>
      </c>
      <c r="H702" s="6">
        <v>0.0</v>
      </c>
      <c r="I702" s="6">
        <v>0.0</v>
      </c>
      <c r="J702" s="6">
        <v>3.0</v>
      </c>
      <c r="K702" s="6">
        <v>0.0</v>
      </c>
      <c r="L702" s="6">
        <v>0.0</v>
      </c>
      <c r="M702" s="6">
        <v>0.0</v>
      </c>
      <c r="N702" s="669">
        <v>8000000.0</v>
      </c>
      <c r="O702" s="6">
        <v>0.0</v>
      </c>
      <c r="P702" s="6">
        <v>0.0</v>
      </c>
      <c r="Q702" s="6">
        <v>0.0</v>
      </c>
      <c r="R702" s="6">
        <v>0.0</v>
      </c>
      <c r="S702" s="6">
        <v>0.0</v>
      </c>
      <c r="T702" s="6">
        <v>0.0</v>
      </c>
      <c r="U702" s="6">
        <v>0.0</v>
      </c>
    </row>
    <row r="703">
      <c r="A703" s="6" t="s">
        <v>11892</v>
      </c>
      <c r="E703" s="6" t="s">
        <v>11892</v>
      </c>
      <c r="N703" s="668"/>
    </row>
    <row r="704">
      <c r="A704" s="6" t="s">
        <v>11893</v>
      </c>
      <c r="B704" s="6" t="s">
        <v>11569</v>
      </c>
      <c r="C704" s="6" t="s">
        <v>11570</v>
      </c>
      <c r="D704" s="6" t="s">
        <v>22</v>
      </c>
      <c r="E704" s="6" t="s">
        <v>11894</v>
      </c>
      <c r="F704" s="6" t="s">
        <v>125</v>
      </c>
      <c r="G704" s="6" t="s">
        <v>2939</v>
      </c>
      <c r="H704" s="6">
        <v>0.0</v>
      </c>
      <c r="I704" s="6">
        <v>0.0</v>
      </c>
      <c r="J704" s="6" t="s">
        <v>11590</v>
      </c>
      <c r="K704" s="6">
        <v>0.0</v>
      </c>
      <c r="L704" s="6">
        <v>0.0</v>
      </c>
      <c r="M704" s="6">
        <v>0.0</v>
      </c>
      <c r="N704" s="669">
        <v>1850000.0</v>
      </c>
      <c r="O704" s="6">
        <v>0.0</v>
      </c>
      <c r="P704" s="6">
        <v>0.0</v>
      </c>
      <c r="Q704" s="6">
        <v>0.0</v>
      </c>
      <c r="R704" s="6">
        <v>0.0</v>
      </c>
      <c r="S704" s="6">
        <v>0.0</v>
      </c>
      <c r="T704" s="6">
        <v>0.0</v>
      </c>
      <c r="U704" s="6">
        <v>0.0</v>
      </c>
    </row>
    <row r="705">
      <c r="A705" s="6" t="s">
        <v>11895</v>
      </c>
      <c r="E705" s="6" t="s">
        <v>11895</v>
      </c>
      <c r="N705" s="668"/>
    </row>
    <row r="706">
      <c r="A706" s="6" t="s">
        <v>1670</v>
      </c>
      <c r="B706" s="6" t="s">
        <v>11569</v>
      </c>
      <c r="C706" s="6" t="s">
        <v>11570</v>
      </c>
      <c r="D706" s="6" t="s">
        <v>22</v>
      </c>
      <c r="E706" s="6" t="s">
        <v>11896</v>
      </c>
      <c r="F706" s="6" t="s">
        <v>1350</v>
      </c>
      <c r="G706" s="6" t="s">
        <v>2939</v>
      </c>
      <c r="H706" s="6">
        <v>0.0</v>
      </c>
      <c r="I706" s="6">
        <v>0.0</v>
      </c>
      <c r="J706" s="6">
        <v>4.0</v>
      </c>
      <c r="K706" s="6">
        <v>0.0</v>
      </c>
      <c r="L706" s="6">
        <v>0.0</v>
      </c>
      <c r="M706" s="6">
        <v>0.0</v>
      </c>
      <c r="N706" s="669">
        <v>6300000.0</v>
      </c>
      <c r="O706" s="6">
        <v>0.0</v>
      </c>
      <c r="P706" s="6">
        <v>0.0</v>
      </c>
      <c r="Q706" s="6">
        <v>0.0</v>
      </c>
      <c r="R706" s="6">
        <v>0.0</v>
      </c>
      <c r="S706" s="6">
        <v>0.0</v>
      </c>
      <c r="T706" s="6">
        <v>0.0</v>
      </c>
      <c r="U706" s="6">
        <v>0.0</v>
      </c>
    </row>
    <row r="707">
      <c r="A707" s="6" t="s">
        <v>1348</v>
      </c>
      <c r="B707" s="6" t="s">
        <v>11569</v>
      </c>
      <c r="C707" s="6" t="s">
        <v>11570</v>
      </c>
      <c r="D707" s="6" t="s">
        <v>22</v>
      </c>
      <c r="E707" s="6" t="s">
        <v>11897</v>
      </c>
      <c r="F707" s="6" t="s">
        <v>23</v>
      </c>
      <c r="G707" s="6" t="s">
        <v>2939</v>
      </c>
      <c r="H707" s="6">
        <v>0.0</v>
      </c>
      <c r="I707" s="6">
        <v>0.0</v>
      </c>
      <c r="J707" s="6">
        <v>5.0</v>
      </c>
      <c r="K707" s="6">
        <v>0.0</v>
      </c>
      <c r="L707" s="6">
        <v>0.0</v>
      </c>
      <c r="M707" s="6">
        <v>0.0</v>
      </c>
      <c r="N707" s="669">
        <v>6300000.0</v>
      </c>
      <c r="O707" s="6">
        <v>0.0</v>
      </c>
      <c r="P707" s="6">
        <v>0.0</v>
      </c>
      <c r="Q707" s="6">
        <v>0.0</v>
      </c>
      <c r="R707" s="6">
        <v>0.0</v>
      </c>
      <c r="S707" s="6">
        <v>0.0</v>
      </c>
      <c r="T707" s="6">
        <v>0.0</v>
      </c>
      <c r="U707" s="6">
        <v>0.0</v>
      </c>
    </row>
    <row r="708">
      <c r="A708" s="6" t="s">
        <v>11898</v>
      </c>
      <c r="B708" s="6" t="s">
        <v>11569</v>
      </c>
      <c r="C708" s="6" t="s">
        <v>11570</v>
      </c>
      <c r="D708" s="6" t="s">
        <v>22</v>
      </c>
      <c r="E708" s="6" t="s">
        <v>11899</v>
      </c>
      <c r="F708" s="6" t="s">
        <v>112</v>
      </c>
      <c r="G708" s="6" t="s">
        <v>2939</v>
      </c>
      <c r="H708" s="6">
        <v>0.0</v>
      </c>
      <c r="I708" s="6">
        <v>0.0</v>
      </c>
      <c r="J708" s="6">
        <v>2.0</v>
      </c>
      <c r="K708" s="6">
        <v>0.0</v>
      </c>
      <c r="L708" s="6">
        <v>0.0</v>
      </c>
      <c r="M708" s="6">
        <v>0.0</v>
      </c>
      <c r="N708" s="669">
        <v>7500000.0</v>
      </c>
      <c r="O708" s="6">
        <v>0.0</v>
      </c>
      <c r="P708" s="6">
        <v>0.0</v>
      </c>
      <c r="Q708" s="6">
        <v>0.0</v>
      </c>
      <c r="R708" s="6">
        <v>0.0</v>
      </c>
      <c r="S708" s="6">
        <v>0.0</v>
      </c>
      <c r="T708" s="6">
        <v>0.0</v>
      </c>
      <c r="U708" s="6">
        <v>0.0</v>
      </c>
    </row>
    <row r="709">
      <c r="A709" s="6" t="s">
        <v>11900</v>
      </c>
      <c r="E709" s="6" t="s">
        <v>11900</v>
      </c>
      <c r="N709" s="668"/>
    </row>
    <row r="710">
      <c r="A710" s="6" t="s">
        <v>815</v>
      </c>
      <c r="B710" s="6" t="s">
        <v>11576</v>
      </c>
      <c r="C710" s="6" t="s">
        <v>11570</v>
      </c>
      <c r="D710" s="6" t="s">
        <v>22</v>
      </c>
      <c r="E710" s="6" t="s">
        <v>816</v>
      </c>
      <c r="F710" s="6" t="s">
        <v>125</v>
      </c>
      <c r="G710" s="6" t="s">
        <v>2939</v>
      </c>
      <c r="H710" s="6">
        <v>2.0</v>
      </c>
      <c r="I710" s="6">
        <v>1.0</v>
      </c>
      <c r="J710" s="6">
        <v>0.0</v>
      </c>
      <c r="K710" s="6">
        <v>0.0</v>
      </c>
      <c r="L710" s="6">
        <v>0.0</v>
      </c>
      <c r="M710" s="6">
        <v>0.0</v>
      </c>
      <c r="N710" s="669">
        <v>3361000.0</v>
      </c>
      <c r="O710" s="6">
        <v>0.0</v>
      </c>
      <c r="P710" s="6">
        <v>0.0</v>
      </c>
      <c r="Q710" s="6">
        <v>0.0</v>
      </c>
      <c r="R710" s="6">
        <v>0.0</v>
      </c>
      <c r="S710" s="6">
        <v>0.0</v>
      </c>
      <c r="T710" s="6">
        <v>0.0</v>
      </c>
      <c r="U710" s="6">
        <v>0.0</v>
      </c>
    </row>
    <row r="711">
      <c r="A711" s="6" t="s">
        <v>1672</v>
      </c>
      <c r="B711" s="6" t="s">
        <v>11569</v>
      </c>
      <c r="C711" s="6" t="s">
        <v>11579</v>
      </c>
      <c r="D711" s="6" t="s">
        <v>41</v>
      </c>
      <c r="E711" s="6" t="s">
        <v>11901</v>
      </c>
      <c r="F711" s="6" t="s">
        <v>2193</v>
      </c>
      <c r="G711" s="6" t="s">
        <v>2939</v>
      </c>
      <c r="H711" s="6">
        <v>0.0</v>
      </c>
      <c r="I711" s="6">
        <v>0.0</v>
      </c>
      <c r="J711" s="6">
        <v>3.0</v>
      </c>
      <c r="K711" s="6">
        <v>0.0</v>
      </c>
      <c r="L711" s="6">
        <v>0.0</v>
      </c>
      <c r="M711" s="6">
        <v>0.0</v>
      </c>
      <c r="N711" s="669">
        <v>4121000.0</v>
      </c>
      <c r="O711" s="6">
        <v>0.0</v>
      </c>
      <c r="P711" s="6">
        <v>0.0</v>
      </c>
      <c r="Q711" s="6">
        <v>0.0</v>
      </c>
      <c r="R711" s="6">
        <v>0.0</v>
      </c>
      <c r="S711" s="6">
        <v>0.0</v>
      </c>
      <c r="T711" s="6">
        <v>0.0</v>
      </c>
      <c r="U711" s="6">
        <v>0.0</v>
      </c>
    </row>
    <row r="712">
      <c r="A712" s="6" t="s">
        <v>1673</v>
      </c>
      <c r="B712" s="6" t="s">
        <v>11569</v>
      </c>
      <c r="C712" s="6" t="s">
        <v>11579</v>
      </c>
      <c r="D712" s="6" t="s">
        <v>41</v>
      </c>
      <c r="E712" s="6" t="s">
        <v>1674</v>
      </c>
      <c r="F712" s="6" t="s">
        <v>2193</v>
      </c>
      <c r="G712" s="6" t="s">
        <v>2939</v>
      </c>
      <c r="H712" s="6">
        <v>0.0</v>
      </c>
      <c r="I712" s="6">
        <v>0.0</v>
      </c>
      <c r="J712" s="6">
        <v>0.0</v>
      </c>
      <c r="K712" s="6">
        <v>0.0</v>
      </c>
      <c r="L712" s="6">
        <v>0.0</v>
      </c>
      <c r="M712" s="6">
        <v>0.0</v>
      </c>
      <c r="N712" s="669">
        <v>4121000.0</v>
      </c>
      <c r="O712" s="6">
        <v>0.0</v>
      </c>
      <c r="P712" s="6">
        <v>0.0</v>
      </c>
      <c r="Q712" s="6">
        <v>0.0</v>
      </c>
      <c r="R712" s="6">
        <v>0.0</v>
      </c>
      <c r="S712" s="6">
        <v>0.0</v>
      </c>
      <c r="T712" s="6">
        <v>0.0</v>
      </c>
      <c r="U712" s="6">
        <v>0.0</v>
      </c>
    </row>
    <row r="713">
      <c r="A713" s="6" t="s">
        <v>1675</v>
      </c>
      <c r="B713" s="6" t="s">
        <v>11569</v>
      </c>
      <c r="C713" s="6" t="s">
        <v>11570</v>
      </c>
      <c r="D713" s="6" t="s">
        <v>22</v>
      </c>
      <c r="E713" s="6" t="s">
        <v>11902</v>
      </c>
      <c r="F713" s="6" t="s">
        <v>97</v>
      </c>
      <c r="G713" s="6" t="s">
        <v>2939</v>
      </c>
      <c r="H713" s="6">
        <v>0.0</v>
      </c>
      <c r="I713" s="6">
        <v>0.0</v>
      </c>
      <c r="J713" s="6">
        <v>2.0</v>
      </c>
      <c r="K713" s="6">
        <v>2.0</v>
      </c>
      <c r="L713" s="6">
        <v>0.0</v>
      </c>
      <c r="M713" s="6">
        <v>0.0</v>
      </c>
      <c r="N713" s="669">
        <v>1558000.0</v>
      </c>
      <c r="O713" s="6">
        <v>0.0</v>
      </c>
      <c r="P713" s="6">
        <v>0.0</v>
      </c>
      <c r="Q713" s="6">
        <v>0.0</v>
      </c>
      <c r="R713" s="6">
        <v>0.0</v>
      </c>
      <c r="S713" s="6">
        <v>0.0</v>
      </c>
      <c r="T713" s="6">
        <v>0.0</v>
      </c>
      <c r="U713" s="6">
        <v>0.0</v>
      </c>
    </row>
    <row r="714">
      <c r="A714" s="6" t="s">
        <v>817</v>
      </c>
      <c r="B714" s="6" t="s">
        <v>11578</v>
      </c>
      <c r="C714" s="6" t="s">
        <v>11579</v>
      </c>
      <c r="D714" s="6" t="s">
        <v>41</v>
      </c>
      <c r="E714" s="6" t="s">
        <v>11902</v>
      </c>
      <c r="F714" s="6" t="s">
        <v>2193</v>
      </c>
      <c r="G714" s="6" t="s">
        <v>2939</v>
      </c>
      <c r="H714" s="6">
        <v>2.0</v>
      </c>
      <c r="I714" s="6">
        <v>2.0</v>
      </c>
      <c r="J714" s="6">
        <v>0.0</v>
      </c>
      <c r="K714" s="6">
        <v>0.0</v>
      </c>
      <c r="L714" s="6">
        <v>0.0</v>
      </c>
      <c r="M714" s="6">
        <v>0.0</v>
      </c>
      <c r="N714" s="669">
        <v>1729000.0</v>
      </c>
      <c r="O714" s="6">
        <v>0.0</v>
      </c>
      <c r="P714" s="6">
        <v>0.0</v>
      </c>
      <c r="Q714" s="6">
        <v>0.0</v>
      </c>
      <c r="R714" s="6">
        <v>0.0</v>
      </c>
      <c r="S714" s="6">
        <v>0.0</v>
      </c>
      <c r="T714" s="6">
        <v>0.0</v>
      </c>
      <c r="U714" s="6">
        <v>0.0</v>
      </c>
    </row>
    <row r="715">
      <c r="A715" s="6" t="s">
        <v>819</v>
      </c>
      <c r="B715" s="6" t="s">
        <v>11578</v>
      </c>
      <c r="C715" s="6" t="s">
        <v>11591</v>
      </c>
      <c r="D715" s="6" t="s">
        <v>128</v>
      </c>
      <c r="E715" s="6" t="s">
        <v>11902</v>
      </c>
      <c r="F715" s="6" t="s">
        <v>141</v>
      </c>
      <c r="G715" s="6" t="s">
        <v>2939</v>
      </c>
      <c r="H715" s="6">
        <v>5.0</v>
      </c>
      <c r="I715" s="6">
        <v>0.0</v>
      </c>
      <c r="J715" s="6">
        <v>0.0</v>
      </c>
      <c r="K715" s="6">
        <v>0.0</v>
      </c>
      <c r="L715" s="6">
        <v>0.0</v>
      </c>
      <c r="M715" s="6">
        <v>0.0</v>
      </c>
      <c r="N715" s="669">
        <v>596000.0</v>
      </c>
      <c r="O715" s="6">
        <v>0.0</v>
      </c>
      <c r="P715" s="6">
        <v>0.0</v>
      </c>
      <c r="Q715" s="6">
        <v>0.0</v>
      </c>
      <c r="R715" s="6">
        <v>0.0</v>
      </c>
      <c r="S715" s="6">
        <v>0.0</v>
      </c>
      <c r="T715" s="6">
        <v>0.0</v>
      </c>
      <c r="U715" s="6">
        <v>0.0</v>
      </c>
    </row>
    <row r="716">
      <c r="A716" s="6" t="s">
        <v>820</v>
      </c>
      <c r="B716" s="6" t="s">
        <v>11578</v>
      </c>
      <c r="C716" s="6" t="s">
        <v>11591</v>
      </c>
      <c r="D716" s="6" t="s">
        <v>130</v>
      </c>
      <c r="E716" s="6" t="s">
        <v>11902</v>
      </c>
      <c r="F716" s="6" t="s">
        <v>141</v>
      </c>
      <c r="G716" s="6" t="s">
        <v>2939</v>
      </c>
      <c r="H716" s="6">
        <v>9.0</v>
      </c>
      <c r="I716" s="6">
        <v>0.0</v>
      </c>
      <c r="J716" s="6">
        <v>0.0</v>
      </c>
      <c r="K716" s="6">
        <v>0.0</v>
      </c>
      <c r="L716" s="6">
        <v>0.0</v>
      </c>
      <c r="M716" s="6">
        <v>0.0</v>
      </c>
      <c r="N716" s="669">
        <v>596000.0</v>
      </c>
      <c r="O716" s="6">
        <v>0.0</v>
      </c>
      <c r="P716" s="6">
        <v>0.0</v>
      </c>
      <c r="Q716" s="6">
        <v>0.0</v>
      </c>
      <c r="R716" s="6">
        <v>0.0</v>
      </c>
      <c r="S716" s="6">
        <v>0.0</v>
      </c>
      <c r="T716" s="6">
        <v>0.0</v>
      </c>
      <c r="U716" s="6">
        <v>0.0</v>
      </c>
    </row>
    <row r="717">
      <c r="A717" s="6" t="s">
        <v>2052</v>
      </c>
      <c r="B717" s="6" t="s">
        <v>11654</v>
      </c>
      <c r="C717" s="6" t="s">
        <v>11570</v>
      </c>
      <c r="D717" s="6" t="s">
        <v>22</v>
      </c>
      <c r="E717" s="6" t="s">
        <v>822</v>
      </c>
      <c r="F717" s="6" t="s">
        <v>125</v>
      </c>
      <c r="G717" s="6" t="s">
        <v>2939</v>
      </c>
      <c r="H717" s="6">
        <v>0.0</v>
      </c>
      <c r="I717" s="6">
        <v>0.0</v>
      </c>
      <c r="J717" s="6">
        <v>0.0</v>
      </c>
      <c r="K717" s="6">
        <v>0.0</v>
      </c>
      <c r="L717" s="6">
        <v>0.0</v>
      </c>
      <c r="M717" s="6">
        <v>0.0</v>
      </c>
      <c r="N717" s="669">
        <v>1490000.0</v>
      </c>
      <c r="O717" s="6">
        <v>0.0</v>
      </c>
      <c r="P717" s="6">
        <v>0.0</v>
      </c>
      <c r="Q717" s="6">
        <v>0.0</v>
      </c>
      <c r="R717" s="6">
        <v>0.0</v>
      </c>
      <c r="S717" s="6">
        <v>0.0</v>
      </c>
      <c r="T717" s="6">
        <v>0.0</v>
      </c>
      <c r="U717" s="6">
        <v>0.0</v>
      </c>
    </row>
    <row r="718">
      <c r="A718" s="6" t="s">
        <v>821</v>
      </c>
      <c r="B718" s="6" t="s">
        <v>11576</v>
      </c>
      <c r="C718" s="6" t="s">
        <v>11579</v>
      </c>
      <c r="D718" s="6" t="s">
        <v>41</v>
      </c>
      <c r="E718" s="6" t="s">
        <v>822</v>
      </c>
      <c r="F718" s="6" t="s">
        <v>2193</v>
      </c>
      <c r="G718" s="6" t="s">
        <v>2939</v>
      </c>
      <c r="H718" s="6">
        <v>0.0</v>
      </c>
      <c r="I718" s="6">
        <v>0.0</v>
      </c>
      <c r="J718" s="6">
        <v>3.0</v>
      </c>
      <c r="K718" s="6">
        <v>0.0</v>
      </c>
      <c r="L718" s="6">
        <v>0.0</v>
      </c>
      <c r="M718" s="6">
        <v>0.0</v>
      </c>
      <c r="N718" s="669">
        <v>1729000.0</v>
      </c>
      <c r="O718" s="6">
        <v>0.0</v>
      </c>
      <c r="P718" s="6">
        <v>0.0</v>
      </c>
      <c r="Q718" s="6">
        <v>0.0</v>
      </c>
      <c r="R718" s="6">
        <v>0.0</v>
      </c>
      <c r="S718" s="6">
        <v>0.0</v>
      </c>
      <c r="T718" s="6">
        <v>0.0</v>
      </c>
      <c r="U718" s="6">
        <v>0.0</v>
      </c>
    </row>
    <row r="719">
      <c r="A719" s="6" t="s">
        <v>823</v>
      </c>
      <c r="B719" s="6" t="s">
        <v>11578</v>
      </c>
      <c r="C719" s="6" t="s">
        <v>11591</v>
      </c>
      <c r="D719" s="6" t="s">
        <v>128</v>
      </c>
      <c r="E719" s="6" t="s">
        <v>822</v>
      </c>
      <c r="F719" s="6" t="s">
        <v>141</v>
      </c>
      <c r="G719" s="6" t="s">
        <v>2939</v>
      </c>
      <c r="H719" s="6">
        <v>0.0</v>
      </c>
      <c r="I719" s="6">
        <v>0.0</v>
      </c>
      <c r="J719" s="6">
        <v>0.0</v>
      </c>
      <c r="K719" s="6">
        <v>0.0</v>
      </c>
      <c r="L719" s="6">
        <v>0.0</v>
      </c>
      <c r="M719" s="6">
        <v>0.0</v>
      </c>
      <c r="N719" s="669">
        <v>537000.0</v>
      </c>
      <c r="O719" s="6">
        <v>0.0</v>
      </c>
      <c r="P719" s="6">
        <v>0.0</v>
      </c>
      <c r="Q719" s="6">
        <v>0.0</v>
      </c>
      <c r="R719" s="6">
        <v>0.0</v>
      </c>
      <c r="S719" s="6">
        <v>0.0</v>
      </c>
      <c r="T719" s="6">
        <v>0.0</v>
      </c>
      <c r="U719" s="6">
        <v>0.0</v>
      </c>
    </row>
    <row r="720">
      <c r="A720" s="6" t="s">
        <v>824</v>
      </c>
      <c r="B720" s="6" t="s">
        <v>11578</v>
      </c>
      <c r="C720" s="6" t="s">
        <v>11591</v>
      </c>
      <c r="D720" s="6" t="s">
        <v>130</v>
      </c>
      <c r="E720" s="6" t="s">
        <v>822</v>
      </c>
      <c r="F720" s="6" t="s">
        <v>141</v>
      </c>
      <c r="G720" s="6" t="s">
        <v>2939</v>
      </c>
      <c r="H720" s="6">
        <v>0.0</v>
      </c>
      <c r="I720" s="6">
        <v>0.0</v>
      </c>
      <c r="J720" s="6">
        <v>0.0</v>
      </c>
      <c r="K720" s="6">
        <v>0.0</v>
      </c>
      <c r="L720" s="6">
        <v>0.0</v>
      </c>
      <c r="M720" s="6">
        <v>0.0</v>
      </c>
      <c r="N720" s="669">
        <v>537000.0</v>
      </c>
      <c r="O720" s="6">
        <v>0.0</v>
      </c>
      <c r="P720" s="6">
        <v>0.0</v>
      </c>
      <c r="Q720" s="6">
        <v>0.0</v>
      </c>
      <c r="R720" s="6">
        <v>0.0</v>
      </c>
      <c r="S720" s="6">
        <v>0.0</v>
      </c>
      <c r="T720" s="6">
        <v>0.0</v>
      </c>
      <c r="U720" s="6">
        <v>0.0</v>
      </c>
    </row>
    <row r="721">
      <c r="A721" s="6" t="s">
        <v>825</v>
      </c>
      <c r="B721" s="6" t="s">
        <v>11578</v>
      </c>
      <c r="C721" s="6" t="s">
        <v>11591</v>
      </c>
      <c r="D721" s="6" t="s">
        <v>132</v>
      </c>
      <c r="E721" s="6" t="s">
        <v>822</v>
      </c>
      <c r="F721" s="6" t="s">
        <v>141</v>
      </c>
      <c r="G721" s="6" t="s">
        <v>2939</v>
      </c>
      <c r="H721" s="6">
        <v>1.0</v>
      </c>
      <c r="I721" s="6">
        <v>0.0</v>
      </c>
      <c r="J721" s="6">
        <v>0.0</v>
      </c>
      <c r="K721" s="6">
        <v>0.0</v>
      </c>
      <c r="L721" s="6">
        <v>0.0</v>
      </c>
      <c r="M721" s="6">
        <v>0.0</v>
      </c>
      <c r="N721" s="669">
        <v>537000.0</v>
      </c>
      <c r="O721" s="6">
        <v>0.0</v>
      </c>
      <c r="P721" s="6">
        <v>0.0</v>
      </c>
      <c r="Q721" s="6">
        <v>0.0</v>
      </c>
      <c r="R721" s="6">
        <v>0.0</v>
      </c>
      <c r="S721" s="6">
        <v>0.0</v>
      </c>
      <c r="T721" s="6">
        <v>0.0</v>
      </c>
      <c r="U721" s="6">
        <v>0.0</v>
      </c>
    </row>
    <row r="722">
      <c r="A722" s="6" t="s">
        <v>826</v>
      </c>
      <c r="B722" s="6" t="s">
        <v>11576</v>
      </c>
      <c r="C722" s="6" t="s">
        <v>11591</v>
      </c>
      <c r="D722" s="6" t="s">
        <v>134</v>
      </c>
      <c r="E722" s="6" t="s">
        <v>822</v>
      </c>
      <c r="F722" s="6" t="s">
        <v>141</v>
      </c>
      <c r="G722" s="6" t="s">
        <v>2939</v>
      </c>
      <c r="H722" s="6">
        <v>0.0</v>
      </c>
      <c r="I722" s="6">
        <v>0.0</v>
      </c>
      <c r="J722" s="6">
        <v>4.0</v>
      </c>
      <c r="K722" s="6">
        <v>0.0</v>
      </c>
      <c r="L722" s="6">
        <v>0.0</v>
      </c>
      <c r="M722" s="6">
        <v>0.0</v>
      </c>
      <c r="N722" s="669">
        <v>537000.0</v>
      </c>
      <c r="O722" s="6">
        <v>0.0</v>
      </c>
      <c r="P722" s="6">
        <v>0.0</v>
      </c>
      <c r="Q722" s="6">
        <v>0.0</v>
      </c>
      <c r="R722" s="6">
        <v>0.0</v>
      </c>
      <c r="S722" s="6">
        <v>0.0</v>
      </c>
      <c r="T722" s="6">
        <v>0.0</v>
      </c>
      <c r="U722" s="6">
        <v>0.0</v>
      </c>
    </row>
    <row r="723">
      <c r="A723" s="6" t="s">
        <v>827</v>
      </c>
      <c r="B723" s="6" t="s">
        <v>11576</v>
      </c>
      <c r="C723" s="6" t="s">
        <v>11570</v>
      </c>
      <c r="D723" s="6" t="s">
        <v>22</v>
      </c>
      <c r="E723" s="6" t="s">
        <v>828</v>
      </c>
      <c r="F723" s="6" t="s">
        <v>125</v>
      </c>
      <c r="G723" s="6" t="s">
        <v>2939</v>
      </c>
      <c r="H723" s="6">
        <v>0.0</v>
      </c>
      <c r="I723" s="6">
        <v>0.0</v>
      </c>
      <c r="J723" s="6">
        <v>2.0</v>
      </c>
      <c r="K723" s="6">
        <v>0.0</v>
      </c>
      <c r="L723" s="6">
        <v>0.0</v>
      </c>
      <c r="M723" s="6">
        <v>0.0</v>
      </c>
      <c r="N723" s="669">
        <v>1926000.0</v>
      </c>
      <c r="O723" s="6">
        <v>0.0</v>
      </c>
      <c r="P723" s="6">
        <v>0.0</v>
      </c>
      <c r="Q723" s="6">
        <v>0.0</v>
      </c>
      <c r="R723" s="6">
        <v>0.0</v>
      </c>
      <c r="S723" s="6">
        <v>10.0</v>
      </c>
      <c r="T723" s="6">
        <v>0.0</v>
      </c>
      <c r="U723" s="6">
        <v>0.0</v>
      </c>
    </row>
    <row r="724">
      <c r="A724" s="6" t="s">
        <v>1677</v>
      </c>
      <c r="B724" s="6" t="s">
        <v>11576</v>
      </c>
      <c r="C724" s="6" t="s">
        <v>11579</v>
      </c>
      <c r="D724" s="6" t="s">
        <v>41</v>
      </c>
      <c r="E724" s="6" t="s">
        <v>828</v>
      </c>
      <c r="F724" s="6" t="s">
        <v>2193</v>
      </c>
      <c r="G724" s="6" t="s">
        <v>2939</v>
      </c>
      <c r="H724" s="6">
        <v>0.0</v>
      </c>
      <c r="I724" s="6">
        <v>0.0</v>
      </c>
      <c r="J724" s="6">
        <v>0.0</v>
      </c>
      <c r="K724" s="6">
        <v>0.0</v>
      </c>
      <c r="L724" s="6">
        <v>0.0</v>
      </c>
      <c r="M724" s="6">
        <v>0.0</v>
      </c>
      <c r="N724" s="669">
        <v>1776000.0</v>
      </c>
      <c r="O724" s="6">
        <v>0.0</v>
      </c>
      <c r="P724" s="6">
        <v>0.0</v>
      </c>
      <c r="Q724" s="6">
        <v>0.0</v>
      </c>
      <c r="R724" s="6">
        <v>0.0</v>
      </c>
      <c r="S724" s="6">
        <v>5.0</v>
      </c>
      <c r="T724" s="6">
        <v>0.0</v>
      </c>
      <c r="U724" s="6">
        <v>0.0</v>
      </c>
    </row>
    <row r="725">
      <c r="A725" s="6" t="s">
        <v>833</v>
      </c>
      <c r="B725" s="6" t="s">
        <v>11578</v>
      </c>
      <c r="C725" s="6" t="s">
        <v>11591</v>
      </c>
      <c r="D725" s="6" t="s">
        <v>128</v>
      </c>
      <c r="E725" s="6" t="s">
        <v>828</v>
      </c>
      <c r="F725" s="6" t="s">
        <v>141</v>
      </c>
      <c r="G725" s="6" t="s">
        <v>2939</v>
      </c>
      <c r="H725" s="6">
        <v>2.0</v>
      </c>
      <c r="I725" s="6">
        <v>0.0</v>
      </c>
      <c r="J725" s="6">
        <v>0.0</v>
      </c>
      <c r="K725" s="6">
        <v>0.0</v>
      </c>
      <c r="L725" s="6">
        <v>0.0</v>
      </c>
      <c r="M725" s="6">
        <v>0.0</v>
      </c>
      <c r="N725" s="669">
        <v>403000.0</v>
      </c>
      <c r="O725" s="6">
        <v>0.0</v>
      </c>
      <c r="P725" s="6">
        <v>0.0</v>
      </c>
      <c r="Q725" s="6">
        <v>0.0</v>
      </c>
      <c r="R725" s="6">
        <v>0.0</v>
      </c>
      <c r="S725" s="6">
        <v>0.0</v>
      </c>
      <c r="T725" s="6">
        <v>0.0</v>
      </c>
      <c r="U725" s="6">
        <v>0.0</v>
      </c>
    </row>
    <row r="726">
      <c r="A726" s="6" t="s">
        <v>834</v>
      </c>
      <c r="B726" s="6" t="s">
        <v>11578</v>
      </c>
      <c r="C726" s="6" t="s">
        <v>11591</v>
      </c>
      <c r="D726" s="6" t="s">
        <v>130</v>
      </c>
      <c r="E726" s="6" t="s">
        <v>828</v>
      </c>
      <c r="F726" s="6" t="s">
        <v>141</v>
      </c>
      <c r="G726" s="6" t="s">
        <v>2939</v>
      </c>
      <c r="H726" s="6">
        <v>0.0</v>
      </c>
      <c r="I726" s="6">
        <v>0.0</v>
      </c>
      <c r="J726" s="6">
        <v>0.0</v>
      </c>
      <c r="K726" s="6">
        <v>0.0</v>
      </c>
      <c r="L726" s="6">
        <v>0.0</v>
      </c>
      <c r="M726" s="6">
        <v>0.0</v>
      </c>
      <c r="N726" s="669">
        <v>403000.0</v>
      </c>
      <c r="O726" s="6">
        <v>0.0</v>
      </c>
      <c r="P726" s="6">
        <v>0.0</v>
      </c>
      <c r="Q726" s="6">
        <v>0.0</v>
      </c>
      <c r="R726" s="6">
        <v>0.0</v>
      </c>
      <c r="S726" s="6">
        <v>0.0</v>
      </c>
      <c r="T726" s="6">
        <v>0.0</v>
      </c>
      <c r="U726" s="6">
        <v>0.0</v>
      </c>
    </row>
    <row r="727">
      <c r="A727" s="6" t="s">
        <v>835</v>
      </c>
      <c r="B727" s="6" t="s">
        <v>11578</v>
      </c>
      <c r="C727" s="6" t="s">
        <v>11591</v>
      </c>
      <c r="D727" s="6" t="s">
        <v>132</v>
      </c>
      <c r="E727" s="6" t="s">
        <v>828</v>
      </c>
      <c r="F727" s="6" t="s">
        <v>141</v>
      </c>
      <c r="G727" s="6" t="s">
        <v>2939</v>
      </c>
      <c r="H727" s="6">
        <v>0.0</v>
      </c>
      <c r="I727" s="6">
        <v>0.0</v>
      </c>
      <c r="J727" s="6">
        <v>0.0</v>
      </c>
      <c r="K727" s="6">
        <v>0.0</v>
      </c>
      <c r="L727" s="6">
        <v>0.0</v>
      </c>
      <c r="M727" s="6">
        <v>0.0</v>
      </c>
      <c r="N727" s="669">
        <v>256000.0</v>
      </c>
      <c r="O727" s="6">
        <v>0.0</v>
      </c>
      <c r="P727" s="6">
        <v>0.0</v>
      </c>
      <c r="Q727" s="6">
        <v>0.0</v>
      </c>
      <c r="R727" s="6">
        <v>0.0</v>
      </c>
      <c r="S727" s="6">
        <v>0.0</v>
      </c>
      <c r="T727" s="6">
        <v>0.0</v>
      </c>
      <c r="U727" s="6">
        <v>0.0</v>
      </c>
    </row>
    <row r="728">
      <c r="A728" s="6" t="s">
        <v>836</v>
      </c>
      <c r="B728" s="6" t="s">
        <v>11578</v>
      </c>
      <c r="C728" s="6" t="s">
        <v>11591</v>
      </c>
      <c r="D728" s="6" t="s">
        <v>134</v>
      </c>
      <c r="E728" s="6" t="s">
        <v>828</v>
      </c>
      <c r="F728" s="6" t="s">
        <v>141</v>
      </c>
      <c r="G728" s="6" t="s">
        <v>2939</v>
      </c>
      <c r="H728" s="6">
        <v>2.0</v>
      </c>
      <c r="I728" s="6">
        <v>0.0</v>
      </c>
      <c r="J728" s="6">
        <v>0.0</v>
      </c>
      <c r="K728" s="6">
        <v>0.0</v>
      </c>
      <c r="L728" s="6">
        <v>0.0</v>
      </c>
      <c r="M728" s="6">
        <v>0.0</v>
      </c>
      <c r="N728" s="669">
        <v>256000.0</v>
      </c>
      <c r="O728" s="6">
        <v>0.0</v>
      </c>
      <c r="P728" s="6">
        <v>0.0</v>
      </c>
      <c r="Q728" s="6">
        <v>0.0</v>
      </c>
      <c r="R728" s="6">
        <v>0.0</v>
      </c>
      <c r="S728" s="6">
        <v>0.0</v>
      </c>
      <c r="T728" s="6">
        <v>0.0</v>
      </c>
      <c r="U728" s="6">
        <v>0.0</v>
      </c>
    </row>
    <row r="729">
      <c r="A729" s="6" t="s">
        <v>1678</v>
      </c>
      <c r="B729" s="6" t="s">
        <v>11569</v>
      </c>
      <c r="C729" s="6" t="s">
        <v>11570</v>
      </c>
      <c r="D729" s="6" t="s">
        <v>22</v>
      </c>
      <c r="E729" s="6" t="s">
        <v>11903</v>
      </c>
      <c r="F729" s="6" t="s">
        <v>125</v>
      </c>
      <c r="G729" s="6" t="s">
        <v>2939</v>
      </c>
      <c r="H729" s="6">
        <v>0.0</v>
      </c>
      <c r="I729" s="6">
        <v>0.0</v>
      </c>
      <c r="J729" s="6">
        <v>0.0</v>
      </c>
      <c r="K729" s="6">
        <v>0.0</v>
      </c>
      <c r="L729" s="6">
        <v>0.0</v>
      </c>
      <c r="M729" s="6">
        <v>0.0</v>
      </c>
      <c r="N729" s="669">
        <v>3773000.0</v>
      </c>
      <c r="O729" s="6">
        <v>0.0</v>
      </c>
      <c r="P729" s="6">
        <v>0.0</v>
      </c>
      <c r="Q729" s="6">
        <v>0.0</v>
      </c>
      <c r="R729" s="6">
        <v>0.0</v>
      </c>
      <c r="S729" s="6">
        <v>0.0</v>
      </c>
      <c r="T729" s="6">
        <v>0.0</v>
      </c>
      <c r="U729" s="6">
        <v>0.0</v>
      </c>
    </row>
    <row r="730">
      <c r="A730" s="6" t="s">
        <v>1680</v>
      </c>
      <c r="B730" s="6" t="s">
        <v>11569</v>
      </c>
      <c r="C730" s="6" t="s">
        <v>11579</v>
      </c>
      <c r="D730" s="6" t="s">
        <v>41</v>
      </c>
      <c r="E730" s="6" t="s">
        <v>11903</v>
      </c>
      <c r="F730" s="6" t="s">
        <v>1377</v>
      </c>
      <c r="G730" s="6" t="s">
        <v>2939</v>
      </c>
      <c r="H730" s="6">
        <v>0.0</v>
      </c>
      <c r="I730" s="6">
        <v>0.0</v>
      </c>
      <c r="J730" s="6">
        <v>6.0</v>
      </c>
      <c r="K730" s="6">
        <v>0.0</v>
      </c>
      <c r="L730" s="6">
        <v>0.0</v>
      </c>
      <c r="M730" s="6">
        <v>0.0</v>
      </c>
      <c r="N730" s="669">
        <v>2289000.0</v>
      </c>
      <c r="O730" s="6">
        <v>0.0</v>
      </c>
      <c r="P730" s="6">
        <v>0.0</v>
      </c>
      <c r="Q730" s="6">
        <v>0.0</v>
      </c>
      <c r="R730" s="6">
        <v>0.0</v>
      </c>
      <c r="S730" s="6">
        <v>0.0</v>
      </c>
      <c r="T730" s="6">
        <v>0.0</v>
      </c>
      <c r="U730" s="6">
        <v>0.0</v>
      </c>
    </row>
    <row r="731">
      <c r="A731" s="6" t="s">
        <v>837</v>
      </c>
      <c r="B731" s="6" t="s">
        <v>11576</v>
      </c>
      <c r="C731" s="6" t="s">
        <v>11570</v>
      </c>
      <c r="D731" s="6" t="s">
        <v>22</v>
      </c>
      <c r="E731" s="6" t="s">
        <v>838</v>
      </c>
      <c r="F731" s="6" t="s">
        <v>125</v>
      </c>
      <c r="G731" s="6" t="s">
        <v>2939</v>
      </c>
      <c r="H731" s="6">
        <v>0.0</v>
      </c>
      <c r="I731" s="6">
        <v>0.0</v>
      </c>
      <c r="J731" s="6">
        <v>4.0</v>
      </c>
      <c r="K731" s="6">
        <v>0.0</v>
      </c>
      <c r="L731" s="6">
        <v>0.0</v>
      </c>
      <c r="M731" s="6">
        <v>0.0</v>
      </c>
      <c r="N731" s="669">
        <v>3876000.0</v>
      </c>
      <c r="O731" s="6">
        <v>0.0</v>
      </c>
      <c r="P731" s="6">
        <v>0.0</v>
      </c>
      <c r="Q731" s="6">
        <v>0.0</v>
      </c>
      <c r="R731" s="6">
        <v>0.0</v>
      </c>
      <c r="S731" s="6">
        <v>10.0</v>
      </c>
      <c r="T731" s="6">
        <v>0.0</v>
      </c>
      <c r="U731" s="6">
        <v>0.0</v>
      </c>
    </row>
    <row r="732">
      <c r="A732" s="6" t="s">
        <v>839</v>
      </c>
      <c r="B732" s="6" t="s">
        <v>11576</v>
      </c>
      <c r="C732" s="6" t="s">
        <v>11579</v>
      </c>
      <c r="D732" s="6" t="s">
        <v>41</v>
      </c>
      <c r="E732" s="6" t="s">
        <v>838</v>
      </c>
      <c r="F732" s="6" t="s">
        <v>1377</v>
      </c>
      <c r="G732" s="6" t="s">
        <v>2939</v>
      </c>
      <c r="H732" s="6">
        <v>0.0</v>
      </c>
      <c r="I732" s="6">
        <v>0.0</v>
      </c>
      <c r="J732" s="6" t="s">
        <v>11590</v>
      </c>
      <c r="K732" s="6">
        <v>2.0</v>
      </c>
      <c r="L732" s="6">
        <v>0.0</v>
      </c>
      <c r="M732" s="6">
        <v>0.0</v>
      </c>
      <c r="N732" s="669">
        <v>2410000.0</v>
      </c>
      <c r="O732" s="6">
        <v>0.0</v>
      </c>
      <c r="P732" s="6">
        <v>0.0</v>
      </c>
      <c r="Q732" s="6">
        <v>0.0</v>
      </c>
      <c r="R732" s="6">
        <v>0.0</v>
      </c>
      <c r="S732" s="6">
        <v>0.0</v>
      </c>
      <c r="T732" s="6">
        <v>0.0</v>
      </c>
      <c r="U732" s="6">
        <v>0.0</v>
      </c>
    </row>
    <row r="733">
      <c r="A733" s="6" t="s">
        <v>840</v>
      </c>
      <c r="B733" s="6" t="s">
        <v>11576</v>
      </c>
      <c r="C733" s="6" t="s">
        <v>11591</v>
      </c>
      <c r="D733" s="6" t="s">
        <v>128</v>
      </c>
      <c r="E733" s="6" t="s">
        <v>838</v>
      </c>
      <c r="F733" s="6" t="s">
        <v>141</v>
      </c>
      <c r="G733" s="6" t="s">
        <v>2939</v>
      </c>
      <c r="H733" s="6">
        <v>0.0</v>
      </c>
      <c r="I733" s="6">
        <v>0.0</v>
      </c>
      <c r="J733" s="6">
        <v>6.0</v>
      </c>
      <c r="K733" s="6">
        <v>0.0</v>
      </c>
      <c r="L733" s="6">
        <v>0.0</v>
      </c>
      <c r="M733" s="6">
        <v>0.0</v>
      </c>
      <c r="N733" s="669">
        <v>884000.0</v>
      </c>
      <c r="O733" s="6">
        <v>0.0</v>
      </c>
      <c r="P733" s="6">
        <v>0.0</v>
      </c>
      <c r="Q733" s="6">
        <v>0.0</v>
      </c>
      <c r="R733" s="6">
        <v>0.0</v>
      </c>
      <c r="S733" s="6">
        <v>0.0</v>
      </c>
      <c r="T733" s="6">
        <v>0.0</v>
      </c>
      <c r="U733" s="6">
        <v>0.0</v>
      </c>
    </row>
    <row r="734">
      <c r="A734" s="6" t="s">
        <v>841</v>
      </c>
      <c r="B734" s="6" t="s">
        <v>11576</v>
      </c>
      <c r="C734" s="6" t="s">
        <v>11591</v>
      </c>
      <c r="D734" s="6" t="s">
        <v>130</v>
      </c>
      <c r="E734" s="6" t="s">
        <v>838</v>
      </c>
      <c r="F734" s="6" t="s">
        <v>141</v>
      </c>
      <c r="G734" s="6" t="s">
        <v>2939</v>
      </c>
      <c r="H734" s="6">
        <v>0.0</v>
      </c>
      <c r="I734" s="6">
        <v>0.0</v>
      </c>
      <c r="J734" s="6">
        <v>3.0</v>
      </c>
      <c r="K734" s="6">
        <v>0.0</v>
      </c>
      <c r="L734" s="6">
        <v>0.0</v>
      </c>
      <c r="M734" s="6">
        <v>0.0</v>
      </c>
      <c r="N734" s="669">
        <v>884000.0</v>
      </c>
      <c r="O734" s="6">
        <v>0.0</v>
      </c>
      <c r="P734" s="6">
        <v>0.0</v>
      </c>
      <c r="Q734" s="6">
        <v>0.0</v>
      </c>
      <c r="R734" s="6">
        <v>0.0</v>
      </c>
      <c r="S734" s="6">
        <v>0.0</v>
      </c>
      <c r="T734" s="6">
        <v>0.0</v>
      </c>
      <c r="U734" s="6">
        <v>0.0</v>
      </c>
    </row>
    <row r="735">
      <c r="A735" s="6" t="s">
        <v>842</v>
      </c>
      <c r="B735" s="6" t="s">
        <v>11578</v>
      </c>
      <c r="C735" s="6" t="s">
        <v>11591</v>
      </c>
      <c r="D735" s="6" t="s">
        <v>132</v>
      </c>
      <c r="E735" s="6" t="s">
        <v>838</v>
      </c>
      <c r="F735" s="6" t="s">
        <v>141</v>
      </c>
      <c r="G735" s="6" t="s">
        <v>2939</v>
      </c>
      <c r="H735" s="6" t="s">
        <v>11590</v>
      </c>
      <c r="I735" s="6">
        <v>0.0</v>
      </c>
      <c r="J735" s="6">
        <v>0.0</v>
      </c>
      <c r="K735" s="6">
        <v>0.0</v>
      </c>
      <c r="L735" s="6">
        <v>0.0</v>
      </c>
      <c r="M735" s="6">
        <v>0.0</v>
      </c>
      <c r="N735" s="669">
        <v>725000.0</v>
      </c>
      <c r="O735" s="6">
        <v>0.0</v>
      </c>
      <c r="P735" s="6">
        <v>0.0</v>
      </c>
      <c r="Q735" s="6">
        <v>0.0</v>
      </c>
      <c r="R735" s="6">
        <v>0.0</v>
      </c>
      <c r="S735" s="6">
        <v>0.0</v>
      </c>
      <c r="T735" s="6">
        <v>0.0</v>
      </c>
      <c r="U735" s="6">
        <v>0.0</v>
      </c>
    </row>
    <row r="736">
      <c r="A736" s="6" t="s">
        <v>843</v>
      </c>
      <c r="B736" s="6" t="s">
        <v>11578</v>
      </c>
      <c r="C736" s="6" t="s">
        <v>11591</v>
      </c>
      <c r="D736" s="6" t="s">
        <v>134</v>
      </c>
      <c r="E736" s="6" t="s">
        <v>838</v>
      </c>
      <c r="F736" s="6" t="s">
        <v>141</v>
      </c>
      <c r="G736" s="6" t="s">
        <v>2939</v>
      </c>
      <c r="H736" s="6" t="s">
        <v>11590</v>
      </c>
      <c r="I736" s="6">
        <v>0.0</v>
      </c>
      <c r="J736" s="6">
        <v>0.0</v>
      </c>
      <c r="K736" s="6">
        <v>0.0</v>
      </c>
      <c r="L736" s="6">
        <v>0.0</v>
      </c>
      <c r="M736" s="6">
        <v>0.0</v>
      </c>
      <c r="N736" s="669">
        <v>725000.0</v>
      </c>
      <c r="O736" s="6">
        <v>0.0</v>
      </c>
      <c r="P736" s="6">
        <v>0.0</v>
      </c>
      <c r="Q736" s="6">
        <v>0.0</v>
      </c>
      <c r="R736" s="6">
        <v>0.0</v>
      </c>
      <c r="S736" s="6">
        <v>0.0</v>
      </c>
      <c r="T736" s="6">
        <v>0.0</v>
      </c>
      <c r="U736" s="6">
        <v>0.0</v>
      </c>
    </row>
    <row r="737">
      <c r="A737" s="6" t="s">
        <v>844</v>
      </c>
      <c r="B737" s="6" t="s">
        <v>11578</v>
      </c>
      <c r="C737" s="6" t="s">
        <v>11591</v>
      </c>
      <c r="D737" s="6" t="s">
        <v>202</v>
      </c>
      <c r="E737" s="6" t="s">
        <v>838</v>
      </c>
      <c r="F737" s="6" t="s">
        <v>234</v>
      </c>
      <c r="G737" s="6" t="s">
        <v>2939</v>
      </c>
      <c r="H737" s="6">
        <v>10.0</v>
      </c>
      <c r="I737" s="6">
        <v>0.0</v>
      </c>
      <c r="J737" s="6">
        <v>0.0</v>
      </c>
      <c r="K737" s="6">
        <v>0.0</v>
      </c>
      <c r="L737" s="6">
        <v>0.0</v>
      </c>
      <c r="M737" s="6">
        <v>0.0</v>
      </c>
      <c r="N737" s="669">
        <v>1126000.0</v>
      </c>
      <c r="O737" s="6">
        <v>0.0</v>
      </c>
      <c r="P737" s="6">
        <v>0.0</v>
      </c>
      <c r="Q737" s="6">
        <v>0.0</v>
      </c>
      <c r="R737" s="6">
        <v>0.0</v>
      </c>
      <c r="S737" s="6">
        <v>0.0</v>
      </c>
      <c r="T737" s="6">
        <v>0.0</v>
      </c>
      <c r="U737" s="6">
        <v>0.0</v>
      </c>
    </row>
    <row r="738">
      <c r="A738" s="6" t="s">
        <v>845</v>
      </c>
      <c r="B738" s="6" t="s">
        <v>11576</v>
      </c>
      <c r="C738" s="6" t="s">
        <v>11591</v>
      </c>
      <c r="D738" s="6" t="s">
        <v>236</v>
      </c>
      <c r="E738" s="6" t="s">
        <v>838</v>
      </c>
      <c r="F738" s="6" t="s">
        <v>97</v>
      </c>
      <c r="G738" s="6" t="s">
        <v>2939</v>
      </c>
      <c r="H738" s="6">
        <v>0.0</v>
      </c>
      <c r="I738" s="6">
        <v>1.0</v>
      </c>
      <c r="J738" s="6">
        <v>3.0</v>
      </c>
      <c r="K738" s="6">
        <v>0.0</v>
      </c>
      <c r="L738" s="6">
        <v>0.0</v>
      </c>
      <c r="M738" s="6">
        <v>0.0</v>
      </c>
      <c r="N738" s="669">
        <v>966000.0</v>
      </c>
      <c r="O738" s="6">
        <v>0.0</v>
      </c>
      <c r="P738" s="6">
        <v>0.0</v>
      </c>
      <c r="Q738" s="6">
        <v>0.0</v>
      </c>
      <c r="R738" s="6">
        <v>0.0</v>
      </c>
      <c r="S738" s="6">
        <v>0.0</v>
      </c>
      <c r="T738" s="6">
        <v>0.0</v>
      </c>
      <c r="U738" s="6">
        <v>0.0</v>
      </c>
    </row>
    <row r="739">
      <c r="A739" s="6" t="s">
        <v>1932</v>
      </c>
      <c r="B739" s="6" t="s">
        <v>11653</v>
      </c>
      <c r="C739" s="6" t="s">
        <v>11570</v>
      </c>
      <c r="D739" s="6" t="s">
        <v>22</v>
      </c>
      <c r="E739" s="6" t="s">
        <v>1463</v>
      </c>
      <c r="G739" s="6" t="s">
        <v>2939</v>
      </c>
      <c r="H739" s="6">
        <v>0.0</v>
      </c>
      <c r="I739" s="6">
        <v>0.0</v>
      </c>
      <c r="J739" s="6">
        <v>0.0</v>
      </c>
      <c r="K739" s="6">
        <v>0.0</v>
      </c>
      <c r="L739" s="6">
        <v>4.0</v>
      </c>
      <c r="M739" s="6">
        <v>1.0</v>
      </c>
      <c r="N739" s="669">
        <v>1188000.0</v>
      </c>
      <c r="O739" s="6">
        <v>10.0</v>
      </c>
      <c r="P739" s="6">
        <v>10.0</v>
      </c>
      <c r="Q739" s="6">
        <v>0.0</v>
      </c>
      <c r="R739" s="6">
        <v>0.0</v>
      </c>
      <c r="S739" s="6">
        <v>0.0</v>
      </c>
      <c r="T739" s="6">
        <v>0.0</v>
      </c>
      <c r="U739" s="6">
        <v>0.0</v>
      </c>
    </row>
    <row r="740">
      <c r="A740" s="6" t="s">
        <v>1681</v>
      </c>
      <c r="B740" s="6" t="s">
        <v>11569</v>
      </c>
      <c r="C740" s="6" t="s">
        <v>11570</v>
      </c>
      <c r="D740" s="6" t="s">
        <v>22</v>
      </c>
      <c r="E740" s="6" t="s">
        <v>11904</v>
      </c>
      <c r="F740" s="6" t="s">
        <v>97</v>
      </c>
      <c r="G740" s="6" t="s">
        <v>2939</v>
      </c>
      <c r="H740" s="6">
        <v>0.0</v>
      </c>
      <c r="I740" s="6">
        <v>0.0</v>
      </c>
      <c r="J740" s="6" t="s">
        <v>11590</v>
      </c>
      <c r="K740" s="6" t="s">
        <v>11590</v>
      </c>
      <c r="L740" s="6">
        <v>0.0</v>
      </c>
      <c r="M740" s="6">
        <v>0.0</v>
      </c>
      <c r="N740" s="669">
        <v>1233000.0</v>
      </c>
      <c r="O740" s="6">
        <v>0.0</v>
      </c>
      <c r="P740" s="6">
        <v>0.0</v>
      </c>
      <c r="Q740" s="6">
        <v>0.0</v>
      </c>
      <c r="R740" s="6">
        <v>0.0</v>
      </c>
      <c r="S740" s="6">
        <v>0.0</v>
      </c>
      <c r="T740" s="6">
        <v>0.0</v>
      </c>
      <c r="U740" s="6">
        <v>0.0</v>
      </c>
    </row>
    <row r="741">
      <c r="A741" s="6" t="s">
        <v>1410</v>
      </c>
      <c r="B741" s="6" t="s">
        <v>11569</v>
      </c>
      <c r="C741" s="6" t="s">
        <v>11570</v>
      </c>
      <c r="D741" s="6" t="s">
        <v>22</v>
      </c>
      <c r="E741" s="6" t="s">
        <v>1411</v>
      </c>
      <c r="F741" s="6" t="s">
        <v>125</v>
      </c>
      <c r="G741" s="6" t="s">
        <v>2939</v>
      </c>
      <c r="H741" s="6">
        <v>0.0</v>
      </c>
      <c r="I741" s="6">
        <v>0.0</v>
      </c>
      <c r="J741" s="6">
        <v>2.0</v>
      </c>
      <c r="K741" s="6">
        <v>5.0</v>
      </c>
      <c r="L741" s="6">
        <v>0.0</v>
      </c>
      <c r="M741" s="6">
        <v>0.0</v>
      </c>
      <c r="N741" s="669">
        <v>1356000.0</v>
      </c>
      <c r="O741" s="6">
        <v>0.0</v>
      </c>
      <c r="P741" s="6">
        <v>0.0</v>
      </c>
      <c r="Q741" s="6">
        <v>0.0</v>
      </c>
      <c r="R741" s="6">
        <v>0.0</v>
      </c>
      <c r="S741" s="6" t="s">
        <v>11590</v>
      </c>
      <c r="T741" s="6">
        <v>10.0</v>
      </c>
      <c r="U741" s="6">
        <v>0.0</v>
      </c>
    </row>
    <row r="742">
      <c r="A742" s="6" t="s">
        <v>846</v>
      </c>
      <c r="B742" s="6" t="s">
        <v>11576</v>
      </c>
      <c r="C742" s="6" t="s">
        <v>11570</v>
      </c>
      <c r="D742" s="6" t="s">
        <v>22</v>
      </c>
      <c r="E742" s="6" t="s">
        <v>11905</v>
      </c>
      <c r="F742" s="6" t="s">
        <v>97</v>
      </c>
      <c r="G742" s="6" t="s">
        <v>2939</v>
      </c>
      <c r="H742" s="6">
        <v>0.0</v>
      </c>
      <c r="I742" s="6">
        <v>0.0</v>
      </c>
      <c r="J742" s="6">
        <v>9.0</v>
      </c>
      <c r="K742" s="6">
        <v>1.0</v>
      </c>
      <c r="L742" s="6">
        <v>0.0</v>
      </c>
      <c r="M742" s="6">
        <v>0.0</v>
      </c>
      <c r="N742" s="669">
        <v>1243000.0</v>
      </c>
      <c r="O742" s="6">
        <v>0.0</v>
      </c>
      <c r="P742" s="6">
        <v>0.0</v>
      </c>
      <c r="Q742" s="6">
        <v>0.0</v>
      </c>
      <c r="R742" s="6">
        <v>0.0</v>
      </c>
      <c r="S742" s="6">
        <v>0.0</v>
      </c>
      <c r="T742" s="6">
        <v>0.0</v>
      </c>
      <c r="U742" s="6">
        <v>10.0</v>
      </c>
    </row>
    <row r="743">
      <c r="A743" s="6" t="s">
        <v>848</v>
      </c>
      <c r="B743" s="6" t="s">
        <v>11576</v>
      </c>
      <c r="C743" s="6" t="s">
        <v>11579</v>
      </c>
      <c r="D743" s="6" t="s">
        <v>41</v>
      </c>
      <c r="E743" s="6" t="s">
        <v>11905</v>
      </c>
      <c r="F743" s="6" t="s">
        <v>2193</v>
      </c>
      <c r="G743" s="6" t="s">
        <v>2939</v>
      </c>
      <c r="H743" s="6">
        <v>0.0</v>
      </c>
      <c r="I743" s="6">
        <v>0.0</v>
      </c>
      <c r="J743" s="6">
        <v>0.0</v>
      </c>
      <c r="K743" s="6">
        <v>0.0</v>
      </c>
      <c r="L743" s="6">
        <v>0.0</v>
      </c>
      <c r="M743" s="6">
        <v>0.0</v>
      </c>
      <c r="N743" s="669">
        <v>1776000.0</v>
      </c>
      <c r="O743" s="6">
        <v>0.0</v>
      </c>
      <c r="P743" s="6">
        <v>0.0</v>
      </c>
      <c r="Q743" s="6">
        <v>0.0</v>
      </c>
      <c r="R743" s="6">
        <v>0.0</v>
      </c>
      <c r="S743" s="6">
        <v>5.0</v>
      </c>
      <c r="T743" s="6">
        <v>0.0</v>
      </c>
      <c r="U743" s="6">
        <v>0.0</v>
      </c>
    </row>
    <row r="744">
      <c r="A744" s="6" t="s">
        <v>849</v>
      </c>
      <c r="B744" s="6" t="s">
        <v>11576</v>
      </c>
      <c r="C744" s="6" t="s">
        <v>11591</v>
      </c>
      <c r="D744" s="6" t="s">
        <v>128</v>
      </c>
      <c r="E744" s="6" t="s">
        <v>11905</v>
      </c>
      <c r="F744" s="6" t="s">
        <v>141</v>
      </c>
      <c r="G744" s="6" t="s">
        <v>2939</v>
      </c>
      <c r="H744" s="6">
        <v>0.0</v>
      </c>
      <c r="I744" s="6">
        <v>0.0</v>
      </c>
      <c r="J744" s="6">
        <v>4.0</v>
      </c>
      <c r="K744" s="6">
        <v>0.0</v>
      </c>
      <c r="L744" s="6">
        <v>0.0</v>
      </c>
      <c r="M744" s="6">
        <v>0.0</v>
      </c>
      <c r="N744" s="669">
        <v>579000.0</v>
      </c>
      <c r="O744" s="6">
        <v>0.0</v>
      </c>
      <c r="P744" s="6">
        <v>0.0</v>
      </c>
      <c r="Q744" s="6">
        <v>0.0</v>
      </c>
      <c r="R744" s="6">
        <v>0.0</v>
      </c>
      <c r="S744" s="6">
        <v>0.0</v>
      </c>
      <c r="T744" s="6">
        <v>0.0</v>
      </c>
      <c r="U744" s="6">
        <v>0.0</v>
      </c>
    </row>
    <row r="745">
      <c r="A745" s="6" t="s">
        <v>850</v>
      </c>
      <c r="B745" s="6" t="s">
        <v>11576</v>
      </c>
      <c r="C745" s="6" t="s">
        <v>11591</v>
      </c>
      <c r="D745" s="6" t="s">
        <v>130</v>
      </c>
      <c r="E745" s="6" t="s">
        <v>11905</v>
      </c>
      <c r="F745" s="6" t="s">
        <v>141</v>
      </c>
      <c r="G745" s="6" t="s">
        <v>2939</v>
      </c>
      <c r="H745" s="6">
        <v>0.0</v>
      </c>
      <c r="I745" s="6">
        <v>0.0</v>
      </c>
      <c r="J745" s="6">
        <v>3.0</v>
      </c>
      <c r="K745" s="6">
        <v>0.0</v>
      </c>
      <c r="L745" s="6">
        <v>0.0</v>
      </c>
      <c r="M745" s="6">
        <v>0.0</v>
      </c>
      <c r="N745" s="669">
        <v>579000.0</v>
      </c>
      <c r="O745" s="6">
        <v>0.0</v>
      </c>
      <c r="P745" s="6">
        <v>0.0</v>
      </c>
      <c r="Q745" s="6">
        <v>0.0</v>
      </c>
      <c r="R745" s="6">
        <v>0.0</v>
      </c>
      <c r="S745" s="6">
        <v>0.0</v>
      </c>
      <c r="T745" s="6">
        <v>0.0</v>
      </c>
      <c r="U745" s="6">
        <v>0.0</v>
      </c>
    </row>
    <row r="746">
      <c r="A746" s="6" t="s">
        <v>851</v>
      </c>
      <c r="B746" s="6" t="s">
        <v>11576</v>
      </c>
      <c r="C746" s="6" t="s">
        <v>11591</v>
      </c>
      <c r="D746" s="6" t="s">
        <v>132</v>
      </c>
      <c r="E746" s="6" t="s">
        <v>11905</v>
      </c>
      <c r="F746" s="6" t="s">
        <v>141</v>
      </c>
      <c r="G746" s="6" t="s">
        <v>2939</v>
      </c>
      <c r="H746" s="6">
        <v>0.0</v>
      </c>
      <c r="I746" s="6">
        <v>0.0</v>
      </c>
      <c r="J746" s="6">
        <v>5.0</v>
      </c>
      <c r="K746" s="6">
        <v>0.0</v>
      </c>
      <c r="L746" s="6">
        <v>0.0</v>
      </c>
      <c r="M746" s="6">
        <v>0.0</v>
      </c>
      <c r="N746" s="669">
        <v>537000.0</v>
      </c>
      <c r="O746" s="6">
        <v>0.0</v>
      </c>
      <c r="P746" s="6">
        <v>0.0</v>
      </c>
      <c r="Q746" s="6">
        <v>0.0</v>
      </c>
      <c r="R746" s="6">
        <v>0.0</v>
      </c>
      <c r="S746" s="6">
        <v>0.0</v>
      </c>
      <c r="T746" s="6">
        <v>0.0</v>
      </c>
      <c r="U746" s="6">
        <v>0.0</v>
      </c>
    </row>
    <row r="747">
      <c r="A747" s="6" t="s">
        <v>852</v>
      </c>
      <c r="B747" s="6" t="s">
        <v>11576</v>
      </c>
      <c r="C747" s="6" t="s">
        <v>11591</v>
      </c>
      <c r="D747" s="6" t="s">
        <v>134</v>
      </c>
      <c r="E747" s="6" t="s">
        <v>11905</v>
      </c>
      <c r="F747" s="6" t="s">
        <v>141</v>
      </c>
      <c r="G747" s="6" t="s">
        <v>2939</v>
      </c>
      <c r="H747" s="6">
        <v>0.0</v>
      </c>
      <c r="I747" s="6">
        <v>0.0</v>
      </c>
      <c r="J747" s="6" t="s">
        <v>11590</v>
      </c>
      <c r="K747" s="6">
        <v>0.0</v>
      </c>
      <c r="L747" s="6">
        <v>0.0</v>
      </c>
      <c r="M747" s="6">
        <v>0.0</v>
      </c>
      <c r="N747" s="669">
        <v>537000.0</v>
      </c>
      <c r="O747" s="6">
        <v>0.0</v>
      </c>
      <c r="P747" s="6">
        <v>0.0</v>
      </c>
      <c r="Q747" s="6">
        <v>0.0</v>
      </c>
      <c r="R747" s="6">
        <v>0.0</v>
      </c>
      <c r="S747" s="6">
        <v>0.0</v>
      </c>
      <c r="T747" s="6">
        <v>0.0</v>
      </c>
      <c r="U747" s="6">
        <v>0.0</v>
      </c>
    </row>
    <row r="748">
      <c r="A748" s="6" t="s">
        <v>853</v>
      </c>
      <c r="B748" s="6" t="s">
        <v>11578</v>
      </c>
      <c r="C748" s="6" t="s">
        <v>11591</v>
      </c>
      <c r="D748" s="6" t="s">
        <v>387</v>
      </c>
      <c r="E748" s="6" t="s">
        <v>11905</v>
      </c>
      <c r="G748" s="6" t="s">
        <v>2939</v>
      </c>
      <c r="H748" s="6">
        <v>1.0</v>
      </c>
      <c r="I748" s="6">
        <v>0.0</v>
      </c>
      <c r="J748" s="6">
        <v>0.0</v>
      </c>
      <c r="K748" s="6">
        <v>0.0</v>
      </c>
      <c r="L748" s="6">
        <v>0.0</v>
      </c>
      <c r="M748" s="6">
        <v>0.0</v>
      </c>
      <c r="N748" s="669">
        <v>262000.0</v>
      </c>
      <c r="O748" s="6">
        <v>0.0</v>
      </c>
      <c r="P748" s="6">
        <v>0.0</v>
      </c>
      <c r="Q748" s="6">
        <v>0.0</v>
      </c>
      <c r="R748" s="6">
        <v>0.0</v>
      </c>
      <c r="S748" s="6">
        <v>0.0</v>
      </c>
      <c r="T748" s="6">
        <v>0.0</v>
      </c>
      <c r="U748" s="6">
        <v>0.0</v>
      </c>
    </row>
    <row r="749">
      <c r="A749" s="6" t="s">
        <v>854</v>
      </c>
      <c r="B749" s="6" t="s">
        <v>11578</v>
      </c>
      <c r="C749" s="6" t="s">
        <v>11591</v>
      </c>
      <c r="D749" s="6" t="s">
        <v>389</v>
      </c>
      <c r="E749" s="6" t="s">
        <v>11905</v>
      </c>
      <c r="G749" s="6" t="s">
        <v>2939</v>
      </c>
      <c r="H749" s="6">
        <v>3.0</v>
      </c>
      <c r="I749" s="6">
        <v>0.0</v>
      </c>
      <c r="J749" s="6">
        <v>0.0</v>
      </c>
      <c r="K749" s="6">
        <v>0.0</v>
      </c>
      <c r="L749" s="6">
        <v>0.0</v>
      </c>
      <c r="M749" s="6">
        <v>0.0</v>
      </c>
      <c r="N749" s="669">
        <v>262000.0</v>
      </c>
      <c r="O749" s="6">
        <v>0.0</v>
      </c>
      <c r="P749" s="6">
        <v>0.0</v>
      </c>
      <c r="Q749" s="6">
        <v>0.0</v>
      </c>
      <c r="R749" s="6">
        <v>0.0</v>
      </c>
      <c r="S749" s="6">
        <v>0.0</v>
      </c>
      <c r="T749" s="6">
        <v>0.0</v>
      </c>
      <c r="U749" s="6">
        <v>0.0</v>
      </c>
    </row>
    <row r="750">
      <c r="A750" s="6" t="s">
        <v>855</v>
      </c>
      <c r="B750" s="6" t="s">
        <v>11576</v>
      </c>
      <c r="C750" s="6" t="s">
        <v>11570</v>
      </c>
      <c r="D750" s="6" t="s">
        <v>22</v>
      </c>
      <c r="E750" s="6" t="s">
        <v>11906</v>
      </c>
      <c r="F750" s="6" t="s">
        <v>125</v>
      </c>
      <c r="G750" s="6" t="s">
        <v>2939</v>
      </c>
      <c r="H750" s="6">
        <v>0.0</v>
      </c>
      <c r="I750" s="6">
        <v>0.0</v>
      </c>
      <c r="J750" s="6">
        <v>0.0</v>
      </c>
      <c r="K750" s="6">
        <v>0.0</v>
      </c>
      <c r="L750" s="6">
        <v>0.0</v>
      </c>
      <c r="M750" s="6">
        <v>0.0</v>
      </c>
      <c r="N750" s="669">
        <v>1461000.0</v>
      </c>
      <c r="O750" s="6">
        <v>0.0</v>
      </c>
      <c r="P750" s="6">
        <v>0.0</v>
      </c>
      <c r="Q750" s="6">
        <v>0.0</v>
      </c>
      <c r="R750" s="6">
        <v>0.0</v>
      </c>
      <c r="S750" s="6" t="s">
        <v>11590</v>
      </c>
      <c r="T750" s="6">
        <v>5.0</v>
      </c>
      <c r="U750" s="6">
        <v>0.0</v>
      </c>
    </row>
    <row r="751">
      <c r="A751" s="6" t="s">
        <v>857</v>
      </c>
      <c r="B751" s="6" t="s">
        <v>11576</v>
      </c>
      <c r="C751" s="6" t="s">
        <v>11579</v>
      </c>
      <c r="D751" s="6" t="s">
        <v>41</v>
      </c>
      <c r="E751" s="6" t="s">
        <v>11906</v>
      </c>
      <c r="F751" s="6" t="s">
        <v>2193</v>
      </c>
      <c r="G751" s="6" t="s">
        <v>2939</v>
      </c>
      <c r="H751" s="6">
        <v>0.0</v>
      </c>
      <c r="I751" s="6">
        <v>0.0</v>
      </c>
      <c r="J751" s="6">
        <v>0.0</v>
      </c>
      <c r="K751" s="6">
        <v>0.0</v>
      </c>
      <c r="L751" s="6">
        <v>0.0</v>
      </c>
      <c r="M751" s="6">
        <v>0.0</v>
      </c>
      <c r="N751" s="669">
        <v>1776000.0</v>
      </c>
      <c r="O751" s="6">
        <v>0.0</v>
      </c>
      <c r="P751" s="6">
        <v>0.0</v>
      </c>
      <c r="Q751" s="6">
        <v>0.0</v>
      </c>
      <c r="R751" s="6">
        <v>0.0</v>
      </c>
      <c r="S751" s="6">
        <v>5.0</v>
      </c>
      <c r="T751" s="6">
        <v>0.0</v>
      </c>
      <c r="U751" s="6">
        <v>0.0</v>
      </c>
    </row>
    <row r="752">
      <c r="A752" s="6" t="s">
        <v>858</v>
      </c>
      <c r="B752" s="6" t="s">
        <v>11578</v>
      </c>
      <c r="C752" s="6" t="s">
        <v>11591</v>
      </c>
      <c r="D752" s="6" t="s">
        <v>128</v>
      </c>
      <c r="E752" s="6" t="s">
        <v>11906</v>
      </c>
      <c r="F752" s="6" t="s">
        <v>141</v>
      </c>
      <c r="G752" s="6" t="s">
        <v>2939</v>
      </c>
      <c r="H752" s="6">
        <v>0.0</v>
      </c>
      <c r="I752" s="6">
        <v>0.0</v>
      </c>
      <c r="J752" s="6">
        <v>0.0</v>
      </c>
      <c r="K752" s="6">
        <v>0.0</v>
      </c>
      <c r="L752" s="6">
        <v>0.0</v>
      </c>
      <c r="M752" s="6">
        <v>0.0</v>
      </c>
      <c r="N752" s="669">
        <v>389000.0</v>
      </c>
      <c r="O752" s="6">
        <v>0.0</v>
      </c>
      <c r="P752" s="6">
        <v>0.0</v>
      </c>
      <c r="Q752" s="6">
        <v>0.0</v>
      </c>
      <c r="R752" s="6">
        <v>0.0</v>
      </c>
      <c r="S752" s="6">
        <v>0.0</v>
      </c>
      <c r="T752" s="6">
        <v>0.0</v>
      </c>
      <c r="U752" s="6">
        <v>0.0</v>
      </c>
    </row>
    <row r="753">
      <c r="A753" s="6" t="s">
        <v>859</v>
      </c>
      <c r="B753" s="6" t="s">
        <v>11578</v>
      </c>
      <c r="C753" s="6" t="s">
        <v>11591</v>
      </c>
      <c r="D753" s="6" t="s">
        <v>130</v>
      </c>
      <c r="E753" s="6" t="s">
        <v>11906</v>
      </c>
      <c r="F753" s="6" t="s">
        <v>141</v>
      </c>
      <c r="G753" s="6" t="s">
        <v>2939</v>
      </c>
      <c r="H753" s="6">
        <v>0.0</v>
      </c>
      <c r="I753" s="6">
        <v>0.0</v>
      </c>
      <c r="J753" s="6">
        <v>0.0</v>
      </c>
      <c r="K753" s="6">
        <v>0.0</v>
      </c>
      <c r="L753" s="6">
        <v>0.0</v>
      </c>
      <c r="M753" s="6">
        <v>0.0</v>
      </c>
      <c r="N753" s="669">
        <v>389000.0</v>
      </c>
      <c r="O753" s="6">
        <v>0.0</v>
      </c>
      <c r="P753" s="6">
        <v>0.0</v>
      </c>
      <c r="Q753" s="6">
        <v>0.0</v>
      </c>
      <c r="R753" s="6">
        <v>0.0</v>
      </c>
      <c r="S753" s="6">
        <v>0.0</v>
      </c>
      <c r="T753" s="6">
        <v>0.0</v>
      </c>
      <c r="U753" s="6">
        <v>0.0</v>
      </c>
    </row>
    <row r="754">
      <c r="A754" s="6" t="s">
        <v>860</v>
      </c>
      <c r="B754" s="6" t="s">
        <v>11576</v>
      </c>
      <c r="C754" s="6" t="s">
        <v>11570</v>
      </c>
      <c r="D754" s="6" t="s">
        <v>22</v>
      </c>
      <c r="E754" s="6" t="s">
        <v>861</v>
      </c>
      <c r="F754" s="6" t="s">
        <v>125</v>
      </c>
      <c r="G754" s="6" t="s">
        <v>2939</v>
      </c>
      <c r="H754" s="6">
        <v>0.0</v>
      </c>
      <c r="I754" s="6">
        <v>0.0</v>
      </c>
      <c r="J754" s="6">
        <v>10.0</v>
      </c>
      <c r="K754" s="6">
        <v>0.0</v>
      </c>
      <c r="L754" s="6">
        <v>0.0</v>
      </c>
      <c r="M754" s="6">
        <v>0.0</v>
      </c>
      <c r="N754" s="669">
        <v>1906000.0</v>
      </c>
      <c r="O754" s="6">
        <v>0.0</v>
      </c>
      <c r="P754" s="6">
        <v>0.0</v>
      </c>
      <c r="Q754" s="6">
        <v>0.0</v>
      </c>
      <c r="R754" s="6">
        <v>0.0</v>
      </c>
      <c r="S754" s="6">
        <v>5.0</v>
      </c>
      <c r="T754" s="6">
        <v>2.0</v>
      </c>
      <c r="U754" s="6">
        <v>0.0</v>
      </c>
    </row>
    <row r="755">
      <c r="A755" s="6" t="s">
        <v>862</v>
      </c>
      <c r="B755" s="6" t="s">
        <v>11576</v>
      </c>
      <c r="C755" s="6" t="s">
        <v>11579</v>
      </c>
      <c r="D755" s="6" t="s">
        <v>41</v>
      </c>
      <c r="E755" s="6" t="s">
        <v>861</v>
      </c>
      <c r="F755" s="6" t="s">
        <v>2193</v>
      </c>
      <c r="G755" s="6" t="s">
        <v>2939</v>
      </c>
      <c r="H755" s="6">
        <v>0.0</v>
      </c>
      <c r="I755" s="6">
        <v>1.0</v>
      </c>
      <c r="J755" s="6">
        <v>3.0</v>
      </c>
      <c r="K755" s="6">
        <v>0.0</v>
      </c>
      <c r="L755" s="6">
        <v>0.0</v>
      </c>
      <c r="M755" s="6">
        <v>0.0</v>
      </c>
      <c r="N755" s="669">
        <v>2006000.0</v>
      </c>
      <c r="O755" s="6">
        <v>0.0</v>
      </c>
      <c r="P755" s="6">
        <v>0.0</v>
      </c>
      <c r="Q755" s="6">
        <v>0.0</v>
      </c>
      <c r="R755" s="6">
        <v>0.0</v>
      </c>
      <c r="S755" s="6">
        <v>0.0</v>
      </c>
      <c r="T755" s="6">
        <v>0.0</v>
      </c>
      <c r="U755" s="6">
        <v>0.0</v>
      </c>
    </row>
    <row r="756">
      <c r="A756" s="6" t="s">
        <v>863</v>
      </c>
      <c r="B756" s="6" t="s">
        <v>11576</v>
      </c>
      <c r="C756" s="6" t="s">
        <v>11591</v>
      </c>
      <c r="D756" s="6" t="s">
        <v>128</v>
      </c>
      <c r="E756" s="6" t="s">
        <v>861</v>
      </c>
      <c r="G756" s="6" t="s">
        <v>2939</v>
      </c>
      <c r="H756" s="6">
        <v>0.0</v>
      </c>
      <c r="I756" s="6">
        <v>0.0</v>
      </c>
      <c r="J756" s="6">
        <v>1.0</v>
      </c>
      <c r="K756" s="6">
        <v>0.0</v>
      </c>
      <c r="L756" s="6">
        <v>0.0</v>
      </c>
      <c r="M756" s="6">
        <v>0.0</v>
      </c>
      <c r="N756" s="669">
        <v>613000.0</v>
      </c>
      <c r="O756" s="6">
        <v>0.0</v>
      </c>
      <c r="P756" s="6">
        <v>0.0</v>
      </c>
      <c r="Q756" s="6">
        <v>0.0</v>
      </c>
      <c r="R756" s="6">
        <v>0.0</v>
      </c>
      <c r="S756" s="6">
        <v>0.0</v>
      </c>
      <c r="T756" s="6">
        <v>0.0</v>
      </c>
      <c r="U756" s="6">
        <v>0.0</v>
      </c>
    </row>
    <row r="757">
      <c r="A757" s="6" t="s">
        <v>864</v>
      </c>
      <c r="B757" s="6" t="s">
        <v>11576</v>
      </c>
      <c r="C757" s="6" t="s">
        <v>11591</v>
      </c>
      <c r="D757" s="6" t="s">
        <v>130</v>
      </c>
      <c r="E757" s="6" t="s">
        <v>861</v>
      </c>
      <c r="F757" s="6" t="s">
        <v>397</v>
      </c>
      <c r="G757" s="6" t="s">
        <v>2939</v>
      </c>
      <c r="H757" s="6">
        <v>0.0</v>
      </c>
      <c r="I757" s="6">
        <v>0.0</v>
      </c>
      <c r="J757" s="6">
        <v>2.0</v>
      </c>
      <c r="K757" s="6">
        <v>0.0</v>
      </c>
      <c r="L757" s="6">
        <v>0.0</v>
      </c>
      <c r="M757" s="6">
        <v>0.0</v>
      </c>
      <c r="N757" s="669">
        <v>613000.0</v>
      </c>
      <c r="O757" s="6">
        <v>0.0</v>
      </c>
      <c r="P757" s="6">
        <v>0.0</v>
      </c>
      <c r="Q757" s="6">
        <v>0.0</v>
      </c>
      <c r="R757" s="6">
        <v>0.0</v>
      </c>
      <c r="S757" s="6">
        <v>0.0</v>
      </c>
      <c r="T757" s="6">
        <v>0.0</v>
      </c>
      <c r="U757" s="6">
        <v>0.0</v>
      </c>
    </row>
    <row r="758">
      <c r="A758" s="6" t="s">
        <v>865</v>
      </c>
      <c r="B758" s="6" t="s">
        <v>11578</v>
      </c>
      <c r="C758" s="6" t="s">
        <v>11591</v>
      </c>
      <c r="D758" s="6" t="s">
        <v>132</v>
      </c>
      <c r="E758" s="6" t="s">
        <v>861</v>
      </c>
      <c r="G758" s="6" t="s">
        <v>2939</v>
      </c>
      <c r="H758" s="6">
        <v>0.0</v>
      </c>
      <c r="I758" s="6">
        <v>0.0</v>
      </c>
      <c r="J758" s="6">
        <v>0.0</v>
      </c>
      <c r="K758" s="6">
        <v>0.0</v>
      </c>
      <c r="L758" s="6">
        <v>0.0</v>
      </c>
      <c r="M758" s="6">
        <v>0.0</v>
      </c>
      <c r="N758" s="669">
        <v>564000.0</v>
      </c>
      <c r="O758" s="6">
        <v>0.0</v>
      </c>
      <c r="P758" s="6">
        <v>0.0</v>
      </c>
      <c r="Q758" s="6">
        <v>0.0</v>
      </c>
      <c r="R758" s="6">
        <v>0.0</v>
      </c>
      <c r="S758" s="6">
        <v>0.0</v>
      </c>
      <c r="T758" s="6">
        <v>0.0</v>
      </c>
      <c r="U758" s="6">
        <v>0.0</v>
      </c>
    </row>
    <row r="759">
      <c r="A759" s="6" t="s">
        <v>866</v>
      </c>
      <c r="B759" s="6" t="s">
        <v>11578</v>
      </c>
      <c r="C759" s="6" t="s">
        <v>11591</v>
      </c>
      <c r="D759" s="6" t="s">
        <v>134</v>
      </c>
      <c r="E759" s="6" t="s">
        <v>861</v>
      </c>
      <c r="G759" s="6" t="s">
        <v>2939</v>
      </c>
      <c r="H759" s="6">
        <v>0.0</v>
      </c>
      <c r="I759" s="6">
        <v>0.0</v>
      </c>
      <c r="J759" s="6">
        <v>0.0</v>
      </c>
      <c r="K759" s="6">
        <v>0.0</v>
      </c>
      <c r="L759" s="6">
        <v>0.0</v>
      </c>
      <c r="M759" s="6">
        <v>0.0</v>
      </c>
      <c r="N759" s="669">
        <v>564000.0</v>
      </c>
      <c r="O759" s="6">
        <v>0.0</v>
      </c>
      <c r="P759" s="6">
        <v>0.0</v>
      </c>
      <c r="Q759" s="6">
        <v>0.0</v>
      </c>
      <c r="R759" s="6">
        <v>0.0</v>
      </c>
      <c r="S759" s="6">
        <v>0.0</v>
      </c>
      <c r="T759" s="6">
        <v>0.0</v>
      </c>
      <c r="U759" s="6">
        <v>0.0</v>
      </c>
    </row>
    <row r="760">
      <c r="A760" s="6" t="s">
        <v>867</v>
      </c>
      <c r="B760" s="6" t="s">
        <v>11576</v>
      </c>
      <c r="C760" s="6" t="s">
        <v>11570</v>
      </c>
      <c r="D760" s="6" t="s">
        <v>22</v>
      </c>
      <c r="E760" s="6" t="s">
        <v>868</v>
      </c>
      <c r="F760" s="6" t="s">
        <v>125</v>
      </c>
      <c r="G760" s="6" t="s">
        <v>2939</v>
      </c>
      <c r="H760" s="6">
        <v>0.0</v>
      </c>
      <c r="I760" s="6">
        <v>0.0</v>
      </c>
      <c r="J760" s="6">
        <v>7.0</v>
      </c>
      <c r="K760" s="6">
        <v>1.0</v>
      </c>
      <c r="L760" s="6">
        <v>0.0</v>
      </c>
      <c r="M760" s="6">
        <v>0.0</v>
      </c>
      <c r="N760" s="669">
        <v>2857000.0</v>
      </c>
      <c r="O760" s="6">
        <v>0.0</v>
      </c>
      <c r="P760" s="6">
        <v>0.0</v>
      </c>
      <c r="Q760" s="6">
        <v>0.0</v>
      </c>
      <c r="R760" s="6">
        <v>0.0</v>
      </c>
      <c r="S760" s="6">
        <v>0.0</v>
      </c>
      <c r="T760" s="6">
        <v>0.0</v>
      </c>
      <c r="U760" s="6">
        <v>5.0</v>
      </c>
    </row>
    <row r="761">
      <c r="A761" s="6" t="s">
        <v>869</v>
      </c>
      <c r="B761" s="6" t="s">
        <v>11578</v>
      </c>
      <c r="C761" s="6" t="s">
        <v>11570</v>
      </c>
      <c r="D761" s="6" t="s">
        <v>22</v>
      </c>
      <c r="E761" s="6" t="s">
        <v>868</v>
      </c>
      <c r="F761" s="6" t="s">
        <v>75</v>
      </c>
      <c r="G761" s="6" t="s">
        <v>2939</v>
      </c>
      <c r="H761" s="6">
        <v>1.0</v>
      </c>
      <c r="I761" s="6">
        <v>0.0</v>
      </c>
      <c r="J761" s="6">
        <v>0.0</v>
      </c>
      <c r="K761" s="6">
        <v>0.0</v>
      </c>
      <c r="L761" s="6">
        <v>0.0</v>
      </c>
      <c r="M761" s="6">
        <v>0.0</v>
      </c>
      <c r="N761" s="669">
        <v>3695000.0</v>
      </c>
      <c r="O761" s="6">
        <v>0.0</v>
      </c>
      <c r="P761" s="6">
        <v>0.0</v>
      </c>
      <c r="Q761" s="6">
        <v>0.0</v>
      </c>
      <c r="R761" s="6">
        <v>0.0</v>
      </c>
      <c r="S761" s="6">
        <v>5.0</v>
      </c>
      <c r="T761" s="6">
        <v>0.0</v>
      </c>
      <c r="U761" s="6">
        <v>0.0</v>
      </c>
    </row>
    <row r="762">
      <c r="A762" s="6" t="s">
        <v>870</v>
      </c>
      <c r="B762" s="6" t="s">
        <v>11576</v>
      </c>
      <c r="C762" s="6" t="s">
        <v>11579</v>
      </c>
      <c r="D762" s="6" t="s">
        <v>41</v>
      </c>
      <c r="E762" s="6" t="s">
        <v>868</v>
      </c>
      <c r="F762" s="6" t="s">
        <v>2193</v>
      </c>
      <c r="G762" s="6" t="s">
        <v>2939</v>
      </c>
      <c r="H762" s="6">
        <v>0.0</v>
      </c>
      <c r="I762" s="6">
        <v>0.0</v>
      </c>
      <c r="J762" s="6">
        <v>0.0</v>
      </c>
      <c r="K762" s="6">
        <v>0.0</v>
      </c>
      <c r="L762" s="6">
        <v>0.0</v>
      </c>
      <c r="M762" s="6">
        <v>0.0</v>
      </c>
      <c r="N762" s="669">
        <v>2410000.0</v>
      </c>
      <c r="O762" s="6">
        <v>0.0</v>
      </c>
      <c r="P762" s="6">
        <v>0.0</v>
      </c>
      <c r="Q762" s="6">
        <v>0.0</v>
      </c>
      <c r="R762" s="6">
        <v>0.0</v>
      </c>
      <c r="S762" s="6">
        <v>5.0</v>
      </c>
      <c r="T762" s="6">
        <v>0.0</v>
      </c>
      <c r="U762" s="6">
        <v>0.0</v>
      </c>
    </row>
    <row r="763">
      <c r="A763" s="6" t="s">
        <v>871</v>
      </c>
      <c r="B763" s="6" t="s">
        <v>11578</v>
      </c>
      <c r="C763" s="6" t="s">
        <v>11591</v>
      </c>
      <c r="D763" s="6" t="s">
        <v>128</v>
      </c>
      <c r="E763" s="6" t="s">
        <v>868</v>
      </c>
      <c r="G763" s="6" t="s">
        <v>2939</v>
      </c>
      <c r="H763" s="6">
        <v>6.0</v>
      </c>
      <c r="I763" s="6">
        <v>0.0</v>
      </c>
      <c r="J763" s="6">
        <v>0.0</v>
      </c>
      <c r="K763" s="6">
        <v>0.0</v>
      </c>
      <c r="L763" s="6">
        <v>0.0</v>
      </c>
      <c r="M763" s="6">
        <v>0.0</v>
      </c>
      <c r="N763" s="669">
        <v>644000.0</v>
      </c>
      <c r="O763" s="6">
        <v>0.0</v>
      </c>
      <c r="P763" s="6">
        <v>0.0</v>
      </c>
      <c r="Q763" s="6">
        <v>0.0</v>
      </c>
      <c r="R763" s="6">
        <v>0.0</v>
      </c>
      <c r="S763" s="6">
        <v>0.0</v>
      </c>
      <c r="T763" s="6">
        <v>0.0</v>
      </c>
      <c r="U763" s="6">
        <v>0.0</v>
      </c>
    </row>
    <row r="764">
      <c r="A764" s="6" t="s">
        <v>872</v>
      </c>
      <c r="B764" s="6" t="s">
        <v>11578</v>
      </c>
      <c r="C764" s="6" t="s">
        <v>11591</v>
      </c>
      <c r="D764" s="6" t="s">
        <v>130</v>
      </c>
      <c r="E764" s="6" t="s">
        <v>868</v>
      </c>
      <c r="G764" s="6" t="s">
        <v>2939</v>
      </c>
      <c r="H764" s="6">
        <v>1.0</v>
      </c>
      <c r="I764" s="6">
        <v>0.0</v>
      </c>
      <c r="J764" s="6">
        <v>0.0</v>
      </c>
      <c r="K764" s="6">
        <v>0.0</v>
      </c>
      <c r="L764" s="6">
        <v>0.0</v>
      </c>
      <c r="M764" s="6">
        <v>0.0</v>
      </c>
      <c r="N764" s="669">
        <v>644000.0</v>
      </c>
      <c r="O764" s="6">
        <v>0.0</v>
      </c>
      <c r="P764" s="6">
        <v>0.0</v>
      </c>
      <c r="Q764" s="6">
        <v>0.0</v>
      </c>
      <c r="R764" s="6">
        <v>0.0</v>
      </c>
      <c r="S764" s="6">
        <v>0.0</v>
      </c>
      <c r="T764" s="6">
        <v>0.0</v>
      </c>
      <c r="U764" s="6">
        <v>0.0</v>
      </c>
    </row>
    <row r="765">
      <c r="A765" s="6" t="s">
        <v>873</v>
      </c>
      <c r="B765" s="6" t="s">
        <v>11578</v>
      </c>
      <c r="C765" s="6" t="s">
        <v>11591</v>
      </c>
      <c r="D765" s="6" t="s">
        <v>132</v>
      </c>
      <c r="E765" s="6" t="s">
        <v>868</v>
      </c>
      <c r="G765" s="6" t="s">
        <v>2939</v>
      </c>
      <c r="H765" s="6" t="s">
        <v>11590</v>
      </c>
      <c r="I765" s="6">
        <v>0.0</v>
      </c>
      <c r="J765" s="6">
        <v>0.0</v>
      </c>
      <c r="K765" s="6">
        <v>0.0</v>
      </c>
      <c r="L765" s="6">
        <v>0.0</v>
      </c>
      <c r="M765" s="6">
        <v>0.0</v>
      </c>
      <c r="N765" s="669">
        <v>564000.0</v>
      </c>
      <c r="O765" s="6">
        <v>0.0</v>
      </c>
      <c r="P765" s="6">
        <v>0.0</v>
      </c>
      <c r="Q765" s="6">
        <v>0.0</v>
      </c>
      <c r="R765" s="6">
        <v>0.0</v>
      </c>
      <c r="S765" s="6">
        <v>0.0</v>
      </c>
      <c r="T765" s="6">
        <v>0.0</v>
      </c>
      <c r="U765" s="6">
        <v>0.0</v>
      </c>
    </row>
    <row r="766">
      <c r="A766" s="6" t="s">
        <v>874</v>
      </c>
      <c r="B766" s="6" t="s">
        <v>11578</v>
      </c>
      <c r="C766" s="6" t="s">
        <v>11591</v>
      </c>
      <c r="D766" s="6" t="s">
        <v>134</v>
      </c>
      <c r="E766" s="6" t="s">
        <v>868</v>
      </c>
      <c r="G766" s="6" t="s">
        <v>2939</v>
      </c>
      <c r="H766" s="6" t="s">
        <v>11590</v>
      </c>
      <c r="I766" s="6">
        <v>0.0</v>
      </c>
      <c r="J766" s="6">
        <v>0.0</v>
      </c>
      <c r="K766" s="6">
        <v>0.0</v>
      </c>
      <c r="L766" s="6">
        <v>0.0</v>
      </c>
      <c r="M766" s="6">
        <v>0.0</v>
      </c>
      <c r="N766" s="669">
        <v>564000.0</v>
      </c>
      <c r="O766" s="6">
        <v>0.0</v>
      </c>
      <c r="P766" s="6">
        <v>0.0</v>
      </c>
      <c r="Q766" s="6">
        <v>0.0</v>
      </c>
      <c r="R766" s="6">
        <v>0.0</v>
      </c>
      <c r="S766" s="6">
        <v>0.0</v>
      </c>
      <c r="T766" s="6">
        <v>0.0</v>
      </c>
      <c r="U766" s="6">
        <v>0.0</v>
      </c>
    </row>
    <row r="767">
      <c r="A767" s="6" t="s">
        <v>875</v>
      </c>
      <c r="B767" s="6" t="s">
        <v>11576</v>
      </c>
      <c r="C767" s="6" t="s">
        <v>11570</v>
      </c>
      <c r="D767" s="6" t="s">
        <v>22</v>
      </c>
      <c r="E767" s="6" t="s">
        <v>876</v>
      </c>
      <c r="F767" s="6" t="s">
        <v>125</v>
      </c>
      <c r="G767" s="6" t="s">
        <v>2939</v>
      </c>
      <c r="H767" s="6">
        <v>0.0</v>
      </c>
      <c r="I767" s="6">
        <v>0.0</v>
      </c>
      <c r="J767" s="6">
        <v>6.0</v>
      </c>
      <c r="K767" s="6">
        <v>0.0</v>
      </c>
      <c r="L767" s="6">
        <v>0.0</v>
      </c>
      <c r="M767" s="6">
        <v>0.0</v>
      </c>
      <c r="N767" s="669">
        <v>1293000.0</v>
      </c>
      <c r="O767" s="6">
        <v>0.0</v>
      </c>
      <c r="P767" s="6">
        <v>0.0</v>
      </c>
      <c r="Q767" s="6">
        <v>0.0</v>
      </c>
      <c r="R767" s="6">
        <v>0.0</v>
      </c>
      <c r="S767" s="6" t="s">
        <v>11590</v>
      </c>
      <c r="T767" s="6">
        <v>8.0</v>
      </c>
      <c r="U767" s="6">
        <v>0.0</v>
      </c>
    </row>
    <row r="768">
      <c r="A768" s="6" t="s">
        <v>877</v>
      </c>
      <c r="B768" s="6" t="s">
        <v>11576</v>
      </c>
      <c r="C768" s="6" t="s">
        <v>11579</v>
      </c>
      <c r="D768" s="6" t="s">
        <v>41</v>
      </c>
      <c r="E768" s="6" t="s">
        <v>876</v>
      </c>
      <c r="F768" s="6" t="s">
        <v>2193</v>
      </c>
      <c r="G768" s="6" t="s">
        <v>2939</v>
      </c>
      <c r="H768" s="6">
        <v>0.0</v>
      </c>
      <c r="I768" s="6">
        <v>0.0</v>
      </c>
      <c r="J768" s="6" t="s">
        <v>11590</v>
      </c>
      <c r="K768" s="6">
        <v>7.0</v>
      </c>
      <c r="L768" s="6">
        <v>0.0</v>
      </c>
      <c r="M768" s="6">
        <v>0.0</v>
      </c>
      <c r="N768" s="669">
        <v>1640000.0</v>
      </c>
      <c r="O768" s="6">
        <v>0.0</v>
      </c>
      <c r="P768" s="6">
        <v>0.0</v>
      </c>
      <c r="Q768" s="6">
        <v>0.0</v>
      </c>
      <c r="R768" s="6">
        <v>0.0</v>
      </c>
      <c r="S768" s="6">
        <v>0.0</v>
      </c>
      <c r="T768" s="6">
        <v>0.0</v>
      </c>
      <c r="U768" s="6">
        <v>0.0</v>
      </c>
    </row>
    <row r="769">
      <c r="A769" s="6" t="s">
        <v>878</v>
      </c>
      <c r="B769" s="6" t="s">
        <v>11576</v>
      </c>
      <c r="C769" s="6" t="s">
        <v>11570</v>
      </c>
      <c r="D769" s="6" t="s">
        <v>22</v>
      </c>
      <c r="E769" s="6" t="s">
        <v>1844</v>
      </c>
      <c r="F769" s="6" t="s">
        <v>125</v>
      </c>
      <c r="G769" s="6" t="s">
        <v>2939</v>
      </c>
      <c r="H769" s="6">
        <v>0.0</v>
      </c>
      <c r="I769" s="6">
        <v>0.0</v>
      </c>
      <c r="J769" s="6" t="s">
        <v>11590</v>
      </c>
      <c r="K769" s="6">
        <v>3.0</v>
      </c>
      <c r="L769" s="6">
        <v>0.0</v>
      </c>
      <c r="M769" s="6">
        <v>0.0</v>
      </c>
      <c r="N769" s="669">
        <v>1788000.0</v>
      </c>
      <c r="O769" s="6">
        <v>0.0</v>
      </c>
      <c r="P769" s="6">
        <v>0.0</v>
      </c>
      <c r="Q769" s="6">
        <v>0.0</v>
      </c>
      <c r="R769" s="6">
        <v>0.0</v>
      </c>
      <c r="S769" s="6" t="s">
        <v>11590</v>
      </c>
      <c r="T769" s="6">
        <v>10.0</v>
      </c>
      <c r="U769" s="6">
        <v>0.0</v>
      </c>
    </row>
    <row r="770">
      <c r="A770" s="6" t="s">
        <v>880</v>
      </c>
      <c r="B770" s="6" t="s">
        <v>11576</v>
      </c>
      <c r="C770" s="6" t="s">
        <v>11579</v>
      </c>
      <c r="D770" s="6" t="s">
        <v>41</v>
      </c>
      <c r="E770" s="6" t="s">
        <v>1844</v>
      </c>
      <c r="F770" s="6" t="s">
        <v>1377</v>
      </c>
      <c r="G770" s="6" t="s">
        <v>2939</v>
      </c>
      <c r="H770" s="6">
        <v>0.0</v>
      </c>
      <c r="I770" s="6">
        <v>0.0</v>
      </c>
      <c r="J770" s="6">
        <v>5.0</v>
      </c>
      <c r="K770" s="6">
        <v>2.0</v>
      </c>
      <c r="L770" s="6">
        <v>0.0</v>
      </c>
      <c r="M770" s="6">
        <v>0.0</v>
      </c>
      <c r="N770" s="669">
        <v>1091000.0</v>
      </c>
      <c r="O770" s="6">
        <v>0.0</v>
      </c>
      <c r="P770" s="6">
        <v>0.0</v>
      </c>
      <c r="Q770" s="6">
        <v>0.0</v>
      </c>
      <c r="R770" s="6">
        <v>0.0</v>
      </c>
      <c r="S770" s="6">
        <v>10.0</v>
      </c>
      <c r="T770" s="6">
        <v>0.0</v>
      </c>
      <c r="U770" s="6">
        <v>0.0</v>
      </c>
    </row>
    <row r="771">
      <c r="A771" s="6" t="s">
        <v>1686</v>
      </c>
      <c r="B771" s="6" t="s">
        <v>11569</v>
      </c>
      <c r="C771" s="6" t="s">
        <v>11570</v>
      </c>
      <c r="D771" s="6" t="s">
        <v>22</v>
      </c>
      <c r="E771" s="6" t="s">
        <v>11907</v>
      </c>
      <c r="F771" s="6" t="s">
        <v>97</v>
      </c>
      <c r="G771" s="6" t="s">
        <v>2939</v>
      </c>
      <c r="H771" s="6">
        <v>0.0</v>
      </c>
      <c r="I771" s="6">
        <v>0.0</v>
      </c>
      <c r="J771" s="6">
        <v>5.0</v>
      </c>
      <c r="K771" s="6">
        <v>0.0</v>
      </c>
      <c r="L771" s="6">
        <v>0.0</v>
      </c>
      <c r="M771" s="6">
        <v>0.0</v>
      </c>
      <c r="N771" s="669">
        <v>1848000.0</v>
      </c>
      <c r="O771" s="6">
        <v>0.0</v>
      </c>
      <c r="P771" s="6">
        <v>0.0</v>
      </c>
      <c r="Q771" s="6">
        <v>0.0</v>
      </c>
      <c r="R771" s="6">
        <v>0.0</v>
      </c>
      <c r="S771" s="6">
        <v>0.0</v>
      </c>
      <c r="T771" s="6">
        <v>0.0</v>
      </c>
      <c r="U771" s="6">
        <v>0.0</v>
      </c>
    </row>
    <row r="772">
      <c r="A772" s="6" t="s">
        <v>1688</v>
      </c>
      <c r="B772" s="6" t="s">
        <v>11569</v>
      </c>
      <c r="C772" s="6" t="s">
        <v>11570</v>
      </c>
      <c r="D772" s="6" t="s">
        <v>22</v>
      </c>
      <c r="E772" s="6" t="s">
        <v>11908</v>
      </c>
      <c r="F772" s="6" t="s">
        <v>125</v>
      </c>
      <c r="G772" s="6" t="s">
        <v>2939</v>
      </c>
      <c r="H772" s="6">
        <v>0.0</v>
      </c>
      <c r="I772" s="6">
        <v>0.0</v>
      </c>
      <c r="J772" s="6">
        <v>4.0</v>
      </c>
      <c r="K772" s="6">
        <v>0.0</v>
      </c>
      <c r="L772" s="6">
        <v>0.0</v>
      </c>
      <c r="M772" s="6">
        <v>0.0</v>
      </c>
      <c r="N772" s="669">
        <v>1848000.0</v>
      </c>
      <c r="O772" s="6">
        <v>0.0</v>
      </c>
      <c r="P772" s="6">
        <v>0.0</v>
      </c>
      <c r="Q772" s="6">
        <v>0.0</v>
      </c>
      <c r="R772" s="6">
        <v>0.0</v>
      </c>
      <c r="S772" s="6">
        <v>0.0</v>
      </c>
      <c r="T772" s="6">
        <v>0.0</v>
      </c>
      <c r="U772" s="6">
        <v>0.0</v>
      </c>
    </row>
    <row r="773">
      <c r="A773" s="6" t="s">
        <v>11909</v>
      </c>
      <c r="B773" s="6" t="s">
        <v>11569</v>
      </c>
      <c r="C773" s="6" t="s">
        <v>11570</v>
      </c>
      <c r="D773" s="6" t="s">
        <v>22</v>
      </c>
      <c r="E773" s="6" t="s">
        <v>1691</v>
      </c>
      <c r="F773" s="6" t="s">
        <v>23</v>
      </c>
      <c r="G773" s="6" t="s">
        <v>2939</v>
      </c>
      <c r="H773" s="6">
        <v>0.0</v>
      </c>
      <c r="I773" s="6">
        <v>0.0</v>
      </c>
      <c r="J773" s="6">
        <v>4.0</v>
      </c>
      <c r="K773" s="6">
        <v>0.0</v>
      </c>
      <c r="L773" s="6">
        <v>0.0</v>
      </c>
      <c r="M773" s="6">
        <v>0.0</v>
      </c>
      <c r="N773" s="669">
        <v>2400000.0</v>
      </c>
      <c r="O773" s="6">
        <v>0.0</v>
      </c>
      <c r="P773" s="6">
        <v>0.0</v>
      </c>
      <c r="Q773" s="6">
        <v>0.0</v>
      </c>
      <c r="R773" s="6">
        <v>0.0</v>
      </c>
      <c r="S773" s="6">
        <v>0.0</v>
      </c>
      <c r="T773" s="6">
        <v>0.0</v>
      </c>
      <c r="U773" s="6">
        <v>0.0</v>
      </c>
    </row>
    <row r="774">
      <c r="A774" s="6" t="s">
        <v>1690</v>
      </c>
      <c r="B774" s="6" t="s">
        <v>11569</v>
      </c>
      <c r="C774" s="6" t="s">
        <v>11570</v>
      </c>
      <c r="D774" s="6" t="s">
        <v>22</v>
      </c>
      <c r="E774" s="6" t="s">
        <v>1691</v>
      </c>
      <c r="F774" s="6" t="s">
        <v>125</v>
      </c>
      <c r="G774" s="6" t="s">
        <v>2939</v>
      </c>
      <c r="H774" s="6">
        <v>0.0</v>
      </c>
      <c r="I774" s="6">
        <v>0.0</v>
      </c>
      <c r="J774" s="6">
        <v>4.0</v>
      </c>
      <c r="K774" s="6">
        <v>0.0</v>
      </c>
      <c r="L774" s="6">
        <v>0.0</v>
      </c>
      <c r="M774" s="6">
        <v>0.0</v>
      </c>
      <c r="N774" s="669">
        <v>1956000.0</v>
      </c>
      <c r="O774" s="6">
        <v>0.0</v>
      </c>
      <c r="P774" s="6">
        <v>0.0</v>
      </c>
      <c r="Q774" s="6">
        <v>0.0</v>
      </c>
      <c r="R774" s="6">
        <v>0.0</v>
      </c>
      <c r="S774" s="6">
        <v>0.0</v>
      </c>
      <c r="T774" s="6">
        <v>0.0</v>
      </c>
      <c r="U774" s="6">
        <v>0.0</v>
      </c>
    </row>
    <row r="775">
      <c r="A775" s="6" t="s">
        <v>881</v>
      </c>
      <c r="B775" s="6" t="s">
        <v>11630</v>
      </c>
      <c r="C775" s="6" t="s">
        <v>11570</v>
      </c>
      <c r="D775" s="6" t="s">
        <v>22</v>
      </c>
      <c r="E775" s="6" t="s">
        <v>882</v>
      </c>
      <c r="F775" s="6" t="s">
        <v>125</v>
      </c>
      <c r="G775" s="6" t="s">
        <v>2939</v>
      </c>
      <c r="H775" s="6">
        <v>0.0</v>
      </c>
      <c r="I775" s="6">
        <v>0.0</v>
      </c>
      <c r="J775" s="6" t="s">
        <v>11590</v>
      </c>
      <c r="K775" s="6" t="s">
        <v>11590</v>
      </c>
      <c r="L775" s="6" t="s">
        <v>11590</v>
      </c>
      <c r="M775" s="6" t="s">
        <v>11590</v>
      </c>
      <c r="N775" s="669">
        <v>1180000.0</v>
      </c>
      <c r="O775" s="6">
        <v>0.0</v>
      </c>
      <c r="P775" s="6">
        <v>10.0</v>
      </c>
      <c r="Q775" s="6">
        <v>0.0</v>
      </c>
      <c r="R775" s="6">
        <v>0.0</v>
      </c>
      <c r="S775" s="6">
        <v>0.0</v>
      </c>
      <c r="T775" s="6">
        <v>0.0</v>
      </c>
      <c r="U775" s="6">
        <v>0.0</v>
      </c>
    </row>
    <row r="776">
      <c r="A776" s="6" t="s">
        <v>883</v>
      </c>
      <c r="B776" s="6" t="s">
        <v>11576</v>
      </c>
      <c r="C776" s="6" t="s">
        <v>11579</v>
      </c>
      <c r="D776" s="6" t="s">
        <v>41</v>
      </c>
      <c r="E776" s="6" t="s">
        <v>882</v>
      </c>
      <c r="F776" s="6" t="s">
        <v>1377</v>
      </c>
      <c r="G776" s="6" t="s">
        <v>2939</v>
      </c>
      <c r="H776" s="6">
        <v>0.0</v>
      </c>
      <c r="I776" s="6">
        <v>0.0</v>
      </c>
      <c r="J776" s="6" t="s">
        <v>11590</v>
      </c>
      <c r="K776" s="6">
        <v>0.0</v>
      </c>
      <c r="L776" s="6">
        <v>0.0</v>
      </c>
      <c r="M776" s="6">
        <v>0.0</v>
      </c>
      <c r="N776" s="669">
        <v>1405000.0</v>
      </c>
      <c r="O776" s="6">
        <v>0.0</v>
      </c>
      <c r="P776" s="6">
        <v>0.0</v>
      </c>
      <c r="Q776" s="6">
        <v>0.0</v>
      </c>
      <c r="R776" s="6">
        <v>0.0</v>
      </c>
      <c r="S776" s="6" t="s">
        <v>11590</v>
      </c>
      <c r="T776" s="6" t="s">
        <v>11590</v>
      </c>
      <c r="U776" s="6">
        <v>0.0</v>
      </c>
    </row>
    <row r="777">
      <c r="A777" s="6" t="s">
        <v>1492</v>
      </c>
      <c r="B777" s="6" t="s">
        <v>11569</v>
      </c>
      <c r="C777" s="6" t="s">
        <v>11591</v>
      </c>
      <c r="D777" s="6" t="s">
        <v>202</v>
      </c>
      <c r="E777" s="6" t="s">
        <v>882</v>
      </c>
      <c r="G777" s="6" t="s">
        <v>2939</v>
      </c>
      <c r="H777" s="6">
        <v>0.0</v>
      </c>
      <c r="I777" s="6">
        <v>0.0</v>
      </c>
      <c r="J777" s="6">
        <v>5.0</v>
      </c>
      <c r="K777" s="6">
        <v>0.0</v>
      </c>
      <c r="L777" s="6">
        <v>0.0</v>
      </c>
      <c r="M777" s="6">
        <v>0.0</v>
      </c>
      <c r="N777" s="669">
        <v>589000.0</v>
      </c>
      <c r="O777" s="6">
        <v>0.0</v>
      </c>
      <c r="P777" s="6">
        <v>0.0</v>
      </c>
      <c r="Q777" s="6">
        <v>0.0</v>
      </c>
      <c r="R777" s="6">
        <v>0.0</v>
      </c>
      <c r="S777" s="6">
        <v>10.0</v>
      </c>
      <c r="T777" s="6">
        <v>0.0</v>
      </c>
      <c r="U777" s="6">
        <v>0.0</v>
      </c>
    </row>
    <row r="778">
      <c r="A778" s="6" t="s">
        <v>1490</v>
      </c>
      <c r="B778" s="6" t="s">
        <v>11569</v>
      </c>
      <c r="C778" s="6" t="s">
        <v>11591</v>
      </c>
      <c r="D778" s="6" t="s">
        <v>236</v>
      </c>
      <c r="E778" s="6" t="s">
        <v>882</v>
      </c>
      <c r="G778" s="6" t="s">
        <v>2939</v>
      </c>
      <c r="H778" s="6">
        <v>0.0</v>
      </c>
      <c r="I778" s="6">
        <v>0.0</v>
      </c>
      <c r="J778" s="6">
        <v>1.0</v>
      </c>
      <c r="K778" s="6">
        <v>0.0</v>
      </c>
      <c r="L778" s="6">
        <v>0.0</v>
      </c>
      <c r="M778" s="6">
        <v>0.0</v>
      </c>
      <c r="N778" s="669">
        <v>589000.0</v>
      </c>
      <c r="O778" s="6">
        <v>0.0</v>
      </c>
      <c r="P778" s="6">
        <v>0.0</v>
      </c>
      <c r="Q778" s="6">
        <v>0.0</v>
      </c>
      <c r="R778" s="6">
        <v>0.0</v>
      </c>
      <c r="S778" s="6" t="s">
        <v>11590</v>
      </c>
      <c r="T778" s="6">
        <v>0.0</v>
      </c>
      <c r="U778" s="6">
        <v>0.0</v>
      </c>
    </row>
    <row r="779">
      <c r="A779" s="6" t="s">
        <v>884</v>
      </c>
      <c r="B779" s="6" t="s">
        <v>11630</v>
      </c>
      <c r="C779" s="6" t="s">
        <v>11570</v>
      </c>
      <c r="D779" s="6" t="s">
        <v>22</v>
      </c>
      <c r="E779" s="6" t="s">
        <v>830</v>
      </c>
      <c r="F779" s="6" t="s">
        <v>125</v>
      </c>
      <c r="G779" s="6" t="s">
        <v>2939</v>
      </c>
      <c r="H779" s="6">
        <v>0.0</v>
      </c>
      <c r="I779" s="6">
        <v>0.0</v>
      </c>
      <c r="J779" s="6">
        <v>0.0</v>
      </c>
      <c r="K779" s="6" t="s">
        <v>11590</v>
      </c>
      <c r="L779" s="6" t="s">
        <v>11590</v>
      </c>
      <c r="M779" s="6" t="s">
        <v>11590</v>
      </c>
      <c r="N779" s="669">
        <v>1180000.0</v>
      </c>
      <c r="O779" s="6">
        <v>0.0</v>
      </c>
      <c r="P779" s="6">
        <v>0.0</v>
      </c>
      <c r="Q779" s="6">
        <v>0.0</v>
      </c>
      <c r="R779" s="6">
        <v>0.0</v>
      </c>
      <c r="S779" s="6">
        <v>0.0</v>
      </c>
      <c r="T779" s="6">
        <v>0.0</v>
      </c>
      <c r="U779" s="6">
        <v>0.0</v>
      </c>
    </row>
    <row r="780">
      <c r="A780" s="6" t="s">
        <v>885</v>
      </c>
      <c r="B780" s="6" t="s">
        <v>11576</v>
      </c>
      <c r="C780" s="6" t="s">
        <v>11579</v>
      </c>
      <c r="D780" s="6" t="s">
        <v>41</v>
      </c>
      <c r="E780" s="6" t="s">
        <v>830</v>
      </c>
      <c r="F780" s="6" t="s">
        <v>1377</v>
      </c>
      <c r="G780" s="6" t="s">
        <v>2939</v>
      </c>
      <c r="H780" s="6">
        <v>0.0</v>
      </c>
      <c r="I780" s="6">
        <v>0.0</v>
      </c>
      <c r="J780" s="6" t="s">
        <v>11590</v>
      </c>
      <c r="K780" s="6">
        <v>1.0</v>
      </c>
      <c r="L780" s="6">
        <v>0.0</v>
      </c>
      <c r="M780" s="6">
        <v>0.0</v>
      </c>
      <c r="N780" s="669">
        <v>1236000.0</v>
      </c>
      <c r="O780" s="6">
        <v>0.0</v>
      </c>
      <c r="P780" s="6">
        <v>0.0</v>
      </c>
      <c r="Q780" s="6">
        <v>0.0</v>
      </c>
      <c r="R780" s="6">
        <v>0.0</v>
      </c>
      <c r="S780" s="6" t="s">
        <v>11590</v>
      </c>
      <c r="T780" s="6">
        <v>10.0</v>
      </c>
      <c r="U780" s="6">
        <v>0.0</v>
      </c>
    </row>
    <row r="781">
      <c r="A781" s="6" t="s">
        <v>2369</v>
      </c>
      <c r="B781" s="6" t="s">
        <v>11569</v>
      </c>
      <c r="C781" s="6" t="s">
        <v>11591</v>
      </c>
      <c r="D781" s="6" t="s">
        <v>134</v>
      </c>
      <c r="E781" s="6" t="s">
        <v>830</v>
      </c>
      <c r="G781" s="6" t="s">
        <v>2939</v>
      </c>
      <c r="H781" s="6">
        <v>0.0</v>
      </c>
      <c r="I781" s="6">
        <v>0.0</v>
      </c>
      <c r="J781" s="6">
        <v>7.0</v>
      </c>
      <c r="K781" s="6">
        <v>0.0</v>
      </c>
      <c r="L781" s="6">
        <v>0.0</v>
      </c>
      <c r="M781" s="6">
        <v>0.0</v>
      </c>
      <c r="N781" s="669">
        <v>550000.0</v>
      </c>
      <c r="O781" s="6">
        <v>0.0</v>
      </c>
      <c r="P781" s="6">
        <v>0.0</v>
      </c>
      <c r="Q781" s="6">
        <v>0.0</v>
      </c>
      <c r="R781" s="6">
        <v>0.0</v>
      </c>
      <c r="S781" s="6">
        <v>0.0</v>
      </c>
      <c r="T781" s="6">
        <v>0.0</v>
      </c>
      <c r="U781" s="6">
        <v>0.0</v>
      </c>
    </row>
    <row r="782">
      <c r="A782" s="6" t="s">
        <v>2368</v>
      </c>
      <c r="B782" s="6" t="s">
        <v>11569</v>
      </c>
      <c r="C782" s="6" t="s">
        <v>11591</v>
      </c>
      <c r="D782" s="6" t="s">
        <v>132</v>
      </c>
      <c r="E782" s="6" t="s">
        <v>830</v>
      </c>
      <c r="G782" s="6" t="s">
        <v>2939</v>
      </c>
      <c r="H782" s="6">
        <v>0.0</v>
      </c>
      <c r="I782" s="6">
        <v>0.0</v>
      </c>
      <c r="J782" s="6">
        <v>8.0</v>
      </c>
      <c r="K782" s="6">
        <v>0.0</v>
      </c>
      <c r="L782" s="6">
        <v>0.0</v>
      </c>
      <c r="M782" s="6">
        <v>0.0</v>
      </c>
      <c r="N782" s="669">
        <v>550000.0</v>
      </c>
      <c r="O782" s="6">
        <v>0.0</v>
      </c>
      <c r="P782" s="6">
        <v>0.0</v>
      </c>
      <c r="Q782" s="6">
        <v>0.0</v>
      </c>
      <c r="R782" s="6">
        <v>0.0</v>
      </c>
      <c r="S782" s="6">
        <v>0.0</v>
      </c>
      <c r="T782" s="6">
        <v>0.0</v>
      </c>
      <c r="U782" s="6">
        <v>0.0</v>
      </c>
    </row>
    <row r="783">
      <c r="A783" s="6" t="s">
        <v>1696</v>
      </c>
      <c r="B783" s="6" t="s">
        <v>11569</v>
      </c>
      <c r="C783" s="6" t="s">
        <v>11570</v>
      </c>
      <c r="D783" s="6" t="s">
        <v>22</v>
      </c>
      <c r="E783" s="6" t="s">
        <v>11910</v>
      </c>
      <c r="F783" s="6" t="s">
        <v>75</v>
      </c>
      <c r="G783" s="6" t="s">
        <v>2939</v>
      </c>
      <c r="H783" s="6">
        <v>0.0</v>
      </c>
      <c r="I783" s="6">
        <v>0.0</v>
      </c>
      <c r="J783" s="6">
        <v>0.0</v>
      </c>
      <c r="K783" s="6">
        <v>0.0</v>
      </c>
      <c r="L783" s="6">
        <v>0.0</v>
      </c>
      <c r="M783" s="6">
        <v>0.0</v>
      </c>
      <c r="N783" s="669">
        <v>2000000.0</v>
      </c>
      <c r="O783" s="6">
        <v>0.0</v>
      </c>
      <c r="P783" s="6">
        <v>0.0</v>
      </c>
      <c r="Q783" s="6">
        <v>0.0</v>
      </c>
      <c r="R783" s="6">
        <v>0.0</v>
      </c>
      <c r="S783" s="6">
        <v>10.0</v>
      </c>
      <c r="T783" s="6">
        <v>10.0</v>
      </c>
      <c r="U783" s="6">
        <v>0.0</v>
      </c>
    </row>
    <row r="784">
      <c r="A784" s="6" t="s">
        <v>1698</v>
      </c>
      <c r="B784" s="6" t="s">
        <v>11569</v>
      </c>
      <c r="C784" s="6" t="s">
        <v>11570</v>
      </c>
      <c r="D784" s="6" t="s">
        <v>22</v>
      </c>
      <c r="E784" s="6" t="s">
        <v>11911</v>
      </c>
      <c r="F784" s="6" t="s">
        <v>1700</v>
      </c>
      <c r="G784" s="6" t="s">
        <v>2939</v>
      </c>
      <c r="H784" s="6">
        <v>0.0</v>
      </c>
      <c r="I784" s="6">
        <v>0.0</v>
      </c>
      <c r="J784" s="6">
        <v>5.0</v>
      </c>
      <c r="K784" s="6">
        <v>0.0</v>
      </c>
      <c r="L784" s="6">
        <v>0.0</v>
      </c>
      <c r="M784" s="6">
        <v>0.0</v>
      </c>
      <c r="N784" s="669">
        <v>2360000.0</v>
      </c>
      <c r="O784" s="6">
        <v>0.0</v>
      </c>
      <c r="P784" s="6">
        <v>0.0</v>
      </c>
      <c r="Q784" s="6">
        <v>0.0</v>
      </c>
      <c r="R784" s="6">
        <v>0.0</v>
      </c>
      <c r="S784" s="6">
        <v>8.0</v>
      </c>
      <c r="T784" s="6">
        <v>2.0</v>
      </c>
      <c r="U784" s="6">
        <v>0.0</v>
      </c>
    </row>
    <row r="785">
      <c r="A785" s="6" t="s">
        <v>886</v>
      </c>
      <c r="B785" s="6" t="s">
        <v>11630</v>
      </c>
      <c r="C785" s="6" t="s">
        <v>11570</v>
      </c>
      <c r="D785" s="6" t="s">
        <v>22</v>
      </c>
      <c r="E785" s="6" t="s">
        <v>887</v>
      </c>
      <c r="F785" s="6" t="s">
        <v>125</v>
      </c>
      <c r="G785" s="6" t="s">
        <v>2939</v>
      </c>
      <c r="H785" s="6">
        <v>0.0</v>
      </c>
      <c r="I785" s="6">
        <v>0.0</v>
      </c>
      <c r="J785" s="6" t="s">
        <v>11590</v>
      </c>
      <c r="K785" s="6" t="s">
        <v>11590</v>
      </c>
      <c r="L785" s="6" t="s">
        <v>11590</v>
      </c>
      <c r="M785" s="6" t="s">
        <v>11590</v>
      </c>
      <c r="N785" s="669">
        <v>1051000.0</v>
      </c>
      <c r="O785" s="6">
        <v>10.0</v>
      </c>
      <c r="P785" s="6">
        <v>10.0</v>
      </c>
      <c r="Q785" s="6">
        <v>0.0</v>
      </c>
      <c r="R785" s="6">
        <v>0.0</v>
      </c>
      <c r="S785" s="6">
        <v>0.0</v>
      </c>
      <c r="T785" s="6">
        <v>0.0</v>
      </c>
      <c r="U785" s="6">
        <v>0.0</v>
      </c>
    </row>
    <row r="786">
      <c r="A786" s="6" t="s">
        <v>888</v>
      </c>
      <c r="B786" s="6" t="s">
        <v>11576</v>
      </c>
      <c r="C786" s="6" t="s">
        <v>11579</v>
      </c>
      <c r="D786" s="6" t="s">
        <v>41</v>
      </c>
      <c r="E786" s="6" t="s">
        <v>887</v>
      </c>
      <c r="F786" s="6" t="s">
        <v>2193</v>
      </c>
      <c r="G786" s="6" t="s">
        <v>2939</v>
      </c>
      <c r="H786" s="6">
        <v>0.0</v>
      </c>
      <c r="I786" s="6">
        <v>0.0</v>
      </c>
      <c r="J786" s="6">
        <v>0.0</v>
      </c>
      <c r="K786" s="6">
        <v>0.0</v>
      </c>
      <c r="L786" s="6">
        <v>0.0</v>
      </c>
      <c r="M786" s="6">
        <v>0.0</v>
      </c>
      <c r="N786" s="669">
        <v>708000.0</v>
      </c>
      <c r="O786" s="6">
        <v>0.0</v>
      </c>
      <c r="P786" s="6">
        <v>0.0</v>
      </c>
      <c r="Q786" s="6">
        <v>0.0</v>
      </c>
      <c r="R786" s="6">
        <v>0.0</v>
      </c>
      <c r="S786" s="6" t="s">
        <v>11590</v>
      </c>
      <c r="T786" s="6" t="s">
        <v>11590</v>
      </c>
      <c r="U786" s="6">
        <v>0.0</v>
      </c>
    </row>
    <row r="787">
      <c r="A787" s="6" t="s">
        <v>889</v>
      </c>
      <c r="B787" s="6" t="s">
        <v>11630</v>
      </c>
      <c r="C787" s="6" t="s">
        <v>11570</v>
      </c>
      <c r="D787" s="6" t="s">
        <v>22</v>
      </c>
      <c r="E787" s="6" t="s">
        <v>890</v>
      </c>
      <c r="F787" s="6" t="s">
        <v>125</v>
      </c>
      <c r="G787" s="6" t="s">
        <v>2939</v>
      </c>
      <c r="H787" s="6">
        <v>1.0</v>
      </c>
      <c r="I787" s="6">
        <v>0.0</v>
      </c>
      <c r="J787" s="6">
        <v>5.0</v>
      </c>
      <c r="K787" s="6" t="s">
        <v>11590</v>
      </c>
      <c r="L787" s="6" t="s">
        <v>11590</v>
      </c>
      <c r="M787" s="6" t="s">
        <v>11590</v>
      </c>
      <c r="N787" s="669">
        <v>1112000.0</v>
      </c>
      <c r="O787" s="6">
        <v>0.0</v>
      </c>
      <c r="P787" s="6">
        <v>0.0</v>
      </c>
      <c r="Q787" s="6">
        <v>0.0</v>
      </c>
      <c r="R787" s="6">
        <v>0.0</v>
      </c>
      <c r="S787" s="6">
        <v>0.0</v>
      </c>
      <c r="T787" s="6">
        <v>0.0</v>
      </c>
      <c r="U787" s="6">
        <v>0.0</v>
      </c>
    </row>
    <row r="788">
      <c r="A788" s="6" t="s">
        <v>891</v>
      </c>
      <c r="B788" s="6" t="s">
        <v>11576</v>
      </c>
      <c r="C788" s="6" t="s">
        <v>11579</v>
      </c>
      <c r="D788" s="6" t="s">
        <v>41</v>
      </c>
      <c r="E788" s="6" t="s">
        <v>890</v>
      </c>
      <c r="F788" s="6" t="s">
        <v>2193</v>
      </c>
      <c r="G788" s="6" t="s">
        <v>2939</v>
      </c>
      <c r="H788" s="6">
        <v>0.0</v>
      </c>
      <c r="I788" s="6">
        <v>0.0</v>
      </c>
      <c r="J788" s="6">
        <v>0.0</v>
      </c>
      <c r="K788" s="6">
        <v>3.0</v>
      </c>
      <c r="L788" s="6">
        <v>0.0</v>
      </c>
      <c r="M788" s="6">
        <v>0.0</v>
      </c>
      <c r="N788" s="669">
        <v>780000.0</v>
      </c>
      <c r="O788" s="6">
        <v>0.0</v>
      </c>
      <c r="P788" s="6">
        <v>0.0</v>
      </c>
      <c r="Q788" s="6">
        <v>0.0</v>
      </c>
      <c r="R788" s="6">
        <v>0.0</v>
      </c>
      <c r="S788" s="6" t="s">
        <v>11590</v>
      </c>
      <c r="T788" s="6" t="s">
        <v>11590</v>
      </c>
      <c r="U788" s="6">
        <v>0.0</v>
      </c>
    </row>
    <row r="789">
      <c r="A789" s="6" t="s">
        <v>1705</v>
      </c>
      <c r="B789" s="6" t="s">
        <v>11569</v>
      </c>
      <c r="C789" s="6" t="s">
        <v>11579</v>
      </c>
      <c r="D789" s="6" t="s">
        <v>41</v>
      </c>
      <c r="E789" s="6" t="s">
        <v>890</v>
      </c>
      <c r="F789" s="6" t="s">
        <v>97</v>
      </c>
      <c r="G789" s="6" t="s">
        <v>2939</v>
      </c>
      <c r="H789" s="6">
        <v>0.0</v>
      </c>
      <c r="I789" s="6">
        <v>0.0</v>
      </c>
      <c r="J789" s="6">
        <v>3.0</v>
      </c>
      <c r="K789" s="6">
        <v>2.0</v>
      </c>
      <c r="L789" s="6">
        <v>0.0</v>
      </c>
      <c r="M789" s="6">
        <v>0.0</v>
      </c>
      <c r="N789" s="669">
        <v>738000.0</v>
      </c>
      <c r="O789" s="6">
        <v>0.0</v>
      </c>
      <c r="P789" s="6">
        <v>0.0</v>
      </c>
      <c r="Q789" s="6">
        <v>0.0</v>
      </c>
      <c r="R789" s="6">
        <v>0.0</v>
      </c>
      <c r="S789" s="6" t="s">
        <v>11590</v>
      </c>
      <c r="T789" s="6" t="s">
        <v>11590</v>
      </c>
      <c r="U789" s="6">
        <v>0.0</v>
      </c>
    </row>
    <row r="790">
      <c r="A790" s="6" t="s">
        <v>892</v>
      </c>
      <c r="B790" s="6" t="s">
        <v>11576</v>
      </c>
      <c r="C790" s="6" t="s">
        <v>11591</v>
      </c>
      <c r="D790" s="6" t="s">
        <v>132</v>
      </c>
      <c r="E790" s="6" t="s">
        <v>890</v>
      </c>
      <c r="F790" s="6" t="s">
        <v>397</v>
      </c>
      <c r="G790" s="6" t="s">
        <v>2939</v>
      </c>
      <c r="H790" s="6">
        <v>0.0</v>
      </c>
      <c r="I790" s="6">
        <v>0.0</v>
      </c>
      <c r="J790" s="6" t="s">
        <v>11590</v>
      </c>
      <c r="K790" s="6">
        <v>0.0</v>
      </c>
      <c r="L790" s="6">
        <v>0.0</v>
      </c>
      <c r="M790" s="6">
        <v>0.0</v>
      </c>
      <c r="N790" s="669">
        <v>604000.0</v>
      </c>
      <c r="O790" s="6">
        <v>0.0</v>
      </c>
      <c r="P790" s="6">
        <v>0.0</v>
      </c>
      <c r="Q790" s="6">
        <v>0.0</v>
      </c>
      <c r="R790" s="6">
        <v>0.0</v>
      </c>
      <c r="S790" s="6">
        <v>0.0</v>
      </c>
      <c r="T790" s="6" t="s">
        <v>11590</v>
      </c>
      <c r="U790" s="6">
        <v>10.0</v>
      </c>
    </row>
    <row r="791">
      <c r="A791" s="6" t="s">
        <v>893</v>
      </c>
      <c r="B791" s="6" t="s">
        <v>11576</v>
      </c>
      <c r="C791" s="6" t="s">
        <v>11591</v>
      </c>
      <c r="D791" s="6" t="s">
        <v>134</v>
      </c>
      <c r="E791" s="6" t="s">
        <v>890</v>
      </c>
      <c r="F791" s="6" t="s">
        <v>397</v>
      </c>
      <c r="G791" s="6" t="s">
        <v>2939</v>
      </c>
      <c r="H791" s="6">
        <v>0.0</v>
      </c>
      <c r="I791" s="6">
        <v>0.0</v>
      </c>
      <c r="J791" s="6">
        <v>8.0</v>
      </c>
      <c r="K791" s="6">
        <v>2.0</v>
      </c>
      <c r="L791" s="6">
        <v>0.0</v>
      </c>
      <c r="M791" s="6">
        <v>0.0</v>
      </c>
      <c r="N791" s="669">
        <v>604000.0</v>
      </c>
      <c r="O791" s="6">
        <v>0.0</v>
      </c>
      <c r="P791" s="6">
        <v>0.0</v>
      </c>
      <c r="Q791" s="6">
        <v>0.0</v>
      </c>
      <c r="R791" s="6">
        <v>0.0</v>
      </c>
      <c r="S791" s="6" t="s">
        <v>11590</v>
      </c>
      <c r="T791" s="6" t="s">
        <v>11590</v>
      </c>
      <c r="U791" s="6">
        <v>0.0</v>
      </c>
    </row>
    <row r="792">
      <c r="A792" s="6" t="s">
        <v>1467</v>
      </c>
      <c r="B792" s="6" t="s">
        <v>11654</v>
      </c>
      <c r="C792" s="6" t="s">
        <v>11570</v>
      </c>
      <c r="D792" s="6" t="s">
        <v>22</v>
      </c>
      <c r="E792" s="6" t="s">
        <v>2267</v>
      </c>
      <c r="F792" s="6" t="s">
        <v>125</v>
      </c>
      <c r="G792" s="6" t="s">
        <v>2939</v>
      </c>
      <c r="H792" s="6">
        <v>0.0</v>
      </c>
      <c r="I792" s="6">
        <v>0.0</v>
      </c>
      <c r="J792" s="6">
        <v>1.0</v>
      </c>
      <c r="K792" s="6" t="s">
        <v>11590</v>
      </c>
      <c r="L792" s="6" t="s">
        <v>11590</v>
      </c>
      <c r="M792" s="6" t="s">
        <v>11590</v>
      </c>
      <c r="N792" s="669">
        <v>1344000.0</v>
      </c>
      <c r="O792" s="6" t="s">
        <v>11590</v>
      </c>
      <c r="P792" s="6">
        <v>0.0</v>
      </c>
      <c r="Q792" s="6">
        <v>0.0</v>
      </c>
      <c r="R792" s="6">
        <v>0.0</v>
      </c>
      <c r="S792" s="6">
        <v>0.0</v>
      </c>
      <c r="T792" s="6">
        <v>0.0</v>
      </c>
      <c r="U792" s="6">
        <v>0.0</v>
      </c>
    </row>
    <row r="793">
      <c r="A793" s="6" t="s">
        <v>98</v>
      </c>
      <c r="B793" s="6" t="s">
        <v>11569</v>
      </c>
      <c r="C793" s="6" t="s">
        <v>11579</v>
      </c>
      <c r="D793" s="6" t="s">
        <v>41</v>
      </c>
      <c r="E793" s="6" t="s">
        <v>2372</v>
      </c>
      <c r="F793" s="6" t="s">
        <v>533</v>
      </c>
      <c r="G793" s="6" t="s">
        <v>2939</v>
      </c>
      <c r="H793" s="6">
        <v>0.0</v>
      </c>
      <c r="I793" s="6">
        <v>0.0</v>
      </c>
      <c r="J793" s="6" t="s">
        <v>11590</v>
      </c>
      <c r="K793" s="6">
        <v>0.0</v>
      </c>
      <c r="L793" s="6">
        <v>0.0</v>
      </c>
      <c r="M793" s="6">
        <v>0.0</v>
      </c>
      <c r="N793" s="669">
        <v>531000.0</v>
      </c>
      <c r="O793" s="6">
        <v>0.0</v>
      </c>
      <c r="P793" s="6">
        <v>0.0</v>
      </c>
      <c r="Q793" s="6">
        <v>0.0</v>
      </c>
      <c r="R793" s="6">
        <v>0.0</v>
      </c>
      <c r="S793" s="6" t="s">
        <v>11590</v>
      </c>
      <c r="T793" s="6" t="s">
        <v>11590</v>
      </c>
      <c r="U793" s="6">
        <v>0.0</v>
      </c>
    </row>
    <row r="794">
      <c r="A794" s="6" t="s">
        <v>1708</v>
      </c>
      <c r="B794" s="6" t="s">
        <v>11569</v>
      </c>
      <c r="C794" s="6" t="s">
        <v>11579</v>
      </c>
      <c r="D794" s="6" t="s">
        <v>41</v>
      </c>
      <c r="E794" s="6" t="s">
        <v>2372</v>
      </c>
      <c r="F794" s="6" t="s">
        <v>1377</v>
      </c>
      <c r="G794" s="6" t="s">
        <v>2939</v>
      </c>
      <c r="H794" s="6">
        <v>0.0</v>
      </c>
      <c r="I794" s="6">
        <v>0.0</v>
      </c>
      <c r="J794" s="6">
        <v>6.0</v>
      </c>
      <c r="K794" s="6">
        <v>0.0</v>
      </c>
      <c r="L794" s="6">
        <v>0.0</v>
      </c>
      <c r="M794" s="6">
        <v>0.0</v>
      </c>
      <c r="N794" s="669">
        <v>600000.0</v>
      </c>
      <c r="O794" s="6">
        <v>0.0</v>
      </c>
      <c r="P794" s="6">
        <v>0.0</v>
      </c>
      <c r="Q794" s="6">
        <v>0.0</v>
      </c>
      <c r="R794" s="6">
        <v>0.0</v>
      </c>
      <c r="S794" s="6" t="s">
        <v>11590</v>
      </c>
      <c r="T794" s="6">
        <v>10.0</v>
      </c>
      <c r="U794" s="6">
        <v>0.0</v>
      </c>
    </row>
    <row r="795">
      <c r="A795" s="6" t="s">
        <v>11912</v>
      </c>
      <c r="E795" s="6" t="s">
        <v>11912</v>
      </c>
      <c r="N795" s="668"/>
    </row>
    <row r="796">
      <c r="A796" s="6" t="s">
        <v>1709</v>
      </c>
      <c r="B796" s="6" t="s">
        <v>11569</v>
      </c>
      <c r="C796" s="6" t="s">
        <v>11570</v>
      </c>
      <c r="D796" s="6" t="s">
        <v>22</v>
      </c>
      <c r="E796" s="6" t="s">
        <v>1710</v>
      </c>
      <c r="F796" s="6" t="s">
        <v>125</v>
      </c>
      <c r="G796" s="6" t="s">
        <v>2939</v>
      </c>
      <c r="H796" s="6">
        <v>0.0</v>
      </c>
      <c r="I796" s="6">
        <v>0.0</v>
      </c>
      <c r="J796" s="6">
        <v>6.0</v>
      </c>
      <c r="K796" s="6">
        <v>0.0</v>
      </c>
      <c r="L796" s="6">
        <v>0.0</v>
      </c>
      <c r="M796" s="6">
        <v>0.0</v>
      </c>
      <c r="N796" s="669">
        <v>1664000.0</v>
      </c>
      <c r="O796" s="6">
        <v>0.0</v>
      </c>
      <c r="P796" s="6">
        <v>0.0</v>
      </c>
      <c r="Q796" s="6">
        <v>0.0</v>
      </c>
      <c r="R796" s="6">
        <v>0.0</v>
      </c>
      <c r="S796" s="6">
        <v>0.0</v>
      </c>
      <c r="T796" s="6">
        <v>0.0</v>
      </c>
      <c r="U796" s="6">
        <v>0.0</v>
      </c>
    </row>
    <row r="797">
      <c r="A797" s="6" t="s">
        <v>11913</v>
      </c>
      <c r="B797" s="6" t="s">
        <v>11653</v>
      </c>
      <c r="C797" s="6" t="s">
        <v>11570</v>
      </c>
      <c r="D797" s="6" t="s">
        <v>22</v>
      </c>
      <c r="E797" s="6" t="s">
        <v>895</v>
      </c>
      <c r="G797" s="6" t="s">
        <v>2939</v>
      </c>
      <c r="H797" s="6">
        <v>0.0</v>
      </c>
      <c r="I797" s="6">
        <v>0.0</v>
      </c>
      <c r="J797" s="6">
        <v>0.0</v>
      </c>
      <c r="K797" s="6">
        <v>0.0</v>
      </c>
      <c r="L797" s="6">
        <v>5.0</v>
      </c>
      <c r="M797" s="6">
        <v>0.0</v>
      </c>
      <c r="N797" s="669">
        <v>1020000.0</v>
      </c>
      <c r="O797" s="6">
        <v>10.0</v>
      </c>
      <c r="P797" s="6">
        <v>10.0</v>
      </c>
      <c r="Q797" s="6">
        <v>0.0</v>
      </c>
      <c r="R797" s="6">
        <v>0.0</v>
      </c>
      <c r="S797" s="6">
        <v>0.0</v>
      </c>
      <c r="T797" s="6">
        <v>0.0</v>
      </c>
      <c r="U797" s="6">
        <v>0.0</v>
      </c>
    </row>
    <row r="798">
      <c r="A798" s="6" t="s">
        <v>894</v>
      </c>
      <c r="B798" s="6" t="s">
        <v>11578</v>
      </c>
      <c r="C798" s="6" t="s">
        <v>11591</v>
      </c>
      <c r="D798" s="6" t="s">
        <v>128</v>
      </c>
      <c r="E798" s="6" t="s">
        <v>895</v>
      </c>
      <c r="G798" s="6" t="s">
        <v>2939</v>
      </c>
      <c r="H798" s="6">
        <v>2.0</v>
      </c>
      <c r="I798" s="6">
        <v>0.0</v>
      </c>
      <c r="J798" s="6">
        <v>0.0</v>
      </c>
      <c r="K798" s="6">
        <v>0.0</v>
      </c>
      <c r="L798" s="6">
        <v>0.0</v>
      </c>
      <c r="M798" s="6">
        <v>0.0</v>
      </c>
      <c r="N798" s="669">
        <v>210000.0</v>
      </c>
      <c r="O798" s="6">
        <v>0.0</v>
      </c>
      <c r="P798" s="6">
        <v>0.0</v>
      </c>
      <c r="Q798" s="6">
        <v>0.0</v>
      </c>
      <c r="R798" s="6">
        <v>0.0</v>
      </c>
      <c r="S798" s="6">
        <v>0.0</v>
      </c>
      <c r="T798" s="6">
        <v>0.0</v>
      </c>
      <c r="U798" s="6">
        <v>0.0</v>
      </c>
    </row>
    <row r="799">
      <c r="A799" s="6" t="s">
        <v>896</v>
      </c>
      <c r="B799" s="6" t="s">
        <v>11578</v>
      </c>
      <c r="C799" s="6" t="s">
        <v>11591</v>
      </c>
      <c r="D799" s="6" t="s">
        <v>132</v>
      </c>
      <c r="E799" s="6" t="s">
        <v>895</v>
      </c>
      <c r="G799" s="6" t="s">
        <v>2939</v>
      </c>
      <c r="H799" s="6">
        <v>1.0</v>
      </c>
      <c r="I799" s="6">
        <v>0.0</v>
      </c>
      <c r="J799" s="6">
        <v>0.0</v>
      </c>
      <c r="K799" s="6">
        <v>0.0</v>
      </c>
      <c r="L799" s="6">
        <v>0.0</v>
      </c>
      <c r="M799" s="6">
        <v>0.0</v>
      </c>
      <c r="N799" s="669">
        <v>102000.0</v>
      </c>
      <c r="O799" s="6">
        <v>0.0</v>
      </c>
      <c r="P799" s="6">
        <v>0.0</v>
      </c>
      <c r="Q799" s="6">
        <v>0.0</v>
      </c>
      <c r="R799" s="6">
        <v>0.0</v>
      </c>
      <c r="S799" s="6">
        <v>0.0</v>
      </c>
      <c r="T799" s="6">
        <v>0.0</v>
      </c>
      <c r="U799" s="6">
        <v>0.0</v>
      </c>
    </row>
    <row r="800">
      <c r="A800" s="6" t="s">
        <v>897</v>
      </c>
      <c r="B800" s="6" t="s">
        <v>11578</v>
      </c>
      <c r="C800" s="6" t="s">
        <v>11591</v>
      </c>
      <c r="D800" s="6" t="s">
        <v>134</v>
      </c>
      <c r="E800" s="6" t="s">
        <v>895</v>
      </c>
      <c r="G800" s="6" t="s">
        <v>2939</v>
      </c>
      <c r="H800" s="6">
        <v>0.0</v>
      </c>
      <c r="I800" s="6">
        <v>0.0</v>
      </c>
      <c r="J800" s="6">
        <v>0.0</v>
      </c>
      <c r="K800" s="6">
        <v>0.0</v>
      </c>
      <c r="L800" s="6">
        <v>0.0</v>
      </c>
      <c r="M800" s="6">
        <v>0.0</v>
      </c>
      <c r="N800" s="669">
        <v>102000.0</v>
      </c>
      <c r="O800" s="6">
        <v>0.0</v>
      </c>
      <c r="P800" s="6">
        <v>0.0</v>
      </c>
      <c r="Q800" s="6">
        <v>0.0</v>
      </c>
      <c r="R800" s="6">
        <v>0.0</v>
      </c>
      <c r="S800" s="6">
        <v>0.0</v>
      </c>
      <c r="T800" s="6">
        <v>0.0</v>
      </c>
      <c r="U800" s="6">
        <v>0.0</v>
      </c>
    </row>
    <row r="801">
      <c r="A801" s="6" t="s">
        <v>898</v>
      </c>
      <c r="B801" s="6" t="s">
        <v>11576</v>
      </c>
      <c r="C801" s="6" t="s">
        <v>11570</v>
      </c>
      <c r="D801" s="6" t="s">
        <v>22</v>
      </c>
      <c r="E801" s="6" t="s">
        <v>11914</v>
      </c>
      <c r="F801" s="6" t="s">
        <v>97</v>
      </c>
      <c r="G801" s="6" t="s">
        <v>2939</v>
      </c>
      <c r="H801" s="6">
        <v>0.0</v>
      </c>
      <c r="I801" s="6">
        <v>0.0</v>
      </c>
      <c r="J801" s="6">
        <v>1.0</v>
      </c>
      <c r="K801" s="6">
        <v>2.0</v>
      </c>
      <c r="L801" s="6">
        <v>0.0</v>
      </c>
      <c r="M801" s="6">
        <v>0.0</v>
      </c>
      <c r="N801" s="669">
        <v>3137000.0</v>
      </c>
      <c r="O801" s="6">
        <v>0.0</v>
      </c>
      <c r="P801" s="6">
        <v>0.0</v>
      </c>
      <c r="Q801" s="6">
        <v>0.0</v>
      </c>
      <c r="R801" s="6">
        <v>0.0</v>
      </c>
      <c r="S801" s="6">
        <v>0.0</v>
      </c>
      <c r="T801" s="6">
        <v>0.0</v>
      </c>
      <c r="U801" s="6">
        <v>0.0</v>
      </c>
    </row>
    <row r="802">
      <c r="A802" s="6" t="s">
        <v>900</v>
      </c>
      <c r="B802" s="6" t="s">
        <v>11576</v>
      </c>
      <c r="C802" s="6" t="s">
        <v>11579</v>
      </c>
      <c r="D802" s="6" t="s">
        <v>41</v>
      </c>
      <c r="E802" s="6" t="s">
        <v>11914</v>
      </c>
      <c r="F802" s="6" t="s">
        <v>2193</v>
      </c>
      <c r="G802" s="6" t="s">
        <v>2939</v>
      </c>
      <c r="H802" s="6">
        <v>0.0</v>
      </c>
      <c r="I802" s="6">
        <v>0.0</v>
      </c>
      <c r="J802" s="6">
        <v>7.0</v>
      </c>
      <c r="K802" s="6">
        <v>0.0</v>
      </c>
      <c r="L802" s="6">
        <v>0.0</v>
      </c>
      <c r="M802" s="6">
        <v>0.0</v>
      </c>
      <c r="N802" s="669">
        <v>3212000.0</v>
      </c>
      <c r="O802" s="6">
        <v>0.0</v>
      </c>
      <c r="P802" s="6">
        <v>0.0</v>
      </c>
      <c r="Q802" s="6">
        <v>0.0</v>
      </c>
      <c r="R802" s="6">
        <v>0.0</v>
      </c>
      <c r="S802" s="6">
        <v>0.0</v>
      </c>
      <c r="T802" s="6">
        <v>0.0</v>
      </c>
      <c r="U802" s="6">
        <v>0.0</v>
      </c>
    </row>
    <row r="803">
      <c r="A803" s="6" t="s">
        <v>901</v>
      </c>
      <c r="B803" s="6" t="s">
        <v>11578</v>
      </c>
      <c r="C803" s="6" t="s">
        <v>11591</v>
      </c>
      <c r="D803" s="6" t="s">
        <v>128</v>
      </c>
      <c r="E803" s="6" t="s">
        <v>11914</v>
      </c>
      <c r="G803" s="6" t="s">
        <v>2939</v>
      </c>
      <c r="H803" s="6">
        <v>2.0</v>
      </c>
      <c r="I803" s="6">
        <v>0.0</v>
      </c>
      <c r="J803" s="6">
        <v>0.0</v>
      </c>
      <c r="K803" s="6">
        <v>0.0</v>
      </c>
      <c r="L803" s="6">
        <v>0.0</v>
      </c>
      <c r="M803" s="6">
        <v>0.0</v>
      </c>
      <c r="N803" s="669">
        <v>725000.0</v>
      </c>
      <c r="O803" s="6">
        <v>0.0</v>
      </c>
      <c r="P803" s="6">
        <v>0.0</v>
      </c>
      <c r="Q803" s="6">
        <v>0.0</v>
      </c>
      <c r="R803" s="6">
        <v>0.0</v>
      </c>
      <c r="S803" s="6">
        <v>0.0</v>
      </c>
      <c r="T803" s="6">
        <v>0.0</v>
      </c>
      <c r="U803" s="6">
        <v>0.0</v>
      </c>
    </row>
    <row r="804">
      <c r="A804" s="6" t="s">
        <v>902</v>
      </c>
      <c r="B804" s="6" t="s">
        <v>11578</v>
      </c>
      <c r="C804" s="6" t="s">
        <v>11591</v>
      </c>
      <c r="D804" s="6" t="s">
        <v>130</v>
      </c>
      <c r="E804" s="6" t="s">
        <v>11914</v>
      </c>
      <c r="G804" s="6" t="s">
        <v>2939</v>
      </c>
      <c r="H804" s="6">
        <v>8.0</v>
      </c>
      <c r="I804" s="6">
        <v>0.0</v>
      </c>
      <c r="J804" s="6">
        <v>0.0</v>
      </c>
      <c r="K804" s="6">
        <v>0.0</v>
      </c>
      <c r="L804" s="6">
        <v>0.0</v>
      </c>
      <c r="M804" s="6">
        <v>0.0</v>
      </c>
      <c r="N804" s="669">
        <v>725000.0</v>
      </c>
      <c r="O804" s="6">
        <v>0.0</v>
      </c>
      <c r="P804" s="6">
        <v>0.0</v>
      </c>
      <c r="Q804" s="6">
        <v>0.0</v>
      </c>
      <c r="R804" s="6">
        <v>0.0</v>
      </c>
      <c r="S804" s="6">
        <v>0.0</v>
      </c>
      <c r="T804" s="6">
        <v>0.0</v>
      </c>
      <c r="U804" s="6">
        <v>0.0</v>
      </c>
    </row>
    <row r="805">
      <c r="A805" s="6" t="s">
        <v>903</v>
      </c>
      <c r="B805" s="6" t="s">
        <v>11578</v>
      </c>
      <c r="C805" s="6" t="s">
        <v>11591</v>
      </c>
      <c r="D805" s="6" t="s">
        <v>904</v>
      </c>
      <c r="E805" s="6" t="s">
        <v>11914</v>
      </c>
      <c r="F805" s="6" t="s">
        <v>533</v>
      </c>
      <c r="G805" s="6" t="s">
        <v>2939</v>
      </c>
      <c r="H805" s="6">
        <v>8.0</v>
      </c>
      <c r="I805" s="6">
        <v>0.0</v>
      </c>
      <c r="J805" s="6">
        <v>0.0</v>
      </c>
      <c r="K805" s="6">
        <v>0.0</v>
      </c>
      <c r="L805" s="6">
        <v>0.0</v>
      </c>
      <c r="M805" s="6">
        <v>0.0</v>
      </c>
      <c r="N805" s="669">
        <v>1848000.0</v>
      </c>
      <c r="O805" s="6">
        <v>0.0</v>
      </c>
      <c r="P805" s="6">
        <v>0.0</v>
      </c>
      <c r="Q805" s="6">
        <v>0.0</v>
      </c>
      <c r="R805" s="6">
        <v>0.0</v>
      </c>
      <c r="S805" s="6">
        <v>0.0</v>
      </c>
      <c r="T805" s="6">
        <v>0.0</v>
      </c>
      <c r="U805" s="6">
        <v>0.0</v>
      </c>
    </row>
    <row r="806">
      <c r="A806" s="6" t="s">
        <v>905</v>
      </c>
      <c r="B806" s="6" t="s">
        <v>11578</v>
      </c>
      <c r="C806" s="6" t="s">
        <v>11591</v>
      </c>
      <c r="D806" s="6" t="s">
        <v>906</v>
      </c>
      <c r="E806" s="6" t="s">
        <v>11914</v>
      </c>
      <c r="F806" s="6" t="s">
        <v>533</v>
      </c>
      <c r="G806" s="6" t="s">
        <v>2939</v>
      </c>
      <c r="H806" s="6" t="s">
        <v>11590</v>
      </c>
      <c r="I806" s="6">
        <v>0.0</v>
      </c>
      <c r="J806" s="6">
        <v>0.0</v>
      </c>
      <c r="K806" s="6">
        <v>0.0</v>
      </c>
      <c r="L806" s="6">
        <v>0.0</v>
      </c>
      <c r="M806" s="6">
        <v>0.0</v>
      </c>
      <c r="N806" s="669">
        <v>1848000.0</v>
      </c>
      <c r="O806" s="6">
        <v>0.0</v>
      </c>
      <c r="P806" s="6">
        <v>0.0</v>
      </c>
      <c r="Q806" s="6">
        <v>0.0</v>
      </c>
      <c r="R806" s="6">
        <v>0.0</v>
      </c>
      <c r="S806" s="6">
        <v>0.0</v>
      </c>
      <c r="T806" s="6">
        <v>0.0</v>
      </c>
      <c r="U806" s="6">
        <v>0.0</v>
      </c>
    </row>
    <row r="807">
      <c r="A807" s="6" t="s">
        <v>907</v>
      </c>
      <c r="B807" s="6" t="s">
        <v>11578</v>
      </c>
      <c r="C807" s="6" t="s">
        <v>11591</v>
      </c>
      <c r="D807" s="6" t="s">
        <v>908</v>
      </c>
      <c r="E807" s="6" t="s">
        <v>11914</v>
      </c>
      <c r="F807" s="6" t="s">
        <v>909</v>
      </c>
      <c r="G807" s="6" t="s">
        <v>2939</v>
      </c>
      <c r="H807" s="6">
        <v>9.0</v>
      </c>
      <c r="I807" s="6">
        <v>0.0</v>
      </c>
      <c r="J807" s="6">
        <v>0.0</v>
      </c>
      <c r="K807" s="6">
        <v>0.0</v>
      </c>
      <c r="L807" s="6">
        <v>0.0</v>
      </c>
      <c r="M807" s="6">
        <v>0.0</v>
      </c>
      <c r="N807" s="669">
        <v>2024000.0</v>
      </c>
      <c r="O807" s="6">
        <v>0.0</v>
      </c>
      <c r="P807" s="6">
        <v>0.0</v>
      </c>
      <c r="Q807" s="6">
        <v>0.0</v>
      </c>
      <c r="R807" s="6">
        <v>0.0</v>
      </c>
      <c r="S807" s="6">
        <v>0.0</v>
      </c>
      <c r="T807" s="6">
        <v>0.0</v>
      </c>
      <c r="U807" s="6">
        <v>0.0</v>
      </c>
    </row>
    <row r="808">
      <c r="A808" s="6" t="s">
        <v>910</v>
      </c>
      <c r="B808" s="6" t="s">
        <v>11578</v>
      </c>
      <c r="C808" s="6" t="s">
        <v>11591</v>
      </c>
      <c r="D808" s="6" t="s">
        <v>911</v>
      </c>
      <c r="E808" s="6" t="s">
        <v>11914</v>
      </c>
      <c r="F808" s="6" t="s">
        <v>909</v>
      </c>
      <c r="G808" s="6" t="s">
        <v>2939</v>
      </c>
      <c r="H808" s="6" t="s">
        <v>11590</v>
      </c>
      <c r="I808" s="6">
        <v>0.0</v>
      </c>
      <c r="J808" s="6">
        <v>0.0</v>
      </c>
      <c r="K808" s="6">
        <v>0.0</v>
      </c>
      <c r="L808" s="6">
        <v>0.0</v>
      </c>
      <c r="M808" s="6">
        <v>0.0</v>
      </c>
      <c r="N808" s="669">
        <v>2024000.0</v>
      </c>
      <c r="O808" s="6">
        <v>0.0</v>
      </c>
      <c r="P808" s="6">
        <v>0.0</v>
      </c>
      <c r="Q808" s="6">
        <v>0.0</v>
      </c>
      <c r="R808" s="6">
        <v>0.0</v>
      </c>
      <c r="S808" s="6">
        <v>0.0</v>
      </c>
      <c r="T808" s="6">
        <v>0.0</v>
      </c>
      <c r="U808" s="6">
        <v>0.0</v>
      </c>
    </row>
    <row r="809">
      <c r="A809" s="6" t="s">
        <v>912</v>
      </c>
      <c r="B809" s="6" t="s">
        <v>11576</v>
      </c>
      <c r="C809" s="6" t="s">
        <v>11570</v>
      </c>
      <c r="D809" s="6" t="s">
        <v>22</v>
      </c>
      <c r="E809" s="6" t="s">
        <v>913</v>
      </c>
      <c r="F809" s="6" t="s">
        <v>125</v>
      </c>
      <c r="G809" s="6" t="s">
        <v>2939</v>
      </c>
      <c r="H809" s="6">
        <v>0.0</v>
      </c>
      <c r="I809" s="6">
        <v>0.0</v>
      </c>
      <c r="J809" s="6">
        <v>5.0</v>
      </c>
      <c r="K809" s="6">
        <v>0.0</v>
      </c>
      <c r="L809" s="6">
        <v>0.0</v>
      </c>
      <c r="M809" s="6">
        <v>0.0</v>
      </c>
      <c r="N809" s="669">
        <v>2509000.0</v>
      </c>
      <c r="O809" s="6">
        <v>0.0</v>
      </c>
      <c r="P809" s="6">
        <v>0.0</v>
      </c>
      <c r="Q809" s="6">
        <v>0.0</v>
      </c>
      <c r="R809" s="6">
        <v>0.0</v>
      </c>
      <c r="S809" s="6">
        <v>0.0</v>
      </c>
      <c r="T809" s="6">
        <v>0.0</v>
      </c>
      <c r="U809" s="6">
        <v>5.0</v>
      </c>
    </row>
    <row r="810">
      <c r="A810" s="6" t="s">
        <v>914</v>
      </c>
      <c r="B810" s="6" t="s">
        <v>11576</v>
      </c>
      <c r="C810" s="6" t="s">
        <v>11579</v>
      </c>
      <c r="D810" s="6" t="s">
        <v>41</v>
      </c>
      <c r="E810" s="6" t="s">
        <v>913</v>
      </c>
      <c r="F810" s="6" t="s">
        <v>1377</v>
      </c>
      <c r="G810" s="6" t="s">
        <v>2939</v>
      </c>
      <c r="H810" s="6">
        <v>1.0</v>
      </c>
      <c r="I810" s="6">
        <v>0.0</v>
      </c>
      <c r="J810" s="6">
        <v>4.0</v>
      </c>
      <c r="K810" s="6">
        <v>2.0</v>
      </c>
      <c r="L810" s="6">
        <v>0.0</v>
      </c>
      <c r="M810" s="6">
        <v>0.0</v>
      </c>
      <c r="N810" s="669">
        <v>2825000.0</v>
      </c>
      <c r="O810" s="6">
        <v>0.0</v>
      </c>
      <c r="P810" s="6">
        <v>0.0</v>
      </c>
      <c r="Q810" s="6">
        <v>0.0</v>
      </c>
      <c r="R810" s="6">
        <v>0.0</v>
      </c>
      <c r="S810" s="6">
        <v>0.0</v>
      </c>
      <c r="T810" s="6">
        <v>0.0</v>
      </c>
      <c r="U810" s="6">
        <v>0.0</v>
      </c>
    </row>
    <row r="811">
      <c r="A811" s="6" t="s">
        <v>915</v>
      </c>
      <c r="B811" s="6" t="s">
        <v>11578</v>
      </c>
      <c r="C811" s="6" t="s">
        <v>11591</v>
      </c>
      <c r="D811" s="6" t="s">
        <v>132</v>
      </c>
      <c r="E811" s="6" t="s">
        <v>913</v>
      </c>
      <c r="F811" s="6" t="s">
        <v>466</v>
      </c>
      <c r="G811" s="6" t="s">
        <v>2939</v>
      </c>
      <c r="H811" s="6" t="s">
        <v>11590</v>
      </c>
      <c r="I811" s="6">
        <v>0.0</v>
      </c>
      <c r="J811" s="6">
        <v>0.0</v>
      </c>
      <c r="K811" s="6">
        <v>0.0</v>
      </c>
      <c r="L811" s="6">
        <v>0.0</v>
      </c>
      <c r="M811" s="6">
        <v>0.0</v>
      </c>
      <c r="N811" s="669">
        <v>884000.0</v>
      </c>
      <c r="O811" s="6">
        <v>0.0</v>
      </c>
      <c r="P811" s="6">
        <v>0.0</v>
      </c>
      <c r="Q811" s="6">
        <v>0.0</v>
      </c>
      <c r="R811" s="6">
        <v>0.0</v>
      </c>
      <c r="S811" s="6">
        <v>0.0</v>
      </c>
      <c r="T811" s="6">
        <v>0.0</v>
      </c>
      <c r="U811" s="6">
        <v>0.0</v>
      </c>
    </row>
    <row r="812">
      <c r="A812" s="6" t="s">
        <v>916</v>
      </c>
      <c r="B812" s="6" t="s">
        <v>11578</v>
      </c>
      <c r="C812" s="6" t="s">
        <v>11591</v>
      </c>
      <c r="D812" s="6" t="s">
        <v>134</v>
      </c>
      <c r="E812" s="6" t="s">
        <v>913</v>
      </c>
      <c r="F812" s="6" t="s">
        <v>466</v>
      </c>
      <c r="G812" s="6" t="s">
        <v>2939</v>
      </c>
      <c r="H812" s="6" t="s">
        <v>11590</v>
      </c>
      <c r="I812" s="6">
        <v>0.0</v>
      </c>
      <c r="J812" s="6">
        <v>0.0</v>
      </c>
      <c r="K812" s="6">
        <v>0.0</v>
      </c>
      <c r="L812" s="6">
        <v>0.0</v>
      </c>
      <c r="M812" s="6">
        <v>0.0</v>
      </c>
      <c r="N812" s="669">
        <v>884000.0</v>
      </c>
      <c r="O812" s="6">
        <v>0.0</v>
      </c>
      <c r="P812" s="6">
        <v>0.0</v>
      </c>
      <c r="Q812" s="6">
        <v>0.0</v>
      </c>
      <c r="R812" s="6">
        <v>0.0</v>
      </c>
      <c r="S812" s="6">
        <v>0.0</v>
      </c>
      <c r="T812" s="6">
        <v>0.0</v>
      </c>
      <c r="U812" s="6">
        <v>0.0</v>
      </c>
    </row>
    <row r="813">
      <c r="A813" s="6" t="s">
        <v>917</v>
      </c>
      <c r="B813" s="6" t="s">
        <v>11578</v>
      </c>
      <c r="C813" s="6" t="s">
        <v>11591</v>
      </c>
      <c r="D813" s="6" t="s">
        <v>202</v>
      </c>
      <c r="E813" s="6" t="s">
        <v>913</v>
      </c>
      <c r="F813" s="6" t="s">
        <v>97</v>
      </c>
      <c r="G813" s="6" t="s">
        <v>2939</v>
      </c>
      <c r="H813" s="6">
        <v>8.0</v>
      </c>
      <c r="I813" s="6">
        <v>0.0</v>
      </c>
      <c r="J813" s="6">
        <v>0.0</v>
      </c>
      <c r="K813" s="6">
        <v>0.0</v>
      </c>
      <c r="L813" s="6">
        <v>0.0</v>
      </c>
      <c r="M813" s="6">
        <v>0.0</v>
      </c>
      <c r="N813" s="669">
        <v>2008000.0</v>
      </c>
      <c r="O813" s="6">
        <v>0.0</v>
      </c>
      <c r="P813" s="6">
        <v>0.0</v>
      </c>
      <c r="Q813" s="6">
        <v>0.0</v>
      </c>
      <c r="R813" s="6">
        <v>0.0</v>
      </c>
      <c r="S813" s="6">
        <v>0.0</v>
      </c>
      <c r="T813" s="6">
        <v>0.0</v>
      </c>
      <c r="U813" s="6">
        <v>0.0</v>
      </c>
    </row>
    <row r="814">
      <c r="A814" s="6" t="s">
        <v>918</v>
      </c>
      <c r="B814" s="6" t="s">
        <v>11578</v>
      </c>
      <c r="C814" s="6" t="s">
        <v>11591</v>
      </c>
      <c r="D814" s="6" t="s">
        <v>236</v>
      </c>
      <c r="E814" s="6" t="s">
        <v>913</v>
      </c>
      <c r="F814" s="6" t="s">
        <v>97</v>
      </c>
      <c r="G814" s="6" t="s">
        <v>2939</v>
      </c>
      <c r="H814" s="6" t="s">
        <v>11590</v>
      </c>
      <c r="I814" s="6">
        <v>0.0</v>
      </c>
      <c r="J814" s="6">
        <v>0.0</v>
      </c>
      <c r="K814" s="6">
        <v>0.0</v>
      </c>
      <c r="L814" s="6">
        <v>0.0</v>
      </c>
      <c r="M814" s="6">
        <v>0.0</v>
      </c>
      <c r="N814" s="669">
        <v>2008000.0</v>
      </c>
      <c r="O814" s="6">
        <v>0.0</v>
      </c>
      <c r="P814" s="6">
        <v>0.0</v>
      </c>
      <c r="Q814" s="6">
        <v>0.0</v>
      </c>
      <c r="R814" s="6">
        <v>0.0</v>
      </c>
      <c r="S814" s="6">
        <v>0.0</v>
      </c>
      <c r="T814" s="6">
        <v>0.0</v>
      </c>
      <c r="U814" s="6">
        <v>0.0</v>
      </c>
    </row>
    <row r="815">
      <c r="A815" s="6" t="s">
        <v>919</v>
      </c>
      <c r="B815" s="6" t="s">
        <v>11576</v>
      </c>
      <c r="C815" s="6" t="s">
        <v>11570</v>
      </c>
      <c r="D815" s="6" t="s">
        <v>22</v>
      </c>
      <c r="E815" s="6" t="s">
        <v>920</v>
      </c>
      <c r="F815" s="6" t="s">
        <v>97</v>
      </c>
      <c r="G815" s="6" t="s">
        <v>2939</v>
      </c>
      <c r="H815" s="6">
        <v>0.0</v>
      </c>
      <c r="I815" s="6">
        <v>0.0</v>
      </c>
      <c r="J815" s="6">
        <v>5.0</v>
      </c>
      <c r="K815" s="6">
        <v>9.0</v>
      </c>
      <c r="L815" s="6">
        <v>0.0</v>
      </c>
      <c r="M815" s="6">
        <v>0.0</v>
      </c>
      <c r="N815" s="669">
        <v>1248000.0</v>
      </c>
      <c r="O815" s="6">
        <v>0.0</v>
      </c>
      <c r="P815" s="6">
        <v>0.0</v>
      </c>
      <c r="Q815" s="6">
        <v>0.0</v>
      </c>
      <c r="R815" s="6">
        <v>0.0</v>
      </c>
      <c r="S815" s="6" t="s">
        <v>11590</v>
      </c>
      <c r="T815" s="6">
        <v>0.0</v>
      </c>
      <c r="U815" s="6">
        <v>0.0</v>
      </c>
    </row>
    <row r="816">
      <c r="A816" s="6" t="s">
        <v>1632</v>
      </c>
      <c r="B816" s="6" t="s">
        <v>11569</v>
      </c>
      <c r="C816" s="6" t="s">
        <v>11579</v>
      </c>
      <c r="D816" s="6" t="s">
        <v>41</v>
      </c>
      <c r="E816" s="6" t="s">
        <v>920</v>
      </c>
      <c r="F816" s="6" t="s">
        <v>2193</v>
      </c>
      <c r="G816" s="6" t="s">
        <v>2939</v>
      </c>
      <c r="H816" s="6">
        <v>0.0</v>
      </c>
      <c r="I816" s="6">
        <v>0.0</v>
      </c>
      <c r="J816" s="6">
        <v>5.0</v>
      </c>
      <c r="K816" s="6">
        <v>0.0</v>
      </c>
      <c r="L816" s="6">
        <v>0.0</v>
      </c>
      <c r="M816" s="6">
        <v>0.0</v>
      </c>
      <c r="N816" s="669">
        <v>722000.0</v>
      </c>
      <c r="O816" s="6">
        <v>0.0</v>
      </c>
      <c r="P816" s="6">
        <v>0.0</v>
      </c>
      <c r="Q816" s="6">
        <v>0.0</v>
      </c>
      <c r="R816" s="6">
        <v>0.0</v>
      </c>
      <c r="S816" s="6" t="s">
        <v>11590</v>
      </c>
      <c r="T816" s="6">
        <v>8.0</v>
      </c>
      <c r="U816" s="6">
        <v>0.0</v>
      </c>
    </row>
    <row r="817">
      <c r="A817" s="6" t="s">
        <v>11915</v>
      </c>
      <c r="B817" s="6" t="s">
        <v>11569</v>
      </c>
      <c r="C817" s="6" t="s">
        <v>11591</v>
      </c>
      <c r="D817" s="6" t="s">
        <v>134</v>
      </c>
      <c r="E817" s="6" t="s">
        <v>11916</v>
      </c>
      <c r="F817" s="6" t="s">
        <v>11917</v>
      </c>
      <c r="G817" s="6" t="s">
        <v>2939</v>
      </c>
      <c r="H817" s="6">
        <v>0.0</v>
      </c>
      <c r="I817" s="6">
        <v>0.0</v>
      </c>
      <c r="J817" s="6">
        <v>10.0</v>
      </c>
      <c r="K817" s="6">
        <v>0.0</v>
      </c>
      <c r="L817" s="6">
        <v>0.0</v>
      </c>
      <c r="M817" s="6">
        <v>0.0</v>
      </c>
      <c r="N817" s="669">
        <v>1900000.0</v>
      </c>
      <c r="O817" s="6">
        <v>0.0</v>
      </c>
      <c r="P817" s="6">
        <v>0.0</v>
      </c>
      <c r="Q817" s="6">
        <v>0.0</v>
      </c>
      <c r="R817" s="6">
        <v>0.0</v>
      </c>
      <c r="S817" s="6">
        <v>0.0</v>
      </c>
      <c r="T817" s="6">
        <v>0.0</v>
      </c>
      <c r="U817" s="6">
        <v>0.0</v>
      </c>
    </row>
    <row r="818">
      <c r="A818" s="6" t="s">
        <v>2157</v>
      </c>
      <c r="B818" s="6" t="s">
        <v>11569</v>
      </c>
      <c r="C818" s="6" t="s">
        <v>11591</v>
      </c>
      <c r="D818" s="6" t="s">
        <v>132</v>
      </c>
      <c r="E818" s="6" t="s">
        <v>11916</v>
      </c>
      <c r="F818" s="6" t="s">
        <v>11917</v>
      </c>
      <c r="G818" s="6" t="s">
        <v>2939</v>
      </c>
      <c r="H818" s="6">
        <v>0.0</v>
      </c>
      <c r="I818" s="6">
        <v>0.0</v>
      </c>
      <c r="J818" s="6">
        <v>4.0</v>
      </c>
      <c r="K818" s="6">
        <v>0.0</v>
      </c>
      <c r="L818" s="6">
        <v>0.0</v>
      </c>
      <c r="M818" s="6">
        <v>0.0</v>
      </c>
      <c r="N818" s="669">
        <v>1900000.0</v>
      </c>
      <c r="O818" s="6">
        <v>0.0</v>
      </c>
      <c r="P818" s="6">
        <v>0.0</v>
      </c>
      <c r="Q818" s="6">
        <v>0.0</v>
      </c>
      <c r="R818" s="6">
        <v>0.0</v>
      </c>
      <c r="S818" s="6">
        <v>0.0</v>
      </c>
      <c r="T818" s="6">
        <v>0.0</v>
      </c>
      <c r="U818" s="6">
        <v>0.0</v>
      </c>
    </row>
    <row r="819">
      <c r="A819" s="6" t="s">
        <v>921</v>
      </c>
      <c r="B819" s="6" t="s">
        <v>11576</v>
      </c>
      <c r="C819" s="6" t="s">
        <v>11591</v>
      </c>
      <c r="D819" s="6" t="s">
        <v>908</v>
      </c>
      <c r="E819" s="6" t="s">
        <v>920</v>
      </c>
      <c r="F819" s="6" t="s">
        <v>97</v>
      </c>
      <c r="G819" s="6" t="s">
        <v>2939</v>
      </c>
      <c r="H819" s="6">
        <v>0.0</v>
      </c>
      <c r="I819" s="6">
        <v>0.0</v>
      </c>
      <c r="J819" s="6">
        <v>2.0</v>
      </c>
      <c r="K819" s="6">
        <v>0.0</v>
      </c>
      <c r="L819" s="6">
        <v>0.0</v>
      </c>
      <c r="M819" s="6">
        <v>0.0</v>
      </c>
      <c r="N819" s="669">
        <v>624000.0</v>
      </c>
      <c r="O819" s="6">
        <v>0.0</v>
      </c>
      <c r="P819" s="6">
        <v>0.0</v>
      </c>
      <c r="Q819" s="6">
        <v>0.0</v>
      </c>
      <c r="R819" s="6">
        <v>0.0</v>
      </c>
      <c r="S819" s="6">
        <v>0.0</v>
      </c>
      <c r="T819" s="6">
        <v>0.0</v>
      </c>
      <c r="U819" s="6">
        <v>0.0</v>
      </c>
    </row>
    <row r="820">
      <c r="A820" s="6" t="s">
        <v>2341</v>
      </c>
      <c r="B820" s="6" t="s">
        <v>11653</v>
      </c>
      <c r="C820" s="6" t="s">
        <v>11570</v>
      </c>
      <c r="D820" s="6" t="s">
        <v>22</v>
      </c>
      <c r="E820" s="6" t="s">
        <v>11918</v>
      </c>
      <c r="G820" s="6" t="s">
        <v>2939</v>
      </c>
      <c r="H820" s="6">
        <v>0.0</v>
      </c>
      <c r="I820" s="6">
        <v>0.0</v>
      </c>
      <c r="J820" s="6">
        <v>0.0</v>
      </c>
      <c r="K820" s="6">
        <v>0.0</v>
      </c>
      <c r="L820" s="6">
        <v>6.0</v>
      </c>
      <c r="M820" s="6">
        <v>9.0</v>
      </c>
      <c r="N820" s="669">
        <v>1380000.0</v>
      </c>
      <c r="O820" s="6">
        <v>0.0</v>
      </c>
      <c r="P820" s="6">
        <v>0.0</v>
      </c>
      <c r="Q820" s="6">
        <v>0.0</v>
      </c>
      <c r="R820" s="6">
        <v>0.0</v>
      </c>
      <c r="S820" s="6">
        <v>0.0</v>
      </c>
      <c r="T820" s="6">
        <v>0.0</v>
      </c>
      <c r="U820" s="6">
        <v>0.0</v>
      </c>
    </row>
    <row r="821">
      <c r="A821" s="6" t="s">
        <v>922</v>
      </c>
      <c r="B821" s="6" t="s">
        <v>11576</v>
      </c>
      <c r="C821" s="6" t="s">
        <v>11579</v>
      </c>
      <c r="D821" s="6" t="s">
        <v>41</v>
      </c>
      <c r="E821" s="6" t="s">
        <v>11918</v>
      </c>
      <c r="G821" s="6" t="s">
        <v>2939</v>
      </c>
      <c r="H821" s="6">
        <v>0.0</v>
      </c>
      <c r="I821" s="6">
        <v>0.0</v>
      </c>
      <c r="J821" s="6">
        <v>5.0</v>
      </c>
      <c r="K821" s="6">
        <v>0.0</v>
      </c>
      <c r="L821" s="6">
        <v>0.0</v>
      </c>
      <c r="M821" s="6">
        <v>0.0</v>
      </c>
      <c r="N821" s="669">
        <v>1687000.0</v>
      </c>
      <c r="O821" s="6">
        <v>0.0</v>
      </c>
      <c r="P821" s="6">
        <v>0.0</v>
      </c>
      <c r="Q821" s="6">
        <v>0.0</v>
      </c>
      <c r="R821" s="6">
        <v>0.0</v>
      </c>
      <c r="S821" s="6">
        <v>0.0</v>
      </c>
      <c r="T821" s="6">
        <v>0.0</v>
      </c>
      <c r="U821" s="6">
        <v>0.0</v>
      </c>
    </row>
    <row r="822">
      <c r="A822" s="6" t="s">
        <v>924</v>
      </c>
      <c r="B822" s="6" t="s">
        <v>11576</v>
      </c>
      <c r="C822" s="6" t="s">
        <v>11570</v>
      </c>
      <c r="D822" s="6" t="s">
        <v>22</v>
      </c>
      <c r="E822" s="6" t="s">
        <v>925</v>
      </c>
      <c r="F822" s="6" t="s">
        <v>125</v>
      </c>
      <c r="G822" s="6" t="s">
        <v>2939</v>
      </c>
      <c r="H822" s="6">
        <v>0.0</v>
      </c>
      <c r="I822" s="6">
        <v>0.0</v>
      </c>
      <c r="J822" s="6" t="s">
        <v>11590</v>
      </c>
      <c r="K822" s="6">
        <v>1.0</v>
      </c>
      <c r="L822" s="6">
        <v>0.0</v>
      </c>
      <c r="M822" s="6">
        <v>0.0</v>
      </c>
      <c r="N822" s="669">
        <v>1356000.0</v>
      </c>
      <c r="O822" s="6">
        <v>0.0</v>
      </c>
      <c r="P822" s="6">
        <v>0.0</v>
      </c>
      <c r="Q822" s="6">
        <v>0.0</v>
      </c>
      <c r="R822" s="6">
        <v>0.0</v>
      </c>
      <c r="S822" s="6">
        <v>5.0</v>
      </c>
      <c r="T822" s="6">
        <v>10.0</v>
      </c>
      <c r="U822" s="6">
        <v>0.0</v>
      </c>
    </row>
    <row r="823">
      <c r="A823" s="6" t="s">
        <v>926</v>
      </c>
      <c r="B823" s="6" t="s">
        <v>11576</v>
      </c>
      <c r="C823" s="6" t="s">
        <v>11579</v>
      </c>
      <c r="D823" s="6" t="s">
        <v>41</v>
      </c>
      <c r="E823" s="6" t="s">
        <v>925</v>
      </c>
      <c r="F823" s="6" t="s">
        <v>2193</v>
      </c>
      <c r="G823" s="6" t="s">
        <v>2939</v>
      </c>
      <c r="H823" s="6">
        <v>0.0</v>
      </c>
      <c r="I823" s="6">
        <v>0.0</v>
      </c>
      <c r="J823" s="6">
        <v>0.0</v>
      </c>
      <c r="K823" s="6">
        <v>0.0</v>
      </c>
      <c r="L823" s="6">
        <v>0.0</v>
      </c>
      <c r="M823" s="6">
        <v>0.0</v>
      </c>
      <c r="N823" s="669">
        <v>1286000.0</v>
      </c>
      <c r="O823" s="6">
        <v>0.0</v>
      </c>
      <c r="P823" s="6">
        <v>0.0</v>
      </c>
      <c r="Q823" s="6">
        <v>0.0</v>
      </c>
      <c r="R823" s="6">
        <v>0.0</v>
      </c>
      <c r="S823" s="6">
        <v>10.0</v>
      </c>
      <c r="T823" s="6">
        <v>0.0</v>
      </c>
      <c r="U823" s="6">
        <v>0.0</v>
      </c>
    </row>
    <row r="824">
      <c r="A824" s="6" t="s">
        <v>927</v>
      </c>
      <c r="B824" s="6" t="s">
        <v>11576</v>
      </c>
      <c r="C824" s="6" t="s">
        <v>11570</v>
      </c>
      <c r="D824" s="6" t="s">
        <v>22</v>
      </c>
      <c r="E824" s="6" t="s">
        <v>928</v>
      </c>
      <c r="F824" s="6" t="s">
        <v>125</v>
      </c>
      <c r="G824" s="6" t="s">
        <v>2939</v>
      </c>
      <c r="H824" s="6">
        <v>9.0</v>
      </c>
      <c r="I824" s="6">
        <v>0.0</v>
      </c>
      <c r="J824" s="6" t="s">
        <v>11590</v>
      </c>
      <c r="K824" s="6" t="s">
        <v>11590</v>
      </c>
      <c r="L824" s="6">
        <v>0.0</v>
      </c>
      <c r="M824" s="6">
        <v>0.0</v>
      </c>
      <c r="N824" s="669">
        <v>1682000.0</v>
      </c>
      <c r="O824" s="6">
        <v>0.0</v>
      </c>
      <c r="P824" s="6">
        <v>0.0</v>
      </c>
      <c r="Q824" s="6">
        <v>0.0</v>
      </c>
      <c r="R824" s="6">
        <v>0.0</v>
      </c>
      <c r="S824" s="6">
        <v>0.0</v>
      </c>
      <c r="T824" s="6">
        <v>0.0</v>
      </c>
      <c r="U824" s="6">
        <v>0.0</v>
      </c>
    </row>
    <row r="825">
      <c r="A825" s="6" t="s">
        <v>929</v>
      </c>
      <c r="B825" s="6" t="s">
        <v>11576</v>
      </c>
      <c r="C825" s="6" t="s">
        <v>11579</v>
      </c>
      <c r="D825" s="6" t="s">
        <v>41</v>
      </c>
      <c r="E825" s="6" t="s">
        <v>928</v>
      </c>
      <c r="F825" s="6" t="s">
        <v>1377</v>
      </c>
      <c r="G825" s="6" t="s">
        <v>2939</v>
      </c>
      <c r="H825" s="6">
        <v>0.0</v>
      </c>
      <c r="I825" s="6">
        <v>0.0</v>
      </c>
      <c r="J825" s="6">
        <v>0.0</v>
      </c>
      <c r="K825" s="6">
        <v>0.0</v>
      </c>
      <c r="L825" s="6">
        <v>0.0</v>
      </c>
      <c r="M825" s="6">
        <v>0.0</v>
      </c>
      <c r="N825" s="669">
        <v>1206000.0</v>
      </c>
      <c r="O825" s="6">
        <v>0.0</v>
      </c>
      <c r="P825" s="6">
        <v>0.0</v>
      </c>
      <c r="Q825" s="6">
        <v>0.0</v>
      </c>
      <c r="R825" s="6">
        <v>0.0</v>
      </c>
      <c r="S825" s="6" t="s">
        <v>11590</v>
      </c>
      <c r="T825" s="6">
        <v>0.0</v>
      </c>
      <c r="U825" s="6">
        <v>0.0</v>
      </c>
    </row>
    <row r="826">
      <c r="A826" s="6" t="s">
        <v>930</v>
      </c>
      <c r="B826" s="6" t="s">
        <v>11578</v>
      </c>
      <c r="C826" s="6" t="s">
        <v>11591</v>
      </c>
      <c r="D826" s="6" t="s">
        <v>128</v>
      </c>
      <c r="E826" s="6" t="s">
        <v>928</v>
      </c>
      <c r="G826" s="6" t="s">
        <v>2939</v>
      </c>
      <c r="H826" s="6" t="s">
        <v>11590</v>
      </c>
      <c r="I826" s="6">
        <v>0.0</v>
      </c>
      <c r="J826" s="6">
        <v>0.0</v>
      </c>
      <c r="K826" s="6">
        <v>0.0</v>
      </c>
      <c r="L826" s="6">
        <v>0.0</v>
      </c>
      <c r="M826" s="6">
        <v>0.0</v>
      </c>
      <c r="N826" s="669">
        <v>506000.0</v>
      </c>
      <c r="O826" s="6">
        <v>0.0</v>
      </c>
      <c r="P826" s="6">
        <v>0.0</v>
      </c>
      <c r="Q826" s="6">
        <v>0.0</v>
      </c>
      <c r="R826" s="6">
        <v>0.0</v>
      </c>
      <c r="S826" s="6">
        <v>0.0</v>
      </c>
      <c r="T826" s="6">
        <v>0.0</v>
      </c>
      <c r="U826" s="6">
        <v>0.0</v>
      </c>
    </row>
    <row r="827">
      <c r="A827" s="6" t="s">
        <v>931</v>
      </c>
      <c r="B827" s="6" t="s">
        <v>11578</v>
      </c>
      <c r="C827" s="6" t="s">
        <v>11591</v>
      </c>
      <c r="D827" s="6" t="s">
        <v>130</v>
      </c>
      <c r="E827" s="6" t="s">
        <v>928</v>
      </c>
      <c r="G827" s="6" t="s">
        <v>2939</v>
      </c>
      <c r="H827" s="6">
        <v>9.0</v>
      </c>
      <c r="I827" s="6">
        <v>0.0</v>
      </c>
      <c r="J827" s="6">
        <v>0.0</v>
      </c>
      <c r="K827" s="6">
        <v>0.0</v>
      </c>
      <c r="L827" s="6">
        <v>0.0</v>
      </c>
      <c r="M827" s="6">
        <v>0.0</v>
      </c>
      <c r="N827" s="669">
        <v>506000.0</v>
      </c>
      <c r="O827" s="6">
        <v>0.0</v>
      </c>
      <c r="P827" s="6">
        <v>0.0</v>
      </c>
      <c r="Q827" s="6">
        <v>0.0</v>
      </c>
      <c r="R827" s="6">
        <v>0.0</v>
      </c>
      <c r="S827" s="6">
        <v>0.0</v>
      </c>
      <c r="T827" s="6">
        <v>0.0</v>
      </c>
      <c r="U827" s="6">
        <v>0.0</v>
      </c>
    </row>
    <row r="828">
      <c r="A828" s="6" t="s">
        <v>932</v>
      </c>
      <c r="B828" s="6" t="s">
        <v>11578</v>
      </c>
      <c r="C828" s="6" t="s">
        <v>11591</v>
      </c>
      <c r="D828" s="6" t="s">
        <v>132</v>
      </c>
      <c r="E828" s="6" t="s">
        <v>928</v>
      </c>
      <c r="G828" s="6" t="s">
        <v>2939</v>
      </c>
      <c r="H828" s="6">
        <v>9.0</v>
      </c>
      <c r="I828" s="6">
        <v>0.0</v>
      </c>
      <c r="J828" s="6">
        <v>0.0</v>
      </c>
      <c r="K828" s="6">
        <v>0.0</v>
      </c>
      <c r="L828" s="6">
        <v>0.0</v>
      </c>
      <c r="M828" s="6">
        <v>0.0</v>
      </c>
      <c r="N828" s="669">
        <v>356000.0</v>
      </c>
      <c r="O828" s="6">
        <v>0.0</v>
      </c>
      <c r="P828" s="6">
        <v>0.0</v>
      </c>
      <c r="Q828" s="6">
        <v>0.0</v>
      </c>
      <c r="R828" s="6">
        <v>0.0</v>
      </c>
      <c r="S828" s="6">
        <v>0.0</v>
      </c>
      <c r="T828" s="6">
        <v>0.0</v>
      </c>
      <c r="U828" s="6">
        <v>0.0</v>
      </c>
    </row>
    <row r="829">
      <c r="A829" s="6" t="s">
        <v>933</v>
      </c>
      <c r="B829" s="6" t="s">
        <v>11578</v>
      </c>
      <c r="C829" s="6" t="s">
        <v>11591</v>
      </c>
      <c r="D829" s="6" t="s">
        <v>134</v>
      </c>
      <c r="E829" s="6" t="s">
        <v>928</v>
      </c>
      <c r="G829" s="6" t="s">
        <v>2939</v>
      </c>
      <c r="H829" s="6">
        <v>10.0</v>
      </c>
      <c r="I829" s="6">
        <v>0.0</v>
      </c>
      <c r="J829" s="6">
        <v>0.0</v>
      </c>
      <c r="K829" s="6">
        <v>0.0</v>
      </c>
      <c r="L829" s="6">
        <v>0.0</v>
      </c>
      <c r="M829" s="6">
        <v>0.0</v>
      </c>
      <c r="N829" s="669">
        <v>356000.0</v>
      </c>
      <c r="O829" s="6">
        <v>0.0</v>
      </c>
      <c r="P829" s="6">
        <v>0.0</v>
      </c>
      <c r="Q829" s="6">
        <v>0.0</v>
      </c>
      <c r="R829" s="6">
        <v>0.0</v>
      </c>
      <c r="S829" s="6">
        <v>0.0</v>
      </c>
      <c r="T829" s="6">
        <v>0.0</v>
      </c>
      <c r="U829" s="6">
        <v>0.0</v>
      </c>
    </row>
    <row r="830">
      <c r="A830" s="6" t="s">
        <v>11919</v>
      </c>
      <c r="B830" s="6" t="s">
        <v>11569</v>
      </c>
      <c r="C830" s="6" t="s">
        <v>11570</v>
      </c>
      <c r="D830" s="6" t="s">
        <v>22</v>
      </c>
      <c r="E830" s="6" t="s">
        <v>11920</v>
      </c>
      <c r="F830" s="6" t="s">
        <v>75</v>
      </c>
      <c r="G830" s="6" t="s">
        <v>2939</v>
      </c>
      <c r="H830" s="6">
        <v>0.0</v>
      </c>
      <c r="I830" s="6">
        <v>0.0</v>
      </c>
      <c r="J830" s="6">
        <v>2.0</v>
      </c>
      <c r="K830" s="6">
        <v>0.0</v>
      </c>
      <c r="L830" s="6">
        <v>0.0</v>
      </c>
      <c r="M830" s="6">
        <v>0.0</v>
      </c>
      <c r="N830" s="669">
        <v>2400000.0</v>
      </c>
      <c r="O830" s="6">
        <v>0.0</v>
      </c>
      <c r="P830" s="6">
        <v>0.0</v>
      </c>
      <c r="Q830" s="6">
        <v>0.0</v>
      </c>
      <c r="R830" s="6">
        <v>0.0</v>
      </c>
      <c r="S830" s="6">
        <v>0.0</v>
      </c>
      <c r="T830" s="6">
        <v>0.0</v>
      </c>
      <c r="U830" s="6">
        <v>0.0</v>
      </c>
    </row>
    <row r="831">
      <c r="A831" s="6" t="s">
        <v>2072</v>
      </c>
      <c r="B831" s="6" t="s">
        <v>11653</v>
      </c>
      <c r="C831" s="6" t="s">
        <v>11570</v>
      </c>
      <c r="D831" s="6" t="s">
        <v>22</v>
      </c>
      <c r="E831" s="6" t="s">
        <v>2073</v>
      </c>
      <c r="F831" s="6" t="s">
        <v>125</v>
      </c>
      <c r="G831" s="6" t="s">
        <v>2939</v>
      </c>
      <c r="H831" s="6">
        <v>0.0</v>
      </c>
      <c r="I831" s="6">
        <v>0.0</v>
      </c>
      <c r="J831" s="6">
        <v>0.0</v>
      </c>
      <c r="K831" s="6">
        <v>0.0</v>
      </c>
      <c r="L831" s="6">
        <v>0.0</v>
      </c>
      <c r="M831" s="6">
        <v>0.0</v>
      </c>
      <c r="N831" s="669">
        <v>2039000.0</v>
      </c>
      <c r="O831" s="6">
        <v>10.0</v>
      </c>
      <c r="P831" s="6">
        <v>0.0</v>
      </c>
      <c r="Q831" s="6">
        <v>0.0</v>
      </c>
      <c r="R831" s="6">
        <v>0.0</v>
      </c>
      <c r="S831" s="6">
        <v>0.0</v>
      </c>
      <c r="T831" s="6">
        <v>0.0</v>
      </c>
      <c r="U831" s="6">
        <v>0.0</v>
      </c>
    </row>
    <row r="832">
      <c r="A832" s="6" t="s">
        <v>934</v>
      </c>
      <c r="B832" s="6" t="s">
        <v>11630</v>
      </c>
      <c r="C832" s="6" t="s">
        <v>11570</v>
      </c>
      <c r="D832" s="6" t="s">
        <v>22</v>
      </c>
      <c r="E832" s="6" t="s">
        <v>11921</v>
      </c>
      <c r="F832" s="6" t="s">
        <v>125</v>
      </c>
      <c r="G832" s="6" t="s">
        <v>2939</v>
      </c>
      <c r="H832" s="6">
        <v>0.0</v>
      </c>
      <c r="I832" s="6">
        <v>0.0</v>
      </c>
      <c r="J832" s="6" t="s">
        <v>11590</v>
      </c>
      <c r="K832" s="6">
        <v>9.0</v>
      </c>
      <c r="L832" s="6">
        <v>0.0</v>
      </c>
      <c r="M832" s="6">
        <v>1.0</v>
      </c>
      <c r="N832" s="669">
        <v>1092000.0</v>
      </c>
      <c r="O832" s="6" t="s">
        <v>11590</v>
      </c>
      <c r="P832" s="6" t="s">
        <v>11590</v>
      </c>
      <c r="Q832" s="6">
        <v>0.0</v>
      </c>
      <c r="R832" s="6">
        <v>0.0</v>
      </c>
      <c r="S832" s="6" t="s">
        <v>11590</v>
      </c>
      <c r="T832" s="6" t="s">
        <v>11590</v>
      </c>
      <c r="U832" s="6" t="s">
        <v>11590</v>
      </c>
    </row>
    <row r="833">
      <c r="A833" s="6" t="s">
        <v>936</v>
      </c>
      <c r="B833" s="6" t="s">
        <v>11576</v>
      </c>
      <c r="C833" s="6" t="s">
        <v>11579</v>
      </c>
      <c r="D833" s="6" t="s">
        <v>41</v>
      </c>
      <c r="E833" s="6" t="s">
        <v>11922</v>
      </c>
      <c r="F833" s="6" t="s">
        <v>2193</v>
      </c>
      <c r="G833" s="6" t="s">
        <v>2939</v>
      </c>
      <c r="H833" s="6">
        <v>0.0</v>
      </c>
      <c r="I833" s="6">
        <v>0.0</v>
      </c>
      <c r="J833" s="6" t="s">
        <v>11590</v>
      </c>
      <c r="K833" s="6">
        <v>0.0</v>
      </c>
      <c r="L833" s="6">
        <v>0.0</v>
      </c>
      <c r="M833" s="6">
        <v>0.0</v>
      </c>
      <c r="N833" s="669">
        <v>849000.0</v>
      </c>
      <c r="O833" s="6">
        <v>0.0</v>
      </c>
      <c r="P833" s="6">
        <v>0.0</v>
      </c>
      <c r="Q833" s="6">
        <v>0.0</v>
      </c>
      <c r="R833" s="6">
        <v>0.0</v>
      </c>
      <c r="S833" s="6" t="s">
        <v>11590</v>
      </c>
      <c r="T833" s="6" t="s">
        <v>11590</v>
      </c>
      <c r="U833" s="6" t="s">
        <v>11590</v>
      </c>
    </row>
    <row r="834">
      <c r="A834" s="6" t="s">
        <v>1650</v>
      </c>
      <c r="B834" s="6" t="s">
        <v>11569</v>
      </c>
      <c r="C834" s="6" t="s">
        <v>11579</v>
      </c>
      <c r="D834" s="6" t="s">
        <v>41</v>
      </c>
      <c r="E834" s="6" t="s">
        <v>11923</v>
      </c>
      <c r="F834" s="6" t="s">
        <v>2193</v>
      </c>
      <c r="G834" s="6" t="s">
        <v>2939</v>
      </c>
      <c r="H834" s="6">
        <v>0.0</v>
      </c>
      <c r="I834" s="6">
        <v>0.0</v>
      </c>
      <c r="J834" s="6" t="s">
        <v>11590</v>
      </c>
      <c r="K834" s="6" t="s">
        <v>11590</v>
      </c>
      <c r="L834" s="6">
        <v>0.0</v>
      </c>
      <c r="M834" s="6">
        <v>0.0</v>
      </c>
      <c r="N834" s="669">
        <v>955000.0</v>
      </c>
      <c r="O834" s="6">
        <v>0.0</v>
      </c>
      <c r="P834" s="6">
        <v>0.0</v>
      </c>
      <c r="Q834" s="6">
        <v>0.0</v>
      </c>
      <c r="R834" s="6">
        <v>0.0</v>
      </c>
      <c r="S834" s="6" t="s">
        <v>11590</v>
      </c>
      <c r="T834" s="6">
        <v>0.0</v>
      </c>
      <c r="U834" s="6">
        <v>0.0</v>
      </c>
    </row>
    <row r="835">
      <c r="A835" s="6" t="s">
        <v>938</v>
      </c>
      <c r="B835" s="6" t="s">
        <v>11578</v>
      </c>
      <c r="C835" s="6" t="s">
        <v>11591</v>
      </c>
      <c r="D835" s="6" t="s">
        <v>128</v>
      </c>
      <c r="E835" s="6" t="s">
        <v>935</v>
      </c>
      <c r="G835" s="6" t="s">
        <v>2939</v>
      </c>
      <c r="H835" s="6">
        <v>0.0</v>
      </c>
      <c r="I835" s="6">
        <v>0.0</v>
      </c>
      <c r="J835" s="6">
        <v>0.0</v>
      </c>
      <c r="K835" s="6">
        <v>0.0</v>
      </c>
      <c r="L835" s="6">
        <v>0.0</v>
      </c>
      <c r="M835" s="6">
        <v>0.0</v>
      </c>
      <c r="N835" s="669">
        <v>356000.0</v>
      </c>
      <c r="O835" s="6">
        <v>0.0</v>
      </c>
      <c r="P835" s="6">
        <v>0.0</v>
      </c>
      <c r="Q835" s="6">
        <v>0.0</v>
      </c>
      <c r="R835" s="6">
        <v>0.0</v>
      </c>
      <c r="S835" s="6">
        <v>0.0</v>
      </c>
      <c r="T835" s="6">
        <v>0.0</v>
      </c>
      <c r="U835" s="6">
        <v>0.0</v>
      </c>
    </row>
    <row r="836">
      <c r="A836" s="6" t="s">
        <v>11924</v>
      </c>
      <c r="B836" s="6" t="s">
        <v>11569</v>
      </c>
      <c r="C836" s="6" t="s">
        <v>11591</v>
      </c>
      <c r="D836" s="6" t="s">
        <v>202</v>
      </c>
      <c r="E836" s="6" t="s">
        <v>11497</v>
      </c>
      <c r="F836" s="6" t="s">
        <v>97</v>
      </c>
      <c r="G836" s="6" t="s">
        <v>2939</v>
      </c>
      <c r="H836" s="6">
        <v>0.0</v>
      </c>
      <c r="I836" s="6">
        <v>0.0</v>
      </c>
      <c r="J836" s="6" t="s">
        <v>11590</v>
      </c>
      <c r="K836" s="6">
        <v>0.0</v>
      </c>
      <c r="L836" s="6">
        <v>0.0</v>
      </c>
      <c r="M836" s="6">
        <v>0.0</v>
      </c>
      <c r="N836" s="669">
        <v>648000.0</v>
      </c>
      <c r="O836" s="6">
        <v>0.0</v>
      </c>
      <c r="P836" s="6">
        <v>0.0</v>
      </c>
      <c r="Q836" s="6">
        <v>0.0</v>
      </c>
      <c r="R836" s="6">
        <v>0.0</v>
      </c>
      <c r="S836" s="6">
        <v>0.0</v>
      </c>
      <c r="T836" s="6">
        <v>0.0</v>
      </c>
      <c r="U836" s="6">
        <v>0.0</v>
      </c>
    </row>
    <row r="837">
      <c r="A837" s="6" t="s">
        <v>11925</v>
      </c>
      <c r="B837" s="6" t="s">
        <v>11569</v>
      </c>
      <c r="C837" s="6" t="s">
        <v>11591</v>
      </c>
      <c r="D837" s="6" t="s">
        <v>236</v>
      </c>
      <c r="E837" s="6" t="s">
        <v>11497</v>
      </c>
      <c r="F837" s="6" t="s">
        <v>97</v>
      </c>
      <c r="G837" s="6" t="s">
        <v>2939</v>
      </c>
      <c r="H837" s="6">
        <v>0.0</v>
      </c>
      <c r="I837" s="6">
        <v>0.0</v>
      </c>
      <c r="J837" s="6">
        <v>9.0</v>
      </c>
      <c r="K837" s="6">
        <v>0.0</v>
      </c>
      <c r="L837" s="6">
        <v>0.0</v>
      </c>
      <c r="M837" s="6">
        <v>0.0</v>
      </c>
      <c r="N837" s="669">
        <v>648000.0</v>
      </c>
      <c r="O837" s="6">
        <v>0.0</v>
      </c>
      <c r="P837" s="6">
        <v>0.0</v>
      </c>
      <c r="Q837" s="6">
        <v>0.0</v>
      </c>
      <c r="R837" s="6">
        <v>0.0</v>
      </c>
      <c r="S837" s="6">
        <v>0.0</v>
      </c>
      <c r="T837" s="6">
        <v>0.0</v>
      </c>
      <c r="U837" s="6">
        <v>0.0</v>
      </c>
    </row>
    <row r="838">
      <c r="A838" s="6" t="s">
        <v>939</v>
      </c>
      <c r="B838" s="6" t="s">
        <v>11630</v>
      </c>
      <c r="C838" s="6" t="s">
        <v>11570</v>
      </c>
      <c r="D838" s="6" t="s">
        <v>22</v>
      </c>
      <c r="E838" s="6" t="s">
        <v>940</v>
      </c>
      <c r="F838" s="6" t="s">
        <v>125</v>
      </c>
      <c r="G838" s="6" t="s">
        <v>2939</v>
      </c>
      <c r="H838" s="6">
        <v>0.0</v>
      </c>
      <c r="I838" s="6">
        <v>0.0</v>
      </c>
      <c r="J838" s="6">
        <v>0.0</v>
      </c>
      <c r="K838" s="6">
        <v>0.0</v>
      </c>
      <c r="L838" s="6">
        <v>0.0</v>
      </c>
      <c r="M838" s="6">
        <v>0.0</v>
      </c>
      <c r="N838" s="669">
        <v>1143000.0</v>
      </c>
      <c r="O838" s="6">
        <v>10.0</v>
      </c>
      <c r="P838" s="6">
        <v>0.0</v>
      </c>
      <c r="Q838" s="6">
        <v>0.0</v>
      </c>
      <c r="R838" s="6">
        <v>0.0</v>
      </c>
      <c r="S838" s="6" t="s">
        <v>11590</v>
      </c>
      <c r="T838" s="6" t="s">
        <v>11590</v>
      </c>
      <c r="U838" s="6">
        <v>0.0</v>
      </c>
    </row>
    <row r="839">
      <c r="A839" s="6" t="s">
        <v>941</v>
      </c>
      <c r="B839" s="6" t="s">
        <v>11576</v>
      </c>
      <c r="C839" s="6" t="s">
        <v>11579</v>
      </c>
      <c r="D839" s="6" t="s">
        <v>41</v>
      </c>
      <c r="E839" s="6" t="s">
        <v>940</v>
      </c>
      <c r="F839" s="6" t="s">
        <v>2193</v>
      </c>
      <c r="G839" s="6" t="s">
        <v>2939</v>
      </c>
      <c r="H839" s="6">
        <v>0.0</v>
      </c>
      <c r="I839" s="6">
        <v>0.0</v>
      </c>
      <c r="J839" s="6">
        <v>0.0</v>
      </c>
      <c r="K839" s="6" t="s">
        <v>11590</v>
      </c>
      <c r="L839" s="6">
        <v>0.0</v>
      </c>
      <c r="M839" s="6">
        <v>0.0</v>
      </c>
      <c r="N839" s="669">
        <v>818000.0</v>
      </c>
      <c r="O839" s="6">
        <v>0.0</v>
      </c>
      <c r="P839" s="6">
        <v>0.0</v>
      </c>
      <c r="Q839" s="6">
        <v>0.0</v>
      </c>
      <c r="R839" s="6">
        <v>0.0</v>
      </c>
      <c r="S839" s="6" t="s">
        <v>11590</v>
      </c>
      <c r="T839" s="6">
        <v>0.0</v>
      </c>
      <c r="U839" s="6">
        <v>0.0</v>
      </c>
    </row>
    <row r="840">
      <c r="A840" s="6" t="s">
        <v>942</v>
      </c>
      <c r="B840" s="6" t="s">
        <v>11576</v>
      </c>
      <c r="C840" s="6" t="s">
        <v>11591</v>
      </c>
      <c r="D840" s="6" t="s">
        <v>128</v>
      </c>
      <c r="E840" s="6" t="s">
        <v>940</v>
      </c>
      <c r="G840" s="6" t="s">
        <v>2939</v>
      </c>
      <c r="H840" s="6">
        <v>0.0</v>
      </c>
      <c r="I840" s="6">
        <v>0.0</v>
      </c>
      <c r="J840" s="6">
        <v>4.0</v>
      </c>
      <c r="K840" s="6">
        <v>0.0</v>
      </c>
      <c r="L840" s="6">
        <v>0.0</v>
      </c>
      <c r="M840" s="6">
        <v>0.0</v>
      </c>
      <c r="N840" s="669">
        <v>470000.0</v>
      </c>
      <c r="O840" s="6">
        <v>0.0</v>
      </c>
      <c r="P840" s="6">
        <v>0.0</v>
      </c>
      <c r="Q840" s="6">
        <v>0.0</v>
      </c>
      <c r="R840" s="6">
        <v>0.0</v>
      </c>
      <c r="S840" s="6">
        <v>0.0</v>
      </c>
      <c r="T840" s="6">
        <v>0.0</v>
      </c>
      <c r="U840" s="6">
        <v>0.0</v>
      </c>
    </row>
    <row r="841">
      <c r="A841" s="6" t="s">
        <v>943</v>
      </c>
      <c r="B841" s="6" t="s">
        <v>11576</v>
      </c>
      <c r="C841" s="6" t="s">
        <v>11591</v>
      </c>
      <c r="D841" s="6" t="s">
        <v>130</v>
      </c>
      <c r="E841" s="6" t="s">
        <v>940</v>
      </c>
      <c r="G841" s="6" t="s">
        <v>2939</v>
      </c>
      <c r="H841" s="6">
        <v>0.0</v>
      </c>
      <c r="I841" s="6">
        <v>0.0</v>
      </c>
      <c r="J841" s="6">
        <v>0.0</v>
      </c>
      <c r="K841" s="6">
        <v>0.0</v>
      </c>
      <c r="L841" s="6">
        <v>0.0</v>
      </c>
      <c r="M841" s="6">
        <v>0.0</v>
      </c>
      <c r="N841" s="669">
        <v>470000.0</v>
      </c>
      <c r="O841" s="6">
        <v>0.0</v>
      </c>
      <c r="P841" s="6">
        <v>0.0</v>
      </c>
      <c r="Q841" s="6">
        <v>0.0</v>
      </c>
      <c r="R841" s="6">
        <v>0.0</v>
      </c>
      <c r="S841" s="6">
        <v>0.0</v>
      </c>
      <c r="T841" s="6">
        <v>0.0</v>
      </c>
      <c r="U841" s="6">
        <v>0.0</v>
      </c>
    </row>
    <row r="842">
      <c r="A842" s="6" t="s">
        <v>944</v>
      </c>
      <c r="B842" s="6" t="s">
        <v>11578</v>
      </c>
      <c r="C842" s="6" t="s">
        <v>11591</v>
      </c>
      <c r="D842" s="6" t="s">
        <v>132</v>
      </c>
      <c r="E842" s="6" t="s">
        <v>940</v>
      </c>
      <c r="G842" s="6" t="s">
        <v>2939</v>
      </c>
      <c r="H842" s="6">
        <v>6.0</v>
      </c>
      <c r="I842" s="6">
        <v>0.0</v>
      </c>
      <c r="J842" s="6">
        <v>0.0</v>
      </c>
      <c r="K842" s="6">
        <v>0.0</v>
      </c>
      <c r="L842" s="6">
        <v>0.0</v>
      </c>
      <c r="M842" s="6">
        <v>0.0</v>
      </c>
      <c r="N842" s="669">
        <v>224000.0</v>
      </c>
      <c r="O842" s="6">
        <v>0.0</v>
      </c>
      <c r="P842" s="6">
        <v>0.0</v>
      </c>
      <c r="Q842" s="6">
        <v>0.0</v>
      </c>
      <c r="R842" s="6">
        <v>0.0</v>
      </c>
      <c r="S842" s="6">
        <v>0.0</v>
      </c>
      <c r="T842" s="6">
        <v>0.0</v>
      </c>
      <c r="U842" s="6">
        <v>0.0</v>
      </c>
    </row>
    <row r="843">
      <c r="A843" s="6" t="s">
        <v>945</v>
      </c>
      <c r="B843" s="6" t="s">
        <v>11578</v>
      </c>
      <c r="C843" s="6" t="s">
        <v>11591</v>
      </c>
      <c r="D843" s="6" t="s">
        <v>134</v>
      </c>
      <c r="E843" s="6" t="s">
        <v>940</v>
      </c>
      <c r="G843" s="6" t="s">
        <v>2939</v>
      </c>
      <c r="H843" s="6">
        <v>6.0</v>
      </c>
      <c r="I843" s="6">
        <v>0.0</v>
      </c>
      <c r="J843" s="6">
        <v>0.0</v>
      </c>
      <c r="K843" s="6">
        <v>0.0</v>
      </c>
      <c r="L843" s="6">
        <v>0.0</v>
      </c>
      <c r="M843" s="6">
        <v>0.0</v>
      </c>
      <c r="N843" s="669">
        <v>224000.0</v>
      </c>
      <c r="O843" s="6">
        <v>0.0</v>
      </c>
      <c r="P843" s="6">
        <v>0.0</v>
      </c>
      <c r="Q843" s="6">
        <v>0.0</v>
      </c>
      <c r="R843" s="6">
        <v>0.0</v>
      </c>
      <c r="S843" s="6">
        <v>0.0</v>
      </c>
      <c r="T843" s="6">
        <v>0.0</v>
      </c>
      <c r="U843" s="6">
        <v>0.0</v>
      </c>
    </row>
    <row r="844">
      <c r="A844" s="6" t="s">
        <v>946</v>
      </c>
      <c r="B844" s="6" t="s">
        <v>11576</v>
      </c>
      <c r="C844" s="6" t="s">
        <v>11570</v>
      </c>
      <c r="D844" s="6" t="s">
        <v>22</v>
      </c>
      <c r="E844" s="6" t="s">
        <v>947</v>
      </c>
      <c r="F844" s="6" t="s">
        <v>125</v>
      </c>
      <c r="G844" s="6" t="s">
        <v>2939</v>
      </c>
      <c r="H844" s="6">
        <v>0.0</v>
      </c>
      <c r="I844" s="6">
        <v>0.0</v>
      </c>
      <c r="J844" s="6">
        <v>2.0</v>
      </c>
      <c r="K844" s="6">
        <v>0.0</v>
      </c>
      <c r="L844" s="6">
        <v>0.0</v>
      </c>
      <c r="M844" s="6">
        <v>0.0</v>
      </c>
      <c r="N844" s="669">
        <v>4032000.0</v>
      </c>
      <c r="O844" s="6">
        <v>0.0</v>
      </c>
      <c r="P844" s="6">
        <v>0.0</v>
      </c>
      <c r="Q844" s="6">
        <v>0.0</v>
      </c>
      <c r="R844" s="6">
        <v>0.0</v>
      </c>
      <c r="S844" s="6">
        <v>0.0</v>
      </c>
      <c r="T844" s="6">
        <v>0.0</v>
      </c>
      <c r="U844" s="6">
        <v>0.0</v>
      </c>
    </row>
    <row r="845">
      <c r="A845" s="6" t="s">
        <v>948</v>
      </c>
      <c r="B845" s="6" t="s">
        <v>11578</v>
      </c>
      <c r="C845" s="6" t="s">
        <v>11579</v>
      </c>
      <c r="D845" s="6" t="s">
        <v>41</v>
      </c>
      <c r="E845" s="6" t="s">
        <v>947</v>
      </c>
      <c r="F845" s="6" t="s">
        <v>1377</v>
      </c>
      <c r="G845" s="6" t="s">
        <v>2939</v>
      </c>
      <c r="H845" s="6">
        <v>6.0</v>
      </c>
      <c r="I845" s="6">
        <v>0.0</v>
      </c>
      <c r="J845" s="6">
        <v>0.0</v>
      </c>
      <c r="K845" s="6">
        <v>0.0</v>
      </c>
      <c r="L845" s="6">
        <v>0.0</v>
      </c>
      <c r="M845" s="6">
        <v>0.0</v>
      </c>
      <c r="N845" s="669">
        <v>3532000.0</v>
      </c>
      <c r="O845" s="6">
        <v>0.0</v>
      </c>
      <c r="P845" s="6">
        <v>0.0</v>
      </c>
      <c r="Q845" s="6">
        <v>0.0</v>
      </c>
      <c r="R845" s="6">
        <v>0.0</v>
      </c>
      <c r="S845" s="6">
        <v>0.0</v>
      </c>
      <c r="T845" s="6">
        <v>0.0</v>
      </c>
      <c r="U845" s="6">
        <v>0.0</v>
      </c>
    </row>
    <row r="846">
      <c r="A846" s="6" t="s">
        <v>949</v>
      </c>
      <c r="B846" s="6" t="s">
        <v>11576</v>
      </c>
      <c r="C846" s="6" t="s">
        <v>11570</v>
      </c>
      <c r="D846" s="6" t="s">
        <v>22</v>
      </c>
      <c r="E846" s="6" t="s">
        <v>950</v>
      </c>
      <c r="F846" s="6" t="s">
        <v>125</v>
      </c>
      <c r="G846" s="6" t="s">
        <v>2939</v>
      </c>
      <c r="H846" s="6">
        <v>0.0</v>
      </c>
      <c r="I846" s="6">
        <v>0.0</v>
      </c>
      <c r="J846" s="6">
        <v>3.0</v>
      </c>
      <c r="K846" s="6">
        <v>0.0</v>
      </c>
      <c r="L846" s="6">
        <v>0.0</v>
      </c>
      <c r="M846" s="6">
        <v>0.0</v>
      </c>
      <c r="N846" s="669">
        <v>4032000.0</v>
      </c>
      <c r="O846" s="6">
        <v>0.0</v>
      </c>
      <c r="P846" s="6">
        <v>0.0</v>
      </c>
      <c r="Q846" s="6">
        <v>0.0</v>
      </c>
      <c r="R846" s="6">
        <v>0.0</v>
      </c>
      <c r="S846" s="6">
        <v>0.0</v>
      </c>
      <c r="T846" s="6">
        <v>0.0</v>
      </c>
      <c r="U846" s="6">
        <v>0.0</v>
      </c>
    </row>
    <row r="847">
      <c r="A847" s="6" t="s">
        <v>951</v>
      </c>
      <c r="B847" s="6" t="s">
        <v>11578</v>
      </c>
      <c r="C847" s="6" t="s">
        <v>11579</v>
      </c>
      <c r="D847" s="6" t="s">
        <v>41</v>
      </c>
      <c r="E847" s="6" t="s">
        <v>950</v>
      </c>
      <c r="F847" s="6" t="s">
        <v>1377</v>
      </c>
      <c r="G847" s="6" t="s">
        <v>2939</v>
      </c>
      <c r="H847" s="6">
        <v>6.0</v>
      </c>
      <c r="I847" s="6">
        <v>0.0</v>
      </c>
      <c r="J847" s="6">
        <v>0.0</v>
      </c>
      <c r="K847" s="6">
        <v>0.0</v>
      </c>
      <c r="L847" s="6">
        <v>0.0</v>
      </c>
      <c r="M847" s="6">
        <v>0.0</v>
      </c>
      <c r="N847" s="669">
        <v>3532000.0</v>
      </c>
      <c r="O847" s="6">
        <v>0.0</v>
      </c>
      <c r="P847" s="6">
        <v>0.0</v>
      </c>
      <c r="Q847" s="6">
        <v>0.0</v>
      </c>
      <c r="R847" s="6">
        <v>0.0</v>
      </c>
      <c r="S847" s="6">
        <v>0.0</v>
      </c>
      <c r="T847" s="6">
        <v>0.0</v>
      </c>
      <c r="U847" s="6">
        <v>0.0</v>
      </c>
    </row>
    <row r="848">
      <c r="A848" s="6" t="s">
        <v>952</v>
      </c>
      <c r="B848" s="6" t="s">
        <v>11578</v>
      </c>
      <c r="C848" s="6" t="s">
        <v>11591</v>
      </c>
      <c r="D848" s="6" t="s">
        <v>132</v>
      </c>
      <c r="E848" s="6" t="s">
        <v>950</v>
      </c>
      <c r="G848" s="6" t="s">
        <v>2939</v>
      </c>
      <c r="H848" s="6" t="s">
        <v>11590</v>
      </c>
      <c r="I848" s="6">
        <v>0.0</v>
      </c>
      <c r="J848" s="6">
        <v>0.0</v>
      </c>
      <c r="K848" s="6">
        <v>0.0</v>
      </c>
      <c r="L848" s="6">
        <v>0.0</v>
      </c>
      <c r="M848" s="6">
        <v>0.0</v>
      </c>
      <c r="N848" s="669">
        <v>804000.0</v>
      </c>
      <c r="O848" s="6">
        <v>0.0</v>
      </c>
      <c r="P848" s="6">
        <v>0.0</v>
      </c>
      <c r="Q848" s="6">
        <v>0.0</v>
      </c>
      <c r="R848" s="6">
        <v>0.0</v>
      </c>
      <c r="S848" s="6">
        <v>0.0</v>
      </c>
      <c r="T848" s="6">
        <v>0.0</v>
      </c>
      <c r="U848" s="6">
        <v>0.0</v>
      </c>
    </row>
    <row r="849">
      <c r="A849" s="6" t="s">
        <v>953</v>
      </c>
      <c r="B849" s="6" t="s">
        <v>11578</v>
      </c>
      <c r="C849" s="6" t="s">
        <v>11591</v>
      </c>
      <c r="D849" s="6" t="s">
        <v>134</v>
      </c>
      <c r="E849" s="6" t="s">
        <v>950</v>
      </c>
      <c r="G849" s="6" t="s">
        <v>2939</v>
      </c>
      <c r="H849" s="6" t="s">
        <v>11590</v>
      </c>
      <c r="I849" s="6">
        <v>0.0</v>
      </c>
      <c r="J849" s="6">
        <v>0.0</v>
      </c>
      <c r="K849" s="6">
        <v>0.0</v>
      </c>
      <c r="L849" s="6">
        <v>0.0</v>
      </c>
      <c r="M849" s="6">
        <v>0.0</v>
      </c>
      <c r="N849" s="669">
        <v>804000.0</v>
      </c>
      <c r="O849" s="6">
        <v>0.0</v>
      </c>
      <c r="P849" s="6">
        <v>0.0</v>
      </c>
      <c r="Q849" s="6">
        <v>0.0</v>
      </c>
      <c r="R849" s="6">
        <v>0.0</v>
      </c>
      <c r="S849" s="6">
        <v>0.0</v>
      </c>
      <c r="T849" s="6">
        <v>0.0</v>
      </c>
      <c r="U849" s="6">
        <v>0.0</v>
      </c>
    </row>
    <row r="850">
      <c r="A850" s="6" t="s">
        <v>954</v>
      </c>
      <c r="B850" s="6" t="s">
        <v>11576</v>
      </c>
      <c r="C850" s="6" t="s">
        <v>11570</v>
      </c>
      <c r="D850" s="6" t="s">
        <v>22</v>
      </c>
      <c r="E850" s="6" t="s">
        <v>955</v>
      </c>
      <c r="F850" s="6" t="s">
        <v>125</v>
      </c>
      <c r="G850" s="6" t="s">
        <v>2939</v>
      </c>
      <c r="H850" s="6">
        <v>0.0</v>
      </c>
      <c r="I850" s="6">
        <v>0.0</v>
      </c>
      <c r="J850" s="6">
        <v>4.0</v>
      </c>
      <c r="K850" s="6">
        <v>1.0</v>
      </c>
      <c r="L850" s="6">
        <v>0.0</v>
      </c>
      <c r="M850" s="6">
        <v>0.0</v>
      </c>
      <c r="N850" s="669">
        <v>1967000.0</v>
      </c>
      <c r="O850" s="6">
        <v>0.0</v>
      </c>
      <c r="P850" s="6">
        <v>0.0</v>
      </c>
      <c r="Q850" s="6">
        <v>0.0</v>
      </c>
      <c r="R850" s="6">
        <v>0.0</v>
      </c>
      <c r="S850" s="6">
        <v>5.0</v>
      </c>
      <c r="T850" s="6">
        <v>0.0</v>
      </c>
      <c r="U850" s="6">
        <v>0.0</v>
      </c>
    </row>
    <row r="851">
      <c r="A851" s="6" t="s">
        <v>956</v>
      </c>
      <c r="B851" s="6" t="s">
        <v>11576</v>
      </c>
      <c r="C851" s="6" t="s">
        <v>11579</v>
      </c>
      <c r="D851" s="6" t="s">
        <v>41</v>
      </c>
      <c r="E851" s="6" t="s">
        <v>955</v>
      </c>
      <c r="F851" s="6" t="s">
        <v>2193</v>
      </c>
      <c r="G851" s="6" t="s">
        <v>2939</v>
      </c>
      <c r="H851" s="6">
        <v>6.0</v>
      </c>
      <c r="I851" s="6">
        <v>1.0</v>
      </c>
      <c r="J851" s="6">
        <v>0.0</v>
      </c>
      <c r="K851" s="6">
        <v>1.0</v>
      </c>
      <c r="L851" s="6">
        <v>0.0</v>
      </c>
      <c r="M851" s="6">
        <v>0.0</v>
      </c>
      <c r="N851" s="669">
        <v>1417000.0</v>
      </c>
      <c r="O851" s="6">
        <v>0.0</v>
      </c>
      <c r="P851" s="6">
        <v>0.0</v>
      </c>
      <c r="Q851" s="6">
        <v>0.0</v>
      </c>
      <c r="R851" s="6">
        <v>0.0</v>
      </c>
      <c r="S851" s="6">
        <v>0.0</v>
      </c>
      <c r="T851" s="6">
        <v>0.0</v>
      </c>
      <c r="U851" s="6">
        <v>0.0</v>
      </c>
    </row>
    <row r="852">
      <c r="A852" s="6" t="s">
        <v>957</v>
      </c>
      <c r="B852" s="6" t="s">
        <v>11576</v>
      </c>
      <c r="C852" s="6" t="s">
        <v>11591</v>
      </c>
      <c r="D852" s="6" t="s">
        <v>128</v>
      </c>
      <c r="E852" s="6" t="s">
        <v>955</v>
      </c>
      <c r="G852" s="6" t="s">
        <v>2939</v>
      </c>
      <c r="H852" s="6">
        <v>0.0</v>
      </c>
      <c r="I852" s="6">
        <v>0.0</v>
      </c>
      <c r="J852" s="6">
        <v>3.0</v>
      </c>
      <c r="K852" s="6">
        <v>0.0</v>
      </c>
      <c r="L852" s="6">
        <v>0.0</v>
      </c>
      <c r="M852" s="6">
        <v>0.0</v>
      </c>
      <c r="N852" s="669">
        <v>450000.0</v>
      </c>
      <c r="O852" s="6">
        <v>0.0</v>
      </c>
      <c r="P852" s="6">
        <v>0.0</v>
      </c>
      <c r="Q852" s="6">
        <v>0.0</v>
      </c>
      <c r="R852" s="6">
        <v>0.0</v>
      </c>
      <c r="S852" s="6">
        <v>0.0</v>
      </c>
      <c r="T852" s="6">
        <v>0.0</v>
      </c>
      <c r="U852" s="6">
        <v>0.0</v>
      </c>
    </row>
    <row r="853">
      <c r="A853" s="6" t="s">
        <v>958</v>
      </c>
      <c r="B853" s="6" t="s">
        <v>11576</v>
      </c>
      <c r="C853" s="6" t="s">
        <v>11591</v>
      </c>
      <c r="D853" s="6" t="s">
        <v>130</v>
      </c>
      <c r="E853" s="6" t="s">
        <v>955</v>
      </c>
      <c r="G853" s="6" t="s">
        <v>2939</v>
      </c>
      <c r="H853" s="6">
        <v>0.0</v>
      </c>
      <c r="I853" s="6">
        <v>0.0</v>
      </c>
      <c r="J853" s="6">
        <v>2.0</v>
      </c>
      <c r="K853" s="6">
        <v>0.0</v>
      </c>
      <c r="L853" s="6">
        <v>0.0</v>
      </c>
      <c r="M853" s="6">
        <v>0.0</v>
      </c>
      <c r="N853" s="669">
        <v>450000.0</v>
      </c>
      <c r="O853" s="6">
        <v>0.0</v>
      </c>
      <c r="P853" s="6">
        <v>0.0</v>
      </c>
      <c r="Q853" s="6">
        <v>0.0</v>
      </c>
      <c r="R853" s="6">
        <v>0.0</v>
      </c>
      <c r="S853" s="6">
        <v>0.0</v>
      </c>
      <c r="T853" s="6">
        <v>0.0</v>
      </c>
      <c r="U853" s="6">
        <v>0.0</v>
      </c>
    </row>
    <row r="854">
      <c r="A854" s="6" t="s">
        <v>959</v>
      </c>
      <c r="B854" s="6" t="s">
        <v>11578</v>
      </c>
      <c r="C854" s="6" t="s">
        <v>11591</v>
      </c>
      <c r="D854" s="6" t="s">
        <v>132</v>
      </c>
      <c r="E854" s="6" t="s">
        <v>955</v>
      </c>
      <c r="G854" s="6" t="s">
        <v>2939</v>
      </c>
      <c r="H854" s="6">
        <v>1.0</v>
      </c>
      <c r="I854" s="6">
        <v>0.0</v>
      </c>
      <c r="J854" s="6">
        <v>0.0</v>
      </c>
      <c r="K854" s="6">
        <v>0.0</v>
      </c>
      <c r="L854" s="6">
        <v>0.0</v>
      </c>
      <c r="M854" s="6">
        <v>0.0</v>
      </c>
      <c r="N854" s="669">
        <v>436000.0</v>
      </c>
      <c r="O854" s="6">
        <v>0.0</v>
      </c>
      <c r="P854" s="6">
        <v>0.0</v>
      </c>
      <c r="Q854" s="6">
        <v>0.0</v>
      </c>
      <c r="R854" s="6">
        <v>0.0</v>
      </c>
      <c r="S854" s="6">
        <v>0.0</v>
      </c>
      <c r="T854" s="6">
        <v>0.0</v>
      </c>
      <c r="U854" s="6">
        <v>0.0</v>
      </c>
    </row>
    <row r="855">
      <c r="A855" s="6" t="s">
        <v>960</v>
      </c>
      <c r="B855" s="6" t="s">
        <v>11578</v>
      </c>
      <c r="C855" s="6" t="s">
        <v>11591</v>
      </c>
      <c r="D855" s="6" t="s">
        <v>134</v>
      </c>
      <c r="E855" s="6" t="s">
        <v>955</v>
      </c>
      <c r="G855" s="6" t="s">
        <v>2939</v>
      </c>
      <c r="H855" s="6">
        <v>6.0</v>
      </c>
      <c r="I855" s="6">
        <v>0.0</v>
      </c>
      <c r="J855" s="6">
        <v>0.0</v>
      </c>
      <c r="K855" s="6">
        <v>0.0</v>
      </c>
      <c r="L855" s="6">
        <v>0.0</v>
      </c>
      <c r="M855" s="6">
        <v>0.0</v>
      </c>
      <c r="N855" s="669">
        <v>436000.0</v>
      </c>
      <c r="O855" s="6">
        <v>0.0</v>
      </c>
      <c r="P855" s="6">
        <v>0.0</v>
      </c>
      <c r="Q855" s="6">
        <v>0.0</v>
      </c>
      <c r="R855" s="6">
        <v>0.0</v>
      </c>
      <c r="S855" s="6">
        <v>0.0</v>
      </c>
      <c r="T855" s="6">
        <v>0.0</v>
      </c>
      <c r="U855" s="6">
        <v>0.0</v>
      </c>
    </row>
    <row r="856">
      <c r="A856" s="6" t="s">
        <v>961</v>
      </c>
      <c r="B856" s="6" t="s">
        <v>11578</v>
      </c>
      <c r="C856" s="6" t="s">
        <v>11579</v>
      </c>
      <c r="D856" s="6" t="s">
        <v>41</v>
      </c>
      <c r="E856" s="6" t="s">
        <v>11926</v>
      </c>
      <c r="F856" s="6" t="s">
        <v>2193</v>
      </c>
      <c r="G856" s="6" t="s">
        <v>2939</v>
      </c>
      <c r="H856" s="6">
        <v>10.0</v>
      </c>
      <c r="I856" s="6">
        <v>0.0</v>
      </c>
      <c r="J856" s="6">
        <v>0.0</v>
      </c>
      <c r="K856" s="6">
        <v>0.0</v>
      </c>
      <c r="L856" s="6">
        <v>0.0</v>
      </c>
      <c r="M856" s="6">
        <v>0.0</v>
      </c>
      <c r="N856" s="669">
        <v>3123000.0</v>
      </c>
      <c r="O856" s="6">
        <v>0.0</v>
      </c>
      <c r="P856" s="6">
        <v>0.0</v>
      </c>
      <c r="Q856" s="6">
        <v>0.0</v>
      </c>
      <c r="R856" s="6">
        <v>0.0</v>
      </c>
      <c r="S856" s="6">
        <v>0.0</v>
      </c>
      <c r="T856" s="6">
        <v>0.0</v>
      </c>
      <c r="U856" s="6">
        <v>0.0</v>
      </c>
    </row>
    <row r="857">
      <c r="A857" s="6" t="s">
        <v>963</v>
      </c>
      <c r="B857" s="6" t="s">
        <v>11630</v>
      </c>
      <c r="C857" s="6" t="s">
        <v>11570</v>
      </c>
      <c r="D857" s="6" t="s">
        <v>22</v>
      </c>
      <c r="E857" s="6" t="s">
        <v>11927</v>
      </c>
      <c r="F857" s="6" t="s">
        <v>97</v>
      </c>
      <c r="G857" s="6" t="s">
        <v>2939</v>
      </c>
      <c r="H857" s="6">
        <v>0.0</v>
      </c>
      <c r="I857" s="6">
        <v>0.0</v>
      </c>
      <c r="J857" s="6">
        <v>1.0</v>
      </c>
      <c r="K857" s="6">
        <v>2.0</v>
      </c>
      <c r="L857" s="6" t="s">
        <v>11590</v>
      </c>
      <c r="M857" s="6">
        <v>10.0</v>
      </c>
      <c r="N857" s="669">
        <v>1788000.0</v>
      </c>
      <c r="O857" s="6">
        <v>0.0</v>
      </c>
      <c r="P857" s="6">
        <v>0.0</v>
      </c>
      <c r="Q857" s="6">
        <v>0.0</v>
      </c>
      <c r="R857" s="6">
        <v>0.0</v>
      </c>
      <c r="S857" s="6">
        <v>0.0</v>
      </c>
      <c r="T857" s="6">
        <v>0.0</v>
      </c>
      <c r="U857" s="6">
        <v>0.0</v>
      </c>
    </row>
    <row r="858">
      <c r="A858" s="6" t="s">
        <v>965</v>
      </c>
      <c r="B858" s="6" t="s">
        <v>11576</v>
      </c>
      <c r="C858" s="6" t="s">
        <v>11579</v>
      </c>
      <c r="D858" s="6" t="s">
        <v>41</v>
      </c>
      <c r="E858" s="6" t="s">
        <v>11927</v>
      </c>
      <c r="F858" s="6" t="s">
        <v>2193</v>
      </c>
      <c r="G858" s="6" t="s">
        <v>2939</v>
      </c>
      <c r="H858" s="6">
        <v>0.0</v>
      </c>
      <c r="I858" s="6">
        <v>0.0</v>
      </c>
      <c r="J858" s="6" t="s">
        <v>11590</v>
      </c>
      <c r="K858" s="6">
        <v>0.0</v>
      </c>
      <c r="L858" s="6">
        <v>0.0</v>
      </c>
      <c r="M858" s="6">
        <v>0.0</v>
      </c>
      <c r="N858" s="669">
        <v>2746000.0</v>
      </c>
      <c r="O858" s="6">
        <v>0.0</v>
      </c>
      <c r="P858" s="6">
        <v>0.0</v>
      </c>
      <c r="Q858" s="6">
        <v>0.0</v>
      </c>
      <c r="R858" s="6">
        <v>0.0</v>
      </c>
      <c r="S858" s="6">
        <v>0.0</v>
      </c>
      <c r="T858" s="6">
        <v>0.0</v>
      </c>
      <c r="U858" s="6">
        <v>0.0</v>
      </c>
    </row>
    <row r="859">
      <c r="A859" s="6" t="s">
        <v>1724</v>
      </c>
      <c r="B859" s="6" t="s">
        <v>11569</v>
      </c>
      <c r="C859" s="6" t="s">
        <v>11591</v>
      </c>
      <c r="D859" s="6" t="s">
        <v>202</v>
      </c>
      <c r="E859" s="6" t="s">
        <v>11927</v>
      </c>
      <c r="F859" s="6" t="s">
        <v>97</v>
      </c>
      <c r="G859" s="6" t="s">
        <v>2939</v>
      </c>
      <c r="H859" s="6">
        <v>0.0</v>
      </c>
      <c r="I859" s="6">
        <v>0.0</v>
      </c>
      <c r="J859" s="6">
        <v>2.0</v>
      </c>
      <c r="K859" s="6">
        <v>0.0</v>
      </c>
      <c r="L859" s="6">
        <v>0.0</v>
      </c>
      <c r="M859" s="6">
        <v>0.0</v>
      </c>
      <c r="N859" s="669">
        <v>1178000.0</v>
      </c>
      <c r="O859" s="6">
        <v>0.0</v>
      </c>
      <c r="P859" s="6">
        <v>0.0</v>
      </c>
      <c r="Q859" s="6">
        <v>0.0</v>
      </c>
      <c r="R859" s="6">
        <v>0.0</v>
      </c>
      <c r="S859" s="6">
        <v>0.0</v>
      </c>
      <c r="T859" s="6">
        <v>0.0</v>
      </c>
      <c r="U859" s="6">
        <v>0.0</v>
      </c>
    </row>
    <row r="860">
      <c r="A860" s="6" t="s">
        <v>1725</v>
      </c>
      <c r="B860" s="6" t="s">
        <v>11569</v>
      </c>
      <c r="C860" s="6" t="s">
        <v>11591</v>
      </c>
      <c r="D860" s="6" t="s">
        <v>236</v>
      </c>
      <c r="E860" s="6" t="s">
        <v>11927</v>
      </c>
      <c r="F860" s="6" t="s">
        <v>97</v>
      </c>
      <c r="G860" s="6" t="s">
        <v>2939</v>
      </c>
      <c r="H860" s="6">
        <v>0.0</v>
      </c>
      <c r="I860" s="6">
        <v>0.0</v>
      </c>
      <c r="J860" s="6">
        <v>2.0</v>
      </c>
      <c r="K860" s="6">
        <v>0.0</v>
      </c>
      <c r="L860" s="6">
        <v>0.0</v>
      </c>
      <c r="M860" s="6">
        <v>0.0</v>
      </c>
      <c r="N860" s="669">
        <v>1178000.0</v>
      </c>
      <c r="O860" s="6">
        <v>0.0</v>
      </c>
      <c r="P860" s="6">
        <v>0.0</v>
      </c>
      <c r="Q860" s="6">
        <v>0.0</v>
      </c>
      <c r="R860" s="6">
        <v>0.0</v>
      </c>
      <c r="S860" s="6">
        <v>0.0</v>
      </c>
      <c r="T860" s="6">
        <v>0.0</v>
      </c>
      <c r="U860" s="6">
        <v>0.0</v>
      </c>
    </row>
    <row r="861">
      <c r="A861" s="6" t="s">
        <v>966</v>
      </c>
      <c r="B861" s="6" t="s">
        <v>11576</v>
      </c>
      <c r="C861" s="6" t="s">
        <v>11570</v>
      </c>
      <c r="D861" s="6" t="s">
        <v>22</v>
      </c>
      <c r="E861" s="6" t="s">
        <v>967</v>
      </c>
      <c r="F861" s="6" t="s">
        <v>737</v>
      </c>
      <c r="G861" s="6" t="s">
        <v>2939</v>
      </c>
      <c r="H861" s="6">
        <v>1.0</v>
      </c>
      <c r="I861" s="6">
        <v>0.0</v>
      </c>
      <c r="J861" s="6">
        <v>3.0</v>
      </c>
      <c r="K861" s="6">
        <v>0.0</v>
      </c>
      <c r="L861" s="6">
        <v>0.0</v>
      </c>
      <c r="M861" s="6">
        <v>0.0</v>
      </c>
      <c r="N861" s="669">
        <v>3361000.0</v>
      </c>
      <c r="O861" s="6">
        <v>0.0</v>
      </c>
      <c r="P861" s="6">
        <v>0.0</v>
      </c>
      <c r="Q861" s="6">
        <v>0.0</v>
      </c>
      <c r="R861" s="6">
        <v>0.0</v>
      </c>
      <c r="S861" s="6">
        <v>0.0</v>
      </c>
      <c r="T861" s="6">
        <v>0.0</v>
      </c>
      <c r="U861" s="6">
        <v>0.0</v>
      </c>
    </row>
    <row r="862">
      <c r="A862" s="6" t="s">
        <v>968</v>
      </c>
      <c r="B862" s="6" t="s">
        <v>11576</v>
      </c>
      <c r="C862" s="6" t="s">
        <v>11579</v>
      </c>
      <c r="D862" s="6" t="s">
        <v>41</v>
      </c>
      <c r="E862" s="6" t="s">
        <v>967</v>
      </c>
      <c r="F862" s="6" t="s">
        <v>1377</v>
      </c>
      <c r="G862" s="6" t="s">
        <v>2939</v>
      </c>
      <c r="H862" s="6">
        <v>0.0</v>
      </c>
      <c r="I862" s="6">
        <v>0.0</v>
      </c>
      <c r="J862" s="6">
        <v>6.0</v>
      </c>
      <c r="K862" s="6">
        <v>0.0</v>
      </c>
      <c r="L862" s="6">
        <v>0.0</v>
      </c>
      <c r="M862" s="6">
        <v>0.0</v>
      </c>
      <c r="N862" s="669">
        <v>4336000.0</v>
      </c>
      <c r="O862" s="6">
        <v>0.0</v>
      </c>
      <c r="P862" s="6">
        <v>0.0</v>
      </c>
      <c r="Q862" s="6">
        <v>0.0</v>
      </c>
      <c r="R862" s="6">
        <v>0.0</v>
      </c>
      <c r="S862" s="6">
        <v>0.0</v>
      </c>
      <c r="T862" s="6">
        <v>0.0</v>
      </c>
      <c r="U862" s="6">
        <v>0.0</v>
      </c>
    </row>
    <row r="863">
      <c r="A863" s="6" t="s">
        <v>969</v>
      </c>
      <c r="B863" s="6" t="s">
        <v>11578</v>
      </c>
      <c r="C863" s="6" t="s">
        <v>11591</v>
      </c>
      <c r="D863" s="6" t="s">
        <v>132</v>
      </c>
      <c r="E863" s="6" t="s">
        <v>967</v>
      </c>
      <c r="G863" s="6" t="s">
        <v>2939</v>
      </c>
      <c r="H863" s="6">
        <v>10.0</v>
      </c>
      <c r="I863" s="6">
        <v>0.0</v>
      </c>
      <c r="J863" s="6">
        <v>0.0</v>
      </c>
      <c r="K863" s="6">
        <v>0.0</v>
      </c>
      <c r="L863" s="6">
        <v>0.0</v>
      </c>
      <c r="M863" s="6">
        <v>0.0</v>
      </c>
      <c r="N863" s="669">
        <v>725000.0</v>
      </c>
      <c r="O863" s="6">
        <v>0.0</v>
      </c>
      <c r="P863" s="6">
        <v>0.0</v>
      </c>
      <c r="Q863" s="6">
        <v>0.0</v>
      </c>
      <c r="R863" s="6">
        <v>0.0</v>
      </c>
      <c r="S863" s="6">
        <v>0.0</v>
      </c>
      <c r="T863" s="6">
        <v>0.0</v>
      </c>
      <c r="U863" s="6">
        <v>0.0</v>
      </c>
    </row>
    <row r="864">
      <c r="A864" s="6" t="s">
        <v>970</v>
      </c>
      <c r="B864" s="6" t="s">
        <v>11578</v>
      </c>
      <c r="C864" s="6" t="s">
        <v>11591</v>
      </c>
      <c r="D864" s="6" t="s">
        <v>134</v>
      </c>
      <c r="E864" s="6" t="s">
        <v>967</v>
      </c>
      <c r="G864" s="6" t="s">
        <v>2939</v>
      </c>
      <c r="H864" s="6">
        <v>7.0</v>
      </c>
      <c r="I864" s="6">
        <v>0.0</v>
      </c>
      <c r="J864" s="6">
        <v>0.0</v>
      </c>
      <c r="K864" s="6">
        <v>0.0</v>
      </c>
      <c r="L864" s="6">
        <v>0.0</v>
      </c>
      <c r="M864" s="6">
        <v>0.0</v>
      </c>
      <c r="N864" s="669">
        <v>725000.0</v>
      </c>
      <c r="O864" s="6">
        <v>0.0</v>
      </c>
      <c r="P864" s="6">
        <v>0.0</v>
      </c>
      <c r="Q864" s="6">
        <v>0.0</v>
      </c>
      <c r="R864" s="6">
        <v>0.0</v>
      </c>
      <c r="S864" s="6">
        <v>0.0</v>
      </c>
      <c r="T864" s="6">
        <v>0.0</v>
      </c>
      <c r="U864" s="6">
        <v>0.0</v>
      </c>
    </row>
    <row r="865">
      <c r="A865" s="6" t="s">
        <v>971</v>
      </c>
      <c r="B865" s="6" t="s">
        <v>11578</v>
      </c>
      <c r="C865" s="6" t="s">
        <v>11591</v>
      </c>
      <c r="D865" s="6" t="s">
        <v>202</v>
      </c>
      <c r="E865" s="6" t="s">
        <v>967</v>
      </c>
      <c r="F865" s="6" t="s">
        <v>234</v>
      </c>
      <c r="G865" s="6" t="s">
        <v>2939</v>
      </c>
      <c r="H865" s="6" t="s">
        <v>11590</v>
      </c>
      <c r="I865" s="6">
        <v>0.0</v>
      </c>
      <c r="J865" s="6">
        <v>0.0</v>
      </c>
      <c r="K865" s="6">
        <v>0.0</v>
      </c>
      <c r="L865" s="6">
        <v>0.0</v>
      </c>
      <c r="M865" s="6">
        <v>0.0</v>
      </c>
      <c r="N865" s="669">
        <v>1448000.0</v>
      </c>
      <c r="O865" s="6">
        <v>0.0</v>
      </c>
      <c r="P865" s="6">
        <v>0.0</v>
      </c>
      <c r="Q865" s="6">
        <v>0.0</v>
      </c>
      <c r="R865" s="6">
        <v>0.0</v>
      </c>
      <c r="S865" s="6">
        <v>0.0</v>
      </c>
      <c r="T865" s="6">
        <v>0.0</v>
      </c>
      <c r="U865" s="6">
        <v>0.0</v>
      </c>
    </row>
    <row r="866">
      <c r="A866" s="6" t="s">
        <v>972</v>
      </c>
      <c r="B866" s="6" t="s">
        <v>11578</v>
      </c>
      <c r="C866" s="6" t="s">
        <v>11591</v>
      </c>
      <c r="D866" s="6" t="s">
        <v>236</v>
      </c>
      <c r="E866" s="6" t="s">
        <v>967</v>
      </c>
      <c r="F866" s="6" t="s">
        <v>234</v>
      </c>
      <c r="G866" s="6" t="s">
        <v>2939</v>
      </c>
      <c r="H866" s="6" t="s">
        <v>11590</v>
      </c>
      <c r="I866" s="6">
        <v>0.0</v>
      </c>
      <c r="J866" s="6">
        <v>0.0</v>
      </c>
      <c r="K866" s="6">
        <v>0.0</v>
      </c>
      <c r="L866" s="6">
        <v>0.0</v>
      </c>
      <c r="M866" s="6">
        <v>0.0</v>
      </c>
      <c r="N866" s="669">
        <v>1448000.0</v>
      </c>
      <c r="O866" s="6">
        <v>0.0</v>
      </c>
      <c r="P866" s="6">
        <v>0.0</v>
      </c>
      <c r="Q866" s="6">
        <v>0.0</v>
      </c>
      <c r="R866" s="6">
        <v>0.0</v>
      </c>
      <c r="S866" s="6">
        <v>0.0</v>
      </c>
      <c r="T866" s="6">
        <v>0.0</v>
      </c>
      <c r="U866" s="6">
        <v>0.0</v>
      </c>
    </row>
    <row r="867">
      <c r="A867" s="6" t="s">
        <v>973</v>
      </c>
      <c r="B867" s="6" t="s">
        <v>11576</v>
      </c>
      <c r="C867" s="6" t="s">
        <v>11570</v>
      </c>
      <c r="D867" s="6" t="s">
        <v>22</v>
      </c>
      <c r="E867" s="6" t="s">
        <v>974</v>
      </c>
      <c r="F867" s="6" t="s">
        <v>125</v>
      </c>
      <c r="G867" s="6" t="s">
        <v>2939</v>
      </c>
      <c r="H867" s="6">
        <v>0.0</v>
      </c>
      <c r="I867" s="6">
        <v>0.0</v>
      </c>
      <c r="J867" s="6">
        <v>1.0</v>
      </c>
      <c r="K867" s="6">
        <v>1.0</v>
      </c>
      <c r="L867" s="6">
        <v>0.0</v>
      </c>
      <c r="M867" s="6">
        <v>0.0</v>
      </c>
      <c r="N867" s="669">
        <v>2354000.0</v>
      </c>
      <c r="O867" s="6">
        <v>0.0</v>
      </c>
      <c r="P867" s="6">
        <v>0.0</v>
      </c>
      <c r="Q867" s="6">
        <v>0.0</v>
      </c>
      <c r="R867" s="6">
        <v>0.0</v>
      </c>
      <c r="S867" s="6">
        <v>0.0</v>
      </c>
      <c r="T867" s="6">
        <v>0.0</v>
      </c>
      <c r="U867" s="6">
        <v>0.0</v>
      </c>
    </row>
    <row r="868">
      <c r="A868" s="6" t="s">
        <v>975</v>
      </c>
      <c r="B868" s="6" t="s">
        <v>11576</v>
      </c>
      <c r="C868" s="6" t="s">
        <v>11579</v>
      </c>
      <c r="D868" s="6" t="s">
        <v>41</v>
      </c>
      <c r="E868" s="6" t="s">
        <v>974</v>
      </c>
      <c r="F868" s="6" t="s">
        <v>2193</v>
      </c>
      <c r="G868" s="6" t="s">
        <v>2939</v>
      </c>
      <c r="H868" s="6">
        <v>0.0</v>
      </c>
      <c r="I868" s="6">
        <v>0.0</v>
      </c>
      <c r="J868" s="6">
        <v>2.0</v>
      </c>
      <c r="K868" s="6">
        <v>3.0</v>
      </c>
      <c r="L868" s="6">
        <v>0.0</v>
      </c>
      <c r="M868" s="6">
        <v>0.0</v>
      </c>
      <c r="N868" s="669">
        <v>2677000.0</v>
      </c>
      <c r="O868" s="6">
        <v>0.0</v>
      </c>
      <c r="P868" s="6">
        <v>0.0</v>
      </c>
      <c r="Q868" s="6">
        <v>0.0</v>
      </c>
      <c r="R868" s="6">
        <v>0.0</v>
      </c>
      <c r="S868" s="6">
        <v>10.0</v>
      </c>
      <c r="T868" s="6">
        <v>0.0</v>
      </c>
      <c r="U868" s="6">
        <v>0.0</v>
      </c>
    </row>
    <row r="869">
      <c r="A869" s="6" t="s">
        <v>976</v>
      </c>
      <c r="B869" s="6" t="s">
        <v>11576</v>
      </c>
      <c r="C869" s="6" t="s">
        <v>11591</v>
      </c>
      <c r="D869" s="6" t="s">
        <v>128</v>
      </c>
      <c r="E869" s="6" t="s">
        <v>974</v>
      </c>
      <c r="G869" s="6" t="s">
        <v>2939</v>
      </c>
      <c r="H869" s="6">
        <v>0.0</v>
      </c>
      <c r="I869" s="6">
        <v>0.0</v>
      </c>
      <c r="J869" s="6">
        <v>7.0</v>
      </c>
      <c r="K869" s="6">
        <v>0.0</v>
      </c>
      <c r="L869" s="6">
        <v>0.0</v>
      </c>
      <c r="M869" s="6">
        <v>0.0</v>
      </c>
      <c r="N869" s="669">
        <v>1014000.0</v>
      </c>
      <c r="O869" s="6">
        <v>0.0</v>
      </c>
      <c r="P869" s="6">
        <v>0.0</v>
      </c>
      <c r="Q869" s="6">
        <v>0.0</v>
      </c>
      <c r="R869" s="6">
        <v>0.0</v>
      </c>
      <c r="S869" s="6">
        <v>0.0</v>
      </c>
      <c r="T869" s="6">
        <v>0.0</v>
      </c>
      <c r="U869" s="6">
        <v>0.0</v>
      </c>
    </row>
    <row r="870">
      <c r="A870" s="6" t="s">
        <v>977</v>
      </c>
      <c r="B870" s="6" t="s">
        <v>11576</v>
      </c>
      <c r="C870" s="6" t="s">
        <v>11591</v>
      </c>
      <c r="D870" s="6" t="s">
        <v>130</v>
      </c>
      <c r="E870" s="6" t="s">
        <v>974</v>
      </c>
      <c r="G870" s="6" t="s">
        <v>2939</v>
      </c>
      <c r="H870" s="6">
        <v>0.0</v>
      </c>
      <c r="I870" s="6">
        <v>0.0</v>
      </c>
      <c r="J870" s="6">
        <v>6.0</v>
      </c>
      <c r="K870" s="6">
        <v>0.0</v>
      </c>
      <c r="L870" s="6">
        <v>0.0</v>
      </c>
      <c r="M870" s="6">
        <v>0.0</v>
      </c>
      <c r="N870" s="669">
        <v>1014000.0</v>
      </c>
      <c r="O870" s="6">
        <v>0.0</v>
      </c>
      <c r="P870" s="6">
        <v>0.0</v>
      </c>
      <c r="Q870" s="6">
        <v>0.0</v>
      </c>
      <c r="R870" s="6">
        <v>0.0</v>
      </c>
      <c r="S870" s="6">
        <v>0.0</v>
      </c>
      <c r="T870" s="6">
        <v>0.0</v>
      </c>
      <c r="U870" s="6">
        <v>0.0</v>
      </c>
    </row>
    <row r="871">
      <c r="A871" s="6" t="s">
        <v>978</v>
      </c>
      <c r="B871" s="6" t="s">
        <v>11576</v>
      </c>
      <c r="C871" s="6" t="s">
        <v>11591</v>
      </c>
      <c r="D871" s="6" t="s">
        <v>132</v>
      </c>
      <c r="E871" s="6" t="s">
        <v>974</v>
      </c>
      <c r="G871" s="6" t="s">
        <v>2939</v>
      </c>
      <c r="H871" s="6">
        <v>0.0</v>
      </c>
      <c r="I871" s="6">
        <v>0.0</v>
      </c>
      <c r="J871" s="6">
        <v>6.0</v>
      </c>
      <c r="K871" s="6">
        <v>0.0</v>
      </c>
      <c r="L871" s="6">
        <v>0.0</v>
      </c>
      <c r="M871" s="6">
        <v>0.0</v>
      </c>
      <c r="N871" s="669">
        <v>869000.0</v>
      </c>
      <c r="O871" s="6">
        <v>0.0</v>
      </c>
      <c r="P871" s="6">
        <v>0.0</v>
      </c>
      <c r="Q871" s="6">
        <v>0.0</v>
      </c>
      <c r="R871" s="6">
        <v>0.0</v>
      </c>
      <c r="S871" s="6">
        <v>0.0</v>
      </c>
      <c r="T871" s="6">
        <v>0.0</v>
      </c>
      <c r="U871" s="6">
        <v>0.0</v>
      </c>
    </row>
    <row r="872">
      <c r="A872" s="6" t="s">
        <v>979</v>
      </c>
      <c r="B872" s="6" t="s">
        <v>11576</v>
      </c>
      <c r="C872" s="6" t="s">
        <v>11591</v>
      </c>
      <c r="D872" s="6" t="s">
        <v>134</v>
      </c>
      <c r="E872" s="6" t="s">
        <v>974</v>
      </c>
      <c r="G872" s="6" t="s">
        <v>2939</v>
      </c>
      <c r="H872" s="6">
        <v>0.0</v>
      </c>
      <c r="I872" s="6">
        <v>0.0</v>
      </c>
      <c r="J872" s="6">
        <v>3.0</v>
      </c>
      <c r="K872" s="6">
        <v>0.0</v>
      </c>
      <c r="L872" s="6">
        <v>0.0</v>
      </c>
      <c r="M872" s="6">
        <v>0.0</v>
      </c>
      <c r="N872" s="669">
        <v>869000.0</v>
      </c>
      <c r="O872" s="6">
        <v>0.0</v>
      </c>
      <c r="P872" s="6">
        <v>0.0</v>
      </c>
      <c r="Q872" s="6">
        <v>0.0</v>
      </c>
      <c r="R872" s="6">
        <v>0.0</v>
      </c>
      <c r="S872" s="6">
        <v>0.0</v>
      </c>
      <c r="T872" s="6">
        <v>0.0</v>
      </c>
      <c r="U872" s="6">
        <v>0.0</v>
      </c>
    </row>
    <row r="873">
      <c r="A873" s="6" t="s">
        <v>980</v>
      </c>
      <c r="B873" s="6" t="s">
        <v>11576</v>
      </c>
      <c r="C873" s="6" t="s">
        <v>11591</v>
      </c>
      <c r="D873" s="6" t="s">
        <v>202</v>
      </c>
      <c r="E873" s="6" t="s">
        <v>974</v>
      </c>
      <c r="F873" s="6" t="s">
        <v>234</v>
      </c>
      <c r="G873" s="6" t="s">
        <v>2939</v>
      </c>
      <c r="H873" s="6">
        <v>0.0</v>
      </c>
      <c r="I873" s="6">
        <v>0.0</v>
      </c>
      <c r="J873" s="6">
        <v>2.0</v>
      </c>
      <c r="K873" s="6">
        <v>0.0</v>
      </c>
      <c r="L873" s="6">
        <v>0.0</v>
      </c>
      <c r="M873" s="6">
        <v>0.0</v>
      </c>
      <c r="N873" s="669">
        <v>1286000.0</v>
      </c>
      <c r="O873" s="6">
        <v>0.0</v>
      </c>
      <c r="P873" s="6">
        <v>0.0</v>
      </c>
      <c r="Q873" s="6">
        <v>0.0</v>
      </c>
      <c r="R873" s="6">
        <v>0.0</v>
      </c>
      <c r="S873" s="6">
        <v>0.0</v>
      </c>
      <c r="T873" s="6">
        <v>0.0</v>
      </c>
      <c r="U873" s="6">
        <v>0.0</v>
      </c>
    </row>
    <row r="874">
      <c r="A874" s="6" t="s">
        <v>981</v>
      </c>
      <c r="B874" s="6" t="s">
        <v>11576</v>
      </c>
      <c r="C874" s="6" t="s">
        <v>11591</v>
      </c>
      <c r="D874" s="6" t="s">
        <v>236</v>
      </c>
      <c r="E874" s="6" t="s">
        <v>974</v>
      </c>
      <c r="F874" s="6" t="s">
        <v>234</v>
      </c>
      <c r="G874" s="6" t="s">
        <v>2939</v>
      </c>
      <c r="H874" s="6">
        <v>0.0</v>
      </c>
      <c r="I874" s="6">
        <v>0.0</v>
      </c>
      <c r="J874" s="6">
        <v>4.0</v>
      </c>
      <c r="K874" s="6">
        <v>0.0</v>
      </c>
      <c r="L874" s="6">
        <v>0.0</v>
      </c>
      <c r="M874" s="6">
        <v>0.0</v>
      </c>
      <c r="N874" s="669">
        <v>1286000.0</v>
      </c>
      <c r="O874" s="6">
        <v>0.0</v>
      </c>
      <c r="P874" s="6">
        <v>0.0</v>
      </c>
      <c r="Q874" s="6">
        <v>0.0</v>
      </c>
      <c r="R874" s="6">
        <v>0.0</v>
      </c>
      <c r="S874" s="6">
        <v>0.0</v>
      </c>
      <c r="T874" s="6">
        <v>0.0</v>
      </c>
      <c r="U874" s="6">
        <v>0.0</v>
      </c>
    </row>
    <row r="875">
      <c r="A875" s="6" t="s">
        <v>1729</v>
      </c>
      <c r="B875" s="6" t="s">
        <v>11569</v>
      </c>
      <c r="C875" s="6" t="s">
        <v>11570</v>
      </c>
      <c r="D875" s="6" t="s">
        <v>22</v>
      </c>
      <c r="E875" s="6" t="s">
        <v>1730</v>
      </c>
      <c r="F875" s="6" t="s">
        <v>97</v>
      </c>
      <c r="G875" s="6" t="s">
        <v>2939</v>
      </c>
      <c r="H875" s="6">
        <v>0.0</v>
      </c>
      <c r="I875" s="6">
        <v>0.0</v>
      </c>
      <c r="J875" s="6">
        <v>7.0</v>
      </c>
      <c r="K875" s="6">
        <v>0.0</v>
      </c>
      <c r="L875" s="6">
        <v>0.0</v>
      </c>
      <c r="M875" s="6">
        <v>0.0</v>
      </c>
      <c r="N875" s="669">
        <v>2710000.0</v>
      </c>
      <c r="O875" s="6">
        <v>0.0</v>
      </c>
      <c r="P875" s="6">
        <v>0.0</v>
      </c>
      <c r="Q875" s="6">
        <v>0.0</v>
      </c>
      <c r="R875" s="6">
        <v>0.0</v>
      </c>
      <c r="S875" s="6">
        <v>0.0</v>
      </c>
      <c r="T875" s="6">
        <v>0.0</v>
      </c>
      <c r="U875" s="6">
        <v>0.0</v>
      </c>
    </row>
    <row r="876">
      <c r="A876" s="6" t="s">
        <v>1731</v>
      </c>
      <c r="B876" s="6" t="s">
        <v>11569</v>
      </c>
      <c r="C876" s="6" t="s">
        <v>11579</v>
      </c>
      <c r="D876" s="6" t="s">
        <v>41</v>
      </c>
      <c r="E876" s="6" t="s">
        <v>1730</v>
      </c>
      <c r="F876" s="6" t="s">
        <v>2193</v>
      </c>
      <c r="G876" s="6" t="s">
        <v>2939</v>
      </c>
      <c r="H876" s="6">
        <v>0.0</v>
      </c>
      <c r="I876" s="6">
        <v>0.0</v>
      </c>
      <c r="J876" s="6">
        <v>3.0</v>
      </c>
      <c r="K876" s="6">
        <v>0.0</v>
      </c>
      <c r="L876" s="6">
        <v>0.0</v>
      </c>
      <c r="M876" s="6">
        <v>0.0</v>
      </c>
      <c r="N876" s="669">
        <v>2677000.0</v>
      </c>
      <c r="O876" s="6">
        <v>0.0</v>
      </c>
      <c r="P876" s="6">
        <v>0.0</v>
      </c>
      <c r="Q876" s="6">
        <v>0.0</v>
      </c>
      <c r="R876" s="6">
        <v>0.0</v>
      </c>
      <c r="S876" s="6">
        <v>5.0</v>
      </c>
      <c r="T876" s="6">
        <v>0.0</v>
      </c>
      <c r="U876" s="6">
        <v>0.0</v>
      </c>
    </row>
    <row r="877">
      <c r="A877" s="6" t="s">
        <v>11928</v>
      </c>
      <c r="B877" s="6" t="s">
        <v>11569</v>
      </c>
      <c r="C877" s="6" t="s">
        <v>11570</v>
      </c>
      <c r="D877" s="6" t="s">
        <v>22</v>
      </c>
      <c r="E877" s="6" t="s">
        <v>11929</v>
      </c>
      <c r="F877" s="6" t="s">
        <v>125</v>
      </c>
      <c r="G877" s="6" t="s">
        <v>2939</v>
      </c>
      <c r="H877" s="6">
        <v>0.0</v>
      </c>
      <c r="I877" s="6">
        <v>0.0</v>
      </c>
      <c r="J877" s="6">
        <v>9.0</v>
      </c>
      <c r="K877" s="6">
        <v>0.0</v>
      </c>
      <c r="L877" s="6">
        <v>0.0</v>
      </c>
      <c r="M877" s="6">
        <v>0.0</v>
      </c>
      <c r="N877" s="669">
        <v>1800000.0</v>
      </c>
      <c r="O877" s="6">
        <v>0.0</v>
      </c>
      <c r="P877" s="6">
        <v>0.0</v>
      </c>
      <c r="Q877" s="6">
        <v>0.0</v>
      </c>
      <c r="R877" s="6">
        <v>0.0</v>
      </c>
      <c r="S877" s="6">
        <v>0.0</v>
      </c>
      <c r="T877" s="6">
        <v>0.0</v>
      </c>
      <c r="U877" s="6">
        <v>0.0</v>
      </c>
    </row>
    <row r="878">
      <c r="A878" s="6" t="s">
        <v>11930</v>
      </c>
      <c r="B878" s="6" t="s">
        <v>11569</v>
      </c>
      <c r="C878" s="6" t="s">
        <v>11570</v>
      </c>
      <c r="D878" s="6" t="s">
        <v>22</v>
      </c>
      <c r="E878" s="6" t="s">
        <v>1685</v>
      </c>
      <c r="G878" s="6" t="s">
        <v>2939</v>
      </c>
      <c r="H878" s="6">
        <v>0.0</v>
      </c>
      <c r="I878" s="6">
        <v>0.0</v>
      </c>
      <c r="J878" s="6">
        <v>4.0</v>
      </c>
      <c r="K878" s="6">
        <v>0.0</v>
      </c>
      <c r="L878" s="6">
        <v>0.0</v>
      </c>
      <c r="M878" s="6">
        <v>0.0</v>
      </c>
      <c r="N878" s="669">
        <v>2156000.0</v>
      </c>
      <c r="O878" s="6">
        <v>0.0</v>
      </c>
      <c r="P878" s="6">
        <v>0.0</v>
      </c>
      <c r="Q878" s="6">
        <v>0.0</v>
      </c>
      <c r="R878" s="6">
        <v>0.0</v>
      </c>
      <c r="S878" s="6">
        <v>0.0</v>
      </c>
      <c r="T878" s="6">
        <v>0.0</v>
      </c>
      <c r="U878" s="6">
        <v>0.0</v>
      </c>
    </row>
    <row r="879">
      <c r="A879" s="6" t="s">
        <v>1542</v>
      </c>
      <c r="B879" s="6" t="s">
        <v>11569</v>
      </c>
      <c r="C879" s="6" t="s">
        <v>11570</v>
      </c>
      <c r="D879" s="6" t="s">
        <v>22</v>
      </c>
      <c r="E879" s="6" t="s">
        <v>1543</v>
      </c>
      <c r="F879" s="6" t="s">
        <v>75</v>
      </c>
      <c r="G879" s="6" t="s">
        <v>2939</v>
      </c>
      <c r="H879" s="6">
        <v>0.0</v>
      </c>
      <c r="I879" s="6">
        <v>0.0</v>
      </c>
      <c r="J879" s="6">
        <v>3.0</v>
      </c>
      <c r="K879" s="6">
        <v>0.0</v>
      </c>
      <c r="L879" s="6">
        <v>0.0</v>
      </c>
      <c r="M879" s="6">
        <v>0.0</v>
      </c>
      <c r="N879" s="669">
        <v>2700000.0</v>
      </c>
      <c r="O879" s="6">
        <v>0.0</v>
      </c>
      <c r="P879" s="6">
        <v>0.0</v>
      </c>
      <c r="Q879" s="6">
        <v>0.0</v>
      </c>
      <c r="R879" s="6">
        <v>0.0</v>
      </c>
      <c r="S879" s="6" t="s">
        <v>11590</v>
      </c>
      <c r="T879" s="6">
        <v>0.0</v>
      </c>
      <c r="U879" s="6">
        <v>0.0</v>
      </c>
    </row>
    <row r="880">
      <c r="A880" s="6" t="s">
        <v>11931</v>
      </c>
      <c r="B880" s="6" t="s">
        <v>11569</v>
      </c>
      <c r="C880" s="6" t="s">
        <v>11579</v>
      </c>
      <c r="D880" s="6" t="s">
        <v>41</v>
      </c>
      <c r="E880" s="6" t="s">
        <v>1543</v>
      </c>
      <c r="F880" s="6" t="s">
        <v>1377</v>
      </c>
      <c r="G880" s="6" t="s">
        <v>2939</v>
      </c>
      <c r="H880" s="6">
        <v>0.0</v>
      </c>
      <c r="I880" s="6">
        <v>0.0</v>
      </c>
      <c r="J880" s="6">
        <v>5.0</v>
      </c>
      <c r="K880" s="6">
        <v>0.0</v>
      </c>
      <c r="L880" s="6">
        <v>0.0</v>
      </c>
      <c r="M880" s="6">
        <v>0.0</v>
      </c>
      <c r="N880" s="669">
        <v>2000000.0</v>
      </c>
      <c r="O880" s="6">
        <v>0.0</v>
      </c>
      <c r="P880" s="6">
        <v>0.0</v>
      </c>
      <c r="Q880" s="6">
        <v>0.0</v>
      </c>
      <c r="R880" s="6">
        <v>0.0</v>
      </c>
      <c r="S880" s="6">
        <v>0.0</v>
      </c>
      <c r="T880" s="6">
        <v>0.0</v>
      </c>
      <c r="U880" s="6">
        <v>0.0</v>
      </c>
    </row>
    <row r="881">
      <c r="A881" s="6" t="s">
        <v>2337</v>
      </c>
      <c r="B881" s="6" t="s">
        <v>11653</v>
      </c>
      <c r="C881" s="6" t="s">
        <v>11570</v>
      </c>
      <c r="D881" s="6" t="s">
        <v>22</v>
      </c>
      <c r="E881" s="6" t="s">
        <v>2338</v>
      </c>
      <c r="G881" s="6" t="s">
        <v>2939</v>
      </c>
      <c r="H881" s="6">
        <v>0.0</v>
      </c>
      <c r="I881" s="6">
        <v>0.0</v>
      </c>
      <c r="J881" s="6">
        <v>0.0</v>
      </c>
      <c r="K881" s="6">
        <v>0.0</v>
      </c>
      <c r="L881" s="6">
        <v>1.0</v>
      </c>
      <c r="M881" s="6">
        <v>7.0</v>
      </c>
      <c r="N881" s="669">
        <v>1199000.0</v>
      </c>
      <c r="O881" s="6">
        <v>10.0</v>
      </c>
      <c r="P881" s="6">
        <v>0.0</v>
      </c>
      <c r="Q881" s="6">
        <v>0.0</v>
      </c>
      <c r="R881" s="6">
        <v>0.0</v>
      </c>
      <c r="S881" s="6">
        <v>0.0</v>
      </c>
      <c r="T881" s="6">
        <v>0.0</v>
      </c>
      <c r="U881" s="6">
        <v>0.0</v>
      </c>
    </row>
    <row r="882">
      <c r="A882" s="6" t="s">
        <v>11932</v>
      </c>
      <c r="B882" s="6" t="s">
        <v>11569</v>
      </c>
      <c r="C882" s="6" t="s">
        <v>11579</v>
      </c>
      <c r="D882" s="6" t="s">
        <v>41</v>
      </c>
      <c r="E882" s="6" t="s">
        <v>2338</v>
      </c>
      <c r="F882" s="6" t="s">
        <v>11756</v>
      </c>
      <c r="G882" s="6" t="s">
        <v>2939</v>
      </c>
      <c r="H882" s="6">
        <v>0.0</v>
      </c>
      <c r="I882" s="6">
        <v>0.0</v>
      </c>
      <c r="J882" s="6">
        <v>0.0</v>
      </c>
      <c r="K882" s="6">
        <v>4.0</v>
      </c>
      <c r="L882" s="6">
        <v>0.0</v>
      </c>
      <c r="M882" s="6">
        <v>0.0</v>
      </c>
      <c r="N882" s="669">
        <v>1200000.0</v>
      </c>
      <c r="O882" s="6">
        <v>0.0</v>
      </c>
      <c r="P882" s="6">
        <v>0.0</v>
      </c>
      <c r="Q882" s="6">
        <v>0.0</v>
      </c>
      <c r="R882" s="6">
        <v>0.0</v>
      </c>
      <c r="S882" s="6">
        <v>0.0</v>
      </c>
      <c r="T882" s="6">
        <v>0.0</v>
      </c>
      <c r="U882" s="6">
        <v>0.0</v>
      </c>
    </row>
    <row r="883">
      <c r="A883" s="6" t="s">
        <v>982</v>
      </c>
      <c r="B883" s="6" t="s">
        <v>11630</v>
      </c>
      <c r="C883" s="6" t="s">
        <v>11570</v>
      </c>
      <c r="D883" s="6" t="s">
        <v>22</v>
      </c>
      <c r="E883" s="6" t="s">
        <v>983</v>
      </c>
      <c r="F883" s="6" t="s">
        <v>97</v>
      </c>
      <c r="G883" s="6" t="s">
        <v>2939</v>
      </c>
      <c r="H883" s="6">
        <v>0.0</v>
      </c>
      <c r="I883" s="6">
        <v>0.0</v>
      </c>
      <c r="J883" s="6">
        <v>5.0</v>
      </c>
      <c r="K883" s="6" t="s">
        <v>11590</v>
      </c>
      <c r="L883" s="6">
        <v>0.0</v>
      </c>
      <c r="M883" s="6">
        <v>2.0</v>
      </c>
      <c r="N883" s="669">
        <v>1471000.0</v>
      </c>
      <c r="O883" s="6">
        <v>0.0</v>
      </c>
      <c r="P883" s="6">
        <v>0.0</v>
      </c>
      <c r="Q883" s="6">
        <v>0.0</v>
      </c>
      <c r="R883" s="6">
        <v>0.0</v>
      </c>
      <c r="S883" s="6" t="s">
        <v>11590</v>
      </c>
      <c r="T883" s="6">
        <v>0.0</v>
      </c>
      <c r="U883" s="6" t="s">
        <v>11590</v>
      </c>
    </row>
    <row r="884">
      <c r="A884" s="6" t="s">
        <v>984</v>
      </c>
      <c r="B884" s="6" t="s">
        <v>11576</v>
      </c>
      <c r="C884" s="6" t="s">
        <v>11579</v>
      </c>
      <c r="D884" s="6" t="s">
        <v>41</v>
      </c>
      <c r="E884" s="6" t="s">
        <v>983</v>
      </c>
      <c r="F884" s="6" t="s">
        <v>1377</v>
      </c>
      <c r="G884" s="6" t="s">
        <v>2939</v>
      </c>
      <c r="H884" s="6">
        <v>0.0</v>
      </c>
      <c r="I884" s="6">
        <v>0.0</v>
      </c>
      <c r="J884" s="6" t="s">
        <v>11590</v>
      </c>
      <c r="K884" s="6">
        <v>2.0</v>
      </c>
      <c r="L884" s="6">
        <v>0.0</v>
      </c>
      <c r="M884" s="6">
        <v>0.0</v>
      </c>
      <c r="N884" s="669">
        <v>1686000.0</v>
      </c>
      <c r="O884" s="6">
        <v>0.0</v>
      </c>
      <c r="P884" s="6">
        <v>0.0</v>
      </c>
      <c r="Q884" s="6">
        <v>0.0</v>
      </c>
      <c r="R884" s="6">
        <v>0.0</v>
      </c>
      <c r="S884" s="6">
        <v>0.0</v>
      </c>
      <c r="T884" s="6">
        <v>0.0</v>
      </c>
      <c r="U884" s="6">
        <v>0.0</v>
      </c>
    </row>
    <row r="885">
      <c r="A885" s="6" t="s">
        <v>985</v>
      </c>
      <c r="B885" s="6" t="s">
        <v>11576</v>
      </c>
      <c r="C885" s="6" t="s">
        <v>11591</v>
      </c>
      <c r="D885" s="6" t="s">
        <v>128</v>
      </c>
      <c r="E885" s="6" t="s">
        <v>983</v>
      </c>
      <c r="G885" s="6" t="s">
        <v>2939</v>
      </c>
      <c r="H885" s="6">
        <v>1.0</v>
      </c>
      <c r="I885" s="6">
        <v>0.0</v>
      </c>
      <c r="J885" s="6">
        <v>5.0</v>
      </c>
      <c r="K885" s="6">
        <v>0.0</v>
      </c>
      <c r="L885" s="6">
        <v>0.0</v>
      </c>
      <c r="M885" s="6">
        <v>0.0</v>
      </c>
      <c r="N885" s="669">
        <v>478000.0</v>
      </c>
      <c r="O885" s="6">
        <v>0.0</v>
      </c>
      <c r="P885" s="6">
        <v>0.0</v>
      </c>
      <c r="Q885" s="6">
        <v>0.0</v>
      </c>
      <c r="R885" s="6">
        <v>0.0</v>
      </c>
      <c r="S885" s="6">
        <v>0.0</v>
      </c>
      <c r="T885" s="6">
        <v>0.0</v>
      </c>
      <c r="U885" s="6">
        <v>0.0</v>
      </c>
    </row>
    <row r="886">
      <c r="A886" s="6" t="s">
        <v>1732</v>
      </c>
      <c r="B886" s="6" t="s">
        <v>11569</v>
      </c>
      <c r="C886" s="6" t="s">
        <v>11591</v>
      </c>
      <c r="D886" s="6" t="s">
        <v>130</v>
      </c>
      <c r="E886" s="6" t="s">
        <v>983</v>
      </c>
      <c r="G886" s="6" t="s">
        <v>2939</v>
      </c>
      <c r="H886" s="6">
        <v>0.0</v>
      </c>
      <c r="I886" s="6">
        <v>0.0</v>
      </c>
      <c r="J886" s="6">
        <v>3.0</v>
      </c>
      <c r="K886" s="6">
        <v>0.0</v>
      </c>
      <c r="L886" s="6">
        <v>0.0</v>
      </c>
      <c r="M886" s="6">
        <v>0.0</v>
      </c>
      <c r="N886" s="669">
        <v>478000.0</v>
      </c>
      <c r="O886" s="6">
        <v>0.0</v>
      </c>
      <c r="P886" s="6">
        <v>0.0</v>
      </c>
      <c r="Q886" s="6">
        <v>0.0</v>
      </c>
      <c r="R886" s="6">
        <v>0.0</v>
      </c>
      <c r="S886" s="6">
        <v>0.0</v>
      </c>
      <c r="T886" s="6">
        <v>0.0</v>
      </c>
      <c r="U886" s="6">
        <v>0.0</v>
      </c>
    </row>
    <row r="887">
      <c r="A887" s="6" t="s">
        <v>986</v>
      </c>
      <c r="B887" s="6" t="s">
        <v>11576</v>
      </c>
      <c r="C887" s="6" t="s">
        <v>11591</v>
      </c>
      <c r="D887" s="6" t="s">
        <v>132</v>
      </c>
      <c r="E887" s="6" t="s">
        <v>983</v>
      </c>
      <c r="G887" s="6" t="s">
        <v>2939</v>
      </c>
      <c r="H887" s="6">
        <v>0.0</v>
      </c>
      <c r="I887" s="6">
        <v>0.0</v>
      </c>
      <c r="J887" s="6">
        <v>2.0</v>
      </c>
      <c r="K887" s="6">
        <v>0.0</v>
      </c>
      <c r="L887" s="6">
        <v>0.0</v>
      </c>
      <c r="M887" s="6">
        <v>0.0</v>
      </c>
      <c r="N887" s="669">
        <v>400000.0</v>
      </c>
      <c r="O887" s="6">
        <v>0.0</v>
      </c>
      <c r="P887" s="6">
        <v>0.0</v>
      </c>
      <c r="Q887" s="6">
        <v>0.0</v>
      </c>
      <c r="R887" s="6">
        <v>0.0</v>
      </c>
      <c r="S887" s="6">
        <v>0.0</v>
      </c>
      <c r="T887" s="6">
        <v>0.0</v>
      </c>
      <c r="U887" s="6">
        <v>0.0</v>
      </c>
    </row>
    <row r="888">
      <c r="A888" s="6" t="s">
        <v>987</v>
      </c>
      <c r="B888" s="6" t="s">
        <v>11576</v>
      </c>
      <c r="C888" s="6" t="s">
        <v>11591</v>
      </c>
      <c r="D888" s="6" t="s">
        <v>134</v>
      </c>
      <c r="E888" s="6" t="s">
        <v>983</v>
      </c>
      <c r="G888" s="6" t="s">
        <v>2939</v>
      </c>
      <c r="H888" s="6">
        <v>1.0</v>
      </c>
      <c r="I888" s="6">
        <v>0.0</v>
      </c>
      <c r="J888" s="6">
        <v>2.0</v>
      </c>
      <c r="K888" s="6">
        <v>0.0</v>
      </c>
      <c r="L888" s="6">
        <v>0.0</v>
      </c>
      <c r="M888" s="6">
        <v>0.0</v>
      </c>
      <c r="N888" s="669">
        <v>400000.0</v>
      </c>
      <c r="O888" s="6">
        <v>0.0</v>
      </c>
      <c r="P888" s="6">
        <v>0.0</v>
      </c>
      <c r="Q888" s="6">
        <v>0.0</v>
      </c>
      <c r="R888" s="6">
        <v>0.0</v>
      </c>
      <c r="S888" s="6">
        <v>0.0</v>
      </c>
      <c r="T888" s="6">
        <v>0.0</v>
      </c>
      <c r="U888" s="6">
        <v>0.0</v>
      </c>
    </row>
    <row r="889">
      <c r="A889" s="6" t="s">
        <v>988</v>
      </c>
      <c r="B889" s="6" t="s">
        <v>11576</v>
      </c>
      <c r="C889" s="6" t="s">
        <v>11591</v>
      </c>
      <c r="D889" s="6" t="s">
        <v>202</v>
      </c>
      <c r="E889" s="6" t="s">
        <v>983</v>
      </c>
      <c r="F889" s="6" t="s">
        <v>97</v>
      </c>
      <c r="G889" s="6" t="s">
        <v>2939</v>
      </c>
      <c r="H889" s="6">
        <v>0.0</v>
      </c>
      <c r="I889" s="6">
        <v>0.0</v>
      </c>
      <c r="J889" s="6">
        <v>4.0</v>
      </c>
      <c r="K889" s="6">
        <v>0.0</v>
      </c>
      <c r="L889" s="6">
        <v>0.0</v>
      </c>
      <c r="M889" s="6">
        <v>0.0</v>
      </c>
      <c r="N889" s="669">
        <v>644000.0</v>
      </c>
      <c r="O889" s="6">
        <v>0.0</v>
      </c>
      <c r="P889" s="6">
        <v>0.0</v>
      </c>
      <c r="Q889" s="6">
        <v>0.0</v>
      </c>
      <c r="R889" s="6">
        <v>0.0</v>
      </c>
      <c r="S889" s="6">
        <v>0.0</v>
      </c>
      <c r="T889" s="6">
        <v>0.0</v>
      </c>
      <c r="U889" s="6">
        <v>0.0</v>
      </c>
    </row>
    <row r="890">
      <c r="A890" s="6" t="s">
        <v>989</v>
      </c>
      <c r="B890" s="6" t="s">
        <v>11576</v>
      </c>
      <c r="C890" s="6" t="s">
        <v>11591</v>
      </c>
      <c r="D890" s="6" t="s">
        <v>236</v>
      </c>
      <c r="E890" s="6" t="s">
        <v>983</v>
      </c>
      <c r="F890" s="6" t="s">
        <v>97</v>
      </c>
      <c r="G890" s="6" t="s">
        <v>2939</v>
      </c>
      <c r="H890" s="6">
        <v>0.0</v>
      </c>
      <c r="I890" s="6">
        <v>0.0</v>
      </c>
      <c r="J890" s="6">
        <v>5.0</v>
      </c>
      <c r="K890" s="6">
        <v>0.0</v>
      </c>
      <c r="L890" s="6">
        <v>0.0</v>
      </c>
      <c r="M890" s="6">
        <v>0.0</v>
      </c>
      <c r="N890" s="669">
        <v>644000.0</v>
      </c>
      <c r="O890" s="6">
        <v>0.0</v>
      </c>
      <c r="P890" s="6">
        <v>0.0</v>
      </c>
      <c r="Q890" s="6">
        <v>0.0</v>
      </c>
      <c r="R890" s="6">
        <v>0.0</v>
      </c>
      <c r="S890" s="6">
        <v>0.0</v>
      </c>
      <c r="T890" s="6">
        <v>0.0</v>
      </c>
      <c r="U890" s="6">
        <v>0.0</v>
      </c>
    </row>
    <row r="891">
      <c r="A891" s="6" t="s">
        <v>990</v>
      </c>
      <c r="B891" s="6" t="s">
        <v>11630</v>
      </c>
      <c r="C891" s="6" t="s">
        <v>11570</v>
      </c>
      <c r="D891" s="6" t="s">
        <v>22</v>
      </c>
      <c r="E891" s="6" t="s">
        <v>991</v>
      </c>
      <c r="F891" s="6" t="s">
        <v>125</v>
      </c>
      <c r="G891" s="6" t="s">
        <v>2939</v>
      </c>
      <c r="H891" s="6">
        <v>0.0</v>
      </c>
      <c r="I891" s="6">
        <v>0.0</v>
      </c>
      <c r="J891" s="6" t="s">
        <v>11590</v>
      </c>
      <c r="K891" s="6">
        <v>7.0</v>
      </c>
      <c r="L891" s="6">
        <v>0.0</v>
      </c>
      <c r="M891" s="6">
        <v>0.0</v>
      </c>
      <c r="N891" s="669">
        <v>1428000.0</v>
      </c>
      <c r="O891" s="6">
        <v>0.0</v>
      </c>
      <c r="P891" s="6">
        <v>0.0</v>
      </c>
      <c r="Q891" s="6">
        <v>0.0</v>
      </c>
      <c r="R891" s="6">
        <v>0.0</v>
      </c>
      <c r="S891" s="6" t="s">
        <v>11590</v>
      </c>
      <c r="T891" s="6">
        <v>0.0</v>
      </c>
      <c r="U891" s="6">
        <v>0.0</v>
      </c>
    </row>
    <row r="892">
      <c r="A892" s="6" t="s">
        <v>992</v>
      </c>
      <c r="B892" s="6" t="s">
        <v>11576</v>
      </c>
      <c r="C892" s="6" t="s">
        <v>11579</v>
      </c>
      <c r="D892" s="6" t="s">
        <v>41</v>
      </c>
      <c r="E892" s="6" t="s">
        <v>991</v>
      </c>
      <c r="F892" s="6" t="s">
        <v>1377</v>
      </c>
      <c r="G892" s="6" t="s">
        <v>2939</v>
      </c>
      <c r="H892" s="6">
        <v>0.0</v>
      </c>
      <c r="I892" s="6">
        <v>0.0</v>
      </c>
      <c r="J892" s="6">
        <v>4.0</v>
      </c>
      <c r="K892" s="6">
        <v>8.0</v>
      </c>
      <c r="L892" s="6">
        <v>0.0</v>
      </c>
      <c r="M892" s="6">
        <v>0.0</v>
      </c>
      <c r="N892" s="669">
        <v>1644000.0</v>
      </c>
      <c r="O892" s="6">
        <v>0.0</v>
      </c>
      <c r="P892" s="6">
        <v>0.0</v>
      </c>
      <c r="Q892" s="6">
        <v>0.0</v>
      </c>
      <c r="R892" s="6">
        <v>0.0</v>
      </c>
      <c r="S892" s="6" t="s">
        <v>11590</v>
      </c>
      <c r="T892" s="6">
        <v>0.0</v>
      </c>
      <c r="U892" s="6">
        <v>0.0</v>
      </c>
    </row>
    <row r="893">
      <c r="A893" s="6" t="s">
        <v>993</v>
      </c>
      <c r="B893" s="6" t="s">
        <v>11576</v>
      </c>
      <c r="C893" s="6" t="s">
        <v>11591</v>
      </c>
      <c r="D893" s="6" t="s">
        <v>128</v>
      </c>
      <c r="E893" s="6" t="s">
        <v>991</v>
      </c>
      <c r="G893" s="6" t="s">
        <v>2939</v>
      </c>
      <c r="H893" s="6">
        <v>0.0</v>
      </c>
      <c r="I893" s="6">
        <v>0.0</v>
      </c>
      <c r="J893" s="6">
        <v>9.0</v>
      </c>
      <c r="K893" s="6">
        <v>0.0</v>
      </c>
      <c r="L893" s="6">
        <v>0.0</v>
      </c>
      <c r="M893" s="6">
        <v>0.0</v>
      </c>
      <c r="N893" s="669">
        <v>508000.0</v>
      </c>
      <c r="O893" s="6">
        <v>0.0</v>
      </c>
      <c r="P893" s="6">
        <v>0.0</v>
      </c>
      <c r="Q893" s="6">
        <v>0.0</v>
      </c>
      <c r="R893" s="6">
        <v>0.0</v>
      </c>
      <c r="S893" s="6">
        <v>0.0</v>
      </c>
      <c r="T893" s="6">
        <v>0.0</v>
      </c>
      <c r="U893" s="6">
        <v>0.0</v>
      </c>
    </row>
    <row r="894">
      <c r="A894" s="6" t="s">
        <v>994</v>
      </c>
      <c r="B894" s="6" t="s">
        <v>11576</v>
      </c>
      <c r="C894" s="6" t="s">
        <v>11591</v>
      </c>
      <c r="D894" s="6" t="s">
        <v>130</v>
      </c>
      <c r="E894" s="6" t="s">
        <v>991</v>
      </c>
      <c r="G894" s="6" t="s">
        <v>2939</v>
      </c>
      <c r="H894" s="6">
        <v>0.0</v>
      </c>
      <c r="I894" s="6">
        <v>0.0</v>
      </c>
      <c r="J894" s="6">
        <v>7.0</v>
      </c>
      <c r="K894" s="6">
        <v>0.0</v>
      </c>
      <c r="L894" s="6">
        <v>0.0</v>
      </c>
      <c r="M894" s="6">
        <v>0.0</v>
      </c>
      <c r="N894" s="669">
        <v>508000.0</v>
      </c>
      <c r="O894" s="6">
        <v>0.0</v>
      </c>
      <c r="P894" s="6">
        <v>0.0</v>
      </c>
      <c r="Q894" s="6">
        <v>0.0</v>
      </c>
      <c r="R894" s="6">
        <v>0.0</v>
      </c>
      <c r="S894" s="6">
        <v>0.0</v>
      </c>
      <c r="T894" s="6">
        <v>0.0</v>
      </c>
      <c r="U894" s="6">
        <v>0.0</v>
      </c>
    </row>
    <row r="895">
      <c r="A895" s="6" t="s">
        <v>995</v>
      </c>
      <c r="B895" s="6" t="s">
        <v>11576</v>
      </c>
      <c r="C895" s="6" t="s">
        <v>11591</v>
      </c>
      <c r="D895" s="6" t="s">
        <v>132</v>
      </c>
      <c r="E895" s="6" t="s">
        <v>991</v>
      </c>
      <c r="G895" s="6" t="s">
        <v>2939</v>
      </c>
      <c r="H895" s="6">
        <v>0.0</v>
      </c>
      <c r="I895" s="6">
        <v>0.0</v>
      </c>
      <c r="J895" s="6">
        <v>3.0</v>
      </c>
      <c r="K895" s="6">
        <v>0.0</v>
      </c>
      <c r="L895" s="6">
        <v>0.0</v>
      </c>
      <c r="M895" s="6">
        <v>0.0</v>
      </c>
      <c r="N895" s="669">
        <v>508000.0</v>
      </c>
      <c r="O895" s="6">
        <v>0.0</v>
      </c>
      <c r="P895" s="6">
        <v>0.0</v>
      </c>
      <c r="Q895" s="6">
        <v>0.0</v>
      </c>
      <c r="R895" s="6">
        <v>0.0</v>
      </c>
      <c r="S895" s="6">
        <v>0.0</v>
      </c>
      <c r="T895" s="6">
        <v>0.0</v>
      </c>
      <c r="U895" s="6">
        <v>0.0</v>
      </c>
    </row>
    <row r="896">
      <c r="A896" s="6" t="s">
        <v>996</v>
      </c>
      <c r="B896" s="6" t="s">
        <v>11576</v>
      </c>
      <c r="C896" s="6" t="s">
        <v>11591</v>
      </c>
      <c r="D896" s="6" t="s">
        <v>134</v>
      </c>
      <c r="E896" s="6" t="s">
        <v>991</v>
      </c>
      <c r="G896" s="6" t="s">
        <v>2939</v>
      </c>
      <c r="H896" s="6">
        <v>0.0</v>
      </c>
      <c r="I896" s="6">
        <v>0.0</v>
      </c>
      <c r="J896" s="6">
        <v>0.0</v>
      </c>
      <c r="K896" s="6">
        <v>0.0</v>
      </c>
      <c r="L896" s="6">
        <v>0.0</v>
      </c>
      <c r="M896" s="6">
        <v>0.0</v>
      </c>
      <c r="N896" s="669">
        <v>508000.0</v>
      </c>
      <c r="O896" s="6">
        <v>0.0</v>
      </c>
      <c r="P896" s="6">
        <v>0.0</v>
      </c>
      <c r="Q896" s="6">
        <v>0.0</v>
      </c>
      <c r="R896" s="6">
        <v>0.0</v>
      </c>
      <c r="S896" s="6">
        <v>0.0</v>
      </c>
      <c r="T896" s="6">
        <v>0.0</v>
      </c>
      <c r="U896" s="6">
        <v>0.0</v>
      </c>
    </row>
    <row r="897">
      <c r="A897" s="6" t="s">
        <v>997</v>
      </c>
      <c r="B897" s="6" t="s">
        <v>11576</v>
      </c>
      <c r="C897" s="6" t="s">
        <v>11570</v>
      </c>
      <c r="D897" s="6" t="s">
        <v>22</v>
      </c>
      <c r="E897" s="6" t="s">
        <v>998</v>
      </c>
      <c r="F897" s="6" t="s">
        <v>75</v>
      </c>
      <c r="G897" s="6" t="s">
        <v>2939</v>
      </c>
      <c r="H897" s="6">
        <v>0.0</v>
      </c>
      <c r="I897" s="6">
        <v>0.0</v>
      </c>
      <c r="J897" s="6">
        <v>1.0</v>
      </c>
      <c r="K897" s="6">
        <v>0.0</v>
      </c>
      <c r="L897" s="6">
        <v>0.0</v>
      </c>
      <c r="M897" s="6">
        <v>0.0</v>
      </c>
      <c r="N897" s="669">
        <v>2129000.0</v>
      </c>
      <c r="O897" s="6">
        <v>0.0</v>
      </c>
      <c r="P897" s="6">
        <v>0.0</v>
      </c>
      <c r="Q897" s="6">
        <v>0.0</v>
      </c>
      <c r="R897" s="6">
        <v>0.0</v>
      </c>
      <c r="S897" s="6" t="s">
        <v>11590</v>
      </c>
      <c r="T897" s="6">
        <v>0.0</v>
      </c>
      <c r="U897" s="6">
        <v>0.0</v>
      </c>
    </row>
    <row r="898">
      <c r="A898" s="6" t="s">
        <v>1733</v>
      </c>
      <c r="B898" s="6" t="s">
        <v>11569</v>
      </c>
      <c r="C898" s="6" t="s">
        <v>11570</v>
      </c>
      <c r="D898" s="6" t="s">
        <v>22</v>
      </c>
      <c r="E898" s="6" t="s">
        <v>1734</v>
      </c>
      <c r="F898" s="6" t="s">
        <v>75</v>
      </c>
      <c r="G898" s="6" t="s">
        <v>2939</v>
      </c>
      <c r="H898" s="6">
        <v>0.0</v>
      </c>
      <c r="I898" s="6">
        <v>0.0</v>
      </c>
      <c r="J898" s="6">
        <v>6.0</v>
      </c>
      <c r="K898" s="6">
        <v>0.0</v>
      </c>
      <c r="L898" s="6">
        <v>0.0</v>
      </c>
      <c r="M898" s="6">
        <v>0.0</v>
      </c>
      <c r="N898" s="669">
        <v>2808000.0</v>
      </c>
      <c r="O898" s="6">
        <v>0.0</v>
      </c>
      <c r="P898" s="6">
        <v>0.0</v>
      </c>
      <c r="Q898" s="6">
        <v>0.0</v>
      </c>
      <c r="R898" s="6">
        <v>0.0</v>
      </c>
      <c r="S898" s="6">
        <v>0.0</v>
      </c>
      <c r="T898" s="6">
        <v>0.0</v>
      </c>
      <c r="U898" s="6">
        <v>0.0</v>
      </c>
    </row>
    <row r="899">
      <c r="A899" s="6" t="s">
        <v>1735</v>
      </c>
      <c r="B899" s="6" t="s">
        <v>11569</v>
      </c>
      <c r="C899" s="6" t="s">
        <v>11570</v>
      </c>
      <c r="D899" s="6" t="s">
        <v>22</v>
      </c>
      <c r="E899" s="6" t="s">
        <v>1736</v>
      </c>
      <c r="F899" s="6" t="s">
        <v>125</v>
      </c>
      <c r="G899" s="6" t="s">
        <v>2939</v>
      </c>
      <c r="H899" s="6">
        <v>0.0</v>
      </c>
      <c r="I899" s="6">
        <v>0.0</v>
      </c>
      <c r="J899" s="6">
        <v>9.0</v>
      </c>
      <c r="K899" s="6">
        <v>1.0</v>
      </c>
      <c r="L899" s="6">
        <v>0.0</v>
      </c>
      <c r="M899" s="6">
        <v>0.0</v>
      </c>
      <c r="N899" s="669">
        <v>1836000.0</v>
      </c>
      <c r="O899" s="6">
        <v>0.0</v>
      </c>
      <c r="P899" s="6">
        <v>0.0</v>
      </c>
      <c r="Q899" s="6">
        <v>0.0</v>
      </c>
      <c r="R899" s="6">
        <v>0.0</v>
      </c>
      <c r="S899" s="6">
        <v>5.0</v>
      </c>
      <c r="T899" s="6">
        <v>0.0</v>
      </c>
      <c r="U899" s="6">
        <v>0.0</v>
      </c>
    </row>
    <row r="900">
      <c r="A900" s="6" t="s">
        <v>999</v>
      </c>
      <c r="B900" s="6" t="s">
        <v>11576</v>
      </c>
      <c r="C900" s="6" t="s">
        <v>11579</v>
      </c>
      <c r="D900" s="6" t="s">
        <v>41</v>
      </c>
      <c r="E900" s="6" t="s">
        <v>1000</v>
      </c>
      <c r="F900" s="6" t="s">
        <v>1377</v>
      </c>
      <c r="G900" s="6" t="s">
        <v>2939</v>
      </c>
      <c r="H900" s="6">
        <v>0.0</v>
      </c>
      <c r="I900" s="6">
        <v>0.0</v>
      </c>
      <c r="J900" s="6">
        <v>6.0</v>
      </c>
      <c r="K900" s="6">
        <v>2.0</v>
      </c>
      <c r="L900" s="6">
        <v>0.0</v>
      </c>
      <c r="M900" s="6">
        <v>0.0</v>
      </c>
      <c r="N900" s="669">
        <v>2231000.0</v>
      </c>
      <c r="O900" s="6">
        <v>0.0</v>
      </c>
      <c r="P900" s="6">
        <v>0.0</v>
      </c>
      <c r="Q900" s="6">
        <v>0.0</v>
      </c>
      <c r="R900" s="6">
        <v>0.0</v>
      </c>
      <c r="S900" s="6">
        <v>10.0</v>
      </c>
      <c r="T900" s="6">
        <v>0.0</v>
      </c>
      <c r="U900" s="6">
        <v>0.0</v>
      </c>
    </row>
    <row r="901">
      <c r="A901" s="6" t="s">
        <v>1001</v>
      </c>
      <c r="B901" s="6" t="s">
        <v>11576</v>
      </c>
      <c r="C901" s="6" t="s">
        <v>11591</v>
      </c>
      <c r="D901" s="6" t="s">
        <v>128</v>
      </c>
      <c r="E901" s="6" t="s">
        <v>1000</v>
      </c>
      <c r="G901" s="6" t="s">
        <v>2939</v>
      </c>
      <c r="H901" s="6">
        <v>0.0</v>
      </c>
      <c r="I901" s="6">
        <v>0.0</v>
      </c>
      <c r="J901" s="6">
        <v>10.0</v>
      </c>
      <c r="K901" s="6">
        <v>0.0</v>
      </c>
      <c r="L901" s="6">
        <v>0.0</v>
      </c>
      <c r="M901" s="6">
        <v>0.0</v>
      </c>
      <c r="N901" s="669">
        <v>508000.0</v>
      </c>
      <c r="O901" s="6">
        <v>0.0</v>
      </c>
      <c r="P901" s="6">
        <v>0.0</v>
      </c>
      <c r="Q901" s="6">
        <v>0.0</v>
      </c>
      <c r="R901" s="6">
        <v>0.0</v>
      </c>
      <c r="S901" s="6">
        <v>0.0</v>
      </c>
      <c r="T901" s="6">
        <v>0.0</v>
      </c>
      <c r="U901" s="6">
        <v>0.0</v>
      </c>
    </row>
    <row r="902">
      <c r="A902" s="6" t="s">
        <v>1002</v>
      </c>
      <c r="B902" s="6" t="s">
        <v>11576</v>
      </c>
      <c r="C902" s="6" t="s">
        <v>11591</v>
      </c>
      <c r="D902" s="6" t="s">
        <v>130</v>
      </c>
      <c r="E902" s="6" t="s">
        <v>1000</v>
      </c>
      <c r="G902" s="6" t="s">
        <v>2939</v>
      </c>
      <c r="H902" s="6">
        <v>0.0</v>
      </c>
      <c r="I902" s="6">
        <v>0.0</v>
      </c>
      <c r="J902" s="6">
        <v>6.0</v>
      </c>
      <c r="K902" s="6">
        <v>0.0</v>
      </c>
      <c r="L902" s="6">
        <v>0.0</v>
      </c>
      <c r="M902" s="6">
        <v>0.0</v>
      </c>
      <c r="N902" s="669">
        <v>508000.0</v>
      </c>
      <c r="O902" s="6">
        <v>0.0</v>
      </c>
      <c r="P902" s="6">
        <v>0.0</v>
      </c>
      <c r="Q902" s="6">
        <v>0.0</v>
      </c>
      <c r="R902" s="6">
        <v>0.0</v>
      </c>
      <c r="S902" s="6">
        <v>0.0</v>
      </c>
      <c r="T902" s="6">
        <v>0.0</v>
      </c>
      <c r="U902" s="6">
        <v>0.0</v>
      </c>
    </row>
    <row r="903">
      <c r="A903" s="6" t="s">
        <v>1003</v>
      </c>
      <c r="B903" s="6" t="s">
        <v>11576</v>
      </c>
      <c r="C903" s="6" t="s">
        <v>11591</v>
      </c>
      <c r="D903" s="6" t="s">
        <v>132</v>
      </c>
      <c r="E903" s="6" t="s">
        <v>1000</v>
      </c>
      <c r="G903" s="6" t="s">
        <v>2939</v>
      </c>
      <c r="H903" s="6">
        <v>0.0</v>
      </c>
      <c r="I903" s="6">
        <v>0.0</v>
      </c>
      <c r="J903" s="6">
        <v>3.0</v>
      </c>
      <c r="K903" s="6">
        <v>0.0</v>
      </c>
      <c r="L903" s="6">
        <v>0.0</v>
      </c>
      <c r="M903" s="6">
        <v>0.0</v>
      </c>
      <c r="N903" s="669">
        <v>436000.0</v>
      </c>
      <c r="O903" s="6">
        <v>0.0</v>
      </c>
      <c r="P903" s="6">
        <v>0.0</v>
      </c>
      <c r="Q903" s="6">
        <v>0.0</v>
      </c>
      <c r="R903" s="6">
        <v>0.0</v>
      </c>
      <c r="S903" s="6">
        <v>0.0</v>
      </c>
      <c r="T903" s="6">
        <v>0.0</v>
      </c>
      <c r="U903" s="6">
        <v>0.0</v>
      </c>
    </row>
    <row r="904">
      <c r="A904" s="6" t="s">
        <v>1004</v>
      </c>
      <c r="B904" s="6" t="s">
        <v>11576</v>
      </c>
      <c r="C904" s="6" t="s">
        <v>11591</v>
      </c>
      <c r="D904" s="6" t="s">
        <v>134</v>
      </c>
      <c r="E904" s="6" t="s">
        <v>1000</v>
      </c>
      <c r="G904" s="6" t="s">
        <v>2939</v>
      </c>
      <c r="H904" s="6">
        <v>0.0</v>
      </c>
      <c r="I904" s="6">
        <v>0.0</v>
      </c>
      <c r="J904" s="6">
        <v>4.0</v>
      </c>
      <c r="K904" s="6">
        <v>0.0</v>
      </c>
      <c r="L904" s="6">
        <v>0.0</v>
      </c>
      <c r="M904" s="6">
        <v>0.0</v>
      </c>
      <c r="N904" s="669">
        <v>436000.0</v>
      </c>
      <c r="O904" s="6">
        <v>0.0</v>
      </c>
      <c r="P904" s="6">
        <v>0.0</v>
      </c>
      <c r="Q904" s="6">
        <v>0.0</v>
      </c>
      <c r="R904" s="6">
        <v>0.0</v>
      </c>
      <c r="S904" s="6">
        <v>0.0</v>
      </c>
      <c r="T904" s="6">
        <v>0.0</v>
      </c>
      <c r="U904" s="6">
        <v>0.0</v>
      </c>
    </row>
    <row r="905">
      <c r="A905" s="6" t="s">
        <v>11933</v>
      </c>
      <c r="E905" s="6" t="s">
        <v>11933</v>
      </c>
      <c r="N905" s="668"/>
    </row>
    <row r="906">
      <c r="A906" s="6" t="s">
        <v>1005</v>
      </c>
      <c r="B906" s="6" t="s">
        <v>11576</v>
      </c>
      <c r="C906" s="6" t="s">
        <v>11570</v>
      </c>
      <c r="D906" s="6" t="s">
        <v>22</v>
      </c>
      <c r="E906" s="6" t="s">
        <v>1006</v>
      </c>
      <c r="F906" s="6" t="s">
        <v>125</v>
      </c>
      <c r="G906" s="6" t="s">
        <v>2939</v>
      </c>
      <c r="H906" s="6">
        <v>0.0</v>
      </c>
      <c r="I906" s="6">
        <v>0.0</v>
      </c>
      <c r="J906" s="6">
        <v>0.0</v>
      </c>
      <c r="K906" s="6">
        <v>1.0</v>
      </c>
      <c r="L906" s="6">
        <v>0.0</v>
      </c>
      <c r="M906" s="6">
        <v>0.0</v>
      </c>
      <c r="N906" s="669">
        <v>1781000.0</v>
      </c>
      <c r="O906" s="6">
        <v>0.0</v>
      </c>
      <c r="P906" s="6">
        <v>0.0</v>
      </c>
      <c r="Q906" s="6">
        <v>0.0</v>
      </c>
      <c r="R906" s="6">
        <v>0.0</v>
      </c>
      <c r="S906" s="6">
        <v>10.0</v>
      </c>
      <c r="T906" s="6">
        <v>3.0</v>
      </c>
      <c r="U906" s="6">
        <v>0.0</v>
      </c>
    </row>
    <row r="907">
      <c r="A907" s="6" t="s">
        <v>11934</v>
      </c>
      <c r="E907" s="6" t="s">
        <v>11935</v>
      </c>
      <c r="N907" s="668"/>
    </row>
    <row r="908">
      <c r="A908" s="6" t="s">
        <v>11936</v>
      </c>
      <c r="B908" s="6" t="s">
        <v>11569</v>
      </c>
      <c r="C908" s="6" t="s">
        <v>11570</v>
      </c>
      <c r="D908" s="6" t="s">
        <v>22</v>
      </c>
      <c r="E908" s="6" t="s">
        <v>11937</v>
      </c>
      <c r="F908" s="6" t="s">
        <v>125</v>
      </c>
      <c r="G908" s="6" t="s">
        <v>2939</v>
      </c>
      <c r="H908" s="6">
        <v>0.0</v>
      </c>
      <c r="I908" s="6">
        <v>0.0</v>
      </c>
      <c r="J908" s="6">
        <v>5.0</v>
      </c>
      <c r="K908" s="6">
        <v>0.0</v>
      </c>
      <c r="L908" s="6">
        <v>0.0</v>
      </c>
      <c r="M908" s="6">
        <v>0.0</v>
      </c>
      <c r="N908" s="669">
        <v>1400000.0</v>
      </c>
      <c r="O908" s="6">
        <v>0.0</v>
      </c>
      <c r="P908" s="6">
        <v>0.0</v>
      </c>
      <c r="Q908" s="6">
        <v>0.0</v>
      </c>
      <c r="R908" s="6">
        <v>0.0</v>
      </c>
      <c r="S908" s="6">
        <v>0.0</v>
      </c>
      <c r="T908" s="6">
        <v>0.0</v>
      </c>
      <c r="U908" s="6">
        <v>0.0</v>
      </c>
    </row>
    <row r="909">
      <c r="A909" s="6" t="s">
        <v>1738</v>
      </c>
      <c r="B909" s="6" t="s">
        <v>11569</v>
      </c>
      <c r="C909" s="6" t="s">
        <v>11579</v>
      </c>
      <c r="D909" s="6" t="s">
        <v>41</v>
      </c>
      <c r="E909" s="6" t="s">
        <v>11937</v>
      </c>
      <c r="F909" s="6" t="s">
        <v>1377</v>
      </c>
      <c r="G909" s="6" t="s">
        <v>2939</v>
      </c>
      <c r="H909" s="6">
        <v>0.0</v>
      </c>
      <c r="I909" s="6">
        <v>0.0</v>
      </c>
      <c r="J909" s="6">
        <v>3.0</v>
      </c>
      <c r="K909" s="6">
        <v>0.0</v>
      </c>
      <c r="L909" s="6">
        <v>0.0</v>
      </c>
      <c r="M909" s="6">
        <v>0.0</v>
      </c>
      <c r="N909" s="669">
        <v>4474000.0</v>
      </c>
      <c r="O909" s="6">
        <v>0.0</v>
      </c>
      <c r="P909" s="6">
        <v>0.0</v>
      </c>
      <c r="Q909" s="6">
        <v>0.0</v>
      </c>
      <c r="R909" s="6">
        <v>0.0</v>
      </c>
      <c r="S909" s="6">
        <v>0.0</v>
      </c>
      <c r="T909" s="6">
        <v>0.0</v>
      </c>
      <c r="U909" s="6">
        <v>0.0</v>
      </c>
    </row>
    <row r="910">
      <c r="A910" s="6" t="s">
        <v>1007</v>
      </c>
      <c r="B910" s="6" t="s">
        <v>11576</v>
      </c>
      <c r="C910" s="6" t="s">
        <v>11570</v>
      </c>
      <c r="D910" s="6" t="s">
        <v>22</v>
      </c>
      <c r="E910" s="6" t="s">
        <v>1008</v>
      </c>
      <c r="F910" s="6" t="s">
        <v>23</v>
      </c>
      <c r="G910" s="6" t="s">
        <v>2939</v>
      </c>
      <c r="H910" s="6">
        <v>0.0</v>
      </c>
      <c r="I910" s="6">
        <v>0.0</v>
      </c>
      <c r="J910" s="6">
        <v>2.0</v>
      </c>
      <c r="K910" s="6">
        <v>0.0</v>
      </c>
      <c r="L910" s="6">
        <v>0.0</v>
      </c>
      <c r="M910" s="6">
        <v>0.0</v>
      </c>
      <c r="N910" s="669">
        <v>5286000.0</v>
      </c>
      <c r="O910" s="6">
        <v>0.0</v>
      </c>
      <c r="P910" s="6">
        <v>0.0</v>
      </c>
      <c r="Q910" s="6">
        <v>0.0</v>
      </c>
      <c r="R910" s="6">
        <v>0.0</v>
      </c>
      <c r="S910" s="6">
        <v>0.0</v>
      </c>
      <c r="T910" s="6">
        <v>0.0</v>
      </c>
      <c r="U910" s="6">
        <v>0.0</v>
      </c>
    </row>
    <row r="911">
      <c r="A911" s="6" t="s">
        <v>1009</v>
      </c>
      <c r="B911" s="6" t="s">
        <v>11576</v>
      </c>
      <c r="C911" s="6" t="s">
        <v>11570</v>
      </c>
      <c r="D911" s="6" t="s">
        <v>22</v>
      </c>
      <c r="E911" s="6" t="s">
        <v>1010</v>
      </c>
      <c r="F911" s="6" t="s">
        <v>23</v>
      </c>
      <c r="G911" s="6" t="s">
        <v>2939</v>
      </c>
      <c r="H911" s="6">
        <v>0.0</v>
      </c>
      <c r="I911" s="6">
        <v>0.0</v>
      </c>
      <c r="J911" s="6">
        <v>2.0</v>
      </c>
      <c r="K911" s="6">
        <v>0.0</v>
      </c>
      <c r="L911" s="6">
        <v>0.0</v>
      </c>
      <c r="M911" s="6">
        <v>0.0</v>
      </c>
      <c r="N911" s="669">
        <v>5286000.0</v>
      </c>
      <c r="O911" s="6">
        <v>0.0</v>
      </c>
      <c r="P911" s="6">
        <v>0.0</v>
      </c>
      <c r="Q911" s="6">
        <v>0.0</v>
      </c>
      <c r="R911" s="6">
        <v>0.0</v>
      </c>
      <c r="S911" s="6">
        <v>0.0</v>
      </c>
      <c r="T911" s="6">
        <v>0.0</v>
      </c>
      <c r="U911" s="6">
        <v>0.0</v>
      </c>
    </row>
    <row r="912">
      <c r="A912" s="6" t="s">
        <v>1011</v>
      </c>
      <c r="B912" s="6" t="s">
        <v>11578</v>
      </c>
      <c r="C912" s="6" t="s">
        <v>11579</v>
      </c>
      <c r="D912" s="6" t="s">
        <v>41</v>
      </c>
      <c r="E912" s="6" t="s">
        <v>1012</v>
      </c>
      <c r="F912" s="6" t="s">
        <v>1377</v>
      </c>
      <c r="G912" s="6" t="s">
        <v>2939</v>
      </c>
      <c r="H912" s="6">
        <v>8.0</v>
      </c>
      <c r="I912" s="6">
        <v>0.0</v>
      </c>
      <c r="J912" s="6">
        <v>0.0</v>
      </c>
      <c r="K912" s="6">
        <v>0.0</v>
      </c>
      <c r="L912" s="6">
        <v>0.0</v>
      </c>
      <c r="M912" s="6">
        <v>0.0</v>
      </c>
      <c r="N912" s="669">
        <v>2249000.0</v>
      </c>
      <c r="O912" s="6">
        <v>0.0</v>
      </c>
      <c r="P912" s="6">
        <v>0.0</v>
      </c>
      <c r="Q912" s="6">
        <v>0.0</v>
      </c>
      <c r="R912" s="6">
        <v>0.0</v>
      </c>
      <c r="S912" s="6">
        <v>0.0</v>
      </c>
      <c r="T912" s="6">
        <v>0.0</v>
      </c>
      <c r="U912" s="6">
        <v>0.0</v>
      </c>
    </row>
    <row r="913">
      <c r="A913" s="6" t="s">
        <v>1013</v>
      </c>
      <c r="B913" s="6" t="s">
        <v>11578</v>
      </c>
      <c r="C913" s="6" t="s">
        <v>11579</v>
      </c>
      <c r="D913" s="6" t="s">
        <v>41</v>
      </c>
      <c r="E913" s="6" t="s">
        <v>1014</v>
      </c>
      <c r="F913" s="6" t="s">
        <v>1377</v>
      </c>
      <c r="G913" s="6" t="s">
        <v>2939</v>
      </c>
      <c r="H913" s="6">
        <v>9.0</v>
      </c>
      <c r="I913" s="6">
        <v>0.0</v>
      </c>
      <c r="J913" s="6">
        <v>0.0</v>
      </c>
      <c r="K913" s="6">
        <v>0.0</v>
      </c>
      <c r="L913" s="6">
        <v>0.0</v>
      </c>
      <c r="M913" s="6">
        <v>0.0</v>
      </c>
      <c r="N913" s="669">
        <v>2570000.0</v>
      </c>
      <c r="O913" s="6">
        <v>0.0</v>
      </c>
      <c r="P913" s="6">
        <v>0.0</v>
      </c>
      <c r="Q913" s="6">
        <v>0.0</v>
      </c>
      <c r="R913" s="6">
        <v>0.0</v>
      </c>
      <c r="S913" s="6">
        <v>0.0</v>
      </c>
      <c r="T913" s="6">
        <v>0.0</v>
      </c>
      <c r="U913" s="6">
        <v>0.0</v>
      </c>
    </row>
    <row r="914">
      <c r="A914" s="6" t="s">
        <v>11938</v>
      </c>
      <c r="E914" s="6" t="s">
        <v>11938</v>
      </c>
      <c r="N914" s="668"/>
    </row>
    <row r="915">
      <c r="A915" s="6" t="s">
        <v>1740</v>
      </c>
      <c r="B915" s="6" t="s">
        <v>11654</v>
      </c>
      <c r="C915" s="6" t="s">
        <v>11570</v>
      </c>
      <c r="D915" s="6" t="s">
        <v>22</v>
      </c>
      <c r="E915" s="6" t="s">
        <v>1741</v>
      </c>
      <c r="F915" s="6" t="s">
        <v>125</v>
      </c>
      <c r="G915" s="6" t="s">
        <v>2939</v>
      </c>
      <c r="H915" s="6">
        <v>0.0</v>
      </c>
      <c r="I915" s="6">
        <v>0.0</v>
      </c>
      <c r="J915" s="6">
        <v>2.0</v>
      </c>
      <c r="K915" s="6">
        <v>6.0</v>
      </c>
      <c r="L915" s="6">
        <v>0.0</v>
      </c>
      <c r="M915" s="6">
        <v>0.0</v>
      </c>
      <c r="N915" s="669">
        <v>1560000.0</v>
      </c>
      <c r="O915" s="6">
        <v>0.0</v>
      </c>
      <c r="P915" s="6">
        <v>0.0</v>
      </c>
      <c r="Q915" s="6">
        <v>0.0</v>
      </c>
      <c r="R915" s="6">
        <v>0.0</v>
      </c>
      <c r="S915" s="6">
        <v>10.0</v>
      </c>
      <c r="T915" s="6">
        <v>0.0</v>
      </c>
      <c r="U915" s="6">
        <v>0.0</v>
      </c>
    </row>
    <row r="916">
      <c r="A916" s="6" t="s">
        <v>1742</v>
      </c>
      <c r="B916" s="6" t="s">
        <v>11569</v>
      </c>
      <c r="C916" s="6" t="s">
        <v>11579</v>
      </c>
      <c r="D916" s="6" t="s">
        <v>41</v>
      </c>
      <c r="E916" s="6" t="s">
        <v>1741</v>
      </c>
      <c r="F916" s="6" t="s">
        <v>2193</v>
      </c>
      <c r="G916" s="6" t="s">
        <v>2939</v>
      </c>
      <c r="H916" s="6">
        <v>0.0</v>
      </c>
      <c r="I916" s="6">
        <v>0.0</v>
      </c>
      <c r="J916" s="6">
        <v>0.0</v>
      </c>
      <c r="K916" s="6">
        <v>2.0</v>
      </c>
      <c r="L916" s="6">
        <v>0.0</v>
      </c>
      <c r="M916" s="6">
        <v>0.0</v>
      </c>
      <c r="N916" s="669">
        <v>2002000.0</v>
      </c>
      <c r="O916" s="6">
        <v>0.0</v>
      </c>
      <c r="P916" s="6">
        <v>0.0</v>
      </c>
      <c r="Q916" s="6">
        <v>0.0</v>
      </c>
      <c r="R916" s="6">
        <v>0.0</v>
      </c>
      <c r="S916" s="6">
        <v>0.0</v>
      </c>
      <c r="T916" s="6">
        <v>0.0</v>
      </c>
      <c r="U916" s="6">
        <v>0.0</v>
      </c>
    </row>
    <row r="917">
      <c r="A917" s="6" t="s">
        <v>1743</v>
      </c>
      <c r="B917" s="6" t="s">
        <v>11569</v>
      </c>
      <c r="C917" s="6" t="s">
        <v>11570</v>
      </c>
      <c r="D917" s="6" t="s">
        <v>22</v>
      </c>
      <c r="E917" s="6" t="s">
        <v>1744</v>
      </c>
      <c r="F917" s="6" t="s">
        <v>125</v>
      </c>
      <c r="G917" s="6" t="s">
        <v>2939</v>
      </c>
      <c r="H917" s="6">
        <v>0.0</v>
      </c>
      <c r="I917" s="6">
        <v>0.0</v>
      </c>
      <c r="J917" s="6">
        <v>5.0</v>
      </c>
      <c r="K917" s="6">
        <v>0.0</v>
      </c>
      <c r="L917" s="6">
        <v>0.0</v>
      </c>
      <c r="M917" s="6">
        <v>0.0</v>
      </c>
      <c r="N917" s="669">
        <v>1523000.0</v>
      </c>
      <c r="O917" s="6">
        <v>0.0</v>
      </c>
      <c r="P917" s="6">
        <v>0.0</v>
      </c>
      <c r="Q917" s="6">
        <v>0.0</v>
      </c>
      <c r="R917" s="6">
        <v>0.0</v>
      </c>
      <c r="S917" s="6">
        <v>0.0</v>
      </c>
      <c r="T917" s="6">
        <v>0.0</v>
      </c>
      <c r="U917" s="6">
        <v>0.0</v>
      </c>
    </row>
    <row r="918">
      <c r="A918" s="6" t="s">
        <v>11939</v>
      </c>
      <c r="B918" s="6" t="s">
        <v>11569</v>
      </c>
      <c r="C918" s="6" t="s">
        <v>11579</v>
      </c>
      <c r="D918" s="6" t="s">
        <v>41</v>
      </c>
      <c r="E918" s="6" t="s">
        <v>11940</v>
      </c>
      <c r="F918" s="6" t="s">
        <v>2193</v>
      </c>
      <c r="G918" s="6" t="s">
        <v>2939</v>
      </c>
      <c r="H918" s="6">
        <v>0.0</v>
      </c>
      <c r="I918" s="6">
        <v>0.0</v>
      </c>
      <c r="J918" s="6">
        <v>3.0</v>
      </c>
      <c r="K918" s="6">
        <v>0.0</v>
      </c>
      <c r="L918" s="6">
        <v>0.0</v>
      </c>
      <c r="M918" s="6">
        <v>0.0</v>
      </c>
      <c r="N918" s="669">
        <v>1300000.0</v>
      </c>
      <c r="O918" s="6">
        <v>0.0</v>
      </c>
      <c r="P918" s="6">
        <v>0.0</v>
      </c>
      <c r="Q918" s="6">
        <v>0.0</v>
      </c>
      <c r="R918" s="6">
        <v>0.0</v>
      </c>
      <c r="S918" s="6">
        <v>0.0</v>
      </c>
      <c r="T918" s="6">
        <v>0.0</v>
      </c>
      <c r="U918" s="6">
        <v>0.0</v>
      </c>
    </row>
    <row r="919">
      <c r="A919" s="6" t="s">
        <v>1745</v>
      </c>
      <c r="B919" s="6" t="s">
        <v>11569</v>
      </c>
      <c r="C919" s="6" t="s">
        <v>11570</v>
      </c>
      <c r="D919" s="6" t="s">
        <v>22</v>
      </c>
      <c r="E919" s="6" t="s">
        <v>1746</v>
      </c>
      <c r="F919" s="6" t="s">
        <v>125</v>
      </c>
      <c r="G919" s="6" t="s">
        <v>2939</v>
      </c>
      <c r="H919" s="6">
        <v>0.0</v>
      </c>
      <c r="I919" s="6">
        <v>0.0</v>
      </c>
      <c r="J919" s="6">
        <v>4.0</v>
      </c>
      <c r="K919" s="6">
        <v>0.0</v>
      </c>
      <c r="L919" s="6">
        <v>0.0</v>
      </c>
      <c r="M919" s="6">
        <v>0.0</v>
      </c>
      <c r="N919" s="669">
        <v>1523000.0</v>
      </c>
      <c r="O919" s="6">
        <v>0.0</v>
      </c>
      <c r="P919" s="6">
        <v>0.0</v>
      </c>
      <c r="Q919" s="6">
        <v>0.0</v>
      </c>
      <c r="R919" s="6">
        <v>0.0</v>
      </c>
      <c r="S919" s="6">
        <v>0.0</v>
      </c>
      <c r="T919" s="6">
        <v>0.0</v>
      </c>
      <c r="U919" s="6">
        <v>0.0</v>
      </c>
    </row>
    <row r="920">
      <c r="A920" s="6" t="s">
        <v>1747</v>
      </c>
      <c r="B920" s="6" t="s">
        <v>11569</v>
      </c>
      <c r="C920" s="6" t="s">
        <v>11570</v>
      </c>
      <c r="D920" s="6" t="s">
        <v>22</v>
      </c>
      <c r="E920" s="6" t="s">
        <v>1748</v>
      </c>
      <c r="F920" s="6" t="s">
        <v>125</v>
      </c>
      <c r="G920" s="6" t="s">
        <v>2939</v>
      </c>
      <c r="H920" s="6">
        <v>0.0</v>
      </c>
      <c r="I920" s="6">
        <v>0.0</v>
      </c>
      <c r="J920" s="6">
        <v>4.0</v>
      </c>
      <c r="K920" s="6">
        <v>0.0</v>
      </c>
      <c r="L920" s="6">
        <v>0.0</v>
      </c>
      <c r="M920" s="6">
        <v>0.0</v>
      </c>
      <c r="N920" s="669">
        <v>1523000.0</v>
      </c>
      <c r="O920" s="6">
        <v>0.0</v>
      </c>
      <c r="P920" s="6">
        <v>0.0</v>
      </c>
      <c r="Q920" s="6">
        <v>0.0</v>
      </c>
      <c r="R920" s="6">
        <v>0.0</v>
      </c>
      <c r="S920" s="6">
        <v>0.0</v>
      </c>
      <c r="T920" s="6">
        <v>0.0</v>
      </c>
      <c r="U920" s="6">
        <v>0.0</v>
      </c>
    </row>
    <row r="921">
      <c r="A921" s="6" t="s">
        <v>11941</v>
      </c>
      <c r="E921" s="6" t="s">
        <v>11941</v>
      </c>
      <c r="N921" s="668"/>
    </row>
    <row r="922">
      <c r="A922" s="6" t="s">
        <v>11942</v>
      </c>
      <c r="B922" s="6" t="s">
        <v>11569</v>
      </c>
      <c r="C922" s="6" t="s">
        <v>11570</v>
      </c>
      <c r="D922" s="6" t="s">
        <v>22</v>
      </c>
      <c r="E922" s="6" t="s">
        <v>11943</v>
      </c>
      <c r="F922" s="6" t="s">
        <v>737</v>
      </c>
      <c r="G922" s="6" t="s">
        <v>2939</v>
      </c>
      <c r="H922" s="6">
        <v>0.0</v>
      </c>
      <c r="I922" s="6">
        <v>0.0</v>
      </c>
      <c r="J922" s="6">
        <v>8.0</v>
      </c>
      <c r="K922" s="6">
        <v>0.0</v>
      </c>
      <c r="L922" s="6">
        <v>0.0</v>
      </c>
      <c r="M922" s="6">
        <v>0.0</v>
      </c>
      <c r="N922" s="669">
        <v>6000000.0</v>
      </c>
      <c r="O922" s="6">
        <v>0.0</v>
      </c>
      <c r="P922" s="6">
        <v>0.0</v>
      </c>
      <c r="Q922" s="6">
        <v>0.0</v>
      </c>
      <c r="R922" s="6">
        <v>0.0</v>
      </c>
      <c r="S922" s="6">
        <v>0.0</v>
      </c>
      <c r="T922" s="6">
        <v>0.0</v>
      </c>
      <c r="U922" s="6">
        <v>0.0</v>
      </c>
    </row>
    <row r="923">
      <c r="A923" s="6" t="s">
        <v>1749</v>
      </c>
      <c r="B923" s="6" t="s">
        <v>11569</v>
      </c>
      <c r="C923" s="6" t="s">
        <v>11570</v>
      </c>
      <c r="D923" s="6" t="s">
        <v>22</v>
      </c>
      <c r="E923" s="6" t="s">
        <v>11944</v>
      </c>
      <c r="F923" s="6" t="s">
        <v>23</v>
      </c>
      <c r="G923" s="6" t="s">
        <v>2939</v>
      </c>
      <c r="H923" s="6">
        <v>0.0</v>
      </c>
      <c r="I923" s="6">
        <v>0.0</v>
      </c>
      <c r="J923" s="6">
        <v>3.0</v>
      </c>
      <c r="K923" s="6">
        <v>0.0</v>
      </c>
      <c r="L923" s="6">
        <v>0.0</v>
      </c>
      <c r="M923" s="6">
        <v>0.0</v>
      </c>
      <c r="N923" s="669">
        <v>7390000.0</v>
      </c>
      <c r="O923" s="6">
        <v>0.0</v>
      </c>
      <c r="P923" s="6">
        <v>0.0</v>
      </c>
      <c r="Q923" s="6">
        <v>0.0</v>
      </c>
      <c r="R923" s="6">
        <v>0.0</v>
      </c>
      <c r="S923" s="6">
        <v>0.0</v>
      </c>
      <c r="T923" s="6">
        <v>0.0</v>
      </c>
      <c r="U923" s="6">
        <v>0.0</v>
      </c>
    </row>
    <row r="924">
      <c r="A924" s="6" t="s">
        <v>1751</v>
      </c>
      <c r="B924" s="6" t="s">
        <v>11569</v>
      </c>
      <c r="C924" s="6" t="s">
        <v>11579</v>
      </c>
      <c r="D924" s="6" t="s">
        <v>41</v>
      </c>
      <c r="E924" s="6" t="s">
        <v>11945</v>
      </c>
      <c r="F924" s="6" t="s">
        <v>2193</v>
      </c>
      <c r="G924" s="6" t="s">
        <v>2939</v>
      </c>
      <c r="H924" s="6">
        <v>0.0</v>
      </c>
      <c r="I924" s="6">
        <v>0.0</v>
      </c>
      <c r="J924" s="6">
        <v>3.0</v>
      </c>
      <c r="K924" s="6">
        <v>0.0</v>
      </c>
      <c r="L924" s="6">
        <v>0.0</v>
      </c>
      <c r="M924" s="6">
        <v>0.0</v>
      </c>
      <c r="N924" s="669">
        <v>4238000.0</v>
      </c>
      <c r="O924" s="6">
        <v>0.0</v>
      </c>
      <c r="P924" s="6">
        <v>0.0</v>
      </c>
      <c r="Q924" s="6">
        <v>0.0</v>
      </c>
      <c r="R924" s="6">
        <v>0.0</v>
      </c>
      <c r="S924" s="6">
        <v>0.0</v>
      </c>
      <c r="T924" s="6">
        <v>0.0</v>
      </c>
      <c r="U924" s="6">
        <v>0.0</v>
      </c>
    </row>
    <row r="925">
      <c r="A925" s="6" t="s">
        <v>1753</v>
      </c>
      <c r="B925" s="6" t="s">
        <v>11569</v>
      </c>
      <c r="C925" s="6" t="s">
        <v>11591</v>
      </c>
      <c r="D925" s="6" t="s">
        <v>128</v>
      </c>
      <c r="E925" s="6" t="s">
        <v>11946</v>
      </c>
      <c r="G925" s="6" t="s">
        <v>2939</v>
      </c>
      <c r="H925" s="6">
        <v>0.0</v>
      </c>
      <c r="I925" s="6">
        <v>0.0</v>
      </c>
      <c r="J925" s="6">
        <v>5.0</v>
      </c>
      <c r="K925" s="6">
        <v>0.0</v>
      </c>
      <c r="L925" s="6">
        <v>0.0</v>
      </c>
      <c r="M925" s="6">
        <v>0.0</v>
      </c>
      <c r="N925" s="669">
        <v>1178000.0</v>
      </c>
      <c r="O925" s="6">
        <v>0.0</v>
      </c>
      <c r="P925" s="6">
        <v>0.0</v>
      </c>
      <c r="Q925" s="6">
        <v>0.0</v>
      </c>
      <c r="R925" s="6">
        <v>0.0</v>
      </c>
      <c r="S925" s="6">
        <v>0.0</v>
      </c>
      <c r="T925" s="6">
        <v>0.0</v>
      </c>
      <c r="U925" s="6">
        <v>0.0</v>
      </c>
    </row>
    <row r="926">
      <c r="A926" s="6" t="s">
        <v>1755</v>
      </c>
      <c r="B926" s="6" t="s">
        <v>11569</v>
      </c>
      <c r="C926" s="6" t="s">
        <v>11591</v>
      </c>
      <c r="D926" s="6" t="s">
        <v>130</v>
      </c>
      <c r="E926" s="6" t="s">
        <v>11946</v>
      </c>
      <c r="G926" s="6" t="s">
        <v>2939</v>
      </c>
      <c r="H926" s="6">
        <v>0.0</v>
      </c>
      <c r="I926" s="6">
        <v>0.0</v>
      </c>
      <c r="J926" s="6">
        <v>5.0</v>
      </c>
      <c r="K926" s="6">
        <v>0.0</v>
      </c>
      <c r="L926" s="6">
        <v>0.0</v>
      </c>
      <c r="M926" s="6">
        <v>0.0</v>
      </c>
      <c r="N926" s="669">
        <v>1178000.0</v>
      </c>
      <c r="O926" s="6">
        <v>0.0</v>
      </c>
      <c r="P926" s="6">
        <v>0.0</v>
      </c>
      <c r="Q926" s="6">
        <v>0.0</v>
      </c>
      <c r="R926" s="6">
        <v>0.0</v>
      </c>
      <c r="S926" s="6">
        <v>0.0</v>
      </c>
      <c r="T926" s="6">
        <v>0.0</v>
      </c>
      <c r="U926" s="6">
        <v>0.0</v>
      </c>
    </row>
    <row r="927">
      <c r="A927" s="6" t="s">
        <v>1756</v>
      </c>
      <c r="B927" s="6" t="s">
        <v>11569</v>
      </c>
      <c r="C927" s="6" t="s">
        <v>11591</v>
      </c>
      <c r="D927" s="6" t="s">
        <v>202</v>
      </c>
      <c r="E927" s="6" t="s">
        <v>11945</v>
      </c>
      <c r="G927" s="6" t="s">
        <v>2939</v>
      </c>
      <c r="H927" s="6">
        <v>0.0</v>
      </c>
      <c r="I927" s="6">
        <v>0.0</v>
      </c>
      <c r="J927" s="6">
        <v>4.0</v>
      </c>
      <c r="K927" s="6">
        <v>0.0</v>
      </c>
      <c r="L927" s="6">
        <v>0.0</v>
      </c>
      <c r="M927" s="6">
        <v>0.0</v>
      </c>
      <c r="N927" s="669">
        <v>2355000.0</v>
      </c>
      <c r="O927" s="6">
        <v>0.0</v>
      </c>
      <c r="P927" s="6">
        <v>0.0</v>
      </c>
      <c r="Q927" s="6">
        <v>0.0</v>
      </c>
      <c r="R927" s="6">
        <v>0.0</v>
      </c>
      <c r="S927" s="6">
        <v>0.0</v>
      </c>
      <c r="T927" s="6">
        <v>0.0</v>
      </c>
      <c r="U927" s="6">
        <v>0.0</v>
      </c>
    </row>
    <row r="928">
      <c r="A928" s="6" t="s">
        <v>1757</v>
      </c>
      <c r="B928" s="6" t="s">
        <v>11569</v>
      </c>
      <c r="C928" s="6" t="s">
        <v>11591</v>
      </c>
      <c r="D928" s="6" t="s">
        <v>236</v>
      </c>
      <c r="E928" s="6" t="s">
        <v>11945</v>
      </c>
      <c r="G928" s="6" t="s">
        <v>2939</v>
      </c>
      <c r="H928" s="6">
        <v>0.0</v>
      </c>
      <c r="I928" s="6">
        <v>0.0</v>
      </c>
      <c r="J928" s="6">
        <v>1.0</v>
      </c>
      <c r="K928" s="6">
        <v>0.0</v>
      </c>
      <c r="L928" s="6">
        <v>0.0</v>
      </c>
      <c r="M928" s="6">
        <v>0.0</v>
      </c>
      <c r="N928" s="669">
        <v>2355000.0</v>
      </c>
      <c r="O928" s="6">
        <v>0.0</v>
      </c>
      <c r="P928" s="6">
        <v>0.0</v>
      </c>
      <c r="Q928" s="6">
        <v>0.0</v>
      </c>
      <c r="R928" s="6">
        <v>0.0</v>
      </c>
      <c r="S928" s="6">
        <v>0.0</v>
      </c>
      <c r="T928" s="6">
        <v>0.0</v>
      </c>
      <c r="U928" s="6">
        <v>0.0</v>
      </c>
    </row>
    <row r="929">
      <c r="A929" s="6" t="s">
        <v>1015</v>
      </c>
      <c r="B929" s="6" t="s">
        <v>11576</v>
      </c>
      <c r="C929" s="6" t="s">
        <v>11570</v>
      </c>
      <c r="D929" s="6" t="s">
        <v>22</v>
      </c>
      <c r="E929" s="6" t="s">
        <v>1016</v>
      </c>
      <c r="F929" s="6" t="s">
        <v>23</v>
      </c>
      <c r="G929" s="6" t="s">
        <v>2939</v>
      </c>
      <c r="H929" s="6">
        <v>0.0</v>
      </c>
      <c r="I929" s="6">
        <v>0.0</v>
      </c>
      <c r="J929" s="6">
        <v>1.0</v>
      </c>
      <c r="K929" s="6">
        <v>0.0</v>
      </c>
      <c r="L929" s="6">
        <v>0.0</v>
      </c>
      <c r="M929" s="6">
        <v>0.0</v>
      </c>
      <c r="N929" s="669">
        <v>6720000.0</v>
      </c>
      <c r="O929" s="6">
        <v>0.0</v>
      </c>
      <c r="P929" s="6">
        <v>0.0</v>
      </c>
      <c r="Q929" s="6">
        <v>0.0</v>
      </c>
      <c r="R929" s="6">
        <v>0.0</v>
      </c>
      <c r="S929" s="6">
        <v>0.0</v>
      </c>
      <c r="T929" s="6">
        <v>0.0</v>
      </c>
      <c r="U929" s="6">
        <v>5.0</v>
      </c>
    </row>
    <row r="930">
      <c r="A930" s="6" t="s">
        <v>11947</v>
      </c>
      <c r="B930" s="6" t="s">
        <v>11569</v>
      </c>
      <c r="C930" s="6" t="s">
        <v>11570</v>
      </c>
      <c r="D930" s="6" t="s">
        <v>22</v>
      </c>
      <c r="E930" s="6" t="s">
        <v>11948</v>
      </c>
      <c r="F930" s="6" t="s">
        <v>23</v>
      </c>
      <c r="G930" s="6" t="s">
        <v>2939</v>
      </c>
      <c r="H930" s="6">
        <v>0.0</v>
      </c>
      <c r="I930" s="6">
        <v>0.0</v>
      </c>
      <c r="J930" s="6">
        <v>5.0</v>
      </c>
      <c r="K930" s="6">
        <v>0.0</v>
      </c>
      <c r="L930" s="6">
        <v>0.0</v>
      </c>
      <c r="M930" s="6">
        <v>0.0</v>
      </c>
      <c r="N930" s="669">
        <v>6720000.0</v>
      </c>
      <c r="O930" s="6">
        <v>0.0</v>
      </c>
      <c r="P930" s="6">
        <v>0.0</v>
      </c>
      <c r="Q930" s="6">
        <v>0.0</v>
      </c>
      <c r="R930" s="6">
        <v>0.0</v>
      </c>
      <c r="S930" s="6">
        <v>0.0</v>
      </c>
      <c r="T930" s="6">
        <v>0.0</v>
      </c>
      <c r="U930" s="6">
        <v>0.0</v>
      </c>
    </row>
    <row r="931">
      <c r="A931" s="6" t="s">
        <v>1758</v>
      </c>
      <c r="B931" s="6" t="s">
        <v>11569</v>
      </c>
      <c r="C931" s="6" t="s">
        <v>11570</v>
      </c>
      <c r="D931" s="6" t="s">
        <v>22</v>
      </c>
      <c r="E931" s="6" t="s">
        <v>1759</v>
      </c>
      <c r="F931" s="6" t="s">
        <v>23</v>
      </c>
      <c r="G931" s="6" t="s">
        <v>2939</v>
      </c>
      <c r="H931" s="6">
        <v>0.0</v>
      </c>
      <c r="I931" s="6">
        <v>0.0</v>
      </c>
      <c r="J931" s="6">
        <v>6.0</v>
      </c>
      <c r="K931" s="6">
        <v>0.0</v>
      </c>
      <c r="L931" s="6">
        <v>0.0</v>
      </c>
      <c r="M931" s="6">
        <v>0.0</v>
      </c>
      <c r="N931" s="669">
        <v>7390000.0</v>
      </c>
      <c r="O931" s="6">
        <v>0.0</v>
      </c>
      <c r="P931" s="6">
        <v>0.0</v>
      </c>
      <c r="Q931" s="6">
        <v>0.0</v>
      </c>
      <c r="R931" s="6">
        <v>0.0</v>
      </c>
      <c r="S931" s="6">
        <v>0.0</v>
      </c>
      <c r="T931" s="6">
        <v>0.0</v>
      </c>
      <c r="U931" s="6">
        <v>0.0</v>
      </c>
    </row>
    <row r="932">
      <c r="A932" s="6" t="s">
        <v>1017</v>
      </c>
      <c r="B932" s="6" t="s">
        <v>11578</v>
      </c>
      <c r="C932" s="6" t="s">
        <v>11579</v>
      </c>
      <c r="D932" s="6" t="s">
        <v>41</v>
      </c>
      <c r="E932" s="6" t="s">
        <v>1018</v>
      </c>
      <c r="F932" s="6" t="s">
        <v>2193</v>
      </c>
      <c r="G932" s="6" t="s">
        <v>2939</v>
      </c>
      <c r="H932" s="6">
        <v>2.0</v>
      </c>
      <c r="I932" s="6">
        <v>0.0</v>
      </c>
      <c r="J932" s="6">
        <v>0.0</v>
      </c>
      <c r="K932" s="6">
        <v>0.0</v>
      </c>
      <c r="L932" s="6">
        <v>0.0</v>
      </c>
      <c r="M932" s="6">
        <v>0.0</v>
      </c>
      <c r="N932" s="669">
        <v>4175000.0</v>
      </c>
      <c r="O932" s="6">
        <v>0.0</v>
      </c>
      <c r="P932" s="6">
        <v>0.0</v>
      </c>
      <c r="Q932" s="6">
        <v>0.0</v>
      </c>
      <c r="R932" s="6">
        <v>0.0</v>
      </c>
      <c r="S932" s="6">
        <v>0.0</v>
      </c>
      <c r="T932" s="6">
        <v>0.0</v>
      </c>
      <c r="U932" s="6">
        <v>0.0</v>
      </c>
    </row>
    <row r="933">
      <c r="A933" s="6" t="s">
        <v>11949</v>
      </c>
      <c r="B933" s="6" t="s">
        <v>11569</v>
      </c>
      <c r="C933" s="6" t="s">
        <v>11579</v>
      </c>
      <c r="D933" s="6" t="s">
        <v>41</v>
      </c>
      <c r="E933" s="6" t="s">
        <v>11950</v>
      </c>
      <c r="F933" s="6" t="s">
        <v>2193</v>
      </c>
      <c r="G933" s="6" t="s">
        <v>2939</v>
      </c>
      <c r="H933" s="6">
        <v>0.0</v>
      </c>
      <c r="I933" s="6">
        <v>0.0</v>
      </c>
      <c r="J933" s="6">
        <v>3.0</v>
      </c>
      <c r="K933" s="6">
        <v>0.0</v>
      </c>
      <c r="L933" s="6">
        <v>0.0</v>
      </c>
      <c r="M933" s="6">
        <v>0.0</v>
      </c>
      <c r="N933" s="669">
        <v>6000000.0</v>
      </c>
      <c r="O933" s="6">
        <v>0.0</v>
      </c>
      <c r="P933" s="6">
        <v>0.0</v>
      </c>
      <c r="Q933" s="6">
        <v>0.0</v>
      </c>
      <c r="R933" s="6">
        <v>0.0</v>
      </c>
      <c r="S933" s="6">
        <v>0.0</v>
      </c>
      <c r="T933" s="6">
        <v>0.0</v>
      </c>
      <c r="U933" s="6">
        <v>0.0</v>
      </c>
    </row>
    <row r="934">
      <c r="A934" s="6" t="s">
        <v>11951</v>
      </c>
      <c r="B934" s="6" t="s">
        <v>11569</v>
      </c>
      <c r="C934" s="6" t="s">
        <v>11570</v>
      </c>
      <c r="D934" s="6" t="s">
        <v>22</v>
      </c>
      <c r="E934" s="6" t="s">
        <v>11952</v>
      </c>
      <c r="F934" s="6" t="s">
        <v>23</v>
      </c>
      <c r="G934" s="6" t="s">
        <v>2939</v>
      </c>
      <c r="H934" s="6">
        <v>0.0</v>
      </c>
      <c r="I934" s="6">
        <v>0.0</v>
      </c>
      <c r="J934" s="6">
        <v>3.0</v>
      </c>
      <c r="K934" s="6">
        <v>0.0</v>
      </c>
      <c r="L934" s="6">
        <v>0.0</v>
      </c>
      <c r="M934" s="6">
        <v>0.0</v>
      </c>
      <c r="N934" s="669">
        <v>8000000.0</v>
      </c>
      <c r="O934" s="6">
        <v>0.0</v>
      </c>
      <c r="P934" s="6">
        <v>0.0</v>
      </c>
      <c r="Q934" s="6">
        <v>0.0</v>
      </c>
      <c r="R934" s="6">
        <v>0.0</v>
      </c>
      <c r="S934" s="6">
        <v>0.0</v>
      </c>
      <c r="T934" s="6">
        <v>0.0</v>
      </c>
      <c r="U934" s="6">
        <v>0.0</v>
      </c>
    </row>
    <row r="935">
      <c r="A935" s="6" t="s">
        <v>11953</v>
      </c>
      <c r="E935" s="6" t="s">
        <v>11953</v>
      </c>
      <c r="N935" s="668"/>
    </row>
    <row r="936">
      <c r="A936" s="6" t="s">
        <v>2449</v>
      </c>
      <c r="B936" s="6" t="s">
        <v>11569</v>
      </c>
      <c r="C936" s="6" t="s">
        <v>11570</v>
      </c>
      <c r="D936" s="6" t="s">
        <v>22</v>
      </c>
      <c r="E936" s="6" t="s">
        <v>2450</v>
      </c>
      <c r="F936" s="6" t="s">
        <v>125</v>
      </c>
      <c r="G936" s="6" t="s">
        <v>2939</v>
      </c>
      <c r="H936" s="6">
        <v>0.0</v>
      </c>
      <c r="I936" s="6">
        <v>0.0</v>
      </c>
      <c r="J936" s="6">
        <v>0.0</v>
      </c>
      <c r="K936" s="6">
        <v>0.0</v>
      </c>
      <c r="L936" s="6">
        <v>0.0</v>
      </c>
      <c r="M936" s="6">
        <v>0.0</v>
      </c>
      <c r="N936" s="669">
        <v>1900000.0</v>
      </c>
      <c r="O936" s="6">
        <v>0.0</v>
      </c>
      <c r="P936" s="6">
        <v>0.0</v>
      </c>
      <c r="Q936" s="6">
        <v>0.0</v>
      </c>
      <c r="R936" s="6">
        <v>0.0</v>
      </c>
      <c r="S936" s="6">
        <v>0.0</v>
      </c>
      <c r="T936" s="6">
        <v>0.0</v>
      </c>
      <c r="U936" s="6">
        <v>0.0</v>
      </c>
    </row>
    <row r="937">
      <c r="A937" s="6" t="s">
        <v>11954</v>
      </c>
      <c r="B937" s="6" t="s">
        <v>11569</v>
      </c>
      <c r="C937" s="6" t="s">
        <v>11570</v>
      </c>
      <c r="D937" s="6" t="s">
        <v>22</v>
      </c>
      <c r="E937" s="6" t="s">
        <v>11955</v>
      </c>
      <c r="F937" s="6" t="s">
        <v>737</v>
      </c>
      <c r="G937" s="6" t="s">
        <v>2939</v>
      </c>
      <c r="H937" s="6">
        <v>0.0</v>
      </c>
      <c r="I937" s="6">
        <v>0.0</v>
      </c>
      <c r="J937" s="6">
        <v>5.0</v>
      </c>
      <c r="K937" s="6">
        <v>0.0</v>
      </c>
      <c r="L937" s="6">
        <v>0.0</v>
      </c>
      <c r="M937" s="6">
        <v>0.0</v>
      </c>
      <c r="N937" s="669">
        <v>2700000.0</v>
      </c>
      <c r="O937" s="6">
        <v>0.0</v>
      </c>
      <c r="P937" s="6">
        <v>0.0</v>
      </c>
      <c r="Q937" s="6">
        <v>0.0</v>
      </c>
      <c r="R937" s="6">
        <v>0.0</v>
      </c>
      <c r="S937" s="6">
        <v>0.0</v>
      </c>
      <c r="T937" s="6">
        <v>0.0</v>
      </c>
      <c r="U937" s="6">
        <v>0.0</v>
      </c>
    </row>
    <row r="938">
      <c r="A938" s="6" t="s">
        <v>11956</v>
      </c>
      <c r="B938" s="6" t="s">
        <v>11569</v>
      </c>
      <c r="C938" s="6" t="s">
        <v>11570</v>
      </c>
      <c r="D938" s="6" t="s">
        <v>41</v>
      </c>
      <c r="E938" s="6" t="s">
        <v>11957</v>
      </c>
      <c r="F938" s="6" t="s">
        <v>1377</v>
      </c>
      <c r="G938" s="6" t="s">
        <v>2939</v>
      </c>
      <c r="H938" s="6">
        <v>0.0</v>
      </c>
      <c r="I938" s="6">
        <v>0.0</v>
      </c>
      <c r="J938" s="6">
        <v>1.0</v>
      </c>
      <c r="K938" s="6">
        <v>0.0</v>
      </c>
      <c r="L938" s="6">
        <v>0.0</v>
      </c>
      <c r="M938" s="6">
        <v>0.0</v>
      </c>
      <c r="N938" s="669">
        <v>2450000.0</v>
      </c>
      <c r="O938" s="6">
        <v>0.0</v>
      </c>
      <c r="P938" s="6">
        <v>0.0</v>
      </c>
      <c r="Q938" s="6">
        <v>0.0</v>
      </c>
      <c r="R938" s="6">
        <v>0.0</v>
      </c>
      <c r="S938" s="6">
        <v>0.0</v>
      </c>
      <c r="T938" s="6">
        <v>0.0</v>
      </c>
      <c r="U938" s="6">
        <v>0.0</v>
      </c>
    </row>
    <row r="939">
      <c r="A939" s="6" t="s">
        <v>11958</v>
      </c>
      <c r="B939" s="6" t="s">
        <v>11569</v>
      </c>
      <c r="C939" s="6" t="s">
        <v>11570</v>
      </c>
      <c r="D939" s="6" t="s">
        <v>134</v>
      </c>
      <c r="E939" s="6" t="s">
        <v>11957</v>
      </c>
      <c r="G939" s="6" t="s">
        <v>2939</v>
      </c>
      <c r="H939" s="6">
        <v>0.0</v>
      </c>
      <c r="I939" s="6">
        <v>0.0</v>
      </c>
      <c r="J939" s="6">
        <v>1.0</v>
      </c>
      <c r="K939" s="6">
        <v>0.0</v>
      </c>
      <c r="L939" s="6">
        <v>0.0</v>
      </c>
      <c r="M939" s="6">
        <v>0.0</v>
      </c>
      <c r="N939" s="669">
        <v>1300000.0</v>
      </c>
      <c r="O939" s="6">
        <v>0.0</v>
      </c>
      <c r="P939" s="6">
        <v>0.0</v>
      </c>
      <c r="Q939" s="6">
        <v>0.0</v>
      </c>
      <c r="R939" s="6">
        <v>0.0</v>
      </c>
      <c r="S939" s="6">
        <v>0.0</v>
      </c>
      <c r="T939" s="6">
        <v>0.0</v>
      </c>
      <c r="U939" s="6">
        <v>0.0</v>
      </c>
    </row>
    <row r="940">
      <c r="A940" s="6" t="s">
        <v>11959</v>
      </c>
      <c r="E940" s="6" t="s">
        <v>11959</v>
      </c>
      <c r="N940" s="668"/>
    </row>
    <row r="941">
      <c r="A941" s="6" t="s">
        <v>1575</v>
      </c>
      <c r="B941" s="6" t="s">
        <v>11653</v>
      </c>
      <c r="C941" s="6" t="s">
        <v>11570</v>
      </c>
      <c r="D941" s="6" t="s">
        <v>22</v>
      </c>
      <c r="E941" s="6" t="s">
        <v>1576</v>
      </c>
      <c r="F941" s="6" t="s">
        <v>125</v>
      </c>
      <c r="G941" s="6" t="s">
        <v>2939</v>
      </c>
      <c r="H941" s="6">
        <v>0.0</v>
      </c>
      <c r="I941" s="6">
        <v>0.0</v>
      </c>
      <c r="J941" s="6">
        <v>0.0</v>
      </c>
      <c r="K941" s="6">
        <v>0.0</v>
      </c>
      <c r="L941" s="6">
        <v>1.0</v>
      </c>
      <c r="M941" s="6">
        <v>0.0</v>
      </c>
      <c r="N941" s="669">
        <v>2100000.0</v>
      </c>
      <c r="O941" s="6">
        <v>0.0</v>
      </c>
      <c r="P941" s="6">
        <v>0.0</v>
      </c>
      <c r="Q941" s="6">
        <v>0.0</v>
      </c>
      <c r="R941" s="6">
        <v>0.0</v>
      </c>
      <c r="S941" s="6">
        <v>0.0</v>
      </c>
      <c r="T941" s="6">
        <v>0.0</v>
      </c>
      <c r="U941" s="6">
        <v>0.0</v>
      </c>
    </row>
    <row r="942">
      <c r="A942" s="6" t="s">
        <v>1813</v>
      </c>
      <c r="B942" s="6" t="s">
        <v>11569</v>
      </c>
      <c r="C942" s="6" t="s">
        <v>11570</v>
      </c>
      <c r="D942" s="6" t="s">
        <v>22</v>
      </c>
      <c r="E942" s="6" t="s">
        <v>11960</v>
      </c>
      <c r="F942" s="6" t="s">
        <v>737</v>
      </c>
      <c r="G942" s="6" t="s">
        <v>2939</v>
      </c>
      <c r="H942" s="6">
        <v>0.0</v>
      </c>
      <c r="I942" s="6">
        <v>0.0</v>
      </c>
      <c r="J942" s="6">
        <v>4.0</v>
      </c>
      <c r="K942" s="6">
        <v>0.0</v>
      </c>
      <c r="L942" s="6">
        <v>0.0</v>
      </c>
      <c r="M942" s="6">
        <v>0.0</v>
      </c>
      <c r="N942" s="669">
        <v>3818000.0</v>
      </c>
      <c r="O942" s="6">
        <v>0.0</v>
      </c>
      <c r="P942" s="6">
        <v>0.0</v>
      </c>
      <c r="Q942" s="6">
        <v>0.0</v>
      </c>
      <c r="R942" s="6">
        <v>0.0</v>
      </c>
      <c r="S942" s="6">
        <v>0.0</v>
      </c>
      <c r="T942" s="6">
        <v>0.0</v>
      </c>
      <c r="U942" s="6">
        <v>0.0</v>
      </c>
    </row>
    <row r="943">
      <c r="A943" s="6" t="s">
        <v>11961</v>
      </c>
      <c r="E943" s="6" t="s">
        <v>11961</v>
      </c>
      <c r="N943" s="668"/>
    </row>
    <row r="944">
      <c r="A944" s="6" t="s">
        <v>1762</v>
      </c>
      <c r="B944" s="6" t="s">
        <v>11569</v>
      </c>
      <c r="C944" s="6" t="s">
        <v>11570</v>
      </c>
      <c r="D944" s="6" t="s">
        <v>22</v>
      </c>
      <c r="E944" s="6" t="s">
        <v>1763</v>
      </c>
      <c r="F944" s="6" t="s">
        <v>125</v>
      </c>
      <c r="G944" s="6" t="s">
        <v>2939</v>
      </c>
      <c r="H944" s="6">
        <v>0.0</v>
      </c>
      <c r="I944" s="6">
        <v>0.0</v>
      </c>
      <c r="J944" s="6">
        <v>6.0</v>
      </c>
      <c r="K944" s="6">
        <v>0.0</v>
      </c>
      <c r="L944" s="6">
        <v>0.0</v>
      </c>
      <c r="M944" s="6">
        <v>0.0</v>
      </c>
      <c r="N944" s="669">
        <v>1848000.0</v>
      </c>
      <c r="O944" s="6">
        <v>0.0</v>
      </c>
      <c r="P944" s="6">
        <v>0.0</v>
      </c>
      <c r="Q944" s="6">
        <v>0.0</v>
      </c>
      <c r="R944" s="6">
        <v>0.0</v>
      </c>
      <c r="S944" s="6">
        <v>10.0</v>
      </c>
      <c r="T944" s="6">
        <v>10.0</v>
      </c>
      <c r="U944" s="6">
        <v>0.0</v>
      </c>
    </row>
    <row r="945">
      <c r="A945" s="6" t="s">
        <v>1019</v>
      </c>
      <c r="B945" s="6" t="s">
        <v>11576</v>
      </c>
      <c r="C945" s="6" t="s">
        <v>11579</v>
      </c>
      <c r="D945" s="6" t="s">
        <v>41</v>
      </c>
      <c r="E945" s="6" t="s">
        <v>1020</v>
      </c>
      <c r="F945" s="6" t="s">
        <v>1377</v>
      </c>
      <c r="G945" s="6" t="s">
        <v>2939</v>
      </c>
      <c r="H945" s="6">
        <v>0.0</v>
      </c>
      <c r="I945" s="6">
        <v>0.0</v>
      </c>
      <c r="J945" s="6">
        <v>2.0</v>
      </c>
      <c r="K945" s="6">
        <v>1.0</v>
      </c>
      <c r="L945" s="6">
        <v>0.0</v>
      </c>
      <c r="M945" s="6">
        <v>0.0</v>
      </c>
      <c r="N945" s="669">
        <v>1766000.0</v>
      </c>
      <c r="O945" s="6">
        <v>0.0</v>
      </c>
      <c r="P945" s="6">
        <v>0.0</v>
      </c>
      <c r="Q945" s="6">
        <v>0.0</v>
      </c>
      <c r="R945" s="6">
        <v>0.0</v>
      </c>
      <c r="S945" s="6">
        <v>8.0</v>
      </c>
      <c r="T945" s="6">
        <v>0.0</v>
      </c>
      <c r="U945" s="6">
        <v>0.0</v>
      </c>
    </row>
    <row r="946">
      <c r="A946" s="6" t="s">
        <v>1021</v>
      </c>
      <c r="B946" s="6" t="s">
        <v>11576</v>
      </c>
      <c r="C946" s="6" t="s">
        <v>11570</v>
      </c>
      <c r="D946" s="6" t="s">
        <v>22</v>
      </c>
      <c r="E946" s="6" t="s">
        <v>1022</v>
      </c>
      <c r="F946" s="6" t="s">
        <v>97</v>
      </c>
      <c r="G946" s="6" t="s">
        <v>2939</v>
      </c>
      <c r="H946" s="6">
        <v>3.0</v>
      </c>
      <c r="I946" s="6">
        <v>0.0</v>
      </c>
      <c r="J946" s="6" t="s">
        <v>11590</v>
      </c>
      <c r="K946" s="6" t="s">
        <v>11590</v>
      </c>
      <c r="L946" s="6">
        <v>0.0</v>
      </c>
      <c r="M946" s="6">
        <v>0.0</v>
      </c>
      <c r="N946" s="669">
        <v>894000.0</v>
      </c>
      <c r="O946" s="6">
        <v>10.0</v>
      </c>
      <c r="P946" s="6">
        <v>10.0</v>
      </c>
      <c r="Q946" s="6">
        <v>0.0</v>
      </c>
      <c r="R946" s="6">
        <v>0.0</v>
      </c>
      <c r="S946" s="6" t="s">
        <v>11590</v>
      </c>
      <c r="T946" s="6">
        <v>0.0</v>
      </c>
      <c r="U946" s="6" t="s">
        <v>11590</v>
      </c>
    </row>
    <row r="947">
      <c r="A947" s="6" t="s">
        <v>1021</v>
      </c>
      <c r="B947" s="6" t="s">
        <v>11653</v>
      </c>
      <c r="C947" s="6" t="s">
        <v>11570</v>
      </c>
      <c r="D947" s="6" t="s">
        <v>22</v>
      </c>
      <c r="E947" s="6" t="s">
        <v>2322</v>
      </c>
      <c r="F947" s="6" t="s">
        <v>97</v>
      </c>
      <c r="G947" s="6" t="s">
        <v>2939</v>
      </c>
      <c r="H947" s="6">
        <v>0.0</v>
      </c>
      <c r="I947" s="6">
        <v>0.0</v>
      </c>
      <c r="J947" s="6">
        <v>0.0</v>
      </c>
      <c r="K947" s="6">
        <v>0.0</v>
      </c>
      <c r="L947" s="6" t="s">
        <v>11590</v>
      </c>
      <c r="M947" s="6">
        <v>0.0</v>
      </c>
      <c r="N947" s="669">
        <v>1027000.0</v>
      </c>
      <c r="O947" s="6">
        <v>10.0</v>
      </c>
      <c r="P947" s="6">
        <v>10.0</v>
      </c>
      <c r="Q947" s="6">
        <v>0.0</v>
      </c>
      <c r="R947" s="6">
        <v>0.0</v>
      </c>
      <c r="S947" s="6" t="s">
        <v>11590</v>
      </c>
      <c r="T947" s="6">
        <v>0.0</v>
      </c>
      <c r="U947" s="6" t="s">
        <v>11590</v>
      </c>
    </row>
    <row r="948">
      <c r="A948" s="6" t="s">
        <v>2041</v>
      </c>
      <c r="B948" s="6" t="s">
        <v>11653</v>
      </c>
      <c r="C948" s="6" t="s">
        <v>11579</v>
      </c>
      <c r="D948" s="6" t="s">
        <v>41</v>
      </c>
      <c r="E948" s="6" t="s">
        <v>2042</v>
      </c>
      <c r="G948" s="6" t="s">
        <v>2939</v>
      </c>
      <c r="H948" s="6">
        <v>0.0</v>
      </c>
      <c r="I948" s="6">
        <v>0.0</v>
      </c>
      <c r="J948" s="6">
        <v>0.0</v>
      </c>
      <c r="K948" s="6">
        <v>0.0</v>
      </c>
      <c r="L948" s="6">
        <v>0.0</v>
      </c>
      <c r="M948" s="6" t="s">
        <v>11590</v>
      </c>
      <c r="N948" s="669">
        <v>515000.0</v>
      </c>
      <c r="O948" s="6" t="s">
        <v>11590</v>
      </c>
      <c r="P948" s="6">
        <v>0.0</v>
      </c>
      <c r="Q948" s="6">
        <v>0.0</v>
      </c>
      <c r="R948" s="6">
        <v>0.0</v>
      </c>
      <c r="S948" s="6">
        <v>0.0</v>
      </c>
      <c r="T948" s="6">
        <v>0.0</v>
      </c>
      <c r="U948" s="6">
        <v>0.0</v>
      </c>
    </row>
    <row r="949">
      <c r="A949" s="6" t="s">
        <v>1766</v>
      </c>
      <c r="B949" s="6" t="s">
        <v>11654</v>
      </c>
      <c r="C949" s="6" t="s">
        <v>11570</v>
      </c>
      <c r="D949" s="6" t="s">
        <v>22</v>
      </c>
      <c r="E949" s="6" t="s">
        <v>1767</v>
      </c>
      <c r="F949" s="6" t="s">
        <v>97</v>
      </c>
      <c r="G949" s="6" t="s">
        <v>2939</v>
      </c>
      <c r="H949" s="6">
        <v>0.0</v>
      </c>
      <c r="I949" s="6">
        <v>0.0</v>
      </c>
      <c r="J949" s="6">
        <v>0.0</v>
      </c>
      <c r="K949" s="6">
        <v>0.0</v>
      </c>
      <c r="L949" s="6" t="s">
        <v>11590</v>
      </c>
      <c r="M949" s="6" t="s">
        <v>11590</v>
      </c>
      <c r="N949" s="669">
        <v>1560000.0</v>
      </c>
      <c r="O949" s="6">
        <v>0.0</v>
      </c>
      <c r="P949" s="6">
        <v>0.0</v>
      </c>
      <c r="Q949" s="6">
        <v>0.0</v>
      </c>
      <c r="R949" s="6">
        <v>0.0</v>
      </c>
      <c r="S949" s="6">
        <v>0.0</v>
      </c>
      <c r="T949" s="6">
        <v>0.0</v>
      </c>
      <c r="U949" s="6">
        <v>0.0</v>
      </c>
    </row>
    <row r="950">
      <c r="A950" s="6" t="s">
        <v>1815</v>
      </c>
      <c r="B950" s="6" t="s">
        <v>11569</v>
      </c>
      <c r="C950" s="6" t="s">
        <v>11579</v>
      </c>
      <c r="D950" s="6" t="s">
        <v>41</v>
      </c>
      <c r="E950" s="6" t="s">
        <v>11962</v>
      </c>
      <c r="F950" s="6" t="s">
        <v>2193</v>
      </c>
      <c r="G950" s="6" t="s">
        <v>2939</v>
      </c>
      <c r="H950" s="6">
        <v>0.0</v>
      </c>
      <c r="I950" s="6">
        <v>0.0</v>
      </c>
      <c r="J950" s="6" t="s">
        <v>11590</v>
      </c>
      <c r="K950" s="6">
        <v>0.0</v>
      </c>
      <c r="L950" s="6">
        <v>0.0</v>
      </c>
      <c r="M950" s="6">
        <v>0.0</v>
      </c>
      <c r="N950" s="669">
        <v>993000.0</v>
      </c>
      <c r="O950" s="6">
        <v>0.0</v>
      </c>
      <c r="P950" s="6">
        <v>0.0</v>
      </c>
      <c r="Q950" s="6">
        <v>0.0</v>
      </c>
      <c r="R950" s="6">
        <v>0.0</v>
      </c>
      <c r="S950" s="6">
        <v>0.0</v>
      </c>
      <c r="T950" s="6">
        <v>0.0</v>
      </c>
      <c r="U950" s="6">
        <v>0.0</v>
      </c>
    </row>
    <row r="951">
      <c r="A951" s="6" t="s">
        <v>1771</v>
      </c>
      <c r="B951" s="6" t="s">
        <v>11569</v>
      </c>
      <c r="C951" s="6" t="s">
        <v>11579</v>
      </c>
      <c r="D951" s="6" t="s">
        <v>41</v>
      </c>
      <c r="E951" s="6" t="s">
        <v>1772</v>
      </c>
      <c r="F951" s="6" t="s">
        <v>2193</v>
      </c>
      <c r="G951" s="6" t="s">
        <v>2939</v>
      </c>
      <c r="H951" s="6">
        <v>0.0</v>
      </c>
      <c r="I951" s="6">
        <v>0.0</v>
      </c>
      <c r="J951" s="6">
        <v>3.0</v>
      </c>
      <c r="K951" s="6">
        <v>0.0</v>
      </c>
      <c r="L951" s="6">
        <v>0.0</v>
      </c>
      <c r="M951" s="6">
        <v>0.0</v>
      </c>
      <c r="N951" s="669">
        <v>1021000.0</v>
      </c>
      <c r="O951" s="6">
        <v>0.0</v>
      </c>
      <c r="P951" s="6">
        <v>0.0</v>
      </c>
      <c r="Q951" s="6">
        <v>0.0</v>
      </c>
      <c r="R951" s="6">
        <v>0.0</v>
      </c>
      <c r="S951" s="6">
        <v>10.0</v>
      </c>
      <c r="T951" s="6">
        <v>0.0</v>
      </c>
      <c r="U951" s="6">
        <v>0.0</v>
      </c>
    </row>
    <row r="952">
      <c r="A952" s="6" t="s">
        <v>1790</v>
      </c>
      <c r="B952" s="6" t="s">
        <v>11569</v>
      </c>
      <c r="C952" s="6" t="s">
        <v>11570</v>
      </c>
      <c r="D952" s="6" t="s">
        <v>22</v>
      </c>
      <c r="E952" s="6" t="s">
        <v>11963</v>
      </c>
      <c r="F952" s="6" t="s">
        <v>125</v>
      </c>
      <c r="G952" s="6" t="s">
        <v>2939</v>
      </c>
      <c r="H952" s="6">
        <v>0.0</v>
      </c>
      <c r="I952" s="6">
        <v>0.0</v>
      </c>
      <c r="J952" s="6" t="s">
        <v>11590</v>
      </c>
      <c r="K952" s="6">
        <v>3.0</v>
      </c>
      <c r="L952" s="6">
        <v>0.0</v>
      </c>
      <c r="M952" s="6">
        <v>0.0</v>
      </c>
      <c r="N952" s="669">
        <v>1236000.0</v>
      </c>
      <c r="O952" s="6">
        <v>0.0</v>
      </c>
      <c r="P952" s="6">
        <v>0.0</v>
      </c>
      <c r="Q952" s="6">
        <v>0.0</v>
      </c>
      <c r="R952" s="6">
        <v>0.0</v>
      </c>
      <c r="S952" s="6" t="s">
        <v>11590</v>
      </c>
      <c r="T952" s="6">
        <v>10.0</v>
      </c>
      <c r="U952" s="6">
        <v>0.0</v>
      </c>
    </row>
    <row r="953">
      <c r="A953" s="6" t="s">
        <v>1774</v>
      </c>
      <c r="B953" s="6" t="s">
        <v>11569</v>
      </c>
      <c r="C953" s="6" t="s">
        <v>11579</v>
      </c>
      <c r="D953" s="6" t="s">
        <v>41</v>
      </c>
      <c r="E953" s="6" t="s">
        <v>11964</v>
      </c>
      <c r="F953" s="6" t="s">
        <v>2193</v>
      </c>
      <c r="G953" s="6" t="s">
        <v>2939</v>
      </c>
      <c r="H953" s="6">
        <v>0.0</v>
      </c>
      <c r="I953" s="6">
        <v>0.0</v>
      </c>
      <c r="J953" s="6">
        <v>8.0</v>
      </c>
      <c r="K953" s="6">
        <v>0.0</v>
      </c>
      <c r="L953" s="6">
        <v>0.0</v>
      </c>
      <c r="M953" s="6">
        <v>0.0</v>
      </c>
      <c r="N953" s="669">
        <v>1021000.0</v>
      </c>
      <c r="O953" s="6">
        <v>0.0</v>
      </c>
      <c r="P953" s="6">
        <v>0.0</v>
      </c>
      <c r="Q953" s="6">
        <v>0.0</v>
      </c>
      <c r="R953" s="6">
        <v>0.0</v>
      </c>
      <c r="S953" s="6">
        <v>10.0</v>
      </c>
      <c r="T953" s="6">
        <v>0.0</v>
      </c>
      <c r="U953" s="6">
        <v>0.0</v>
      </c>
    </row>
    <row r="954">
      <c r="A954" s="6" t="s">
        <v>1776</v>
      </c>
      <c r="B954" s="6" t="s">
        <v>11569</v>
      </c>
      <c r="C954" s="6" t="s">
        <v>11591</v>
      </c>
      <c r="D954" s="6" t="s">
        <v>236</v>
      </c>
      <c r="E954" s="6" t="s">
        <v>11964</v>
      </c>
      <c r="F954" s="6" t="s">
        <v>97</v>
      </c>
      <c r="G954" s="6" t="s">
        <v>2939</v>
      </c>
      <c r="H954" s="6">
        <v>0.0</v>
      </c>
      <c r="I954" s="6">
        <v>0.0</v>
      </c>
      <c r="J954" s="6">
        <v>7.0</v>
      </c>
      <c r="K954" s="6">
        <v>0.0</v>
      </c>
      <c r="L954" s="6">
        <v>0.0</v>
      </c>
      <c r="M954" s="6">
        <v>0.0</v>
      </c>
      <c r="N954" s="669">
        <v>426000.0</v>
      </c>
      <c r="O954" s="6">
        <v>0.0</v>
      </c>
      <c r="P954" s="6">
        <v>0.0</v>
      </c>
      <c r="Q954" s="6">
        <v>0.0</v>
      </c>
      <c r="R954" s="6">
        <v>0.0</v>
      </c>
      <c r="S954" s="6">
        <v>0.0</v>
      </c>
      <c r="T954" s="6">
        <v>0.0</v>
      </c>
      <c r="U954" s="6">
        <v>5.0</v>
      </c>
    </row>
    <row r="955">
      <c r="A955" s="6" t="s">
        <v>1777</v>
      </c>
      <c r="B955" s="6" t="s">
        <v>11569</v>
      </c>
      <c r="C955" s="6" t="s">
        <v>11591</v>
      </c>
      <c r="D955" s="6" t="s">
        <v>202</v>
      </c>
      <c r="E955" s="6" t="s">
        <v>11964</v>
      </c>
      <c r="F955" s="6" t="s">
        <v>97</v>
      </c>
      <c r="G955" s="6" t="s">
        <v>2939</v>
      </c>
      <c r="H955" s="6">
        <v>0.0</v>
      </c>
      <c r="I955" s="6">
        <v>0.0</v>
      </c>
      <c r="J955" s="6">
        <v>4.0</v>
      </c>
      <c r="K955" s="6">
        <v>0.0</v>
      </c>
      <c r="L955" s="6">
        <v>0.0</v>
      </c>
      <c r="M955" s="6">
        <v>0.0</v>
      </c>
      <c r="N955" s="669">
        <v>426000.0</v>
      </c>
      <c r="O955" s="6">
        <v>0.0</v>
      </c>
      <c r="P955" s="6">
        <v>0.0</v>
      </c>
      <c r="Q955" s="6">
        <v>0.0</v>
      </c>
      <c r="R955" s="6">
        <v>0.0</v>
      </c>
      <c r="S955" s="6">
        <v>0.0</v>
      </c>
      <c r="T955" s="6">
        <v>0.0</v>
      </c>
      <c r="U955" s="6">
        <v>5.0</v>
      </c>
    </row>
    <row r="956">
      <c r="A956" s="6" t="s">
        <v>1778</v>
      </c>
      <c r="B956" s="6" t="s">
        <v>11569</v>
      </c>
      <c r="C956" s="6" t="s">
        <v>11579</v>
      </c>
      <c r="D956" s="6" t="s">
        <v>41</v>
      </c>
      <c r="E956" s="6" t="s">
        <v>1779</v>
      </c>
      <c r="F956" s="6" t="s">
        <v>2193</v>
      </c>
      <c r="G956" s="6" t="s">
        <v>2939</v>
      </c>
      <c r="H956" s="6">
        <v>0.0</v>
      </c>
      <c r="I956" s="6">
        <v>0.0</v>
      </c>
      <c r="J956" s="6" t="s">
        <v>11590</v>
      </c>
      <c r="K956" s="6">
        <v>2.0</v>
      </c>
      <c r="L956" s="6">
        <v>0.0</v>
      </c>
      <c r="M956" s="6">
        <v>0.0</v>
      </c>
      <c r="N956" s="669">
        <v>1021000.0</v>
      </c>
      <c r="O956" s="6">
        <v>0.0</v>
      </c>
      <c r="P956" s="6">
        <v>0.0</v>
      </c>
      <c r="Q956" s="6">
        <v>0.0</v>
      </c>
      <c r="R956" s="6">
        <v>0.0</v>
      </c>
      <c r="S956" s="6">
        <v>0.0</v>
      </c>
      <c r="T956" s="6">
        <v>0.0</v>
      </c>
      <c r="U956" s="6">
        <v>0.0</v>
      </c>
    </row>
    <row r="957">
      <c r="A957" s="6" t="s">
        <v>2004</v>
      </c>
      <c r="B957" s="6" t="s">
        <v>11569</v>
      </c>
      <c r="C957" s="6" t="s">
        <v>11570</v>
      </c>
      <c r="D957" s="6" t="s">
        <v>22</v>
      </c>
      <c r="E957" s="6" t="s">
        <v>11965</v>
      </c>
      <c r="F957" s="6" t="s">
        <v>125</v>
      </c>
      <c r="G957" s="6" t="s">
        <v>2939</v>
      </c>
      <c r="H957" s="6">
        <v>0.0</v>
      </c>
      <c r="I957" s="6">
        <v>0.0</v>
      </c>
      <c r="J957" s="6" t="s">
        <v>11590</v>
      </c>
      <c r="K957" s="6" t="s">
        <v>11590</v>
      </c>
      <c r="L957" s="6">
        <v>0.0</v>
      </c>
      <c r="M957" s="6">
        <v>0.0</v>
      </c>
      <c r="N957" s="669">
        <v>1118000.0</v>
      </c>
      <c r="O957" s="6">
        <v>0.0</v>
      </c>
      <c r="P957" s="6">
        <v>0.0</v>
      </c>
      <c r="Q957" s="6">
        <v>0.0</v>
      </c>
      <c r="R957" s="6">
        <v>0.0</v>
      </c>
      <c r="S957" s="6">
        <v>0.0</v>
      </c>
      <c r="T957" s="6">
        <v>0.0</v>
      </c>
      <c r="U957" s="6">
        <v>0.0</v>
      </c>
    </row>
    <row r="958">
      <c r="A958" s="6" t="s">
        <v>1782</v>
      </c>
      <c r="B958" s="6" t="s">
        <v>11569</v>
      </c>
      <c r="C958" s="6" t="s">
        <v>11579</v>
      </c>
      <c r="D958" s="6" t="s">
        <v>41</v>
      </c>
      <c r="E958" s="6" t="s">
        <v>11965</v>
      </c>
      <c r="F958" s="6" t="s">
        <v>2193</v>
      </c>
      <c r="G958" s="6" t="s">
        <v>2939</v>
      </c>
      <c r="H958" s="6">
        <v>0.0</v>
      </c>
      <c r="I958" s="6">
        <v>0.0</v>
      </c>
      <c r="J958" s="6">
        <v>10.0</v>
      </c>
      <c r="K958" s="6">
        <v>0.0</v>
      </c>
      <c r="L958" s="6">
        <v>0.0</v>
      </c>
      <c r="M958" s="6">
        <v>0.0</v>
      </c>
      <c r="N958" s="669">
        <v>1064000.0</v>
      </c>
      <c r="O958" s="6">
        <v>0.0</v>
      </c>
      <c r="P958" s="6">
        <v>0.0</v>
      </c>
      <c r="Q958" s="6">
        <v>0.0</v>
      </c>
      <c r="R958" s="6">
        <v>0.0</v>
      </c>
      <c r="S958" s="6">
        <v>5.0</v>
      </c>
      <c r="T958" s="6">
        <v>5.0</v>
      </c>
      <c r="U958" s="6">
        <v>0.0</v>
      </c>
    </row>
    <row r="959">
      <c r="A959" s="6" t="s">
        <v>11966</v>
      </c>
      <c r="B959" s="6" t="s">
        <v>11569</v>
      </c>
      <c r="C959" s="6" t="s">
        <v>11570</v>
      </c>
      <c r="D959" s="6" t="s">
        <v>22</v>
      </c>
      <c r="E959" s="6" t="s">
        <v>11967</v>
      </c>
      <c r="F959" s="6" t="s">
        <v>125</v>
      </c>
      <c r="G959" s="6" t="s">
        <v>2939</v>
      </c>
      <c r="H959" s="6">
        <v>0.0</v>
      </c>
      <c r="I959" s="6">
        <v>0.0</v>
      </c>
      <c r="J959" s="6">
        <v>0.0</v>
      </c>
      <c r="K959" s="6">
        <v>0.0</v>
      </c>
      <c r="L959" s="6">
        <v>0.0</v>
      </c>
      <c r="M959" s="6">
        <v>0.0</v>
      </c>
      <c r="N959" s="669">
        <v>1450000.0</v>
      </c>
      <c r="O959" s="6">
        <v>0.0</v>
      </c>
      <c r="P959" s="6">
        <v>0.0</v>
      </c>
      <c r="Q959" s="6">
        <v>0.0</v>
      </c>
      <c r="R959" s="6">
        <v>0.0</v>
      </c>
      <c r="S959" s="6">
        <v>0.0</v>
      </c>
      <c r="T959" s="6">
        <v>0.0</v>
      </c>
      <c r="U959" s="6">
        <v>0.0</v>
      </c>
    </row>
    <row r="960">
      <c r="A960" s="6" t="s">
        <v>11968</v>
      </c>
      <c r="B960" s="6" t="s">
        <v>11569</v>
      </c>
      <c r="C960" s="6" t="s">
        <v>11570</v>
      </c>
      <c r="D960" s="6" t="s">
        <v>22</v>
      </c>
      <c r="E960" s="6" t="s">
        <v>11967</v>
      </c>
      <c r="F960" s="6" t="s">
        <v>75</v>
      </c>
      <c r="G960" s="6" t="s">
        <v>2939</v>
      </c>
      <c r="H960" s="6">
        <v>0.0</v>
      </c>
      <c r="I960" s="6">
        <v>0.0</v>
      </c>
      <c r="J960" s="6">
        <v>8.0</v>
      </c>
      <c r="K960" s="6">
        <v>0.0</v>
      </c>
      <c r="L960" s="6">
        <v>0.0</v>
      </c>
      <c r="M960" s="6">
        <v>0.0</v>
      </c>
      <c r="N960" s="669">
        <v>1550000.0</v>
      </c>
      <c r="O960" s="6">
        <v>0.0</v>
      </c>
      <c r="P960" s="6">
        <v>0.0</v>
      </c>
      <c r="Q960" s="6">
        <v>0.0</v>
      </c>
      <c r="R960" s="6">
        <v>0.0</v>
      </c>
      <c r="S960" s="6">
        <v>0.0</v>
      </c>
      <c r="T960" s="6">
        <v>0.0</v>
      </c>
      <c r="U960" s="6">
        <v>0.0</v>
      </c>
    </row>
    <row r="961">
      <c r="A961" s="6" t="s">
        <v>11969</v>
      </c>
      <c r="B961" s="6" t="s">
        <v>11569</v>
      </c>
      <c r="C961" s="6" t="s">
        <v>11579</v>
      </c>
      <c r="D961" s="6" t="s">
        <v>41</v>
      </c>
      <c r="E961" s="6" t="s">
        <v>11967</v>
      </c>
      <c r="F961" s="6" t="s">
        <v>1377</v>
      </c>
      <c r="G961" s="6" t="s">
        <v>2939</v>
      </c>
      <c r="H961" s="6">
        <v>0.0</v>
      </c>
      <c r="I961" s="6">
        <v>0.0</v>
      </c>
      <c r="J961" s="6">
        <v>4.0</v>
      </c>
      <c r="K961" s="6">
        <v>4.0</v>
      </c>
      <c r="L961" s="6">
        <v>0.0</v>
      </c>
      <c r="M961" s="6">
        <v>0.0</v>
      </c>
      <c r="N961" s="669">
        <v>950000.0</v>
      </c>
      <c r="O961" s="6">
        <v>0.0</v>
      </c>
      <c r="P961" s="6">
        <v>0.0</v>
      </c>
      <c r="Q961" s="6">
        <v>0.0</v>
      </c>
      <c r="R961" s="6">
        <v>0.0</v>
      </c>
      <c r="S961" s="6">
        <v>10.0</v>
      </c>
      <c r="T961" s="6">
        <v>0.0</v>
      </c>
      <c r="U961" s="6">
        <v>0.0</v>
      </c>
    </row>
    <row r="962">
      <c r="A962" s="6" t="s">
        <v>1784</v>
      </c>
      <c r="B962" s="6" t="s">
        <v>11654</v>
      </c>
      <c r="C962" s="6" t="s">
        <v>11570</v>
      </c>
      <c r="D962" s="6" t="s">
        <v>22</v>
      </c>
      <c r="E962" s="6" t="s">
        <v>11970</v>
      </c>
      <c r="G962" s="6" t="s">
        <v>2939</v>
      </c>
      <c r="H962" s="6">
        <v>0.0</v>
      </c>
      <c r="I962" s="6">
        <v>0.0</v>
      </c>
      <c r="J962" s="6">
        <v>1.0</v>
      </c>
      <c r="K962" s="6" t="s">
        <v>11590</v>
      </c>
      <c r="L962" s="6" t="s">
        <v>11590</v>
      </c>
      <c r="M962" s="6" t="s">
        <v>11590</v>
      </c>
      <c r="N962" s="669">
        <v>732000.0</v>
      </c>
      <c r="O962" s="6">
        <v>10.0</v>
      </c>
      <c r="P962" s="6">
        <v>0.0</v>
      </c>
      <c r="Q962" s="6">
        <v>0.0</v>
      </c>
      <c r="R962" s="6">
        <v>0.0</v>
      </c>
      <c r="S962" s="6">
        <v>0.0</v>
      </c>
      <c r="T962" s="6">
        <v>0.0</v>
      </c>
      <c r="U962" s="6">
        <v>0.0</v>
      </c>
    </row>
    <row r="963">
      <c r="A963" s="6" t="s">
        <v>1994</v>
      </c>
      <c r="B963" s="6" t="s">
        <v>11569</v>
      </c>
      <c r="C963" s="6" t="s">
        <v>11570</v>
      </c>
      <c r="D963" s="6" t="s">
        <v>22</v>
      </c>
      <c r="E963" s="6" t="s">
        <v>1995</v>
      </c>
      <c r="G963" s="6" t="s">
        <v>2939</v>
      </c>
      <c r="H963" s="6">
        <v>0.0</v>
      </c>
      <c r="I963" s="6">
        <v>0.0</v>
      </c>
      <c r="J963" s="6">
        <v>0.0</v>
      </c>
      <c r="K963" s="6">
        <v>0.0</v>
      </c>
      <c r="L963" s="6">
        <v>0.0</v>
      </c>
      <c r="M963" s="6">
        <v>0.0</v>
      </c>
      <c r="N963" s="669">
        <v>840000.0</v>
      </c>
      <c r="O963" s="6">
        <v>0.0</v>
      </c>
      <c r="P963" s="6">
        <v>0.0</v>
      </c>
      <c r="Q963" s="6">
        <v>0.0</v>
      </c>
      <c r="R963" s="6">
        <v>0.0</v>
      </c>
      <c r="S963" s="6" t="s">
        <v>11590</v>
      </c>
      <c r="T963" s="6" t="s">
        <v>11590</v>
      </c>
      <c r="U963" s="6" t="s">
        <v>11590</v>
      </c>
    </row>
    <row r="964">
      <c r="A964" s="6" t="s">
        <v>1023</v>
      </c>
      <c r="B964" s="6" t="s">
        <v>11630</v>
      </c>
      <c r="C964" s="6" t="s">
        <v>11570</v>
      </c>
      <c r="D964" s="6" t="s">
        <v>22</v>
      </c>
      <c r="E964" s="6" t="s">
        <v>1024</v>
      </c>
      <c r="F964" s="6" t="s">
        <v>97</v>
      </c>
      <c r="G964" s="6" t="s">
        <v>2939</v>
      </c>
      <c r="H964" s="6">
        <v>0.0</v>
      </c>
      <c r="I964" s="6">
        <v>0.0</v>
      </c>
      <c r="J964" s="6">
        <v>1.0</v>
      </c>
      <c r="K964" s="6">
        <v>7.0</v>
      </c>
      <c r="L964" s="6" t="s">
        <v>11590</v>
      </c>
      <c r="M964" s="6" t="s">
        <v>11590</v>
      </c>
      <c r="N964" s="669">
        <v>960000.0</v>
      </c>
      <c r="O964" s="6" t="s">
        <v>11590</v>
      </c>
      <c r="P964" s="6">
        <v>0.0</v>
      </c>
      <c r="Q964" s="6">
        <v>0.0</v>
      </c>
      <c r="R964" s="6">
        <v>0.0</v>
      </c>
      <c r="S964" s="6">
        <v>0.0</v>
      </c>
      <c r="T964" s="6">
        <v>0.0</v>
      </c>
      <c r="U964" s="6">
        <v>0.0</v>
      </c>
    </row>
    <row r="965">
      <c r="A965" s="6" t="s">
        <v>1962</v>
      </c>
      <c r="B965" s="6" t="s">
        <v>11569</v>
      </c>
      <c r="C965" s="6" t="s">
        <v>11579</v>
      </c>
      <c r="D965" s="6" t="s">
        <v>41</v>
      </c>
      <c r="E965" s="6" t="s">
        <v>1024</v>
      </c>
      <c r="F965" s="6" t="s">
        <v>97</v>
      </c>
      <c r="G965" s="6" t="s">
        <v>2939</v>
      </c>
      <c r="H965" s="6">
        <v>0.0</v>
      </c>
      <c r="I965" s="6">
        <v>0.0</v>
      </c>
      <c r="J965" s="6" t="s">
        <v>11590</v>
      </c>
      <c r="K965" s="6">
        <v>3.0</v>
      </c>
      <c r="L965" s="6">
        <v>0.0</v>
      </c>
      <c r="M965" s="6">
        <v>0.0</v>
      </c>
      <c r="N965" s="669">
        <v>531000.0</v>
      </c>
      <c r="O965" s="6">
        <v>0.0</v>
      </c>
      <c r="P965" s="6">
        <v>0.0</v>
      </c>
      <c r="Q965" s="6">
        <v>0.0</v>
      </c>
      <c r="R965" s="6">
        <v>0.0</v>
      </c>
      <c r="S965" s="6" t="s">
        <v>11590</v>
      </c>
      <c r="T965" s="6" t="s">
        <v>11590</v>
      </c>
      <c r="U965" s="6">
        <v>0.0</v>
      </c>
    </row>
    <row r="966">
      <c r="A966" s="6" t="s">
        <v>2087</v>
      </c>
      <c r="B966" s="6" t="s">
        <v>11653</v>
      </c>
      <c r="C966" s="6" t="s">
        <v>11591</v>
      </c>
      <c r="D966" s="6" t="s">
        <v>128</v>
      </c>
      <c r="E966" s="6" t="s">
        <v>2088</v>
      </c>
      <c r="G966" s="6" t="s">
        <v>2939</v>
      </c>
      <c r="H966" s="6">
        <v>0.0</v>
      </c>
      <c r="I966" s="6">
        <v>0.0</v>
      </c>
      <c r="J966" s="6">
        <v>0.0</v>
      </c>
      <c r="K966" s="6">
        <v>0.0</v>
      </c>
      <c r="L966" s="6">
        <v>0.0</v>
      </c>
      <c r="M966" s="6">
        <v>0.0</v>
      </c>
      <c r="N966" s="669">
        <v>227000.0</v>
      </c>
      <c r="O966" s="6">
        <v>0.0</v>
      </c>
      <c r="P966" s="6">
        <v>0.0</v>
      </c>
      <c r="Q966" s="6">
        <v>0.0</v>
      </c>
      <c r="R966" s="6">
        <v>0.0</v>
      </c>
      <c r="S966" s="6">
        <v>0.0</v>
      </c>
      <c r="T966" s="6">
        <v>0.0</v>
      </c>
      <c r="U966" s="6">
        <v>0.0</v>
      </c>
    </row>
    <row r="967">
      <c r="A967" s="6" t="s">
        <v>2089</v>
      </c>
      <c r="B967" s="6" t="s">
        <v>11653</v>
      </c>
      <c r="C967" s="6" t="s">
        <v>11591</v>
      </c>
      <c r="D967" s="6" t="s">
        <v>130</v>
      </c>
      <c r="E967" s="6" t="s">
        <v>2088</v>
      </c>
      <c r="G967" s="6" t="s">
        <v>2939</v>
      </c>
      <c r="H967" s="6">
        <v>0.0</v>
      </c>
      <c r="I967" s="6">
        <v>0.0</v>
      </c>
      <c r="J967" s="6">
        <v>0.0</v>
      </c>
      <c r="K967" s="6">
        <v>0.0</v>
      </c>
      <c r="L967" s="6">
        <v>0.0</v>
      </c>
      <c r="M967" s="6">
        <v>0.0</v>
      </c>
      <c r="N967" s="669">
        <v>227000.0</v>
      </c>
      <c r="O967" s="6">
        <v>0.0</v>
      </c>
      <c r="P967" s="6">
        <v>0.0</v>
      </c>
      <c r="Q967" s="6">
        <v>0.0</v>
      </c>
      <c r="R967" s="6">
        <v>0.0</v>
      </c>
      <c r="S967" s="6">
        <v>0.0</v>
      </c>
      <c r="T967" s="6">
        <v>0.0</v>
      </c>
      <c r="U967" s="6">
        <v>0.0</v>
      </c>
    </row>
    <row r="968">
      <c r="A968" s="6" t="s">
        <v>2090</v>
      </c>
      <c r="B968" s="6" t="s">
        <v>11653</v>
      </c>
      <c r="C968" s="6" t="s">
        <v>11591</v>
      </c>
      <c r="D968" s="6" t="s">
        <v>132</v>
      </c>
      <c r="E968" s="6" t="s">
        <v>2088</v>
      </c>
      <c r="G968" s="6" t="s">
        <v>2939</v>
      </c>
      <c r="H968" s="6">
        <v>0.0</v>
      </c>
      <c r="I968" s="6">
        <v>0.0</v>
      </c>
      <c r="J968" s="6">
        <v>0.0</v>
      </c>
      <c r="K968" s="6">
        <v>0.0</v>
      </c>
      <c r="L968" s="6">
        <v>0.0</v>
      </c>
      <c r="M968" s="6">
        <v>0.0</v>
      </c>
      <c r="N968" s="669">
        <v>225000.0</v>
      </c>
      <c r="O968" s="6">
        <v>0.0</v>
      </c>
      <c r="P968" s="6">
        <v>0.0</v>
      </c>
      <c r="Q968" s="6">
        <v>0.0</v>
      </c>
      <c r="R968" s="6">
        <v>0.0</v>
      </c>
      <c r="S968" s="6">
        <v>0.0</v>
      </c>
      <c r="T968" s="6">
        <v>0.0</v>
      </c>
      <c r="U968" s="6">
        <v>0.0</v>
      </c>
    </row>
    <row r="969">
      <c r="A969" s="6" t="s">
        <v>2091</v>
      </c>
      <c r="B969" s="6" t="s">
        <v>11653</v>
      </c>
      <c r="C969" s="6" t="s">
        <v>11591</v>
      </c>
      <c r="D969" s="6" t="s">
        <v>134</v>
      </c>
      <c r="E969" s="6" t="s">
        <v>2088</v>
      </c>
      <c r="G969" s="6" t="s">
        <v>2939</v>
      </c>
      <c r="H969" s="6">
        <v>0.0</v>
      </c>
      <c r="I969" s="6">
        <v>0.0</v>
      </c>
      <c r="J969" s="6">
        <v>0.0</v>
      </c>
      <c r="K969" s="6">
        <v>0.0</v>
      </c>
      <c r="L969" s="6">
        <v>0.0</v>
      </c>
      <c r="M969" s="6">
        <v>0.0</v>
      </c>
      <c r="N969" s="669">
        <v>225000.0</v>
      </c>
      <c r="O969" s="6">
        <v>0.0</v>
      </c>
      <c r="P969" s="6">
        <v>0.0</v>
      </c>
      <c r="Q969" s="6">
        <v>0.0</v>
      </c>
      <c r="R969" s="6">
        <v>0.0</v>
      </c>
      <c r="S969" s="6">
        <v>0.0</v>
      </c>
      <c r="T969" s="6">
        <v>0.0</v>
      </c>
      <c r="U969" s="6">
        <v>0.0</v>
      </c>
    </row>
    <row r="970">
      <c r="A970" s="6" t="s">
        <v>1793</v>
      </c>
      <c r="B970" s="6" t="s">
        <v>11654</v>
      </c>
      <c r="C970" s="6" t="s">
        <v>11570</v>
      </c>
      <c r="D970" s="6" t="s">
        <v>22</v>
      </c>
      <c r="E970" s="6" t="s">
        <v>1794</v>
      </c>
      <c r="F970" s="6" t="s">
        <v>97</v>
      </c>
      <c r="G970" s="6" t="s">
        <v>2939</v>
      </c>
      <c r="H970" s="6">
        <v>0.0</v>
      </c>
      <c r="I970" s="6">
        <v>0.0</v>
      </c>
      <c r="J970" s="6" t="s">
        <v>11590</v>
      </c>
      <c r="K970" s="6">
        <v>0.0</v>
      </c>
      <c r="L970" s="6" t="s">
        <v>11590</v>
      </c>
      <c r="M970" s="6" t="s">
        <v>11590</v>
      </c>
      <c r="N970" s="669">
        <v>1154000.0</v>
      </c>
      <c r="O970" s="6">
        <v>10.0</v>
      </c>
      <c r="P970" s="6">
        <v>0.0</v>
      </c>
      <c r="Q970" s="6">
        <v>0.0</v>
      </c>
      <c r="R970" s="6">
        <v>0.0</v>
      </c>
      <c r="S970" s="6" t="s">
        <v>11590</v>
      </c>
      <c r="T970" s="6">
        <v>10.0</v>
      </c>
      <c r="U970" s="6">
        <v>0.0</v>
      </c>
    </row>
    <row r="971">
      <c r="A971" s="6" t="s">
        <v>1795</v>
      </c>
      <c r="B971" s="6" t="s">
        <v>11569</v>
      </c>
      <c r="C971" s="6" t="s">
        <v>11579</v>
      </c>
      <c r="D971" s="6" t="s">
        <v>41</v>
      </c>
      <c r="E971" s="6" t="s">
        <v>1794</v>
      </c>
      <c r="F971" s="6" t="s">
        <v>2193</v>
      </c>
      <c r="G971" s="6" t="s">
        <v>2939</v>
      </c>
      <c r="H971" s="6">
        <v>0.0</v>
      </c>
      <c r="I971" s="6">
        <v>0.0</v>
      </c>
      <c r="J971" s="6">
        <v>0.0</v>
      </c>
      <c r="K971" s="6">
        <v>0.0</v>
      </c>
      <c r="L971" s="6">
        <v>0.0</v>
      </c>
      <c r="M971" s="6">
        <v>0.0</v>
      </c>
      <c r="N971" s="669">
        <v>435000.0</v>
      </c>
      <c r="O971" s="6">
        <v>0.0</v>
      </c>
      <c r="P971" s="6">
        <v>0.0</v>
      </c>
      <c r="Q971" s="6">
        <v>0.0</v>
      </c>
      <c r="R971" s="6">
        <v>0.0</v>
      </c>
      <c r="S971" s="6">
        <v>0.0</v>
      </c>
      <c r="T971" s="6">
        <v>0.0</v>
      </c>
      <c r="U971" s="6">
        <v>0.0</v>
      </c>
    </row>
    <row r="972">
      <c r="A972" s="6" t="s">
        <v>2187</v>
      </c>
      <c r="B972" s="6" t="s">
        <v>11653</v>
      </c>
      <c r="C972" s="6" t="s">
        <v>11570</v>
      </c>
      <c r="D972" s="6" t="s">
        <v>22</v>
      </c>
      <c r="E972" s="6" t="s">
        <v>11971</v>
      </c>
      <c r="G972" s="6" t="s">
        <v>2939</v>
      </c>
      <c r="H972" s="6">
        <v>0.0</v>
      </c>
      <c r="I972" s="6">
        <v>0.0</v>
      </c>
      <c r="J972" s="6">
        <v>0.0</v>
      </c>
      <c r="K972" s="6">
        <v>0.0</v>
      </c>
      <c r="L972" s="6">
        <v>5.0</v>
      </c>
      <c r="M972" s="6">
        <v>2.0</v>
      </c>
      <c r="N972" s="669">
        <v>1260000.0</v>
      </c>
      <c r="O972" s="6">
        <v>0.0</v>
      </c>
      <c r="P972" s="6">
        <v>0.0</v>
      </c>
      <c r="Q972" s="6">
        <v>0.0</v>
      </c>
      <c r="R972" s="6">
        <v>0.0</v>
      </c>
      <c r="S972" s="6">
        <v>0.0</v>
      </c>
      <c r="T972" s="6">
        <v>0.0</v>
      </c>
      <c r="U972" s="6">
        <v>0.0</v>
      </c>
    </row>
    <row r="973">
      <c r="A973" s="6" t="s">
        <v>1796</v>
      </c>
      <c r="B973" s="6" t="s">
        <v>11654</v>
      </c>
      <c r="C973" s="6" t="s">
        <v>11570</v>
      </c>
      <c r="D973" s="6" t="s">
        <v>22</v>
      </c>
      <c r="E973" s="6" t="s">
        <v>1797</v>
      </c>
      <c r="F973" s="6" t="s">
        <v>125</v>
      </c>
      <c r="G973" s="6" t="s">
        <v>2939</v>
      </c>
      <c r="H973" s="6">
        <v>0.0</v>
      </c>
      <c r="I973" s="6">
        <v>0.0</v>
      </c>
      <c r="J973" s="6" t="s">
        <v>11590</v>
      </c>
      <c r="K973" s="6">
        <v>0.0</v>
      </c>
      <c r="L973" s="6">
        <v>10.0</v>
      </c>
      <c r="M973" s="6">
        <v>0.0</v>
      </c>
      <c r="N973" s="669">
        <v>1430000.0</v>
      </c>
      <c r="O973" s="6">
        <v>0.0</v>
      </c>
      <c r="P973" s="6">
        <v>0.0</v>
      </c>
      <c r="Q973" s="6">
        <v>0.0</v>
      </c>
      <c r="R973" s="6">
        <v>0.0</v>
      </c>
      <c r="S973" s="6">
        <v>10.0</v>
      </c>
      <c r="T973" s="6">
        <v>10.0</v>
      </c>
      <c r="U973" s="6">
        <v>0.0</v>
      </c>
    </row>
    <row r="974">
      <c r="A974" s="6" t="s">
        <v>1956</v>
      </c>
      <c r="B974" s="6" t="s">
        <v>11569</v>
      </c>
      <c r="C974" s="6" t="s">
        <v>11579</v>
      </c>
      <c r="D974" s="6" t="s">
        <v>41</v>
      </c>
      <c r="E974" s="6" t="s">
        <v>1797</v>
      </c>
      <c r="F974" s="6" t="s">
        <v>2193</v>
      </c>
      <c r="G974" s="6" t="s">
        <v>2939</v>
      </c>
      <c r="H974" s="6">
        <v>0.0</v>
      </c>
      <c r="I974" s="6">
        <v>0.0</v>
      </c>
      <c r="J974" s="6">
        <v>4.0</v>
      </c>
      <c r="K974" s="6">
        <v>1.0</v>
      </c>
      <c r="L974" s="6">
        <v>0.0</v>
      </c>
      <c r="M974" s="6">
        <v>0.0</v>
      </c>
      <c r="N974" s="669">
        <v>1523000.0</v>
      </c>
      <c r="O974" s="6">
        <v>0.0</v>
      </c>
      <c r="P974" s="6">
        <v>0.0</v>
      </c>
      <c r="Q974" s="6">
        <v>0.0</v>
      </c>
      <c r="R974" s="6">
        <v>0.0</v>
      </c>
      <c r="S974" s="6" t="s">
        <v>11590</v>
      </c>
      <c r="T974" s="6">
        <v>10.0</v>
      </c>
      <c r="U974" s="6">
        <v>0.0</v>
      </c>
    </row>
    <row r="975">
      <c r="A975" s="6" t="s">
        <v>1798</v>
      </c>
      <c r="B975" s="6" t="s">
        <v>11569</v>
      </c>
      <c r="C975" s="6" t="s">
        <v>11570</v>
      </c>
      <c r="D975" s="6" t="s">
        <v>22</v>
      </c>
      <c r="E975" s="6" t="s">
        <v>1799</v>
      </c>
      <c r="F975" s="6" t="s">
        <v>125</v>
      </c>
      <c r="G975" s="6" t="s">
        <v>2939</v>
      </c>
      <c r="H975" s="6">
        <v>0.0</v>
      </c>
      <c r="I975" s="6">
        <v>0.0</v>
      </c>
      <c r="J975" s="6">
        <v>9.0</v>
      </c>
      <c r="K975" s="6">
        <v>0.0</v>
      </c>
      <c r="L975" s="6">
        <v>0.0</v>
      </c>
      <c r="M975" s="6">
        <v>0.0</v>
      </c>
      <c r="N975" s="669">
        <v>1080000.0</v>
      </c>
      <c r="O975" s="6">
        <v>0.0</v>
      </c>
      <c r="P975" s="6">
        <v>0.0</v>
      </c>
      <c r="Q975" s="6">
        <v>0.0</v>
      </c>
      <c r="R975" s="6">
        <v>0.0</v>
      </c>
      <c r="S975" s="6" t="s">
        <v>11590</v>
      </c>
      <c r="T975" s="6">
        <v>0.0</v>
      </c>
      <c r="U975" s="6">
        <v>0.0</v>
      </c>
    </row>
    <row r="976">
      <c r="A976" s="6" t="s">
        <v>1800</v>
      </c>
      <c r="B976" s="6" t="s">
        <v>11569</v>
      </c>
      <c r="C976" s="6" t="s">
        <v>11579</v>
      </c>
      <c r="D976" s="6" t="s">
        <v>41</v>
      </c>
      <c r="E976" s="6" t="s">
        <v>1799</v>
      </c>
      <c r="F976" s="6" t="s">
        <v>2193</v>
      </c>
      <c r="G976" s="6" t="s">
        <v>2939</v>
      </c>
      <c r="H976" s="6">
        <v>0.0</v>
      </c>
      <c r="I976" s="6">
        <v>0.0</v>
      </c>
      <c r="J976" s="6">
        <v>6.0</v>
      </c>
      <c r="K976" s="6">
        <v>0.0</v>
      </c>
      <c r="L976" s="6">
        <v>0.0</v>
      </c>
      <c r="M976" s="6">
        <v>0.0</v>
      </c>
      <c r="N976" s="669">
        <v>1070000.0</v>
      </c>
      <c r="O976" s="6">
        <v>0.0</v>
      </c>
      <c r="P976" s="6">
        <v>0.0</v>
      </c>
      <c r="Q976" s="6">
        <v>0.0</v>
      </c>
      <c r="R976" s="6">
        <v>0.0</v>
      </c>
      <c r="S976" s="6">
        <v>8.0</v>
      </c>
      <c r="T976" s="6">
        <v>8.0</v>
      </c>
      <c r="U976" s="6">
        <v>0.0</v>
      </c>
    </row>
    <row r="977">
      <c r="A977" s="6" t="s">
        <v>1801</v>
      </c>
      <c r="B977" s="6" t="s">
        <v>11654</v>
      </c>
      <c r="C977" s="6" t="s">
        <v>11570</v>
      </c>
      <c r="D977" s="6" t="s">
        <v>22</v>
      </c>
      <c r="E977" s="6" t="s">
        <v>1802</v>
      </c>
      <c r="F977" s="6" t="s">
        <v>97</v>
      </c>
      <c r="G977" s="6" t="s">
        <v>2939</v>
      </c>
      <c r="H977" s="6">
        <v>0.0</v>
      </c>
      <c r="I977" s="6">
        <v>0.0</v>
      </c>
      <c r="J977" s="6">
        <v>0.0</v>
      </c>
      <c r="K977" s="6">
        <v>0.0</v>
      </c>
      <c r="L977" s="6">
        <v>0.0</v>
      </c>
      <c r="M977" s="6">
        <v>0.0</v>
      </c>
      <c r="N977" s="669">
        <v>1193000.0</v>
      </c>
      <c r="O977" s="6">
        <v>0.0</v>
      </c>
      <c r="P977" s="6">
        <v>0.0</v>
      </c>
      <c r="Q977" s="6">
        <v>0.0</v>
      </c>
      <c r="R977" s="6">
        <v>0.0</v>
      </c>
      <c r="S977" s="6" t="s">
        <v>11590</v>
      </c>
      <c r="T977" s="6">
        <v>0.0</v>
      </c>
      <c r="U977" s="6">
        <v>0.0</v>
      </c>
    </row>
    <row r="978">
      <c r="A978" s="6" t="s">
        <v>1803</v>
      </c>
      <c r="B978" s="6" t="s">
        <v>11569</v>
      </c>
      <c r="C978" s="6" t="s">
        <v>11579</v>
      </c>
      <c r="D978" s="6" t="s">
        <v>41</v>
      </c>
      <c r="E978" s="6" t="s">
        <v>1802</v>
      </c>
      <c r="F978" s="6" t="s">
        <v>1377</v>
      </c>
      <c r="G978" s="6" t="s">
        <v>2939</v>
      </c>
      <c r="H978" s="6">
        <v>0.0</v>
      </c>
      <c r="I978" s="6">
        <v>0.0</v>
      </c>
      <c r="J978" s="6">
        <v>6.0</v>
      </c>
      <c r="K978" s="6">
        <v>1.0</v>
      </c>
      <c r="L978" s="6">
        <v>0.0</v>
      </c>
      <c r="M978" s="6">
        <v>0.0</v>
      </c>
      <c r="N978" s="669">
        <v>849000.0</v>
      </c>
      <c r="O978" s="6">
        <v>0.0</v>
      </c>
      <c r="P978" s="6">
        <v>0.0</v>
      </c>
      <c r="Q978" s="6">
        <v>0.0</v>
      </c>
      <c r="R978" s="6">
        <v>0.0</v>
      </c>
      <c r="S978" s="6">
        <v>5.0</v>
      </c>
      <c r="T978" s="6">
        <v>5.0</v>
      </c>
      <c r="U978" s="6">
        <v>0.0</v>
      </c>
    </row>
    <row r="979">
      <c r="A979" s="6" t="s">
        <v>1804</v>
      </c>
      <c r="B979" s="6" t="s">
        <v>11569</v>
      </c>
      <c r="C979" s="6" t="s">
        <v>11570</v>
      </c>
      <c r="D979" s="6" t="s">
        <v>22</v>
      </c>
      <c r="E979" s="6" t="s">
        <v>1805</v>
      </c>
      <c r="F979" s="6" t="s">
        <v>97</v>
      </c>
      <c r="G979" s="6" t="s">
        <v>2939</v>
      </c>
      <c r="H979" s="6">
        <v>0.0</v>
      </c>
      <c r="I979" s="6">
        <v>0.0</v>
      </c>
      <c r="J979" s="6">
        <v>3.0</v>
      </c>
      <c r="K979" s="6">
        <v>2.0</v>
      </c>
      <c r="L979" s="6">
        <v>0.0</v>
      </c>
      <c r="M979" s="6">
        <v>0.0</v>
      </c>
      <c r="N979" s="669">
        <v>2042000.0</v>
      </c>
      <c r="O979" s="6">
        <v>0.0</v>
      </c>
      <c r="P979" s="6">
        <v>0.0</v>
      </c>
      <c r="Q979" s="6">
        <v>0.0</v>
      </c>
      <c r="R979" s="6">
        <v>0.0</v>
      </c>
      <c r="S979" s="6">
        <v>0.0</v>
      </c>
      <c r="T979" s="6">
        <v>0.0</v>
      </c>
      <c r="U979" s="6">
        <v>0.0</v>
      </c>
    </row>
    <row r="980">
      <c r="A980" s="6" t="s">
        <v>1806</v>
      </c>
      <c r="B980" s="6" t="s">
        <v>11569</v>
      </c>
      <c r="C980" s="6" t="s">
        <v>11579</v>
      </c>
      <c r="D980" s="6" t="s">
        <v>41</v>
      </c>
      <c r="E980" s="6" t="s">
        <v>1805</v>
      </c>
      <c r="F980" s="6" t="s">
        <v>2193</v>
      </c>
      <c r="G980" s="6" t="s">
        <v>2939</v>
      </c>
      <c r="H980" s="6">
        <v>0.0</v>
      </c>
      <c r="I980" s="6">
        <v>0.0</v>
      </c>
      <c r="J980" s="6">
        <v>3.0</v>
      </c>
      <c r="K980" s="6">
        <v>0.0</v>
      </c>
      <c r="L980" s="6">
        <v>0.0</v>
      </c>
      <c r="M980" s="6">
        <v>0.0</v>
      </c>
      <c r="N980" s="669">
        <v>1890000.0</v>
      </c>
      <c r="O980" s="6">
        <v>0.0</v>
      </c>
      <c r="P980" s="6">
        <v>0.0</v>
      </c>
      <c r="Q980" s="6">
        <v>0.0</v>
      </c>
      <c r="R980" s="6">
        <v>0.0</v>
      </c>
      <c r="S980" s="6">
        <v>0.0</v>
      </c>
      <c r="T980" s="6">
        <v>0.0</v>
      </c>
      <c r="U980" s="6">
        <v>0.0</v>
      </c>
    </row>
    <row r="981">
      <c r="A981" s="6" t="s">
        <v>1915</v>
      </c>
      <c r="B981" s="6" t="s">
        <v>11569</v>
      </c>
      <c r="C981" s="6" t="s">
        <v>11570</v>
      </c>
      <c r="D981" s="6" t="s">
        <v>22</v>
      </c>
      <c r="E981" s="6" t="s">
        <v>1808</v>
      </c>
      <c r="F981" s="6" t="s">
        <v>97</v>
      </c>
      <c r="G981" s="6" t="s">
        <v>2939</v>
      </c>
      <c r="H981" s="6">
        <v>0.0</v>
      </c>
      <c r="I981" s="6">
        <v>0.0</v>
      </c>
      <c r="J981" s="6">
        <v>0.0</v>
      </c>
      <c r="K981" s="6" t="s">
        <v>11590</v>
      </c>
      <c r="L981" s="6">
        <v>0.0</v>
      </c>
      <c r="M981" s="6">
        <v>0.0</v>
      </c>
      <c r="N981" s="669">
        <v>1045000.0</v>
      </c>
      <c r="O981" s="6">
        <v>0.0</v>
      </c>
      <c r="P981" s="6">
        <v>0.0</v>
      </c>
      <c r="Q981" s="6">
        <v>0.0</v>
      </c>
      <c r="R981" s="6">
        <v>0.0</v>
      </c>
      <c r="S981" s="6" t="s">
        <v>11590</v>
      </c>
      <c r="T981" s="6">
        <v>0.0</v>
      </c>
      <c r="U981" s="6">
        <v>0.0</v>
      </c>
    </row>
    <row r="982">
      <c r="A982" s="6" t="s">
        <v>1807</v>
      </c>
      <c r="B982" s="6" t="s">
        <v>11569</v>
      </c>
      <c r="C982" s="6" t="s">
        <v>11579</v>
      </c>
      <c r="D982" s="6" t="s">
        <v>41</v>
      </c>
      <c r="E982" s="6" t="s">
        <v>1808</v>
      </c>
      <c r="F982" s="6" t="s">
        <v>2193</v>
      </c>
      <c r="G982" s="6" t="s">
        <v>2939</v>
      </c>
      <c r="H982" s="6">
        <v>0.0</v>
      </c>
      <c r="I982" s="6">
        <v>0.0</v>
      </c>
      <c r="J982" s="6">
        <v>10.0</v>
      </c>
      <c r="K982" s="6">
        <v>0.0</v>
      </c>
      <c r="L982" s="6">
        <v>0.0</v>
      </c>
      <c r="M982" s="6">
        <v>0.0</v>
      </c>
      <c r="N982" s="669">
        <v>706000.0</v>
      </c>
      <c r="O982" s="6">
        <v>0.0</v>
      </c>
      <c r="P982" s="6">
        <v>0.0</v>
      </c>
      <c r="Q982" s="6">
        <v>0.0</v>
      </c>
      <c r="R982" s="6">
        <v>0.0</v>
      </c>
      <c r="S982" s="6">
        <v>0.0</v>
      </c>
      <c r="T982" s="6">
        <v>0.0</v>
      </c>
      <c r="U982" s="6">
        <v>0.0</v>
      </c>
    </row>
    <row r="983">
      <c r="A983" s="6" t="s">
        <v>1809</v>
      </c>
      <c r="B983" s="6" t="s">
        <v>11569</v>
      </c>
      <c r="C983" s="6" t="s">
        <v>11570</v>
      </c>
      <c r="D983" s="6" t="s">
        <v>22</v>
      </c>
      <c r="E983" s="6" t="s">
        <v>1810</v>
      </c>
      <c r="F983" s="6" t="s">
        <v>97</v>
      </c>
      <c r="G983" s="6" t="s">
        <v>2939</v>
      </c>
      <c r="H983" s="6">
        <v>0.0</v>
      </c>
      <c r="I983" s="6">
        <v>0.0</v>
      </c>
      <c r="J983" s="6" t="s">
        <v>11590</v>
      </c>
      <c r="K983" s="6">
        <v>0.0</v>
      </c>
      <c r="L983" s="6">
        <v>0.0</v>
      </c>
      <c r="M983" s="6">
        <v>0.0</v>
      </c>
      <c r="N983" s="669">
        <v>1541000.0</v>
      </c>
      <c r="O983" s="6">
        <v>0.0</v>
      </c>
      <c r="P983" s="6">
        <v>0.0</v>
      </c>
      <c r="Q983" s="6">
        <v>0.0</v>
      </c>
      <c r="R983" s="6">
        <v>0.0</v>
      </c>
      <c r="S983" s="6">
        <v>10.0</v>
      </c>
      <c r="T983" s="6">
        <v>10.0</v>
      </c>
      <c r="U983" s="6">
        <v>0.0</v>
      </c>
    </row>
    <row r="984">
      <c r="A984" s="6" t="s">
        <v>1464</v>
      </c>
      <c r="B984" s="6" t="s">
        <v>11569</v>
      </c>
      <c r="C984" s="6" t="s">
        <v>11579</v>
      </c>
      <c r="D984" s="6" t="s">
        <v>41</v>
      </c>
      <c r="E984" s="6" t="s">
        <v>1810</v>
      </c>
      <c r="F984" s="6" t="s">
        <v>533</v>
      </c>
      <c r="G984" s="6" t="s">
        <v>2939</v>
      </c>
      <c r="H984" s="6">
        <v>0.0</v>
      </c>
      <c r="I984" s="6">
        <v>0.0</v>
      </c>
      <c r="J984" s="6">
        <v>0.0</v>
      </c>
      <c r="K984" s="6">
        <v>0.0</v>
      </c>
      <c r="L984" s="6">
        <v>0.0</v>
      </c>
      <c r="M984" s="6">
        <v>0.0</v>
      </c>
      <c r="N984" s="669">
        <v>1070000.0</v>
      </c>
      <c r="O984" s="6">
        <v>0.0</v>
      </c>
      <c r="P984" s="6">
        <v>0.0</v>
      </c>
      <c r="Q984" s="6">
        <v>0.0</v>
      </c>
      <c r="R984" s="6">
        <v>0.0</v>
      </c>
      <c r="S984" s="6">
        <v>0.0</v>
      </c>
      <c r="T984" s="6">
        <v>0.0</v>
      </c>
      <c r="U984" s="6">
        <v>0.0</v>
      </c>
    </row>
    <row r="985">
      <c r="A985" s="6" t="s">
        <v>2093</v>
      </c>
      <c r="B985" s="6" t="s">
        <v>11653</v>
      </c>
      <c r="C985" s="6" t="s">
        <v>11570</v>
      </c>
      <c r="D985" s="6" t="s">
        <v>22</v>
      </c>
      <c r="E985" s="6" t="s">
        <v>1454</v>
      </c>
      <c r="G985" s="6" t="s">
        <v>2939</v>
      </c>
      <c r="H985" s="6">
        <v>0.0</v>
      </c>
      <c r="I985" s="6">
        <v>0.0</v>
      </c>
      <c r="J985" s="6">
        <v>0.0</v>
      </c>
      <c r="K985" s="6">
        <v>0.0</v>
      </c>
      <c r="L985" s="6">
        <v>0.0</v>
      </c>
      <c r="M985" s="6">
        <v>3.0</v>
      </c>
      <c r="N985" s="669">
        <v>641000.0</v>
      </c>
      <c r="O985" s="6">
        <v>10.0</v>
      </c>
      <c r="P985" s="6">
        <v>10.0</v>
      </c>
      <c r="Q985" s="6">
        <v>0.0</v>
      </c>
      <c r="R985" s="6">
        <v>0.0</v>
      </c>
      <c r="S985" s="6">
        <v>0.0</v>
      </c>
      <c r="T985" s="6">
        <v>0.0</v>
      </c>
      <c r="U985" s="6">
        <v>0.0</v>
      </c>
    </row>
    <row r="986">
      <c r="A986" s="6" t="s">
        <v>1025</v>
      </c>
      <c r="B986" s="6" t="s">
        <v>11654</v>
      </c>
      <c r="C986" s="6" t="s">
        <v>11570</v>
      </c>
      <c r="D986" s="6" t="s">
        <v>22</v>
      </c>
      <c r="E986" s="6" t="s">
        <v>1026</v>
      </c>
      <c r="F986" s="6" t="s">
        <v>97</v>
      </c>
      <c r="G986" s="6" t="s">
        <v>2939</v>
      </c>
      <c r="H986" s="6">
        <v>0.0</v>
      </c>
      <c r="I986" s="6">
        <v>0.0</v>
      </c>
      <c r="J986" s="6" t="s">
        <v>11590</v>
      </c>
      <c r="K986" s="6">
        <v>5.0</v>
      </c>
      <c r="L986" s="6">
        <v>0.0</v>
      </c>
      <c r="M986" s="6">
        <v>0.0</v>
      </c>
      <c r="N986" s="669">
        <v>1645000.0</v>
      </c>
      <c r="O986" s="6">
        <v>0.0</v>
      </c>
      <c r="P986" s="6">
        <v>0.0</v>
      </c>
      <c r="Q986" s="6">
        <v>0.0</v>
      </c>
      <c r="R986" s="6">
        <v>0.0</v>
      </c>
      <c r="S986" s="6">
        <v>10.0</v>
      </c>
      <c r="T986" s="6">
        <v>10.0</v>
      </c>
      <c r="U986" s="6">
        <v>0.0</v>
      </c>
    </row>
    <row r="987">
      <c r="A987" s="6" t="s">
        <v>1914</v>
      </c>
      <c r="B987" s="6" t="s">
        <v>11569</v>
      </c>
      <c r="C987" s="6" t="s">
        <v>11570</v>
      </c>
      <c r="D987" s="6" t="s">
        <v>22</v>
      </c>
      <c r="E987" s="6" t="s">
        <v>1406</v>
      </c>
      <c r="F987" s="6" t="s">
        <v>97</v>
      </c>
      <c r="G987" s="6" t="s">
        <v>2939</v>
      </c>
      <c r="H987" s="6">
        <v>0.0</v>
      </c>
      <c r="I987" s="6">
        <v>0.0</v>
      </c>
      <c r="J987" s="6" t="s">
        <v>11590</v>
      </c>
      <c r="K987" s="6">
        <v>6.0</v>
      </c>
      <c r="L987" s="6">
        <v>0.0</v>
      </c>
      <c r="M987" s="6">
        <v>0.0</v>
      </c>
      <c r="N987" s="669">
        <v>1294000.0</v>
      </c>
      <c r="O987" s="6">
        <v>0.0</v>
      </c>
      <c r="P987" s="6">
        <v>0.0</v>
      </c>
      <c r="Q987" s="6">
        <v>0.0</v>
      </c>
      <c r="R987" s="6">
        <v>0.0</v>
      </c>
      <c r="S987" s="6">
        <v>0.0</v>
      </c>
      <c r="T987" s="6">
        <v>0.0</v>
      </c>
      <c r="U987" s="6" t="s">
        <v>11590</v>
      </c>
    </row>
    <row r="988">
      <c r="A988" s="6" t="s">
        <v>1811</v>
      </c>
      <c r="B988" s="6" t="s">
        <v>11569</v>
      </c>
      <c r="C988" s="6" t="s">
        <v>11579</v>
      </c>
      <c r="D988" s="6" t="s">
        <v>41</v>
      </c>
      <c r="E988" s="6" t="s">
        <v>1406</v>
      </c>
      <c r="F988" s="6" t="s">
        <v>1377</v>
      </c>
      <c r="G988" s="6" t="s">
        <v>2939</v>
      </c>
      <c r="H988" s="6">
        <v>0.0</v>
      </c>
      <c r="I988" s="6">
        <v>0.0</v>
      </c>
      <c r="J988" s="6" t="s">
        <v>11590</v>
      </c>
      <c r="K988" s="6">
        <v>0.0</v>
      </c>
      <c r="L988" s="6">
        <v>0.0</v>
      </c>
      <c r="M988" s="6">
        <v>0.0</v>
      </c>
      <c r="N988" s="669">
        <v>840000.0</v>
      </c>
      <c r="O988" s="6">
        <v>0.0</v>
      </c>
      <c r="P988" s="6">
        <v>0.0</v>
      </c>
      <c r="Q988" s="6">
        <v>0.0</v>
      </c>
      <c r="R988" s="6">
        <v>0.0</v>
      </c>
      <c r="S988" s="6">
        <v>5.0</v>
      </c>
      <c r="T988" s="6">
        <v>5.0</v>
      </c>
      <c r="U988" s="6">
        <v>0.0</v>
      </c>
    </row>
    <row r="989">
      <c r="A989" s="6" t="s">
        <v>1482</v>
      </c>
      <c r="B989" s="6" t="s">
        <v>11653</v>
      </c>
      <c r="C989" s="6" t="s">
        <v>11570</v>
      </c>
      <c r="D989" s="6" t="s">
        <v>22</v>
      </c>
      <c r="E989" s="6" t="s">
        <v>1483</v>
      </c>
      <c r="G989" s="6" t="s">
        <v>2939</v>
      </c>
      <c r="H989" s="6">
        <v>0.0</v>
      </c>
      <c r="I989" s="6">
        <v>0.0</v>
      </c>
      <c r="J989" s="6">
        <v>0.0</v>
      </c>
      <c r="K989" s="6">
        <v>0.0</v>
      </c>
      <c r="L989" s="6" t="s">
        <v>11590</v>
      </c>
      <c r="M989" s="6" t="s">
        <v>11590</v>
      </c>
      <c r="N989" s="669">
        <v>1296000.0</v>
      </c>
      <c r="O989" s="6">
        <v>0.0</v>
      </c>
      <c r="P989" s="6">
        <v>0.0</v>
      </c>
      <c r="Q989" s="6">
        <v>0.0</v>
      </c>
      <c r="R989" s="6">
        <v>0.0</v>
      </c>
      <c r="S989" s="6">
        <v>0.0</v>
      </c>
      <c r="T989" s="6">
        <v>0.0</v>
      </c>
      <c r="U989" s="6">
        <v>0.0</v>
      </c>
    </row>
    <row r="990">
      <c r="A990" s="6" t="s">
        <v>1812</v>
      </c>
      <c r="B990" s="6" t="s">
        <v>11569</v>
      </c>
      <c r="C990" s="6" t="s">
        <v>11579</v>
      </c>
      <c r="D990" s="6" t="s">
        <v>41</v>
      </c>
      <c r="E990" s="6" t="s">
        <v>1483</v>
      </c>
      <c r="F990" s="6" t="s">
        <v>2193</v>
      </c>
      <c r="G990" s="6" t="s">
        <v>2939</v>
      </c>
      <c r="H990" s="6">
        <v>0.0</v>
      </c>
      <c r="I990" s="6">
        <v>0.0</v>
      </c>
      <c r="J990" s="6" t="s">
        <v>11590</v>
      </c>
      <c r="K990" s="6">
        <v>6.0</v>
      </c>
      <c r="L990" s="6">
        <v>0.0</v>
      </c>
      <c r="M990" s="6">
        <v>0.0</v>
      </c>
      <c r="N990" s="669">
        <v>1350000.0</v>
      </c>
      <c r="O990" s="6">
        <v>0.0</v>
      </c>
      <c r="P990" s="6">
        <v>0.0</v>
      </c>
      <c r="Q990" s="6">
        <v>0.0</v>
      </c>
      <c r="R990" s="6">
        <v>0.0</v>
      </c>
      <c r="S990" s="6">
        <v>0.0</v>
      </c>
      <c r="T990" s="6">
        <v>0.0</v>
      </c>
      <c r="U990" s="6">
        <v>0.0</v>
      </c>
    </row>
    <row r="991">
      <c r="A991" s="6" t="s">
        <v>1480</v>
      </c>
      <c r="B991" s="6" t="s">
        <v>11653</v>
      </c>
      <c r="C991" s="6" t="s">
        <v>11570</v>
      </c>
      <c r="D991" s="6" t="s">
        <v>22</v>
      </c>
      <c r="E991" s="6" t="s">
        <v>1481</v>
      </c>
      <c r="G991" s="6" t="s">
        <v>2939</v>
      </c>
      <c r="H991" s="6">
        <v>0.0</v>
      </c>
      <c r="I991" s="6">
        <v>0.0</v>
      </c>
      <c r="J991" s="6">
        <v>0.0</v>
      </c>
      <c r="K991" s="6">
        <v>0.0</v>
      </c>
      <c r="L991" s="6" t="s">
        <v>11590</v>
      </c>
      <c r="M991" s="6">
        <v>5.0</v>
      </c>
      <c r="N991" s="669">
        <v>1199000.0</v>
      </c>
      <c r="O991" s="6">
        <v>0.0</v>
      </c>
      <c r="P991" s="6">
        <v>0.0</v>
      </c>
      <c r="Q991" s="6">
        <v>0.0</v>
      </c>
      <c r="R991" s="6">
        <v>0.0</v>
      </c>
      <c r="S991" s="6">
        <v>0.0</v>
      </c>
      <c r="T991" s="6">
        <v>0.0</v>
      </c>
      <c r="U991" s="6">
        <v>0.0</v>
      </c>
    </row>
    <row r="992">
      <c r="A992" s="6" t="s">
        <v>1912</v>
      </c>
      <c r="B992" s="6" t="s">
        <v>11569</v>
      </c>
      <c r="C992" s="6" t="s">
        <v>11579</v>
      </c>
      <c r="D992" s="6" t="s">
        <v>41</v>
      </c>
      <c r="E992" s="6" t="s">
        <v>1477</v>
      </c>
      <c r="F992" s="6" t="s">
        <v>97</v>
      </c>
      <c r="G992" s="6" t="s">
        <v>2939</v>
      </c>
      <c r="H992" s="6">
        <v>0.0</v>
      </c>
      <c r="I992" s="6">
        <v>0.0</v>
      </c>
      <c r="J992" s="6">
        <v>4.0</v>
      </c>
      <c r="K992" s="6">
        <v>6.0</v>
      </c>
      <c r="L992" s="6">
        <v>0.0</v>
      </c>
      <c r="M992" s="6">
        <v>0.0</v>
      </c>
      <c r="N992" s="669">
        <v>648000.0</v>
      </c>
      <c r="O992" s="6">
        <v>0.0</v>
      </c>
      <c r="P992" s="6">
        <v>0.0</v>
      </c>
      <c r="Q992" s="6">
        <v>0.0</v>
      </c>
      <c r="R992" s="6">
        <v>0.0</v>
      </c>
      <c r="S992" s="6" t="s">
        <v>11590</v>
      </c>
      <c r="T992" s="6">
        <v>0.0</v>
      </c>
      <c r="U992" s="6">
        <v>0.0</v>
      </c>
    </row>
    <row r="993">
      <c r="A993" s="6" t="s">
        <v>11972</v>
      </c>
      <c r="E993" s="6" t="s">
        <v>11972</v>
      </c>
      <c r="N993" s="668"/>
    </row>
    <row r="994">
      <c r="A994" s="6" t="s">
        <v>1910</v>
      </c>
      <c r="B994" s="6" t="s">
        <v>11569</v>
      </c>
      <c r="C994" s="6" t="s">
        <v>11570</v>
      </c>
      <c r="D994" s="6" t="s">
        <v>22</v>
      </c>
      <c r="E994" s="6" t="s">
        <v>1911</v>
      </c>
      <c r="F994" s="6" t="s">
        <v>125</v>
      </c>
      <c r="G994" s="6" t="s">
        <v>2939</v>
      </c>
      <c r="H994" s="6">
        <v>0.0</v>
      </c>
      <c r="I994" s="6">
        <v>0.0</v>
      </c>
      <c r="J994" s="6" t="s">
        <v>11590</v>
      </c>
      <c r="K994" s="6" t="s">
        <v>11590</v>
      </c>
      <c r="L994" s="6">
        <v>0.0</v>
      </c>
      <c r="M994" s="6">
        <v>0.0</v>
      </c>
      <c r="N994" s="669">
        <v>1080000.0</v>
      </c>
      <c r="O994" s="6">
        <v>0.0</v>
      </c>
      <c r="P994" s="6">
        <v>0.0</v>
      </c>
      <c r="Q994" s="6">
        <v>0.0</v>
      </c>
      <c r="R994" s="6">
        <v>0.0</v>
      </c>
      <c r="S994" s="6">
        <v>0.0</v>
      </c>
      <c r="T994" s="6">
        <v>0.0</v>
      </c>
      <c r="U994" s="6">
        <v>0.0</v>
      </c>
    </row>
    <row r="995">
      <c r="A995" s="6" t="s">
        <v>11973</v>
      </c>
      <c r="E995" s="6" t="s">
        <v>11973</v>
      </c>
      <c r="N995" s="668"/>
    </row>
    <row r="996">
      <c r="A996" s="6" t="s">
        <v>11974</v>
      </c>
      <c r="B996" s="6" t="s">
        <v>11653</v>
      </c>
      <c r="C996" s="6" t="s">
        <v>11570</v>
      </c>
      <c r="D996" s="6" t="s">
        <v>22</v>
      </c>
      <c r="E996" s="6" t="s">
        <v>85</v>
      </c>
      <c r="F996" s="6" t="s">
        <v>97</v>
      </c>
      <c r="G996" s="6" t="s">
        <v>2939</v>
      </c>
      <c r="H996" s="6">
        <v>0.0</v>
      </c>
      <c r="I996" s="6">
        <v>0.0</v>
      </c>
      <c r="J996" s="6">
        <v>0.0</v>
      </c>
      <c r="K996" s="6">
        <v>0.0</v>
      </c>
      <c r="L996" s="6" t="s">
        <v>11590</v>
      </c>
      <c r="M996" s="6" t="s">
        <v>11590</v>
      </c>
      <c r="N996" s="669">
        <v>700000.0</v>
      </c>
      <c r="O996" s="6">
        <v>10.0</v>
      </c>
      <c r="P996" s="6">
        <v>0.0</v>
      </c>
      <c r="Q996" s="6">
        <v>0.0</v>
      </c>
      <c r="R996" s="6">
        <v>0.0</v>
      </c>
      <c r="S996" s="6">
        <v>0.0</v>
      </c>
      <c r="T996" s="6">
        <v>0.0</v>
      </c>
      <c r="U996" s="6">
        <v>0.0</v>
      </c>
    </row>
    <row r="997">
      <c r="A997" s="6" t="s">
        <v>1601</v>
      </c>
      <c r="B997" s="6" t="s">
        <v>11653</v>
      </c>
      <c r="C997" s="6" t="s">
        <v>11570</v>
      </c>
      <c r="D997" s="6" t="s">
        <v>22</v>
      </c>
      <c r="E997" s="6" t="s">
        <v>1602</v>
      </c>
      <c r="F997" s="6" t="s">
        <v>97</v>
      </c>
      <c r="G997" s="6" t="s">
        <v>2939</v>
      </c>
      <c r="H997" s="6">
        <v>0.0</v>
      </c>
      <c r="I997" s="6">
        <v>0.0</v>
      </c>
      <c r="J997" s="6">
        <v>0.0</v>
      </c>
      <c r="K997" s="6">
        <v>0.0</v>
      </c>
      <c r="L997" s="6" t="s">
        <v>11590</v>
      </c>
      <c r="M997" s="6" t="s">
        <v>11590</v>
      </c>
      <c r="N997" s="669">
        <v>967000.0</v>
      </c>
      <c r="O997" s="6">
        <v>0.0</v>
      </c>
      <c r="P997" s="6">
        <v>10.0</v>
      </c>
      <c r="Q997" s="6">
        <v>0.0</v>
      </c>
      <c r="R997" s="6">
        <v>0.0</v>
      </c>
      <c r="S997" s="6">
        <v>0.0</v>
      </c>
      <c r="T997" s="6">
        <v>0.0</v>
      </c>
      <c r="U997" s="6">
        <v>0.0</v>
      </c>
    </row>
    <row r="998">
      <c r="A998" s="6" t="s">
        <v>1028</v>
      </c>
      <c r="B998" s="6" t="s">
        <v>11576</v>
      </c>
      <c r="C998" s="6" t="s">
        <v>11570</v>
      </c>
      <c r="D998" s="6" t="s">
        <v>22</v>
      </c>
      <c r="E998" s="6" t="s">
        <v>1566</v>
      </c>
      <c r="F998" s="6" t="s">
        <v>125</v>
      </c>
      <c r="G998" s="6" t="s">
        <v>2939</v>
      </c>
      <c r="H998" s="6">
        <v>0.0</v>
      </c>
      <c r="I998" s="6">
        <v>0.0</v>
      </c>
      <c r="J998" s="6" t="s">
        <v>11590</v>
      </c>
      <c r="K998" s="6">
        <v>0.0</v>
      </c>
      <c r="L998" s="6">
        <v>0.0</v>
      </c>
      <c r="M998" s="6">
        <v>0.0</v>
      </c>
      <c r="N998" s="669">
        <v>4202000.0</v>
      </c>
      <c r="O998" s="6">
        <v>0.0</v>
      </c>
      <c r="P998" s="6">
        <v>0.0</v>
      </c>
      <c r="Q998" s="6">
        <v>0.0</v>
      </c>
      <c r="R998" s="6">
        <v>0.0</v>
      </c>
      <c r="S998" s="6">
        <v>0.0</v>
      </c>
      <c r="T998" s="6">
        <v>0.0</v>
      </c>
      <c r="U998" s="6">
        <v>0.0</v>
      </c>
    </row>
    <row r="999">
      <c r="A999" s="6" t="s">
        <v>1030</v>
      </c>
      <c r="B999" s="6" t="s">
        <v>11578</v>
      </c>
      <c r="C999" s="6" t="s">
        <v>11579</v>
      </c>
      <c r="D999" s="6" t="s">
        <v>41</v>
      </c>
      <c r="E999" s="6" t="s">
        <v>11975</v>
      </c>
      <c r="F999" s="6" t="s">
        <v>2193</v>
      </c>
      <c r="G999" s="6" t="s">
        <v>2939</v>
      </c>
      <c r="H999" s="6">
        <v>0.0</v>
      </c>
      <c r="I999" s="6">
        <v>0.0</v>
      </c>
      <c r="J999" s="6">
        <v>0.0</v>
      </c>
      <c r="K999" s="6">
        <v>0.0</v>
      </c>
      <c r="L999" s="6">
        <v>0.0</v>
      </c>
      <c r="M999" s="6">
        <v>0.0</v>
      </c>
      <c r="N999" s="669">
        <v>2785000.0</v>
      </c>
      <c r="O999" s="6">
        <v>0.0</v>
      </c>
      <c r="P999" s="6">
        <v>0.0</v>
      </c>
      <c r="Q999" s="6">
        <v>0.0</v>
      </c>
      <c r="R999" s="6">
        <v>0.0</v>
      </c>
      <c r="S999" s="6">
        <v>0.0</v>
      </c>
      <c r="T999" s="6">
        <v>0.0</v>
      </c>
      <c r="U999" s="6">
        <v>0.0</v>
      </c>
    </row>
    <row r="1000">
      <c r="A1000" s="6" t="s">
        <v>1031</v>
      </c>
      <c r="B1000" s="6" t="s">
        <v>11576</v>
      </c>
      <c r="C1000" s="6" t="s">
        <v>11579</v>
      </c>
      <c r="D1000" s="6" t="s">
        <v>41</v>
      </c>
      <c r="E1000" s="6" t="s">
        <v>11976</v>
      </c>
      <c r="F1000" s="6" t="s">
        <v>2193</v>
      </c>
      <c r="G1000" s="6" t="s">
        <v>2939</v>
      </c>
      <c r="H1000" s="6">
        <v>0.0</v>
      </c>
      <c r="I1000" s="6">
        <v>0.0</v>
      </c>
      <c r="J1000" s="6" t="s">
        <v>11590</v>
      </c>
      <c r="K1000" s="6">
        <v>3.0</v>
      </c>
      <c r="L1000" s="6">
        <v>0.0</v>
      </c>
      <c r="M1000" s="6">
        <v>0.0</v>
      </c>
      <c r="N1000" s="669">
        <v>2974000.0</v>
      </c>
      <c r="O1000" s="6">
        <v>0.0</v>
      </c>
      <c r="P1000" s="6">
        <v>0.0</v>
      </c>
      <c r="Q1000" s="6">
        <v>0.0</v>
      </c>
      <c r="R1000" s="6">
        <v>0.0</v>
      </c>
      <c r="S1000" s="6">
        <v>0.0</v>
      </c>
      <c r="T1000" s="6">
        <v>0.0</v>
      </c>
      <c r="U1000" s="6">
        <v>0.0</v>
      </c>
    </row>
    <row r="1001">
      <c r="A1001" s="6" t="s">
        <v>1816</v>
      </c>
      <c r="B1001" s="6" t="s">
        <v>11569</v>
      </c>
      <c r="C1001" s="6" t="s">
        <v>11591</v>
      </c>
      <c r="D1001" s="6" t="s">
        <v>400</v>
      </c>
      <c r="E1001" s="6" t="s">
        <v>1566</v>
      </c>
      <c r="G1001" s="6" t="s">
        <v>2939</v>
      </c>
      <c r="H1001" s="6">
        <v>0.0</v>
      </c>
      <c r="I1001" s="6">
        <v>0.0</v>
      </c>
      <c r="J1001" s="6">
        <v>3.0</v>
      </c>
      <c r="K1001" s="6">
        <v>0.0</v>
      </c>
      <c r="L1001" s="6">
        <v>0.0</v>
      </c>
      <c r="M1001" s="6">
        <v>0.0</v>
      </c>
      <c r="N1001" s="669">
        <v>408000.0</v>
      </c>
      <c r="O1001" s="6">
        <v>0.0</v>
      </c>
      <c r="P1001" s="6">
        <v>0.0</v>
      </c>
      <c r="Q1001" s="6">
        <v>0.0</v>
      </c>
      <c r="R1001" s="6">
        <v>0.0</v>
      </c>
      <c r="S1001" s="6">
        <v>0.0</v>
      </c>
      <c r="T1001" s="6">
        <v>0.0</v>
      </c>
      <c r="U1001" s="6">
        <v>0.0</v>
      </c>
    </row>
    <row r="1002">
      <c r="A1002" s="6" t="s">
        <v>1817</v>
      </c>
      <c r="B1002" s="6" t="s">
        <v>11569</v>
      </c>
      <c r="C1002" s="6" t="s">
        <v>11591</v>
      </c>
      <c r="D1002" s="6" t="s">
        <v>402</v>
      </c>
      <c r="E1002" s="6" t="s">
        <v>1566</v>
      </c>
      <c r="G1002" s="6" t="s">
        <v>2939</v>
      </c>
      <c r="H1002" s="6">
        <v>0.0</v>
      </c>
      <c r="I1002" s="6">
        <v>0.0</v>
      </c>
      <c r="J1002" s="6">
        <v>0.0</v>
      </c>
      <c r="K1002" s="6">
        <v>0.0</v>
      </c>
      <c r="L1002" s="6">
        <v>0.0</v>
      </c>
      <c r="M1002" s="6">
        <v>0.0</v>
      </c>
      <c r="N1002" s="669">
        <v>408000.0</v>
      </c>
      <c r="O1002" s="6">
        <v>0.0</v>
      </c>
      <c r="P1002" s="6">
        <v>0.0</v>
      </c>
      <c r="Q1002" s="6">
        <v>0.0</v>
      </c>
      <c r="R1002" s="6">
        <v>0.0</v>
      </c>
      <c r="S1002" s="6">
        <v>5.0</v>
      </c>
      <c r="T1002" s="6">
        <v>0.0</v>
      </c>
      <c r="U1002" s="6">
        <v>0.0</v>
      </c>
    </row>
    <row r="1003">
      <c r="A1003" s="6" t="s">
        <v>1033</v>
      </c>
      <c r="B1003" s="6" t="s">
        <v>11576</v>
      </c>
      <c r="C1003" s="6" t="s">
        <v>11591</v>
      </c>
      <c r="D1003" s="6" t="s">
        <v>128</v>
      </c>
      <c r="E1003" s="6" t="s">
        <v>1029</v>
      </c>
      <c r="G1003" s="6" t="s">
        <v>2939</v>
      </c>
      <c r="H1003" s="6">
        <v>0.0</v>
      </c>
      <c r="I1003" s="6">
        <v>0.0</v>
      </c>
      <c r="J1003" s="6">
        <v>4.0</v>
      </c>
      <c r="K1003" s="6">
        <v>0.0</v>
      </c>
      <c r="L1003" s="6">
        <v>0.0</v>
      </c>
      <c r="M1003" s="6">
        <v>0.0</v>
      </c>
      <c r="N1003" s="669">
        <v>804000.0</v>
      </c>
      <c r="O1003" s="6">
        <v>0.0</v>
      </c>
      <c r="P1003" s="6">
        <v>0.0</v>
      </c>
      <c r="Q1003" s="6">
        <v>0.0</v>
      </c>
      <c r="R1003" s="6">
        <v>0.0</v>
      </c>
      <c r="S1003" s="6">
        <v>5.0</v>
      </c>
      <c r="T1003" s="6">
        <v>0.0</v>
      </c>
      <c r="U1003" s="6">
        <v>0.0</v>
      </c>
    </row>
    <row r="1004">
      <c r="A1004" s="6" t="s">
        <v>1034</v>
      </c>
      <c r="B1004" s="6" t="s">
        <v>11576</v>
      </c>
      <c r="C1004" s="6" t="s">
        <v>11591</v>
      </c>
      <c r="D1004" s="6" t="s">
        <v>130</v>
      </c>
      <c r="E1004" s="6" t="s">
        <v>1029</v>
      </c>
      <c r="G1004" s="6" t="s">
        <v>2939</v>
      </c>
      <c r="H1004" s="6">
        <v>0.0</v>
      </c>
      <c r="I1004" s="6">
        <v>0.0</v>
      </c>
      <c r="J1004" s="6">
        <v>1.0</v>
      </c>
      <c r="K1004" s="6">
        <v>0.0</v>
      </c>
      <c r="L1004" s="6">
        <v>0.0</v>
      </c>
      <c r="M1004" s="6">
        <v>0.0</v>
      </c>
      <c r="N1004" s="669">
        <v>804000.0</v>
      </c>
      <c r="O1004" s="6">
        <v>0.0</v>
      </c>
      <c r="P1004" s="6">
        <v>0.0</v>
      </c>
      <c r="Q1004" s="6">
        <v>0.0</v>
      </c>
      <c r="R1004" s="6">
        <v>0.0</v>
      </c>
      <c r="S1004" s="6">
        <v>0.0</v>
      </c>
      <c r="T1004" s="6">
        <v>0.0</v>
      </c>
      <c r="U1004" s="6">
        <v>0.0</v>
      </c>
    </row>
    <row r="1005">
      <c r="A1005" s="6" t="s">
        <v>1035</v>
      </c>
      <c r="B1005" s="6" t="s">
        <v>11578</v>
      </c>
      <c r="C1005" s="6" t="s">
        <v>11591</v>
      </c>
      <c r="D1005" s="6" t="s">
        <v>132</v>
      </c>
      <c r="E1005" s="6" t="s">
        <v>1029</v>
      </c>
      <c r="G1005" s="6" t="s">
        <v>2939</v>
      </c>
      <c r="H1005" s="6">
        <v>6.0</v>
      </c>
      <c r="I1005" s="6">
        <v>0.0</v>
      </c>
      <c r="J1005" s="6">
        <v>0.0</v>
      </c>
      <c r="K1005" s="6">
        <v>0.0</v>
      </c>
      <c r="L1005" s="6">
        <v>0.0</v>
      </c>
      <c r="M1005" s="6">
        <v>0.0</v>
      </c>
      <c r="N1005" s="669">
        <v>966000.0</v>
      </c>
      <c r="O1005" s="6">
        <v>0.0</v>
      </c>
      <c r="P1005" s="6">
        <v>0.0</v>
      </c>
      <c r="Q1005" s="6">
        <v>0.0</v>
      </c>
      <c r="R1005" s="6">
        <v>0.0</v>
      </c>
      <c r="S1005" s="6">
        <v>0.0</v>
      </c>
      <c r="T1005" s="6">
        <v>0.0</v>
      </c>
      <c r="U1005" s="6">
        <v>0.0</v>
      </c>
    </row>
    <row r="1006">
      <c r="A1006" s="6" t="s">
        <v>1036</v>
      </c>
      <c r="B1006" s="6" t="s">
        <v>11578</v>
      </c>
      <c r="C1006" s="6" t="s">
        <v>11591</v>
      </c>
      <c r="D1006" s="6" t="s">
        <v>134</v>
      </c>
      <c r="E1006" s="6" t="s">
        <v>1029</v>
      </c>
      <c r="G1006" s="6" t="s">
        <v>2939</v>
      </c>
      <c r="H1006" s="6">
        <v>8.0</v>
      </c>
      <c r="I1006" s="6">
        <v>0.0</v>
      </c>
      <c r="J1006" s="6">
        <v>0.0</v>
      </c>
      <c r="K1006" s="6">
        <v>0.0</v>
      </c>
      <c r="L1006" s="6">
        <v>0.0</v>
      </c>
      <c r="M1006" s="6">
        <v>0.0</v>
      </c>
      <c r="N1006" s="669">
        <v>966000.0</v>
      </c>
      <c r="O1006" s="6">
        <v>0.0</v>
      </c>
      <c r="P1006" s="6">
        <v>0.0</v>
      </c>
      <c r="Q1006" s="6">
        <v>0.0</v>
      </c>
      <c r="R1006" s="6">
        <v>0.0</v>
      </c>
      <c r="S1006" s="6">
        <v>0.0</v>
      </c>
      <c r="T1006" s="6">
        <v>0.0</v>
      </c>
      <c r="U1006" s="6">
        <v>0.0</v>
      </c>
    </row>
    <row r="1007">
      <c r="A1007" s="6" t="s">
        <v>1037</v>
      </c>
      <c r="B1007" s="6" t="s">
        <v>11578</v>
      </c>
      <c r="C1007" s="6" t="s">
        <v>11591</v>
      </c>
      <c r="D1007" s="6" t="s">
        <v>202</v>
      </c>
      <c r="E1007" s="6" t="s">
        <v>1038</v>
      </c>
      <c r="F1007" s="6" t="s">
        <v>234</v>
      </c>
      <c r="G1007" s="6" t="s">
        <v>2939</v>
      </c>
      <c r="H1007" s="6">
        <v>2.0</v>
      </c>
      <c r="I1007" s="6">
        <v>0.0</v>
      </c>
      <c r="J1007" s="6">
        <v>0.0</v>
      </c>
      <c r="K1007" s="6">
        <v>0.0</v>
      </c>
      <c r="L1007" s="6">
        <v>0.0</v>
      </c>
      <c r="M1007" s="6">
        <v>0.0</v>
      </c>
      <c r="N1007" s="669">
        <v>1448000.0</v>
      </c>
      <c r="O1007" s="6">
        <v>0.0</v>
      </c>
      <c r="P1007" s="6">
        <v>0.0</v>
      </c>
      <c r="Q1007" s="6">
        <v>0.0</v>
      </c>
      <c r="R1007" s="6">
        <v>0.0</v>
      </c>
      <c r="S1007" s="6">
        <v>0.0</v>
      </c>
      <c r="T1007" s="6">
        <v>0.0</v>
      </c>
      <c r="U1007" s="6">
        <v>0.0</v>
      </c>
    </row>
    <row r="1008">
      <c r="A1008" s="6" t="s">
        <v>1039</v>
      </c>
      <c r="B1008" s="6" t="s">
        <v>11578</v>
      </c>
      <c r="C1008" s="6" t="s">
        <v>11591</v>
      </c>
      <c r="D1008" s="6" t="s">
        <v>236</v>
      </c>
      <c r="E1008" s="6" t="s">
        <v>1038</v>
      </c>
      <c r="F1008" s="6" t="s">
        <v>234</v>
      </c>
      <c r="G1008" s="6" t="s">
        <v>2939</v>
      </c>
      <c r="H1008" s="6">
        <v>2.0</v>
      </c>
      <c r="I1008" s="6">
        <v>0.0</v>
      </c>
      <c r="J1008" s="6">
        <v>0.0</v>
      </c>
      <c r="K1008" s="6">
        <v>0.0</v>
      </c>
      <c r="L1008" s="6">
        <v>0.0</v>
      </c>
      <c r="M1008" s="6">
        <v>0.0</v>
      </c>
      <c r="N1008" s="669">
        <v>1448000.0</v>
      </c>
      <c r="O1008" s="6">
        <v>0.0</v>
      </c>
      <c r="P1008" s="6">
        <v>0.0</v>
      </c>
      <c r="Q1008" s="6">
        <v>0.0</v>
      </c>
      <c r="R1008" s="6">
        <v>0.0</v>
      </c>
      <c r="S1008" s="6">
        <v>0.0</v>
      </c>
      <c r="T1008" s="6">
        <v>0.0</v>
      </c>
      <c r="U1008" s="6">
        <v>0.0</v>
      </c>
    </row>
    <row r="1009">
      <c r="A1009" s="6" t="s">
        <v>1040</v>
      </c>
      <c r="B1009" s="6" t="s">
        <v>11578</v>
      </c>
      <c r="C1009" s="6" t="s">
        <v>11591</v>
      </c>
      <c r="D1009" s="6" t="s">
        <v>202</v>
      </c>
      <c r="E1009" s="6" t="s">
        <v>1041</v>
      </c>
      <c r="F1009" s="6" t="s">
        <v>234</v>
      </c>
      <c r="G1009" s="6" t="s">
        <v>2939</v>
      </c>
      <c r="H1009" s="6">
        <v>4.0</v>
      </c>
      <c r="I1009" s="6">
        <v>0.0</v>
      </c>
      <c r="J1009" s="6">
        <v>0.0</v>
      </c>
      <c r="K1009" s="6">
        <v>0.0</v>
      </c>
      <c r="L1009" s="6">
        <v>0.0</v>
      </c>
      <c r="M1009" s="6">
        <v>0.0</v>
      </c>
      <c r="N1009" s="669">
        <v>1766000.0</v>
      </c>
      <c r="O1009" s="6">
        <v>0.0</v>
      </c>
      <c r="P1009" s="6">
        <v>0.0</v>
      </c>
      <c r="Q1009" s="6">
        <v>0.0</v>
      </c>
      <c r="R1009" s="6">
        <v>0.0</v>
      </c>
      <c r="S1009" s="6">
        <v>0.0</v>
      </c>
      <c r="T1009" s="6">
        <v>0.0</v>
      </c>
      <c r="U1009" s="6">
        <v>0.0</v>
      </c>
    </row>
    <row r="1010">
      <c r="A1010" s="6" t="s">
        <v>1042</v>
      </c>
      <c r="B1010" s="6" t="s">
        <v>11578</v>
      </c>
      <c r="C1010" s="6" t="s">
        <v>11591</v>
      </c>
      <c r="D1010" s="6" t="s">
        <v>236</v>
      </c>
      <c r="E1010" s="6" t="s">
        <v>1041</v>
      </c>
      <c r="F1010" s="6" t="s">
        <v>234</v>
      </c>
      <c r="G1010" s="6" t="s">
        <v>2939</v>
      </c>
      <c r="H1010" s="6">
        <v>5.0</v>
      </c>
      <c r="I1010" s="6">
        <v>0.0</v>
      </c>
      <c r="J1010" s="6">
        <v>0.0</v>
      </c>
      <c r="K1010" s="6">
        <v>0.0</v>
      </c>
      <c r="L1010" s="6">
        <v>0.0</v>
      </c>
      <c r="M1010" s="6">
        <v>0.0</v>
      </c>
      <c r="N1010" s="669">
        <v>1766000.0</v>
      </c>
      <c r="O1010" s="6">
        <v>0.0</v>
      </c>
      <c r="P1010" s="6">
        <v>0.0</v>
      </c>
      <c r="Q1010" s="6">
        <v>0.0</v>
      </c>
      <c r="R1010" s="6">
        <v>0.0</v>
      </c>
      <c r="S1010" s="6">
        <v>0.0</v>
      </c>
      <c r="T1010" s="6">
        <v>0.0</v>
      </c>
      <c r="U1010" s="6">
        <v>0.0</v>
      </c>
    </row>
    <row r="1011">
      <c r="A1011" s="6" t="s">
        <v>1043</v>
      </c>
      <c r="B1011" s="6" t="s">
        <v>11578</v>
      </c>
      <c r="C1011" s="6" t="s">
        <v>11591</v>
      </c>
      <c r="D1011" s="6" t="s">
        <v>132</v>
      </c>
      <c r="E1011" s="6" t="s">
        <v>1032</v>
      </c>
      <c r="G1011" s="6" t="s">
        <v>2939</v>
      </c>
      <c r="H1011" s="6">
        <v>6.0</v>
      </c>
      <c r="I1011" s="6">
        <v>0.0</v>
      </c>
      <c r="J1011" s="6">
        <v>0.0</v>
      </c>
      <c r="K1011" s="6">
        <v>0.0</v>
      </c>
      <c r="L1011" s="6">
        <v>0.0</v>
      </c>
      <c r="M1011" s="6">
        <v>0.0</v>
      </c>
      <c r="N1011" s="669">
        <v>1448000.0</v>
      </c>
      <c r="O1011" s="6">
        <v>0.0</v>
      </c>
      <c r="P1011" s="6">
        <v>0.0</v>
      </c>
      <c r="Q1011" s="6">
        <v>0.0</v>
      </c>
      <c r="R1011" s="6">
        <v>0.0</v>
      </c>
      <c r="S1011" s="6">
        <v>0.0</v>
      </c>
      <c r="T1011" s="6">
        <v>0.0</v>
      </c>
      <c r="U1011" s="6">
        <v>0.0</v>
      </c>
    </row>
    <row r="1012">
      <c r="A1012" s="6" t="s">
        <v>1044</v>
      </c>
      <c r="B1012" s="6" t="s">
        <v>11578</v>
      </c>
      <c r="C1012" s="6" t="s">
        <v>11591</v>
      </c>
      <c r="D1012" s="6" t="s">
        <v>134</v>
      </c>
      <c r="E1012" s="6" t="s">
        <v>1032</v>
      </c>
      <c r="G1012" s="6" t="s">
        <v>2939</v>
      </c>
      <c r="H1012" s="6">
        <v>4.0</v>
      </c>
      <c r="I1012" s="6">
        <v>0.0</v>
      </c>
      <c r="J1012" s="6">
        <v>0.0</v>
      </c>
      <c r="K1012" s="6">
        <v>0.0</v>
      </c>
      <c r="L1012" s="6">
        <v>0.0</v>
      </c>
      <c r="M1012" s="6">
        <v>0.0</v>
      </c>
      <c r="N1012" s="669">
        <v>1448000.0</v>
      </c>
      <c r="O1012" s="6">
        <v>0.0</v>
      </c>
      <c r="P1012" s="6">
        <v>0.0</v>
      </c>
      <c r="Q1012" s="6">
        <v>0.0</v>
      </c>
      <c r="R1012" s="6">
        <v>0.0</v>
      </c>
      <c r="S1012" s="6">
        <v>0.0</v>
      </c>
      <c r="T1012" s="6">
        <v>0.0</v>
      </c>
      <c r="U1012" s="6">
        <v>0.0</v>
      </c>
    </row>
    <row r="1013">
      <c r="A1013" s="6" t="s">
        <v>1818</v>
      </c>
      <c r="B1013" s="6" t="s">
        <v>11569</v>
      </c>
      <c r="C1013" s="6" t="s">
        <v>11591</v>
      </c>
      <c r="D1013" s="6" t="s">
        <v>202</v>
      </c>
      <c r="E1013" s="6" t="s">
        <v>1819</v>
      </c>
      <c r="F1013" s="6" t="s">
        <v>234</v>
      </c>
      <c r="G1013" s="6" t="s">
        <v>2939</v>
      </c>
      <c r="H1013" s="6">
        <v>0.0</v>
      </c>
      <c r="I1013" s="6">
        <v>0.0</v>
      </c>
      <c r="J1013" s="6">
        <v>7.0</v>
      </c>
      <c r="K1013" s="6">
        <v>0.0</v>
      </c>
      <c r="L1013" s="6">
        <v>0.0</v>
      </c>
      <c r="M1013" s="6">
        <v>0.0</v>
      </c>
      <c r="N1013" s="669">
        <v>1766000.0</v>
      </c>
      <c r="O1013" s="6">
        <v>0.0</v>
      </c>
      <c r="P1013" s="6">
        <v>0.0</v>
      </c>
      <c r="Q1013" s="6">
        <v>0.0</v>
      </c>
      <c r="R1013" s="6">
        <v>0.0</v>
      </c>
      <c r="S1013" s="6">
        <v>0.0</v>
      </c>
      <c r="T1013" s="6">
        <v>0.0</v>
      </c>
      <c r="U1013" s="6">
        <v>0.0</v>
      </c>
    </row>
    <row r="1014">
      <c r="A1014" s="6" t="s">
        <v>11977</v>
      </c>
      <c r="B1014" s="6" t="s">
        <v>11569</v>
      </c>
      <c r="C1014" s="6" t="s">
        <v>11591</v>
      </c>
      <c r="D1014" s="6" t="s">
        <v>236</v>
      </c>
      <c r="E1014" s="6" t="s">
        <v>1819</v>
      </c>
      <c r="F1014" s="6" t="s">
        <v>234</v>
      </c>
      <c r="G1014" s="6" t="s">
        <v>2939</v>
      </c>
      <c r="H1014" s="6">
        <v>0.0</v>
      </c>
      <c r="I1014" s="6">
        <v>0.0</v>
      </c>
      <c r="J1014" s="6">
        <v>9.0</v>
      </c>
      <c r="K1014" s="6">
        <v>0.0</v>
      </c>
      <c r="L1014" s="6">
        <v>0.0</v>
      </c>
      <c r="M1014" s="6">
        <v>0.0</v>
      </c>
      <c r="N1014" s="669">
        <v>1766000.0</v>
      </c>
      <c r="O1014" s="6">
        <v>0.0</v>
      </c>
      <c r="P1014" s="6">
        <v>0.0</v>
      </c>
      <c r="Q1014" s="6">
        <v>0.0</v>
      </c>
      <c r="R1014" s="6">
        <v>0.0</v>
      </c>
      <c r="S1014" s="6">
        <v>0.0</v>
      </c>
      <c r="T1014" s="6">
        <v>0.0</v>
      </c>
      <c r="U1014" s="6">
        <v>0.0</v>
      </c>
    </row>
    <row r="1015">
      <c r="A1015" s="6" t="s">
        <v>72</v>
      </c>
      <c r="B1015" s="6" t="s">
        <v>11576</v>
      </c>
      <c r="C1015" s="6" t="s">
        <v>11570</v>
      </c>
      <c r="D1015" s="6" t="s">
        <v>22</v>
      </c>
      <c r="E1015" s="6" t="s">
        <v>73</v>
      </c>
      <c r="F1015" s="6" t="s">
        <v>75</v>
      </c>
      <c r="G1015" s="6" t="s">
        <v>2939</v>
      </c>
      <c r="H1015" s="6">
        <v>0.0</v>
      </c>
      <c r="I1015" s="6">
        <v>0.0</v>
      </c>
      <c r="J1015" s="6">
        <v>2.0</v>
      </c>
      <c r="K1015" s="6">
        <v>0.0</v>
      </c>
      <c r="L1015" s="6">
        <v>0.0</v>
      </c>
      <c r="M1015" s="6">
        <v>0.0</v>
      </c>
      <c r="N1015" s="669">
        <v>4202000.0</v>
      </c>
      <c r="O1015" s="6">
        <v>0.0</v>
      </c>
      <c r="P1015" s="6">
        <v>0.0</v>
      </c>
      <c r="Q1015" s="6">
        <v>0.0</v>
      </c>
      <c r="R1015" s="6">
        <v>0.0</v>
      </c>
      <c r="S1015" s="6" t="s">
        <v>11590</v>
      </c>
      <c r="T1015" s="6">
        <v>8.0</v>
      </c>
      <c r="U1015" s="6">
        <v>0.0</v>
      </c>
    </row>
    <row r="1016">
      <c r="A1016" s="6" t="s">
        <v>1045</v>
      </c>
      <c r="B1016" s="6" t="s">
        <v>11576</v>
      </c>
      <c r="C1016" s="6" t="s">
        <v>11570</v>
      </c>
      <c r="D1016" s="6" t="s">
        <v>22</v>
      </c>
      <c r="E1016" s="6" t="s">
        <v>73</v>
      </c>
      <c r="F1016" s="6" t="s">
        <v>125</v>
      </c>
      <c r="G1016" s="6" t="s">
        <v>2939</v>
      </c>
      <c r="H1016" s="6">
        <v>0.0</v>
      </c>
      <c r="I1016" s="6">
        <v>0.0</v>
      </c>
      <c r="J1016" s="6" t="s">
        <v>11590</v>
      </c>
      <c r="K1016" s="6">
        <v>1.0</v>
      </c>
      <c r="L1016" s="6">
        <v>0.0</v>
      </c>
      <c r="M1016" s="6">
        <v>0.0</v>
      </c>
      <c r="N1016" s="669">
        <v>3757000.0</v>
      </c>
      <c r="O1016" s="6">
        <v>0.0</v>
      </c>
      <c r="P1016" s="6">
        <v>0.0</v>
      </c>
      <c r="Q1016" s="6">
        <v>0.0</v>
      </c>
      <c r="R1016" s="6">
        <v>0.0</v>
      </c>
      <c r="S1016" s="6">
        <v>5.0</v>
      </c>
      <c r="T1016" s="6">
        <v>5.0</v>
      </c>
      <c r="U1016" s="6">
        <v>0.0</v>
      </c>
    </row>
    <row r="1017">
      <c r="A1017" s="6" t="s">
        <v>1052</v>
      </c>
      <c r="B1017" s="6" t="s">
        <v>11576</v>
      </c>
      <c r="C1017" s="6" t="s">
        <v>11579</v>
      </c>
      <c r="D1017" s="6" t="s">
        <v>41</v>
      </c>
      <c r="E1017" s="6" t="s">
        <v>1053</v>
      </c>
      <c r="F1017" s="6" t="s">
        <v>2193</v>
      </c>
      <c r="G1017" s="6" t="s">
        <v>2939</v>
      </c>
      <c r="H1017" s="6">
        <v>0.0</v>
      </c>
      <c r="I1017" s="6">
        <v>0.0</v>
      </c>
      <c r="J1017" s="6" t="s">
        <v>11590</v>
      </c>
      <c r="K1017" s="6">
        <v>0.0</v>
      </c>
      <c r="L1017" s="6">
        <v>0.0</v>
      </c>
      <c r="M1017" s="6">
        <v>0.0</v>
      </c>
      <c r="N1017" s="669">
        <v>2544000.0</v>
      </c>
      <c r="O1017" s="6">
        <v>0.0</v>
      </c>
      <c r="P1017" s="6">
        <v>0.0</v>
      </c>
      <c r="Q1017" s="6">
        <v>0.0</v>
      </c>
      <c r="R1017" s="6">
        <v>0.0</v>
      </c>
      <c r="S1017" s="6">
        <v>5.0</v>
      </c>
      <c r="T1017" s="6">
        <v>5.0</v>
      </c>
      <c r="U1017" s="6">
        <v>0.0</v>
      </c>
    </row>
    <row r="1018">
      <c r="A1018" s="6" t="s">
        <v>1046</v>
      </c>
      <c r="B1018" s="6" t="s">
        <v>11576</v>
      </c>
      <c r="C1018" s="6" t="s">
        <v>11591</v>
      </c>
      <c r="D1018" s="6" t="s">
        <v>128</v>
      </c>
      <c r="E1018" s="6" t="s">
        <v>73</v>
      </c>
      <c r="G1018" s="6" t="s">
        <v>2939</v>
      </c>
      <c r="H1018" s="6">
        <v>0.0</v>
      </c>
      <c r="I1018" s="6">
        <v>0.0</v>
      </c>
      <c r="J1018" s="6">
        <v>1.0</v>
      </c>
      <c r="K1018" s="6">
        <v>0.0</v>
      </c>
      <c r="L1018" s="6">
        <v>0.0</v>
      </c>
      <c r="M1018" s="6">
        <v>0.0</v>
      </c>
      <c r="N1018" s="669">
        <v>804000.0</v>
      </c>
      <c r="O1018" s="6">
        <v>0.0</v>
      </c>
      <c r="P1018" s="6">
        <v>0.0</v>
      </c>
      <c r="Q1018" s="6">
        <v>0.0</v>
      </c>
      <c r="R1018" s="6">
        <v>0.0</v>
      </c>
      <c r="S1018" s="6">
        <v>5.0</v>
      </c>
      <c r="T1018" s="6">
        <v>0.0</v>
      </c>
      <c r="U1018" s="6">
        <v>0.0</v>
      </c>
    </row>
    <row r="1019">
      <c r="A1019" s="6" t="s">
        <v>1047</v>
      </c>
      <c r="B1019" s="6" t="s">
        <v>11578</v>
      </c>
      <c r="C1019" s="6" t="s">
        <v>11591</v>
      </c>
      <c r="D1019" s="6" t="s">
        <v>130</v>
      </c>
      <c r="E1019" s="6" t="s">
        <v>73</v>
      </c>
      <c r="G1019" s="6" t="s">
        <v>2939</v>
      </c>
      <c r="H1019" s="6">
        <v>0.0</v>
      </c>
      <c r="I1019" s="6">
        <v>0.0</v>
      </c>
      <c r="J1019" s="6">
        <v>5.0</v>
      </c>
      <c r="K1019" s="6">
        <v>0.0</v>
      </c>
      <c r="L1019" s="6">
        <v>0.0</v>
      </c>
      <c r="M1019" s="6">
        <v>0.0</v>
      </c>
      <c r="N1019" s="669">
        <v>804000.0</v>
      </c>
      <c r="O1019" s="6">
        <v>0.0</v>
      </c>
      <c r="P1019" s="6">
        <v>0.0</v>
      </c>
      <c r="Q1019" s="6">
        <v>0.0</v>
      </c>
      <c r="R1019" s="6">
        <v>0.0</v>
      </c>
      <c r="S1019" s="6">
        <v>0.0</v>
      </c>
      <c r="T1019" s="6">
        <v>0.0</v>
      </c>
      <c r="U1019" s="6">
        <v>0.0</v>
      </c>
    </row>
    <row r="1020">
      <c r="A1020" s="6" t="s">
        <v>1822</v>
      </c>
      <c r="B1020" s="6" t="s">
        <v>11569</v>
      </c>
      <c r="C1020" s="6" t="s">
        <v>11591</v>
      </c>
      <c r="D1020" s="6" t="s">
        <v>400</v>
      </c>
      <c r="E1020" s="6" t="s">
        <v>73</v>
      </c>
      <c r="G1020" s="6" t="s">
        <v>2939</v>
      </c>
      <c r="H1020" s="6">
        <v>0.0</v>
      </c>
      <c r="I1020" s="6">
        <v>0.0</v>
      </c>
      <c r="J1020" s="6">
        <v>6.0</v>
      </c>
      <c r="K1020" s="6">
        <v>0.0</v>
      </c>
      <c r="L1020" s="6">
        <v>0.0</v>
      </c>
      <c r="M1020" s="6">
        <v>0.0</v>
      </c>
      <c r="N1020" s="669">
        <v>466000.0</v>
      </c>
      <c r="O1020" s="6">
        <v>0.0</v>
      </c>
      <c r="P1020" s="6">
        <v>0.0</v>
      </c>
      <c r="Q1020" s="6">
        <v>0.0</v>
      </c>
      <c r="R1020" s="6">
        <v>0.0</v>
      </c>
      <c r="S1020" s="6">
        <v>0.0</v>
      </c>
      <c r="T1020" s="6">
        <v>0.0</v>
      </c>
      <c r="U1020" s="6">
        <v>0.0</v>
      </c>
    </row>
    <row r="1021">
      <c r="A1021" s="6" t="s">
        <v>1823</v>
      </c>
      <c r="B1021" s="6" t="s">
        <v>11569</v>
      </c>
      <c r="C1021" s="6" t="s">
        <v>11591</v>
      </c>
      <c r="D1021" s="6" t="s">
        <v>402</v>
      </c>
      <c r="E1021" s="6" t="s">
        <v>73</v>
      </c>
      <c r="G1021" s="6" t="s">
        <v>2939</v>
      </c>
      <c r="H1021" s="6">
        <v>0.0</v>
      </c>
      <c r="I1021" s="6">
        <v>0.0</v>
      </c>
      <c r="J1021" s="6">
        <v>1.0</v>
      </c>
      <c r="K1021" s="6">
        <v>0.0</v>
      </c>
      <c r="L1021" s="6">
        <v>0.0</v>
      </c>
      <c r="M1021" s="6">
        <v>0.0</v>
      </c>
      <c r="N1021" s="669">
        <v>466000.0</v>
      </c>
      <c r="O1021" s="6">
        <v>0.0</v>
      </c>
      <c r="P1021" s="6">
        <v>0.0</v>
      </c>
      <c r="Q1021" s="6">
        <v>0.0</v>
      </c>
      <c r="R1021" s="6">
        <v>0.0</v>
      </c>
      <c r="S1021" s="6">
        <v>0.0</v>
      </c>
      <c r="T1021" s="6">
        <v>0.0</v>
      </c>
      <c r="U1021" s="6">
        <v>0.0</v>
      </c>
    </row>
    <row r="1022">
      <c r="A1022" s="6" t="s">
        <v>1048</v>
      </c>
      <c r="B1022" s="6" t="s">
        <v>11578</v>
      </c>
      <c r="C1022" s="6" t="s">
        <v>11591</v>
      </c>
      <c r="D1022" s="6" t="s">
        <v>202</v>
      </c>
      <c r="E1022" s="6" t="s">
        <v>73</v>
      </c>
      <c r="F1022" s="6" t="s">
        <v>234</v>
      </c>
      <c r="G1022" s="6" t="s">
        <v>2939</v>
      </c>
      <c r="H1022" s="6">
        <v>0.0</v>
      </c>
      <c r="I1022" s="6">
        <v>0.0</v>
      </c>
      <c r="J1022" s="6">
        <v>0.0</v>
      </c>
      <c r="K1022" s="6">
        <v>0.0</v>
      </c>
      <c r="L1022" s="6">
        <v>0.0</v>
      </c>
      <c r="M1022" s="6">
        <v>0.0</v>
      </c>
      <c r="N1022" s="669">
        <v>1448000.0</v>
      </c>
      <c r="O1022" s="6">
        <v>0.0</v>
      </c>
      <c r="P1022" s="6">
        <v>0.0</v>
      </c>
      <c r="Q1022" s="6">
        <v>0.0</v>
      </c>
      <c r="R1022" s="6">
        <v>0.0</v>
      </c>
      <c r="S1022" s="6">
        <v>0.0</v>
      </c>
      <c r="T1022" s="6">
        <v>0.0</v>
      </c>
      <c r="U1022" s="6">
        <v>0.0</v>
      </c>
    </row>
    <row r="1023">
      <c r="A1023" s="6" t="s">
        <v>1049</v>
      </c>
      <c r="B1023" s="6" t="s">
        <v>11578</v>
      </c>
      <c r="C1023" s="6" t="s">
        <v>11591</v>
      </c>
      <c r="D1023" s="6" t="s">
        <v>236</v>
      </c>
      <c r="E1023" s="6" t="s">
        <v>73</v>
      </c>
      <c r="F1023" s="6" t="s">
        <v>234</v>
      </c>
      <c r="G1023" s="6" t="s">
        <v>2939</v>
      </c>
      <c r="H1023" s="6">
        <v>0.0</v>
      </c>
      <c r="I1023" s="6">
        <v>0.0</v>
      </c>
      <c r="J1023" s="6">
        <v>0.0</v>
      </c>
      <c r="K1023" s="6">
        <v>0.0</v>
      </c>
      <c r="L1023" s="6">
        <v>0.0</v>
      </c>
      <c r="M1023" s="6">
        <v>0.0</v>
      </c>
      <c r="N1023" s="669">
        <v>1448000.0</v>
      </c>
      <c r="O1023" s="6">
        <v>0.0</v>
      </c>
      <c r="P1023" s="6">
        <v>0.0</v>
      </c>
      <c r="Q1023" s="6">
        <v>0.0</v>
      </c>
      <c r="R1023" s="6">
        <v>0.0</v>
      </c>
      <c r="S1023" s="6">
        <v>0.0</v>
      </c>
      <c r="T1023" s="6">
        <v>0.0</v>
      </c>
      <c r="U1023" s="6">
        <v>0.0</v>
      </c>
    </row>
    <row r="1024">
      <c r="A1024" s="6" t="s">
        <v>1050</v>
      </c>
      <c r="B1024" s="6" t="s">
        <v>11576</v>
      </c>
      <c r="C1024" s="6" t="s">
        <v>11591</v>
      </c>
      <c r="D1024" s="6" t="s">
        <v>132</v>
      </c>
      <c r="E1024" s="6" t="s">
        <v>73</v>
      </c>
      <c r="G1024" s="6" t="s">
        <v>2939</v>
      </c>
      <c r="H1024" s="6">
        <v>0.0</v>
      </c>
      <c r="I1024" s="6">
        <v>0.0</v>
      </c>
      <c r="J1024" s="6">
        <v>0.0</v>
      </c>
      <c r="K1024" s="6">
        <v>3.0</v>
      </c>
      <c r="L1024" s="6">
        <v>0.0</v>
      </c>
      <c r="M1024" s="6">
        <v>0.0</v>
      </c>
      <c r="N1024" s="669">
        <v>966000.0</v>
      </c>
      <c r="O1024" s="6">
        <v>0.0</v>
      </c>
      <c r="P1024" s="6">
        <v>0.0</v>
      </c>
      <c r="Q1024" s="6">
        <v>0.0</v>
      </c>
      <c r="R1024" s="6">
        <v>0.0</v>
      </c>
      <c r="S1024" s="6">
        <v>0.0</v>
      </c>
      <c r="T1024" s="6">
        <v>0.0</v>
      </c>
      <c r="U1024" s="6">
        <v>0.0</v>
      </c>
    </row>
    <row r="1025">
      <c r="A1025" s="6" t="s">
        <v>1051</v>
      </c>
      <c r="B1025" s="6" t="s">
        <v>11576</v>
      </c>
      <c r="C1025" s="6" t="s">
        <v>11591</v>
      </c>
      <c r="D1025" s="6" t="s">
        <v>134</v>
      </c>
      <c r="E1025" s="6" t="s">
        <v>73</v>
      </c>
      <c r="G1025" s="6" t="s">
        <v>2939</v>
      </c>
      <c r="H1025" s="6">
        <v>0.0</v>
      </c>
      <c r="I1025" s="6">
        <v>0.0</v>
      </c>
      <c r="J1025" s="6">
        <v>5.0</v>
      </c>
      <c r="K1025" s="6">
        <v>0.0</v>
      </c>
      <c r="L1025" s="6">
        <v>0.0</v>
      </c>
      <c r="M1025" s="6">
        <v>0.0</v>
      </c>
      <c r="N1025" s="669">
        <v>966000.0</v>
      </c>
      <c r="O1025" s="6">
        <v>0.0</v>
      </c>
      <c r="P1025" s="6">
        <v>0.0</v>
      </c>
      <c r="Q1025" s="6">
        <v>0.0</v>
      </c>
      <c r="R1025" s="6">
        <v>0.0</v>
      </c>
      <c r="S1025" s="6">
        <v>0.0</v>
      </c>
      <c r="T1025" s="6">
        <v>0.0</v>
      </c>
      <c r="U1025" s="6">
        <v>0.0</v>
      </c>
    </row>
    <row r="1026">
      <c r="A1026" s="6" t="s">
        <v>1054</v>
      </c>
      <c r="B1026" s="6" t="s">
        <v>11576</v>
      </c>
      <c r="C1026" s="6" t="s">
        <v>11591</v>
      </c>
      <c r="D1026" s="6" t="s">
        <v>202</v>
      </c>
      <c r="E1026" s="6" t="s">
        <v>1053</v>
      </c>
      <c r="F1026" s="6" t="s">
        <v>234</v>
      </c>
      <c r="G1026" s="6" t="s">
        <v>2939</v>
      </c>
      <c r="H1026" s="6">
        <v>0.0</v>
      </c>
      <c r="I1026" s="6">
        <v>0.0</v>
      </c>
      <c r="J1026" s="6">
        <v>2.0</v>
      </c>
      <c r="K1026" s="6">
        <v>0.0</v>
      </c>
      <c r="L1026" s="6">
        <v>0.0</v>
      </c>
      <c r="M1026" s="6">
        <v>0.0</v>
      </c>
      <c r="N1026" s="669">
        <v>1766000.0</v>
      </c>
      <c r="O1026" s="6">
        <v>0.0</v>
      </c>
      <c r="P1026" s="6">
        <v>0.0</v>
      </c>
      <c r="Q1026" s="6">
        <v>0.0</v>
      </c>
      <c r="R1026" s="6">
        <v>0.0</v>
      </c>
      <c r="S1026" s="6">
        <v>0.0</v>
      </c>
      <c r="T1026" s="6">
        <v>0.0</v>
      </c>
      <c r="U1026" s="6">
        <v>0.0</v>
      </c>
    </row>
    <row r="1027">
      <c r="A1027" s="6" t="s">
        <v>1055</v>
      </c>
      <c r="B1027" s="6" t="s">
        <v>11576</v>
      </c>
      <c r="C1027" s="6" t="s">
        <v>11591</v>
      </c>
      <c r="D1027" s="6" t="s">
        <v>236</v>
      </c>
      <c r="E1027" s="6" t="s">
        <v>1053</v>
      </c>
      <c r="F1027" s="6" t="s">
        <v>234</v>
      </c>
      <c r="G1027" s="6" t="s">
        <v>2939</v>
      </c>
      <c r="H1027" s="6">
        <v>0.0</v>
      </c>
      <c r="I1027" s="6">
        <v>0.0</v>
      </c>
      <c r="J1027" s="6">
        <v>2.0</v>
      </c>
      <c r="K1027" s="6">
        <v>0.0</v>
      </c>
      <c r="L1027" s="6">
        <v>0.0</v>
      </c>
      <c r="M1027" s="6">
        <v>0.0</v>
      </c>
      <c r="N1027" s="669">
        <v>1766000.0</v>
      </c>
      <c r="O1027" s="6">
        <v>0.0</v>
      </c>
      <c r="P1027" s="6">
        <v>0.0</v>
      </c>
      <c r="Q1027" s="6">
        <v>0.0</v>
      </c>
      <c r="R1027" s="6">
        <v>0.0</v>
      </c>
      <c r="S1027" s="6">
        <v>0.0</v>
      </c>
      <c r="T1027" s="6">
        <v>0.0</v>
      </c>
      <c r="U1027" s="6">
        <v>0.0</v>
      </c>
    </row>
    <row r="1028">
      <c r="A1028" s="6" t="s">
        <v>1070</v>
      </c>
      <c r="B1028" s="6" t="s">
        <v>11576</v>
      </c>
      <c r="C1028" s="6" t="s">
        <v>11570</v>
      </c>
      <c r="D1028" s="6" t="s">
        <v>22</v>
      </c>
      <c r="E1028" s="6" t="s">
        <v>1071</v>
      </c>
      <c r="F1028" s="6" t="s">
        <v>75</v>
      </c>
      <c r="G1028" s="6" t="s">
        <v>2939</v>
      </c>
      <c r="H1028" s="6">
        <v>0.0</v>
      </c>
      <c r="I1028" s="6">
        <v>0.0</v>
      </c>
      <c r="J1028" s="6">
        <v>7.0</v>
      </c>
      <c r="K1028" s="6">
        <v>0.0</v>
      </c>
      <c r="L1028" s="6">
        <v>0.0</v>
      </c>
      <c r="M1028" s="6">
        <v>0.0</v>
      </c>
      <c r="N1028" s="669">
        <v>3268000.0</v>
      </c>
      <c r="O1028" s="6">
        <v>0.0</v>
      </c>
      <c r="P1028" s="6">
        <v>0.0</v>
      </c>
      <c r="Q1028" s="6">
        <v>0.0</v>
      </c>
      <c r="R1028" s="6">
        <v>0.0</v>
      </c>
      <c r="S1028" s="6">
        <v>5.0</v>
      </c>
      <c r="T1028" s="6">
        <v>5.0</v>
      </c>
      <c r="U1028" s="6">
        <v>0.0</v>
      </c>
    </row>
    <row r="1029">
      <c r="A1029" s="6" t="s">
        <v>1066</v>
      </c>
      <c r="B1029" s="6" t="s">
        <v>11576</v>
      </c>
      <c r="C1029" s="6" t="s">
        <v>11579</v>
      </c>
      <c r="D1029" s="6" t="s">
        <v>41</v>
      </c>
      <c r="E1029" s="6" t="s">
        <v>1067</v>
      </c>
      <c r="F1029" s="6" t="s">
        <v>2193</v>
      </c>
      <c r="G1029" s="6" t="s">
        <v>2939</v>
      </c>
      <c r="H1029" s="6">
        <v>0.0</v>
      </c>
      <c r="I1029" s="6">
        <v>0.0</v>
      </c>
      <c r="J1029" s="6" t="s">
        <v>11590</v>
      </c>
      <c r="K1029" s="6">
        <v>6.0</v>
      </c>
      <c r="L1029" s="6">
        <v>0.0</v>
      </c>
      <c r="M1029" s="6">
        <v>0.0</v>
      </c>
      <c r="N1029" s="669">
        <v>2570000.0</v>
      </c>
      <c r="O1029" s="6">
        <v>0.0</v>
      </c>
      <c r="P1029" s="6">
        <v>0.0</v>
      </c>
      <c r="Q1029" s="6">
        <v>0.0</v>
      </c>
      <c r="R1029" s="6">
        <v>0.0</v>
      </c>
      <c r="S1029" s="6">
        <v>0.0</v>
      </c>
      <c r="T1029" s="6">
        <v>0.0</v>
      </c>
      <c r="U1029" s="6">
        <v>0.0</v>
      </c>
    </row>
    <row r="1030">
      <c r="A1030" s="6" t="s">
        <v>1068</v>
      </c>
      <c r="B1030" s="6" t="s">
        <v>11578</v>
      </c>
      <c r="C1030" s="6" t="s">
        <v>11579</v>
      </c>
      <c r="D1030" s="6" t="s">
        <v>41</v>
      </c>
      <c r="E1030" s="6" t="s">
        <v>11978</v>
      </c>
      <c r="F1030" s="6" t="s">
        <v>2193</v>
      </c>
      <c r="G1030" s="6" t="s">
        <v>2939</v>
      </c>
      <c r="H1030" s="6">
        <v>0.0</v>
      </c>
      <c r="I1030" s="6">
        <v>0.0</v>
      </c>
      <c r="J1030" s="6">
        <v>0.0</v>
      </c>
      <c r="K1030" s="6">
        <v>0.0</v>
      </c>
      <c r="L1030" s="6">
        <v>0.0</v>
      </c>
      <c r="M1030" s="6">
        <v>0.0</v>
      </c>
      <c r="N1030" s="669">
        <v>2142000.0</v>
      </c>
      <c r="O1030" s="6">
        <v>0.0</v>
      </c>
      <c r="P1030" s="6">
        <v>0.0</v>
      </c>
      <c r="Q1030" s="6">
        <v>0.0</v>
      </c>
      <c r="R1030" s="6">
        <v>0.0</v>
      </c>
      <c r="S1030" s="6">
        <v>0.0</v>
      </c>
      <c r="T1030" s="6">
        <v>0.0</v>
      </c>
      <c r="U1030" s="6">
        <v>0.0</v>
      </c>
    </row>
    <row r="1031">
      <c r="A1031" s="6" t="s">
        <v>1056</v>
      </c>
      <c r="B1031" s="6" t="s">
        <v>11576</v>
      </c>
      <c r="C1031" s="6" t="s">
        <v>11591</v>
      </c>
      <c r="D1031" s="6" t="s">
        <v>128</v>
      </c>
      <c r="E1031" s="6" t="s">
        <v>11979</v>
      </c>
      <c r="G1031" s="6" t="s">
        <v>2939</v>
      </c>
      <c r="H1031" s="6">
        <v>0.0</v>
      </c>
      <c r="I1031" s="6">
        <v>0.0</v>
      </c>
      <c r="J1031" s="6">
        <v>4.0</v>
      </c>
      <c r="K1031" s="6">
        <v>0.0</v>
      </c>
      <c r="L1031" s="6">
        <v>0.0</v>
      </c>
      <c r="M1031" s="6">
        <v>0.0</v>
      </c>
      <c r="N1031" s="669">
        <v>804000.0</v>
      </c>
      <c r="O1031" s="6">
        <v>0.0</v>
      </c>
      <c r="P1031" s="6">
        <v>0.0</v>
      </c>
      <c r="Q1031" s="6">
        <v>0.0</v>
      </c>
      <c r="R1031" s="6">
        <v>0.0</v>
      </c>
      <c r="S1031" s="6">
        <v>0.0</v>
      </c>
      <c r="T1031" s="6">
        <v>0.0</v>
      </c>
      <c r="U1031" s="6">
        <v>0.0</v>
      </c>
    </row>
    <row r="1032">
      <c r="A1032" s="6" t="s">
        <v>1058</v>
      </c>
      <c r="B1032" s="6" t="s">
        <v>11576</v>
      </c>
      <c r="C1032" s="6" t="s">
        <v>11591</v>
      </c>
      <c r="D1032" s="6" t="s">
        <v>130</v>
      </c>
      <c r="E1032" s="6" t="s">
        <v>11979</v>
      </c>
      <c r="G1032" s="6" t="s">
        <v>2939</v>
      </c>
      <c r="H1032" s="6">
        <v>0.0</v>
      </c>
      <c r="I1032" s="6">
        <v>0.0</v>
      </c>
      <c r="J1032" s="6">
        <v>0.0</v>
      </c>
      <c r="K1032" s="6">
        <v>0.0</v>
      </c>
      <c r="L1032" s="6">
        <v>0.0</v>
      </c>
      <c r="M1032" s="6">
        <v>0.0</v>
      </c>
      <c r="N1032" s="669">
        <v>804000.0</v>
      </c>
      <c r="O1032" s="6">
        <v>0.0</v>
      </c>
      <c r="P1032" s="6">
        <v>0.0</v>
      </c>
      <c r="Q1032" s="6">
        <v>0.0</v>
      </c>
      <c r="R1032" s="6">
        <v>0.0</v>
      </c>
      <c r="S1032" s="6">
        <v>5.0</v>
      </c>
      <c r="T1032" s="6">
        <v>0.0</v>
      </c>
      <c r="U1032" s="6">
        <v>0.0</v>
      </c>
    </row>
    <row r="1033">
      <c r="A1033" s="6" t="s">
        <v>1059</v>
      </c>
      <c r="B1033" s="6" t="s">
        <v>11576</v>
      </c>
      <c r="C1033" s="6" t="s">
        <v>11591</v>
      </c>
      <c r="D1033" s="6" t="s">
        <v>132</v>
      </c>
      <c r="E1033" s="6" t="s">
        <v>11979</v>
      </c>
      <c r="G1033" s="6" t="s">
        <v>2939</v>
      </c>
      <c r="H1033" s="6">
        <v>5.0</v>
      </c>
      <c r="I1033" s="6">
        <v>0.0</v>
      </c>
      <c r="J1033" s="6">
        <v>3.0</v>
      </c>
      <c r="K1033" s="6">
        <v>0.0</v>
      </c>
      <c r="L1033" s="6">
        <v>0.0</v>
      </c>
      <c r="M1033" s="6">
        <v>0.0</v>
      </c>
      <c r="N1033" s="669">
        <v>966000.0</v>
      </c>
      <c r="O1033" s="6">
        <v>0.0</v>
      </c>
      <c r="P1033" s="6">
        <v>0.0</v>
      </c>
      <c r="Q1033" s="6">
        <v>0.0</v>
      </c>
      <c r="R1033" s="6">
        <v>0.0</v>
      </c>
      <c r="S1033" s="6">
        <v>0.0</v>
      </c>
      <c r="T1033" s="6">
        <v>0.0</v>
      </c>
      <c r="U1033" s="6">
        <v>0.0</v>
      </c>
    </row>
    <row r="1034">
      <c r="A1034" s="6" t="s">
        <v>1060</v>
      </c>
      <c r="B1034" s="6" t="s">
        <v>11576</v>
      </c>
      <c r="C1034" s="6" t="s">
        <v>11591</v>
      </c>
      <c r="D1034" s="6" t="s">
        <v>134</v>
      </c>
      <c r="E1034" s="6" t="s">
        <v>11979</v>
      </c>
      <c r="G1034" s="6" t="s">
        <v>2939</v>
      </c>
      <c r="H1034" s="6">
        <v>2.0</v>
      </c>
      <c r="I1034" s="6">
        <v>0.0</v>
      </c>
      <c r="J1034" s="6">
        <v>2.0</v>
      </c>
      <c r="K1034" s="6">
        <v>0.0</v>
      </c>
      <c r="L1034" s="6">
        <v>0.0</v>
      </c>
      <c r="M1034" s="6">
        <v>0.0</v>
      </c>
      <c r="N1034" s="669">
        <v>966000.0</v>
      </c>
      <c r="O1034" s="6">
        <v>0.0</v>
      </c>
      <c r="P1034" s="6">
        <v>0.0</v>
      </c>
      <c r="Q1034" s="6">
        <v>0.0</v>
      </c>
      <c r="R1034" s="6">
        <v>0.0</v>
      </c>
      <c r="S1034" s="6">
        <v>0.0</v>
      </c>
      <c r="T1034" s="6">
        <v>0.0</v>
      </c>
      <c r="U1034" s="6">
        <v>0.0</v>
      </c>
    </row>
    <row r="1035">
      <c r="A1035" s="6" t="s">
        <v>1061</v>
      </c>
      <c r="B1035" s="6" t="s">
        <v>11578</v>
      </c>
      <c r="C1035" s="6" t="s">
        <v>11591</v>
      </c>
      <c r="D1035" s="6" t="s">
        <v>202</v>
      </c>
      <c r="E1035" s="6" t="s">
        <v>11979</v>
      </c>
      <c r="F1035" s="6" t="s">
        <v>234</v>
      </c>
      <c r="G1035" s="6" t="s">
        <v>2939</v>
      </c>
      <c r="H1035" s="6">
        <v>0.0</v>
      </c>
      <c r="I1035" s="6">
        <v>0.0</v>
      </c>
      <c r="J1035" s="6">
        <v>0.0</v>
      </c>
      <c r="K1035" s="6">
        <v>0.0</v>
      </c>
      <c r="L1035" s="6">
        <v>0.0</v>
      </c>
      <c r="M1035" s="6">
        <v>0.0</v>
      </c>
      <c r="N1035" s="669">
        <v>1448000.0</v>
      </c>
      <c r="O1035" s="6">
        <v>0.0</v>
      </c>
      <c r="P1035" s="6">
        <v>0.0</v>
      </c>
      <c r="Q1035" s="6">
        <v>0.0</v>
      </c>
      <c r="R1035" s="6">
        <v>0.0</v>
      </c>
      <c r="S1035" s="6">
        <v>0.0</v>
      </c>
      <c r="T1035" s="6">
        <v>0.0</v>
      </c>
      <c r="U1035" s="6">
        <v>0.0</v>
      </c>
    </row>
    <row r="1036">
      <c r="A1036" s="6" t="s">
        <v>1062</v>
      </c>
      <c r="B1036" s="6" t="s">
        <v>11578</v>
      </c>
      <c r="C1036" s="6" t="s">
        <v>11591</v>
      </c>
      <c r="D1036" s="6" t="s">
        <v>236</v>
      </c>
      <c r="E1036" s="6" t="s">
        <v>11979</v>
      </c>
      <c r="F1036" s="6" t="s">
        <v>234</v>
      </c>
      <c r="G1036" s="6" t="s">
        <v>2939</v>
      </c>
      <c r="H1036" s="6">
        <v>0.0</v>
      </c>
      <c r="I1036" s="6">
        <v>0.0</v>
      </c>
      <c r="J1036" s="6">
        <v>0.0</v>
      </c>
      <c r="K1036" s="6">
        <v>0.0</v>
      </c>
      <c r="L1036" s="6">
        <v>0.0</v>
      </c>
      <c r="M1036" s="6">
        <v>0.0</v>
      </c>
      <c r="N1036" s="669">
        <v>1448000.0</v>
      </c>
      <c r="O1036" s="6">
        <v>0.0</v>
      </c>
      <c r="P1036" s="6">
        <v>0.0</v>
      </c>
      <c r="Q1036" s="6">
        <v>0.0</v>
      </c>
      <c r="R1036" s="6">
        <v>0.0</v>
      </c>
      <c r="S1036" s="6">
        <v>0.0</v>
      </c>
      <c r="T1036" s="6">
        <v>0.0</v>
      </c>
      <c r="U1036" s="6">
        <v>0.0</v>
      </c>
    </row>
    <row r="1037">
      <c r="A1037" s="6" t="s">
        <v>1063</v>
      </c>
      <c r="B1037" s="6" t="s">
        <v>11578</v>
      </c>
      <c r="C1037" s="6" t="s">
        <v>11591</v>
      </c>
      <c r="D1037" s="6" t="s">
        <v>132</v>
      </c>
      <c r="E1037" s="6" t="s">
        <v>11980</v>
      </c>
      <c r="G1037" s="6" t="s">
        <v>2939</v>
      </c>
      <c r="H1037" s="6">
        <v>1.0</v>
      </c>
      <c r="I1037" s="6">
        <v>0.0</v>
      </c>
      <c r="J1037" s="6">
        <v>0.0</v>
      </c>
      <c r="K1037" s="6">
        <v>0.0</v>
      </c>
      <c r="L1037" s="6">
        <v>0.0</v>
      </c>
      <c r="M1037" s="6">
        <v>0.0</v>
      </c>
      <c r="N1037" s="669">
        <v>1448000.0</v>
      </c>
      <c r="O1037" s="6">
        <v>0.0</v>
      </c>
      <c r="P1037" s="6">
        <v>0.0</v>
      </c>
      <c r="Q1037" s="6">
        <v>0.0</v>
      </c>
      <c r="R1037" s="6">
        <v>0.0</v>
      </c>
      <c r="S1037" s="6">
        <v>0.0</v>
      </c>
      <c r="T1037" s="6">
        <v>0.0</v>
      </c>
      <c r="U1037" s="6">
        <v>0.0</v>
      </c>
    </row>
    <row r="1038">
      <c r="A1038" s="6" t="s">
        <v>1065</v>
      </c>
      <c r="B1038" s="6" t="s">
        <v>11578</v>
      </c>
      <c r="C1038" s="6" t="s">
        <v>11591</v>
      </c>
      <c r="D1038" s="6" t="s">
        <v>134</v>
      </c>
      <c r="E1038" s="6" t="s">
        <v>11980</v>
      </c>
      <c r="G1038" s="6" t="s">
        <v>2939</v>
      </c>
      <c r="H1038" s="6">
        <v>0.0</v>
      </c>
      <c r="I1038" s="6">
        <v>0.0</v>
      </c>
      <c r="J1038" s="6">
        <v>0.0</v>
      </c>
      <c r="K1038" s="6">
        <v>0.0</v>
      </c>
      <c r="L1038" s="6">
        <v>0.0</v>
      </c>
      <c r="M1038" s="6">
        <v>0.0</v>
      </c>
      <c r="N1038" s="669">
        <v>1448000.0</v>
      </c>
      <c r="O1038" s="6">
        <v>0.0</v>
      </c>
      <c r="P1038" s="6">
        <v>0.0</v>
      </c>
      <c r="Q1038" s="6">
        <v>0.0</v>
      </c>
      <c r="R1038" s="6">
        <v>0.0</v>
      </c>
      <c r="S1038" s="6">
        <v>0.0</v>
      </c>
      <c r="T1038" s="6">
        <v>0.0</v>
      </c>
      <c r="U1038" s="6">
        <v>0.0</v>
      </c>
    </row>
    <row r="1039">
      <c r="A1039" s="6" t="s">
        <v>1826</v>
      </c>
      <c r="B1039" s="6" t="s">
        <v>11569</v>
      </c>
      <c r="C1039" s="6" t="s">
        <v>11591</v>
      </c>
      <c r="D1039" s="6" t="s">
        <v>202</v>
      </c>
      <c r="E1039" s="6" t="s">
        <v>11980</v>
      </c>
      <c r="F1039" s="6" t="s">
        <v>1827</v>
      </c>
      <c r="G1039" s="6" t="s">
        <v>2939</v>
      </c>
      <c r="H1039" s="6">
        <v>0.0</v>
      </c>
      <c r="I1039" s="6">
        <v>0.0</v>
      </c>
      <c r="J1039" s="6" t="s">
        <v>11590</v>
      </c>
      <c r="K1039" s="6">
        <v>0.0</v>
      </c>
      <c r="L1039" s="6">
        <v>0.0</v>
      </c>
      <c r="M1039" s="6">
        <v>0.0</v>
      </c>
      <c r="N1039" s="669">
        <v>3179000.0</v>
      </c>
      <c r="O1039" s="6">
        <v>0.0</v>
      </c>
      <c r="P1039" s="6">
        <v>0.0</v>
      </c>
      <c r="Q1039" s="6">
        <v>0.0</v>
      </c>
      <c r="R1039" s="6">
        <v>0.0</v>
      </c>
      <c r="S1039" s="6">
        <v>0.0</v>
      </c>
      <c r="T1039" s="6">
        <v>0.0</v>
      </c>
      <c r="U1039" s="6">
        <v>0.0</v>
      </c>
    </row>
    <row r="1040">
      <c r="A1040" s="6" t="s">
        <v>1828</v>
      </c>
      <c r="B1040" s="6" t="s">
        <v>11569</v>
      </c>
      <c r="C1040" s="6" t="s">
        <v>11591</v>
      </c>
      <c r="D1040" s="6" t="s">
        <v>236</v>
      </c>
      <c r="E1040" s="6" t="s">
        <v>11980</v>
      </c>
      <c r="F1040" s="6" t="s">
        <v>1827</v>
      </c>
      <c r="G1040" s="6" t="s">
        <v>2939</v>
      </c>
      <c r="H1040" s="6">
        <v>0.0</v>
      </c>
      <c r="I1040" s="6">
        <v>0.0</v>
      </c>
      <c r="J1040" s="6" t="s">
        <v>11590</v>
      </c>
      <c r="K1040" s="6">
        <v>0.0</v>
      </c>
      <c r="L1040" s="6">
        <v>0.0</v>
      </c>
      <c r="M1040" s="6">
        <v>0.0</v>
      </c>
      <c r="N1040" s="669">
        <v>3179000.0</v>
      </c>
      <c r="O1040" s="6">
        <v>0.0</v>
      </c>
      <c r="P1040" s="6">
        <v>0.0</v>
      </c>
      <c r="Q1040" s="6">
        <v>0.0</v>
      </c>
      <c r="R1040" s="6">
        <v>0.0</v>
      </c>
      <c r="S1040" s="6">
        <v>0.0</v>
      </c>
      <c r="T1040" s="6">
        <v>0.0</v>
      </c>
      <c r="U1040" s="6">
        <v>0.0</v>
      </c>
    </row>
    <row r="1041">
      <c r="A1041" s="6" t="s">
        <v>1829</v>
      </c>
      <c r="B1041" s="6" t="s">
        <v>11569</v>
      </c>
      <c r="C1041" s="6" t="s">
        <v>11570</v>
      </c>
      <c r="D1041" s="6" t="s">
        <v>22</v>
      </c>
      <c r="E1041" s="6" t="s">
        <v>11981</v>
      </c>
      <c r="F1041" s="6" t="s">
        <v>125</v>
      </c>
      <c r="G1041" s="6" t="s">
        <v>2939</v>
      </c>
      <c r="H1041" s="6">
        <v>0.0</v>
      </c>
      <c r="I1041" s="6">
        <v>0.0</v>
      </c>
      <c r="J1041" s="6" t="s">
        <v>11590</v>
      </c>
      <c r="K1041" s="6">
        <v>0.0</v>
      </c>
      <c r="L1041" s="6">
        <v>0.0</v>
      </c>
      <c r="M1041" s="6">
        <v>0.0</v>
      </c>
      <c r="N1041" s="669">
        <v>3361000.0</v>
      </c>
      <c r="O1041" s="6">
        <v>0.0</v>
      </c>
      <c r="P1041" s="6">
        <v>0.0</v>
      </c>
      <c r="Q1041" s="6">
        <v>0.0</v>
      </c>
      <c r="R1041" s="6">
        <v>0.0</v>
      </c>
      <c r="S1041" s="6">
        <v>0.0</v>
      </c>
      <c r="T1041" s="6">
        <v>0.0</v>
      </c>
      <c r="U1041" s="6">
        <v>0.0</v>
      </c>
    </row>
    <row r="1042">
      <c r="A1042" s="6" t="s">
        <v>1831</v>
      </c>
      <c r="B1042" s="6" t="s">
        <v>11569</v>
      </c>
      <c r="C1042" s="6" t="s">
        <v>11570</v>
      </c>
      <c r="D1042" s="6" t="s">
        <v>22</v>
      </c>
      <c r="E1042" s="6" t="s">
        <v>11982</v>
      </c>
      <c r="F1042" s="6" t="s">
        <v>75</v>
      </c>
      <c r="G1042" s="6" t="s">
        <v>2939</v>
      </c>
      <c r="H1042" s="6">
        <v>0.0</v>
      </c>
      <c r="I1042" s="6">
        <v>0.0</v>
      </c>
      <c r="J1042" s="6" t="s">
        <v>11590</v>
      </c>
      <c r="K1042" s="6">
        <v>4.0</v>
      </c>
      <c r="L1042" s="6">
        <v>0.0</v>
      </c>
      <c r="M1042" s="6">
        <v>0.0</v>
      </c>
      <c r="N1042" s="669">
        <v>3361000.0</v>
      </c>
      <c r="O1042" s="6">
        <v>0.0</v>
      </c>
      <c r="P1042" s="6">
        <v>0.0</v>
      </c>
      <c r="Q1042" s="6">
        <v>0.0</v>
      </c>
      <c r="R1042" s="6">
        <v>0.0</v>
      </c>
      <c r="S1042" s="6">
        <v>0.0</v>
      </c>
      <c r="T1042" s="6">
        <v>0.0</v>
      </c>
      <c r="U1042" s="6">
        <v>0.0</v>
      </c>
    </row>
    <row r="1043">
      <c r="A1043" s="6" t="s">
        <v>1833</v>
      </c>
      <c r="B1043" s="6" t="s">
        <v>11569</v>
      </c>
      <c r="C1043" s="6" t="s">
        <v>11570</v>
      </c>
      <c r="D1043" s="6" t="s">
        <v>22</v>
      </c>
      <c r="E1043" s="6" t="s">
        <v>11983</v>
      </c>
      <c r="F1043" s="6" t="s">
        <v>1835</v>
      </c>
      <c r="G1043" s="6" t="s">
        <v>2939</v>
      </c>
      <c r="H1043" s="6">
        <v>0.0</v>
      </c>
      <c r="I1043" s="6">
        <v>0.0</v>
      </c>
      <c r="J1043" s="6" t="s">
        <v>11590</v>
      </c>
      <c r="K1043" s="6">
        <v>0.0</v>
      </c>
      <c r="L1043" s="6">
        <v>0.0</v>
      </c>
      <c r="M1043" s="6">
        <v>0.0</v>
      </c>
      <c r="N1043" s="669">
        <v>4142000.0</v>
      </c>
      <c r="O1043" s="6">
        <v>0.0</v>
      </c>
      <c r="P1043" s="6">
        <v>0.0</v>
      </c>
      <c r="Q1043" s="6">
        <v>0.0</v>
      </c>
      <c r="R1043" s="6">
        <v>0.0</v>
      </c>
      <c r="S1043" s="6">
        <v>0.0</v>
      </c>
      <c r="T1043" s="6">
        <v>0.0</v>
      </c>
      <c r="U1043" s="6">
        <v>0.0</v>
      </c>
    </row>
    <row r="1044">
      <c r="A1044" s="6" t="s">
        <v>1836</v>
      </c>
      <c r="B1044" s="6" t="s">
        <v>11569</v>
      </c>
      <c r="C1044" s="6" t="s">
        <v>11579</v>
      </c>
      <c r="D1044" s="6" t="s">
        <v>41</v>
      </c>
      <c r="E1044" s="6" t="s">
        <v>11984</v>
      </c>
      <c r="F1044" s="6" t="s">
        <v>11985</v>
      </c>
      <c r="G1044" s="6" t="s">
        <v>2939</v>
      </c>
      <c r="H1044" s="6">
        <v>0.0</v>
      </c>
      <c r="I1044" s="6">
        <v>0.0</v>
      </c>
      <c r="J1044" s="6" t="s">
        <v>11590</v>
      </c>
      <c r="K1044" s="6">
        <v>0.0</v>
      </c>
      <c r="L1044" s="6">
        <v>0.0</v>
      </c>
      <c r="M1044" s="6">
        <v>0.0</v>
      </c>
      <c r="N1044" s="669">
        <v>2943000.0</v>
      </c>
      <c r="O1044" s="6">
        <v>0.0</v>
      </c>
      <c r="P1044" s="6">
        <v>0.0</v>
      </c>
      <c r="Q1044" s="6">
        <v>0.0</v>
      </c>
      <c r="R1044" s="6">
        <v>0.0</v>
      </c>
      <c r="S1044" s="6">
        <v>0.0</v>
      </c>
      <c r="T1044" s="6">
        <v>0.0</v>
      </c>
      <c r="U1044" s="6">
        <v>10.0</v>
      </c>
    </row>
    <row r="1045">
      <c r="A1045" s="6" t="s">
        <v>11986</v>
      </c>
      <c r="B1045" s="6" t="s">
        <v>11569</v>
      </c>
      <c r="C1045" s="6" t="s">
        <v>11570</v>
      </c>
      <c r="D1045" s="6" t="s">
        <v>22</v>
      </c>
      <c r="E1045" s="6" t="s">
        <v>11987</v>
      </c>
      <c r="F1045" s="6" t="s">
        <v>75</v>
      </c>
      <c r="G1045" s="6" t="s">
        <v>2939</v>
      </c>
      <c r="H1045" s="6">
        <v>0.0</v>
      </c>
      <c r="I1045" s="6">
        <v>0.0</v>
      </c>
      <c r="J1045" s="6" t="s">
        <v>11590</v>
      </c>
      <c r="K1045" s="6">
        <v>0.0</v>
      </c>
      <c r="L1045" s="6">
        <v>0.0</v>
      </c>
      <c r="M1045" s="6">
        <v>0.0</v>
      </c>
      <c r="N1045" s="669">
        <v>4142000.0</v>
      </c>
      <c r="O1045" s="6">
        <v>0.0</v>
      </c>
      <c r="P1045" s="6">
        <v>0.0</v>
      </c>
      <c r="Q1045" s="6">
        <v>0.0</v>
      </c>
      <c r="R1045" s="6">
        <v>0.0</v>
      </c>
      <c r="S1045" s="6">
        <v>0.0</v>
      </c>
      <c r="T1045" s="6">
        <v>0.0</v>
      </c>
      <c r="U1045" s="6">
        <v>0.0</v>
      </c>
    </row>
    <row r="1046">
      <c r="A1046" s="6" t="s">
        <v>11988</v>
      </c>
      <c r="B1046" s="6" t="s">
        <v>11569</v>
      </c>
      <c r="C1046" s="6" t="s">
        <v>11579</v>
      </c>
      <c r="D1046" s="6" t="s">
        <v>41</v>
      </c>
      <c r="E1046" s="6" t="s">
        <v>11989</v>
      </c>
      <c r="F1046" s="6" t="s">
        <v>11985</v>
      </c>
      <c r="G1046" s="6" t="s">
        <v>2939</v>
      </c>
      <c r="H1046" s="6">
        <v>0.0</v>
      </c>
      <c r="I1046" s="6">
        <v>0.0</v>
      </c>
      <c r="J1046" s="6">
        <v>9.0</v>
      </c>
      <c r="K1046" s="6">
        <v>0.0</v>
      </c>
      <c r="L1046" s="6">
        <v>0.0</v>
      </c>
      <c r="M1046" s="6">
        <v>0.0</v>
      </c>
      <c r="N1046" s="669">
        <v>2943000.0</v>
      </c>
      <c r="O1046" s="6">
        <v>0.0</v>
      </c>
      <c r="P1046" s="6">
        <v>0.0</v>
      </c>
      <c r="Q1046" s="6">
        <v>0.0</v>
      </c>
      <c r="R1046" s="6">
        <v>0.0</v>
      </c>
      <c r="S1046" s="6">
        <v>0.0</v>
      </c>
      <c r="T1046" s="6">
        <v>0.0</v>
      </c>
      <c r="U1046" s="6">
        <v>0.0</v>
      </c>
    </row>
    <row r="1047">
      <c r="A1047" s="6" t="s">
        <v>1072</v>
      </c>
      <c r="B1047" s="6" t="s">
        <v>11576</v>
      </c>
      <c r="C1047" s="6" t="s">
        <v>11570</v>
      </c>
      <c r="D1047" s="6" t="s">
        <v>22</v>
      </c>
      <c r="E1047" s="6" t="s">
        <v>11990</v>
      </c>
      <c r="F1047" s="6" t="s">
        <v>97</v>
      </c>
      <c r="G1047" s="6" t="s">
        <v>2939</v>
      </c>
      <c r="H1047" s="6">
        <v>0.0</v>
      </c>
      <c r="I1047" s="6">
        <v>0.0</v>
      </c>
      <c r="J1047" s="6" t="s">
        <v>11590</v>
      </c>
      <c r="K1047" s="6">
        <v>6.0</v>
      </c>
      <c r="L1047" s="6">
        <v>0.0</v>
      </c>
      <c r="M1047" s="6">
        <v>0.0</v>
      </c>
      <c r="N1047" s="669">
        <v>1827000.0</v>
      </c>
      <c r="O1047" s="6">
        <v>0.0</v>
      </c>
      <c r="P1047" s="6">
        <v>0.0</v>
      </c>
      <c r="Q1047" s="6">
        <v>0.0</v>
      </c>
      <c r="R1047" s="6">
        <v>0.0</v>
      </c>
      <c r="S1047" s="6" t="s">
        <v>11590</v>
      </c>
      <c r="T1047" s="6">
        <v>0.0</v>
      </c>
      <c r="U1047" s="6">
        <v>0.0</v>
      </c>
    </row>
    <row r="1048">
      <c r="A1048" s="6" t="s">
        <v>1074</v>
      </c>
      <c r="B1048" s="6" t="s">
        <v>11576</v>
      </c>
      <c r="C1048" s="6" t="s">
        <v>11579</v>
      </c>
      <c r="D1048" s="6" t="s">
        <v>41</v>
      </c>
      <c r="E1048" s="6" t="s">
        <v>11990</v>
      </c>
      <c r="F1048" s="6" t="s">
        <v>2193</v>
      </c>
      <c r="G1048" s="6" t="s">
        <v>2939</v>
      </c>
      <c r="H1048" s="6">
        <v>0.0</v>
      </c>
      <c r="I1048" s="6">
        <v>0.0</v>
      </c>
      <c r="J1048" s="6">
        <v>2.0</v>
      </c>
      <c r="K1048" s="6">
        <v>1.0</v>
      </c>
      <c r="L1048" s="6">
        <v>0.0</v>
      </c>
      <c r="M1048" s="6">
        <v>0.0</v>
      </c>
      <c r="N1048" s="669">
        <v>1500000.0</v>
      </c>
      <c r="O1048" s="6">
        <v>0.0</v>
      </c>
      <c r="P1048" s="6">
        <v>0.0</v>
      </c>
      <c r="Q1048" s="6">
        <v>0.0</v>
      </c>
      <c r="R1048" s="6">
        <v>0.0</v>
      </c>
      <c r="S1048" s="6">
        <v>10.0</v>
      </c>
      <c r="T1048" s="6">
        <v>0.0</v>
      </c>
      <c r="U1048" s="6">
        <v>0.0</v>
      </c>
    </row>
    <row r="1049">
      <c r="A1049" s="6" t="s">
        <v>1075</v>
      </c>
      <c r="B1049" s="6" t="s">
        <v>11576</v>
      </c>
      <c r="C1049" s="6" t="s">
        <v>11570</v>
      </c>
      <c r="D1049" s="6" t="s">
        <v>22</v>
      </c>
      <c r="E1049" s="6" t="s">
        <v>11991</v>
      </c>
      <c r="F1049" s="6" t="s">
        <v>125</v>
      </c>
      <c r="G1049" s="6" t="s">
        <v>2939</v>
      </c>
      <c r="H1049" s="6">
        <v>0.0</v>
      </c>
      <c r="I1049" s="6">
        <v>0.0</v>
      </c>
      <c r="J1049" s="6">
        <v>0.0</v>
      </c>
      <c r="K1049" s="6">
        <v>1.0</v>
      </c>
      <c r="L1049" s="6">
        <v>0.0</v>
      </c>
      <c r="M1049" s="6">
        <v>0.0</v>
      </c>
      <c r="N1049" s="669">
        <v>1828000.0</v>
      </c>
      <c r="O1049" s="6">
        <v>0.0</v>
      </c>
      <c r="P1049" s="6">
        <v>0.0</v>
      </c>
      <c r="Q1049" s="6">
        <v>0.0</v>
      </c>
      <c r="R1049" s="6">
        <v>0.0</v>
      </c>
      <c r="S1049" s="6" t="s">
        <v>11590</v>
      </c>
      <c r="T1049" s="6">
        <v>0.0</v>
      </c>
      <c r="U1049" s="6">
        <v>0.0</v>
      </c>
    </row>
    <row r="1050">
      <c r="A1050" s="6" t="s">
        <v>1077</v>
      </c>
      <c r="B1050" s="6" t="s">
        <v>11576</v>
      </c>
      <c r="C1050" s="6" t="s">
        <v>11570</v>
      </c>
      <c r="D1050" s="6" t="s">
        <v>22</v>
      </c>
      <c r="E1050" s="6" t="s">
        <v>1078</v>
      </c>
      <c r="F1050" s="6" t="s">
        <v>75</v>
      </c>
      <c r="G1050" s="6" t="s">
        <v>2939</v>
      </c>
      <c r="H1050" s="6">
        <v>0.0</v>
      </c>
      <c r="I1050" s="6">
        <v>0.0</v>
      </c>
      <c r="J1050" s="6">
        <v>1.0</v>
      </c>
      <c r="K1050" s="6">
        <v>2.0</v>
      </c>
      <c r="L1050" s="6">
        <v>0.0</v>
      </c>
      <c r="M1050" s="6">
        <v>0.0</v>
      </c>
      <c r="N1050" s="669">
        <v>2000000.0</v>
      </c>
      <c r="O1050" s="6">
        <v>0.0</v>
      </c>
      <c r="P1050" s="6">
        <v>0.0</v>
      </c>
      <c r="Q1050" s="6">
        <v>0.0</v>
      </c>
      <c r="R1050" s="6">
        <v>0.0</v>
      </c>
      <c r="S1050" s="6">
        <v>10.0</v>
      </c>
      <c r="T1050" s="6">
        <v>0.0</v>
      </c>
      <c r="U1050" s="6">
        <v>0.0</v>
      </c>
    </row>
    <row r="1051">
      <c r="A1051" s="6" t="s">
        <v>1079</v>
      </c>
      <c r="B1051" s="6" t="s">
        <v>11576</v>
      </c>
      <c r="C1051" s="6" t="s">
        <v>11579</v>
      </c>
      <c r="D1051" s="6" t="s">
        <v>41</v>
      </c>
      <c r="E1051" s="6" t="s">
        <v>1078</v>
      </c>
      <c r="F1051" s="6" t="s">
        <v>11858</v>
      </c>
      <c r="G1051" s="6" t="s">
        <v>2939</v>
      </c>
      <c r="H1051" s="6">
        <v>0.0</v>
      </c>
      <c r="I1051" s="6">
        <v>0.0</v>
      </c>
      <c r="J1051" s="6">
        <v>3.0</v>
      </c>
      <c r="K1051" s="6">
        <v>0.0</v>
      </c>
      <c r="L1051" s="6">
        <v>0.0</v>
      </c>
      <c r="M1051" s="6">
        <v>0.0</v>
      </c>
      <c r="N1051" s="669">
        <v>2785000.0</v>
      </c>
      <c r="O1051" s="6">
        <v>0.0</v>
      </c>
      <c r="P1051" s="6">
        <v>0.0</v>
      </c>
      <c r="Q1051" s="6">
        <v>0.0</v>
      </c>
      <c r="R1051" s="6">
        <v>0.0</v>
      </c>
      <c r="S1051" s="6">
        <v>5.0</v>
      </c>
      <c r="T1051" s="6">
        <v>0.0</v>
      </c>
      <c r="U1051" s="6">
        <v>0.0</v>
      </c>
    </row>
    <row r="1052">
      <c r="A1052" s="6" t="s">
        <v>1081</v>
      </c>
      <c r="B1052" s="6" t="s">
        <v>11576</v>
      </c>
      <c r="C1052" s="6" t="s">
        <v>11591</v>
      </c>
      <c r="D1052" s="6" t="s">
        <v>128</v>
      </c>
      <c r="E1052" s="6" t="s">
        <v>1078</v>
      </c>
      <c r="F1052" s="6" t="s">
        <v>397</v>
      </c>
      <c r="G1052" s="6" t="s">
        <v>2939</v>
      </c>
      <c r="H1052" s="6">
        <v>0.0</v>
      </c>
      <c r="I1052" s="6">
        <v>0.0</v>
      </c>
      <c r="J1052" s="6">
        <v>0.0</v>
      </c>
      <c r="K1052" s="6">
        <v>0.0</v>
      </c>
      <c r="L1052" s="6">
        <v>0.0</v>
      </c>
      <c r="M1052" s="6">
        <v>0.0</v>
      </c>
      <c r="N1052" s="669">
        <v>644000.0</v>
      </c>
      <c r="O1052" s="6">
        <v>0.0</v>
      </c>
      <c r="P1052" s="6">
        <v>0.0</v>
      </c>
      <c r="Q1052" s="6">
        <v>0.0</v>
      </c>
      <c r="R1052" s="6">
        <v>0.0</v>
      </c>
      <c r="S1052" s="6">
        <v>0.0</v>
      </c>
      <c r="T1052" s="6">
        <v>0.0</v>
      </c>
      <c r="U1052" s="6">
        <v>0.0</v>
      </c>
    </row>
    <row r="1053">
      <c r="A1053" s="6" t="s">
        <v>1082</v>
      </c>
      <c r="B1053" s="6" t="s">
        <v>11576</v>
      </c>
      <c r="C1053" s="6" t="s">
        <v>11591</v>
      </c>
      <c r="D1053" s="6" t="s">
        <v>130</v>
      </c>
      <c r="E1053" s="6" t="s">
        <v>1078</v>
      </c>
      <c r="F1053" s="6" t="s">
        <v>397</v>
      </c>
      <c r="G1053" s="6" t="s">
        <v>2939</v>
      </c>
      <c r="H1053" s="6">
        <v>0.0</v>
      </c>
      <c r="I1053" s="6">
        <v>0.0</v>
      </c>
      <c r="J1053" s="6">
        <v>7.0</v>
      </c>
      <c r="K1053" s="6">
        <v>0.0</v>
      </c>
      <c r="L1053" s="6">
        <v>0.0</v>
      </c>
      <c r="M1053" s="6">
        <v>0.0</v>
      </c>
      <c r="N1053" s="669">
        <v>644000.0</v>
      </c>
      <c r="O1053" s="6">
        <v>0.0</v>
      </c>
      <c r="P1053" s="6">
        <v>0.0</v>
      </c>
      <c r="Q1053" s="6">
        <v>0.0</v>
      </c>
      <c r="R1053" s="6">
        <v>0.0</v>
      </c>
      <c r="S1053" s="6">
        <v>0.0</v>
      </c>
      <c r="T1053" s="6">
        <v>0.0</v>
      </c>
      <c r="U1053" s="6">
        <v>0.0</v>
      </c>
    </row>
    <row r="1054">
      <c r="A1054" s="6" t="s">
        <v>1083</v>
      </c>
      <c r="B1054" s="6" t="s">
        <v>11576</v>
      </c>
      <c r="C1054" s="6" t="s">
        <v>11591</v>
      </c>
      <c r="D1054" s="6" t="s">
        <v>132</v>
      </c>
      <c r="E1054" s="6" t="s">
        <v>1078</v>
      </c>
      <c r="G1054" s="6" t="s">
        <v>2939</v>
      </c>
      <c r="H1054" s="6">
        <v>0.0</v>
      </c>
      <c r="I1054" s="6">
        <v>0.0</v>
      </c>
      <c r="J1054" s="6">
        <v>0.0</v>
      </c>
      <c r="K1054" s="6">
        <v>0.0</v>
      </c>
      <c r="L1054" s="6">
        <v>0.0</v>
      </c>
      <c r="M1054" s="6">
        <v>0.0</v>
      </c>
      <c r="N1054" s="669">
        <v>564000.0</v>
      </c>
      <c r="O1054" s="6">
        <v>0.0</v>
      </c>
      <c r="P1054" s="6">
        <v>0.0</v>
      </c>
      <c r="Q1054" s="6">
        <v>0.0</v>
      </c>
      <c r="R1054" s="6">
        <v>0.0</v>
      </c>
      <c r="S1054" s="6">
        <v>10.0</v>
      </c>
      <c r="T1054" s="6">
        <v>0.0</v>
      </c>
      <c r="U1054" s="6">
        <v>0.0</v>
      </c>
    </row>
    <row r="1055">
      <c r="A1055" s="6" t="s">
        <v>1084</v>
      </c>
      <c r="B1055" s="6" t="s">
        <v>11576</v>
      </c>
      <c r="C1055" s="6" t="s">
        <v>11591</v>
      </c>
      <c r="D1055" s="6" t="s">
        <v>134</v>
      </c>
      <c r="E1055" s="6" t="s">
        <v>1078</v>
      </c>
      <c r="G1055" s="6" t="s">
        <v>2939</v>
      </c>
      <c r="H1055" s="6">
        <v>0.0</v>
      </c>
      <c r="I1055" s="6">
        <v>0.0</v>
      </c>
      <c r="J1055" s="6">
        <v>3.0</v>
      </c>
      <c r="K1055" s="6">
        <v>0.0</v>
      </c>
      <c r="L1055" s="6">
        <v>0.0</v>
      </c>
      <c r="M1055" s="6">
        <v>0.0</v>
      </c>
      <c r="N1055" s="669">
        <v>564000.0</v>
      </c>
      <c r="O1055" s="6">
        <v>0.0</v>
      </c>
      <c r="P1055" s="6">
        <v>0.0</v>
      </c>
      <c r="Q1055" s="6">
        <v>0.0</v>
      </c>
      <c r="R1055" s="6">
        <v>0.0</v>
      </c>
      <c r="S1055" s="6">
        <v>0.0</v>
      </c>
      <c r="T1055" s="6">
        <v>0.0</v>
      </c>
      <c r="U1055" s="6">
        <v>0.0</v>
      </c>
    </row>
    <row r="1056">
      <c r="A1056" s="6" t="s">
        <v>1085</v>
      </c>
      <c r="B1056" s="6" t="s">
        <v>11578</v>
      </c>
      <c r="C1056" s="6" t="s">
        <v>11591</v>
      </c>
      <c r="D1056" s="6" t="s">
        <v>387</v>
      </c>
      <c r="E1056" s="6" t="s">
        <v>1078</v>
      </c>
      <c r="G1056" s="6" t="s">
        <v>2939</v>
      </c>
      <c r="H1056" s="6">
        <v>0.0</v>
      </c>
      <c r="I1056" s="6">
        <v>0.0</v>
      </c>
      <c r="J1056" s="6">
        <v>0.0</v>
      </c>
      <c r="K1056" s="6">
        <v>0.0</v>
      </c>
      <c r="L1056" s="6">
        <v>0.0</v>
      </c>
      <c r="M1056" s="6">
        <v>0.0</v>
      </c>
      <c r="N1056" s="669">
        <v>291000.0</v>
      </c>
      <c r="O1056" s="6">
        <v>0.0</v>
      </c>
      <c r="P1056" s="6">
        <v>0.0</v>
      </c>
      <c r="Q1056" s="6">
        <v>0.0</v>
      </c>
      <c r="R1056" s="6">
        <v>0.0</v>
      </c>
      <c r="S1056" s="6">
        <v>0.0</v>
      </c>
      <c r="T1056" s="6">
        <v>0.0</v>
      </c>
      <c r="U1056" s="6">
        <v>0.0</v>
      </c>
    </row>
    <row r="1057">
      <c r="A1057" s="6" t="s">
        <v>1086</v>
      </c>
      <c r="B1057" s="6" t="s">
        <v>11578</v>
      </c>
      <c r="C1057" s="6" t="s">
        <v>11591</v>
      </c>
      <c r="D1057" s="6" t="s">
        <v>389</v>
      </c>
      <c r="E1057" s="6" t="s">
        <v>1078</v>
      </c>
      <c r="G1057" s="6" t="s">
        <v>2939</v>
      </c>
      <c r="H1057" s="6">
        <v>0.0</v>
      </c>
      <c r="I1057" s="6">
        <v>0.0</v>
      </c>
      <c r="J1057" s="6">
        <v>0.0</v>
      </c>
      <c r="K1057" s="6">
        <v>0.0</v>
      </c>
      <c r="L1057" s="6">
        <v>0.0</v>
      </c>
      <c r="M1057" s="6">
        <v>0.0</v>
      </c>
      <c r="N1057" s="669">
        <v>291000.0</v>
      </c>
      <c r="O1057" s="6">
        <v>0.0</v>
      </c>
      <c r="P1057" s="6">
        <v>0.0</v>
      </c>
      <c r="Q1057" s="6">
        <v>0.0</v>
      </c>
      <c r="R1057" s="6">
        <v>0.0</v>
      </c>
      <c r="S1057" s="6">
        <v>0.0</v>
      </c>
      <c r="T1057" s="6">
        <v>0.0</v>
      </c>
      <c r="U1057" s="6">
        <v>0.0</v>
      </c>
    </row>
    <row r="1058">
      <c r="A1058" s="6" t="s">
        <v>1087</v>
      </c>
      <c r="B1058" s="6" t="s">
        <v>11576</v>
      </c>
      <c r="C1058" s="6" t="s">
        <v>11570</v>
      </c>
      <c r="D1058" s="6" t="s">
        <v>22</v>
      </c>
      <c r="E1058" s="6" t="s">
        <v>1088</v>
      </c>
      <c r="F1058" s="6" t="s">
        <v>75</v>
      </c>
      <c r="G1058" s="6" t="s">
        <v>2939</v>
      </c>
      <c r="H1058" s="6">
        <v>0.0</v>
      </c>
      <c r="I1058" s="6">
        <v>0.0</v>
      </c>
      <c r="J1058" s="6">
        <v>4.0</v>
      </c>
      <c r="K1058" s="6">
        <v>1.0</v>
      </c>
      <c r="L1058" s="6">
        <v>0.0</v>
      </c>
      <c r="M1058" s="6">
        <v>0.0</v>
      </c>
      <c r="N1058" s="669">
        <v>1848000.0</v>
      </c>
      <c r="O1058" s="6">
        <v>0.0</v>
      </c>
      <c r="P1058" s="6">
        <v>0.0</v>
      </c>
      <c r="Q1058" s="6">
        <v>0.0</v>
      </c>
      <c r="R1058" s="6">
        <v>0.0</v>
      </c>
      <c r="S1058" s="6">
        <v>8.0</v>
      </c>
      <c r="T1058" s="6">
        <v>0.0</v>
      </c>
      <c r="U1058" s="6">
        <v>0.0</v>
      </c>
    </row>
    <row r="1059">
      <c r="A1059" s="6" t="s">
        <v>1089</v>
      </c>
      <c r="B1059" s="6" t="s">
        <v>11576</v>
      </c>
      <c r="C1059" s="6" t="s">
        <v>11579</v>
      </c>
      <c r="D1059" s="6" t="s">
        <v>41</v>
      </c>
      <c r="E1059" s="6" t="s">
        <v>1088</v>
      </c>
      <c r="F1059" s="6" t="s">
        <v>2062</v>
      </c>
      <c r="G1059" s="6" t="s">
        <v>2939</v>
      </c>
      <c r="H1059" s="6">
        <v>0.0</v>
      </c>
      <c r="I1059" s="6">
        <v>0.0</v>
      </c>
      <c r="J1059" s="6">
        <v>7.0</v>
      </c>
      <c r="K1059" s="6">
        <v>0.0</v>
      </c>
      <c r="L1059" s="6">
        <v>0.0</v>
      </c>
      <c r="M1059" s="6">
        <v>0.0</v>
      </c>
      <c r="N1059" s="669">
        <v>2785000.0</v>
      </c>
      <c r="O1059" s="6">
        <v>0.0</v>
      </c>
      <c r="P1059" s="6">
        <v>0.0</v>
      </c>
      <c r="Q1059" s="6">
        <v>0.0</v>
      </c>
      <c r="R1059" s="6">
        <v>0.0</v>
      </c>
      <c r="S1059" s="6">
        <v>0.0</v>
      </c>
      <c r="T1059" s="6">
        <v>0.0</v>
      </c>
      <c r="U1059" s="6">
        <v>5.0</v>
      </c>
    </row>
    <row r="1060">
      <c r="A1060" s="6" t="s">
        <v>1090</v>
      </c>
      <c r="B1060" s="6" t="s">
        <v>11578</v>
      </c>
      <c r="C1060" s="6" t="s">
        <v>11591</v>
      </c>
      <c r="D1060" s="6" t="s">
        <v>128</v>
      </c>
      <c r="E1060" s="6" t="s">
        <v>1088</v>
      </c>
      <c r="G1060" s="6" t="s">
        <v>2939</v>
      </c>
      <c r="H1060" s="6">
        <v>0.0</v>
      </c>
      <c r="I1060" s="6">
        <v>0.0</v>
      </c>
      <c r="J1060" s="6">
        <v>0.0</v>
      </c>
      <c r="K1060" s="6">
        <v>0.0</v>
      </c>
      <c r="L1060" s="6">
        <v>0.0</v>
      </c>
      <c r="M1060" s="6">
        <v>0.0</v>
      </c>
      <c r="N1060" s="669">
        <v>644000.0</v>
      </c>
      <c r="O1060" s="6">
        <v>0.0</v>
      </c>
      <c r="P1060" s="6">
        <v>0.0</v>
      </c>
      <c r="Q1060" s="6">
        <v>0.0</v>
      </c>
      <c r="R1060" s="6">
        <v>0.0</v>
      </c>
      <c r="S1060" s="6">
        <v>0.0</v>
      </c>
      <c r="T1060" s="6">
        <v>0.0</v>
      </c>
      <c r="U1060" s="6">
        <v>0.0</v>
      </c>
    </row>
    <row r="1061">
      <c r="A1061" s="6" t="s">
        <v>1091</v>
      </c>
      <c r="B1061" s="6" t="s">
        <v>11576</v>
      </c>
      <c r="C1061" s="6" t="s">
        <v>11591</v>
      </c>
      <c r="D1061" s="6" t="s">
        <v>130</v>
      </c>
      <c r="E1061" s="6" t="s">
        <v>1088</v>
      </c>
      <c r="G1061" s="6" t="s">
        <v>2939</v>
      </c>
      <c r="H1061" s="6">
        <v>0.0</v>
      </c>
      <c r="I1061" s="6">
        <v>0.0</v>
      </c>
      <c r="J1061" s="6">
        <v>4.0</v>
      </c>
      <c r="K1061" s="6">
        <v>0.0</v>
      </c>
      <c r="L1061" s="6">
        <v>0.0</v>
      </c>
      <c r="M1061" s="6">
        <v>0.0</v>
      </c>
      <c r="N1061" s="669">
        <v>644000.0</v>
      </c>
      <c r="O1061" s="6">
        <v>0.0</v>
      </c>
      <c r="P1061" s="6">
        <v>0.0</v>
      </c>
      <c r="Q1061" s="6">
        <v>0.0</v>
      </c>
      <c r="R1061" s="6">
        <v>0.0</v>
      </c>
      <c r="S1061" s="6">
        <v>0.0</v>
      </c>
      <c r="T1061" s="6">
        <v>0.0</v>
      </c>
      <c r="U1061" s="6">
        <v>0.0</v>
      </c>
    </row>
    <row r="1062">
      <c r="A1062" s="6" t="s">
        <v>1092</v>
      </c>
      <c r="B1062" s="6" t="s">
        <v>11576</v>
      </c>
      <c r="C1062" s="6" t="s">
        <v>11591</v>
      </c>
      <c r="D1062" s="6" t="s">
        <v>132</v>
      </c>
      <c r="E1062" s="6" t="s">
        <v>1088</v>
      </c>
      <c r="G1062" s="6" t="s">
        <v>2939</v>
      </c>
      <c r="H1062" s="6">
        <v>0.0</v>
      </c>
      <c r="I1062" s="6">
        <v>0.0</v>
      </c>
      <c r="J1062" s="6">
        <v>7.0</v>
      </c>
      <c r="K1062" s="6">
        <v>0.0</v>
      </c>
      <c r="L1062" s="6">
        <v>0.0</v>
      </c>
      <c r="M1062" s="6">
        <v>0.0</v>
      </c>
      <c r="N1062" s="669">
        <v>564000.0</v>
      </c>
      <c r="O1062" s="6">
        <v>0.0</v>
      </c>
      <c r="P1062" s="6">
        <v>0.0</v>
      </c>
      <c r="Q1062" s="6">
        <v>0.0</v>
      </c>
      <c r="R1062" s="6">
        <v>0.0</v>
      </c>
      <c r="S1062" s="6">
        <v>0.0</v>
      </c>
      <c r="T1062" s="6">
        <v>0.0</v>
      </c>
      <c r="U1062" s="6">
        <v>0.0</v>
      </c>
    </row>
    <row r="1063">
      <c r="A1063" s="6" t="s">
        <v>1093</v>
      </c>
      <c r="B1063" s="6" t="s">
        <v>11576</v>
      </c>
      <c r="C1063" s="6" t="s">
        <v>11591</v>
      </c>
      <c r="D1063" s="6" t="s">
        <v>134</v>
      </c>
      <c r="E1063" s="6" t="s">
        <v>1088</v>
      </c>
      <c r="G1063" s="6" t="s">
        <v>2939</v>
      </c>
      <c r="H1063" s="6">
        <v>0.0</v>
      </c>
      <c r="I1063" s="6">
        <v>0.0</v>
      </c>
      <c r="J1063" s="6">
        <v>4.0</v>
      </c>
      <c r="K1063" s="6">
        <v>0.0</v>
      </c>
      <c r="L1063" s="6">
        <v>0.0</v>
      </c>
      <c r="M1063" s="6">
        <v>0.0</v>
      </c>
      <c r="N1063" s="669">
        <v>564000.0</v>
      </c>
      <c r="O1063" s="6">
        <v>0.0</v>
      </c>
      <c r="P1063" s="6">
        <v>0.0</v>
      </c>
      <c r="Q1063" s="6">
        <v>0.0</v>
      </c>
      <c r="R1063" s="6">
        <v>0.0</v>
      </c>
      <c r="S1063" s="6">
        <v>0.0</v>
      </c>
      <c r="T1063" s="6">
        <v>0.0</v>
      </c>
      <c r="U1063" s="6">
        <v>0.0</v>
      </c>
    </row>
    <row r="1064">
      <c r="A1064" s="6" t="s">
        <v>1094</v>
      </c>
      <c r="B1064" s="6" t="s">
        <v>11578</v>
      </c>
      <c r="C1064" s="6" t="s">
        <v>11591</v>
      </c>
      <c r="D1064" s="6" t="s">
        <v>387</v>
      </c>
      <c r="E1064" s="6" t="s">
        <v>1088</v>
      </c>
      <c r="G1064" s="6" t="s">
        <v>2939</v>
      </c>
      <c r="H1064" s="6">
        <v>0.0</v>
      </c>
      <c r="I1064" s="6">
        <v>0.0</v>
      </c>
      <c r="J1064" s="6">
        <v>0.0</v>
      </c>
      <c r="K1064" s="6">
        <v>0.0</v>
      </c>
      <c r="L1064" s="6">
        <v>0.0</v>
      </c>
      <c r="M1064" s="6">
        <v>0.0</v>
      </c>
      <c r="N1064" s="669">
        <v>291000.0</v>
      </c>
      <c r="O1064" s="6">
        <v>0.0</v>
      </c>
      <c r="P1064" s="6">
        <v>0.0</v>
      </c>
      <c r="Q1064" s="6">
        <v>0.0</v>
      </c>
      <c r="R1064" s="6">
        <v>0.0</v>
      </c>
      <c r="S1064" s="6">
        <v>0.0</v>
      </c>
      <c r="T1064" s="6">
        <v>0.0</v>
      </c>
      <c r="U1064" s="6">
        <v>0.0</v>
      </c>
    </row>
    <row r="1065">
      <c r="A1065" s="6" t="s">
        <v>1095</v>
      </c>
      <c r="B1065" s="6" t="s">
        <v>11578</v>
      </c>
      <c r="C1065" s="6" t="s">
        <v>11591</v>
      </c>
      <c r="D1065" s="6" t="s">
        <v>389</v>
      </c>
      <c r="E1065" s="6" t="s">
        <v>1088</v>
      </c>
      <c r="G1065" s="6" t="s">
        <v>2939</v>
      </c>
      <c r="H1065" s="6">
        <v>2.0</v>
      </c>
      <c r="I1065" s="6">
        <v>0.0</v>
      </c>
      <c r="J1065" s="6">
        <v>0.0</v>
      </c>
      <c r="K1065" s="6">
        <v>0.0</v>
      </c>
      <c r="L1065" s="6">
        <v>0.0</v>
      </c>
      <c r="M1065" s="6">
        <v>0.0</v>
      </c>
      <c r="N1065" s="669">
        <v>291000.0</v>
      </c>
      <c r="O1065" s="6">
        <v>0.0</v>
      </c>
      <c r="P1065" s="6">
        <v>0.0</v>
      </c>
      <c r="Q1065" s="6">
        <v>0.0</v>
      </c>
      <c r="R1065" s="6">
        <v>0.0</v>
      </c>
      <c r="S1065" s="6">
        <v>0.0</v>
      </c>
      <c r="T1065" s="6">
        <v>0.0</v>
      </c>
      <c r="U1065" s="6">
        <v>0.0</v>
      </c>
    </row>
    <row r="1066">
      <c r="A1066" s="6" t="s">
        <v>20</v>
      </c>
      <c r="B1066" s="6" t="s">
        <v>11569</v>
      </c>
      <c r="C1066" s="6" t="s">
        <v>11570</v>
      </c>
      <c r="D1066" s="6" t="s">
        <v>22</v>
      </c>
      <c r="E1066" s="6" t="s">
        <v>11992</v>
      </c>
      <c r="F1066" s="6" t="s">
        <v>23</v>
      </c>
      <c r="G1066" s="6" t="s">
        <v>2939</v>
      </c>
      <c r="H1066" s="6">
        <v>0.0</v>
      </c>
      <c r="I1066" s="6">
        <v>0.0</v>
      </c>
      <c r="J1066" s="6" t="s">
        <v>11590</v>
      </c>
      <c r="K1066" s="6">
        <v>0.0</v>
      </c>
      <c r="L1066" s="6">
        <v>0.0</v>
      </c>
      <c r="M1066" s="6">
        <v>0.0</v>
      </c>
      <c r="N1066" s="669">
        <v>2200000.0</v>
      </c>
      <c r="O1066" s="6">
        <v>0.0</v>
      </c>
      <c r="P1066" s="6">
        <v>0.0</v>
      </c>
      <c r="Q1066" s="6">
        <v>0.0</v>
      </c>
      <c r="R1066" s="6">
        <v>0.0</v>
      </c>
      <c r="S1066" s="6">
        <v>0.0</v>
      </c>
      <c r="T1066" s="6">
        <v>0.0</v>
      </c>
      <c r="U1066" s="6">
        <v>0.0</v>
      </c>
    </row>
    <row r="1067">
      <c r="A1067" s="6" t="s">
        <v>11993</v>
      </c>
      <c r="B1067" s="6" t="s">
        <v>11569</v>
      </c>
      <c r="C1067" s="6" t="s">
        <v>11570</v>
      </c>
      <c r="D1067" s="6" t="s">
        <v>22</v>
      </c>
      <c r="E1067" s="6" t="s">
        <v>11994</v>
      </c>
      <c r="F1067" s="6" t="s">
        <v>23</v>
      </c>
      <c r="G1067" s="6" t="s">
        <v>2939</v>
      </c>
      <c r="H1067" s="6">
        <v>0.0</v>
      </c>
      <c r="I1067" s="6">
        <v>0.0</v>
      </c>
      <c r="J1067" s="6">
        <v>8.0</v>
      </c>
      <c r="K1067" s="6">
        <v>0.0</v>
      </c>
      <c r="L1067" s="6">
        <v>0.0</v>
      </c>
      <c r="M1067" s="6">
        <v>0.0</v>
      </c>
      <c r="N1067" s="669">
        <v>2500000.0</v>
      </c>
      <c r="O1067" s="6">
        <v>0.0</v>
      </c>
      <c r="P1067" s="6">
        <v>0.0</v>
      </c>
      <c r="Q1067" s="6">
        <v>0.0</v>
      </c>
      <c r="R1067" s="6">
        <v>0.0</v>
      </c>
      <c r="S1067" s="6">
        <v>0.0</v>
      </c>
      <c r="T1067" s="6">
        <v>0.0</v>
      </c>
      <c r="U1067" s="6">
        <v>0.0</v>
      </c>
    </row>
    <row r="1068">
      <c r="A1068" s="6" t="s">
        <v>11995</v>
      </c>
      <c r="B1068" s="6" t="s">
        <v>11569</v>
      </c>
      <c r="C1068" s="6" t="s">
        <v>11579</v>
      </c>
      <c r="D1068" s="6" t="s">
        <v>41</v>
      </c>
      <c r="E1068" s="6" t="s">
        <v>21</v>
      </c>
      <c r="F1068" s="6" t="s">
        <v>2193</v>
      </c>
      <c r="G1068" s="6" t="s">
        <v>2939</v>
      </c>
      <c r="H1068" s="6">
        <v>0.0</v>
      </c>
      <c r="I1068" s="6">
        <v>0.0</v>
      </c>
      <c r="J1068" s="6">
        <v>1.0</v>
      </c>
      <c r="K1068" s="6">
        <v>0.0</v>
      </c>
      <c r="L1068" s="6">
        <v>0.0</v>
      </c>
      <c r="M1068" s="6">
        <v>0.0</v>
      </c>
      <c r="N1068" s="669">
        <v>2785000.0</v>
      </c>
      <c r="O1068" s="6">
        <v>0.0</v>
      </c>
      <c r="P1068" s="6">
        <v>0.0</v>
      </c>
      <c r="Q1068" s="6">
        <v>0.0</v>
      </c>
      <c r="R1068" s="6">
        <v>0.0</v>
      </c>
      <c r="S1068" s="6">
        <v>5.0</v>
      </c>
      <c r="T1068" s="6">
        <v>0.0</v>
      </c>
      <c r="U1068" s="6">
        <v>0.0</v>
      </c>
    </row>
    <row r="1069">
      <c r="A1069" s="6" t="s">
        <v>1096</v>
      </c>
      <c r="B1069" s="6" t="s">
        <v>11630</v>
      </c>
      <c r="C1069" s="6" t="s">
        <v>11570</v>
      </c>
      <c r="D1069" s="6" t="s">
        <v>22</v>
      </c>
      <c r="E1069" s="6" t="s">
        <v>65</v>
      </c>
      <c r="F1069" s="6" t="s">
        <v>97</v>
      </c>
      <c r="G1069" s="6" t="s">
        <v>2939</v>
      </c>
      <c r="H1069" s="6">
        <v>0.0</v>
      </c>
      <c r="I1069" s="6">
        <v>0.0</v>
      </c>
      <c r="J1069" s="6" t="s">
        <v>11590</v>
      </c>
      <c r="K1069" s="6">
        <v>9.0</v>
      </c>
      <c r="L1069" s="6" t="s">
        <v>11590</v>
      </c>
      <c r="M1069" s="6" t="s">
        <v>11590</v>
      </c>
      <c r="N1069" s="669">
        <v>758000.0</v>
      </c>
      <c r="O1069" s="6">
        <v>0.0</v>
      </c>
      <c r="P1069" s="6">
        <v>0.0</v>
      </c>
      <c r="Q1069" s="6">
        <v>0.0</v>
      </c>
      <c r="R1069" s="6">
        <v>0.0</v>
      </c>
      <c r="S1069" s="6">
        <v>0.0</v>
      </c>
      <c r="T1069" s="6">
        <v>0.0</v>
      </c>
      <c r="U1069" s="6">
        <v>0.0</v>
      </c>
    </row>
    <row r="1070">
      <c r="A1070" s="6" t="s">
        <v>1097</v>
      </c>
      <c r="B1070" s="6" t="s">
        <v>11576</v>
      </c>
      <c r="C1070" s="6" t="s">
        <v>11579</v>
      </c>
      <c r="D1070" s="6" t="s">
        <v>41</v>
      </c>
      <c r="E1070" s="6" t="s">
        <v>65</v>
      </c>
      <c r="F1070" s="6" t="s">
        <v>97</v>
      </c>
      <c r="G1070" s="6" t="s">
        <v>2939</v>
      </c>
      <c r="H1070" s="6">
        <v>0.0</v>
      </c>
      <c r="I1070" s="6">
        <v>0.0</v>
      </c>
      <c r="J1070" s="6" t="s">
        <v>11590</v>
      </c>
      <c r="K1070" s="6" t="s">
        <v>11590</v>
      </c>
      <c r="L1070" s="6">
        <v>0.0</v>
      </c>
      <c r="M1070" s="6">
        <v>0.0</v>
      </c>
      <c r="N1070" s="669">
        <v>541000.0</v>
      </c>
      <c r="O1070" s="6">
        <v>0.0</v>
      </c>
      <c r="P1070" s="6">
        <v>0.0</v>
      </c>
      <c r="Q1070" s="6">
        <v>0.0</v>
      </c>
      <c r="R1070" s="6">
        <v>0.0</v>
      </c>
      <c r="S1070" s="6" t="s">
        <v>11590</v>
      </c>
      <c r="T1070" s="6" t="s">
        <v>11590</v>
      </c>
      <c r="U1070" s="6">
        <v>0.0</v>
      </c>
    </row>
    <row r="1071">
      <c r="A1071" s="6" t="s">
        <v>64</v>
      </c>
      <c r="B1071" s="6" t="s">
        <v>11576</v>
      </c>
      <c r="C1071" s="6" t="s">
        <v>11579</v>
      </c>
      <c r="D1071" s="6" t="s">
        <v>41</v>
      </c>
      <c r="E1071" s="6" t="s">
        <v>65</v>
      </c>
      <c r="F1071" s="6" t="s">
        <v>2193</v>
      </c>
      <c r="G1071" s="6" t="s">
        <v>2939</v>
      </c>
      <c r="H1071" s="6">
        <v>0.0</v>
      </c>
      <c r="I1071" s="6">
        <v>1.0</v>
      </c>
      <c r="J1071" s="6" t="s">
        <v>11590</v>
      </c>
      <c r="K1071" s="6" t="s">
        <v>11590</v>
      </c>
      <c r="L1071" s="6">
        <v>0.0</v>
      </c>
      <c r="M1071" s="6">
        <v>0.0</v>
      </c>
      <c r="N1071" s="669">
        <v>667000.0</v>
      </c>
      <c r="O1071" s="6">
        <v>0.0</v>
      </c>
      <c r="P1071" s="6">
        <v>0.0</v>
      </c>
      <c r="Q1071" s="6">
        <v>0.0</v>
      </c>
      <c r="R1071" s="6">
        <v>0.0</v>
      </c>
      <c r="S1071" s="6" t="s">
        <v>11590</v>
      </c>
      <c r="T1071" s="6" t="s">
        <v>11590</v>
      </c>
      <c r="U1071" s="6">
        <v>0.0</v>
      </c>
    </row>
    <row r="1072">
      <c r="A1072" s="6" t="s">
        <v>1098</v>
      </c>
      <c r="B1072" s="6" t="s">
        <v>11630</v>
      </c>
      <c r="C1072" s="6" t="s">
        <v>11570</v>
      </c>
      <c r="D1072" s="6" t="s">
        <v>22</v>
      </c>
      <c r="E1072" s="6" t="s">
        <v>81</v>
      </c>
      <c r="F1072" s="6" t="s">
        <v>97</v>
      </c>
      <c r="G1072" s="6" t="s">
        <v>2939</v>
      </c>
      <c r="H1072" s="6">
        <v>0.0</v>
      </c>
      <c r="I1072" s="6">
        <v>0.0</v>
      </c>
      <c r="J1072" s="6" t="s">
        <v>11590</v>
      </c>
      <c r="K1072" s="6">
        <v>10.0</v>
      </c>
      <c r="L1072" s="6" t="s">
        <v>11590</v>
      </c>
      <c r="M1072" s="6" t="s">
        <v>11590</v>
      </c>
      <c r="N1072" s="669">
        <v>758000.0</v>
      </c>
      <c r="O1072" s="6">
        <v>10.0</v>
      </c>
      <c r="P1072" s="6">
        <v>0.0</v>
      </c>
      <c r="Q1072" s="6">
        <v>0.0</v>
      </c>
      <c r="R1072" s="6">
        <v>0.0</v>
      </c>
      <c r="S1072" s="6">
        <v>0.0</v>
      </c>
      <c r="T1072" s="6">
        <v>0.0</v>
      </c>
      <c r="U1072" s="6">
        <v>0.0</v>
      </c>
    </row>
    <row r="1073">
      <c r="A1073" s="6" t="s">
        <v>87</v>
      </c>
      <c r="B1073" s="6" t="s">
        <v>11576</v>
      </c>
      <c r="C1073" s="6" t="s">
        <v>11579</v>
      </c>
      <c r="D1073" s="6" t="s">
        <v>41</v>
      </c>
      <c r="E1073" s="6" t="s">
        <v>88</v>
      </c>
      <c r="F1073" s="6" t="s">
        <v>97</v>
      </c>
      <c r="G1073" s="6" t="s">
        <v>2939</v>
      </c>
      <c r="H1073" s="6">
        <v>0.0</v>
      </c>
      <c r="I1073" s="6">
        <v>0.0</v>
      </c>
      <c r="J1073" s="6" t="s">
        <v>11590</v>
      </c>
      <c r="K1073" s="6">
        <v>1.0</v>
      </c>
      <c r="L1073" s="6">
        <v>0.0</v>
      </c>
      <c r="M1073" s="6">
        <v>0.0</v>
      </c>
      <c r="N1073" s="669">
        <v>599000.0</v>
      </c>
      <c r="O1073" s="6">
        <v>0.0</v>
      </c>
      <c r="P1073" s="6">
        <v>0.0</v>
      </c>
      <c r="Q1073" s="6">
        <v>0.0</v>
      </c>
      <c r="R1073" s="6">
        <v>0.0</v>
      </c>
      <c r="S1073" s="6" t="s">
        <v>11590</v>
      </c>
      <c r="T1073" s="6" t="s">
        <v>11590</v>
      </c>
      <c r="U1073" s="6">
        <v>0.0</v>
      </c>
    </row>
    <row r="1074">
      <c r="A1074" s="6" t="s">
        <v>11996</v>
      </c>
      <c r="B1074" s="6" t="s">
        <v>11576</v>
      </c>
      <c r="C1074" s="6" t="s">
        <v>11579</v>
      </c>
      <c r="D1074" s="6" t="s">
        <v>41</v>
      </c>
      <c r="E1074" s="6" t="s">
        <v>88</v>
      </c>
      <c r="F1074" s="6" t="s">
        <v>2193</v>
      </c>
      <c r="G1074" s="6" t="s">
        <v>2939</v>
      </c>
      <c r="H1074" s="6">
        <v>0.0</v>
      </c>
      <c r="I1074" s="6">
        <v>0.0</v>
      </c>
      <c r="J1074" s="6" t="s">
        <v>11590</v>
      </c>
      <c r="K1074" s="6" t="s">
        <v>11590</v>
      </c>
      <c r="L1074" s="6">
        <v>0.0</v>
      </c>
      <c r="M1074" s="6">
        <v>0.0</v>
      </c>
      <c r="N1074" s="669">
        <v>637000.0</v>
      </c>
      <c r="O1074" s="6">
        <v>0.0</v>
      </c>
      <c r="P1074" s="6">
        <v>0.0</v>
      </c>
      <c r="Q1074" s="6">
        <v>0.0</v>
      </c>
      <c r="R1074" s="6">
        <v>0.0</v>
      </c>
      <c r="S1074" s="6" t="s">
        <v>11590</v>
      </c>
      <c r="T1074" s="6" t="s">
        <v>11590</v>
      </c>
      <c r="U1074" s="6">
        <v>0.0</v>
      </c>
    </row>
    <row r="1075">
      <c r="A1075" s="6" t="s">
        <v>1100</v>
      </c>
      <c r="B1075" s="6" t="s">
        <v>11630</v>
      </c>
      <c r="C1075" s="6" t="s">
        <v>11570</v>
      </c>
      <c r="D1075" s="6" t="s">
        <v>22</v>
      </c>
      <c r="E1075" s="6" t="s">
        <v>1101</v>
      </c>
      <c r="F1075" s="6" t="s">
        <v>97</v>
      </c>
      <c r="G1075" s="6" t="s">
        <v>2939</v>
      </c>
      <c r="H1075" s="6">
        <v>0.0</v>
      </c>
      <c r="I1075" s="6">
        <v>0.0</v>
      </c>
      <c r="J1075" s="6" t="s">
        <v>11590</v>
      </c>
      <c r="K1075" s="6">
        <v>4.0</v>
      </c>
      <c r="L1075" s="6" t="s">
        <v>11590</v>
      </c>
      <c r="M1075" s="6" t="s">
        <v>11590</v>
      </c>
      <c r="N1075" s="669">
        <v>758000.0</v>
      </c>
      <c r="O1075" s="6">
        <v>10.0</v>
      </c>
      <c r="P1075" s="6">
        <v>0.0</v>
      </c>
      <c r="Q1075" s="6">
        <v>0.0</v>
      </c>
      <c r="R1075" s="6">
        <v>0.0</v>
      </c>
      <c r="S1075" s="6">
        <v>0.0</v>
      </c>
      <c r="T1075" s="6">
        <v>0.0</v>
      </c>
      <c r="U1075" s="6">
        <v>0.0</v>
      </c>
    </row>
    <row r="1076">
      <c r="A1076" s="6" t="s">
        <v>1768</v>
      </c>
      <c r="B1076" s="6" t="s">
        <v>11653</v>
      </c>
      <c r="C1076" s="6" t="s">
        <v>11570</v>
      </c>
      <c r="D1076" s="6" t="s">
        <v>22</v>
      </c>
      <c r="E1076" s="6" t="s">
        <v>1769</v>
      </c>
      <c r="F1076" s="6" t="s">
        <v>125</v>
      </c>
      <c r="G1076" s="6" t="s">
        <v>2939</v>
      </c>
      <c r="H1076" s="6">
        <v>0.0</v>
      </c>
      <c r="I1076" s="6">
        <v>0.0</v>
      </c>
      <c r="J1076" s="6">
        <v>0.0</v>
      </c>
      <c r="K1076" s="6">
        <v>0.0</v>
      </c>
      <c r="L1076" s="6" t="s">
        <v>11590</v>
      </c>
      <c r="M1076" s="6" t="s">
        <v>11590</v>
      </c>
      <c r="N1076" s="669">
        <v>1190000.0</v>
      </c>
      <c r="O1076" s="6" t="s">
        <v>11590</v>
      </c>
      <c r="P1076" s="6">
        <v>0.0</v>
      </c>
      <c r="Q1076" s="6">
        <v>0.0</v>
      </c>
      <c r="R1076" s="6">
        <v>0.0</v>
      </c>
      <c r="S1076" s="6">
        <v>0.0</v>
      </c>
      <c r="T1076" s="6">
        <v>0.0</v>
      </c>
      <c r="U1076" s="6">
        <v>0.0</v>
      </c>
    </row>
    <row r="1077">
      <c r="A1077" s="6" t="s">
        <v>11997</v>
      </c>
      <c r="B1077" s="6" t="s">
        <v>11653</v>
      </c>
      <c r="C1077" s="6" t="s">
        <v>11570</v>
      </c>
      <c r="D1077" s="6" t="s">
        <v>22</v>
      </c>
      <c r="E1077" s="6" t="s">
        <v>1514</v>
      </c>
      <c r="G1077" s="6" t="s">
        <v>2939</v>
      </c>
      <c r="H1077" s="6">
        <v>0.0</v>
      </c>
      <c r="I1077" s="6">
        <v>0.0</v>
      </c>
      <c r="J1077" s="6">
        <v>0.0</v>
      </c>
      <c r="K1077" s="6">
        <v>0.0</v>
      </c>
      <c r="L1077" s="6" t="s">
        <v>11590</v>
      </c>
      <c r="M1077" s="6" t="s">
        <v>11590</v>
      </c>
      <c r="N1077" s="669">
        <v>919000.0</v>
      </c>
      <c r="O1077" s="6" t="s">
        <v>11590</v>
      </c>
      <c r="P1077" s="6">
        <v>0.0</v>
      </c>
      <c r="Q1077" s="6">
        <v>0.0</v>
      </c>
      <c r="R1077" s="6">
        <v>0.0</v>
      </c>
      <c r="S1077" s="6">
        <v>0.0</v>
      </c>
      <c r="T1077" s="6">
        <v>0.0</v>
      </c>
      <c r="U1077" s="6">
        <v>0.0</v>
      </c>
    </row>
    <row r="1078">
      <c r="A1078" s="6" t="s">
        <v>11998</v>
      </c>
      <c r="B1078" s="6" t="s">
        <v>11653</v>
      </c>
      <c r="C1078" s="6" t="s">
        <v>11579</v>
      </c>
      <c r="D1078" s="6" t="s">
        <v>41</v>
      </c>
      <c r="E1078" s="6" t="s">
        <v>1514</v>
      </c>
      <c r="G1078" s="6" t="s">
        <v>2939</v>
      </c>
      <c r="H1078" s="6">
        <v>0.0</v>
      </c>
      <c r="I1078" s="6">
        <v>0.0</v>
      </c>
      <c r="J1078" s="6">
        <v>0.0</v>
      </c>
      <c r="K1078" s="6">
        <v>0.0</v>
      </c>
      <c r="L1078" s="6">
        <v>0.0</v>
      </c>
      <c r="M1078" s="6" t="s">
        <v>11590</v>
      </c>
      <c r="N1078" s="669">
        <v>618000.0</v>
      </c>
      <c r="O1078" s="6" t="s">
        <v>11590</v>
      </c>
      <c r="P1078" s="6" t="s">
        <v>11590</v>
      </c>
      <c r="Q1078" s="6">
        <v>0.0</v>
      </c>
      <c r="R1078" s="6">
        <v>0.0</v>
      </c>
      <c r="S1078" s="6">
        <v>0.0</v>
      </c>
      <c r="T1078" s="6">
        <v>0.0</v>
      </c>
      <c r="U1078" s="6">
        <v>0.0</v>
      </c>
    </row>
    <row r="1079">
      <c r="A1079" s="6" t="s">
        <v>11999</v>
      </c>
      <c r="B1079" s="6" t="s">
        <v>11653</v>
      </c>
      <c r="C1079" s="6" t="s">
        <v>11591</v>
      </c>
      <c r="D1079" s="6" t="s">
        <v>202</v>
      </c>
      <c r="E1079" s="6" t="s">
        <v>1514</v>
      </c>
      <c r="G1079" s="6" t="s">
        <v>2939</v>
      </c>
      <c r="H1079" s="6">
        <v>0.0</v>
      </c>
      <c r="I1079" s="6">
        <v>0.0</v>
      </c>
      <c r="J1079" s="6">
        <v>0.0</v>
      </c>
      <c r="K1079" s="6">
        <v>0.0</v>
      </c>
      <c r="L1079" s="6">
        <v>0.0</v>
      </c>
      <c r="M1079" s="6">
        <v>0.0</v>
      </c>
      <c r="N1079" s="669">
        <v>126000.0</v>
      </c>
      <c r="O1079" s="6" t="s">
        <v>11590</v>
      </c>
      <c r="P1079" s="6">
        <v>0.0</v>
      </c>
      <c r="Q1079" s="6">
        <v>0.0</v>
      </c>
      <c r="R1079" s="6">
        <v>0.0</v>
      </c>
      <c r="S1079" s="6">
        <v>0.0</v>
      </c>
      <c r="T1079" s="6">
        <v>0.0</v>
      </c>
      <c r="U1079" s="6">
        <v>0.0</v>
      </c>
    </row>
    <row r="1080">
      <c r="A1080" s="6" t="s">
        <v>12000</v>
      </c>
      <c r="B1080" s="6" t="s">
        <v>11653</v>
      </c>
      <c r="C1080" s="6" t="s">
        <v>11591</v>
      </c>
      <c r="D1080" s="6" t="s">
        <v>236</v>
      </c>
      <c r="E1080" s="6" t="s">
        <v>1514</v>
      </c>
      <c r="G1080" s="6" t="s">
        <v>2939</v>
      </c>
      <c r="H1080" s="6">
        <v>0.0</v>
      </c>
      <c r="I1080" s="6">
        <v>0.0</v>
      </c>
      <c r="J1080" s="6">
        <v>0.0</v>
      </c>
      <c r="K1080" s="6">
        <v>0.0</v>
      </c>
      <c r="L1080" s="6">
        <v>0.0</v>
      </c>
      <c r="M1080" s="6">
        <v>0.0</v>
      </c>
      <c r="N1080" s="669">
        <v>126000.0</v>
      </c>
      <c r="O1080" s="6" t="s">
        <v>11590</v>
      </c>
      <c r="P1080" s="6">
        <v>0.0</v>
      </c>
      <c r="Q1080" s="6">
        <v>0.0</v>
      </c>
      <c r="R1080" s="6">
        <v>0.0</v>
      </c>
      <c r="S1080" s="6">
        <v>0.0</v>
      </c>
      <c r="T1080" s="6">
        <v>0.0</v>
      </c>
      <c r="U1080" s="6">
        <v>0.0</v>
      </c>
    </row>
    <row r="1081">
      <c r="A1081" s="6" t="s">
        <v>1102</v>
      </c>
      <c r="B1081" s="6" t="s">
        <v>11576</v>
      </c>
      <c r="C1081" s="6" t="s">
        <v>11570</v>
      </c>
      <c r="D1081" s="6" t="s">
        <v>22</v>
      </c>
      <c r="E1081" s="6" t="s">
        <v>12001</v>
      </c>
      <c r="F1081" s="6" t="s">
        <v>125</v>
      </c>
      <c r="G1081" s="6" t="s">
        <v>2939</v>
      </c>
      <c r="H1081" s="6">
        <v>0.0</v>
      </c>
      <c r="I1081" s="6">
        <v>0.0</v>
      </c>
      <c r="J1081" s="6">
        <v>6.0</v>
      </c>
      <c r="K1081" s="6">
        <v>1.0</v>
      </c>
      <c r="L1081" s="6">
        <v>0.0</v>
      </c>
      <c r="M1081" s="6">
        <v>0.0</v>
      </c>
      <c r="N1081" s="669">
        <v>1725000.0</v>
      </c>
      <c r="O1081" s="6">
        <v>0.0</v>
      </c>
      <c r="P1081" s="6">
        <v>0.0</v>
      </c>
      <c r="Q1081" s="6">
        <v>0.0</v>
      </c>
      <c r="R1081" s="6">
        <v>0.0</v>
      </c>
      <c r="S1081" s="6">
        <v>0.0</v>
      </c>
      <c r="T1081" s="6">
        <v>0.0</v>
      </c>
      <c r="U1081" s="6">
        <v>0.0</v>
      </c>
    </row>
    <row r="1082">
      <c r="A1082" s="6" t="s">
        <v>1104</v>
      </c>
      <c r="B1082" s="6" t="s">
        <v>11576</v>
      </c>
      <c r="C1082" s="6" t="s">
        <v>11579</v>
      </c>
      <c r="D1082" s="6" t="s">
        <v>41</v>
      </c>
      <c r="E1082" s="6" t="s">
        <v>12001</v>
      </c>
      <c r="F1082" s="6" t="s">
        <v>2193</v>
      </c>
      <c r="G1082" s="6" t="s">
        <v>2939</v>
      </c>
      <c r="H1082" s="6">
        <v>0.0</v>
      </c>
      <c r="I1082" s="6">
        <v>0.0</v>
      </c>
      <c r="J1082" s="6">
        <v>5.0</v>
      </c>
      <c r="K1082" s="6">
        <v>0.0</v>
      </c>
      <c r="L1082" s="6">
        <v>0.0</v>
      </c>
      <c r="M1082" s="6">
        <v>0.0</v>
      </c>
      <c r="N1082" s="669">
        <v>2099000.0</v>
      </c>
      <c r="O1082" s="6">
        <v>0.0</v>
      </c>
      <c r="P1082" s="6">
        <v>0.0</v>
      </c>
      <c r="Q1082" s="6">
        <v>0.0</v>
      </c>
      <c r="R1082" s="6">
        <v>0.0</v>
      </c>
      <c r="S1082" s="6">
        <v>0.0</v>
      </c>
      <c r="T1082" s="6">
        <v>0.0</v>
      </c>
      <c r="U1082" s="6">
        <v>0.0</v>
      </c>
    </row>
    <row r="1083">
      <c r="A1083" s="6" t="s">
        <v>1105</v>
      </c>
      <c r="B1083" s="6" t="s">
        <v>11576</v>
      </c>
      <c r="C1083" s="6" t="s">
        <v>11570</v>
      </c>
      <c r="D1083" s="6" t="s">
        <v>22</v>
      </c>
      <c r="E1083" s="6" t="s">
        <v>1106</v>
      </c>
      <c r="F1083" s="6" t="s">
        <v>125</v>
      </c>
      <c r="G1083" s="6" t="s">
        <v>2939</v>
      </c>
      <c r="H1083" s="6">
        <v>0.0</v>
      </c>
      <c r="I1083" s="6">
        <v>0.0</v>
      </c>
      <c r="J1083" s="6" t="s">
        <v>11590</v>
      </c>
      <c r="K1083" s="6">
        <v>0.0</v>
      </c>
      <c r="L1083" s="6">
        <v>0.0</v>
      </c>
      <c r="M1083" s="6">
        <v>0.0</v>
      </c>
      <c r="N1083" s="669">
        <v>2218000.0</v>
      </c>
      <c r="O1083" s="6">
        <v>0.0</v>
      </c>
      <c r="P1083" s="6">
        <v>0.0</v>
      </c>
      <c r="Q1083" s="6">
        <v>0.0</v>
      </c>
      <c r="R1083" s="6">
        <v>0.0</v>
      </c>
      <c r="S1083" s="6">
        <v>0.0</v>
      </c>
      <c r="T1083" s="6">
        <v>0.0</v>
      </c>
      <c r="U1083" s="6">
        <v>0.0</v>
      </c>
    </row>
    <row r="1084">
      <c r="A1084" s="6" t="s">
        <v>1107</v>
      </c>
      <c r="B1084" s="6" t="s">
        <v>11576</v>
      </c>
      <c r="C1084" s="6" t="s">
        <v>11579</v>
      </c>
      <c r="D1084" s="6" t="s">
        <v>41</v>
      </c>
      <c r="E1084" s="6" t="s">
        <v>1106</v>
      </c>
      <c r="F1084" s="6" t="s">
        <v>2062</v>
      </c>
      <c r="G1084" s="6" t="s">
        <v>2939</v>
      </c>
      <c r="H1084" s="6">
        <v>0.0</v>
      </c>
      <c r="I1084" s="6">
        <v>0.0</v>
      </c>
      <c r="J1084" s="6">
        <v>1.0</v>
      </c>
      <c r="K1084" s="6">
        <v>4.0</v>
      </c>
      <c r="L1084" s="6">
        <v>0.0</v>
      </c>
      <c r="M1084" s="6">
        <v>0.0</v>
      </c>
      <c r="N1084" s="669">
        <v>2410000.0</v>
      </c>
      <c r="O1084" s="6">
        <v>0.0</v>
      </c>
      <c r="P1084" s="6">
        <v>0.0</v>
      </c>
      <c r="Q1084" s="6">
        <v>0.0</v>
      </c>
      <c r="R1084" s="6">
        <v>0.0</v>
      </c>
      <c r="S1084" s="6">
        <v>5.0</v>
      </c>
      <c r="T1084" s="6">
        <v>0.0</v>
      </c>
      <c r="U1084" s="6">
        <v>0.0</v>
      </c>
    </row>
    <row r="1085">
      <c r="A1085" s="6" t="s">
        <v>1108</v>
      </c>
      <c r="B1085" s="6" t="s">
        <v>11578</v>
      </c>
      <c r="C1085" s="6" t="s">
        <v>11591</v>
      </c>
      <c r="D1085" s="6" t="s">
        <v>128</v>
      </c>
      <c r="E1085" s="6" t="s">
        <v>1106</v>
      </c>
      <c r="G1085" s="6" t="s">
        <v>2939</v>
      </c>
      <c r="H1085" s="6">
        <v>7.0</v>
      </c>
      <c r="I1085" s="6">
        <v>0.0</v>
      </c>
      <c r="J1085" s="6">
        <v>0.0</v>
      </c>
      <c r="K1085" s="6">
        <v>0.0</v>
      </c>
      <c r="L1085" s="6">
        <v>0.0</v>
      </c>
      <c r="M1085" s="6">
        <v>0.0</v>
      </c>
      <c r="N1085" s="669">
        <v>804000.0</v>
      </c>
      <c r="O1085" s="6">
        <v>0.0</v>
      </c>
      <c r="P1085" s="6">
        <v>0.0</v>
      </c>
      <c r="Q1085" s="6">
        <v>0.0</v>
      </c>
      <c r="R1085" s="6">
        <v>0.0</v>
      </c>
      <c r="S1085" s="6">
        <v>0.0</v>
      </c>
      <c r="T1085" s="6">
        <v>0.0</v>
      </c>
      <c r="U1085" s="6">
        <v>0.0</v>
      </c>
    </row>
    <row r="1086">
      <c r="A1086" s="6" t="s">
        <v>1109</v>
      </c>
      <c r="B1086" s="6" t="s">
        <v>11576</v>
      </c>
      <c r="C1086" s="6" t="s">
        <v>11591</v>
      </c>
      <c r="D1086" s="6" t="s">
        <v>130</v>
      </c>
      <c r="E1086" s="6" t="s">
        <v>1106</v>
      </c>
      <c r="G1086" s="6" t="s">
        <v>2939</v>
      </c>
      <c r="H1086" s="6">
        <v>0.0</v>
      </c>
      <c r="I1086" s="6">
        <v>0.0</v>
      </c>
      <c r="J1086" s="6">
        <v>4.0</v>
      </c>
      <c r="K1086" s="6">
        <v>0.0</v>
      </c>
      <c r="L1086" s="6">
        <v>0.0</v>
      </c>
      <c r="M1086" s="6">
        <v>0.0</v>
      </c>
      <c r="N1086" s="669">
        <v>804000.0</v>
      </c>
      <c r="O1086" s="6">
        <v>0.0</v>
      </c>
      <c r="P1086" s="6">
        <v>0.0</v>
      </c>
      <c r="Q1086" s="6">
        <v>0.0</v>
      </c>
      <c r="R1086" s="6">
        <v>0.0</v>
      </c>
      <c r="S1086" s="6">
        <v>0.0</v>
      </c>
      <c r="T1086" s="6">
        <v>0.0</v>
      </c>
      <c r="U1086" s="6">
        <v>0.0</v>
      </c>
    </row>
    <row r="1087">
      <c r="A1087" s="6" t="s">
        <v>1110</v>
      </c>
      <c r="B1087" s="6" t="s">
        <v>11576</v>
      </c>
      <c r="C1087" s="6" t="s">
        <v>11570</v>
      </c>
      <c r="D1087" s="6" t="s">
        <v>22</v>
      </c>
      <c r="E1087" s="6" t="s">
        <v>1111</v>
      </c>
      <c r="F1087" s="6" t="s">
        <v>125</v>
      </c>
      <c r="G1087" s="6" t="s">
        <v>2939</v>
      </c>
      <c r="H1087" s="6">
        <v>0.0</v>
      </c>
      <c r="I1087" s="6">
        <v>0.0</v>
      </c>
      <c r="J1087" s="6" t="s">
        <v>11590</v>
      </c>
      <c r="K1087" s="6">
        <v>1.0</v>
      </c>
      <c r="L1087" s="6">
        <v>0.0</v>
      </c>
      <c r="M1087" s="6">
        <v>0.0</v>
      </c>
      <c r="N1087" s="669">
        <v>2587000.0</v>
      </c>
      <c r="O1087" s="6">
        <v>0.0</v>
      </c>
      <c r="P1087" s="6">
        <v>0.0</v>
      </c>
      <c r="Q1087" s="6">
        <v>0.0</v>
      </c>
      <c r="R1087" s="6">
        <v>0.0</v>
      </c>
      <c r="S1087" s="6">
        <v>0.0</v>
      </c>
      <c r="T1087" s="6">
        <v>0.0</v>
      </c>
      <c r="U1087" s="6">
        <v>0.0</v>
      </c>
    </row>
    <row r="1088">
      <c r="A1088" s="6" t="s">
        <v>1112</v>
      </c>
      <c r="B1088" s="6" t="s">
        <v>11576</v>
      </c>
      <c r="C1088" s="6" t="s">
        <v>11570</v>
      </c>
      <c r="D1088" s="6" t="s">
        <v>22</v>
      </c>
      <c r="E1088" s="6" t="s">
        <v>1111</v>
      </c>
      <c r="F1088" s="6" t="s">
        <v>75</v>
      </c>
      <c r="G1088" s="6" t="s">
        <v>2939</v>
      </c>
      <c r="H1088" s="6">
        <v>0.0</v>
      </c>
      <c r="I1088" s="6">
        <v>0.0</v>
      </c>
      <c r="J1088" s="6" t="s">
        <v>11590</v>
      </c>
      <c r="K1088" s="6">
        <v>6.0</v>
      </c>
      <c r="L1088" s="6">
        <v>0.0</v>
      </c>
      <c r="M1088" s="6">
        <v>0.0</v>
      </c>
      <c r="N1088" s="669">
        <v>2823000.0</v>
      </c>
      <c r="O1088" s="6">
        <v>0.0</v>
      </c>
      <c r="P1088" s="6">
        <v>0.0</v>
      </c>
      <c r="Q1088" s="6">
        <v>0.0</v>
      </c>
      <c r="R1088" s="6">
        <v>0.0</v>
      </c>
      <c r="S1088" s="6">
        <v>10.0</v>
      </c>
      <c r="T1088" s="6">
        <v>0.0</v>
      </c>
      <c r="U1088" s="6">
        <v>0.0</v>
      </c>
    </row>
    <row r="1089">
      <c r="A1089" s="6" t="s">
        <v>1113</v>
      </c>
      <c r="B1089" s="6" t="s">
        <v>11576</v>
      </c>
      <c r="C1089" s="6" t="s">
        <v>11579</v>
      </c>
      <c r="D1089" s="6" t="s">
        <v>41</v>
      </c>
      <c r="E1089" s="6" t="s">
        <v>1111</v>
      </c>
      <c r="F1089" s="6" t="s">
        <v>2062</v>
      </c>
      <c r="G1089" s="6" t="s">
        <v>2939</v>
      </c>
      <c r="H1089" s="6">
        <v>0.0</v>
      </c>
      <c r="I1089" s="6">
        <v>0.0</v>
      </c>
      <c r="J1089" s="6">
        <v>8.0</v>
      </c>
      <c r="K1089" s="6">
        <v>2.0</v>
      </c>
      <c r="L1089" s="6">
        <v>0.0</v>
      </c>
      <c r="M1089" s="6">
        <v>0.0</v>
      </c>
      <c r="N1089" s="669">
        <v>2997000.0</v>
      </c>
      <c r="O1089" s="6">
        <v>0.0</v>
      </c>
      <c r="P1089" s="6">
        <v>0.0</v>
      </c>
      <c r="Q1089" s="6">
        <v>0.0</v>
      </c>
      <c r="R1089" s="6">
        <v>0.0</v>
      </c>
      <c r="S1089" s="6">
        <v>0.0</v>
      </c>
      <c r="T1089" s="6">
        <v>0.0</v>
      </c>
      <c r="U1089" s="6">
        <v>0.0</v>
      </c>
    </row>
    <row r="1090">
      <c r="A1090" s="6" t="s">
        <v>1114</v>
      </c>
      <c r="B1090" s="6" t="s">
        <v>11576</v>
      </c>
      <c r="C1090" s="6" t="s">
        <v>11570</v>
      </c>
      <c r="D1090" s="6" t="s">
        <v>22</v>
      </c>
      <c r="E1090" s="6" t="s">
        <v>2363</v>
      </c>
      <c r="F1090" s="6" t="s">
        <v>75</v>
      </c>
      <c r="G1090" s="6" t="s">
        <v>2939</v>
      </c>
      <c r="H1090" s="6">
        <v>0.0</v>
      </c>
      <c r="I1090" s="6">
        <v>0.0</v>
      </c>
      <c r="J1090" s="6" t="s">
        <v>11590</v>
      </c>
      <c r="K1090" s="6">
        <v>0.0</v>
      </c>
      <c r="L1090" s="6">
        <v>0.0</v>
      </c>
      <c r="M1090" s="6">
        <v>0.0</v>
      </c>
      <c r="N1090" s="669">
        <v>1905000.0</v>
      </c>
      <c r="O1090" s="6">
        <v>0.0</v>
      </c>
      <c r="P1090" s="6">
        <v>0.0</v>
      </c>
      <c r="Q1090" s="6">
        <v>0.0</v>
      </c>
      <c r="R1090" s="6">
        <v>0.0</v>
      </c>
      <c r="S1090" s="6">
        <v>10.0</v>
      </c>
      <c r="T1090" s="6">
        <v>0.0</v>
      </c>
      <c r="U1090" s="6">
        <v>0.0</v>
      </c>
    </row>
    <row r="1091">
      <c r="A1091" s="6" t="s">
        <v>11500</v>
      </c>
      <c r="B1091" s="6" t="s">
        <v>11569</v>
      </c>
      <c r="C1091" s="6" t="s">
        <v>11570</v>
      </c>
      <c r="D1091" s="6" t="s">
        <v>22</v>
      </c>
      <c r="E1091" s="6" t="s">
        <v>2363</v>
      </c>
      <c r="F1091" s="6" t="s">
        <v>125</v>
      </c>
      <c r="G1091" s="6" t="s">
        <v>2939</v>
      </c>
      <c r="H1091" s="6">
        <v>0.0</v>
      </c>
      <c r="I1091" s="6">
        <v>0.0</v>
      </c>
      <c r="J1091" s="6" t="s">
        <v>11590</v>
      </c>
      <c r="K1091" s="6">
        <v>1.0</v>
      </c>
      <c r="L1091" s="6">
        <v>0.0</v>
      </c>
      <c r="M1091" s="6">
        <v>0.0</v>
      </c>
      <c r="N1091" s="669">
        <v>1728000.0</v>
      </c>
      <c r="O1091" s="6">
        <v>0.0</v>
      </c>
      <c r="P1091" s="6">
        <v>0.0</v>
      </c>
      <c r="Q1091" s="6">
        <v>0.0</v>
      </c>
      <c r="R1091" s="6">
        <v>0.0</v>
      </c>
      <c r="S1091" s="6">
        <v>0.0</v>
      </c>
      <c r="T1091" s="6">
        <v>0.0</v>
      </c>
      <c r="U1091" s="6">
        <v>0.0</v>
      </c>
    </row>
    <row r="1092">
      <c r="A1092" s="6" t="s">
        <v>1116</v>
      </c>
      <c r="B1092" s="6" t="s">
        <v>11576</v>
      </c>
      <c r="C1092" s="6" t="s">
        <v>11579</v>
      </c>
      <c r="D1092" s="6" t="s">
        <v>41</v>
      </c>
      <c r="E1092" s="6" t="s">
        <v>2363</v>
      </c>
      <c r="F1092" s="6" t="s">
        <v>2062</v>
      </c>
      <c r="G1092" s="6" t="s">
        <v>2939</v>
      </c>
      <c r="H1092" s="6">
        <v>0.0</v>
      </c>
      <c r="I1092" s="6">
        <v>0.0</v>
      </c>
      <c r="J1092" s="6">
        <v>5.0</v>
      </c>
      <c r="K1092" s="6">
        <v>0.0</v>
      </c>
      <c r="L1092" s="6">
        <v>0.0</v>
      </c>
      <c r="M1092" s="6">
        <v>0.0</v>
      </c>
      <c r="N1092" s="669">
        <v>3271000.0</v>
      </c>
      <c r="O1092" s="6">
        <v>0.0</v>
      </c>
      <c r="P1092" s="6">
        <v>0.0</v>
      </c>
      <c r="Q1092" s="6">
        <v>0.0</v>
      </c>
      <c r="R1092" s="6">
        <v>0.0</v>
      </c>
      <c r="S1092" s="6">
        <v>0.0</v>
      </c>
      <c r="T1092" s="6">
        <v>0.0</v>
      </c>
      <c r="U1092" s="6">
        <v>0.0</v>
      </c>
    </row>
    <row r="1093">
      <c r="A1093" s="6" t="s">
        <v>1117</v>
      </c>
      <c r="B1093" s="6" t="s">
        <v>11578</v>
      </c>
      <c r="C1093" s="6" t="s">
        <v>11591</v>
      </c>
      <c r="D1093" s="6" t="s">
        <v>128</v>
      </c>
      <c r="E1093" s="6" t="s">
        <v>2363</v>
      </c>
      <c r="G1093" s="6" t="s">
        <v>2939</v>
      </c>
      <c r="H1093" s="6">
        <v>4.0</v>
      </c>
      <c r="I1093" s="6">
        <v>0.0</v>
      </c>
      <c r="J1093" s="6">
        <v>0.0</v>
      </c>
      <c r="K1093" s="6">
        <v>0.0</v>
      </c>
      <c r="L1093" s="6">
        <v>0.0</v>
      </c>
      <c r="M1093" s="6">
        <v>0.0</v>
      </c>
      <c r="N1093" s="669">
        <v>804000.0</v>
      </c>
      <c r="O1093" s="6">
        <v>0.0</v>
      </c>
      <c r="P1093" s="6">
        <v>0.0</v>
      </c>
      <c r="Q1093" s="6">
        <v>0.0</v>
      </c>
      <c r="R1093" s="6">
        <v>0.0</v>
      </c>
      <c r="S1093" s="6">
        <v>0.0</v>
      </c>
      <c r="T1093" s="6">
        <v>0.0</v>
      </c>
      <c r="U1093" s="6">
        <v>0.0</v>
      </c>
    </row>
    <row r="1094">
      <c r="A1094" s="6" t="s">
        <v>1118</v>
      </c>
      <c r="B1094" s="6" t="s">
        <v>11576</v>
      </c>
      <c r="C1094" s="6" t="s">
        <v>11591</v>
      </c>
      <c r="D1094" s="6" t="s">
        <v>130</v>
      </c>
      <c r="E1094" s="6" t="s">
        <v>2363</v>
      </c>
      <c r="G1094" s="6" t="s">
        <v>2939</v>
      </c>
      <c r="H1094" s="6">
        <v>3.0</v>
      </c>
      <c r="I1094" s="6">
        <v>0.0</v>
      </c>
      <c r="J1094" s="6">
        <v>0.0</v>
      </c>
      <c r="K1094" s="6">
        <v>0.0</v>
      </c>
      <c r="L1094" s="6">
        <v>0.0</v>
      </c>
      <c r="M1094" s="6">
        <v>0.0</v>
      </c>
      <c r="N1094" s="669">
        <v>804000.0</v>
      </c>
      <c r="O1094" s="6">
        <v>0.0</v>
      </c>
      <c r="P1094" s="6">
        <v>0.0</v>
      </c>
      <c r="Q1094" s="6">
        <v>0.0</v>
      </c>
      <c r="R1094" s="6">
        <v>0.0</v>
      </c>
      <c r="S1094" s="6">
        <v>0.0</v>
      </c>
      <c r="T1094" s="6">
        <v>0.0</v>
      </c>
      <c r="U1094" s="6">
        <v>0.0</v>
      </c>
    </row>
    <row r="1095">
      <c r="A1095" s="6" t="s">
        <v>1867</v>
      </c>
      <c r="B1095" s="6" t="s">
        <v>11569</v>
      </c>
      <c r="C1095" s="6" t="s">
        <v>11570</v>
      </c>
      <c r="D1095" s="6" t="s">
        <v>22</v>
      </c>
      <c r="E1095" s="6" t="s">
        <v>1868</v>
      </c>
      <c r="F1095" s="6" t="s">
        <v>75</v>
      </c>
      <c r="G1095" s="6" t="s">
        <v>2939</v>
      </c>
      <c r="H1095" s="6">
        <v>0.0</v>
      </c>
      <c r="I1095" s="6">
        <v>0.0</v>
      </c>
      <c r="J1095" s="6">
        <v>2.0</v>
      </c>
      <c r="K1095" s="6">
        <v>0.0</v>
      </c>
      <c r="L1095" s="6">
        <v>0.0</v>
      </c>
      <c r="M1095" s="6">
        <v>0.0</v>
      </c>
      <c r="N1095" s="669">
        <v>2464000.0</v>
      </c>
      <c r="O1095" s="6">
        <v>0.0</v>
      </c>
      <c r="P1095" s="6">
        <v>0.0</v>
      </c>
      <c r="Q1095" s="6">
        <v>0.0</v>
      </c>
      <c r="R1095" s="6">
        <v>0.0</v>
      </c>
      <c r="S1095" s="6">
        <v>5.0</v>
      </c>
      <c r="T1095" s="6">
        <v>0.0</v>
      </c>
      <c r="U1095" s="6">
        <v>0.0</v>
      </c>
    </row>
    <row r="1096">
      <c r="A1096" s="6" t="s">
        <v>1869</v>
      </c>
      <c r="B1096" s="6" t="s">
        <v>11569</v>
      </c>
      <c r="C1096" s="6" t="s">
        <v>11570</v>
      </c>
      <c r="D1096" s="6" t="s">
        <v>22</v>
      </c>
      <c r="E1096" s="6" t="s">
        <v>1870</v>
      </c>
      <c r="F1096" s="6" t="s">
        <v>737</v>
      </c>
      <c r="G1096" s="6" t="s">
        <v>2939</v>
      </c>
      <c r="H1096" s="6">
        <v>0.0</v>
      </c>
      <c r="I1096" s="6">
        <v>0.0</v>
      </c>
      <c r="J1096" s="6">
        <v>4.0</v>
      </c>
      <c r="K1096" s="6">
        <v>0.0</v>
      </c>
      <c r="L1096" s="6">
        <v>0.0</v>
      </c>
      <c r="M1096" s="6">
        <v>0.0</v>
      </c>
      <c r="N1096" s="669">
        <v>4681000.0</v>
      </c>
      <c r="O1096" s="6">
        <v>0.0</v>
      </c>
      <c r="P1096" s="6">
        <v>0.0</v>
      </c>
      <c r="Q1096" s="6">
        <v>0.0</v>
      </c>
      <c r="R1096" s="6">
        <v>0.0</v>
      </c>
      <c r="S1096" s="6">
        <v>0.0</v>
      </c>
      <c r="T1096" s="6">
        <v>0.0</v>
      </c>
      <c r="U1096" s="6">
        <v>0.0</v>
      </c>
    </row>
    <row r="1097">
      <c r="A1097" s="6" t="s">
        <v>1871</v>
      </c>
      <c r="B1097" s="6" t="s">
        <v>11654</v>
      </c>
      <c r="C1097" s="6" t="s">
        <v>11570</v>
      </c>
      <c r="D1097" s="6" t="s">
        <v>22</v>
      </c>
      <c r="E1097" s="6" t="s">
        <v>12002</v>
      </c>
      <c r="F1097" s="6" t="s">
        <v>97</v>
      </c>
      <c r="G1097" s="6" t="s">
        <v>2939</v>
      </c>
      <c r="H1097" s="6">
        <v>0.0</v>
      </c>
      <c r="I1097" s="6">
        <v>0.0</v>
      </c>
      <c r="J1097" s="6">
        <v>0.0</v>
      </c>
      <c r="K1097" s="6">
        <v>0.0</v>
      </c>
      <c r="L1097" s="6">
        <v>3.0</v>
      </c>
      <c r="M1097" s="6">
        <v>1.0</v>
      </c>
      <c r="N1097" s="669">
        <v>1365000.0</v>
      </c>
      <c r="O1097" s="6">
        <v>0.0</v>
      </c>
      <c r="P1097" s="6">
        <v>0.0</v>
      </c>
      <c r="Q1097" s="6">
        <v>0.0</v>
      </c>
      <c r="R1097" s="6">
        <v>0.0</v>
      </c>
      <c r="S1097" s="6">
        <v>10.0</v>
      </c>
      <c r="T1097" s="6">
        <v>0.0</v>
      </c>
      <c r="U1097" s="6">
        <v>0.0</v>
      </c>
    </row>
    <row r="1098">
      <c r="A1098" s="6" t="s">
        <v>1119</v>
      </c>
      <c r="B1098" s="6" t="s">
        <v>11576</v>
      </c>
      <c r="C1098" s="6" t="s">
        <v>11579</v>
      </c>
      <c r="D1098" s="6" t="s">
        <v>41</v>
      </c>
      <c r="E1098" s="6" t="s">
        <v>12002</v>
      </c>
      <c r="F1098" s="6" t="s">
        <v>2193</v>
      </c>
      <c r="G1098" s="6" t="s">
        <v>2939</v>
      </c>
      <c r="H1098" s="6">
        <v>0.0</v>
      </c>
      <c r="I1098" s="6">
        <v>0.0</v>
      </c>
      <c r="J1098" s="6">
        <v>2.0</v>
      </c>
      <c r="K1098" s="6">
        <v>3.0</v>
      </c>
      <c r="L1098" s="6">
        <v>0.0</v>
      </c>
      <c r="M1098" s="6">
        <v>0.0</v>
      </c>
      <c r="N1098" s="669">
        <v>1802000.0</v>
      </c>
      <c r="O1098" s="6">
        <v>0.0</v>
      </c>
      <c r="P1098" s="6">
        <v>0.0</v>
      </c>
      <c r="Q1098" s="6">
        <v>0.0</v>
      </c>
      <c r="R1098" s="6">
        <v>0.0</v>
      </c>
      <c r="S1098" s="6">
        <v>0.0</v>
      </c>
      <c r="T1098" s="6">
        <v>0.0</v>
      </c>
      <c r="U1098" s="6">
        <v>0.0</v>
      </c>
    </row>
    <row r="1099">
      <c r="A1099" s="6" t="s">
        <v>1121</v>
      </c>
      <c r="B1099" s="6" t="s">
        <v>11576</v>
      </c>
      <c r="C1099" s="6" t="s">
        <v>11570</v>
      </c>
      <c r="D1099" s="6" t="s">
        <v>22</v>
      </c>
      <c r="E1099" s="6" t="s">
        <v>12003</v>
      </c>
      <c r="F1099" s="6" t="s">
        <v>97</v>
      </c>
      <c r="G1099" s="6" t="s">
        <v>2939</v>
      </c>
      <c r="H1099" s="6">
        <v>0.0</v>
      </c>
      <c r="I1099" s="6">
        <v>0.0</v>
      </c>
      <c r="J1099" s="6" t="s">
        <v>11590</v>
      </c>
      <c r="K1099" s="6">
        <v>1.0</v>
      </c>
      <c r="L1099" s="6">
        <v>0.0</v>
      </c>
      <c r="M1099" s="6">
        <v>0.0</v>
      </c>
      <c r="N1099" s="669">
        <v>1409000.0</v>
      </c>
      <c r="O1099" s="6">
        <v>0.0</v>
      </c>
      <c r="P1099" s="6">
        <v>0.0</v>
      </c>
      <c r="Q1099" s="6">
        <v>0.0</v>
      </c>
      <c r="R1099" s="6">
        <v>0.0</v>
      </c>
      <c r="S1099" s="6">
        <v>0.0</v>
      </c>
      <c r="T1099" s="6">
        <v>0.0</v>
      </c>
      <c r="U1099" s="6">
        <v>0.0</v>
      </c>
    </row>
    <row r="1100">
      <c r="A1100" s="6" t="s">
        <v>1123</v>
      </c>
      <c r="B1100" s="6" t="s">
        <v>11576</v>
      </c>
      <c r="C1100" s="6" t="s">
        <v>11579</v>
      </c>
      <c r="D1100" s="6" t="s">
        <v>41</v>
      </c>
      <c r="E1100" s="6" t="s">
        <v>12003</v>
      </c>
      <c r="F1100" s="6" t="s">
        <v>2193</v>
      </c>
      <c r="G1100" s="6" t="s">
        <v>2939</v>
      </c>
      <c r="H1100" s="6">
        <v>0.0</v>
      </c>
      <c r="I1100" s="6">
        <v>0.0</v>
      </c>
      <c r="J1100" s="6">
        <v>2.0</v>
      </c>
      <c r="K1100" s="6">
        <v>0.0</v>
      </c>
      <c r="L1100" s="6">
        <v>0.0</v>
      </c>
      <c r="M1100" s="6">
        <v>0.0</v>
      </c>
      <c r="N1100" s="669">
        <v>2385000.0</v>
      </c>
      <c r="O1100" s="6">
        <v>0.0</v>
      </c>
      <c r="P1100" s="6">
        <v>0.0</v>
      </c>
      <c r="Q1100" s="6">
        <v>0.0</v>
      </c>
      <c r="R1100" s="6">
        <v>0.0</v>
      </c>
      <c r="S1100" s="6">
        <v>0.0</v>
      </c>
      <c r="T1100" s="6">
        <v>0.0</v>
      </c>
      <c r="U1100" s="6">
        <v>0.0</v>
      </c>
    </row>
    <row r="1101">
      <c r="A1101" s="6" t="s">
        <v>1872</v>
      </c>
      <c r="B1101" s="6" t="s">
        <v>11569</v>
      </c>
      <c r="C1101" s="6" t="s">
        <v>11591</v>
      </c>
      <c r="D1101" s="6" t="s">
        <v>128</v>
      </c>
      <c r="E1101" s="6" t="s">
        <v>12003</v>
      </c>
      <c r="F1101" s="6" t="s">
        <v>397</v>
      </c>
      <c r="G1101" s="6" t="s">
        <v>2939</v>
      </c>
      <c r="H1101" s="6">
        <v>0.0</v>
      </c>
      <c r="I1101" s="6">
        <v>0.0</v>
      </c>
      <c r="J1101" s="6">
        <v>0.0</v>
      </c>
      <c r="K1101" s="6">
        <v>0.0</v>
      </c>
      <c r="L1101" s="6">
        <v>0.0</v>
      </c>
      <c r="M1101" s="6">
        <v>0.0</v>
      </c>
      <c r="N1101" s="669">
        <v>471000.0</v>
      </c>
      <c r="O1101" s="6">
        <v>0.0</v>
      </c>
      <c r="P1101" s="6">
        <v>0.0</v>
      </c>
      <c r="Q1101" s="6">
        <v>0.0</v>
      </c>
      <c r="R1101" s="6">
        <v>0.0</v>
      </c>
      <c r="S1101" s="6">
        <v>0.0</v>
      </c>
      <c r="T1101" s="6">
        <v>0.0</v>
      </c>
      <c r="U1101" s="6">
        <v>0.0</v>
      </c>
    </row>
    <row r="1102">
      <c r="A1102" s="6" t="s">
        <v>1873</v>
      </c>
      <c r="B1102" s="6" t="s">
        <v>11569</v>
      </c>
      <c r="C1102" s="6" t="s">
        <v>11591</v>
      </c>
      <c r="D1102" s="6" t="s">
        <v>130</v>
      </c>
      <c r="E1102" s="6" t="s">
        <v>12003</v>
      </c>
      <c r="F1102" s="6" t="s">
        <v>397</v>
      </c>
      <c r="G1102" s="6" t="s">
        <v>2939</v>
      </c>
      <c r="H1102" s="6">
        <v>0.0</v>
      </c>
      <c r="I1102" s="6">
        <v>0.0</v>
      </c>
      <c r="J1102" s="6">
        <v>0.0</v>
      </c>
      <c r="K1102" s="6">
        <v>0.0</v>
      </c>
      <c r="L1102" s="6">
        <v>0.0</v>
      </c>
      <c r="M1102" s="6">
        <v>0.0</v>
      </c>
      <c r="N1102" s="669">
        <v>471000.0</v>
      </c>
      <c r="O1102" s="6">
        <v>0.0</v>
      </c>
      <c r="P1102" s="6">
        <v>0.0</v>
      </c>
      <c r="Q1102" s="6">
        <v>0.0</v>
      </c>
      <c r="R1102" s="6">
        <v>0.0</v>
      </c>
      <c r="S1102" s="6">
        <v>0.0</v>
      </c>
      <c r="T1102" s="6">
        <v>0.0</v>
      </c>
      <c r="U1102" s="6">
        <v>0.0</v>
      </c>
    </row>
    <row r="1103">
      <c r="A1103" s="6" t="s">
        <v>1874</v>
      </c>
      <c r="B1103" s="6" t="s">
        <v>11569</v>
      </c>
      <c r="C1103" s="6" t="s">
        <v>11591</v>
      </c>
      <c r="D1103" s="6" t="s">
        <v>132</v>
      </c>
      <c r="E1103" s="6" t="s">
        <v>12003</v>
      </c>
      <c r="G1103" s="6" t="s">
        <v>2939</v>
      </c>
      <c r="H1103" s="6">
        <v>0.0</v>
      </c>
      <c r="I1103" s="6">
        <v>0.0</v>
      </c>
      <c r="J1103" s="6">
        <v>0.0</v>
      </c>
      <c r="K1103" s="6">
        <v>0.0</v>
      </c>
      <c r="L1103" s="6">
        <v>0.0</v>
      </c>
      <c r="M1103" s="6">
        <v>0.0</v>
      </c>
      <c r="N1103" s="669">
        <v>471000.0</v>
      </c>
      <c r="O1103" s="6">
        <v>0.0</v>
      </c>
      <c r="P1103" s="6">
        <v>0.0</v>
      </c>
      <c r="Q1103" s="6">
        <v>0.0</v>
      </c>
      <c r="R1103" s="6">
        <v>0.0</v>
      </c>
      <c r="S1103" s="6">
        <v>0.0</v>
      </c>
      <c r="T1103" s="6">
        <v>0.0</v>
      </c>
      <c r="U1103" s="6">
        <v>0.0</v>
      </c>
    </row>
    <row r="1104">
      <c r="A1104" s="6" t="s">
        <v>1875</v>
      </c>
      <c r="B1104" s="6" t="s">
        <v>11569</v>
      </c>
      <c r="C1104" s="6" t="s">
        <v>11591</v>
      </c>
      <c r="D1104" s="6" t="s">
        <v>134</v>
      </c>
      <c r="E1104" s="6" t="s">
        <v>12003</v>
      </c>
      <c r="G1104" s="6" t="s">
        <v>2939</v>
      </c>
      <c r="H1104" s="6">
        <v>0.0</v>
      </c>
      <c r="I1104" s="6">
        <v>0.0</v>
      </c>
      <c r="J1104" s="6">
        <v>0.0</v>
      </c>
      <c r="K1104" s="6">
        <v>0.0</v>
      </c>
      <c r="L1104" s="6">
        <v>0.0</v>
      </c>
      <c r="M1104" s="6">
        <v>0.0</v>
      </c>
      <c r="N1104" s="669">
        <v>471000.0</v>
      </c>
      <c r="O1104" s="6">
        <v>0.0</v>
      </c>
      <c r="P1104" s="6">
        <v>0.0</v>
      </c>
      <c r="Q1104" s="6">
        <v>0.0</v>
      </c>
      <c r="R1104" s="6">
        <v>0.0</v>
      </c>
      <c r="S1104" s="6">
        <v>0.0</v>
      </c>
      <c r="T1104" s="6">
        <v>0.0</v>
      </c>
      <c r="U1104" s="6">
        <v>0.0</v>
      </c>
    </row>
    <row r="1105">
      <c r="A1105" s="6" t="s">
        <v>1972</v>
      </c>
      <c r="B1105" s="6" t="s">
        <v>11654</v>
      </c>
      <c r="C1105" s="6" t="s">
        <v>11570</v>
      </c>
      <c r="D1105" s="6" t="s">
        <v>22</v>
      </c>
      <c r="E1105" s="6" t="s">
        <v>1125</v>
      </c>
      <c r="F1105" s="6" t="s">
        <v>97</v>
      </c>
      <c r="G1105" s="6" t="s">
        <v>2939</v>
      </c>
      <c r="H1105" s="6">
        <v>0.0</v>
      </c>
      <c r="I1105" s="6">
        <v>0.0</v>
      </c>
      <c r="J1105" s="6">
        <v>0.0</v>
      </c>
      <c r="K1105" s="6">
        <v>0.0</v>
      </c>
      <c r="L1105" s="6">
        <v>1.0</v>
      </c>
      <c r="M1105" s="6">
        <v>2.0</v>
      </c>
      <c r="N1105" s="669">
        <v>1439000.0</v>
      </c>
      <c r="O1105" s="6" t="s">
        <v>11590</v>
      </c>
      <c r="P1105" s="6">
        <v>0.0</v>
      </c>
      <c r="Q1105" s="6">
        <v>0.0</v>
      </c>
      <c r="R1105" s="6">
        <v>0.0</v>
      </c>
      <c r="S1105" s="6">
        <v>0.0</v>
      </c>
      <c r="T1105" s="6">
        <v>0.0</v>
      </c>
      <c r="U1105" s="6">
        <v>0.0</v>
      </c>
    </row>
    <row r="1106">
      <c r="A1106" s="6" t="s">
        <v>1124</v>
      </c>
      <c r="B1106" s="6" t="s">
        <v>11569</v>
      </c>
      <c r="C1106" s="6" t="s">
        <v>11579</v>
      </c>
      <c r="D1106" s="6" t="s">
        <v>41</v>
      </c>
      <c r="E1106" s="6" t="s">
        <v>1125</v>
      </c>
      <c r="F1106" s="6" t="s">
        <v>2062</v>
      </c>
      <c r="G1106" s="6" t="s">
        <v>2939</v>
      </c>
      <c r="H1106" s="6">
        <v>0.0</v>
      </c>
      <c r="I1106" s="6">
        <v>0.0</v>
      </c>
      <c r="J1106" s="6">
        <v>6.0</v>
      </c>
      <c r="K1106" s="6">
        <v>0.0</v>
      </c>
      <c r="L1106" s="6">
        <v>0.0</v>
      </c>
      <c r="M1106" s="6">
        <v>0.0</v>
      </c>
      <c r="N1106" s="669">
        <v>2398000.0</v>
      </c>
      <c r="O1106" s="6">
        <v>0.0</v>
      </c>
      <c r="P1106" s="6">
        <v>0.0</v>
      </c>
      <c r="Q1106" s="6">
        <v>0.0</v>
      </c>
      <c r="R1106" s="6">
        <v>0.0</v>
      </c>
      <c r="S1106" s="6">
        <v>0.0</v>
      </c>
      <c r="T1106" s="6">
        <v>0.0</v>
      </c>
      <c r="U1106" s="6">
        <v>0.0</v>
      </c>
    </row>
    <row r="1107">
      <c r="A1107" s="6" t="s">
        <v>1414</v>
      </c>
      <c r="B1107" s="6" t="s">
        <v>11569</v>
      </c>
      <c r="C1107" s="6" t="s">
        <v>11570</v>
      </c>
      <c r="D1107" s="6" t="s">
        <v>22</v>
      </c>
      <c r="E1107" s="6" t="s">
        <v>1415</v>
      </c>
      <c r="F1107" s="6" t="s">
        <v>75</v>
      </c>
      <c r="G1107" s="6" t="s">
        <v>2939</v>
      </c>
      <c r="H1107" s="6">
        <v>0.0</v>
      </c>
      <c r="I1107" s="6">
        <v>0.0</v>
      </c>
      <c r="J1107" s="6">
        <v>0.0</v>
      </c>
      <c r="K1107" s="6">
        <v>0.0</v>
      </c>
      <c r="L1107" s="6">
        <v>0.0</v>
      </c>
      <c r="M1107" s="6">
        <v>0.0</v>
      </c>
      <c r="N1107" s="669">
        <v>3050000.0</v>
      </c>
      <c r="O1107" s="6">
        <v>0.0</v>
      </c>
      <c r="P1107" s="6">
        <v>0.0</v>
      </c>
      <c r="Q1107" s="6">
        <v>0.0</v>
      </c>
      <c r="R1107" s="6">
        <v>0.0</v>
      </c>
      <c r="S1107" s="6">
        <v>5.0</v>
      </c>
      <c r="T1107" s="6">
        <v>0.0</v>
      </c>
      <c r="U1107" s="6">
        <v>0.0</v>
      </c>
    </row>
    <row r="1108">
      <c r="A1108" s="6" t="s">
        <v>12004</v>
      </c>
      <c r="B1108" s="6" t="s">
        <v>11569</v>
      </c>
      <c r="C1108" s="6" t="s">
        <v>11570</v>
      </c>
      <c r="D1108" s="6" t="s">
        <v>22</v>
      </c>
      <c r="E1108" s="6" t="s">
        <v>12005</v>
      </c>
      <c r="F1108" s="6" t="s">
        <v>97</v>
      </c>
      <c r="G1108" s="6" t="s">
        <v>2939</v>
      </c>
      <c r="H1108" s="6">
        <v>0.0</v>
      </c>
      <c r="I1108" s="6">
        <v>0.0</v>
      </c>
      <c r="J1108" s="6">
        <v>5.0</v>
      </c>
      <c r="K1108" s="6">
        <v>0.0</v>
      </c>
      <c r="L1108" s="6">
        <v>0.0</v>
      </c>
      <c r="M1108" s="6">
        <v>0.0</v>
      </c>
      <c r="N1108" s="669">
        <v>4000000.0</v>
      </c>
      <c r="O1108" s="6">
        <v>0.0</v>
      </c>
      <c r="P1108" s="6">
        <v>0.0</v>
      </c>
      <c r="Q1108" s="6">
        <v>0.0</v>
      </c>
      <c r="R1108" s="6">
        <v>0.0</v>
      </c>
      <c r="S1108" s="6">
        <v>0.0</v>
      </c>
      <c r="T1108" s="6">
        <v>0.0</v>
      </c>
      <c r="U1108" s="6">
        <v>0.0</v>
      </c>
    </row>
    <row r="1109">
      <c r="A1109" s="6" t="s">
        <v>1126</v>
      </c>
      <c r="B1109" s="6" t="s">
        <v>11578</v>
      </c>
      <c r="C1109" s="6" t="s">
        <v>11579</v>
      </c>
      <c r="D1109" s="6" t="s">
        <v>41</v>
      </c>
      <c r="E1109" s="6" t="s">
        <v>96</v>
      </c>
      <c r="F1109" s="6" t="s">
        <v>97</v>
      </c>
      <c r="G1109" s="6" t="s">
        <v>2939</v>
      </c>
      <c r="H1109" s="6">
        <v>0.0</v>
      </c>
      <c r="I1109" s="6">
        <v>0.0</v>
      </c>
      <c r="J1109" s="6">
        <v>0.0</v>
      </c>
      <c r="K1109" s="6">
        <v>0.0</v>
      </c>
      <c r="L1109" s="6">
        <v>0.0</v>
      </c>
      <c r="M1109" s="6">
        <v>0.0</v>
      </c>
      <c r="N1109" s="669">
        <v>484000.0</v>
      </c>
      <c r="O1109" s="6">
        <v>0.0</v>
      </c>
      <c r="P1109" s="6">
        <v>0.0</v>
      </c>
      <c r="Q1109" s="6">
        <v>0.0</v>
      </c>
      <c r="R1109" s="6">
        <v>0.0</v>
      </c>
      <c r="S1109" s="6">
        <v>0.0</v>
      </c>
      <c r="T1109" s="6">
        <v>0.0</v>
      </c>
      <c r="U1109" s="6">
        <v>0.0</v>
      </c>
    </row>
    <row r="1110">
      <c r="A1110" s="6" t="s">
        <v>1127</v>
      </c>
      <c r="B1110" s="6" t="s">
        <v>11578</v>
      </c>
      <c r="C1110" s="6" t="s">
        <v>11579</v>
      </c>
      <c r="D1110" s="6" t="s">
        <v>41</v>
      </c>
      <c r="E1110" s="6" t="s">
        <v>96</v>
      </c>
      <c r="F1110" s="6" t="s">
        <v>2193</v>
      </c>
      <c r="G1110" s="6" t="s">
        <v>2939</v>
      </c>
      <c r="H1110" s="6">
        <v>0.0</v>
      </c>
      <c r="I1110" s="6">
        <v>0.0</v>
      </c>
      <c r="J1110" s="6">
        <v>0.0</v>
      </c>
      <c r="K1110" s="6">
        <v>0.0</v>
      </c>
      <c r="L1110" s="6">
        <v>0.0</v>
      </c>
      <c r="M1110" s="6">
        <v>0.0</v>
      </c>
      <c r="N1110" s="669">
        <v>484000.0</v>
      </c>
      <c r="O1110" s="6">
        <v>0.0</v>
      </c>
      <c r="P1110" s="6">
        <v>0.0</v>
      </c>
      <c r="Q1110" s="6">
        <v>0.0</v>
      </c>
      <c r="R1110" s="6">
        <v>0.0</v>
      </c>
      <c r="S1110" s="6">
        <v>0.0</v>
      </c>
      <c r="T1110" s="6">
        <v>0.0</v>
      </c>
      <c r="U1110" s="6">
        <v>0.0</v>
      </c>
    </row>
    <row r="1111">
      <c r="A1111" s="6" t="s">
        <v>12006</v>
      </c>
      <c r="B1111" s="6" t="s">
        <v>11569</v>
      </c>
      <c r="C1111" s="6" t="s">
        <v>11570</v>
      </c>
      <c r="D1111" s="6" t="s">
        <v>22</v>
      </c>
      <c r="E1111" s="6" t="s">
        <v>12007</v>
      </c>
      <c r="F1111" s="6" t="s">
        <v>1547</v>
      </c>
      <c r="G1111" s="6" t="s">
        <v>2939</v>
      </c>
      <c r="H1111" s="6">
        <v>0.0</v>
      </c>
      <c r="I1111" s="6">
        <v>0.0</v>
      </c>
      <c r="J1111" s="6">
        <v>0.0</v>
      </c>
      <c r="K1111" s="6">
        <v>0.0</v>
      </c>
      <c r="L1111" s="6">
        <v>0.0</v>
      </c>
      <c r="M1111" s="6">
        <v>0.0</v>
      </c>
      <c r="N1111" s="669">
        <v>3750000.0</v>
      </c>
      <c r="O1111" s="6">
        <v>0.0</v>
      </c>
      <c r="P1111" s="6">
        <v>0.0</v>
      </c>
      <c r="Q1111" s="6">
        <v>0.0</v>
      </c>
      <c r="R1111" s="6">
        <v>0.0</v>
      </c>
      <c r="S1111" s="6">
        <v>0.0</v>
      </c>
      <c r="T1111" s="6">
        <v>0.0</v>
      </c>
      <c r="U1111" s="6">
        <v>0.0</v>
      </c>
    </row>
    <row r="1112">
      <c r="A1112" s="6" t="s">
        <v>1128</v>
      </c>
      <c r="B1112" s="6" t="s">
        <v>11630</v>
      </c>
      <c r="C1112" s="6" t="s">
        <v>11570</v>
      </c>
      <c r="D1112" s="6" t="s">
        <v>22</v>
      </c>
      <c r="E1112" s="6" t="s">
        <v>12008</v>
      </c>
      <c r="F1112" s="6" t="s">
        <v>125</v>
      </c>
      <c r="G1112" s="6" t="s">
        <v>2939</v>
      </c>
      <c r="H1112" s="6">
        <v>0.0</v>
      </c>
      <c r="I1112" s="6">
        <v>0.0</v>
      </c>
      <c r="J1112" s="6">
        <v>6.0</v>
      </c>
      <c r="K1112" s="6" t="s">
        <v>11590</v>
      </c>
      <c r="L1112" s="6" t="s">
        <v>11590</v>
      </c>
      <c r="M1112" s="6" t="s">
        <v>11590</v>
      </c>
      <c r="N1112" s="669">
        <v>1092000.0</v>
      </c>
      <c r="O1112" s="6">
        <v>10.0</v>
      </c>
      <c r="P1112" s="6">
        <v>10.0</v>
      </c>
      <c r="Q1112" s="6">
        <v>0.0</v>
      </c>
      <c r="R1112" s="6">
        <v>0.0</v>
      </c>
      <c r="S1112" s="6" t="s">
        <v>11590</v>
      </c>
      <c r="T1112" s="6" t="s">
        <v>11590</v>
      </c>
      <c r="U1112" s="6" t="s">
        <v>11590</v>
      </c>
    </row>
    <row r="1113">
      <c r="A1113" s="6" t="s">
        <v>1130</v>
      </c>
      <c r="B1113" s="6" t="s">
        <v>11576</v>
      </c>
      <c r="C1113" s="6" t="s">
        <v>11579</v>
      </c>
      <c r="D1113" s="6" t="s">
        <v>41</v>
      </c>
      <c r="E1113" s="6" t="s">
        <v>12008</v>
      </c>
      <c r="F1113" s="6" t="s">
        <v>2193</v>
      </c>
      <c r="G1113" s="6" t="s">
        <v>2939</v>
      </c>
      <c r="H1113" s="6">
        <v>0.0</v>
      </c>
      <c r="I1113" s="6">
        <v>0.0</v>
      </c>
      <c r="J1113" s="6">
        <v>2.0</v>
      </c>
      <c r="K1113" s="6" t="s">
        <v>11590</v>
      </c>
      <c r="L1113" s="6">
        <v>0.0</v>
      </c>
      <c r="M1113" s="6">
        <v>0.0</v>
      </c>
      <c r="N1113" s="669">
        <v>1667000.0</v>
      </c>
      <c r="O1113" s="6">
        <v>0.0</v>
      </c>
      <c r="P1113" s="6">
        <v>0.0</v>
      </c>
      <c r="Q1113" s="6">
        <v>0.0</v>
      </c>
      <c r="R1113" s="6">
        <v>0.0</v>
      </c>
      <c r="S1113" s="6" t="s">
        <v>11590</v>
      </c>
      <c r="T1113" s="6">
        <v>0.0</v>
      </c>
      <c r="U1113" s="6">
        <v>0.0</v>
      </c>
    </row>
    <row r="1114">
      <c r="A1114" s="6" t="s">
        <v>1131</v>
      </c>
      <c r="B1114" s="6" t="s">
        <v>11576</v>
      </c>
      <c r="C1114" s="6" t="s">
        <v>11579</v>
      </c>
      <c r="D1114" s="6" t="s">
        <v>41</v>
      </c>
      <c r="E1114" s="6" t="s">
        <v>12009</v>
      </c>
      <c r="F1114" s="6" t="s">
        <v>2193</v>
      </c>
      <c r="G1114" s="6" t="s">
        <v>2939</v>
      </c>
      <c r="H1114" s="6">
        <v>0.0</v>
      </c>
      <c r="I1114" s="6">
        <v>0.0</v>
      </c>
      <c r="J1114" s="6" t="s">
        <v>11590</v>
      </c>
      <c r="K1114" s="6" t="s">
        <v>11590</v>
      </c>
      <c r="L1114" s="6">
        <v>0.0</v>
      </c>
      <c r="M1114" s="6">
        <v>0.0</v>
      </c>
      <c r="N1114" s="669">
        <v>1950000.0</v>
      </c>
      <c r="O1114" s="6">
        <v>0.0</v>
      </c>
      <c r="P1114" s="6">
        <v>0.0</v>
      </c>
      <c r="Q1114" s="6">
        <v>0.0</v>
      </c>
      <c r="R1114" s="6">
        <v>0.0</v>
      </c>
      <c r="S1114" s="6" t="s">
        <v>11590</v>
      </c>
      <c r="T1114" s="6" t="s">
        <v>11590</v>
      </c>
      <c r="U1114" s="6">
        <v>0.0</v>
      </c>
    </row>
    <row r="1115">
      <c r="A1115" s="6" t="s">
        <v>1133</v>
      </c>
      <c r="B1115" s="6" t="s">
        <v>11576</v>
      </c>
      <c r="C1115" s="6" t="s">
        <v>11591</v>
      </c>
      <c r="D1115" s="6" t="s">
        <v>132</v>
      </c>
      <c r="E1115" s="6" t="s">
        <v>12008</v>
      </c>
      <c r="G1115" s="6" t="s">
        <v>2939</v>
      </c>
      <c r="H1115" s="6">
        <v>0.0</v>
      </c>
      <c r="I1115" s="6">
        <v>0.0</v>
      </c>
      <c r="J1115" s="6" t="s">
        <v>11590</v>
      </c>
      <c r="K1115" s="6">
        <v>1.0</v>
      </c>
      <c r="L1115" s="6">
        <v>0.0</v>
      </c>
      <c r="M1115" s="6">
        <v>0.0</v>
      </c>
      <c r="N1115" s="669">
        <v>436000.0</v>
      </c>
      <c r="O1115" s="6">
        <v>0.0</v>
      </c>
      <c r="P1115" s="6">
        <v>0.0</v>
      </c>
      <c r="Q1115" s="6">
        <v>0.0</v>
      </c>
      <c r="R1115" s="6">
        <v>0.0</v>
      </c>
      <c r="S1115" s="6">
        <v>0.0</v>
      </c>
      <c r="T1115" s="6">
        <v>0.0</v>
      </c>
      <c r="U1115" s="6">
        <v>0.0</v>
      </c>
    </row>
    <row r="1116">
      <c r="A1116" s="6" t="s">
        <v>1134</v>
      </c>
      <c r="B1116" s="6" t="s">
        <v>11576</v>
      </c>
      <c r="C1116" s="6" t="s">
        <v>11591</v>
      </c>
      <c r="D1116" s="6" t="s">
        <v>134</v>
      </c>
      <c r="E1116" s="6" t="s">
        <v>12008</v>
      </c>
      <c r="G1116" s="6" t="s">
        <v>2939</v>
      </c>
      <c r="H1116" s="6">
        <v>0.0</v>
      </c>
      <c r="I1116" s="6">
        <v>0.0</v>
      </c>
      <c r="J1116" s="6" t="s">
        <v>11590</v>
      </c>
      <c r="K1116" s="6">
        <v>1.0</v>
      </c>
      <c r="L1116" s="6">
        <v>0.0</v>
      </c>
      <c r="M1116" s="6">
        <v>0.0</v>
      </c>
      <c r="N1116" s="669">
        <v>436000.0</v>
      </c>
      <c r="O1116" s="6">
        <v>0.0</v>
      </c>
      <c r="P1116" s="6">
        <v>0.0</v>
      </c>
      <c r="Q1116" s="6">
        <v>0.0</v>
      </c>
      <c r="R1116" s="6">
        <v>0.0</v>
      </c>
      <c r="S1116" s="6">
        <v>0.0</v>
      </c>
      <c r="T1116" s="6">
        <v>0.0</v>
      </c>
      <c r="U1116" s="6">
        <v>0.0</v>
      </c>
    </row>
    <row r="1117">
      <c r="A1117" s="6" t="s">
        <v>1135</v>
      </c>
      <c r="B1117" s="6" t="s">
        <v>11576</v>
      </c>
      <c r="C1117" s="6" t="s">
        <v>11591</v>
      </c>
      <c r="D1117" s="6" t="s">
        <v>202</v>
      </c>
      <c r="E1117" s="6" t="s">
        <v>12009</v>
      </c>
      <c r="F1117" s="6" t="s">
        <v>97</v>
      </c>
      <c r="G1117" s="6" t="s">
        <v>2939</v>
      </c>
      <c r="H1117" s="6">
        <v>0.0</v>
      </c>
      <c r="I1117" s="6">
        <v>0.0</v>
      </c>
      <c r="J1117" s="6">
        <v>0.0</v>
      </c>
      <c r="K1117" s="6">
        <v>0.0</v>
      </c>
      <c r="L1117" s="6">
        <v>0.0</v>
      </c>
      <c r="M1117" s="6">
        <v>0.0</v>
      </c>
      <c r="N1117" s="669">
        <v>773000.0</v>
      </c>
      <c r="O1117" s="6">
        <v>0.0</v>
      </c>
      <c r="P1117" s="6">
        <v>0.0</v>
      </c>
      <c r="Q1117" s="6">
        <v>0.0</v>
      </c>
      <c r="R1117" s="6">
        <v>0.0</v>
      </c>
      <c r="S1117" s="6" t="s">
        <v>11590</v>
      </c>
      <c r="T1117" s="6">
        <v>5.0</v>
      </c>
      <c r="U1117" s="6">
        <v>0.0</v>
      </c>
    </row>
    <row r="1118">
      <c r="A1118" s="6" t="s">
        <v>1136</v>
      </c>
      <c r="B1118" s="6" t="s">
        <v>11576</v>
      </c>
      <c r="C1118" s="6" t="s">
        <v>11591</v>
      </c>
      <c r="D1118" s="6" t="s">
        <v>236</v>
      </c>
      <c r="E1118" s="6" t="s">
        <v>12009</v>
      </c>
      <c r="F1118" s="6" t="s">
        <v>234</v>
      </c>
      <c r="G1118" s="6" t="s">
        <v>2939</v>
      </c>
      <c r="H1118" s="6">
        <v>0.0</v>
      </c>
      <c r="I1118" s="6">
        <v>0.0</v>
      </c>
      <c r="J1118" s="6">
        <v>0.0</v>
      </c>
      <c r="K1118" s="6">
        <v>0.0</v>
      </c>
      <c r="L1118" s="6">
        <v>0.0</v>
      </c>
      <c r="M1118" s="6">
        <v>0.0</v>
      </c>
      <c r="N1118" s="669">
        <v>933000.0</v>
      </c>
      <c r="O1118" s="6">
        <v>0.0</v>
      </c>
      <c r="P1118" s="6">
        <v>0.0</v>
      </c>
      <c r="Q1118" s="6">
        <v>0.0</v>
      </c>
      <c r="R1118" s="6">
        <v>0.0</v>
      </c>
      <c r="S1118" s="6" t="s">
        <v>11590</v>
      </c>
      <c r="T1118" s="6">
        <v>5.0</v>
      </c>
      <c r="U1118" s="6">
        <v>0.0</v>
      </c>
    </row>
    <row r="1119">
      <c r="A1119" s="6" t="s">
        <v>1137</v>
      </c>
      <c r="B1119" s="6" t="s">
        <v>11630</v>
      </c>
      <c r="C1119" s="6" t="s">
        <v>11570</v>
      </c>
      <c r="D1119" s="6" t="s">
        <v>22</v>
      </c>
      <c r="E1119" s="6" t="s">
        <v>2224</v>
      </c>
      <c r="F1119" s="6" t="s">
        <v>125</v>
      </c>
      <c r="G1119" s="6" t="s">
        <v>2939</v>
      </c>
      <c r="H1119" s="6">
        <v>0.0</v>
      </c>
      <c r="I1119" s="6">
        <v>0.0</v>
      </c>
      <c r="J1119" s="6">
        <v>0.0</v>
      </c>
      <c r="K1119" s="6">
        <v>1.0</v>
      </c>
      <c r="L1119" s="6" t="s">
        <v>11590</v>
      </c>
      <c r="M1119" s="6" t="s">
        <v>11590</v>
      </c>
      <c r="N1119" s="669">
        <v>1450000.0</v>
      </c>
      <c r="O1119" s="6">
        <v>0.0</v>
      </c>
      <c r="P1119" s="6">
        <v>10.0</v>
      </c>
      <c r="Q1119" s="6">
        <v>0.0</v>
      </c>
      <c r="R1119" s="6">
        <v>0.0</v>
      </c>
      <c r="S1119" s="6">
        <v>0.0</v>
      </c>
      <c r="T1119" s="6">
        <v>0.0</v>
      </c>
      <c r="U1119" s="6">
        <v>0.0</v>
      </c>
    </row>
    <row r="1120">
      <c r="A1120" s="6" t="s">
        <v>1139</v>
      </c>
      <c r="B1120" s="6" t="s">
        <v>11576</v>
      </c>
      <c r="C1120" s="6" t="s">
        <v>11579</v>
      </c>
      <c r="D1120" s="6" t="s">
        <v>41</v>
      </c>
      <c r="E1120" s="6" t="s">
        <v>2224</v>
      </c>
      <c r="F1120" s="6" t="s">
        <v>1377</v>
      </c>
      <c r="G1120" s="6" t="s">
        <v>2939</v>
      </c>
      <c r="H1120" s="6">
        <v>0.0</v>
      </c>
      <c r="I1120" s="6">
        <v>0.0</v>
      </c>
      <c r="J1120" s="6">
        <v>10.0</v>
      </c>
      <c r="K1120" s="6">
        <v>4.0</v>
      </c>
      <c r="L1120" s="6">
        <v>0.0</v>
      </c>
      <c r="M1120" s="6">
        <v>0.0</v>
      </c>
      <c r="N1120" s="669">
        <v>835000.0</v>
      </c>
      <c r="O1120" s="6">
        <v>0.0</v>
      </c>
      <c r="P1120" s="6">
        <v>0.0</v>
      </c>
      <c r="Q1120" s="6">
        <v>0.0</v>
      </c>
      <c r="R1120" s="6">
        <v>0.0</v>
      </c>
      <c r="S1120" s="6">
        <v>0.0</v>
      </c>
      <c r="T1120" s="6">
        <v>0.0</v>
      </c>
      <c r="U1120" s="6">
        <v>0.0</v>
      </c>
    </row>
    <row r="1121">
      <c r="A1121" s="6" t="s">
        <v>1140</v>
      </c>
      <c r="B1121" s="6" t="s">
        <v>11576</v>
      </c>
      <c r="C1121" s="6" t="s">
        <v>11579</v>
      </c>
      <c r="D1121" s="6" t="s">
        <v>41</v>
      </c>
      <c r="E1121" s="6" t="s">
        <v>12010</v>
      </c>
      <c r="F1121" s="6" t="s">
        <v>1377</v>
      </c>
      <c r="G1121" s="6" t="s">
        <v>2939</v>
      </c>
      <c r="H1121" s="6">
        <v>0.0</v>
      </c>
      <c r="I1121" s="6">
        <v>0.0</v>
      </c>
      <c r="J1121" s="6" t="s">
        <v>11590</v>
      </c>
      <c r="K1121" s="6">
        <v>0.0</v>
      </c>
      <c r="L1121" s="6">
        <v>0.0</v>
      </c>
      <c r="M1121" s="6">
        <v>0.0</v>
      </c>
      <c r="N1121" s="669">
        <v>1405000.0</v>
      </c>
      <c r="O1121" s="6">
        <v>0.0</v>
      </c>
      <c r="P1121" s="6">
        <v>0.0</v>
      </c>
      <c r="Q1121" s="6">
        <v>0.0</v>
      </c>
      <c r="R1121" s="6">
        <v>0.0</v>
      </c>
      <c r="S1121" s="6">
        <v>5.0</v>
      </c>
      <c r="T1121" s="6">
        <v>5.0</v>
      </c>
      <c r="U1121" s="6">
        <v>0.0</v>
      </c>
    </row>
    <row r="1122">
      <c r="A1122" s="6" t="s">
        <v>1142</v>
      </c>
      <c r="B1122" s="6" t="s">
        <v>11576</v>
      </c>
      <c r="C1122" s="6" t="s">
        <v>11591</v>
      </c>
      <c r="D1122" s="6" t="s">
        <v>132</v>
      </c>
      <c r="E1122" s="6" t="s">
        <v>2224</v>
      </c>
      <c r="G1122" s="6" t="s">
        <v>2939</v>
      </c>
      <c r="H1122" s="6">
        <v>0.0</v>
      </c>
      <c r="I1122" s="6">
        <v>0.0</v>
      </c>
      <c r="J1122" s="6">
        <v>9.0</v>
      </c>
      <c r="K1122" s="6">
        <v>0.0</v>
      </c>
      <c r="L1122" s="6">
        <v>0.0</v>
      </c>
      <c r="M1122" s="6">
        <v>0.0</v>
      </c>
      <c r="N1122" s="669">
        <v>319000.0</v>
      </c>
      <c r="O1122" s="6">
        <v>0.0</v>
      </c>
      <c r="P1122" s="6">
        <v>0.0</v>
      </c>
      <c r="Q1122" s="6">
        <v>0.0</v>
      </c>
      <c r="R1122" s="6">
        <v>0.0</v>
      </c>
      <c r="S1122" s="6">
        <v>0.0</v>
      </c>
      <c r="T1122" s="6">
        <v>0.0</v>
      </c>
      <c r="U1122" s="6">
        <v>0.0</v>
      </c>
    </row>
    <row r="1123">
      <c r="A1123" s="6" t="s">
        <v>1143</v>
      </c>
      <c r="B1123" s="6" t="s">
        <v>11576</v>
      </c>
      <c r="C1123" s="6" t="s">
        <v>11591</v>
      </c>
      <c r="D1123" s="6" t="s">
        <v>134</v>
      </c>
      <c r="E1123" s="6" t="s">
        <v>2224</v>
      </c>
      <c r="G1123" s="6" t="s">
        <v>2939</v>
      </c>
      <c r="H1123" s="6">
        <v>0.0</v>
      </c>
      <c r="I1123" s="6">
        <v>0.0</v>
      </c>
      <c r="J1123" s="6">
        <v>8.0</v>
      </c>
      <c r="K1123" s="6">
        <v>0.0</v>
      </c>
      <c r="L1123" s="6">
        <v>0.0</v>
      </c>
      <c r="M1123" s="6">
        <v>0.0</v>
      </c>
      <c r="N1123" s="669">
        <v>319000.0</v>
      </c>
      <c r="O1123" s="6">
        <v>0.0</v>
      </c>
      <c r="P1123" s="6">
        <v>0.0</v>
      </c>
      <c r="Q1123" s="6">
        <v>0.0</v>
      </c>
      <c r="R1123" s="6">
        <v>0.0</v>
      </c>
      <c r="S1123" s="6">
        <v>0.0</v>
      </c>
      <c r="T1123" s="6">
        <v>0.0</v>
      </c>
      <c r="U1123" s="6">
        <v>0.0</v>
      </c>
    </row>
    <row r="1124">
      <c r="A1124" s="6" t="s">
        <v>1885</v>
      </c>
      <c r="B1124" s="6" t="s">
        <v>11569</v>
      </c>
      <c r="C1124" s="6" t="s">
        <v>11570</v>
      </c>
      <c r="D1124" s="6" t="s">
        <v>22</v>
      </c>
      <c r="E1124" s="6" t="s">
        <v>12011</v>
      </c>
      <c r="F1124" s="6" t="s">
        <v>737</v>
      </c>
      <c r="G1124" s="6" t="s">
        <v>2939</v>
      </c>
      <c r="H1124" s="6">
        <v>0.0</v>
      </c>
      <c r="I1124" s="6">
        <v>0.0</v>
      </c>
      <c r="J1124" s="6">
        <v>4.0</v>
      </c>
      <c r="K1124" s="6">
        <v>0.0</v>
      </c>
      <c r="L1124" s="6">
        <v>0.0</v>
      </c>
      <c r="M1124" s="6">
        <v>0.0</v>
      </c>
      <c r="N1124" s="669">
        <v>8621000.0</v>
      </c>
      <c r="O1124" s="6">
        <v>0.0</v>
      </c>
      <c r="P1124" s="6">
        <v>0.0</v>
      </c>
      <c r="Q1124" s="6">
        <v>0.0</v>
      </c>
      <c r="R1124" s="6">
        <v>0.0</v>
      </c>
      <c r="S1124" s="6">
        <v>0.0</v>
      </c>
      <c r="T1124" s="6">
        <v>0.0</v>
      </c>
      <c r="U1124" s="6">
        <v>0.0</v>
      </c>
    </row>
    <row r="1125">
      <c r="A1125" s="6" t="s">
        <v>1887</v>
      </c>
      <c r="B1125" s="6" t="s">
        <v>11569</v>
      </c>
      <c r="C1125" s="6" t="s">
        <v>11579</v>
      </c>
      <c r="D1125" s="6" t="s">
        <v>41</v>
      </c>
      <c r="E1125" s="6" t="s">
        <v>12011</v>
      </c>
      <c r="F1125" s="6" t="s">
        <v>2193</v>
      </c>
      <c r="G1125" s="6" t="s">
        <v>2939</v>
      </c>
      <c r="H1125" s="6">
        <v>0.0</v>
      </c>
      <c r="I1125" s="6">
        <v>0.0</v>
      </c>
      <c r="J1125" s="6">
        <v>2.0</v>
      </c>
      <c r="K1125" s="6">
        <v>0.0</v>
      </c>
      <c r="L1125" s="6">
        <v>0.0</v>
      </c>
      <c r="M1125" s="6">
        <v>0.0</v>
      </c>
      <c r="N1125" s="669">
        <v>7063000.0</v>
      </c>
      <c r="O1125" s="6">
        <v>0.0</v>
      </c>
      <c r="P1125" s="6">
        <v>0.0</v>
      </c>
      <c r="Q1125" s="6">
        <v>0.0</v>
      </c>
      <c r="R1125" s="6">
        <v>0.0</v>
      </c>
      <c r="S1125" s="6">
        <v>0.0</v>
      </c>
      <c r="T1125" s="6">
        <v>0.0</v>
      </c>
      <c r="U1125" s="6">
        <v>0.0</v>
      </c>
    </row>
    <row r="1126">
      <c r="A1126" s="6" t="s">
        <v>12012</v>
      </c>
      <c r="B1126" s="6" t="s">
        <v>11569</v>
      </c>
      <c r="C1126" s="6" t="s">
        <v>11570</v>
      </c>
      <c r="D1126" s="6" t="s">
        <v>22</v>
      </c>
      <c r="E1126" s="6" t="s">
        <v>12013</v>
      </c>
      <c r="F1126" s="6" t="s">
        <v>75</v>
      </c>
      <c r="G1126" s="6" t="s">
        <v>11553</v>
      </c>
      <c r="H1126" s="6">
        <v>0.0</v>
      </c>
      <c r="I1126" s="6">
        <v>0.0</v>
      </c>
      <c r="J1126" s="6">
        <v>3.0</v>
      </c>
      <c r="K1126" s="6">
        <v>0.0</v>
      </c>
      <c r="L1126" s="6">
        <v>0.0</v>
      </c>
      <c r="M1126" s="6">
        <v>0.0</v>
      </c>
      <c r="N1126" s="669">
        <v>4500000.0</v>
      </c>
      <c r="O1126" s="6">
        <v>0.0</v>
      </c>
      <c r="P1126" s="6">
        <v>0.0</v>
      </c>
      <c r="Q1126" s="6">
        <v>0.0</v>
      </c>
      <c r="R1126" s="6">
        <v>0.0</v>
      </c>
      <c r="S1126" s="6">
        <v>0.0</v>
      </c>
      <c r="T1126" s="6">
        <v>0.0</v>
      </c>
      <c r="U1126" s="6">
        <v>0.0</v>
      </c>
    </row>
    <row r="1127">
      <c r="A1127" s="6" t="s">
        <v>1144</v>
      </c>
      <c r="B1127" s="6" t="s">
        <v>11630</v>
      </c>
      <c r="C1127" s="6" t="s">
        <v>11570</v>
      </c>
      <c r="D1127" s="6" t="s">
        <v>22</v>
      </c>
      <c r="E1127" s="6" t="s">
        <v>1145</v>
      </c>
      <c r="F1127" s="6" t="s">
        <v>125</v>
      </c>
      <c r="G1127" s="6" t="s">
        <v>2939</v>
      </c>
      <c r="H1127" s="6">
        <v>0.0</v>
      </c>
      <c r="I1127" s="6">
        <v>0.0</v>
      </c>
      <c r="J1127" s="6">
        <v>8.0</v>
      </c>
      <c r="K1127" s="6">
        <v>0.0</v>
      </c>
      <c r="L1127" s="6">
        <v>0.0</v>
      </c>
      <c r="M1127" s="6">
        <v>0.0</v>
      </c>
      <c r="N1127" s="669">
        <v>1409000.0</v>
      </c>
      <c r="O1127" s="6">
        <v>0.0</v>
      </c>
      <c r="P1127" s="6">
        <v>0.0</v>
      </c>
      <c r="Q1127" s="6">
        <v>0.0</v>
      </c>
      <c r="R1127" s="6">
        <v>0.0</v>
      </c>
      <c r="S1127" s="6" t="s">
        <v>11590</v>
      </c>
      <c r="T1127" s="6" t="s">
        <v>11590</v>
      </c>
      <c r="U1127" s="6" t="s">
        <v>11590</v>
      </c>
    </row>
    <row r="1128">
      <c r="A1128" s="6" t="s">
        <v>1146</v>
      </c>
      <c r="B1128" s="6" t="s">
        <v>11576</v>
      </c>
      <c r="C1128" s="6" t="s">
        <v>11579</v>
      </c>
      <c r="D1128" s="6" t="s">
        <v>41</v>
      </c>
      <c r="E1128" s="6" t="s">
        <v>12014</v>
      </c>
      <c r="F1128" s="6" t="s">
        <v>2301</v>
      </c>
      <c r="G1128" s="6" t="s">
        <v>2939</v>
      </c>
      <c r="H1128" s="6">
        <v>0.0</v>
      </c>
      <c r="I1128" s="6">
        <v>0.0</v>
      </c>
      <c r="J1128" s="6" t="s">
        <v>11590</v>
      </c>
      <c r="K1128" s="6">
        <v>3.0</v>
      </c>
      <c r="L1128" s="6">
        <v>0.0</v>
      </c>
      <c r="M1128" s="6">
        <v>0.0</v>
      </c>
      <c r="N1128" s="669">
        <v>2237000.0</v>
      </c>
      <c r="O1128" s="6">
        <v>0.0</v>
      </c>
      <c r="P1128" s="6">
        <v>0.0</v>
      </c>
      <c r="Q1128" s="6">
        <v>0.0</v>
      </c>
      <c r="R1128" s="6">
        <v>0.0</v>
      </c>
      <c r="S1128" s="6" t="s">
        <v>11590</v>
      </c>
      <c r="T1128" s="6">
        <v>10.0</v>
      </c>
      <c r="U1128" s="6">
        <v>0.0</v>
      </c>
    </row>
    <row r="1129">
      <c r="A1129" s="6" t="s">
        <v>1151</v>
      </c>
      <c r="B1129" s="6" t="s">
        <v>11576</v>
      </c>
      <c r="C1129" s="6" t="s">
        <v>11579</v>
      </c>
      <c r="D1129" s="6" t="s">
        <v>41</v>
      </c>
      <c r="E1129" s="6" t="s">
        <v>12015</v>
      </c>
      <c r="F1129" s="6" t="s">
        <v>2301</v>
      </c>
      <c r="G1129" s="6" t="s">
        <v>2939</v>
      </c>
      <c r="H1129" s="6">
        <v>0.0</v>
      </c>
      <c r="I1129" s="6">
        <v>0.0</v>
      </c>
      <c r="J1129" s="6" t="s">
        <v>11590</v>
      </c>
      <c r="K1129" s="6">
        <v>3.0</v>
      </c>
      <c r="L1129" s="6">
        <v>0.0</v>
      </c>
      <c r="M1129" s="6">
        <v>0.0</v>
      </c>
      <c r="N1129" s="669">
        <v>2602000.0</v>
      </c>
      <c r="O1129" s="6">
        <v>0.0</v>
      </c>
      <c r="P1129" s="6">
        <v>0.0</v>
      </c>
      <c r="Q1129" s="6">
        <v>0.0</v>
      </c>
      <c r="R1129" s="6">
        <v>0.0</v>
      </c>
      <c r="S1129" s="6" t="s">
        <v>11590</v>
      </c>
      <c r="T1129" s="6">
        <v>5.0</v>
      </c>
      <c r="U1129" s="6">
        <v>0.0</v>
      </c>
    </row>
    <row r="1130">
      <c r="A1130" s="6" t="s">
        <v>2299</v>
      </c>
      <c r="B1130" s="6" t="s">
        <v>11569</v>
      </c>
      <c r="C1130" s="6" t="s">
        <v>11579</v>
      </c>
      <c r="D1130" s="6" t="s">
        <v>41</v>
      </c>
      <c r="E1130" s="6" t="s">
        <v>12016</v>
      </c>
      <c r="F1130" s="6" t="s">
        <v>2301</v>
      </c>
      <c r="G1130" s="6" t="s">
        <v>2939</v>
      </c>
      <c r="H1130" s="6">
        <v>0.0</v>
      </c>
      <c r="I1130" s="6">
        <v>0.0</v>
      </c>
      <c r="J1130" s="6" t="s">
        <v>11590</v>
      </c>
      <c r="K1130" s="6">
        <v>1.0</v>
      </c>
      <c r="L1130" s="6">
        <v>0.0</v>
      </c>
      <c r="M1130" s="6">
        <v>0.0</v>
      </c>
      <c r="N1130" s="669">
        <v>2237000.0</v>
      </c>
      <c r="O1130" s="6">
        <v>0.0</v>
      </c>
      <c r="P1130" s="6">
        <v>0.0</v>
      </c>
      <c r="Q1130" s="6">
        <v>0.0</v>
      </c>
      <c r="R1130" s="6">
        <v>0.0</v>
      </c>
      <c r="S1130" s="6">
        <v>0.0</v>
      </c>
      <c r="T1130" s="6">
        <v>0.0</v>
      </c>
      <c r="U1130" s="6">
        <v>0.0</v>
      </c>
    </row>
    <row r="1131">
      <c r="A1131" s="6" t="s">
        <v>1147</v>
      </c>
      <c r="B1131" s="6" t="s">
        <v>11576</v>
      </c>
      <c r="C1131" s="6" t="s">
        <v>11591</v>
      </c>
      <c r="D1131" s="6" t="s">
        <v>128</v>
      </c>
      <c r="E1131" s="6" t="s">
        <v>1145</v>
      </c>
      <c r="F1131" s="6" t="s">
        <v>397</v>
      </c>
      <c r="G1131" s="6" t="s">
        <v>2939</v>
      </c>
      <c r="H1131" s="6">
        <v>0.0</v>
      </c>
      <c r="I1131" s="6">
        <v>0.0</v>
      </c>
      <c r="J1131" s="6">
        <v>0.0</v>
      </c>
      <c r="K1131" s="6">
        <v>1.0</v>
      </c>
      <c r="L1131" s="6">
        <v>0.0</v>
      </c>
      <c r="M1131" s="6">
        <v>0.0</v>
      </c>
      <c r="N1131" s="669">
        <v>818000.0</v>
      </c>
      <c r="O1131" s="6">
        <v>0.0</v>
      </c>
      <c r="P1131" s="6">
        <v>0.0</v>
      </c>
      <c r="Q1131" s="6">
        <v>0.0</v>
      </c>
      <c r="R1131" s="6">
        <v>0.0</v>
      </c>
      <c r="S1131" s="6" t="s">
        <v>11590</v>
      </c>
      <c r="T1131" s="6">
        <v>10.0</v>
      </c>
      <c r="U1131" s="6">
        <v>0.0</v>
      </c>
    </row>
    <row r="1132">
      <c r="A1132" s="6" t="s">
        <v>1148</v>
      </c>
      <c r="B1132" s="6" t="s">
        <v>11576</v>
      </c>
      <c r="C1132" s="6" t="s">
        <v>11591</v>
      </c>
      <c r="D1132" s="6" t="s">
        <v>130</v>
      </c>
      <c r="E1132" s="6" t="s">
        <v>1145</v>
      </c>
      <c r="F1132" s="6" t="s">
        <v>397</v>
      </c>
      <c r="G1132" s="6" t="s">
        <v>2939</v>
      </c>
      <c r="H1132" s="6">
        <v>0.0</v>
      </c>
      <c r="I1132" s="6">
        <v>0.0</v>
      </c>
      <c r="J1132" s="6">
        <v>0.0</v>
      </c>
      <c r="K1132" s="6">
        <v>0.0</v>
      </c>
      <c r="L1132" s="6">
        <v>0.0</v>
      </c>
      <c r="M1132" s="6">
        <v>0.0</v>
      </c>
      <c r="N1132" s="669">
        <v>818000.0</v>
      </c>
      <c r="O1132" s="6">
        <v>0.0</v>
      </c>
      <c r="P1132" s="6">
        <v>0.0</v>
      </c>
      <c r="Q1132" s="6">
        <v>0.0</v>
      </c>
      <c r="R1132" s="6">
        <v>0.0</v>
      </c>
      <c r="S1132" s="6" t="s">
        <v>11590</v>
      </c>
      <c r="T1132" s="6">
        <v>10.0</v>
      </c>
      <c r="U1132" s="6">
        <v>0.0</v>
      </c>
    </row>
    <row r="1133">
      <c r="A1133" s="6" t="s">
        <v>12017</v>
      </c>
      <c r="B1133" s="6" t="s">
        <v>11569</v>
      </c>
      <c r="C1133" s="6" t="s">
        <v>11591</v>
      </c>
      <c r="D1133" s="6" t="s">
        <v>132</v>
      </c>
      <c r="E1133" s="6" t="s">
        <v>1897</v>
      </c>
      <c r="F1133" s="6" t="s">
        <v>97</v>
      </c>
      <c r="G1133" s="6" t="s">
        <v>2939</v>
      </c>
      <c r="H1133" s="6">
        <v>0.0</v>
      </c>
      <c r="I1133" s="6">
        <v>0.0</v>
      </c>
      <c r="J1133" s="6" t="s">
        <v>11590</v>
      </c>
      <c r="K1133" s="6">
        <v>0.0</v>
      </c>
      <c r="L1133" s="6">
        <v>0.0</v>
      </c>
      <c r="M1133" s="6">
        <v>0.0</v>
      </c>
      <c r="N1133" s="669">
        <v>2595000.0</v>
      </c>
      <c r="O1133" s="6">
        <v>0.0</v>
      </c>
      <c r="P1133" s="6">
        <v>0.0</v>
      </c>
      <c r="Q1133" s="6">
        <v>0.0</v>
      </c>
      <c r="R1133" s="6">
        <v>0.0</v>
      </c>
      <c r="S1133" s="6" t="s">
        <v>11590</v>
      </c>
      <c r="T1133" s="6">
        <v>0.0</v>
      </c>
      <c r="U1133" s="6">
        <v>0.0</v>
      </c>
    </row>
    <row r="1134">
      <c r="A1134" s="6" t="s">
        <v>2312</v>
      </c>
      <c r="B1134" s="6" t="s">
        <v>11569</v>
      </c>
      <c r="C1134" s="6" t="s">
        <v>11591</v>
      </c>
      <c r="D1134" s="6" t="s">
        <v>134</v>
      </c>
      <c r="E1134" s="6" t="s">
        <v>1145</v>
      </c>
      <c r="F1134" s="6" t="s">
        <v>97</v>
      </c>
      <c r="G1134" s="6" t="s">
        <v>2939</v>
      </c>
      <c r="H1134" s="6">
        <v>0.0</v>
      </c>
      <c r="I1134" s="6">
        <v>0.0</v>
      </c>
      <c r="J1134" s="6">
        <v>0.0</v>
      </c>
      <c r="K1134" s="6">
        <v>0.0</v>
      </c>
      <c r="L1134" s="6">
        <v>0.0</v>
      </c>
      <c r="M1134" s="6">
        <v>0.0</v>
      </c>
      <c r="N1134" s="669">
        <v>1060000.0</v>
      </c>
      <c r="O1134" s="6">
        <v>0.0</v>
      </c>
      <c r="P1134" s="6">
        <v>0.0</v>
      </c>
      <c r="Q1134" s="6">
        <v>0.0</v>
      </c>
      <c r="R1134" s="6">
        <v>0.0</v>
      </c>
      <c r="S1134" s="6" t="s">
        <v>11590</v>
      </c>
      <c r="T1134" s="6">
        <v>0.0</v>
      </c>
      <c r="U1134" s="6">
        <v>0.0</v>
      </c>
    </row>
    <row r="1135">
      <c r="A1135" s="6" t="s">
        <v>2287</v>
      </c>
      <c r="B1135" s="6" t="s">
        <v>11569</v>
      </c>
      <c r="C1135" s="6" t="s">
        <v>11591</v>
      </c>
      <c r="D1135" s="6" t="s">
        <v>904</v>
      </c>
      <c r="E1135" s="6" t="s">
        <v>1145</v>
      </c>
      <c r="F1135" s="6" t="s">
        <v>97</v>
      </c>
      <c r="G1135" s="6" t="s">
        <v>2939</v>
      </c>
      <c r="H1135" s="6">
        <v>0.0</v>
      </c>
      <c r="I1135" s="6">
        <v>0.0</v>
      </c>
      <c r="J1135" s="6">
        <v>4.0</v>
      </c>
      <c r="K1135" s="6">
        <v>0.0</v>
      </c>
      <c r="L1135" s="6">
        <v>0.0</v>
      </c>
      <c r="M1135" s="6">
        <v>0.0</v>
      </c>
      <c r="N1135" s="669">
        <v>437000.0</v>
      </c>
      <c r="O1135" s="6">
        <v>0.0</v>
      </c>
      <c r="P1135" s="6">
        <v>0.0</v>
      </c>
      <c r="Q1135" s="6">
        <v>0.0</v>
      </c>
      <c r="R1135" s="6">
        <v>0.0</v>
      </c>
      <c r="S1135" s="6" t="s">
        <v>11590</v>
      </c>
      <c r="T1135" s="6">
        <v>10.0</v>
      </c>
      <c r="U1135" s="6">
        <v>0.0</v>
      </c>
    </row>
    <row r="1136">
      <c r="A1136" s="6" t="s">
        <v>1889</v>
      </c>
      <c r="B1136" s="6" t="s">
        <v>11569</v>
      </c>
      <c r="C1136" s="6" t="s">
        <v>11591</v>
      </c>
      <c r="D1136" s="6" t="s">
        <v>906</v>
      </c>
      <c r="E1136" s="6" t="s">
        <v>1145</v>
      </c>
      <c r="F1136" s="6" t="s">
        <v>97</v>
      </c>
      <c r="G1136" s="6" t="s">
        <v>2939</v>
      </c>
      <c r="H1136" s="6">
        <v>0.0</v>
      </c>
      <c r="I1136" s="6">
        <v>0.0</v>
      </c>
      <c r="J1136" s="6">
        <v>9.0</v>
      </c>
      <c r="K1136" s="6">
        <v>0.0</v>
      </c>
      <c r="L1136" s="6">
        <v>0.0</v>
      </c>
      <c r="M1136" s="6">
        <v>0.0</v>
      </c>
      <c r="N1136" s="669">
        <v>437000.0</v>
      </c>
      <c r="O1136" s="6">
        <v>0.0</v>
      </c>
      <c r="P1136" s="6">
        <v>0.0</v>
      </c>
      <c r="Q1136" s="6">
        <v>0.0</v>
      </c>
      <c r="R1136" s="6">
        <v>0.0</v>
      </c>
      <c r="S1136" s="6" t="s">
        <v>11590</v>
      </c>
      <c r="T1136" s="6">
        <v>10.0</v>
      </c>
      <c r="U1136" s="6">
        <v>0.0</v>
      </c>
    </row>
    <row r="1137">
      <c r="A1137" s="6" t="s">
        <v>1149</v>
      </c>
      <c r="B1137" s="6" t="s">
        <v>11576</v>
      </c>
      <c r="C1137" s="6" t="s">
        <v>11591</v>
      </c>
      <c r="D1137" s="6" t="s">
        <v>908</v>
      </c>
      <c r="E1137" s="6" t="s">
        <v>1145</v>
      </c>
      <c r="F1137" s="6" t="s">
        <v>97</v>
      </c>
      <c r="G1137" s="6" t="s">
        <v>2939</v>
      </c>
      <c r="H1137" s="6">
        <v>0.0</v>
      </c>
      <c r="I1137" s="6">
        <v>0.0</v>
      </c>
      <c r="J1137" s="6">
        <v>1.0</v>
      </c>
      <c r="K1137" s="6">
        <v>0.0</v>
      </c>
      <c r="L1137" s="6">
        <v>0.0</v>
      </c>
      <c r="M1137" s="6">
        <v>0.0</v>
      </c>
      <c r="N1137" s="669">
        <v>1060000.0</v>
      </c>
      <c r="O1137" s="6">
        <v>0.0</v>
      </c>
      <c r="P1137" s="6">
        <v>0.0</v>
      </c>
      <c r="Q1137" s="6">
        <v>0.0</v>
      </c>
      <c r="R1137" s="6">
        <v>0.0</v>
      </c>
      <c r="S1137" s="6" t="s">
        <v>11590</v>
      </c>
      <c r="T1137" s="6">
        <v>10.0</v>
      </c>
      <c r="U1137" s="6">
        <v>0.0</v>
      </c>
    </row>
    <row r="1138">
      <c r="A1138" s="6" t="s">
        <v>1150</v>
      </c>
      <c r="B1138" s="6" t="s">
        <v>11576</v>
      </c>
      <c r="C1138" s="6" t="s">
        <v>11591</v>
      </c>
      <c r="D1138" s="6" t="s">
        <v>911</v>
      </c>
      <c r="E1138" s="6" t="s">
        <v>1145</v>
      </c>
      <c r="F1138" s="6" t="s">
        <v>97</v>
      </c>
      <c r="G1138" s="6" t="s">
        <v>2939</v>
      </c>
      <c r="H1138" s="6">
        <v>0.0</v>
      </c>
      <c r="I1138" s="6">
        <v>0.0</v>
      </c>
      <c r="J1138" s="6">
        <v>6.0</v>
      </c>
      <c r="K1138" s="6">
        <v>9.0</v>
      </c>
      <c r="L1138" s="6">
        <v>0.0</v>
      </c>
      <c r="M1138" s="6">
        <v>0.0</v>
      </c>
      <c r="N1138" s="669">
        <v>1060000.0</v>
      </c>
      <c r="O1138" s="6">
        <v>0.0</v>
      </c>
      <c r="P1138" s="6">
        <v>0.0</v>
      </c>
      <c r="Q1138" s="6">
        <v>0.0</v>
      </c>
      <c r="R1138" s="6">
        <v>0.0</v>
      </c>
      <c r="S1138" s="6">
        <v>0.0</v>
      </c>
      <c r="T1138" s="6">
        <v>0.0</v>
      </c>
      <c r="U1138" s="6">
        <v>0.0</v>
      </c>
    </row>
    <row r="1139">
      <c r="A1139" s="6" t="s">
        <v>2200</v>
      </c>
      <c r="B1139" s="6" t="s">
        <v>11569</v>
      </c>
      <c r="C1139" s="6" t="s">
        <v>11591</v>
      </c>
      <c r="D1139" s="6" t="s">
        <v>911</v>
      </c>
      <c r="E1139" s="6" t="s">
        <v>1897</v>
      </c>
      <c r="F1139" s="6" t="s">
        <v>97</v>
      </c>
      <c r="G1139" s="6" t="s">
        <v>2939</v>
      </c>
      <c r="H1139" s="6">
        <v>0.0</v>
      </c>
      <c r="I1139" s="6">
        <v>0.0</v>
      </c>
      <c r="J1139" s="6" t="s">
        <v>11590</v>
      </c>
      <c r="K1139" s="6">
        <v>0.0</v>
      </c>
      <c r="L1139" s="6">
        <v>0.0</v>
      </c>
      <c r="M1139" s="6">
        <v>0.0</v>
      </c>
      <c r="N1139" s="669">
        <v>2595000.0</v>
      </c>
      <c r="O1139" s="6">
        <v>0.0</v>
      </c>
      <c r="P1139" s="6">
        <v>0.0</v>
      </c>
      <c r="Q1139" s="6">
        <v>0.0</v>
      </c>
      <c r="R1139" s="6">
        <v>0.0</v>
      </c>
      <c r="S1139" s="6" t="s">
        <v>11590</v>
      </c>
      <c r="T1139" s="6">
        <v>10.0</v>
      </c>
      <c r="U1139" s="6">
        <v>0.0</v>
      </c>
    </row>
    <row r="1140">
      <c r="A1140" s="6" t="s">
        <v>1907</v>
      </c>
      <c r="B1140" s="6" t="s">
        <v>11569</v>
      </c>
      <c r="C1140" s="6" t="s">
        <v>11570</v>
      </c>
      <c r="D1140" s="6" t="s">
        <v>22</v>
      </c>
      <c r="E1140" s="6" t="s">
        <v>1900</v>
      </c>
      <c r="F1140" s="6" t="s">
        <v>125</v>
      </c>
      <c r="G1140" s="6" t="s">
        <v>2939</v>
      </c>
      <c r="H1140" s="6">
        <v>0.0</v>
      </c>
      <c r="I1140" s="6">
        <v>0.0</v>
      </c>
      <c r="J1140" s="6">
        <v>0.0</v>
      </c>
      <c r="K1140" s="6">
        <v>0.0</v>
      </c>
      <c r="L1140" s="6">
        <v>0.0</v>
      </c>
      <c r="M1140" s="6">
        <v>0.0</v>
      </c>
      <c r="N1140" s="669">
        <v>1494000.0</v>
      </c>
      <c r="O1140" s="6">
        <v>0.0</v>
      </c>
      <c r="P1140" s="6">
        <v>0.0</v>
      </c>
      <c r="Q1140" s="6">
        <v>0.0</v>
      </c>
      <c r="R1140" s="6">
        <v>0.0</v>
      </c>
      <c r="S1140" s="6" t="s">
        <v>11590</v>
      </c>
      <c r="T1140" s="6" t="s">
        <v>11590</v>
      </c>
      <c r="U1140" s="6">
        <v>0.0</v>
      </c>
    </row>
    <row r="1141">
      <c r="A1141" s="6" t="s">
        <v>2297</v>
      </c>
      <c r="B1141" s="6" t="s">
        <v>11569</v>
      </c>
      <c r="C1141" s="6" t="s">
        <v>11579</v>
      </c>
      <c r="D1141" s="6" t="s">
        <v>41</v>
      </c>
      <c r="E1141" s="6" t="s">
        <v>12018</v>
      </c>
      <c r="F1141" s="6" t="s">
        <v>1377</v>
      </c>
      <c r="G1141" s="6" t="s">
        <v>2939</v>
      </c>
      <c r="H1141" s="6">
        <v>0.0</v>
      </c>
      <c r="I1141" s="6">
        <v>0.0</v>
      </c>
      <c r="J1141" s="6" t="s">
        <v>11590</v>
      </c>
      <c r="K1141" s="6">
        <v>2.0</v>
      </c>
      <c r="L1141" s="6">
        <v>0.0</v>
      </c>
      <c r="M1141" s="6">
        <v>0.0</v>
      </c>
      <c r="N1141" s="669">
        <v>2602000.0</v>
      </c>
      <c r="O1141" s="6">
        <v>0.0</v>
      </c>
      <c r="P1141" s="6">
        <v>0.0</v>
      </c>
      <c r="Q1141" s="6">
        <v>0.0</v>
      </c>
      <c r="R1141" s="6">
        <v>0.0</v>
      </c>
      <c r="S1141" s="6">
        <v>0.0</v>
      </c>
      <c r="T1141" s="6">
        <v>0.0</v>
      </c>
      <c r="U1141" s="6">
        <v>0.0</v>
      </c>
    </row>
    <row r="1142">
      <c r="A1142" s="6" t="s">
        <v>1375</v>
      </c>
      <c r="B1142" s="6" t="s">
        <v>11569</v>
      </c>
      <c r="C1142" s="6" t="s">
        <v>11579</v>
      </c>
      <c r="D1142" s="6" t="s">
        <v>41</v>
      </c>
      <c r="E1142" s="6" t="s">
        <v>12019</v>
      </c>
      <c r="F1142" s="6" t="s">
        <v>1377</v>
      </c>
      <c r="G1142" s="6" t="s">
        <v>2939</v>
      </c>
      <c r="H1142" s="6">
        <v>0.0</v>
      </c>
      <c r="I1142" s="6">
        <v>0.0</v>
      </c>
      <c r="J1142" s="6" t="s">
        <v>11590</v>
      </c>
      <c r="K1142" s="6">
        <v>0.0</v>
      </c>
      <c r="L1142" s="6">
        <v>0.0</v>
      </c>
      <c r="M1142" s="6">
        <v>0.0</v>
      </c>
      <c r="N1142" s="669">
        <v>2240000.0</v>
      </c>
      <c r="O1142" s="6">
        <v>0.0</v>
      </c>
      <c r="P1142" s="6">
        <v>0.0</v>
      </c>
      <c r="Q1142" s="6">
        <v>0.0</v>
      </c>
      <c r="R1142" s="6">
        <v>0.0</v>
      </c>
      <c r="S1142" s="6">
        <v>0.0</v>
      </c>
      <c r="T1142" s="6">
        <v>0.0</v>
      </c>
      <c r="U1142" s="6">
        <v>0.0</v>
      </c>
    </row>
    <row r="1143">
      <c r="A1143" s="6" t="s">
        <v>1899</v>
      </c>
      <c r="B1143" s="6" t="s">
        <v>11569</v>
      </c>
      <c r="C1143" s="6" t="s">
        <v>11591</v>
      </c>
      <c r="D1143" s="6" t="s">
        <v>128</v>
      </c>
      <c r="E1143" s="6" t="s">
        <v>1900</v>
      </c>
      <c r="G1143" s="6" t="s">
        <v>2939</v>
      </c>
      <c r="H1143" s="6">
        <v>0.0</v>
      </c>
      <c r="I1143" s="6">
        <v>0.0</v>
      </c>
      <c r="J1143" s="6">
        <v>10.0</v>
      </c>
      <c r="K1143" s="6">
        <v>0.0</v>
      </c>
      <c r="L1143" s="6">
        <v>0.0</v>
      </c>
      <c r="M1143" s="6">
        <v>0.0</v>
      </c>
      <c r="N1143" s="669">
        <v>825000.0</v>
      </c>
      <c r="O1143" s="6">
        <v>0.0</v>
      </c>
      <c r="P1143" s="6">
        <v>0.0</v>
      </c>
      <c r="Q1143" s="6">
        <v>0.0</v>
      </c>
      <c r="R1143" s="6">
        <v>0.0</v>
      </c>
      <c r="S1143" s="6">
        <v>0.0</v>
      </c>
      <c r="T1143" s="6">
        <v>0.0</v>
      </c>
      <c r="U1143" s="6">
        <v>10.0</v>
      </c>
    </row>
    <row r="1144">
      <c r="A1144" s="6" t="s">
        <v>1901</v>
      </c>
      <c r="B1144" s="6" t="s">
        <v>11569</v>
      </c>
      <c r="C1144" s="6" t="s">
        <v>11591</v>
      </c>
      <c r="D1144" s="6" t="s">
        <v>130</v>
      </c>
      <c r="E1144" s="6" t="s">
        <v>1900</v>
      </c>
      <c r="G1144" s="6" t="s">
        <v>2939</v>
      </c>
      <c r="H1144" s="6">
        <v>0.0</v>
      </c>
      <c r="I1144" s="6">
        <v>0.0</v>
      </c>
      <c r="J1144" s="6">
        <v>6.0</v>
      </c>
      <c r="K1144" s="6">
        <v>0.0</v>
      </c>
      <c r="L1144" s="6">
        <v>0.0</v>
      </c>
      <c r="M1144" s="6">
        <v>0.0</v>
      </c>
      <c r="N1144" s="669">
        <v>825000.0</v>
      </c>
      <c r="O1144" s="6">
        <v>0.0</v>
      </c>
      <c r="P1144" s="6">
        <v>0.0</v>
      </c>
      <c r="Q1144" s="6">
        <v>0.0</v>
      </c>
      <c r="R1144" s="6">
        <v>0.0</v>
      </c>
      <c r="S1144" s="6">
        <v>0.0</v>
      </c>
      <c r="T1144" s="6">
        <v>0.0</v>
      </c>
      <c r="U1144" s="6">
        <v>10.0</v>
      </c>
    </row>
    <row r="1145">
      <c r="A1145" s="6" t="s">
        <v>1902</v>
      </c>
      <c r="B1145" s="6" t="s">
        <v>11569</v>
      </c>
      <c r="C1145" s="6" t="s">
        <v>11591</v>
      </c>
      <c r="D1145" s="6" t="s">
        <v>132</v>
      </c>
      <c r="E1145" s="6" t="s">
        <v>1903</v>
      </c>
      <c r="F1145" s="6" t="s">
        <v>97</v>
      </c>
      <c r="G1145" s="6" t="s">
        <v>2939</v>
      </c>
      <c r="H1145" s="6">
        <v>0.0</v>
      </c>
      <c r="I1145" s="6">
        <v>0.0</v>
      </c>
      <c r="J1145" s="6">
        <v>8.0</v>
      </c>
      <c r="K1145" s="6">
        <v>3.0</v>
      </c>
      <c r="L1145" s="6">
        <v>0.0</v>
      </c>
      <c r="M1145" s="6">
        <v>0.0</v>
      </c>
      <c r="N1145" s="669">
        <v>3348000.0</v>
      </c>
      <c r="O1145" s="6">
        <v>0.0</v>
      </c>
      <c r="P1145" s="6">
        <v>0.0</v>
      </c>
      <c r="Q1145" s="6">
        <v>0.0</v>
      </c>
      <c r="R1145" s="6">
        <v>0.0</v>
      </c>
      <c r="S1145" s="6">
        <v>0.0</v>
      </c>
      <c r="T1145" s="6">
        <v>0.0</v>
      </c>
      <c r="U1145" s="6">
        <v>0.0</v>
      </c>
    </row>
    <row r="1146">
      <c r="A1146" s="6" t="s">
        <v>1904</v>
      </c>
      <c r="B1146" s="6" t="s">
        <v>11569</v>
      </c>
      <c r="C1146" s="6" t="s">
        <v>11591</v>
      </c>
      <c r="D1146" s="6" t="s">
        <v>134</v>
      </c>
      <c r="E1146" s="6" t="s">
        <v>1900</v>
      </c>
      <c r="F1146" s="6" t="s">
        <v>97</v>
      </c>
      <c r="G1146" s="6" t="s">
        <v>2939</v>
      </c>
      <c r="H1146" s="6">
        <v>0.0</v>
      </c>
      <c r="I1146" s="6">
        <v>0.0</v>
      </c>
      <c r="J1146" s="6">
        <v>0.0</v>
      </c>
      <c r="K1146" s="6">
        <v>2.0</v>
      </c>
      <c r="L1146" s="6">
        <v>0.0</v>
      </c>
      <c r="M1146" s="6">
        <v>0.0</v>
      </c>
      <c r="N1146" s="669">
        <v>1413000.0</v>
      </c>
      <c r="O1146" s="6">
        <v>0.0</v>
      </c>
      <c r="P1146" s="6">
        <v>0.0</v>
      </c>
      <c r="Q1146" s="6">
        <v>0.0</v>
      </c>
      <c r="R1146" s="6">
        <v>0.0</v>
      </c>
      <c r="S1146" s="6">
        <v>0.0</v>
      </c>
      <c r="T1146" s="6">
        <v>0.0</v>
      </c>
      <c r="U1146" s="6">
        <v>0.0</v>
      </c>
    </row>
    <row r="1147">
      <c r="A1147" s="6" t="s">
        <v>1905</v>
      </c>
      <c r="B1147" s="6" t="s">
        <v>11569</v>
      </c>
      <c r="C1147" s="6" t="s">
        <v>11591</v>
      </c>
      <c r="D1147" s="6" t="s">
        <v>908</v>
      </c>
      <c r="E1147" s="6" t="s">
        <v>1900</v>
      </c>
      <c r="F1147" s="6" t="s">
        <v>97</v>
      </c>
      <c r="G1147" s="6" t="s">
        <v>2939</v>
      </c>
      <c r="H1147" s="6">
        <v>0.0</v>
      </c>
      <c r="I1147" s="6">
        <v>0.0</v>
      </c>
      <c r="J1147" s="6">
        <v>9.0</v>
      </c>
      <c r="K1147" s="6">
        <v>0.0</v>
      </c>
      <c r="L1147" s="6">
        <v>0.0</v>
      </c>
      <c r="M1147" s="6">
        <v>0.0</v>
      </c>
      <c r="N1147" s="669">
        <v>1413000.0</v>
      </c>
      <c r="O1147" s="6">
        <v>0.0</v>
      </c>
      <c r="P1147" s="6">
        <v>0.0</v>
      </c>
      <c r="Q1147" s="6">
        <v>0.0</v>
      </c>
      <c r="R1147" s="6">
        <v>0.0</v>
      </c>
      <c r="S1147" s="6">
        <v>0.0</v>
      </c>
      <c r="T1147" s="6">
        <v>0.0</v>
      </c>
      <c r="U1147" s="6">
        <v>0.0</v>
      </c>
    </row>
    <row r="1148">
      <c r="A1148" s="6" t="s">
        <v>1906</v>
      </c>
      <c r="B1148" s="6" t="s">
        <v>11569</v>
      </c>
      <c r="C1148" s="6" t="s">
        <v>11591</v>
      </c>
      <c r="D1148" s="6" t="s">
        <v>911</v>
      </c>
      <c r="E1148" s="6" t="s">
        <v>1903</v>
      </c>
      <c r="F1148" s="6" t="s">
        <v>97</v>
      </c>
      <c r="G1148" s="6" t="s">
        <v>2939</v>
      </c>
      <c r="H1148" s="6">
        <v>0.0</v>
      </c>
      <c r="I1148" s="6">
        <v>0.0</v>
      </c>
      <c r="J1148" s="6">
        <v>8.0</v>
      </c>
      <c r="K1148" s="6">
        <v>0.0</v>
      </c>
      <c r="L1148" s="6">
        <v>0.0</v>
      </c>
      <c r="M1148" s="6">
        <v>0.0</v>
      </c>
      <c r="N1148" s="669">
        <v>3348000.0</v>
      </c>
      <c r="O1148" s="6">
        <v>0.0</v>
      </c>
      <c r="P1148" s="6">
        <v>0.0</v>
      </c>
      <c r="Q1148" s="6">
        <v>0.0</v>
      </c>
      <c r="R1148" s="6">
        <v>0.0</v>
      </c>
      <c r="S1148" s="6">
        <v>0.0</v>
      </c>
      <c r="T1148" s="6">
        <v>0.0</v>
      </c>
      <c r="U1148" s="6">
        <v>0.0</v>
      </c>
    </row>
    <row r="1149">
      <c r="A1149" s="6" t="s">
        <v>12020</v>
      </c>
      <c r="B1149" s="6" t="s">
        <v>11569</v>
      </c>
      <c r="C1149" s="6" t="s">
        <v>11570</v>
      </c>
      <c r="D1149" s="6" t="s">
        <v>22</v>
      </c>
      <c r="E1149" s="6" t="s">
        <v>12021</v>
      </c>
      <c r="F1149" s="6" t="s">
        <v>97</v>
      </c>
      <c r="G1149" s="6" t="s">
        <v>2939</v>
      </c>
      <c r="H1149" s="6">
        <v>0.0</v>
      </c>
      <c r="I1149" s="6">
        <v>0.0</v>
      </c>
      <c r="J1149" s="6">
        <v>3.0</v>
      </c>
      <c r="K1149" s="6">
        <v>0.0</v>
      </c>
      <c r="L1149" s="6">
        <v>0.0</v>
      </c>
      <c r="M1149" s="6">
        <v>0.0</v>
      </c>
      <c r="N1149" s="669">
        <v>1000000.0</v>
      </c>
      <c r="O1149" s="6">
        <v>0.0</v>
      </c>
      <c r="P1149" s="6">
        <v>0.0</v>
      </c>
      <c r="Q1149" s="6">
        <v>0.0</v>
      </c>
      <c r="R1149" s="6">
        <v>0.0</v>
      </c>
      <c r="S1149" s="6">
        <v>0.0</v>
      </c>
      <c r="T1149" s="6">
        <v>0.0</v>
      </c>
      <c r="U1149" s="6">
        <v>0.0</v>
      </c>
    </row>
    <row r="1150">
      <c r="A1150" s="6" t="s">
        <v>1909</v>
      </c>
      <c r="B1150" s="6" t="s">
        <v>11654</v>
      </c>
      <c r="C1150" s="6" t="s">
        <v>11570</v>
      </c>
      <c r="D1150" s="6" t="s">
        <v>22</v>
      </c>
      <c r="E1150" s="6" t="s">
        <v>1154</v>
      </c>
      <c r="F1150" s="6" t="s">
        <v>125</v>
      </c>
      <c r="G1150" s="6" t="s">
        <v>2939</v>
      </c>
      <c r="H1150" s="6">
        <v>0.0</v>
      </c>
      <c r="I1150" s="6">
        <v>0.0</v>
      </c>
      <c r="J1150" s="6" t="s">
        <v>11590</v>
      </c>
      <c r="K1150" s="6" t="s">
        <v>11590</v>
      </c>
      <c r="L1150" s="6" t="s">
        <v>11590</v>
      </c>
      <c r="M1150" s="6" t="s">
        <v>11590</v>
      </c>
      <c r="N1150" s="669">
        <v>1092000.0</v>
      </c>
      <c r="O1150" s="6">
        <v>0.0</v>
      </c>
      <c r="P1150" s="6">
        <v>10.0</v>
      </c>
      <c r="Q1150" s="6">
        <v>0.0</v>
      </c>
      <c r="R1150" s="6">
        <v>0.0</v>
      </c>
      <c r="S1150" s="6">
        <v>0.0</v>
      </c>
      <c r="T1150" s="6">
        <v>0.0</v>
      </c>
      <c r="U1150" s="6">
        <v>0.0</v>
      </c>
    </row>
    <row r="1151">
      <c r="A1151" s="6" t="s">
        <v>1153</v>
      </c>
      <c r="B1151" s="6" t="s">
        <v>11576</v>
      </c>
      <c r="C1151" s="6" t="s">
        <v>11579</v>
      </c>
      <c r="D1151" s="6" t="s">
        <v>41</v>
      </c>
      <c r="E1151" s="6" t="s">
        <v>1154</v>
      </c>
      <c r="F1151" s="6" t="s">
        <v>11582</v>
      </c>
      <c r="G1151" s="6" t="s">
        <v>2939</v>
      </c>
      <c r="H1151" s="6">
        <v>0.0</v>
      </c>
      <c r="I1151" s="6">
        <v>0.0</v>
      </c>
      <c r="J1151" s="6">
        <v>0.0</v>
      </c>
      <c r="K1151" s="6">
        <v>0.0</v>
      </c>
      <c r="L1151" s="6">
        <v>0.0</v>
      </c>
      <c r="M1151" s="6">
        <v>0.0</v>
      </c>
      <c r="N1151" s="669">
        <v>595000.0</v>
      </c>
      <c r="O1151" s="6">
        <v>0.0</v>
      </c>
      <c r="P1151" s="6">
        <v>0.0</v>
      </c>
      <c r="Q1151" s="6">
        <v>0.0</v>
      </c>
      <c r="R1151" s="6">
        <v>0.0</v>
      </c>
      <c r="S1151" s="6" t="s">
        <v>11590</v>
      </c>
      <c r="T1151" s="6" t="s">
        <v>11590</v>
      </c>
      <c r="U1151" s="6">
        <v>0.0</v>
      </c>
    </row>
    <row r="1152">
      <c r="A1152" s="6" t="s">
        <v>1155</v>
      </c>
      <c r="B1152" s="6" t="s">
        <v>11630</v>
      </c>
      <c r="C1152" s="6" t="s">
        <v>11570</v>
      </c>
      <c r="D1152" s="6" t="s">
        <v>22</v>
      </c>
      <c r="E1152" s="6" t="s">
        <v>1156</v>
      </c>
      <c r="F1152" s="6" t="s">
        <v>125</v>
      </c>
      <c r="G1152" s="6" t="s">
        <v>2939</v>
      </c>
      <c r="H1152" s="6">
        <v>2.0</v>
      </c>
      <c r="I1152" s="6">
        <v>0.0</v>
      </c>
      <c r="J1152" s="6">
        <v>0.0</v>
      </c>
      <c r="K1152" s="6">
        <v>0.0</v>
      </c>
      <c r="L1152" s="6" t="s">
        <v>11590</v>
      </c>
      <c r="M1152" s="6">
        <v>9.0</v>
      </c>
      <c r="N1152" s="669">
        <v>1450000.0</v>
      </c>
      <c r="O1152" s="6" t="s">
        <v>11590</v>
      </c>
      <c r="P1152" s="6">
        <v>10.0</v>
      </c>
      <c r="Q1152" s="6">
        <v>0.0</v>
      </c>
      <c r="R1152" s="6">
        <v>0.0</v>
      </c>
      <c r="S1152" s="6">
        <v>0.0</v>
      </c>
      <c r="T1152" s="6">
        <v>0.0</v>
      </c>
      <c r="U1152" s="6">
        <v>0.0</v>
      </c>
    </row>
    <row r="1153">
      <c r="A1153" s="6" t="s">
        <v>1157</v>
      </c>
      <c r="B1153" s="6" t="s">
        <v>11576</v>
      </c>
      <c r="C1153" s="6" t="s">
        <v>11579</v>
      </c>
      <c r="D1153" s="6" t="s">
        <v>41</v>
      </c>
      <c r="E1153" s="6" t="s">
        <v>1156</v>
      </c>
      <c r="F1153" s="6" t="s">
        <v>2193</v>
      </c>
      <c r="G1153" s="6" t="s">
        <v>2939</v>
      </c>
      <c r="H1153" s="6">
        <v>0.0</v>
      </c>
      <c r="I1153" s="6">
        <v>0.0</v>
      </c>
      <c r="J1153" s="6" t="s">
        <v>11590</v>
      </c>
      <c r="K1153" s="6">
        <v>4.0</v>
      </c>
      <c r="L1153" s="6">
        <v>0.0</v>
      </c>
      <c r="M1153" s="6">
        <v>0.0</v>
      </c>
      <c r="N1153" s="669">
        <v>1265000.0</v>
      </c>
      <c r="O1153" s="6">
        <v>0.0</v>
      </c>
      <c r="P1153" s="6">
        <v>0.0</v>
      </c>
      <c r="Q1153" s="6">
        <v>0.0</v>
      </c>
      <c r="R1153" s="6">
        <v>0.0</v>
      </c>
      <c r="S1153" s="6" t="s">
        <v>11590</v>
      </c>
      <c r="T1153" s="6">
        <v>10.0</v>
      </c>
      <c r="U1153" s="6">
        <v>0.0</v>
      </c>
    </row>
    <row r="1154">
      <c r="A1154" s="6" t="s">
        <v>1158</v>
      </c>
      <c r="B1154" s="6" t="s">
        <v>11576</v>
      </c>
      <c r="C1154" s="6" t="s">
        <v>11579</v>
      </c>
      <c r="D1154" s="6" t="s">
        <v>41</v>
      </c>
      <c r="E1154" s="6" t="s">
        <v>1156</v>
      </c>
      <c r="F1154" s="6" t="s">
        <v>97</v>
      </c>
      <c r="G1154" s="6" t="s">
        <v>2939</v>
      </c>
      <c r="H1154" s="6">
        <v>0.0</v>
      </c>
      <c r="I1154" s="6">
        <v>0.0</v>
      </c>
      <c r="J1154" s="6" t="s">
        <v>11590</v>
      </c>
      <c r="K1154" s="6">
        <v>1.0</v>
      </c>
      <c r="L1154" s="6">
        <v>0.0</v>
      </c>
      <c r="M1154" s="6">
        <v>0.0</v>
      </c>
      <c r="N1154" s="669">
        <v>1120000.0</v>
      </c>
      <c r="O1154" s="6">
        <v>0.0</v>
      </c>
      <c r="P1154" s="6">
        <v>0.0</v>
      </c>
      <c r="Q1154" s="6">
        <v>0.0</v>
      </c>
      <c r="R1154" s="6">
        <v>0.0</v>
      </c>
      <c r="S1154" s="6" t="s">
        <v>11590</v>
      </c>
      <c r="T1154" s="6" t="s">
        <v>11590</v>
      </c>
      <c r="U1154" s="6">
        <v>0.0</v>
      </c>
    </row>
    <row r="1155">
      <c r="A1155" s="6" t="s">
        <v>2316</v>
      </c>
      <c r="B1155" s="6" t="s">
        <v>11569</v>
      </c>
      <c r="C1155" s="6" t="s">
        <v>11591</v>
      </c>
      <c r="D1155" s="6" t="s">
        <v>132</v>
      </c>
      <c r="E1155" s="6" t="s">
        <v>1156</v>
      </c>
      <c r="G1155" s="6" t="s">
        <v>2939</v>
      </c>
      <c r="H1155" s="6">
        <v>0.0</v>
      </c>
      <c r="I1155" s="6">
        <v>0.0</v>
      </c>
      <c r="J1155" s="6">
        <v>7.0</v>
      </c>
      <c r="K1155" s="6">
        <v>2.0</v>
      </c>
      <c r="L1155" s="6">
        <v>0.0</v>
      </c>
      <c r="M1155" s="6">
        <v>0.0</v>
      </c>
      <c r="N1155" s="669">
        <v>464000.0</v>
      </c>
      <c r="O1155" s="6">
        <v>0.0</v>
      </c>
      <c r="P1155" s="6">
        <v>0.0</v>
      </c>
      <c r="Q1155" s="6">
        <v>0.0</v>
      </c>
      <c r="R1155" s="6">
        <v>0.0</v>
      </c>
      <c r="S1155" s="6">
        <v>0.0</v>
      </c>
      <c r="T1155" s="6">
        <v>0.0</v>
      </c>
      <c r="U1155" s="6">
        <v>0.0</v>
      </c>
    </row>
    <row r="1156">
      <c r="A1156" s="6" t="s">
        <v>2132</v>
      </c>
      <c r="B1156" s="6" t="s">
        <v>11569</v>
      </c>
      <c r="C1156" s="6" t="s">
        <v>11591</v>
      </c>
      <c r="D1156" s="6" t="s">
        <v>134</v>
      </c>
      <c r="E1156" s="6" t="s">
        <v>1156</v>
      </c>
      <c r="G1156" s="6" t="s">
        <v>2939</v>
      </c>
      <c r="H1156" s="6">
        <v>0.0</v>
      </c>
      <c r="I1156" s="6">
        <v>0.0</v>
      </c>
      <c r="J1156" s="6">
        <v>6.0</v>
      </c>
      <c r="K1156" s="6">
        <v>4.0</v>
      </c>
      <c r="L1156" s="6">
        <v>0.0</v>
      </c>
      <c r="M1156" s="6">
        <v>0.0</v>
      </c>
      <c r="N1156" s="669">
        <v>464000.0</v>
      </c>
      <c r="O1156" s="6">
        <v>0.0</v>
      </c>
      <c r="P1156" s="6">
        <v>0.0</v>
      </c>
      <c r="Q1156" s="6">
        <v>0.0</v>
      </c>
      <c r="R1156" s="6">
        <v>0.0</v>
      </c>
      <c r="S1156" s="6">
        <v>0.0</v>
      </c>
      <c r="T1156" s="6">
        <v>0.0</v>
      </c>
      <c r="U1156" s="6">
        <v>0.0</v>
      </c>
    </row>
    <row r="1157">
      <c r="A1157" s="6" t="s">
        <v>2137</v>
      </c>
      <c r="B1157" s="6" t="s">
        <v>11569</v>
      </c>
      <c r="C1157" s="6" t="s">
        <v>11591</v>
      </c>
      <c r="D1157" s="6" t="s">
        <v>387</v>
      </c>
      <c r="E1157" s="6" t="s">
        <v>1156</v>
      </c>
      <c r="G1157" s="6" t="s">
        <v>2939</v>
      </c>
      <c r="H1157" s="6">
        <v>0.0</v>
      </c>
      <c r="I1157" s="6">
        <v>0.0</v>
      </c>
      <c r="J1157" s="6">
        <v>8.0</v>
      </c>
      <c r="K1157" s="6">
        <v>0.0</v>
      </c>
      <c r="L1157" s="6">
        <v>0.0</v>
      </c>
      <c r="M1157" s="6">
        <v>0.0</v>
      </c>
      <c r="N1157" s="669">
        <v>208000.0</v>
      </c>
      <c r="O1157" s="6">
        <v>0.0</v>
      </c>
      <c r="P1157" s="6">
        <v>0.0</v>
      </c>
      <c r="Q1157" s="6">
        <v>0.0</v>
      </c>
      <c r="R1157" s="6">
        <v>0.0</v>
      </c>
      <c r="S1157" s="6">
        <v>0.0</v>
      </c>
      <c r="T1157" s="6">
        <v>0.0</v>
      </c>
      <c r="U1157" s="6">
        <v>0.0</v>
      </c>
    </row>
    <row r="1158">
      <c r="A1158" s="6" t="s">
        <v>2138</v>
      </c>
      <c r="B1158" s="6" t="s">
        <v>11569</v>
      </c>
      <c r="C1158" s="6" t="s">
        <v>11591</v>
      </c>
      <c r="D1158" s="6" t="s">
        <v>389</v>
      </c>
      <c r="E1158" s="6" t="s">
        <v>1156</v>
      </c>
      <c r="G1158" s="6" t="s">
        <v>2939</v>
      </c>
      <c r="H1158" s="6">
        <v>0.0</v>
      </c>
      <c r="I1158" s="6">
        <v>0.0</v>
      </c>
      <c r="J1158" s="6">
        <v>9.0</v>
      </c>
      <c r="K1158" s="6">
        <v>0.0</v>
      </c>
      <c r="L1158" s="6">
        <v>0.0</v>
      </c>
      <c r="M1158" s="6">
        <v>0.0</v>
      </c>
      <c r="N1158" s="669">
        <v>208000.0</v>
      </c>
      <c r="O1158" s="6">
        <v>0.0</v>
      </c>
      <c r="P1158" s="6">
        <v>0.0</v>
      </c>
      <c r="Q1158" s="6">
        <v>0.0</v>
      </c>
      <c r="R1158" s="6">
        <v>0.0</v>
      </c>
      <c r="S1158" s="6">
        <v>0.0</v>
      </c>
      <c r="T1158" s="6">
        <v>0.0</v>
      </c>
      <c r="U1158" s="6">
        <v>0.0</v>
      </c>
    </row>
    <row r="1159">
      <c r="A1159" s="6" t="s">
        <v>1159</v>
      </c>
      <c r="B1159" s="6" t="s">
        <v>11630</v>
      </c>
      <c r="C1159" s="6" t="s">
        <v>11570</v>
      </c>
      <c r="D1159" s="6" t="s">
        <v>22</v>
      </c>
      <c r="E1159" s="6" t="s">
        <v>1160</v>
      </c>
      <c r="F1159" s="6" t="s">
        <v>125</v>
      </c>
      <c r="G1159" s="6" t="s">
        <v>2939</v>
      </c>
      <c r="H1159" s="6">
        <v>0.0</v>
      </c>
      <c r="I1159" s="6">
        <v>0.0</v>
      </c>
      <c r="J1159" s="6">
        <v>0.0</v>
      </c>
      <c r="K1159" s="6" t="s">
        <v>11590</v>
      </c>
      <c r="L1159" s="6">
        <v>0.0</v>
      </c>
      <c r="M1159" s="6" t="s">
        <v>11590</v>
      </c>
      <c r="N1159" s="669">
        <v>1116000.0</v>
      </c>
      <c r="O1159" s="6" t="s">
        <v>11590</v>
      </c>
      <c r="P1159" s="6">
        <v>0.0</v>
      </c>
      <c r="Q1159" s="6">
        <v>0.0</v>
      </c>
      <c r="R1159" s="6">
        <v>0.0</v>
      </c>
      <c r="S1159" s="6">
        <v>0.0</v>
      </c>
      <c r="T1159" s="6">
        <v>0.0</v>
      </c>
      <c r="U1159" s="6">
        <v>0.0</v>
      </c>
    </row>
    <row r="1160">
      <c r="A1160" s="6" t="s">
        <v>1161</v>
      </c>
      <c r="B1160" s="6" t="s">
        <v>11576</v>
      </c>
      <c r="C1160" s="6" t="s">
        <v>11579</v>
      </c>
      <c r="D1160" s="6" t="s">
        <v>41</v>
      </c>
      <c r="E1160" s="6" t="s">
        <v>1160</v>
      </c>
      <c r="F1160" s="6" t="s">
        <v>2193</v>
      </c>
      <c r="G1160" s="6" t="s">
        <v>2939</v>
      </c>
      <c r="H1160" s="6">
        <v>0.0</v>
      </c>
      <c r="I1160" s="6">
        <v>0.0</v>
      </c>
      <c r="J1160" s="6" t="s">
        <v>11590</v>
      </c>
      <c r="K1160" s="6" t="s">
        <v>11590</v>
      </c>
      <c r="L1160" s="6">
        <v>0.0</v>
      </c>
      <c r="M1160" s="6">
        <v>0.0</v>
      </c>
      <c r="N1160" s="669">
        <v>1092000.0</v>
      </c>
      <c r="O1160" s="6">
        <v>0.0</v>
      </c>
      <c r="P1160" s="6">
        <v>0.0</v>
      </c>
      <c r="Q1160" s="6">
        <v>0.0</v>
      </c>
      <c r="R1160" s="6">
        <v>0.0</v>
      </c>
      <c r="S1160" s="6" t="s">
        <v>11590</v>
      </c>
      <c r="T1160" s="6" t="s">
        <v>11590</v>
      </c>
      <c r="U1160" s="6">
        <v>0.0</v>
      </c>
    </row>
    <row r="1161">
      <c r="A1161" s="6" t="s">
        <v>1162</v>
      </c>
      <c r="B1161" s="6" t="s">
        <v>11576</v>
      </c>
      <c r="C1161" s="6" t="s">
        <v>11579</v>
      </c>
      <c r="D1161" s="6" t="s">
        <v>41</v>
      </c>
      <c r="E1161" s="6" t="s">
        <v>1160</v>
      </c>
      <c r="F1161" s="6" t="s">
        <v>97</v>
      </c>
      <c r="G1161" s="6" t="s">
        <v>2939</v>
      </c>
      <c r="H1161" s="6">
        <v>0.0</v>
      </c>
      <c r="I1161" s="6">
        <v>0.0</v>
      </c>
      <c r="J1161" s="6" t="s">
        <v>11590</v>
      </c>
      <c r="K1161" s="6" t="s">
        <v>11590</v>
      </c>
      <c r="L1161" s="6">
        <v>0.0</v>
      </c>
      <c r="M1161" s="6">
        <v>0.0</v>
      </c>
      <c r="N1161" s="669">
        <v>1022000.0</v>
      </c>
      <c r="O1161" s="6">
        <v>0.0</v>
      </c>
      <c r="P1161" s="6">
        <v>0.0</v>
      </c>
      <c r="Q1161" s="6">
        <v>0.0</v>
      </c>
      <c r="R1161" s="6">
        <v>0.0</v>
      </c>
      <c r="S1161" s="6" t="s">
        <v>11590</v>
      </c>
      <c r="T1161" s="6">
        <v>0.0</v>
      </c>
      <c r="U1161" s="6">
        <v>0.0</v>
      </c>
    </row>
    <row r="1162">
      <c r="A1162" s="6" t="s">
        <v>1163</v>
      </c>
      <c r="B1162" s="6" t="s">
        <v>11578</v>
      </c>
      <c r="C1162" s="6" t="s">
        <v>11591</v>
      </c>
      <c r="D1162" s="6" t="s">
        <v>387</v>
      </c>
      <c r="E1162" s="6" t="s">
        <v>1160</v>
      </c>
      <c r="G1162" s="6" t="s">
        <v>2939</v>
      </c>
      <c r="H1162" s="6">
        <v>1.0</v>
      </c>
      <c r="I1162" s="6">
        <v>0.0</v>
      </c>
      <c r="J1162" s="6">
        <v>0.0</v>
      </c>
      <c r="K1162" s="6">
        <v>0.0</v>
      </c>
      <c r="L1162" s="6">
        <v>0.0</v>
      </c>
      <c r="M1162" s="6">
        <v>0.0</v>
      </c>
      <c r="N1162" s="669">
        <v>108000.0</v>
      </c>
      <c r="O1162" s="6">
        <v>0.0</v>
      </c>
      <c r="P1162" s="6">
        <v>0.0</v>
      </c>
      <c r="Q1162" s="6">
        <v>0.0</v>
      </c>
      <c r="R1162" s="6">
        <v>0.0</v>
      </c>
      <c r="S1162" s="6">
        <v>0.0</v>
      </c>
      <c r="T1162" s="6">
        <v>0.0</v>
      </c>
      <c r="U1162" s="6">
        <v>0.0</v>
      </c>
    </row>
    <row r="1163">
      <c r="A1163" s="6" t="s">
        <v>1164</v>
      </c>
      <c r="B1163" s="6" t="s">
        <v>11578</v>
      </c>
      <c r="C1163" s="6" t="s">
        <v>11591</v>
      </c>
      <c r="D1163" s="6" t="s">
        <v>389</v>
      </c>
      <c r="E1163" s="6" t="s">
        <v>1160</v>
      </c>
      <c r="G1163" s="6" t="s">
        <v>2939</v>
      </c>
      <c r="H1163" s="6">
        <v>0.0</v>
      </c>
      <c r="I1163" s="6">
        <v>0.0</v>
      </c>
      <c r="J1163" s="6">
        <v>0.0</v>
      </c>
      <c r="K1163" s="6">
        <v>0.0</v>
      </c>
      <c r="L1163" s="6">
        <v>0.0</v>
      </c>
      <c r="M1163" s="6">
        <v>0.0</v>
      </c>
      <c r="N1163" s="669">
        <v>108000.0</v>
      </c>
      <c r="O1163" s="6">
        <v>0.0</v>
      </c>
      <c r="P1163" s="6">
        <v>0.0</v>
      </c>
      <c r="Q1163" s="6">
        <v>0.0</v>
      </c>
      <c r="R1163" s="6">
        <v>0.0</v>
      </c>
      <c r="S1163" s="6">
        <v>0.0</v>
      </c>
      <c r="T1163" s="6">
        <v>0.0</v>
      </c>
      <c r="U1163" s="6">
        <v>0.0</v>
      </c>
    </row>
    <row r="1164">
      <c r="A1164" s="6" t="s">
        <v>1165</v>
      </c>
      <c r="B1164" s="6" t="s">
        <v>11578</v>
      </c>
      <c r="C1164" s="6" t="s">
        <v>11591</v>
      </c>
      <c r="D1164" s="6" t="s">
        <v>236</v>
      </c>
      <c r="E1164" s="6" t="s">
        <v>1160</v>
      </c>
      <c r="F1164" s="6" t="s">
        <v>234</v>
      </c>
      <c r="G1164" s="6" t="s">
        <v>2939</v>
      </c>
      <c r="H1164" s="6">
        <v>0.0</v>
      </c>
      <c r="I1164" s="6">
        <v>0.0</v>
      </c>
      <c r="J1164" s="6">
        <v>0.0</v>
      </c>
      <c r="K1164" s="6">
        <v>0.0</v>
      </c>
      <c r="L1164" s="6">
        <v>0.0</v>
      </c>
      <c r="M1164" s="6">
        <v>0.0</v>
      </c>
      <c r="N1164" s="669">
        <v>681000.0</v>
      </c>
      <c r="O1164" s="6">
        <v>0.0</v>
      </c>
      <c r="P1164" s="6">
        <v>0.0</v>
      </c>
      <c r="Q1164" s="6">
        <v>0.0</v>
      </c>
      <c r="R1164" s="6">
        <v>0.0</v>
      </c>
      <c r="S1164" s="6">
        <v>0.0</v>
      </c>
      <c r="T1164" s="6">
        <v>0.0</v>
      </c>
      <c r="U1164" s="6">
        <v>0.0</v>
      </c>
    </row>
    <row r="1165">
      <c r="A1165" s="6" t="s">
        <v>1166</v>
      </c>
      <c r="B1165" s="6" t="s">
        <v>11630</v>
      </c>
      <c r="C1165" s="6" t="s">
        <v>11570</v>
      </c>
      <c r="D1165" s="6" t="s">
        <v>22</v>
      </c>
      <c r="E1165" s="6" t="s">
        <v>2318</v>
      </c>
      <c r="F1165" s="6" t="s">
        <v>125</v>
      </c>
      <c r="G1165" s="6" t="s">
        <v>2939</v>
      </c>
      <c r="H1165" s="6">
        <v>0.0</v>
      </c>
      <c r="I1165" s="6">
        <v>0.0</v>
      </c>
      <c r="J1165" s="6">
        <v>8.0</v>
      </c>
      <c r="K1165" s="6">
        <v>1.0</v>
      </c>
      <c r="L1165" s="6" t="s">
        <v>11590</v>
      </c>
      <c r="M1165" s="6" t="s">
        <v>11590</v>
      </c>
      <c r="N1165" s="669">
        <v>1364000.0</v>
      </c>
      <c r="O1165" s="6" t="s">
        <v>11590</v>
      </c>
      <c r="P1165" s="6">
        <v>10.0</v>
      </c>
      <c r="Q1165" s="6">
        <v>0.0</v>
      </c>
      <c r="R1165" s="6">
        <v>0.0</v>
      </c>
      <c r="S1165" s="6">
        <v>0.0</v>
      </c>
      <c r="T1165" s="6">
        <v>0.0</v>
      </c>
      <c r="U1165" s="6">
        <v>0.0</v>
      </c>
    </row>
    <row r="1166">
      <c r="A1166" s="6" t="s">
        <v>1852</v>
      </c>
      <c r="B1166" s="6" t="s">
        <v>11569</v>
      </c>
      <c r="C1166" s="6" t="s">
        <v>11579</v>
      </c>
      <c r="D1166" s="6" t="s">
        <v>41</v>
      </c>
      <c r="E1166" s="6" t="s">
        <v>2318</v>
      </c>
      <c r="F1166" s="6" t="s">
        <v>533</v>
      </c>
      <c r="G1166" s="6" t="s">
        <v>2939</v>
      </c>
      <c r="H1166" s="6">
        <v>0.0</v>
      </c>
      <c r="I1166" s="6">
        <v>0.0</v>
      </c>
      <c r="J1166" s="6" t="s">
        <v>11590</v>
      </c>
      <c r="K1166" s="6">
        <v>0.0</v>
      </c>
      <c r="L1166" s="6">
        <v>0.0</v>
      </c>
      <c r="M1166" s="6">
        <v>0.0</v>
      </c>
      <c r="N1166" s="669">
        <v>969000.0</v>
      </c>
      <c r="O1166" s="6">
        <v>0.0</v>
      </c>
      <c r="P1166" s="6">
        <v>0.0</v>
      </c>
      <c r="Q1166" s="6">
        <v>0.0</v>
      </c>
      <c r="R1166" s="6">
        <v>0.0</v>
      </c>
      <c r="S1166" s="6" t="s">
        <v>11590</v>
      </c>
      <c r="T1166" s="6" t="s">
        <v>11590</v>
      </c>
      <c r="U1166" s="6">
        <v>0.0</v>
      </c>
    </row>
    <row r="1167">
      <c r="A1167" s="6" t="s">
        <v>1859</v>
      </c>
      <c r="B1167" s="6" t="s">
        <v>11569</v>
      </c>
      <c r="C1167" s="6" t="s">
        <v>11579</v>
      </c>
      <c r="D1167" s="6" t="s">
        <v>41</v>
      </c>
      <c r="E1167" s="6" t="s">
        <v>2318</v>
      </c>
      <c r="F1167" s="6" t="s">
        <v>1377</v>
      </c>
      <c r="G1167" s="6" t="s">
        <v>2939</v>
      </c>
      <c r="H1167" s="6">
        <v>0.0</v>
      </c>
      <c r="I1167" s="6">
        <v>0.0</v>
      </c>
      <c r="J1167" s="6">
        <v>2.0</v>
      </c>
      <c r="K1167" s="6">
        <v>6.0</v>
      </c>
      <c r="L1167" s="6">
        <v>0.0</v>
      </c>
      <c r="M1167" s="6">
        <v>0.0</v>
      </c>
      <c r="N1167" s="669">
        <v>1007000.0</v>
      </c>
      <c r="O1167" s="6">
        <v>0.0</v>
      </c>
      <c r="P1167" s="6">
        <v>0.0</v>
      </c>
      <c r="Q1167" s="6">
        <v>0.0</v>
      </c>
      <c r="R1167" s="6">
        <v>0.0</v>
      </c>
      <c r="S1167" s="6" t="s">
        <v>11590</v>
      </c>
      <c r="T1167" s="6">
        <v>10.0</v>
      </c>
      <c r="U1167" s="6">
        <v>0.0</v>
      </c>
    </row>
    <row r="1168">
      <c r="A1168" s="6" t="s">
        <v>2459</v>
      </c>
      <c r="B1168" s="6" t="s">
        <v>11569</v>
      </c>
      <c r="C1168" s="6" t="s">
        <v>11570</v>
      </c>
      <c r="D1168" s="6" t="s">
        <v>22</v>
      </c>
      <c r="E1168" s="6" t="s">
        <v>12022</v>
      </c>
      <c r="F1168" s="6" t="s">
        <v>75</v>
      </c>
      <c r="G1168" s="6" t="s">
        <v>2939</v>
      </c>
      <c r="H1168" s="6">
        <v>0.0</v>
      </c>
      <c r="I1168" s="6">
        <v>0.0</v>
      </c>
      <c r="J1168" s="6">
        <v>0.0</v>
      </c>
      <c r="K1168" s="6">
        <v>0.0</v>
      </c>
      <c r="L1168" s="6">
        <v>0.0</v>
      </c>
      <c r="M1168" s="6">
        <v>0.0</v>
      </c>
      <c r="N1168" s="669">
        <v>1800000.0</v>
      </c>
      <c r="O1168" s="6">
        <v>0.0</v>
      </c>
      <c r="P1168" s="6">
        <v>0.0</v>
      </c>
      <c r="Q1168" s="6">
        <v>0.0</v>
      </c>
      <c r="R1168" s="6">
        <v>0.0</v>
      </c>
      <c r="S1168" s="6">
        <v>0.0</v>
      </c>
      <c r="T1168" s="6">
        <v>0.0</v>
      </c>
      <c r="U1168" s="6">
        <v>0.0</v>
      </c>
    </row>
    <row r="1169">
      <c r="A1169" s="6" t="s">
        <v>12023</v>
      </c>
      <c r="B1169" s="6" t="s">
        <v>11569</v>
      </c>
      <c r="C1169" s="6" t="s">
        <v>11570</v>
      </c>
      <c r="D1169" s="6" t="s">
        <v>22</v>
      </c>
      <c r="E1169" s="6" t="s">
        <v>12024</v>
      </c>
      <c r="F1169" s="6" t="s">
        <v>125</v>
      </c>
      <c r="G1169" s="6" t="s">
        <v>2939</v>
      </c>
      <c r="H1169" s="6">
        <v>0.0</v>
      </c>
      <c r="I1169" s="6">
        <v>0.0</v>
      </c>
      <c r="J1169" s="6" t="s">
        <v>11590</v>
      </c>
      <c r="K1169" s="6">
        <v>0.0</v>
      </c>
      <c r="L1169" s="6">
        <v>0.0</v>
      </c>
      <c r="M1169" s="6">
        <v>0.0</v>
      </c>
      <c r="N1169" s="669">
        <v>1150000.0</v>
      </c>
      <c r="O1169" s="6">
        <v>0.0</v>
      </c>
      <c r="P1169" s="6">
        <v>0.0</v>
      </c>
      <c r="Q1169" s="6">
        <v>0.0</v>
      </c>
      <c r="R1169" s="6">
        <v>0.0</v>
      </c>
      <c r="S1169" s="6">
        <v>0.0</v>
      </c>
      <c r="T1169" s="6">
        <v>0.0</v>
      </c>
      <c r="U1169" s="6">
        <v>0.0</v>
      </c>
    </row>
    <row r="1170">
      <c r="A1170" s="6" t="s">
        <v>1168</v>
      </c>
      <c r="B1170" s="6" t="s">
        <v>11576</v>
      </c>
      <c r="C1170" s="6" t="s">
        <v>11570</v>
      </c>
      <c r="D1170" s="6" t="s">
        <v>22</v>
      </c>
      <c r="E1170" s="6" t="s">
        <v>1169</v>
      </c>
      <c r="F1170" s="6" t="s">
        <v>125</v>
      </c>
      <c r="G1170" s="6" t="s">
        <v>2939</v>
      </c>
      <c r="H1170" s="6">
        <v>0.0</v>
      </c>
      <c r="I1170" s="6">
        <v>0.0</v>
      </c>
      <c r="J1170" s="6">
        <v>6.0</v>
      </c>
      <c r="K1170" s="6">
        <v>0.0</v>
      </c>
      <c r="L1170" s="6">
        <v>0.0</v>
      </c>
      <c r="M1170" s="6">
        <v>0.0</v>
      </c>
      <c r="N1170" s="669">
        <v>3120000.0</v>
      </c>
      <c r="O1170" s="6">
        <v>0.0</v>
      </c>
      <c r="P1170" s="6">
        <v>0.0</v>
      </c>
      <c r="Q1170" s="6">
        <v>0.0</v>
      </c>
      <c r="R1170" s="6">
        <v>0.0</v>
      </c>
      <c r="S1170" s="6">
        <v>0.0</v>
      </c>
      <c r="T1170" s="6">
        <v>0.0</v>
      </c>
      <c r="U1170" s="6">
        <v>0.0</v>
      </c>
    </row>
    <row r="1171">
      <c r="A1171" s="6" t="s">
        <v>1170</v>
      </c>
      <c r="B1171" s="6" t="s">
        <v>11578</v>
      </c>
      <c r="C1171" s="6" t="s">
        <v>11579</v>
      </c>
      <c r="D1171" s="6" t="s">
        <v>41</v>
      </c>
      <c r="E1171" s="6" t="s">
        <v>1169</v>
      </c>
      <c r="F1171" s="6" t="s">
        <v>2193</v>
      </c>
      <c r="G1171" s="6" t="s">
        <v>2939</v>
      </c>
      <c r="H1171" s="6">
        <v>9.0</v>
      </c>
      <c r="I1171" s="6">
        <v>2.0</v>
      </c>
      <c r="J1171" s="6">
        <v>0.0</v>
      </c>
      <c r="K1171" s="6">
        <v>0.0</v>
      </c>
      <c r="L1171" s="6">
        <v>0.0</v>
      </c>
      <c r="M1171" s="6">
        <v>0.0</v>
      </c>
      <c r="N1171" s="669">
        <v>2498000.0</v>
      </c>
      <c r="O1171" s="6">
        <v>0.0</v>
      </c>
      <c r="P1171" s="6">
        <v>0.0</v>
      </c>
      <c r="Q1171" s="6">
        <v>0.0</v>
      </c>
      <c r="R1171" s="6">
        <v>0.0</v>
      </c>
      <c r="S1171" s="6">
        <v>0.0</v>
      </c>
      <c r="T1171" s="6">
        <v>0.0</v>
      </c>
      <c r="U1171" s="6">
        <v>0.0</v>
      </c>
    </row>
    <row r="1172">
      <c r="A1172" s="6" t="s">
        <v>1916</v>
      </c>
      <c r="B1172" s="6" t="s">
        <v>11654</v>
      </c>
      <c r="C1172" s="6" t="s">
        <v>11570</v>
      </c>
      <c r="D1172" s="6" t="s">
        <v>22</v>
      </c>
      <c r="E1172" s="6" t="s">
        <v>2306</v>
      </c>
      <c r="G1172" s="6" t="s">
        <v>2939</v>
      </c>
      <c r="H1172" s="6">
        <v>0.0</v>
      </c>
      <c r="I1172" s="6">
        <v>0.0</v>
      </c>
      <c r="J1172" s="6">
        <v>0.0</v>
      </c>
      <c r="K1172" s="6">
        <v>0.0</v>
      </c>
      <c r="L1172" s="6">
        <v>0.0</v>
      </c>
      <c r="M1172" s="6">
        <v>0.0</v>
      </c>
      <c r="N1172" s="669">
        <v>1078000.0</v>
      </c>
      <c r="O1172" s="6">
        <v>0.0</v>
      </c>
      <c r="P1172" s="6">
        <v>0.0</v>
      </c>
      <c r="Q1172" s="6">
        <v>0.0</v>
      </c>
      <c r="R1172" s="6">
        <v>0.0</v>
      </c>
      <c r="S1172" s="6" t="s">
        <v>11590</v>
      </c>
      <c r="T1172" s="6" t="s">
        <v>11590</v>
      </c>
      <c r="U1172" s="6" t="s">
        <v>11590</v>
      </c>
    </row>
    <row r="1173">
      <c r="A1173" s="6" t="s">
        <v>1918</v>
      </c>
      <c r="B1173" s="6" t="s">
        <v>11654</v>
      </c>
      <c r="C1173" s="6" t="s">
        <v>11570</v>
      </c>
      <c r="D1173" s="6" t="s">
        <v>22</v>
      </c>
      <c r="E1173" s="6" t="s">
        <v>12025</v>
      </c>
      <c r="F1173" s="6" t="s">
        <v>97</v>
      </c>
      <c r="G1173" s="6" t="s">
        <v>2939</v>
      </c>
      <c r="H1173" s="6">
        <v>0.0</v>
      </c>
      <c r="I1173" s="6">
        <v>0.0</v>
      </c>
      <c r="J1173" s="6">
        <v>3.0</v>
      </c>
      <c r="K1173" s="6">
        <v>1.0</v>
      </c>
      <c r="L1173" s="6">
        <v>0.0</v>
      </c>
      <c r="M1173" s="6">
        <v>0.0</v>
      </c>
      <c r="N1173" s="669">
        <v>1078000.0</v>
      </c>
      <c r="O1173" s="6">
        <v>0.0</v>
      </c>
      <c r="P1173" s="6">
        <v>0.0</v>
      </c>
      <c r="Q1173" s="6">
        <v>0.0</v>
      </c>
      <c r="R1173" s="6">
        <v>0.0</v>
      </c>
      <c r="S1173" s="6" t="s">
        <v>11590</v>
      </c>
      <c r="T1173" s="6" t="s">
        <v>11590</v>
      </c>
      <c r="U1173" s="6">
        <v>0.0</v>
      </c>
    </row>
    <row r="1174">
      <c r="A1174" s="6" t="s">
        <v>1921</v>
      </c>
      <c r="B1174" s="6" t="s">
        <v>11569</v>
      </c>
      <c r="C1174" s="6" t="s">
        <v>11570</v>
      </c>
      <c r="D1174" s="6" t="s">
        <v>22</v>
      </c>
      <c r="E1174" s="6" t="s">
        <v>1922</v>
      </c>
      <c r="G1174" s="6" t="s">
        <v>2939</v>
      </c>
      <c r="H1174" s="6">
        <v>0.0</v>
      </c>
      <c r="I1174" s="6">
        <v>0.0</v>
      </c>
      <c r="J1174" s="6" t="s">
        <v>11590</v>
      </c>
      <c r="K1174" s="6">
        <v>1.0</v>
      </c>
      <c r="L1174" s="6">
        <v>0.0</v>
      </c>
      <c r="M1174" s="6">
        <v>0.0</v>
      </c>
      <c r="N1174" s="669">
        <v>702000.0</v>
      </c>
      <c r="O1174" s="6">
        <v>0.0</v>
      </c>
      <c r="P1174" s="6">
        <v>0.0</v>
      </c>
      <c r="Q1174" s="6">
        <v>0.0</v>
      </c>
      <c r="R1174" s="6">
        <v>0.0</v>
      </c>
      <c r="S1174" s="6">
        <v>0.0</v>
      </c>
      <c r="T1174" s="6">
        <v>0.0</v>
      </c>
      <c r="U1174" s="6">
        <v>0.0</v>
      </c>
    </row>
    <row r="1175">
      <c r="A1175" s="6" t="s">
        <v>2125</v>
      </c>
      <c r="B1175" s="6" t="s">
        <v>11653</v>
      </c>
      <c r="C1175" s="6" t="s">
        <v>11570</v>
      </c>
      <c r="D1175" s="6" t="s">
        <v>22</v>
      </c>
      <c r="E1175" s="6" t="s">
        <v>12026</v>
      </c>
      <c r="G1175" s="6" t="s">
        <v>2939</v>
      </c>
      <c r="H1175" s="6">
        <v>0.0</v>
      </c>
      <c r="I1175" s="6">
        <v>0.0</v>
      </c>
      <c r="J1175" s="6">
        <v>0.0</v>
      </c>
      <c r="K1175" s="6">
        <v>0.0</v>
      </c>
      <c r="L1175" s="6">
        <v>6.0</v>
      </c>
      <c r="M1175" s="6">
        <v>0.0</v>
      </c>
      <c r="N1175" s="669">
        <v>1199000.0</v>
      </c>
      <c r="O1175" s="6">
        <v>0.0</v>
      </c>
      <c r="P1175" s="6">
        <v>0.0</v>
      </c>
      <c r="Q1175" s="6">
        <v>0.0</v>
      </c>
      <c r="R1175" s="6">
        <v>0.0</v>
      </c>
      <c r="S1175" s="6">
        <v>0.0</v>
      </c>
      <c r="T1175" s="6">
        <v>0.0</v>
      </c>
      <c r="U1175" s="6">
        <v>0.0</v>
      </c>
    </row>
    <row r="1176">
      <c r="A1176" s="6" t="s">
        <v>1171</v>
      </c>
      <c r="B1176" s="6" t="s">
        <v>11576</v>
      </c>
      <c r="C1176" s="6" t="s">
        <v>11570</v>
      </c>
      <c r="D1176" s="6" t="s">
        <v>22</v>
      </c>
      <c r="E1176" s="6" t="s">
        <v>12027</v>
      </c>
      <c r="G1176" s="6" t="s">
        <v>2939</v>
      </c>
      <c r="H1176" s="6">
        <v>0.0</v>
      </c>
      <c r="I1176" s="6">
        <v>0.0</v>
      </c>
      <c r="J1176" s="6" t="s">
        <v>11590</v>
      </c>
      <c r="K1176" s="6">
        <v>4.0</v>
      </c>
      <c r="L1176" s="6">
        <v>0.0</v>
      </c>
      <c r="M1176" s="6">
        <v>0.0</v>
      </c>
      <c r="N1176" s="669">
        <v>1695000.0</v>
      </c>
      <c r="O1176" s="6">
        <v>0.0</v>
      </c>
      <c r="P1176" s="6">
        <v>0.0</v>
      </c>
      <c r="Q1176" s="6">
        <v>0.0</v>
      </c>
      <c r="R1176" s="6">
        <v>0.0</v>
      </c>
      <c r="S1176" s="6">
        <v>0.0</v>
      </c>
      <c r="T1176" s="6">
        <v>0.0</v>
      </c>
      <c r="U1176" s="6">
        <v>0.0</v>
      </c>
    </row>
    <row r="1177">
      <c r="A1177" s="6" t="s">
        <v>1173</v>
      </c>
      <c r="B1177" s="6" t="s">
        <v>11576</v>
      </c>
      <c r="C1177" s="6" t="s">
        <v>11579</v>
      </c>
      <c r="D1177" s="6" t="s">
        <v>41</v>
      </c>
      <c r="E1177" s="6" t="s">
        <v>12027</v>
      </c>
      <c r="F1177" s="6" t="s">
        <v>11588</v>
      </c>
      <c r="G1177" s="6" t="s">
        <v>2939</v>
      </c>
      <c r="H1177" s="6">
        <v>0.0</v>
      </c>
      <c r="I1177" s="6">
        <v>0.0</v>
      </c>
      <c r="J1177" s="6">
        <v>5.0</v>
      </c>
      <c r="K1177" s="6">
        <v>0.0</v>
      </c>
      <c r="L1177" s="6">
        <v>0.0</v>
      </c>
      <c r="M1177" s="6">
        <v>0.0</v>
      </c>
      <c r="N1177" s="669">
        <v>3051000.0</v>
      </c>
      <c r="O1177" s="6">
        <v>0.0</v>
      </c>
      <c r="P1177" s="6">
        <v>0.0</v>
      </c>
      <c r="Q1177" s="6">
        <v>0.0</v>
      </c>
      <c r="R1177" s="6">
        <v>0.0</v>
      </c>
      <c r="S1177" s="6">
        <v>0.0</v>
      </c>
      <c r="T1177" s="6">
        <v>0.0</v>
      </c>
      <c r="U1177" s="6">
        <v>0.0</v>
      </c>
    </row>
    <row r="1178">
      <c r="A1178" s="6" t="s">
        <v>1174</v>
      </c>
      <c r="B1178" s="6" t="s">
        <v>11578</v>
      </c>
      <c r="C1178" s="6" t="s">
        <v>11591</v>
      </c>
      <c r="D1178" s="6" t="s">
        <v>132</v>
      </c>
      <c r="E1178" s="6" t="s">
        <v>12027</v>
      </c>
      <c r="G1178" s="6" t="s">
        <v>2939</v>
      </c>
      <c r="H1178" s="6">
        <v>8.0</v>
      </c>
      <c r="I1178" s="6">
        <v>0.0</v>
      </c>
      <c r="J1178" s="6">
        <v>0.0</v>
      </c>
      <c r="K1178" s="6">
        <v>0.0</v>
      </c>
      <c r="L1178" s="6">
        <v>0.0</v>
      </c>
      <c r="M1178" s="6">
        <v>0.0</v>
      </c>
      <c r="N1178" s="669">
        <v>725000.0</v>
      </c>
      <c r="O1178" s="6">
        <v>0.0</v>
      </c>
      <c r="P1178" s="6">
        <v>0.0</v>
      </c>
      <c r="Q1178" s="6">
        <v>0.0</v>
      </c>
      <c r="R1178" s="6">
        <v>0.0</v>
      </c>
      <c r="S1178" s="6">
        <v>0.0</v>
      </c>
      <c r="T1178" s="6">
        <v>0.0</v>
      </c>
      <c r="U1178" s="6">
        <v>0.0</v>
      </c>
    </row>
    <row r="1179">
      <c r="A1179" s="6" t="s">
        <v>1175</v>
      </c>
      <c r="B1179" s="6" t="s">
        <v>11578</v>
      </c>
      <c r="C1179" s="6" t="s">
        <v>11591</v>
      </c>
      <c r="D1179" s="6" t="s">
        <v>134</v>
      </c>
      <c r="E1179" s="6" t="s">
        <v>12027</v>
      </c>
      <c r="G1179" s="6" t="s">
        <v>2939</v>
      </c>
      <c r="H1179" s="6">
        <v>0.0</v>
      </c>
      <c r="I1179" s="6">
        <v>0.0</v>
      </c>
      <c r="J1179" s="6">
        <v>0.0</v>
      </c>
      <c r="K1179" s="6">
        <v>0.0</v>
      </c>
      <c r="L1179" s="6">
        <v>0.0</v>
      </c>
      <c r="M1179" s="6">
        <v>0.0</v>
      </c>
      <c r="N1179" s="669">
        <v>725000.0</v>
      </c>
      <c r="O1179" s="6">
        <v>0.0</v>
      </c>
      <c r="P1179" s="6">
        <v>0.0</v>
      </c>
      <c r="Q1179" s="6">
        <v>0.0</v>
      </c>
      <c r="R1179" s="6">
        <v>0.0</v>
      </c>
      <c r="S1179" s="6">
        <v>0.0</v>
      </c>
      <c r="T1179" s="6">
        <v>0.0</v>
      </c>
      <c r="U1179" s="6">
        <v>0.0</v>
      </c>
    </row>
    <row r="1180">
      <c r="A1180" s="6" t="s">
        <v>1176</v>
      </c>
      <c r="B1180" s="6" t="s">
        <v>11576</v>
      </c>
      <c r="C1180" s="6" t="s">
        <v>11591</v>
      </c>
      <c r="D1180" s="6" t="s">
        <v>904</v>
      </c>
      <c r="E1180" s="6" t="s">
        <v>12027</v>
      </c>
      <c r="F1180" s="6" t="s">
        <v>141</v>
      </c>
      <c r="G1180" s="6" t="s">
        <v>2939</v>
      </c>
      <c r="H1180" s="6">
        <v>0.0</v>
      </c>
      <c r="I1180" s="6">
        <v>0.0</v>
      </c>
      <c r="J1180" s="6">
        <v>3.0</v>
      </c>
      <c r="K1180" s="6">
        <v>0.0</v>
      </c>
      <c r="L1180" s="6">
        <v>0.0</v>
      </c>
      <c r="M1180" s="6">
        <v>0.0</v>
      </c>
      <c r="N1180" s="669">
        <v>644000.0</v>
      </c>
      <c r="O1180" s="6">
        <v>0.0</v>
      </c>
      <c r="P1180" s="6">
        <v>0.0</v>
      </c>
      <c r="Q1180" s="6">
        <v>0.0</v>
      </c>
      <c r="R1180" s="6">
        <v>0.0</v>
      </c>
      <c r="S1180" s="6">
        <v>0.0</v>
      </c>
      <c r="T1180" s="6">
        <v>0.0</v>
      </c>
      <c r="U1180" s="6">
        <v>0.0</v>
      </c>
    </row>
    <row r="1181">
      <c r="A1181" s="6" t="s">
        <v>1177</v>
      </c>
      <c r="B1181" s="6" t="s">
        <v>11578</v>
      </c>
      <c r="C1181" s="6" t="s">
        <v>11591</v>
      </c>
      <c r="D1181" s="6" t="s">
        <v>906</v>
      </c>
      <c r="E1181" s="6" t="s">
        <v>12027</v>
      </c>
      <c r="F1181" s="6" t="s">
        <v>141</v>
      </c>
      <c r="G1181" s="6" t="s">
        <v>2939</v>
      </c>
      <c r="H1181" s="6">
        <v>2.0</v>
      </c>
      <c r="I1181" s="6">
        <v>0.0</v>
      </c>
      <c r="J1181" s="6">
        <v>0.0</v>
      </c>
      <c r="K1181" s="6">
        <v>0.0</v>
      </c>
      <c r="L1181" s="6">
        <v>0.0</v>
      </c>
      <c r="M1181" s="6">
        <v>0.0</v>
      </c>
      <c r="N1181" s="669">
        <v>644000.0</v>
      </c>
      <c r="O1181" s="6">
        <v>0.0</v>
      </c>
      <c r="P1181" s="6">
        <v>0.0</v>
      </c>
      <c r="Q1181" s="6">
        <v>0.0</v>
      </c>
      <c r="R1181" s="6">
        <v>0.0</v>
      </c>
      <c r="S1181" s="6">
        <v>0.0</v>
      </c>
      <c r="T1181" s="6">
        <v>0.0</v>
      </c>
      <c r="U1181" s="6">
        <v>0.0</v>
      </c>
    </row>
    <row r="1182">
      <c r="A1182" s="6" t="s">
        <v>1178</v>
      </c>
      <c r="B1182" s="6" t="s">
        <v>11576</v>
      </c>
      <c r="C1182" s="6" t="s">
        <v>11591</v>
      </c>
      <c r="D1182" s="6" t="s">
        <v>908</v>
      </c>
      <c r="E1182" s="6" t="s">
        <v>12027</v>
      </c>
      <c r="F1182" s="6" t="s">
        <v>141</v>
      </c>
      <c r="G1182" s="6" t="s">
        <v>2939</v>
      </c>
      <c r="H1182" s="6">
        <v>1.0</v>
      </c>
      <c r="I1182" s="6">
        <v>0.0</v>
      </c>
      <c r="J1182" s="6">
        <v>5.0</v>
      </c>
      <c r="K1182" s="6">
        <v>0.0</v>
      </c>
      <c r="L1182" s="6">
        <v>0.0</v>
      </c>
      <c r="M1182" s="6">
        <v>0.0</v>
      </c>
      <c r="N1182" s="669">
        <v>644000.0</v>
      </c>
      <c r="O1182" s="6">
        <v>0.0</v>
      </c>
      <c r="P1182" s="6">
        <v>0.0</v>
      </c>
      <c r="Q1182" s="6">
        <v>0.0</v>
      </c>
      <c r="R1182" s="6">
        <v>0.0</v>
      </c>
      <c r="S1182" s="6">
        <v>0.0</v>
      </c>
      <c r="T1182" s="6">
        <v>0.0</v>
      </c>
      <c r="U1182" s="6">
        <v>0.0</v>
      </c>
    </row>
    <row r="1183">
      <c r="A1183" s="6" t="s">
        <v>1179</v>
      </c>
      <c r="B1183" s="6" t="s">
        <v>11576</v>
      </c>
      <c r="C1183" s="6" t="s">
        <v>11591</v>
      </c>
      <c r="D1183" s="6" t="s">
        <v>911</v>
      </c>
      <c r="E1183" s="6" t="s">
        <v>12027</v>
      </c>
      <c r="F1183" s="6" t="s">
        <v>141</v>
      </c>
      <c r="G1183" s="6" t="s">
        <v>2939</v>
      </c>
      <c r="H1183" s="6">
        <v>0.0</v>
      </c>
      <c r="I1183" s="6">
        <v>0.0</v>
      </c>
      <c r="J1183" s="6">
        <v>5.0</v>
      </c>
      <c r="K1183" s="6">
        <v>0.0</v>
      </c>
      <c r="L1183" s="6">
        <v>0.0</v>
      </c>
      <c r="M1183" s="6">
        <v>0.0</v>
      </c>
      <c r="N1183" s="669">
        <v>644000.0</v>
      </c>
      <c r="O1183" s="6">
        <v>0.0</v>
      </c>
      <c r="P1183" s="6">
        <v>0.0</v>
      </c>
      <c r="Q1183" s="6">
        <v>0.0</v>
      </c>
      <c r="R1183" s="6">
        <v>0.0</v>
      </c>
      <c r="S1183" s="6">
        <v>0.0</v>
      </c>
      <c r="T1183" s="6">
        <v>0.0</v>
      </c>
      <c r="U1183" s="6">
        <v>0.0</v>
      </c>
    </row>
    <row r="1184">
      <c r="A1184" s="6" t="s">
        <v>1923</v>
      </c>
      <c r="B1184" s="6" t="s">
        <v>11569</v>
      </c>
      <c r="C1184" s="6" t="s">
        <v>11570</v>
      </c>
      <c r="D1184" s="6" t="s">
        <v>22</v>
      </c>
      <c r="E1184" s="6" t="s">
        <v>12028</v>
      </c>
      <c r="F1184" s="6" t="s">
        <v>75</v>
      </c>
      <c r="G1184" s="6" t="s">
        <v>2939</v>
      </c>
      <c r="H1184" s="6">
        <v>0.0</v>
      </c>
      <c r="I1184" s="6">
        <v>0.0</v>
      </c>
      <c r="J1184" s="6">
        <v>2.0</v>
      </c>
      <c r="K1184" s="6">
        <v>0.0</v>
      </c>
      <c r="L1184" s="6">
        <v>0.0</v>
      </c>
      <c r="M1184" s="6">
        <v>0.0</v>
      </c>
      <c r="N1184" s="669">
        <v>3326000.0</v>
      </c>
      <c r="O1184" s="6">
        <v>0.0</v>
      </c>
      <c r="P1184" s="6">
        <v>0.0</v>
      </c>
      <c r="Q1184" s="6">
        <v>0.0</v>
      </c>
      <c r="R1184" s="6">
        <v>0.0</v>
      </c>
      <c r="S1184" s="6">
        <v>5.0</v>
      </c>
      <c r="T1184" s="6">
        <v>0.0</v>
      </c>
      <c r="U1184" s="6">
        <v>0.0</v>
      </c>
    </row>
    <row r="1185">
      <c r="A1185" s="6" t="s">
        <v>1180</v>
      </c>
      <c r="B1185" s="6" t="s">
        <v>11576</v>
      </c>
      <c r="C1185" s="6" t="s">
        <v>11570</v>
      </c>
      <c r="D1185" s="6" t="s">
        <v>22</v>
      </c>
      <c r="E1185" s="6" t="s">
        <v>12029</v>
      </c>
      <c r="F1185" s="6" t="s">
        <v>125</v>
      </c>
      <c r="G1185" s="6" t="s">
        <v>2939</v>
      </c>
      <c r="H1185" s="6">
        <v>0.0</v>
      </c>
      <c r="I1185" s="6">
        <v>0.0</v>
      </c>
      <c r="J1185" s="6">
        <v>5.0</v>
      </c>
      <c r="K1185" s="6">
        <v>0.0</v>
      </c>
      <c r="L1185" s="6">
        <v>0.0</v>
      </c>
      <c r="M1185" s="6">
        <v>0.0</v>
      </c>
      <c r="N1185" s="669">
        <v>3137000.0</v>
      </c>
      <c r="O1185" s="6">
        <v>0.0</v>
      </c>
      <c r="P1185" s="6">
        <v>0.0</v>
      </c>
      <c r="Q1185" s="6">
        <v>0.0</v>
      </c>
      <c r="R1185" s="6">
        <v>0.0</v>
      </c>
      <c r="S1185" s="6">
        <v>0.0</v>
      </c>
      <c r="T1185" s="6">
        <v>0.0</v>
      </c>
      <c r="U1185" s="6">
        <v>0.0</v>
      </c>
    </row>
    <row r="1186">
      <c r="A1186" s="6" t="s">
        <v>1182</v>
      </c>
      <c r="B1186" s="6" t="s">
        <v>11578</v>
      </c>
      <c r="C1186" s="6" t="s">
        <v>11579</v>
      </c>
      <c r="D1186" s="6" t="s">
        <v>41</v>
      </c>
      <c r="E1186" s="6" t="s">
        <v>12030</v>
      </c>
      <c r="F1186" s="6" t="s">
        <v>2193</v>
      </c>
      <c r="G1186" s="6" t="s">
        <v>2939</v>
      </c>
      <c r="H1186" s="6">
        <v>4.0</v>
      </c>
      <c r="I1186" s="6">
        <v>0.0</v>
      </c>
      <c r="J1186" s="6">
        <v>0.0</v>
      </c>
      <c r="K1186" s="6">
        <v>0.0</v>
      </c>
      <c r="L1186" s="6">
        <v>0.0</v>
      </c>
      <c r="M1186" s="6">
        <v>0.0</v>
      </c>
      <c r="N1186" s="669">
        <v>2731000.0</v>
      </c>
      <c r="O1186" s="6">
        <v>0.0</v>
      </c>
      <c r="P1186" s="6">
        <v>0.0</v>
      </c>
      <c r="Q1186" s="6">
        <v>0.0</v>
      </c>
      <c r="R1186" s="6">
        <v>0.0</v>
      </c>
      <c r="S1186" s="6">
        <v>0.0</v>
      </c>
      <c r="T1186" s="6">
        <v>0.0</v>
      </c>
      <c r="U1186" s="6">
        <v>0.0</v>
      </c>
    </row>
    <row r="1187">
      <c r="A1187" s="6" t="s">
        <v>1184</v>
      </c>
      <c r="B1187" s="6" t="s">
        <v>11576</v>
      </c>
      <c r="C1187" s="6" t="s">
        <v>11591</v>
      </c>
      <c r="D1187" s="6" t="s">
        <v>132</v>
      </c>
      <c r="E1187" s="6" t="s">
        <v>12030</v>
      </c>
      <c r="G1187" s="6" t="s">
        <v>2939</v>
      </c>
      <c r="H1187" s="6">
        <v>0.0</v>
      </c>
      <c r="I1187" s="6">
        <v>0.0</v>
      </c>
      <c r="J1187" s="6">
        <v>2.0</v>
      </c>
      <c r="K1187" s="6">
        <v>0.0</v>
      </c>
      <c r="L1187" s="6">
        <v>0.0</v>
      </c>
      <c r="M1187" s="6">
        <v>0.0</v>
      </c>
      <c r="N1187" s="669">
        <v>725000.0</v>
      </c>
      <c r="O1187" s="6">
        <v>0.0</v>
      </c>
      <c r="P1187" s="6">
        <v>0.0</v>
      </c>
      <c r="Q1187" s="6">
        <v>0.0</v>
      </c>
      <c r="R1187" s="6">
        <v>0.0</v>
      </c>
      <c r="S1187" s="6">
        <v>0.0</v>
      </c>
      <c r="T1187" s="6">
        <v>0.0</v>
      </c>
      <c r="U1187" s="6">
        <v>0.0</v>
      </c>
    </row>
    <row r="1188">
      <c r="A1188" s="6" t="s">
        <v>1185</v>
      </c>
      <c r="B1188" s="6" t="s">
        <v>11576</v>
      </c>
      <c r="C1188" s="6" t="s">
        <v>11591</v>
      </c>
      <c r="D1188" s="6" t="s">
        <v>134</v>
      </c>
      <c r="E1188" s="6" t="s">
        <v>12030</v>
      </c>
      <c r="G1188" s="6" t="s">
        <v>2939</v>
      </c>
      <c r="H1188" s="6">
        <v>0.0</v>
      </c>
      <c r="I1188" s="6">
        <v>0.0</v>
      </c>
      <c r="J1188" s="6">
        <v>5.0</v>
      </c>
      <c r="K1188" s="6">
        <v>0.0</v>
      </c>
      <c r="L1188" s="6">
        <v>0.0</v>
      </c>
      <c r="M1188" s="6">
        <v>0.0</v>
      </c>
      <c r="N1188" s="669">
        <v>725000.0</v>
      </c>
      <c r="O1188" s="6">
        <v>0.0</v>
      </c>
      <c r="P1188" s="6">
        <v>0.0</v>
      </c>
      <c r="Q1188" s="6">
        <v>0.0</v>
      </c>
      <c r="R1188" s="6">
        <v>0.0</v>
      </c>
      <c r="S1188" s="6">
        <v>0.0</v>
      </c>
      <c r="T1188" s="6">
        <v>0.0</v>
      </c>
      <c r="U1188" s="6">
        <v>0.0</v>
      </c>
    </row>
    <row r="1189">
      <c r="A1189" s="6" t="s">
        <v>1186</v>
      </c>
      <c r="B1189" s="6" t="s">
        <v>11578</v>
      </c>
      <c r="C1189" s="6" t="s">
        <v>11591</v>
      </c>
      <c r="D1189" s="6" t="s">
        <v>202</v>
      </c>
      <c r="E1189" s="6" t="s">
        <v>12030</v>
      </c>
      <c r="F1189" s="6" t="s">
        <v>533</v>
      </c>
      <c r="G1189" s="6" t="s">
        <v>2939</v>
      </c>
      <c r="H1189" s="6">
        <v>2.0</v>
      </c>
      <c r="I1189" s="6">
        <v>0.0</v>
      </c>
      <c r="J1189" s="6">
        <v>0.0</v>
      </c>
      <c r="K1189" s="6">
        <v>0.0</v>
      </c>
      <c r="L1189" s="6">
        <v>0.0</v>
      </c>
      <c r="M1189" s="6">
        <v>0.0</v>
      </c>
      <c r="N1189" s="669">
        <v>966000.0</v>
      </c>
      <c r="O1189" s="6">
        <v>0.0</v>
      </c>
      <c r="P1189" s="6">
        <v>0.0</v>
      </c>
      <c r="Q1189" s="6">
        <v>0.0</v>
      </c>
      <c r="R1189" s="6">
        <v>0.0</v>
      </c>
      <c r="S1189" s="6">
        <v>0.0</v>
      </c>
      <c r="T1189" s="6">
        <v>0.0</v>
      </c>
      <c r="U1189" s="6">
        <v>0.0</v>
      </c>
    </row>
    <row r="1190">
      <c r="A1190" s="6" t="s">
        <v>1187</v>
      </c>
      <c r="B1190" s="6" t="s">
        <v>11578</v>
      </c>
      <c r="C1190" s="6" t="s">
        <v>11591</v>
      </c>
      <c r="D1190" s="6" t="s">
        <v>236</v>
      </c>
      <c r="E1190" s="6" t="s">
        <v>12030</v>
      </c>
      <c r="F1190" s="6" t="s">
        <v>533</v>
      </c>
      <c r="G1190" s="6" t="s">
        <v>2939</v>
      </c>
      <c r="H1190" s="6">
        <v>0.0</v>
      </c>
      <c r="I1190" s="6">
        <v>0.0</v>
      </c>
      <c r="J1190" s="6">
        <v>0.0</v>
      </c>
      <c r="K1190" s="6">
        <v>0.0</v>
      </c>
      <c r="L1190" s="6">
        <v>0.0</v>
      </c>
      <c r="M1190" s="6">
        <v>0.0</v>
      </c>
      <c r="N1190" s="669">
        <v>966000.0</v>
      </c>
      <c r="O1190" s="6">
        <v>0.0</v>
      </c>
      <c r="P1190" s="6">
        <v>0.0</v>
      </c>
      <c r="Q1190" s="6">
        <v>0.0</v>
      </c>
      <c r="R1190" s="6">
        <v>0.0</v>
      </c>
      <c r="S1190" s="6">
        <v>0.0</v>
      </c>
      <c r="T1190" s="6">
        <v>0.0</v>
      </c>
      <c r="U1190" s="6">
        <v>0.0</v>
      </c>
    </row>
    <row r="1191">
      <c r="A1191" s="6" t="s">
        <v>1188</v>
      </c>
      <c r="B1191" s="6" t="s">
        <v>11576</v>
      </c>
      <c r="C1191" s="6" t="s">
        <v>11570</v>
      </c>
      <c r="D1191" s="6" t="s">
        <v>22</v>
      </c>
      <c r="E1191" s="6" t="s">
        <v>12031</v>
      </c>
      <c r="F1191" s="6" t="s">
        <v>75</v>
      </c>
      <c r="G1191" s="6" t="s">
        <v>2939</v>
      </c>
      <c r="H1191" s="6">
        <v>0.0</v>
      </c>
      <c r="I1191" s="6">
        <v>0.0</v>
      </c>
      <c r="J1191" s="6">
        <v>8.0</v>
      </c>
      <c r="K1191" s="6">
        <v>1.0</v>
      </c>
      <c r="L1191" s="6">
        <v>0.0</v>
      </c>
      <c r="M1191" s="6">
        <v>0.0</v>
      </c>
      <c r="N1191" s="669">
        <v>3080000.0</v>
      </c>
      <c r="O1191" s="6">
        <v>0.0</v>
      </c>
      <c r="P1191" s="6">
        <v>0.0</v>
      </c>
      <c r="Q1191" s="6">
        <v>0.0</v>
      </c>
      <c r="R1191" s="6">
        <v>0.0</v>
      </c>
      <c r="S1191" s="6">
        <v>0.0</v>
      </c>
      <c r="T1191" s="6">
        <v>0.0</v>
      </c>
      <c r="U1191" s="6">
        <v>0.0</v>
      </c>
    </row>
    <row r="1192">
      <c r="A1192" s="6" t="s">
        <v>1926</v>
      </c>
      <c r="B1192" s="6" t="s">
        <v>11569</v>
      </c>
      <c r="C1192" s="6" t="s">
        <v>11570</v>
      </c>
      <c r="D1192" s="6" t="s">
        <v>22</v>
      </c>
      <c r="E1192" s="6" t="s">
        <v>12032</v>
      </c>
      <c r="F1192" s="6" t="s">
        <v>75</v>
      </c>
      <c r="G1192" s="6" t="s">
        <v>2939</v>
      </c>
      <c r="H1192" s="6">
        <v>0.0</v>
      </c>
      <c r="I1192" s="6">
        <v>0.0</v>
      </c>
      <c r="J1192" s="6">
        <v>2.0</v>
      </c>
      <c r="K1192" s="6">
        <v>0.0</v>
      </c>
      <c r="L1192" s="6">
        <v>0.0</v>
      </c>
      <c r="M1192" s="6">
        <v>0.0</v>
      </c>
      <c r="N1192" s="669">
        <v>3080000.0</v>
      </c>
      <c r="O1192" s="6">
        <v>0.0</v>
      </c>
      <c r="P1192" s="6">
        <v>0.0</v>
      </c>
      <c r="Q1192" s="6">
        <v>0.0</v>
      </c>
      <c r="R1192" s="6">
        <v>0.0</v>
      </c>
      <c r="S1192" s="6">
        <v>0.0</v>
      </c>
      <c r="T1192" s="6">
        <v>0.0</v>
      </c>
      <c r="U1192" s="6">
        <v>0.0</v>
      </c>
    </row>
    <row r="1193">
      <c r="A1193" s="6" t="s">
        <v>1190</v>
      </c>
      <c r="B1193" s="6" t="s">
        <v>11576</v>
      </c>
      <c r="C1193" s="6" t="s">
        <v>11570</v>
      </c>
      <c r="D1193" s="6" t="s">
        <v>22</v>
      </c>
      <c r="E1193" s="6" t="s">
        <v>12033</v>
      </c>
      <c r="F1193" s="6" t="s">
        <v>125</v>
      </c>
      <c r="G1193" s="6" t="s">
        <v>2939</v>
      </c>
      <c r="H1193" s="6">
        <v>0.0</v>
      </c>
      <c r="I1193" s="6">
        <v>0.0</v>
      </c>
      <c r="J1193" s="6">
        <v>4.0</v>
      </c>
      <c r="K1193" s="6">
        <v>0.0</v>
      </c>
      <c r="L1193" s="6">
        <v>0.0</v>
      </c>
      <c r="M1193" s="6">
        <v>0.0</v>
      </c>
      <c r="N1193" s="669">
        <v>2689000.0</v>
      </c>
      <c r="O1193" s="6">
        <v>0.0</v>
      </c>
      <c r="P1193" s="6">
        <v>0.0</v>
      </c>
      <c r="Q1193" s="6">
        <v>0.0</v>
      </c>
      <c r="R1193" s="6">
        <v>0.0</v>
      </c>
      <c r="S1193" s="6">
        <v>0.0</v>
      </c>
      <c r="T1193" s="6">
        <v>0.0</v>
      </c>
      <c r="U1193" s="6">
        <v>0.0</v>
      </c>
    </row>
    <row r="1194">
      <c r="A1194" s="6" t="s">
        <v>1191</v>
      </c>
      <c r="B1194" s="6" t="s">
        <v>11576</v>
      </c>
      <c r="C1194" s="6" t="s">
        <v>11579</v>
      </c>
      <c r="D1194" s="6" t="s">
        <v>41</v>
      </c>
      <c r="E1194" s="6" t="s">
        <v>12033</v>
      </c>
      <c r="F1194" s="6" t="s">
        <v>1377</v>
      </c>
      <c r="G1194" s="6" t="s">
        <v>2939</v>
      </c>
      <c r="H1194" s="6">
        <v>0.0</v>
      </c>
      <c r="I1194" s="6">
        <v>0.0</v>
      </c>
      <c r="J1194" s="6">
        <v>2.0</v>
      </c>
      <c r="K1194" s="6">
        <v>0.0</v>
      </c>
      <c r="L1194" s="6">
        <v>0.0</v>
      </c>
      <c r="M1194" s="6">
        <v>0.0</v>
      </c>
      <c r="N1194" s="669">
        <v>2731000.0</v>
      </c>
      <c r="O1194" s="6">
        <v>0.0</v>
      </c>
      <c r="P1194" s="6">
        <v>0.0</v>
      </c>
      <c r="Q1194" s="6">
        <v>0.0</v>
      </c>
      <c r="R1194" s="6">
        <v>0.0</v>
      </c>
      <c r="S1194" s="6">
        <v>0.0</v>
      </c>
      <c r="T1194" s="6">
        <v>0.0</v>
      </c>
      <c r="U1194" s="6">
        <v>0.0</v>
      </c>
    </row>
    <row r="1195">
      <c r="A1195" s="6" t="s">
        <v>1192</v>
      </c>
      <c r="B1195" s="6" t="s">
        <v>11578</v>
      </c>
      <c r="C1195" s="6" t="s">
        <v>11591</v>
      </c>
      <c r="D1195" s="6" t="s">
        <v>128</v>
      </c>
      <c r="E1195" s="6" t="s">
        <v>12033</v>
      </c>
      <c r="G1195" s="6" t="s">
        <v>2939</v>
      </c>
      <c r="H1195" s="6">
        <v>0.0</v>
      </c>
      <c r="I1195" s="6">
        <v>0.0</v>
      </c>
      <c r="J1195" s="6">
        <v>0.0</v>
      </c>
      <c r="K1195" s="6">
        <v>0.0</v>
      </c>
      <c r="L1195" s="6">
        <v>0.0</v>
      </c>
      <c r="M1195" s="6">
        <v>0.0</v>
      </c>
      <c r="N1195" s="669">
        <v>725000.0</v>
      </c>
      <c r="O1195" s="6">
        <v>0.0</v>
      </c>
      <c r="P1195" s="6">
        <v>0.0</v>
      </c>
      <c r="Q1195" s="6">
        <v>0.0</v>
      </c>
      <c r="R1195" s="6">
        <v>0.0</v>
      </c>
      <c r="S1195" s="6">
        <v>0.0</v>
      </c>
      <c r="T1195" s="6">
        <v>0.0</v>
      </c>
      <c r="U1195" s="6">
        <v>0.0</v>
      </c>
    </row>
    <row r="1196">
      <c r="A1196" s="6" t="s">
        <v>1193</v>
      </c>
      <c r="B1196" s="6" t="s">
        <v>11578</v>
      </c>
      <c r="C1196" s="6" t="s">
        <v>11591</v>
      </c>
      <c r="D1196" s="6" t="s">
        <v>130</v>
      </c>
      <c r="E1196" s="6" t="s">
        <v>12033</v>
      </c>
      <c r="G1196" s="6" t="s">
        <v>2939</v>
      </c>
      <c r="H1196" s="6">
        <v>0.0</v>
      </c>
      <c r="I1196" s="6">
        <v>0.0</v>
      </c>
      <c r="J1196" s="6">
        <v>0.0</v>
      </c>
      <c r="K1196" s="6">
        <v>0.0</v>
      </c>
      <c r="L1196" s="6">
        <v>0.0</v>
      </c>
      <c r="M1196" s="6">
        <v>0.0</v>
      </c>
      <c r="N1196" s="669">
        <v>725000.0</v>
      </c>
      <c r="O1196" s="6">
        <v>0.0</v>
      </c>
      <c r="P1196" s="6">
        <v>0.0</v>
      </c>
      <c r="Q1196" s="6">
        <v>0.0</v>
      </c>
      <c r="R1196" s="6">
        <v>0.0</v>
      </c>
      <c r="S1196" s="6">
        <v>0.0</v>
      </c>
      <c r="T1196" s="6">
        <v>0.0</v>
      </c>
      <c r="U1196" s="6">
        <v>0.0</v>
      </c>
    </row>
    <row r="1197">
      <c r="A1197" s="6" t="s">
        <v>1194</v>
      </c>
      <c r="B1197" s="6" t="s">
        <v>11578</v>
      </c>
      <c r="C1197" s="6" t="s">
        <v>11591</v>
      </c>
      <c r="D1197" s="6" t="s">
        <v>132</v>
      </c>
      <c r="E1197" s="6" t="s">
        <v>12034</v>
      </c>
      <c r="G1197" s="6" t="s">
        <v>2939</v>
      </c>
      <c r="H1197" s="6">
        <v>0.0</v>
      </c>
      <c r="I1197" s="6">
        <v>0.0</v>
      </c>
      <c r="J1197" s="6">
        <v>0.0</v>
      </c>
      <c r="K1197" s="6">
        <v>0.0</v>
      </c>
      <c r="L1197" s="6">
        <v>0.0</v>
      </c>
      <c r="M1197" s="6">
        <v>0.0</v>
      </c>
      <c r="N1197" s="669">
        <v>644000.0</v>
      </c>
      <c r="O1197" s="6">
        <v>0.0</v>
      </c>
      <c r="P1197" s="6">
        <v>0.0</v>
      </c>
      <c r="Q1197" s="6">
        <v>0.0</v>
      </c>
      <c r="R1197" s="6">
        <v>0.0</v>
      </c>
      <c r="S1197" s="6">
        <v>0.0</v>
      </c>
      <c r="T1197" s="6">
        <v>0.0</v>
      </c>
      <c r="U1197" s="6">
        <v>0.0</v>
      </c>
    </row>
    <row r="1198">
      <c r="A1198" s="6" t="s">
        <v>1195</v>
      </c>
      <c r="B1198" s="6" t="s">
        <v>11578</v>
      </c>
      <c r="C1198" s="6" t="s">
        <v>11591</v>
      </c>
      <c r="D1198" s="6" t="s">
        <v>134</v>
      </c>
      <c r="E1198" s="6" t="s">
        <v>12034</v>
      </c>
      <c r="G1198" s="6" t="s">
        <v>2939</v>
      </c>
      <c r="H1198" s="6">
        <v>3.0</v>
      </c>
      <c r="I1198" s="6">
        <v>0.0</v>
      </c>
      <c r="J1198" s="6">
        <v>0.0</v>
      </c>
      <c r="K1198" s="6">
        <v>0.0</v>
      </c>
      <c r="L1198" s="6">
        <v>0.0</v>
      </c>
      <c r="M1198" s="6">
        <v>0.0</v>
      </c>
      <c r="N1198" s="669">
        <v>644000.0</v>
      </c>
      <c r="O1198" s="6">
        <v>0.0</v>
      </c>
      <c r="P1198" s="6">
        <v>0.0</v>
      </c>
      <c r="Q1198" s="6">
        <v>0.0</v>
      </c>
      <c r="R1198" s="6">
        <v>0.0</v>
      </c>
      <c r="S1198" s="6">
        <v>0.0</v>
      </c>
      <c r="T1198" s="6">
        <v>0.0</v>
      </c>
      <c r="U1198" s="6">
        <v>0.0</v>
      </c>
    </row>
    <row r="1199">
      <c r="A1199" s="6" t="s">
        <v>1196</v>
      </c>
      <c r="B1199" s="6" t="s">
        <v>11578</v>
      </c>
      <c r="C1199" s="6" t="s">
        <v>11591</v>
      </c>
      <c r="D1199" s="6" t="s">
        <v>387</v>
      </c>
      <c r="E1199" s="6" t="s">
        <v>12034</v>
      </c>
      <c r="G1199" s="6" t="s">
        <v>2939</v>
      </c>
      <c r="H1199" s="6">
        <v>5.0</v>
      </c>
      <c r="I1199" s="6">
        <v>0.0</v>
      </c>
      <c r="J1199" s="6">
        <v>0.0</v>
      </c>
      <c r="K1199" s="6">
        <v>0.0</v>
      </c>
      <c r="L1199" s="6">
        <v>0.0</v>
      </c>
      <c r="M1199" s="6">
        <v>0.0</v>
      </c>
      <c r="N1199" s="669">
        <v>307000.0</v>
      </c>
      <c r="O1199" s="6">
        <v>0.0</v>
      </c>
      <c r="P1199" s="6">
        <v>0.0</v>
      </c>
      <c r="Q1199" s="6">
        <v>0.0</v>
      </c>
      <c r="R1199" s="6">
        <v>0.0</v>
      </c>
      <c r="S1199" s="6">
        <v>0.0</v>
      </c>
      <c r="T1199" s="6">
        <v>0.0</v>
      </c>
      <c r="U1199" s="6">
        <v>0.0</v>
      </c>
    </row>
    <row r="1200">
      <c r="A1200" s="6" t="s">
        <v>1197</v>
      </c>
      <c r="B1200" s="6" t="s">
        <v>11578</v>
      </c>
      <c r="C1200" s="6" t="s">
        <v>11591</v>
      </c>
      <c r="D1200" s="6" t="s">
        <v>389</v>
      </c>
      <c r="E1200" s="6" t="s">
        <v>12034</v>
      </c>
      <c r="G1200" s="6" t="s">
        <v>2939</v>
      </c>
      <c r="H1200" s="6">
        <v>6.0</v>
      </c>
      <c r="I1200" s="6">
        <v>0.0</v>
      </c>
      <c r="J1200" s="6">
        <v>0.0</v>
      </c>
      <c r="K1200" s="6">
        <v>0.0</v>
      </c>
      <c r="L1200" s="6">
        <v>0.0</v>
      </c>
      <c r="M1200" s="6">
        <v>0.0</v>
      </c>
      <c r="N1200" s="669">
        <v>307000.0</v>
      </c>
      <c r="O1200" s="6">
        <v>0.0</v>
      </c>
      <c r="P1200" s="6">
        <v>0.0</v>
      </c>
      <c r="Q1200" s="6">
        <v>0.0</v>
      </c>
      <c r="R1200" s="6">
        <v>0.0</v>
      </c>
      <c r="S1200" s="6">
        <v>0.0</v>
      </c>
      <c r="T1200" s="6">
        <v>0.0</v>
      </c>
      <c r="U1200" s="6">
        <v>0.0</v>
      </c>
    </row>
    <row r="1201">
      <c r="A1201" s="6" t="s">
        <v>1928</v>
      </c>
      <c r="B1201" s="6" t="s">
        <v>11569</v>
      </c>
      <c r="C1201" s="6" t="s">
        <v>11570</v>
      </c>
      <c r="D1201" s="6" t="s">
        <v>22</v>
      </c>
      <c r="E1201" s="6" t="s">
        <v>12035</v>
      </c>
      <c r="F1201" s="6" t="s">
        <v>1547</v>
      </c>
      <c r="G1201" s="6" t="s">
        <v>2939</v>
      </c>
      <c r="H1201" s="6">
        <v>0.0</v>
      </c>
      <c r="I1201" s="6">
        <v>0.0</v>
      </c>
      <c r="J1201" s="6">
        <v>5.0</v>
      </c>
      <c r="K1201" s="6">
        <v>1.0</v>
      </c>
      <c r="L1201" s="6">
        <v>0.0</v>
      </c>
      <c r="M1201" s="6">
        <v>0.0</v>
      </c>
      <c r="N1201" s="669">
        <v>1848000.0</v>
      </c>
      <c r="O1201" s="6">
        <v>0.0</v>
      </c>
      <c r="P1201" s="6">
        <v>0.0</v>
      </c>
      <c r="Q1201" s="6">
        <v>0.0</v>
      </c>
      <c r="R1201" s="6">
        <v>0.0</v>
      </c>
      <c r="S1201" s="6">
        <v>0.0</v>
      </c>
      <c r="T1201" s="6">
        <v>0.0</v>
      </c>
      <c r="U1201" s="6">
        <v>0.0</v>
      </c>
    </row>
    <row r="1202">
      <c r="A1202" s="6" t="s">
        <v>1198</v>
      </c>
      <c r="B1202" s="6" t="s">
        <v>11576</v>
      </c>
      <c r="C1202" s="6" t="s">
        <v>11570</v>
      </c>
      <c r="D1202" s="6" t="s">
        <v>22</v>
      </c>
      <c r="E1202" s="6" t="s">
        <v>1199</v>
      </c>
      <c r="F1202" s="6" t="s">
        <v>125</v>
      </c>
      <c r="G1202" s="6" t="s">
        <v>2939</v>
      </c>
      <c r="H1202" s="6">
        <v>1.0</v>
      </c>
      <c r="I1202" s="6">
        <v>0.0</v>
      </c>
      <c r="J1202" s="6" t="s">
        <v>11590</v>
      </c>
      <c r="K1202" s="6">
        <v>0.0</v>
      </c>
      <c r="L1202" s="6">
        <v>0.0</v>
      </c>
      <c r="M1202" s="6">
        <v>0.0</v>
      </c>
      <c r="N1202" s="669">
        <v>3192000.0</v>
      </c>
      <c r="O1202" s="6">
        <v>0.0</v>
      </c>
      <c r="P1202" s="6">
        <v>0.0</v>
      </c>
      <c r="Q1202" s="6">
        <v>0.0</v>
      </c>
      <c r="R1202" s="6">
        <v>0.0</v>
      </c>
      <c r="S1202" s="6">
        <v>0.0</v>
      </c>
      <c r="T1202" s="6">
        <v>0.0</v>
      </c>
      <c r="U1202" s="6">
        <v>0.0</v>
      </c>
    </row>
    <row r="1203">
      <c r="A1203" s="6" t="s">
        <v>12036</v>
      </c>
      <c r="B1203" s="6" t="s">
        <v>11569</v>
      </c>
      <c r="C1203" s="6" t="s">
        <v>11591</v>
      </c>
      <c r="D1203" s="6" t="s">
        <v>128</v>
      </c>
      <c r="E1203" s="6" t="s">
        <v>1199</v>
      </c>
      <c r="G1203" s="6" t="s">
        <v>2939</v>
      </c>
      <c r="H1203" s="6">
        <v>0.0</v>
      </c>
      <c r="I1203" s="6">
        <v>0.0</v>
      </c>
      <c r="J1203" s="6">
        <v>2.0</v>
      </c>
      <c r="K1203" s="6">
        <v>0.0</v>
      </c>
      <c r="L1203" s="6">
        <v>0.0</v>
      </c>
      <c r="M1203" s="6">
        <v>0.0</v>
      </c>
      <c r="N1203" s="669">
        <v>725000.0</v>
      </c>
      <c r="O1203" s="6">
        <v>0.0</v>
      </c>
      <c r="P1203" s="6">
        <v>0.0</v>
      </c>
      <c r="Q1203" s="6">
        <v>0.0</v>
      </c>
      <c r="R1203" s="6">
        <v>0.0</v>
      </c>
      <c r="S1203" s="6">
        <v>0.0</v>
      </c>
      <c r="T1203" s="6">
        <v>0.0</v>
      </c>
      <c r="U1203" s="6">
        <v>0.0</v>
      </c>
    </row>
    <row r="1204">
      <c r="A1204" s="6" t="s">
        <v>12037</v>
      </c>
      <c r="B1204" s="6" t="s">
        <v>11569</v>
      </c>
      <c r="C1204" s="6" t="s">
        <v>11591</v>
      </c>
      <c r="D1204" s="6" t="s">
        <v>130</v>
      </c>
      <c r="E1204" s="6" t="s">
        <v>1199</v>
      </c>
      <c r="G1204" s="6" t="s">
        <v>2939</v>
      </c>
      <c r="H1204" s="6">
        <v>0.0</v>
      </c>
      <c r="I1204" s="6">
        <v>0.0</v>
      </c>
      <c r="J1204" s="6">
        <v>2.0</v>
      </c>
      <c r="K1204" s="6">
        <v>0.0</v>
      </c>
      <c r="L1204" s="6">
        <v>0.0</v>
      </c>
      <c r="M1204" s="6">
        <v>0.0</v>
      </c>
      <c r="N1204" s="669">
        <v>725000.0</v>
      </c>
      <c r="O1204" s="6">
        <v>0.0</v>
      </c>
      <c r="P1204" s="6">
        <v>0.0</v>
      </c>
      <c r="Q1204" s="6">
        <v>0.0</v>
      </c>
      <c r="R1204" s="6">
        <v>0.0</v>
      </c>
      <c r="S1204" s="6">
        <v>0.0</v>
      </c>
      <c r="T1204" s="6">
        <v>0.0</v>
      </c>
      <c r="U1204" s="6">
        <v>0.0</v>
      </c>
    </row>
    <row r="1205">
      <c r="A1205" s="6" t="s">
        <v>1200</v>
      </c>
      <c r="B1205" s="6" t="s">
        <v>11578</v>
      </c>
      <c r="C1205" s="6" t="s">
        <v>11591</v>
      </c>
      <c r="D1205" s="6" t="s">
        <v>132</v>
      </c>
      <c r="E1205" s="6" t="s">
        <v>1199</v>
      </c>
      <c r="G1205" s="6" t="s">
        <v>2939</v>
      </c>
      <c r="H1205" s="6">
        <v>5.0</v>
      </c>
      <c r="I1205" s="6">
        <v>0.0</v>
      </c>
      <c r="J1205" s="6">
        <v>0.0</v>
      </c>
      <c r="K1205" s="6">
        <v>0.0</v>
      </c>
      <c r="L1205" s="6">
        <v>0.0</v>
      </c>
      <c r="M1205" s="6">
        <v>0.0</v>
      </c>
      <c r="N1205" s="669">
        <v>725000.0</v>
      </c>
      <c r="O1205" s="6">
        <v>0.0</v>
      </c>
      <c r="P1205" s="6">
        <v>0.0</v>
      </c>
      <c r="Q1205" s="6">
        <v>0.0</v>
      </c>
      <c r="R1205" s="6">
        <v>0.0</v>
      </c>
      <c r="S1205" s="6">
        <v>0.0</v>
      </c>
      <c r="T1205" s="6">
        <v>0.0</v>
      </c>
      <c r="U1205" s="6">
        <v>0.0</v>
      </c>
    </row>
    <row r="1206">
      <c r="A1206" s="6" t="s">
        <v>1201</v>
      </c>
      <c r="B1206" s="6" t="s">
        <v>11578</v>
      </c>
      <c r="C1206" s="6" t="s">
        <v>11591</v>
      </c>
      <c r="D1206" s="6" t="s">
        <v>134</v>
      </c>
      <c r="E1206" s="6" t="s">
        <v>1199</v>
      </c>
      <c r="G1206" s="6" t="s">
        <v>2939</v>
      </c>
      <c r="H1206" s="6">
        <v>6.0</v>
      </c>
      <c r="I1206" s="6">
        <v>0.0</v>
      </c>
      <c r="J1206" s="6">
        <v>0.0</v>
      </c>
      <c r="K1206" s="6">
        <v>0.0</v>
      </c>
      <c r="L1206" s="6">
        <v>0.0</v>
      </c>
      <c r="M1206" s="6">
        <v>0.0</v>
      </c>
      <c r="N1206" s="669">
        <v>725000.0</v>
      </c>
      <c r="O1206" s="6">
        <v>0.0</v>
      </c>
      <c r="P1206" s="6">
        <v>0.0</v>
      </c>
      <c r="Q1206" s="6">
        <v>0.0</v>
      </c>
      <c r="R1206" s="6">
        <v>0.0</v>
      </c>
      <c r="S1206" s="6">
        <v>0.0</v>
      </c>
      <c r="T1206" s="6">
        <v>0.0</v>
      </c>
      <c r="U1206" s="6">
        <v>0.0</v>
      </c>
    </row>
    <row r="1207">
      <c r="A1207" s="6" t="s">
        <v>1202</v>
      </c>
      <c r="B1207" s="6" t="s">
        <v>11578</v>
      </c>
      <c r="C1207" s="6" t="s">
        <v>11591</v>
      </c>
      <c r="D1207" s="6" t="s">
        <v>202</v>
      </c>
      <c r="E1207" s="6" t="s">
        <v>1199</v>
      </c>
      <c r="F1207" s="6" t="s">
        <v>1203</v>
      </c>
      <c r="G1207" s="6" t="s">
        <v>2939</v>
      </c>
      <c r="H1207" s="6">
        <v>6.0</v>
      </c>
      <c r="I1207" s="6">
        <v>0.0</v>
      </c>
      <c r="J1207" s="6">
        <v>0.0</v>
      </c>
      <c r="K1207" s="6">
        <v>0.0</v>
      </c>
      <c r="L1207" s="6">
        <v>0.0</v>
      </c>
      <c r="M1207" s="6">
        <v>0.0</v>
      </c>
      <c r="N1207" s="669">
        <v>804000.0</v>
      </c>
      <c r="O1207" s="6">
        <v>0.0</v>
      </c>
      <c r="P1207" s="6">
        <v>0.0</v>
      </c>
      <c r="Q1207" s="6">
        <v>0.0</v>
      </c>
      <c r="R1207" s="6">
        <v>0.0</v>
      </c>
      <c r="S1207" s="6">
        <v>0.0</v>
      </c>
      <c r="T1207" s="6">
        <v>0.0</v>
      </c>
      <c r="U1207" s="6">
        <v>0.0</v>
      </c>
    </row>
    <row r="1208">
      <c r="A1208" s="6" t="s">
        <v>1204</v>
      </c>
      <c r="B1208" s="6" t="s">
        <v>11578</v>
      </c>
      <c r="C1208" s="6" t="s">
        <v>11591</v>
      </c>
      <c r="D1208" s="6" t="s">
        <v>236</v>
      </c>
      <c r="E1208" s="6" t="s">
        <v>1199</v>
      </c>
      <c r="F1208" s="6" t="s">
        <v>533</v>
      </c>
      <c r="G1208" s="6" t="s">
        <v>2939</v>
      </c>
      <c r="H1208" s="6">
        <v>5.0</v>
      </c>
      <c r="I1208" s="6">
        <v>0.0</v>
      </c>
      <c r="J1208" s="6">
        <v>0.0</v>
      </c>
      <c r="K1208" s="6">
        <v>0.0</v>
      </c>
      <c r="L1208" s="6">
        <v>0.0</v>
      </c>
      <c r="M1208" s="6">
        <v>0.0</v>
      </c>
      <c r="N1208" s="669">
        <v>804000.0</v>
      </c>
      <c r="O1208" s="6">
        <v>0.0</v>
      </c>
      <c r="P1208" s="6">
        <v>0.0</v>
      </c>
      <c r="Q1208" s="6">
        <v>0.0</v>
      </c>
      <c r="R1208" s="6">
        <v>0.0</v>
      </c>
      <c r="S1208" s="6">
        <v>0.0</v>
      </c>
      <c r="T1208" s="6">
        <v>0.0</v>
      </c>
      <c r="U1208" s="6">
        <v>0.0</v>
      </c>
    </row>
    <row r="1209">
      <c r="A1209" s="6" t="s">
        <v>1205</v>
      </c>
      <c r="B1209" s="6" t="s">
        <v>11576</v>
      </c>
      <c r="C1209" s="6" t="s">
        <v>11579</v>
      </c>
      <c r="D1209" s="6" t="s">
        <v>41</v>
      </c>
      <c r="E1209" s="6" t="s">
        <v>1206</v>
      </c>
      <c r="F1209" s="6" t="s">
        <v>1377</v>
      </c>
      <c r="G1209" s="6" t="s">
        <v>2939</v>
      </c>
      <c r="H1209" s="6">
        <v>0.0</v>
      </c>
      <c r="I1209" s="6">
        <v>0.0</v>
      </c>
      <c r="J1209" s="6">
        <v>4.0</v>
      </c>
      <c r="K1209" s="6">
        <v>0.0</v>
      </c>
      <c r="L1209" s="6">
        <v>0.0</v>
      </c>
      <c r="M1209" s="6">
        <v>0.0</v>
      </c>
      <c r="N1209" s="669">
        <v>2731000.0</v>
      </c>
      <c r="O1209" s="6">
        <v>0.0</v>
      </c>
      <c r="P1209" s="6">
        <v>0.0</v>
      </c>
      <c r="Q1209" s="6">
        <v>0.0</v>
      </c>
      <c r="R1209" s="6">
        <v>0.0</v>
      </c>
      <c r="S1209" s="6">
        <v>0.0</v>
      </c>
      <c r="T1209" s="6">
        <v>0.0</v>
      </c>
      <c r="U1209" s="6">
        <v>0.0</v>
      </c>
    </row>
    <row r="1210">
      <c r="A1210" s="6" t="s">
        <v>1930</v>
      </c>
      <c r="B1210" s="6" t="s">
        <v>11569</v>
      </c>
      <c r="C1210" s="6" t="s">
        <v>11579</v>
      </c>
      <c r="D1210" s="6" t="s">
        <v>41</v>
      </c>
      <c r="E1210" s="6" t="s">
        <v>1931</v>
      </c>
      <c r="F1210" s="6" t="s">
        <v>2193</v>
      </c>
      <c r="G1210" s="6" t="s">
        <v>2939</v>
      </c>
      <c r="H1210" s="6">
        <v>0.0</v>
      </c>
      <c r="I1210" s="6">
        <v>0.0</v>
      </c>
      <c r="J1210" s="6">
        <v>4.0</v>
      </c>
      <c r="K1210" s="6">
        <v>0.0</v>
      </c>
      <c r="L1210" s="6">
        <v>0.0</v>
      </c>
      <c r="M1210" s="6">
        <v>0.0</v>
      </c>
      <c r="N1210" s="669">
        <v>2943000.0</v>
      </c>
      <c r="O1210" s="6">
        <v>0.0</v>
      </c>
      <c r="P1210" s="6">
        <v>0.0</v>
      </c>
      <c r="Q1210" s="6">
        <v>0.0</v>
      </c>
      <c r="R1210" s="6">
        <v>0.0</v>
      </c>
      <c r="S1210" s="6">
        <v>0.0</v>
      </c>
      <c r="T1210" s="6">
        <v>0.0</v>
      </c>
      <c r="U1210" s="6">
        <v>0.0</v>
      </c>
    </row>
    <row r="1211">
      <c r="A1211" s="6" t="s">
        <v>1207</v>
      </c>
      <c r="B1211" s="6" t="s">
        <v>11576</v>
      </c>
      <c r="C1211" s="6" t="s">
        <v>11570</v>
      </c>
      <c r="D1211" s="6" t="s">
        <v>22</v>
      </c>
      <c r="E1211" s="6" t="s">
        <v>1208</v>
      </c>
      <c r="F1211" s="6" t="s">
        <v>23</v>
      </c>
      <c r="G1211" s="6" t="s">
        <v>2939</v>
      </c>
      <c r="H1211" s="6">
        <v>8.0</v>
      </c>
      <c r="I1211" s="6">
        <v>0.0</v>
      </c>
      <c r="J1211" s="6">
        <v>6.0</v>
      </c>
      <c r="K1211" s="6">
        <v>2.0</v>
      </c>
      <c r="L1211" s="6">
        <v>0.0</v>
      </c>
      <c r="M1211" s="6">
        <v>0.0</v>
      </c>
      <c r="N1211" s="669">
        <v>3026000.0</v>
      </c>
      <c r="O1211" s="6">
        <v>0.0</v>
      </c>
      <c r="P1211" s="6">
        <v>0.0</v>
      </c>
      <c r="Q1211" s="6">
        <v>0.0</v>
      </c>
      <c r="R1211" s="6">
        <v>0.0</v>
      </c>
      <c r="S1211" s="6">
        <v>0.0</v>
      </c>
      <c r="T1211" s="6">
        <v>0.0</v>
      </c>
      <c r="U1211" s="6">
        <v>0.0</v>
      </c>
    </row>
    <row r="1212">
      <c r="A1212" s="6" t="s">
        <v>1209</v>
      </c>
      <c r="B1212" s="6" t="s">
        <v>11576</v>
      </c>
      <c r="C1212" s="6" t="s">
        <v>11579</v>
      </c>
      <c r="D1212" s="6" t="s">
        <v>41</v>
      </c>
      <c r="E1212" s="6" t="s">
        <v>1208</v>
      </c>
      <c r="F1212" s="6" t="s">
        <v>12038</v>
      </c>
      <c r="G1212" s="6" t="s">
        <v>2939</v>
      </c>
      <c r="H1212" s="6">
        <v>0.0</v>
      </c>
      <c r="I1212" s="6">
        <v>0.0</v>
      </c>
      <c r="J1212" s="6">
        <v>8.0</v>
      </c>
      <c r="K1212" s="6">
        <v>0.0</v>
      </c>
      <c r="L1212" s="6">
        <v>0.0</v>
      </c>
      <c r="M1212" s="6">
        <v>0.0</v>
      </c>
      <c r="N1212" s="669">
        <v>3532000.0</v>
      </c>
      <c r="O1212" s="6">
        <v>0.0</v>
      </c>
      <c r="P1212" s="6">
        <v>0.0</v>
      </c>
      <c r="Q1212" s="6">
        <v>0.0</v>
      </c>
      <c r="R1212" s="6">
        <v>0.0</v>
      </c>
      <c r="S1212" s="6">
        <v>0.0</v>
      </c>
      <c r="T1212" s="6">
        <v>0.0</v>
      </c>
      <c r="U1212" s="6">
        <v>0.0</v>
      </c>
    </row>
    <row r="1213">
      <c r="A1213" s="6" t="s">
        <v>1211</v>
      </c>
      <c r="B1213" s="6" t="s">
        <v>11578</v>
      </c>
      <c r="C1213" s="6" t="s">
        <v>11591</v>
      </c>
      <c r="D1213" s="6" t="s">
        <v>132</v>
      </c>
      <c r="E1213" s="6" t="s">
        <v>1208</v>
      </c>
      <c r="G1213" s="6" t="s">
        <v>2939</v>
      </c>
      <c r="H1213" s="6">
        <v>1.0</v>
      </c>
      <c r="I1213" s="6">
        <v>0.0</v>
      </c>
      <c r="J1213" s="6">
        <v>0.0</v>
      </c>
      <c r="K1213" s="6">
        <v>0.0</v>
      </c>
      <c r="L1213" s="6">
        <v>0.0</v>
      </c>
      <c r="M1213" s="6">
        <v>0.0</v>
      </c>
      <c r="N1213" s="669">
        <v>725000.0</v>
      </c>
      <c r="O1213" s="6">
        <v>0.0</v>
      </c>
      <c r="P1213" s="6">
        <v>0.0</v>
      </c>
      <c r="Q1213" s="6">
        <v>0.0</v>
      </c>
      <c r="R1213" s="6">
        <v>0.0</v>
      </c>
      <c r="S1213" s="6">
        <v>0.0</v>
      </c>
      <c r="T1213" s="6">
        <v>0.0</v>
      </c>
      <c r="U1213" s="6">
        <v>0.0</v>
      </c>
    </row>
    <row r="1214">
      <c r="A1214" s="6" t="s">
        <v>1212</v>
      </c>
      <c r="B1214" s="6" t="s">
        <v>11578</v>
      </c>
      <c r="C1214" s="6" t="s">
        <v>11591</v>
      </c>
      <c r="D1214" s="6" t="s">
        <v>134</v>
      </c>
      <c r="E1214" s="6" t="s">
        <v>1208</v>
      </c>
      <c r="G1214" s="6" t="s">
        <v>2939</v>
      </c>
      <c r="H1214" s="6">
        <v>3.0</v>
      </c>
      <c r="I1214" s="6">
        <v>0.0</v>
      </c>
      <c r="J1214" s="6">
        <v>0.0</v>
      </c>
      <c r="K1214" s="6">
        <v>0.0</v>
      </c>
      <c r="L1214" s="6">
        <v>0.0</v>
      </c>
      <c r="M1214" s="6">
        <v>0.0</v>
      </c>
      <c r="N1214" s="669">
        <v>725000.0</v>
      </c>
      <c r="O1214" s="6">
        <v>0.0</v>
      </c>
      <c r="P1214" s="6">
        <v>0.0</v>
      </c>
      <c r="Q1214" s="6">
        <v>0.0</v>
      </c>
      <c r="R1214" s="6">
        <v>0.0</v>
      </c>
      <c r="S1214" s="6">
        <v>0.0</v>
      </c>
      <c r="T1214" s="6">
        <v>0.0</v>
      </c>
      <c r="U1214" s="6">
        <v>0.0</v>
      </c>
    </row>
    <row r="1215">
      <c r="A1215" s="6" t="s">
        <v>1213</v>
      </c>
      <c r="B1215" s="6" t="s">
        <v>11576</v>
      </c>
      <c r="C1215" s="6" t="s">
        <v>11570</v>
      </c>
      <c r="D1215" s="6" t="s">
        <v>22</v>
      </c>
      <c r="E1215" s="6" t="s">
        <v>1214</v>
      </c>
      <c r="F1215" s="6" t="s">
        <v>125</v>
      </c>
      <c r="G1215" s="6" t="s">
        <v>2939</v>
      </c>
      <c r="H1215" s="6">
        <v>0.0</v>
      </c>
      <c r="I1215" s="6">
        <v>0.0</v>
      </c>
      <c r="J1215" s="6">
        <v>10.0</v>
      </c>
      <c r="K1215" s="6">
        <v>0.0</v>
      </c>
      <c r="L1215" s="6">
        <v>0.0</v>
      </c>
      <c r="M1215" s="6">
        <v>0.0</v>
      </c>
      <c r="N1215" s="669">
        <v>2689000.0</v>
      </c>
      <c r="O1215" s="6">
        <v>0.0</v>
      </c>
      <c r="P1215" s="6">
        <v>0.0</v>
      </c>
      <c r="Q1215" s="6">
        <v>0.0</v>
      </c>
      <c r="R1215" s="6">
        <v>0.0</v>
      </c>
      <c r="S1215" s="6">
        <v>5.0</v>
      </c>
      <c r="T1215" s="6">
        <v>0.0</v>
      </c>
      <c r="U1215" s="6">
        <v>0.0</v>
      </c>
    </row>
    <row r="1216">
      <c r="A1216" s="6" t="s">
        <v>1215</v>
      </c>
      <c r="B1216" s="6" t="s">
        <v>11576</v>
      </c>
      <c r="C1216" s="6" t="s">
        <v>11579</v>
      </c>
      <c r="D1216" s="6" t="s">
        <v>41</v>
      </c>
      <c r="E1216" s="6" t="s">
        <v>1214</v>
      </c>
      <c r="F1216" s="6" t="s">
        <v>2193</v>
      </c>
      <c r="G1216" s="6" t="s">
        <v>2939</v>
      </c>
      <c r="H1216" s="6">
        <v>0.0</v>
      </c>
      <c r="I1216" s="6">
        <v>0.0</v>
      </c>
      <c r="J1216" s="6">
        <v>6.0</v>
      </c>
      <c r="K1216" s="6">
        <v>0.0</v>
      </c>
      <c r="L1216" s="6">
        <v>0.0</v>
      </c>
      <c r="M1216" s="6">
        <v>0.0</v>
      </c>
      <c r="N1216" s="669">
        <v>2731000.0</v>
      </c>
      <c r="O1216" s="6">
        <v>0.0</v>
      </c>
      <c r="P1216" s="6">
        <v>0.0</v>
      </c>
      <c r="Q1216" s="6">
        <v>0.0</v>
      </c>
      <c r="R1216" s="6">
        <v>0.0</v>
      </c>
      <c r="S1216" s="6">
        <v>5.0</v>
      </c>
      <c r="T1216" s="6">
        <v>0.0</v>
      </c>
      <c r="U1216" s="6">
        <v>0.0</v>
      </c>
    </row>
    <row r="1217">
      <c r="A1217" s="6" t="s">
        <v>1216</v>
      </c>
      <c r="B1217" s="6" t="s">
        <v>11578</v>
      </c>
      <c r="C1217" s="6" t="s">
        <v>11591</v>
      </c>
      <c r="D1217" s="6" t="s">
        <v>202</v>
      </c>
      <c r="E1217" s="6" t="s">
        <v>1214</v>
      </c>
      <c r="F1217" s="6" t="s">
        <v>97</v>
      </c>
      <c r="G1217" s="6" t="s">
        <v>2939</v>
      </c>
      <c r="H1217" s="6">
        <v>0.0</v>
      </c>
      <c r="I1217" s="6">
        <v>0.0</v>
      </c>
      <c r="J1217" s="6">
        <v>0.0</v>
      </c>
      <c r="K1217" s="6">
        <v>0.0</v>
      </c>
      <c r="L1217" s="6">
        <v>0.0</v>
      </c>
      <c r="M1217" s="6">
        <v>0.0</v>
      </c>
      <c r="N1217" s="669">
        <v>804000.0</v>
      </c>
      <c r="O1217" s="6">
        <v>0.0</v>
      </c>
      <c r="P1217" s="6">
        <v>0.0</v>
      </c>
      <c r="Q1217" s="6">
        <v>0.0</v>
      </c>
      <c r="R1217" s="6">
        <v>0.0</v>
      </c>
      <c r="S1217" s="6">
        <v>0.0</v>
      </c>
      <c r="T1217" s="6">
        <v>0.0</v>
      </c>
      <c r="U1217" s="6">
        <v>0.0</v>
      </c>
    </row>
    <row r="1218">
      <c r="A1218" s="6" t="s">
        <v>1217</v>
      </c>
      <c r="B1218" s="6" t="s">
        <v>11578</v>
      </c>
      <c r="C1218" s="6" t="s">
        <v>11591</v>
      </c>
      <c r="D1218" s="6" t="s">
        <v>236</v>
      </c>
      <c r="E1218" s="6" t="s">
        <v>1214</v>
      </c>
      <c r="F1218" s="6" t="s">
        <v>234</v>
      </c>
      <c r="G1218" s="6" t="s">
        <v>2939</v>
      </c>
      <c r="H1218" s="6">
        <v>0.0</v>
      </c>
      <c r="I1218" s="6">
        <v>0.0</v>
      </c>
      <c r="J1218" s="6">
        <v>0.0</v>
      </c>
      <c r="K1218" s="6">
        <v>0.0</v>
      </c>
      <c r="L1218" s="6">
        <v>0.0</v>
      </c>
      <c r="M1218" s="6">
        <v>0.0</v>
      </c>
      <c r="N1218" s="669">
        <v>966000.0</v>
      </c>
      <c r="O1218" s="6">
        <v>0.0</v>
      </c>
      <c r="P1218" s="6">
        <v>0.0</v>
      </c>
      <c r="Q1218" s="6">
        <v>0.0</v>
      </c>
      <c r="R1218" s="6">
        <v>0.0</v>
      </c>
      <c r="S1218" s="6">
        <v>0.0</v>
      </c>
      <c r="T1218" s="6">
        <v>0.0</v>
      </c>
      <c r="U1218" s="6">
        <v>0.0</v>
      </c>
    </row>
    <row r="1219">
      <c r="A1219" s="6" t="s">
        <v>1218</v>
      </c>
      <c r="B1219" s="6" t="s">
        <v>11576</v>
      </c>
      <c r="C1219" s="6" t="s">
        <v>11570</v>
      </c>
      <c r="D1219" s="6" t="s">
        <v>22</v>
      </c>
      <c r="E1219" s="6" t="s">
        <v>1219</v>
      </c>
      <c r="F1219" s="6" t="s">
        <v>125</v>
      </c>
      <c r="G1219" s="6" t="s">
        <v>2939</v>
      </c>
      <c r="H1219" s="6">
        <v>0.0</v>
      </c>
      <c r="I1219" s="6">
        <v>0.0</v>
      </c>
      <c r="J1219" s="6">
        <v>3.0</v>
      </c>
      <c r="K1219" s="6">
        <v>2.0</v>
      </c>
      <c r="L1219" s="6">
        <v>0.0</v>
      </c>
      <c r="M1219" s="6">
        <v>0.0</v>
      </c>
      <c r="N1219" s="669">
        <v>3137000.0</v>
      </c>
      <c r="O1219" s="6">
        <v>0.0</v>
      </c>
      <c r="P1219" s="6">
        <v>0.0</v>
      </c>
      <c r="Q1219" s="6">
        <v>0.0</v>
      </c>
      <c r="R1219" s="6">
        <v>0.0</v>
      </c>
      <c r="S1219" s="6">
        <v>0.0</v>
      </c>
      <c r="T1219" s="6">
        <v>0.0</v>
      </c>
      <c r="U1219" s="6">
        <v>0.0</v>
      </c>
    </row>
    <row r="1220">
      <c r="A1220" s="6" t="s">
        <v>1220</v>
      </c>
      <c r="B1220" s="6" t="s">
        <v>11576</v>
      </c>
      <c r="C1220" s="6" t="s">
        <v>11579</v>
      </c>
      <c r="D1220" s="6" t="s">
        <v>41</v>
      </c>
      <c r="E1220" s="6" t="s">
        <v>1219</v>
      </c>
      <c r="F1220" s="6" t="s">
        <v>2193</v>
      </c>
      <c r="G1220" s="6" t="s">
        <v>2939</v>
      </c>
      <c r="H1220" s="6">
        <v>0.0</v>
      </c>
      <c r="I1220" s="6">
        <v>0.0</v>
      </c>
      <c r="J1220" s="6">
        <v>2.0</v>
      </c>
      <c r="K1220" s="6">
        <v>0.0</v>
      </c>
      <c r="L1220" s="6">
        <v>0.0</v>
      </c>
      <c r="M1220" s="6">
        <v>0.0</v>
      </c>
      <c r="N1220" s="669">
        <v>2892000.0</v>
      </c>
      <c r="O1220" s="6">
        <v>0.0</v>
      </c>
      <c r="P1220" s="6">
        <v>0.0</v>
      </c>
      <c r="Q1220" s="6">
        <v>0.0</v>
      </c>
      <c r="R1220" s="6">
        <v>0.0</v>
      </c>
      <c r="S1220" s="6">
        <v>0.0</v>
      </c>
      <c r="T1220" s="6">
        <v>0.0</v>
      </c>
      <c r="U1220" s="6">
        <v>0.0</v>
      </c>
    </row>
    <row r="1221">
      <c r="A1221" s="6" t="s">
        <v>1221</v>
      </c>
      <c r="B1221" s="6" t="s">
        <v>11578</v>
      </c>
      <c r="C1221" s="6" t="s">
        <v>11591</v>
      </c>
      <c r="D1221" s="6" t="s">
        <v>132</v>
      </c>
      <c r="E1221" s="6" t="s">
        <v>1219</v>
      </c>
      <c r="G1221" s="6" t="s">
        <v>2939</v>
      </c>
      <c r="H1221" s="6">
        <v>3.0</v>
      </c>
      <c r="I1221" s="6">
        <v>0.0</v>
      </c>
      <c r="J1221" s="6">
        <v>0.0</v>
      </c>
      <c r="K1221" s="6">
        <v>0.0</v>
      </c>
      <c r="L1221" s="6">
        <v>0.0</v>
      </c>
      <c r="M1221" s="6">
        <v>0.0</v>
      </c>
      <c r="N1221" s="669">
        <v>1045000.0</v>
      </c>
      <c r="O1221" s="6">
        <v>0.0</v>
      </c>
      <c r="P1221" s="6">
        <v>0.0</v>
      </c>
      <c r="Q1221" s="6">
        <v>0.0</v>
      </c>
      <c r="R1221" s="6">
        <v>0.0</v>
      </c>
      <c r="S1221" s="6">
        <v>0.0</v>
      </c>
      <c r="T1221" s="6">
        <v>0.0</v>
      </c>
      <c r="U1221" s="6">
        <v>0.0</v>
      </c>
    </row>
    <row r="1222">
      <c r="A1222" s="6" t="s">
        <v>1222</v>
      </c>
      <c r="B1222" s="6" t="s">
        <v>11578</v>
      </c>
      <c r="C1222" s="6" t="s">
        <v>11591</v>
      </c>
      <c r="D1222" s="6" t="s">
        <v>134</v>
      </c>
      <c r="E1222" s="6" t="s">
        <v>1219</v>
      </c>
      <c r="G1222" s="6" t="s">
        <v>2939</v>
      </c>
      <c r="H1222" s="6">
        <v>6.0</v>
      </c>
      <c r="I1222" s="6">
        <v>0.0</v>
      </c>
      <c r="J1222" s="6">
        <v>0.0</v>
      </c>
      <c r="K1222" s="6">
        <v>0.0</v>
      </c>
      <c r="L1222" s="6">
        <v>0.0</v>
      </c>
      <c r="M1222" s="6">
        <v>0.0</v>
      </c>
      <c r="N1222" s="669">
        <v>1045000.0</v>
      </c>
      <c r="O1222" s="6">
        <v>0.0</v>
      </c>
      <c r="P1222" s="6">
        <v>0.0</v>
      </c>
      <c r="Q1222" s="6">
        <v>0.0</v>
      </c>
      <c r="R1222" s="6">
        <v>0.0</v>
      </c>
      <c r="S1222" s="6">
        <v>0.0</v>
      </c>
      <c r="T1222" s="6">
        <v>0.0</v>
      </c>
      <c r="U1222" s="6">
        <v>0.0</v>
      </c>
    </row>
    <row r="1223">
      <c r="A1223" s="6" t="s">
        <v>1223</v>
      </c>
      <c r="B1223" s="6" t="s">
        <v>11578</v>
      </c>
      <c r="C1223" s="6" t="s">
        <v>11591</v>
      </c>
      <c r="D1223" s="6" t="s">
        <v>202</v>
      </c>
      <c r="E1223" s="6" t="s">
        <v>1219</v>
      </c>
      <c r="F1223" s="6" t="s">
        <v>97</v>
      </c>
      <c r="G1223" s="6" t="s">
        <v>2939</v>
      </c>
      <c r="H1223" s="6" t="s">
        <v>11590</v>
      </c>
      <c r="I1223" s="6">
        <v>0.0</v>
      </c>
      <c r="J1223" s="6">
        <v>0.0</v>
      </c>
      <c r="K1223" s="6">
        <v>0.0</v>
      </c>
      <c r="L1223" s="6">
        <v>0.0</v>
      </c>
      <c r="M1223" s="6">
        <v>0.0</v>
      </c>
      <c r="N1223" s="669">
        <v>1045000.0</v>
      </c>
      <c r="O1223" s="6">
        <v>0.0</v>
      </c>
      <c r="P1223" s="6">
        <v>0.0</v>
      </c>
      <c r="Q1223" s="6">
        <v>0.0</v>
      </c>
      <c r="R1223" s="6">
        <v>0.0</v>
      </c>
      <c r="S1223" s="6">
        <v>0.0</v>
      </c>
      <c r="T1223" s="6">
        <v>0.0</v>
      </c>
      <c r="U1223" s="6">
        <v>0.0</v>
      </c>
    </row>
    <row r="1224">
      <c r="A1224" s="6" t="s">
        <v>1224</v>
      </c>
      <c r="B1224" s="6" t="s">
        <v>11576</v>
      </c>
      <c r="C1224" s="6" t="s">
        <v>11570</v>
      </c>
      <c r="D1224" s="6" t="s">
        <v>22</v>
      </c>
      <c r="E1224" s="6" t="s">
        <v>1225</v>
      </c>
      <c r="F1224" s="6" t="s">
        <v>97</v>
      </c>
      <c r="G1224" s="6" t="s">
        <v>2939</v>
      </c>
      <c r="H1224" s="6">
        <v>0.0</v>
      </c>
      <c r="I1224" s="6">
        <v>0.0</v>
      </c>
      <c r="J1224" s="6">
        <v>3.0</v>
      </c>
      <c r="K1224" s="6">
        <v>0.0</v>
      </c>
      <c r="L1224" s="6">
        <v>0.0</v>
      </c>
      <c r="M1224" s="6">
        <v>0.0</v>
      </c>
      <c r="N1224" s="669">
        <v>3865000.0</v>
      </c>
      <c r="O1224" s="6">
        <v>0.0</v>
      </c>
      <c r="P1224" s="6">
        <v>0.0</v>
      </c>
      <c r="Q1224" s="6">
        <v>0.0</v>
      </c>
      <c r="R1224" s="6">
        <v>0.0</v>
      </c>
      <c r="S1224" s="6">
        <v>0.0</v>
      </c>
      <c r="T1224" s="6">
        <v>0.0</v>
      </c>
      <c r="U1224" s="6">
        <v>0.0</v>
      </c>
    </row>
    <row r="1225">
      <c r="A1225" s="6" t="s">
        <v>1226</v>
      </c>
      <c r="B1225" s="6" t="s">
        <v>11578</v>
      </c>
      <c r="C1225" s="6" t="s">
        <v>11579</v>
      </c>
      <c r="D1225" s="6" t="s">
        <v>41</v>
      </c>
      <c r="E1225" s="6" t="s">
        <v>1225</v>
      </c>
      <c r="F1225" s="6" t="s">
        <v>2193</v>
      </c>
      <c r="G1225" s="6" t="s">
        <v>2939</v>
      </c>
      <c r="H1225" s="6">
        <v>3.0</v>
      </c>
      <c r="I1225" s="6">
        <v>2.0</v>
      </c>
      <c r="J1225" s="6">
        <v>0.0</v>
      </c>
      <c r="K1225" s="6">
        <v>0.0</v>
      </c>
      <c r="L1225" s="6">
        <v>0.0</v>
      </c>
      <c r="M1225" s="6">
        <v>0.0</v>
      </c>
      <c r="N1225" s="669">
        <v>3212000.0</v>
      </c>
      <c r="O1225" s="6">
        <v>0.0</v>
      </c>
      <c r="P1225" s="6">
        <v>0.0</v>
      </c>
      <c r="Q1225" s="6">
        <v>0.0</v>
      </c>
      <c r="R1225" s="6">
        <v>0.0</v>
      </c>
      <c r="S1225" s="6">
        <v>0.0</v>
      </c>
      <c r="T1225" s="6">
        <v>0.0</v>
      </c>
      <c r="U1225" s="6">
        <v>0.0</v>
      </c>
    </row>
    <row r="1226">
      <c r="A1226" s="6" t="s">
        <v>1227</v>
      </c>
      <c r="B1226" s="6" t="s">
        <v>11576</v>
      </c>
      <c r="C1226" s="6" t="s">
        <v>11570</v>
      </c>
      <c r="D1226" s="6" t="s">
        <v>22</v>
      </c>
      <c r="E1226" s="6" t="s">
        <v>1228</v>
      </c>
      <c r="F1226" s="6" t="s">
        <v>737</v>
      </c>
      <c r="G1226" s="6" t="s">
        <v>2939</v>
      </c>
      <c r="H1226" s="6">
        <v>0.0</v>
      </c>
      <c r="I1226" s="6">
        <v>0.0</v>
      </c>
      <c r="J1226" s="6">
        <v>1.0</v>
      </c>
      <c r="K1226" s="6">
        <v>1.0</v>
      </c>
      <c r="L1226" s="6">
        <v>0.0</v>
      </c>
      <c r="M1226" s="6">
        <v>0.0</v>
      </c>
      <c r="N1226" s="669">
        <v>4032000.0</v>
      </c>
      <c r="O1226" s="6">
        <v>0.0</v>
      </c>
      <c r="P1226" s="6">
        <v>0.0</v>
      </c>
      <c r="Q1226" s="6">
        <v>0.0</v>
      </c>
      <c r="R1226" s="6">
        <v>0.0</v>
      </c>
      <c r="S1226" s="6">
        <v>0.0</v>
      </c>
      <c r="T1226" s="6">
        <v>0.0</v>
      </c>
      <c r="U1226" s="6">
        <v>0.0</v>
      </c>
    </row>
    <row r="1227">
      <c r="A1227" s="6" t="s">
        <v>1229</v>
      </c>
      <c r="B1227" s="6" t="s">
        <v>11578</v>
      </c>
      <c r="C1227" s="6" t="s">
        <v>11579</v>
      </c>
      <c r="D1227" s="6" t="s">
        <v>41</v>
      </c>
      <c r="E1227" s="6" t="s">
        <v>1228</v>
      </c>
      <c r="F1227" s="6" t="s">
        <v>1377</v>
      </c>
      <c r="G1227" s="6" t="s">
        <v>2939</v>
      </c>
      <c r="H1227" s="6">
        <v>10.0</v>
      </c>
      <c r="I1227" s="6">
        <v>3.0</v>
      </c>
      <c r="J1227" s="6">
        <v>0.0</v>
      </c>
      <c r="K1227" s="6">
        <v>0.0</v>
      </c>
      <c r="L1227" s="6">
        <v>0.0</v>
      </c>
      <c r="M1227" s="6">
        <v>0.0</v>
      </c>
      <c r="N1227" s="669">
        <v>3373000.0</v>
      </c>
      <c r="O1227" s="6">
        <v>0.0</v>
      </c>
      <c r="P1227" s="6">
        <v>0.0</v>
      </c>
      <c r="Q1227" s="6">
        <v>0.0</v>
      </c>
      <c r="R1227" s="6">
        <v>0.0</v>
      </c>
      <c r="S1227" s="6">
        <v>0.0</v>
      </c>
      <c r="T1227" s="6">
        <v>0.0</v>
      </c>
      <c r="U1227" s="6">
        <v>0.0</v>
      </c>
    </row>
    <row r="1228">
      <c r="A1228" s="6" t="s">
        <v>12039</v>
      </c>
      <c r="B1228" s="6" t="s">
        <v>11569</v>
      </c>
      <c r="C1228" s="6" t="s">
        <v>11570</v>
      </c>
      <c r="D1228" s="6" t="s">
        <v>22</v>
      </c>
      <c r="E1228" s="6" t="s">
        <v>12040</v>
      </c>
      <c r="F1228" s="6" t="s">
        <v>23</v>
      </c>
      <c r="G1228" s="6" t="s">
        <v>2939</v>
      </c>
      <c r="H1228" s="6">
        <v>0.0</v>
      </c>
      <c r="I1228" s="6">
        <v>0.0</v>
      </c>
      <c r="J1228" s="6">
        <v>0.0</v>
      </c>
      <c r="K1228" s="6">
        <v>0.0</v>
      </c>
      <c r="L1228" s="6">
        <v>0.0</v>
      </c>
      <c r="M1228" s="6">
        <v>0.0</v>
      </c>
      <c r="N1228" s="669">
        <v>5000000.0</v>
      </c>
      <c r="O1228" s="6">
        <v>0.0</v>
      </c>
      <c r="P1228" s="6">
        <v>0.0</v>
      </c>
      <c r="Q1228" s="6">
        <v>0.0</v>
      </c>
      <c r="R1228" s="6">
        <v>0.0</v>
      </c>
      <c r="S1228" s="6">
        <v>3.0</v>
      </c>
      <c r="T1228" s="6">
        <v>0.0</v>
      </c>
      <c r="U1228" s="6">
        <v>0.0</v>
      </c>
    </row>
    <row r="1229">
      <c r="A1229" s="6" t="s">
        <v>2404</v>
      </c>
      <c r="B1229" s="6" t="s">
        <v>11653</v>
      </c>
      <c r="C1229" s="6" t="s">
        <v>11570</v>
      </c>
      <c r="D1229" s="6" t="s">
        <v>22</v>
      </c>
      <c r="E1229" s="6" t="s">
        <v>103</v>
      </c>
      <c r="F1229" s="6" t="s">
        <v>125</v>
      </c>
      <c r="G1229" s="6" t="s">
        <v>2939</v>
      </c>
      <c r="H1229" s="6">
        <v>0.0</v>
      </c>
      <c r="I1229" s="6">
        <v>0.0</v>
      </c>
      <c r="J1229" s="6">
        <v>0.0</v>
      </c>
      <c r="K1229" s="6">
        <v>0.0</v>
      </c>
      <c r="L1229" s="6" t="s">
        <v>11590</v>
      </c>
      <c r="M1229" s="6" t="s">
        <v>11590</v>
      </c>
      <c r="N1229" s="669">
        <v>1199000.0</v>
      </c>
      <c r="O1229" s="6">
        <v>0.0</v>
      </c>
      <c r="P1229" s="6">
        <v>0.0</v>
      </c>
      <c r="Q1229" s="6">
        <v>0.0</v>
      </c>
      <c r="R1229" s="6">
        <v>0.0</v>
      </c>
      <c r="S1229" s="6">
        <v>0.0</v>
      </c>
      <c r="T1229" s="6">
        <v>0.0</v>
      </c>
      <c r="U1229" s="6">
        <v>0.0</v>
      </c>
    </row>
    <row r="1230">
      <c r="A1230" s="6" t="s">
        <v>2151</v>
      </c>
      <c r="B1230" s="6" t="s">
        <v>11569</v>
      </c>
      <c r="C1230" s="6" t="s">
        <v>11570</v>
      </c>
      <c r="D1230" s="6" t="s">
        <v>22</v>
      </c>
      <c r="E1230" s="6" t="s">
        <v>2152</v>
      </c>
      <c r="F1230" s="6" t="s">
        <v>75</v>
      </c>
      <c r="G1230" s="6" t="s">
        <v>2939</v>
      </c>
      <c r="H1230" s="6">
        <v>0.0</v>
      </c>
      <c r="I1230" s="6">
        <v>0.0</v>
      </c>
      <c r="J1230" s="6">
        <v>0.0</v>
      </c>
      <c r="K1230" s="6">
        <v>2.0</v>
      </c>
      <c r="L1230" s="6">
        <v>0.0</v>
      </c>
      <c r="M1230" s="6">
        <v>0.0</v>
      </c>
      <c r="N1230" s="669">
        <v>1550000.0</v>
      </c>
      <c r="O1230" s="6">
        <v>0.0</v>
      </c>
      <c r="P1230" s="6">
        <v>0.0</v>
      </c>
      <c r="Q1230" s="6">
        <v>0.0</v>
      </c>
      <c r="R1230" s="6">
        <v>0.0</v>
      </c>
      <c r="S1230" s="6">
        <v>10.0</v>
      </c>
      <c r="T1230" s="6">
        <v>0.0</v>
      </c>
      <c r="U1230" s="6">
        <v>0.0</v>
      </c>
    </row>
    <row r="1231">
      <c r="A1231" s="6" t="s">
        <v>1230</v>
      </c>
      <c r="B1231" s="6" t="s">
        <v>11576</v>
      </c>
      <c r="C1231" s="6" t="s">
        <v>11579</v>
      </c>
      <c r="D1231" s="6" t="s">
        <v>41</v>
      </c>
      <c r="E1231" s="6" t="s">
        <v>1231</v>
      </c>
      <c r="F1231" s="6" t="s">
        <v>1377</v>
      </c>
      <c r="G1231" s="6" t="s">
        <v>2939</v>
      </c>
      <c r="H1231" s="6">
        <v>0.0</v>
      </c>
      <c r="I1231" s="6">
        <v>0.0</v>
      </c>
      <c r="J1231" s="6">
        <v>1.0</v>
      </c>
      <c r="K1231" s="6">
        <v>0.0</v>
      </c>
      <c r="L1231" s="6">
        <v>0.0</v>
      </c>
      <c r="M1231" s="6">
        <v>0.0</v>
      </c>
      <c r="N1231" s="669">
        <v>1928000.0</v>
      </c>
      <c r="O1231" s="6">
        <v>0.0</v>
      </c>
      <c r="P1231" s="6">
        <v>0.0</v>
      </c>
      <c r="Q1231" s="6">
        <v>0.0</v>
      </c>
      <c r="R1231" s="6">
        <v>0.0</v>
      </c>
      <c r="S1231" s="6">
        <v>0.0</v>
      </c>
      <c r="T1231" s="6">
        <v>0.0</v>
      </c>
      <c r="U1231" s="6">
        <v>0.0</v>
      </c>
    </row>
    <row r="1232">
      <c r="A1232" s="6" t="s">
        <v>1232</v>
      </c>
      <c r="B1232" s="6" t="s">
        <v>11576</v>
      </c>
      <c r="C1232" s="6" t="s">
        <v>11570</v>
      </c>
      <c r="D1232" s="6" t="s">
        <v>22</v>
      </c>
      <c r="E1232" s="6" t="s">
        <v>12041</v>
      </c>
      <c r="F1232" s="6" t="s">
        <v>125</v>
      </c>
      <c r="G1232" s="6" t="s">
        <v>2939</v>
      </c>
      <c r="H1232" s="6">
        <v>0.0</v>
      </c>
      <c r="I1232" s="6">
        <v>0.0</v>
      </c>
      <c r="J1232" s="6">
        <v>7.0</v>
      </c>
      <c r="K1232" s="6">
        <v>0.0</v>
      </c>
      <c r="L1232" s="6">
        <v>0.0</v>
      </c>
      <c r="M1232" s="6">
        <v>0.0</v>
      </c>
      <c r="N1232" s="669">
        <v>1664000.0</v>
      </c>
      <c r="O1232" s="6">
        <v>0.0</v>
      </c>
      <c r="P1232" s="6">
        <v>0.0</v>
      </c>
      <c r="Q1232" s="6">
        <v>0.0</v>
      </c>
      <c r="R1232" s="6">
        <v>0.0</v>
      </c>
      <c r="S1232" s="6">
        <v>0.0</v>
      </c>
      <c r="T1232" s="6">
        <v>0.0</v>
      </c>
      <c r="U1232" s="6">
        <v>0.0</v>
      </c>
    </row>
    <row r="1233">
      <c r="A1233" s="6" t="s">
        <v>1234</v>
      </c>
      <c r="B1233" s="6" t="s">
        <v>11578</v>
      </c>
      <c r="C1233" s="6" t="s">
        <v>11570</v>
      </c>
      <c r="D1233" s="6" t="s">
        <v>22</v>
      </c>
      <c r="E1233" s="6" t="s">
        <v>1235</v>
      </c>
      <c r="F1233" s="6" t="s">
        <v>737</v>
      </c>
      <c r="G1233" s="6" t="s">
        <v>2939</v>
      </c>
      <c r="H1233" s="6">
        <v>0.0</v>
      </c>
      <c r="I1233" s="6">
        <v>0.0</v>
      </c>
      <c r="J1233" s="6">
        <v>0.0</v>
      </c>
      <c r="K1233" s="6">
        <v>0.0</v>
      </c>
      <c r="L1233" s="6">
        <v>0.0</v>
      </c>
      <c r="M1233" s="6">
        <v>0.0</v>
      </c>
      <c r="N1233" s="669">
        <v>2734000.0</v>
      </c>
      <c r="O1233" s="6">
        <v>0.0</v>
      </c>
      <c r="P1233" s="6">
        <v>0.0</v>
      </c>
      <c r="Q1233" s="6">
        <v>0.0</v>
      </c>
      <c r="R1233" s="6">
        <v>0.0</v>
      </c>
      <c r="S1233" s="6">
        <v>0.0</v>
      </c>
      <c r="T1233" s="6">
        <v>0.0</v>
      </c>
      <c r="U1233" s="6">
        <v>0.0</v>
      </c>
    </row>
    <row r="1234">
      <c r="A1234" s="6" t="s">
        <v>1236</v>
      </c>
      <c r="B1234" s="6" t="s">
        <v>11578</v>
      </c>
      <c r="C1234" s="6" t="s">
        <v>11579</v>
      </c>
      <c r="D1234" s="6" t="s">
        <v>41</v>
      </c>
      <c r="E1234" s="6" t="s">
        <v>1235</v>
      </c>
      <c r="F1234" s="6" t="s">
        <v>2364</v>
      </c>
      <c r="G1234" s="6" t="s">
        <v>2939</v>
      </c>
      <c r="H1234" s="6" t="s">
        <v>11590</v>
      </c>
      <c r="I1234" s="6">
        <v>0.0</v>
      </c>
      <c r="J1234" s="6">
        <v>0.0</v>
      </c>
      <c r="K1234" s="6">
        <v>0.0</v>
      </c>
      <c r="L1234" s="6">
        <v>0.0</v>
      </c>
      <c r="M1234" s="6">
        <v>0.0</v>
      </c>
      <c r="N1234" s="669">
        <v>1880000.0</v>
      </c>
      <c r="O1234" s="6">
        <v>0.0</v>
      </c>
      <c r="P1234" s="6">
        <v>0.0</v>
      </c>
      <c r="Q1234" s="6">
        <v>0.0</v>
      </c>
      <c r="R1234" s="6">
        <v>0.0</v>
      </c>
      <c r="S1234" s="6">
        <v>0.0</v>
      </c>
      <c r="T1234" s="6">
        <v>0.0</v>
      </c>
      <c r="U1234" s="6">
        <v>0.0</v>
      </c>
    </row>
    <row r="1235">
      <c r="A1235" s="6" t="s">
        <v>1237</v>
      </c>
      <c r="B1235" s="6" t="s">
        <v>11578</v>
      </c>
      <c r="C1235" s="6" t="s">
        <v>11591</v>
      </c>
      <c r="D1235" s="6" t="s">
        <v>128</v>
      </c>
      <c r="E1235" s="6" t="s">
        <v>1235</v>
      </c>
      <c r="G1235" s="6" t="s">
        <v>2939</v>
      </c>
      <c r="H1235" s="6">
        <v>0.0</v>
      </c>
      <c r="I1235" s="6">
        <v>0.0</v>
      </c>
      <c r="J1235" s="6">
        <v>0.0</v>
      </c>
      <c r="K1235" s="6">
        <v>0.0</v>
      </c>
      <c r="L1235" s="6">
        <v>0.0</v>
      </c>
      <c r="M1235" s="6">
        <v>0.0</v>
      </c>
      <c r="N1235" s="669">
        <v>725000.0</v>
      </c>
      <c r="O1235" s="6">
        <v>0.0</v>
      </c>
      <c r="P1235" s="6">
        <v>0.0</v>
      </c>
      <c r="Q1235" s="6">
        <v>0.0</v>
      </c>
      <c r="R1235" s="6">
        <v>0.0</v>
      </c>
      <c r="S1235" s="6">
        <v>0.0</v>
      </c>
      <c r="T1235" s="6">
        <v>0.0</v>
      </c>
      <c r="U1235" s="6">
        <v>0.0</v>
      </c>
    </row>
    <row r="1236">
      <c r="A1236" s="6" t="s">
        <v>1238</v>
      </c>
      <c r="B1236" s="6" t="s">
        <v>11578</v>
      </c>
      <c r="C1236" s="6" t="s">
        <v>11591</v>
      </c>
      <c r="D1236" s="6" t="s">
        <v>130</v>
      </c>
      <c r="E1236" s="6" t="s">
        <v>1235</v>
      </c>
      <c r="G1236" s="6" t="s">
        <v>2939</v>
      </c>
      <c r="H1236" s="6">
        <v>0.0</v>
      </c>
      <c r="I1236" s="6">
        <v>0.0</v>
      </c>
      <c r="J1236" s="6">
        <v>0.0</v>
      </c>
      <c r="K1236" s="6">
        <v>0.0</v>
      </c>
      <c r="L1236" s="6">
        <v>0.0</v>
      </c>
      <c r="M1236" s="6">
        <v>0.0</v>
      </c>
      <c r="N1236" s="669">
        <v>725000.0</v>
      </c>
      <c r="O1236" s="6">
        <v>0.0</v>
      </c>
      <c r="P1236" s="6">
        <v>0.0</v>
      </c>
      <c r="Q1236" s="6">
        <v>0.0</v>
      </c>
      <c r="R1236" s="6">
        <v>0.0</v>
      </c>
      <c r="S1236" s="6">
        <v>0.0</v>
      </c>
      <c r="T1236" s="6">
        <v>0.0</v>
      </c>
      <c r="U1236" s="6">
        <v>0.0</v>
      </c>
    </row>
    <row r="1237">
      <c r="A1237" s="6" t="s">
        <v>1239</v>
      </c>
      <c r="B1237" s="6" t="s">
        <v>11578</v>
      </c>
      <c r="C1237" s="6" t="s">
        <v>11591</v>
      </c>
      <c r="D1237" s="6" t="s">
        <v>132</v>
      </c>
      <c r="E1237" s="6" t="s">
        <v>1235</v>
      </c>
      <c r="G1237" s="6" t="s">
        <v>2939</v>
      </c>
      <c r="H1237" s="6">
        <v>0.0</v>
      </c>
      <c r="I1237" s="6">
        <v>0.0</v>
      </c>
      <c r="J1237" s="6">
        <v>0.0</v>
      </c>
      <c r="K1237" s="6">
        <v>0.0</v>
      </c>
      <c r="L1237" s="6">
        <v>0.0</v>
      </c>
      <c r="M1237" s="6">
        <v>0.0</v>
      </c>
      <c r="N1237" s="669">
        <v>436000.0</v>
      </c>
      <c r="O1237" s="6">
        <v>0.0</v>
      </c>
      <c r="P1237" s="6">
        <v>0.0</v>
      </c>
      <c r="Q1237" s="6">
        <v>0.0</v>
      </c>
      <c r="R1237" s="6">
        <v>0.0</v>
      </c>
      <c r="S1237" s="6">
        <v>0.0</v>
      </c>
      <c r="T1237" s="6">
        <v>0.0</v>
      </c>
      <c r="U1237" s="6">
        <v>0.0</v>
      </c>
    </row>
    <row r="1238">
      <c r="A1238" s="6" t="s">
        <v>1240</v>
      </c>
      <c r="B1238" s="6" t="s">
        <v>11578</v>
      </c>
      <c r="C1238" s="6" t="s">
        <v>11591</v>
      </c>
      <c r="D1238" s="6" t="s">
        <v>134</v>
      </c>
      <c r="E1238" s="6" t="s">
        <v>1235</v>
      </c>
      <c r="G1238" s="6" t="s">
        <v>2939</v>
      </c>
      <c r="H1238" s="6">
        <v>0.0</v>
      </c>
      <c r="I1238" s="6">
        <v>0.0</v>
      </c>
      <c r="J1238" s="6">
        <v>0.0</v>
      </c>
      <c r="K1238" s="6">
        <v>0.0</v>
      </c>
      <c r="L1238" s="6">
        <v>0.0</v>
      </c>
      <c r="M1238" s="6">
        <v>0.0</v>
      </c>
      <c r="N1238" s="669">
        <v>436000.0</v>
      </c>
      <c r="O1238" s="6">
        <v>0.0</v>
      </c>
      <c r="P1238" s="6">
        <v>0.0</v>
      </c>
      <c r="Q1238" s="6">
        <v>0.0</v>
      </c>
      <c r="R1238" s="6">
        <v>0.0</v>
      </c>
      <c r="S1238" s="6">
        <v>0.0</v>
      </c>
      <c r="T1238" s="6">
        <v>0.0</v>
      </c>
      <c r="U1238" s="6">
        <v>0.0</v>
      </c>
    </row>
    <row r="1239">
      <c r="A1239" s="6" t="s">
        <v>1241</v>
      </c>
      <c r="B1239" s="6" t="s">
        <v>11578</v>
      </c>
      <c r="C1239" s="6" t="s">
        <v>11591</v>
      </c>
      <c r="D1239" s="6" t="s">
        <v>202</v>
      </c>
      <c r="E1239" s="6" t="s">
        <v>1235</v>
      </c>
      <c r="F1239" s="6" t="s">
        <v>97</v>
      </c>
      <c r="G1239" s="6" t="s">
        <v>2939</v>
      </c>
      <c r="H1239" s="6">
        <v>0.0</v>
      </c>
      <c r="I1239" s="6">
        <v>0.0</v>
      </c>
      <c r="J1239" s="6">
        <v>0.0</v>
      </c>
      <c r="K1239" s="6">
        <v>0.0</v>
      </c>
      <c r="L1239" s="6">
        <v>0.0</v>
      </c>
      <c r="M1239" s="6">
        <v>0.0</v>
      </c>
      <c r="N1239" s="669">
        <v>436000.0</v>
      </c>
      <c r="O1239" s="6">
        <v>0.0</v>
      </c>
      <c r="P1239" s="6">
        <v>0.0</v>
      </c>
      <c r="Q1239" s="6">
        <v>0.0</v>
      </c>
      <c r="R1239" s="6">
        <v>0.0</v>
      </c>
      <c r="S1239" s="6">
        <v>0.0</v>
      </c>
      <c r="T1239" s="6">
        <v>0.0</v>
      </c>
      <c r="U1239" s="6">
        <v>0.0</v>
      </c>
    </row>
    <row r="1240">
      <c r="A1240" s="6" t="s">
        <v>1242</v>
      </c>
      <c r="B1240" s="6" t="s">
        <v>11578</v>
      </c>
      <c r="C1240" s="6" t="s">
        <v>11591</v>
      </c>
      <c r="D1240" s="6" t="s">
        <v>236</v>
      </c>
      <c r="E1240" s="6" t="s">
        <v>1235</v>
      </c>
      <c r="F1240" s="6" t="s">
        <v>97</v>
      </c>
      <c r="G1240" s="6" t="s">
        <v>2939</v>
      </c>
      <c r="H1240" s="6">
        <v>0.0</v>
      </c>
      <c r="I1240" s="6">
        <v>0.0</v>
      </c>
      <c r="J1240" s="6">
        <v>0.0</v>
      </c>
      <c r="K1240" s="6">
        <v>0.0</v>
      </c>
      <c r="L1240" s="6">
        <v>0.0</v>
      </c>
      <c r="M1240" s="6">
        <v>0.0</v>
      </c>
      <c r="N1240" s="669">
        <v>436000.0</v>
      </c>
      <c r="O1240" s="6">
        <v>0.0</v>
      </c>
      <c r="P1240" s="6">
        <v>0.0</v>
      </c>
      <c r="Q1240" s="6">
        <v>0.0</v>
      </c>
      <c r="R1240" s="6">
        <v>0.0</v>
      </c>
      <c r="S1240" s="6">
        <v>0.0</v>
      </c>
      <c r="T1240" s="6">
        <v>0.0</v>
      </c>
      <c r="U1240" s="6">
        <v>0.0</v>
      </c>
    </row>
    <row r="1241">
      <c r="A1241" s="6" t="s">
        <v>1243</v>
      </c>
      <c r="B1241" s="6" t="s">
        <v>11630</v>
      </c>
      <c r="C1241" s="6" t="s">
        <v>11570</v>
      </c>
      <c r="D1241" s="6" t="s">
        <v>22</v>
      </c>
      <c r="E1241" s="6" t="s">
        <v>1244</v>
      </c>
      <c r="F1241" s="6" t="s">
        <v>97</v>
      </c>
      <c r="G1241" s="6" t="s">
        <v>2939</v>
      </c>
      <c r="H1241" s="6">
        <v>0.0</v>
      </c>
      <c r="I1241" s="6">
        <v>0.0</v>
      </c>
      <c r="J1241" s="6" t="s">
        <v>11590</v>
      </c>
      <c r="K1241" s="6" t="s">
        <v>11590</v>
      </c>
      <c r="L1241" s="6" t="s">
        <v>11590</v>
      </c>
      <c r="M1241" s="6" t="s">
        <v>11590</v>
      </c>
      <c r="N1241" s="669">
        <v>1048000.0</v>
      </c>
      <c r="O1241" s="6" t="s">
        <v>11590</v>
      </c>
      <c r="P1241" s="6" t="s">
        <v>11590</v>
      </c>
      <c r="Q1241" s="6">
        <v>0.0</v>
      </c>
      <c r="R1241" s="6">
        <v>0.0</v>
      </c>
      <c r="S1241" s="6">
        <v>0.0</v>
      </c>
      <c r="T1241" s="6">
        <v>0.0</v>
      </c>
      <c r="U1241" s="6" t="s">
        <v>11590</v>
      </c>
    </row>
    <row r="1242">
      <c r="A1242" s="6" t="s">
        <v>1245</v>
      </c>
      <c r="B1242" s="6" t="s">
        <v>11576</v>
      </c>
      <c r="C1242" s="6" t="s">
        <v>11579</v>
      </c>
      <c r="D1242" s="6" t="s">
        <v>41</v>
      </c>
      <c r="E1242" s="6" t="s">
        <v>1244</v>
      </c>
      <c r="F1242" s="6" t="s">
        <v>533</v>
      </c>
      <c r="G1242" s="6" t="s">
        <v>2939</v>
      </c>
      <c r="H1242" s="6">
        <v>0.0</v>
      </c>
      <c r="I1242" s="6">
        <v>0.0</v>
      </c>
      <c r="J1242" s="6" t="s">
        <v>11590</v>
      </c>
      <c r="K1242" s="6">
        <v>0.0</v>
      </c>
      <c r="L1242" s="6">
        <v>0.0</v>
      </c>
      <c r="M1242" s="6">
        <v>0.0</v>
      </c>
      <c r="N1242" s="669">
        <v>637000.0</v>
      </c>
      <c r="O1242" s="6">
        <v>0.0</v>
      </c>
      <c r="P1242" s="6">
        <v>0.0</v>
      </c>
      <c r="Q1242" s="6">
        <v>0.0</v>
      </c>
      <c r="R1242" s="6">
        <v>0.0</v>
      </c>
      <c r="S1242" s="6" t="s">
        <v>11590</v>
      </c>
      <c r="T1242" s="6" t="s">
        <v>11590</v>
      </c>
      <c r="U1242" s="6">
        <v>0.0</v>
      </c>
    </row>
    <row r="1243">
      <c r="A1243" s="6" t="s">
        <v>1246</v>
      </c>
      <c r="B1243" s="6" t="s">
        <v>11576</v>
      </c>
      <c r="C1243" s="6" t="s">
        <v>11579</v>
      </c>
      <c r="D1243" s="6" t="s">
        <v>41</v>
      </c>
      <c r="E1243" s="6" t="s">
        <v>1244</v>
      </c>
      <c r="F1243" s="6" t="s">
        <v>1377</v>
      </c>
      <c r="G1243" s="6" t="s">
        <v>2939</v>
      </c>
      <c r="H1243" s="6">
        <v>0.0</v>
      </c>
      <c r="I1243" s="6">
        <v>0.0</v>
      </c>
      <c r="J1243" s="6" t="s">
        <v>11590</v>
      </c>
      <c r="K1243" s="6">
        <v>1.0</v>
      </c>
      <c r="L1243" s="6">
        <v>0.0</v>
      </c>
      <c r="M1243" s="6">
        <v>0.0</v>
      </c>
      <c r="N1243" s="669">
        <v>705000.0</v>
      </c>
      <c r="O1243" s="6">
        <v>0.0</v>
      </c>
      <c r="P1243" s="6">
        <v>0.0</v>
      </c>
      <c r="Q1243" s="6">
        <v>0.0</v>
      </c>
      <c r="R1243" s="6">
        <v>0.0</v>
      </c>
      <c r="S1243" s="6" t="s">
        <v>11590</v>
      </c>
      <c r="T1243" s="6" t="s">
        <v>11590</v>
      </c>
      <c r="U1243" s="6" t="s">
        <v>11590</v>
      </c>
    </row>
    <row r="1244">
      <c r="A1244" s="6" t="s">
        <v>1247</v>
      </c>
      <c r="B1244" s="6" t="s">
        <v>11576</v>
      </c>
      <c r="C1244" s="6" t="s">
        <v>11579</v>
      </c>
      <c r="D1244" s="6" t="s">
        <v>41</v>
      </c>
      <c r="E1244" s="6" t="s">
        <v>1244</v>
      </c>
      <c r="F1244" s="6" t="s">
        <v>97</v>
      </c>
      <c r="G1244" s="6" t="s">
        <v>2939</v>
      </c>
      <c r="H1244" s="6">
        <v>0.0</v>
      </c>
      <c r="I1244" s="6">
        <v>0.0</v>
      </c>
      <c r="J1244" s="6" t="s">
        <v>11590</v>
      </c>
      <c r="K1244" s="6">
        <v>2.0</v>
      </c>
      <c r="L1244" s="6">
        <v>0.0</v>
      </c>
      <c r="M1244" s="6">
        <v>0.0</v>
      </c>
      <c r="N1244" s="669">
        <v>648000.0</v>
      </c>
      <c r="O1244" s="6">
        <v>0.0</v>
      </c>
      <c r="P1244" s="6">
        <v>0.0</v>
      </c>
      <c r="Q1244" s="6">
        <v>0.0</v>
      </c>
      <c r="R1244" s="6">
        <v>0.0</v>
      </c>
      <c r="S1244" s="6" t="s">
        <v>11590</v>
      </c>
      <c r="T1244" s="6" t="s">
        <v>11590</v>
      </c>
      <c r="U1244" s="6">
        <v>0.0</v>
      </c>
    </row>
    <row r="1245">
      <c r="A1245" s="6" t="s">
        <v>1939</v>
      </c>
      <c r="B1245" s="6" t="s">
        <v>11569</v>
      </c>
      <c r="C1245" s="6" t="s">
        <v>11591</v>
      </c>
      <c r="D1245" s="6" t="s">
        <v>202</v>
      </c>
      <c r="E1245" s="6" t="s">
        <v>1244</v>
      </c>
      <c r="F1245" s="6" t="s">
        <v>97</v>
      </c>
      <c r="G1245" s="6" t="s">
        <v>2939</v>
      </c>
      <c r="H1245" s="6">
        <v>0.0</v>
      </c>
      <c r="I1245" s="6">
        <v>0.0</v>
      </c>
      <c r="J1245" s="6">
        <v>1.0</v>
      </c>
      <c r="K1245" s="6">
        <v>0.0</v>
      </c>
      <c r="L1245" s="6">
        <v>0.0</v>
      </c>
      <c r="M1245" s="6">
        <v>0.0</v>
      </c>
      <c r="N1245" s="669">
        <v>648000.0</v>
      </c>
      <c r="O1245" s="6">
        <v>0.0</v>
      </c>
      <c r="P1245" s="6">
        <v>0.0</v>
      </c>
      <c r="Q1245" s="6">
        <v>0.0</v>
      </c>
      <c r="R1245" s="6">
        <v>0.0</v>
      </c>
      <c r="S1245" s="6" t="s">
        <v>11590</v>
      </c>
      <c r="T1245" s="6">
        <v>5.0</v>
      </c>
      <c r="U1245" s="6">
        <v>0.0</v>
      </c>
    </row>
    <row r="1246">
      <c r="A1246" s="6" t="s">
        <v>1940</v>
      </c>
      <c r="B1246" s="6" t="s">
        <v>11569</v>
      </c>
      <c r="C1246" s="6" t="s">
        <v>11591</v>
      </c>
      <c r="D1246" s="6" t="s">
        <v>236</v>
      </c>
      <c r="E1246" s="6" t="s">
        <v>1244</v>
      </c>
      <c r="F1246" s="6" t="s">
        <v>97</v>
      </c>
      <c r="G1246" s="6" t="s">
        <v>2939</v>
      </c>
      <c r="H1246" s="6">
        <v>0.0</v>
      </c>
      <c r="I1246" s="6">
        <v>0.0</v>
      </c>
      <c r="J1246" s="6">
        <v>2.0</v>
      </c>
      <c r="K1246" s="6">
        <v>5.0</v>
      </c>
      <c r="L1246" s="6">
        <v>0.0</v>
      </c>
      <c r="M1246" s="6">
        <v>0.0</v>
      </c>
      <c r="N1246" s="669">
        <v>648000.0</v>
      </c>
      <c r="O1246" s="6">
        <v>0.0</v>
      </c>
      <c r="P1246" s="6">
        <v>0.0</v>
      </c>
      <c r="Q1246" s="6">
        <v>0.0</v>
      </c>
      <c r="R1246" s="6">
        <v>0.0</v>
      </c>
      <c r="S1246" s="6" t="s">
        <v>11590</v>
      </c>
      <c r="T1246" s="6">
        <v>5.0</v>
      </c>
      <c r="U1246" s="6">
        <v>0.0</v>
      </c>
    </row>
    <row r="1247">
      <c r="A1247" s="6" t="s">
        <v>1941</v>
      </c>
      <c r="B1247" s="6" t="s">
        <v>11654</v>
      </c>
      <c r="C1247" s="6" t="s">
        <v>11570</v>
      </c>
      <c r="D1247" s="6" t="s">
        <v>22</v>
      </c>
      <c r="E1247" s="6" t="s">
        <v>1713</v>
      </c>
      <c r="F1247" s="6" t="s">
        <v>97</v>
      </c>
      <c r="G1247" s="6" t="s">
        <v>2939</v>
      </c>
      <c r="H1247" s="6">
        <v>0.0</v>
      </c>
      <c r="I1247" s="6">
        <v>0.0</v>
      </c>
      <c r="J1247" s="6">
        <v>1.0</v>
      </c>
      <c r="K1247" s="6" t="s">
        <v>11590</v>
      </c>
      <c r="L1247" s="6" t="s">
        <v>11590</v>
      </c>
      <c r="M1247" s="6" t="s">
        <v>11590</v>
      </c>
      <c r="N1247" s="669">
        <v>960000.0</v>
      </c>
      <c r="O1247" s="6" t="s">
        <v>11590</v>
      </c>
      <c r="P1247" s="6">
        <v>10.0</v>
      </c>
      <c r="Q1247" s="6">
        <v>0.0</v>
      </c>
      <c r="R1247" s="6">
        <v>0.0</v>
      </c>
      <c r="S1247" s="6">
        <v>0.0</v>
      </c>
      <c r="T1247" s="6">
        <v>0.0</v>
      </c>
      <c r="U1247" s="6">
        <v>0.0</v>
      </c>
    </row>
    <row r="1248">
      <c r="A1248" s="6" t="s">
        <v>1943</v>
      </c>
      <c r="B1248" s="6" t="s">
        <v>11654</v>
      </c>
      <c r="C1248" s="6" t="s">
        <v>11579</v>
      </c>
      <c r="D1248" s="6" t="s">
        <v>41</v>
      </c>
      <c r="E1248" s="6" t="s">
        <v>1713</v>
      </c>
      <c r="F1248" s="6" t="s">
        <v>2193</v>
      </c>
      <c r="G1248" s="6" t="s">
        <v>2939</v>
      </c>
      <c r="H1248" s="6">
        <v>0.0</v>
      </c>
      <c r="I1248" s="6">
        <v>0.0</v>
      </c>
      <c r="J1248" s="6" t="s">
        <v>11590</v>
      </c>
      <c r="K1248" s="6">
        <v>0.0</v>
      </c>
      <c r="L1248" s="6">
        <v>0.0</v>
      </c>
      <c r="M1248" s="6" t="s">
        <v>11590</v>
      </c>
      <c r="N1248" s="669">
        <v>752000.0</v>
      </c>
      <c r="O1248" s="6">
        <v>0.0</v>
      </c>
      <c r="P1248" s="6">
        <v>0.0</v>
      </c>
      <c r="Q1248" s="6">
        <v>0.0</v>
      </c>
      <c r="R1248" s="6">
        <v>0.0</v>
      </c>
      <c r="S1248" s="6" t="s">
        <v>11590</v>
      </c>
      <c r="T1248" s="6">
        <v>10.0</v>
      </c>
      <c r="U1248" s="6">
        <v>0.0</v>
      </c>
    </row>
    <row r="1249">
      <c r="A1249" s="6" t="s">
        <v>1944</v>
      </c>
      <c r="B1249" s="6" t="s">
        <v>11569</v>
      </c>
      <c r="C1249" s="6" t="s">
        <v>11579</v>
      </c>
      <c r="D1249" s="6" t="s">
        <v>41</v>
      </c>
      <c r="E1249" s="6" t="s">
        <v>1713</v>
      </c>
      <c r="F1249" s="6" t="s">
        <v>97</v>
      </c>
      <c r="G1249" s="6" t="s">
        <v>2939</v>
      </c>
      <c r="H1249" s="6">
        <v>0.0</v>
      </c>
      <c r="I1249" s="6">
        <v>0.0</v>
      </c>
      <c r="J1249" s="6">
        <v>10.0</v>
      </c>
      <c r="K1249" s="6">
        <v>2.0</v>
      </c>
      <c r="L1249" s="6">
        <v>0.0</v>
      </c>
      <c r="M1249" s="6">
        <v>0.0</v>
      </c>
      <c r="N1249" s="669">
        <v>660000.0</v>
      </c>
      <c r="O1249" s="6" t="s">
        <v>11590</v>
      </c>
      <c r="P1249" s="6">
        <v>10.0</v>
      </c>
      <c r="Q1249" s="6">
        <v>0.0</v>
      </c>
      <c r="R1249" s="6">
        <v>0.0</v>
      </c>
      <c r="S1249" s="6" t="s">
        <v>11590</v>
      </c>
      <c r="T1249" s="6">
        <v>0.0</v>
      </c>
      <c r="U1249" s="6">
        <v>0.0</v>
      </c>
    </row>
    <row r="1250">
      <c r="A1250" s="6" t="s">
        <v>1248</v>
      </c>
      <c r="B1250" s="6" t="s">
        <v>11576</v>
      </c>
      <c r="C1250" s="6" t="s">
        <v>11570</v>
      </c>
      <c r="D1250" s="6" t="s">
        <v>22</v>
      </c>
      <c r="E1250" s="6" t="s">
        <v>1249</v>
      </c>
      <c r="F1250" s="6" t="s">
        <v>125</v>
      </c>
      <c r="G1250" s="6" t="s">
        <v>2939</v>
      </c>
      <c r="H1250" s="6">
        <v>0.0</v>
      </c>
      <c r="I1250" s="6">
        <v>0.0</v>
      </c>
      <c r="J1250" s="6" t="s">
        <v>11590</v>
      </c>
      <c r="K1250" s="6">
        <v>5.0</v>
      </c>
      <c r="L1250" s="6">
        <v>0.0</v>
      </c>
      <c r="M1250" s="6">
        <v>0.0</v>
      </c>
      <c r="N1250" s="669">
        <v>1238000.0</v>
      </c>
      <c r="O1250" s="6">
        <v>0.0</v>
      </c>
      <c r="P1250" s="6">
        <v>0.0</v>
      </c>
      <c r="Q1250" s="6">
        <v>0.0</v>
      </c>
      <c r="R1250" s="6">
        <v>0.0</v>
      </c>
      <c r="S1250" s="6">
        <v>10.0</v>
      </c>
      <c r="T1250" s="6">
        <v>10.0</v>
      </c>
      <c r="U1250" s="6">
        <v>10.0</v>
      </c>
    </row>
    <row r="1251">
      <c r="A1251" s="6" t="s">
        <v>1250</v>
      </c>
      <c r="B1251" s="6" t="s">
        <v>11576</v>
      </c>
      <c r="C1251" s="6" t="s">
        <v>11579</v>
      </c>
      <c r="D1251" s="6" t="s">
        <v>41</v>
      </c>
      <c r="E1251" s="6" t="s">
        <v>1249</v>
      </c>
      <c r="F1251" s="6" t="s">
        <v>2193</v>
      </c>
      <c r="G1251" s="6" t="s">
        <v>2939</v>
      </c>
      <c r="H1251" s="6">
        <v>0.0</v>
      </c>
      <c r="I1251" s="6">
        <v>0.0</v>
      </c>
      <c r="J1251" s="6">
        <v>0.0</v>
      </c>
      <c r="K1251" s="6" t="s">
        <v>11590</v>
      </c>
      <c r="L1251" s="6">
        <v>0.0</v>
      </c>
      <c r="M1251" s="6">
        <v>0.0</v>
      </c>
      <c r="N1251" s="669">
        <v>1033000.0</v>
      </c>
      <c r="O1251" s="6">
        <v>0.0</v>
      </c>
      <c r="P1251" s="6">
        <v>0.0</v>
      </c>
      <c r="Q1251" s="6">
        <v>0.0</v>
      </c>
      <c r="R1251" s="6">
        <v>0.0</v>
      </c>
      <c r="S1251" s="6">
        <v>0.0</v>
      </c>
      <c r="T1251" s="6">
        <v>0.0</v>
      </c>
      <c r="U1251" s="6">
        <v>10.0</v>
      </c>
    </row>
    <row r="1252">
      <c r="A1252" s="6" t="s">
        <v>1251</v>
      </c>
      <c r="B1252" s="6" t="s">
        <v>11630</v>
      </c>
      <c r="C1252" s="6" t="s">
        <v>11570</v>
      </c>
      <c r="D1252" s="6" t="s">
        <v>22</v>
      </c>
      <c r="E1252" s="6" t="s">
        <v>1252</v>
      </c>
      <c r="F1252" s="6" t="s">
        <v>97</v>
      </c>
      <c r="G1252" s="6" t="s">
        <v>2939</v>
      </c>
      <c r="H1252" s="6">
        <v>0.0</v>
      </c>
      <c r="I1252" s="6">
        <v>0.0</v>
      </c>
      <c r="J1252" s="6">
        <v>0.0</v>
      </c>
      <c r="K1252" s="6">
        <v>0.0</v>
      </c>
      <c r="L1252" s="6" t="s">
        <v>11590</v>
      </c>
      <c r="M1252" s="6" t="s">
        <v>11590</v>
      </c>
      <c r="N1252" s="669">
        <v>1400000.0</v>
      </c>
      <c r="O1252" s="6">
        <v>0.0</v>
      </c>
      <c r="P1252" s="6">
        <v>0.0</v>
      </c>
      <c r="Q1252" s="6">
        <v>0.0</v>
      </c>
      <c r="R1252" s="6">
        <v>0.0</v>
      </c>
      <c r="S1252" s="6">
        <v>0.0</v>
      </c>
      <c r="T1252" s="6">
        <v>0.0</v>
      </c>
      <c r="U1252" s="6">
        <v>0.0</v>
      </c>
    </row>
    <row r="1253">
      <c r="A1253" s="6" t="s">
        <v>1950</v>
      </c>
      <c r="B1253" s="6" t="s">
        <v>11569</v>
      </c>
      <c r="C1253" s="6" t="s">
        <v>11579</v>
      </c>
      <c r="D1253" s="6" t="s">
        <v>41</v>
      </c>
      <c r="E1253" s="6" t="s">
        <v>1252</v>
      </c>
      <c r="F1253" s="6" t="s">
        <v>2193</v>
      </c>
      <c r="G1253" s="6" t="s">
        <v>2939</v>
      </c>
      <c r="H1253" s="6">
        <v>0.0</v>
      </c>
      <c r="I1253" s="6">
        <v>0.0</v>
      </c>
      <c r="J1253" s="6">
        <v>5.0</v>
      </c>
      <c r="K1253" s="6">
        <v>0.0</v>
      </c>
      <c r="L1253" s="6">
        <v>0.0</v>
      </c>
      <c r="M1253" s="6">
        <v>0.0</v>
      </c>
      <c r="N1253" s="669">
        <v>1378000.0</v>
      </c>
      <c r="O1253" s="6">
        <v>0.0</v>
      </c>
      <c r="P1253" s="6">
        <v>0.0</v>
      </c>
      <c r="Q1253" s="6">
        <v>0.0</v>
      </c>
      <c r="R1253" s="6">
        <v>0.0</v>
      </c>
      <c r="S1253" s="6">
        <v>0.0</v>
      </c>
      <c r="T1253" s="6">
        <v>0.0</v>
      </c>
      <c r="U1253" s="6">
        <v>5.0</v>
      </c>
    </row>
    <row r="1254">
      <c r="A1254" s="6" t="s">
        <v>1253</v>
      </c>
      <c r="B1254" s="6" t="s">
        <v>11576</v>
      </c>
      <c r="C1254" s="6" t="s">
        <v>11570</v>
      </c>
      <c r="D1254" s="6" t="s">
        <v>22</v>
      </c>
      <c r="E1254" s="6" t="s">
        <v>1254</v>
      </c>
      <c r="F1254" s="6" t="s">
        <v>97</v>
      </c>
      <c r="G1254" s="6" t="s">
        <v>2939</v>
      </c>
      <c r="H1254" s="6">
        <v>1.0</v>
      </c>
      <c r="I1254" s="6">
        <v>0.0</v>
      </c>
      <c r="J1254" s="6" t="s">
        <v>11590</v>
      </c>
      <c r="K1254" s="6">
        <v>4.0</v>
      </c>
      <c r="L1254" s="6">
        <v>0.0</v>
      </c>
      <c r="M1254" s="6">
        <v>0.0</v>
      </c>
      <c r="N1254" s="669">
        <v>1135000.0</v>
      </c>
      <c r="O1254" s="6">
        <v>0.0</v>
      </c>
      <c r="P1254" s="6">
        <v>0.0</v>
      </c>
      <c r="Q1254" s="6">
        <v>0.0</v>
      </c>
      <c r="R1254" s="6">
        <v>0.0</v>
      </c>
      <c r="S1254" s="6">
        <v>0.0</v>
      </c>
      <c r="T1254" s="6">
        <v>0.0</v>
      </c>
      <c r="U1254" s="6">
        <v>0.0</v>
      </c>
    </row>
    <row r="1255">
      <c r="A1255" s="6" t="s">
        <v>1255</v>
      </c>
      <c r="B1255" s="6" t="s">
        <v>11576</v>
      </c>
      <c r="C1255" s="6" t="s">
        <v>11579</v>
      </c>
      <c r="D1255" s="6" t="s">
        <v>41</v>
      </c>
      <c r="E1255" s="6" t="s">
        <v>1254</v>
      </c>
      <c r="F1255" s="6" t="s">
        <v>2193</v>
      </c>
      <c r="G1255" s="6" t="s">
        <v>2939</v>
      </c>
      <c r="H1255" s="6">
        <v>0.0</v>
      </c>
      <c r="I1255" s="6">
        <v>0.0</v>
      </c>
      <c r="J1255" s="6">
        <v>10.0</v>
      </c>
      <c r="K1255" s="6">
        <v>5.0</v>
      </c>
      <c r="L1255" s="6">
        <v>0.0</v>
      </c>
      <c r="M1255" s="6">
        <v>0.0</v>
      </c>
      <c r="N1255" s="669">
        <v>1880000.0</v>
      </c>
      <c r="O1255" s="6">
        <v>0.0</v>
      </c>
      <c r="P1255" s="6">
        <v>0.0</v>
      </c>
      <c r="Q1255" s="6">
        <v>0.0</v>
      </c>
      <c r="R1255" s="6">
        <v>0.0</v>
      </c>
      <c r="S1255" s="6">
        <v>0.0</v>
      </c>
      <c r="T1255" s="6">
        <v>0.0</v>
      </c>
      <c r="U1255" s="6">
        <v>0.0</v>
      </c>
    </row>
    <row r="1256">
      <c r="A1256" s="6" t="s">
        <v>1256</v>
      </c>
      <c r="B1256" s="6" t="s">
        <v>11576</v>
      </c>
      <c r="C1256" s="6" t="s">
        <v>11591</v>
      </c>
      <c r="D1256" s="6" t="s">
        <v>132</v>
      </c>
      <c r="E1256" s="6" t="s">
        <v>1254</v>
      </c>
      <c r="G1256" s="6" t="s">
        <v>2939</v>
      </c>
      <c r="H1256" s="6">
        <v>0.0</v>
      </c>
      <c r="I1256" s="6">
        <v>0.0</v>
      </c>
      <c r="J1256" s="6">
        <v>5.0</v>
      </c>
      <c r="K1256" s="6">
        <v>0.0</v>
      </c>
      <c r="L1256" s="6">
        <v>0.0</v>
      </c>
      <c r="M1256" s="6">
        <v>0.0</v>
      </c>
      <c r="N1256" s="669">
        <v>393000.0</v>
      </c>
      <c r="O1256" s="6">
        <v>0.0</v>
      </c>
      <c r="P1256" s="6">
        <v>0.0</v>
      </c>
      <c r="Q1256" s="6">
        <v>0.0</v>
      </c>
      <c r="R1256" s="6">
        <v>0.0</v>
      </c>
      <c r="S1256" s="6">
        <v>0.0</v>
      </c>
      <c r="T1256" s="6">
        <v>0.0</v>
      </c>
      <c r="U1256" s="6">
        <v>0.0</v>
      </c>
    </row>
    <row r="1257">
      <c r="A1257" s="6" t="s">
        <v>1257</v>
      </c>
      <c r="B1257" s="6" t="s">
        <v>11576</v>
      </c>
      <c r="C1257" s="6" t="s">
        <v>11591</v>
      </c>
      <c r="D1257" s="6" t="s">
        <v>134</v>
      </c>
      <c r="E1257" s="6" t="s">
        <v>1254</v>
      </c>
      <c r="G1257" s="6" t="s">
        <v>2939</v>
      </c>
      <c r="H1257" s="6">
        <v>0.0</v>
      </c>
      <c r="I1257" s="6">
        <v>0.0</v>
      </c>
      <c r="J1257" s="6">
        <v>5.0</v>
      </c>
      <c r="K1257" s="6">
        <v>0.0</v>
      </c>
      <c r="L1257" s="6">
        <v>0.0</v>
      </c>
      <c r="M1257" s="6">
        <v>0.0</v>
      </c>
      <c r="N1257" s="669">
        <v>393000.0</v>
      </c>
      <c r="O1257" s="6">
        <v>0.0</v>
      </c>
      <c r="P1257" s="6">
        <v>0.0</v>
      </c>
      <c r="Q1257" s="6">
        <v>0.0</v>
      </c>
      <c r="R1257" s="6">
        <v>0.0</v>
      </c>
      <c r="S1257" s="6">
        <v>0.0</v>
      </c>
      <c r="T1257" s="6">
        <v>0.0</v>
      </c>
      <c r="U1257" s="6">
        <v>0.0</v>
      </c>
    </row>
    <row r="1258">
      <c r="A1258" s="6" t="s">
        <v>1951</v>
      </c>
      <c r="B1258" s="6" t="s">
        <v>11654</v>
      </c>
      <c r="C1258" s="6" t="s">
        <v>11570</v>
      </c>
      <c r="D1258" s="6" t="s">
        <v>22</v>
      </c>
      <c r="E1258" s="6" t="s">
        <v>1259</v>
      </c>
      <c r="F1258" s="6" t="s">
        <v>125</v>
      </c>
      <c r="G1258" s="6" t="s">
        <v>2939</v>
      </c>
      <c r="H1258" s="6">
        <v>0.0</v>
      </c>
      <c r="I1258" s="6">
        <v>0.0</v>
      </c>
      <c r="J1258" s="6" t="s">
        <v>11590</v>
      </c>
      <c r="K1258" s="6">
        <v>0.0</v>
      </c>
      <c r="L1258" s="6" t="s">
        <v>11590</v>
      </c>
      <c r="M1258" s="6">
        <v>1.0</v>
      </c>
      <c r="N1258" s="669">
        <v>1105000.0</v>
      </c>
      <c r="O1258" s="6">
        <v>0.0</v>
      </c>
      <c r="P1258" s="6">
        <v>10.0</v>
      </c>
      <c r="Q1258" s="6">
        <v>0.0</v>
      </c>
      <c r="R1258" s="6">
        <v>0.0</v>
      </c>
      <c r="S1258" s="6" t="s">
        <v>11590</v>
      </c>
      <c r="T1258" s="6">
        <v>0.0</v>
      </c>
      <c r="U1258" s="6">
        <v>0.0</v>
      </c>
    </row>
    <row r="1259">
      <c r="A1259" s="6" t="s">
        <v>1258</v>
      </c>
      <c r="B1259" s="6" t="s">
        <v>11576</v>
      </c>
      <c r="C1259" s="6" t="s">
        <v>11579</v>
      </c>
      <c r="D1259" s="6" t="s">
        <v>41</v>
      </c>
      <c r="E1259" s="6" t="s">
        <v>1259</v>
      </c>
      <c r="F1259" s="6" t="s">
        <v>2193</v>
      </c>
      <c r="G1259" s="6" t="s">
        <v>2939</v>
      </c>
      <c r="H1259" s="6">
        <v>0.0</v>
      </c>
      <c r="I1259" s="6">
        <v>0.0</v>
      </c>
      <c r="J1259" s="6">
        <v>4.0</v>
      </c>
      <c r="K1259" s="6">
        <v>0.0</v>
      </c>
      <c r="L1259" s="6">
        <v>0.0</v>
      </c>
      <c r="M1259" s="6">
        <v>0.0</v>
      </c>
      <c r="N1259" s="669">
        <v>1206000.0</v>
      </c>
      <c r="O1259" s="6">
        <v>0.0</v>
      </c>
      <c r="P1259" s="6">
        <v>0.0</v>
      </c>
      <c r="Q1259" s="6">
        <v>0.0</v>
      </c>
      <c r="R1259" s="6">
        <v>0.0</v>
      </c>
      <c r="S1259" s="6" t="s">
        <v>11590</v>
      </c>
      <c r="T1259" s="6">
        <v>10.0</v>
      </c>
      <c r="U1259" s="6">
        <v>0.0</v>
      </c>
    </row>
    <row r="1260">
      <c r="A1260" s="6" t="s">
        <v>1953</v>
      </c>
      <c r="B1260" s="6" t="s">
        <v>11569</v>
      </c>
      <c r="C1260" s="6" t="s">
        <v>11591</v>
      </c>
      <c r="D1260" s="6" t="s">
        <v>128</v>
      </c>
      <c r="E1260" s="6" t="s">
        <v>1259</v>
      </c>
      <c r="G1260" s="6" t="s">
        <v>2939</v>
      </c>
      <c r="H1260" s="6">
        <v>0.0</v>
      </c>
      <c r="I1260" s="6">
        <v>0.0</v>
      </c>
      <c r="J1260" s="6">
        <v>9.0</v>
      </c>
      <c r="K1260" s="6">
        <v>0.0</v>
      </c>
      <c r="L1260" s="6">
        <v>0.0</v>
      </c>
      <c r="M1260" s="6">
        <v>0.0</v>
      </c>
      <c r="N1260" s="669">
        <v>319000.0</v>
      </c>
      <c r="O1260" s="6">
        <v>0.0</v>
      </c>
      <c r="P1260" s="6">
        <v>0.0</v>
      </c>
      <c r="Q1260" s="6">
        <v>0.0</v>
      </c>
      <c r="R1260" s="6">
        <v>0.0</v>
      </c>
      <c r="S1260" s="6">
        <v>0.0</v>
      </c>
      <c r="T1260" s="6">
        <v>0.0</v>
      </c>
      <c r="U1260" s="6">
        <v>0.0</v>
      </c>
    </row>
    <row r="1261">
      <c r="A1261" s="6" t="s">
        <v>1954</v>
      </c>
      <c r="B1261" s="6" t="s">
        <v>11569</v>
      </c>
      <c r="C1261" s="6" t="s">
        <v>11591</v>
      </c>
      <c r="D1261" s="6" t="s">
        <v>130</v>
      </c>
      <c r="E1261" s="6" t="s">
        <v>1259</v>
      </c>
      <c r="G1261" s="6" t="s">
        <v>2939</v>
      </c>
      <c r="H1261" s="6">
        <v>0.0</v>
      </c>
      <c r="I1261" s="6">
        <v>0.0</v>
      </c>
      <c r="J1261" s="6" t="s">
        <v>11590</v>
      </c>
      <c r="K1261" s="6">
        <v>0.0</v>
      </c>
      <c r="L1261" s="6">
        <v>0.0</v>
      </c>
      <c r="M1261" s="6">
        <v>0.0</v>
      </c>
      <c r="N1261" s="669">
        <v>319000.0</v>
      </c>
      <c r="O1261" s="6">
        <v>0.0</v>
      </c>
      <c r="P1261" s="6">
        <v>0.0</v>
      </c>
      <c r="Q1261" s="6">
        <v>0.0</v>
      </c>
      <c r="R1261" s="6">
        <v>0.0</v>
      </c>
      <c r="S1261" s="6">
        <v>0.0</v>
      </c>
      <c r="T1261" s="6">
        <v>0.0</v>
      </c>
      <c r="U1261" s="6">
        <v>0.0</v>
      </c>
    </row>
    <row r="1262">
      <c r="A1262" s="6" t="s">
        <v>1260</v>
      </c>
      <c r="B1262" s="6" t="s">
        <v>11576</v>
      </c>
      <c r="C1262" s="6" t="s">
        <v>11591</v>
      </c>
      <c r="D1262" s="6" t="s">
        <v>132</v>
      </c>
      <c r="E1262" s="6" t="s">
        <v>1259</v>
      </c>
      <c r="G1262" s="6" t="s">
        <v>2939</v>
      </c>
      <c r="H1262" s="6">
        <v>1.0</v>
      </c>
      <c r="I1262" s="6">
        <v>0.0</v>
      </c>
      <c r="J1262" s="6" t="s">
        <v>11590</v>
      </c>
      <c r="K1262" s="6">
        <v>0.0</v>
      </c>
      <c r="L1262" s="6">
        <v>0.0</v>
      </c>
      <c r="M1262" s="6">
        <v>0.0</v>
      </c>
      <c r="N1262" s="669">
        <v>531000.0</v>
      </c>
      <c r="O1262" s="6">
        <v>0.0</v>
      </c>
      <c r="P1262" s="6">
        <v>0.0</v>
      </c>
      <c r="Q1262" s="6">
        <v>0.0</v>
      </c>
      <c r="R1262" s="6">
        <v>0.0</v>
      </c>
      <c r="S1262" s="6">
        <v>0.0</v>
      </c>
      <c r="T1262" s="6">
        <v>0.0</v>
      </c>
      <c r="U1262" s="6">
        <v>0.0</v>
      </c>
    </row>
    <row r="1263">
      <c r="A1263" s="6" t="s">
        <v>1261</v>
      </c>
      <c r="B1263" s="6" t="s">
        <v>11576</v>
      </c>
      <c r="C1263" s="6" t="s">
        <v>11591</v>
      </c>
      <c r="D1263" s="6" t="s">
        <v>134</v>
      </c>
      <c r="E1263" s="6" t="s">
        <v>1259</v>
      </c>
      <c r="G1263" s="6" t="s">
        <v>2939</v>
      </c>
      <c r="H1263" s="6">
        <v>0.0</v>
      </c>
      <c r="I1263" s="6">
        <v>0.0</v>
      </c>
      <c r="J1263" s="6" t="s">
        <v>11590</v>
      </c>
      <c r="K1263" s="6">
        <v>0.0</v>
      </c>
      <c r="L1263" s="6">
        <v>0.0</v>
      </c>
      <c r="M1263" s="6">
        <v>0.0</v>
      </c>
      <c r="N1263" s="669">
        <v>531000.0</v>
      </c>
      <c r="O1263" s="6">
        <v>0.0</v>
      </c>
      <c r="P1263" s="6">
        <v>0.0</v>
      </c>
      <c r="Q1263" s="6">
        <v>0.0</v>
      </c>
      <c r="R1263" s="6">
        <v>0.0</v>
      </c>
      <c r="S1263" s="6">
        <v>0.0</v>
      </c>
      <c r="T1263" s="6">
        <v>0.0</v>
      </c>
      <c r="U1263" s="6">
        <v>0.0</v>
      </c>
    </row>
    <row r="1264">
      <c r="A1264" s="6" t="s">
        <v>1262</v>
      </c>
      <c r="B1264" s="6" t="s">
        <v>11630</v>
      </c>
      <c r="C1264" s="6" t="s">
        <v>11570</v>
      </c>
      <c r="D1264" s="6" t="s">
        <v>22</v>
      </c>
      <c r="E1264" s="6" t="s">
        <v>1263</v>
      </c>
      <c r="F1264" s="6" t="s">
        <v>125</v>
      </c>
      <c r="G1264" s="6" t="s">
        <v>2939</v>
      </c>
      <c r="H1264" s="6">
        <v>0.0</v>
      </c>
      <c r="I1264" s="6">
        <v>0.0</v>
      </c>
      <c r="J1264" s="6">
        <v>0.0</v>
      </c>
      <c r="K1264" s="6" t="s">
        <v>11590</v>
      </c>
      <c r="L1264" s="6">
        <v>0.0</v>
      </c>
      <c r="M1264" s="6" t="s">
        <v>11590</v>
      </c>
      <c r="N1264" s="669">
        <v>1133000.0</v>
      </c>
      <c r="O1264" s="6">
        <v>10.0</v>
      </c>
      <c r="P1264" s="6">
        <v>0.0</v>
      </c>
      <c r="Q1264" s="6">
        <v>0.0</v>
      </c>
      <c r="R1264" s="6">
        <v>0.0</v>
      </c>
      <c r="S1264" s="6" t="s">
        <v>11590</v>
      </c>
      <c r="T1264" s="6">
        <v>10.0</v>
      </c>
      <c r="U1264" s="6" t="s">
        <v>11590</v>
      </c>
    </row>
    <row r="1265">
      <c r="A1265" s="6" t="s">
        <v>1264</v>
      </c>
      <c r="B1265" s="6" t="s">
        <v>11578</v>
      </c>
      <c r="C1265" s="6" t="s">
        <v>11579</v>
      </c>
      <c r="D1265" s="6" t="s">
        <v>41</v>
      </c>
      <c r="E1265" s="6" t="s">
        <v>1263</v>
      </c>
      <c r="F1265" s="6" t="s">
        <v>2062</v>
      </c>
      <c r="G1265" s="6" t="s">
        <v>2939</v>
      </c>
      <c r="H1265" s="6">
        <v>0.0</v>
      </c>
      <c r="I1265" s="6">
        <v>0.0</v>
      </c>
      <c r="J1265" s="6">
        <v>0.0</v>
      </c>
      <c r="K1265" s="6">
        <v>0.0</v>
      </c>
      <c r="L1265" s="6">
        <v>0.0</v>
      </c>
      <c r="M1265" s="6">
        <v>0.0</v>
      </c>
      <c r="N1265" s="669">
        <v>1928000.0</v>
      </c>
      <c r="O1265" s="6">
        <v>0.0</v>
      </c>
      <c r="P1265" s="6">
        <v>0.0</v>
      </c>
      <c r="Q1265" s="6">
        <v>0.0</v>
      </c>
      <c r="R1265" s="6">
        <v>0.0</v>
      </c>
      <c r="S1265" s="6">
        <v>0.0</v>
      </c>
      <c r="T1265" s="6">
        <v>0.0</v>
      </c>
      <c r="U1265" s="6">
        <v>0.0</v>
      </c>
    </row>
    <row r="1266">
      <c r="A1266" s="6" t="s">
        <v>1265</v>
      </c>
      <c r="B1266" s="6" t="s">
        <v>11576</v>
      </c>
      <c r="C1266" s="6" t="s">
        <v>11579</v>
      </c>
      <c r="D1266" s="6" t="s">
        <v>41</v>
      </c>
      <c r="E1266" s="6" t="s">
        <v>1263</v>
      </c>
      <c r="F1266" s="6" t="s">
        <v>2193</v>
      </c>
      <c r="G1266" s="6" t="s">
        <v>2939</v>
      </c>
      <c r="H1266" s="6">
        <v>0.0</v>
      </c>
      <c r="I1266" s="6">
        <v>0.0</v>
      </c>
      <c r="J1266" s="6">
        <v>9.0</v>
      </c>
      <c r="K1266" s="6">
        <v>0.0</v>
      </c>
      <c r="L1266" s="6">
        <v>0.0</v>
      </c>
      <c r="M1266" s="6">
        <v>0.0</v>
      </c>
      <c r="N1266" s="669">
        <v>1354000.0</v>
      </c>
      <c r="O1266" s="6">
        <v>0.0</v>
      </c>
      <c r="P1266" s="6">
        <v>0.0</v>
      </c>
      <c r="Q1266" s="6">
        <v>0.0</v>
      </c>
      <c r="R1266" s="6">
        <v>0.0</v>
      </c>
      <c r="S1266" s="6" t="s">
        <v>11590</v>
      </c>
      <c r="T1266" s="6">
        <v>10.0</v>
      </c>
      <c r="U1266" s="6">
        <v>0.0</v>
      </c>
    </row>
    <row r="1267">
      <c r="A1267" s="6" t="s">
        <v>1266</v>
      </c>
      <c r="B1267" s="6" t="s">
        <v>11576</v>
      </c>
      <c r="C1267" s="6" t="s">
        <v>11591</v>
      </c>
      <c r="D1267" s="6" t="s">
        <v>132</v>
      </c>
      <c r="E1267" s="6" t="s">
        <v>1263</v>
      </c>
      <c r="G1267" s="6" t="s">
        <v>2939</v>
      </c>
      <c r="H1267" s="6">
        <v>0.0</v>
      </c>
      <c r="I1267" s="6">
        <v>0.0</v>
      </c>
      <c r="J1267" s="6" t="s">
        <v>11590</v>
      </c>
      <c r="K1267" s="6">
        <v>0.0</v>
      </c>
      <c r="L1267" s="6">
        <v>0.0</v>
      </c>
      <c r="M1267" s="6">
        <v>0.0</v>
      </c>
      <c r="N1267" s="669">
        <v>440000.0</v>
      </c>
      <c r="O1267" s="6">
        <v>0.0</v>
      </c>
      <c r="P1267" s="6">
        <v>0.0</v>
      </c>
      <c r="Q1267" s="6">
        <v>0.0</v>
      </c>
      <c r="R1267" s="6">
        <v>0.0</v>
      </c>
      <c r="S1267" s="6">
        <v>0.0</v>
      </c>
      <c r="T1267" s="6">
        <v>0.0</v>
      </c>
      <c r="U1267" s="6">
        <v>0.0</v>
      </c>
    </row>
    <row r="1268">
      <c r="A1268" s="6" t="s">
        <v>1267</v>
      </c>
      <c r="B1268" s="6" t="s">
        <v>11576</v>
      </c>
      <c r="C1268" s="6" t="s">
        <v>11591</v>
      </c>
      <c r="D1268" s="6" t="s">
        <v>134</v>
      </c>
      <c r="E1268" s="6" t="s">
        <v>1263</v>
      </c>
      <c r="G1268" s="6" t="s">
        <v>2939</v>
      </c>
      <c r="H1268" s="6">
        <v>0.0</v>
      </c>
      <c r="I1268" s="6">
        <v>0.0</v>
      </c>
      <c r="J1268" s="6">
        <v>9.0</v>
      </c>
      <c r="K1268" s="6">
        <v>0.0</v>
      </c>
      <c r="L1268" s="6">
        <v>0.0</v>
      </c>
      <c r="M1268" s="6">
        <v>0.0</v>
      </c>
      <c r="N1268" s="669">
        <v>440000.0</v>
      </c>
      <c r="O1268" s="6">
        <v>0.0</v>
      </c>
      <c r="P1268" s="6">
        <v>0.0</v>
      </c>
      <c r="Q1268" s="6">
        <v>0.0</v>
      </c>
      <c r="R1268" s="6">
        <v>0.0</v>
      </c>
      <c r="S1268" s="6">
        <v>0.0</v>
      </c>
      <c r="T1268" s="6">
        <v>0.0</v>
      </c>
      <c r="U1268" s="6">
        <v>10.0</v>
      </c>
    </row>
    <row r="1269">
      <c r="A1269" s="6" t="s">
        <v>1268</v>
      </c>
      <c r="B1269" s="6" t="s">
        <v>11576</v>
      </c>
      <c r="C1269" s="6" t="s">
        <v>11591</v>
      </c>
      <c r="D1269" s="6" t="s">
        <v>387</v>
      </c>
      <c r="E1269" s="6" t="s">
        <v>1263</v>
      </c>
      <c r="G1269" s="6" t="s">
        <v>2939</v>
      </c>
      <c r="H1269" s="6">
        <v>0.0</v>
      </c>
      <c r="I1269" s="6">
        <v>0.0</v>
      </c>
      <c r="J1269" s="6">
        <v>5.0</v>
      </c>
      <c r="K1269" s="6">
        <v>0.0</v>
      </c>
      <c r="L1269" s="6">
        <v>0.0</v>
      </c>
      <c r="M1269" s="6">
        <v>0.0</v>
      </c>
      <c r="N1269" s="669">
        <v>175000.0</v>
      </c>
      <c r="O1269" s="6">
        <v>0.0</v>
      </c>
      <c r="P1269" s="6">
        <v>0.0</v>
      </c>
      <c r="Q1269" s="6">
        <v>0.0</v>
      </c>
      <c r="R1269" s="6">
        <v>0.0</v>
      </c>
      <c r="S1269" s="6">
        <v>0.0</v>
      </c>
      <c r="T1269" s="6">
        <v>0.0</v>
      </c>
      <c r="U1269" s="6">
        <v>0.0</v>
      </c>
    </row>
    <row r="1270">
      <c r="A1270" s="6" t="s">
        <v>1955</v>
      </c>
      <c r="B1270" s="6" t="s">
        <v>11569</v>
      </c>
      <c r="C1270" s="6" t="s">
        <v>11591</v>
      </c>
      <c r="D1270" s="6" t="s">
        <v>389</v>
      </c>
      <c r="E1270" s="6" t="s">
        <v>1263</v>
      </c>
      <c r="G1270" s="6" t="s">
        <v>2939</v>
      </c>
      <c r="H1270" s="6">
        <v>0.0</v>
      </c>
      <c r="I1270" s="6">
        <v>0.0</v>
      </c>
      <c r="J1270" s="6">
        <v>10.0</v>
      </c>
      <c r="K1270" s="6">
        <v>0.0</v>
      </c>
      <c r="L1270" s="6">
        <v>0.0</v>
      </c>
      <c r="M1270" s="6">
        <v>0.0</v>
      </c>
      <c r="N1270" s="669">
        <v>175000.0</v>
      </c>
      <c r="O1270" s="6">
        <v>0.0</v>
      </c>
      <c r="P1270" s="6">
        <v>0.0</v>
      </c>
      <c r="Q1270" s="6">
        <v>0.0</v>
      </c>
      <c r="R1270" s="6">
        <v>0.0</v>
      </c>
      <c r="S1270" s="6">
        <v>0.0</v>
      </c>
      <c r="T1270" s="6">
        <v>0.0</v>
      </c>
      <c r="U1270" s="6">
        <v>0.0</v>
      </c>
    </row>
    <row r="1271">
      <c r="A1271" s="6" t="s">
        <v>2038</v>
      </c>
      <c r="B1271" s="6" t="s">
        <v>11569</v>
      </c>
      <c r="C1271" s="6" t="s">
        <v>11579</v>
      </c>
      <c r="D1271" s="6" t="s">
        <v>41</v>
      </c>
      <c r="E1271" s="6" t="s">
        <v>2039</v>
      </c>
      <c r="F1271" s="6" t="s">
        <v>97</v>
      </c>
      <c r="G1271" s="6" t="s">
        <v>2939</v>
      </c>
      <c r="H1271" s="6">
        <v>0.0</v>
      </c>
      <c r="I1271" s="6">
        <v>0.0</v>
      </c>
      <c r="J1271" s="6" t="s">
        <v>11590</v>
      </c>
      <c r="K1271" s="6">
        <v>0.0</v>
      </c>
      <c r="L1271" s="6">
        <v>0.0</v>
      </c>
      <c r="M1271" s="6">
        <v>0.0</v>
      </c>
      <c r="N1271" s="669">
        <v>1042000.0</v>
      </c>
      <c r="O1271" s="6">
        <v>0.0</v>
      </c>
      <c r="P1271" s="6">
        <v>0.0</v>
      </c>
      <c r="Q1271" s="6">
        <v>0.0</v>
      </c>
      <c r="R1271" s="6">
        <v>0.0</v>
      </c>
      <c r="S1271" s="6">
        <v>0.0</v>
      </c>
      <c r="T1271" s="6">
        <v>0.0</v>
      </c>
      <c r="U1271" s="6">
        <v>0.0</v>
      </c>
    </row>
    <row r="1272">
      <c r="A1272" s="6" t="s">
        <v>1957</v>
      </c>
      <c r="B1272" s="6" t="s">
        <v>11569</v>
      </c>
      <c r="C1272" s="6" t="s">
        <v>11579</v>
      </c>
      <c r="D1272" s="6" t="s">
        <v>41</v>
      </c>
      <c r="E1272" s="6" t="s">
        <v>12042</v>
      </c>
      <c r="F1272" s="6" t="s">
        <v>2193</v>
      </c>
      <c r="G1272" s="6" t="s">
        <v>2939</v>
      </c>
      <c r="H1272" s="6">
        <v>0.0</v>
      </c>
      <c r="I1272" s="6">
        <v>0.0</v>
      </c>
      <c r="J1272" s="6">
        <v>6.0</v>
      </c>
      <c r="K1272" s="6">
        <v>0.0</v>
      </c>
      <c r="L1272" s="6">
        <v>0.0</v>
      </c>
      <c r="M1272" s="6">
        <v>0.0</v>
      </c>
      <c r="N1272" s="669">
        <v>1354000.0</v>
      </c>
      <c r="O1272" s="6">
        <v>0.0</v>
      </c>
      <c r="P1272" s="6">
        <v>0.0</v>
      </c>
      <c r="Q1272" s="6">
        <v>0.0</v>
      </c>
      <c r="R1272" s="6">
        <v>0.0</v>
      </c>
      <c r="S1272" s="6">
        <v>5.0</v>
      </c>
      <c r="T1272" s="6">
        <v>0.0</v>
      </c>
      <c r="U1272" s="6">
        <v>0.0</v>
      </c>
    </row>
    <row r="1273">
      <c r="A1273" s="6" t="s">
        <v>12043</v>
      </c>
      <c r="B1273" s="6" t="s">
        <v>11569</v>
      </c>
      <c r="C1273" s="6" t="s">
        <v>11579</v>
      </c>
      <c r="D1273" s="6" t="s">
        <v>41</v>
      </c>
      <c r="E1273" s="6" t="s">
        <v>12044</v>
      </c>
      <c r="F1273" s="6" t="s">
        <v>2193</v>
      </c>
      <c r="G1273" s="6" t="s">
        <v>2939</v>
      </c>
      <c r="H1273" s="6">
        <v>0.0</v>
      </c>
      <c r="I1273" s="6">
        <v>0.0</v>
      </c>
      <c r="J1273" s="6">
        <v>9.0</v>
      </c>
      <c r="K1273" s="6">
        <v>0.0</v>
      </c>
      <c r="L1273" s="6">
        <v>0.0</v>
      </c>
      <c r="M1273" s="6">
        <v>0.0</v>
      </c>
      <c r="N1273" s="669">
        <v>1354000.0</v>
      </c>
      <c r="O1273" s="6">
        <v>0.0</v>
      </c>
      <c r="P1273" s="6">
        <v>0.0</v>
      </c>
      <c r="Q1273" s="6">
        <v>0.0</v>
      </c>
      <c r="R1273" s="6">
        <v>0.0</v>
      </c>
      <c r="S1273" s="6">
        <v>0.0</v>
      </c>
      <c r="T1273" s="6">
        <v>0.0</v>
      </c>
      <c r="U1273" s="6">
        <v>0.0</v>
      </c>
    </row>
    <row r="1274">
      <c r="A1274" s="6" t="s">
        <v>12045</v>
      </c>
      <c r="B1274" s="6" t="s">
        <v>11569</v>
      </c>
      <c r="C1274" s="6" t="s">
        <v>11570</v>
      </c>
      <c r="D1274" s="6" t="s">
        <v>22</v>
      </c>
      <c r="E1274" s="6" t="s">
        <v>12046</v>
      </c>
      <c r="F1274" s="6" t="s">
        <v>125</v>
      </c>
      <c r="G1274" s="6" t="s">
        <v>2939</v>
      </c>
      <c r="H1274" s="6">
        <v>0.0</v>
      </c>
      <c r="I1274" s="6">
        <v>0.0</v>
      </c>
      <c r="J1274" s="6">
        <v>5.0</v>
      </c>
      <c r="K1274" s="6">
        <v>0.0</v>
      </c>
      <c r="L1274" s="6">
        <v>0.0</v>
      </c>
      <c r="M1274" s="6">
        <v>0.0</v>
      </c>
      <c r="N1274" s="669">
        <v>1450000.0</v>
      </c>
      <c r="O1274" s="6">
        <v>0.0</v>
      </c>
      <c r="P1274" s="6">
        <v>0.0</v>
      </c>
      <c r="Q1274" s="6">
        <v>0.0</v>
      </c>
      <c r="R1274" s="6">
        <v>0.0</v>
      </c>
      <c r="S1274" s="6">
        <v>0.0</v>
      </c>
      <c r="T1274" s="6">
        <v>0.0</v>
      </c>
      <c r="U1274" s="6">
        <v>0.0</v>
      </c>
    </row>
    <row r="1275">
      <c r="A1275" s="6" t="s">
        <v>12047</v>
      </c>
      <c r="B1275" s="6" t="s">
        <v>11569</v>
      </c>
      <c r="C1275" s="6" t="s">
        <v>11579</v>
      </c>
      <c r="D1275" s="6" t="s">
        <v>41</v>
      </c>
      <c r="E1275" s="6" t="s">
        <v>12046</v>
      </c>
      <c r="F1275" s="6" t="s">
        <v>2193</v>
      </c>
      <c r="G1275" s="6" t="s">
        <v>2939</v>
      </c>
      <c r="H1275" s="6">
        <v>0.0</v>
      </c>
      <c r="I1275" s="6">
        <v>0.0</v>
      </c>
      <c r="J1275" s="6">
        <v>9.0</v>
      </c>
      <c r="K1275" s="6">
        <v>0.0</v>
      </c>
      <c r="L1275" s="6">
        <v>0.0</v>
      </c>
      <c r="M1275" s="6">
        <v>0.0</v>
      </c>
      <c r="N1275" s="669">
        <v>1350000.0</v>
      </c>
      <c r="O1275" s="6">
        <v>0.0</v>
      </c>
      <c r="P1275" s="6">
        <v>0.0</v>
      </c>
      <c r="Q1275" s="6">
        <v>0.0</v>
      </c>
      <c r="R1275" s="6">
        <v>0.0</v>
      </c>
      <c r="S1275" s="6">
        <v>0.0</v>
      </c>
      <c r="T1275" s="6">
        <v>0.0</v>
      </c>
      <c r="U1275" s="6">
        <v>0.0</v>
      </c>
    </row>
    <row r="1276">
      <c r="A1276" s="6" t="s">
        <v>1269</v>
      </c>
      <c r="B1276" s="6" t="s">
        <v>11576</v>
      </c>
      <c r="C1276" s="6" t="s">
        <v>11570</v>
      </c>
      <c r="D1276" s="6" t="s">
        <v>22</v>
      </c>
      <c r="E1276" s="6" t="s">
        <v>12048</v>
      </c>
      <c r="F1276" s="6" t="s">
        <v>125</v>
      </c>
      <c r="G1276" s="6" t="s">
        <v>2939</v>
      </c>
      <c r="H1276" s="6">
        <v>0.0</v>
      </c>
      <c r="I1276" s="6">
        <v>0.0</v>
      </c>
      <c r="J1276" s="6" t="s">
        <v>11590</v>
      </c>
      <c r="K1276" s="6">
        <v>1.0</v>
      </c>
      <c r="L1276" s="6">
        <v>0.0</v>
      </c>
      <c r="M1276" s="6">
        <v>0.0</v>
      </c>
      <c r="N1276" s="669">
        <v>3326000.0</v>
      </c>
      <c r="O1276" s="6">
        <v>0.0</v>
      </c>
      <c r="P1276" s="6">
        <v>0.0</v>
      </c>
      <c r="Q1276" s="6">
        <v>0.0</v>
      </c>
      <c r="R1276" s="6">
        <v>0.0</v>
      </c>
      <c r="S1276" s="6">
        <v>0.0</v>
      </c>
      <c r="T1276" s="6">
        <v>0.0</v>
      </c>
      <c r="U1276" s="6">
        <v>10.0</v>
      </c>
    </row>
    <row r="1277">
      <c r="A1277" s="6" t="s">
        <v>1271</v>
      </c>
      <c r="B1277" s="6" t="s">
        <v>11576</v>
      </c>
      <c r="C1277" s="6" t="s">
        <v>11579</v>
      </c>
      <c r="D1277" s="6" t="s">
        <v>41</v>
      </c>
      <c r="E1277" s="6" t="s">
        <v>12049</v>
      </c>
      <c r="F1277" s="6" t="s">
        <v>1377</v>
      </c>
      <c r="G1277" s="6" t="s">
        <v>2939</v>
      </c>
      <c r="H1277" s="6">
        <v>0.0</v>
      </c>
      <c r="I1277" s="6">
        <v>0.0</v>
      </c>
      <c r="J1277" s="6">
        <v>4.0</v>
      </c>
      <c r="K1277" s="6">
        <v>0.0</v>
      </c>
      <c r="L1277" s="6">
        <v>0.0</v>
      </c>
      <c r="M1277" s="6">
        <v>0.0</v>
      </c>
      <c r="N1277" s="669">
        <v>2767000.0</v>
      </c>
      <c r="O1277" s="6">
        <v>0.0</v>
      </c>
      <c r="P1277" s="6">
        <v>0.0</v>
      </c>
      <c r="Q1277" s="6">
        <v>0.0</v>
      </c>
      <c r="R1277" s="6">
        <v>0.0</v>
      </c>
      <c r="S1277" s="6">
        <v>10.0</v>
      </c>
      <c r="T1277" s="6">
        <v>0.0</v>
      </c>
      <c r="U1277" s="6">
        <v>0.0</v>
      </c>
    </row>
    <row r="1278">
      <c r="A1278" s="6" t="s">
        <v>2211</v>
      </c>
      <c r="B1278" s="6" t="s">
        <v>11569</v>
      </c>
      <c r="C1278" s="6" t="s">
        <v>11570</v>
      </c>
      <c r="D1278" s="6" t="s">
        <v>22</v>
      </c>
      <c r="E1278" s="6" t="s">
        <v>2212</v>
      </c>
      <c r="F1278" s="6" t="s">
        <v>75</v>
      </c>
      <c r="G1278" s="6" t="s">
        <v>2939</v>
      </c>
      <c r="H1278" s="6">
        <v>0.0</v>
      </c>
      <c r="I1278" s="6">
        <v>0.0</v>
      </c>
      <c r="J1278" s="6">
        <v>5.0</v>
      </c>
      <c r="K1278" s="6">
        <v>0.0</v>
      </c>
      <c r="L1278" s="6">
        <v>0.0</v>
      </c>
      <c r="M1278" s="6">
        <v>0.0</v>
      </c>
      <c r="N1278" s="669">
        <v>3600000.0</v>
      </c>
      <c r="O1278" s="6">
        <v>0.0</v>
      </c>
      <c r="P1278" s="6">
        <v>0.0</v>
      </c>
      <c r="Q1278" s="6">
        <v>0.0</v>
      </c>
      <c r="R1278" s="6">
        <v>0.0</v>
      </c>
      <c r="S1278" s="6">
        <v>5.0</v>
      </c>
      <c r="T1278" s="6">
        <v>0.0</v>
      </c>
      <c r="U1278" s="6">
        <v>0.0</v>
      </c>
    </row>
    <row r="1279">
      <c r="A1279" s="6" t="s">
        <v>2209</v>
      </c>
      <c r="B1279" s="6" t="s">
        <v>11569</v>
      </c>
      <c r="C1279" s="6" t="s">
        <v>11579</v>
      </c>
      <c r="D1279" s="6" t="s">
        <v>41</v>
      </c>
      <c r="E1279" s="6" t="s">
        <v>2210</v>
      </c>
      <c r="F1279" s="6" t="s">
        <v>2193</v>
      </c>
      <c r="G1279" s="6" t="s">
        <v>2939</v>
      </c>
      <c r="H1279" s="6">
        <v>0.0</v>
      </c>
      <c r="I1279" s="6">
        <v>0.0</v>
      </c>
      <c r="J1279" s="6">
        <v>1.0</v>
      </c>
      <c r="K1279" s="6">
        <v>2.0</v>
      </c>
      <c r="L1279" s="6">
        <v>0.0</v>
      </c>
      <c r="M1279" s="6">
        <v>0.0</v>
      </c>
      <c r="N1279" s="669">
        <v>2900000.0</v>
      </c>
      <c r="O1279" s="6">
        <v>0.0</v>
      </c>
      <c r="P1279" s="6">
        <v>0.0</v>
      </c>
      <c r="Q1279" s="6">
        <v>0.0</v>
      </c>
      <c r="R1279" s="6">
        <v>0.0</v>
      </c>
      <c r="S1279" s="6">
        <v>0.0</v>
      </c>
      <c r="T1279" s="6">
        <v>0.0</v>
      </c>
      <c r="U1279" s="6">
        <v>0.0</v>
      </c>
    </row>
    <row r="1280">
      <c r="A1280" s="6" t="s">
        <v>1273</v>
      </c>
      <c r="B1280" s="6" t="s">
        <v>11576</v>
      </c>
      <c r="C1280" s="6" t="s">
        <v>11570</v>
      </c>
      <c r="D1280" s="6" t="s">
        <v>22</v>
      </c>
      <c r="E1280" s="6" t="s">
        <v>1274</v>
      </c>
      <c r="F1280" s="6" t="s">
        <v>125</v>
      </c>
      <c r="G1280" s="6" t="s">
        <v>2939</v>
      </c>
      <c r="H1280" s="6">
        <v>0.0</v>
      </c>
      <c r="I1280" s="6">
        <v>0.0</v>
      </c>
      <c r="J1280" s="6">
        <v>3.0</v>
      </c>
      <c r="K1280" s="6">
        <v>0.0</v>
      </c>
      <c r="L1280" s="6">
        <v>0.0</v>
      </c>
      <c r="M1280" s="6">
        <v>0.0</v>
      </c>
      <c r="N1280" s="669">
        <v>2801000.0</v>
      </c>
      <c r="O1280" s="6">
        <v>0.0</v>
      </c>
      <c r="P1280" s="6">
        <v>0.0</v>
      </c>
      <c r="Q1280" s="6">
        <v>0.0</v>
      </c>
      <c r="R1280" s="6">
        <v>0.0</v>
      </c>
      <c r="S1280" s="6">
        <v>5.0</v>
      </c>
      <c r="T1280" s="6">
        <v>0.0</v>
      </c>
      <c r="U1280" s="6">
        <v>0.0</v>
      </c>
    </row>
    <row r="1281">
      <c r="A1281" s="6" t="s">
        <v>1275</v>
      </c>
      <c r="B1281" s="6" t="s">
        <v>11576</v>
      </c>
      <c r="C1281" s="6" t="s">
        <v>11579</v>
      </c>
      <c r="D1281" s="6" t="s">
        <v>41</v>
      </c>
      <c r="E1281" s="6" t="s">
        <v>1274</v>
      </c>
      <c r="F1281" s="6" t="s">
        <v>1377</v>
      </c>
      <c r="G1281" s="6" t="s">
        <v>2939</v>
      </c>
      <c r="H1281" s="6">
        <v>0.0</v>
      </c>
      <c r="I1281" s="6">
        <v>0.0</v>
      </c>
      <c r="J1281" s="6">
        <v>8.0</v>
      </c>
      <c r="K1281" s="6">
        <v>0.0</v>
      </c>
      <c r="L1281" s="6">
        <v>0.0</v>
      </c>
      <c r="M1281" s="6">
        <v>0.0</v>
      </c>
      <c r="N1281" s="669">
        <v>2650000.0</v>
      </c>
      <c r="O1281" s="6">
        <v>0.0</v>
      </c>
      <c r="P1281" s="6">
        <v>0.0</v>
      </c>
      <c r="Q1281" s="6">
        <v>0.0</v>
      </c>
      <c r="R1281" s="6">
        <v>0.0</v>
      </c>
      <c r="S1281" s="6">
        <v>0.0</v>
      </c>
      <c r="T1281" s="6">
        <v>0.0</v>
      </c>
      <c r="U1281" s="6">
        <v>0.0</v>
      </c>
    </row>
    <row r="1282">
      <c r="A1282" s="6" t="s">
        <v>1276</v>
      </c>
      <c r="B1282" s="6" t="s">
        <v>11630</v>
      </c>
      <c r="C1282" s="6" t="s">
        <v>11570</v>
      </c>
      <c r="D1282" s="6" t="s">
        <v>22</v>
      </c>
      <c r="E1282" s="6" t="s">
        <v>1277</v>
      </c>
      <c r="F1282" s="6" t="s">
        <v>125</v>
      </c>
      <c r="G1282" s="6" t="s">
        <v>2939</v>
      </c>
      <c r="H1282" s="6">
        <v>0.0</v>
      </c>
      <c r="I1282" s="6">
        <v>0.0</v>
      </c>
      <c r="J1282" s="6" t="s">
        <v>11590</v>
      </c>
      <c r="K1282" s="6">
        <v>9.0</v>
      </c>
      <c r="L1282" s="6">
        <v>1.0</v>
      </c>
      <c r="M1282" s="6" t="s">
        <v>11590</v>
      </c>
      <c r="N1282" s="669">
        <v>1199000.0</v>
      </c>
      <c r="O1282" s="6">
        <v>10.0</v>
      </c>
      <c r="P1282" s="6">
        <v>0.0</v>
      </c>
      <c r="Q1282" s="6">
        <v>0.0</v>
      </c>
      <c r="R1282" s="6">
        <v>0.0</v>
      </c>
      <c r="S1282" s="6" t="s">
        <v>11590</v>
      </c>
      <c r="T1282" s="6" t="s">
        <v>11590</v>
      </c>
      <c r="U1282" s="6" t="s">
        <v>11590</v>
      </c>
    </row>
    <row r="1283">
      <c r="A1283" s="6" t="s">
        <v>1278</v>
      </c>
      <c r="B1283" s="6" t="s">
        <v>11576</v>
      </c>
      <c r="C1283" s="6" t="s">
        <v>11579</v>
      </c>
      <c r="D1283" s="6" t="s">
        <v>41</v>
      </c>
      <c r="E1283" s="6" t="s">
        <v>1277</v>
      </c>
      <c r="F1283" s="6" t="s">
        <v>2193</v>
      </c>
      <c r="G1283" s="6" t="s">
        <v>2939</v>
      </c>
      <c r="H1283" s="6">
        <v>0.0</v>
      </c>
      <c r="I1283" s="6">
        <v>0.0</v>
      </c>
      <c r="J1283" s="6" t="s">
        <v>11590</v>
      </c>
      <c r="K1283" s="6">
        <v>4.0</v>
      </c>
      <c r="L1283" s="6">
        <v>0.0</v>
      </c>
      <c r="M1283" s="6">
        <v>0.0</v>
      </c>
      <c r="N1283" s="669">
        <v>938000.0</v>
      </c>
      <c r="O1283" s="6">
        <v>0.0</v>
      </c>
      <c r="P1283" s="6">
        <v>0.0</v>
      </c>
      <c r="Q1283" s="6">
        <v>0.0</v>
      </c>
      <c r="R1283" s="6">
        <v>0.0</v>
      </c>
      <c r="S1283" s="6" t="s">
        <v>11590</v>
      </c>
      <c r="T1283" s="6" t="s">
        <v>11590</v>
      </c>
      <c r="U1283" s="6">
        <v>0.0</v>
      </c>
    </row>
    <row r="1284">
      <c r="A1284" s="6" t="s">
        <v>1279</v>
      </c>
      <c r="B1284" s="6" t="s">
        <v>11630</v>
      </c>
      <c r="C1284" s="6" t="s">
        <v>11570</v>
      </c>
      <c r="D1284" s="6" t="s">
        <v>22</v>
      </c>
      <c r="E1284" s="6" t="s">
        <v>12050</v>
      </c>
      <c r="F1284" s="6" t="s">
        <v>125</v>
      </c>
      <c r="G1284" s="6" t="s">
        <v>2939</v>
      </c>
      <c r="H1284" s="6">
        <v>0.0</v>
      </c>
      <c r="I1284" s="6">
        <v>0.0</v>
      </c>
      <c r="J1284" s="6">
        <v>1.0</v>
      </c>
      <c r="K1284" s="6">
        <v>1.0</v>
      </c>
      <c r="L1284" s="6">
        <v>0.0</v>
      </c>
      <c r="M1284" s="6" t="s">
        <v>11590</v>
      </c>
      <c r="N1284" s="669">
        <v>1319000.0</v>
      </c>
      <c r="O1284" s="6" t="s">
        <v>11590</v>
      </c>
      <c r="P1284" s="6">
        <v>0.0</v>
      </c>
      <c r="Q1284" s="6">
        <v>0.0</v>
      </c>
      <c r="R1284" s="6">
        <v>0.0</v>
      </c>
      <c r="S1284" s="6" t="s">
        <v>11590</v>
      </c>
      <c r="T1284" s="6" t="s">
        <v>11590</v>
      </c>
      <c r="U1284" s="6" t="s">
        <v>11590</v>
      </c>
    </row>
    <row r="1285">
      <c r="A1285" s="6" t="s">
        <v>1457</v>
      </c>
      <c r="B1285" s="6" t="s">
        <v>11569</v>
      </c>
      <c r="C1285" s="6" t="s">
        <v>11579</v>
      </c>
      <c r="D1285" s="6" t="s">
        <v>41</v>
      </c>
      <c r="E1285" s="6" t="s">
        <v>12051</v>
      </c>
      <c r="F1285" s="6" t="s">
        <v>2193</v>
      </c>
      <c r="G1285" s="6" t="s">
        <v>2939</v>
      </c>
      <c r="H1285" s="6">
        <v>0.0</v>
      </c>
      <c r="I1285" s="6">
        <v>0.0</v>
      </c>
      <c r="J1285" s="6">
        <v>7.0</v>
      </c>
      <c r="K1285" s="6">
        <v>2.0</v>
      </c>
      <c r="L1285" s="6">
        <v>0.0</v>
      </c>
      <c r="M1285" s="6">
        <v>0.0</v>
      </c>
      <c r="N1285" s="669">
        <v>1103000.0</v>
      </c>
      <c r="O1285" s="6">
        <v>0.0</v>
      </c>
      <c r="P1285" s="6">
        <v>0.0</v>
      </c>
      <c r="Q1285" s="6">
        <v>0.0</v>
      </c>
      <c r="R1285" s="6">
        <v>0.0</v>
      </c>
      <c r="S1285" s="6" t="s">
        <v>11590</v>
      </c>
      <c r="T1285" s="6">
        <v>0.0</v>
      </c>
      <c r="U1285" s="6">
        <v>0.0</v>
      </c>
    </row>
    <row r="1286">
      <c r="A1286" s="6" t="s">
        <v>1693</v>
      </c>
      <c r="B1286" s="6" t="s">
        <v>11569</v>
      </c>
      <c r="C1286" s="6" t="s">
        <v>11579</v>
      </c>
      <c r="D1286" s="6" t="s">
        <v>41</v>
      </c>
      <c r="E1286" s="6" t="s">
        <v>1694</v>
      </c>
      <c r="F1286" s="6" t="s">
        <v>2193</v>
      </c>
      <c r="G1286" s="6" t="s">
        <v>2939</v>
      </c>
      <c r="H1286" s="6">
        <v>0.0</v>
      </c>
      <c r="I1286" s="6">
        <v>0.0</v>
      </c>
      <c r="J1286" s="6">
        <v>7.0</v>
      </c>
      <c r="K1286" s="6">
        <v>0.0</v>
      </c>
      <c r="L1286" s="6">
        <v>0.0</v>
      </c>
      <c r="M1286" s="6">
        <v>0.0</v>
      </c>
      <c r="N1286" s="669">
        <v>1272000.0</v>
      </c>
      <c r="O1286" s="6">
        <v>0.0</v>
      </c>
      <c r="P1286" s="6">
        <v>0.0</v>
      </c>
      <c r="Q1286" s="6">
        <v>0.0</v>
      </c>
      <c r="R1286" s="6">
        <v>0.0</v>
      </c>
      <c r="S1286" s="6">
        <v>10.0</v>
      </c>
      <c r="T1286" s="6">
        <v>0.0</v>
      </c>
      <c r="U1286" s="6">
        <v>0.0</v>
      </c>
    </row>
    <row r="1287">
      <c r="A1287" s="6" t="s">
        <v>12052</v>
      </c>
      <c r="E1287" s="6" t="s">
        <v>12052</v>
      </c>
      <c r="N1287" s="668"/>
    </row>
    <row r="1288">
      <c r="A1288" s="6" t="s">
        <v>12053</v>
      </c>
      <c r="B1288" s="6" t="s">
        <v>11569</v>
      </c>
      <c r="C1288" s="6" t="s">
        <v>11570</v>
      </c>
      <c r="D1288" s="6" t="s">
        <v>22</v>
      </c>
      <c r="E1288" s="6" t="s">
        <v>12054</v>
      </c>
      <c r="F1288" s="6" t="s">
        <v>125</v>
      </c>
      <c r="G1288" s="6" t="s">
        <v>2939</v>
      </c>
      <c r="H1288" s="6">
        <v>0.0</v>
      </c>
      <c r="I1288" s="6">
        <v>0.0</v>
      </c>
      <c r="J1288" s="6">
        <v>8.0</v>
      </c>
      <c r="K1288" s="6">
        <v>0.0</v>
      </c>
      <c r="L1288" s="6">
        <v>0.0</v>
      </c>
      <c r="M1288" s="6">
        <v>0.0</v>
      </c>
      <c r="N1288" s="669">
        <v>2600000.0</v>
      </c>
      <c r="O1288" s="6">
        <v>0.0</v>
      </c>
      <c r="P1288" s="6">
        <v>0.0</v>
      </c>
      <c r="Q1288" s="6">
        <v>0.0</v>
      </c>
      <c r="R1288" s="6">
        <v>0.0</v>
      </c>
      <c r="S1288" s="6">
        <v>0.0</v>
      </c>
      <c r="T1288" s="6">
        <v>0.0</v>
      </c>
      <c r="U1288" s="6">
        <v>0.0</v>
      </c>
    </row>
    <row r="1289">
      <c r="A1289" s="6" t="s">
        <v>1281</v>
      </c>
      <c r="B1289" s="6" t="s">
        <v>11576</v>
      </c>
      <c r="C1289" s="6" t="s">
        <v>11570</v>
      </c>
      <c r="D1289" s="6" t="s">
        <v>22</v>
      </c>
      <c r="E1289" s="6" t="s">
        <v>1282</v>
      </c>
      <c r="F1289" s="6" t="s">
        <v>125</v>
      </c>
      <c r="G1289" s="6" t="s">
        <v>2939</v>
      </c>
      <c r="H1289" s="6">
        <v>0.0</v>
      </c>
      <c r="I1289" s="6">
        <v>0.0</v>
      </c>
      <c r="J1289" s="6">
        <v>4.0</v>
      </c>
      <c r="K1289" s="6">
        <v>0.0</v>
      </c>
      <c r="L1289" s="6">
        <v>0.0</v>
      </c>
      <c r="M1289" s="6">
        <v>0.0</v>
      </c>
      <c r="N1289" s="669">
        <v>4927000.0</v>
      </c>
      <c r="O1289" s="6">
        <v>0.0</v>
      </c>
      <c r="P1289" s="6">
        <v>0.0</v>
      </c>
      <c r="Q1289" s="6">
        <v>0.0</v>
      </c>
      <c r="R1289" s="6">
        <v>0.0</v>
      </c>
      <c r="S1289" s="6">
        <v>0.0</v>
      </c>
      <c r="T1289" s="6">
        <v>0.0</v>
      </c>
      <c r="U1289" s="6">
        <v>0.0</v>
      </c>
    </row>
    <row r="1290">
      <c r="A1290" s="6" t="s">
        <v>1283</v>
      </c>
      <c r="B1290" s="6" t="s">
        <v>11576</v>
      </c>
      <c r="C1290" s="6" t="s">
        <v>11579</v>
      </c>
      <c r="D1290" s="6" t="s">
        <v>41</v>
      </c>
      <c r="E1290" s="6" t="s">
        <v>1282</v>
      </c>
      <c r="F1290" s="6" t="s">
        <v>1377</v>
      </c>
      <c r="G1290" s="6" t="s">
        <v>2939</v>
      </c>
      <c r="H1290" s="6">
        <v>0.0</v>
      </c>
      <c r="I1290" s="6">
        <v>0.0</v>
      </c>
      <c r="J1290" s="6">
        <v>5.0</v>
      </c>
      <c r="K1290" s="6">
        <v>0.0</v>
      </c>
      <c r="L1290" s="6">
        <v>0.0</v>
      </c>
      <c r="M1290" s="6">
        <v>0.0</v>
      </c>
      <c r="N1290" s="669">
        <v>4776000.0</v>
      </c>
      <c r="O1290" s="6">
        <v>0.0</v>
      </c>
      <c r="P1290" s="6">
        <v>0.0</v>
      </c>
      <c r="Q1290" s="6">
        <v>0.0</v>
      </c>
      <c r="R1290" s="6">
        <v>0.0</v>
      </c>
      <c r="S1290" s="6">
        <v>0.0</v>
      </c>
      <c r="T1290" s="6">
        <v>0.0</v>
      </c>
      <c r="U1290" s="6">
        <v>0.0</v>
      </c>
    </row>
    <row r="1291">
      <c r="A1291" s="6" t="s">
        <v>12055</v>
      </c>
      <c r="B1291" s="6" t="s">
        <v>11569</v>
      </c>
      <c r="C1291" s="6" t="s">
        <v>11579</v>
      </c>
      <c r="D1291" s="6" t="s">
        <v>41</v>
      </c>
      <c r="E1291" s="6" t="s">
        <v>12056</v>
      </c>
      <c r="F1291" s="6" t="s">
        <v>1377</v>
      </c>
      <c r="G1291" s="6" t="s">
        <v>2939</v>
      </c>
      <c r="H1291" s="6">
        <v>0.0</v>
      </c>
      <c r="I1291" s="6">
        <v>0.0</v>
      </c>
      <c r="J1291" s="6">
        <v>5.0</v>
      </c>
      <c r="K1291" s="6">
        <v>0.0</v>
      </c>
      <c r="L1291" s="6">
        <v>0.0</v>
      </c>
      <c r="M1291" s="6">
        <v>0.0</v>
      </c>
      <c r="N1291" s="669">
        <v>4800000.0</v>
      </c>
      <c r="O1291" s="6">
        <v>0.0</v>
      </c>
      <c r="P1291" s="6">
        <v>0.0</v>
      </c>
      <c r="Q1291" s="6">
        <v>0.0</v>
      </c>
      <c r="R1291" s="6">
        <v>0.0</v>
      </c>
      <c r="S1291" s="6">
        <v>0.0</v>
      </c>
      <c r="T1291" s="6">
        <v>0.0</v>
      </c>
      <c r="U1291" s="6">
        <v>0.0</v>
      </c>
    </row>
    <row r="1292">
      <c r="A1292" s="6" t="s">
        <v>1284</v>
      </c>
      <c r="B1292" s="6" t="s">
        <v>11578</v>
      </c>
      <c r="C1292" s="6" t="s">
        <v>11579</v>
      </c>
      <c r="D1292" s="6" t="s">
        <v>41</v>
      </c>
      <c r="E1292" s="6" t="s">
        <v>1285</v>
      </c>
      <c r="F1292" s="6" t="s">
        <v>11773</v>
      </c>
      <c r="G1292" s="6" t="s">
        <v>2939</v>
      </c>
      <c r="H1292" s="6" t="s">
        <v>11590</v>
      </c>
      <c r="I1292" s="6">
        <v>0.0</v>
      </c>
      <c r="J1292" s="6">
        <v>0.0</v>
      </c>
      <c r="K1292" s="6">
        <v>0.0</v>
      </c>
      <c r="L1292" s="6">
        <v>0.0</v>
      </c>
      <c r="M1292" s="6">
        <v>0.0</v>
      </c>
      <c r="N1292" s="669">
        <v>4121000.0</v>
      </c>
      <c r="O1292" s="6">
        <v>0.0</v>
      </c>
      <c r="P1292" s="6">
        <v>0.0</v>
      </c>
      <c r="Q1292" s="6">
        <v>0.0</v>
      </c>
      <c r="R1292" s="6">
        <v>0.0</v>
      </c>
      <c r="S1292" s="6">
        <v>0.0</v>
      </c>
      <c r="T1292" s="6">
        <v>0.0</v>
      </c>
      <c r="U1292" s="6">
        <v>0.0</v>
      </c>
    </row>
    <row r="1293">
      <c r="A1293" s="6" t="s">
        <v>1286</v>
      </c>
      <c r="B1293" s="6" t="s">
        <v>11576</v>
      </c>
      <c r="C1293" s="6" t="s">
        <v>11570</v>
      </c>
      <c r="D1293" s="6" t="s">
        <v>22</v>
      </c>
      <c r="E1293" s="6" t="s">
        <v>12057</v>
      </c>
      <c r="F1293" s="6" t="s">
        <v>112</v>
      </c>
      <c r="G1293" s="6" t="s">
        <v>2939</v>
      </c>
      <c r="H1293" s="6">
        <v>0.0</v>
      </c>
      <c r="I1293" s="6">
        <v>0.0</v>
      </c>
      <c r="J1293" s="6">
        <v>2.0</v>
      </c>
      <c r="K1293" s="6">
        <v>0.0</v>
      </c>
      <c r="L1293" s="6">
        <v>0.0</v>
      </c>
      <c r="M1293" s="6">
        <v>0.0</v>
      </c>
      <c r="N1293" s="669">
        <v>6383000.0</v>
      </c>
      <c r="O1293" s="6">
        <v>0.0</v>
      </c>
      <c r="P1293" s="6">
        <v>0.0</v>
      </c>
      <c r="Q1293" s="6">
        <v>0.0</v>
      </c>
      <c r="R1293" s="6">
        <v>0.0</v>
      </c>
      <c r="S1293" s="6">
        <v>5.0</v>
      </c>
      <c r="T1293" s="6">
        <v>0.0</v>
      </c>
      <c r="U1293" s="6">
        <v>0.0</v>
      </c>
    </row>
    <row r="1294">
      <c r="A1294" s="6" t="s">
        <v>1288</v>
      </c>
      <c r="B1294" s="6" t="s">
        <v>11576</v>
      </c>
      <c r="C1294" s="6" t="s">
        <v>11579</v>
      </c>
      <c r="D1294" s="6" t="s">
        <v>41</v>
      </c>
      <c r="E1294" s="6" t="s">
        <v>1287</v>
      </c>
      <c r="F1294" s="6" t="s">
        <v>11773</v>
      </c>
      <c r="G1294" s="6" t="s">
        <v>2939</v>
      </c>
      <c r="H1294" s="6">
        <v>0.0</v>
      </c>
      <c r="I1294" s="6">
        <v>0.0</v>
      </c>
      <c r="J1294" s="6">
        <v>2.0</v>
      </c>
      <c r="K1294" s="6">
        <v>0.0</v>
      </c>
      <c r="L1294" s="6">
        <v>0.0</v>
      </c>
      <c r="M1294" s="6">
        <v>0.0</v>
      </c>
      <c r="N1294" s="669">
        <v>3412000.0</v>
      </c>
      <c r="O1294" s="6">
        <v>0.0</v>
      </c>
      <c r="P1294" s="6">
        <v>0.0</v>
      </c>
      <c r="Q1294" s="6">
        <v>0.0</v>
      </c>
      <c r="R1294" s="6">
        <v>0.0</v>
      </c>
      <c r="S1294" s="6">
        <v>0.0</v>
      </c>
      <c r="T1294" s="6">
        <v>0.0</v>
      </c>
      <c r="U1294" s="6">
        <v>0.0</v>
      </c>
    </row>
    <row r="1295">
      <c r="A1295" s="6" t="s">
        <v>1289</v>
      </c>
      <c r="B1295" s="6" t="s">
        <v>11576</v>
      </c>
      <c r="C1295" s="6" t="s">
        <v>11570</v>
      </c>
      <c r="D1295" s="6" t="s">
        <v>22</v>
      </c>
      <c r="E1295" s="6" t="s">
        <v>1290</v>
      </c>
      <c r="F1295" s="6" t="s">
        <v>112</v>
      </c>
      <c r="G1295" s="6" t="s">
        <v>2939</v>
      </c>
      <c r="H1295" s="6">
        <v>0.0</v>
      </c>
      <c r="I1295" s="6">
        <v>0.0</v>
      </c>
      <c r="J1295" s="6">
        <v>8.0</v>
      </c>
      <c r="K1295" s="6">
        <v>0.0</v>
      </c>
      <c r="L1295" s="6">
        <v>0.0</v>
      </c>
      <c r="M1295" s="6">
        <v>0.0</v>
      </c>
      <c r="N1295" s="669">
        <v>5880000.0</v>
      </c>
      <c r="O1295" s="6">
        <v>0.0</v>
      </c>
      <c r="P1295" s="6">
        <v>0.0</v>
      </c>
      <c r="Q1295" s="6">
        <v>0.0</v>
      </c>
      <c r="R1295" s="6">
        <v>0.0</v>
      </c>
      <c r="S1295" s="6">
        <v>0.0</v>
      </c>
      <c r="T1295" s="6">
        <v>0.0</v>
      </c>
      <c r="U1295" s="6">
        <v>0.0</v>
      </c>
    </row>
    <row r="1296">
      <c r="A1296" s="6" t="s">
        <v>1291</v>
      </c>
      <c r="B1296" s="6" t="s">
        <v>11578</v>
      </c>
      <c r="C1296" s="6" t="s">
        <v>11570</v>
      </c>
      <c r="D1296" s="6" t="s">
        <v>22</v>
      </c>
      <c r="E1296" s="6" t="s">
        <v>12058</v>
      </c>
      <c r="F1296" s="6" t="s">
        <v>112</v>
      </c>
      <c r="G1296" s="6" t="s">
        <v>2939</v>
      </c>
      <c r="H1296" s="6">
        <v>0.0</v>
      </c>
      <c r="I1296" s="6">
        <v>0.0</v>
      </c>
      <c r="J1296" s="6">
        <v>0.0</v>
      </c>
      <c r="K1296" s="6">
        <v>0.0</v>
      </c>
      <c r="L1296" s="6">
        <v>0.0</v>
      </c>
      <c r="M1296" s="6">
        <v>0.0</v>
      </c>
      <c r="N1296" s="669">
        <v>5297000.0</v>
      </c>
      <c r="O1296" s="6">
        <v>0.0</v>
      </c>
      <c r="P1296" s="6">
        <v>0.0</v>
      </c>
      <c r="Q1296" s="6">
        <v>0.0</v>
      </c>
      <c r="R1296" s="6">
        <v>0.0</v>
      </c>
      <c r="S1296" s="6">
        <v>0.0</v>
      </c>
      <c r="T1296" s="6">
        <v>0.0</v>
      </c>
      <c r="U1296" s="6">
        <v>0.0</v>
      </c>
    </row>
    <row r="1297">
      <c r="A1297" s="6" t="s">
        <v>1293</v>
      </c>
      <c r="B1297" s="6" t="s">
        <v>11576</v>
      </c>
      <c r="C1297" s="6" t="s">
        <v>11570</v>
      </c>
      <c r="D1297" s="6" t="s">
        <v>22</v>
      </c>
      <c r="E1297" s="6" t="s">
        <v>1294</v>
      </c>
      <c r="F1297" s="6" t="s">
        <v>112</v>
      </c>
      <c r="G1297" s="6" t="s">
        <v>2939</v>
      </c>
      <c r="H1297" s="6">
        <v>0.0</v>
      </c>
      <c r="I1297" s="6">
        <v>0.0</v>
      </c>
      <c r="J1297" s="6">
        <v>4.0</v>
      </c>
      <c r="K1297" s="6">
        <v>0.0</v>
      </c>
      <c r="L1297" s="6">
        <v>0.0</v>
      </c>
      <c r="M1297" s="6">
        <v>0.0</v>
      </c>
      <c r="N1297" s="669">
        <v>4927000.0</v>
      </c>
      <c r="O1297" s="6">
        <v>0.0</v>
      </c>
      <c r="P1297" s="6">
        <v>0.0</v>
      </c>
      <c r="Q1297" s="6">
        <v>0.0</v>
      </c>
      <c r="R1297" s="6">
        <v>0.0</v>
      </c>
      <c r="S1297" s="6">
        <v>0.0</v>
      </c>
      <c r="T1297" s="6">
        <v>0.0</v>
      </c>
      <c r="U1297" s="6">
        <v>0.0</v>
      </c>
    </row>
    <row r="1298">
      <c r="A1298" s="6" t="s">
        <v>1295</v>
      </c>
      <c r="B1298" s="6" t="s">
        <v>11576</v>
      </c>
      <c r="C1298" s="6" t="s">
        <v>11570</v>
      </c>
      <c r="D1298" s="6" t="s">
        <v>22</v>
      </c>
      <c r="E1298" s="6" t="s">
        <v>1296</v>
      </c>
      <c r="F1298" s="6" t="s">
        <v>737</v>
      </c>
      <c r="G1298" s="6" t="s">
        <v>2939</v>
      </c>
      <c r="H1298" s="6">
        <v>0.0</v>
      </c>
      <c r="I1298" s="6">
        <v>0.0</v>
      </c>
      <c r="J1298" s="6">
        <v>3.0</v>
      </c>
      <c r="K1298" s="6">
        <v>0.0</v>
      </c>
      <c r="L1298" s="6">
        <v>0.0</v>
      </c>
      <c r="M1298" s="6">
        <v>0.0</v>
      </c>
      <c r="N1298" s="669">
        <v>4480000.0</v>
      </c>
      <c r="O1298" s="6">
        <v>0.0</v>
      </c>
      <c r="P1298" s="6">
        <v>0.0</v>
      </c>
      <c r="Q1298" s="6">
        <v>0.0</v>
      </c>
      <c r="R1298" s="6">
        <v>0.0</v>
      </c>
      <c r="S1298" s="6">
        <v>0.0</v>
      </c>
      <c r="T1298" s="6">
        <v>0.0</v>
      </c>
      <c r="U1298" s="6">
        <v>0.0</v>
      </c>
    </row>
    <row r="1299">
      <c r="A1299" s="6" t="s">
        <v>1297</v>
      </c>
      <c r="B1299" s="6" t="s">
        <v>11578</v>
      </c>
      <c r="C1299" s="6" t="s">
        <v>11579</v>
      </c>
      <c r="D1299" s="6" t="s">
        <v>41</v>
      </c>
      <c r="E1299" s="6" t="s">
        <v>1296</v>
      </c>
      <c r="F1299" s="6" t="s">
        <v>11773</v>
      </c>
      <c r="G1299" s="6" t="s">
        <v>2939</v>
      </c>
      <c r="H1299" s="6">
        <v>6.0</v>
      </c>
      <c r="I1299" s="6">
        <v>0.0</v>
      </c>
      <c r="J1299" s="6">
        <v>0.0</v>
      </c>
      <c r="K1299" s="6">
        <v>0.0</v>
      </c>
      <c r="L1299" s="6">
        <v>0.0</v>
      </c>
      <c r="M1299" s="6">
        <v>0.0</v>
      </c>
      <c r="N1299" s="669">
        <v>4015000.0</v>
      </c>
      <c r="O1299" s="6">
        <v>0.0</v>
      </c>
      <c r="P1299" s="6">
        <v>0.0</v>
      </c>
      <c r="Q1299" s="6">
        <v>0.0</v>
      </c>
      <c r="R1299" s="6">
        <v>0.0</v>
      </c>
      <c r="S1299" s="6">
        <v>0.0</v>
      </c>
      <c r="T1299" s="6">
        <v>0.0</v>
      </c>
      <c r="U1299" s="6">
        <v>0.0</v>
      </c>
    </row>
    <row r="1300">
      <c r="A1300" s="6" t="s">
        <v>1298</v>
      </c>
      <c r="B1300" s="6" t="s">
        <v>11576</v>
      </c>
      <c r="C1300" s="6" t="s">
        <v>11570</v>
      </c>
      <c r="D1300" s="6" t="s">
        <v>22</v>
      </c>
      <c r="E1300" s="6" t="s">
        <v>1299</v>
      </c>
      <c r="F1300" s="6" t="s">
        <v>189</v>
      </c>
      <c r="G1300" s="6" t="s">
        <v>2939</v>
      </c>
      <c r="H1300" s="6">
        <v>0.0</v>
      </c>
      <c r="I1300" s="6">
        <v>0.0</v>
      </c>
      <c r="J1300" s="6">
        <v>5.0</v>
      </c>
      <c r="K1300" s="6">
        <v>0.0</v>
      </c>
      <c r="L1300" s="6">
        <v>0.0</v>
      </c>
      <c r="M1300" s="6">
        <v>0.0</v>
      </c>
      <c r="N1300" s="669">
        <v>4144000.0</v>
      </c>
      <c r="O1300" s="6">
        <v>0.0</v>
      </c>
      <c r="P1300" s="6">
        <v>0.0</v>
      </c>
      <c r="Q1300" s="6">
        <v>0.0</v>
      </c>
      <c r="R1300" s="6">
        <v>0.0</v>
      </c>
      <c r="S1300" s="6">
        <v>0.0</v>
      </c>
      <c r="T1300" s="6">
        <v>0.0</v>
      </c>
      <c r="U1300" s="6">
        <v>0.0</v>
      </c>
    </row>
    <row r="1301">
      <c r="A1301" s="6" t="s">
        <v>1967</v>
      </c>
      <c r="B1301" s="6" t="s">
        <v>11569</v>
      </c>
      <c r="C1301" s="6" t="s">
        <v>11579</v>
      </c>
      <c r="D1301" s="6" t="s">
        <v>41</v>
      </c>
      <c r="E1301" s="6" t="s">
        <v>1299</v>
      </c>
      <c r="F1301" s="6" t="s">
        <v>1377</v>
      </c>
      <c r="G1301" s="6" t="s">
        <v>2939</v>
      </c>
      <c r="H1301" s="6">
        <v>0.0</v>
      </c>
      <c r="I1301" s="6">
        <v>0.0</v>
      </c>
      <c r="J1301" s="6">
        <v>2.0</v>
      </c>
      <c r="K1301" s="6">
        <v>0.0</v>
      </c>
      <c r="L1301" s="6">
        <v>0.0</v>
      </c>
      <c r="M1301" s="6">
        <v>0.0</v>
      </c>
      <c r="N1301" s="669">
        <v>4003000.0</v>
      </c>
      <c r="O1301" s="6">
        <v>0.0</v>
      </c>
      <c r="P1301" s="6">
        <v>0.0</v>
      </c>
      <c r="Q1301" s="6">
        <v>0.0</v>
      </c>
      <c r="R1301" s="6">
        <v>0.0</v>
      </c>
      <c r="S1301" s="6">
        <v>0.0</v>
      </c>
      <c r="T1301" s="6">
        <v>0.0</v>
      </c>
      <c r="U1301" s="6">
        <v>0.0</v>
      </c>
    </row>
    <row r="1302">
      <c r="A1302" s="6" t="s">
        <v>1300</v>
      </c>
      <c r="B1302" s="6" t="s">
        <v>11576</v>
      </c>
      <c r="C1302" s="6" t="s">
        <v>11570</v>
      </c>
      <c r="D1302" s="6" t="s">
        <v>22</v>
      </c>
      <c r="E1302" s="6" t="s">
        <v>1301</v>
      </c>
      <c r="F1302" s="6" t="s">
        <v>112</v>
      </c>
      <c r="G1302" s="6" t="s">
        <v>2939</v>
      </c>
      <c r="H1302" s="6">
        <v>0.0</v>
      </c>
      <c r="I1302" s="6">
        <v>0.0</v>
      </c>
      <c r="J1302" s="6">
        <v>6.0</v>
      </c>
      <c r="K1302" s="6">
        <v>3.0</v>
      </c>
      <c r="L1302" s="6">
        <v>0.0</v>
      </c>
      <c r="M1302" s="6">
        <v>0.0</v>
      </c>
      <c r="N1302" s="669">
        <v>7200000.0</v>
      </c>
      <c r="O1302" s="6">
        <v>0.0</v>
      </c>
      <c r="P1302" s="6">
        <v>0.0</v>
      </c>
      <c r="Q1302" s="6">
        <v>0.0</v>
      </c>
      <c r="R1302" s="6">
        <v>0.0</v>
      </c>
      <c r="S1302" s="6">
        <v>0.0</v>
      </c>
      <c r="T1302" s="6">
        <v>0.0</v>
      </c>
      <c r="U1302" s="6">
        <v>0.0</v>
      </c>
    </row>
    <row r="1303">
      <c r="A1303" s="6" t="s">
        <v>1968</v>
      </c>
      <c r="B1303" s="6" t="s">
        <v>11569</v>
      </c>
      <c r="C1303" s="6" t="s">
        <v>11579</v>
      </c>
      <c r="D1303" s="6" t="s">
        <v>41</v>
      </c>
      <c r="E1303" s="6" t="s">
        <v>1301</v>
      </c>
      <c r="F1303" s="6" t="s">
        <v>1377</v>
      </c>
      <c r="G1303" s="6" t="s">
        <v>2939</v>
      </c>
      <c r="H1303" s="6">
        <v>0.0</v>
      </c>
      <c r="I1303" s="6">
        <v>0.0</v>
      </c>
      <c r="J1303" s="6">
        <v>3.0</v>
      </c>
      <c r="K1303" s="6">
        <v>0.0</v>
      </c>
      <c r="L1303" s="6">
        <v>0.0</v>
      </c>
      <c r="M1303" s="6">
        <v>0.0</v>
      </c>
      <c r="N1303" s="669">
        <v>5994000.0</v>
      </c>
      <c r="O1303" s="6">
        <v>0.0</v>
      </c>
      <c r="P1303" s="6">
        <v>0.0</v>
      </c>
      <c r="Q1303" s="6">
        <v>0.0</v>
      </c>
      <c r="R1303" s="6">
        <v>0.0</v>
      </c>
      <c r="S1303" s="6">
        <v>0.0</v>
      </c>
      <c r="T1303" s="6">
        <v>0.0</v>
      </c>
      <c r="U1303" s="6">
        <v>0.0</v>
      </c>
    </row>
    <row r="1304">
      <c r="A1304" s="6" t="s">
        <v>1969</v>
      </c>
      <c r="B1304" s="6" t="s">
        <v>11569</v>
      </c>
      <c r="C1304" s="6" t="s">
        <v>11570</v>
      </c>
      <c r="D1304" s="6" t="s">
        <v>22</v>
      </c>
      <c r="E1304" s="6" t="s">
        <v>1970</v>
      </c>
      <c r="F1304" s="6" t="s">
        <v>112</v>
      </c>
      <c r="G1304" s="6" t="s">
        <v>2939</v>
      </c>
      <c r="H1304" s="6">
        <v>0.0</v>
      </c>
      <c r="I1304" s="6">
        <v>0.0</v>
      </c>
      <c r="J1304" s="6">
        <v>3.0</v>
      </c>
      <c r="K1304" s="6">
        <v>0.0</v>
      </c>
      <c r="L1304" s="6">
        <v>0.0</v>
      </c>
      <c r="M1304" s="6">
        <v>0.0</v>
      </c>
      <c r="N1304" s="669">
        <v>7200000.0</v>
      </c>
      <c r="O1304" s="6">
        <v>0.0</v>
      </c>
      <c r="P1304" s="6">
        <v>0.0</v>
      </c>
      <c r="Q1304" s="6">
        <v>0.0</v>
      </c>
      <c r="R1304" s="6">
        <v>0.0</v>
      </c>
      <c r="S1304" s="6">
        <v>0.0</v>
      </c>
      <c r="T1304" s="6">
        <v>0.0</v>
      </c>
      <c r="U1304" s="6">
        <v>0.0</v>
      </c>
    </row>
    <row r="1305">
      <c r="A1305" s="6" t="s">
        <v>1971</v>
      </c>
      <c r="B1305" s="6" t="s">
        <v>11569</v>
      </c>
      <c r="C1305" s="6" t="s">
        <v>11579</v>
      </c>
      <c r="D1305" s="6" t="s">
        <v>41</v>
      </c>
      <c r="E1305" s="6" t="s">
        <v>1970</v>
      </c>
      <c r="F1305" s="6" t="s">
        <v>1377</v>
      </c>
      <c r="G1305" s="6" t="s">
        <v>2939</v>
      </c>
      <c r="H1305" s="6">
        <v>0.0</v>
      </c>
      <c r="I1305" s="6">
        <v>0.0</v>
      </c>
      <c r="J1305" s="6">
        <v>2.0</v>
      </c>
      <c r="K1305" s="6">
        <v>0.0</v>
      </c>
      <c r="L1305" s="6">
        <v>0.0</v>
      </c>
      <c r="M1305" s="6">
        <v>0.0</v>
      </c>
      <c r="N1305" s="669">
        <v>5940000.0</v>
      </c>
      <c r="O1305" s="6">
        <v>0.0</v>
      </c>
      <c r="P1305" s="6">
        <v>0.0</v>
      </c>
      <c r="Q1305" s="6">
        <v>0.0</v>
      </c>
      <c r="R1305" s="6">
        <v>0.0</v>
      </c>
      <c r="S1305" s="6">
        <v>0.0</v>
      </c>
      <c r="T1305" s="6">
        <v>0.0</v>
      </c>
      <c r="U1305" s="6">
        <v>0.0</v>
      </c>
    </row>
    <row r="1306">
      <c r="A1306" s="6" t="s">
        <v>12059</v>
      </c>
      <c r="E1306" s="6" t="s">
        <v>12059</v>
      </c>
      <c r="N1306" s="668"/>
    </row>
    <row r="1307">
      <c r="A1307" s="6" t="s">
        <v>12060</v>
      </c>
      <c r="B1307" s="6" t="s">
        <v>89</v>
      </c>
      <c r="C1307" s="6" t="s">
        <v>11570</v>
      </c>
      <c r="D1307" s="6" t="s">
        <v>41</v>
      </c>
      <c r="E1307" s="6" t="s">
        <v>12061</v>
      </c>
      <c r="F1307" s="6" t="s">
        <v>97</v>
      </c>
      <c r="G1307" s="6" t="s">
        <v>2939</v>
      </c>
      <c r="H1307" s="6">
        <v>0.0</v>
      </c>
      <c r="I1307" s="6">
        <v>0.0</v>
      </c>
      <c r="J1307" s="6" t="s">
        <v>11590</v>
      </c>
      <c r="K1307" s="6">
        <v>0.0</v>
      </c>
      <c r="L1307" s="6">
        <v>0.0</v>
      </c>
      <c r="M1307" s="6">
        <v>0.0</v>
      </c>
      <c r="N1307" s="669">
        <v>925000.0</v>
      </c>
      <c r="O1307" s="6">
        <v>0.0</v>
      </c>
      <c r="P1307" s="6">
        <v>0.0</v>
      </c>
      <c r="Q1307" s="6">
        <v>0.0</v>
      </c>
      <c r="R1307" s="6">
        <v>0.0</v>
      </c>
      <c r="S1307" s="6">
        <v>0.0</v>
      </c>
      <c r="T1307" s="6">
        <v>0.0</v>
      </c>
      <c r="U1307" s="6">
        <v>0.0</v>
      </c>
    </row>
    <row r="1308">
      <c r="A1308" s="6" t="s">
        <v>2153</v>
      </c>
      <c r="B1308" s="6" t="s">
        <v>11569</v>
      </c>
      <c r="C1308" s="6" t="s">
        <v>11570</v>
      </c>
      <c r="D1308" s="6" t="s">
        <v>22</v>
      </c>
      <c r="E1308" s="6" t="s">
        <v>2154</v>
      </c>
      <c r="F1308" s="6" t="s">
        <v>75</v>
      </c>
      <c r="G1308" s="6" t="s">
        <v>2939</v>
      </c>
      <c r="H1308" s="6">
        <v>0.0</v>
      </c>
      <c r="I1308" s="6">
        <v>0.0</v>
      </c>
      <c r="J1308" s="6">
        <v>6.0</v>
      </c>
      <c r="K1308" s="6">
        <v>6.0</v>
      </c>
      <c r="L1308" s="6">
        <v>0.0</v>
      </c>
      <c r="M1308" s="6">
        <v>0.0</v>
      </c>
      <c r="N1308" s="669">
        <v>2700000.0</v>
      </c>
      <c r="O1308" s="6">
        <v>0.0</v>
      </c>
      <c r="P1308" s="6">
        <v>0.0</v>
      </c>
      <c r="Q1308" s="6">
        <v>0.0</v>
      </c>
      <c r="R1308" s="6">
        <v>0.0</v>
      </c>
      <c r="S1308" s="6">
        <v>10.0</v>
      </c>
      <c r="T1308" s="6">
        <v>0.0</v>
      </c>
      <c r="U1308" s="6">
        <v>0.0</v>
      </c>
    </row>
    <row r="1309">
      <c r="A1309" s="6" t="s">
        <v>2130</v>
      </c>
      <c r="B1309" s="6" t="s">
        <v>11569</v>
      </c>
      <c r="C1309" s="6" t="s">
        <v>11570</v>
      </c>
      <c r="D1309" s="6" t="s">
        <v>22</v>
      </c>
      <c r="E1309" s="6" t="s">
        <v>1976</v>
      </c>
      <c r="F1309" s="6" t="s">
        <v>125</v>
      </c>
      <c r="G1309" s="6" t="s">
        <v>2939</v>
      </c>
      <c r="H1309" s="6">
        <v>0.0</v>
      </c>
      <c r="I1309" s="6">
        <v>0.0</v>
      </c>
      <c r="J1309" s="6">
        <v>10.0</v>
      </c>
      <c r="K1309" s="6">
        <v>1.0</v>
      </c>
      <c r="L1309" s="6">
        <v>0.0</v>
      </c>
      <c r="M1309" s="6">
        <v>0.0</v>
      </c>
      <c r="N1309" s="669">
        <v>1848000.0</v>
      </c>
      <c r="O1309" s="6">
        <v>0.0</v>
      </c>
      <c r="P1309" s="6">
        <v>0.0</v>
      </c>
      <c r="Q1309" s="6">
        <v>0.0</v>
      </c>
      <c r="R1309" s="6">
        <v>0.0</v>
      </c>
      <c r="S1309" s="6" t="s">
        <v>11590</v>
      </c>
      <c r="T1309" s="6">
        <v>10.0</v>
      </c>
      <c r="U1309" s="6">
        <v>0.0</v>
      </c>
    </row>
    <row r="1310">
      <c r="A1310" s="6" t="s">
        <v>2131</v>
      </c>
      <c r="B1310" s="6" t="s">
        <v>11569</v>
      </c>
      <c r="C1310" s="6" t="s">
        <v>11579</v>
      </c>
      <c r="D1310" s="6" t="s">
        <v>41</v>
      </c>
      <c r="E1310" s="6" t="s">
        <v>1976</v>
      </c>
      <c r="F1310" s="6" t="s">
        <v>1377</v>
      </c>
      <c r="G1310" s="6" t="s">
        <v>2939</v>
      </c>
      <c r="H1310" s="6">
        <v>0.0</v>
      </c>
      <c r="I1310" s="6">
        <v>0.0</v>
      </c>
      <c r="J1310" s="6">
        <v>0.0</v>
      </c>
      <c r="K1310" s="6">
        <v>0.0</v>
      </c>
      <c r="L1310" s="6">
        <v>0.0</v>
      </c>
      <c r="M1310" s="6">
        <v>0.0</v>
      </c>
      <c r="N1310" s="669">
        <v>1119000.0</v>
      </c>
      <c r="O1310" s="6">
        <v>0.0</v>
      </c>
      <c r="P1310" s="6">
        <v>0.0</v>
      </c>
      <c r="Q1310" s="6">
        <v>0.0</v>
      </c>
      <c r="R1310" s="6">
        <v>0.0</v>
      </c>
      <c r="S1310" s="6">
        <v>10.0</v>
      </c>
      <c r="T1310" s="6">
        <v>5.0</v>
      </c>
      <c r="U1310" s="6">
        <v>0.0</v>
      </c>
    </row>
    <row r="1311">
      <c r="A1311" s="6" t="s">
        <v>12062</v>
      </c>
      <c r="B1311" s="6" t="s">
        <v>11569</v>
      </c>
      <c r="C1311" s="6" t="s">
        <v>11579</v>
      </c>
      <c r="D1311" s="6" t="s">
        <v>41</v>
      </c>
      <c r="E1311" s="6" t="s">
        <v>1976</v>
      </c>
      <c r="F1311" s="6" t="s">
        <v>533</v>
      </c>
      <c r="G1311" s="6" t="s">
        <v>2939</v>
      </c>
      <c r="H1311" s="6">
        <v>0.0</v>
      </c>
      <c r="I1311" s="6">
        <v>0.0</v>
      </c>
      <c r="J1311" s="6">
        <v>10.0</v>
      </c>
      <c r="K1311" s="6">
        <v>0.0</v>
      </c>
      <c r="L1311" s="6">
        <v>0.0</v>
      </c>
      <c r="M1311" s="6">
        <v>0.0</v>
      </c>
      <c r="N1311" s="669">
        <v>1119000.0</v>
      </c>
      <c r="O1311" s="6">
        <v>0.0</v>
      </c>
      <c r="P1311" s="6">
        <v>0.0</v>
      </c>
      <c r="Q1311" s="6">
        <v>0.0</v>
      </c>
      <c r="R1311" s="6">
        <v>0.0</v>
      </c>
      <c r="S1311" s="6">
        <v>0.0</v>
      </c>
      <c r="T1311" s="6">
        <v>0.0</v>
      </c>
      <c r="U1311" s="6">
        <v>0.0</v>
      </c>
    </row>
    <row r="1312">
      <c r="A1312" s="6" t="s">
        <v>1302</v>
      </c>
      <c r="B1312" s="6" t="s">
        <v>11630</v>
      </c>
      <c r="C1312" s="6" t="s">
        <v>11570</v>
      </c>
      <c r="D1312" s="6" t="s">
        <v>22</v>
      </c>
      <c r="E1312" s="6" t="s">
        <v>1984</v>
      </c>
      <c r="F1312" s="6" t="s">
        <v>125</v>
      </c>
      <c r="G1312" s="6" t="s">
        <v>2939</v>
      </c>
      <c r="H1312" s="6">
        <v>0.0</v>
      </c>
      <c r="I1312" s="6">
        <v>0.0</v>
      </c>
      <c r="J1312" s="6" t="s">
        <v>11590</v>
      </c>
      <c r="K1312" s="6">
        <v>2.0</v>
      </c>
      <c r="L1312" s="6" t="s">
        <v>11590</v>
      </c>
      <c r="M1312" s="6" t="s">
        <v>11590</v>
      </c>
      <c r="N1312" s="669">
        <v>1140000.0</v>
      </c>
      <c r="O1312" s="6" t="s">
        <v>11590</v>
      </c>
      <c r="P1312" s="6" t="s">
        <v>11590</v>
      </c>
      <c r="Q1312" s="6">
        <v>0.0</v>
      </c>
      <c r="R1312" s="6">
        <v>0.0</v>
      </c>
      <c r="S1312" s="6">
        <v>0.0</v>
      </c>
      <c r="T1312" s="6">
        <v>0.0</v>
      </c>
      <c r="U1312" s="6">
        <v>0.0</v>
      </c>
    </row>
    <row r="1313">
      <c r="A1313" s="6" t="s">
        <v>2036</v>
      </c>
      <c r="B1313" s="6" t="s">
        <v>11569</v>
      </c>
      <c r="C1313" s="6" t="s">
        <v>11579</v>
      </c>
      <c r="D1313" s="6" t="s">
        <v>41</v>
      </c>
      <c r="E1313" s="6" t="s">
        <v>1982</v>
      </c>
      <c r="F1313" s="6" t="s">
        <v>1377</v>
      </c>
      <c r="G1313" s="6" t="s">
        <v>2939</v>
      </c>
      <c r="H1313" s="6">
        <v>0.0</v>
      </c>
      <c r="I1313" s="6">
        <v>0.0</v>
      </c>
      <c r="J1313" s="6">
        <v>0.0</v>
      </c>
      <c r="K1313" s="6">
        <v>0.0</v>
      </c>
      <c r="L1313" s="6">
        <v>0.0</v>
      </c>
      <c r="M1313" s="6">
        <v>0.0</v>
      </c>
      <c r="N1313" s="669">
        <v>1002000.0</v>
      </c>
      <c r="O1313" s="6">
        <v>0.0</v>
      </c>
      <c r="P1313" s="6">
        <v>0.0</v>
      </c>
      <c r="Q1313" s="6">
        <v>0.0</v>
      </c>
      <c r="R1313" s="6">
        <v>0.0</v>
      </c>
      <c r="S1313" s="6">
        <v>0.0</v>
      </c>
      <c r="T1313" s="6">
        <v>0.0</v>
      </c>
      <c r="U1313" s="6">
        <v>0.0</v>
      </c>
    </row>
    <row r="1314">
      <c r="A1314" s="6" t="s">
        <v>1981</v>
      </c>
      <c r="B1314" s="6" t="s">
        <v>11569</v>
      </c>
      <c r="C1314" s="6" t="s">
        <v>11579</v>
      </c>
      <c r="D1314" s="6" t="s">
        <v>41</v>
      </c>
      <c r="E1314" s="6" t="s">
        <v>1982</v>
      </c>
      <c r="F1314" s="6" t="s">
        <v>533</v>
      </c>
      <c r="G1314" s="6" t="s">
        <v>2939</v>
      </c>
      <c r="H1314" s="6">
        <v>0.0</v>
      </c>
      <c r="I1314" s="6">
        <v>0.0</v>
      </c>
      <c r="J1314" s="6">
        <v>0.0</v>
      </c>
      <c r="K1314" s="6">
        <v>1.0</v>
      </c>
      <c r="L1314" s="6">
        <v>0.0</v>
      </c>
      <c r="M1314" s="6">
        <v>0.0</v>
      </c>
      <c r="N1314" s="669">
        <v>1002000.0</v>
      </c>
      <c r="O1314" s="6">
        <v>0.0</v>
      </c>
      <c r="P1314" s="6">
        <v>0.0</v>
      </c>
      <c r="Q1314" s="6">
        <v>0.0</v>
      </c>
      <c r="R1314" s="6">
        <v>0.0</v>
      </c>
      <c r="S1314" s="6" t="s">
        <v>11590</v>
      </c>
      <c r="T1314" s="6">
        <v>10.0</v>
      </c>
      <c r="U1314" s="6">
        <v>0.0</v>
      </c>
    </row>
    <row r="1315">
      <c r="A1315" s="6" t="s">
        <v>1983</v>
      </c>
      <c r="B1315" s="6" t="s">
        <v>11569</v>
      </c>
      <c r="C1315" s="6" t="s">
        <v>11579</v>
      </c>
      <c r="D1315" s="6" t="s">
        <v>41</v>
      </c>
      <c r="E1315" s="6" t="s">
        <v>1982</v>
      </c>
      <c r="F1315" s="6" t="s">
        <v>97</v>
      </c>
      <c r="G1315" s="6" t="s">
        <v>2939</v>
      </c>
      <c r="H1315" s="6">
        <v>0.0</v>
      </c>
      <c r="I1315" s="6">
        <v>0.0</v>
      </c>
      <c r="J1315" s="6" t="s">
        <v>11590</v>
      </c>
      <c r="K1315" s="6">
        <v>0.0</v>
      </c>
      <c r="L1315" s="6">
        <v>0.0</v>
      </c>
      <c r="M1315" s="6">
        <v>0.0</v>
      </c>
      <c r="N1315" s="669">
        <v>1002000.0</v>
      </c>
      <c r="O1315" s="6">
        <v>0.0</v>
      </c>
      <c r="P1315" s="6">
        <v>0.0</v>
      </c>
      <c r="Q1315" s="6">
        <v>0.0</v>
      </c>
      <c r="R1315" s="6">
        <v>0.0</v>
      </c>
      <c r="S1315" s="6" t="s">
        <v>11590</v>
      </c>
      <c r="T1315" s="6">
        <v>10.0</v>
      </c>
      <c r="U1315" s="6">
        <v>0.0</v>
      </c>
    </row>
    <row r="1316">
      <c r="A1316" s="6" t="s">
        <v>12063</v>
      </c>
      <c r="B1316" s="6" t="s">
        <v>89</v>
      </c>
      <c r="C1316" s="6" t="s">
        <v>11591</v>
      </c>
      <c r="D1316" s="6" t="s">
        <v>104</v>
      </c>
      <c r="E1316" s="6" t="s">
        <v>12064</v>
      </c>
      <c r="F1316" s="6" t="s">
        <v>12065</v>
      </c>
      <c r="G1316" s="6" t="s">
        <v>2939</v>
      </c>
      <c r="H1316" s="6">
        <v>0.0</v>
      </c>
      <c r="I1316" s="6">
        <v>0.0</v>
      </c>
      <c r="J1316" s="6">
        <v>0.0</v>
      </c>
      <c r="K1316" s="6">
        <v>0.0</v>
      </c>
      <c r="L1316" s="6">
        <v>0.0</v>
      </c>
      <c r="M1316" s="6">
        <v>0.0</v>
      </c>
      <c r="N1316" s="669">
        <v>355000.0</v>
      </c>
      <c r="O1316" s="6">
        <v>0.0</v>
      </c>
      <c r="P1316" s="6">
        <v>0.0</v>
      </c>
      <c r="Q1316" s="6">
        <v>0.0</v>
      </c>
      <c r="R1316" s="6">
        <v>0.0</v>
      </c>
      <c r="S1316" s="6">
        <v>0.0</v>
      </c>
      <c r="T1316" s="6">
        <v>0.0</v>
      </c>
      <c r="U1316" s="6">
        <v>0.0</v>
      </c>
    </row>
    <row r="1317">
      <c r="A1317" s="6" t="s">
        <v>12066</v>
      </c>
      <c r="B1317" s="6" t="s">
        <v>89</v>
      </c>
      <c r="C1317" s="6" t="s">
        <v>11591</v>
      </c>
      <c r="D1317" s="6" t="s">
        <v>1434</v>
      </c>
      <c r="E1317" s="6" t="s">
        <v>12064</v>
      </c>
      <c r="F1317" s="6" t="s">
        <v>12065</v>
      </c>
      <c r="G1317" s="6" t="s">
        <v>2939</v>
      </c>
      <c r="H1317" s="6">
        <v>0.0</v>
      </c>
      <c r="I1317" s="6">
        <v>0.0</v>
      </c>
      <c r="J1317" s="6">
        <v>0.0</v>
      </c>
      <c r="K1317" s="6">
        <v>0.0</v>
      </c>
      <c r="L1317" s="6">
        <v>0.0</v>
      </c>
      <c r="M1317" s="6">
        <v>0.0</v>
      </c>
      <c r="N1317" s="669">
        <v>355000.0</v>
      </c>
      <c r="O1317" s="6">
        <v>0.0</v>
      </c>
      <c r="P1317" s="6">
        <v>0.0</v>
      </c>
      <c r="Q1317" s="6">
        <v>0.0</v>
      </c>
      <c r="R1317" s="6">
        <v>0.0</v>
      </c>
      <c r="S1317" s="6">
        <v>0.0</v>
      </c>
      <c r="T1317" s="6">
        <v>0.0</v>
      </c>
      <c r="U1317" s="6">
        <v>0.0</v>
      </c>
    </row>
    <row r="1318">
      <c r="A1318" s="6" t="s">
        <v>12067</v>
      </c>
      <c r="B1318" s="6" t="s">
        <v>89</v>
      </c>
      <c r="C1318" s="6" t="s">
        <v>11591</v>
      </c>
      <c r="D1318" s="6" t="s">
        <v>104</v>
      </c>
      <c r="E1318" s="6" t="s">
        <v>12068</v>
      </c>
      <c r="F1318" s="6" t="s">
        <v>12069</v>
      </c>
      <c r="G1318" s="6" t="s">
        <v>2939</v>
      </c>
      <c r="H1318" s="6">
        <v>0.0</v>
      </c>
      <c r="I1318" s="6">
        <v>0.0</v>
      </c>
      <c r="J1318" s="6">
        <v>0.0</v>
      </c>
      <c r="K1318" s="6">
        <v>0.0</v>
      </c>
      <c r="L1318" s="6">
        <v>0.0</v>
      </c>
      <c r="M1318" s="6">
        <v>0.0</v>
      </c>
      <c r="N1318" s="669">
        <v>650000.0</v>
      </c>
      <c r="O1318" s="6">
        <v>0.0</v>
      </c>
      <c r="P1318" s="6">
        <v>0.0</v>
      </c>
      <c r="Q1318" s="6">
        <v>0.0</v>
      </c>
      <c r="R1318" s="6">
        <v>0.0</v>
      </c>
      <c r="S1318" s="6">
        <v>0.0</v>
      </c>
      <c r="T1318" s="6">
        <v>0.0</v>
      </c>
      <c r="U1318" s="6">
        <v>0.0</v>
      </c>
    </row>
    <row r="1319">
      <c r="A1319" s="6" t="s">
        <v>12070</v>
      </c>
      <c r="B1319" s="6" t="s">
        <v>89</v>
      </c>
      <c r="C1319" s="6" t="s">
        <v>11591</v>
      </c>
      <c r="D1319" s="6" t="s">
        <v>1434</v>
      </c>
      <c r="E1319" s="6" t="s">
        <v>12068</v>
      </c>
      <c r="F1319" s="6" t="s">
        <v>12069</v>
      </c>
      <c r="G1319" s="6" t="s">
        <v>2939</v>
      </c>
      <c r="H1319" s="6">
        <v>0.0</v>
      </c>
      <c r="I1319" s="6">
        <v>0.0</v>
      </c>
      <c r="J1319" s="6">
        <v>0.0</v>
      </c>
      <c r="K1319" s="6">
        <v>0.0</v>
      </c>
      <c r="L1319" s="6">
        <v>0.0</v>
      </c>
      <c r="M1319" s="6">
        <v>0.0</v>
      </c>
      <c r="N1319" s="669">
        <v>650000.0</v>
      </c>
      <c r="O1319" s="6">
        <v>0.0</v>
      </c>
      <c r="P1319" s="6">
        <v>0.0</v>
      </c>
      <c r="Q1319" s="6">
        <v>0.0</v>
      </c>
      <c r="R1319" s="6">
        <v>0.0</v>
      </c>
      <c r="S1319" s="6">
        <v>0.0</v>
      </c>
      <c r="T1319" s="6">
        <v>0.0</v>
      </c>
      <c r="U1319" s="6">
        <v>0.0</v>
      </c>
    </row>
    <row r="1320">
      <c r="A1320" s="6" t="s">
        <v>2035</v>
      </c>
      <c r="B1320" s="6" t="s">
        <v>11569</v>
      </c>
      <c r="C1320" s="6" t="s">
        <v>11570</v>
      </c>
      <c r="D1320" s="6" t="s">
        <v>22</v>
      </c>
      <c r="E1320" s="6" t="s">
        <v>1988</v>
      </c>
      <c r="F1320" s="6" t="s">
        <v>75</v>
      </c>
      <c r="G1320" s="6" t="s">
        <v>2939</v>
      </c>
      <c r="H1320" s="6">
        <v>0.0</v>
      </c>
      <c r="I1320" s="6">
        <v>0.0</v>
      </c>
      <c r="J1320" s="6">
        <v>1.0</v>
      </c>
      <c r="K1320" s="6">
        <v>0.0</v>
      </c>
      <c r="L1320" s="6">
        <v>0.0</v>
      </c>
      <c r="M1320" s="6">
        <v>0.0</v>
      </c>
      <c r="N1320" s="669">
        <v>1787000.0</v>
      </c>
      <c r="O1320" s="6">
        <v>0.0</v>
      </c>
      <c r="P1320" s="6">
        <v>0.0</v>
      </c>
      <c r="Q1320" s="6">
        <v>0.0</v>
      </c>
      <c r="R1320" s="6">
        <v>0.0</v>
      </c>
      <c r="S1320" s="6" t="s">
        <v>11590</v>
      </c>
      <c r="T1320" s="6">
        <v>10.0</v>
      </c>
      <c r="U1320" s="6">
        <v>0.0</v>
      </c>
    </row>
    <row r="1321">
      <c r="A1321" s="6" t="s">
        <v>12071</v>
      </c>
      <c r="B1321" s="6" t="s">
        <v>11569</v>
      </c>
      <c r="C1321" s="6" t="s">
        <v>11579</v>
      </c>
      <c r="D1321" s="6" t="s">
        <v>41</v>
      </c>
      <c r="E1321" s="6" t="s">
        <v>1988</v>
      </c>
      <c r="F1321" s="6" t="s">
        <v>1377</v>
      </c>
      <c r="G1321" s="6" t="s">
        <v>2939</v>
      </c>
      <c r="H1321" s="6">
        <v>0.0</v>
      </c>
      <c r="I1321" s="6">
        <v>0.0</v>
      </c>
      <c r="J1321" s="6">
        <v>0.0</v>
      </c>
      <c r="K1321" s="6">
        <v>0.0</v>
      </c>
      <c r="L1321" s="6">
        <v>0.0</v>
      </c>
      <c r="M1321" s="6">
        <v>0.0</v>
      </c>
      <c r="N1321" s="669">
        <v>1143000.0</v>
      </c>
      <c r="O1321" s="6">
        <v>0.0</v>
      </c>
      <c r="P1321" s="6">
        <v>0.0</v>
      </c>
      <c r="Q1321" s="6">
        <v>0.0</v>
      </c>
      <c r="R1321" s="6">
        <v>0.0</v>
      </c>
      <c r="S1321" s="6">
        <v>0.0</v>
      </c>
      <c r="T1321" s="6">
        <v>0.0</v>
      </c>
      <c r="U1321" s="6">
        <v>0.0</v>
      </c>
    </row>
    <row r="1322">
      <c r="A1322" s="6" t="s">
        <v>1987</v>
      </c>
      <c r="B1322" s="6" t="s">
        <v>11569</v>
      </c>
      <c r="C1322" s="6" t="s">
        <v>11579</v>
      </c>
      <c r="D1322" s="6" t="s">
        <v>41</v>
      </c>
      <c r="E1322" s="6" t="s">
        <v>1988</v>
      </c>
      <c r="F1322" s="6" t="s">
        <v>533</v>
      </c>
      <c r="G1322" s="6" t="s">
        <v>2939</v>
      </c>
      <c r="H1322" s="6">
        <v>0.0</v>
      </c>
      <c r="I1322" s="6">
        <v>0.0</v>
      </c>
      <c r="J1322" s="6" t="s">
        <v>11590</v>
      </c>
      <c r="K1322" s="6">
        <v>2.0</v>
      </c>
      <c r="L1322" s="6">
        <v>0.0</v>
      </c>
      <c r="M1322" s="6">
        <v>0.0</v>
      </c>
      <c r="N1322" s="669">
        <v>1143000.0</v>
      </c>
      <c r="O1322" s="6">
        <v>0.0</v>
      </c>
      <c r="P1322" s="6">
        <v>0.0</v>
      </c>
      <c r="Q1322" s="6">
        <v>0.0</v>
      </c>
      <c r="R1322" s="6">
        <v>0.0</v>
      </c>
      <c r="S1322" s="6">
        <v>0.0</v>
      </c>
      <c r="T1322" s="6">
        <v>0.0</v>
      </c>
      <c r="U1322" s="6">
        <v>0.0</v>
      </c>
    </row>
    <row r="1323">
      <c r="A1323" s="6" t="s">
        <v>12072</v>
      </c>
      <c r="B1323" s="6" t="s">
        <v>89</v>
      </c>
      <c r="C1323" s="6" t="s">
        <v>11591</v>
      </c>
      <c r="D1323" s="6" t="s">
        <v>104</v>
      </c>
      <c r="E1323" s="6" t="s">
        <v>12073</v>
      </c>
      <c r="F1323" s="6" t="s">
        <v>12065</v>
      </c>
      <c r="G1323" s="6" t="s">
        <v>2939</v>
      </c>
      <c r="H1323" s="6">
        <v>0.0</v>
      </c>
      <c r="I1323" s="6">
        <v>0.0</v>
      </c>
      <c r="J1323" s="6">
        <v>0.0</v>
      </c>
      <c r="K1323" s="6">
        <v>0.0</v>
      </c>
      <c r="L1323" s="6">
        <v>0.0</v>
      </c>
      <c r="M1323" s="6">
        <v>0.0</v>
      </c>
      <c r="N1323" s="669">
        <v>650000.0</v>
      </c>
      <c r="O1323" s="6">
        <v>0.0</v>
      </c>
      <c r="P1323" s="6">
        <v>0.0</v>
      </c>
      <c r="Q1323" s="6">
        <v>0.0</v>
      </c>
      <c r="R1323" s="6">
        <v>0.0</v>
      </c>
      <c r="S1323" s="6">
        <v>0.0</v>
      </c>
      <c r="T1323" s="6">
        <v>0.0</v>
      </c>
      <c r="U1323" s="6">
        <v>0.0</v>
      </c>
    </row>
    <row r="1324">
      <c r="A1324" s="6" t="s">
        <v>12074</v>
      </c>
      <c r="B1324" s="6" t="s">
        <v>89</v>
      </c>
      <c r="C1324" s="6" t="s">
        <v>11591</v>
      </c>
      <c r="D1324" s="6" t="s">
        <v>1434</v>
      </c>
      <c r="E1324" s="6" t="s">
        <v>12073</v>
      </c>
      <c r="F1324" s="6" t="s">
        <v>12065</v>
      </c>
      <c r="G1324" s="6" t="s">
        <v>2939</v>
      </c>
      <c r="H1324" s="6">
        <v>0.0</v>
      </c>
      <c r="I1324" s="6">
        <v>0.0</v>
      </c>
      <c r="J1324" s="6">
        <v>0.0</v>
      </c>
      <c r="K1324" s="6">
        <v>0.0</v>
      </c>
      <c r="L1324" s="6">
        <v>0.0</v>
      </c>
      <c r="M1324" s="6">
        <v>0.0</v>
      </c>
      <c r="N1324" s="669">
        <v>650000.0</v>
      </c>
      <c r="O1324" s="6">
        <v>0.0</v>
      </c>
      <c r="P1324" s="6">
        <v>0.0</v>
      </c>
      <c r="Q1324" s="6">
        <v>0.0</v>
      </c>
      <c r="R1324" s="6">
        <v>0.0</v>
      </c>
      <c r="S1324" s="6">
        <v>0.0</v>
      </c>
      <c r="T1324" s="6">
        <v>0.0</v>
      </c>
      <c r="U1324" s="6">
        <v>0.0</v>
      </c>
    </row>
    <row r="1325">
      <c r="A1325" s="6" t="s">
        <v>12075</v>
      </c>
      <c r="B1325" s="6" t="s">
        <v>89</v>
      </c>
      <c r="C1325" s="6" t="s">
        <v>11591</v>
      </c>
      <c r="D1325" s="6" t="s">
        <v>104</v>
      </c>
      <c r="E1325" s="6" t="s">
        <v>12076</v>
      </c>
      <c r="F1325" s="6" t="s">
        <v>12069</v>
      </c>
      <c r="G1325" s="6" t="s">
        <v>2939</v>
      </c>
      <c r="H1325" s="6">
        <v>0.0</v>
      </c>
      <c r="I1325" s="6">
        <v>0.0</v>
      </c>
      <c r="J1325" s="6">
        <v>0.0</v>
      </c>
      <c r="K1325" s="6">
        <v>0.0</v>
      </c>
      <c r="L1325" s="6">
        <v>0.0</v>
      </c>
      <c r="M1325" s="6">
        <v>0.0</v>
      </c>
      <c r="N1325" s="669">
        <v>946000.0</v>
      </c>
      <c r="O1325" s="6">
        <v>0.0</v>
      </c>
      <c r="P1325" s="6">
        <v>0.0</v>
      </c>
      <c r="Q1325" s="6">
        <v>0.0</v>
      </c>
      <c r="R1325" s="6">
        <v>0.0</v>
      </c>
      <c r="S1325" s="6">
        <v>0.0</v>
      </c>
      <c r="T1325" s="6">
        <v>0.0</v>
      </c>
      <c r="U1325" s="6">
        <v>0.0</v>
      </c>
    </row>
    <row r="1326">
      <c r="A1326" s="6" t="s">
        <v>12077</v>
      </c>
      <c r="B1326" s="6" t="s">
        <v>89</v>
      </c>
      <c r="C1326" s="6" t="s">
        <v>11591</v>
      </c>
      <c r="D1326" s="6" t="s">
        <v>1434</v>
      </c>
      <c r="E1326" s="6" t="s">
        <v>12076</v>
      </c>
      <c r="F1326" s="6" t="s">
        <v>12069</v>
      </c>
      <c r="G1326" s="6" t="s">
        <v>2939</v>
      </c>
      <c r="H1326" s="6">
        <v>0.0</v>
      </c>
      <c r="I1326" s="6">
        <v>0.0</v>
      </c>
      <c r="J1326" s="6">
        <v>0.0</v>
      </c>
      <c r="K1326" s="6">
        <v>0.0</v>
      </c>
      <c r="L1326" s="6">
        <v>0.0</v>
      </c>
      <c r="M1326" s="6">
        <v>0.0</v>
      </c>
      <c r="N1326" s="669">
        <v>946000.0</v>
      </c>
      <c r="O1326" s="6">
        <v>0.0</v>
      </c>
      <c r="P1326" s="6">
        <v>0.0</v>
      </c>
      <c r="Q1326" s="6">
        <v>0.0</v>
      </c>
      <c r="R1326" s="6">
        <v>0.0</v>
      </c>
      <c r="S1326" s="6">
        <v>0.0</v>
      </c>
      <c r="T1326" s="6">
        <v>0.0</v>
      </c>
      <c r="U1326" s="6">
        <v>0.0</v>
      </c>
    </row>
    <row r="1327">
      <c r="H1327" s="6">
        <v>0.0</v>
      </c>
      <c r="I1327" s="6">
        <v>0.0</v>
      </c>
      <c r="J1327" s="6">
        <v>0.0</v>
      </c>
      <c r="K1327" s="6">
        <v>0.0</v>
      </c>
      <c r="L1327" s="6">
        <v>0.0</v>
      </c>
      <c r="M1327" s="6">
        <v>0.0</v>
      </c>
      <c r="N1327" s="670"/>
      <c r="O1327" s="6">
        <v>0.0</v>
      </c>
      <c r="P1327" s="6">
        <v>0.0</v>
      </c>
      <c r="Q1327" s="6">
        <v>0.0</v>
      </c>
      <c r="R1327" s="6">
        <v>0.0</v>
      </c>
      <c r="S1327" s="6">
        <v>0.0</v>
      </c>
      <c r="T1327" s="6">
        <v>0.0</v>
      </c>
      <c r="U1327" s="6">
        <v>0.0</v>
      </c>
    </row>
    <row r="1328">
      <c r="A1328" s="6" t="s">
        <v>12078</v>
      </c>
      <c r="E1328" s="6" t="s">
        <v>12078</v>
      </c>
      <c r="H1328" s="6">
        <v>0.0</v>
      </c>
      <c r="I1328" s="6">
        <v>0.0</v>
      </c>
      <c r="J1328" s="6">
        <v>0.0</v>
      </c>
      <c r="K1328" s="6">
        <v>0.0</v>
      </c>
      <c r="L1328" s="6">
        <v>0.0</v>
      </c>
      <c r="M1328" s="6">
        <v>0.0</v>
      </c>
      <c r="N1328" s="670"/>
      <c r="O1328" s="6">
        <v>0.0</v>
      </c>
      <c r="P1328" s="6">
        <v>0.0</v>
      </c>
      <c r="Q1328" s="6">
        <v>0.0</v>
      </c>
      <c r="R1328" s="6">
        <v>0.0</v>
      </c>
      <c r="S1328" s="6">
        <v>0.0</v>
      </c>
      <c r="T1328" s="6">
        <v>0.0</v>
      </c>
      <c r="U1328" s="6">
        <v>0.0</v>
      </c>
    </row>
    <row r="1329">
      <c r="A1329" s="6" t="s">
        <v>11550</v>
      </c>
      <c r="B1329" s="6" t="s">
        <v>4</v>
      </c>
      <c r="C1329" s="6" t="s">
        <v>11551</v>
      </c>
      <c r="D1329" s="6" t="s">
        <v>11552</v>
      </c>
      <c r="E1329" s="6" t="s">
        <v>2</v>
      </c>
      <c r="F1329" s="6" t="s">
        <v>5</v>
      </c>
      <c r="G1329" s="6" t="s">
        <v>11553</v>
      </c>
      <c r="H1329" s="6" t="s">
        <v>11554</v>
      </c>
      <c r="I1329" s="6" t="s">
        <v>11555</v>
      </c>
      <c r="J1329" s="6" t="s">
        <v>11556</v>
      </c>
      <c r="K1329" s="6" t="s">
        <v>11557</v>
      </c>
      <c r="L1329" s="6" t="s">
        <v>11558</v>
      </c>
      <c r="M1329" s="6" t="s">
        <v>11559</v>
      </c>
      <c r="N1329" s="667" t="s">
        <v>11560</v>
      </c>
      <c r="O1329" s="6" t="s">
        <v>11561</v>
      </c>
      <c r="P1329" s="6" t="s">
        <v>11562</v>
      </c>
      <c r="Q1329" s="6" t="s">
        <v>11563</v>
      </c>
      <c r="R1329" s="6" t="s">
        <v>11564</v>
      </c>
      <c r="S1329" s="6" t="s">
        <v>11565</v>
      </c>
      <c r="T1329" s="6" t="s">
        <v>11566</v>
      </c>
      <c r="U1329" s="6" t="s">
        <v>11567</v>
      </c>
    </row>
    <row r="1330">
      <c r="A1330" s="6" t="s">
        <v>12079</v>
      </c>
      <c r="B1330" s="6" t="s">
        <v>11653</v>
      </c>
      <c r="C1330" s="6" t="s">
        <v>11570</v>
      </c>
      <c r="D1330" s="6" t="s">
        <v>22</v>
      </c>
      <c r="E1330" s="6" t="s">
        <v>12080</v>
      </c>
      <c r="G1330" s="6" t="s">
        <v>2939</v>
      </c>
      <c r="H1330" s="6">
        <v>0.0</v>
      </c>
      <c r="I1330" s="6">
        <v>0.0</v>
      </c>
      <c r="J1330" s="6">
        <v>0.0</v>
      </c>
      <c r="K1330" s="6">
        <v>0.0</v>
      </c>
      <c r="L1330" s="6">
        <v>0.0</v>
      </c>
      <c r="M1330" s="6">
        <v>0.0</v>
      </c>
      <c r="N1330" s="669">
        <v>2414000.0</v>
      </c>
      <c r="O1330" s="6">
        <v>0.0</v>
      </c>
      <c r="P1330" s="6">
        <v>0.0</v>
      </c>
      <c r="Q1330" s="6">
        <v>0.0</v>
      </c>
      <c r="R1330" s="6">
        <v>0.0</v>
      </c>
      <c r="S1330" s="6">
        <v>0.0</v>
      </c>
      <c r="T1330" s="6">
        <v>0.0</v>
      </c>
      <c r="U1330" s="6">
        <v>0.0</v>
      </c>
    </row>
    <row r="1331">
      <c r="A1331" s="6" t="s">
        <v>1304</v>
      </c>
      <c r="B1331" s="6" t="s">
        <v>11630</v>
      </c>
      <c r="C1331" s="6" t="s">
        <v>11570</v>
      </c>
      <c r="D1331" s="6" t="s">
        <v>22</v>
      </c>
      <c r="E1331" s="6" t="s">
        <v>739</v>
      </c>
      <c r="G1331" s="6" t="s">
        <v>2939</v>
      </c>
      <c r="H1331" s="6">
        <v>0.0</v>
      </c>
      <c r="I1331" s="6">
        <v>0.0</v>
      </c>
      <c r="J1331" s="6" t="s">
        <v>11590</v>
      </c>
      <c r="K1331" s="6" t="s">
        <v>11590</v>
      </c>
      <c r="L1331" s="6">
        <v>0.0</v>
      </c>
      <c r="M1331" s="6" t="s">
        <v>11590</v>
      </c>
      <c r="N1331" s="669">
        <v>1571000.0</v>
      </c>
      <c r="O1331" s="6">
        <v>0.0</v>
      </c>
      <c r="P1331" s="6" t="s">
        <v>11590</v>
      </c>
      <c r="Q1331" s="6">
        <v>0.0</v>
      </c>
      <c r="R1331" s="6">
        <v>0.0</v>
      </c>
      <c r="S1331" s="6" t="s">
        <v>11590</v>
      </c>
      <c r="T1331" s="6" t="s">
        <v>11590</v>
      </c>
      <c r="U1331" s="6" t="s">
        <v>11590</v>
      </c>
    </row>
    <row r="1332">
      <c r="A1332" s="6" t="s">
        <v>1989</v>
      </c>
      <c r="B1332" s="6" t="s">
        <v>11569</v>
      </c>
      <c r="C1332" s="6" t="s">
        <v>11591</v>
      </c>
      <c r="D1332" s="6" t="s">
        <v>128</v>
      </c>
      <c r="E1332" s="6" t="s">
        <v>1305</v>
      </c>
      <c r="G1332" s="6" t="s">
        <v>2939</v>
      </c>
      <c r="H1332" s="6">
        <v>0.0</v>
      </c>
      <c r="I1332" s="6">
        <v>0.0</v>
      </c>
      <c r="J1332" s="6" t="s">
        <v>11590</v>
      </c>
      <c r="K1332" s="6">
        <v>10.0</v>
      </c>
      <c r="L1332" s="6">
        <v>0.0</v>
      </c>
      <c r="M1332" s="6">
        <v>0.0</v>
      </c>
      <c r="N1332" s="669">
        <v>319000.0</v>
      </c>
      <c r="O1332" s="6">
        <v>0.0</v>
      </c>
      <c r="P1332" s="6">
        <v>0.0</v>
      </c>
      <c r="Q1332" s="6">
        <v>0.0</v>
      </c>
      <c r="R1332" s="6">
        <v>0.0</v>
      </c>
      <c r="S1332" s="6" t="s">
        <v>11590</v>
      </c>
      <c r="T1332" s="6" t="s">
        <v>11590</v>
      </c>
      <c r="U1332" s="6">
        <v>0.0</v>
      </c>
    </row>
    <row r="1333">
      <c r="A1333" s="6" t="s">
        <v>1990</v>
      </c>
      <c r="B1333" s="6" t="s">
        <v>11569</v>
      </c>
      <c r="C1333" s="6" t="s">
        <v>11591</v>
      </c>
      <c r="D1333" s="6" t="s">
        <v>130</v>
      </c>
      <c r="E1333" s="6" t="s">
        <v>1305</v>
      </c>
      <c r="G1333" s="6" t="s">
        <v>2939</v>
      </c>
      <c r="H1333" s="6">
        <v>0.0</v>
      </c>
      <c r="I1333" s="6">
        <v>0.0</v>
      </c>
      <c r="J1333" s="6" t="s">
        <v>11590</v>
      </c>
      <c r="K1333" s="6">
        <v>5.0</v>
      </c>
      <c r="L1333" s="6">
        <v>0.0</v>
      </c>
      <c r="M1333" s="6">
        <v>0.0</v>
      </c>
      <c r="N1333" s="669">
        <v>319000.0</v>
      </c>
      <c r="O1333" s="6">
        <v>0.0</v>
      </c>
      <c r="P1333" s="6">
        <v>0.0</v>
      </c>
      <c r="Q1333" s="6">
        <v>0.0</v>
      </c>
      <c r="R1333" s="6">
        <v>0.0</v>
      </c>
      <c r="S1333" s="6" t="s">
        <v>11590</v>
      </c>
      <c r="T1333" s="6" t="s">
        <v>11590</v>
      </c>
      <c r="U1333" s="6">
        <v>0.0</v>
      </c>
    </row>
    <row r="1334">
      <c r="A1334" s="6" t="s">
        <v>2381</v>
      </c>
      <c r="B1334" s="6" t="s">
        <v>11653</v>
      </c>
      <c r="C1334" s="6" t="s">
        <v>11591</v>
      </c>
      <c r="D1334" s="6" t="s">
        <v>128</v>
      </c>
      <c r="E1334" s="6" t="s">
        <v>12081</v>
      </c>
      <c r="F1334" s="6" t="s">
        <v>12082</v>
      </c>
      <c r="G1334" s="6" t="s">
        <v>2939</v>
      </c>
      <c r="H1334" s="6">
        <v>0.0</v>
      </c>
      <c r="I1334" s="6">
        <v>0.0</v>
      </c>
      <c r="J1334" s="6">
        <v>0.0</v>
      </c>
      <c r="K1334" s="6">
        <v>0.0</v>
      </c>
      <c r="L1334" s="6">
        <v>2.0</v>
      </c>
      <c r="M1334" s="6">
        <v>4.0</v>
      </c>
      <c r="N1334" s="669">
        <v>475000.0</v>
      </c>
      <c r="O1334" s="6">
        <v>0.0</v>
      </c>
      <c r="P1334" s="6">
        <v>0.0</v>
      </c>
      <c r="Q1334" s="6">
        <v>0.0</v>
      </c>
      <c r="R1334" s="6">
        <v>0.0</v>
      </c>
      <c r="S1334" s="6">
        <v>0.0</v>
      </c>
      <c r="T1334" s="6">
        <v>0.0</v>
      </c>
      <c r="U1334" s="6">
        <v>0.0</v>
      </c>
    </row>
    <row r="1335">
      <c r="A1335" s="6" t="s">
        <v>738</v>
      </c>
      <c r="B1335" s="6" t="s">
        <v>11653</v>
      </c>
      <c r="C1335" s="6" t="s">
        <v>11591</v>
      </c>
      <c r="D1335" s="6" t="s">
        <v>130</v>
      </c>
      <c r="E1335" s="6" t="s">
        <v>12081</v>
      </c>
      <c r="F1335" s="6" t="s">
        <v>12082</v>
      </c>
      <c r="G1335" s="6" t="s">
        <v>2939</v>
      </c>
      <c r="H1335" s="6">
        <v>0.0</v>
      </c>
      <c r="I1335" s="6">
        <v>0.0</v>
      </c>
      <c r="J1335" s="6">
        <v>0.0</v>
      </c>
      <c r="K1335" s="6">
        <v>0.0</v>
      </c>
      <c r="L1335" s="6">
        <v>7.0</v>
      </c>
      <c r="M1335" s="6">
        <v>0.0</v>
      </c>
      <c r="N1335" s="669">
        <v>475000.0</v>
      </c>
      <c r="O1335" s="6">
        <v>0.0</v>
      </c>
      <c r="P1335" s="6">
        <v>0.0</v>
      </c>
      <c r="Q1335" s="6">
        <v>0.0</v>
      </c>
      <c r="R1335" s="6">
        <v>0.0</v>
      </c>
      <c r="S1335" s="6">
        <v>0.0</v>
      </c>
      <c r="T1335" s="6">
        <v>0.0</v>
      </c>
      <c r="U1335" s="6">
        <v>0.0</v>
      </c>
    </row>
    <row r="1336">
      <c r="A1336" s="6" t="s">
        <v>12083</v>
      </c>
      <c r="B1336" s="6" t="s">
        <v>11569</v>
      </c>
      <c r="C1336" s="6" t="s">
        <v>11570</v>
      </c>
      <c r="D1336" s="6" t="s">
        <v>22</v>
      </c>
      <c r="E1336" s="6" t="s">
        <v>12084</v>
      </c>
      <c r="F1336" s="6" t="s">
        <v>97</v>
      </c>
      <c r="G1336" s="6" t="s">
        <v>2939</v>
      </c>
      <c r="H1336" s="6">
        <v>0.0</v>
      </c>
      <c r="I1336" s="6">
        <v>0.0</v>
      </c>
      <c r="J1336" s="6" t="s">
        <v>11590</v>
      </c>
      <c r="K1336" s="6">
        <v>0.0</v>
      </c>
      <c r="L1336" s="6">
        <v>0.0</v>
      </c>
      <c r="M1336" s="6">
        <v>0.0</v>
      </c>
      <c r="N1336" s="669">
        <v>1700000.0</v>
      </c>
      <c r="O1336" s="6">
        <v>0.0</v>
      </c>
      <c r="P1336" s="6">
        <v>0.0</v>
      </c>
      <c r="Q1336" s="6">
        <v>0.0</v>
      </c>
      <c r="R1336" s="6">
        <v>0.0</v>
      </c>
      <c r="S1336" s="6">
        <v>0.0</v>
      </c>
      <c r="T1336" s="6">
        <v>0.0</v>
      </c>
      <c r="U1336" s="6">
        <v>0.0</v>
      </c>
    </row>
    <row r="1337">
      <c r="A1337" s="6" t="s">
        <v>1991</v>
      </c>
      <c r="B1337" s="6" t="s">
        <v>11569</v>
      </c>
      <c r="C1337" s="6" t="s">
        <v>11570</v>
      </c>
      <c r="D1337" s="6" t="s">
        <v>22</v>
      </c>
      <c r="E1337" s="6" t="s">
        <v>1992</v>
      </c>
      <c r="G1337" s="6" t="s">
        <v>2939</v>
      </c>
      <c r="H1337" s="6">
        <v>0.0</v>
      </c>
      <c r="I1337" s="6">
        <v>0.0</v>
      </c>
      <c r="J1337" s="6">
        <v>1.0</v>
      </c>
      <c r="K1337" s="6">
        <v>0.0</v>
      </c>
      <c r="L1337" s="6">
        <v>0.0</v>
      </c>
      <c r="M1337" s="6">
        <v>0.0</v>
      </c>
      <c r="N1337" s="669">
        <v>1950000.0</v>
      </c>
      <c r="O1337" s="6">
        <v>0.0</v>
      </c>
      <c r="P1337" s="6">
        <v>0.0</v>
      </c>
      <c r="Q1337" s="6">
        <v>0.0</v>
      </c>
      <c r="R1337" s="6">
        <v>0.0</v>
      </c>
      <c r="S1337" s="6">
        <v>5.0</v>
      </c>
      <c r="T1337" s="6">
        <v>0.0</v>
      </c>
      <c r="U1337" s="6">
        <v>0.0</v>
      </c>
    </row>
    <row r="1338">
      <c r="A1338" s="6" t="s">
        <v>12085</v>
      </c>
      <c r="B1338" s="6" t="s">
        <v>11569</v>
      </c>
      <c r="C1338" s="6" t="s">
        <v>11570</v>
      </c>
      <c r="D1338" s="6" t="s">
        <v>22</v>
      </c>
      <c r="E1338" s="6" t="s">
        <v>12086</v>
      </c>
      <c r="G1338" s="6" t="s">
        <v>2939</v>
      </c>
      <c r="H1338" s="6">
        <v>0.0</v>
      </c>
      <c r="I1338" s="6">
        <v>0.0</v>
      </c>
      <c r="J1338" s="6" t="s">
        <v>11590</v>
      </c>
      <c r="K1338" s="6" t="s">
        <v>11590</v>
      </c>
      <c r="L1338" s="6">
        <v>0.0</v>
      </c>
      <c r="M1338" s="6">
        <v>0.0</v>
      </c>
      <c r="N1338" s="669">
        <v>914000.0</v>
      </c>
      <c r="O1338" s="6">
        <v>0.0</v>
      </c>
      <c r="P1338" s="6">
        <v>0.0</v>
      </c>
      <c r="Q1338" s="6">
        <v>0.0</v>
      </c>
      <c r="R1338" s="6">
        <v>0.0</v>
      </c>
      <c r="S1338" s="6" t="s">
        <v>11590</v>
      </c>
      <c r="T1338" s="6" t="s">
        <v>11590</v>
      </c>
      <c r="U1338" s="6" t="s">
        <v>11590</v>
      </c>
    </row>
    <row r="1339">
      <c r="A1339" s="6" t="s">
        <v>12087</v>
      </c>
      <c r="B1339" s="6" t="s">
        <v>11569</v>
      </c>
      <c r="C1339" s="6" t="s">
        <v>11570</v>
      </c>
      <c r="D1339" s="6" t="s">
        <v>22</v>
      </c>
      <c r="E1339" s="6" t="s">
        <v>1309</v>
      </c>
      <c r="G1339" s="6" t="s">
        <v>2939</v>
      </c>
      <c r="H1339" s="6">
        <v>0.0</v>
      </c>
      <c r="I1339" s="6">
        <v>0.0</v>
      </c>
      <c r="J1339" s="6">
        <v>2.0</v>
      </c>
      <c r="K1339" s="6">
        <v>9.0</v>
      </c>
      <c r="L1339" s="6">
        <v>0.0</v>
      </c>
      <c r="M1339" s="6">
        <v>0.0</v>
      </c>
      <c r="N1339" s="669">
        <v>914000.0</v>
      </c>
      <c r="O1339" s="6">
        <v>0.0</v>
      </c>
      <c r="P1339" s="6">
        <v>0.0</v>
      </c>
      <c r="Q1339" s="6">
        <v>0.0</v>
      </c>
      <c r="R1339" s="6">
        <v>0.0</v>
      </c>
      <c r="S1339" s="6" t="s">
        <v>11590</v>
      </c>
      <c r="T1339" s="6" t="s">
        <v>11590</v>
      </c>
      <c r="U1339" s="6" t="s">
        <v>11590</v>
      </c>
    </row>
    <row r="1340">
      <c r="A1340" s="6" t="s">
        <v>2155</v>
      </c>
      <c r="B1340" s="6" t="s">
        <v>11569</v>
      </c>
      <c r="C1340" s="6" t="s">
        <v>11570</v>
      </c>
      <c r="D1340" s="6" t="s">
        <v>22</v>
      </c>
      <c r="E1340" s="6" t="s">
        <v>2156</v>
      </c>
      <c r="G1340" s="6" t="s">
        <v>2939</v>
      </c>
      <c r="H1340" s="6">
        <v>0.0</v>
      </c>
      <c r="I1340" s="6">
        <v>0.0</v>
      </c>
      <c r="J1340" s="6" t="s">
        <v>11590</v>
      </c>
      <c r="K1340" s="6">
        <v>3.0</v>
      </c>
      <c r="L1340" s="6">
        <v>0.0</v>
      </c>
      <c r="M1340" s="6">
        <v>0.0</v>
      </c>
      <c r="N1340" s="669">
        <v>1898000.0</v>
      </c>
      <c r="O1340" s="6">
        <v>0.0</v>
      </c>
      <c r="P1340" s="6">
        <v>0.0</v>
      </c>
      <c r="Q1340" s="6">
        <v>0.0</v>
      </c>
      <c r="R1340" s="6">
        <v>0.0</v>
      </c>
      <c r="S1340" s="6" t="s">
        <v>11590</v>
      </c>
      <c r="T1340" s="6">
        <v>0.0</v>
      </c>
      <c r="U1340" s="6">
        <v>0.0</v>
      </c>
    </row>
    <row r="1341">
      <c r="A1341" s="6" t="s">
        <v>1998</v>
      </c>
      <c r="B1341" s="6" t="s">
        <v>11569</v>
      </c>
      <c r="C1341" s="6" t="s">
        <v>11570</v>
      </c>
      <c r="D1341" s="6" t="s">
        <v>22</v>
      </c>
      <c r="E1341" s="6" t="s">
        <v>1999</v>
      </c>
      <c r="G1341" s="6" t="s">
        <v>2939</v>
      </c>
      <c r="H1341" s="6">
        <v>0.0</v>
      </c>
      <c r="I1341" s="6">
        <v>0.0</v>
      </c>
      <c r="J1341" s="6">
        <v>8.0</v>
      </c>
      <c r="K1341" s="6">
        <v>6.0</v>
      </c>
      <c r="L1341" s="6">
        <v>0.0</v>
      </c>
      <c r="M1341" s="6">
        <v>0.0</v>
      </c>
      <c r="N1341" s="669">
        <v>1898000.0</v>
      </c>
      <c r="O1341" s="6">
        <v>0.0</v>
      </c>
      <c r="P1341" s="6">
        <v>0.0</v>
      </c>
      <c r="Q1341" s="6">
        <v>0.0</v>
      </c>
      <c r="R1341" s="6">
        <v>0.0</v>
      </c>
      <c r="S1341" s="6" t="s">
        <v>11590</v>
      </c>
      <c r="T1341" s="6">
        <v>0.0</v>
      </c>
      <c r="U1341" s="6">
        <v>0.0</v>
      </c>
    </row>
    <row r="1342">
      <c r="A1342" s="6" t="s">
        <v>1417</v>
      </c>
      <c r="B1342" s="6" t="s">
        <v>11654</v>
      </c>
      <c r="C1342" s="6" t="s">
        <v>11570</v>
      </c>
      <c r="D1342" s="6" t="s">
        <v>22</v>
      </c>
      <c r="E1342" s="6" t="s">
        <v>1418</v>
      </c>
      <c r="G1342" s="6" t="s">
        <v>2939</v>
      </c>
      <c r="H1342" s="6">
        <v>0.0</v>
      </c>
      <c r="I1342" s="6">
        <v>0.0</v>
      </c>
      <c r="J1342" s="6" t="s">
        <v>11590</v>
      </c>
      <c r="K1342" s="6">
        <v>1.0</v>
      </c>
      <c r="L1342" s="6" t="s">
        <v>11590</v>
      </c>
      <c r="M1342" s="6">
        <v>10.0</v>
      </c>
      <c r="N1342" s="669">
        <v>1020000.0</v>
      </c>
      <c r="O1342" s="6" t="s">
        <v>11590</v>
      </c>
      <c r="P1342" s="6">
        <v>10.0</v>
      </c>
      <c r="Q1342" s="6">
        <v>0.0</v>
      </c>
      <c r="R1342" s="6">
        <v>0.0</v>
      </c>
      <c r="S1342" s="6">
        <v>0.0</v>
      </c>
      <c r="T1342" s="6">
        <v>0.0</v>
      </c>
      <c r="U1342" s="6" t="s">
        <v>11590</v>
      </c>
    </row>
    <row r="1343">
      <c r="A1343" s="6" t="s">
        <v>12088</v>
      </c>
      <c r="B1343" s="6" t="s">
        <v>11569</v>
      </c>
      <c r="C1343" s="6" t="s">
        <v>11570</v>
      </c>
      <c r="D1343" s="6" t="s">
        <v>22</v>
      </c>
      <c r="E1343" s="6" t="s">
        <v>12089</v>
      </c>
      <c r="G1343" s="6" t="s">
        <v>2939</v>
      </c>
      <c r="H1343" s="6">
        <v>0.0</v>
      </c>
      <c r="I1343" s="6">
        <v>0.0</v>
      </c>
      <c r="J1343" s="6">
        <v>8.0</v>
      </c>
      <c r="K1343" s="6">
        <v>0.0</v>
      </c>
      <c r="L1343" s="6">
        <v>0.0</v>
      </c>
      <c r="M1343" s="6">
        <v>0.0</v>
      </c>
      <c r="N1343" s="669">
        <v>2800000.0</v>
      </c>
      <c r="O1343" s="6">
        <v>0.0</v>
      </c>
      <c r="P1343" s="6">
        <v>0.0</v>
      </c>
      <c r="Q1343" s="6">
        <v>0.0</v>
      </c>
      <c r="R1343" s="6">
        <v>0.0</v>
      </c>
      <c r="S1343" s="6">
        <v>0.0</v>
      </c>
      <c r="T1343" s="6">
        <v>0.0</v>
      </c>
      <c r="U1343" s="6">
        <v>0.0</v>
      </c>
    </row>
    <row r="1344">
      <c r="A1344" s="6" t="s">
        <v>2135</v>
      </c>
      <c r="B1344" s="6" t="s">
        <v>11653</v>
      </c>
      <c r="C1344" s="6" t="s">
        <v>11570</v>
      </c>
      <c r="D1344" s="6" t="s">
        <v>22</v>
      </c>
      <c r="E1344" s="6" t="s">
        <v>2136</v>
      </c>
      <c r="G1344" s="6" t="s">
        <v>2939</v>
      </c>
      <c r="H1344" s="6">
        <v>0.0</v>
      </c>
      <c r="I1344" s="6">
        <v>0.0</v>
      </c>
      <c r="J1344" s="6">
        <v>0.0</v>
      </c>
      <c r="K1344" s="6">
        <v>0.0</v>
      </c>
      <c r="L1344" s="6">
        <v>4.0</v>
      </c>
      <c r="M1344" s="6">
        <v>2.0</v>
      </c>
      <c r="N1344" s="669">
        <v>3358000.0</v>
      </c>
      <c r="O1344" s="6">
        <v>0.0</v>
      </c>
      <c r="P1344" s="6">
        <v>0.0</v>
      </c>
      <c r="Q1344" s="6">
        <v>0.0</v>
      </c>
      <c r="R1344" s="6">
        <v>0.0</v>
      </c>
      <c r="S1344" s="6">
        <v>0.0</v>
      </c>
      <c r="T1344" s="6">
        <v>0.0</v>
      </c>
      <c r="U1344" s="6">
        <v>0.0</v>
      </c>
    </row>
    <row r="1345">
      <c r="A1345" s="6" t="s">
        <v>12090</v>
      </c>
      <c r="B1345" s="6" t="s">
        <v>11569</v>
      </c>
      <c r="C1345" s="6" t="s">
        <v>11570</v>
      </c>
      <c r="D1345" s="6" t="s">
        <v>22</v>
      </c>
      <c r="E1345" s="6" t="s">
        <v>12091</v>
      </c>
      <c r="F1345" s="6" t="s">
        <v>97</v>
      </c>
      <c r="G1345" s="6" t="s">
        <v>2939</v>
      </c>
      <c r="H1345" s="6">
        <v>0.0</v>
      </c>
      <c r="I1345" s="6">
        <v>0.0</v>
      </c>
      <c r="J1345" s="6" t="s">
        <v>11590</v>
      </c>
      <c r="K1345" s="6" t="s">
        <v>11590</v>
      </c>
      <c r="L1345" s="6">
        <v>0.0</v>
      </c>
      <c r="M1345" s="6">
        <v>0.0</v>
      </c>
      <c r="N1345" s="669">
        <v>4180000.0</v>
      </c>
      <c r="O1345" s="6">
        <v>0.0</v>
      </c>
      <c r="P1345" s="6">
        <v>0.0</v>
      </c>
      <c r="Q1345" s="6">
        <v>0.0</v>
      </c>
      <c r="R1345" s="6">
        <v>0.0</v>
      </c>
      <c r="S1345" s="6">
        <v>0.0</v>
      </c>
      <c r="T1345" s="6">
        <v>0.0</v>
      </c>
      <c r="U1345" s="6">
        <v>0.0</v>
      </c>
    </row>
    <row r="1346">
      <c r="A1346" s="6" t="s">
        <v>2000</v>
      </c>
      <c r="B1346" s="6" t="s">
        <v>11569</v>
      </c>
      <c r="C1346" s="6" t="s">
        <v>11570</v>
      </c>
      <c r="D1346" s="6" t="s">
        <v>22</v>
      </c>
      <c r="E1346" s="6" t="s">
        <v>12092</v>
      </c>
      <c r="F1346" s="6" t="s">
        <v>97</v>
      </c>
      <c r="G1346" s="6" t="s">
        <v>2939</v>
      </c>
      <c r="H1346" s="6">
        <v>0.0</v>
      </c>
      <c r="I1346" s="6">
        <v>0.0</v>
      </c>
      <c r="J1346" s="6">
        <v>4.0</v>
      </c>
      <c r="K1346" s="6" t="s">
        <v>11590</v>
      </c>
      <c r="L1346" s="6">
        <v>0.0</v>
      </c>
      <c r="M1346" s="6">
        <v>0.0</v>
      </c>
      <c r="N1346" s="669">
        <v>1950000.0</v>
      </c>
      <c r="O1346" s="6">
        <v>0.0</v>
      </c>
      <c r="P1346" s="6">
        <v>0.0</v>
      </c>
      <c r="Q1346" s="6">
        <v>0.0</v>
      </c>
      <c r="R1346" s="6">
        <v>0.0</v>
      </c>
      <c r="S1346" s="6">
        <v>0.0</v>
      </c>
      <c r="T1346" s="6">
        <v>0.0</v>
      </c>
      <c r="U1346" s="6">
        <v>0.0</v>
      </c>
    </row>
    <row r="1347">
      <c r="A1347" s="6" t="s">
        <v>2002</v>
      </c>
      <c r="B1347" s="6" t="s">
        <v>11654</v>
      </c>
      <c r="C1347" s="6" t="s">
        <v>11570</v>
      </c>
      <c r="D1347" s="6" t="s">
        <v>22</v>
      </c>
      <c r="E1347" s="6" t="s">
        <v>2003</v>
      </c>
      <c r="G1347" s="6" t="s">
        <v>2939</v>
      </c>
      <c r="H1347" s="6">
        <v>0.0</v>
      </c>
      <c r="I1347" s="6">
        <v>0.0</v>
      </c>
      <c r="J1347" s="6">
        <v>6.0</v>
      </c>
      <c r="K1347" s="6" t="s">
        <v>11590</v>
      </c>
      <c r="L1347" s="6" t="s">
        <v>11590</v>
      </c>
      <c r="M1347" s="6">
        <v>5.0</v>
      </c>
      <c r="N1347" s="669">
        <v>995000.0</v>
      </c>
      <c r="O1347" s="6" t="s">
        <v>11590</v>
      </c>
      <c r="P1347" s="6">
        <v>10.0</v>
      </c>
      <c r="Q1347" s="6">
        <v>0.0</v>
      </c>
      <c r="R1347" s="6">
        <v>0.0</v>
      </c>
      <c r="S1347" s="6" t="s">
        <v>11590</v>
      </c>
      <c r="T1347" s="6">
        <v>0.0</v>
      </c>
      <c r="U1347" s="6">
        <v>0.0</v>
      </c>
    </row>
    <row r="1348">
      <c r="A1348" s="6" t="s">
        <v>1310</v>
      </c>
      <c r="B1348" s="6" t="s">
        <v>11654</v>
      </c>
      <c r="C1348" s="6" t="s">
        <v>11570</v>
      </c>
      <c r="D1348" s="6" t="s">
        <v>22</v>
      </c>
      <c r="E1348" s="6" t="s">
        <v>1311</v>
      </c>
      <c r="G1348" s="6" t="s">
        <v>2939</v>
      </c>
      <c r="H1348" s="6">
        <v>0.0</v>
      </c>
      <c r="I1348" s="6">
        <v>0.0</v>
      </c>
      <c r="J1348" s="6" t="s">
        <v>11590</v>
      </c>
      <c r="K1348" s="6">
        <v>1.0</v>
      </c>
      <c r="L1348" s="6" t="s">
        <v>11590</v>
      </c>
      <c r="M1348" s="6" t="s">
        <v>11590</v>
      </c>
      <c r="N1348" s="669">
        <v>844000.0</v>
      </c>
      <c r="O1348" s="6" t="s">
        <v>11590</v>
      </c>
      <c r="P1348" s="6" t="s">
        <v>11590</v>
      </c>
      <c r="Q1348" s="6">
        <v>0.0</v>
      </c>
      <c r="R1348" s="6">
        <v>0.0</v>
      </c>
      <c r="S1348" s="6" t="s">
        <v>11590</v>
      </c>
      <c r="T1348" s="6" t="s">
        <v>11590</v>
      </c>
      <c r="U1348" s="6" t="s">
        <v>11590</v>
      </c>
    </row>
    <row r="1349">
      <c r="A1349" s="6" t="s">
        <v>1312</v>
      </c>
      <c r="B1349" s="6" t="s">
        <v>11569</v>
      </c>
      <c r="C1349" s="6" t="s">
        <v>11570</v>
      </c>
      <c r="D1349" s="6" t="s">
        <v>22</v>
      </c>
      <c r="E1349" s="6" t="s">
        <v>1313</v>
      </c>
      <c r="G1349" s="6" t="s">
        <v>2939</v>
      </c>
      <c r="H1349" s="6">
        <v>0.0</v>
      </c>
      <c r="I1349" s="6">
        <v>0.0</v>
      </c>
      <c r="J1349" s="6" t="s">
        <v>11590</v>
      </c>
      <c r="K1349" s="6" t="s">
        <v>11590</v>
      </c>
      <c r="L1349" s="6">
        <v>0.0</v>
      </c>
      <c r="M1349" s="6">
        <v>0.0</v>
      </c>
      <c r="N1349" s="669">
        <v>1072000.0</v>
      </c>
      <c r="O1349" s="6">
        <v>0.0</v>
      </c>
      <c r="P1349" s="6">
        <v>0.0</v>
      </c>
      <c r="Q1349" s="6">
        <v>0.0</v>
      </c>
      <c r="R1349" s="6">
        <v>0.0</v>
      </c>
      <c r="S1349" s="6" t="s">
        <v>11590</v>
      </c>
      <c r="T1349" s="6">
        <v>0.0</v>
      </c>
      <c r="U1349" s="6">
        <v>0.0</v>
      </c>
    </row>
    <row r="1350">
      <c r="A1350" s="6" t="s">
        <v>1314</v>
      </c>
      <c r="B1350" s="6" t="s">
        <v>11654</v>
      </c>
      <c r="C1350" s="6" t="s">
        <v>11570</v>
      </c>
      <c r="D1350" s="6" t="s">
        <v>22</v>
      </c>
      <c r="E1350" s="6" t="s">
        <v>12093</v>
      </c>
      <c r="G1350" s="6" t="s">
        <v>2939</v>
      </c>
      <c r="H1350" s="6">
        <v>0.0</v>
      </c>
      <c r="I1350" s="6">
        <v>0.0</v>
      </c>
      <c r="J1350" s="6" t="s">
        <v>11590</v>
      </c>
      <c r="K1350" s="6">
        <v>0.0</v>
      </c>
      <c r="L1350" s="6">
        <v>0.0</v>
      </c>
      <c r="M1350" s="6">
        <v>0.0</v>
      </c>
      <c r="N1350" s="669">
        <v>1417000.0</v>
      </c>
      <c r="O1350" s="6">
        <v>0.0</v>
      </c>
      <c r="P1350" s="6">
        <v>0.0</v>
      </c>
      <c r="Q1350" s="6">
        <v>0.0</v>
      </c>
      <c r="R1350" s="6">
        <v>0.0</v>
      </c>
      <c r="S1350" s="6" t="s">
        <v>11590</v>
      </c>
      <c r="T1350" s="6" t="s">
        <v>11590</v>
      </c>
      <c r="U1350" s="6" t="s">
        <v>11590</v>
      </c>
    </row>
    <row r="1351">
      <c r="A1351" s="6" t="s">
        <v>12094</v>
      </c>
      <c r="B1351" s="6" t="s">
        <v>11569</v>
      </c>
      <c r="C1351" s="6" t="s">
        <v>11570</v>
      </c>
      <c r="D1351" s="6" t="s">
        <v>22</v>
      </c>
      <c r="E1351" s="6" t="s">
        <v>12095</v>
      </c>
      <c r="G1351" s="6" t="s">
        <v>2939</v>
      </c>
      <c r="H1351" s="6">
        <v>0.0</v>
      </c>
      <c r="I1351" s="6">
        <v>0.0</v>
      </c>
      <c r="J1351" s="6" t="s">
        <v>11590</v>
      </c>
      <c r="K1351" s="6">
        <v>0.0</v>
      </c>
      <c r="L1351" s="6">
        <v>0.0</v>
      </c>
      <c r="M1351" s="6">
        <v>0.0</v>
      </c>
      <c r="N1351" s="669">
        <v>1700000.0</v>
      </c>
      <c r="O1351" s="6">
        <v>0.0</v>
      </c>
      <c r="P1351" s="6">
        <v>0.0</v>
      </c>
      <c r="Q1351" s="6">
        <v>0.0</v>
      </c>
      <c r="R1351" s="6">
        <v>0.0</v>
      </c>
      <c r="S1351" s="6">
        <v>0.0</v>
      </c>
      <c r="T1351" s="6" t="s">
        <v>11590</v>
      </c>
      <c r="U1351" s="6">
        <v>0.0</v>
      </c>
    </row>
    <row r="1352">
      <c r="A1352" s="6" t="s">
        <v>1316</v>
      </c>
      <c r="B1352" s="6" t="s">
        <v>11569</v>
      </c>
      <c r="C1352" s="6" t="s">
        <v>11570</v>
      </c>
      <c r="D1352" s="6" t="s">
        <v>22</v>
      </c>
      <c r="E1352" s="6" t="s">
        <v>1317</v>
      </c>
      <c r="G1352" s="6" t="s">
        <v>2939</v>
      </c>
      <c r="H1352" s="6">
        <v>0.0</v>
      </c>
      <c r="I1352" s="6">
        <v>0.0</v>
      </c>
      <c r="J1352" s="6" t="s">
        <v>11590</v>
      </c>
      <c r="K1352" s="6">
        <v>0.0</v>
      </c>
      <c r="L1352" s="6">
        <v>0.0</v>
      </c>
      <c r="M1352" s="6">
        <v>0.0</v>
      </c>
      <c r="N1352" s="669">
        <v>2243000.0</v>
      </c>
      <c r="O1352" s="6">
        <v>0.0</v>
      </c>
      <c r="P1352" s="6">
        <v>0.0</v>
      </c>
      <c r="Q1352" s="6">
        <v>0.0</v>
      </c>
      <c r="R1352" s="6">
        <v>0.0</v>
      </c>
      <c r="S1352" s="6" t="s">
        <v>11590</v>
      </c>
      <c r="T1352" s="6">
        <v>0.0</v>
      </c>
      <c r="U1352" s="6">
        <v>0.0</v>
      </c>
    </row>
    <row r="1353">
      <c r="A1353" s="6" t="s">
        <v>1318</v>
      </c>
      <c r="B1353" s="6" t="s">
        <v>11654</v>
      </c>
      <c r="C1353" s="6" t="s">
        <v>11570</v>
      </c>
      <c r="D1353" s="6" t="s">
        <v>22</v>
      </c>
      <c r="E1353" s="6" t="s">
        <v>1319</v>
      </c>
      <c r="G1353" s="6" t="s">
        <v>2939</v>
      </c>
      <c r="H1353" s="6">
        <v>0.0</v>
      </c>
      <c r="I1353" s="6">
        <v>0.0</v>
      </c>
      <c r="J1353" s="6" t="s">
        <v>11590</v>
      </c>
      <c r="K1353" s="6">
        <v>10.0</v>
      </c>
      <c r="L1353" s="6">
        <v>6.0</v>
      </c>
      <c r="M1353" s="6" t="s">
        <v>11590</v>
      </c>
      <c r="N1353" s="669">
        <v>780000.0</v>
      </c>
      <c r="O1353" s="6">
        <v>10.0</v>
      </c>
      <c r="P1353" s="6">
        <v>0.0</v>
      </c>
      <c r="Q1353" s="6">
        <v>0.0</v>
      </c>
      <c r="R1353" s="6">
        <v>0.0</v>
      </c>
      <c r="S1353" s="6" t="s">
        <v>11590</v>
      </c>
      <c r="T1353" s="6" t="s">
        <v>11590</v>
      </c>
      <c r="U1353" s="6" t="s">
        <v>11590</v>
      </c>
    </row>
    <row r="1354">
      <c r="A1354" s="6" t="s">
        <v>2005</v>
      </c>
      <c r="B1354" s="6" t="s">
        <v>11569</v>
      </c>
      <c r="C1354" s="6" t="s">
        <v>11570</v>
      </c>
      <c r="D1354" s="6" t="s">
        <v>22</v>
      </c>
      <c r="E1354" s="6" t="s">
        <v>2006</v>
      </c>
      <c r="G1354" s="6" t="s">
        <v>2939</v>
      </c>
      <c r="H1354" s="6">
        <v>0.0</v>
      </c>
      <c r="I1354" s="6">
        <v>0.0</v>
      </c>
      <c r="J1354" s="6" t="s">
        <v>11590</v>
      </c>
      <c r="K1354" s="6" t="s">
        <v>11590</v>
      </c>
      <c r="L1354" s="6">
        <v>0.0</v>
      </c>
      <c r="M1354" s="6">
        <v>0.0</v>
      </c>
      <c r="N1354" s="669">
        <v>2169000.0</v>
      </c>
      <c r="O1354" s="6">
        <v>0.0</v>
      </c>
      <c r="P1354" s="6">
        <v>0.0</v>
      </c>
      <c r="Q1354" s="6">
        <v>0.0</v>
      </c>
      <c r="R1354" s="6">
        <v>0.0</v>
      </c>
      <c r="S1354" s="6">
        <v>0.0</v>
      </c>
      <c r="T1354" s="6">
        <v>10.0</v>
      </c>
      <c r="U1354" s="6">
        <v>10.0</v>
      </c>
    </row>
    <row r="1355">
      <c r="A1355" s="6" t="s">
        <v>12096</v>
      </c>
      <c r="B1355" s="6" t="s">
        <v>11569</v>
      </c>
      <c r="C1355" s="6" t="s">
        <v>11570</v>
      </c>
      <c r="D1355" s="6" t="s">
        <v>22</v>
      </c>
      <c r="E1355" s="6" t="s">
        <v>12097</v>
      </c>
      <c r="F1355" s="6" t="s">
        <v>97</v>
      </c>
      <c r="G1355" s="6" t="s">
        <v>2939</v>
      </c>
      <c r="H1355" s="6">
        <v>0.0</v>
      </c>
      <c r="I1355" s="6">
        <v>0.0</v>
      </c>
      <c r="J1355" s="6">
        <v>9.0</v>
      </c>
      <c r="K1355" s="6">
        <v>10.0</v>
      </c>
      <c r="L1355" s="6">
        <v>0.0</v>
      </c>
      <c r="M1355" s="6">
        <v>0.0</v>
      </c>
      <c r="N1355" s="669">
        <v>2300000.0</v>
      </c>
      <c r="O1355" s="6">
        <v>0.0</v>
      </c>
      <c r="P1355" s="6">
        <v>0.0</v>
      </c>
      <c r="Q1355" s="6">
        <v>0.0</v>
      </c>
      <c r="R1355" s="6">
        <v>0.0</v>
      </c>
      <c r="S1355" s="6">
        <v>0.0</v>
      </c>
      <c r="T1355" s="6">
        <v>0.0</v>
      </c>
      <c r="U1355" s="6">
        <v>0.0</v>
      </c>
    </row>
    <row r="1356">
      <c r="A1356" s="6" t="s">
        <v>12098</v>
      </c>
      <c r="B1356" s="6" t="s">
        <v>11653</v>
      </c>
      <c r="C1356" s="6" t="s">
        <v>11570</v>
      </c>
      <c r="D1356" s="6" t="s">
        <v>22</v>
      </c>
      <c r="E1356" s="6" t="s">
        <v>12099</v>
      </c>
      <c r="G1356" s="6" t="s">
        <v>2939</v>
      </c>
      <c r="H1356" s="6">
        <v>0.0</v>
      </c>
      <c r="I1356" s="6">
        <v>0.0</v>
      </c>
      <c r="J1356" s="6">
        <v>0.0</v>
      </c>
      <c r="K1356" s="6">
        <v>0.0</v>
      </c>
      <c r="L1356" s="6">
        <v>0.0</v>
      </c>
      <c r="M1356" s="6">
        <v>1.0</v>
      </c>
      <c r="N1356" s="669">
        <v>3295000.0</v>
      </c>
      <c r="O1356" s="6">
        <v>0.0</v>
      </c>
      <c r="P1356" s="6">
        <v>0.0</v>
      </c>
      <c r="Q1356" s="6">
        <v>0.0</v>
      </c>
      <c r="R1356" s="6">
        <v>0.0</v>
      </c>
      <c r="S1356" s="6">
        <v>0.0</v>
      </c>
      <c r="T1356" s="6">
        <v>0.0</v>
      </c>
      <c r="U1356" s="6">
        <v>0.0</v>
      </c>
    </row>
    <row r="1357">
      <c r="A1357" s="6" t="s">
        <v>12100</v>
      </c>
      <c r="B1357" s="6" t="s">
        <v>11569</v>
      </c>
      <c r="C1357" s="6" t="s">
        <v>11570</v>
      </c>
      <c r="D1357" s="6" t="s">
        <v>22</v>
      </c>
      <c r="E1357" s="6" t="s">
        <v>12101</v>
      </c>
      <c r="F1357" s="6" t="s">
        <v>97</v>
      </c>
      <c r="G1357" s="6" t="s">
        <v>2939</v>
      </c>
      <c r="H1357" s="6">
        <v>0.0</v>
      </c>
      <c r="I1357" s="6">
        <v>0.0</v>
      </c>
      <c r="J1357" s="6">
        <v>0.0</v>
      </c>
      <c r="K1357" s="6">
        <v>0.0</v>
      </c>
      <c r="L1357" s="6">
        <v>0.0</v>
      </c>
      <c r="M1357" s="6">
        <v>0.0</v>
      </c>
      <c r="N1357" s="669">
        <v>3295000.0</v>
      </c>
      <c r="O1357" s="6">
        <v>0.0</v>
      </c>
      <c r="P1357" s="6">
        <v>0.0</v>
      </c>
      <c r="Q1357" s="6">
        <v>0.0</v>
      </c>
      <c r="R1357" s="6">
        <v>0.0</v>
      </c>
      <c r="S1357" s="6">
        <v>5.0</v>
      </c>
      <c r="T1357" s="6">
        <v>0.0</v>
      </c>
      <c r="U1357" s="6">
        <v>0.0</v>
      </c>
    </row>
    <row r="1358">
      <c r="A1358" s="6" t="s">
        <v>12102</v>
      </c>
      <c r="B1358" s="6" t="s">
        <v>11569</v>
      </c>
      <c r="C1358" s="6" t="s">
        <v>11570</v>
      </c>
      <c r="D1358" s="6" t="s">
        <v>22</v>
      </c>
      <c r="E1358" s="6" t="s">
        <v>12103</v>
      </c>
      <c r="F1358" s="6" t="s">
        <v>189</v>
      </c>
      <c r="G1358" s="6" t="s">
        <v>2939</v>
      </c>
      <c r="H1358" s="6">
        <v>0.0</v>
      </c>
      <c r="I1358" s="6">
        <v>0.0</v>
      </c>
      <c r="J1358" s="6">
        <v>5.0</v>
      </c>
      <c r="K1358" s="6">
        <v>0.0</v>
      </c>
      <c r="L1358" s="6">
        <v>0.0</v>
      </c>
      <c r="M1358" s="6">
        <v>0.0</v>
      </c>
      <c r="N1358" s="669">
        <v>3300000.0</v>
      </c>
      <c r="O1358" s="6">
        <v>0.0</v>
      </c>
      <c r="P1358" s="6">
        <v>0.0</v>
      </c>
      <c r="Q1358" s="6">
        <v>0.0</v>
      </c>
      <c r="R1358" s="6">
        <v>0.0</v>
      </c>
      <c r="S1358" s="6">
        <v>0.0</v>
      </c>
      <c r="T1358" s="6">
        <v>0.0</v>
      </c>
      <c r="U1358" s="6">
        <v>0.0</v>
      </c>
    </row>
    <row r="1359">
      <c r="A1359" s="6" t="s">
        <v>2007</v>
      </c>
      <c r="B1359" s="6" t="s">
        <v>11654</v>
      </c>
      <c r="C1359" s="6" t="s">
        <v>11570</v>
      </c>
      <c r="D1359" s="6" t="s">
        <v>22</v>
      </c>
      <c r="E1359" s="6" t="s">
        <v>1381</v>
      </c>
      <c r="G1359" s="6" t="s">
        <v>2939</v>
      </c>
      <c r="H1359" s="6">
        <v>0.0</v>
      </c>
      <c r="I1359" s="6">
        <v>0.0</v>
      </c>
      <c r="J1359" s="6" t="s">
        <v>11590</v>
      </c>
      <c r="K1359" s="6">
        <v>0.0</v>
      </c>
      <c r="L1359" s="6">
        <v>1.0</v>
      </c>
      <c r="M1359" s="6" t="s">
        <v>11590</v>
      </c>
      <c r="N1359" s="669">
        <v>950000.0</v>
      </c>
      <c r="O1359" s="6" t="s">
        <v>11590</v>
      </c>
      <c r="P1359" s="6" t="s">
        <v>11590</v>
      </c>
      <c r="Q1359" s="6">
        <v>0.0</v>
      </c>
      <c r="R1359" s="6">
        <v>0.0</v>
      </c>
      <c r="S1359" s="6">
        <v>0.0</v>
      </c>
      <c r="T1359" s="6">
        <v>0.0</v>
      </c>
      <c r="U1359" s="6" t="s">
        <v>11590</v>
      </c>
    </row>
    <row r="1360">
      <c r="A1360" s="6" t="s">
        <v>2141</v>
      </c>
      <c r="B1360" s="6" t="s">
        <v>11654</v>
      </c>
      <c r="C1360" s="6" t="s">
        <v>11591</v>
      </c>
      <c r="D1360" s="6" t="s">
        <v>128</v>
      </c>
      <c r="E1360" s="6" t="s">
        <v>1381</v>
      </c>
      <c r="F1360" s="6" t="s">
        <v>12104</v>
      </c>
      <c r="G1360" s="6" t="s">
        <v>2939</v>
      </c>
      <c r="H1360" s="6">
        <v>0.0</v>
      </c>
      <c r="I1360" s="6">
        <v>0.0</v>
      </c>
      <c r="J1360" s="6" t="s">
        <v>11590</v>
      </c>
      <c r="K1360" s="6">
        <v>0.0</v>
      </c>
      <c r="L1360" s="6">
        <v>0.0</v>
      </c>
      <c r="M1360" s="6">
        <v>0.0</v>
      </c>
      <c r="N1360" s="669">
        <v>350000.0</v>
      </c>
      <c r="O1360" s="6">
        <v>0.0</v>
      </c>
      <c r="P1360" s="6">
        <v>0.0</v>
      </c>
      <c r="Q1360" s="6">
        <v>0.0</v>
      </c>
      <c r="R1360" s="6">
        <v>0.0</v>
      </c>
      <c r="S1360" s="6">
        <v>0.0</v>
      </c>
      <c r="T1360" s="6">
        <v>0.0</v>
      </c>
      <c r="U1360" s="6">
        <v>0.0</v>
      </c>
    </row>
    <row r="1361">
      <c r="A1361" s="6" t="s">
        <v>1380</v>
      </c>
      <c r="B1361" s="6" t="s">
        <v>11654</v>
      </c>
      <c r="C1361" s="6" t="s">
        <v>11591</v>
      </c>
      <c r="D1361" s="6" t="s">
        <v>130</v>
      </c>
      <c r="E1361" s="6" t="s">
        <v>1381</v>
      </c>
      <c r="F1361" s="6" t="s">
        <v>12104</v>
      </c>
      <c r="G1361" s="6" t="s">
        <v>2939</v>
      </c>
      <c r="H1361" s="6">
        <v>0.0</v>
      </c>
      <c r="I1361" s="6">
        <v>0.0</v>
      </c>
      <c r="J1361" s="6" t="s">
        <v>11590</v>
      </c>
      <c r="K1361" s="6">
        <v>3.0</v>
      </c>
      <c r="L1361" s="6">
        <v>0.0</v>
      </c>
      <c r="M1361" s="6">
        <v>0.0</v>
      </c>
      <c r="N1361" s="669">
        <v>350000.0</v>
      </c>
      <c r="O1361" s="6">
        <v>0.0</v>
      </c>
      <c r="P1361" s="6">
        <v>0.0</v>
      </c>
      <c r="Q1361" s="6">
        <v>0.0</v>
      </c>
      <c r="R1361" s="6">
        <v>0.0</v>
      </c>
      <c r="S1361" s="6" t="s">
        <v>11590</v>
      </c>
      <c r="T1361" s="6" t="s">
        <v>11590</v>
      </c>
      <c r="U1361" s="6">
        <v>0.0</v>
      </c>
    </row>
    <row r="1362">
      <c r="A1362" s="6" t="s">
        <v>12105</v>
      </c>
      <c r="B1362" s="6" t="s">
        <v>11653</v>
      </c>
      <c r="C1362" s="6" t="s">
        <v>11570</v>
      </c>
      <c r="D1362" s="6" t="s">
        <v>22</v>
      </c>
      <c r="E1362" s="6" t="s">
        <v>12106</v>
      </c>
      <c r="G1362" s="6" t="s">
        <v>2939</v>
      </c>
      <c r="H1362" s="6">
        <v>0.0</v>
      </c>
      <c r="I1362" s="6">
        <v>0.0</v>
      </c>
      <c r="J1362" s="6">
        <v>0.0</v>
      </c>
      <c r="K1362" s="6">
        <v>0.0</v>
      </c>
      <c r="L1362" s="6">
        <v>0.0</v>
      </c>
      <c r="M1362" s="6">
        <v>0.0</v>
      </c>
      <c r="N1362" s="669">
        <v>4753000.0</v>
      </c>
      <c r="O1362" s="6">
        <v>0.0</v>
      </c>
      <c r="P1362" s="6">
        <v>0.0</v>
      </c>
      <c r="Q1362" s="6">
        <v>0.0</v>
      </c>
      <c r="R1362" s="6">
        <v>0.0</v>
      </c>
      <c r="S1362" s="6">
        <v>0.0</v>
      </c>
      <c r="T1362" s="6">
        <v>0.0</v>
      </c>
      <c r="U1362" s="6">
        <v>0.0</v>
      </c>
    </row>
    <row r="1363">
      <c r="A1363" s="6" t="s">
        <v>12107</v>
      </c>
      <c r="B1363" s="6" t="s">
        <v>11653</v>
      </c>
      <c r="C1363" s="6" t="s">
        <v>11570</v>
      </c>
      <c r="D1363" s="6" t="s">
        <v>22</v>
      </c>
      <c r="E1363" s="6" t="s">
        <v>12108</v>
      </c>
      <c r="G1363" s="6" t="s">
        <v>2939</v>
      </c>
      <c r="H1363" s="6">
        <v>0.0</v>
      </c>
      <c r="I1363" s="6">
        <v>0.0</v>
      </c>
      <c r="J1363" s="6">
        <v>0.0</v>
      </c>
      <c r="K1363" s="6">
        <v>0.0</v>
      </c>
      <c r="L1363" s="6">
        <v>0.0</v>
      </c>
      <c r="M1363" s="6">
        <v>0.0</v>
      </c>
      <c r="N1363" s="669">
        <v>2125000.0</v>
      </c>
      <c r="O1363" s="6">
        <v>0.0</v>
      </c>
      <c r="P1363" s="6">
        <v>0.0</v>
      </c>
      <c r="Q1363" s="6">
        <v>0.0</v>
      </c>
      <c r="R1363" s="6">
        <v>0.0</v>
      </c>
      <c r="S1363" s="6">
        <v>0.0</v>
      </c>
      <c r="T1363" s="6">
        <v>0.0</v>
      </c>
      <c r="U1363" s="6">
        <v>0.0</v>
      </c>
    </row>
    <row r="1364">
      <c r="H1364" s="6">
        <v>0.0</v>
      </c>
      <c r="I1364" s="6">
        <v>0.0</v>
      </c>
      <c r="J1364" s="6">
        <v>0.0</v>
      </c>
      <c r="K1364" s="6">
        <v>0.0</v>
      </c>
      <c r="L1364" s="6">
        <v>0.0</v>
      </c>
      <c r="M1364" s="6">
        <v>0.0</v>
      </c>
      <c r="N1364" s="670"/>
      <c r="O1364" s="6">
        <v>0.0</v>
      </c>
      <c r="P1364" s="6">
        <v>0.0</v>
      </c>
      <c r="Q1364" s="6">
        <v>0.0</v>
      </c>
      <c r="R1364" s="6">
        <v>0.0</v>
      </c>
      <c r="S1364" s="6">
        <v>0.0</v>
      </c>
      <c r="T1364" s="6">
        <v>0.0</v>
      </c>
      <c r="U1364" s="6">
        <v>0.0</v>
      </c>
    </row>
    <row r="1365">
      <c r="A1365" s="6" t="s">
        <v>12109</v>
      </c>
      <c r="E1365" s="6" t="s">
        <v>12109</v>
      </c>
      <c r="H1365" s="6">
        <v>0.0</v>
      </c>
      <c r="I1365" s="6">
        <v>0.0</v>
      </c>
      <c r="J1365" s="6">
        <v>0.0</v>
      </c>
      <c r="K1365" s="6">
        <v>0.0</v>
      </c>
      <c r="L1365" s="6">
        <v>0.0</v>
      </c>
      <c r="M1365" s="6">
        <v>0.0</v>
      </c>
      <c r="N1365" s="670"/>
      <c r="O1365" s="6">
        <v>0.0</v>
      </c>
      <c r="P1365" s="6">
        <v>0.0</v>
      </c>
      <c r="Q1365" s="6">
        <v>0.0</v>
      </c>
      <c r="R1365" s="6">
        <v>0.0</v>
      </c>
      <c r="S1365" s="6">
        <v>0.0</v>
      </c>
      <c r="T1365" s="6">
        <v>0.0</v>
      </c>
      <c r="U1365" s="6">
        <v>0.0</v>
      </c>
    </row>
    <row r="1366">
      <c r="A1366" s="6" t="s">
        <v>11550</v>
      </c>
      <c r="B1366" s="6" t="s">
        <v>4</v>
      </c>
      <c r="C1366" s="6" t="s">
        <v>11551</v>
      </c>
      <c r="D1366" s="6" t="s">
        <v>11552</v>
      </c>
      <c r="E1366" s="6" t="s">
        <v>2</v>
      </c>
      <c r="F1366" s="6" t="s">
        <v>5</v>
      </c>
      <c r="G1366" s="6" t="s">
        <v>11553</v>
      </c>
      <c r="H1366" s="6" t="s">
        <v>11554</v>
      </c>
      <c r="I1366" s="6" t="s">
        <v>11555</v>
      </c>
      <c r="J1366" s="6" t="s">
        <v>11556</v>
      </c>
      <c r="K1366" s="6" t="s">
        <v>11557</v>
      </c>
      <c r="L1366" s="6" t="s">
        <v>11558</v>
      </c>
      <c r="M1366" s="6" t="s">
        <v>11559</v>
      </c>
      <c r="N1366" s="667" t="s">
        <v>11560</v>
      </c>
      <c r="O1366" s="6" t="s">
        <v>11561</v>
      </c>
      <c r="P1366" s="6" t="s">
        <v>11562</v>
      </c>
      <c r="Q1366" s="6" t="s">
        <v>11563</v>
      </c>
      <c r="R1366" s="6" t="s">
        <v>11564</v>
      </c>
      <c r="S1366" s="6" t="s">
        <v>11565</v>
      </c>
      <c r="T1366" s="6" t="s">
        <v>11566</v>
      </c>
      <c r="U1366" s="6" t="s">
        <v>11567</v>
      </c>
    </row>
    <row r="1367">
      <c r="A1367" s="6" t="s">
        <v>12110</v>
      </c>
      <c r="B1367" s="6" t="s">
        <v>11653</v>
      </c>
      <c r="C1367" s="6" t="s">
        <v>11570</v>
      </c>
      <c r="D1367" s="6" t="s">
        <v>22</v>
      </c>
      <c r="E1367" s="6" t="s">
        <v>2144</v>
      </c>
      <c r="G1367" s="6" t="s">
        <v>2939</v>
      </c>
      <c r="H1367" s="6">
        <v>0.0</v>
      </c>
      <c r="I1367" s="6">
        <v>0.0</v>
      </c>
      <c r="J1367" s="6">
        <v>0.0</v>
      </c>
      <c r="K1367" s="6">
        <v>0.0</v>
      </c>
      <c r="L1367" s="6">
        <v>0.0</v>
      </c>
      <c r="M1367" s="6">
        <v>0.0</v>
      </c>
      <c r="N1367" s="669">
        <v>7000000.0</v>
      </c>
      <c r="O1367" s="6">
        <v>0.0</v>
      </c>
      <c r="P1367" s="6">
        <v>0.0</v>
      </c>
      <c r="Q1367" s="6">
        <v>0.0</v>
      </c>
      <c r="R1367" s="6">
        <v>0.0</v>
      </c>
      <c r="S1367" s="6">
        <v>0.0</v>
      </c>
      <c r="T1367" s="6">
        <v>0.0</v>
      </c>
      <c r="U1367" s="6">
        <v>0.0</v>
      </c>
    </row>
    <row r="1368">
      <c r="A1368" s="6" t="s">
        <v>2143</v>
      </c>
      <c r="B1368" s="6" t="s">
        <v>11653</v>
      </c>
      <c r="C1368" s="6" t="s">
        <v>11579</v>
      </c>
      <c r="D1368" s="6" t="s">
        <v>41</v>
      </c>
      <c r="E1368" s="6" t="s">
        <v>2144</v>
      </c>
      <c r="G1368" s="6" t="s">
        <v>2939</v>
      </c>
      <c r="H1368" s="6">
        <v>0.0</v>
      </c>
      <c r="I1368" s="6">
        <v>0.0</v>
      </c>
      <c r="J1368" s="6">
        <v>0.0</v>
      </c>
      <c r="K1368" s="6">
        <v>0.0</v>
      </c>
      <c r="L1368" s="6">
        <v>0.0</v>
      </c>
      <c r="M1368" s="6">
        <v>0.0</v>
      </c>
      <c r="N1368" s="669">
        <v>2238000.0</v>
      </c>
      <c r="O1368" s="6">
        <v>0.0</v>
      </c>
      <c r="P1368" s="6">
        <v>0.0</v>
      </c>
      <c r="Q1368" s="6">
        <v>0.0</v>
      </c>
      <c r="R1368" s="6">
        <v>0.0</v>
      </c>
      <c r="S1368" s="6">
        <v>0.0</v>
      </c>
      <c r="T1368" s="6">
        <v>0.0</v>
      </c>
      <c r="U1368" s="6">
        <v>0.0</v>
      </c>
    </row>
    <row r="1369">
      <c r="A1369" s="6" t="s">
        <v>12111</v>
      </c>
      <c r="B1369" s="6" t="s">
        <v>11653</v>
      </c>
      <c r="C1369" s="6" t="s">
        <v>11570</v>
      </c>
      <c r="D1369" s="6" t="s">
        <v>22</v>
      </c>
      <c r="E1369" s="6" t="s">
        <v>12112</v>
      </c>
      <c r="G1369" s="6" t="s">
        <v>2939</v>
      </c>
      <c r="H1369" s="6">
        <v>0.0</v>
      </c>
      <c r="I1369" s="6">
        <v>0.0</v>
      </c>
      <c r="J1369" s="6">
        <v>0.0</v>
      </c>
      <c r="K1369" s="6">
        <v>0.0</v>
      </c>
      <c r="L1369" s="6">
        <v>0.0</v>
      </c>
      <c r="M1369" s="6">
        <v>0.0</v>
      </c>
      <c r="N1369" s="669">
        <v>4600000.0</v>
      </c>
      <c r="O1369" s="6">
        <v>0.0</v>
      </c>
      <c r="P1369" s="6">
        <v>0.0</v>
      </c>
      <c r="Q1369" s="6">
        <v>0.0</v>
      </c>
      <c r="R1369" s="6">
        <v>0.0</v>
      </c>
      <c r="S1369" s="6">
        <v>0.0</v>
      </c>
      <c r="T1369" s="6">
        <v>0.0</v>
      </c>
      <c r="U1369" s="6">
        <v>0.0</v>
      </c>
    </row>
    <row r="1370">
      <c r="A1370" s="6" t="s">
        <v>12113</v>
      </c>
      <c r="B1370" s="6" t="s">
        <v>11653</v>
      </c>
      <c r="C1370" s="6" t="s">
        <v>11570</v>
      </c>
      <c r="D1370" s="6" t="s">
        <v>22</v>
      </c>
      <c r="E1370" s="6" t="s">
        <v>12114</v>
      </c>
      <c r="G1370" s="6" t="s">
        <v>2939</v>
      </c>
      <c r="H1370" s="6">
        <v>0.0</v>
      </c>
      <c r="I1370" s="6">
        <v>0.0</v>
      </c>
      <c r="J1370" s="6">
        <v>0.0</v>
      </c>
      <c r="K1370" s="6">
        <v>0.0</v>
      </c>
      <c r="L1370" s="6">
        <v>0.0</v>
      </c>
      <c r="M1370" s="6">
        <v>0.0</v>
      </c>
      <c r="N1370" s="669">
        <v>4600000.0</v>
      </c>
      <c r="O1370" s="6">
        <v>0.0</v>
      </c>
      <c r="P1370" s="6">
        <v>0.0</v>
      </c>
      <c r="Q1370" s="6">
        <v>0.0</v>
      </c>
      <c r="R1370" s="6">
        <v>0.0</v>
      </c>
      <c r="S1370" s="6">
        <v>0.0</v>
      </c>
      <c r="T1370" s="6">
        <v>0.0</v>
      </c>
      <c r="U1370" s="6">
        <v>0.0</v>
      </c>
    </row>
    <row r="1371">
      <c r="A1371" s="6"/>
      <c r="B1371" s="6"/>
      <c r="C1371" s="6"/>
      <c r="D1371" s="6"/>
      <c r="E1371" s="6"/>
      <c r="G1371" s="6"/>
      <c r="H1371" s="6"/>
      <c r="I1371" s="6"/>
      <c r="J1371" s="6"/>
      <c r="K1371" s="6"/>
      <c r="L1371" s="6"/>
      <c r="M1371" s="6"/>
      <c r="N1371" s="671"/>
      <c r="O1371" s="6"/>
      <c r="P1371" s="6"/>
      <c r="Q1371" s="6"/>
      <c r="R1371" s="6"/>
      <c r="S1371" s="6"/>
      <c r="T1371" s="6"/>
      <c r="U1371" s="6"/>
    </row>
    <row r="1372">
      <c r="A1372" s="6"/>
      <c r="B1372" s="6"/>
      <c r="C1372" s="6"/>
      <c r="D1372" s="6"/>
      <c r="E1372" s="6"/>
      <c r="G1372" s="6"/>
      <c r="H1372" s="6"/>
      <c r="I1372" s="6"/>
      <c r="J1372" s="6"/>
      <c r="K1372" s="6"/>
      <c r="L1372" s="6"/>
      <c r="M1372" s="6"/>
      <c r="N1372" s="671"/>
      <c r="O1372" s="6"/>
      <c r="P1372" s="6"/>
      <c r="Q1372" s="6"/>
      <c r="R1372" s="6"/>
      <c r="S1372" s="6"/>
      <c r="T1372" s="6"/>
      <c r="U1372" s="6"/>
    </row>
    <row r="1373">
      <c r="A1373" s="6"/>
      <c r="B1373" s="6"/>
      <c r="C1373" s="6"/>
      <c r="D1373" s="6"/>
      <c r="E1373" s="6"/>
      <c r="G1373" s="6"/>
      <c r="H1373" s="6"/>
      <c r="I1373" s="6"/>
      <c r="J1373" s="6"/>
      <c r="K1373" s="6"/>
      <c r="L1373" s="6"/>
      <c r="M1373" s="6"/>
      <c r="N1373" s="671"/>
      <c r="O1373" s="6"/>
      <c r="P1373" s="6"/>
      <c r="Q1373" s="6"/>
      <c r="R1373" s="6"/>
      <c r="S1373" s="6"/>
      <c r="T1373" s="6"/>
      <c r="U1373" s="6"/>
    </row>
    <row r="1374">
      <c r="A1374" s="6"/>
      <c r="B1374" s="6"/>
      <c r="C1374" s="6"/>
      <c r="D1374" s="6"/>
      <c r="E1374" s="6"/>
      <c r="G1374" s="6"/>
      <c r="H1374" s="6"/>
      <c r="I1374" s="6"/>
      <c r="J1374" s="6"/>
      <c r="K1374" s="6"/>
      <c r="L1374" s="6"/>
      <c r="M1374" s="6"/>
      <c r="N1374" s="671"/>
      <c r="O1374" s="6"/>
      <c r="P1374" s="6"/>
      <c r="Q1374" s="6"/>
      <c r="R1374" s="6"/>
      <c r="S1374" s="6"/>
      <c r="T1374" s="6"/>
      <c r="U1374" s="6"/>
    </row>
    <row r="1375">
      <c r="A1375" s="6"/>
      <c r="B1375" s="6"/>
      <c r="C1375" s="6"/>
      <c r="D1375" s="6"/>
      <c r="E1375" s="6"/>
      <c r="G1375" s="6"/>
      <c r="H1375" s="6"/>
      <c r="I1375" s="6"/>
      <c r="J1375" s="6"/>
      <c r="K1375" s="6"/>
      <c r="L1375" s="6"/>
      <c r="M1375" s="6"/>
      <c r="N1375" s="671"/>
      <c r="O1375" s="6"/>
      <c r="P1375" s="6"/>
      <c r="Q1375" s="6"/>
      <c r="R1375" s="6"/>
      <c r="S1375" s="6"/>
      <c r="T1375" s="6"/>
      <c r="U1375" s="6"/>
    </row>
    <row r="1376">
      <c r="A1376" s="6"/>
      <c r="B1376" s="6"/>
      <c r="C1376" s="6"/>
      <c r="D1376" s="6"/>
      <c r="E1376" s="6"/>
      <c r="G1376" s="6"/>
      <c r="H1376" s="6"/>
      <c r="I1376" s="6"/>
      <c r="J1376" s="6"/>
      <c r="K1376" s="6"/>
      <c r="L1376" s="6"/>
      <c r="M1376" s="6"/>
      <c r="N1376" s="671"/>
      <c r="O1376" s="6"/>
      <c r="P1376" s="6"/>
      <c r="Q1376" s="6"/>
      <c r="R1376" s="6"/>
      <c r="S1376" s="6"/>
      <c r="T1376" s="6"/>
      <c r="U1376" s="6"/>
    </row>
    <row r="1377">
      <c r="A1377" s="6"/>
      <c r="B1377" s="6"/>
      <c r="C1377" s="6"/>
      <c r="D1377" s="6"/>
      <c r="E1377" s="6"/>
      <c r="G1377" s="6"/>
      <c r="H1377" s="6"/>
      <c r="I1377" s="6"/>
      <c r="J1377" s="6"/>
      <c r="K1377" s="6"/>
      <c r="L1377" s="6"/>
      <c r="M1377" s="6"/>
      <c r="N1377" s="671"/>
      <c r="O1377" s="6"/>
      <c r="P1377" s="6"/>
      <c r="Q1377" s="6"/>
      <c r="R1377" s="6"/>
      <c r="S1377" s="6"/>
      <c r="T1377" s="6"/>
      <c r="U1377" s="6"/>
    </row>
    <row r="1378">
      <c r="A1378" s="6"/>
      <c r="B1378" s="6"/>
      <c r="C1378" s="6"/>
      <c r="D1378" s="6"/>
      <c r="E1378" s="6"/>
      <c r="G1378" s="6"/>
      <c r="H1378" s="6"/>
      <c r="I1378" s="6"/>
      <c r="J1378" s="6"/>
      <c r="K1378" s="6"/>
      <c r="L1378" s="6"/>
      <c r="M1378" s="6"/>
      <c r="N1378" s="671"/>
      <c r="O1378" s="6"/>
      <c r="P1378" s="6"/>
      <c r="Q1378" s="6"/>
      <c r="R1378" s="6"/>
      <c r="S1378" s="6"/>
      <c r="T1378" s="6"/>
      <c r="U1378" s="6"/>
    </row>
    <row r="1379">
      <c r="A1379" s="6"/>
      <c r="B1379" s="6"/>
      <c r="C1379" s="6"/>
      <c r="D1379" s="6"/>
      <c r="E1379" s="6"/>
      <c r="G1379" s="6"/>
      <c r="H1379" s="6"/>
      <c r="I1379" s="6"/>
      <c r="J1379" s="6"/>
      <c r="K1379" s="6"/>
      <c r="L1379" s="6"/>
      <c r="M1379" s="6"/>
      <c r="N1379" s="671"/>
      <c r="O1379" s="6"/>
      <c r="P1379" s="6"/>
      <c r="Q1379" s="6"/>
      <c r="R1379" s="6"/>
      <c r="S1379" s="6"/>
      <c r="T1379" s="6"/>
      <c r="U1379" s="6"/>
    </row>
    <row r="1380">
      <c r="A1380" s="6"/>
      <c r="B1380" s="6"/>
      <c r="C1380" s="6"/>
      <c r="D1380" s="6"/>
      <c r="E1380" s="6"/>
      <c r="G1380" s="6"/>
      <c r="H1380" s="6"/>
      <c r="I1380" s="6"/>
      <c r="J1380" s="6"/>
      <c r="K1380" s="6"/>
      <c r="L1380" s="6"/>
      <c r="M1380" s="6"/>
      <c r="N1380" s="671"/>
      <c r="O1380" s="6"/>
      <c r="P1380" s="6"/>
      <c r="Q1380" s="6"/>
      <c r="R1380" s="6"/>
      <c r="S1380" s="6"/>
      <c r="T1380" s="6"/>
      <c r="U1380" s="6"/>
    </row>
    <row r="1381">
      <c r="A1381" s="6"/>
      <c r="B1381" s="6"/>
      <c r="C1381" s="6"/>
      <c r="D1381" s="6"/>
      <c r="E1381" s="6"/>
      <c r="G1381" s="6"/>
      <c r="H1381" s="6"/>
      <c r="I1381" s="6"/>
      <c r="J1381" s="6"/>
      <c r="K1381" s="6"/>
      <c r="L1381" s="6"/>
      <c r="M1381" s="6"/>
      <c r="N1381" s="671"/>
      <c r="O1381" s="6"/>
      <c r="P1381" s="6"/>
      <c r="Q1381" s="6"/>
      <c r="R1381" s="6"/>
      <c r="S1381" s="6"/>
      <c r="T1381" s="6"/>
      <c r="U1381" s="6"/>
    </row>
    <row r="1382">
      <c r="A1382" s="6"/>
      <c r="B1382" s="6"/>
      <c r="C1382" s="6"/>
      <c r="D1382" s="6"/>
      <c r="E1382" s="6"/>
      <c r="G1382" s="6"/>
      <c r="H1382" s="6"/>
      <c r="I1382" s="6"/>
      <c r="J1382" s="6"/>
      <c r="K1382" s="6"/>
      <c r="L1382" s="6"/>
      <c r="M1382" s="6"/>
      <c r="N1382" s="671"/>
      <c r="O1382" s="6"/>
      <c r="P1382" s="6"/>
      <c r="Q1382" s="6"/>
      <c r="R1382" s="6"/>
      <c r="S1382" s="6"/>
      <c r="T1382" s="6"/>
      <c r="U1382" s="6"/>
    </row>
    <row r="1383">
      <c r="A1383" s="6"/>
      <c r="B1383" s="6"/>
      <c r="C1383" s="6"/>
      <c r="D1383" s="6"/>
      <c r="E1383" s="6"/>
      <c r="G1383" s="6"/>
      <c r="H1383" s="6"/>
      <c r="I1383" s="6"/>
      <c r="J1383" s="6"/>
      <c r="K1383" s="6"/>
      <c r="L1383" s="6"/>
      <c r="M1383" s="6"/>
      <c r="N1383" s="671"/>
      <c r="O1383" s="6"/>
      <c r="P1383" s="6"/>
      <c r="Q1383" s="6"/>
      <c r="R1383" s="6"/>
      <c r="S1383" s="6"/>
      <c r="T1383" s="6"/>
      <c r="U1383" s="6"/>
    </row>
    <row r="1384">
      <c r="A1384" s="6"/>
      <c r="B1384" s="6"/>
      <c r="C1384" s="6"/>
      <c r="D1384" s="6"/>
      <c r="E1384" s="6"/>
      <c r="G1384" s="6"/>
      <c r="H1384" s="6"/>
      <c r="I1384" s="6"/>
      <c r="J1384" s="6"/>
      <c r="K1384" s="6"/>
      <c r="L1384" s="6"/>
      <c r="M1384" s="6"/>
      <c r="N1384" s="671"/>
      <c r="O1384" s="6"/>
      <c r="P1384" s="6"/>
      <c r="Q1384" s="6"/>
      <c r="R1384" s="6"/>
      <c r="S1384" s="6"/>
      <c r="T1384" s="6"/>
      <c r="U1384" s="6"/>
    </row>
    <row r="1385">
      <c r="A1385" s="6"/>
      <c r="B1385" s="6"/>
      <c r="C1385" s="6"/>
      <c r="D1385" s="6"/>
      <c r="E1385" s="6"/>
      <c r="G1385" s="6"/>
      <c r="H1385" s="6"/>
      <c r="I1385" s="6"/>
      <c r="J1385" s="6"/>
      <c r="K1385" s="6"/>
      <c r="L1385" s="6"/>
      <c r="M1385" s="6"/>
      <c r="N1385" s="671"/>
      <c r="O1385" s="6"/>
      <c r="P1385" s="6"/>
      <c r="Q1385" s="6"/>
      <c r="R1385" s="6"/>
      <c r="S1385" s="6"/>
      <c r="T1385" s="6"/>
      <c r="U1385" s="6"/>
    </row>
    <row r="1386">
      <c r="A1386" s="6"/>
      <c r="B1386" s="6"/>
      <c r="C1386" s="6"/>
      <c r="D1386" s="6"/>
      <c r="E1386" s="6"/>
      <c r="G1386" s="6"/>
      <c r="H1386" s="6"/>
      <c r="I1386" s="6"/>
      <c r="J1386" s="6"/>
      <c r="K1386" s="6"/>
      <c r="L1386" s="6"/>
      <c r="M1386" s="6"/>
      <c r="N1386" s="671"/>
      <c r="O1386" s="6"/>
      <c r="P1386" s="6"/>
      <c r="Q1386" s="6"/>
      <c r="R1386" s="6"/>
      <c r="S1386" s="6"/>
      <c r="T1386" s="6"/>
      <c r="U1386" s="6"/>
    </row>
    <row r="1387">
      <c r="A1387" s="6"/>
      <c r="B1387" s="6"/>
      <c r="C1387" s="6"/>
      <c r="D1387" s="6"/>
      <c r="E1387" s="6"/>
      <c r="G1387" s="6"/>
      <c r="H1387" s="6"/>
      <c r="I1387" s="6"/>
      <c r="J1387" s="6"/>
      <c r="K1387" s="6"/>
      <c r="L1387" s="6"/>
      <c r="M1387" s="6"/>
      <c r="N1387" s="671"/>
      <c r="O1387" s="6"/>
      <c r="P1387" s="6"/>
      <c r="Q1387" s="6"/>
      <c r="R1387" s="6"/>
      <c r="S1387" s="6"/>
      <c r="T1387" s="6"/>
      <c r="U1387" s="6"/>
    </row>
    <row r="1388">
      <c r="A1388" s="6"/>
      <c r="B1388" s="6"/>
      <c r="C1388" s="6"/>
      <c r="D1388" s="6"/>
      <c r="E1388" s="6"/>
      <c r="G1388" s="6"/>
      <c r="H1388" s="6"/>
      <c r="I1388" s="6"/>
      <c r="J1388" s="6"/>
      <c r="K1388" s="6"/>
      <c r="L1388" s="6"/>
      <c r="M1388" s="6"/>
      <c r="N1388" s="671"/>
      <c r="O1388" s="6"/>
      <c r="P1388" s="6"/>
      <c r="Q1388" s="6"/>
      <c r="R1388" s="6"/>
      <c r="S1388" s="6"/>
      <c r="T1388" s="6"/>
      <c r="U1388" s="6"/>
    </row>
    <row r="1389">
      <c r="A1389" s="6"/>
      <c r="B1389" s="6"/>
      <c r="C1389" s="6"/>
      <c r="D1389" s="6"/>
      <c r="E1389" s="6"/>
      <c r="G1389" s="6"/>
      <c r="H1389" s="6"/>
      <c r="I1389" s="6"/>
      <c r="J1389" s="6"/>
      <c r="K1389" s="6"/>
      <c r="L1389" s="6"/>
      <c r="M1389" s="6"/>
      <c r="N1389" s="671"/>
      <c r="O1389" s="6"/>
      <c r="P1389" s="6"/>
      <c r="Q1389" s="6"/>
      <c r="R1389" s="6"/>
      <c r="S1389" s="6"/>
      <c r="T1389" s="6"/>
      <c r="U1389" s="6"/>
    </row>
    <row r="1390">
      <c r="A1390" s="6"/>
      <c r="B1390" s="6"/>
      <c r="C1390" s="6"/>
      <c r="D1390" s="6"/>
      <c r="E1390" s="6"/>
      <c r="G1390" s="6"/>
      <c r="H1390" s="6"/>
      <c r="I1390" s="6"/>
      <c r="J1390" s="6"/>
      <c r="K1390" s="6"/>
      <c r="L1390" s="6"/>
      <c r="M1390" s="6"/>
      <c r="N1390" s="671"/>
      <c r="O1390" s="6"/>
      <c r="P1390" s="6"/>
      <c r="Q1390" s="6"/>
      <c r="R1390" s="6"/>
      <c r="S1390" s="6"/>
      <c r="T1390" s="6"/>
      <c r="U1390" s="6"/>
    </row>
    <row r="1391">
      <c r="A1391" s="6"/>
      <c r="B1391" s="6"/>
      <c r="C1391" s="6"/>
      <c r="D1391" s="6"/>
      <c r="E1391" s="6"/>
      <c r="G1391" s="6"/>
      <c r="H1391" s="6"/>
      <c r="I1391" s="6"/>
      <c r="J1391" s="6"/>
      <c r="K1391" s="6"/>
      <c r="L1391" s="6"/>
      <c r="M1391" s="6"/>
      <c r="N1391" s="671"/>
      <c r="O1391" s="6"/>
      <c r="P1391" s="6"/>
      <c r="Q1391" s="6"/>
      <c r="R1391" s="6"/>
      <c r="S1391" s="6"/>
      <c r="T1391" s="6"/>
      <c r="U1391" s="6"/>
    </row>
    <row r="1392">
      <c r="A1392" s="6"/>
      <c r="B1392" s="6"/>
      <c r="C1392" s="6"/>
      <c r="D1392" s="6"/>
      <c r="E1392" s="6"/>
      <c r="G1392" s="6"/>
      <c r="H1392" s="6"/>
      <c r="I1392" s="6"/>
      <c r="J1392" s="6"/>
      <c r="K1392" s="6"/>
      <c r="L1392" s="6"/>
      <c r="M1392" s="6"/>
      <c r="N1392" s="671"/>
      <c r="O1392" s="6"/>
      <c r="P1392" s="6"/>
      <c r="Q1392" s="6"/>
      <c r="R1392" s="6"/>
      <c r="S1392" s="6"/>
      <c r="T1392" s="6"/>
      <c r="U1392" s="6"/>
    </row>
    <row r="1393">
      <c r="A1393" s="6"/>
      <c r="B1393" s="6"/>
      <c r="C1393" s="6"/>
      <c r="D1393" s="6"/>
      <c r="E1393" s="6"/>
      <c r="G1393" s="6"/>
      <c r="H1393" s="6"/>
      <c r="I1393" s="6"/>
      <c r="J1393" s="6"/>
      <c r="K1393" s="6"/>
      <c r="L1393" s="6"/>
      <c r="M1393" s="6"/>
      <c r="N1393" s="671"/>
      <c r="O1393" s="6"/>
      <c r="P1393" s="6"/>
      <c r="Q1393" s="6"/>
      <c r="R1393" s="6"/>
      <c r="S1393" s="6"/>
      <c r="T1393" s="6"/>
      <c r="U1393" s="6"/>
    </row>
    <row r="1394">
      <c r="A1394" s="6"/>
      <c r="B1394" s="6"/>
      <c r="C1394" s="6"/>
      <c r="D1394" s="6"/>
      <c r="E1394" s="6"/>
      <c r="G1394" s="6"/>
      <c r="H1394" s="6"/>
      <c r="I1394" s="6"/>
      <c r="J1394" s="6"/>
      <c r="K1394" s="6"/>
      <c r="L1394" s="6"/>
      <c r="M1394" s="6"/>
      <c r="N1394" s="671"/>
      <c r="O1394" s="6"/>
      <c r="P1394" s="6"/>
      <c r="Q1394" s="6"/>
      <c r="R1394" s="6"/>
      <c r="S1394" s="6"/>
      <c r="T1394" s="6"/>
      <c r="U1394" s="6"/>
    </row>
    <row r="1395">
      <c r="A1395" s="6"/>
      <c r="B1395" s="6"/>
      <c r="C1395" s="6"/>
      <c r="D1395" s="6"/>
      <c r="E1395" s="6"/>
      <c r="G1395" s="6"/>
      <c r="H1395" s="6"/>
      <c r="I1395" s="6"/>
      <c r="J1395" s="6"/>
      <c r="K1395" s="6"/>
      <c r="L1395" s="6"/>
      <c r="M1395" s="6"/>
      <c r="N1395" s="671"/>
      <c r="O1395" s="6"/>
      <c r="P1395" s="6"/>
      <c r="Q1395" s="6"/>
      <c r="R1395" s="6"/>
      <c r="S1395" s="6"/>
      <c r="T1395" s="6"/>
      <c r="U1395" s="6"/>
    </row>
    <row r="1396">
      <c r="A1396" s="6"/>
      <c r="B1396" s="6"/>
      <c r="C1396" s="6"/>
      <c r="D1396" s="6"/>
      <c r="E1396" s="6"/>
      <c r="G1396" s="6"/>
      <c r="H1396" s="6"/>
      <c r="I1396" s="6"/>
      <c r="J1396" s="6"/>
      <c r="K1396" s="6"/>
      <c r="L1396" s="6"/>
      <c r="M1396" s="6"/>
      <c r="N1396" s="671"/>
      <c r="O1396" s="6"/>
      <c r="P1396" s="6"/>
      <c r="Q1396" s="6"/>
      <c r="R1396" s="6"/>
      <c r="S1396" s="6"/>
      <c r="T1396" s="6"/>
      <c r="U1396" s="6"/>
    </row>
    <row r="1397">
      <c r="A1397" s="6"/>
      <c r="B1397" s="6"/>
      <c r="C1397" s="6"/>
      <c r="D1397" s="6"/>
      <c r="E1397" s="6"/>
      <c r="G1397" s="6"/>
      <c r="H1397" s="6"/>
      <c r="I1397" s="6"/>
      <c r="J1397" s="6"/>
      <c r="K1397" s="6"/>
      <c r="L1397" s="6"/>
      <c r="M1397" s="6"/>
      <c r="N1397" s="671"/>
      <c r="O1397" s="6"/>
      <c r="P1397" s="6"/>
      <c r="Q1397" s="6"/>
      <c r="R1397" s="6"/>
      <c r="S1397" s="6"/>
      <c r="T1397" s="6"/>
      <c r="U1397" s="6"/>
    </row>
    <row r="1398">
      <c r="A1398" s="6"/>
      <c r="B1398" s="6"/>
      <c r="C1398" s="6"/>
      <c r="D1398" s="6"/>
      <c r="E1398" s="6"/>
      <c r="G1398" s="6"/>
      <c r="H1398" s="6"/>
      <c r="I1398" s="6"/>
      <c r="J1398" s="6"/>
      <c r="K1398" s="6"/>
      <c r="L1398" s="6"/>
      <c r="M1398" s="6"/>
      <c r="N1398" s="671"/>
      <c r="O1398" s="6"/>
      <c r="P1398" s="6"/>
      <c r="Q1398" s="6"/>
      <c r="R1398" s="6"/>
      <c r="S1398" s="6"/>
      <c r="T1398" s="6"/>
      <c r="U1398" s="6"/>
    </row>
    <row r="1399">
      <c r="A1399" s="6"/>
      <c r="B1399" s="6"/>
      <c r="C1399" s="6"/>
      <c r="D1399" s="6"/>
      <c r="E1399" s="6"/>
      <c r="G1399" s="6"/>
      <c r="H1399" s="6"/>
      <c r="I1399" s="6"/>
      <c r="J1399" s="6"/>
      <c r="K1399" s="6"/>
      <c r="L1399" s="6"/>
      <c r="M1399" s="6"/>
      <c r="N1399" s="671"/>
      <c r="O1399" s="6"/>
      <c r="P1399" s="6"/>
      <c r="Q1399" s="6"/>
      <c r="R1399" s="6"/>
      <c r="S1399" s="6"/>
      <c r="T1399" s="6"/>
      <c r="U1399" s="6"/>
    </row>
    <row r="1400">
      <c r="A1400" s="6"/>
      <c r="B1400" s="6"/>
      <c r="C1400" s="6"/>
      <c r="D1400" s="6"/>
      <c r="E1400" s="6"/>
      <c r="G1400" s="6"/>
      <c r="H1400" s="6"/>
      <c r="I1400" s="6"/>
      <c r="J1400" s="6"/>
      <c r="K1400" s="6"/>
      <c r="L1400" s="6"/>
      <c r="M1400" s="6"/>
      <c r="N1400" s="671"/>
      <c r="O1400" s="6"/>
      <c r="P1400" s="6"/>
      <c r="Q1400" s="6"/>
      <c r="R1400" s="6"/>
      <c r="S1400" s="6"/>
      <c r="T1400" s="6"/>
      <c r="U1400" s="6"/>
    </row>
    <row r="1401">
      <c r="A1401" s="6"/>
      <c r="B1401" s="6"/>
      <c r="C1401" s="6"/>
      <c r="D1401" s="6"/>
      <c r="E1401" s="6"/>
      <c r="G1401" s="6"/>
      <c r="H1401" s="6"/>
      <c r="I1401" s="6"/>
      <c r="J1401" s="6"/>
      <c r="K1401" s="6"/>
      <c r="L1401" s="6"/>
      <c r="M1401" s="6"/>
      <c r="N1401" s="671"/>
      <c r="O1401" s="6"/>
      <c r="P1401" s="6"/>
      <c r="Q1401" s="6"/>
      <c r="R1401" s="6"/>
      <c r="S1401" s="6"/>
      <c r="T1401" s="6"/>
      <c r="U1401" s="6"/>
    </row>
    <row r="1402">
      <c r="A1402" s="6"/>
      <c r="B1402" s="6"/>
      <c r="C1402" s="6"/>
      <c r="D1402" s="6"/>
      <c r="E1402" s="6"/>
      <c r="G1402" s="6"/>
      <c r="H1402" s="6"/>
      <c r="I1402" s="6"/>
      <c r="J1402" s="6"/>
      <c r="K1402" s="6"/>
      <c r="L1402" s="6"/>
      <c r="M1402" s="6"/>
      <c r="N1402" s="671"/>
      <c r="O1402" s="6"/>
      <c r="P1402" s="6"/>
      <c r="Q1402" s="6"/>
      <c r="R1402" s="6"/>
      <c r="S1402" s="6"/>
      <c r="T1402" s="6"/>
      <c r="U1402" s="6"/>
    </row>
    <row r="1403">
      <c r="A1403" s="6"/>
      <c r="B1403" s="6"/>
      <c r="C1403" s="6"/>
      <c r="D1403" s="6"/>
      <c r="E1403" s="6"/>
      <c r="G1403" s="6"/>
      <c r="H1403" s="6"/>
      <c r="I1403" s="6"/>
      <c r="J1403" s="6"/>
      <c r="K1403" s="6"/>
      <c r="L1403" s="6"/>
      <c r="M1403" s="6"/>
      <c r="N1403" s="671"/>
      <c r="O1403" s="6"/>
      <c r="P1403" s="6"/>
      <c r="Q1403" s="6"/>
      <c r="R1403" s="6"/>
      <c r="S1403" s="6"/>
      <c r="T1403" s="6"/>
      <c r="U1403" s="6"/>
    </row>
    <row r="1404">
      <c r="A1404" s="6"/>
      <c r="B1404" s="6"/>
      <c r="C1404" s="6"/>
      <c r="D1404" s="6"/>
      <c r="E1404" s="6"/>
      <c r="G1404" s="6"/>
      <c r="H1404" s="6"/>
      <c r="I1404" s="6"/>
      <c r="J1404" s="6"/>
      <c r="K1404" s="6"/>
      <c r="L1404" s="6"/>
      <c r="M1404" s="6"/>
      <c r="N1404" s="671"/>
      <c r="O1404" s="6"/>
      <c r="P1404" s="6"/>
      <c r="Q1404" s="6"/>
      <c r="R1404" s="6"/>
      <c r="S1404" s="6"/>
      <c r="T1404" s="6"/>
      <c r="U1404" s="6"/>
    </row>
    <row r="1405">
      <c r="A1405" s="6"/>
      <c r="B1405" s="6"/>
      <c r="C1405" s="6"/>
      <c r="D1405" s="6"/>
      <c r="E1405" s="6"/>
      <c r="G1405" s="6"/>
      <c r="H1405" s="6"/>
      <c r="I1405" s="6"/>
      <c r="J1405" s="6"/>
      <c r="K1405" s="6"/>
      <c r="L1405" s="6"/>
      <c r="M1405" s="6"/>
      <c r="N1405" s="671"/>
      <c r="O1405" s="6"/>
      <c r="P1405" s="6"/>
      <c r="Q1405" s="6"/>
      <c r="R1405" s="6"/>
      <c r="S1405" s="6"/>
      <c r="T1405" s="6"/>
      <c r="U1405" s="6"/>
    </row>
    <row r="1406">
      <c r="A1406" s="6"/>
      <c r="B1406" s="6"/>
      <c r="C1406" s="6"/>
      <c r="D1406" s="6"/>
      <c r="E1406" s="6"/>
      <c r="G1406" s="6"/>
      <c r="H1406" s="6"/>
      <c r="I1406" s="6"/>
      <c r="J1406" s="6"/>
      <c r="K1406" s="6"/>
      <c r="L1406" s="6"/>
      <c r="M1406" s="6"/>
      <c r="N1406" s="671"/>
      <c r="O1406" s="6"/>
      <c r="P1406" s="6"/>
      <c r="Q1406" s="6"/>
      <c r="R1406" s="6"/>
      <c r="S1406" s="6"/>
      <c r="T1406" s="6"/>
      <c r="U1406" s="6"/>
    </row>
    <row r="1407">
      <c r="A1407" s="6"/>
      <c r="B1407" s="6"/>
      <c r="C1407" s="6"/>
      <c r="D1407" s="6"/>
      <c r="E1407" s="6"/>
      <c r="G1407" s="6"/>
      <c r="H1407" s="6"/>
      <c r="I1407" s="6"/>
      <c r="J1407" s="6"/>
      <c r="K1407" s="6"/>
      <c r="L1407" s="6"/>
      <c r="M1407" s="6"/>
      <c r="N1407" s="671"/>
      <c r="O1407" s="6"/>
      <c r="P1407" s="6"/>
      <c r="Q1407" s="6"/>
      <c r="R1407" s="6"/>
      <c r="S1407" s="6"/>
      <c r="T1407" s="6"/>
      <c r="U1407" s="6"/>
    </row>
    <row r="1408">
      <c r="A1408" s="6"/>
      <c r="B1408" s="6"/>
      <c r="C1408" s="6"/>
      <c r="D1408" s="6"/>
      <c r="E1408" s="6"/>
      <c r="G1408" s="6"/>
      <c r="H1408" s="6"/>
      <c r="I1408" s="6"/>
      <c r="J1408" s="6"/>
      <c r="K1408" s="6"/>
      <c r="L1408" s="6"/>
      <c r="M1408" s="6"/>
      <c r="N1408" s="671"/>
      <c r="O1408" s="6"/>
      <c r="P1408" s="6"/>
      <c r="Q1408" s="6"/>
      <c r="R1408" s="6"/>
      <c r="S1408" s="6"/>
      <c r="T1408" s="6"/>
      <c r="U1408" s="6"/>
    </row>
    <row r="1409">
      <c r="A1409" s="6"/>
      <c r="B1409" s="6"/>
      <c r="C1409" s="6"/>
      <c r="D1409" s="6"/>
      <c r="E1409" s="6"/>
      <c r="G1409" s="6"/>
      <c r="H1409" s="6"/>
      <c r="I1409" s="6"/>
      <c r="J1409" s="6"/>
      <c r="K1409" s="6"/>
      <c r="L1409" s="6"/>
      <c r="M1409" s="6"/>
      <c r="N1409" s="671"/>
      <c r="O1409" s="6"/>
      <c r="P1409" s="6"/>
      <c r="Q1409" s="6"/>
      <c r="R1409" s="6"/>
      <c r="S1409" s="6"/>
      <c r="T1409" s="6"/>
      <c r="U1409" s="6"/>
    </row>
    <row r="1410">
      <c r="A1410" s="6"/>
      <c r="B1410" s="6"/>
      <c r="C1410" s="6"/>
      <c r="D1410" s="6"/>
      <c r="E1410" s="6"/>
      <c r="G1410" s="6"/>
      <c r="H1410" s="6"/>
      <c r="I1410" s="6"/>
      <c r="J1410" s="6"/>
      <c r="K1410" s="6"/>
      <c r="L1410" s="6"/>
      <c r="M1410" s="6"/>
      <c r="N1410" s="671"/>
      <c r="O1410" s="6"/>
      <c r="P1410" s="6"/>
      <c r="Q1410" s="6"/>
      <c r="R1410" s="6"/>
      <c r="S1410" s="6"/>
      <c r="T1410" s="6"/>
      <c r="U1410" s="6"/>
    </row>
    <row r="1411">
      <c r="A1411" s="6"/>
      <c r="B1411" s="6"/>
      <c r="C1411" s="6"/>
      <c r="D1411" s="6"/>
      <c r="E1411" s="6"/>
      <c r="G1411" s="6"/>
      <c r="H1411" s="6"/>
      <c r="I1411" s="6"/>
      <c r="J1411" s="6"/>
      <c r="K1411" s="6"/>
      <c r="L1411" s="6"/>
      <c r="M1411" s="6"/>
      <c r="N1411" s="671"/>
      <c r="O1411" s="6"/>
      <c r="P1411" s="6"/>
      <c r="Q1411" s="6"/>
      <c r="R1411" s="6"/>
      <c r="S1411" s="6"/>
      <c r="T1411" s="6"/>
      <c r="U1411" s="6"/>
    </row>
    <row r="1412">
      <c r="A1412" s="6"/>
      <c r="B1412" s="6"/>
      <c r="C1412" s="6"/>
      <c r="D1412" s="6"/>
      <c r="E1412" s="6"/>
      <c r="G1412" s="6"/>
      <c r="H1412" s="6"/>
      <c r="I1412" s="6"/>
      <c r="J1412" s="6"/>
      <c r="K1412" s="6"/>
      <c r="L1412" s="6"/>
      <c r="M1412" s="6"/>
      <c r="N1412" s="671"/>
      <c r="O1412" s="6"/>
      <c r="P1412" s="6"/>
      <c r="Q1412" s="6"/>
      <c r="R1412" s="6"/>
      <c r="S1412" s="6"/>
      <c r="T1412" s="6"/>
      <c r="U1412" s="6"/>
    </row>
    <row r="1413">
      <c r="A1413" s="6"/>
      <c r="B1413" s="6"/>
      <c r="C1413" s="6"/>
      <c r="D1413" s="6"/>
      <c r="E1413" s="6"/>
      <c r="G1413" s="6"/>
      <c r="H1413" s="6"/>
      <c r="I1413" s="6"/>
      <c r="J1413" s="6"/>
      <c r="K1413" s="6"/>
      <c r="L1413" s="6"/>
      <c r="M1413" s="6"/>
      <c r="N1413" s="671"/>
      <c r="O1413" s="6"/>
      <c r="P1413" s="6"/>
      <c r="Q1413" s="6"/>
      <c r="R1413" s="6"/>
      <c r="S1413" s="6"/>
      <c r="T1413" s="6"/>
      <c r="U1413" s="6"/>
    </row>
    <row r="1414">
      <c r="A1414" s="6"/>
      <c r="B1414" s="6"/>
      <c r="C1414" s="6"/>
      <c r="D1414" s="6"/>
      <c r="E1414" s="6"/>
      <c r="G1414" s="6"/>
      <c r="H1414" s="6"/>
      <c r="I1414" s="6"/>
      <c r="J1414" s="6"/>
      <c r="K1414" s="6"/>
      <c r="L1414" s="6"/>
      <c r="M1414" s="6"/>
      <c r="N1414" s="671"/>
      <c r="O1414" s="6"/>
      <c r="P1414" s="6"/>
      <c r="Q1414" s="6"/>
      <c r="R1414" s="6"/>
      <c r="S1414" s="6"/>
      <c r="T1414" s="6"/>
      <c r="U1414" s="6"/>
    </row>
    <row r="1415">
      <c r="A1415" s="6"/>
      <c r="B1415" s="6"/>
      <c r="C1415" s="6"/>
      <c r="D1415" s="6"/>
      <c r="E1415" s="6"/>
      <c r="G1415" s="6"/>
      <c r="H1415" s="6"/>
      <c r="I1415" s="6"/>
      <c r="J1415" s="6"/>
      <c r="K1415" s="6"/>
      <c r="L1415" s="6"/>
      <c r="M1415" s="6"/>
      <c r="N1415" s="671"/>
      <c r="O1415" s="6"/>
      <c r="P1415" s="6"/>
      <c r="Q1415" s="6"/>
      <c r="R1415" s="6"/>
      <c r="S1415" s="6"/>
      <c r="T1415" s="6"/>
      <c r="U1415" s="6"/>
    </row>
    <row r="1416">
      <c r="A1416" s="6"/>
      <c r="B1416" s="6"/>
      <c r="C1416" s="6"/>
      <c r="D1416" s="6"/>
      <c r="E1416" s="6"/>
      <c r="G1416" s="6"/>
      <c r="H1416" s="6"/>
      <c r="I1416" s="6"/>
      <c r="J1416" s="6"/>
      <c r="K1416" s="6"/>
      <c r="L1416" s="6"/>
      <c r="M1416" s="6"/>
      <c r="N1416" s="671"/>
      <c r="O1416" s="6"/>
      <c r="P1416" s="6"/>
      <c r="Q1416" s="6"/>
      <c r="R1416" s="6"/>
      <c r="S1416" s="6"/>
      <c r="T1416" s="6"/>
      <c r="U1416" s="6"/>
    </row>
    <row r="1417">
      <c r="A1417" s="6"/>
      <c r="B1417" s="6"/>
      <c r="C1417" s="6"/>
      <c r="D1417" s="6"/>
      <c r="E1417" s="6"/>
      <c r="G1417" s="6"/>
      <c r="H1417" s="6"/>
      <c r="I1417" s="6"/>
      <c r="J1417" s="6"/>
      <c r="K1417" s="6"/>
      <c r="L1417" s="6"/>
      <c r="M1417" s="6"/>
      <c r="N1417" s="671"/>
      <c r="O1417" s="6"/>
      <c r="P1417" s="6"/>
      <c r="Q1417" s="6"/>
      <c r="R1417" s="6"/>
      <c r="S1417" s="6"/>
      <c r="T1417" s="6"/>
      <c r="U1417" s="6"/>
    </row>
    <row r="1418">
      <c r="A1418" s="6"/>
      <c r="B1418" s="6"/>
      <c r="C1418" s="6"/>
      <c r="D1418" s="6"/>
      <c r="E1418" s="6"/>
      <c r="G1418" s="6"/>
      <c r="H1418" s="6"/>
      <c r="I1418" s="6"/>
      <c r="J1418" s="6"/>
      <c r="K1418" s="6"/>
      <c r="L1418" s="6"/>
      <c r="M1418" s="6"/>
      <c r="N1418" s="671"/>
      <c r="O1418" s="6"/>
      <c r="P1418" s="6"/>
      <c r="Q1418" s="6"/>
      <c r="R1418" s="6"/>
      <c r="S1418" s="6"/>
      <c r="T1418" s="6"/>
      <c r="U1418" s="6"/>
    </row>
    <row r="1419">
      <c r="A1419" s="6"/>
      <c r="B1419" s="6"/>
      <c r="C1419" s="6"/>
      <c r="D1419" s="6"/>
      <c r="E1419" s="6"/>
      <c r="G1419" s="6"/>
      <c r="H1419" s="6"/>
      <c r="I1419" s="6"/>
      <c r="J1419" s="6"/>
      <c r="K1419" s="6"/>
      <c r="L1419" s="6"/>
      <c r="M1419" s="6"/>
      <c r="N1419" s="671"/>
      <c r="O1419" s="6"/>
      <c r="P1419" s="6"/>
      <c r="Q1419" s="6"/>
      <c r="R1419" s="6"/>
      <c r="S1419" s="6"/>
      <c r="T1419" s="6"/>
      <c r="U1419" s="6"/>
    </row>
    <row r="1420">
      <c r="A1420" s="6"/>
      <c r="B1420" s="6"/>
      <c r="C1420" s="6"/>
      <c r="D1420" s="6"/>
      <c r="E1420" s="6"/>
      <c r="G1420" s="6"/>
      <c r="H1420" s="6"/>
      <c r="I1420" s="6"/>
      <c r="J1420" s="6"/>
      <c r="K1420" s="6"/>
      <c r="L1420" s="6"/>
      <c r="M1420" s="6"/>
      <c r="N1420" s="671"/>
      <c r="O1420" s="6"/>
      <c r="P1420" s="6"/>
      <c r="Q1420" s="6"/>
      <c r="R1420" s="6"/>
      <c r="S1420" s="6"/>
      <c r="T1420" s="6"/>
      <c r="U1420" s="6"/>
    </row>
    <row r="1421">
      <c r="A1421" s="6"/>
      <c r="B1421" s="6"/>
      <c r="C1421" s="6"/>
      <c r="D1421" s="6"/>
      <c r="E1421" s="6"/>
      <c r="G1421" s="6"/>
      <c r="H1421" s="6"/>
      <c r="I1421" s="6"/>
      <c r="J1421" s="6"/>
      <c r="K1421" s="6"/>
      <c r="L1421" s="6"/>
      <c r="M1421" s="6"/>
      <c r="N1421" s="671"/>
      <c r="O1421" s="6"/>
      <c r="P1421" s="6"/>
      <c r="Q1421" s="6"/>
      <c r="R1421" s="6"/>
      <c r="S1421" s="6"/>
      <c r="T1421" s="6"/>
      <c r="U1421" s="6"/>
    </row>
    <row r="1422">
      <c r="A1422" s="6"/>
      <c r="B1422" s="6"/>
      <c r="C1422" s="6"/>
      <c r="D1422" s="6"/>
      <c r="E1422" s="6"/>
      <c r="G1422" s="6"/>
      <c r="H1422" s="6"/>
      <c r="I1422" s="6"/>
      <c r="J1422" s="6"/>
      <c r="K1422" s="6"/>
      <c r="L1422" s="6"/>
      <c r="M1422" s="6"/>
      <c r="N1422" s="671"/>
      <c r="O1422" s="6"/>
      <c r="P1422" s="6"/>
      <c r="Q1422" s="6"/>
      <c r="R1422" s="6"/>
      <c r="S1422" s="6"/>
      <c r="T1422" s="6"/>
      <c r="U1422" s="6"/>
    </row>
    <row r="1423">
      <c r="A1423" s="6"/>
      <c r="B1423" s="6"/>
      <c r="C1423" s="6"/>
      <c r="D1423" s="6"/>
      <c r="E1423" s="6"/>
      <c r="G1423" s="6"/>
      <c r="H1423" s="6"/>
      <c r="I1423" s="6"/>
      <c r="J1423" s="6"/>
      <c r="K1423" s="6"/>
      <c r="L1423" s="6"/>
      <c r="M1423" s="6"/>
      <c r="N1423" s="671"/>
      <c r="O1423" s="6"/>
      <c r="P1423" s="6"/>
      <c r="Q1423" s="6"/>
      <c r="R1423" s="6"/>
      <c r="S1423" s="6"/>
      <c r="T1423" s="6"/>
      <c r="U1423" s="6"/>
    </row>
    <row r="1424">
      <c r="A1424" s="6"/>
      <c r="B1424" s="6"/>
      <c r="C1424" s="6"/>
      <c r="D1424" s="6"/>
      <c r="E1424" s="6"/>
      <c r="G1424" s="6"/>
      <c r="H1424" s="6"/>
      <c r="I1424" s="6"/>
      <c r="J1424" s="6"/>
      <c r="K1424" s="6"/>
      <c r="L1424" s="6"/>
      <c r="M1424" s="6"/>
      <c r="N1424" s="671"/>
      <c r="O1424" s="6"/>
      <c r="P1424" s="6"/>
      <c r="Q1424" s="6"/>
      <c r="R1424" s="6"/>
      <c r="S1424" s="6"/>
      <c r="T1424" s="6"/>
      <c r="U1424" s="6"/>
    </row>
    <row r="1425">
      <c r="A1425" s="6"/>
      <c r="B1425" s="6"/>
      <c r="C1425" s="6"/>
      <c r="D1425" s="6"/>
      <c r="E1425" s="6"/>
      <c r="G1425" s="6"/>
      <c r="H1425" s="6"/>
      <c r="I1425" s="6"/>
      <c r="J1425" s="6"/>
      <c r="K1425" s="6"/>
      <c r="L1425" s="6"/>
      <c r="M1425" s="6"/>
      <c r="N1425" s="671"/>
      <c r="O1425" s="6"/>
      <c r="P1425" s="6"/>
      <c r="Q1425" s="6"/>
      <c r="R1425" s="6"/>
      <c r="S1425" s="6"/>
      <c r="T1425" s="6"/>
      <c r="U1425" s="6"/>
    </row>
    <row r="1426">
      <c r="A1426" s="6"/>
      <c r="B1426" s="6"/>
      <c r="C1426" s="6"/>
      <c r="D1426" s="6"/>
      <c r="E1426" s="6"/>
      <c r="G1426" s="6"/>
      <c r="H1426" s="6"/>
      <c r="I1426" s="6"/>
      <c r="J1426" s="6"/>
      <c r="K1426" s="6"/>
      <c r="L1426" s="6"/>
      <c r="M1426" s="6"/>
      <c r="N1426" s="671"/>
      <c r="O1426" s="6"/>
      <c r="P1426" s="6"/>
      <c r="Q1426" s="6"/>
      <c r="R1426" s="6"/>
      <c r="S1426" s="6"/>
      <c r="T1426" s="6"/>
      <c r="U1426" s="6"/>
    </row>
    <row r="1427">
      <c r="A1427" s="6"/>
      <c r="B1427" s="6"/>
      <c r="C1427" s="6"/>
      <c r="D1427" s="6"/>
      <c r="E1427" s="6"/>
      <c r="G1427" s="6"/>
      <c r="H1427" s="6"/>
      <c r="I1427" s="6"/>
      <c r="J1427" s="6"/>
      <c r="K1427" s="6"/>
      <c r="L1427" s="6"/>
      <c r="M1427" s="6"/>
      <c r="N1427" s="671"/>
      <c r="O1427" s="6"/>
      <c r="P1427" s="6"/>
      <c r="Q1427" s="6"/>
      <c r="R1427" s="6"/>
      <c r="S1427" s="6"/>
      <c r="T1427" s="6"/>
      <c r="U1427" s="6"/>
    </row>
    <row r="1428">
      <c r="A1428" s="6"/>
      <c r="B1428" s="6"/>
      <c r="C1428" s="6"/>
      <c r="D1428" s="6"/>
      <c r="E1428" s="6"/>
      <c r="G1428" s="6"/>
      <c r="H1428" s="6"/>
      <c r="I1428" s="6"/>
      <c r="J1428" s="6"/>
      <c r="K1428" s="6"/>
      <c r="L1428" s="6"/>
      <c r="M1428" s="6"/>
      <c r="N1428" s="671"/>
      <c r="O1428" s="6"/>
      <c r="P1428" s="6"/>
      <c r="Q1428" s="6"/>
      <c r="R1428" s="6"/>
      <c r="S1428" s="6"/>
      <c r="T1428" s="6"/>
      <c r="U1428" s="6"/>
    </row>
    <row r="1429">
      <c r="A1429" s="6"/>
      <c r="B1429" s="6"/>
      <c r="C1429" s="6"/>
      <c r="D1429" s="6"/>
      <c r="E1429" s="6"/>
      <c r="G1429" s="6"/>
      <c r="H1429" s="6"/>
      <c r="I1429" s="6"/>
      <c r="J1429" s="6"/>
      <c r="K1429" s="6"/>
      <c r="L1429" s="6"/>
      <c r="M1429" s="6"/>
      <c r="N1429" s="671"/>
      <c r="O1429" s="6"/>
      <c r="P1429" s="6"/>
      <c r="Q1429" s="6"/>
      <c r="R1429" s="6"/>
      <c r="S1429" s="6"/>
      <c r="T1429" s="6"/>
      <c r="U1429" s="6"/>
    </row>
    <row r="1430">
      <c r="A1430" s="6"/>
      <c r="B1430" s="6"/>
      <c r="C1430" s="6"/>
      <c r="D1430" s="6"/>
      <c r="E1430" s="6"/>
      <c r="G1430" s="6"/>
      <c r="H1430" s="6"/>
      <c r="I1430" s="6"/>
      <c r="J1430" s="6"/>
      <c r="K1430" s="6"/>
      <c r="L1430" s="6"/>
      <c r="M1430" s="6"/>
      <c r="N1430" s="671"/>
      <c r="O1430" s="6"/>
      <c r="P1430" s="6"/>
      <c r="Q1430" s="6"/>
      <c r="R1430" s="6"/>
      <c r="S1430" s="6"/>
      <c r="T1430" s="6"/>
      <c r="U1430" s="6"/>
    </row>
    <row r="1431">
      <c r="A1431" s="6"/>
      <c r="B1431" s="6"/>
      <c r="C1431" s="6"/>
      <c r="D1431" s="6"/>
      <c r="E1431" s="6"/>
      <c r="G1431" s="6"/>
      <c r="H1431" s="6"/>
      <c r="I1431" s="6"/>
      <c r="J1431" s="6"/>
      <c r="K1431" s="6"/>
      <c r="L1431" s="6"/>
      <c r="M1431" s="6"/>
      <c r="N1431" s="671"/>
      <c r="O1431" s="6"/>
      <c r="P1431" s="6"/>
      <c r="Q1431" s="6"/>
      <c r="R1431" s="6"/>
      <c r="S1431" s="6"/>
      <c r="T1431" s="6"/>
      <c r="U1431" s="6"/>
    </row>
    <row r="1432">
      <c r="A1432" s="6"/>
      <c r="B1432" s="6"/>
      <c r="C1432" s="6"/>
      <c r="D1432" s="6"/>
      <c r="E1432" s="6"/>
      <c r="G1432" s="6"/>
      <c r="H1432" s="6"/>
      <c r="I1432" s="6"/>
      <c r="J1432" s="6"/>
      <c r="K1432" s="6"/>
      <c r="L1432" s="6"/>
      <c r="M1432" s="6"/>
      <c r="N1432" s="671"/>
      <c r="O1432" s="6"/>
      <c r="P1432" s="6"/>
      <c r="Q1432" s="6"/>
      <c r="R1432" s="6"/>
      <c r="S1432" s="6"/>
      <c r="T1432" s="6"/>
      <c r="U1432" s="6"/>
    </row>
    <row r="1433">
      <c r="A1433" s="6"/>
      <c r="B1433" s="6"/>
      <c r="C1433" s="6"/>
      <c r="D1433" s="6"/>
      <c r="E1433" s="6"/>
      <c r="G1433" s="6"/>
      <c r="H1433" s="6"/>
      <c r="I1433" s="6"/>
      <c r="J1433" s="6"/>
      <c r="K1433" s="6"/>
      <c r="L1433" s="6"/>
      <c r="M1433" s="6"/>
      <c r="N1433" s="671"/>
      <c r="O1433" s="6"/>
      <c r="P1433" s="6"/>
      <c r="Q1433" s="6"/>
      <c r="R1433" s="6"/>
      <c r="S1433" s="6"/>
      <c r="T1433" s="6"/>
      <c r="U1433" s="6"/>
    </row>
    <row r="1434">
      <c r="A1434" s="6"/>
      <c r="B1434" s="6"/>
      <c r="C1434" s="6"/>
      <c r="D1434" s="6"/>
      <c r="E1434" s="6"/>
      <c r="G1434" s="6"/>
      <c r="H1434" s="6"/>
      <c r="I1434" s="6"/>
      <c r="J1434" s="6"/>
      <c r="K1434" s="6"/>
      <c r="L1434" s="6"/>
      <c r="M1434" s="6"/>
      <c r="N1434" s="671"/>
      <c r="O1434" s="6"/>
      <c r="P1434" s="6"/>
      <c r="Q1434" s="6"/>
      <c r="R1434" s="6"/>
      <c r="S1434" s="6"/>
      <c r="T1434" s="6"/>
      <c r="U1434" s="6"/>
    </row>
    <row r="1435">
      <c r="A1435" s="6"/>
      <c r="B1435" s="6"/>
      <c r="C1435" s="6"/>
      <c r="D1435" s="6"/>
      <c r="E1435" s="6"/>
      <c r="G1435" s="6"/>
      <c r="H1435" s="6"/>
      <c r="I1435" s="6"/>
      <c r="J1435" s="6"/>
      <c r="K1435" s="6"/>
      <c r="L1435" s="6"/>
      <c r="M1435" s="6"/>
      <c r="N1435" s="671"/>
      <c r="O1435" s="6"/>
      <c r="P1435" s="6"/>
      <c r="Q1435" s="6"/>
      <c r="R1435" s="6"/>
      <c r="S1435" s="6"/>
      <c r="T1435" s="6"/>
      <c r="U1435" s="6"/>
    </row>
    <row r="1436">
      <c r="A1436" s="6"/>
      <c r="B1436" s="6"/>
      <c r="C1436" s="6"/>
      <c r="D1436" s="6"/>
      <c r="E1436" s="6"/>
      <c r="G1436" s="6"/>
      <c r="H1436" s="6"/>
      <c r="I1436" s="6"/>
      <c r="J1436" s="6"/>
      <c r="K1436" s="6"/>
      <c r="L1436" s="6"/>
      <c r="M1436" s="6"/>
      <c r="N1436" s="671"/>
      <c r="O1436" s="6"/>
      <c r="P1436" s="6"/>
      <c r="Q1436" s="6"/>
      <c r="R1436" s="6"/>
      <c r="S1436" s="6"/>
      <c r="T1436" s="6"/>
      <c r="U1436" s="6"/>
    </row>
    <row r="1437">
      <c r="A1437" s="6"/>
      <c r="B1437" s="6"/>
      <c r="C1437" s="6"/>
      <c r="D1437" s="6"/>
      <c r="E1437" s="6"/>
      <c r="G1437" s="6"/>
      <c r="H1437" s="6"/>
      <c r="I1437" s="6"/>
      <c r="J1437" s="6"/>
      <c r="K1437" s="6"/>
      <c r="L1437" s="6"/>
      <c r="M1437" s="6"/>
      <c r="N1437" s="671"/>
      <c r="O1437" s="6"/>
      <c r="P1437" s="6"/>
      <c r="Q1437" s="6"/>
      <c r="R1437" s="6"/>
      <c r="S1437" s="6"/>
      <c r="T1437" s="6"/>
      <c r="U1437" s="6"/>
    </row>
    <row r="1438">
      <c r="A1438" s="6"/>
      <c r="B1438" s="6"/>
      <c r="C1438" s="6"/>
      <c r="D1438" s="6"/>
      <c r="E1438" s="6"/>
      <c r="G1438" s="6"/>
      <c r="H1438" s="6"/>
      <c r="I1438" s="6"/>
      <c r="J1438" s="6"/>
      <c r="K1438" s="6"/>
      <c r="L1438" s="6"/>
      <c r="M1438" s="6"/>
      <c r="N1438" s="671"/>
      <c r="O1438" s="6"/>
      <c r="P1438" s="6"/>
      <c r="Q1438" s="6"/>
      <c r="R1438" s="6"/>
      <c r="S1438" s="6"/>
      <c r="T1438" s="6"/>
      <c r="U1438" s="6"/>
    </row>
    <row r="1439">
      <c r="A1439" s="6"/>
      <c r="B1439" s="6"/>
      <c r="C1439" s="6"/>
      <c r="D1439" s="6"/>
      <c r="E1439" s="6"/>
      <c r="G1439" s="6"/>
      <c r="H1439" s="6"/>
      <c r="I1439" s="6"/>
      <c r="J1439" s="6"/>
      <c r="K1439" s="6"/>
      <c r="L1439" s="6"/>
      <c r="M1439" s="6"/>
      <c r="N1439" s="671"/>
      <c r="O1439" s="6"/>
      <c r="P1439" s="6"/>
      <c r="Q1439" s="6"/>
      <c r="R1439" s="6"/>
      <c r="S1439" s="6"/>
      <c r="T1439" s="6"/>
      <c r="U1439" s="6"/>
    </row>
    <row r="1440">
      <c r="A1440" s="6"/>
      <c r="B1440" s="6"/>
      <c r="C1440" s="6"/>
      <c r="D1440" s="6"/>
      <c r="E1440" s="6"/>
      <c r="G1440" s="6"/>
      <c r="H1440" s="6"/>
      <c r="I1440" s="6"/>
      <c r="J1440" s="6"/>
      <c r="K1440" s="6"/>
      <c r="L1440" s="6"/>
      <c r="M1440" s="6"/>
      <c r="N1440" s="671"/>
      <c r="O1440" s="6"/>
      <c r="P1440" s="6"/>
      <c r="Q1440" s="6"/>
      <c r="R1440" s="6"/>
      <c r="S1440" s="6"/>
      <c r="T1440" s="6"/>
      <c r="U1440" s="6"/>
    </row>
    <row r="1441">
      <c r="A1441" s="6"/>
      <c r="B1441" s="6"/>
      <c r="C1441" s="6"/>
      <c r="D1441" s="6"/>
      <c r="E1441" s="6"/>
      <c r="G1441" s="6"/>
      <c r="H1441" s="6"/>
      <c r="I1441" s="6"/>
      <c r="J1441" s="6"/>
      <c r="K1441" s="6"/>
      <c r="L1441" s="6"/>
      <c r="M1441" s="6"/>
      <c r="N1441" s="671"/>
      <c r="O1441" s="6"/>
      <c r="P1441" s="6"/>
      <c r="Q1441" s="6"/>
      <c r="R1441" s="6"/>
      <c r="S1441" s="6"/>
      <c r="T1441" s="6"/>
      <c r="U1441" s="6"/>
    </row>
    <row r="1442">
      <c r="A1442" s="6"/>
      <c r="B1442" s="6"/>
      <c r="C1442" s="6"/>
      <c r="D1442" s="6"/>
      <c r="E1442" s="6"/>
      <c r="G1442" s="6"/>
      <c r="H1442" s="6"/>
      <c r="I1442" s="6"/>
      <c r="J1442" s="6"/>
      <c r="K1442" s="6"/>
      <c r="L1442" s="6"/>
      <c r="M1442" s="6"/>
      <c r="N1442" s="671"/>
      <c r="O1442" s="6"/>
      <c r="P1442" s="6"/>
      <c r="Q1442" s="6"/>
      <c r="R1442" s="6"/>
      <c r="S1442" s="6"/>
      <c r="T1442" s="6"/>
      <c r="U1442" s="6"/>
    </row>
    <row r="1443">
      <c r="A1443" s="6"/>
      <c r="B1443" s="6"/>
      <c r="C1443" s="6"/>
      <c r="D1443" s="6"/>
      <c r="E1443" s="6"/>
      <c r="G1443" s="6"/>
      <c r="H1443" s="6"/>
      <c r="I1443" s="6"/>
      <c r="J1443" s="6"/>
      <c r="K1443" s="6"/>
      <c r="L1443" s="6"/>
      <c r="M1443" s="6"/>
      <c r="N1443" s="671"/>
      <c r="O1443" s="6"/>
      <c r="P1443" s="6"/>
      <c r="Q1443" s="6"/>
      <c r="R1443" s="6"/>
      <c r="S1443" s="6"/>
      <c r="T1443" s="6"/>
      <c r="U1443" s="6"/>
    </row>
    <row r="1444">
      <c r="A1444" s="6"/>
      <c r="B1444" s="6"/>
      <c r="C1444" s="6"/>
      <c r="D1444" s="6"/>
      <c r="E1444" s="6"/>
      <c r="G1444" s="6"/>
      <c r="H1444" s="6"/>
      <c r="I1444" s="6"/>
      <c r="J1444" s="6"/>
      <c r="K1444" s="6"/>
      <c r="L1444" s="6"/>
      <c r="M1444" s="6"/>
      <c r="N1444" s="671"/>
      <c r="O1444" s="6"/>
      <c r="P1444" s="6"/>
      <c r="Q1444" s="6"/>
      <c r="R1444" s="6"/>
      <c r="S1444" s="6"/>
      <c r="T1444" s="6"/>
      <c r="U1444" s="6"/>
    </row>
    <row r="1445">
      <c r="A1445" s="6"/>
      <c r="B1445" s="6"/>
      <c r="C1445" s="6"/>
      <c r="D1445" s="6"/>
      <c r="E1445" s="6"/>
      <c r="G1445" s="6"/>
      <c r="H1445" s="6"/>
      <c r="I1445" s="6"/>
      <c r="J1445" s="6"/>
      <c r="K1445" s="6"/>
      <c r="L1445" s="6"/>
      <c r="M1445" s="6"/>
      <c r="N1445" s="671"/>
      <c r="O1445" s="6"/>
      <c r="P1445" s="6"/>
      <c r="Q1445" s="6"/>
      <c r="R1445" s="6"/>
      <c r="S1445" s="6"/>
      <c r="T1445" s="6"/>
      <c r="U1445" s="6"/>
    </row>
    <row r="1446">
      <c r="A1446" s="6"/>
      <c r="B1446" s="6"/>
      <c r="C1446" s="6"/>
      <c r="D1446" s="6"/>
      <c r="E1446" s="6"/>
      <c r="G1446" s="6"/>
      <c r="H1446" s="6"/>
      <c r="I1446" s="6"/>
      <c r="J1446" s="6"/>
      <c r="K1446" s="6"/>
      <c r="L1446" s="6"/>
      <c r="M1446" s="6"/>
      <c r="N1446" s="671"/>
      <c r="O1446" s="6"/>
      <c r="P1446" s="6"/>
      <c r="Q1446" s="6"/>
      <c r="R1446" s="6"/>
      <c r="S1446" s="6"/>
      <c r="T1446" s="6"/>
      <c r="U1446" s="6"/>
    </row>
    <row r="1447">
      <c r="A1447" s="6"/>
      <c r="B1447" s="6"/>
      <c r="C1447" s="6"/>
      <c r="D1447" s="6"/>
      <c r="E1447" s="6"/>
      <c r="G1447" s="6"/>
      <c r="H1447" s="6"/>
      <c r="I1447" s="6"/>
      <c r="J1447" s="6"/>
      <c r="K1447" s="6"/>
      <c r="L1447" s="6"/>
      <c r="M1447" s="6"/>
      <c r="N1447" s="671"/>
      <c r="O1447" s="6"/>
      <c r="P1447" s="6"/>
      <c r="Q1447" s="6"/>
      <c r="R1447" s="6"/>
      <c r="S1447" s="6"/>
      <c r="T1447" s="6"/>
      <c r="U1447" s="6"/>
    </row>
    <row r="1448">
      <c r="A1448" s="6"/>
      <c r="B1448" s="6"/>
      <c r="C1448" s="6"/>
      <c r="D1448" s="6"/>
      <c r="E1448" s="6"/>
      <c r="G1448" s="6"/>
      <c r="H1448" s="6"/>
      <c r="I1448" s="6"/>
      <c r="J1448" s="6"/>
      <c r="K1448" s="6"/>
      <c r="L1448" s="6"/>
      <c r="M1448" s="6"/>
      <c r="N1448" s="671"/>
      <c r="O1448" s="6"/>
      <c r="P1448" s="6"/>
      <c r="Q1448" s="6"/>
      <c r="R1448" s="6"/>
      <c r="S1448" s="6"/>
      <c r="T1448" s="6"/>
      <c r="U1448" s="6"/>
    </row>
    <row r="1449">
      <c r="A1449" s="6"/>
      <c r="B1449" s="6"/>
      <c r="C1449" s="6"/>
      <c r="D1449" s="6"/>
      <c r="E1449" s="6"/>
      <c r="G1449" s="6"/>
      <c r="H1449" s="6"/>
      <c r="I1449" s="6"/>
      <c r="J1449" s="6"/>
      <c r="K1449" s="6"/>
      <c r="L1449" s="6"/>
      <c r="M1449" s="6"/>
      <c r="N1449" s="671"/>
      <c r="O1449" s="6"/>
      <c r="P1449" s="6"/>
      <c r="Q1449" s="6"/>
      <c r="R1449" s="6"/>
      <c r="S1449" s="6"/>
      <c r="T1449" s="6"/>
      <c r="U1449" s="6"/>
    </row>
    <row r="1450">
      <c r="A1450" s="6"/>
      <c r="B1450" s="6"/>
      <c r="C1450" s="6"/>
      <c r="D1450" s="6"/>
      <c r="E1450" s="6"/>
      <c r="G1450" s="6"/>
      <c r="H1450" s="6"/>
      <c r="I1450" s="6"/>
      <c r="J1450" s="6"/>
      <c r="K1450" s="6"/>
      <c r="L1450" s="6"/>
      <c r="M1450" s="6"/>
      <c r="N1450" s="671"/>
      <c r="O1450" s="6"/>
      <c r="P1450" s="6"/>
      <c r="Q1450" s="6"/>
      <c r="R1450" s="6"/>
      <c r="S1450" s="6"/>
      <c r="T1450" s="6"/>
      <c r="U1450" s="6"/>
    </row>
    <row r="1451">
      <c r="A1451" s="6"/>
      <c r="B1451" s="6"/>
      <c r="C1451" s="6"/>
      <c r="D1451" s="6"/>
      <c r="E1451" s="6"/>
      <c r="G1451" s="6"/>
      <c r="H1451" s="6"/>
      <c r="I1451" s="6"/>
      <c r="J1451" s="6"/>
      <c r="K1451" s="6"/>
      <c r="L1451" s="6"/>
      <c r="M1451" s="6"/>
      <c r="N1451" s="671"/>
      <c r="O1451" s="6"/>
      <c r="P1451" s="6"/>
      <c r="Q1451" s="6"/>
      <c r="R1451" s="6"/>
      <c r="S1451" s="6"/>
      <c r="T1451" s="6"/>
      <c r="U1451" s="6"/>
    </row>
    <row r="1452">
      <c r="A1452" s="6"/>
      <c r="B1452" s="6"/>
      <c r="C1452" s="6"/>
      <c r="D1452" s="6"/>
      <c r="E1452" s="6"/>
      <c r="G1452" s="6"/>
      <c r="H1452" s="6"/>
      <c r="I1452" s="6"/>
      <c r="J1452" s="6"/>
      <c r="K1452" s="6"/>
      <c r="L1452" s="6"/>
      <c r="M1452" s="6"/>
      <c r="N1452" s="671"/>
      <c r="O1452" s="6"/>
      <c r="P1452" s="6"/>
      <c r="Q1452" s="6"/>
      <c r="R1452" s="6"/>
      <c r="S1452" s="6"/>
      <c r="T1452" s="6"/>
      <c r="U1452" s="6"/>
    </row>
    <row r="1453">
      <c r="A1453" s="6"/>
      <c r="B1453" s="6"/>
      <c r="C1453" s="6"/>
      <c r="D1453" s="6"/>
      <c r="E1453" s="6"/>
      <c r="G1453" s="6"/>
      <c r="H1453" s="6"/>
      <c r="I1453" s="6"/>
      <c r="J1453" s="6"/>
      <c r="K1453" s="6"/>
      <c r="L1453" s="6"/>
      <c r="M1453" s="6"/>
      <c r="N1453" s="671"/>
      <c r="O1453" s="6"/>
      <c r="P1453" s="6"/>
      <c r="Q1453" s="6"/>
      <c r="R1453" s="6"/>
      <c r="S1453" s="6"/>
      <c r="T1453" s="6"/>
      <c r="U1453" s="6"/>
    </row>
    <row r="1454">
      <c r="A1454" s="6"/>
      <c r="B1454" s="6"/>
      <c r="C1454" s="6"/>
      <c r="D1454" s="6"/>
      <c r="E1454" s="6"/>
      <c r="G1454" s="6"/>
      <c r="H1454" s="6"/>
      <c r="I1454" s="6"/>
      <c r="J1454" s="6"/>
      <c r="K1454" s="6"/>
      <c r="L1454" s="6"/>
      <c r="M1454" s="6"/>
      <c r="N1454" s="671"/>
      <c r="O1454" s="6"/>
      <c r="P1454" s="6"/>
      <c r="Q1454" s="6"/>
      <c r="R1454" s="6"/>
      <c r="S1454" s="6"/>
      <c r="T1454" s="6"/>
      <c r="U1454" s="6"/>
    </row>
    <row r="1455">
      <c r="A1455" s="6"/>
      <c r="B1455" s="6"/>
      <c r="C1455" s="6"/>
      <c r="D1455" s="6"/>
      <c r="E1455" s="6"/>
      <c r="G1455" s="6"/>
      <c r="H1455" s="6"/>
      <c r="I1455" s="6"/>
      <c r="J1455" s="6"/>
      <c r="K1455" s="6"/>
      <c r="L1455" s="6"/>
      <c r="M1455" s="6"/>
      <c r="N1455" s="671"/>
      <c r="O1455" s="6"/>
      <c r="P1455" s="6"/>
      <c r="Q1455" s="6"/>
      <c r="R1455" s="6"/>
      <c r="S1455" s="6"/>
      <c r="T1455" s="6"/>
      <c r="U1455" s="6"/>
    </row>
    <row r="1456">
      <c r="A1456" s="6"/>
      <c r="B1456" s="6"/>
      <c r="C1456" s="6"/>
      <c r="D1456" s="6"/>
      <c r="E1456" s="6"/>
      <c r="G1456" s="6"/>
      <c r="H1456" s="6"/>
      <c r="I1456" s="6"/>
      <c r="J1456" s="6"/>
      <c r="K1456" s="6"/>
      <c r="L1456" s="6"/>
      <c r="M1456" s="6"/>
      <c r="N1456" s="671"/>
      <c r="O1456" s="6"/>
      <c r="P1456" s="6"/>
      <c r="Q1456" s="6"/>
      <c r="R1456" s="6"/>
      <c r="S1456" s="6"/>
      <c r="T1456" s="6"/>
      <c r="U1456" s="6"/>
    </row>
    <row r="1457">
      <c r="A1457" s="6"/>
      <c r="B1457" s="6"/>
      <c r="C1457" s="6"/>
      <c r="D1457" s="6"/>
      <c r="E1457" s="6"/>
      <c r="G1457" s="6"/>
      <c r="H1457" s="6"/>
      <c r="I1457" s="6"/>
      <c r="J1457" s="6"/>
      <c r="K1457" s="6"/>
      <c r="L1457" s="6"/>
      <c r="M1457" s="6"/>
      <c r="N1457" s="671"/>
      <c r="O1457" s="6"/>
      <c r="P1457" s="6"/>
      <c r="Q1457" s="6"/>
      <c r="R1457" s="6"/>
      <c r="S1457" s="6"/>
      <c r="T1457" s="6"/>
      <c r="U1457" s="6"/>
    </row>
    <row r="1458">
      <c r="A1458" s="6"/>
      <c r="B1458" s="6"/>
      <c r="C1458" s="6"/>
      <c r="D1458" s="6"/>
      <c r="E1458" s="6"/>
      <c r="G1458" s="6"/>
      <c r="H1458" s="6"/>
      <c r="I1458" s="6"/>
      <c r="J1458" s="6"/>
      <c r="K1458" s="6"/>
      <c r="L1458" s="6"/>
      <c r="M1458" s="6"/>
      <c r="N1458" s="671"/>
      <c r="O1458" s="6"/>
      <c r="P1458" s="6"/>
      <c r="Q1458" s="6"/>
      <c r="R1458" s="6"/>
      <c r="S1458" s="6"/>
      <c r="T1458" s="6"/>
      <c r="U1458" s="6"/>
    </row>
    <row r="1459">
      <c r="A1459" s="6"/>
      <c r="B1459" s="6"/>
      <c r="C1459" s="6"/>
      <c r="D1459" s="6"/>
      <c r="E1459" s="6"/>
      <c r="G1459" s="6"/>
      <c r="H1459" s="6"/>
      <c r="I1459" s="6"/>
      <c r="J1459" s="6"/>
      <c r="K1459" s="6"/>
      <c r="L1459" s="6"/>
      <c r="M1459" s="6"/>
      <c r="N1459" s="671"/>
      <c r="O1459" s="6"/>
      <c r="P1459" s="6"/>
      <c r="Q1459" s="6"/>
      <c r="R1459" s="6"/>
      <c r="S1459" s="6"/>
      <c r="T1459" s="6"/>
      <c r="U1459" s="6"/>
    </row>
    <row r="1460">
      <c r="A1460" s="6"/>
      <c r="B1460" s="6"/>
      <c r="C1460" s="6"/>
      <c r="D1460" s="6"/>
      <c r="E1460" s="6"/>
      <c r="G1460" s="6"/>
      <c r="H1460" s="6"/>
      <c r="I1460" s="6"/>
      <c r="J1460" s="6"/>
      <c r="K1460" s="6"/>
      <c r="L1460" s="6"/>
      <c r="M1460" s="6"/>
      <c r="N1460" s="671"/>
      <c r="O1460" s="6"/>
      <c r="P1460" s="6"/>
      <c r="Q1460" s="6"/>
      <c r="R1460" s="6"/>
      <c r="S1460" s="6"/>
      <c r="T1460" s="6"/>
      <c r="U1460" s="6"/>
    </row>
    <row r="1461">
      <c r="A1461" s="6"/>
      <c r="B1461" s="6"/>
      <c r="C1461" s="6"/>
      <c r="D1461" s="6"/>
      <c r="E1461" s="6"/>
      <c r="G1461" s="6"/>
      <c r="H1461" s="6"/>
      <c r="I1461" s="6"/>
      <c r="J1461" s="6"/>
      <c r="K1461" s="6"/>
      <c r="L1461" s="6"/>
      <c r="M1461" s="6"/>
      <c r="N1461" s="671"/>
      <c r="O1461" s="6"/>
      <c r="P1461" s="6"/>
      <c r="Q1461" s="6"/>
      <c r="R1461" s="6"/>
      <c r="S1461" s="6"/>
      <c r="T1461" s="6"/>
      <c r="U1461" s="6"/>
    </row>
    <row r="1462">
      <c r="A1462" s="6"/>
      <c r="B1462" s="6"/>
      <c r="C1462" s="6"/>
      <c r="D1462" s="6"/>
      <c r="E1462" s="6"/>
      <c r="G1462" s="6"/>
      <c r="H1462" s="6"/>
      <c r="I1462" s="6"/>
      <c r="J1462" s="6"/>
      <c r="K1462" s="6"/>
      <c r="L1462" s="6"/>
      <c r="M1462" s="6"/>
      <c r="N1462" s="671"/>
      <c r="O1462" s="6"/>
      <c r="P1462" s="6"/>
      <c r="Q1462" s="6"/>
      <c r="R1462" s="6"/>
      <c r="S1462" s="6"/>
      <c r="T1462" s="6"/>
      <c r="U1462" s="6"/>
    </row>
    <row r="1463">
      <c r="A1463" s="6"/>
      <c r="B1463" s="6"/>
      <c r="C1463" s="6"/>
      <c r="D1463" s="6"/>
      <c r="E1463" s="6"/>
      <c r="G1463" s="6"/>
      <c r="H1463" s="6"/>
      <c r="I1463" s="6"/>
      <c r="J1463" s="6"/>
      <c r="K1463" s="6"/>
      <c r="L1463" s="6"/>
      <c r="M1463" s="6"/>
      <c r="N1463" s="671"/>
      <c r="O1463" s="6"/>
      <c r="P1463" s="6"/>
      <c r="Q1463" s="6"/>
      <c r="R1463" s="6"/>
      <c r="S1463" s="6"/>
      <c r="T1463" s="6"/>
      <c r="U1463" s="6"/>
    </row>
    <row r="1464">
      <c r="A1464" s="6"/>
      <c r="B1464" s="6"/>
      <c r="C1464" s="6"/>
      <c r="D1464" s="6"/>
      <c r="E1464" s="6"/>
      <c r="G1464" s="6"/>
      <c r="H1464" s="6"/>
      <c r="I1464" s="6"/>
      <c r="J1464" s="6"/>
      <c r="K1464" s="6"/>
      <c r="L1464" s="6"/>
      <c r="M1464" s="6"/>
      <c r="N1464" s="671"/>
      <c r="O1464" s="6"/>
      <c r="P1464" s="6"/>
      <c r="Q1464" s="6"/>
      <c r="R1464" s="6"/>
      <c r="S1464" s="6"/>
      <c r="T1464" s="6"/>
      <c r="U1464" s="6"/>
    </row>
    <row r="1465">
      <c r="A1465" s="6"/>
      <c r="B1465" s="6"/>
      <c r="C1465" s="6"/>
      <c r="D1465" s="6"/>
      <c r="E1465" s="6"/>
      <c r="G1465" s="6"/>
      <c r="H1465" s="6"/>
      <c r="I1465" s="6"/>
      <c r="J1465" s="6"/>
      <c r="K1465" s="6"/>
      <c r="L1465" s="6"/>
      <c r="M1465" s="6"/>
      <c r="N1465" s="671"/>
      <c r="O1465" s="6"/>
      <c r="P1465" s="6"/>
      <c r="Q1465" s="6"/>
      <c r="R1465" s="6"/>
      <c r="S1465" s="6"/>
      <c r="T1465" s="6"/>
      <c r="U1465" s="6"/>
    </row>
    <row r="1466">
      <c r="A1466" s="6"/>
      <c r="B1466" s="6"/>
      <c r="C1466" s="6"/>
      <c r="D1466" s="6"/>
      <c r="E1466" s="6"/>
      <c r="G1466" s="6"/>
      <c r="H1466" s="6"/>
      <c r="I1466" s="6"/>
      <c r="J1466" s="6"/>
      <c r="K1466" s="6"/>
      <c r="L1466" s="6"/>
      <c r="M1466" s="6"/>
      <c r="N1466" s="671"/>
      <c r="O1466" s="6"/>
      <c r="P1466" s="6"/>
      <c r="Q1466" s="6"/>
      <c r="R1466" s="6"/>
      <c r="S1466" s="6"/>
      <c r="T1466" s="6"/>
      <c r="U1466" s="6"/>
    </row>
    <row r="1467">
      <c r="A1467" s="6"/>
      <c r="B1467" s="6"/>
      <c r="C1467" s="6"/>
      <c r="D1467" s="6"/>
      <c r="E1467" s="6"/>
      <c r="G1467" s="6"/>
      <c r="H1467" s="6"/>
      <c r="I1467" s="6"/>
      <c r="J1467" s="6"/>
      <c r="K1467" s="6"/>
      <c r="L1467" s="6"/>
      <c r="M1467" s="6"/>
      <c r="N1467" s="671"/>
      <c r="O1467" s="6"/>
      <c r="P1467" s="6"/>
      <c r="Q1467" s="6"/>
      <c r="R1467" s="6"/>
      <c r="S1467" s="6"/>
      <c r="T1467" s="6"/>
      <c r="U1467" s="6"/>
    </row>
    <row r="1468">
      <c r="A1468" s="6"/>
      <c r="B1468" s="6"/>
      <c r="C1468" s="6"/>
      <c r="D1468" s="6"/>
      <c r="E1468" s="6"/>
      <c r="G1468" s="6"/>
      <c r="H1468" s="6"/>
      <c r="I1468" s="6"/>
      <c r="J1468" s="6"/>
      <c r="K1468" s="6"/>
      <c r="L1468" s="6"/>
      <c r="M1468" s="6"/>
      <c r="N1468" s="671"/>
      <c r="O1468" s="6"/>
      <c r="P1468" s="6"/>
      <c r="Q1468" s="6"/>
      <c r="R1468" s="6"/>
      <c r="S1468" s="6"/>
      <c r="T1468" s="6"/>
      <c r="U1468" s="6"/>
    </row>
    <row r="1469">
      <c r="A1469" s="6"/>
      <c r="B1469" s="6"/>
      <c r="C1469" s="6"/>
      <c r="D1469" s="6"/>
      <c r="E1469" s="6"/>
      <c r="G1469" s="6"/>
      <c r="H1469" s="6"/>
      <c r="I1469" s="6"/>
      <c r="J1469" s="6"/>
      <c r="K1469" s="6"/>
      <c r="L1469" s="6"/>
      <c r="M1469" s="6"/>
      <c r="N1469" s="671"/>
      <c r="O1469" s="6"/>
      <c r="P1469" s="6"/>
      <c r="Q1469" s="6"/>
      <c r="R1469" s="6"/>
      <c r="S1469" s="6"/>
      <c r="T1469" s="6"/>
      <c r="U1469" s="6"/>
    </row>
    <row r="1470">
      <c r="A1470" s="6"/>
      <c r="B1470" s="6"/>
      <c r="C1470" s="6"/>
      <c r="D1470" s="6"/>
      <c r="E1470" s="6"/>
      <c r="G1470" s="6"/>
      <c r="H1470" s="6"/>
      <c r="I1470" s="6"/>
      <c r="J1470" s="6"/>
      <c r="K1470" s="6"/>
      <c r="L1470" s="6"/>
      <c r="M1470" s="6"/>
      <c r="N1470" s="671"/>
      <c r="O1470" s="6"/>
      <c r="P1470" s="6"/>
      <c r="Q1470" s="6"/>
      <c r="R1470" s="6"/>
      <c r="S1470" s="6"/>
      <c r="T1470" s="6"/>
      <c r="U1470" s="6"/>
    </row>
    <row r="1471">
      <c r="A1471" s="6"/>
      <c r="B1471" s="6"/>
      <c r="C1471" s="6"/>
      <c r="D1471" s="6"/>
      <c r="E1471" s="6"/>
      <c r="G1471" s="6"/>
      <c r="H1471" s="6"/>
      <c r="I1471" s="6"/>
      <c r="J1471" s="6"/>
      <c r="K1471" s="6"/>
      <c r="L1471" s="6"/>
      <c r="M1471" s="6"/>
      <c r="N1471" s="671"/>
      <c r="O1471" s="6"/>
      <c r="P1471" s="6"/>
      <c r="Q1471" s="6"/>
      <c r="R1471" s="6"/>
      <c r="S1471" s="6"/>
      <c r="T1471" s="6"/>
      <c r="U1471" s="6"/>
    </row>
    <row r="1472">
      <c r="A1472" s="6"/>
      <c r="B1472" s="6"/>
      <c r="C1472" s="6"/>
      <c r="D1472" s="6"/>
      <c r="E1472" s="6"/>
      <c r="G1472" s="6"/>
      <c r="H1472" s="6"/>
      <c r="I1472" s="6"/>
      <c r="J1472" s="6"/>
      <c r="K1472" s="6"/>
      <c r="L1472" s="6"/>
      <c r="M1472" s="6"/>
      <c r="N1472" s="671"/>
      <c r="O1472" s="6"/>
      <c r="P1472" s="6"/>
      <c r="Q1472" s="6"/>
      <c r="R1472" s="6"/>
      <c r="S1472" s="6"/>
      <c r="T1472" s="6"/>
      <c r="U1472" s="6"/>
    </row>
    <row r="1473">
      <c r="A1473" s="6"/>
      <c r="B1473" s="6"/>
      <c r="C1473" s="6"/>
      <c r="D1473" s="6"/>
      <c r="E1473" s="6"/>
      <c r="G1473" s="6"/>
      <c r="H1473" s="6"/>
      <c r="I1473" s="6"/>
      <c r="J1473" s="6"/>
      <c r="K1473" s="6"/>
      <c r="L1473" s="6"/>
      <c r="M1473" s="6"/>
      <c r="N1473" s="671"/>
      <c r="O1473" s="6"/>
      <c r="P1473" s="6"/>
      <c r="Q1473" s="6"/>
      <c r="R1473" s="6"/>
      <c r="S1473" s="6"/>
      <c r="T1473" s="6"/>
      <c r="U1473" s="6"/>
    </row>
    <row r="1474">
      <c r="A1474" s="6"/>
      <c r="B1474" s="6"/>
      <c r="C1474" s="6"/>
      <c r="D1474" s="6"/>
      <c r="E1474" s="6"/>
      <c r="G1474" s="6"/>
      <c r="H1474" s="6"/>
      <c r="I1474" s="6"/>
      <c r="J1474" s="6"/>
      <c r="K1474" s="6"/>
      <c r="L1474" s="6"/>
      <c r="M1474" s="6"/>
      <c r="N1474" s="671"/>
      <c r="O1474" s="6"/>
      <c r="P1474" s="6"/>
      <c r="Q1474" s="6"/>
      <c r="R1474" s="6"/>
      <c r="S1474" s="6"/>
      <c r="T1474" s="6"/>
      <c r="U1474" s="6"/>
    </row>
    <row r="1475">
      <c r="A1475" s="6"/>
      <c r="B1475" s="6"/>
      <c r="C1475" s="6"/>
      <c r="D1475" s="6"/>
      <c r="E1475" s="6"/>
      <c r="G1475" s="6"/>
      <c r="H1475" s="6"/>
      <c r="I1475" s="6"/>
      <c r="J1475" s="6"/>
      <c r="K1475" s="6"/>
      <c r="L1475" s="6"/>
      <c r="M1475" s="6"/>
      <c r="N1475" s="671"/>
      <c r="O1475" s="6"/>
      <c r="P1475" s="6"/>
      <c r="Q1475" s="6"/>
      <c r="R1475" s="6"/>
      <c r="S1475" s="6"/>
      <c r="T1475" s="6"/>
      <c r="U1475" s="6"/>
    </row>
    <row r="1476">
      <c r="A1476" s="6"/>
      <c r="B1476" s="6"/>
      <c r="C1476" s="6"/>
      <c r="D1476" s="6"/>
      <c r="E1476" s="6"/>
      <c r="G1476" s="6"/>
      <c r="H1476" s="6"/>
      <c r="I1476" s="6"/>
      <c r="J1476" s="6"/>
      <c r="K1476" s="6"/>
      <c r="L1476" s="6"/>
      <c r="M1476" s="6"/>
      <c r="N1476" s="671"/>
      <c r="O1476" s="6"/>
      <c r="P1476" s="6"/>
      <c r="Q1476" s="6"/>
      <c r="R1476" s="6"/>
      <c r="S1476" s="6"/>
      <c r="T1476" s="6"/>
      <c r="U1476" s="6"/>
    </row>
    <row r="1477">
      <c r="A1477" s="6"/>
      <c r="B1477" s="6"/>
      <c r="C1477" s="6"/>
      <c r="D1477" s="6"/>
      <c r="E1477" s="6"/>
      <c r="G1477" s="6"/>
      <c r="H1477" s="6"/>
      <c r="I1477" s="6"/>
      <c r="J1477" s="6"/>
      <c r="K1477" s="6"/>
      <c r="L1477" s="6"/>
      <c r="M1477" s="6"/>
      <c r="N1477" s="671"/>
      <c r="O1477" s="6"/>
      <c r="P1477" s="6"/>
      <c r="Q1477" s="6"/>
      <c r="R1477" s="6"/>
      <c r="S1477" s="6"/>
      <c r="T1477" s="6"/>
      <c r="U1477" s="6"/>
    </row>
    <row r="1478">
      <c r="A1478" s="6"/>
      <c r="B1478" s="6"/>
      <c r="C1478" s="6"/>
      <c r="D1478" s="6"/>
      <c r="E1478" s="6"/>
      <c r="G1478" s="6"/>
      <c r="H1478" s="6"/>
      <c r="I1478" s="6"/>
      <c r="J1478" s="6"/>
      <c r="K1478" s="6"/>
      <c r="L1478" s="6"/>
      <c r="M1478" s="6"/>
      <c r="N1478" s="671"/>
      <c r="O1478" s="6"/>
      <c r="P1478" s="6"/>
      <c r="Q1478" s="6"/>
      <c r="R1478" s="6"/>
      <c r="S1478" s="6"/>
      <c r="T1478" s="6"/>
      <c r="U1478" s="6"/>
    </row>
    <row r="1479">
      <c r="A1479" s="6"/>
      <c r="B1479" s="6"/>
      <c r="C1479" s="6"/>
      <c r="D1479" s="6"/>
      <c r="E1479" s="6"/>
      <c r="G1479" s="6"/>
      <c r="H1479" s="6"/>
      <c r="I1479" s="6"/>
      <c r="J1479" s="6"/>
      <c r="K1479" s="6"/>
      <c r="L1479" s="6"/>
      <c r="M1479" s="6"/>
      <c r="N1479" s="671"/>
      <c r="O1479" s="6"/>
      <c r="P1479" s="6"/>
      <c r="Q1479" s="6"/>
      <c r="R1479" s="6"/>
      <c r="S1479" s="6"/>
      <c r="T1479" s="6"/>
      <c r="U1479" s="6"/>
    </row>
    <row r="1480">
      <c r="A1480" s="6"/>
      <c r="B1480" s="6"/>
      <c r="C1480" s="6"/>
      <c r="D1480" s="6"/>
      <c r="E1480" s="6"/>
      <c r="G1480" s="6"/>
      <c r="H1480" s="6"/>
      <c r="I1480" s="6"/>
      <c r="J1480" s="6"/>
      <c r="K1480" s="6"/>
      <c r="L1480" s="6"/>
      <c r="M1480" s="6"/>
      <c r="N1480" s="671"/>
      <c r="O1480" s="6"/>
      <c r="P1480" s="6"/>
      <c r="Q1480" s="6"/>
      <c r="R1480" s="6"/>
      <c r="S1480" s="6"/>
      <c r="T1480" s="6"/>
      <c r="U1480" s="6"/>
    </row>
    <row r="1481">
      <c r="A1481" s="6"/>
      <c r="B1481" s="6"/>
      <c r="C1481" s="6"/>
      <c r="D1481" s="6"/>
      <c r="E1481" s="6"/>
      <c r="G1481" s="6"/>
      <c r="H1481" s="6"/>
      <c r="I1481" s="6"/>
      <c r="J1481" s="6"/>
      <c r="K1481" s="6"/>
      <c r="L1481" s="6"/>
      <c r="M1481" s="6"/>
      <c r="N1481" s="671"/>
      <c r="O1481" s="6"/>
      <c r="P1481" s="6"/>
      <c r="Q1481" s="6"/>
      <c r="R1481" s="6"/>
      <c r="S1481" s="6"/>
      <c r="T1481" s="6"/>
      <c r="U1481" s="6"/>
    </row>
    <row r="1482">
      <c r="A1482" s="6"/>
      <c r="B1482" s="6"/>
      <c r="C1482" s="6"/>
      <c r="D1482" s="6"/>
      <c r="E1482" s="6"/>
      <c r="G1482" s="6"/>
      <c r="H1482" s="6"/>
      <c r="I1482" s="6"/>
      <c r="J1482" s="6"/>
      <c r="K1482" s="6"/>
      <c r="L1482" s="6"/>
      <c r="M1482" s="6"/>
      <c r="N1482" s="671"/>
      <c r="O1482" s="6"/>
      <c r="P1482" s="6"/>
      <c r="Q1482" s="6"/>
      <c r="R1482" s="6"/>
      <c r="S1482" s="6"/>
      <c r="T1482" s="6"/>
      <c r="U1482" s="6"/>
    </row>
    <row r="1483">
      <c r="A1483" s="6"/>
      <c r="B1483" s="6"/>
      <c r="C1483" s="6"/>
      <c r="D1483" s="6"/>
      <c r="E1483" s="6"/>
      <c r="G1483" s="6"/>
      <c r="H1483" s="6"/>
      <c r="I1483" s="6"/>
      <c r="J1483" s="6"/>
      <c r="K1483" s="6"/>
      <c r="L1483" s="6"/>
      <c r="M1483" s="6"/>
      <c r="N1483" s="671"/>
      <c r="O1483" s="6"/>
      <c r="P1483" s="6"/>
      <c r="Q1483" s="6"/>
      <c r="R1483" s="6"/>
      <c r="S1483" s="6"/>
      <c r="T1483" s="6"/>
      <c r="U1483" s="6"/>
    </row>
    <row r="1484">
      <c r="A1484" s="6"/>
      <c r="B1484" s="6"/>
      <c r="C1484" s="6"/>
      <c r="D1484" s="6"/>
      <c r="E1484" s="6"/>
      <c r="G1484" s="6"/>
      <c r="H1484" s="6"/>
      <c r="I1484" s="6"/>
      <c r="J1484" s="6"/>
      <c r="K1484" s="6"/>
      <c r="L1484" s="6"/>
      <c r="M1484" s="6"/>
      <c r="N1484" s="671"/>
      <c r="O1484" s="6"/>
      <c r="P1484" s="6"/>
      <c r="Q1484" s="6"/>
      <c r="R1484" s="6"/>
      <c r="S1484" s="6"/>
      <c r="T1484" s="6"/>
      <c r="U1484" s="6"/>
    </row>
    <row r="1485">
      <c r="A1485" s="6"/>
      <c r="B1485" s="6"/>
      <c r="C1485" s="6"/>
      <c r="D1485" s="6"/>
      <c r="E1485" s="6"/>
      <c r="G1485" s="6"/>
      <c r="H1485" s="6"/>
      <c r="I1485" s="6"/>
      <c r="J1485" s="6"/>
      <c r="K1485" s="6"/>
      <c r="L1485" s="6"/>
      <c r="M1485" s="6"/>
      <c r="N1485" s="671"/>
      <c r="O1485" s="6"/>
      <c r="P1485" s="6"/>
      <c r="Q1485" s="6"/>
      <c r="R1485" s="6"/>
      <c r="S1485" s="6"/>
      <c r="T1485" s="6"/>
      <c r="U1485" s="6"/>
    </row>
    <row r="1486">
      <c r="A1486" s="6"/>
      <c r="B1486" s="6"/>
      <c r="C1486" s="6"/>
      <c r="D1486" s="6"/>
      <c r="E1486" s="6"/>
      <c r="G1486" s="6"/>
      <c r="H1486" s="6"/>
      <c r="I1486" s="6"/>
      <c r="J1486" s="6"/>
      <c r="K1486" s="6"/>
      <c r="L1486" s="6"/>
      <c r="M1486" s="6"/>
      <c r="N1486" s="671"/>
      <c r="O1486" s="6"/>
      <c r="P1486" s="6"/>
      <c r="Q1486" s="6"/>
      <c r="R1486" s="6"/>
      <c r="S1486" s="6"/>
      <c r="T1486" s="6"/>
      <c r="U1486" s="6"/>
    </row>
    <row r="1487">
      <c r="A1487" s="6"/>
      <c r="B1487" s="6"/>
      <c r="C1487" s="6"/>
      <c r="D1487" s="6"/>
      <c r="E1487" s="6"/>
      <c r="G1487" s="6"/>
      <c r="H1487" s="6"/>
      <c r="I1487" s="6"/>
      <c r="J1487" s="6"/>
      <c r="K1487" s="6"/>
      <c r="L1487" s="6"/>
      <c r="M1487" s="6"/>
      <c r="N1487" s="671"/>
      <c r="O1487" s="6"/>
      <c r="P1487" s="6"/>
      <c r="Q1487" s="6"/>
      <c r="R1487" s="6"/>
      <c r="S1487" s="6"/>
      <c r="T1487" s="6"/>
      <c r="U1487" s="6"/>
    </row>
    <row r="1488">
      <c r="A1488" s="6"/>
      <c r="B1488" s="6"/>
      <c r="C1488" s="6"/>
      <c r="D1488" s="6"/>
      <c r="E1488" s="6"/>
      <c r="G1488" s="6"/>
      <c r="H1488" s="6"/>
      <c r="I1488" s="6"/>
      <c r="J1488" s="6"/>
      <c r="K1488" s="6"/>
      <c r="L1488" s="6"/>
      <c r="M1488" s="6"/>
      <c r="N1488" s="671"/>
      <c r="O1488" s="6"/>
      <c r="P1488" s="6"/>
      <c r="Q1488" s="6"/>
      <c r="R1488" s="6"/>
      <c r="S1488" s="6"/>
      <c r="T1488" s="6"/>
      <c r="U1488" s="6"/>
    </row>
    <row r="1489">
      <c r="A1489" s="6"/>
      <c r="B1489" s="6"/>
      <c r="C1489" s="6"/>
      <c r="D1489" s="6"/>
      <c r="E1489" s="6"/>
      <c r="G1489" s="6"/>
      <c r="H1489" s="6"/>
      <c r="I1489" s="6"/>
      <c r="J1489" s="6"/>
      <c r="K1489" s="6"/>
      <c r="L1489" s="6"/>
      <c r="M1489" s="6"/>
      <c r="N1489" s="671"/>
      <c r="O1489" s="6"/>
      <c r="P1489" s="6"/>
      <c r="Q1489" s="6"/>
      <c r="R1489" s="6"/>
      <c r="S1489" s="6"/>
      <c r="T1489" s="6"/>
      <c r="U1489" s="6"/>
    </row>
    <row r="1490">
      <c r="A1490" s="6"/>
      <c r="B1490" s="6"/>
      <c r="C1490" s="6"/>
      <c r="D1490" s="6"/>
      <c r="E1490" s="6"/>
      <c r="G1490" s="6"/>
      <c r="H1490" s="6"/>
      <c r="I1490" s="6"/>
      <c r="J1490" s="6"/>
      <c r="K1490" s="6"/>
      <c r="L1490" s="6"/>
      <c r="M1490" s="6"/>
      <c r="N1490" s="671"/>
      <c r="O1490" s="6"/>
      <c r="P1490" s="6"/>
      <c r="Q1490" s="6"/>
      <c r="R1490" s="6"/>
      <c r="S1490" s="6"/>
      <c r="T1490" s="6"/>
      <c r="U1490" s="6"/>
    </row>
    <row r="1491">
      <c r="A1491" s="6"/>
      <c r="B1491" s="6"/>
      <c r="C1491" s="6"/>
      <c r="D1491" s="6"/>
      <c r="E1491" s="6"/>
      <c r="G1491" s="6"/>
      <c r="H1491" s="6"/>
      <c r="I1491" s="6"/>
      <c r="J1491" s="6"/>
      <c r="K1491" s="6"/>
      <c r="L1491" s="6"/>
      <c r="M1491" s="6"/>
      <c r="N1491" s="671"/>
      <c r="O1491" s="6"/>
      <c r="P1491" s="6"/>
      <c r="Q1491" s="6"/>
      <c r="R1491" s="6"/>
      <c r="S1491" s="6"/>
      <c r="T1491" s="6"/>
      <c r="U1491" s="6"/>
    </row>
    <row r="1492">
      <c r="A1492" s="6"/>
      <c r="B1492" s="6"/>
      <c r="C1492" s="6"/>
      <c r="D1492" s="6"/>
      <c r="E1492" s="6"/>
      <c r="G1492" s="6"/>
      <c r="H1492" s="6"/>
      <c r="I1492" s="6"/>
      <c r="J1492" s="6"/>
      <c r="K1492" s="6"/>
      <c r="L1492" s="6"/>
      <c r="M1492" s="6"/>
      <c r="N1492" s="671"/>
      <c r="O1492" s="6"/>
      <c r="P1492" s="6"/>
      <c r="Q1492" s="6"/>
      <c r="R1492" s="6"/>
      <c r="S1492" s="6"/>
      <c r="T1492" s="6"/>
      <c r="U1492" s="6"/>
    </row>
    <row r="1493">
      <c r="A1493" s="6"/>
      <c r="B1493" s="6"/>
      <c r="C1493" s="6"/>
      <c r="D1493" s="6"/>
      <c r="E1493" s="6"/>
      <c r="G1493" s="6"/>
      <c r="H1493" s="6"/>
      <c r="I1493" s="6"/>
      <c r="J1493" s="6"/>
      <c r="K1493" s="6"/>
      <c r="L1493" s="6"/>
      <c r="M1493" s="6"/>
      <c r="N1493" s="671"/>
      <c r="O1493" s="6"/>
      <c r="P1493" s="6"/>
      <c r="Q1493" s="6"/>
      <c r="R1493" s="6"/>
      <c r="S1493" s="6"/>
      <c r="T1493" s="6"/>
      <c r="U1493" s="6"/>
    </row>
    <row r="1494">
      <c r="A1494" s="6"/>
      <c r="B1494" s="6"/>
      <c r="C1494" s="6"/>
      <c r="D1494" s="6"/>
      <c r="E1494" s="6"/>
      <c r="G1494" s="6"/>
      <c r="H1494" s="6"/>
      <c r="I1494" s="6"/>
      <c r="J1494" s="6"/>
      <c r="K1494" s="6"/>
      <c r="L1494" s="6"/>
      <c r="M1494" s="6"/>
      <c r="N1494" s="671"/>
      <c r="O1494" s="6"/>
      <c r="P1494" s="6"/>
      <c r="Q1494" s="6"/>
      <c r="R1494" s="6"/>
      <c r="S1494" s="6"/>
      <c r="T1494" s="6"/>
      <c r="U1494" s="6"/>
    </row>
    <row r="1495">
      <c r="A1495" s="6"/>
      <c r="B1495" s="6"/>
      <c r="C1495" s="6"/>
      <c r="D1495" s="6"/>
      <c r="E1495" s="6"/>
      <c r="G1495" s="6"/>
      <c r="H1495" s="6"/>
      <c r="I1495" s="6"/>
      <c r="J1495" s="6"/>
      <c r="K1495" s="6"/>
      <c r="L1495" s="6"/>
      <c r="M1495" s="6"/>
      <c r="N1495" s="671"/>
      <c r="O1495" s="6"/>
      <c r="P1495" s="6"/>
      <c r="Q1495" s="6"/>
      <c r="R1495" s="6"/>
      <c r="S1495" s="6"/>
      <c r="T1495" s="6"/>
      <c r="U1495" s="6"/>
    </row>
    <row r="1496">
      <c r="A1496" s="6"/>
      <c r="B1496" s="6"/>
      <c r="C1496" s="6"/>
      <c r="D1496" s="6"/>
      <c r="E1496" s="6"/>
      <c r="G1496" s="6"/>
      <c r="H1496" s="6"/>
      <c r="I1496" s="6"/>
      <c r="J1496" s="6"/>
      <c r="K1496" s="6"/>
      <c r="L1496" s="6"/>
      <c r="M1496" s="6"/>
      <c r="N1496" s="671"/>
      <c r="O1496" s="6"/>
      <c r="P1496" s="6"/>
      <c r="Q1496" s="6"/>
      <c r="R1496" s="6"/>
      <c r="S1496" s="6"/>
      <c r="T1496" s="6"/>
      <c r="U1496" s="6"/>
    </row>
    <row r="1497">
      <c r="A1497" s="6"/>
      <c r="B1497" s="6"/>
      <c r="C1497" s="6"/>
      <c r="D1497" s="6"/>
      <c r="E1497" s="6"/>
      <c r="G1497" s="6"/>
      <c r="H1497" s="6"/>
      <c r="I1497" s="6"/>
      <c r="J1497" s="6"/>
      <c r="K1497" s="6"/>
      <c r="L1497" s="6"/>
      <c r="M1497" s="6"/>
      <c r="N1497" s="671"/>
      <c r="O1497" s="6"/>
      <c r="P1497" s="6"/>
      <c r="Q1497" s="6"/>
      <c r="R1497" s="6"/>
      <c r="S1497" s="6"/>
      <c r="T1497" s="6"/>
      <c r="U1497" s="6"/>
    </row>
    <row r="1498">
      <c r="A1498" s="6"/>
      <c r="B1498" s="6"/>
      <c r="C1498" s="6"/>
      <c r="D1498" s="6"/>
      <c r="E1498" s="6"/>
      <c r="G1498" s="6"/>
      <c r="H1498" s="6"/>
      <c r="I1498" s="6"/>
      <c r="J1498" s="6"/>
      <c r="K1498" s="6"/>
      <c r="L1498" s="6"/>
      <c r="M1498" s="6"/>
      <c r="N1498" s="671"/>
      <c r="O1498" s="6"/>
      <c r="P1498" s="6"/>
      <c r="Q1498" s="6"/>
      <c r="R1498" s="6"/>
      <c r="S1498" s="6"/>
      <c r="T1498" s="6"/>
      <c r="U1498" s="6"/>
    </row>
    <row r="1499">
      <c r="A1499" s="6"/>
      <c r="B1499" s="6"/>
      <c r="C1499" s="6"/>
      <c r="D1499" s="6"/>
      <c r="E1499" s="6"/>
      <c r="G1499" s="6"/>
      <c r="H1499" s="6"/>
      <c r="I1499" s="6"/>
      <c r="J1499" s="6"/>
      <c r="K1499" s="6"/>
      <c r="L1499" s="6"/>
      <c r="M1499" s="6"/>
      <c r="N1499" s="671"/>
      <c r="O1499" s="6"/>
      <c r="P1499" s="6"/>
      <c r="Q1499" s="6"/>
      <c r="R1499" s="6"/>
      <c r="S1499" s="6"/>
      <c r="T1499" s="6"/>
      <c r="U1499" s="6"/>
    </row>
    <row r="1500">
      <c r="A1500" s="6"/>
      <c r="B1500" s="6"/>
      <c r="C1500" s="6"/>
      <c r="D1500" s="6"/>
      <c r="E1500" s="6"/>
      <c r="G1500" s="6"/>
      <c r="H1500" s="6"/>
      <c r="I1500" s="6"/>
      <c r="J1500" s="6"/>
      <c r="K1500" s="6"/>
      <c r="L1500" s="6"/>
      <c r="M1500" s="6"/>
      <c r="N1500" s="671"/>
      <c r="O1500" s="6"/>
      <c r="P1500" s="6"/>
      <c r="Q1500" s="6"/>
      <c r="R1500" s="6"/>
      <c r="S1500" s="6"/>
      <c r="T1500" s="6"/>
      <c r="U1500" s="6"/>
    </row>
    <row r="1501">
      <c r="A1501" s="6"/>
      <c r="B1501" s="6"/>
      <c r="C1501" s="6"/>
      <c r="D1501" s="6"/>
      <c r="E1501" s="6"/>
      <c r="G1501" s="6"/>
      <c r="H1501" s="6"/>
      <c r="I1501" s="6"/>
      <c r="J1501" s="6"/>
      <c r="K1501" s="6"/>
      <c r="L1501" s="6"/>
      <c r="M1501" s="6"/>
      <c r="N1501" s="671"/>
      <c r="O1501" s="6"/>
      <c r="P1501" s="6"/>
      <c r="Q1501" s="6"/>
      <c r="R1501" s="6"/>
      <c r="S1501" s="6"/>
      <c r="T1501" s="6"/>
      <c r="U1501" s="6"/>
    </row>
    <row r="1502">
      <c r="A1502" s="6"/>
      <c r="B1502" s="6"/>
      <c r="C1502" s="6"/>
      <c r="D1502" s="6"/>
      <c r="E1502" s="6"/>
      <c r="G1502" s="6"/>
      <c r="H1502" s="6"/>
      <c r="I1502" s="6"/>
      <c r="J1502" s="6"/>
      <c r="K1502" s="6"/>
      <c r="L1502" s="6"/>
      <c r="M1502" s="6"/>
      <c r="N1502" s="671"/>
      <c r="O1502" s="6"/>
      <c r="P1502" s="6"/>
      <c r="Q1502" s="6"/>
      <c r="R1502" s="6"/>
      <c r="S1502" s="6"/>
      <c r="T1502" s="6"/>
      <c r="U1502" s="6"/>
    </row>
    <row r="1503">
      <c r="A1503" s="6"/>
      <c r="B1503" s="6"/>
      <c r="C1503" s="6"/>
      <c r="D1503" s="6"/>
      <c r="E1503" s="6"/>
      <c r="G1503" s="6"/>
      <c r="H1503" s="6"/>
      <c r="I1503" s="6"/>
      <c r="J1503" s="6"/>
      <c r="K1503" s="6"/>
      <c r="L1503" s="6"/>
      <c r="M1503" s="6"/>
      <c r="N1503" s="671"/>
      <c r="O1503" s="6"/>
      <c r="P1503" s="6"/>
      <c r="Q1503" s="6"/>
      <c r="R1503" s="6"/>
      <c r="S1503" s="6"/>
      <c r="T1503" s="6"/>
      <c r="U1503" s="6"/>
    </row>
    <row r="1504">
      <c r="A1504" s="6"/>
      <c r="B1504" s="6"/>
      <c r="C1504" s="6"/>
      <c r="D1504" s="6"/>
      <c r="E1504" s="6"/>
      <c r="G1504" s="6"/>
      <c r="H1504" s="6"/>
      <c r="I1504" s="6"/>
      <c r="J1504" s="6"/>
      <c r="K1504" s="6"/>
      <c r="L1504" s="6"/>
      <c r="M1504" s="6"/>
      <c r="N1504" s="671"/>
      <c r="O1504" s="6"/>
      <c r="P1504" s="6"/>
      <c r="Q1504" s="6"/>
      <c r="R1504" s="6"/>
      <c r="S1504" s="6"/>
      <c r="T1504" s="6"/>
      <c r="U1504" s="6"/>
    </row>
    <row r="1505">
      <c r="A1505" s="6"/>
      <c r="B1505" s="6"/>
      <c r="C1505" s="6"/>
      <c r="D1505" s="6"/>
      <c r="E1505" s="6"/>
      <c r="G1505" s="6"/>
      <c r="H1505" s="6"/>
      <c r="I1505" s="6"/>
      <c r="J1505" s="6"/>
      <c r="K1505" s="6"/>
      <c r="L1505" s="6"/>
      <c r="M1505" s="6"/>
      <c r="N1505" s="671"/>
      <c r="O1505" s="6"/>
      <c r="P1505" s="6"/>
      <c r="Q1505" s="6"/>
      <c r="R1505" s="6"/>
      <c r="S1505" s="6"/>
      <c r="T1505" s="6"/>
      <c r="U1505" s="6"/>
    </row>
    <row r="1506">
      <c r="A1506" s="6"/>
      <c r="B1506" s="6"/>
      <c r="C1506" s="6"/>
      <c r="D1506" s="6"/>
      <c r="E1506" s="6"/>
      <c r="G1506" s="6"/>
      <c r="H1506" s="6"/>
      <c r="I1506" s="6"/>
      <c r="J1506" s="6"/>
      <c r="K1506" s="6"/>
      <c r="L1506" s="6"/>
      <c r="M1506" s="6"/>
      <c r="N1506" s="671"/>
      <c r="O1506" s="6"/>
      <c r="P1506" s="6"/>
      <c r="Q1506" s="6"/>
      <c r="R1506" s="6"/>
      <c r="S1506" s="6"/>
      <c r="T1506" s="6"/>
      <c r="U1506" s="6"/>
    </row>
    <row r="1507">
      <c r="A1507" s="6"/>
      <c r="B1507" s="6"/>
      <c r="C1507" s="6"/>
      <c r="D1507" s="6"/>
      <c r="E1507" s="6"/>
      <c r="G1507" s="6"/>
      <c r="H1507" s="6"/>
      <c r="I1507" s="6"/>
      <c r="J1507" s="6"/>
      <c r="K1507" s="6"/>
      <c r="L1507" s="6"/>
      <c r="M1507" s="6"/>
      <c r="N1507" s="671"/>
      <c r="O1507" s="6"/>
      <c r="P1507" s="6"/>
      <c r="Q1507" s="6"/>
      <c r="R1507" s="6"/>
      <c r="S1507" s="6"/>
      <c r="T1507" s="6"/>
      <c r="U1507" s="6"/>
    </row>
    <row r="1508">
      <c r="A1508" s="6"/>
      <c r="B1508" s="6"/>
      <c r="C1508" s="6"/>
      <c r="D1508" s="6"/>
      <c r="E1508" s="6"/>
      <c r="G1508" s="6"/>
      <c r="H1508" s="6"/>
      <c r="I1508" s="6"/>
      <c r="J1508" s="6"/>
      <c r="K1508" s="6"/>
      <c r="L1508" s="6"/>
      <c r="M1508" s="6"/>
      <c r="N1508" s="671"/>
      <c r="O1508" s="6"/>
      <c r="P1508" s="6"/>
      <c r="Q1508" s="6"/>
      <c r="R1508" s="6"/>
      <c r="S1508" s="6"/>
      <c r="T1508" s="6"/>
      <c r="U1508" s="6"/>
    </row>
    <row r="1509">
      <c r="A1509" s="6"/>
      <c r="B1509" s="6"/>
      <c r="C1509" s="6"/>
      <c r="D1509" s="6"/>
      <c r="E1509" s="6"/>
      <c r="G1509" s="6"/>
      <c r="H1509" s="6"/>
      <c r="I1509" s="6"/>
      <c r="J1509" s="6"/>
      <c r="K1509" s="6"/>
      <c r="L1509" s="6"/>
      <c r="M1509" s="6"/>
      <c r="N1509" s="671"/>
      <c r="O1509" s="6"/>
      <c r="P1509" s="6"/>
      <c r="Q1509" s="6"/>
      <c r="R1509" s="6"/>
      <c r="S1509" s="6"/>
      <c r="T1509" s="6"/>
      <c r="U1509" s="6"/>
    </row>
    <row r="1510">
      <c r="A1510" s="6"/>
      <c r="B1510" s="6"/>
      <c r="C1510" s="6"/>
      <c r="D1510" s="6"/>
      <c r="E1510" s="6"/>
      <c r="G1510" s="6"/>
      <c r="H1510" s="6"/>
      <c r="I1510" s="6"/>
      <c r="J1510" s="6"/>
      <c r="K1510" s="6"/>
      <c r="L1510" s="6"/>
      <c r="M1510" s="6"/>
      <c r="N1510" s="671"/>
      <c r="O1510" s="6"/>
      <c r="P1510" s="6"/>
      <c r="Q1510" s="6"/>
      <c r="R1510" s="6"/>
      <c r="S1510" s="6"/>
      <c r="T1510" s="6"/>
      <c r="U1510" s="6"/>
    </row>
    <row r="1511">
      <c r="A1511" s="6"/>
      <c r="B1511" s="6"/>
      <c r="C1511" s="6"/>
      <c r="D1511" s="6"/>
      <c r="E1511" s="6"/>
      <c r="G1511" s="6"/>
      <c r="H1511" s="6"/>
      <c r="I1511" s="6"/>
      <c r="J1511" s="6"/>
      <c r="K1511" s="6"/>
      <c r="L1511" s="6"/>
      <c r="M1511" s="6"/>
      <c r="N1511" s="671"/>
      <c r="O1511" s="6"/>
      <c r="P1511" s="6"/>
      <c r="Q1511" s="6"/>
      <c r="R1511" s="6"/>
      <c r="S1511" s="6"/>
      <c r="T1511" s="6"/>
      <c r="U1511" s="6"/>
    </row>
    <row r="1512">
      <c r="A1512" s="6"/>
      <c r="B1512" s="6"/>
      <c r="C1512" s="6"/>
      <c r="D1512" s="6"/>
      <c r="E1512" s="6"/>
      <c r="G1512" s="6"/>
      <c r="H1512" s="6"/>
      <c r="I1512" s="6"/>
      <c r="J1512" s="6"/>
      <c r="K1512" s="6"/>
      <c r="L1512" s="6"/>
      <c r="M1512" s="6"/>
      <c r="N1512" s="671"/>
      <c r="O1512" s="6"/>
      <c r="P1512" s="6"/>
      <c r="Q1512" s="6"/>
      <c r="R1512" s="6"/>
      <c r="S1512" s="6"/>
      <c r="T1512" s="6"/>
      <c r="U1512" s="6"/>
    </row>
    <row r="1513">
      <c r="A1513" s="6"/>
      <c r="B1513" s="6"/>
      <c r="C1513" s="6"/>
      <c r="D1513" s="6"/>
      <c r="E1513" s="6"/>
      <c r="G1513" s="6"/>
      <c r="H1513" s="6"/>
      <c r="I1513" s="6"/>
      <c r="J1513" s="6"/>
      <c r="K1513" s="6"/>
      <c r="L1513" s="6"/>
      <c r="M1513" s="6"/>
      <c r="N1513" s="671"/>
      <c r="O1513" s="6"/>
      <c r="P1513" s="6"/>
      <c r="Q1513" s="6"/>
      <c r="R1513" s="6"/>
      <c r="S1513" s="6"/>
      <c r="T1513" s="6"/>
      <c r="U1513" s="6"/>
    </row>
    <row r="1514">
      <c r="A1514" s="6"/>
      <c r="B1514" s="6"/>
      <c r="C1514" s="6"/>
      <c r="D1514" s="6"/>
      <c r="E1514" s="6"/>
      <c r="G1514" s="6"/>
      <c r="H1514" s="6"/>
      <c r="I1514" s="6"/>
      <c r="J1514" s="6"/>
      <c r="K1514" s="6"/>
      <c r="L1514" s="6"/>
      <c r="M1514" s="6"/>
      <c r="N1514" s="671"/>
      <c r="O1514" s="6"/>
      <c r="P1514" s="6"/>
      <c r="Q1514" s="6"/>
      <c r="R1514" s="6"/>
      <c r="S1514" s="6"/>
      <c r="T1514" s="6"/>
      <c r="U1514" s="6"/>
    </row>
    <row r="1515">
      <c r="A1515" s="6"/>
      <c r="B1515" s="6"/>
      <c r="C1515" s="6"/>
      <c r="D1515" s="6"/>
      <c r="E1515" s="6"/>
      <c r="G1515" s="6"/>
      <c r="H1515" s="6"/>
      <c r="I1515" s="6"/>
      <c r="J1515" s="6"/>
      <c r="K1515" s="6"/>
      <c r="L1515" s="6"/>
      <c r="M1515" s="6"/>
      <c r="N1515" s="671"/>
      <c r="O1515" s="6"/>
      <c r="P1515" s="6"/>
      <c r="Q1515" s="6"/>
      <c r="R1515" s="6"/>
      <c r="S1515" s="6"/>
      <c r="T1515" s="6"/>
      <c r="U1515" s="6"/>
    </row>
    <row r="1516">
      <c r="A1516" s="6"/>
      <c r="B1516" s="6"/>
      <c r="C1516" s="6"/>
      <c r="D1516" s="6"/>
      <c r="E1516" s="6"/>
      <c r="G1516" s="6"/>
      <c r="H1516" s="6"/>
      <c r="I1516" s="6"/>
      <c r="J1516" s="6"/>
      <c r="K1516" s="6"/>
      <c r="L1516" s="6"/>
      <c r="M1516" s="6"/>
      <c r="N1516" s="671"/>
      <c r="O1516" s="6"/>
      <c r="P1516" s="6"/>
      <c r="Q1516" s="6"/>
      <c r="R1516" s="6"/>
      <c r="S1516" s="6"/>
      <c r="T1516" s="6"/>
      <c r="U1516" s="6"/>
    </row>
    <row r="1517">
      <c r="A1517" s="6"/>
      <c r="B1517" s="6"/>
      <c r="C1517" s="6"/>
      <c r="D1517" s="6"/>
      <c r="E1517" s="6"/>
      <c r="G1517" s="6"/>
      <c r="H1517" s="6"/>
      <c r="I1517" s="6"/>
      <c r="J1517" s="6"/>
      <c r="K1517" s="6"/>
      <c r="L1517" s="6"/>
      <c r="M1517" s="6"/>
      <c r="N1517" s="671"/>
      <c r="O1517" s="6"/>
      <c r="P1517" s="6"/>
      <c r="Q1517" s="6"/>
      <c r="R1517" s="6"/>
      <c r="S1517" s="6"/>
      <c r="T1517" s="6"/>
      <c r="U1517" s="6"/>
    </row>
    <row r="1518">
      <c r="A1518" s="6"/>
      <c r="B1518" s="6"/>
      <c r="C1518" s="6"/>
      <c r="D1518" s="6"/>
      <c r="E1518" s="6"/>
      <c r="G1518" s="6"/>
      <c r="H1518" s="6"/>
      <c r="I1518" s="6"/>
      <c r="J1518" s="6"/>
      <c r="K1518" s="6"/>
      <c r="L1518" s="6"/>
      <c r="M1518" s="6"/>
      <c r="N1518" s="671"/>
      <c r="O1518" s="6"/>
      <c r="P1518" s="6"/>
      <c r="Q1518" s="6"/>
      <c r="R1518" s="6"/>
      <c r="S1518" s="6"/>
      <c r="T1518" s="6"/>
      <c r="U1518" s="6"/>
    </row>
    <row r="1519">
      <c r="A1519" s="6"/>
      <c r="B1519" s="6"/>
      <c r="C1519" s="6"/>
      <c r="D1519" s="6"/>
      <c r="E1519" s="6"/>
      <c r="G1519" s="6"/>
      <c r="H1519" s="6"/>
      <c r="I1519" s="6"/>
      <c r="J1519" s="6"/>
      <c r="K1519" s="6"/>
      <c r="L1519" s="6"/>
      <c r="M1519" s="6"/>
      <c r="N1519" s="671"/>
      <c r="O1519" s="6"/>
      <c r="P1519" s="6"/>
      <c r="Q1519" s="6"/>
      <c r="R1519" s="6"/>
      <c r="S1519" s="6"/>
      <c r="T1519" s="6"/>
      <c r="U1519" s="6"/>
    </row>
    <row r="1520">
      <c r="A1520" s="6"/>
      <c r="B1520" s="6"/>
      <c r="C1520" s="6"/>
      <c r="D1520" s="6"/>
      <c r="E1520" s="6"/>
      <c r="G1520" s="6"/>
      <c r="H1520" s="6"/>
      <c r="I1520" s="6"/>
      <c r="J1520" s="6"/>
      <c r="K1520" s="6"/>
      <c r="L1520" s="6"/>
      <c r="M1520" s="6"/>
      <c r="N1520" s="671"/>
      <c r="O1520" s="6"/>
      <c r="P1520" s="6"/>
      <c r="Q1520" s="6"/>
      <c r="R1520" s="6"/>
      <c r="S1520" s="6"/>
      <c r="T1520" s="6"/>
      <c r="U1520" s="6"/>
    </row>
    <row r="1521">
      <c r="A1521" s="6"/>
      <c r="B1521" s="6"/>
      <c r="C1521" s="6"/>
      <c r="D1521" s="6"/>
      <c r="E1521" s="6"/>
      <c r="G1521" s="6"/>
      <c r="H1521" s="6"/>
      <c r="I1521" s="6"/>
      <c r="J1521" s="6"/>
      <c r="K1521" s="6"/>
      <c r="L1521" s="6"/>
      <c r="M1521" s="6"/>
      <c r="N1521" s="671"/>
      <c r="O1521" s="6"/>
      <c r="P1521" s="6"/>
      <c r="Q1521" s="6"/>
      <c r="R1521" s="6"/>
      <c r="S1521" s="6"/>
      <c r="T1521" s="6"/>
      <c r="U1521" s="6"/>
    </row>
    <row r="1522">
      <c r="A1522" s="6"/>
      <c r="B1522" s="6"/>
      <c r="C1522" s="6"/>
      <c r="D1522" s="6"/>
      <c r="E1522" s="6"/>
      <c r="G1522" s="6"/>
      <c r="H1522" s="6"/>
      <c r="I1522" s="6"/>
      <c r="J1522" s="6"/>
      <c r="K1522" s="6"/>
      <c r="L1522" s="6"/>
      <c r="M1522" s="6"/>
      <c r="N1522" s="671"/>
      <c r="O1522" s="6"/>
      <c r="P1522" s="6"/>
      <c r="Q1522" s="6"/>
      <c r="R1522" s="6"/>
      <c r="S1522" s="6"/>
      <c r="T1522" s="6"/>
      <c r="U1522" s="6"/>
    </row>
    <row r="1523">
      <c r="A1523" s="6"/>
      <c r="B1523" s="6"/>
      <c r="C1523" s="6"/>
      <c r="D1523" s="6"/>
      <c r="E1523" s="6"/>
      <c r="G1523" s="6"/>
      <c r="H1523" s="6"/>
      <c r="I1523" s="6"/>
      <c r="J1523" s="6"/>
      <c r="K1523" s="6"/>
      <c r="L1523" s="6"/>
      <c r="M1523" s="6"/>
      <c r="N1523" s="671"/>
      <c r="O1523" s="6"/>
      <c r="P1523" s="6"/>
      <c r="Q1523" s="6"/>
      <c r="R1523" s="6"/>
      <c r="S1523" s="6"/>
      <c r="T1523" s="6"/>
      <c r="U1523" s="6"/>
    </row>
    <row r="1524">
      <c r="A1524" s="6"/>
      <c r="B1524" s="6"/>
      <c r="C1524" s="6"/>
      <c r="D1524" s="6"/>
      <c r="E1524" s="6"/>
      <c r="G1524" s="6"/>
      <c r="H1524" s="6"/>
      <c r="I1524" s="6"/>
      <c r="J1524" s="6"/>
      <c r="K1524" s="6"/>
      <c r="L1524" s="6"/>
      <c r="M1524" s="6"/>
      <c r="N1524" s="671"/>
      <c r="O1524" s="6"/>
      <c r="P1524" s="6"/>
      <c r="Q1524" s="6"/>
      <c r="R1524" s="6"/>
      <c r="S1524" s="6"/>
      <c r="T1524" s="6"/>
      <c r="U1524" s="6"/>
    </row>
    <row r="1525">
      <c r="A1525" s="6"/>
      <c r="B1525" s="6"/>
      <c r="C1525" s="6"/>
      <c r="D1525" s="6"/>
      <c r="E1525" s="6"/>
      <c r="G1525" s="6"/>
      <c r="H1525" s="6"/>
      <c r="I1525" s="6"/>
      <c r="J1525" s="6"/>
      <c r="K1525" s="6"/>
      <c r="L1525" s="6"/>
      <c r="M1525" s="6"/>
      <c r="N1525" s="671"/>
      <c r="O1525" s="6"/>
      <c r="P1525" s="6"/>
      <c r="Q1525" s="6"/>
      <c r="R1525" s="6"/>
      <c r="S1525" s="6"/>
      <c r="T1525" s="6"/>
      <c r="U1525" s="6"/>
    </row>
    <row r="1526">
      <c r="A1526" s="6"/>
      <c r="B1526" s="6"/>
      <c r="C1526" s="6"/>
      <c r="D1526" s="6"/>
      <c r="E1526" s="6"/>
      <c r="G1526" s="6"/>
      <c r="H1526" s="6"/>
      <c r="I1526" s="6"/>
      <c r="J1526" s="6"/>
      <c r="K1526" s="6"/>
      <c r="L1526" s="6"/>
      <c r="M1526" s="6"/>
      <c r="N1526" s="671"/>
      <c r="O1526" s="6"/>
      <c r="P1526" s="6"/>
      <c r="Q1526" s="6"/>
      <c r="R1526" s="6"/>
      <c r="S1526" s="6"/>
      <c r="T1526" s="6"/>
      <c r="U1526" s="6"/>
    </row>
    <row r="1527">
      <c r="A1527" s="6"/>
      <c r="B1527" s="6"/>
      <c r="C1527" s="6"/>
      <c r="D1527" s="6"/>
      <c r="E1527" s="6"/>
      <c r="G1527" s="6"/>
      <c r="H1527" s="6"/>
      <c r="I1527" s="6"/>
      <c r="J1527" s="6"/>
      <c r="K1527" s="6"/>
      <c r="L1527" s="6"/>
      <c r="M1527" s="6"/>
      <c r="N1527" s="671"/>
      <c r="O1527" s="6"/>
      <c r="P1527" s="6"/>
      <c r="Q1527" s="6"/>
      <c r="R1527" s="6"/>
      <c r="S1527" s="6"/>
      <c r="T1527" s="6"/>
      <c r="U1527" s="6"/>
    </row>
    <row r="1528">
      <c r="A1528" s="6"/>
      <c r="B1528" s="6"/>
      <c r="C1528" s="6"/>
      <c r="D1528" s="6"/>
      <c r="E1528" s="6"/>
      <c r="G1528" s="6"/>
      <c r="H1528" s="6"/>
      <c r="I1528" s="6"/>
      <c r="J1528" s="6"/>
      <c r="K1528" s="6"/>
      <c r="L1528" s="6"/>
      <c r="M1528" s="6"/>
      <c r="N1528" s="671"/>
      <c r="O1528" s="6"/>
      <c r="P1528" s="6"/>
      <c r="Q1528" s="6"/>
      <c r="R1528" s="6"/>
      <c r="S1528" s="6"/>
      <c r="T1528" s="6"/>
      <c r="U1528" s="6"/>
    </row>
    <row r="1529">
      <c r="A1529" s="6"/>
      <c r="B1529" s="6"/>
      <c r="C1529" s="6"/>
      <c r="D1529" s="6"/>
      <c r="E1529" s="6"/>
      <c r="G1529" s="6"/>
      <c r="H1529" s="6"/>
      <c r="I1529" s="6"/>
      <c r="J1529" s="6"/>
      <c r="K1529" s="6"/>
      <c r="L1529" s="6"/>
      <c r="M1529" s="6"/>
      <c r="N1529" s="671"/>
      <c r="O1529" s="6"/>
      <c r="P1529" s="6"/>
      <c r="Q1529" s="6"/>
      <c r="R1529" s="6"/>
      <c r="S1529" s="6"/>
      <c r="T1529" s="6"/>
      <c r="U1529" s="6"/>
    </row>
    <row r="1530">
      <c r="A1530" s="6"/>
      <c r="B1530" s="6"/>
      <c r="C1530" s="6"/>
      <c r="D1530" s="6"/>
      <c r="E1530" s="6"/>
      <c r="G1530" s="6"/>
      <c r="H1530" s="6"/>
      <c r="I1530" s="6"/>
      <c r="J1530" s="6"/>
      <c r="K1530" s="6"/>
      <c r="L1530" s="6"/>
      <c r="M1530" s="6"/>
      <c r="N1530" s="671"/>
      <c r="O1530" s="6"/>
      <c r="P1530" s="6"/>
      <c r="Q1530" s="6"/>
      <c r="R1530" s="6"/>
      <c r="S1530" s="6"/>
      <c r="T1530" s="6"/>
      <c r="U1530" s="6"/>
    </row>
    <row r="1531">
      <c r="A1531" s="6"/>
      <c r="B1531" s="6"/>
      <c r="C1531" s="6"/>
      <c r="D1531" s="6"/>
      <c r="E1531" s="6"/>
      <c r="G1531" s="6"/>
      <c r="H1531" s="6"/>
      <c r="I1531" s="6"/>
      <c r="J1531" s="6"/>
      <c r="K1531" s="6"/>
      <c r="L1531" s="6"/>
      <c r="M1531" s="6"/>
      <c r="N1531" s="671"/>
      <c r="O1531" s="6"/>
      <c r="P1531" s="6"/>
      <c r="Q1531" s="6"/>
      <c r="R1531" s="6"/>
      <c r="S1531" s="6"/>
      <c r="T1531" s="6"/>
      <c r="U1531" s="6"/>
    </row>
    <row r="1532">
      <c r="A1532" s="6"/>
      <c r="B1532" s="6"/>
      <c r="C1532" s="6"/>
      <c r="D1532" s="6"/>
      <c r="E1532" s="6"/>
      <c r="G1532" s="6"/>
      <c r="H1532" s="6"/>
      <c r="I1532" s="6"/>
      <c r="J1532" s="6"/>
      <c r="K1532" s="6"/>
      <c r="L1532" s="6"/>
      <c r="M1532" s="6"/>
      <c r="N1532" s="671"/>
      <c r="O1532" s="6"/>
      <c r="P1532" s="6"/>
      <c r="Q1532" s="6"/>
      <c r="R1532" s="6"/>
      <c r="S1532" s="6"/>
      <c r="T1532" s="6"/>
      <c r="U1532" s="6"/>
    </row>
    <row r="1533">
      <c r="A1533" s="6"/>
      <c r="B1533" s="6"/>
      <c r="C1533" s="6"/>
      <c r="D1533" s="6"/>
      <c r="E1533" s="6"/>
      <c r="G1533" s="6"/>
      <c r="H1533" s="6"/>
      <c r="I1533" s="6"/>
      <c r="J1533" s="6"/>
      <c r="K1533" s="6"/>
      <c r="L1533" s="6"/>
      <c r="M1533" s="6"/>
      <c r="N1533" s="671"/>
      <c r="O1533" s="6"/>
      <c r="P1533" s="6"/>
      <c r="Q1533" s="6"/>
      <c r="R1533" s="6"/>
      <c r="S1533" s="6"/>
      <c r="T1533" s="6"/>
      <c r="U1533" s="6"/>
    </row>
    <row r="1534">
      <c r="A1534" s="6"/>
      <c r="B1534" s="6"/>
      <c r="C1534" s="6"/>
      <c r="D1534" s="6"/>
      <c r="E1534" s="6"/>
      <c r="G1534" s="6"/>
      <c r="H1534" s="6"/>
      <c r="I1534" s="6"/>
      <c r="J1534" s="6"/>
      <c r="K1534" s="6"/>
      <c r="L1534" s="6"/>
      <c r="M1534" s="6"/>
      <c r="N1534" s="671"/>
      <c r="O1534" s="6"/>
      <c r="P1534" s="6"/>
      <c r="Q1534" s="6"/>
      <c r="R1534" s="6"/>
      <c r="S1534" s="6"/>
      <c r="T1534" s="6"/>
      <c r="U1534" s="6"/>
    </row>
    <row r="1535">
      <c r="A1535" s="6"/>
      <c r="B1535" s="6"/>
      <c r="C1535" s="6"/>
      <c r="D1535" s="6"/>
      <c r="E1535" s="6"/>
      <c r="G1535" s="6"/>
      <c r="H1535" s="6"/>
      <c r="I1535" s="6"/>
      <c r="J1535" s="6"/>
      <c r="K1535" s="6"/>
      <c r="L1535" s="6"/>
      <c r="M1535" s="6"/>
      <c r="N1535" s="671"/>
      <c r="O1535" s="6"/>
      <c r="P1535" s="6"/>
      <c r="Q1535" s="6"/>
      <c r="R1535" s="6"/>
      <c r="S1535" s="6"/>
      <c r="T1535" s="6"/>
      <c r="U1535" s="6"/>
    </row>
    <row r="1536">
      <c r="A1536" s="6"/>
      <c r="B1536" s="6"/>
      <c r="C1536" s="6"/>
      <c r="D1536" s="6"/>
      <c r="E1536" s="6"/>
      <c r="G1536" s="6"/>
      <c r="H1536" s="6"/>
      <c r="I1536" s="6"/>
      <c r="J1536" s="6"/>
      <c r="K1536" s="6"/>
      <c r="L1536" s="6"/>
      <c r="M1536" s="6"/>
      <c r="N1536" s="671"/>
      <c r="O1536" s="6"/>
      <c r="P1536" s="6"/>
      <c r="Q1536" s="6"/>
      <c r="R1536" s="6"/>
      <c r="S1536" s="6"/>
      <c r="T1536" s="6"/>
      <c r="U1536" s="6"/>
    </row>
    <row r="1537">
      <c r="A1537" s="6"/>
      <c r="B1537" s="6"/>
      <c r="C1537" s="6"/>
      <c r="D1537" s="6"/>
      <c r="E1537" s="6"/>
      <c r="G1537" s="6"/>
      <c r="H1537" s="6"/>
      <c r="I1537" s="6"/>
      <c r="J1537" s="6"/>
      <c r="K1537" s="6"/>
      <c r="L1537" s="6"/>
      <c r="M1537" s="6"/>
      <c r="N1537" s="671"/>
      <c r="O1537" s="6"/>
      <c r="P1537" s="6"/>
      <c r="Q1537" s="6"/>
      <c r="R1537" s="6"/>
      <c r="S1537" s="6"/>
      <c r="T1537" s="6"/>
      <c r="U1537" s="6"/>
    </row>
    <row r="1538">
      <c r="A1538" s="6"/>
      <c r="B1538" s="6"/>
      <c r="C1538" s="6"/>
      <c r="D1538" s="6"/>
      <c r="E1538" s="6"/>
      <c r="G1538" s="6"/>
      <c r="H1538" s="6"/>
      <c r="I1538" s="6"/>
      <c r="J1538" s="6"/>
      <c r="K1538" s="6"/>
      <c r="L1538" s="6"/>
      <c r="M1538" s="6"/>
      <c r="N1538" s="671"/>
      <c r="O1538" s="6"/>
      <c r="P1538" s="6"/>
      <c r="Q1538" s="6"/>
      <c r="R1538" s="6"/>
      <c r="S1538" s="6"/>
      <c r="T1538" s="6"/>
      <c r="U1538" s="6"/>
    </row>
    <row r="1539">
      <c r="A1539" s="6"/>
      <c r="B1539" s="6"/>
      <c r="C1539" s="6"/>
      <c r="D1539" s="6"/>
      <c r="E1539" s="6"/>
      <c r="G1539" s="6"/>
      <c r="H1539" s="6"/>
      <c r="I1539" s="6"/>
      <c r="J1539" s="6"/>
      <c r="K1539" s="6"/>
      <c r="L1539" s="6"/>
      <c r="M1539" s="6"/>
      <c r="N1539" s="671"/>
      <c r="O1539" s="6"/>
      <c r="P1539" s="6"/>
      <c r="Q1539" s="6"/>
      <c r="R1539" s="6"/>
      <c r="S1539" s="6"/>
      <c r="T1539" s="6"/>
      <c r="U1539" s="6"/>
    </row>
    <row r="1540">
      <c r="A1540" s="6"/>
      <c r="B1540" s="6"/>
      <c r="C1540" s="6"/>
      <c r="D1540" s="6"/>
      <c r="E1540" s="6"/>
      <c r="G1540" s="6"/>
      <c r="H1540" s="6"/>
      <c r="I1540" s="6"/>
      <c r="J1540" s="6"/>
      <c r="K1540" s="6"/>
      <c r="L1540" s="6"/>
      <c r="M1540" s="6"/>
      <c r="N1540" s="671"/>
      <c r="O1540" s="6"/>
      <c r="P1540" s="6"/>
      <c r="Q1540" s="6"/>
      <c r="R1540" s="6"/>
      <c r="S1540" s="6"/>
      <c r="T1540" s="6"/>
      <c r="U1540" s="6"/>
    </row>
    <row r="1541">
      <c r="A1541" s="6"/>
      <c r="B1541" s="6"/>
      <c r="C1541" s="6"/>
      <c r="D1541" s="6"/>
      <c r="E1541" s="6"/>
      <c r="G1541" s="6"/>
      <c r="H1541" s="6"/>
      <c r="I1541" s="6"/>
      <c r="J1541" s="6"/>
      <c r="K1541" s="6"/>
      <c r="L1541" s="6"/>
      <c r="M1541" s="6"/>
      <c r="N1541" s="671"/>
      <c r="O1541" s="6"/>
      <c r="P1541" s="6"/>
      <c r="Q1541" s="6"/>
      <c r="R1541" s="6"/>
      <c r="S1541" s="6"/>
      <c r="T1541" s="6"/>
      <c r="U1541" s="6"/>
    </row>
    <row r="1542">
      <c r="A1542" s="6"/>
      <c r="B1542" s="6"/>
      <c r="C1542" s="6"/>
      <c r="D1542" s="6"/>
      <c r="E1542" s="6"/>
      <c r="G1542" s="6"/>
      <c r="H1542" s="6"/>
      <c r="I1542" s="6"/>
      <c r="J1542" s="6"/>
      <c r="K1542" s="6"/>
      <c r="L1542" s="6"/>
      <c r="M1542" s="6"/>
      <c r="N1542" s="671"/>
      <c r="O1542" s="6"/>
      <c r="P1542" s="6"/>
      <c r="Q1542" s="6"/>
      <c r="R1542" s="6"/>
      <c r="S1542" s="6"/>
      <c r="T1542" s="6"/>
      <c r="U1542" s="6"/>
    </row>
    <row r="1543">
      <c r="A1543" s="6"/>
      <c r="B1543" s="6"/>
      <c r="C1543" s="6"/>
      <c r="D1543" s="6"/>
      <c r="E1543" s="6"/>
      <c r="G1543" s="6"/>
      <c r="H1543" s="6"/>
      <c r="I1543" s="6"/>
      <c r="J1543" s="6"/>
      <c r="K1543" s="6"/>
      <c r="L1543" s="6"/>
      <c r="M1543" s="6"/>
      <c r="N1543" s="671"/>
      <c r="O1543" s="6"/>
      <c r="P1543" s="6"/>
      <c r="Q1543" s="6"/>
      <c r="R1543" s="6"/>
      <c r="S1543" s="6"/>
      <c r="T1543" s="6"/>
      <c r="U1543" s="6"/>
    </row>
    <row r="1544">
      <c r="A1544" s="6"/>
      <c r="B1544" s="6"/>
      <c r="C1544" s="6"/>
      <c r="D1544" s="6"/>
      <c r="E1544" s="6"/>
      <c r="G1544" s="6"/>
      <c r="H1544" s="6"/>
      <c r="I1544" s="6"/>
      <c r="J1544" s="6"/>
      <c r="K1544" s="6"/>
      <c r="L1544" s="6"/>
      <c r="M1544" s="6"/>
      <c r="N1544" s="671"/>
      <c r="O1544" s="6"/>
      <c r="P1544" s="6"/>
      <c r="Q1544" s="6"/>
      <c r="R1544" s="6"/>
      <c r="S1544" s="6"/>
      <c r="T1544" s="6"/>
      <c r="U1544" s="6"/>
    </row>
    <row r="1545">
      <c r="A1545" s="6"/>
      <c r="B1545" s="6"/>
      <c r="C1545" s="6"/>
      <c r="D1545" s="6"/>
      <c r="E1545" s="6"/>
      <c r="G1545" s="6"/>
      <c r="H1545" s="6"/>
      <c r="I1545" s="6"/>
      <c r="J1545" s="6"/>
      <c r="K1545" s="6"/>
      <c r="L1545" s="6"/>
      <c r="M1545" s="6"/>
      <c r="N1545" s="671"/>
      <c r="O1545" s="6"/>
      <c r="P1545" s="6"/>
      <c r="Q1545" s="6"/>
      <c r="R1545" s="6"/>
      <c r="S1545" s="6"/>
      <c r="T1545" s="6"/>
      <c r="U1545" s="6"/>
    </row>
    <row r="1546">
      <c r="A1546" s="6"/>
      <c r="B1546" s="6"/>
      <c r="C1546" s="6"/>
      <c r="D1546" s="6"/>
      <c r="E1546" s="6"/>
      <c r="G1546" s="6"/>
      <c r="H1546" s="6"/>
      <c r="I1546" s="6"/>
      <c r="J1546" s="6"/>
      <c r="K1546" s="6"/>
      <c r="L1546" s="6"/>
      <c r="M1546" s="6"/>
      <c r="N1546" s="671"/>
      <c r="O1546" s="6"/>
      <c r="P1546" s="6"/>
      <c r="Q1546" s="6"/>
      <c r="R1546" s="6"/>
      <c r="S1546" s="6"/>
      <c r="T1546" s="6"/>
      <c r="U1546" s="6"/>
    </row>
    <row r="1547">
      <c r="A1547" s="6"/>
      <c r="B1547" s="6"/>
      <c r="C1547" s="6"/>
      <c r="D1547" s="6"/>
      <c r="E1547" s="6"/>
      <c r="G1547" s="6"/>
      <c r="H1547" s="6"/>
      <c r="I1547" s="6"/>
      <c r="J1547" s="6"/>
      <c r="K1547" s="6"/>
      <c r="L1547" s="6"/>
      <c r="M1547" s="6"/>
      <c r="N1547" s="671"/>
      <c r="O1547" s="6"/>
      <c r="P1547" s="6"/>
      <c r="Q1547" s="6"/>
      <c r="R1547" s="6"/>
      <c r="S1547" s="6"/>
      <c r="T1547" s="6"/>
      <c r="U1547" s="6"/>
    </row>
    <row r="1548">
      <c r="A1548" s="6"/>
      <c r="B1548" s="6"/>
      <c r="C1548" s="6"/>
      <c r="D1548" s="6"/>
      <c r="E1548" s="6"/>
      <c r="G1548" s="6"/>
      <c r="H1548" s="6"/>
      <c r="I1548" s="6"/>
      <c r="J1548" s="6"/>
      <c r="K1548" s="6"/>
      <c r="L1548" s="6"/>
      <c r="M1548" s="6"/>
      <c r="N1548" s="671"/>
      <c r="O1548" s="6"/>
      <c r="P1548" s="6"/>
      <c r="Q1548" s="6"/>
      <c r="R1548" s="6"/>
      <c r="S1548" s="6"/>
      <c r="T1548" s="6"/>
      <c r="U1548" s="6"/>
    </row>
    <row r="1549">
      <c r="A1549" s="6"/>
      <c r="B1549" s="6"/>
      <c r="C1549" s="6"/>
      <c r="D1549" s="6"/>
      <c r="E1549" s="6"/>
      <c r="G1549" s="6"/>
      <c r="H1549" s="6"/>
      <c r="I1549" s="6"/>
      <c r="J1549" s="6"/>
      <c r="K1549" s="6"/>
      <c r="L1549" s="6"/>
      <c r="M1549" s="6"/>
      <c r="N1549" s="671"/>
      <c r="O1549" s="6"/>
      <c r="P1549" s="6"/>
      <c r="Q1549" s="6"/>
      <c r="R1549" s="6"/>
      <c r="S1549" s="6"/>
      <c r="T1549" s="6"/>
      <c r="U1549" s="6"/>
    </row>
    <row r="1550">
      <c r="A1550" s="6"/>
      <c r="B1550" s="6"/>
      <c r="C1550" s="6"/>
      <c r="D1550" s="6"/>
      <c r="E1550" s="6"/>
      <c r="G1550" s="6"/>
      <c r="H1550" s="6"/>
      <c r="I1550" s="6"/>
      <c r="J1550" s="6"/>
      <c r="K1550" s="6"/>
      <c r="L1550" s="6"/>
      <c r="M1550" s="6"/>
      <c r="N1550" s="671"/>
      <c r="O1550" s="6"/>
      <c r="P1550" s="6"/>
      <c r="Q1550" s="6"/>
      <c r="R1550" s="6"/>
      <c r="S1550" s="6"/>
      <c r="T1550" s="6"/>
      <c r="U1550" s="6"/>
    </row>
    <row r="1551">
      <c r="A1551" s="6"/>
      <c r="B1551" s="6"/>
      <c r="C1551" s="6"/>
      <c r="D1551" s="6"/>
      <c r="E1551" s="6"/>
      <c r="G1551" s="6"/>
      <c r="H1551" s="6"/>
      <c r="I1551" s="6"/>
      <c r="J1551" s="6"/>
      <c r="K1551" s="6"/>
      <c r="L1551" s="6"/>
      <c r="M1551" s="6"/>
      <c r="N1551" s="671"/>
      <c r="O1551" s="6"/>
      <c r="P1551" s="6"/>
      <c r="Q1551" s="6"/>
      <c r="R1551" s="6"/>
      <c r="S1551" s="6"/>
      <c r="T1551" s="6"/>
      <c r="U1551" s="6"/>
    </row>
    <row r="1552">
      <c r="A1552" s="6"/>
      <c r="B1552" s="6"/>
      <c r="C1552" s="6"/>
      <c r="D1552" s="6"/>
      <c r="E1552" s="6"/>
      <c r="G1552" s="6"/>
      <c r="H1552" s="6"/>
      <c r="I1552" s="6"/>
      <c r="J1552" s="6"/>
      <c r="K1552" s="6"/>
      <c r="L1552" s="6"/>
      <c r="M1552" s="6"/>
      <c r="N1552" s="671"/>
      <c r="O1552" s="6"/>
      <c r="P1552" s="6"/>
      <c r="Q1552" s="6"/>
      <c r="R1552" s="6"/>
      <c r="S1552" s="6"/>
      <c r="T1552" s="6"/>
      <c r="U1552" s="6"/>
    </row>
    <row r="1553">
      <c r="A1553" s="6"/>
      <c r="B1553" s="6"/>
      <c r="C1553" s="6"/>
      <c r="D1553" s="6"/>
      <c r="E1553" s="6"/>
      <c r="G1553" s="6"/>
      <c r="H1553" s="6"/>
      <c r="I1553" s="6"/>
      <c r="J1553" s="6"/>
      <c r="K1553" s="6"/>
      <c r="L1553" s="6"/>
      <c r="M1553" s="6"/>
      <c r="N1553" s="671"/>
      <c r="O1553" s="6"/>
      <c r="P1553" s="6"/>
      <c r="Q1553" s="6"/>
      <c r="R1553" s="6"/>
      <c r="S1553" s="6"/>
      <c r="T1553" s="6"/>
      <c r="U1553" s="6"/>
    </row>
    <row r="1554">
      <c r="A1554" s="6"/>
      <c r="B1554" s="6"/>
      <c r="C1554" s="6"/>
      <c r="D1554" s="6"/>
      <c r="E1554" s="6"/>
      <c r="G1554" s="6"/>
      <c r="H1554" s="6"/>
      <c r="I1554" s="6"/>
      <c r="J1554" s="6"/>
      <c r="K1554" s="6"/>
      <c r="L1554" s="6"/>
      <c r="M1554" s="6"/>
      <c r="N1554" s="671"/>
      <c r="O1554" s="6"/>
      <c r="P1554" s="6"/>
      <c r="Q1554" s="6"/>
      <c r="R1554" s="6"/>
      <c r="S1554" s="6"/>
      <c r="T1554" s="6"/>
      <c r="U1554" s="6"/>
    </row>
    <row r="1555">
      <c r="A1555" s="6"/>
      <c r="B1555" s="6"/>
      <c r="C1555" s="6"/>
      <c r="D1555" s="6"/>
      <c r="E1555" s="6"/>
      <c r="G1555" s="6"/>
      <c r="H1555" s="6"/>
      <c r="I1555" s="6"/>
      <c r="J1555" s="6"/>
      <c r="K1555" s="6"/>
      <c r="L1555" s="6"/>
      <c r="M1555" s="6"/>
      <c r="N1555" s="671"/>
      <c r="O1555" s="6"/>
      <c r="P1555" s="6"/>
      <c r="Q1555" s="6"/>
      <c r="R1555" s="6"/>
      <c r="S1555" s="6"/>
      <c r="T1555" s="6"/>
      <c r="U1555" s="6"/>
    </row>
    <row r="1556">
      <c r="A1556" s="6"/>
      <c r="B1556" s="6"/>
      <c r="C1556" s="6"/>
      <c r="D1556" s="6"/>
      <c r="E1556" s="6"/>
      <c r="G1556" s="6"/>
      <c r="H1556" s="6"/>
      <c r="I1556" s="6"/>
      <c r="J1556" s="6"/>
      <c r="K1556" s="6"/>
      <c r="L1556" s="6"/>
      <c r="M1556" s="6"/>
      <c r="N1556" s="671"/>
      <c r="O1556" s="6"/>
      <c r="P1556" s="6"/>
      <c r="Q1556" s="6"/>
      <c r="R1556" s="6"/>
      <c r="S1556" s="6"/>
      <c r="T1556" s="6"/>
      <c r="U1556" s="6"/>
    </row>
    <row r="1557">
      <c r="A1557" s="6"/>
      <c r="B1557" s="6"/>
      <c r="C1557" s="6"/>
      <c r="D1557" s="6"/>
      <c r="E1557" s="6"/>
      <c r="G1557" s="6"/>
      <c r="H1557" s="6"/>
      <c r="I1557" s="6"/>
      <c r="J1557" s="6"/>
      <c r="K1557" s="6"/>
      <c r="L1557" s="6"/>
      <c r="M1557" s="6"/>
      <c r="N1557" s="671"/>
      <c r="O1557" s="6"/>
      <c r="P1557" s="6"/>
      <c r="Q1557" s="6"/>
      <c r="R1557" s="6"/>
      <c r="S1557" s="6"/>
      <c r="T1557" s="6"/>
      <c r="U1557" s="6"/>
    </row>
    <row r="1558">
      <c r="A1558" s="6"/>
      <c r="B1558" s="6"/>
      <c r="C1558" s="6"/>
      <c r="D1558" s="6"/>
      <c r="E1558" s="6"/>
      <c r="G1558" s="6"/>
      <c r="H1558" s="6"/>
      <c r="I1558" s="6"/>
      <c r="J1558" s="6"/>
      <c r="K1558" s="6"/>
      <c r="L1558" s="6"/>
      <c r="M1558" s="6"/>
      <c r="N1558" s="671"/>
      <c r="O1558" s="6"/>
      <c r="P1558" s="6"/>
      <c r="Q1558" s="6"/>
      <c r="R1558" s="6"/>
      <c r="S1558" s="6"/>
      <c r="T1558" s="6"/>
      <c r="U1558" s="6"/>
    </row>
    <row r="1559">
      <c r="A1559" s="6"/>
      <c r="B1559" s="6"/>
      <c r="C1559" s="6"/>
      <c r="D1559" s="6"/>
      <c r="E1559" s="6"/>
      <c r="G1559" s="6"/>
      <c r="H1559" s="6"/>
      <c r="I1559" s="6"/>
      <c r="J1559" s="6"/>
      <c r="K1559" s="6"/>
      <c r="L1559" s="6"/>
      <c r="M1559" s="6"/>
      <c r="N1559" s="671"/>
      <c r="O1559" s="6"/>
      <c r="P1559" s="6"/>
      <c r="Q1559" s="6"/>
      <c r="R1559" s="6"/>
      <c r="S1559" s="6"/>
      <c r="T1559" s="6"/>
      <c r="U1559" s="6"/>
    </row>
    <row r="1560">
      <c r="A1560" s="6"/>
      <c r="B1560" s="6"/>
      <c r="C1560" s="6"/>
      <c r="D1560" s="6"/>
      <c r="E1560" s="6"/>
      <c r="G1560" s="6"/>
      <c r="H1560" s="6"/>
      <c r="I1560" s="6"/>
      <c r="J1560" s="6"/>
      <c r="K1560" s="6"/>
      <c r="L1560" s="6"/>
      <c r="M1560" s="6"/>
      <c r="N1560" s="671"/>
      <c r="O1560" s="6"/>
      <c r="P1560" s="6"/>
      <c r="Q1560" s="6"/>
      <c r="R1560" s="6"/>
      <c r="S1560" s="6"/>
      <c r="T1560" s="6"/>
      <c r="U1560" s="6"/>
    </row>
    <row r="1561">
      <c r="A1561" s="6"/>
      <c r="B1561" s="6"/>
      <c r="C1561" s="6"/>
      <c r="D1561" s="6"/>
      <c r="E1561" s="6"/>
      <c r="G1561" s="6"/>
      <c r="H1561" s="6"/>
      <c r="I1561" s="6"/>
      <c r="J1561" s="6"/>
      <c r="K1561" s="6"/>
      <c r="L1561" s="6"/>
      <c r="M1561" s="6"/>
      <c r="N1561" s="671"/>
      <c r="O1561" s="6"/>
      <c r="P1561" s="6"/>
      <c r="Q1561" s="6"/>
      <c r="R1561" s="6"/>
      <c r="S1561" s="6"/>
      <c r="T1561" s="6"/>
      <c r="U1561" s="6"/>
    </row>
    <row r="1562">
      <c r="A1562" s="6"/>
      <c r="B1562" s="6"/>
      <c r="C1562" s="6"/>
      <c r="D1562" s="6"/>
      <c r="E1562" s="6"/>
      <c r="G1562" s="6"/>
      <c r="H1562" s="6"/>
      <c r="I1562" s="6"/>
      <c r="J1562" s="6"/>
      <c r="K1562" s="6"/>
      <c r="L1562" s="6"/>
      <c r="M1562" s="6"/>
      <c r="N1562" s="671"/>
      <c r="O1562" s="6"/>
      <c r="P1562" s="6"/>
      <c r="Q1562" s="6"/>
      <c r="R1562" s="6"/>
      <c r="S1562" s="6"/>
      <c r="T1562" s="6"/>
      <c r="U1562" s="6"/>
    </row>
    <row r="1563">
      <c r="A1563" s="6"/>
      <c r="B1563" s="6"/>
      <c r="C1563" s="6"/>
      <c r="D1563" s="6"/>
      <c r="E1563" s="6"/>
      <c r="G1563" s="6"/>
      <c r="H1563" s="6"/>
      <c r="I1563" s="6"/>
      <c r="J1563" s="6"/>
      <c r="K1563" s="6"/>
      <c r="L1563" s="6"/>
      <c r="M1563" s="6"/>
      <c r="N1563" s="671"/>
      <c r="O1563" s="6"/>
      <c r="P1563" s="6"/>
      <c r="Q1563" s="6"/>
      <c r="R1563" s="6"/>
      <c r="S1563" s="6"/>
      <c r="T1563" s="6"/>
      <c r="U1563" s="6"/>
    </row>
    <row r="1564">
      <c r="A1564" s="6"/>
      <c r="B1564" s="6"/>
      <c r="C1564" s="6"/>
      <c r="D1564" s="6"/>
      <c r="E1564" s="6"/>
      <c r="G1564" s="6"/>
      <c r="H1564" s="6"/>
      <c r="I1564" s="6"/>
      <c r="J1564" s="6"/>
      <c r="K1564" s="6"/>
      <c r="L1564" s="6"/>
      <c r="M1564" s="6"/>
      <c r="N1564" s="671"/>
      <c r="O1564" s="6"/>
      <c r="P1564" s="6"/>
      <c r="Q1564" s="6"/>
      <c r="R1564" s="6"/>
      <c r="S1564" s="6"/>
      <c r="T1564" s="6"/>
      <c r="U1564" s="6"/>
    </row>
    <row r="1565">
      <c r="A1565" s="6"/>
      <c r="B1565" s="6"/>
      <c r="C1565" s="6"/>
      <c r="D1565" s="6"/>
      <c r="E1565" s="6"/>
      <c r="G1565" s="6"/>
      <c r="H1565" s="6"/>
      <c r="I1565" s="6"/>
      <c r="J1565" s="6"/>
      <c r="K1565" s="6"/>
      <c r="L1565" s="6"/>
      <c r="M1565" s="6"/>
      <c r="N1565" s="671"/>
      <c r="O1565" s="6"/>
      <c r="P1565" s="6"/>
      <c r="Q1565" s="6"/>
      <c r="R1565" s="6"/>
      <c r="S1565" s="6"/>
      <c r="T1565" s="6"/>
      <c r="U1565" s="6"/>
    </row>
    <row r="1566">
      <c r="A1566" s="6"/>
      <c r="B1566" s="6"/>
      <c r="C1566" s="6"/>
      <c r="D1566" s="6"/>
      <c r="E1566" s="6"/>
      <c r="G1566" s="6"/>
      <c r="H1566" s="6"/>
      <c r="I1566" s="6"/>
      <c r="J1566" s="6"/>
      <c r="K1566" s="6"/>
      <c r="L1566" s="6"/>
      <c r="M1566" s="6"/>
      <c r="N1566" s="671"/>
      <c r="O1566" s="6"/>
      <c r="P1566" s="6"/>
      <c r="Q1566" s="6"/>
      <c r="R1566" s="6"/>
      <c r="S1566" s="6"/>
      <c r="T1566" s="6"/>
      <c r="U1566" s="6"/>
    </row>
    <row r="1567">
      <c r="A1567" s="6"/>
      <c r="B1567" s="6"/>
      <c r="C1567" s="6"/>
      <c r="D1567" s="6"/>
      <c r="E1567" s="6"/>
      <c r="G1567" s="6"/>
      <c r="H1567" s="6"/>
      <c r="I1567" s="6"/>
      <c r="J1567" s="6"/>
      <c r="K1567" s="6"/>
      <c r="L1567" s="6"/>
      <c r="M1567" s="6"/>
      <c r="N1567" s="671"/>
      <c r="O1567" s="6"/>
      <c r="P1567" s="6"/>
      <c r="Q1567" s="6"/>
      <c r="R1567" s="6"/>
      <c r="S1567" s="6"/>
      <c r="T1567" s="6"/>
      <c r="U1567" s="6"/>
    </row>
    <row r="1568">
      <c r="A1568" s="6"/>
      <c r="B1568" s="6"/>
      <c r="C1568" s="6"/>
      <c r="D1568" s="6"/>
      <c r="E1568" s="6"/>
      <c r="G1568" s="6"/>
      <c r="H1568" s="6"/>
      <c r="I1568" s="6"/>
      <c r="J1568" s="6"/>
      <c r="K1568" s="6"/>
      <c r="L1568" s="6"/>
      <c r="M1568" s="6"/>
      <c r="N1568" s="671"/>
      <c r="O1568" s="6"/>
      <c r="P1568" s="6"/>
      <c r="Q1568" s="6"/>
      <c r="R1568" s="6"/>
      <c r="S1568" s="6"/>
      <c r="T1568" s="6"/>
      <c r="U1568" s="6"/>
    </row>
    <row r="1569">
      <c r="A1569" s="6"/>
      <c r="B1569" s="6"/>
      <c r="C1569" s="6"/>
      <c r="D1569" s="6"/>
      <c r="E1569" s="6"/>
      <c r="G1569" s="6"/>
      <c r="H1569" s="6"/>
      <c r="I1569" s="6"/>
      <c r="J1569" s="6"/>
      <c r="K1569" s="6"/>
      <c r="L1569" s="6"/>
      <c r="M1569" s="6"/>
      <c r="N1569" s="671"/>
      <c r="O1569" s="6"/>
      <c r="P1569" s="6"/>
      <c r="Q1569" s="6"/>
      <c r="R1569" s="6"/>
      <c r="S1569" s="6"/>
      <c r="T1569" s="6"/>
      <c r="U1569" s="6"/>
    </row>
    <row r="1570">
      <c r="A1570" s="6"/>
      <c r="B1570" s="6"/>
      <c r="C1570" s="6"/>
      <c r="D1570" s="6"/>
      <c r="E1570" s="6"/>
      <c r="G1570" s="6"/>
      <c r="H1570" s="6"/>
      <c r="I1570" s="6"/>
      <c r="J1570" s="6"/>
      <c r="K1570" s="6"/>
      <c r="L1570" s="6"/>
      <c r="M1570" s="6"/>
      <c r="N1570" s="671"/>
      <c r="O1570" s="6"/>
      <c r="P1570" s="6"/>
      <c r="Q1570" s="6"/>
      <c r="R1570" s="6"/>
      <c r="S1570" s="6"/>
      <c r="T1570" s="6"/>
      <c r="U1570" s="6"/>
    </row>
    <row r="1571">
      <c r="A1571" s="6"/>
      <c r="B1571" s="6"/>
      <c r="C1571" s="6"/>
      <c r="D1571" s="6"/>
      <c r="E1571" s="6"/>
      <c r="G1571" s="6"/>
      <c r="H1571" s="6"/>
      <c r="I1571" s="6"/>
      <c r="J1571" s="6"/>
      <c r="K1571" s="6"/>
      <c r="L1571" s="6"/>
      <c r="M1571" s="6"/>
      <c r="N1571" s="671"/>
      <c r="O1571" s="6"/>
      <c r="P1571" s="6"/>
      <c r="Q1571" s="6"/>
      <c r="R1571" s="6"/>
      <c r="S1571" s="6"/>
      <c r="T1571" s="6"/>
      <c r="U1571" s="6"/>
    </row>
    <row r="1572">
      <c r="A1572" s="6"/>
      <c r="B1572" s="6"/>
      <c r="C1572" s="6"/>
      <c r="D1572" s="6"/>
      <c r="E1572" s="6"/>
      <c r="G1572" s="6"/>
      <c r="H1572" s="6"/>
      <c r="I1572" s="6"/>
      <c r="J1572" s="6"/>
      <c r="K1572" s="6"/>
      <c r="L1572" s="6"/>
      <c r="M1572" s="6"/>
      <c r="N1572" s="671"/>
      <c r="O1572" s="6"/>
      <c r="P1572" s="6"/>
      <c r="Q1572" s="6"/>
      <c r="R1572" s="6"/>
      <c r="S1572" s="6"/>
      <c r="T1572" s="6"/>
      <c r="U1572" s="6"/>
    </row>
    <row r="1573">
      <c r="A1573" s="6"/>
      <c r="B1573" s="6"/>
      <c r="C1573" s="6"/>
      <c r="D1573" s="6"/>
      <c r="E1573" s="6"/>
      <c r="G1573" s="6"/>
      <c r="H1573" s="6"/>
      <c r="I1573" s="6"/>
      <c r="J1573" s="6"/>
      <c r="K1573" s="6"/>
      <c r="L1573" s="6"/>
      <c r="M1573" s="6"/>
      <c r="N1573" s="671"/>
      <c r="O1573" s="6"/>
      <c r="P1573" s="6"/>
      <c r="Q1573" s="6"/>
      <c r="R1573" s="6"/>
      <c r="S1573" s="6"/>
      <c r="T1573" s="6"/>
      <c r="U1573" s="6"/>
    </row>
    <row r="1574">
      <c r="A1574" s="6"/>
      <c r="B1574" s="6"/>
      <c r="C1574" s="6"/>
      <c r="D1574" s="6"/>
      <c r="E1574" s="6"/>
      <c r="G1574" s="6"/>
      <c r="H1574" s="6"/>
      <c r="I1574" s="6"/>
      <c r="J1574" s="6"/>
      <c r="K1574" s="6"/>
      <c r="L1574" s="6"/>
      <c r="M1574" s="6"/>
      <c r="N1574" s="671"/>
      <c r="O1574" s="6"/>
      <c r="P1574" s="6"/>
      <c r="Q1574" s="6"/>
      <c r="R1574" s="6"/>
      <c r="S1574" s="6"/>
      <c r="T1574" s="6"/>
      <c r="U1574" s="6"/>
    </row>
    <row r="1575">
      <c r="A1575" s="6"/>
      <c r="B1575" s="6"/>
      <c r="C1575" s="6"/>
      <c r="D1575" s="6"/>
      <c r="E1575" s="6"/>
      <c r="G1575" s="6"/>
      <c r="H1575" s="6"/>
      <c r="I1575" s="6"/>
      <c r="J1575" s="6"/>
      <c r="K1575" s="6"/>
      <c r="L1575" s="6"/>
      <c r="M1575" s="6"/>
      <c r="N1575" s="671"/>
      <c r="O1575" s="6"/>
      <c r="P1575" s="6"/>
      <c r="Q1575" s="6"/>
      <c r="R1575" s="6"/>
      <c r="S1575" s="6"/>
      <c r="T1575" s="6"/>
      <c r="U1575" s="6"/>
    </row>
    <row r="1576">
      <c r="A1576" s="6"/>
      <c r="B1576" s="6"/>
      <c r="C1576" s="6"/>
      <c r="D1576" s="6"/>
      <c r="E1576" s="6"/>
      <c r="G1576" s="6"/>
      <c r="H1576" s="6"/>
      <c r="I1576" s="6"/>
      <c r="J1576" s="6"/>
      <c r="K1576" s="6"/>
      <c r="L1576" s="6"/>
      <c r="M1576" s="6"/>
      <c r="N1576" s="671"/>
      <c r="O1576" s="6"/>
      <c r="P1576" s="6"/>
      <c r="Q1576" s="6"/>
      <c r="R1576" s="6"/>
      <c r="S1576" s="6"/>
      <c r="T1576" s="6"/>
      <c r="U1576" s="6"/>
    </row>
    <row r="1577">
      <c r="A1577" s="6"/>
      <c r="B1577" s="6"/>
      <c r="C1577" s="6"/>
      <c r="D1577" s="6"/>
      <c r="E1577" s="6"/>
      <c r="G1577" s="6"/>
      <c r="H1577" s="6"/>
      <c r="I1577" s="6"/>
      <c r="J1577" s="6"/>
      <c r="K1577" s="6"/>
      <c r="L1577" s="6"/>
      <c r="M1577" s="6"/>
      <c r="N1577" s="671"/>
      <c r="O1577" s="6"/>
      <c r="P1577" s="6"/>
      <c r="Q1577" s="6"/>
      <c r="R1577" s="6"/>
      <c r="S1577" s="6"/>
      <c r="T1577" s="6"/>
      <c r="U1577" s="6"/>
    </row>
    <row r="1578">
      <c r="A1578" s="6"/>
      <c r="B1578" s="6"/>
      <c r="C1578" s="6"/>
      <c r="D1578" s="6"/>
      <c r="E1578" s="6"/>
      <c r="G1578" s="6"/>
      <c r="H1578" s="6"/>
      <c r="I1578" s="6"/>
      <c r="J1578" s="6"/>
      <c r="K1578" s="6"/>
      <c r="L1578" s="6"/>
      <c r="M1578" s="6"/>
      <c r="N1578" s="671"/>
      <c r="O1578" s="6"/>
      <c r="P1578" s="6"/>
      <c r="Q1578" s="6"/>
      <c r="R1578" s="6"/>
      <c r="S1578" s="6"/>
      <c r="T1578" s="6"/>
      <c r="U1578" s="6"/>
    </row>
    <row r="1579">
      <c r="A1579" s="6"/>
      <c r="B1579" s="6"/>
      <c r="C1579" s="6"/>
      <c r="D1579" s="6"/>
      <c r="E1579" s="6"/>
      <c r="G1579" s="6"/>
      <c r="H1579" s="6"/>
      <c r="I1579" s="6"/>
      <c r="J1579" s="6"/>
      <c r="K1579" s="6"/>
      <c r="L1579" s="6"/>
      <c r="M1579" s="6"/>
      <c r="N1579" s="671"/>
      <c r="O1579" s="6"/>
      <c r="P1579" s="6"/>
      <c r="Q1579" s="6"/>
      <c r="R1579" s="6"/>
      <c r="S1579" s="6"/>
      <c r="T1579" s="6"/>
      <c r="U1579" s="6"/>
    </row>
    <row r="1580">
      <c r="A1580" s="6"/>
      <c r="B1580" s="6"/>
      <c r="C1580" s="6"/>
      <c r="D1580" s="6"/>
      <c r="E1580" s="6"/>
      <c r="G1580" s="6"/>
      <c r="H1580" s="6"/>
      <c r="I1580" s="6"/>
      <c r="J1580" s="6"/>
      <c r="K1580" s="6"/>
      <c r="L1580" s="6"/>
      <c r="M1580" s="6"/>
      <c r="N1580" s="671"/>
      <c r="O1580" s="6"/>
      <c r="P1580" s="6"/>
      <c r="Q1580" s="6"/>
      <c r="R1580" s="6"/>
      <c r="S1580" s="6"/>
      <c r="T1580" s="6"/>
      <c r="U1580" s="6"/>
    </row>
    <row r="1581">
      <c r="A1581" s="6"/>
      <c r="B1581" s="6"/>
      <c r="C1581" s="6"/>
      <c r="D1581" s="6"/>
      <c r="E1581" s="6"/>
      <c r="G1581" s="6"/>
      <c r="H1581" s="6"/>
      <c r="I1581" s="6"/>
      <c r="J1581" s="6"/>
      <c r="K1581" s="6"/>
      <c r="L1581" s="6"/>
      <c r="M1581" s="6"/>
      <c r="N1581" s="671"/>
      <c r="O1581" s="6"/>
      <c r="P1581" s="6"/>
      <c r="Q1581" s="6"/>
      <c r="R1581" s="6"/>
      <c r="S1581" s="6"/>
      <c r="T1581" s="6"/>
      <c r="U1581" s="6"/>
    </row>
    <row r="1582">
      <c r="A1582" s="6"/>
      <c r="B1582" s="6"/>
      <c r="C1582" s="6"/>
      <c r="D1582" s="6"/>
      <c r="E1582" s="6"/>
      <c r="G1582" s="6"/>
      <c r="H1582" s="6"/>
      <c r="I1582" s="6"/>
      <c r="J1582" s="6"/>
      <c r="K1582" s="6"/>
      <c r="L1582" s="6"/>
      <c r="M1582" s="6"/>
      <c r="N1582" s="671"/>
      <c r="O1582" s="6"/>
      <c r="P1582" s="6"/>
      <c r="Q1582" s="6"/>
      <c r="R1582" s="6"/>
      <c r="S1582" s="6"/>
      <c r="T1582" s="6"/>
      <c r="U1582" s="6"/>
    </row>
    <row r="1583">
      <c r="A1583" s="6"/>
      <c r="B1583" s="6"/>
      <c r="C1583" s="6"/>
      <c r="D1583" s="6"/>
      <c r="E1583" s="6"/>
      <c r="G1583" s="6"/>
      <c r="H1583" s="6"/>
      <c r="I1583" s="6"/>
      <c r="J1583" s="6"/>
      <c r="K1583" s="6"/>
      <c r="L1583" s="6"/>
      <c r="M1583" s="6"/>
      <c r="N1583" s="671"/>
      <c r="O1583" s="6"/>
      <c r="P1583" s="6"/>
      <c r="Q1583" s="6"/>
      <c r="R1583" s="6"/>
      <c r="S1583" s="6"/>
      <c r="T1583" s="6"/>
      <c r="U1583" s="6"/>
    </row>
    <row r="1584">
      <c r="A1584" s="6"/>
      <c r="B1584" s="6"/>
      <c r="C1584" s="6"/>
      <c r="D1584" s="6"/>
      <c r="E1584" s="6"/>
      <c r="G1584" s="6"/>
      <c r="H1584" s="6"/>
      <c r="I1584" s="6"/>
      <c r="J1584" s="6"/>
      <c r="K1584" s="6"/>
      <c r="L1584" s="6"/>
      <c r="M1584" s="6"/>
      <c r="N1584" s="671"/>
      <c r="O1584" s="6"/>
      <c r="P1584" s="6"/>
      <c r="Q1584" s="6"/>
      <c r="R1584" s="6"/>
      <c r="S1584" s="6"/>
      <c r="T1584" s="6"/>
      <c r="U1584" s="6"/>
    </row>
    <row r="1585">
      <c r="A1585" s="6"/>
      <c r="B1585" s="6"/>
      <c r="C1585" s="6"/>
      <c r="D1585" s="6"/>
      <c r="E1585" s="6"/>
      <c r="G1585" s="6"/>
      <c r="H1585" s="6"/>
      <c r="I1585" s="6"/>
      <c r="J1585" s="6"/>
      <c r="K1585" s="6"/>
      <c r="L1585" s="6"/>
      <c r="M1585" s="6"/>
      <c r="N1585" s="671"/>
      <c r="O1585" s="6"/>
      <c r="P1585" s="6"/>
      <c r="Q1585" s="6"/>
      <c r="R1585" s="6"/>
      <c r="S1585" s="6"/>
      <c r="T1585" s="6"/>
      <c r="U1585" s="6"/>
    </row>
    <row r="1586">
      <c r="A1586" s="6"/>
      <c r="B1586" s="6"/>
      <c r="C1586" s="6"/>
      <c r="D1586" s="6"/>
      <c r="E1586" s="6"/>
      <c r="G1586" s="6"/>
      <c r="H1586" s="6"/>
      <c r="I1586" s="6"/>
      <c r="J1586" s="6"/>
      <c r="K1586" s="6"/>
      <c r="L1586" s="6"/>
      <c r="M1586" s="6"/>
      <c r="N1586" s="671"/>
      <c r="O1586" s="6"/>
      <c r="P1586" s="6"/>
      <c r="Q1586" s="6"/>
      <c r="R1586" s="6"/>
      <c r="S1586" s="6"/>
      <c r="T1586" s="6"/>
      <c r="U1586" s="6"/>
    </row>
    <row r="1587">
      <c r="A1587" s="6"/>
      <c r="B1587" s="6"/>
      <c r="C1587" s="6"/>
      <c r="D1587" s="6"/>
      <c r="E1587" s="6"/>
      <c r="G1587" s="6"/>
      <c r="H1587" s="6"/>
      <c r="I1587" s="6"/>
      <c r="J1587" s="6"/>
      <c r="K1587" s="6"/>
      <c r="L1587" s="6"/>
      <c r="M1587" s="6"/>
      <c r="N1587" s="671"/>
      <c r="O1587" s="6"/>
      <c r="P1587" s="6"/>
      <c r="Q1587" s="6"/>
      <c r="R1587" s="6"/>
      <c r="S1587" s="6"/>
      <c r="T1587" s="6"/>
      <c r="U1587" s="6"/>
    </row>
    <row r="1588">
      <c r="A1588" s="6"/>
      <c r="B1588" s="6"/>
      <c r="C1588" s="6"/>
      <c r="D1588" s="6"/>
      <c r="E1588" s="6"/>
      <c r="G1588" s="6"/>
      <c r="H1588" s="6"/>
      <c r="I1588" s="6"/>
      <c r="J1588" s="6"/>
      <c r="K1588" s="6"/>
      <c r="L1588" s="6"/>
      <c r="M1588" s="6"/>
      <c r="N1588" s="671"/>
      <c r="O1588" s="6"/>
      <c r="P1588" s="6"/>
      <c r="Q1588" s="6"/>
      <c r="R1588" s="6"/>
      <c r="S1588" s="6"/>
      <c r="T1588" s="6"/>
      <c r="U1588" s="6"/>
    </row>
    <row r="1589">
      <c r="A1589" s="6"/>
      <c r="B1589" s="6"/>
      <c r="C1589" s="6"/>
      <c r="D1589" s="6"/>
      <c r="E1589" s="6"/>
      <c r="G1589" s="6"/>
      <c r="H1589" s="6"/>
      <c r="I1589" s="6"/>
      <c r="J1589" s="6"/>
      <c r="K1589" s="6"/>
      <c r="L1589" s="6"/>
      <c r="M1589" s="6"/>
      <c r="N1589" s="671"/>
      <c r="O1589" s="6"/>
      <c r="P1589" s="6"/>
      <c r="Q1589" s="6"/>
      <c r="R1589" s="6"/>
      <c r="S1589" s="6"/>
      <c r="T1589" s="6"/>
      <c r="U1589" s="6"/>
    </row>
    <row r="1590">
      <c r="A1590" s="6"/>
      <c r="B1590" s="6"/>
      <c r="C1590" s="6"/>
      <c r="D1590" s="6"/>
      <c r="E1590" s="6"/>
      <c r="G1590" s="6"/>
      <c r="H1590" s="6"/>
      <c r="I1590" s="6"/>
      <c r="J1590" s="6"/>
      <c r="K1590" s="6"/>
      <c r="L1590" s="6"/>
      <c r="M1590" s="6"/>
      <c r="N1590" s="671"/>
      <c r="O1590" s="6"/>
      <c r="P1590" s="6"/>
      <c r="Q1590" s="6"/>
      <c r="R1590" s="6"/>
      <c r="S1590" s="6"/>
      <c r="T1590" s="6"/>
      <c r="U1590" s="6"/>
    </row>
    <row r="1591">
      <c r="A1591" s="6"/>
      <c r="B1591" s="6"/>
      <c r="C1591" s="6"/>
      <c r="D1591" s="6"/>
      <c r="E1591" s="6"/>
      <c r="G1591" s="6"/>
      <c r="H1591" s="6"/>
      <c r="I1591" s="6"/>
      <c r="J1591" s="6"/>
      <c r="K1591" s="6"/>
      <c r="L1591" s="6"/>
      <c r="M1591" s="6"/>
      <c r="N1591" s="671"/>
      <c r="O1591" s="6"/>
      <c r="P1591" s="6"/>
      <c r="Q1591" s="6"/>
      <c r="R1591" s="6"/>
      <c r="S1591" s="6"/>
      <c r="T1591" s="6"/>
      <c r="U1591" s="6"/>
    </row>
    <row r="1592">
      <c r="A1592" s="6"/>
      <c r="B1592" s="6"/>
      <c r="C1592" s="6"/>
      <c r="D1592" s="6"/>
      <c r="E1592" s="6"/>
      <c r="G1592" s="6"/>
      <c r="H1592" s="6"/>
      <c r="I1592" s="6"/>
      <c r="J1592" s="6"/>
      <c r="K1592" s="6"/>
      <c r="L1592" s="6"/>
      <c r="M1592" s="6"/>
      <c r="N1592" s="671"/>
      <c r="O1592" s="6"/>
      <c r="P1592" s="6"/>
      <c r="Q1592" s="6"/>
      <c r="R1592" s="6"/>
      <c r="S1592" s="6"/>
      <c r="T1592" s="6"/>
      <c r="U1592" s="6"/>
    </row>
    <row r="1593">
      <c r="A1593" s="6"/>
      <c r="B1593" s="6"/>
      <c r="C1593" s="6"/>
      <c r="D1593" s="6"/>
      <c r="E1593" s="6"/>
      <c r="G1593" s="6"/>
      <c r="H1593" s="6"/>
      <c r="I1593" s="6"/>
      <c r="J1593" s="6"/>
      <c r="K1593" s="6"/>
      <c r="L1593" s="6"/>
      <c r="M1593" s="6"/>
      <c r="N1593" s="671"/>
      <c r="O1593" s="6"/>
      <c r="P1593" s="6"/>
      <c r="Q1593" s="6"/>
      <c r="R1593" s="6"/>
      <c r="S1593" s="6"/>
      <c r="T1593" s="6"/>
      <c r="U1593" s="6"/>
    </row>
    <row r="1594">
      <c r="A1594" s="6"/>
      <c r="B1594" s="6"/>
      <c r="C1594" s="6"/>
      <c r="D1594" s="6"/>
      <c r="E1594" s="6"/>
      <c r="G1594" s="6"/>
      <c r="H1594" s="6"/>
      <c r="I1594" s="6"/>
      <c r="J1594" s="6"/>
      <c r="K1594" s="6"/>
      <c r="L1594" s="6"/>
      <c r="M1594" s="6"/>
      <c r="N1594" s="671"/>
      <c r="O1594" s="6"/>
      <c r="P1594" s="6"/>
      <c r="Q1594" s="6"/>
      <c r="R1594" s="6"/>
      <c r="S1594" s="6"/>
      <c r="T1594" s="6"/>
      <c r="U1594" s="6"/>
    </row>
    <row r="1595">
      <c r="A1595" s="6"/>
      <c r="B1595" s="6"/>
      <c r="C1595" s="6"/>
      <c r="D1595" s="6"/>
      <c r="E1595" s="6"/>
      <c r="G1595" s="6"/>
      <c r="H1595" s="6"/>
      <c r="I1595" s="6"/>
      <c r="J1595" s="6"/>
      <c r="K1595" s="6"/>
      <c r="L1595" s="6"/>
      <c r="M1595" s="6"/>
      <c r="N1595" s="671"/>
      <c r="O1595" s="6"/>
      <c r="P1595" s="6"/>
      <c r="Q1595" s="6"/>
      <c r="R1595" s="6"/>
      <c r="S1595" s="6"/>
      <c r="T1595" s="6"/>
      <c r="U1595" s="6"/>
    </row>
    <row r="1596">
      <c r="A1596" s="6"/>
      <c r="B1596" s="6"/>
      <c r="C1596" s="6"/>
      <c r="D1596" s="6"/>
      <c r="E1596" s="6"/>
      <c r="G1596" s="6"/>
      <c r="H1596" s="6"/>
      <c r="I1596" s="6"/>
      <c r="J1596" s="6"/>
      <c r="K1596" s="6"/>
      <c r="L1596" s="6"/>
      <c r="M1596" s="6"/>
      <c r="N1596" s="671"/>
      <c r="O1596" s="6"/>
      <c r="P1596" s="6"/>
      <c r="Q1596" s="6"/>
      <c r="R1596" s="6"/>
      <c r="S1596" s="6"/>
      <c r="T1596" s="6"/>
      <c r="U1596" s="6"/>
    </row>
    <row r="1597">
      <c r="A1597" s="6"/>
      <c r="B1597" s="6"/>
      <c r="C1597" s="6"/>
      <c r="D1597" s="6"/>
      <c r="E1597" s="6"/>
      <c r="G1597" s="6"/>
      <c r="H1597" s="6"/>
      <c r="I1597" s="6"/>
      <c r="J1597" s="6"/>
      <c r="K1597" s="6"/>
      <c r="L1597" s="6"/>
      <c r="M1597" s="6"/>
      <c r="N1597" s="671"/>
      <c r="O1597" s="6"/>
      <c r="P1597" s="6"/>
      <c r="Q1597" s="6"/>
      <c r="R1597" s="6"/>
      <c r="S1597" s="6"/>
      <c r="T1597" s="6"/>
      <c r="U1597" s="6"/>
    </row>
    <row r="1598">
      <c r="A1598" s="6"/>
      <c r="B1598" s="6"/>
      <c r="C1598" s="6"/>
      <c r="D1598" s="6"/>
      <c r="E1598" s="6"/>
      <c r="G1598" s="6"/>
      <c r="H1598" s="6"/>
      <c r="I1598" s="6"/>
      <c r="J1598" s="6"/>
      <c r="K1598" s="6"/>
      <c r="L1598" s="6"/>
      <c r="M1598" s="6"/>
      <c r="N1598" s="671"/>
      <c r="O1598" s="6"/>
      <c r="P1598" s="6"/>
      <c r="Q1598" s="6"/>
      <c r="R1598" s="6"/>
      <c r="S1598" s="6"/>
      <c r="T1598" s="6"/>
      <c r="U1598" s="6"/>
    </row>
    <row r="1599">
      <c r="A1599" s="6"/>
      <c r="B1599" s="6"/>
      <c r="C1599" s="6"/>
      <c r="D1599" s="6"/>
      <c r="E1599" s="6"/>
      <c r="G1599" s="6"/>
      <c r="H1599" s="6"/>
      <c r="I1599" s="6"/>
      <c r="J1599" s="6"/>
      <c r="K1599" s="6"/>
      <c r="L1599" s="6"/>
      <c r="M1599" s="6"/>
      <c r="N1599" s="671"/>
      <c r="O1599" s="6"/>
      <c r="P1599" s="6"/>
      <c r="Q1599" s="6"/>
      <c r="R1599" s="6"/>
      <c r="S1599" s="6"/>
      <c r="T1599" s="6"/>
      <c r="U1599" s="6"/>
    </row>
    <row r="1600">
      <c r="A1600" s="6"/>
      <c r="B1600" s="6"/>
      <c r="C1600" s="6"/>
      <c r="D1600" s="6"/>
      <c r="E1600" s="6"/>
      <c r="G1600" s="6"/>
      <c r="H1600" s="6"/>
      <c r="I1600" s="6"/>
      <c r="J1600" s="6"/>
      <c r="K1600" s="6"/>
      <c r="L1600" s="6"/>
      <c r="M1600" s="6"/>
      <c r="N1600" s="671"/>
      <c r="O1600" s="6"/>
      <c r="P1600" s="6"/>
      <c r="Q1600" s="6"/>
      <c r="R1600" s="6"/>
      <c r="S1600" s="6"/>
      <c r="T1600" s="6"/>
      <c r="U1600" s="6"/>
    </row>
    <row r="1601">
      <c r="A1601" s="6"/>
      <c r="B1601" s="6"/>
      <c r="C1601" s="6"/>
      <c r="D1601" s="6"/>
      <c r="E1601" s="6"/>
      <c r="G1601" s="6"/>
      <c r="H1601" s="6"/>
      <c r="I1601" s="6"/>
      <c r="J1601" s="6"/>
      <c r="K1601" s="6"/>
      <c r="L1601" s="6"/>
      <c r="M1601" s="6"/>
      <c r="N1601" s="671"/>
      <c r="O1601" s="6"/>
      <c r="P1601" s="6"/>
      <c r="Q1601" s="6"/>
      <c r="R1601" s="6"/>
      <c r="S1601" s="6"/>
      <c r="T1601" s="6"/>
      <c r="U1601" s="6"/>
    </row>
    <row r="1602">
      <c r="A1602" s="6"/>
      <c r="B1602" s="6"/>
      <c r="C1602" s="6"/>
      <c r="D1602" s="6"/>
      <c r="E1602" s="6"/>
      <c r="G1602" s="6"/>
      <c r="H1602" s="6"/>
      <c r="I1602" s="6"/>
      <c r="J1602" s="6"/>
      <c r="K1602" s="6"/>
      <c r="L1602" s="6"/>
      <c r="M1602" s="6"/>
      <c r="N1602" s="671"/>
      <c r="O1602" s="6"/>
      <c r="P1602" s="6"/>
      <c r="Q1602" s="6"/>
      <c r="R1602" s="6"/>
      <c r="S1602" s="6"/>
      <c r="T1602" s="6"/>
      <c r="U1602" s="6"/>
    </row>
    <row r="1603">
      <c r="A1603" s="6"/>
      <c r="B1603" s="6"/>
      <c r="C1603" s="6"/>
      <c r="D1603" s="6"/>
      <c r="E1603" s="6"/>
      <c r="G1603" s="6"/>
      <c r="H1603" s="6"/>
      <c r="I1603" s="6"/>
      <c r="J1603" s="6"/>
      <c r="K1603" s="6"/>
      <c r="L1603" s="6"/>
      <c r="M1603" s="6"/>
      <c r="N1603" s="671"/>
      <c r="O1603" s="6"/>
      <c r="P1603" s="6"/>
      <c r="Q1603" s="6"/>
      <c r="R1603" s="6"/>
      <c r="S1603" s="6"/>
      <c r="T1603" s="6"/>
      <c r="U1603" s="6"/>
    </row>
    <row r="1604">
      <c r="A1604" s="6"/>
      <c r="B1604" s="6"/>
      <c r="C1604" s="6"/>
      <c r="D1604" s="6"/>
      <c r="E1604" s="6"/>
      <c r="G1604" s="6"/>
      <c r="H1604" s="6"/>
      <c r="I1604" s="6"/>
      <c r="J1604" s="6"/>
      <c r="K1604" s="6"/>
      <c r="L1604" s="6"/>
      <c r="M1604" s="6"/>
      <c r="N1604" s="671"/>
      <c r="O1604" s="6"/>
      <c r="P1604" s="6"/>
      <c r="Q1604" s="6"/>
      <c r="R1604" s="6"/>
      <c r="S1604" s="6"/>
      <c r="T1604" s="6"/>
      <c r="U1604" s="6"/>
    </row>
    <row r="1605">
      <c r="A1605" s="6"/>
      <c r="B1605" s="6"/>
      <c r="C1605" s="6"/>
      <c r="D1605" s="6"/>
      <c r="E1605" s="6"/>
      <c r="G1605" s="6"/>
      <c r="H1605" s="6"/>
      <c r="I1605" s="6"/>
      <c r="J1605" s="6"/>
      <c r="K1605" s="6"/>
      <c r="L1605" s="6"/>
      <c r="M1605" s="6"/>
      <c r="N1605" s="671"/>
      <c r="O1605" s="6"/>
      <c r="P1605" s="6"/>
      <c r="Q1605" s="6"/>
      <c r="R1605" s="6"/>
      <c r="S1605" s="6"/>
      <c r="T1605" s="6"/>
      <c r="U1605" s="6"/>
    </row>
    <row r="1606">
      <c r="A1606" s="6"/>
      <c r="B1606" s="6"/>
      <c r="C1606" s="6"/>
      <c r="D1606" s="6"/>
      <c r="E1606" s="6"/>
      <c r="G1606" s="6"/>
      <c r="H1606" s="6"/>
      <c r="I1606" s="6"/>
      <c r="J1606" s="6"/>
      <c r="K1606" s="6"/>
      <c r="L1606" s="6"/>
      <c r="M1606" s="6"/>
      <c r="N1606" s="671"/>
      <c r="O1606" s="6"/>
      <c r="P1606" s="6"/>
      <c r="Q1606" s="6"/>
      <c r="R1606" s="6"/>
      <c r="S1606" s="6"/>
      <c r="T1606" s="6"/>
      <c r="U1606" s="6"/>
    </row>
    <row r="1607">
      <c r="A1607" s="6"/>
      <c r="B1607" s="6"/>
      <c r="C1607" s="6"/>
      <c r="D1607" s="6"/>
      <c r="E1607" s="6"/>
      <c r="G1607" s="6"/>
      <c r="H1607" s="6"/>
      <c r="I1607" s="6"/>
      <c r="J1607" s="6"/>
      <c r="K1607" s="6"/>
      <c r="L1607" s="6"/>
      <c r="M1607" s="6"/>
      <c r="N1607" s="671"/>
      <c r="O1607" s="6"/>
      <c r="P1607" s="6"/>
      <c r="Q1607" s="6"/>
      <c r="R1607" s="6"/>
      <c r="S1607" s="6"/>
      <c r="T1607" s="6"/>
      <c r="U1607" s="6"/>
    </row>
    <row r="1608">
      <c r="A1608" s="6"/>
      <c r="B1608" s="6"/>
      <c r="C1608" s="6"/>
      <c r="D1608" s="6"/>
      <c r="E1608" s="6"/>
      <c r="G1608" s="6"/>
      <c r="H1608" s="6"/>
      <c r="I1608" s="6"/>
      <c r="J1608" s="6"/>
      <c r="K1608" s="6"/>
      <c r="L1608" s="6"/>
      <c r="M1608" s="6"/>
      <c r="N1608" s="671"/>
      <c r="O1608" s="6"/>
      <c r="P1608" s="6"/>
      <c r="Q1608" s="6"/>
      <c r="R1608" s="6"/>
      <c r="S1608" s="6"/>
      <c r="T1608" s="6"/>
      <c r="U1608" s="6"/>
    </row>
    <row r="1609">
      <c r="A1609" s="6"/>
      <c r="B1609" s="6"/>
      <c r="C1609" s="6"/>
      <c r="D1609" s="6"/>
      <c r="E1609" s="6"/>
      <c r="G1609" s="6"/>
      <c r="H1609" s="6"/>
      <c r="I1609" s="6"/>
      <c r="J1609" s="6"/>
      <c r="K1609" s="6"/>
      <c r="L1609" s="6"/>
      <c r="M1609" s="6"/>
      <c r="N1609" s="671"/>
      <c r="O1609" s="6"/>
      <c r="P1609" s="6"/>
      <c r="Q1609" s="6"/>
      <c r="R1609" s="6"/>
      <c r="S1609" s="6"/>
      <c r="T1609" s="6"/>
      <c r="U1609" s="6"/>
    </row>
    <row r="1610">
      <c r="A1610" s="6"/>
      <c r="B1610" s="6"/>
      <c r="C1610" s="6"/>
      <c r="D1610" s="6"/>
      <c r="E1610" s="6"/>
      <c r="G1610" s="6"/>
      <c r="H1610" s="6"/>
      <c r="I1610" s="6"/>
      <c r="J1610" s="6"/>
      <c r="K1610" s="6"/>
      <c r="L1610" s="6"/>
      <c r="M1610" s="6"/>
      <c r="N1610" s="671"/>
      <c r="O1610" s="6"/>
      <c r="P1610" s="6"/>
      <c r="Q1610" s="6"/>
      <c r="R1610" s="6"/>
      <c r="S1610" s="6"/>
      <c r="T1610" s="6"/>
      <c r="U1610" s="6"/>
    </row>
    <row r="1611">
      <c r="A1611" s="6"/>
      <c r="B1611" s="6"/>
      <c r="C1611" s="6"/>
      <c r="D1611" s="6"/>
      <c r="E1611" s="6"/>
      <c r="G1611" s="6"/>
      <c r="H1611" s="6"/>
      <c r="I1611" s="6"/>
      <c r="J1611" s="6"/>
      <c r="K1611" s="6"/>
      <c r="L1611" s="6"/>
      <c r="M1611" s="6"/>
      <c r="N1611" s="672"/>
      <c r="O1611" s="6"/>
      <c r="P1611" s="6"/>
      <c r="Q1611" s="6"/>
      <c r="R1611" s="6"/>
      <c r="S1611" s="6"/>
      <c r="T1611" s="6"/>
      <c r="U1611" s="6"/>
    </row>
    <row r="1612">
      <c r="A1612" s="6"/>
      <c r="B1612" s="6"/>
      <c r="C1612" s="6"/>
      <c r="D1612" s="6"/>
      <c r="E1612" s="6"/>
      <c r="G1612" s="6"/>
      <c r="H1612" s="6"/>
      <c r="I1612" s="6"/>
      <c r="J1612" s="6"/>
      <c r="K1612" s="6"/>
      <c r="L1612" s="6"/>
      <c r="M1612" s="6"/>
      <c r="N1612" s="672"/>
      <c r="O1612" s="6"/>
      <c r="P1612" s="6"/>
      <c r="Q1612" s="6"/>
      <c r="R1612" s="6"/>
      <c r="S1612" s="6"/>
      <c r="T1612" s="6"/>
      <c r="U1612" s="6"/>
    </row>
    <row r="1613">
      <c r="A1613" s="6"/>
      <c r="B1613" s="6"/>
      <c r="C1613" s="6"/>
      <c r="D1613" s="6"/>
      <c r="E1613" s="6"/>
      <c r="G1613" s="6"/>
      <c r="H1613" s="6"/>
      <c r="I1613" s="6"/>
      <c r="J1613" s="6"/>
      <c r="K1613" s="6"/>
      <c r="L1613" s="6"/>
      <c r="M1613" s="6"/>
      <c r="N1613" s="672"/>
      <c r="O1613" s="6"/>
      <c r="P1613" s="6"/>
      <c r="Q1613" s="6"/>
      <c r="R1613" s="6"/>
      <c r="S1613" s="6"/>
      <c r="T1613" s="6"/>
      <c r="U1613" s="6"/>
    </row>
    <row r="1614">
      <c r="A1614" s="6"/>
      <c r="B1614" s="6"/>
      <c r="C1614" s="6"/>
      <c r="D1614" s="6"/>
      <c r="E1614" s="6"/>
      <c r="G1614" s="6"/>
      <c r="H1614" s="6"/>
      <c r="I1614" s="6"/>
      <c r="J1614" s="6"/>
      <c r="K1614" s="6"/>
      <c r="L1614" s="6"/>
      <c r="M1614" s="6"/>
      <c r="N1614" s="672"/>
      <c r="O1614" s="6"/>
      <c r="P1614" s="6"/>
      <c r="Q1614" s="6"/>
      <c r="R1614" s="6"/>
      <c r="S1614" s="6"/>
      <c r="T1614" s="6"/>
      <c r="U1614" s="6"/>
    </row>
    <row r="1615">
      <c r="A1615" s="6"/>
      <c r="B1615" s="6"/>
      <c r="C1615" s="6"/>
      <c r="D1615" s="6"/>
      <c r="E1615" s="6"/>
      <c r="G1615" s="6"/>
      <c r="H1615" s="6"/>
      <c r="I1615" s="6"/>
      <c r="J1615" s="6"/>
      <c r="K1615" s="6"/>
      <c r="L1615" s="6"/>
      <c r="M1615" s="6"/>
      <c r="N1615" s="672"/>
      <c r="O1615" s="6"/>
      <c r="P1615" s="6"/>
      <c r="Q1615" s="6"/>
      <c r="R1615" s="6"/>
      <c r="S1615" s="6"/>
      <c r="T1615" s="6"/>
      <c r="U1615" s="6"/>
    </row>
    <row r="1616">
      <c r="A1616" s="6"/>
      <c r="B1616" s="6"/>
      <c r="C1616" s="6"/>
      <c r="D1616" s="6"/>
      <c r="E1616" s="6"/>
      <c r="G1616" s="6"/>
      <c r="H1616" s="6"/>
      <c r="I1616" s="6"/>
      <c r="J1616" s="6"/>
      <c r="K1616" s="6"/>
      <c r="L1616" s="6"/>
      <c r="M1616" s="6"/>
      <c r="N1616" s="672"/>
      <c r="O1616" s="6"/>
      <c r="P1616" s="6"/>
      <c r="Q1616" s="6"/>
      <c r="R1616" s="6"/>
      <c r="S1616" s="6"/>
      <c r="T1616" s="6"/>
      <c r="U1616" s="6"/>
    </row>
    <row r="1617">
      <c r="A1617" s="6"/>
      <c r="B1617" s="6"/>
      <c r="C1617" s="6"/>
      <c r="D1617" s="6"/>
      <c r="E1617" s="6"/>
      <c r="G1617" s="6"/>
      <c r="H1617" s="6"/>
      <c r="I1617" s="6"/>
      <c r="J1617" s="6"/>
      <c r="K1617" s="6"/>
      <c r="L1617" s="6"/>
      <c r="M1617" s="6"/>
      <c r="N1617" s="672"/>
      <c r="O1617" s="6"/>
      <c r="P1617" s="6"/>
      <c r="Q1617" s="6"/>
      <c r="R1617" s="6"/>
      <c r="S1617" s="6"/>
      <c r="T1617" s="6"/>
      <c r="U1617" s="6"/>
    </row>
    <row r="1618">
      <c r="A1618" s="6"/>
      <c r="B1618" s="6"/>
      <c r="C1618" s="6"/>
      <c r="D1618" s="6"/>
      <c r="E1618" s="6"/>
      <c r="G1618" s="6"/>
      <c r="H1618" s="6"/>
      <c r="I1618" s="6"/>
      <c r="J1618" s="6"/>
      <c r="K1618" s="6"/>
      <c r="L1618" s="6"/>
      <c r="M1618" s="6"/>
      <c r="N1618" s="672"/>
      <c r="O1618" s="6"/>
      <c r="P1618" s="6"/>
      <c r="Q1618" s="6"/>
      <c r="R1618" s="6"/>
      <c r="S1618" s="6"/>
      <c r="T1618" s="6"/>
      <c r="U1618" s="6"/>
    </row>
    <row r="1619">
      <c r="A1619" s="6"/>
      <c r="B1619" s="6"/>
      <c r="C1619" s="6"/>
      <c r="D1619" s="6"/>
      <c r="E1619" s="6"/>
      <c r="G1619" s="6"/>
      <c r="H1619" s="6"/>
      <c r="I1619" s="6"/>
      <c r="J1619" s="6"/>
      <c r="K1619" s="6"/>
      <c r="L1619" s="6"/>
      <c r="M1619" s="6"/>
      <c r="N1619" s="672"/>
      <c r="O1619" s="6"/>
      <c r="P1619" s="6"/>
      <c r="Q1619" s="6"/>
      <c r="R1619" s="6"/>
      <c r="S1619" s="6"/>
      <c r="T1619" s="6"/>
      <c r="U1619" s="6"/>
    </row>
    <row r="1620">
      <c r="A1620" s="6"/>
      <c r="B1620" s="6"/>
      <c r="C1620" s="6"/>
      <c r="D1620" s="6"/>
      <c r="E1620" s="6"/>
      <c r="G1620" s="6"/>
      <c r="H1620" s="6"/>
      <c r="I1620" s="6"/>
      <c r="J1620" s="6"/>
      <c r="K1620" s="6"/>
      <c r="L1620" s="6"/>
      <c r="M1620" s="6"/>
      <c r="N1620" s="672"/>
      <c r="O1620" s="6"/>
      <c r="P1620" s="6"/>
      <c r="Q1620" s="6"/>
      <c r="R1620" s="6"/>
      <c r="S1620" s="6"/>
      <c r="T1620" s="6"/>
      <c r="U1620" s="6"/>
    </row>
    <row r="1621">
      <c r="A1621" s="6"/>
      <c r="B1621" s="6"/>
      <c r="C1621" s="6"/>
      <c r="D1621" s="6"/>
      <c r="E1621" s="6"/>
      <c r="G1621" s="6"/>
      <c r="H1621" s="6"/>
      <c r="I1621" s="6"/>
      <c r="J1621" s="6"/>
      <c r="K1621" s="6"/>
      <c r="L1621" s="6"/>
      <c r="M1621" s="6"/>
      <c r="N1621" s="672"/>
      <c r="O1621" s="6"/>
      <c r="P1621" s="6"/>
      <c r="Q1621" s="6"/>
      <c r="R1621" s="6"/>
      <c r="S1621" s="6"/>
      <c r="T1621" s="6"/>
      <c r="U1621" s="6"/>
    </row>
    <row r="1622">
      <c r="A1622" s="6"/>
      <c r="B1622" s="6"/>
      <c r="C1622" s="6"/>
      <c r="D1622" s="6"/>
      <c r="E1622" s="6"/>
      <c r="G1622" s="6"/>
      <c r="H1622" s="6"/>
      <c r="I1622" s="6"/>
      <c r="J1622" s="6"/>
      <c r="K1622" s="6"/>
      <c r="L1622" s="6"/>
      <c r="M1622" s="6"/>
      <c r="N1622" s="672"/>
      <c r="O1622" s="6"/>
      <c r="P1622" s="6"/>
      <c r="Q1622" s="6"/>
      <c r="R1622" s="6"/>
      <c r="S1622" s="6"/>
      <c r="T1622" s="6"/>
      <c r="U1622" s="6"/>
    </row>
    <row r="1623">
      <c r="A1623" s="6"/>
      <c r="B1623" s="6"/>
      <c r="C1623" s="6"/>
      <c r="D1623" s="6"/>
      <c r="E1623" s="6"/>
      <c r="G1623" s="6"/>
      <c r="H1623" s="6"/>
      <c r="I1623" s="6"/>
      <c r="J1623" s="6"/>
      <c r="K1623" s="6"/>
      <c r="L1623" s="6"/>
      <c r="M1623" s="6"/>
      <c r="N1623" s="672"/>
      <c r="O1623" s="6"/>
      <c r="P1623" s="6"/>
      <c r="Q1623" s="6"/>
      <c r="R1623" s="6"/>
      <c r="S1623" s="6"/>
      <c r="T1623" s="6"/>
      <c r="U1623" s="6"/>
    </row>
    <row r="1624">
      <c r="A1624" s="6"/>
      <c r="B1624" s="6"/>
      <c r="C1624" s="6"/>
      <c r="D1624" s="6"/>
      <c r="E1624" s="6"/>
      <c r="G1624" s="6"/>
      <c r="H1624" s="6"/>
      <c r="I1624" s="6"/>
      <c r="J1624" s="6"/>
      <c r="K1624" s="6"/>
      <c r="L1624" s="6"/>
      <c r="M1624" s="6"/>
      <c r="N1624" s="672"/>
      <c r="O1624" s="6"/>
      <c r="P1624" s="6"/>
      <c r="Q1624" s="6"/>
      <c r="R1624" s="6"/>
      <c r="S1624" s="6"/>
      <c r="T1624" s="6"/>
      <c r="U1624" s="6"/>
    </row>
    <row r="1625">
      <c r="A1625" s="6"/>
      <c r="B1625" s="6"/>
      <c r="C1625" s="6"/>
      <c r="D1625" s="6"/>
      <c r="E1625" s="6"/>
      <c r="G1625" s="6"/>
      <c r="H1625" s="6"/>
      <c r="I1625" s="6"/>
      <c r="J1625" s="6"/>
      <c r="K1625" s="6"/>
      <c r="L1625" s="6"/>
      <c r="M1625" s="6"/>
      <c r="N1625" s="672"/>
      <c r="O1625" s="6"/>
      <c r="P1625" s="6"/>
      <c r="Q1625" s="6"/>
      <c r="R1625" s="6"/>
      <c r="S1625" s="6"/>
      <c r="T1625" s="6"/>
      <c r="U1625" s="6"/>
    </row>
    <row r="1626">
      <c r="A1626" s="6"/>
      <c r="B1626" s="6"/>
      <c r="C1626" s="6"/>
      <c r="D1626" s="6"/>
      <c r="E1626" s="6"/>
      <c r="G1626" s="6"/>
      <c r="H1626" s="6"/>
      <c r="I1626" s="6"/>
      <c r="J1626" s="6"/>
      <c r="K1626" s="6"/>
      <c r="L1626" s="6"/>
      <c r="M1626" s="6"/>
      <c r="N1626" s="672"/>
      <c r="O1626" s="6"/>
      <c r="P1626" s="6"/>
      <c r="Q1626" s="6"/>
      <c r="R1626" s="6"/>
      <c r="S1626" s="6"/>
      <c r="T1626" s="6"/>
      <c r="U1626" s="6"/>
    </row>
    <row r="1627">
      <c r="A1627" s="6"/>
      <c r="B1627" s="6"/>
      <c r="C1627" s="6"/>
      <c r="D1627" s="6"/>
      <c r="E1627" s="6"/>
      <c r="G1627" s="6"/>
      <c r="H1627" s="6"/>
      <c r="I1627" s="6"/>
      <c r="J1627" s="6"/>
      <c r="K1627" s="6"/>
      <c r="L1627" s="6"/>
      <c r="M1627" s="6"/>
      <c r="N1627" s="672"/>
      <c r="O1627" s="6"/>
      <c r="P1627" s="6"/>
      <c r="Q1627" s="6"/>
      <c r="R1627" s="6"/>
      <c r="S1627" s="6"/>
      <c r="T1627" s="6"/>
      <c r="U1627" s="6"/>
    </row>
    <row r="1628">
      <c r="A1628" s="6"/>
      <c r="B1628" s="6"/>
      <c r="C1628" s="6"/>
      <c r="D1628" s="6"/>
      <c r="E1628" s="6"/>
      <c r="G1628" s="6"/>
      <c r="H1628" s="6"/>
      <c r="I1628" s="6"/>
      <c r="J1628" s="6"/>
      <c r="K1628" s="6"/>
      <c r="L1628" s="6"/>
      <c r="M1628" s="6"/>
      <c r="N1628" s="672"/>
      <c r="O1628" s="6"/>
      <c r="P1628" s="6"/>
      <c r="Q1628" s="6"/>
      <c r="R1628" s="6"/>
      <c r="S1628" s="6"/>
      <c r="T1628" s="6"/>
      <c r="U1628" s="6"/>
    </row>
    <row r="1629">
      <c r="A1629" s="6"/>
      <c r="B1629" s="6"/>
      <c r="C1629" s="6"/>
      <c r="D1629" s="6"/>
      <c r="E1629" s="6"/>
      <c r="G1629" s="6"/>
      <c r="H1629" s="6"/>
      <c r="I1629" s="6"/>
      <c r="J1629" s="6"/>
      <c r="K1629" s="6"/>
      <c r="L1629" s="6"/>
      <c r="M1629" s="6"/>
      <c r="N1629" s="672"/>
      <c r="O1629" s="6"/>
      <c r="P1629" s="6"/>
      <c r="Q1629" s="6"/>
      <c r="R1629" s="6"/>
      <c r="S1629" s="6"/>
      <c r="T1629" s="6"/>
      <c r="U1629" s="6"/>
    </row>
    <row r="1630">
      <c r="A1630" s="6"/>
      <c r="B1630" s="6"/>
      <c r="C1630" s="6"/>
      <c r="D1630" s="6"/>
      <c r="E1630" s="6"/>
      <c r="G1630" s="6"/>
      <c r="H1630" s="6"/>
      <c r="I1630" s="6"/>
      <c r="J1630" s="6"/>
      <c r="K1630" s="6"/>
      <c r="L1630" s="6"/>
      <c r="M1630" s="6"/>
      <c r="N1630" s="672"/>
      <c r="O1630" s="6"/>
      <c r="P1630" s="6"/>
      <c r="Q1630" s="6"/>
      <c r="R1630" s="6"/>
      <c r="S1630" s="6"/>
      <c r="T1630" s="6"/>
      <c r="U1630" s="6"/>
    </row>
    <row r="1631">
      <c r="A1631" s="6"/>
      <c r="B1631" s="6"/>
      <c r="C1631" s="6"/>
      <c r="D1631" s="6"/>
      <c r="E1631" s="6"/>
      <c r="G1631" s="6"/>
      <c r="H1631" s="6"/>
      <c r="I1631" s="6"/>
      <c r="J1631" s="6"/>
      <c r="K1631" s="6"/>
      <c r="L1631" s="6"/>
      <c r="M1631" s="6"/>
      <c r="N1631" s="672"/>
      <c r="O1631" s="6"/>
      <c r="P1631" s="6"/>
      <c r="Q1631" s="6"/>
      <c r="R1631" s="6"/>
      <c r="S1631" s="6"/>
      <c r="T1631" s="6"/>
      <c r="U1631" s="6"/>
    </row>
    <row r="1632">
      <c r="A1632" s="6"/>
      <c r="B1632" s="6"/>
      <c r="C1632" s="6"/>
      <c r="D1632" s="6"/>
      <c r="E1632" s="6"/>
      <c r="G1632" s="6"/>
      <c r="H1632" s="6"/>
      <c r="I1632" s="6"/>
      <c r="J1632" s="6"/>
      <c r="K1632" s="6"/>
      <c r="L1632" s="6"/>
      <c r="M1632" s="6"/>
      <c r="N1632" s="672"/>
      <c r="O1632" s="6"/>
      <c r="P1632" s="6"/>
      <c r="Q1632" s="6"/>
      <c r="R1632" s="6"/>
      <c r="S1632" s="6"/>
      <c r="T1632" s="6"/>
      <c r="U1632" s="6"/>
    </row>
    <row r="1633">
      <c r="A1633" s="6"/>
      <c r="B1633" s="6"/>
      <c r="C1633" s="6"/>
      <c r="D1633" s="6"/>
      <c r="E1633" s="6"/>
      <c r="G1633" s="6"/>
      <c r="H1633" s="6"/>
      <c r="I1633" s="6"/>
      <c r="J1633" s="6"/>
      <c r="K1633" s="6"/>
      <c r="L1633" s="6"/>
      <c r="M1633" s="6"/>
      <c r="N1633" s="672"/>
      <c r="O1633" s="6"/>
      <c r="P1633" s="6"/>
      <c r="Q1633" s="6"/>
      <c r="R1633" s="6"/>
      <c r="S1633" s="6"/>
      <c r="T1633" s="6"/>
      <c r="U1633" s="6"/>
    </row>
    <row r="1634">
      <c r="A1634" s="6"/>
      <c r="B1634" s="6"/>
      <c r="C1634" s="6"/>
      <c r="D1634" s="6"/>
      <c r="E1634" s="6"/>
      <c r="G1634" s="6"/>
      <c r="H1634" s="6"/>
      <c r="I1634" s="6"/>
      <c r="J1634" s="6"/>
      <c r="K1634" s="6"/>
      <c r="L1634" s="6"/>
      <c r="M1634" s="6"/>
      <c r="N1634" s="672"/>
      <c r="O1634" s="6"/>
      <c r="P1634" s="6"/>
      <c r="Q1634" s="6"/>
      <c r="R1634" s="6"/>
      <c r="S1634" s="6"/>
      <c r="T1634" s="6"/>
      <c r="U1634" s="6"/>
    </row>
    <row r="1635">
      <c r="A1635" s="6"/>
      <c r="B1635" s="6"/>
      <c r="C1635" s="6"/>
      <c r="D1635" s="6"/>
      <c r="E1635" s="6"/>
      <c r="G1635" s="6"/>
      <c r="H1635" s="6"/>
      <c r="I1635" s="6"/>
      <c r="J1635" s="6"/>
      <c r="K1635" s="6"/>
      <c r="L1635" s="6"/>
      <c r="M1635" s="6"/>
      <c r="N1635" s="672"/>
      <c r="O1635" s="6"/>
      <c r="P1635" s="6"/>
      <c r="Q1635" s="6"/>
      <c r="R1635" s="6"/>
      <c r="S1635" s="6"/>
      <c r="T1635" s="6"/>
      <c r="U1635" s="6"/>
    </row>
    <row r="1636">
      <c r="A1636" s="6"/>
      <c r="B1636" s="6"/>
      <c r="C1636" s="6"/>
      <c r="D1636" s="6"/>
      <c r="E1636" s="6"/>
      <c r="G1636" s="6"/>
      <c r="H1636" s="6"/>
      <c r="I1636" s="6"/>
      <c r="J1636" s="6"/>
      <c r="K1636" s="6"/>
      <c r="L1636" s="6"/>
      <c r="M1636" s="6"/>
      <c r="N1636" s="672"/>
      <c r="O1636" s="6"/>
      <c r="P1636" s="6"/>
      <c r="Q1636" s="6"/>
      <c r="R1636" s="6"/>
      <c r="S1636" s="6"/>
      <c r="T1636" s="6"/>
      <c r="U1636" s="6"/>
    </row>
    <row r="1637">
      <c r="A1637" s="6"/>
      <c r="B1637" s="6"/>
      <c r="C1637" s="6"/>
      <c r="D1637" s="6"/>
      <c r="E1637" s="6"/>
      <c r="G1637" s="6"/>
      <c r="H1637" s="6"/>
      <c r="I1637" s="6"/>
      <c r="J1637" s="6"/>
      <c r="K1637" s="6"/>
      <c r="L1637" s="6"/>
      <c r="M1637" s="6"/>
      <c r="N1637" s="672"/>
      <c r="O1637" s="6"/>
      <c r="P1637" s="6"/>
      <c r="Q1637" s="6"/>
      <c r="R1637" s="6"/>
      <c r="S1637" s="6"/>
      <c r="T1637" s="6"/>
      <c r="U1637" s="6"/>
    </row>
    <row r="1638">
      <c r="A1638" s="6"/>
      <c r="B1638" s="6"/>
      <c r="C1638" s="6"/>
      <c r="D1638" s="6"/>
      <c r="E1638" s="6"/>
      <c r="G1638" s="6"/>
      <c r="H1638" s="6"/>
      <c r="I1638" s="6"/>
      <c r="J1638" s="6"/>
      <c r="K1638" s="6"/>
      <c r="L1638" s="6"/>
      <c r="M1638" s="6"/>
      <c r="N1638" s="672"/>
      <c r="O1638" s="6"/>
      <c r="P1638" s="6"/>
      <c r="Q1638" s="6"/>
      <c r="R1638" s="6"/>
      <c r="S1638" s="6"/>
      <c r="T1638" s="6"/>
      <c r="U1638" s="6"/>
    </row>
    <row r="1639">
      <c r="A1639" s="6"/>
      <c r="B1639" s="6"/>
      <c r="C1639" s="6"/>
      <c r="D1639" s="6"/>
      <c r="E1639" s="6"/>
      <c r="G1639" s="6"/>
      <c r="H1639" s="6"/>
      <c r="I1639" s="6"/>
      <c r="J1639" s="6"/>
      <c r="K1639" s="6"/>
      <c r="L1639" s="6"/>
      <c r="M1639" s="6"/>
      <c r="N1639" s="672"/>
      <c r="O1639" s="6"/>
      <c r="P1639" s="6"/>
      <c r="Q1639" s="6"/>
      <c r="R1639" s="6"/>
      <c r="S1639" s="6"/>
      <c r="T1639" s="6"/>
      <c r="U1639" s="6"/>
    </row>
    <row r="1640">
      <c r="A1640" s="6"/>
      <c r="B1640" s="6"/>
      <c r="C1640" s="6"/>
      <c r="D1640" s="6"/>
      <c r="E1640" s="6"/>
      <c r="G1640" s="6"/>
      <c r="H1640" s="6"/>
      <c r="I1640" s="6"/>
      <c r="J1640" s="6"/>
      <c r="K1640" s="6"/>
      <c r="L1640" s="6"/>
      <c r="M1640" s="6"/>
      <c r="N1640" s="672"/>
      <c r="O1640" s="6"/>
      <c r="P1640" s="6"/>
      <c r="Q1640" s="6"/>
      <c r="R1640" s="6"/>
      <c r="S1640" s="6"/>
      <c r="T1640" s="6"/>
      <c r="U1640" s="6"/>
    </row>
    <row r="1641">
      <c r="A1641" s="6"/>
      <c r="B1641" s="6"/>
      <c r="C1641" s="6"/>
      <c r="D1641" s="6"/>
      <c r="E1641" s="6"/>
      <c r="G1641" s="6"/>
      <c r="H1641" s="6"/>
      <c r="I1641" s="6"/>
      <c r="J1641" s="6"/>
      <c r="K1641" s="6"/>
      <c r="L1641" s="6"/>
      <c r="M1641" s="6"/>
      <c r="N1641" s="672"/>
      <c r="O1641" s="6"/>
      <c r="P1641" s="6"/>
      <c r="Q1641" s="6"/>
      <c r="R1641" s="6"/>
      <c r="S1641" s="6"/>
      <c r="T1641" s="6"/>
      <c r="U1641" s="6"/>
    </row>
    <row r="1642">
      <c r="A1642" s="6"/>
      <c r="B1642" s="6"/>
      <c r="C1642" s="6"/>
      <c r="D1642" s="6"/>
      <c r="E1642" s="6"/>
      <c r="G1642" s="6"/>
      <c r="H1642" s="6"/>
      <c r="I1642" s="6"/>
      <c r="J1642" s="6"/>
      <c r="K1642" s="6"/>
      <c r="L1642" s="6"/>
      <c r="M1642" s="6"/>
      <c r="N1642" s="672"/>
      <c r="O1642" s="6"/>
      <c r="P1642" s="6"/>
      <c r="Q1642" s="6"/>
      <c r="R1642" s="6"/>
      <c r="S1642" s="6"/>
      <c r="T1642" s="6"/>
      <c r="U1642" s="6"/>
    </row>
    <row r="1643">
      <c r="A1643" s="6"/>
      <c r="B1643" s="6"/>
      <c r="C1643" s="6"/>
      <c r="D1643" s="6"/>
      <c r="E1643" s="6"/>
      <c r="G1643" s="6"/>
      <c r="H1643" s="6"/>
      <c r="I1643" s="6"/>
      <c r="J1643" s="6"/>
      <c r="K1643" s="6"/>
      <c r="L1643" s="6"/>
      <c r="M1643" s="6"/>
      <c r="N1643" s="672"/>
      <c r="O1643" s="6"/>
      <c r="P1643" s="6"/>
      <c r="Q1643" s="6"/>
      <c r="R1643" s="6"/>
      <c r="S1643" s="6"/>
      <c r="T1643" s="6"/>
      <c r="U1643" s="6"/>
    </row>
    <row r="1644">
      <c r="A1644" s="6"/>
      <c r="B1644" s="6"/>
      <c r="C1644" s="6"/>
      <c r="D1644" s="6"/>
      <c r="E1644" s="6"/>
      <c r="G1644" s="6"/>
      <c r="H1644" s="6"/>
      <c r="I1644" s="6"/>
      <c r="J1644" s="6"/>
      <c r="K1644" s="6"/>
      <c r="L1644" s="6"/>
      <c r="M1644" s="6"/>
      <c r="N1644" s="672"/>
      <c r="O1644" s="6"/>
      <c r="P1644" s="6"/>
      <c r="Q1644" s="6"/>
      <c r="R1644" s="6"/>
      <c r="S1644" s="6"/>
      <c r="T1644" s="6"/>
      <c r="U1644" s="6"/>
    </row>
    <row r="1645">
      <c r="A1645" s="6"/>
      <c r="B1645" s="6"/>
      <c r="C1645" s="6"/>
      <c r="D1645" s="6"/>
      <c r="E1645" s="6"/>
      <c r="G1645" s="6"/>
      <c r="H1645" s="6"/>
      <c r="I1645" s="6"/>
      <c r="J1645" s="6"/>
      <c r="K1645" s="6"/>
      <c r="L1645" s="6"/>
      <c r="M1645" s="6"/>
      <c r="N1645" s="672"/>
      <c r="O1645" s="6"/>
      <c r="P1645" s="6"/>
      <c r="Q1645" s="6"/>
      <c r="R1645" s="6"/>
      <c r="S1645" s="6"/>
      <c r="T1645" s="6"/>
      <c r="U1645" s="6"/>
    </row>
    <row r="1646">
      <c r="A1646" s="6"/>
      <c r="B1646" s="6"/>
      <c r="C1646" s="6"/>
      <c r="D1646" s="6"/>
      <c r="E1646" s="6"/>
      <c r="G1646" s="6"/>
      <c r="H1646" s="6"/>
      <c r="I1646" s="6"/>
      <c r="J1646" s="6"/>
      <c r="K1646" s="6"/>
      <c r="L1646" s="6"/>
      <c r="M1646" s="6"/>
      <c r="N1646" s="672"/>
      <c r="O1646" s="6"/>
      <c r="P1646" s="6"/>
      <c r="Q1646" s="6"/>
      <c r="R1646" s="6"/>
      <c r="S1646" s="6"/>
      <c r="T1646" s="6"/>
      <c r="U1646" s="6"/>
    </row>
    <row r="1647">
      <c r="A1647" s="6"/>
      <c r="B1647" s="6"/>
      <c r="C1647" s="6"/>
      <c r="D1647" s="6"/>
      <c r="E1647" s="6"/>
      <c r="G1647" s="6"/>
      <c r="H1647" s="6"/>
      <c r="I1647" s="6"/>
      <c r="J1647" s="6"/>
      <c r="K1647" s="6"/>
      <c r="L1647" s="6"/>
      <c r="M1647" s="6"/>
      <c r="N1647" s="672"/>
      <c r="O1647" s="6"/>
      <c r="P1647" s="6"/>
      <c r="Q1647" s="6"/>
      <c r="R1647" s="6"/>
      <c r="S1647" s="6"/>
      <c r="T1647" s="6"/>
      <c r="U1647" s="6"/>
    </row>
    <row r="1648">
      <c r="A1648" s="6"/>
      <c r="B1648" s="6"/>
      <c r="C1648" s="6"/>
      <c r="D1648" s="6"/>
      <c r="E1648" s="6"/>
      <c r="G1648" s="6"/>
      <c r="H1648" s="6"/>
      <c r="I1648" s="6"/>
      <c r="J1648" s="6"/>
      <c r="K1648" s="6"/>
      <c r="L1648" s="6"/>
      <c r="M1648" s="6"/>
      <c r="N1648" s="672"/>
      <c r="O1648" s="6"/>
      <c r="P1648" s="6"/>
      <c r="Q1648" s="6"/>
      <c r="R1648" s="6"/>
      <c r="S1648" s="6"/>
      <c r="T1648" s="6"/>
      <c r="U1648" s="6"/>
    </row>
    <row r="1649">
      <c r="A1649" s="6"/>
      <c r="B1649" s="6"/>
      <c r="C1649" s="6"/>
      <c r="D1649" s="6"/>
      <c r="E1649" s="6"/>
      <c r="G1649" s="6"/>
      <c r="H1649" s="6"/>
      <c r="I1649" s="6"/>
      <c r="J1649" s="6"/>
      <c r="K1649" s="6"/>
      <c r="L1649" s="6"/>
      <c r="M1649" s="6"/>
      <c r="N1649" s="672"/>
      <c r="O1649" s="6"/>
      <c r="P1649" s="6"/>
      <c r="Q1649" s="6"/>
      <c r="R1649" s="6"/>
      <c r="S1649" s="6"/>
      <c r="T1649" s="6"/>
      <c r="U1649" s="6"/>
    </row>
    <row r="1650">
      <c r="A1650" s="6"/>
      <c r="B1650" s="6"/>
      <c r="C1650" s="6"/>
      <c r="D1650" s="6"/>
      <c r="E1650" s="6"/>
      <c r="G1650" s="6"/>
      <c r="H1650" s="6"/>
      <c r="I1650" s="6"/>
      <c r="J1650" s="6"/>
      <c r="K1650" s="6"/>
      <c r="L1650" s="6"/>
      <c r="M1650" s="6"/>
      <c r="N1650" s="672"/>
      <c r="O1650" s="6"/>
      <c r="P1650" s="6"/>
      <c r="Q1650" s="6"/>
      <c r="R1650" s="6"/>
      <c r="S1650" s="6"/>
      <c r="T1650" s="6"/>
      <c r="U1650" s="6"/>
    </row>
    <row r="1651">
      <c r="A1651" s="6"/>
      <c r="B1651" s="6"/>
      <c r="C1651" s="6"/>
      <c r="D1651" s="6"/>
      <c r="E1651" s="6"/>
      <c r="G1651" s="6"/>
      <c r="H1651" s="6"/>
      <c r="I1651" s="6"/>
      <c r="J1651" s="6"/>
      <c r="K1651" s="6"/>
      <c r="L1651" s="6"/>
      <c r="M1651" s="6"/>
      <c r="N1651" s="672"/>
      <c r="O1651" s="6"/>
      <c r="P1651" s="6"/>
      <c r="Q1651" s="6"/>
      <c r="R1651" s="6"/>
      <c r="S1651" s="6"/>
      <c r="T1651" s="6"/>
      <c r="U1651" s="6"/>
    </row>
    <row r="1652">
      <c r="A1652" s="6"/>
      <c r="B1652" s="6"/>
      <c r="C1652" s="6"/>
      <c r="D1652" s="6"/>
      <c r="E1652" s="6"/>
      <c r="G1652" s="6"/>
      <c r="H1652" s="6"/>
      <c r="I1652" s="6"/>
      <c r="J1652" s="6"/>
      <c r="K1652" s="6"/>
      <c r="L1652" s="6"/>
      <c r="M1652" s="6"/>
      <c r="N1652" s="672"/>
      <c r="O1652" s="6"/>
      <c r="P1652" s="6"/>
      <c r="Q1652" s="6"/>
      <c r="R1652" s="6"/>
      <c r="S1652" s="6"/>
      <c r="T1652" s="6"/>
      <c r="U1652" s="6"/>
    </row>
    <row r="1653">
      <c r="A1653" s="6"/>
      <c r="B1653" s="6"/>
      <c r="C1653" s="6"/>
      <c r="D1653" s="6"/>
      <c r="E1653" s="6"/>
      <c r="G1653" s="6"/>
      <c r="H1653" s="6"/>
      <c r="I1653" s="6"/>
      <c r="J1653" s="6"/>
      <c r="K1653" s="6"/>
      <c r="L1653" s="6"/>
      <c r="M1653" s="6"/>
      <c r="N1653" s="672"/>
      <c r="O1653" s="6"/>
      <c r="P1653" s="6"/>
      <c r="Q1653" s="6"/>
      <c r="R1653" s="6"/>
      <c r="S1653" s="6"/>
      <c r="T1653" s="6"/>
      <c r="U1653" s="6"/>
    </row>
    <row r="1654">
      <c r="A1654" s="6"/>
      <c r="B1654" s="6"/>
      <c r="C1654" s="6"/>
      <c r="D1654" s="6"/>
      <c r="E1654" s="6"/>
      <c r="G1654" s="6"/>
      <c r="H1654" s="6"/>
      <c r="I1654" s="6"/>
      <c r="J1654" s="6"/>
      <c r="K1654" s="6"/>
      <c r="L1654" s="6"/>
      <c r="M1654" s="6"/>
      <c r="N1654" s="672"/>
      <c r="O1654" s="6"/>
      <c r="P1654" s="6"/>
      <c r="Q1654" s="6"/>
      <c r="R1654" s="6"/>
      <c r="S1654" s="6"/>
      <c r="T1654" s="6"/>
      <c r="U1654" s="6"/>
    </row>
    <row r="1655">
      <c r="A1655" s="6"/>
      <c r="B1655" s="6"/>
      <c r="C1655" s="6"/>
      <c r="D1655" s="6"/>
      <c r="E1655" s="6"/>
      <c r="G1655" s="6"/>
      <c r="H1655" s="6"/>
      <c r="I1655" s="6"/>
      <c r="J1655" s="6"/>
      <c r="K1655" s="6"/>
      <c r="L1655" s="6"/>
      <c r="M1655" s="6"/>
      <c r="N1655" s="672"/>
      <c r="O1655" s="6"/>
      <c r="P1655" s="6"/>
      <c r="Q1655" s="6"/>
      <c r="R1655" s="6"/>
      <c r="S1655" s="6"/>
      <c r="T1655" s="6"/>
      <c r="U1655" s="6"/>
    </row>
    <row r="1656">
      <c r="A1656" s="6"/>
      <c r="B1656" s="6"/>
      <c r="C1656" s="6"/>
      <c r="D1656" s="6"/>
      <c r="E1656" s="6"/>
      <c r="G1656" s="6"/>
      <c r="H1656" s="6"/>
      <c r="I1656" s="6"/>
      <c r="J1656" s="6"/>
      <c r="K1656" s="6"/>
      <c r="L1656" s="6"/>
      <c r="M1656" s="6"/>
      <c r="N1656" s="672"/>
      <c r="O1656" s="6"/>
      <c r="P1656" s="6"/>
      <c r="Q1656" s="6"/>
      <c r="R1656" s="6"/>
      <c r="S1656" s="6"/>
      <c r="T1656" s="6"/>
      <c r="U1656" s="6"/>
    </row>
    <row r="1657">
      <c r="A1657" s="6"/>
      <c r="B1657" s="6"/>
      <c r="C1657" s="6"/>
      <c r="D1657" s="6"/>
      <c r="E1657" s="6"/>
      <c r="G1657" s="6"/>
      <c r="H1657" s="6"/>
      <c r="I1657" s="6"/>
      <c r="J1657" s="6"/>
      <c r="K1657" s="6"/>
      <c r="L1657" s="6"/>
      <c r="M1657" s="6"/>
      <c r="N1657" s="672"/>
      <c r="O1657" s="6"/>
      <c r="P1657" s="6"/>
      <c r="Q1657" s="6"/>
      <c r="R1657" s="6"/>
      <c r="S1657" s="6"/>
      <c r="T1657" s="6"/>
      <c r="U1657" s="6"/>
    </row>
    <row r="1658">
      <c r="A1658" s="6"/>
      <c r="B1658" s="6"/>
      <c r="C1658" s="6"/>
      <c r="D1658" s="6"/>
      <c r="E1658" s="6"/>
      <c r="G1658" s="6"/>
      <c r="H1658" s="6"/>
      <c r="I1658" s="6"/>
      <c r="J1658" s="6"/>
      <c r="K1658" s="6"/>
      <c r="L1658" s="6"/>
      <c r="M1658" s="6"/>
      <c r="N1658" s="672"/>
      <c r="O1658" s="6"/>
      <c r="P1658" s="6"/>
      <c r="Q1658" s="6"/>
      <c r="R1658" s="6"/>
      <c r="S1658" s="6"/>
      <c r="T1658" s="6"/>
      <c r="U1658" s="6"/>
    </row>
    <row r="1659">
      <c r="A1659" s="6"/>
      <c r="B1659" s="6"/>
      <c r="C1659" s="6"/>
      <c r="D1659" s="6"/>
      <c r="E1659" s="6"/>
      <c r="G1659" s="6"/>
      <c r="H1659" s="6"/>
      <c r="I1659" s="6"/>
      <c r="J1659" s="6"/>
      <c r="K1659" s="6"/>
      <c r="L1659" s="6"/>
      <c r="M1659" s="6"/>
      <c r="N1659" s="672"/>
      <c r="O1659" s="6"/>
      <c r="P1659" s="6"/>
      <c r="Q1659" s="6"/>
      <c r="R1659" s="6"/>
      <c r="S1659" s="6"/>
      <c r="T1659" s="6"/>
      <c r="U1659" s="6"/>
    </row>
    <row r="1660">
      <c r="A1660" s="6"/>
      <c r="B1660" s="6"/>
      <c r="C1660" s="6"/>
      <c r="D1660" s="6"/>
      <c r="E1660" s="6"/>
      <c r="G1660" s="6"/>
      <c r="H1660" s="6"/>
      <c r="I1660" s="6"/>
      <c r="J1660" s="6"/>
      <c r="K1660" s="6"/>
      <c r="L1660" s="6"/>
      <c r="M1660" s="6"/>
      <c r="N1660" s="672"/>
      <c r="O1660" s="6"/>
      <c r="P1660" s="6"/>
      <c r="Q1660" s="6"/>
      <c r="R1660" s="6"/>
      <c r="S1660" s="6"/>
      <c r="T1660" s="6"/>
      <c r="U1660" s="6"/>
    </row>
    <row r="1661">
      <c r="A1661" s="6"/>
      <c r="B1661" s="6"/>
      <c r="C1661" s="6"/>
      <c r="D1661" s="6"/>
      <c r="E1661" s="6"/>
      <c r="G1661" s="6"/>
      <c r="H1661" s="6"/>
      <c r="I1661" s="6"/>
      <c r="J1661" s="6"/>
      <c r="K1661" s="6"/>
      <c r="L1661" s="6"/>
      <c r="M1661" s="6"/>
      <c r="N1661" s="672"/>
      <c r="O1661" s="6"/>
      <c r="P1661" s="6"/>
      <c r="Q1661" s="6"/>
      <c r="R1661" s="6"/>
      <c r="S1661" s="6"/>
      <c r="T1661" s="6"/>
      <c r="U1661" s="6"/>
    </row>
    <row r="1662">
      <c r="A1662" s="6"/>
      <c r="B1662" s="6"/>
      <c r="C1662" s="6"/>
      <c r="D1662" s="6"/>
      <c r="E1662" s="6"/>
      <c r="G1662" s="6"/>
      <c r="H1662" s="6"/>
      <c r="I1662" s="6"/>
      <c r="J1662" s="6"/>
      <c r="K1662" s="6"/>
      <c r="L1662" s="6"/>
      <c r="M1662" s="6"/>
      <c r="N1662" s="672"/>
      <c r="O1662" s="6"/>
      <c r="P1662" s="6"/>
      <c r="Q1662" s="6"/>
      <c r="R1662" s="6"/>
      <c r="S1662" s="6"/>
      <c r="T1662" s="6"/>
      <c r="U1662" s="6"/>
    </row>
    <row r="1663">
      <c r="A1663" s="6"/>
      <c r="B1663" s="6"/>
      <c r="C1663" s="6"/>
      <c r="D1663" s="6"/>
      <c r="E1663" s="6"/>
      <c r="G1663" s="6"/>
      <c r="H1663" s="6"/>
      <c r="I1663" s="6"/>
      <c r="J1663" s="6"/>
      <c r="K1663" s="6"/>
      <c r="L1663" s="6"/>
      <c r="M1663" s="6"/>
      <c r="N1663" s="672"/>
      <c r="O1663" s="6"/>
      <c r="P1663" s="6"/>
      <c r="Q1663" s="6"/>
      <c r="R1663" s="6"/>
      <c r="S1663" s="6"/>
      <c r="T1663" s="6"/>
      <c r="U1663" s="6"/>
    </row>
    <row r="1664">
      <c r="A1664" s="6"/>
      <c r="B1664" s="6"/>
      <c r="C1664" s="6"/>
      <c r="D1664" s="6"/>
      <c r="E1664" s="6"/>
      <c r="G1664" s="6"/>
      <c r="H1664" s="6"/>
      <c r="I1664" s="6"/>
      <c r="J1664" s="6"/>
      <c r="K1664" s="6"/>
      <c r="L1664" s="6"/>
      <c r="M1664" s="6"/>
      <c r="N1664" s="672"/>
      <c r="O1664" s="6"/>
      <c r="P1664" s="6"/>
      <c r="Q1664" s="6"/>
      <c r="R1664" s="6"/>
      <c r="S1664" s="6"/>
      <c r="T1664" s="6"/>
      <c r="U1664" s="6"/>
    </row>
    <row r="1665">
      <c r="A1665" s="6"/>
      <c r="B1665" s="6"/>
      <c r="C1665" s="6"/>
      <c r="D1665" s="6"/>
      <c r="E1665" s="6"/>
      <c r="G1665" s="6"/>
      <c r="H1665" s="6"/>
      <c r="I1665" s="6"/>
      <c r="J1665" s="6"/>
      <c r="K1665" s="6"/>
      <c r="L1665" s="6"/>
      <c r="M1665" s="6"/>
      <c r="N1665" s="672"/>
      <c r="O1665" s="6"/>
      <c r="P1665" s="6"/>
      <c r="Q1665" s="6"/>
      <c r="R1665" s="6"/>
      <c r="S1665" s="6"/>
      <c r="T1665" s="6"/>
      <c r="U1665" s="6"/>
    </row>
    <row r="1666">
      <c r="A1666" s="6"/>
      <c r="B1666" s="6"/>
      <c r="C1666" s="6"/>
      <c r="D1666" s="6"/>
      <c r="E1666" s="6"/>
      <c r="G1666" s="6"/>
      <c r="H1666" s="6"/>
      <c r="I1666" s="6"/>
      <c r="J1666" s="6"/>
      <c r="K1666" s="6"/>
      <c r="L1666" s="6"/>
      <c r="M1666" s="6"/>
      <c r="N1666" s="672"/>
      <c r="O1666" s="6"/>
      <c r="P1666" s="6"/>
      <c r="Q1666" s="6"/>
      <c r="R1666" s="6"/>
      <c r="S1666" s="6"/>
      <c r="T1666" s="6"/>
      <c r="U1666" s="6"/>
    </row>
    <row r="1667">
      <c r="A1667" s="6"/>
      <c r="B1667" s="6"/>
      <c r="C1667" s="6"/>
      <c r="D1667" s="6"/>
      <c r="E1667" s="6"/>
      <c r="G1667" s="6"/>
      <c r="H1667" s="6"/>
      <c r="I1667" s="6"/>
      <c r="J1667" s="6"/>
      <c r="K1667" s="6"/>
      <c r="L1667" s="6"/>
      <c r="M1667" s="6"/>
      <c r="N1667" s="672"/>
      <c r="O1667" s="6"/>
      <c r="P1667" s="6"/>
      <c r="Q1667" s="6"/>
      <c r="R1667" s="6"/>
      <c r="S1667" s="6"/>
      <c r="T1667" s="6"/>
      <c r="U1667" s="6"/>
    </row>
    <row r="1668">
      <c r="A1668" s="6"/>
      <c r="B1668" s="6"/>
      <c r="C1668" s="6"/>
      <c r="D1668" s="6"/>
      <c r="E1668" s="6"/>
      <c r="G1668" s="6"/>
      <c r="H1668" s="6"/>
      <c r="I1668" s="6"/>
      <c r="J1668" s="6"/>
      <c r="K1668" s="6"/>
      <c r="L1668" s="6"/>
      <c r="M1668" s="6"/>
      <c r="N1668" s="672"/>
      <c r="O1668" s="6"/>
      <c r="P1668" s="6"/>
      <c r="Q1668" s="6"/>
      <c r="R1668" s="6"/>
      <c r="S1668" s="6"/>
      <c r="T1668" s="6"/>
      <c r="U1668" s="6"/>
    </row>
    <row r="1669">
      <c r="A1669" s="6"/>
      <c r="B1669" s="6"/>
      <c r="C1669" s="6"/>
      <c r="D1669" s="6"/>
      <c r="E1669" s="6"/>
      <c r="G1669" s="6"/>
      <c r="H1669" s="6"/>
      <c r="I1669" s="6"/>
      <c r="J1669" s="6"/>
      <c r="K1669" s="6"/>
      <c r="L1669" s="6"/>
      <c r="M1669" s="6"/>
      <c r="N1669" s="672"/>
      <c r="O1669" s="6"/>
      <c r="P1669" s="6"/>
      <c r="Q1669" s="6"/>
      <c r="R1669" s="6"/>
      <c r="S1669" s="6"/>
      <c r="T1669" s="6"/>
      <c r="U1669" s="6"/>
    </row>
    <row r="1670">
      <c r="A1670" s="6"/>
      <c r="B1670" s="6"/>
      <c r="C1670" s="6"/>
      <c r="D1670" s="6"/>
      <c r="E1670" s="6"/>
      <c r="G1670" s="6"/>
      <c r="H1670" s="6"/>
      <c r="I1670" s="6"/>
      <c r="J1670" s="6"/>
      <c r="K1670" s="6"/>
      <c r="L1670" s="6"/>
      <c r="M1670" s="6"/>
      <c r="N1670" s="672"/>
      <c r="O1670" s="6"/>
      <c r="P1670" s="6"/>
      <c r="Q1670" s="6"/>
      <c r="R1670" s="6"/>
      <c r="S1670" s="6"/>
      <c r="T1670" s="6"/>
      <c r="U1670" s="6"/>
    </row>
    <row r="1671">
      <c r="A1671" s="6"/>
      <c r="B1671" s="6"/>
      <c r="C1671" s="6"/>
      <c r="D1671" s="6"/>
      <c r="E1671" s="6"/>
      <c r="G1671" s="6"/>
      <c r="H1671" s="6"/>
      <c r="I1671" s="6"/>
      <c r="J1671" s="6"/>
      <c r="K1671" s="6"/>
      <c r="L1671" s="6"/>
      <c r="M1671" s="6"/>
      <c r="N1671" s="672"/>
      <c r="O1671" s="6"/>
      <c r="P1671" s="6"/>
      <c r="Q1671" s="6"/>
      <c r="R1671" s="6"/>
      <c r="S1671" s="6"/>
      <c r="T1671" s="6"/>
      <c r="U1671" s="6"/>
    </row>
    <row r="1672">
      <c r="A1672" s="6"/>
      <c r="B1672" s="6"/>
      <c r="C1672" s="6"/>
      <c r="D1672" s="6"/>
      <c r="E1672" s="6"/>
      <c r="G1672" s="6"/>
      <c r="H1672" s="6"/>
      <c r="I1672" s="6"/>
      <c r="J1672" s="6"/>
      <c r="K1672" s="6"/>
      <c r="L1672" s="6"/>
      <c r="M1672" s="6"/>
      <c r="N1672" s="672"/>
      <c r="O1672" s="6"/>
      <c r="P1672" s="6"/>
      <c r="Q1672" s="6"/>
      <c r="R1672" s="6"/>
      <c r="S1672" s="6"/>
      <c r="T1672" s="6"/>
      <c r="U1672" s="6"/>
    </row>
    <row r="1673">
      <c r="A1673" s="6"/>
      <c r="B1673" s="6"/>
      <c r="C1673" s="6"/>
      <c r="D1673" s="6"/>
      <c r="E1673" s="6"/>
      <c r="G1673" s="6"/>
      <c r="H1673" s="6"/>
      <c r="I1673" s="6"/>
      <c r="J1673" s="6"/>
      <c r="K1673" s="6"/>
      <c r="L1673" s="6"/>
      <c r="M1673" s="6"/>
      <c r="N1673" s="672"/>
      <c r="O1673" s="6"/>
      <c r="P1673" s="6"/>
      <c r="Q1673" s="6"/>
      <c r="R1673" s="6"/>
      <c r="S1673" s="6"/>
      <c r="T1673" s="6"/>
      <c r="U1673" s="6"/>
    </row>
    <row r="1674">
      <c r="A1674" s="6"/>
      <c r="B1674" s="6"/>
      <c r="C1674" s="6"/>
      <c r="D1674" s="6"/>
      <c r="E1674" s="6"/>
      <c r="G1674" s="6"/>
      <c r="H1674" s="6"/>
      <c r="I1674" s="6"/>
      <c r="J1674" s="6"/>
      <c r="K1674" s="6"/>
      <c r="L1674" s="6"/>
      <c r="M1674" s="6"/>
      <c r="N1674" s="672"/>
      <c r="O1674" s="6"/>
      <c r="P1674" s="6"/>
      <c r="Q1674" s="6"/>
      <c r="R1674" s="6"/>
      <c r="S1674" s="6"/>
      <c r="T1674" s="6"/>
      <c r="U1674" s="6"/>
    </row>
    <row r="1675">
      <c r="A1675" s="6"/>
      <c r="B1675" s="6"/>
      <c r="C1675" s="6"/>
      <c r="D1675" s="6"/>
      <c r="E1675" s="6"/>
      <c r="G1675" s="6"/>
      <c r="H1675" s="6"/>
      <c r="I1675" s="6"/>
      <c r="J1675" s="6"/>
      <c r="K1675" s="6"/>
      <c r="L1675" s="6"/>
      <c r="M1675" s="6"/>
      <c r="N1675" s="672"/>
      <c r="O1675" s="6"/>
      <c r="P1675" s="6"/>
      <c r="Q1675" s="6"/>
      <c r="R1675" s="6"/>
      <c r="S1675" s="6"/>
      <c r="T1675" s="6"/>
      <c r="U1675" s="6"/>
    </row>
    <row r="1676">
      <c r="A1676" s="6"/>
      <c r="B1676" s="6"/>
      <c r="C1676" s="6"/>
      <c r="D1676" s="6"/>
      <c r="E1676" s="6"/>
      <c r="G1676" s="6"/>
      <c r="H1676" s="6"/>
      <c r="I1676" s="6"/>
      <c r="J1676" s="6"/>
      <c r="K1676" s="6"/>
      <c r="L1676" s="6"/>
      <c r="M1676" s="6"/>
      <c r="N1676" s="672"/>
      <c r="O1676" s="6"/>
      <c r="P1676" s="6"/>
      <c r="Q1676" s="6"/>
      <c r="R1676" s="6"/>
      <c r="S1676" s="6"/>
      <c r="T1676" s="6"/>
      <c r="U1676" s="6"/>
    </row>
    <row r="1677">
      <c r="A1677" s="6"/>
      <c r="B1677" s="6"/>
      <c r="C1677" s="6"/>
      <c r="D1677" s="6"/>
      <c r="E1677" s="6"/>
      <c r="G1677" s="6"/>
      <c r="H1677" s="6"/>
      <c r="I1677" s="6"/>
      <c r="J1677" s="6"/>
      <c r="K1677" s="6"/>
      <c r="L1677" s="6"/>
      <c r="M1677" s="6"/>
      <c r="N1677" s="672"/>
      <c r="O1677" s="6"/>
      <c r="P1677" s="6"/>
      <c r="Q1677" s="6"/>
      <c r="R1677" s="6"/>
      <c r="S1677" s="6"/>
      <c r="T1677" s="6"/>
      <c r="U1677" s="6"/>
    </row>
    <row r="1678">
      <c r="A1678" s="6"/>
      <c r="B1678" s="6"/>
      <c r="C1678" s="6"/>
      <c r="D1678" s="6"/>
      <c r="E1678" s="6"/>
      <c r="G1678" s="6"/>
      <c r="H1678" s="6"/>
      <c r="I1678" s="6"/>
      <c r="J1678" s="6"/>
      <c r="K1678" s="6"/>
      <c r="L1678" s="6"/>
      <c r="M1678" s="6"/>
      <c r="N1678" s="672"/>
      <c r="O1678" s="6"/>
      <c r="P1678" s="6"/>
      <c r="Q1678" s="6"/>
      <c r="R1678" s="6"/>
      <c r="S1678" s="6"/>
      <c r="T1678" s="6"/>
      <c r="U1678" s="6"/>
    </row>
    <row r="1679">
      <c r="A1679" s="6"/>
      <c r="B1679" s="6"/>
      <c r="C1679" s="6"/>
      <c r="D1679" s="6"/>
      <c r="E1679" s="6"/>
      <c r="G1679" s="6"/>
      <c r="H1679" s="6"/>
      <c r="I1679" s="6"/>
      <c r="J1679" s="6"/>
      <c r="K1679" s="6"/>
      <c r="L1679" s="6"/>
      <c r="M1679" s="6"/>
      <c r="N1679" s="672"/>
      <c r="O1679" s="6"/>
      <c r="P1679" s="6"/>
      <c r="Q1679" s="6"/>
      <c r="R1679" s="6"/>
      <c r="S1679" s="6"/>
      <c r="T1679" s="6"/>
      <c r="U1679" s="6"/>
    </row>
    <row r="1680">
      <c r="A1680" s="6"/>
      <c r="B1680" s="6"/>
      <c r="C1680" s="6"/>
      <c r="D1680" s="6"/>
      <c r="E1680" s="6"/>
      <c r="G1680" s="6"/>
      <c r="H1680" s="6"/>
      <c r="I1680" s="6"/>
      <c r="J1680" s="6"/>
      <c r="K1680" s="6"/>
      <c r="L1680" s="6"/>
      <c r="M1680" s="6"/>
      <c r="N1680" s="672"/>
      <c r="O1680" s="6"/>
      <c r="P1680" s="6"/>
      <c r="Q1680" s="6"/>
      <c r="R1680" s="6"/>
      <c r="S1680" s="6"/>
      <c r="T1680" s="6"/>
      <c r="U1680" s="6"/>
    </row>
    <row r="1681">
      <c r="A1681" s="6"/>
      <c r="B1681" s="6"/>
      <c r="C1681" s="6"/>
      <c r="D1681" s="6"/>
      <c r="E1681" s="6"/>
      <c r="G1681" s="6"/>
      <c r="H1681" s="6"/>
      <c r="I1681" s="6"/>
      <c r="J1681" s="6"/>
      <c r="K1681" s="6"/>
      <c r="L1681" s="6"/>
      <c r="M1681" s="6"/>
      <c r="N1681" s="672"/>
      <c r="O1681" s="6"/>
      <c r="P1681" s="6"/>
      <c r="Q1681" s="6"/>
      <c r="R1681" s="6"/>
      <c r="S1681" s="6"/>
      <c r="T1681" s="6"/>
      <c r="U1681" s="6"/>
    </row>
    <row r="1682">
      <c r="A1682" s="6"/>
      <c r="B1682" s="6"/>
      <c r="C1682" s="6"/>
      <c r="D1682" s="6"/>
      <c r="E1682" s="6"/>
      <c r="G1682" s="6"/>
      <c r="H1682" s="6"/>
      <c r="I1682" s="6"/>
      <c r="J1682" s="6"/>
      <c r="K1682" s="6"/>
      <c r="L1682" s="6"/>
      <c r="M1682" s="6"/>
      <c r="N1682" s="672"/>
      <c r="O1682" s="6"/>
      <c r="P1682" s="6"/>
      <c r="Q1682" s="6"/>
      <c r="R1682" s="6"/>
      <c r="S1682" s="6"/>
      <c r="T1682" s="6"/>
      <c r="U1682" s="6"/>
    </row>
    <row r="1683">
      <c r="A1683" s="6"/>
      <c r="B1683" s="6"/>
      <c r="C1683" s="6"/>
      <c r="D1683" s="6"/>
      <c r="E1683" s="6"/>
      <c r="G1683" s="6"/>
      <c r="H1683" s="6"/>
      <c r="I1683" s="6"/>
      <c r="J1683" s="6"/>
      <c r="K1683" s="6"/>
      <c r="L1683" s="6"/>
      <c r="M1683" s="6"/>
      <c r="N1683" s="672"/>
      <c r="O1683" s="6"/>
      <c r="P1683" s="6"/>
      <c r="Q1683" s="6"/>
      <c r="R1683" s="6"/>
      <c r="S1683" s="6"/>
      <c r="T1683" s="6"/>
      <c r="U1683" s="6"/>
    </row>
    <row r="1684">
      <c r="A1684" s="6"/>
      <c r="B1684" s="6"/>
      <c r="C1684" s="6"/>
      <c r="D1684" s="6"/>
      <c r="E1684" s="6"/>
      <c r="G1684" s="6"/>
      <c r="H1684" s="6"/>
      <c r="I1684" s="6"/>
      <c r="J1684" s="6"/>
      <c r="K1684" s="6"/>
      <c r="L1684" s="6"/>
      <c r="M1684" s="6"/>
      <c r="N1684" s="672"/>
      <c r="O1684" s="6"/>
      <c r="P1684" s="6"/>
      <c r="Q1684" s="6"/>
      <c r="R1684" s="6"/>
      <c r="S1684" s="6"/>
      <c r="T1684" s="6"/>
      <c r="U1684" s="6"/>
    </row>
    <row r="1685">
      <c r="A1685" s="6"/>
      <c r="B1685" s="6"/>
      <c r="C1685" s="6"/>
      <c r="D1685" s="6"/>
      <c r="E1685" s="6"/>
      <c r="G1685" s="6"/>
      <c r="H1685" s="6"/>
      <c r="I1685" s="6"/>
      <c r="J1685" s="6"/>
      <c r="K1685" s="6"/>
      <c r="L1685" s="6"/>
      <c r="M1685" s="6"/>
      <c r="N1685" s="672"/>
      <c r="O1685" s="6"/>
      <c r="P1685" s="6"/>
      <c r="Q1685" s="6"/>
      <c r="R1685" s="6"/>
      <c r="S1685" s="6"/>
      <c r="T1685" s="6"/>
      <c r="U1685" s="6"/>
    </row>
    <row r="1686">
      <c r="A1686" s="6"/>
      <c r="B1686" s="6"/>
      <c r="C1686" s="6"/>
      <c r="D1686" s="6"/>
      <c r="E1686" s="6"/>
      <c r="G1686" s="6"/>
      <c r="H1686" s="6"/>
      <c r="I1686" s="6"/>
      <c r="J1686" s="6"/>
      <c r="K1686" s="6"/>
      <c r="L1686" s="6"/>
      <c r="M1686" s="6"/>
      <c r="N1686" s="672"/>
      <c r="O1686" s="6"/>
      <c r="P1686" s="6"/>
      <c r="Q1686" s="6"/>
      <c r="R1686" s="6"/>
      <c r="S1686" s="6"/>
      <c r="T1686" s="6"/>
      <c r="U1686" s="6"/>
    </row>
    <row r="1687">
      <c r="A1687" s="6"/>
      <c r="B1687" s="6"/>
      <c r="C1687" s="6"/>
      <c r="D1687" s="6"/>
      <c r="E1687" s="6"/>
      <c r="G1687" s="6"/>
      <c r="H1687" s="6"/>
      <c r="I1687" s="6"/>
      <c r="J1687" s="6"/>
      <c r="K1687" s="6"/>
      <c r="L1687" s="6"/>
      <c r="M1687" s="6"/>
      <c r="N1687" s="672"/>
      <c r="O1687" s="6"/>
      <c r="P1687" s="6"/>
      <c r="Q1687" s="6"/>
      <c r="R1687" s="6"/>
      <c r="S1687" s="6"/>
      <c r="T1687" s="6"/>
      <c r="U1687" s="6"/>
    </row>
    <row r="1688">
      <c r="A1688" s="6"/>
      <c r="B1688" s="6"/>
      <c r="C1688" s="6"/>
      <c r="D1688" s="6"/>
      <c r="E1688" s="6"/>
      <c r="G1688" s="6"/>
      <c r="H1688" s="6"/>
      <c r="I1688" s="6"/>
      <c r="J1688" s="6"/>
      <c r="K1688" s="6"/>
      <c r="L1688" s="6"/>
      <c r="M1688" s="6"/>
      <c r="N1688" s="672"/>
      <c r="O1688" s="6"/>
      <c r="P1688" s="6"/>
      <c r="Q1688" s="6"/>
      <c r="R1688" s="6"/>
      <c r="S1688" s="6"/>
      <c r="T1688" s="6"/>
      <c r="U1688" s="6"/>
    </row>
    <row r="1689">
      <c r="A1689" s="6"/>
      <c r="B1689" s="6"/>
      <c r="C1689" s="6"/>
      <c r="D1689" s="6"/>
      <c r="E1689" s="6"/>
      <c r="G1689" s="6"/>
      <c r="H1689" s="6"/>
      <c r="I1689" s="6"/>
      <c r="J1689" s="6"/>
      <c r="K1689" s="6"/>
      <c r="L1689" s="6"/>
      <c r="M1689" s="6"/>
      <c r="N1689" s="672"/>
      <c r="O1689" s="6"/>
      <c r="P1689" s="6"/>
      <c r="Q1689" s="6"/>
      <c r="R1689" s="6"/>
      <c r="S1689" s="6"/>
      <c r="T1689" s="6"/>
      <c r="U1689" s="6"/>
    </row>
    <row r="1690">
      <c r="A1690" s="6"/>
      <c r="B1690" s="6"/>
      <c r="C1690" s="6"/>
      <c r="D1690" s="6"/>
      <c r="E1690" s="6"/>
      <c r="G1690" s="6"/>
      <c r="H1690" s="6"/>
      <c r="I1690" s="6"/>
      <c r="J1690" s="6"/>
      <c r="K1690" s="6"/>
      <c r="L1690" s="6"/>
      <c r="M1690" s="6"/>
      <c r="N1690" s="672"/>
      <c r="O1690" s="6"/>
      <c r="P1690" s="6"/>
      <c r="Q1690" s="6"/>
      <c r="R1690" s="6"/>
      <c r="S1690" s="6"/>
      <c r="T1690" s="6"/>
      <c r="U1690" s="6"/>
    </row>
    <row r="1691">
      <c r="A1691" s="6"/>
      <c r="B1691" s="6"/>
      <c r="C1691" s="6"/>
      <c r="D1691" s="6"/>
      <c r="E1691" s="6"/>
      <c r="G1691" s="6"/>
      <c r="H1691" s="6"/>
      <c r="I1691" s="6"/>
      <c r="J1691" s="6"/>
      <c r="K1691" s="6"/>
      <c r="L1691" s="6"/>
      <c r="M1691" s="6"/>
      <c r="N1691" s="672"/>
      <c r="O1691" s="6"/>
      <c r="P1691" s="6"/>
      <c r="Q1691" s="6"/>
      <c r="R1691" s="6"/>
      <c r="S1691" s="6"/>
      <c r="T1691" s="6"/>
      <c r="U1691" s="6"/>
    </row>
    <row r="1692">
      <c r="A1692" s="6"/>
      <c r="B1692" s="6"/>
      <c r="C1692" s="6"/>
      <c r="D1692" s="6"/>
      <c r="E1692" s="6"/>
      <c r="G1692" s="6"/>
      <c r="H1692" s="6"/>
      <c r="I1692" s="6"/>
      <c r="J1692" s="6"/>
      <c r="K1692" s="6"/>
      <c r="L1692" s="6"/>
      <c r="M1692" s="6"/>
      <c r="N1692" s="672"/>
      <c r="O1692" s="6"/>
      <c r="P1692" s="6"/>
      <c r="Q1692" s="6"/>
      <c r="R1692" s="6"/>
      <c r="S1692" s="6"/>
      <c r="T1692" s="6"/>
      <c r="U1692" s="6"/>
    </row>
    <row r="1693">
      <c r="A1693" s="6"/>
      <c r="B1693" s="6"/>
      <c r="C1693" s="6"/>
      <c r="D1693" s="6"/>
      <c r="E1693" s="6"/>
      <c r="G1693" s="6"/>
      <c r="H1693" s="6"/>
      <c r="I1693" s="6"/>
      <c r="J1693" s="6"/>
      <c r="K1693" s="6"/>
      <c r="L1693" s="6"/>
      <c r="M1693" s="6"/>
      <c r="N1693" s="672"/>
      <c r="O1693" s="6"/>
      <c r="P1693" s="6"/>
      <c r="Q1693" s="6"/>
      <c r="R1693" s="6"/>
      <c r="S1693" s="6"/>
      <c r="T1693" s="6"/>
      <c r="U1693" s="6"/>
    </row>
    <row r="1694">
      <c r="A1694" s="6"/>
      <c r="B1694" s="6"/>
      <c r="C1694" s="6"/>
      <c r="D1694" s="6"/>
      <c r="E1694" s="6"/>
      <c r="G1694" s="6"/>
      <c r="H1694" s="6"/>
      <c r="I1694" s="6"/>
      <c r="J1694" s="6"/>
      <c r="K1694" s="6"/>
      <c r="L1694" s="6"/>
      <c r="M1694" s="6"/>
      <c r="N1694" s="672"/>
      <c r="O1694" s="6"/>
      <c r="P1694" s="6"/>
      <c r="Q1694" s="6"/>
      <c r="R1694" s="6"/>
      <c r="S1694" s="6"/>
      <c r="T1694" s="6"/>
      <c r="U1694" s="6"/>
    </row>
    <row r="1695">
      <c r="A1695" s="6"/>
      <c r="B1695" s="6"/>
      <c r="C1695" s="6"/>
      <c r="D1695" s="6"/>
      <c r="E1695" s="6"/>
      <c r="G1695" s="6"/>
      <c r="H1695" s="6"/>
      <c r="I1695" s="6"/>
      <c r="J1695" s="6"/>
      <c r="K1695" s="6"/>
      <c r="L1695" s="6"/>
      <c r="M1695" s="6"/>
      <c r="N1695" s="672"/>
      <c r="O1695" s="6"/>
      <c r="P1695" s="6"/>
      <c r="Q1695" s="6"/>
      <c r="R1695" s="6"/>
      <c r="S1695" s="6"/>
      <c r="T1695" s="6"/>
      <c r="U1695" s="6"/>
    </row>
    <row r="1696">
      <c r="A1696" s="6"/>
      <c r="B1696" s="6"/>
      <c r="C1696" s="6"/>
      <c r="D1696" s="6"/>
      <c r="E1696" s="6"/>
      <c r="G1696" s="6"/>
      <c r="H1696" s="6"/>
      <c r="I1696" s="6"/>
      <c r="J1696" s="6"/>
      <c r="K1696" s="6"/>
      <c r="L1696" s="6"/>
      <c r="M1696" s="6"/>
      <c r="N1696" s="672"/>
      <c r="O1696" s="6"/>
      <c r="P1696" s="6"/>
      <c r="Q1696" s="6"/>
      <c r="R1696" s="6"/>
      <c r="S1696" s="6"/>
      <c r="T1696" s="6"/>
      <c r="U1696" s="6"/>
    </row>
    <row r="1697">
      <c r="A1697" s="6"/>
      <c r="B1697" s="6"/>
      <c r="C1697" s="6"/>
      <c r="D1697" s="6"/>
      <c r="E1697" s="6"/>
      <c r="G1697" s="6"/>
      <c r="H1697" s="6"/>
      <c r="I1697" s="6"/>
      <c r="J1697" s="6"/>
      <c r="K1697" s="6"/>
      <c r="L1697" s="6"/>
      <c r="M1697" s="6"/>
      <c r="N1697" s="672"/>
      <c r="O1697" s="6"/>
      <c r="P1697" s="6"/>
      <c r="Q1697" s="6"/>
      <c r="R1697" s="6"/>
      <c r="S1697" s="6"/>
      <c r="T1697" s="6"/>
      <c r="U1697" s="6"/>
    </row>
    <row r="1698">
      <c r="A1698" s="6"/>
      <c r="B1698" s="6"/>
      <c r="C1698" s="6"/>
      <c r="D1698" s="6"/>
      <c r="E1698" s="6"/>
      <c r="G1698" s="6"/>
      <c r="H1698" s="6"/>
      <c r="I1698" s="6"/>
      <c r="J1698" s="6"/>
      <c r="K1698" s="6"/>
      <c r="L1698" s="6"/>
      <c r="M1698" s="6"/>
      <c r="N1698" s="672"/>
      <c r="O1698" s="6"/>
      <c r="P1698" s="6"/>
      <c r="Q1698" s="6"/>
      <c r="R1698" s="6"/>
      <c r="S1698" s="6"/>
      <c r="T1698" s="6"/>
      <c r="U1698" s="6"/>
    </row>
    <row r="1699">
      <c r="A1699" s="6"/>
      <c r="B1699" s="6"/>
      <c r="C1699" s="6"/>
      <c r="D1699" s="6"/>
      <c r="E1699" s="6"/>
      <c r="G1699" s="6"/>
      <c r="H1699" s="6"/>
      <c r="I1699" s="6"/>
      <c r="J1699" s="6"/>
      <c r="K1699" s="6"/>
      <c r="L1699" s="6"/>
      <c r="M1699" s="6"/>
      <c r="N1699" s="672"/>
      <c r="O1699" s="6"/>
      <c r="P1699" s="6"/>
      <c r="Q1699" s="6"/>
      <c r="R1699" s="6"/>
      <c r="S1699" s="6"/>
      <c r="T1699" s="6"/>
      <c r="U1699" s="6"/>
    </row>
    <row r="1700">
      <c r="A1700" s="6"/>
      <c r="B1700" s="6"/>
      <c r="C1700" s="6"/>
      <c r="D1700" s="6"/>
      <c r="E1700" s="6"/>
      <c r="G1700" s="6"/>
      <c r="H1700" s="6"/>
      <c r="I1700" s="6"/>
      <c r="J1700" s="6"/>
      <c r="K1700" s="6"/>
      <c r="L1700" s="6"/>
      <c r="M1700" s="6"/>
      <c r="N1700" s="672"/>
      <c r="O1700" s="6"/>
      <c r="P1700" s="6"/>
      <c r="Q1700" s="6"/>
      <c r="R1700" s="6"/>
      <c r="S1700" s="6"/>
      <c r="T1700" s="6"/>
      <c r="U1700" s="6"/>
    </row>
    <row r="1701">
      <c r="A1701" s="6"/>
      <c r="B1701" s="6"/>
      <c r="C1701" s="6"/>
      <c r="D1701" s="6"/>
      <c r="E1701" s="6"/>
      <c r="G1701" s="6"/>
      <c r="H1701" s="6"/>
      <c r="I1701" s="6"/>
      <c r="J1701" s="6"/>
      <c r="K1701" s="6"/>
      <c r="L1701" s="6"/>
      <c r="M1701" s="6"/>
      <c r="N1701" s="672"/>
      <c r="O1701" s="6"/>
      <c r="P1701" s="6"/>
      <c r="Q1701" s="6"/>
      <c r="R1701" s="6"/>
      <c r="S1701" s="6"/>
      <c r="T1701" s="6"/>
      <c r="U1701" s="6"/>
    </row>
    <row r="1702">
      <c r="A1702" s="6"/>
      <c r="B1702" s="6"/>
      <c r="C1702" s="6"/>
      <c r="D1702" s="6"/>
      <c r="E1702" s="6"/>
      <c r="G1702" s="6"/>
      <c r="H1702" s="6"/>
      <c r="I1702" s="6"/>
      <c r="J1702" s="6"/>
      <c r="K1702" s="6"/>
      <c r="L1702" s="6"/>
      <c r="M1702" s="6"/>
      <c r="N1702" s="672"/>
      <c r="O1702" s="6"/>
      <c r="P1702" s="6"/>
      <c r="Q1702" s="6"/>
      <c r="R1702" s="6"/>
      <c r="S1702" s="6"/>
      <c r="T1702" s="6"/>
      <c r="U1702" s="6"/>
    </row>
    <row r="1703">
      <c r="A1703" s="6"/>
      <c r="B1703" s="6"/>
      <c r="C1703" s="6"/>
      <c r="D1703" s="6"/>
      <c r="E1703" s="6"/>
      <c r="G1703" s="6"/>
      <c r="H1703" s="6"/>
      <c r="I1703" s="6"/>
      <c r="J1703" s="6"/>
      <c r="K1703" s="6"/>
      <c r="L1703" s="6"/>
      <c r="M1703" s="6"/>
      <c r="N1703" s="672"/>
      <c r="O1703" s="6"/>
      <c r="P1703" s="6"/>
      <c r="Q1703" s="6"/>
      <c r="R1703" s="6"/>
      <c r="S1703" s="6"/>
      <c r="T1703" s="6"/>
      <c r="U1703" s="6"/>
    </row>
    <row r="1704">
      <c r="A1704" s="6"/>
      <c r="B1704" s="6"/>
      <c r="C1704" s="6"/>
      <c r="D1704" s="6"/>
      <c r="E1704" s="6"/>
      <c r="G1704" s="6"/>
      <c r="H1704" s="6"/>
      <c r="I1704" s="6"/>
      <c r="J1704" s="6"/>
      <c r="K1704" s="6"/>
      <c r="L1704" s="6"/>
      <c r="M1704" s="6"/>
      <c r="N1704" s="672"/>
      <c r="O1704" s="6"/>
      <c r="P1704" s="6"/>
      <c r="Q1704" s="6"/>
      <c r="R1704" s="6"/>
      <c r="S1704" s="6"/>
      <c r="T1704" s="6"/>
      <c r="U1704" s="6"/>
    </row>
    <row r="1705">
      <c r="A1705" s="6"/>
      <c r="B1705" s="6"/>
      <c r="C1705" s="6"/>
      <c r="D1705" s="6"/>
      <c r="E1705" s="6"/>
      <c r="G1705" s="6"/>
      <c r="H1705" s="6"/>
      <c r="I1705" s="6"/>
      <c r="J1705" s="6"/>
      <c r="K1705" s="6"/>
      <c r="L1705" s="6"/>
      <c r="M1705" s="6"/>
      <c r="N1705" s="672"/>
      <c r="O1705" s="6"/>
      <c r="P1705" s="6"/>
      <c r="Q1705" s="6"/>
      <c r="R1705" s="6"/>
      <c r="S1705" s="6"/>
      <c r="T1705" s="6"/>
      <c r="U1705" s="6"/>
    </row>
    <row r="1706">
      <c r="A1706" s="6"/>
      <c r="B1706" s="6"/>
      <c r="C1706" s="6"/>
      <c r="D1706" s="6"/>
      <c r="E1706" s="6"/>
      <c r="G1706" s="6"/>
      <c r="H1706" s="6"/>
      <c r="I1706" s="6"/>
      <c r="J1706" s="6"/>
      <c r="K1706" s="6"/>
      <c r="L1706" s="6"/>
      <c r="M1706" s="6"/>
      <c r="N1706" s="672"/>
      <c r="O1706" s="6"/>
      <c r="P1706" s="6"/>
      <c r="Q1706" s="6"/>
      <c r="R1706" s="6"/>
      <c r="S1706" s="6"/>
      <c r="T1706" s="6"/>
      <c r="U1706" s="6"/>
    </row>
    <row r="1707">
      <c r="A1707" s="6"/>
      <c r="B1707" s="6"/>
      <c r="C1707" s="6"/>
      <c r="D1707" s="6"/>
      <c r="E1707" s="6"/>
      <c r="G1707" s="6"/>
      <c r="H1707" s="6"/>
      <c r="I1707" s="6"/>
      <c r="J1707" s="6"/>
      <c r="K1707" s="6"/>
      <c r="L1707" s="6"/>
      <c r="M1707" s="6"/>
      <c r="N1707" s="672"/>
      <c r="O1707" s="6"/>
      <c r="P1707" s="6"/>
      <c r="Q1707" s="6"/>
      <c r="R1707" s="6"/>
      <c r="S1707" s="6"/>
      <c r="T1707" s="6"/>
      <c r="U1707" s="6"/>
    </row>
    <row r="1708">
      <c r="A1708" s="6"/>
      <c r="B1708" s="6"/>
      <c r="C1708" s="6"/>
      <c r="D1708" s="6"/>
      <c r="E1708" s="6"/>
      <c r="G1708" s="6"/>
      <c r="H1708" s="6"/>
      <c r="I1708" s="6"/>
      <c r="J1708" s="6"/>
      <c r="K1708" s="6"/>
      <c r="L1708" s="6"/>
      <c r="M1708" s="6"/>
      <c r="N1708" s="672"/>
      <c r="O1708" s="6"/>
      <c r="P1708" s="6"/>
      <c r="Q1708" s="6"/>
      <c r="R1708" s="6"/>
      <c r="S1708" s="6"/>
      <c r="T1708" s="6"/>
      <c r="U1708" s="6"/>
    </row>
    <row r="1709">
      <c r="A1709" s="6"/>
      <c r="B1709" s="6"/>
      <c r="C1709" s="6"/>
      <c r="D1709" s="6"/>
      <c r="E1709" s="6"/>
      <c r="G1709" s="6"/>
      <c r="H1709" s="6"/>
      <c r="I1709" s="6"/>
      <c r="J1709" s="6"/>
      <c r="K1709" s="6"/>
      <c r="L1709" s="6"/>
      <c r="M1709" s="6"/>
      <c r="N1709" s="672"/>
      <c r="O1709" s="6"/>
      <c r="P1709" s="6"/>
      <c r="Q1709" s="6"/>
      <c r="R1709" s="6"/>
      <c r="S1709" s="6"/>
      <c r="T1709" s="6"/>
      <c r="U1709" s="6"/>
    </row>
    <row r="1710">
      <c r="A1710" s="6"/>
      <c r="B1710" s="6"/>
      <c r="C1710" s="6"/>
      <c r="D1710" s="6"/>
      <c r="E1710" s="6"/>
      <c r="G1710" s="6"/>
      <c r="H1710" s="6"/>
      <c r="I1710" s="6"/>
      <c r="J1710" s="6"/>
      <c r="K1710" s="6"/>
      <c r="L1710" s="6"/>
      <c r="M1710" s="6"/>
      <c r="N1710" s="672"/>
      <c r="O1710" s="6"/>
      <c r="P1710" s="6"/>
      <c r="Q1710" s="6"/>
      <c r="R1710" s="6"/>
      <c r="S1710" s="6"/>
      <c r="T1710" s="6"/>
      <c r="U1710" s="6"/>
    </row>
    <row r="1711">
      <c r="A1711" s="6"/>
      <c r="B1711" s="6"/>
      <c r="C1711" s="6"/>
      <c r="D1711" s="6"/>
      <c r="E1711" s="6"/>
      <c r="G1711" s="6"/>
      <c r="H1711" s="6"/>
      <c r="I1711" s="6"/>
      <c r="J1711" s="6"/>
      <c r="K1711" s="6"/>
      <c r="L1711" s="6"/>
      <c r="M1711" s="6"/>
      <c r="N1711" s="672"/>
      <c r="O1711" s="6"/>
      <c r="P1711" s="6"/>
      <c r="Q1711" s="6"/>
      <c r="R1711" s="6"/>
      <c r="S1711" s="6"/>
      <c r="T1711" s="6"/>
      <c r="U1711" s="6"/>
    </row>
    <row r="1712">
      <c r="A1712" s="6"/>
      <c r="B1712" s="6"/>
      <c r="C1712" s="6"/>
      <c r="D1712" s="6"/>
      <c r="E1712" s="6"/>
      <c r="G1712" s="6"/>
      <c r="H1712" s="6"/>
      <c r="I1712" s="6"/>
      <c r="J1712" s="6"/>
      <c r="K1712" s="6"/>
      <c r="L1712" s="6"/>
      <c r="M1712" s="6"/>
      <c r="N1712" s="672"/>
      <c r="O1712" s="6"/>
      <c r="P1712" s="6"/>
      <c r="Q1712" s="6"/>
      <c r="R1712" s="6"/>
      <c r="S1712" s="6"/>
      <c r="T1712" s="6"/>
      <c r="U1712" s="6"/>
    </row>
    <row r="1713">
      <c r="A1713" s="6"/>
      <c r="B1713" s="6"/>
      <c r="C1713" s="6"/>
      <c r="D1713" s="6"/>
      <c r="E1713" s="6"/>
      <c r="G1713" s="6"/>
      <c r="H1713" s="6"/>
      <c r="I1713" s="6"/>
      <c r="J1713" s="6"/>
      <c r="K1713" s="6"/>
      <c r="L1713" s="6"/>
      <c r="M1713" s="6"/>
      <c r="N1713" s="672"/>
      <c r="O1713" s="6"/>
      <c r="P1713" s="6"/>
      <c r="Q1713" s="6"/>
      <c r="R1713" s="6"/>
      <c r="S1713" s="6"/>
      <c r="T1713" s="6"/>
      <c r="U1713" s="6"/>
    </row>
    <row r="1714">
      <c r="A1714" s="6"/>
      <c r="B1714" s="6"/>
      <c r="C1714" s="6"/>
      <c r="D1714" s="6"/>
      <c r="E1714" s="6"/>
      <c r="G1714" s="6"/>
      <c r="H1714" s="6"/>
      <c r="I1714" s="6"/>
      <c r="J1714" s="6"/>
      <c r="K1714" s="6"/>
      <c r="L1714" s="6"/>
      <c r="M1714" s="6"/>
      <c r="N1714" s="672"/>
      <c r="O1714" s="6"/>
      <c r="P1714" s="6"/>
      <c r="Q1714" s="6"/>
      <c r="R1714" s="6"/>
      <c r="S1714" s="6"/>
      <c r="T1714" s="6"/>
      <c r="U1714" s="6"/>
    </row>
    <row r="1715">
      <c r="A1715" s="6"/>
      <c r="B1715" s="6"/>
      <c r="C1715" s="6"/>
      <c r="D1715" s="6"/>
      <c r="E1715" s="6"/>
      <c r="G1715" s="6"/>
      <c r="H1715" s="6"/>
      <c r="I1715" s="6"/>
      <c r="J1715" s="6"/>
      <c r="K1715" s="6"/>
      <c r="L1715" s="6"/>
      <c r="M1715" s="6"/>
      <c r="N1715" s="672"/>
      <c r="O1715" s="6"/>
      <c r="P1715" s="6"/>
      <c r="Q1715" s="6"/>
      <c r="R1715" s="6"/>
      <c r="S1715" s="6"/>
      <c r="T1715" s="6"/>
      <c r="U1715" s="6"/>
    </row>
    <row r="1716">
      <c r="A1716" s="6"/>
      <c r="B1716" s="6"/>
      <c r="C1716" s="6"/>
      <c r="D1716" s="6"/>
      <c r="E1716" s="6"/>
      <c r="G1716" s="6"/>
      <c r="H1716" s="6"/>
      <c r="I1716" s="6"/>
      <c r="J1716" s="6"/>
      <c r="K1716" s="6"/>
      <c r="L1716" s="6"/>
      <c r="M1716" s="6"/>
      <c r="N1716" s="672"/>
      <c r="O1716" s="6"/>
      <c r="P1716" s="6"/>
      <c r="Q1716" s="6"/>
      <c r="R1716" s="6"/>
      <c r="S1716" s="6"/>
      <c r="T1716" s="6"/>
      <c r="U1716" s="6"/>
    </row>
    <row r="1717">
      <c r="A1717" s="6"/>
      <c r="B1717" s="6"/>
      <c r="C1717" s="6"/>
      <c r="D1717" s="6"/>
      <c r="E1717" s="6"/>
      <c r="G1717" s="6"/>
      <c r="H1717" s="6"/>
      <c r="I1717" s="6"/>
      <c r="J1717" s="6"/>
      <c r="K1717" s="6"/>
      <c r="L1717" s="6"/>
      <c r="M1717" s="6"/>
      <c r="N1717" s="672"/>
      <c r="O1717" s="6"/>
      <c r="P1717" s="6"/>
      <c r="Q1717" s="6"/>
      <c r="R1717" s="6"/>
      <c r="S1717" s="6"/>
      <c r="T1717" s="6"/>
      <c r="U1717" s="6"/>
    </row>
    <row r="1718">
      <c r="A1718" s="6"/>
      <c r="B1718" s="6"/>
      <c r="C1718" s="6"/>
      <c r="D1718" s="6"/>
      <c r="E1718" s="6"/>
      <c r="G1718" s="6"/>
      <c r="H1718" s="6"/>
      <c r="I1718" s="6"/>
      <c r="J1718" s="6"/>
      <c r="K1718" s="6"/>
      <c r="L1718" s="6"/>
      <c r="M1718" s="6"/>
      <c r="N1718" s="672"/>
      <c r="O1718" s="6"/>
      <c r="P1718" s="6"/>
      <c r="Q1718" s="6"/>
      <c r="R1718" s="6"/>
      <c r="S1718" s="6"/>
      <c r="T1718" s="6"/>
      <c r="U1718" s="6"/>
    </row>
    <row r="1719">
      <c r="A1719" s="6"/>
      <c r="B1719" s="6"/>
      <c r="C1719" s="6"/>
      <c r="D1719" s="6"/>
      <c r="E1719" s="6"/>
      <c r="G1719" s="6"/>
      <c r="H1719" s="6"/>
      <c r="I1719" s="6"/>
      <c r="J1719" s="6"/>
      <c r="K1719" s="6"/>
      <c r="L1719" s="6"/>
      <c r="M1719" s="6"/>
      <c r="N1719" s="672"/>
      <c r="O1719" s="6"/>
      <c r="P1719" s="6"/>
      <c r="Q1719" s="6"/>
      <c r="R1719" s="6"/>
      <c r="S1719" s="6"/>
      <c r="T1719" s="6"/>
      <c r="U1719" s="6"/>
    </row>
    <row r="1720">
      <c r="A1720" s="6"/>
      <c r="B1720" s="6"/>
      <c r="C1720" s="6"/>
      <c r="D1720" s="6"/>
      <c r="E1720" s="6"/>
      <c r="G1720" s="6"/>
      <c r="H1720" s="6"/>
      <c r="I1720" s="6"/>
      <c r="J1720" s="6"/>
      <c r="K1720" s="6"/>
      <c r="L1720" s="6"/>
      <c r="M1720" s="6"/>
      <c r="N1720" s="672"/>
      <c r="O1720" s="6"/>
      <c r="P1720" s="6"/>
      <c r="Q1720" s="6"/>
      <c r="R1720" s="6"/>
      <c r="S1720" s="6"/>
      <c r="T1720" s="6"/>
      <c r="U1720" s="6"/>
    </row>
    <row r="1721">
      <c r="A1721" s="6"/>
      <c r="B1721" s="6"/>
      <c r="C1721" s="6"/>
      <c r="D1721" s="6"/>
      <c r="E1721" s="6"/>
      <c r="G1721" s="6"/>
      <c r="H1721" s="6"/>
      <c r="I1721" s="6"/>
      <c r="J1721" s="6"/>
      <c r="K1721" s="6"/>
      <c r="L1721" s="6"/>
      <c r="M1721" s="6"/>
      <c r="N1721" s="672"/>
      <c r="O1721" s="6"/>
      <c r="P1721" s="6"/>
      <c r="Q1721" s="6"/>
      <c r="R1721" s="6"/>
      <c r="S1721" s="6"/>
      <c r="T1721" s="6"/>
      <c r="U1721" s="6"/>
    </row>
    <row r="1722">
      <c r="A1722" s="6"/>
      <c r="B1722" s="6"/>
      <c r="C1722" s="6"/>
      <c r="D1722" s="6"/>
      <c r="E1722" s="6"/>
      <c r="G1722" s="6"/>
      <c r="H1722" s="6"/>
      <c r="I1722" s="6"/>
      <c r="J1722" s="6"/>
      <c r="K1722" s="6"/>
      <c r="L1722" s="6"/>
      <c r="M1722" s="6"/>
      <c r="N1722" s="672"/>
      <c r="O1722" s="6"/>
      <c r="P1722" s="6"/>
      <c r="Q1722" s="6"/>
      <c r="R1722" s="6"/>
      <c r="S1722" s="6"/>
      <c r="T1722" s="6"/>
      <c r="U1722" s="6"/>
    </row>
    <row r="1723">
      <c r="A1723" s="6"/>
      <c r="B1723" s="6"/>
      <c r="C1723" s="6"/>
      <c r="D1723" s="6"/>
      <c r="E1723" s="6"/>
      <c r="G1723" s="6"/>
      <c r="H1723" s="6"/>
      <c r="I1723" s="6"/>
      <c r="J1723" s="6"/>
      <c r="K1723" s="6"/>
      <c r="L1723" s="6"/>
      <c r="M1723" s="6"/>
      <c r="N1723" s="672"/>
      <c r="O1723" s="6"/>
      <c r="P1723" s="6"/>
      <c r="Q1723" s="6"/>
      <c r="R1723" s="6"/>
      <c r="S1723" s="6"/>
      <c r="T1723" s="6"/>
      <c r="U1723" s="6"/>
    </row>
    <row r="1724">
      <c r="A1724" s="6"/>
      <c r="B1724" s="6"/>
      <c r="C1724" s="6"/>
      <c r="D1724" s="6"/>
      <c r="E1724" s="6"/>
      <c r="G1724" s="6"/>
      <c r="H1724" s="6"/>
      <c r="I1724" s="6"/>
      <c r="J1724" s="6"/>
      <c r="K1724" s="6"/>
      <c r="L1724" s="6"/>
      <c r="M1724" s="6"/>
      <c r="N1724" s="672"/>
      <c r="O1724" s="6"/>
      <c r="P1724" s="6"/>
      <c r="Q1724" s="6"/>
      <c r="R1724" s="6"/>
      <c r="S1724" s="6"/>
      <c r="T1724" s="6"/>
      <c r="U1724" s="6"/>
    </row>
    <row r="1725">
      <c r="A1725" s="6"/>
      <c r="B1725" s="6"/>
      <c r="C1725" s="6"/>
      <c r="D1725" s="6"/>
      <c r="E1725" s="6"/>
      <c r="G1725" s="6"/>
      <c r="H1725" s="6"/>
      <c r="I1725" s="6"/>
      <c r="J1725" s="6"/>
      <c r="K1725" s="6"/>
      <c r="L1725" s="6"/>
      <c r="M1725" s="6"/>
      <c r="N1725" s="672"/>
      <c r="O1725" s="6"/>
      <c r="P1725" s="6"/>
      <c r="Q1725" s="6"/>
      <c r="R1725" s="6"/>
      <c r="S1725" s="6"/>
      <c r="T1725" s="6"/>
      <c r="U1725" s="6"/>
    </row>
    <row r="1726">
      <c r="A1726" s="6"/>
      <c r="B1726" s="6"/>
      <c r="C1726" s="6"/>
      <c r="D1726" s="6"/>
      <c r="E1726" s="6"/>
      <c r="G1726" s="6"/>
      <c r="H1726" s="6"/>
      <c r="I1726" s="6"/>
      <c r="J1726" s="6"/>
      <c r="K1726" s="6"/>
      <c r="L1726" s="6"/>
      <c r="M1726" s="6"/>
      <c r="N1726" s="672"/>
      <c r="O1726" s="6"/>
      <c r="P1726" s="6"/>
      <c r="Q1726" s="6"/>
      <c r="R1726" s="6"/>
      <c r="S1726" s="6"/>
      <c r="T1726" s="6"/>
      <c r="U1726" s="6"/>
    </row>
    <row r="1727">
      <c r="A1727" s="6"/>
      <c r="B1727" s="6"/>
      <c r="C1727" s="6"/>
      <c r="D1727" s="6"/>
      <c r="E1727" s="6"/>
      <c r="G1727" s="6"/>
      <c r="H1727" s="6"/>
      <c r="I1727" s="6"/>
      <c r="J1727" s="6"/>
      <c r="K1727" s="6"/>
      <c r="L1727" s="6"/>
      <c r="M1727" s="6"/>
      <c r="N1727" s="672"/>
      <c r="O1727" s="6"/>
      <c r="P1727" s="6"/>
      <c r="Q1727" s="6"/>
      <c r="R1727" s="6"/>
      <c r="S1727" s="6"/>
      <c r="T1727" s="6"/>
      <c r="U1727" s="6"/>
    </row>
    <row r="1728">
      <c r="A1728" s="6"/>
      <c r="B1728" s="6"/>
      <c r="C1728" s="6"/>
      <c r="D1728" s="6"/>
      <c r="E1728" s="6"/>
      <c r="G1728" s="6"/>
      <c r="H1728" s="6"/>
      <c r="I1728" s="6"/>
      <c r="J1728" s="6"/>
      <c r="K1728" s="6"/>
      <c r="L1728" s="6"/>
      <c r="M1728" s="6"/>
      <c r="N1728" s="672"/>
      <c r="O1728" s="6"/>
      <c r="P1728" s="6"/>
      <c r="Q1728" s="6"/>
      <c r="R1728" s="6"/>
      <c r="S1728" s="6"/>
      <c r="T1728" s="6"/>
      <c r="U1728" s="6"/>
    </row>
    <row r="1729">
      <c r="A1729" s="6"/>
      <c r="B1729" s="6"/>
      <c r="C1729" s="6"/>
      <c r="D1729" s="6"/>
      <c r="E1729" s="6"/>
      <c r="G1729" s="6"/>
      <c r="H1729" s="6"/>
      <c r="I1729" s="6"/>
      <c r="J1729" s="6"/>
      <c r="K1729" s="6"/>
      <c r="L1729" s="6"/>
      <c r="M1729" s="6"/>
      <c r="N1729" s="672"/>
      <c r="O1729" s="6"/>
      <c r="P1729" s="6"/>
      <c r="Q1729" s="6"/>
      <c r="R1729" s="6"/>
      <c r="S1729" s="6"/>
      <c r="T1729" s="6"/>
      <c r="U1729" s="6"/>
    </row>
    <row r="1730">
      <c r="A1730" s="6"/>
      <c r="B1730" s="6"/>
      <c r="C1730" s="6"/>
      <c r="D1730" s="6"/>
      <c r="E1730" s="6"/>
      <c r="G1730" s="6"/>
      <c r="H1730" s="6"/>
      <c r="I1730" s="6"/>
      <c r="J1730" s="6"/>
      <c r="K1730" s="6"/>
      <c r="L1730" s="6"/>
      <c r="M1730" s="6"/>
      <c r="N1730" s="672"/>
      <c r="O1730" s="6"/>
      <c r="P1730" s="6"/>
      <c r="Q1730" s="6"/>
      <c r="R1730" s="6"/>
      <c r="S1730" s="6"/>
      <c r="T1730" s="6"/>
      <c r="U1730" s="6"/>
    </row>
    <row r="1731">
      <c r="A1731" s="6"/>
      <c r="B1731" s="6"/>
      <c r="C1731" s="6"/>
      <c r="D1731" s="6"/>
      <c r="E1731" s="6"/>
      <c r="G1731" s="6"/>
      <c r="H1731" s="6"/>
      <c r="I1731" s="6"/>
      <c r="J1731" s="6"/>
      <c r="K1731" s="6"/>
      <c r="L1731" s="6"/>
      <c r="M1731" s="6"/>
      <c r="N1731" s="672"/>
      <c r="O1731" s="6"/>
      <c r="P1731" s="6"/>
      <c r="Q1731" s="6"/>
      <c r="R1731" s="6"/>
      <c r="S1731" s="6"/>
      <c r="T1731" s="6"/>
      <c r="U1731" s="6"/>
    </row>
    <row r="1732">
      <c r="A1732" s="6"/>
      <c r="B1732" s="6"/>
      <c r="C1732" s="6"/>
      <c r="D1732" s="6"/>
      <c r="E1732" s="6"/>
      <c r="G1732" s="6"/>
      <c r="H1732" s="6"/>
      <c r="I1732" s="6"/>
      <c r="J1732" s="6"/>
      <c r="K1732" s="6"/>
      <c r="L1732" s="6"/>
      <c r="M1732" s="6"/>
      <c r="N1732" s="672"/>
      <c r="O1732" s="6"/>
      <c r="P1732" s="6"/>
      <c r="Q1732" s="6"/>
      <c r="R1732" s="6"/>
      <c r="S1732" s="6"/>
      <c r="T1732" s="6"/>
      <c r="U1732" s="6"/>
    </row>
    <row r="1733">
      <c r="A1733" s="6"/>
      <c r="B1733" s="6"/>
      <c r="C1733" s="6"/>
      <c r="D1733" s="6"/>
      <c r="E1733" s="6"/>
      <c r="G1733" s="6"/>
      <c r="H1733" s="6"/>
      <c r="I1733" s="6"/>
      <c r="J1733" s="6"/>
      <c r="K1733" s="6"/>
      <c r="L1733" s="6"/>
      <c r="M1733" s="6"/>
      <c r="N1733" s="672"/>
      <c r="O1733" s="6"/>
      <c r="P1733" s="6"/>
      <c r="Q1733" s="6"/>
      <c r="R1733" s="6"/>
      <c r="S1733" s="6"/>
      <c r="T1733" s="6"/>
      <c r="U1733" s="6"/>
    </row>
    <row r="1734">
      <c r="A1734" s="6"/>
      <c r="B1734" s="6"/>
      <c r="C1734" s="6"/>
      <c r="D1734" s="6"/>
      <c r="E1734" s="6"/>
      <c r="G1734" s="6"/>
      <c r="H1734" s="6"/>
      <c r="I1734" s="6"/>
      <c r="J1734" s="6"/>
      <c r="K1734" s="6"/>
      <c r="L1734" s="6"/>
      <c r="M1734" s="6"/>
      <c r="N1734" s="672"/>
      <c r="O1734" s="6"/>
      <c r="P1734" s="6"/>
      <c r="Q1734" s="6"/>
      <c r="R1734" s="6"/>
      <c r="S1734" s="6"/>
      <c r="T1734" s="6"/>
      <c r="U1734" s="6"/>
    </row>
    <row r="1735">
      <c r="A1735" s="6"/>
      <c r="B1735" s="6"/>
      <c r="C1735" s="6"/>
      <c r="D1735" s="6"/>
      <c r="E1735" s="6"/>
      <c r="G1735" s="6"/>
      <c r="H1735" s="6"/>
      <c r="I1735" s="6"/>
      <c r="J1735" s="6"/>
      <c r="K1735" s="6"/>
      <c r="L1735" s="6"/>
      <c r="M1735" s="6"/>
      <c r="N1735" s="672"/>
      <c r="O1735" s="6"/>
      <c r="P1735" s="6"/>
      <c r="Q1735" s="6"/>
      <c r="R1735" s="6"/>
      <c r="S1735" s="6"/>
      <c r="T1735" s="6"/>
      <c r="U1735" s="6"/>
    </row>
    <row r="1736">
      <c r="A1736" s="6"/>
      <c r="B1736" s="6"/>
      <c r="C1736" s="6"/>
      <c r="D1736" s="6"/>
      <c r="E1736" s="6"/>
      <c r="G1736" s="6"/>
      <c r="H1736" s="6"/>
      <c r="I1736" s="6"/>
      <c r="J1736" s="6"/>
      <c r="K1736" s="6"/>
      <c r="L1736" s="6"/>
      <c r="M1736" s="6"/>
      <c r="N1736" s="672"/>
      <c r="O1736" s="6"/>
      <c r="P1736" s="6"/>
      <c r="Q1736" s="6"/>
      <c r="R1736" s="6"/>
      <c r="S1736" s="6"/>
      <c r="T1736" s="6"/>
      <c r="U1736" s="6"/>
    </row>
    <row r="1737">
      <c r="A1737" s="6"/>
      <c r="B1737" s="6"/>
      <c r="C1737" s="6"/>
      <c r="D1737" s="6"/>
      <c r="E1737" s="6"/>
      <c r="G1737" s="6"/>
      <c r="H1737" s="6"/>
      <c r="I1737" s="6"/>
      <c r="J1737" s="6"/>
      <c r="K1737" s="6"/>
      <c r="L1737" s="6"/>
      <c r="M1737" s="6"/>
      <c r="N1737" s="672"/>
      <c r="O1737" s="6"/>
      <c r="P1737" s="6"/>
      <c r="Q1737" s="6"/>
      <c r="R1737" s="6"/>
      <c r="S1737" s="6"/>
      <c r="T1737" s="6"/>
      <c r="U1737" s="6"/>
    </row>
    <row r="1738">
      <c r="A1738" s="6"/>
      <c r="B1738" s="6"/>
      <c r="C1738" s="6"/>
      <c r="D1738" s="6"/>
      <c r="E1738" s="6"/>
      <c r="G1738" s="6"/>
      <c r="H1738" s="6"/>
      <c r="I1738" s="6"/>
      <c r="J1738" s="6"/>
      <c r="K1738" s="6"/>
      <c r="L1738" s="6"/>
      <c r="M1738" s="6"/>
      <c r="N1738" s="672"/>
      <c r="O1738" s="6"/>
      <c r="P1738" s="6"/>
      <c r="Q1738" s="6"/>
      <c r="R1738" s="6"/>
      <c r="S1738" s="6"/>
      <c r="T1738" s="6"/>
      <c r="U1738" s="6"/>
    </row>
    <row r="1739">
      <c r="A1739" s="6"/>
      <c r="B1739" s="6"/>
      <c r="C1739" s="6"/>
      <c r="D1739" s="6"/>
      <c r="E1739" s="6"/>
      <c r="G1739" s="6"/>
      <c r="H1739" s="6"/>
      <c r="I1739" s="6"/>
      <c r="J1739" s="6"/>
      <c r="K1739" s="6"/>
      <c r="L1739" s="6"/>
      <c r="M1739" s="6"/>
      <c r="N1739" s="672"/>
      <c r="O1739" s="6"/>
      <c r="P1739" s="6"/>
      <c r="Q1739" s="6"/>
      <c r="R1739" s="6"/>
      <c r="S1739" s="6"/>
      <c r="T1739" s="6"/>
      <c r="U1739" s="6"/>
    </row>
    <row r="1740">
      <c r="A1740" s="6"/>
      <c r="B1740" s="6"/>
      <c r="C1740" s="6"/>
      <c r="D1740" s="6"/>
      <c r="E1740" s="6"/>
      <c r="G1740" s="6"/>
      <c r="H1740" s="6"/>
      <c r="I1740" s="6"/>
      <c r="J1740" s="6"/>
      <c r="K1740" s="6"/>
      <c r="L1740" s="6"/>
      <c r="M1740" s="6"/>
      <c r="N1740" s="672"/>
      <c r="O1740" s="6"/>
      <c r="P1740" s="6"/>
      <c r="Q1740" s="6"/>
      <c r="R1740" s="6"/>
      <c r="S1740" s="6"/>
      <c r="T1740" s="6"/>
      <c r="U1740" s="6"/>
    </row>
    <row r="1741">
      <c r="A1741" s="6"/>
      <c r="B1741" s="6"/>
      <c r="C1741" s="6"/>
      <c r="D1741" s="6"/>
      <c r="E1741" s="6"/>
      <c r="G1741" s="6"/>
      <c r="H1741" s="6"/>
      <c r="I1741" s="6"/>
      <c r="J1741" s="6"/>
      <c r="K1741" s="6"/>
      <c r="L1741" s="6"/>
      <c r="M1741" s="6"/>
      <c r="N1741" s="672"/>
      <c r="O1741" s="6"/>
      <c r="P1741" s="6"/>
      <c r="Q1741" s="6"/>
      <c r="R1741" s="6"/>
      <c r="S1741" s="6"/>
      <c r="T1741" s="6"/>
      <c r="U1741" s="6"/>
    </row>
    <row r="1742">
      <c r="A1742" s="6"/>
      <c r="B1742" s="6"/>
      <c r="C1742" s="6"/>
      <c r="D1742" s="6"/>
      <c r="E1742" s="6"/>
      <c r="G1742" s="6"/>
      <c r="H1742" s="6"/>
      <c r="I1742" s="6"/>
      <c r="J1742" s="6"/>
      <c r="K1742" s="6"/>
      <c r="L1742" s="6"/>
      <c r="M1742" s="6"/>
      <c r="N1742" s="672"/>
      <c r="O1742" s="6"/>
      <c r="P1742" s="6"/>
      <c r="Q1742" s="6"/>
      <c r="R1742" s="6"/>
      <c r="S1742" s="6"/>
      <c r="T1742" s="6"/>
      <c r="U1742" s="6"/>
    </row>
    <row r="1743">
      <c r="A1743" s="6"/>
      <c r="B1743" s="6"/>
      <c r="C1743" s="6"/>
      <c r="D1743" s="6"/>
      <c r="E1743" s="6"/>
      <c r="G1743" s="6"/>
      <c r="H1743" s="6"/>
      <c r="I1743" s="6"/>
      <c r="J1743" s="6"/>
      <c r="K1743" s="6"/>
      <c r="L1743" s="6"/>
      <c r="M1743" s="6"/>
      <c r="N1743" s="672"/>
      <c r="O1743" s="6"/>
      <c r="P1743" s="6"/>
      <c r="Q1743" s="6"/>
      <c r="R1743" s="6"/>
      <c r="S1743" s="6"/>
      <c r="T1743" s="6"/>
      <c r="U1743" s="6"/>
    </row>
    <row r="1744">
      <c r="A1744" s="6"/>
      <c r="B1744" s="6"/>
      <c r="C1744" s="6"/>
      <c r="D1744" s="6"/>
      <c r="E1744" s="6"/>
      <c r="G1744" s="6"/>
      <c r="H1744" s="6"/>
      <c r="I1744" s="6"/>
      <c r="J1744" s="6"/>
      <c r="K1744" s="6"/>
      <c r="L1744" s="6"/>
      <c r="M1744" s="6"/>
      <c r="N1744" s="672"/>
      <c r="O1744" s="6"/>
      <c r="P1744" s="6"/>
      <c r="Q1744" s="6"/>
      <c r="R1744" s="6"/>
      <c r="S1744" s="6"/>
      <c r="T1744" s="6"/>
      <c r="U1744" s="6"/>
    </row>
    <row r="1745">
      <c r="A1745" s="6"/>
      <c r="B1745" s="6"/>
      <c r="C1745" s="6"/>
      <c r="D1745" s="6"/>
      <c r="E1745" s="6"/>
      <c r="G1745" s="6"/>
      <c r="H1745" s="6"/>
      <c r="I1745" s="6"/>
      <c r="J1745" s="6"/>
      <c r="K1745" s="6"/>
      <c r="L1745" s="6"/>
      <c r="M1745" s="6"/>
      <c r="N1745" s="672"/>
      <c r="O1745" s="6"/>
      <c r="P1745" s="6"/>
      <c r="Q1745" s="6"/>
      <c r="R1745" s="6"/>
      <c r="S1745" s="6"/>
      <c r="T1745" s="6"/>
      <c r="U1745" s="6"/>
    </row>
    <row r="1746">
      <c r="A1746" s="6"/>
      <c r="B1746" s="6"/>
      <c r="C1746" s="6"/>
      <c r="D1746" s="6"/>
      <c r="E1746" s="6"/>
      <c r="G1746" s="6"/>
      <c r="H1746" s="6"/>
      <c r="I1746" s="6"/>
      <c r="J1746" s="6"/>
      <c r="K1746" s="6"/>
      <c r="L1746" s="6"/>
      <c r="M1746" s="6"/>
      <c r="N1746" s="672"/>
      <c r="O1746" s="6"/>
      <c r="P1746" s="6"/>
      <c r="Q1746" s="6"/>
      <c r="R1746" s="6"/>
      <c r="S1746" s="6"/>
      <c r="T1746" s="6"/>
      <c r="U1746" s="6"/>
    </row>
    <row r="1747">
      <c r="A1747" s="6"/>
      <c r="B1747" s="6"/>
      <c r="C1747" s="6"/>
      <c r="D1747" s="6"/>
      <c r="E1747" s="6"/>
      <c r="G1747" s="6"/>
      <c r="H1747" s="6"/>
      <c r="I1747" s="6"/>
      <c r="J1747" s="6"/>
      <c r="K1747" s="6"/>
      <c r="L1747" s="6"/>
      <c r="M1747" s="6"/>
      <c r="N1747" s="672"/>
      <c r="O1747" s="6"/>
      <c r="P1747" s="6"/>
      <c r="Q1747" s="6"/>
      <c r="R1747" s="6"/>
      <c r="S1747" s="6"/>
      <c r="T1747" s="6"/>
      <c r="U1747" s="6"/>
    </row>
    <row r="1748">
      <c r="A1748" s="6"/>
      <c r="B1748" s="6"/>
      <c r="C1748" s="6"/>
      <c r="D1748" s="6"/>
      <c r="E1748" s="6"/>
      <c r="G1748" s="6"/>
      <c r="H1748" s="6"/>
      <c r="I1748" s="6"/>
      <c r="J1748" s="6"/>
      <c r="K1748" s="6"/>
      <c r="L1748" s="6"/>
      <c r="M1748" s="6"/>
      <c r="N1748" s="672"/>
      <c r="O1748" s="6"/>
      <c r="P1748" s="6"/>
      <c r="Q1748" s="6"/>
      <c r="R1748" s="6"/>
      <c r="S1748" s="6"/>
      <c r="T1748" s="6"/>
      <c r="U1748" s="6"/>
    </row>
    <row r="1749">
      <c r="A1749" s="6"/>
      <c r="B1749" s="6"/>
      <c r="C1749" s="6"/>
      <c r="D1749" s="6"/>
      <c r="E1749" s="6"/>
      <c r="G1749" s="6"/>
      <c r="H1749" s="6"/>
      <c r="I1749" s="6"/>
      <c r="J1749" s="6"/>
      <c r="K1749" s="6"/>
      <c r="L1749" s="6"/>
      <c r="M1749" s="6"/>
      <c r="N1749" s="672"/>
      <c r="O1749" s="6"/>
      <c r="P1749" s="6"/>
      <c r="Q1749" s="6"/>
      <c r="R1749" s="6"/>
      <c r="S1749" s="6"/>
      <c r="T1749" s="6"/>
      <c r="U1749" s="6"/>
    </row>
    <row r="1750">
      <c r="A1750" s="6"/>
      <c r="B1750" s="6"/>
      <c r="C1750" s="6"/>
      <c r="D1750" s="6"/>
      <c r="E1750" s="6"/>
      <c r="G1750" s="6"/>
      <c r="H1750" s="6"/>
      <c r="I1750" s="6"/>
      <c r="J1750" s="6"/>
      <c r="K1750" s="6"/>
      <c r="L1750" s="6"/>
      <c r="M1750" s="6"/>
      <c r="N1750" s="672"/>
      <c r="O1750" s="6"/>
      <c r="P1750" s="6"/>
      <c r="Q1750" s="6"/>
      <c r="R1750" s="6"/>
      <c r="S1750" s="6"/>
      <c r="T1750" s="6"/>
      <c r="U1750" s="6"/>
    </row>
    <row r="1751">
      <c r="A1751" s="6"/>
      <c r="B1751" s="6"/>
      <c r="C1751" s="6"/>
      <c r="D1751" s="6"/>
      <c r="E1751" s="6"/>
      <c r="G1751" s="6"/>
      <c r="H1751" s="6"/>
      <c r="I1751" s="6"/>
      <c r="J1751" s="6"/>
      <c r="K1751" s="6"/>
      <c r="L1751" s="6"/>
      <c r="M1751" s="6"/>
      <c r="N1751" s="672"/>
      <c r="O1751" s="6"/>
      <c r="P1751" s="6"/>
      <c r="Q1751" s="6"/>
      <c r="R1751" s="6"/>
      <c r="S1751" s="6"/>
      <c r="T1751" s="6"/>
      <c r="U1751" s="6"/>
    </row>
    <row r="1752">
      <c r="A1752" s="6"/>
      <c r="B1752" s="6"/>
      <c r="C1752" s="6"/>
      <c r="D1752" s="6"/>
      <c r="E1752" s="6"/>
      <c r="G1752" s="6"/>
      <c r="H1752" s="6"/>
      <c r="I1752" s="6"/>
      <c r="J1752" s="6"/>
      <c r="K1752" s="6"/>
      <c r="L1752" s="6"/>
      <c r="M1752" s="6"/>
      <c r="N1752" s="672"/>
      <c r="O1752" s="6"/>
      <c r="P1752" s="6"/>
      <c r="Q1752" s="6"/>
      <c r="R1752" s="6"/>
      <c r="S1752" s="6"/>
      <c r="T1752" s="6"/>
      <c r="U1752" s="6"/>
    </row>
    <row r="1753">
      <c r="A1753" s="6"/>
      <c r="B1753" s="6"/>
      <c r="C1753" s="6"/>
      <c r="D1753" s="6"/>
      <c r="E1753" s="6"/>
      <c r="G1753" s="6"/>
      <c r="H1753" s="6"/>
      <c r="I1753" s="6"/>
      <c r="J1753" s="6"/>
      <c r="K1753" s="6"/>
      <c r="L1753" s="6"/>
      <c r="M1753" s="6"/>
      <c r="N1753" s="672"/>
      <c r="O1753" s="6"/>
      <c r="P1753" s="6"/>
      <c r="Q1753" s="6"/>
      <c r="R1753" s="6"/>
      <c r="S1753" s="6"/>
      <c r="T1753" s="6"/>
      <c r="U1753" s="6"/>
    </row>
    <row r="1754">
      <c r="A1754" s="6"/>
      <c r="B1754" s="6"/>
      <c r="C1754" s="6"/>
      <c r="D1754" s="6"/>
      <c r="E1754" s="6"/>
      <c r="G1754" s="6"/>
      <c r="H1754" s="6"/>
      <c r="I1754" s="6"/>
      <c r="J1754" s="6"/>
      <c r="K1754" s="6"/>
      <c r="L1754" s="6"/>
      <c r="M1754" s="6"/>
      <c r="N1754" s="672"/>
      <c r="O1754" s="6"/>
      <c r="P1754" s="6"/>
      <c r="Q1754" s="6"/>
      <c r="R1754" s="6"/>
      <c r="S1754" s="6"/>
      <c r="T1754" s="6"/>
      <c r="U1754" s="6"/>
    </row>
    <row r="1755">
      <c r="A1755" s="6"/>
      <c r="B1755" s="6"/>
      <c r="C1755" s="6"/>
      <c r="D1755" s="6"/>
      <c r="E1755" s="6"/>
      <c r="G1755" s="6"/>
      <c r="H1755" s="6"/>
      <c r="I1755" s="6"/>
      <c r="J1755" s="6"/>
      <c r="K1755" s="6"/>
      <c r="L1755" s="6"/>
      <c r="M1755" s="6"/>
      <c r="N1755" s="672"/>
      <c r="O1755" s="6"/>
      <c r="P1755" s="6"/>
      <c r="Q1755" s="6"/>
      <c r="R1755" s="6"/>
      <c r="S1755" s="6"/>
      <c r="T1755" s="6"/>
      <c r="U1755" s="6"/>
    </row>
    <row r="1756">
      <c r="A1756" s="6"/>
      <c r="B1756" s="6"/>
      <c r="C1756" s="6"/>
      <c r="D1756" s="6"/>
      <c r="E1756" s="6"/>
      <c r="G1756" s="6"/>
      <c r="H1756" s="6"/>
      <c r="I1756" s="6"/>
      <c r="J1756" s="6"/>
      <c r="K1756" s="6"/>
      <c r="L1756" s="6"/>
      <c r="M1756" s="6"/>
      <c r="N1756" s="672"/>
      <c r="O1756" s="6"/>
      <c r="P1756" s="6"/>
      <c r="Q1756" s="6"/>
      <c r="R1756" s="6"/>
      <c r="S1756" s="6"/>
      <c r="T1756" s="6"/>
      <c r="U1756" s="6"/>
    </row>
    <row r="1757">
      <c r="A1757" s="6"/>
      <c r="B1757" s="6"/>
      <c r="C1757" s="6"/>
      <c r="D1757" s="6"/>
      <c r="E1757" s="6"/>
      <c r="G1757" s="6"/>
      <c r="H1757" s="6"/>
      <c r="I1757" s="6"/>
      <c r="J1757" s="6"/>
      <c r="K1757" s="6"/>
      <c r="L1757" s="6"/>
      <c r="M1757" s="6"/>
      <c r="N1757" s="672"/>
      <c r="O1757" s="6"/>
      <c r="P1757" s="6"/>
      <c r="Q1757" s="6"/>
      <c r="R1757" s="6"/>
      <c r="S1757" s="6"/>
      <c r="T1757" s="6"/>
      <c r="U1757" s="6"/>
    </row>
    <row r="1758">
      <c r="A1758" s="6"/>
      <c r="B1758" s="6"/>
      <c r="C1758" s="6"/>
      <c r="D1758" s="6"/>
      <c r="E1758" s="6"/>
      <c r="G1758" s="6"/>
      <c r="H1758" s="6"/>
      <c r="I1758" s="6"/>
      <c r="J1758" s="6"/>
      <c r="K1758" s="6"/>
      <c r="L1758" s="6"/>
      <c r="M1758" s="6"/>
      <c r="N1758" s="672"/>
      <c r="O1758" s="6"/>
      <c r="P1758" s="6"/>
      <c r="Q1758" s="6"/>
      <c r="R1758" s="6"/>
      <c r="S1758" s="6"/>
      <c r="T1758" s="6"/>
      <c r="U1758" s="6"/>
    </row>
    <row r="1759">
      <c r="A1759" s="6"/>
      <c r="B1759" s="6"/>
      <c r="C1759" s="6"/>
      <c r="D1759" s="6"/>
      <c r="E1759" s="6"/>
      <c r="G1759" s="6"/>
      <c r="H1759" s="6"/>
      <c r="I1759" s="6"/>
      <c r="J1759" s="6"/>
      <c r="K1759" s="6"/>
      <c r="L1759" s="6"/>
      <c r="M1759" s="6"/>
      <c r="N1759" s="672"/>
      <c r="O1759" s="6"/>
      <c r="P1759" s="6"/>
      <c r="Q1759" s="6"/>
      <c r="R1759" s="6"/>
      <c r="S1759" s="6"/>
      <c r="T1759" s="6"/>
      <c r="U1759" s="6"/>
    </row>
    <row r="1760">
      <c r="A1760" s="6"/>
      <c r="B1760" s="6"/>
      <c r="C1760" s="6"/>
      <c r="D1760" s="6"/>
      <c r="E1760" s="6"/>
      <c r="G1760" s="6"/>
      <c r="H1760" s="6"/>
      <c r="I1760" s="6"/>
      <c r="J1760" s="6"/>
      <c r="K1760" s="6"/>
      <c r="L1760" s="6"/>
      <c r="M1760" s="6"/>
      <c r="N1760" s="672"/>
      <c r="O1760" s="6"/>
      <c r="P1760" s="6"/>
      <c r="Q1760" s="6"/>
      <c r="R1760" s="6"/>
      <c r="S1760" s="6"/>
      <c r="T1760" s="6"/>
      <c r="U1760" s="6"/>
    </row>
    <row r="1761">
      <c r="A1761" s="6"/>
      <c r="B1761" s="6"/>
      <c r="C1761" s="6"/>
      <c r="D1761" s="6"/>
      <c r="E1761" s="6"/>
      <c r="G1761" s="6"/>
      <c r="H1761" s="6"/>
      <c r="I1761" s="6"/>
      <c r="J1761" s="6"/>
      <c r="K1761" s="6"/>
      <c r="L1761" s="6"/>
      <c r="M1761" s="6"/>
      <c r="N1761" s="672"/>
      <c r="O1761" s="6"/>
      <c r="P1761" s="6"/>
      <c r="Q1761" s="6"/>
      <c r="R1761" s="6"/>
      <c r="S1761" s="6"/>
      <c r="T1761" s="6"/>
      <c r="U1761" s="6"/>
    </row>
    <row r="1762">
      <c r="A1762" s="6"/>
      <c r="B1762" s="6"/>
      <c r="C1762" s="6"/>
      <c r="D1762" s="6"/>
      <c r="E1762" s="6"/>
      <c r="G1762" s="6"/>
      <c r="H1762" s="6"/>
      <c r="I1762" s="6"/>
      <c r="J1762" s="6"/>
      <c r="K1762" s="6"/>
      <c r="L1762" s="6"/>
      <c r="M1762" s="6"/>
      <c r="N1762" s="672"/>
      <c r="O1762" s="6"/>
      <c r="P1762" s="6"/>
      <c r="Q1762" s="6"/>
      <c r="R1762" s="6"/>
      <c r="S1762" s="6"/>
      <c r="T1762" s="6"/>
      <c r="U1762" s="6"/>
    </row>
    <row r="1763">
      <c r="A1763" s="6"/>
      <c r="B1763" s="6"/>
      <c r="C1763" s="6"/>
      <c r="D1763" s="6"/>
      <c r="E1763" s="6"/>
      <c r="G1763" s="6"/>
      <c r="H1763" s="6"/>
      <c r="I1763" s="6"/>
      <c r="J1763" s="6"/>
      <c r="K1763" s="6"/>
      <c r="L1763" s="6"/>
      <c r="M1763" s="6"/>
      <c r="N1763" s="672"/>
      <c r="O1763" s="6"/>
      <c r="P1763" s="6"/>
      <c r="Q1763" s="6"/>
      <c r="R1763" s="6"/>
      <c r="S1763" s="6"/>
      <c r="T1763" s="6"/>
      <c r="U1763" s="6"/>
    </row>
    <row r="1764">
      <c r="A1764" s="6"/>
      <c r="B1764" s="6"/>
      <c r="C1764" s="6"/>
      <c r="D1764" s="6"/>
      <c r="E1764" s="6"/>
      <c r="G1764" s="6"/>
      <c r="H1764" s="6"/>
      <c r="I1764" s="6"/>
      <c r="J1764" s="6"/>
      <c r="K1764" s="6"/>
      <c r="L1764" s="6"/>
      <c r="M1764" s="6"/>
      <c r="N1764" s="672"/>
      <c r="O1764" s="6"/>
      <c r="P1764" s="6"/>
      <c r="Q1764" s="6"/>
      <c r="R1764" s="6"/>
      <c r="S1764" s="6"/>
      <c r="T1764" s="6"/>
      <c r="U1764" s="6"/>
    </row>
    <row r="1765">
      <c r="A1765" s="6"/>
      <c r="B1765" s="6"/>
      <c r="C1765" s="6"/>
      <c r="D1765" s="6"/>
      <c r="E1765" s="6"/>
      <c r="G1765" s="6"/>
      <c r="H1765" s="6"/>
      <c r="I1765" s="6"/>
      <c r="J1765" s="6"/>
      <c r="K1765" s="6"/>
      <c r="L1765" s="6"/>
      <c r="M1765" s="6"/>
      <c r="N1765" s="672"/>
      <c r="O1765" s="6"/>
      <c r="P1765" s="6"/>
      <c r="Q1765" s="6"/>
      <c r="R1765" s="6"/>
      <c r="S1765" s="6"/>
      <c r="T1765" s="6"/>
      <c r="U1765" s="6"/>
    </row>
    <row r="1766">
      <c r="A1766" s="6"/>
      <c r="B1766" s="6"/>
      <c r="C1766" s="6"/>
      <c r="D1766" s="6"/>
      <c r="E1766" s="6"/>
      <c r="G1766" s="6"/>
      <c r="H1766" s="6"/>
      <c r="I1766" s="6"/>
      <c r="J1766" s="6"/>
      <c r="K1766" s="6"/>
      <c r="L1766" s="6"/>
      <c r="M1766" s="6"/>
      <c r="N1766" s="672"/>
      <c r="O1766" s="6"/>
      <c r="P1766" s="6"/>
      <c r="Q1766" s="6"/>
      <c r="R1766" s="6"/>
      <c r="S1766" s="6"/>
      <c r="T1766" s="6"/>
      <c r="U1766" s="6"/>
    </row>
    <row r="1767">
      <c r="A1767" s="6"/>
      <c r="B1767" s="6"/>
      <c r="C1767" s="6"/>
      <c r="D1767" s="6"/>
      <c r="E1767" s="6"/>
      <c r="G1767" s="6"/>
      <c r="H1767" s="6"/>
      <c r="I1767" s="6"/>
      <c r="J1767" s="6"/>
      <c r="K1767" s="6"/>
      <c r="L1767" s="6"/>
      <c r="M1767" s="6"/>
      <c r="N1767" s="672"/>
      <c r="O1767" s="6"/>
      <c r="P1767" s="6"/>
      <c r="Q1767" s="6"/>
      <c r="R1767" s="6"/>
      <c r="S1767" s="6"/>
      <c r="T1767" s="6"/>
      <c r="U1767" s="6"/>
    </row>
    <row r="1768">
      <c r="A1768" s="6"/>
      <c r="B1768" s="6"/>
      <c r="C1768" s="6"/>
      <c r="D1768" s="6"/>
      <c r="E1768" s="6"/>
      <c r="G1768" s="6"/>
      <c r="H1768" s="6"/>
      <c r="I1768" s="6"/>
      <c r="J1768" s="6"/>
      <c r="K1768" s="6"/>
      <c r="L1768" s="6"/>
      <c r="M1768" s="6"/>
      <c r="N1768" s="672"/>
      <c r="O1768" s="6"/>
      <c r="P1768" s="6"/>
      <c r="Q1768" s="6"/>
      <c r="R1768" s="6"/>
      <c r="S1768" s="6"/>
      <c r="T1768" s="6"/>
      <c r="U1768" s="6"/>
    </row>
    <row r="1769">
      <c r="A1769" s="6"/>
      <c r="B1769" s="6"/>
      <c r="C1769" s="6"/>
      <c r="D1769" s="6"/>
      <c r="E1769" s="6"/>
      <c r="G1769" s="6"/>
      <c r="H1769" s="6"/>
      <c r="I1769" s="6"/>
      <c r="J1769" s="6"/>
      <c r="K1769" s="6"/>
      <c r="L1769" s="6"/>
      <c r="M1769" s="6"/>
      <c r="N1769" s="672"/>
      <c r="O1769" s="6"/>
      <c r="P1769" s="6"/>
      <c r="Q1769" s="6"/>
      <c r="R1769" s="6"/>
      <c r="S1769" s="6"/>
      <c r="T1769" s="6"/>
      <c r="U1769" s="6"/>
    </row>
    <row r="1770">
      <c r="A1770" s="6"/>
      <c r="B1770" s="6"/>
      <c r="C1770" s="6"/>
      <c r="D1770" s="6"/>
      <c r="E1770" s="6"/>
      <c r="G1770" s="6"/>
      <c r="H1770" s="6"/>
      <c r="I1770" s="6"/>
      <c r="J1770" s="6"/>
      <c r="K1770" s="6"/>
      <c r="L1770" s="6"/>
      <c r="M1770" s="6"/>
      <c r="N1770" s="672"/>
      <c r="O1770" s="6"/>
      <c r="P1770" s="6"/>
      <c r="Q1770" s="6"/>
      <c r="R1770" s="6"/>
      <c r="S1770" s="6"/>
      <c r="T1770" s="6"/>
      <c r="U1770" s="6"/>
    </row>
    <row r="1771">
      <c r="A1771" s="6"/>
      <c r="B1771" s="6"/>
      <c r="C1771" s="6"/>
      <c r="D1771" s="6"/>
      <c r="E1771" s="6"/>
      <c r="G1771" s="6"/>
      <c r="H1771" s="6"/>
      <c r="I1771" s="6"/>
      <c r="J1771" s="6"/>
      <c r="K1771" s="6"/>
      <c r="L1771" s="6"/>
      <c r="M1771" s="6"/>
      <c r="N1771" s="672"/>
      <c r="O1771" s="6"/>
      <c r="P1771" s="6"/>
      <c r="Q1771" s="6"/>
      <c r="R1771" s="6"/>
      <c r="S1771" s="6"/>
      <c r="T1771" s="6"/>
      <c r="U1771" s="6"/>
    </row>
    <row r="1772">
      <c r="A1772" s="6"/>
      <c r="B1772" s="6"/>
      <c r="C1772" s="6"/>
      <c r="D1772" s="6"/>
      <c r="E1772" s="6"/>
      <c r="G1772" s="6"/>
      <c r="H1772" s="6"/>
      <c r="I1772" s="6"/>
      <c r="J1772" s="6"/>
      <c r="K1772" s="6"/>
      <c r="L1772" s="6"/>
      <c r="M1772" s="6"/>
      <c r="N1772" s="672"/>
      <c r="O1772" s="6"/>
      <c r="P1772" s="6"/>
      <c r="Q1772" s="6"/>
      <c r="R1772" s="6"/>
      <c r="S1772" s="6"/>
      <c r="T1772" s="6"/>
      <c r="U1772" s="6"/>
    </row>
    <row r="1773">
      <c r="A1773" s="6"/>
      <c r="B1773" s="6"/>
      <c r="C1773" s="6"/>
      <c r="D1773" s="6"/>
      <c r="E1773" s="6"/>
      <c r="G1773" s="6"/>
      <c r="H1773" s="6"/>
      <c r="I1773" s="6"/>
      <c r="J1773" s="6"/>
      <c r="K1773" s="6"/>
      <c r="L1773" s="6"/>
      <c r="M1773" s="6"/>
      <c r="N1773" s="672"/>
      <c r="O1773" s="6"/>
      <c r="P1773" s="6"/>
      <c r="Q1773" s="6"/>
      <c r="R1773" s="6"/>
      <c r="S1773" s="6"/>
      <c r="T1773" s="6"/>
      <c r="U1773" s="6"/>
    </row>
    <row r="1774">
      <c r="A1774" s="6"/>
      <c r="B1774" s="6"/>
      <c r="C1774" s="6"/>
      <c r="D1774" s="6"/>
      <c r="E1774" s="6"/>
      <c r="G1774" s="6"/>
      <c r="H1774" s="6"/>
      <c r="I1774" s="6"/>
      <c r="J1774" s="6"/>
      <c r="K1774" s="6"/>
      <c r="L1774" s="6"/>
      <c r="M1774" s="6"/>
      <c r="N1774" s="672"/>
      <c r="O1774" s="6"/>
      <c r="P1774" s="6"/>
      <c r="Q1774" s="6"/>
      <c r="R1774" s="6"/>
      <c r="S1774" s="6"/>
      <c r="T1774" s="6"/>
      <c r="U1774" s="6"/>
    </row>
    <row r="1775">
      <c r="A1775" s="6"/>
      <c r="B1775" s="6"/>
      <c r="C1775" s="6"/>
      <c r="D1775" s="6"/>
      <c r="E1775" s="6"/>
      <c r="G1775" s="6"/>
      <c r="H1775" s="6"/>
      <c r="I1775" s="6"/>
      <c r="J1775" s="6"/>
      <c r="K1775" s="6"/>
      <c r="L1775" s="6"/>
      <c r="M1775" s="6"/>
      <c r="N1775" s="672"/>
      <c r="O1775" s="6"/>
      <c r="P1775" s="6"/>
      <c r="Q1775" s="6"/>
      <c r="R1775" s="6"/>
      <c r="S1775" s="6"/>
      <c r="T1775" s="6"/>
      <c r="U1775" s="6"/>
    </row>
    <row r="1776">
      <c r="A1776" s="6"/>
      <c r="B1776" s="6"/>
      <c r="C1776" s="6"/>
      <c r="D1776" s="6"/>
      <c r="E1776" s="6"/>
      <c r="G1776" s="6"/>
      <c r="H1776" s="6"/>
      <c r="I1776" s="6"/>
      <c r="J1776" s="6"/>
      <c r="K1776" s="6"/>
      <c r="L1776" s="6"/>
      <c r="M1776" s="6"/>
      <c r="N1776" s="672"/>
      <c r="O1776" s="6"/>
      <c r="P1776" s="6"/>
      <c r="Q1776" s="6"/>
      <c r="R1776" s="6"/>
      <c r="S1776" s="6"/>
      <c r="T1776" s="6"/>
      <c r="U1776" s="6"/>
    </row>
    <row r="1777">
      <c r="A1777" s="6"/>
      <c r="B1777" s="6"/>
      <c r="C1777" s="6"/>
      <c r="D1777" s="6"/>
      <c r="E1777" s="6"/>
      <c r="G1777" s="6"/>
      <c r="H1777" s="6"/>
      <c r="I1777" s="6"/>
      <c r="J1777" s="6"/>
      <c r="K1777" s="6"/>
      <c r="L1777" s="6"/>
      <c r="M1777" s="6"/>
      <c r="N1777" s="672"/>
      <c r="O1777" s="6"/>
      <c r="P1777" s="6"/>
      <c r="Q1777" s="6"/>
      <c r="R1777" s="6"/>
      <c r="S1777" s="6"/>
      <c r="T1777" s="6"/>
      <c r="U1777" s="6"/>
    </row>
    <row r="1778">
      <c r="A1778" s="6"/>
      <c r="B1778" s="6"/>
      <c r="C1778" s="6"/>
      <c r="D1778" s="6"/>
      <c r="E1778" s="6"/>
      <c r="G1778" s="6"/>
      <c r="H1778" s="6"/>
      <c r="I1778" s="6"/>
      <c r="J1778" s="6"/>
      <c r="K1778" s="6"/>
      <c r="L1778" s="6"/>
      <c r="M1778" s="6"/>
      <c r="N1778" s="672"/>
      <c r="O1778" s="6"/>
      <c r="P1778" s="6"/>
      <c r="Q1778" s="6"/>
      <c r="R1778" s="6"/>
      <c r="S1778" s="6"/>
      <c r="T1778" s="6"/>
      <c r="U1778" s="6"/>
    </row>
    <row r="1779">
      <c r="A1779" s="6"/>
      <c r="B1779" s="6"/>
      <c r="C1779" s="6"/>
      <c r="D1779" s="6"/>
      <c r="E1779" s="6"/>
      <c r="G1779" s="6"/>
      <c r="H1779" s="6"/>
      <c r="I1779" s="6"/>
      <c r="J1779" s="6"/>
      <c r="K1779" s="6"/>
      <c r="L1779" s="6"/>
      <c r="M1779" s="6"/>
      <c r="N1779" s="672"/>
      <c r="O1779" s="6"/>
      <c r="P1779" s="6"/>
      <c r="Q1779" s="6"/>
      <c r="R1779" s="6"/>
      <c r="S1779" s="6"/>
      <c r="T1779" s="6"/>
      <c r="U1779" s="6"/>
    </row>
    <row r="1780">
      <c r="A1780" s="6"/>
      <c r="B1780" s="6"/>
      <c r="C1780" s="6"/>
      <c r="D1780" s="6"/>
      <c r="E1780" s="6"/>
      <c r="G1780" s="6"/>
      <c r="H1780" s="6"/>
      <c r="I1780" s="6"/>
      <c r="J1780" s="6"/>
      <c r="K1780" s="6"/>
      <c r="L1780" s="6"/>
      <c r="M1780" s="6"/>
      <c r="N1780" s="672"/>
      <c r="O1780" s="6"/>
      <c r="P1780" s="6"/>
      <c r="Q1780" s="6"/>
      <c r="R1780" s="6"/>
      <c r="S1780" s="6"/>
      <c r="T1780" s="6"/>
      <c r="U1780" s="6"/>
    </row>
    <row r="1781">
      <c r="A1781" s="6"/>
      <c r="B1781" s="6"/>
      <c r="C1781" s="6"/>
      <c r="D1781" s="6"/>
      <c r="E1781" s="6"/>
      <c r="G1781" s="6"/>
      <c r="H1781" s="6"/>
      <c r="I1781" s="6"/>
      <c r="J1781" s="6"/>
      <c r="K1781" s="6"/>
      <c r="L1781" s="6"/>
      <c r="M1781" s="6"/>
      <c r="N1781" s="672"/>
      <c r="O1781" s="6"/>
      <c r="P1781" s="6"/>
      <c r="Q1781" s="6"/>
      <c r="R1781" s="6"/>
      <c r="S1781" s="6"/>
      <c r="T1781" s="6"/>
      <c r="U1781" s="6"/>
    </row>
    <row r="1782">
      <c r="A1782" s="6"/>
      <c r="B1782" s="6"/>
      <c r="C1782" s="6"/>
      <c r="D1782" s="6"/>
      <c r="E1782" s="6"/>
      <c r="G1782" s="6"/>
      <c r="H1782" s="6"/>
      <c r="I1782" s="6"/>
      <c r="J1782" s="6"/>
      <c r="K1782" s="6"/>
      <c r="L1782" s="6"/>
      <c r="M1782" s="6"/>
      <c r="N1782" s="672"/>
      <c r="O1782" s="6"/>
      <c r="P1782" s="6"/>
      <c r="Q1782" s="6"/>
      <c r="R1782" s="6"/>
      <c r="S1782" s="6"/>
      <c r="T1782" s="6"/>
      <c r="U1782" s="6"/>
    </row>
    <row r="1783">
      <c r="A1783" s="6"/>
      <c r="B1783" s="6"/>
      <c r="C1783" s="6"/>
      <c r="D1783" s="6"/>
      <c r="E1783" s="6"/>
      <c r="G1783" s="6"/>
      <c r="H1783" s="6"/>
      <c r="I1783" s="6"/>
      <c r="J1783" s="6"/>
      <c r="K1783" s="6"/>
      <c r="L1783" s="6"/>
      <c r="M1783" s="6"/>
      <c r="N1783" s="672"/>
      <c r="O1783" s="6"/>
      <c r="P1783" s="6"/>
      <c r="Q1783" s="6"/>
      <c r="R1783" s="6"/>
      <c r="S1783" s="6"/>
      <c r="T1783" s="6"/>
      <c r="U1783" s="6"/>
    </row>
    <row r="1784">
      <c r="A1784" s="6"/>
      <c r="B1784" s="6"/>
      <c r="C1784" s="6"/>
      <c r="D1784" s="6"/>
      <c r="E1784" s="6"/>
      <c r="G1784" s="6"/>
      <c r="H1784" s="6"/>
      <c r="I1784" s="6"/>
      <c r="J1784" s="6"/>
      <c r="K1784" s="6"/>
      <c r="L1784" s="6"/>
      <c r="M1784" s="6"/>
      <c r="N1784" s="672"/>
      <c r="O1784" s="6"/>
      <c r="P1784" s="6"/>
      <c r="Q1784" s="6"/>
      <c r="R1784" s="6"/>
      <c r="S1784" s="6"/>
      <c r="T1784" s="6"/>
      <c r="U1784" s="6"/>
    </row>
    <row r="1785">
      <c r="A1785" s="6"/>
      <c r="B1785" s="6"/>
      <c r="C1785" s="6"/>
      <c r="D1785" s="6"/>
      <c r="E1785" s="6"/>
      <c r="G1785" s="6"/>
      <c r="H1785" s="6"/>
      <c r="I1785" s="6"/>
      <c r="J1785" s="6"/>
      <c r="K1785" s="6"/>
      <c r="L1785" s="6"/>
      <c r="M1785" s="6"/>
      <c r="N1785" s="672"/>
      <c r="O1785" s="6"/>
      <c r="P1785" s="6"/>
      <c r="Q1785" s="6"/>
      <c r="R1785" s="6"/>
      <c r="S1785" s="6"/>
      <c r="T1785" s="6"/>
      <c r="U1785" s="6"/>
    </row>
    <row r="1786">
      <c r="A1786" s="6"/>
      <c r="B1786" s="6"/>
      <c r="C1786" s="6"/>
      <c r="D1786" s="6"/>
      <c r="E1786" s="6"/>
      <c r="G1786" s="6"/>
      <c r="H1786" s="6"/>
      <c r="I1786" s="6"/>
      <c r="J1786" s="6"/>
      <c r="K1786" s="6"/>
      <c r="L1786" s="6"/>
      <c r="M1786" s="6"/>
      <c r="N1786" s="672"/>
      <c r="O1786" s="6"/>
      <c r="P1786" s="6"/>
      <c r="Q1786" s="6"/>
      <c r="R1786" s="6"/>
      <c r="S1786" s="6"/>
      <c r="T1786" s="6"/>
      <c r="U1786" s="6"/>
    </row>
    <row r="1787">
      <c r="A1787" s="6"/>
      <c r="B1787" s="6"/>
      <c r="C1787" s="6"/>
      <c r="D1787" s="6"/>
      <c r="E1787" s="6"/>
      <c r="G1787" s="6"/>
      <c r="H1787" s="6"/>
      <c r="I1787" s="6"/>
      <c r="J1787" s="6"/>
      <c r="K1787" s="6"/>
      <c r="L1787" s="6"/>
      <c r="M1787" s="6"/>
      <c r="N1787" s="672"/>
      <c r="O1787" s="6"/>
      <c r="P1787" s="6"/>
      <c r="Q1787" s="6"/>
      <c r="R1787" s="6"/>
      <c r="S1787" s="6"/>
      <c r="T1787" s="6"/>
      <c r="U1787" s="6"/>
    </row>
    <row r="1788">
      <c r="A1788" s="6"/>
      <c r="B1788" s="6"/>
      <c r="C1788" s="6"/>
      <c r="D1788" s="6"/>
      <c r="E1788" s="6"/>
      <c r="G1788" s="6"/>
      <c r="H1788" s="6"/>
      <c r="I1788" s="6"/>
      <c r="J1788" s="6"/>
      <c r="K1788" s="6"/>
      <c r="L1788" s="6"/>
      <c r="M1788" s="6"/>
      <c r="N1788" s="672"/>
      <c r="O1788" s="6"/>
      <c r="P1788" s="6"/>
      <c r="Q1788" s="6"/>
      <c r="R1788" s="6"/>
      <c r="S1788" s="6"/>
      <c r="T1788" s="6"/>
      <c r="U1788" s="6"/>
    </row>
    <row r="1789">
      <c r="A1789" s="6"/>
      <c r="B1789" s="6"/>
      <c r="C1789" s="6"/>
      <c r="D1789" s="6"/>
      <c r="E1789" s="6"/>
      <c r="G1789" s="6"/>
      <c r="H1789" s="6"/>
      <c r="I1789" s="6"/>
      <c r="J1789" s="6"/>
      <c r="K1789" s="6"/>
      <c r="L1789" s="6"/>
      <c r="M1789" s="6"/>
      <c r="N1789" s="672"/>
      <c r="O1789" s="6"/>
      <c r="P1789" s="6"/>
      <c r="Q1789" s="6"/>
      <c r="R1789" s="6"/>
      <c r="S1789" s="6"/>
      <c r="T1789" s="6"/>
      <c r="U1789" s="6"/>
    </row>
    <row r="1790">
      <c r="A1790" s="6"/>
      <c r="B1790" s="6"/>
      <c r="C1790" s="6"/>
      <c r="D1790" s="6"/>
      <c r="E1790" s="6"/>
      <c r="G1790" s="6"/>
      <c r="H1790" s="6"/>
      <c r="I1790" s="6"/>
      <c r="J1790" s="6"/>
      <c r="K1790" s="6"/>
      <c r="L1790" s="6"/>
      <c r="M1790" s="6"/>
      <c r="N1790" s="672"/>
      <c r="O1790" s="6"/>
      <c r="P1790" s="6"/>
      <c r="Q1790" s="6"/>
      <c r="R1790" s="6"/>
      <c r="S1790" s="6"/>
      <c r="T1790" s="6"/>
      <c r="U1790" s="6"/>
    </row>
    <row r="1791">
      <c r="A1791" s="6"/>
      <c r="B1791" s="6"/>
      <c r="C1791" s="6"/>
      <c r="D1791" s="6"/>
      <c r="E1791" s="6"/>
      <c r="G1791" s="6"/>
      <c r="H1791" s="6"/>
      <c r="I1791" s="6"/>
      <c r="J1791" s="6"/>
      <c r="K1791" s="6"/>
      <c r="L1791" s="6"/>
      <c r="M1791" s="6"/>
      <c r="N1791" s="672"/>
      <c r="O1791" s="6"/>
      <c r="P1791" s="6"/>
      <c r="Q1791" s="6"/>
      <c r="R1791" s="6"/>
      <c r="S1791" s="6"/>
      <c r="T1791" s="6"/>
      <c r="U1791" s="6"/>
    </row>
    <row r="1792">
      <c r="A1792" s="6"/>
      <c r="B1792" s="6"/>
      <c r="C1792" s="6"/>
      <c r="D1792" s="6"/>
      <c r="E1792" s="6"/>
      <c r="G1792" s="6"/>
      <c r="H1792" s="6"/>
      <c r="I1792" s="6"/>
      <c r="J1792" s="6"/>
      <c r="K1792" s="6"/>
      <c r="L1792" s="6"/>
      <c r="M1792" s="6"/>
      <c r="N1792" s="672"/>
      <c r="O1792" s="6"/>
      <c r="P1792" s="6"/>
      <c r="Q1792" s="6"/>
      <c r="R1792" s="6"/>
      <c r="S1792" s="6"/>
      <c r="T1792" s="6"/>
      <c r="U1792" s="6"/>
    </row>
    <row r="1793">
      <c r="A1793" s="6"/>
      <c r="B1793" s="6"/>
      <c r="C1793" s="6"/>
      <c r="D1793" s="6"/>
      <c r="E1793" s="6"/>
      <c r="G1793" s="6"/>
      <c r="H1793" s="6"/>
      <c r="I1793" s="6"/>
      <c r="J1793" s="6"/>
      <c r="K1793" s="6"/>
      <c r="L1793" s="6"/>
      <c r="M1793" s="6"/>
      <c r="N1793" s="672"/>
      <c r="O1793" s="6"/>
      <c r="P1793" s="6"/>
      <c r="Q1793" s="6"/>
      <c r="R1793" s="6"/>
      <c r="S1793" s="6"/>
      <c r="T1793" s="6"/>
      <c r="U1793" s="6"/>
    </row>
    <row r="1794">
      <c r="A1794" s="6"/>
      <c r="B1794" s="6"/>
      <c r="C1794" s="6"/>
      <c r="D1794" s="6"/>
      <c r="E1794" s="6"/>
      <c r="G1794" s="6"/>
      <c r="H1794" s="6"/>
      <c r="I1794" s="6"/>
      <c r="J1794" s="6"/>
      <c r="K1794" s="6"/>
      <c r="L1794" s="6"/>
      <c r="M1794" s="6"/>
      <c r="N1794" s="672"/>
      <c r="O1794" s="6"/>
      <c r="P1794" s="6"/>
      <c r="Q1794" s="6"/>
      <c r="R1794" s="6"/>
      <c r="S1794" s="6"/>
      <c r="T1794" s="6"/>
      <c r="U1794" s="6"/>
    </row>
    <row r="1795">
      <c r="A1795" s="6"/>
      <c r="B1795" s="6"/>
      <c r="C1795" s="6"/>
      <c r="D1795" s="6"/>
      <c r="E1795" s="6"/>
      <c r="G1795" s="6"/>
      <c r="H1795" s="6"/>
      <c r="I1795" s="6"/>
      <c r="J1795" s="6"/>
      <c r="K1795" s="6"/>
      <c r="L1795" s="6"/>
      <c r="M1795" s="6"/>
      <c r="N1795" s="672"/>
      <c r="O1795" s="6"/>
      <c r="P1795" s="6"/>
      <c r="Q1795" s="6"/>
      <c r="R1795" s="6"/>
      <c r="S1795" s="6"/>
      <c r="T1795" s="6"/>
      <c r="U1795" s="6"/>
    </row>
    <row r="1796">
      <c r="A1796" s="6"/>
      <c r="B1796" s="6"/>
      <c r="C1796" s="6"/>
      <c r="D1796" s="6"/>
      <c r="E1796" s="6"/>
      <c r="G1796" s="6"/>
      <c r="H1796" s="6"/>
      <c r="I1796" s="6"/>
      <c r="J1796" s="6"/>
      <c r="K1796" s="6"/>
      <c r="L1796" s="6"/>
      <c r="M1796" s="6"/>
      <c r="N1796" s="672"/>
      <c r="O1796" s="6"/>
      <c r="P1796" s="6"/>
      <c r="Q1796" s="6"/>
      <c r="R1796" s="6"/>
      <c r="S1796" s="6"/>
      <c r="T1796" s="6"/>
      <c r="U1796" s="6"/>
    </row>
    <row r="1797">
      <c r="A1797" s="6"/>
      <c r="B1797" s="6"/>
      <c r="C1797" s="6"/>
      <c r="D1797" s="6"/>
      <c r="E1797" s="6"/>
      <c r="G1797" s="6"/>
      <c r="H1797" s="6"/>
      <c r="I1797" s="6"/>
      <c r="J1797" s="6"/>
      <c r="K1797" s="6"/>
      <c r="L1797" s="6"/>
      <c r="M1797" s="6"/>
      <c r="N1797" s="672"/>
      <c r="O1797" s="6"/>
      <c r="P1797" s="6"/>
      <c r="Q1797" s="6"/>
      <c r="R1797" s="6"/>
      <c r="S1797" s="6"/>
      <c r="T1797" s="6"/>
      <c r="U1797" s="6"/>
    </row>
    <row r="1798">
      <c r="A1798" s="6"/>
      <c r="B1798" s="6"/>
      <c r="C1798" s="6"/>
      <c r="D1798" s="6"/>
      <c r="E1798" s="6"/>
      <c r="G1798" s="6"/>
      <c r="H1798" s="6"/>
      <c r="I1798" s="6"/>
      <c r="J1798" s="6"/>
      <c r="K1798" s="6"/>
      <c r="L1798" s="6"/>
      <c r="M1798" s="6"/>
      <c r="N1798" s="672"/>
      <c r="O1798" s="6"/>
      <c r="P1798" s="6"/>
      <c r="Q1798" s="6"/>
      <c r="R1798" s="6"/>
      <c r="S1798" s="6"/>
      <c r="T1798" s="6"/>
      <c r="U1798" s="6"/>
    </row>
    <row r="1799">
      <c r="A1799" s="6"/>
      <c r="B1799" s="6"/>
      <c r="C1799" s="6"/>
      <c r="D1799" s="6"/>
      <c r="E1799" s="6"/>
      <c r="G1799" s="6"/>
      <c r="H1799" s="6"/>
      <c r="I1799" s="6"/>
      <c r="J1799" s="6"/>
      <c r="K1799" s="6"/>
      <c r="L1799" s="6"/>
      <c r="M1799" s="6"/>
      <c r="N1799" s="672"/>
      <c r="O1799" s="6"/>
      <c r="P1799" s="6"/>
      <c r="Q1799" s="6"/>
      <c r="R1799" s="6"/>
      <c r="S1799" s="6"/>
      <c r="T1799" s="6"/>
      <c r="U1799" s="6"/>
    </row>
    <row r="1800">
      <c r="A1800" s="6"/>
      <c r="B1800" s="6"/>
      <c r="C1800" s="6"/>
      <c r="D1800" s="6"/>
      <c r="E1800" s="6"/>
      <c r="G1800" s="6"/>
      <c r="H1800" s="6"/>
      <c r="I1800" s="6"/>
      <c r="J1800" s="6"/>
      <c r="K1800" s="6"/>
      <c r="L1800" s="6"/>
      <c r="M1800" s="6"/>
      <c r="N1800" s="672"/>
      <c r="O1800" s="6"/>
      <c r="P1800" s="6"/>
      <c r="Q1800" s="6"/>
      <c r="R1800" s="6"/>
      <c r="S1800" s="6"/>
      <c r="T1800" s="6"/>
      <c r="U1800" s="6"/>
    </row>
    <row r="1801">
      <c r="A1801" s="6"/>
      <c r="B1801" s="6"/>
      <c r="C1801" s="6"/>
      <c r="D1801" s="6"/>
      <c r="E1801" s="6"/>
      <c r="G1801" s="6"/>
      <c r="H1801" s="6"/>
      <c r="I1801" s="6"/>
      <c r="J1801" s="6"/>
      <c r="K1801" s="6"/>
      <c r="L1801" s="6"/>
      <c r="M1801" s="6"/>
      <c r="N1801" s="672"/>
      <c r="O1801" s="6"/>
      <c r="P1801" s="6"/>
      <c r="Q1801" s="6"/>
      <c r="R1801" s="6"/>
      <c r="S1801" s="6"/>
      <c r="T1801" s="6"/>
      <c r="U1801" s="6"/>
    </row>
    <row r="1802">
      <c r="A1802" s="6"/>
      <c r="B1802" s="6"/>
      <c r="C1802" s="6"/>
      <c r="D1802" s="6"/>
      <c r="E1802" s="6"/>
      <c r="G1802" s="6"/>
      <c r="H1802" s="6"/>
      <c r="I1802" s="6"/>
      <c r="J1802" s="6"/>
      <c r="K1802" s="6"/>
      <c r="L1802" s="6"/>
      <c r="M1802" s="6"/>
      <c r="N1802" s="672"/>
      <c r="O1802" s="6"/>
      <c r="P1802" s="6"/>
      <c r="Q1802" s="6"/>
      <c r="R1802" s="6"/>
      <c r="S1802" s="6"/>
      <c r="T1802" s="6"/>
      <c r="U1802" s="6"/>
    </row>
    <row r="1803">
      <c r="A1803" s="6"/>
      <c r="B1803" s="6"/>
      <c r="C1803" s="6"/>
      <c r="D1803" s="6"/>
      <c r="E1803" s="6"/>
      <c r="G1803" s="6"/>
      <c r="H1803" s="6"/>
      <c r="I1803" s="6"/>
      <c r="J1803" s="6"/>
      <c r="K1803" s="6"/>
      <c r="L1803" s="6"/>
      <c r="M1803" s="6"/>
      <c r="N1803" s="672"/>
      <c r="O1803" s="6"/>
      <c r="P1803" s="6"/>
      <c r="Q1803" s="6"/>
      <c r="R1803" s="6"/>
      <c r="S1803" s="6"/>
      <c r="T1803" s="6"/>
      <c r="U1803" s="6"/>
    </row>
    <row r="1804">
      <c r="A1804" s="6"/>
      <c r="B1804" s="6"/>
      <c r="C1804" s="6"/>
      <c r="D1804" s="6"/>
      <c r="E1804" s="6"/>
      <c r="G1804" s="6"/>
      <c r="H1804" s="6"/>
      <c r="I1804" s="6"/>
      <c r="J1804" s="6"/>
      <c r="K1804" s="6"/>
      <c r="L1804" s="6"/>
      <c r="M1804" s="6"/>
      <c r="N1804" s="672"/>
      <c r="O1804" s="6"/>
      <c r="P1804" s="6"/>
      <c r="Q1804" s="6"/>
      <c r="R1804" s="6"/>
      <c r="S1804" s="6"/>
      <c r="T1804" s="6"/>
      <c r="U1804" s="6"/>
    </row>
    <row r="1805">
      <c r="A1805" s="6"/>
      <c r="B1805" s="6"/>
      <c r="C1805" s="6"/>
      <c r="D1805" s="6"/>
      <c r="E1805" s="6"/>
      <c r="G1805" s="6"/>
      <c r="H1805" s="6"/>
      <c r="I1805" s="6"/>
      <c r="J1805" s="6"/>
      <c r="K1805" s="6"/>
      <c r="L1805" s="6"/>
      <c r="M1805" s="6"/>
      <c r="N1805" s="672"/>
      <c r="O1805" s="6"/>
      <c r="P1805" s="6"/>
      <c r="Q1805" s="6"/>
      <c r="R1805" s="6"/>
      <c r="S1805" s="6"/>
      <c r="T1805" s="6"/>
      <c r="U1805" s="6"/>
    </row>
    <row r="1806">
      <c r="A1806" s="6"/>
      <c r="B1806" s="6"/>
      <c r="C1806" s="6"/>
      <c r="D1806" s="6"/>
      <c r="E1806" s="6"/>
      <c r="G1806" s="6"/>
      <c r="H1806" s="6"/>
      <c r="I1806" s="6"/>
      <c r="J1806" s="6"/>
      <c r="K1806" s="6"/>
      <c r="L1806" s="6"/>
      <c r="M1806" s="6"/>
      <c r="N1806" s="672"/>
      <c r="O1806" s="6"/>
      <c r="P1806" s="6"/>
      <c r="Q1806" s="6"/>
      <c r="R1806" s="6"/>
      <c r="S1806" s="6"/>
      <c r="T1806" s="6"/>
      <c r="U1806" s="6"/>
    </row>
    <row r="1807">
      <c r="A1807" s="6"/>
      <c r="B1807" s="6"/>
      <c r="C1807" s="6"/>
      <c r="D1807" s="6"/>
      <c r="E1807" s="6"/>
      <c r="G1807" s="6"/>
      <c r="H1807" s="6"/>
      <c r="I1807" s="6"/>
      <c r="J1807" s="6"/>
      <c r="K1807" s="6"/>
      <c r="L1807" s="6"/>
      <c r="M1807" s="6"/>
      <c r="N1807" s="672"/>
      <c r="O1807" s="6"/>
      <c r="P1807" s="6"/>
      <c r="Q1807" s="6"/>
      <c r="R1807" s="6"/>
      <c r="S1807" s="6"/>
      <c r="T1807" s="6"/>
      <c r="U1807" s="6"/>
    </row>
    <row r="1808">
      <c r="A1808" s="6"/>
      <c r="B1808" s="6"/>
      <c r="C1808" s="6"/>
      <c r="D1808" s="6"/>
      <c r="E1808" s="6"/>
      <c r="G1808" s="6"/>
      <c r="H1808" s="6"/>
      <c r="I1808" s="6"/>
      <c r="J1808" s="6"/>
      <c r="K1808" s="6"/>
      <c r="L1808" s="6"/>
      <c r="M1808" s="6"/>
      <c r="N1808" s="672"/>
      <c r="O1808" s="6"/>
      <c r="P1808" s="6"/>
      <c r="Q1808" s="6"/>
      <c r="R1808" s="6"/>
      <c r="S1808" s="6"/>
      <c r="T1808" s="6"/>
      <c r="U1808" s="6"/>
    </row>
    <row r="1809">
      <c r="A1809" s="6"/>
      <c r="B1809" s="6"/>
      <c r="C1809" s="6"/>
      <c r="D1809" s="6"/>
      <c r="E1809" s="6"/>
      <c r="G1809" s="6"/>
      <c r="H1809" s="6"/>
      <c r="I1809" s="6"/>
      <c r="J1809" s="6"/>
      <c r="K1809" s="6"/>
      <c r="L1809" s="6"/>
      <c r="M1809" s="6"/>
      <c r="N1809" s="672"/>
      <c r="O1809" s="6"/>
      <c r="P1809" s="6"/>
      <c r="Q1809" s="6"/>
      <c r="R1809" s="6"/>
      <c r="S1809" s="6"/>
      <c r="T1809" s="6"/>
      <c r="U1809" s="6"/>
    </row>
    <row r="1810">
      <c r="A1810" s="6"/>
      <c r="B1810" s="6"/>
      <c r="C1810" s="6"/>
      <c r="D1810" s="6"/>
      <c r="E1810" s="6"/>
      <c r="G1810" s="6"/>
      <c r="H1810" s="6"/>
      <c r="I1810" s="6"/>
      <c r="J1810" s="6"/>
      <c r="K1810" s="6"/>
      <c r="L1810" s="6"/>
      <c r="M1810" s="6"/>
      <c r="N1810" s="672"/>
      <c r="O1810" s="6"/>
      <c r="P1810" s="6"/>
      <c r="Q1810" s="6"/>
      <c r="R1810" s="6"/>
      <c r="S1810" s="6"/>
      <c r="T1810" s="6"/>
      <c r="U1810" s="6"/>
    </row>
    <row r="1811">
      <c r="A1811" s="6"/>
      <c r="B1811" s="6"/>
      <c r="C1811" s="6"/>
      <c r="D1811" s="6"/>
      <c r="E1811" s="6"/>
      <c r="G1811" s="6"/>
      <c r="H1811" s="6"/>
      <c r="I1811" s="6"/>
      <c r="J1811" s="6"/>
      <c r="K1811" s="6"/>
      <c r="L1811" s="6"/>
      <c r="M1811" s="6"/>
      <c r="N1811" s="672"/>
      <c r="O1811" s="6"/>
      <c r="P1811" s="6"/>
      <c r="Q1811" s="6"/>
      <c r="R1811" s="6"/>
      <c r="S1811" s="6"/>
      <c r="T1811" s="6"/>
      <c r="U1811" s="6"/>
    </row>
    <row r="1812">
      <c r="A1812" s="6"/>
      <c r="B1812" s="6"/>
      <c r="C1812" s="6"/>
      <c r="D1812" s="6"/>
      <c r="E1812" s="6"/>
      <c r="G1812" s="6"/>
      <c r="H1812" s="6"/>
      <c r="I1812" s="6"/>
      <c r="J1812" s="6"/>
      <c r="K1812" s="6"/>
      <c r="L1812" s="6"/>
      <c r="M1812" s="6"/>
      <c r="N1812" s="672"/>
      <c r="O1812" s="6"/>
      <c r="P1812" s="6"/>
      <c r="Q1812" s="6"/>
      <c r="R1812" s="6"/>
      <c r="S1812" s="6"/>
      <c r="T1812" s="6"/>
      <c r="U1812" s="6"/>
    </row>
    <row r="1813">
      <c r="A1813" s="6"/>
      <c r="B1813" s="6"/>
      <c r="C1813" s="6"/>
      <c r="D1813" s="6"/>
      <c r="E1813" s="6"/>
      <c r="G1813" s="6"/>
      <c r="H1813" s="6"/>
      <c r="I1813" s="6"/>
      <c r="J1813" s="6"/>
      <c r="K1813" s="6"/>
      <c r="L1813" s="6"/>
      <c r="M1813" s="6"/>
      <c r="N1813" s="672"/>
      <c r="O1813" s="6"/>
      <c r="P1813" s="6"/>
      <c r="Q1813" s="6"/>
      <c r="R1813" s="6"/>
      <c r="S1813" s="6"/>
      <c r="T1813" s="6"/>
      <c r="U1813" s="6"/>
    </row>
    <row r="1814">
      <c r="A1814" s="6"/>
      <c r="B1814" s="6"/>
      <c r="C1814" s="6"/>
      <c r="D1814" s="6"/>
      <c r="E1814" s="6"/>
      <c r="G1814" s="6"/>
      <c r="H1814" s="6"/>
      <c r="I1814" s="6"/>
      <c r="J1814" s="6"/>
      <c r="K1814" s="6"/>
      <c r="L1814" s="6"/>
      <c r="M1814" s="6"/>
      <c r="N1814" s="672"/>
      <c r="O1814" s="6"/>
      <c r="P1814" s="6"/>
      <c r="Q1814" s="6"/>
      <c r="R1814" s="6"/>
      <c r="S1814" s="6"/>
      <c r="T1814" s="6"/>
      <c r="U1814" s="6"/>
    </row>
    <row r="1815">
      <c r="A1815" s="6"/>
      <c r="B1815" s="6"/>
      <c r="C1815" s="6"/>
      <c r="D1815" s="6"/>
      <c r="E1815" s="6"/>
      <c r="G1815" s="6"/>
      <c r="H1815" s="6"/>
      <c r="I1815" s="6"/>
      <c r="J1815" s="6"/>
      <c r="K1815" s="6"/>
      <c r="L1815" s="6"/>
      <c r="M1815" s="6"/>
      <c r="N1815" s="672"/>
      <c r="O1815" s="6"/>
      <c r="P1815" s="6"/>
      <c r="Q1815" s="6"/>
      <c r="R1815" s="6"/>
      <c r="S1815" s="6"/>
      <c r="T1815" s="6"/>
      <c r="U1815" s="6"/>
    </row>
    <row r="1816">
      <c r="A1816" s="6"/>
      <c r="B1816" s="6"/>
      <c r="C1816" s="6"/>
      <c r="D1816" s="6"/>
      <c r="E1816" s="6"/>
      <c r="G1816" s="6"/>
      <c r="H1816" s="6"/>
      <c r="I1816" s="6"/>
      <c r="J1816" s="6"/>
      <c r="K1816" s="6"/>
      <c r="L1816" s="6"/>
      <c r="M1816" s="6"/>
      <c r="N1816" s="672"/>
      <c r="O1816" s="6"/>
      <c r="P1816" s="6"/>
      <c r="Q1816" s="6"/>
      <c r="R1816" s="6"/>
      <c r="S1816" s="6"/>
      <c r="T1816" s="6"/>
      <c r="U1816" s="6"/>
    </row>
    <row r="1817">
      <c r="A1817" s="6"/>
      <c r="B1817" s="6"/>
      <c r="C1817" s="6"/>
      <c r="D1817" s="6"/>
      <c r="E1817" s="6"/>
      <c r="G1817" s="6"/>
      <c r="H1817" s="6"/>
      <c r="I1817" s="6"/>
      <c r="J1817" s="6"/>
      <c r="K1817" s="6"/>
      <c r="L1817" s="6"/>
      <c r="M1817" s="6"/>
      <c r="N1817" s="672"/>
      <c r="O1817" s="6"/>
      <c r="P1817" s="6"/>
      <c r="Q1817" s="6"/>
      <c r="R1817" s="6"/>
      <c r="S1817" s="6"/>
      <c r="T1817" s="6"/>
      <c r="U1817" s="6"/>
    </row>
    <row r="1818">
      <c r="A1818" s="6"/>
      <c r="B1818" s="6"/>
      <c r="C1818" s="6"/>
      <c r="D1818" s="6"/>
      <c r="E1818" s="6"/>
      <c r="G1818" s="6"/>
      <c r="H1818" s="6"/>
      <c r="I1818" s="6"/>
      <c r="J1818" s="6"/>
      <c r="K1818" s="6"/>
      <c r="L1818" s="6"/>
      <c r="M1818" s="6"/>
      <c r="N1818" s="672"/>
      <c r="O1818" s="6"/>
      <c r="P1818" s="6"/>
      <c r="Q1818" s="6"/>
      <c r="R1818" s="6"/>
      <c r="S1818" s="6"/>
      <c r="T1818" s="6"/>
      <c r="U1818" s="6"/>
    </row>
    <row r="1819">
      <c r="A1819" s="6"/>
      <c r="B1819" s="6"/>
      <c r="C1819" s="6"/>
      <c r="D1819" s="6"/>
      <c r="E1819" s="6"/>
      <c r="G1819" s="6"/>
      <c r="H1819" s="6"/>
      <c r="I1819" s="6"/>
      <c r="J1819" s="6"/>
      <c r="K1819" s="6"/>
      <c r="L1819" s="6"/>
      <c r="M1819" s="6"/>
      <c r="N1819" s="672"/>
      <c r="O1819" s="6"/>
      <c r="P1819" s="6"/>
      <c r="Q1819" s="6"/>
      <c r="R1819" s="6"/>
      <c r="S1819" s="6"/>
      <c r="T1819" s="6"/>
      <c r="U1819" s="6"/>
    </row>
    <row r="1820">
      <c r="A1820" s="6"/>
      <c r="B1820" s="6"/>
      <c r="C1820" s="6"/>
      <c r="D1820" s="6"/>
      <c r="E1820" s="6"/>
      <c r="G1820" s="6"/>
      <c r="H1820" s="6"/>
      <c r="I1820" s="6"/>
      <c r="J1820" s="6"/>
      <c r="K1820" s="6"/>
      <c r="L1820" s="6"/>
      <c r="M1820" s="6"/>
      <c r="N1820" s="672"/>
      <c r="O1820" s="6"/>
      <c r="P1820" s="6"/>
      <c r="Q1820" s="6"/>
      <c r="R1820" s="6"/>
      <c r="S1820" s="6"/>
      <c r="T1820" s="6"/>
      <c r="U1820" s="6"/>
    </row>
    <row r="1821">
      <c r="A1821" s="6"/>
      <c r="B1821" s="6"/>
      <c r="C1821" s="6"/>
      <c r="D1821" s="6"/>
      <c r="E1821" s="6"/>
      <c r="G1821" s="6"/>
      <c r="H1821" s="6"/>
      <c r="I1821" s="6"/>
      <c r="J1821" s="6"/>
      <c r="K1821" s="6"/>
      <c r="L1821" s="6"/>
      <c r="M1821" s="6"/>
      <c r="N1821" s="672"/>
      <c r="O1821" s="6"/>
      <c r="P1821" s="6"/>
      <c r="Q1821" s="6"/>
      <c r="R1821" s="6"/>
      <c r="S1821" s="6"/>
      <c r="T1821" s="6"/>
      <c r="U1821" s="6"/>
    </row>
    <row r="1822">
      <c r="A1822" s="6"/>
      <c r="B1822" s="6"/>
      <c r="C1822" s="6"/>
      <c r="D1822" s="6"/>
      <c r="E1822" s="6"/>
      <c r="G1822" s="6"/>
      <c r="H1822" s="6"/>
      <c r="I1822" s="6"/>
      <c r="J1822" s="6"/>
      <c r="K1822" s="6"/>
      <c r="L1822" s="6"/>
      <c r="M1822" s="6"/>
      <c r="N1822" s="672"/>
      <c r="O1822" s="6"/>
      <c r="P1822" s="6"/>
      <c r="Q1822" s="6"/>
      <c r="R1822" s="6"/>
      <c r="S1822" s="6"/>
      <c r="T1822" s="6"/>
      <c r="U1822" s="6"/>
    </row>
    <row r="1823">
      <c r="A1823" s="6"/>
      <c r="B1823" s="6"/>
      <c r="C1823" s="6"/>
      <c r="D1823" s="6"/>
      <c r="E1823" s="6"/>
      <c r="G1823" s="6"/>
      <c r="H1823" s="6"/>
      <c r="I1823" s="6"/>
      <c r="J1823" s="6"/>
      <c r="K1823" s="6"/>
      <c r="L1823" s="6"/>
      <c r="M1823" s="6"/>
      <c r="N1823" s="672"/>
      <c r="O1823" s="6"/>
      <c r="P1823" s="6"/>
      <c r="Q1823" s="6"/>
      <c r="R1823" s="6"/>
      <c r="S1823" s="6"/>
      <c r="T1823" s="6"/>
      <c r="U1823" s="6"/>
    </row>
    <row r="1824">
      <c r="A1824" s="6"/>
      <c r="B1824" s="6"/>
      <c r="C1824" s="6"/>
      <c r="D1824" s="6"/>
      <c r="E1824" s="6"/>
      <c r="G1824" s="6"/>
      <c r="H1824" s="6"/>
      <c r="I1824" s="6"/>
      <c r="J1824" s="6"/>
      <c r="K1824" s="6"/>
      <c r="L1824" s="6"/>
      <c r="M1824" s="6"/>
      <c r="N1824" s="672"/>
      <c r="O1824" s="6"/>
      <c r="P1824" s="6"/>
      <c r="Q1824" s="6"/>
      <c r="R1824" s="6"/>
      <c r="S1824" s="6"/>
      <c r="T1824" s="6"/>
      <c r="U1824" s="6"/>
    </row>
    <row r="1825">
      <c r="A1825" s="6"/>
      <c r="B1825" s="6"/>
      <c r="C1825" s="6"/>
      <c r="D1825" s="6"/>
      <c r="E1825" s="6"/>
      <c r="G1825" s="6"/>
      <c r="H1825" s="6"/>
      <c r="I1825" s="6"/>
      <c r="J1825" s="6"/>
      <c r="K1825" s="6"/>
      <c r="L1825" s="6"/>
      <c r="M1825" s="6"/>
      <c r="N1825" s="672"/>
      <c r="O1825" s="6"/>
      <c r="P1825" s="6"/>
      <c r="Q1825" s="6"/>
      <c r="R1825" s="6"/>
      <c r="S1825" s="6"/>
      <c r="T1825" s="6"/>
      <c r="U1825" s="6"/>
    </row>
    <row r="1826">
      <c r="A1826" s="6"/>
      <c r="B1826" s="6"/>
      <c r="C1826" s="6"/>
      <c r="D1826" s="6"/>
      <c r="E1826" s="6"/>
      <c r="G1826" s="6"/>
      <c r="H1826" s="6"/>
      <c r="I1826" s="6"/>
      <c r="J1826" s="6"/>
      <c r="K1826" s="6"/>
      <c r="L1826" s="6"/>
      <c r="M1826" s="6"/>
      <c r="N1826" s="672"/>
      <c r="O1826" s="6"/>
      <c r="P1826" s="6"/>
      <c r="Q1826" s="6"/>
      <c r="R1826" s="6"/>
      <c r="S1826" s="6"/>
      <c r="T1826" s="6"/>
      <c r="U1826" s="6"/>
    </row>
    <row r="1827">
      <c r="A1827" s="6"/>
      <c r="B1827" s="6"/>
      <c r="C1827" s="6"/>
      <c r="D1827" s="6"/>
      <c r="E1827" s="6"/>
      <c r="G1827" s="6"/>
      <c r="H1827" s="6"/>
      <c r="I1827" s="6"/>
      <c r="J1827" s="6"/>
      <c r="K1827" s="6"/>
      <c r="L1827" s="6"/>
      <c r="M1827" s="6"/>
      <c r="N1827" s="672"/>
      <c r="O1827" s="6"/>
      <c r="P1827" s="6"/>
      <c r="Q1827" s="6"/>
      <c r="R1827" s="6"/>
      <c r="S1827" s="6"/>
      <c r="T1827" s="6"/>
      <c r="U1827" s="6"/>
    </row>
    <row r="1828">
      <c r="A1828" s="6"/>
      <c r="B1828" s="6"/>
      <c r="C1828" s="6"/>
      <c r="D1828" s="6"/>
      <c r="E1828" s="6"/>
      <c r="G1828" s="6"/>
      <c r="H1828" s="6"/>
      <c r="I1828" s="6"/>
      <c r="J1828" s="6"/>
      <c r="K1828" s="6"/>
      <c r="L1828" s="6"/>
      <c r="M1828" s="6"/>
      <c r="N1828" s="672"/>
      <c r="O1828" s="6"/>
      <c r="P1828" s="6"/>
      <c r="Q1828" s="6"/>
      <c r="R1828" s="6"/>
      <c r="S1828" s="6"/>
      <c r="T1828" s="6"/>
      <c r="U1828" s="6"/>
    </row>
    <row r="1829">
      <c r="A1829" s="6"/>
      <c r="B1829" s="6"/>
      <c r="C1829" s="6"/>
      <c r="D1829" s="6"/>
      <c r="E1829" s="6"/>
      <c r="G1829" s="6"/>
      <c r="H1829" s="6"/>
      <c r="I1829" s="6"/>
      <c r="J1829" s="6"/>
      <c r="K1829" s="6"/>
      <c r="L1829" s="6"/>
      <c r="M1829" s="6"/>
      <c r="N1829" s="672"/>
      <c r="O1829" s="6"/>
      <c r="P1829" s="6"/>
      <c r="Q1829" s="6"/>
      <c r="R1829" s="6"/>
      <c r="S1829" s="6"/>
      <c r="T1829" s="6"/>
      <c r="U1829" s="6"/>
    </row>
    <row r="1830">
      <c r="A1830" s="6"/>
      <c r="B1830" s="6"/>
      <c r="C1830" s="6"/>
      <c r="D1830" s="6"/>
      <c r="E1830" s="6"/>
      <c r="G1830" s="6"/>
      <c r="H1830" s="6"/>
      <c r="I1830" s="6"/>
      <c r="J1830" s="6"/>
      <c r="K1830" s="6"/>
      <c r="L1830" s="6"/>
      <c r="M1830" s="6"/>
      <c r="N1830" s="672"/>
      <c r="O1830" s="6"/>
      <c r="P1830" s="6"/>
      <c r="Q1830" s="6"/>
      <c r="R1830" s="6"/>
      <c r="S1830" s="6"/>
      <c r="T1830" s="6"/>
      <c r="U1830" s="6"/>
    </row>
    <row r="1831">
      <c r="A1831" s="6"/>
      <c r="B1831" s="6"/>
      <c r="C1831" s="6"/>
      <c r="D1831" s="6"/>
      <c r="E1831" s="6"/>
      <c r="G1831" s="6"/>
      <c r="H1831" s="6"/>
      <c r="I1831" s="6"/>
      <c r="J1831" s="6"/>
      <c r="K1831" s="6"/>
      <c r="L1831" s="6"/>
      <c r="M1831" s="6"/>
      <c r="N1831" s="672"/>
      <c r="O1831" s="6"/>
      <c r="P1831" s="6"/>
      <c r="Q1831" s="6"/>
      <c r="R1831" s="6"/>
      <c r="S1831" s="6"/>
      <c r="T1831" s="6"/>
      <c r="U1831" s="6"/>
    </row>
    <row r="1832">
      <c r="A1832" s="6"/>
      <c r="B1832" s="6"/>
      <c r="C1832" s="6"/>
      <c r="D1832" s="6"/>
      <c r="E1832" s="6"/>
      <c r="G1832" s="6"/>
      <c r="H1832" s="6"/>
      <c r="I1832" s="6"/>
      <c r="J1832" s="6"/>
      <c r="K1832" s="6"/>
      <c r="L1832" s="6"/>
      <c r="M1832" s="6"/>
      <c r="N1832" s="672"/>
      <c r="O1832" s="6"/>
      <c r="P1832" s="6"/>
      <c r="Q1832" s="6"/>
      <c r="R1832" s="6"/>
      <c r="S1832" s="6"/>
      <c r="T1832" s="6"/>
      <c r="U1832" s="6"/>
    </row>
    <row r="1833">
      <c r="A1833" s="6"/>
      <c r="B1833" s="6"/>
      <c r="C1833" s="6"/>
      <c r="D1833" s="6"/>
      <c r="E1833" s="6"/>
      <c r="G1833" s="6"/>
      <c r="H1833" s="6"/>
      <c r="I1833" s="6"/>
      <c r="J1833" s="6"/>
      <c r="K1833" s="6"/>
      <c r="L1833" s="6"/>
      <c r="M1833" s="6"/>
      <c r="N1833" s="672"/>
      <c r="O1833" s="6"/>
      <c r="P1833" s="6"/>
      <c r="Q1833" s="6"/>
      <c r="R1833" s="6"/>
      <c r="S1833" s="6"/>
      <c r="T1833" s="6"/>
      <c r="U1833" s="6"/>
    </row>
    <row r="1834">
      <c r="A1834" s="6"/>
      <c r="B1834" s="6"/>
      <c r="C1834" s="6"/>
      <c r="D1834" s="6"/>
      <c r="E1834" s="6"/>
      <c r="G1834" s="6"/>
      <c r="H1834" s="6"/>
      <c r="I1834" s="6"/>
      <c r="J1834" s="6"/>
      <c r="K1834" s="6"/>
      <c r="L1834" s="6"/>
      <c r="M1834" s="6"/>
      <c r="N1834" s="672"/>
      <c r="O1834" s="6"/>
      <c r="P1834" s="6"/>
      <c r="Q1834" s="6"/>
      <c r="R1834" s="6"/>
      <c r="S1834" s="6"/>
      <c r="T1834" s="6"/>
      <c r="U1834" s="6"/>
    </row>
    <row r="1835">
      <c r="A1835" s="6"/>
      <c r="B1835" s="6"/>
      <c r="C1835" s="6"/>
      <c r="D1835" s="6"/>
      <c r="E1835" s="6"/>
      <c r="G1835" s="6"/>
      <c r="H1835" s="6"/>
      <c r="I1835" s="6"/>
      <c r="J1835" s="6"/>
      <c r="K1835" s="6"/>
      <c r="L1835" s="6"/>
      <c r="M1835" s="6"/>
      <c r="N1835" s="672"/>
      <c r="O1835" s="6"/>
      <c r="P1835" s="6"/>
      <c r="Q1835" s="6"/>
      <c r="R1835" s="6"/>
      <c r="S1835" s="6"/>
      <c r="T1835" s="6"/>
      <c r="U1835" s="6"/>
    </row>
    <row r="1836">
      <c r="A1836" s="6"/>
      <c r="B1836" s="6"/>
      <c r="C1836" s="6"/>
      <c r="D1836" s="6"/>
      <c r="E1836" s="6"/>
      <c r="G1836" s="6"/>
      <c r="H1836" s="6"/>
      <c r="I1836" s="6"/>
      <c r="J1836" s="6"/>
      <c r="K1836" s="6"/>
      <c r="L1836" s="6"/>
      <c r="M1836" s="6"/>
      <c r="N1836" s="672"/>
      <c r="O1836" s="6"/>
      <c r="P1836" s="6"/>
      <c r="Q1836" s="6"/>
      <c r="R1836" s="6"/>
      <c r="S1836" s="6"/>
      <c r="T1836" s="6"/>
      <c r="U1836" s="6"/>
    </row>
    <row r="1837">
      <c r="A1837" s="6"/>
      <c r="B1837" s="6"/>
      <c r="C1837" s="6"/>
      <c r="D1837" s="6"/>
      <c r="E1837" s="6"/>
      <c r="G1837" s="6"/>
      <c r="H1837" s="6"/>
      <c r="I1837" s="6"/>
      <c r="J1837" s="6"/>
      <c r="K1837" s="6"/>
      <c r="L1837" s="6"/>
      <c r="M1837" s="6"/>
      <c r="N1837" s="672"/>
      <c r="O1837" s="6"/>
      <c r="P1837" s="6"/>
      <c r="Q1837" s="6"/>
      <c r="R1837" s="6"/>
      <c r="S1837" s="6"/>
      <c r="T1837" s="6"/>
      <c r="U1837" s="6"/>
    </row>
    <row r="1838">
      <c r="A1838" s="6"/>
      <c r="B1838" s="6"/>
      <c r="C1838" s="6"/>
      <c r="D1838" s="6"/>
      <c r="E1838" s="6"/>
      <c r="G1838" s="6"/>
      <c r="H1838" s="6"/>
      <c r="I1838" s="6"/>
      <c r="J1838" s="6"/>
      <c r="K1838" s="6"/>
      <c r="L1838" s="6"/>
      <c r="M1838" s="6"/>
      <c r="N1838" s="672"/>
      <c r="O1838" s="6"/>
      <c r="P1838" s="6"/>
      <c r="Q1838" s="6"/>
      <c r="R1838" s="6"/>
      <c r="S1838" s="6"/>
      <c r="T1838" s="6"/>
      <c r="U1838" s="6"/>
    </row>
    <row r="1839">
      <c r="A1839" s="6"/>
      <c r="B1839" s="6"/>
      <c r="C1839" s="6"/>
      <c r="D1839" s="6"/>
      <c r="E1839" s="6"/>
      <c r="G1839" s="6"/>
      <c r="H1839" s="6"/>
      <c r="I1839" s="6"/>
      <c r="J1839" s="6"/>
      <c r="K1839" s="6"/>
      <c r="L1839" s="6"/>
      <c r="M1839" s="6"/>
      <c r="N1839" s="672"/>
      <c r="O1839" s="6"/>
      <c r="P1839" s="6"/>
      <c r="Q1839" s="6"/>
      <c r="R1839" s="6"/>
      <c r="S1839" s="6"/>
      <c r="T1839" s="6"/>
      <c r="U1839" s="6"/>
    </row>
    <row r="1840">
      <c r="A1840" s="6"/>
      <c r="B1840" s="6"/>
      <c r="C1840" s="6"/>
      <c r="D1840" s="6"/>
      <c r="E1840" s="6"/>
      <c r="G1840" s="6"/>
      <c r="H1840" s="6"/>
      <c r="I1840" s="6"/>
      <c r="J1840" s="6"/>
      <c r="K1840" s="6"/>
      <c r="L1840" s="6"/>
      <c r="M1840" s="6"/>
      <c r="N1840" s="672"/>
      <c r="O1840" s="6"/>
      <c r="P1840" s="6"/>
      <c r="Q1840" s="6"/>
      <c r="R1840" s="6"/>
      <c r="S1840" s="6"/>
      <c r="T1840" s="6"/>
      <c r="U1840" s="6"/>
    </row>
    <row r="1841">
      <c r="A1841" s="6"/>
      <c r="B1841" s="6"/>
      <c r="C1841" s="6"/>
      <c r="D1841" s="6"/>
      <c r="E1841" s="6"/>
      <c r="G1841" s="6"/>
      <c r="H1841" s="6"/>
      <c r="I1841" s="6"/>
      <c r="J1841" s="6"/>
      <c r="K1841" s="6"/>
      <c r="L1841" s="6"/>
      <c r="M1841" s="6"/>
      <c r="N1841" s="672"/>
      <c r="O1841" s="6"/>
      <c r="P1841" s="6"/>
      <c r="Q1841" s="6"/>
      <c r="R1841" s="6"/>
      <c r="S1841" s="6"/>
      <c r="T1841" s="6"/>
      <c r="U1841" s="6"/>
    </row>
    <row r="1842">
      <c r="A1842" s="6"/>
      <c r="B1842" s="6"/>
      <c r="C1842" s="6"/>
      <c r="D1842" s="6"/>
      <c r="E1842" s="6"/>
      <c r="G1842" s="6"/>
      <c r="H1842" s="6"/>
      <c r="I1842" s="6"/>
      <c r="J1842" s="6"/>
      <c r="K1842" s="6"/>
      <c r="L1842" s="6"/>
      <c r="M1842" s="6"/>
      <c r="N1842" s="672"/>
      <c r="O1842" s="6"/>
      <c r="P1842" s="6"/>
      <c r="Q1842" s="6"/>
      <c r="R1842" s="6"/>
      <c r="S1842" s="6"/>
      <c r="T1842" s="6"/>
      <c r="U1842" s="6"/>
    </row>
    <row r="1843">
      <c r="A1843" s="6"/>
      <c r="B1843" s="6"/>
      <c r="C1843" s="6"/>
      <c r="D1843" s="6"/>
      <c r="E1843" s="6"/>
      <c r="G1843" s="6"/>
      <c r="H1843" s="6"/>
      <c r="I1843" s="6"/>
      <c r="J1843" s="6"/>
      <c r="K1843" s="6"/>
      <c r="L1843" s="6"/>
      <c r="M1843" s="6"/>
      <c r="N1843" s="672"/>
      <c r="O1843" s="6"/>
      <c r="P1843" s="6"/>
      <c r="Q1843" s="6"/>
      <c r="R1843" s="6"/>
      <c r="S1843" s="6"/>
      <c r="T1843" s="6"/>
      <c r="U1843" s="6"/>
    </row>
    <row r="1844">
      <c r="A1844" s="6"/>
      <c r="B1844" s="6"/>
      <c r="C1844" s="6"/>
      <c r="D1844" s="6"/>
      <c r="E1844" s="6"/>
      <c r="G1844" s="6"/>
      <c r="H1844" s="6"/>
      <c r="I1844" s="6"/>
      <c r="J1844" s="6"/>
      <c r="K1844" s="6"/>
      <c r="L1844" s="6"/>
      <c r="M1844" s="6"/>
      <c r="N1844" s="672"/>
      <c r="O1844" s="6"/>
      <c r="P1844" s="6"/>
      <c r="Q1844" s="6"/>
      <c r="R1844" s="6"/>
      <c r="S1844" s="6"/>
      <c r="T1844" s="6"/>
      <c r="U1844" s="6"/>
    </row>
    <row r="1845">
      <c r="A1845" s="6"/>
      <c r="B1845" s="6"/>
      <c r="C1845" s="6"/>
      <c r="D1845" s="6"/>
      <c r="E1845" s="6"/>
      <c r="G1845" s="6"/>
      <c r="H1845" s="6"/>
      <c r="I1845" s="6"/>
      <c r="J1845" s="6"/>
      <c r="K1845" s="6"/>
      <c r="L1845" s="6"/>
      <c r="M1845" s="6"/>
      <c r="N1845" s="672"/>
      <c r="O1845" s="6"/>
      <c r="P1845" s="6"/>
      <c r="Q1845" s="6"/>
      <c r="R1845" s="6"/>
      <c r="S1845" s="6"/>
      <c r="T1845" s="6"/>
      <c r="U1845" s="6"/>
    </row>
    <row r="1846">
      <c r="A1846" s="6"/>
      <c r="B1846" s="6"/>
      <c r="C1846" s="6"/>
      <c r="D1846" s="6"/>
      <c r="E1846" s="6"/>
      <c r="G1846" s="6"/>
      <c r="H1846" s="6"/>
      <c r="I1846" s="6"/>
      <c r="J1846" s="6"/>
      <c r="K1846" s="6"/>
      <c r="L1846" s="6"/>
      <c r="M1846" s="6"/>
      <c r="N1846" s="672"/>
      <c r="O1846" s="6"/>
      <c r="P1846" s="6"/>
      <c r="Q1846" s="6"/>
      <c r="R1846" s="6"/>
      <c r="S1846" s="6"/>
      <c r="T1846" s="6"/>
      <c r="U1846" s="6"/>
    </row>
    <row r="1847">
      <c r="A1847" s="6"/>
      <c r="B1847" s="6"/>
      <c r="C1847" s="6"/>
      <c r="D1847" s="6"/>
      <c r="E1847" s="6"/>
      <c r="G1847" s="6"/>
      <c r="H1847" s="6"/>
      <c r="I1847" s="6"/>
      <c r="J1847" s="6"/>
      <c r="K1847" s="6"/>
      <c r="L1847" s="6"/>
      <c r="M1847" s="6"/>
      <c r="N1847" s="672"/>
      <c r="O1847" s="6"/>
      <c r="P1847" s="6"/>
      <c r="Q1847" s="6"/>
      <c r="R1847" s="6"/>
      <c r="S1847" s="6"/>
      <c r="T1847" s="6"/>
      <c r="U1847" s="6"/>
    </row>
    <row r="1848">
      <c r="A1848" s="6"/>
      <c r="B1848" s="6"/>
      <c r="C1848" s="6"/>
      <c r="D1848" s="6"/>
      <c r="E1848" s="6"/>
      <c r="G1848" s="6"/>
      <c r="H1848" s="6"/>
      <c r="I1848" s="6"/>
      <c r="J1848" s="6"/>
      <c r="K1848" s="6"/>
      <c r="L1848" s="6"/>
      <c r="M1848" s="6"/>
      <c r="N1848" s="672"/>
      <c r="O1848" s="6"/>
      <c r="P1848" s="6"/>
      <c r="Q1848" s="6"/>
      <c r="R1848" s="6"/>
      <c r="S1848" s="6"/>
      <c r="T1848" s="6"/>
      <c r="U1848" s="6"/>
    </row>
    <row r="1849">
      <c r="A1849" s="6"/>
      <c r="B1849" s="6"/>
      <c r="C1849" s="6"/>
      <c r="D1849" s="6"/>
      <c r="E1849" s="6"/>
      <c r="G1849" s="6"/>
      <c r="H1849" s="6"/>
      <c r="I1849" s="6"/>
      <c r="J1849" s="6"/>
      <c r="K1849" s="6"/>
      <c r="L1849" s="6"/>
      <c r="M1849" s="6"/>
      <c r="N1849" s="672"/>
      <c r="O1849" s="6"/>
      <c r="P1849" s="6"/>
      <c r="Q1849" s="6"/>
      <c r="R1849" s="6"/>
      <c r="S1849" s="6"/>
      <c r="T1849" s="6"/>
      <c r="U1849" s="6"/>
    </row>
    <row r="1850">
      <c r="A1850" s="6"/>
      <c r="B1850" s="6"/>
      <c r="C1850" s="6"/>
      <c r="D1850" s="6"/>
      <c r="E1850" s="6"/>
      <c r="G1850" s="6"/>
      <c r="H1850" s="6"/>
      <c r="I1850" s="6"/>
      <c r="J1850" s="6"/>
      <c r="K1850" s="6"/>
      <c r="L1850" s="6"/>
      <c r="M1850" s="6"/>
      <c r="N1850" s="672"/>
      <c r="O1850" s="6"/>
      <c r="P1850" s="6"/>
      <c r="Q1850" s="6"/>
      <c r="R1850" s="6"/>
      <c r="S1850" s="6"/>
      <c r="T1850" s="6"/>
      <c r="U1850" s="6"/>
    </row>
    <row r="1851">
      <c r="A1851" s="6"/>
      <c r="B1851" s="6"/>
      <c r="C1851" s="6"/>
      <c r="D1851" s="6"/>
      <c r="E1851" s="6"/>
      <c r="G1851" s="6"/>
      <c r="H1851" s="6"/>
      <c r="I1851" s="6"/>
      <c r="J1851" s="6"/>
      <c r="K1851" s="6"/>
      <c r="L1851" s="6"/>
      <c r="M1851" s="6"/>
      <c r="N1851" s="672"/>
      <c r="O1851" s="6"/>
      <c r="P1851" s="6"/>
      <c r="Q1851" s="6"/>
      <c r="R1851" s="6"/>
      <c r="S1851" s="6"/>
      <c r="T1851" s="6"/>
      <c r="U1851" s="6"/>
    </row>
    <row r="1852">
      <c r="A1852" s="6"/>
      <c r="B1852" s="6"/>
      <c r="C1852" s="6"/>
      <c r="D1852" s="6"/>
      <c r="E1852" s="6"/>
      <c r="G1852" s="6"/>
      <c r="H1852" s="6"/>
      <c r="I1852" s="6"/>
      <c r="J1852" s="6"/>
      <c r="K1852" s="6"/>
      <c r="L1852" s="6"/>
      <c r="M1852" s="6"/>
      <c r="N1852" s="672"/>
      <c r="O1852" s="6"/>
      <c r="P1852" s="6"/>
      <c r="Q1852" s="6"/>
      <c r="R1852" s="6"/>
      <c r="S1852" s="6"/>
      <c r="T1852" s="6"/>
      <c r="U1852" s="6"/>
    </row>
    <row r="1853">
      <c r="A1853" s="6"/>
      <c r="B1853" s="6"/>
      <c r="C1853" s="6"/>
      <c r="D1853" s="6"/>
      <c r="E1853" s="6"/>
      <c r="G1853" s="6"/>
      <c r="H1853" s="6"/>
      <c r="I1853" s="6"/>
      <c r="J1853" s="6"/>
      <c r="K1853" s="6"/>
      <c r="L1853" s="6"/>
      <c r="M1853" s="6"/>
      <c r="N1853" s="672"/>
      <c r="O1853" s="6"/>
      <c r="P1853" s="6"/>
      <c r="Q1853" s="6"/>
      <c r="R1853" s="6"/>
      <c r="S1853" s="6"/>
      <c r="T1853" s="6"/>
      <c r="U1853" s="6"/>
    </row>
    <row r="1854">
      <c r="A1854" s="6"/>
      <c r="B1854" s="6"/>
      <c r="C1854" s="6"/>
      <c r="D1854" s="6"/>
      <c r="E1854" s="6"/>
      <c r="G1854" s="6"/>
      <c r="H1854" s="6"/>
      <c r="I1854" s="6"/>
      <c r="J1854" s="6"/>
      <c r="K1854" s="6"/>
      <c r="L1854" s="6"/>
      <c r="M1854" s="6"/>
      <c r="N1854" s="672"/>
      <c r="O1854" s="6"/>
      <c r="P1854" s="6"/>
      <c r="Q1854" s="6"/>
      <c r="R1854" s="6"/>
      <c r="S1854" s="6"/>
      <c r="T1854" s="6"/>
      <c r="U1854" s="6"/>
    </row>
    <row r="1855">
      <c r="A1855" s="6"/>
      <c r="B1855" s="6"/>
      <c r="C1855" s="6"/>
      <c r="D1855" s="6"/>
      <c r="E1855" s="6"/>
      <c r="G1855" s="6"/>
      <c r="H1855" s="6"/>
      <c r="I1855" s="6"/>
      <c r="J1855" s="6"/>
      <c r="K1855" s="6"/>
      <c r="L1855" s="6"/>
      <c r="M1855" s="6"/>
      <c r="N1855" s="672"/>
      <c r="O1855" s="6"/>
      <c r="P1855" s="6"/>
      <c r="Q1855" s="6"/>
      <c r="R1855" s="6"/>
      <c r="S1855" s="6"/>
      <c r="T1855" s="6"/>
      <c r="U1855" s="6"/>
    </row>
    <row r="1856">
      <c r="A1856" s="6"/>
      <c r="B1856" s="6"/>
      <c r="C1856" s="6"/>
      <c r="D1856" s="6"/>
      <c r="E1856" s="6"/>
      <c r="G1856" s="6"/>
      <c r="H1856" s="6"/>
      <c r="I1856" s="6"/>
      <c r="J1856" s="6"/>
      <c r="K1856" s="6"/>
      <c r="L1856" s="6"/>
      <c r="M1856" s="6"/>
      <c r="N1856" s="672"/>
      <c r="O1856" s="6"/>
      <c r="P1856" s="6"/>
      <c r="Q1856" s="6"/>
      <c r="R1856" s="6"/>
      <c r="S1856" s="6"/>
      <c r="T1856" s="6"/>
      <c r="U1856" s="6"/>
    </row>
    <row r="1857">
      <c r="A1857" s="6"/>
      <c r="B1857" s="6"/>
      <c r="C1857" s="6"/>
      <c r="D1857" s="6"/>
      <c r="E1857" s="6"/>
      <c r="G1857" s="6"/>
      <c r="H1857" s="6"/>
      <c r="I1857" s="6"/>
      <c r="J1857" s="6"/>
      <c r="K1857" s="6"/>
      <c r="L1857" s="6"/>
      <c r="M1857" s="6"/>
      <c r="N1857" s="672"/>
      <c r="O1857" s="6"/>
      <c r="P1857" s="6"/>
      <c r="Q1857" s="6"/>
      <c r="R1857" s="6"/>
      <c r="S1857" s="6"/>
      <c r="T1857" s="6"/>
      <c r="U1857" s="6"/>
    </row>
    <row r="1858">
      <c r="A1858" s="6"/>
      <c r="B1858" s="6"/>
      <c r="C1858" s="6"/>
      <c r="D1858" s="6"/>
      <c r="E1858" s="6"/>
      <c r="G1858" s="6"/>
      <c r="H1858" s="6"/>
      <c r="I1858" s="6"/>
      <c r="J1858" s="6"/>
      <c r="K1858" s="6"/>
      <c r="L1858" s="6"/>
      <c r="M1858" s="6"/>
      <c r="N1858" s="672"/>
      <c r="O1858" s="6"/>
      <c r="P1858" s="6"/>
      <c r="Q1858" s="6"/>
      <c r="R1858" s="6"/>
      <c r="S1858" s="6"/>
      <c r="T1858" s="6"/>
      <c r="U1858" s="6"/>
    </row>
    <row r="1859">
      <c r="A1859" s="6"/>
      <c r="B1859" s="6"/>
      <c r="C1859" s="6"/>
      <c r="D1859" s="6"/>
      <c r="E1859" s="6"/>
      <c r="G1859" s="6"/>
      <c r="H1859" s="6"/>
      <c r="I1859" s="6"/>
      <c r="J1859" s="6"/>
      <c r="K1859" s="6"/>
      <c r="L1859" s="6"/>
      <c r="M1859" s="6"/>
      <c r="N1859" s="672"/>
      <c r="O1859" s="6"/>
      <c r="P1859" s="6"/>
      <c r="Q1859" s="6"/>
      <c r="R1859" s="6"/>
      <c r="S1859" s="6"/>
      <c r="T1859" s="6"/>
      <c r="U1859" s="6"/>
    </row>
    <row r="1860">
      <c r="A1860" s="6"/>
      <c r="B1860" s="6"/>
      <c r="C1860" s="6"/>
      <c r="D1860" s="6"/>
      <c r="E1860" s="6"/>
      <c r="G1860" s="6"/>
      <c r="H1860" s="6"/>
      <c r="I1860" s="6"/>
      <c r="J1860" s="6"/>
      <c r="K1860" s="6"/>
      <c r="L1860" s="6"/>
      <c r="M1860" s="6"/>
      <c r="N1860" s="672"/>
      <c r="O1860" s="6"/>
      <c r="P1860" s="6"/>
      <c r="Q1860" s="6"/>
      <c r="R1860" s="6"/>
      <c r="S1860" s="6"/>
      <c r="T1860" s="6"/>
      <c r="U1860" s="6"/>
    </row>
    <row r="1861">
      <c r="A1861" s="6"/>
      <c r="B1861" s="6"/>
      <c r="C1861" s="6"/>
      <c r="D1861" s="6"/>
      <c r="E1861" s="6"/>
      <c r="G1861" s="6"/>
      <c r="H1861" s="6"/>
      <c r="I1861" s="6"/>
      <c r="J1861" s="6"/>
      <c r="K1861" s="6"/>
      <c r="L1861" s="6"/>
      <c r="M1861" s="6"/>
      <c r="N1861" s="672"/>
      <c r="O1861" s="6"/>
      <c r="P1861" s="6"/>
      <c r="Q1861" s="6"/>
      <c r="R1861" s="6"/>
      <c r="S1861" s="6"/>
      <c r="T1861" s="6"/>
      <c r="U1861" s="6"/>
    </row>
    <row r="1862">
      <c r="A1862" s="6"/>
      <c r="B1862" s="6"/>
      <c r="C1862" s="6"/>
      <c r="D1862" s="6"/>
      <c r="E1862" s="6"/>
      <c r="G1862" s="6"/>
      <c r="H1862" s="6"/>
      <c r="I1862" s="6"/>
      <c r="J1862" s="6"/>
      <c r="K1862" s="6"/>
      <c r="L1862" s="6"/>
      <c r="M1862" s="6"/>
      <c r="N1862" s="672"/>
      <c r="O1862" s="6"/>
      <c r="P1862" s="6"/>
      <c r="Q1862" s="6"/>
      <c r="R1862" s="6"/>
      <c r="S1862" s="6"/>
      <c r="T1862" s="6"/>
      <c r="U1862" s="6"/>
    </row>
    <row r="1863">
      <c r="A1863" s="6"/>
      <c r="B1863" s="6"/>
      <c r="C1863" s="6"/>
      <c r="D1863" s="6"/>
      <c r="E1863" s="6"/>
      <c r="G1863" s="6"/>
      <c r="H1863" s="6"/>
      <c r="I1863" s="6"/>
      <c r="J1863" s="6"/>
      <c r="K1863" s="6"/>
      <c r="L1863" s="6"/>
      <c r="M1863" s="6"/>
      <c r="N1863" s="672"/>
      <c r="O1863" s="6"/>
      <c r="P1863" s="6"/>
      <c r="Q1863" s="6"/>
      <c r="R1863" s="6"/>
      <c r="S1863" s="6"/>
      <c r="T1863" s="6"/>
      <c r="U1863" s="6"/>
    </row>
    <row r="1864">
      <c r="A1864" s="6"/>
      <c r="B1864" s="6"/>
      <c r="C1864" s="6"/>
      <c r="D1864" s="6"/>
      <c r="E1864" s="6"/>
      <c r="G1864" s="6"/>
      <c r="H1864" s="6"/>
      <c r="I1864" s="6"/>
      <c r="J1864" s="6"/>
      <c r="K1864" s="6"/>
      <c r="L1864" s="6"/>
      <c r="M1864" s="6"/>
      <c r="N1864" s="672"/>
      <c r="O1864" s="6"/>
      <c r="P1864" s="6"/>
      <c r="Q1864" s="6"/>
      <c r="R1864" s="6"/>
      <c r="S1864" s="6"/>
      <c r="T1864" s="6"/>
      <c r="U1864" s="6"/>
    </row>
    <row r="1865">
      <c r="A1865" s="6"/>
      <c r="B1865" s="6"/>
      <c r="C1865" s="6"/>
      <c r="D1865" s="6"/>
      <c r="E1865" s="6"/>
      <c r="G1865" s="6"/>
      <c r="H1865" s="6"/>
      <c r="I1865" s="6"/>
      <c r="J1865" s="6"/>
      <c r="K1865" s="6"/>
      <c r="L1865" s="6"/>
      <c r="M1865" s="6"/>
      <c r="N1865" s="672"/>
      <c r="O1865" s="6"/>
      <c r="P1865" s="6"/>
      <c r="Q1865" s="6"/>
      <c r="R1865" s="6"/>
      <c r="S1865" s="6"/>
      <c r="T1865" s="6"/>
      <c r="U1865" s="6"/>
    </row>
    <row r="1866">
      <c r="A1866" s="6"/>
      <c r="B1866" s="6"/>
      <c r="C1866" s="6"/>
      <c r="D1866" s="6"/>
      <c r="E1866" s="6"/>
      <c r="G1866" s="6"/>
      <c r="H1866" s="6"/>
      <c r="I1866" s="6"/>
      <c r="J1866" s="6"/>
      <c r="K1866" s="6"/>
      <c r="L1866" s="6"/>
      <c r="M1866" s="6"/>
      <c r="N1866" s="672"/>
      <c r="O1866" s="6"/>
      <c r="P1866" s="6"/>
      <c r="Q1866" s="6"/>
      <c r="R1866" s="6"/>
      <c r="S1866" s="6"/>
      <c r="T1866" s="6"/>
      <c r="U1866" s="6"/>
    </row>
    <row r="1867">
      <c r="A1867" s="6"/>
      <c r="B1867" s="6"/>
      <c r="C1867" s="6"/>
      <c r="D1867" s="6"/>
      <c r="E1867" s="6"/>
      <c r="G1867" s="6"/>
      <c r="H1867" s="6"/>
      <c r="I1867" s="6"/>
      <c r="J1867" s="6"/>
      <c r="K1867" s="6"/>
      <c r="L1867" s="6"/>
      <c r="M1867" s="6"/>
      <c r="N1867" s="672"/>
      <c r="O1867" s="6"/>
      <c r="P1867" s="6"/>
      <c r="Q1867" s="6"/>
      <c r="R1867" s="6"/>
      <c r="S1867" s="6"/>
      <c r="T1867" s="6"/>
      <c r="U1867" s="6"/>
    </row>
    <row r="1868">
      <c r="A1868" s="6"/>
      <c r="B1868" s="6"/>
      <c r="C1868" s="6"/>
      <c r="D1868" s="6"/>
      <c r="E1868" s="6"/>
      <c r="G1868" s="6"/>
      <c r="H1868" s="6"/>
      <c r="I1868" s="6"/>
      <c r="J1868" s="6"/>
      <c r="K1868" s="6"/>
      <c r="L1868" s="6"/>
      <c r="M1868" s="6"/>
      <c r="N1868" s="672"/>
      <c r="O1868" s="6"/>
      <c r="P1868" s="6"/>
      <c r="Q1868" s="6"/>
      <c r="R1868" s="6"/>
      <c r="S1868" s="6"/>
      <c r="T1868" s="6"/>
      <c r="U1868" s="6"/>
    </row>
    <row r="1869">
      <c r="A1869" s="6"/>
      <c r="B1869" s="6"/>
      <c r="C1869" s="6"/>
      <c r="D1869" s="6"/>
      <c r="E1869" s="6"/>
      <c r="G1869" s="6"/>
      <c r="H1869" s="6"/>
      <c r="I1869" s="6"/>
      <c r="J1869" s="6"/>
      <c r="K1869" s="6"/>
      <c r="L1869" s="6"/>
      <c r="M1869" s="6"/>
      <c r="N1869" s="672"/>
      <c r="O1869" s="6"/>
      <c r="P1869" s="6"/>
      <c r="Q1869" s="6"/>
      <c r="R1869" s="6"/>
      <c r="S1869" s="6"/>
      <c r="T1869" s="6"/>
      <c r="U1869" s="6"/>
    </row>
    <row r="1870">
      <c r="A1870" s="6"/>
      <c r="B1870" s="6"/>
      <c r="C1870" s="6"/>
      <c r="D1870" s="6"/>
      <c r="E1870" s="6"/>
      <c r="G1870" s="6"/>
      <c r="H1870" s="6"/>
      <c r="I1870" s="6"/>
      <c r="J1870" s="6"/>
      <c r="K1870" s="6"/>
      <c r="L1870" s="6"/>
      <c r="M1870" s="6"/>
      <c r="N1870" s="672"/>
      <c r="O1870" s="6"/>
      <c r="P1870" s="6"/>
      <c r="Q1870" s="6"/>
      <c r="R1870" s="6"/>
      <c r="S1870" s="6"/>
      <c r="T1870" s="6"/>
      <c r="U1870" s="6"/>
    </row>
    <row r="1871">
      <c r="A1871" s="6"/>
      <c r="B1871" s="6"/>
      <c r="C1871" s="6"/>
      <c r="D1871" s="6"/>
      <c r="E1871" s="6"/>
      <c r="G1871" s="6"/>
      <c r="H1871" s="6"/>
      <c r="I1871" s="6"/>
      <c r="J1871" s="6"/>
      <c r="K1871" s="6"/>
      <c r="L1871" s="6"/>
      <c r="M1871" s="6"/>
      <c r="N1871" s="672"/>
      <c r="O1871" s="6"/>
      <c r="P1871" s="6"/>
      <c r="Q1871" s="6"/>
      <c r="R1871" s="6"/>
      <c r="S1871" s="6"/>
      <c r="T1871" s="6"/>
      <c r="U1871" s="6"/>
    </row>
    <row r="1872">
      <c r="A1872" s="6"/>
      <c r="B1872" s="6"/>
      <c r="C1872" s="6"/>
      <c r="D1872" s="6"/>
      <c r="E1872" s="6"/>
      <c r="G1872" s="6"/>
      <c r="H1872" s="6"/>
      <c r="I1872" s="6"/>
      <c r="J1872" s="6"/>
      <c r="K1872" s="6"/>
      <c r="L1872" s="6"/>
      <c r="M1872" s="6"/>
      <c r="N1872" s="672"/>
      <c r="O1872" s="6"/>
      <c r="P1872" s="6"/>
      <c r="Q1872" s="6"/>
      <c r="R1872" s="6"/>
      <c r="S1872" s="6"/>
      <c r="T1872" s="6"/>
      <c r="U1872" s="6"/>
    </row>
    <row r="1873">
      <c r="A1873" s="6"/>
      <c r="B1873" s="6"/>
      <c r="C1873" s="6"/>
      <c r="D1873" s="6"/>
      <c r="E1873" s="6"/>
      <c r="G1873" s="6"/>
      <c r="H1873" s="6"/>
      <c r="I1873" s="6"/>
      <c r="J1873" s="6"/>
      <c r="K1873" s="6"/>
      <c r="L1873" s="6"/>
      <c r="M1873" s="6"/>
      <c r="N1873" s="672"/>
      <c r="O1873" s="6"/>
      <c r="P1873" s="6"/>
      <c r="Q1873" s="6"/>
      <c r="R1873" s="6"/>
      <c r="S1873" s="6"/>
      <c r="T1873" s="6"/>
      <c r="U1873" s="6"/>
    </row>
    <row r="1874">
      <c r="A1874" s="6"/>
      <c r="B1874" s="6"/>
      <c r="C1874" s="6"/>
      <c r="D1874" s="6"/>
      <c r="E1874" s="6"/>
      <c r="G1874" s="6"/>
      <c r="H1874" s="6"/>
      <c r="I1874" s="6"/>
      <c r="J1874" s="6"/>
      <c r="K1874" s="6"/>
      <c r="L1874" s="6"/>
      <c r="M1874" s="6"/>
      <c r="N1874" s="672"/>
      <c r="O1874" s="6"/>
      <c r="P1874" s="6"/>
      <c r="Q1874" s="6"/>
      <c r="R1874" s="6"/>
      <c r="S1874" s="6"/>
      <c r="T1874" s="6"/>
      <c r="U1874" s="6"/>
    </row>
    <row r="1875">
      <c r="A1875" s="6"/>
      <c r="B1875" s="6"/>
      <c r="C1875" s="6"/>
      <c r="D1875" s="6"/>
      <c r="E1875" s="6"/>
      <c r="G1875" s="6"/>
      <c r="H1875" s="6"/>
      <c r="I1875" s="6"/>
      <c r="J1875" s="6"/>
      <c r="K1875" s="6"/>
      <c r="L1875" s="6"/>
      <c r="M1875" s="6"/>
      <c r="N1875" s="672"/>
      <c r="O1875" s="6"/>
      <c r="P1875" s="6"/>
      <c r="Q1875" s="6"/>
      <c r="R1875" s="6"/>
      <c r="S1875" s="6"/>
      <c r="T1875" s="6"/>
      <c r="U1875" s="6"/>
    </row>
    <row r="1876">
      <c r="A1876" s="6"/>
      <c r="B1876" s="6"/>
      <c r="C1876" s="6"/>
      <c r="D1876" s="6"/>
      <c r="E1876" s="6"/>
      <c r="G1876" s="6"/>
      <c r="H1876" s="6"/>
      <c r="I1876" s="6"/>
      <c r="J1876" s="6"/>
      <c r="K1876" s="6"/>
      <c r="L1876" s="6"/>
      <c r="M1876" s="6"/>
      <c r="N1876" s="672"/>
      <c r="O1876" s="6"/>
      <c r="P1876" s="6"/>
      <c r="Q1876" s="6"/>
      <c r="R1876" s="6"/>
      <c r="S1876" s="6"/>
      <c r="T1876" s="6"/>
      <c r="U1876" s="6"/>
    </row>
    <row r="1877">
      <c r="A1877" s="6"/>
      <c r="B1877" s="6"/>
      <c r="C1877" s="6"/>
      <c r="D1877" s="6"/>
      <c r="E1877" s="6"/>
      <c r="G1877" s="6"/>
      <c r="H1877" s="6"/>
      <c r="I1877" s="6"/>
      <c r="J1877" s="6"/>
      <c r="K1877" s="6"/>
      <c r="L1877" s="6"/>
      <c r="M1877" s="6"/>
      <c r="N1877" s="672"/>
      <c r="O1877" s="6"/>
      <c r="P1877" s="6"/>
      <c r="Q1877" s="6"/>
      <c r="R1877" s="6"/>
      <c r="S1877" s="6"/>
      <c r="T1877" s="6"/>
      <c r="U1877" s="6"/>
    </row>
    <row r="1878">
      <c r="A1878" s="6"/>
      <c r="B1878" s="6"/>
      <c r="C1878" s="6"/>
      <c r="D1878" s="6"/>
      <c r="E1878" s="6"/>
      <c r="G1878" s="6"/>
      <c r="H1878" s="6"/>
      <c r="I1878" s="6"/>
      <c r="J1878" s="6"/>
      <c r="K1878" s="6"/>
      <c r="L1878" s="6"/>
      <c r="M1878" s="6"/>
      <c r="N1878" s="672"/>
      <c r="O1878" s="6"/>
      <c r="P1878" s="6"/>
      <c r="Q1878" s="6"/>
      <c r="R1878" s="6"/>
      <c r="S1878" s="6"/>
      <c r="T1878" s="6"/>
      <c r="U1878" s="6"/>
    </row>
    <row r="1879">
      <c r="A1879" s="6"/>
      <c r="B1879" s="6"/>
      <c r="C1879" s="6"/>
      <c r="D1879" s="6"/>
      <c r="E1879" s="6"/>
      <c r="G1879" s="6"/>
      <c r="H1879" s="6"/>
      <c r="I1879" s="6"/>
      <c r="J1879" s="6"/>
      <c r="K1879" s="6"/>
      <c r="L1879" s="6"/>
      <c r="M1879" s="6"/>
      <c r="N1879" s="672"/>
      <c r="O1879" s="6"/>
      <c r="P1879" s="6"/>
      <c r="Q1879" s="6"/>
      <c r="R1879" s="6"/>
      <c r="S1879" s="6"/>
      <c r="T1879" s="6"/>
      <c r="U1879" s="6"/>
    </row>
    <row r="1880">
      <c r="A1880" s="6"/>
      <c r="B1880" s="6"/>
      <c r="C1880" s="6"/>
      <c r="D1880" s="6"/>
      <c r="E1880" s="6"/>
      <c r="G1880" s="6"/>
      <c r="H1880" s="6"/>
      <c r="I1880" s="6"/>
      <c r="J1880" s="6"/>
      <c r="K1880" s="6"/>
      <c r="L1880" s="6"/>
      <c r="M1880" s="6"/>
      <c r="N1880" s="672"/>
      <c r="O1880" s="6"/>
      <c r="P1880" s="6"/>
      <c r="Q1880" s="6"/>
      <c r="R1880" s="6"/>
      <c r="S1880" s="6"/>
      <c r="T1880" s="6"/>
      <c r="U1880" s="6"/>
    </row>
    <row r="1881">
      <c r="A1881" s="6"/>
      <c r="B1881" s="6"/>
      <c r="C1881" s="6"/>
      <c r="D1881" s="6"/>
      <c r="E1881" s="6"/>
      <c r="G1881" s="6"/>
      <c r="H1881" s="6"/>
      <c r="I1881" s="6"/>
      <c r="J1881" s="6"/>
      <c r="K1881" s="6"/>
      <c r="L1881" s="6"/>
      <c r="M1881" s="6"/>
      <c r="N1881" s="672"/>
      <c r="O1881" s="6"/>
      <c r="P1881" s="6"/>
      <c r="Q1881" s="6"/>
      <c r="R1881" s="6"/>
      <c r="S1881" s="6"/>
      <c r="T1881" s="6"/>
      <c r="U1881" s="6"/>
    </row>
    <row r="1882">
      <c r="A1882" s="6"/>
      <c r="B1882" s="6"/>
      <c r="C1882" s="6"/>
      <c r="D1882" s="6"/>
      <c r="E1882" s="6"/>
      <c r="G1882" s="6"/>
      <c r="H1882" s="6"/>
      <c r="I1882" s="6"/>
      <c r="J1882" s="6"/>
      <c r="K1882" s="6"/>
      <c r="L1882" s="6"/>
      <c r="M1882" s="6"/>
      <c r="N1882" s="672"/>
      <c r="O1882" s="6"/>
      <c r="P1882" s="6"/>
      <c r="Q1882" s="6"/>
      <c r="R1882" s="6"/>
      <c r="S1882" s="6"/>
      <c r="T1882" s="6"/>
      <c r="U1882" s="6"/>
    </row>
    <row r="1883">
      <c r="A1883" s="6"/>
      <c r="B1883" s="6"/>
      <c r="C1883" s="6"/>
      <c r="D1883" s="6"/>
      <c r="E1883" s="6"/>
      <c r="G1883" s="6"/>
      <c r="H1883" s="6"/>
      <c r="I1883" s="6"/>
      <c r="J1883" s="6"/>
      <c r="K1883" s="6"/>
      <c r="L1883" s="6"/>
      <c r="M1883" s="6"/>
      <c r="N1883" s="672"/>
      <c r="O1883" s="6"/>
      <c r="P1883" s="6"/>
      <c r="Q1883" s="6"/>
      <c r="R1883" s="6"/>
      <c r="S1883" s="6"/>
      <c r="T1883" s="6"/>
      <c r="U1883" s="6"/>
    </row>
    <row r="1884">
      <c r="A1884" s="6"/>
      <c r="B1884" s="6"/>
      <c r="C1884" s="6"/>
      <c r="D1884" s="6"/>
      <c r="E1884" s="6"/>
      <c r="G1884" s="6"/>
      <c r="H1884" s="6"/>
      <c r="I1884" s="6"/>
      <c r="J1884" s="6"/>
      <c r="K1884" s="6"/>
      <c r="L1884" s="6"/>
      <c r="M1884" s="6"/>
      <c r="N1884" s="672"/>
      <c r="O1884" s="6"/>
      <c r="P1884" s="6"/>
      <c r="Q1884" s="6"/>
      <c r="R1884" s="6"/>
      <c r="S1884" s="6"/>
      <c r="T1884" s="6"/>
      <c r="U1884" s="6"/>
    </row>
    <row r="1885">
      <c r="A1885" s="6"/>
      <c r="B1885" s="6"/>
      <c r="C1885" s="6"/>
      <c r="D1885" s="6"/>
      <c r="E1885" s="6"/>
      <c r="G1885" s="6"/>
      <c r="H1885" s="6"/>
      <c r="I1885" s="6"/>
      <c r="J1885" s="6"/>
      <c r="K1885" s="6"/>
      <c r="L1885" s="6"/>
      <c r="M1885" s="6"/>
      <c r="N1885" s="672"/>
      <c r="O1885" s="6"/>
      <c r="P1885" s="6"/>
      <c r="Q1885" s="6"/>
      <c r="R1885" s="6"/>
      <c r="S1885" s="6"/>
      <c r="T1885" s="6"/>
      <c r="U1885" s="6"/>
    </row>
    <row r="1886">
      <c r="A1886" s="6"/>
      <c r="B1886" s="6"/>
      <c r="C1886" s="6"/>
      <c r="D1886" s="6"/>
      <c r="E1886" s="6"/>
      <c r="G1886" s="6"/>
      <c r="H1886" s="6"/>
      <c r="I1886" s="6"/>
      <c r="J1886" s="6"/>
      <c r="K1886" s="6"/>
      <c r="L1886" s="6"/>
      <c r="M1886" s="6"/>
      <c r="N1886" s="672"/>
      <c r="O1886" s="6"/>
      <c r="P1886" s="6"/>
      <c r="Q1886" s="6"/>
      <c r="R1886" s="6"/>
      <c r="S1886" s="6"/>
      <c r="T1886" s="6"/>
      <c r="U1886" s="6"/>
    </row>
    <row r="1887">
      <c r="A1887" s="6"/>
      <c r="B1887" s="6"/>
      <c r="C1887" s="6"/>
      <c r="D1887" s="6"/>
      <c r="E1887" s="6"/>
      <c r="G1887" s="6"/>
      <c r="H1887" s="6"/>
      <c r="I1887" s="6"/>
      <c r="J1887" s="6"/>
      <c r="K1887" s="6"/>
      <c r="L1887" s="6"/>
      <c r="M1887" s="6"/>
      <c r="N1887" s="672"/>
      <c r="O1887" s="6"/>
      <c r="P1887" s="6"/>
      <c r="Q1887" s="6"/>
      <c r="R1887" s="6"/>
      <c r="S1887" s="6"/>
      <c r="T1887" s="6"/>
      <c r="U1887" s="6"/>
    </row>
    <row r="1888">
      <c r="A1888" s="6"/>
      <c r="B1888" s="6"/>
      <c r="C1888" s="6"/>
      <c r="D1888" s="6"/>
      <c r="E1888" s="6"/>
      <c r="G1888" s="6"/>
      <c r="H1888" s="6"/>
      <c r="I1888" s="6"/>
      <c r="J1888" s="6"/>
      <c r="K1888" s="6"/>
      <c r="L1888" s="6"/>
      <c r="M1888" s="6"/>
      <c r="N1888" s="672"/>
      <c r="O1888" s="6"/>
      <c r="P1888" s="6"/>
      <c r="Q1888" s="6"/>
      <c r="R1888" s="6"/>
      <c r="S1888" s="6"/>
      <c r="T1888" s="6"/>
      <c r="U1888" s="6"/>
    </row>
    <row r="1889">
      <c r="A1889" s="6"/>
      <c r="B1889" s="6"/>
      <c r="C1889" s="6"/>
      <c r="D1889" s="6"/>
      <c r="E1889" s="6"/>
      <c r="G1889" s="6"/>
      <c r="H1889" s="6"/>
      <c r="I1889" s="6"/>
      <c r="J1889" s="6"/>
      <c r="K1889" s="6"/>
      <c r="L1889" s="6"/>
      <c r="M1889" s="6"/>
      <c r="N1889" s="672"/>
      <c r="O1889" s="6"/>
      <c r="P1889" s="6"/>
      <c r="Q1889" s="6"/>
      <c r="R1889" s="6"/>
      <c r="S1889" s="6"/>
      <c r="T1889" s="6"/>
      <c r="U1889" s="6"/>
    </row>
    <row r="1890">
      <c r="A1890" s="6"/>
      <c r="B1890" s="6"/>
      <c r="C1890" s="6"/>
      <c r="D1890" s="6"/>
      <c r="E1890" s="6"/>
      <c r="G1890" s="6"/>
      <c r="H1890" s="6"/>
      <c r="I1890" s="6"/>
      <c r="J1890" s="6"/>
      <c r="K1890" s="6"/>
      <c r="L1890" s="6"/>
      <c r="M1890" s="6"/>
      <c r="N1890" s="672"/>
      <c r="O1890" s="6"/>
      <c r="P1890" s="6"/>
      <c r="Q1890" s="6"/>
      <c r="R1890" s="6"/>
      <c r="S1890" s="6"/>
      <c r="T1890" s="6"/>
      <c r="U1890" s="6"/>
    </row>
    <row r="1891">
      <c r="A1891" s="6"/>
      <c r="B1891" s="6"/>
      <c r="C1891" s="6"/>
      <c r="D1891" s="6"/>
      <c r="E1891" s="6"/>
      <c r="G1891" s="6"/>
      <c r="H1891" s="6"/>
      <c r="I1891" s="6"/>
      <c r="J1891" s="6"/>
      <c r="K1891" s="6"/>
      <c r="L1891" s="6"/>
      <c r="M1891" s="6"/>
      <c r="N1891" s="672"/>
      <c r="O1891" s="6"/>
      <c r="P1891" s="6"/>
      <c r="Q1891" s="6"/>
      <c r="R1891" s="6"/>
      <c r="S1891" s="6"/>
      <c r="T1891" s="6"/>
      <c r="U1891" s="6"/>
    </row>
    <row r="1892">
      <c r="A1892" s="6"/>
      <c r="B1892" s="6"/>
      <c r="C1892" s="6"/>
      <c r="D1892" s="6"/>
      <c r="E1892" s="6"/>
      <c r="G1892" s="6"/>
      <c r="H1892" s="6"/>
      <c r="I1892" s="6"/>
      <c r="J1892" s="6"/>
      <c r="K1892" s="6"/>
      <c r="L1892" s="6"/>
      <c r="M1892" s="6"/>
      <c r="N1892" s="672"/>
      <c r="O1892" s="6"/>
      <c r="P1892" s="6"/>
      <c r="Q1892" s="6"/>
      <c r="R1892" s="6"/>
      <c r="S1892" s="6"/>
      <c r="T1892" s="6"/>
      <c r="U1892" s="6"/>
    </row>
    <row r="1893">
      <c r="A1893" s="6"/>
      <c r="B1893" s="6"/>
      <c r="C1893" s="6"/>
      <c r="D1893" s="6"/>
      <c r="E1893" s="6"/>
      <c r="G1893" s="6"/>
      <c r="H1893" s="6"/>
      <c r="I1893" s="6"/>
      <c r="J1893" s="6"/>
      <c r="K1893" s="6"/>
      <c r="L1893" s="6"/>
      <c r="M1893" s="6"/>
      <c r="N1893" s="672"/>
      <c r="O1893" s="6"/>
      <c r="P1893" s="6"/>
      <c r="Q1893" s="6"/>
      <c r="R1893" s="6"/>
      <c r="S1893" s="6"/>
      <c r="T1893" s="6"/>
      <c r="U1893" s="6"/>
    </row>
    <row r="1894">
      <c r="A1894" s="6"/>
      <c r="B1894" s="6"/>
      <c r="C1894" s="6"/>
      <c r="D1894" s="6"/>
      <c r="E1894" s="6"/>
      <c r="G1894" s="6"/>
      <c r="H1894" s="6"/>
      <c r="I1894" s="6"/>
      <c r="J1894" s="6"/>
      <c r="K1894" s="6"/>
      <c r="L1894" s="6"/>
      <c r="M1894" s="6"/>
      <c r="N1894" s="672"/>
      <c r="O1894" s="6"/>
      <c r="P1894" s="6"/>
      <c r="Q1894" s="6"/>
      <c r="R1894" s="6"/>
      <c r="S1894" s="6"/>
      <c r="T1894" s="6"/>
      <c r="U1894" s="6"/>
    </row>
    <row r="1895">
      <c r="A1895" s="6"/>
      <c r="B1895" s="6"/>
      <c r="C1895" s="6"/>
      <c r="D1895" s="6"/>
      <c r="E1895" s="6"/>
      <c r="G1895" s="6"/>
      <c r="H1895" s="6"/>
      <c r="I1895" s="6"/>
      <c r="J1895" s="6"/>
      <c r="K1895" s="6"/>
      <c r="L1895" s="6"/>
      <c r="M1895" s="6"/>
      <c r="N1895" s="672"/>
      <c r="O1895" s="6"/>
      <c r="P1895" s="6"/>
      <c r="Q1895" s="6"/>
      <c r="R1895" s="6"/>
      <c r="S1895" s="6"/>
      <c r="T1895" s="6"/>
      <c r="U1895" s="6"/>
    </row>
    <row r="1896">
      <c r="A1896" s="6"/>
      <c r="B1896" s="6"/>
      <c r="C1896" s="6"/>
      <c r="D1896" s="6"/>
      <c r="E1896" s="6"/>
      <c r="G1896" s="6"/>
      <c r="H1896" s="6"/>
      <c r="I1896" s="6"/>
      <c r="J1896" s="6"/>
      <c r="K1896" s="6"/>
      <c r="L1896" s="6"/>
      <c r="M1896" s="6"/>
      <c r="N1896" s="672"/>
      <c r="O1896" s="6"/>
      <c r="P1896" s="6"/>
      <c r="Q1896" s="6"/>
      <c r="R1896" s="6"/>
      <c r="S1896" s="6"/>
      <c r="T1896" s="6"/>
      <c r="U1896" s="6"/>
    </row>
    <row r="1897">
      <c r="A1897" s="6"/>
      <c r="B1897" s="6"/>
      <c r="C1897" s="6"/>
      <c r="D1897" s="6"/>
      <c r="E1897" s="6"/>
      <c r="G1897" s="6"/>
      <c r="H1897" s="6"/>
      <c r="I1897" s="6"/>
      <c r="J1897" s="6"/>
      <c r="K1897" s="6"/>
      <c r="L1897" s="6"/>
      <c r="M1897" s="6"/>
      <c r="N1897" s="672"/>
      <c r="O1897" s="6"/>
      <c r="P1897" s="6"/>
      <c r="Q1897" s="6"/>
      <c r="R1897" s="6"/>
      <c r="S1897" s="6"/>
      <c r="T1897" s="6"/>
      <c r="U1897" s="6"/>
    </row>
    <row r="1898">
      <c r="A1898" s="6"/>
      <c r="B1898" s="6"/>
      <c r="C1898" s="6"/>
      <c r="D1898" s="6"/>
      <c r="E1898" s="6"/>
      <c r="G1898" s="6"/>
      <c r="H1898" s="6"/>
      <c r="I1898" s="6"/>
      <c r="J1898" s="6"/>
      <c r="K1898" s="6"/>
      <c r="L1898" s="6"/>
      <c r="M1898" s="6"/>
      <c r="N1898" s="672"/>
      <c r="O1898" s="6"/>
      <c r="P1898" s="6"/>
      <c r="Q1898" s="6"/>
      <c r="R1898" s="6"/>
      <c r="S1898" s="6"/>
      <c r="T1898" s="6"/>
      <c r="U1898" s="6"/>
    </row>
    <row r="1899">
      <c r="A1899" s="6"/>
      <c r="B1899" s="6"/>
      <c r="C1899" s="6"/>
      <c r="D1899" s="6"/>
      <c r="E1899" s="6"/>
      <c r="G1899" s="6"/>
      <c r="H1899" s="6"/>
      <c r="I1899" s="6"/>
      <c r="J1899" s="6"/>
      <c r="K1899" s="6"/>
      <c r="L1899" s="6"/>
      <c r="M1899" s="6"/>
      <c r="N1899" s="672"/>
      <c r="O1899" s="6"/>
      <c r="P1899" s="6"/>
      <c r="Q1899" s="6"/>
      <c r="R1899" s="6"/>
      <c r="S1899" s="6"/>
      <c r="T1899" s="6"/>
      <c r="U1899" s="6"/>
    </row>
    <row r="1900">
      <c r="A1900" s="6"/>
      <c r="B1900" s="6"/>
      <c r="C1900" s="6"/>
      <c r="D1900" s="6"/>
      <c r="E1900" s="6"/>
      <c r="G1900" s="6"/>
      <c r="H1900" s="6"/>
      <c r="I1900" s="6"/>
      <c r="J1900" s="6"/>
      <c r="K1900" s="6"/>
      <c r="L1900" s="6"/>
      <c r="M1900" s="6"/>
      <c r="N1900" s="672"/>
      <c r="O1900" s="6"/>
      <c r="P1900" s="6"/>
      <c r="Q1900" s="6"/>
      <c r="R1900" s="6"/>
      <c r="S1900" s="6"/>
      <c r="T1900" s="6"/>
      <c r="U1900" s="6"/>
    </row>
    <row r="1901">
      <c r="A1901" s="6"/>
      <c r="B1901" s="6"/>
      <c r="C1901" s="6"/>
      <c r="D1901" s="6"/>
      <c r="E1901" s="6"/>
      <c r="G1901" s="6"/>
      <c r="H1901" s="6"/>
      <c r="I1901" s="6"/>
      <c r="J1901" s="6"/>
      <c r="K1901" s="6"/>
      <c r="L1901" s="6"/>
      <c r="M1901" s="6"/>
      <c r="N1901" s="672"/>
      <c r="O1901" s="6"/>
      <c r="P1901" s="6"/>
      <c r="Q1901" s="6"/>
      <c r="R1901" s="6"/>
      <c r="S1901" s="6"/>
      <c r="T1901" s="6"/>
      <c r="U1901" s="6"/>
    </row>
    <row r="1902">
      <c r="A1902" s="6"/>
      <c r="B1902" s="6"/>
      <c r="C1902" s="6"/>
      <c r="D1902" s="6"/>
      <c r="E1902" s="6"/>
      <c r="G1902" s="6"/>
      <c r="H1902" s="6"/>
      <c r="I1902" s="6"/>
      <c r="J1902" s="6"/>
      <c r="K1902" s="6"/>
      <c r="L1902" s="6"/>
      <c r="M1902" s="6"/>
      <c r="N1902" s="672"/>
      <c r="O1902" s="6"/>
      <c r="P1902" s="6"/>
      <c r="Q1902" s="6"/>
      <c r="R1902" s="6"/>
      <c r="S1902" s="6"/>
      <c r="T1902" s="6"/>
      <c r="U1902" s="6"/>
    </row>
    <row r="1903">
      <c r="A1903" s="6"/>
      <c r="B1903" s="6"/>
      <c r="C1903" s="6"/>
      <c r="D1903" s="6"/>
      <c r="E1903" s="6"/>
      <c r="G1903" s="6"/>
      <c r="H1903" s="6"/>
      <c r="I1903" s="6"/>
      <c r="J1903" s="6"/>
      <c r="K1903" s="6"/>
      <c r="L1903" s="6"/>
      <c r="M1903" s="6"/>
      <c r="N1903" s="672"/>
      <c r="O1903" s="6"/>
      <c r="P1903" s="6"/>
      <c r="Q1903" s="6"/>
      <c r="R1903" s="6"/>
      <c r="S1903" s="6"/>
      <c r="T1903" s="6"/>
      <c r="U1903" s="6"/>
    </row>
    <row r="1904">
      <c r="A1904" s="6"/>
      <c r="B1904" s="6"/>
      <c r="C1904" s="6"/>
      <c r="D1904" s="6"/>
      <c r="E1904" s="6"/>
      <c r="G1904" s="6"/>
      <c r="H1904" s="6"/>
      <c r="I1904" s="6"/>
      <c r="J1904" s="6"/>
      <c r="K1904" s="6"/>
      <c r="L1904" s="6"/>
      <c r="M1904" s="6"/>
      <c r="N1904" s="672"/>
      <c r="O1904" s="6"/>
      <c r="P1904" s="6"/>
      <c r="Q1904" s="6"/>
      <c r="R1904" s="6"/>
      <c r="S1904" s="6"/>
      <c r="T1904" s="6"/>
      <c r="U1904" s="6"/>
    </row>
    <row r="1905">
      <c r="A1905" s="6"/>
      <c r="B1905" s="6"/>
      <c r="C1905" s="6"/>
      <c r="D1905" s="6"/>
      <c r="E1905" s="6"/>
      <c r="G1905" s="6"/>
      <c r="H1905" s="6"/>
      <c r="I1905" s="6"/>
      <c r="J1905" s="6"/>
      <c r="K1905" s="6"/>
      <c r="L1905" s="6"/>
      <c r="M1905" s="6"/>
      <c r="N1905" s="672"/>
      <c r="O1905" s="6"/>
      <c r="P1905" s="6"/>
      <c r="Q1905" s="6"/>
      <c r="R1905" s="6"/>
      <c r="S1905" s="6"/>
      <c r="T1905" s="6"/>
      <c r="U1905" s="6"/>
    </row>
    <row r="1906">
      <c r="A1906" s="6"/>
      <c r="B1906" s="6"/>
      <c r="C1906" s="6"/>
      <c r="D1906" s="6"/>
      <c r="E1906" s="6"/>
      <c r="G1906" s="6"/>
      <c r="H1906" s="6"/>
      <c r="I1906" s="6"/>
      <c r="J1906" s="6"/>
      <c r="K1906" s="6"/>
      <c r="L1906" s="6"/>
      <c r="M1906" s="6"/>
      <c r="N1906" s="672"/>
      <c r="O1906" s="6"/>
      <c r="P1906" s="6"/>
      <c r="Q1906" s="6"/>
      <c r="R1906" s="6"/>
      <c r="S1906" s="6"/>
      <c r="T1906" s="6"/>
      <c r="U1906" s="6"/>
    </row>
    <row r="1907">
      <c r="A1907" s="6"/>
      <c r="B1907" s="6"/>
      <c r="C1907" s="6"/>
      <c r="D1907" s="6"/>
      <c r="E1907" s="6"/>
      <c r="G1907" s="6"/>
      <c r="H1907" s="6"/>
      <c r="I1907" s="6"/>
      <c r="J1907" s="6"/>
      <c r="K1907" s="6"/>
      <c r="L1907" s="6"/>
      <c r="M1907" s="6"/>
      <c r="N1907" s="672"/>
      <c r="O1907" s="6"/>
      <c r="P1907" s="6"/>
      <c r="Q1907" s="6"/>
      <c r="R1907" s="6"/>
      <c r="S1907" s="6"/>
      <c r="T1907" s="6"/>
      <c r="U1907" s="6"/>
    </row>
    <row r="1908">
      <c r="A1908" s="6"/>
      <c r="B1908" s="6"/>
      <c r="C1908" s="6"/>
      <c r="D1908" s="6"/>
      <c r="E1908" s="6"/>
      <c r="G1908" s="6"/>
      <c r="H1908" s="6"/>
      <c r="I1908" s="6"/>
      <c r="J1908" s="6"/>
      <c r="K1908" s="6"/>
      <c r="L1908" s="6"/>
      <c r="M1908" s="6"/>
      <c r="N1908" s="672"/>
      <c r="O1908" s="6"/>
      <c r="P1908" s="6"/>
      <c r="Q1908" s="6"/>
      <c r="R1908" s="6"/>
      <c r="S1908" s="6"/>
      <c r="T1908" s="6"/>
      <c r="U1908" s="6"/>
    </row>
    <row r="1909">
      <c r="A1909" s="6"/>
      <c r="B1909" s="6"/>
      <c r="C1909" s="6"/>
      <c r="D1909" s="6"/>
      <c r="E1909" s="6"/>
      <c r="G1909" s="6"/>
      <c r="H1909" s="6"/>
      <c r="I1909" s="6"/>
      <c r="J1909" s="6"/>
      <c r="K1909" s="6"/>
      <c r="L1909" s="6"/>
      <c r="M1909" s="6"/>
      <c r="N1909" s="672"/>
      <c r="O1909" s="6"/>
      <c r="P1909" s="6"/>
      <c r="Q1909" s="6"/>
      <c r="R1909" s="6"/>
      <c r="S1909" s="6"/>
      <c r="T1909" s="6"/>
      <c r="U1909" s="6"/>
    </row>
    <row r="1910">
      <c r="A1910" s="6"/>
      <c r="B1910" s="6"/>
      <c r="C1910" s="6"/>
      <c r="D1910" s="6"/>
      <c r="E1910" s="6"/>
      <c r="G1910" s="6"/>
      <c r="H1910" s="6"/>
      <c r="I1910" s="6"/>
      <c r="J1910" s="6"/>
      <c r="K1910" s="6"/>
      <c r="L1910" s="6"/>
      <c r="M1910" s="6"/>
      <c r="N1910" s="672"/>
      <c r="O1910" s="6"/>
      <c r="P1910" s="6"/>
      <c r="Q1910" s="6"/>
      <c r="R1910" s="6"/>
      <c r="S1910" s="6"/>
      <c r="T1910" s="6"/>
      <c r="U1910" s="6"/>
    </row>
    <row r="1911">
      <c r="A1911" s="6"/>
      <c r="B1911" s="6"/>
      <c r="C1911" s="6"/>
      <c r="D1911" s="6"/>
      <c r="E1911" s="6"/>
      <c r="G1911" s="6"/>
      <c r="H1911" s="6"/>
      <c r="I1911" s="6"/>
      <c r="J1911" s="6"/>
      <c r="K1911" s="6"/>
      <c r="L1911" s="6"/>
      <c r="M1911" s="6"/>
      <c r="N1911" s="672"/>
      <c r="O1911" s="6"/>
      <c r="P1911" s="6"/>
      <c r="Q1911" s="6"/>
      <c r="R1911" s="6"/>
      <c r="S1911" s="6"/>
      <c r="T1911" s="6"/>
      <c r="U1911" s="6"/>
    </row>
    <row r="1912">
      <c r="A1912" s="6"/>
      <c r="B1912" s="6"/>
      <c r="C1912" s="6"/>
      <c r="D1912" s="6"/>
      <c r="E1912" s="6"/>
      <c r="G1912" s="6"/>
      <c r="H1912" s="6"/>
      <c r="I1912" s="6"/>
      <c r="J1912" s="6"/>
      <c r="K1912" s="6"/>
      <c r="L1912" s="6"/>
      <c r="M1912" s="6"/>
      <c r="N1912" s="672"/>
      <c r="O1912" s="6"/>
      <c r="P1912" s="6"/>
      <c r="Q1912" s="6"/>
      <c r="R1912" s="6"/>
      <c r="S1912" s="6"/>
      <c r="T1912" s="6"/>
      <c r="U1912" s="6"/>
    </row>
    <row r="1913">
      <c r="A1913" s="6"/>
      <c r="B1913" s="6"/>
      <c r="C1913" s="6"/>
      <c r="D1913" s="6"/>
      <c r="E1913" s="6"/>
      <c r="G1913" s="6"/>
      <c r="H1913" s="6"/>
      <c r="I1913" s="6"/>
      <c r="J1913" s="6"/>
      <c r="K1913" s="6"/>
      <c r="L1913" s="6"/>
      <c r="M1913" s="6"/>
      <c r="N1913" s="672"/>
      <c r="O1913" s="6"/>
      <c r="P1913" s="6"/>
      <c r="Q1913" s="6"/>
      <c r="R1913" s="6"/>
      <c r="S1913" s="6"/>
      <c r="T1913" s="6"/>
      <c r="U1913" s="6"/>
    </row>
    <row r="1914">
      <c r="A1914" s="6"/>
      <c r="B1914" s="6"/>
      <c r="C1914" s="6"/>
      <c r="D1914" s="6"/>
      <c r="E1914" s="6"/>
      <c r="G1914" s="6"/>
      <c r="H1914" s="6"/>
      <c r="I1914" s="6"/>
      <c r="J1914" s="6"/>
      <c r="K1914" s="6"/>
      <c r="L1914" s="6"/>
      <c r="M1914" s="6"/>
      <c r="N1914" s="672"/>
      <c r="O1914" s="6"/>
      <c r="P1914" s="6"/>
      <c r="Q1914" s="6"/>
      <c r="R1914" s="6"/>
      <c r="S1914" s="6"/>
      <c r="T1914" s="6"/>
      <c r="U1914" s="6"/>
    </row>
    <row r="1915">
      <c r="A1915" s="6"/>
      <c r="B1915" s="6"/>
      <c r="C1915" s="6"/>
      <c r="D1915" s="6"/>
      <c r="E1915" s="6"/>
      <c r="G1915" s="6"/>
      <c r="H1915" s="6"/>
      <c r="I1915" s="6"/>
      <c r="J1915" s="6"/>
      <c r="K1915" s="6"/>
      <c r="L1915" s="6"/>
      <c r="M1915" s="6"/>
      <c r="N1915" s="672"/>
      <c r="O1915" s="6"/>
      <c r="P1915" s="6"/>
      <c r="Q1915" s="6"/>
      <c r="R1915" s="6"/>
      <c r="S1915" s="6"/>
      <c r="T1915" s="6"/>
      <c r="U1915" s="6"/>
    </row>
    <row r="1916">
      <c r="A1916" s="6"/>
      <c r="B1916" s="6"/>
      <c r="C1916" s="6"/>
      <c r="D1916" s="6"/>
      <c r="E1916" s="6"/>
      <c r="G1916" s="6"/>
      <c r="H1916" s="6"/>
      <c r="I1916" s="6"/>
      <c r="J1916" s="6"/>
      <c r="K1916" s="6"/>
      <c r="L1916" s="6"/>
      <c r="M1916" s="6"/>
      <c r="N1916" s="672"/>
      <c r="O1916" s="6"/>
      <c r="P1916" s="6"/>
      <c r="Q1916" s="6"/>
      <c r="R1916" s="6"/>
      <c r="S1916" s="6"/>
      <c r="T1916" s="6"/>
      <c r="U1916" s="6"/>
    </row>
    <row r="1917">
      <c r="A1917" s="6"/>
      <c r="B1917" s="6"/>
      <c r="C1917" s="6"/>
      <c r="D1917" s="6"/>
      <c r="E1917" s="6"/>
      <c r="G1917" s="6"/>
      <c r="H1917" s="6"/>
      <c r="I1917" s="6"/>
      <c r="J1917" s="6"/>
      <c r="K1917" s="6"/>
      <c r="L1917" s="6"/>
      <c r="M1917" s="6"/>
      <c r="N1917" s="672"/>
      <c r="O1917" s="6"/>
      <c r="P1917" s="6"/>
      <c r="Q1917" s="6"/>
      <c r="R1917" s="6"/>
      <c r="S1917" s="6"/>
      <c r="T1917" s="6"/>
      <c r="U1917" s="6"/>
    </row>
    <row r="1918">
      <c r="A1918" s="6"/>
      <c r="B1918" s="6"/>
      <c r="C1918" s="6"/>
      <c r="D1918" s="6"/>
      <c r="E1918" s="6"/>
      <c r="G1918" s="6"/>
      <c r="H1918" s="6"/>
      <c r="I1918" s="6"/>
      <c r="J1918" s="6"/>
      <c r="K1918" s="6"/>
      <c r="L1918" s="6"/>
      <c r="M1918" s="6"/>
      <c r="N1918" s="672"/>
      <c r="O1918" s="6"/>
      <c r="P1918" s="6"/>
      <c r="Q1918" s="6"/>
      <c r="R1918" s="6"/>
      <c r="S1918" s="6"/>
      <c r="T1918" s="6"/>
      <c r="U1918" s="6"/>
    </row>
    <row r="1919">
      <c r="A1919" s="6"/>
      <c r="B1919" s="6"/>
      <c r="C1919" s="6"/>
      <c r="D1919" s="6"/>
      <c r="E1919" s="6"/>
      <c r="G1919" s="6"/>
      <c r="H1919" s="6"/>
      <c r="I1919" s="6"/>
      <c r="J1919" s="6"/>
      <c r="K1919" s="6"/>
      <c r="L1919" s="6"/>
      <c r="M1919" s="6"/>
      <c r="N1919" s="672"/>
      <c r="O1919" s="6"/>
      <c r="P1919" s="6"/>
      <c r="Q1919" s="6"/>
      <c r="R1919" s="6"/>
      <c r="S1919" s="6"/>
      <c r="T1919" s="6"/>
      <c r="U1919" s="6"/>
    </row>
    <row r="1920">
      <c r="A1920" s="6"/>
      <c r="B1920" s="6"/>
      <c r="C1920" s="6"/>
      <c r="D1920" s="6"/>
      <c r="E1920" s="6"/>
      <c r="G1920" s="6"/>
      <c r="H1920" s="6"/>
      <c r="I1920" s="6"/>
      <c r="J1920" s="6"/>
      <c r="K1920" s="6"/>
      <c r="L1920" s="6"/>
      <c r="M1920" s="6"/>
      <c r="N1920" s="672"/>
      <c r="O1920" s="6"/>
      <c r="P1920" s="6"/>
      <c r="Q1920" s="6"/>
      <c r="R1920" s="6"/>
      <c r="S1920" s="6"/>
      <c r="T1920" s="6"/>
      <c r="U1920" s="6"/>
    </row>
    <row r="1921">
      <c r="A1921" s="6"/>
      <c r="B1921" s="6"/>
      <c r="C1921" s="6"/>
      <c r="D1921" s="6"/>
      <c r="E1921" s="6"/>
      <c r="G1921" s="6"/>
      <c r="H1921" s="6"/>
      <c r="I1921" s="6"/>
      <c r="J1921" s="6"/>
      <c r="K1921" s="6"/>
      <c r="L1921" s="6"/>
      <c r="M1921" s="6"/>
      <c r="N1921" s="672"/>
      <c r="O1921" s="6"/>
      <c r="P1921" s="6"/>
      <c r="Q1921" s="6"/>
      <c r="R1921" s="6"/>
      <c r="S1921" s="6"/>
      <c r="T1921" s="6"/>
      <c r="U1921" s="6"/>
    </row>
    <row r="1922">
      <c r="A1922" s="6"/>
      <c r="B1922" s="6"/>
      <c r="C1922" s="6"/>
      <c r="D1922" s="6"/>
      <c r="E1922" s="6"/>
      <c r="G1922" s="6"/>
      <c r="H1922" s="6"/>
      <c r="I1922" s="6"/>
      <c r="J1922" s="6"/>
      <c r="K1922" s="6"/>
      <c r="L1922" s="6"/>
      <c r="M1922" s="6"/>
      <c r="N1922" s="672"/>
      <c r="O1922" s="6"/>
      <c r="P1922" s="6"/>
      <c r="Q1922" s="6"/>
      <c r="R1922" s="6"/>
      <c r="S1922" s="6"/>
      <c r="T1922" s="6"/>
      <c r="U1922" s="6"/>
    </row>
    <row r="1923">
      <c r="A1923" s="6"/>
      <c r="B1923" s="6"/>
      <c r="C1923" s="6"/>
      <c r="D1923" s="6"/>
      <c r="E1923" s="6"/>
      <c r="G1923" s="6"/>
      <c r="H1923" s="6"/>
      <c r="I1923" s="6"/>
      <c r="J1923" s="6"/>
      <c r="K1923" s="6"/>
      <c r="L1923" s="6"/>
      <c r="M1923" s="6"/>
      <c r="N1923" s="672"/>
      <c r="O1923" s="6"/>
      <c r="P1923" s="6"/>
      <c r="Q1923" s="6"/>
      <c r="R1923" s="6"/>
      <c r="S1923" s="6"/>
      <c r="T1923" s="6"/>
      <c r="U1923" s="6"/>
    </row>
    <row r="1924">
      <c r="A1924" s="6"/>
      <c r="B1924" s="6"/>
      <c r="C1924" s="6"/>
      <c r="D1924" s="6"/>
      <c r="E1924" s="6"/>
      <c r="G1924" s="6"/>
      <c r="H1924" s="6"/>
      <c r="I1924" s="6"/>
      <c r="J1924" s="6"/>
      <c r="K1924" s="6"/>
      <c r="L1924" s="6"/>
      <c r="M1924" s="6"/>
      <c r="N1924" s="672"/>
      <c r="O1924" s="6"/>
      <c r="P1924" s="6"/>
      <c r="Q1924" s="6"/>
      <c r="R1924" s="6"/>
      <c r="S1924" s="6"/>
      <c r="T1924" s="6"/>
      <c r="U1924" s="6"/>
    </row>
    <row r="1925">
      <c r="A1925" s="6"/>
      <c r="B1925" s="6"/>
      <c r="C1925" s="6"/>
      <c r="D1925" s="6"/>
      <c r="E1925" s="6"/>
      <c r="G1925" s="6"/>
      <c r="H1925" s="6"/>
      <c r="I1925" s="6"/>
      <c r="J1925" s="6"/>
      <c r="K1925" s="6"/>
      <c r="L1925" s="6"/>
      <c r="M1925" s="6"/>
      <c r="N1925" s="672"/>
      <c r="O1925" s="6"/>
      <c r="P1925" s="6"/>
      <c r="Q1925" s="6"/>
      <c r="R1925" s="6"/>
      <c r="S1925" s="6"/>
      <c r="T1925" s="6"/>
      <c r="U1925" s="6"/>
    </row>
    <row r="1926">
      <c r="A1926" s="6"/>
      <c r="B1926" s="6"/>
      <c r="C1926" s="6"/>
      <c r="D1926" s="6"/>
      <c r="E1926" s="6"/>
      <c r="G1926" s="6"/>
      <c r="H1926" s="6"/>
      <c r="I1926" s="6"/>
      <c r="J1926" s="6"/>
      <c r="K1926" s="6"/>
      <c r="L1926" s="6"/>
      <c r="M1926" s="6"/>
      <c r="N1926" s="672"/>
      <c r="O1926" s="6"/>
      <c r="P1926" s="6"/>
      <c r="Q1926" s="6"/>
      <c r="R1926" s="6"/>
      <c r="S1926" s="6"/>
      <c r="T1926" s="6"/>
      <c r="U1926" s="6"/>
    </row>
    <row r="1927">
      <c r="A1927" s="6"/>
      <c r="B1927" s="6"/>
      <c r="C1927" s="6"/>
      <c r="D1927" s="6"/>
      <c r="E1927" s="6"/>
      <c r="G1927" s="6"/>
      <c r="H1927" s="6"/>
      <c r="I1927" s="6"/>
      <c r="J1927" s="6"/>
      <c r="K1927" s="6"/>
      <c r="L1927" s="6"/>
      <c r="M1927" s="6"/>
      <c r="N1927" s="672"/>
      <c r="O1927" s="6"/>
      <c r="P1927" s="6"/>
      <c r="Q1927" s="6"/>
      <c r="R1927" s="6"/>
      <c r="S1927" s="6"/>
      <c r="T1927" s="6"/>
      <c r="U1927" s="6"/>
    </row>
    <row r="1928">
      <c r="A1928" s="6"/>
      <c r="B1928" s="6"/>
      <c r="C1928" s="6"/>
      <c r="D1928" s="6"/>
      <c r="E1928" s="6"/>
      <c r="G1928" s="6"/>
      <c r="H1928" s="6"/>
      <c r="I1928" s="6"/>
      <c r="J1928" s="6"/>
      <c r="K1928" s="6"/>
      <c r="L1928" s="6"/>
      <c r="M1928" s="6"/>
      <c r="N1928" s="672"/>
      <c r="O1928" s="6"/>
      <c r="P1928" s="6"/>
      <c r="Q1928" s="6"/>
      <c r="R1928" s="6"/>
      <c r="S1928" s="6"/>
      <c r="T1928" s="6"/>
      <c r="U1928" s="6"/>
    </row>
    <row r="1929">
      <c r="A1929" s="6"/>
      <c r="B1929" s="6"/>
      <c r="C1929" s="6"/>
      <c r="D1929" s="6"/>
      <c r="E1929" s="6"/>
      <c r="G1929" s="6"/>
      <c r="H1929" s="6"/>
      <c r="I1929" s="6"/>
      <c r="J1929" s="6"/>
      <c r="K1929" s="6"/>
      <c r="L1929" s="6"/>
      <c r="M1929" s="6"/>
      <c r="N1929" s="672"/>
      <c r="O1929" s="6"/>
      <c r="P1929" s="6"/>
      <c r="Q1929" s="6"/>
      <c r="R1929" s="6"/>
      <c r="S1929" s="6"/>
      <c r="T1929" s="6"/>
      <c r="U1929" s="6"/>
    </row>
    <row r="1930">
      <c r="A1930" s="6"/>
      <c r="B1930" s="6"/>
      <c r="C1930" s="6"/>
      <c r="D1930" s="6"/>
      <c r="E1930" s="6"/>
      <c r="G1930" s="6"/>
      <c r="H1930" s="6"/>
      <c r="I1930" s="6"/>
      <c r="J1930" s="6"/>
      <c r="K1930" s="6"/>
      <c r="L1930" s="6"/>
      <c r="M1930" s="6"/>
      <c r="N1930" s="672"/>
      <c r="O1930" s="6"/>
      <c r="P1930" s="6"/>
      <c r="Q1930" s="6"/>
      <c r="R1930" s="6"/>
      <c r="S1930" s="6"/>
      <c r="T1930" s="6"/>
      <c r="U1930" s="6"/>
    </row>
    <row r="1931">
      <c r="A1931" s="6"/>
      <c r="B1931" s="6"/>
      <c r="C1931" s="6"/>
      <c r="D1931" s="6"/>
      <c r="E1931" s="6"/>
      <c r="G1931" s="6"/>
      <c r="H1931" s="6"/>
      <c r="I1931" s="6"/>
      <c r="J1931" s="6"/>
      <c r="K1931" s="6"/>
      <c r="L1931" s="6"/>
      <c r="M1931" s="6"/>
      <c r="N1931" s="672"/>
      <c r="O1931" s="6"/>
      <c r="P1931" s="6"/>
      <c r="Q1931" s="6"/>
      <c r="R1931" s="6"/>
      <c r="S1931" s="6"/>
      <c r="T1931" s="6"/>
      <c r="U1931" s="6"/>
    </row>
    <row r="1932">
      <c r="A1932" s="6"/>
      <c r="B1932" s="6"/>
      <c r="C1932" s="6"/>
      <c r="D1932" s="6"/>
      <c r="E1932" s="6"/>
      <c r="G1932" s="6"/>
      <c r="H1932" s="6"/>
      <c r="I1932" s="6"/>
      <c r="J1932" s="6"/>
      <c r="K1932" s="6"/>
      <c r="L1932" s="6"/>
      <c r="M1932" s="6"/>
      <c r="N1932" s="672"/>
      <c r="O1932" s="6"/>
      <c r="P1932" s="6"/>
      <c r="Q1932" s="6"/>
      <c r="R1932" s="6"/>
      <c r="S1932" s="6"/>
      <c r="T1932" s="6"/>
      <c r="U1932" s="6"/>
    </row>
    <row r="1933">
      <c r="A1933" s="6"/>
      <c r="B1933" s="6"/>
      <c r="C1933" s="6"/>
      <c r="D1933" s="6"/>
      <c r="E1933" s="6"/>
      <c r="G1933" s="6"/>
      <c r="H1933" s="6"/>
      <c r="I1933" s="6"/>
      <c r="J1933" s="6"/>
      <c r="K1933" s="6"/>
      <c r="L1933" s="6"/>
      <c r="M1933" s="6"/>
      <c r="N1933" s="672"/>
      <c r="O1933" s="6"/>
      <c r="P1933" s="6"/>
      <c r="Q1933" s="6"/>
      <c r="R1933" s="6"/>
      <c r="S1933" s="6"/>
      <c r="T1933" s="6"/>
      <c r="U1933" s="6"/>
    </row>
    <row r="1934">
      <c r="A1934" s="6"/>
      <c r="B1934" s="6"/>
      <c r="C1934" s="6"/>
      <c r="D1934" s="6"/>
      <c r="E1934" s="6"/>
      <c r="G1934" s="6"/>
      <c r="H1934" s="6"/>
      <c r="I1934" s="6"/>
      <c r="J1934" s="6"/>
      <c r="K1934" s="6"/>
      <c r="L1934" s="6"/>
      <c r="M1934" s="6"/>
      <c r="N1934" s="672"/>
      <c r="O1934" s="6"/>
      <c r="P1934" s="6"/>
      <c r="Q1934" s="6"/>
      <c r="R1934" s="6"/>
      <c r="S1934" s="6"/>
      <c r="T1934" s="6"/>
      <c r="U1934" s="6"/>
    </row>
    <row r="1935">
      <c r="A1935" s="6"/>
      <c r="B1935" s="6"/>
      <c r="C1935" s="6"/>
      <c r="D1935" s="6"/>
      <c r="E1935" s="6"/>
      <c r="G1935" s="6"/>
      <c r="H1935" s="6"/>
      <c r="I1935" s="6"/>
      <c r="J1935" s="6"/>
      <c r="K1935" s="6"/>
      <c r="L1935" s="6"/>
      <c r="M1935" s="6"/>
      <c r="N1935" s="672"/>
      <c r="O1935" s="6"/>
      <c r="P1935" s="6"/>
      <c r="Q1935" s="6"/>
      <c r="R1935" s="6"/>
      <c r="S1935" s="6"/>
      <c r="T1935" s="6"/>
      <c r="U1935" s="6"/>
    </row>
    <row r="1936">
      <c r="A1936" s="6"/>
      <c r="B1936" s="6"/>
      <c r="C1936" s="6"/>
      <c r="D1936" s="6"/>
      <c r="E1936" s="6"/>
      <c r="G1936" s="6"/>
      <c r="H1936" s="6"/>
      <c r="I1936" s="6"/>
      <c r="J1936" s="6"/>
      <c r="K1936" s="6"/>
      <c r="L1936" s="6"/>
      <c r="M1936" s="6"/>
      <c r="N1936" s="672"/>
      <c r="O1936" s="6"/>
      <c r="P1936" s="6"/>
      <c r="Q1936" s="6"/>
      <c r="R1936" s="6"/>
      <c r="S1936" s="6"/>
      <c r="T1936" s="6"/>
      <c r="U1936" s="6"/>
    </row>
    <row r="1937">
      <c r="A1937" s="6"/>
      <c r="B1937" s="6"/>
      <c r="C1937" s="6"/>
      <c r="D1937" s="6"/>
      <c r="E1937" s="6"/>
      <c r="G1937" s="6"/>
      <c r="H1937" s="6"/>
      <c r="I1937" s="6"/>
      <c r="J1937" s="6"/>
      <c r="K1937" s="6"/>
      <c r="L1937" s="6"/>
      <c r="M1937" s="6"/>
      <c r="N1937" s="672"/>
      <c r="O1937" s="6"/>
      <c r="P1937" s="6"/>
      <c r="Q1937" s="6"/>
      <c r="R1937" s="6"/>
      <c r="S1937" s="6"/>
      <c r="T1937" s="6"/>
      <c r="U1937" s="6"/>
    </row>
    <row r="1938">
      <c r="A1938" s="6"/>
      <c r="B1938" s="6"/>
      <c r="C1938" s="6"/>
      <c r="D1938" s="6"/>
      <c r="E1938" s="6"/>
      <c r="G1938" s="6"/>
      <c r="H1938" s="6"/>
      <c r="I1938" s="6"/>
      <c r="J1938" s="6"/>
      <c r="K1938" s="6"/>
      <c r="L1938" s="6"/>
      <c r="M1938" s="6"/>
      <c r="N1938" s="672"/>
      <c r="O1938" s="6"/>
      <c r="P1938" s="6"/>
      <c r="Q1938" s="6"/>
      <c r="R1938" s="6"/>
      <c r="S1938" s="6"/>
      <c r="T1938" s="6"/>
      <c r="U1938" s="6"/>
    </row>
    <row r="1939">
      <c r="A1939" s="6"/>
      <c r="B1939" s="6"/>
      <c r="C1939" s="6"/>
      <c r="D1939" s="6"/>
      <c r="E1939" s="6"/>
      <c r="G1939" s="6"/>
      <c r="H1939" s="6"/>
      <c r="I1939" s="6"/>
      <c r="J1939" s="6"/>
      <c r="K1939" s="6"/>
      <c r="L1939" s="6"/>
      <c r="M1939" s="6"/>
      <c r="N1939" s="672"/>
      <c r="O1939" s="6"/>
      <c r="P1939" s="6"/>
      <c r="Q1939" s="6"/>
      <c r="R1939" s="6"/>
      <c r="S1939" s="6"/>
      <c r="T1939" s="6"/>
      <c r="U1939" s="6"/>
    </row>
    <row r="1940">
      <c r="A1940" s="6"/>
      <c r="B1940" s="6"/>
      <c r="C1940" s="6"/>
      <c r="D1940" s="6"/>
      <c r="E1940" s="6"/>
      <c r="G1940" s="6"/>
      <c r="H1940" s="6"/>
      <c r="I1940" s="6"/>
      <c r="J1940" s="6"/>
      <c r="K1940" s="6"/>
      <c r="L1940" s="6"/>
      <c r="M1940" s="6"/>
      <c r="N1940" s="672"/>
      <c r="O1940" s="6"/>
      <c r="P1940" s="6"/>
      <c r="Q1940" s="6"/>
      <c r="R1940" s="6"/>
      <c r="S1940" s="6"/>
      <c r="T1940" s="6"/>
      <c r="U1940" s="6"/>
    </row>
    <row r="1941">
      <c r="A1941" s="6"/>
      <c r="B1941" s="6"/>
      <c r="C1941" s="6"/>
      <c r="D1941" s="6"/>
      <c r="E1941" s="6"/>
      <c r="G1941" s="6"/>
      <c r="H1941" s="6"/>
      <c r="I1941" s="6"/>
      <c r="J1941" s="6"/>
      <c r="K1941" s="6"/>
      <c r="L1941" s="6"/>
      <c r="M1941" s="6"/>
      <c r="N1941" s="672"/>
      <c r="O1941" s="6"/>
      <c r="P1941" s="6"/>
      <c r="Q1941" s="6"/>
      <c r="R1941" s="6"/>
      <c r="S1941" s="6"/>
      <c r="T1941" s="6"/>
      <c r="U1941" s="6"/>
    </row>
    <row r="1942">
      <c r="A1942" s="6"/>
      <c r="B1942" s="6"/>
      <c r="C1942" s="6"/>
      <c r="D1942" s="6"/>
      <c r="E1942" s="6"/>
      <c r="G1942" s="6"/>
      <c r="H1942" s="6"/>
      <c r="I1942" s="6"/>
      <c r="J1942" s="6"/>
      <c r="K1942" s="6"/>
      <c r="L1942" s="6"/>
      <c r="M1942" s="6"/>
      <c r="N1942" s="672"/>
      <c r="O1942" s="6"/>
      <c r="P1942" s="6"/>
      <c r="Q1942" s="6"/>
      <c r="R1942" s="6"/>
      <c r="S1942" s="6"/>
      <c r="T1942" s="6"/>
      <c r="U1942" s="6"/>
    </row>
    <row r="1943">
      <c r="A1943" s="6"/>
      <c r="B1943" s="6"/>
      <c r="C1943" s="6"/>
      <c r="D1943" s="6"/>
      <c r="E1943" s="6"/>
      <c r="G1943" s="6"/>
      <c r="H1943" s="6"/>
      <c r="I1943" s="6"/>
      <c r="J1943" s="6"/>
      <c r="K1943" s="6"/>
      <c r="L1943" s="6"/>
      <c r="M1943" s="6"/>
      <c r="N1943" s="672"/>
      <c r="O1943" s="6"/>
      <c r="P1943" s="6"/>
      <c r="Q1943" s="6"/>
      <c r="R1943" s="6"/>
      <c r="S1943" s="6"/>
      <c r="T1943" s="6"/>
      <c r="U1943" s="6"/>
    </row>
    <row r="1944">
      <c r="A1944" s="6"/>
      <c r="B1944" s="6"/>
      <c r="C1944" s="6"/>
      <c r="D1944" s="6"/>
      <c r="E1944" s="6"/>
      <c r="G1944" s="6"/>
      <c r="H1944" s="6"/>
      <c r="I1944" s="6"/>
      <c r="J1944" s="6"/>
      <c r="K1944" s="6"/>
      <c r="L1944" s="6"/>
      <c r="M1944" s="6"/>
      <c r="N1944" s="672"/>
      <c r="O1944" s="6"/>
      <c r="P1944" s="6"/>
      <c r="Q1944" s="6"/>
      <c r="R1944" s="6"/>
      <c r="S1944" s="6"/>
      <c r="T1944" s="6"/>
      <c r="U1944" s="6"/>
    </row>
    <row r="1945">
      <c r="A1945" s="6"/>
      <c r="B1945" s="6"/>
      <c r="C1945" s="6"/>
      <c r="D1945" s="6"/>
      <c r="E1945" s="6"/>
      <c r="G1945" s="6"/>
      <c r="H1945" s="6"/>
      <c r="I1945" s="6"/>
      <c r="J1945" s="6"/>
      <c r="K1945" s="6"/>
      <c r="L1945" s="6"/>
      <c r="M1945" s="6"/>
      <c r="N1945" s="672"/>
      <c r="O1945" s="6"/>
      <c r="P1945" s="6"/>
      <c r="Q1945" s="6"/>
      <c r="R1945" s="6"/>
      <c r="S1945" s="6"/>
      <c r="T1945" s="6"/>
      <c r="U1945" s="6"/>
    </row>
    <row r="1946">
      <c r="A1946" s="6"/>
      <c r="B1946" s="6"/>
      <c r="C1946" s="6"/>
      <c r="D1946" s="6"/>
      <c r="E1946" s="6"/>
      <c r="G1946" s="6"/>
      <c r="H1946" s="6"/>
      <c r="I1946" s="6"/>
      <c r="J1946" s="6"/>
      <c r="K1946" s="6"/>
      <c r="L1946" s="6"/>
      <c r="M1946" s="6"/>
      <c r="N1946" s="672"/>
      <c r="O1946" s="6"/>
      <c r="P1946" s="6"/>
      <c r="Q1946" s="6"/>
      <c r="R1946" s="6"/>
      <c r="S1946" s="6"/>
      <c r="T1946" s="6"/>
      <c r="U1946" s="6"/>
    </row>
    <row r="1947">
      <c r="A1947" s="6"/>
      <c r="B1947" s="6"/>
      <c r="C1947" s="6"/>
      <c r="D1947" s="6"/>
      <c r="E1947" s="6"/>
      <c r="G1947" s="6"/>
      <c r="H1947" s="6"/>
      <c r="I1947" s="6"/>
      <c r="J1947" s="6"/>
      <c r="K1947" s="6"/>
      <c r="L1947" s="6"/>
      <c r="M1947" s="6"/>
      <c r="N1947" s="672"/>
      <c r="O1947" s="6"/>
      <c r="P1947" s="6"/>
      <c r="Q1947" s="6"/>
      <c r="R1947" s="6"/>
      <c r="S1947" s="6"/>
      <c r="T1947" s="6"/>
      <c r="U1947" s="6"/>
    </row>
    <row r="1948">
      <c r="A1948" s="6"/>
      <c r="B1948" s="6"/>
      <c r="C1948" s="6"/>
      <c r="D1948" s="6"/>
      <c r="E1948" s="6"/>
      <c r="G1948" s="6"/>
      <c r="H1948" s="6"/>
      <c r="I1948" s="6"/>
      <c r="J1948" s="6"/>
      <c r="K1948" s="6"/>
      <c r="L1948" s="6"/>
      <c r="M1948" s="6"/>
      <c r="N1948" s="672"/>
      <c r="O1948" s="6"/>
      <c r="P1948" s="6"/>
      <c r="Q1948" s="6"/>
      <c r="R1948" s="6"/>
      <c r="S1948" s="6"/>
      <c r="T1948" s="6"/>
      <c r="U1948" s="6"/>
    </row>
    <row r="1949">
      <c r="A1949" s="6"/>
      <c r="B1949" s="6"/>
      <c r="C1949" s="6"/>
      <c r="D1949" s="6"/>
      <c r="E1949" s="6"/>
      <c r="G1949" s="6"/>
      <c r="H1949" s="6"/>
      <c r="I1949" s="6"/>
      <c r="J1949" s="6"/>
      <c r="K1949" s="6"/>
      <c r="L1949" s="6"/>
      <c r="M1949" s="6"/>
      <c r="N1949" s="672"/>
      <c r="O1949" s="6"/>
      <c r="P1949" s="6"/>
      <c r="Q1949" s="6"/>
      <c r="R1949" s="6"/>
      <c r="S1949" s="6"/>
      <c r="T1949" s="6"/>
      <c r="U1949" s="6"/>
    </row>
    <row r="1950">
      <c r="A1950" s="6"/>
      <c r="B1950" s="6"/>
      <c r="C1950" s="6"/>
      <c r="D1950" s="6"/>
      <c r="E1950" s="6"/>
      <c r="G1950" s="6"/>
      <c r="H1950" s="6"/>
      <c r="I1950" s="6"/>
      <c r="J1950" s="6"/>
      <c r="K1950" s="6"/>
      <c r="L1950" s="6"/>
      <c r="M1950" s="6"/>
      <c r="N1950" s="672"/>
      <c r="O1950" s="6"/>
      <c r="P1950" s="6"/>
      <c r="Q1950" s="6"/>
      <c r="R1950" s="6"/>
      <c r="S1950" s="6"/>
      <c r="T1950" s="6"/>
      <c r="U1950" s="6"/>
    </row>
    <row r="1951">
      <c r="A1951" s="6"/>
      <c r="B1951" s="6"/>
      <c r="C1951" s="6"/>
      <c r="D1951" s="6"/>
      <c r="E1951" s="6"/>
      <c r="G1951" s="6"/>
      <c r="H1951" s="6"/>
      <c r="I1951" s="6"/>
      <c r="J1951" s="6"/>
      <c r="K1951" s="6"/>
      <c r="L1951" s="6"/>
      <c r="M1951" s="6"/>
      <c r="N1951" s="672"/>
      <c r="O1951" s="6"/>
      <c r="P1951" s="6"/>
      <c r="Q1951" s="6"/>
      <c r="R1951" s="6"/>
      <c r="S1951" s="6"/>
      <c r="T1951" s="6"/>
      <c r="U1951" s="6"/>
    </row>
    <row r="1952">
      <c r="A1952" s="6"/>
      <c r="B1952" s="6"/>
      <c r="C1952" s="6"/>
      <c r="D1952" s="6"/>
      <c r="E1952" s="6"/>
      <c r="G1952" s="6"/>
      <c r="H1952" s="6"/>
      <c r="I1952" s="6"/>
      <c r="J1952" s="6"/>
      <c r="K1952" s="6"/>
      <c r="L1952" s="6"/>
      <c r="M1952" s="6"/>
      <c r="N1952" s="672"/>
      <c r="O1952" s="6"/>
      <c r="P1952" s="6"/>
      <c r="Q1952" s="6"/>
      <c r="R1952" s="6"/>
      <c r="S1952" s="6"/>
      <c r="T1952" s="6"/>
      <c r="U1952" s="6"/>
    </row>
    <row r="1953">
      <c r="A1953" s="6"/>
      <c r="B1953" s="6"/>
      <c r="C1953" s="6"/>
      <c r="D1953" s="6"/>
      <c r="E1953" s="6"/>
      <c r="G1953" s="6"/>
      <c r="H1953" s="6"/>
      <c r="I1953" s="6"/>
      <c r="J1953" s="6"/>
      <c r="K1953" s="6"/>
      <c r="L1953" s="6"/>
      <c r="M1953" s="6"/>
      <c r="N1953" s="672"/>
      <c r="O1953" s="6"/>
      <c r="P1953" s="6"/>
      <c r="Q1953" s="6"/>
      <c r="R1953" s="6"/>
      <c r="S1953" s="6"/>
      <c r="T1953" s="6"/>
      <c r="U1953" s="6"/>
    </row>
    <row r="1954">
      <c r="A1954" s="6"/>
      <c r="B1954" s="6"/>
      <c r="C1954" s="6"/>
      <c r="D1954" s="6"/>
      <c r="E1954" s="6"/>
      <c r="G1954" s="6"/>
      <c r="H1954" s="6"/>
      <c r="I1954" s="6"/>
      <c r="J1954" s="6"/>
      <c r="K1954" s="6"/>
      <c r="L1954" s="6"/>
      <c r="M1954" s="6"/>
      <c r="N1954" s="672"/>
      <c r="O1954" s="6"/>
      <c r="P1954" s="6"/>
      <c r="Q1954" s="6"/>
      <c r="R1954" s="6"/>
      <c r="S1954" s="6"/>
      <c r="T1954" s="6"/>
      <c r="U1954" s="6"/>
    </row>
    <row r="1955">
      <c r="A1955" s="6"/>
      <c r="B1955" s="6"/>
      <c r="C1955" s="6"/>
      <c r="D1955" s="6"/>
      <c r="E1955" s="6"/>
      <c r="G1955" s="6"/>
      <c r="H1955" s="6"/>
      <c r="I1955" s="6"/>
      <c r="J1955" s="6"/>
      <c r="K1955" s="6"/>
      <c r="L1955" s="6"/>
      <c r="M1955" s="6"/>
      <c r="N1955" s="672"/>
      <c r="O1955" s="6"/>
      <c r="P1955" s="6"/>
      <c r="Q1955" s="6"/>
      <c r="R1955" s="6"/>
      <c r="S1955" s="6"/>
      <c r="T1955" s="6"/>
      <c r="U1955" s="6"/>
    </row>
    <row r="1956">
      <c r="A1956" s="6"/>
      <c r="B1956" s="6"/>
      <c r="C1956" s="6"/>
      <c r="D1956" s="6"/>
      <c r="E1956" s="6"/>
      <c r="G1956" s="6"/>
      <c r="H1956" s="6"/>
      <c r="I1956" s="6"/>
      <c r="J1956" s="6"/>
      <c r="K1956" s="6"/>
      <c r="L1956" s="6"/>
      <c r="M1956" s="6"/>
      <c r="N1956" s="672"/>
      <c r="O1956" s="6"/>
      <c r="P1956" s="6"/>
      <c r="Q1956" s="6"/>
      <c r="R1956" s="6"/>
      <c r="S1956" s="6"/>
      <c r="T1956" s="6"/>
      <c r="U1956" s="6"/>
    </row>
    <row r="1957">
      <c r="A1957" s="6"/>
      <c r="B1957" s="6"/>
      <c r="C1957" s="6"/>
      <c r="D1957" s="6"/>
      <c r="E1957" s="6"/>
      <c r="G1957" s="6"/>
      <c r="H1957" s="6"/>
      <c r="I1957" s="6"/>
      <c r="J1957" s="6"/>
      <c r="K1957" s="6"/>
      <c r="L1957" s="6"/>
      <c r="M1957" s="6"/>
      <c r="N1957" s="672"/>
      <c r="O1957" s="6"/>
      <c r="P1957" s="6"/>
      <c r="Q1957" s="6"/>
      <c r="R1957" s="6"/>
      <c r="S1957" s="6"/>
      <c r="T1957" s="6"/>
      <c r="U1957" s="6"/>
    </row>
    <row r="1958">
      <c r="A1958" s="6"/>
      <c r="B1958" s="6"/>
      <c r="C1958" s="6"/>
      <c r="D1958" s="6"/>
      <c r="E1958" s="6"/>
      <c r="G1958" s="6"/>
      <c r="H1958" s="6"/>
      <c r="I1958" s="6"/>
      <c r="J1958" s="6"/>
      <c r="K1958" s="6"/>
      <c r="L1958" s="6"/>
      <c r="M1958" s="6"/>
      <c r="N1958" s="672"/>
      <c r="O1958" s="6"/>
      <c r="P1958" s="6"/>
      <c r="Q1958" s="6"/>
      <c r="R1958" s="6"/>
      <c r="S1958" s="6"/>
      <c r="T1958" s="6"/>
      <c r="U1958" s="6"/>
    </row>
    <row r="1959">
      <c r="A1959" s="6"/>
      <c r="B1959" s="6"/>
      <c r="C1959" s="6"/>
      <c r="D1959" s="6"/>
      <c r="E1959" s="6"/>
      <c r="G1959" s="6"/>
      <c r="H1959" s="6"/>
      <c r="I1959" s="6"/>
      <c r="J1959" s="6"/>
      <c r="K1959" s="6"/>
      <c r="L1959" s="6"/>
      <c r="M1959" s="6"/>
      <c r="N1959" s="672"/>
      <c r="O1959" s="6"/>
      <c r="P1959" s="6"/>
      <c r="Q1959" s="6"/>
      <c r="R1959" s="6"/>
      <c r="S1959" s="6"/>
      <c r="T1959" s="6"/>
      <c r="U1959" s="6"/>
    </row>
    <row r="1960">
      <c r="A1960" s="6"/>
      <c r="B1960" s="6"/>
      <c r="C1960" s="6"/>
      <c r="D1960" s="6"/>
      <c r="E1960" s="6"/>
      <c r="G1960" s="6"/>
      <c r="H1960" s="6"/>
      <c r="I1960" s="6"/>
      <c r="J1960" s="6"/>
      <c r="K1960" s="6"/>
      <c r="L1960" s="6"/>
      <c r="M1960" s="6"/>
      <c r="N1960" s="672"/>
      <c r="O1960" s="6"/>
      <c r="P1960" s="6"/>
      <c r="Q1960" s="6"/>
      <c r="R1960" s="6"/>
      <c r="S1960" s="6"/>
      <c r="T1960" s="6"/>
      <c r="U1960" s="6"/>
    </row>
    <row r="1961">
      <c r="A1961" s="6"/>
      <c r="B1961" s="6"/>
      <c r="C1961" s="6"/>
      <c r="D1961" s="6"/>
      <c r="E1961" s="6"/>
      <c r="G1961" s="6"/>
      <c r="H1961" s="6"/>
      <c r="I1961" s="6"/>
      <c r="J1961" s="6"/>
      <c r="K1961" s="6"/>
      <c r="L1961" s="6"/>
      <c r="M1961" s="6"/>
      <c r="N1961" s="672"/>
      <c r="O1961" s="6"/>
      <c r="P1961" s="6"/>
      <c r="Q1961" s="6"/>
      <c r="R1961" s="6"/>
      <c r="S1961" s="6"/>
      <c r="T1961" s="6"/>
      <c r="U1961" s="6"/>
    </row>
    <row r="1962">
      <c r="A1962" s="6"/>
      <c r="B1962" s="6"/>
      <c r="C1962" s="6"/>
      <c r="D1962" s="6"/>
      <c r="E1962" s="6"/>
      <c r="G1962" s="6"/>
      <c r="H1962" s="6"/>
      <c r="I1962" s="6"/>
      <c r="J1962" s="6"/>
      <c r="K1962" s="6"/>
      <c r="L1962" s="6"/>
      <c r="M1962" s="6"/>
      <c r="N1962" s="672"/>
      <c r="O1962" s="6"/>
      <c r="P1962" s="6"/>
      <c r="Q1962" s="6"/>
      <c r="R1962" s="6"/>
      <c r="S1962" s="6"/>
      <c r="T1962" s="6"/>
      <c r="U1962" s="6"/>
    </row>
    <row r="1963">
      <c r="A1963" s="6"/>
      <c r="B1963" s="6"/>
      <c r="C1963" s="6"/>
      <c r="D1963" s="6"/>
      <c r="E1963" s="6"/>
      <c r="G1963" s="6"/>
      <c r="H1963" s="6"/>
      <c r="I1963" s="6"/>
      <c r="J1963" s="6"/>
      <c r="K1963" s="6"/>
      <c r="L1963" s="6"/>
      <c r="M1963" s="6"/>
      <c r="N1963" s="672"/>
      <c r="O1963" s="6"/>
      <c r="P1963" s="6"/>
      <c r="Q1963" s="6"/>
      <c r="R1963" s="6"/>
      <c r="S1963" s="6"/>
      <c r="T1963" s="6"/>
      <c r="U1963" s="6"/>
    </row>
    <row r="1964">
      <c r="A1964" s="6"/>
      <c r="B1964" s="6"/>
      <c r="C1964" s="6"/>
      <c r="D1964" s="6"/>
      <c r="E1964" s="6"/>
      <c r="G1964" s="6"/>
      <c r="H1964" s="6"/>
      <c r="I1964" s="6"/>
      <c r="J1964" s="6"/>
      <c r="K1964" s="6"/>
      <c r="L1964" s="6"/>
      <c r="M1964" s="6"/>
      <c r="N1964" s="672"/>
      <c r="O1964" s="6"/>
      <c r="P1964" s="6"/>
      <c r="Q1964" s="6"/>
      <c r="R1964" s="6"/>
      <c r="S1964" s="6"/>
      <c r="T1964" s="6"/>
      <c r="U1964" s="6"/>
    </row>
    <row r="1965">
      <c r="A1965" s="6"/>
      <c r="B1965" s="6"/>
      <c r="C1965" s="6"/>
      <c r="D1965" s="6"/>
      <c r="E1965" s="6"/>
      <c r="G1965" s="6"/>
      <c r="H1965" s="6"/>
      <c r="I1965" s="6"/>
      <c r="J1965" s="6"/>
      <c r="K1965" s="6"/>
      <c r="L1965" s="6"/>
      <c r="M1965" s="6"/>
      <c r="N1965" s="672"/>
      <c r="O1965" s="6"/>
      <c r="P1965" s="6"/>
      <c r="Q1965" s="6"/>
      <c r="R1965" s="6"/>
      <c r="S1965" s="6"/>
      <c r="T1965" s="6"/>
      <c r="U1965" s="6"/>
    </row>
    <row r="1966">
      <c r="A1966" s="6"/>
      <c r="B1966" s="6"/>
      <c r="C1966" s="6"/>
      <c r="D1966" s="6"/>
      <c r="E1966" s="6"/>
      <c r="G1966" s="6"/>
      <c r="H1966" s="6"/>
      <c r="I1966" s="6"/>
      <c r="J1966" s="6"/>
      <c r="K1966" s="6"/>
      <c r="L1966" s="6"/>
      <c r="M1966" s="6"/>
      <c r="N1966" s="672"/>
      <c r="O1966" s="6"/>
      <c r="P1966" s="6"/>
      <c r="Q1966" s="6"/>
      <c r="R1966" s="6"/>
      <c r="S1966" s="6"/>
      <c r="T1966" s="6"/>
      <c r="U1966" s="6"/>
    </row>
    <row r="1967">
      <c r="A1967" s="6"/>
      <c r="B1967" s="6"/>
      <c r="C1967" s="6"/>
      <c r="D1967" s="6"/>
      <c r="E1967" s="6"/>
      <c r="G1967" s="6"/>
      <c r="H1967" s="6"/>
      <c r="I1967" s="6"/>
      <c r="J1967" s="6"/>
      <c r="K1967" s="6"/>
      <c r="L1967" s="6"/>
      <c r="M1967" s="6"/>
      <c r="N1967" s="672"/>
      <c r="O1967" s="6"/>
      <c r="P1967" s="6"/>
      <c r="Q1967" s="6"/>
      <c r="R1967" s="6"/>
      <c r="S1967" s="6"/>
      <c r="T1967" s="6"/>
      <c r="U1967" s="6"/>
    </row>
    <row r="1968">
      <c r="A1968" s="6"/>
      <c r="B1968" s="6"/>
      <c r="C1968" s="6"/>
      <c r="D1968" s="6"/>
      <c r="E1968" s="6"/>
      <c r="G1968" s="6"/>
      <c r="H1968" s="6"/>
      <c r="I1968" s="6"/>
      <c r="J1968" s="6"/>
      <c r="K1968" s="6"/>
      <c r="L1968" s="6"/>
      <c r="M1968" s="6"/>
      <c r="N1968" s="672"/>
      <c r="O1968" s="6"/>
      <c r="P1968" s="6"/>
      <c r="Q1968" s="6"/>
      <c r="R1968" s="6"/>
      <c r="S1968" s="6"/>
      <c r="T1968" s="6"/>
      <c r="U1968" s="6"/>
    </row>
    <row r="1969">
      <c r="A1969" s="6"/>
      <c r="B1969" s="6"/>
      <c r="C1969" s="6"/>
      <c r="D1969" s="6"/>
      <c r="E1969" s="6"/>
      <c r="G1969" s="6"/>
      <c r="H1969" s="6"/>
      <c r="I1969" s="6"/>
      <c r="J1969" s="6"/>
      <c r="K1969" s="6"/>
      <c r="L1969" s="6"/>
      <c r="M1969" s="6"/>
      <c r="N1969" s="672"/>
      <c r="O1969" s="6"/>
      <c r="P1969" s="6"/>
      <c r="Q1969" s="6"/>
      <c r="R1969" s="6"/>
      <c r="S1969" s="6"/>
      <c r="T1969" s="6"/>
      <c r="U1969" s="6"/>
    </row>
    <row r="1970">
      <c r="A1970" s="6"/>
      <c r="B1970" s="6"/>
      <c r="C1970" s="6"/>
      <c r="D1970" s="6"/>
      <c r="E1970" s="6"/>
      <c r="G1970" s="6"/>
      <c r="H1970" s="6"/>
      <c r="I1970" s="6"/>
      <c r="J1970" s="6"/>
      <c r="K1970" s="6"/>
      <c r="L1970" s="6"/>
      <c r="M1970" s="6"/>
      <c r="N1970" s="672"/>
      <c r="O1970" s="6"/>
      <c r="P1970" s="6"/>
      <c r="Q1970" s="6"/>
      <c r="R1970" s="6"/>
      <c r="S1970" s="6"/>
      <c r="T1970" s="6"/>
      <c r="U1970" s="6"/>
    </row>
    <row r="1971">
      <c r="A1971" s="6"/>
      <c r="B1971" s="6"/>
      <c r="C1971" s="6"/>
      <c r="D1971" s="6"/>
      <c r="E1971" s="6"/>
      <c r="G1971" s="6"/>
      <c r="H1971" s="6"/>
      <c r="I1971" s="6"/>
      <c r="J1971" s="6"/>
      <c r="K1971" s="6"/>
      <c r="L1971" s="6"/>
      <c r="M1971" s="6"/>
      <c r="N1971" s="672"/>
      <c r="O1971" s="6"/>
      <c r="P1971" s="6"/>
      <c r="Q1971" s="6"/>
      <c r="R1971" s="6"/>
      <c r="S1971" s="6"/>
      <c r="T1971" s="6"/>
      <c r="U1971" s="6"/>
    </row>
    <row r="1972">
      <c r="A1972" s="6"/>
      <c r="B1972" s="6"/>
      <c r="C1972" s="6"/>
      <c r="D1972" s="6"/>
      <c r="E1972" s="6"/>
      <c r="G1972" s="6"/>
      <c r="H1972" s="6"/>
      <c r="I1972" s="6"/>
      <c r="J1972" s="6"/>
      <c r="K1972" s="6"/>
      <c r="L1972" s="6"/>
      <c r="M1972" s="6"/>
      <c r="N1972" s="672"/>
      <c r="O1972" s="6"/>
      <c r="P1972" s="6"/>
      <c r="Q1972" s="6"/>
      <c r="R1972" s="6"/>
      <c r="S1972" s="6"/>
      <c r="T1972" s="6"/>
      <c r="U1972" s="6"/>
    </row>
    <row r="1973">
      <c r="A1973" s="6"/>
      <c r="B1973" s="6"/>
      <c r="C1973" s="6"/>
      <c r="D1973" s="6"/>
      <c r="E1973" s="6"/>
      <c r="G1973" s="6"/>
      <c r="H1973" s="6"/>
      <c r="I1973" s="6"/>
      <c r="J1973" s="6"/>
      <c r="K1973" s="6"/>
      <c r="L1973" s="6"/>
      <c r="M1973" s="6"/>
      <c r="N1973" s="672"/>
      <c r="O1973" s="6"/>
      <c r="P1973" s="6"/>
      <c r="Q1973" s="6"/>
      <c r="R1973" s="6"/>
      <c r="S1973" s="6"/>
      <c r="T1973" s="6"/>
      <c r="U1973" s="6"/>
    </row>
    <row r="1974">
      <c r="A1974" s="6"/>
      <c r="B1974" s="6"/>
      <c r="C1974" s="6"/>
      <c r="D1974" s="6"/>
      <c r="E1974" s="6"/>
      <c r="G1974" s="6"/>
      <c r="H1974" s="6"/>
      <c r="I1974" s="6"/>
      <c r="J1974" s="6"/>
      <c r="K1974" s="6"/>
      <c r="L1974" s="6"/>
      <c r="M1974" s="6"/>
      <c r="N1974" s="672"/>
      <c r="O1974" s="6"/>
      <c r="P1974" s="6"/>
      <c r="Q1974" s="6"/>
      <c r="R1974" s="6"/>
      <c r="S1974" s="6"/>
      <c r="T1974" s="6"/>
      <c r="U1974" s="6"/>
    </row>
    <row r="1975">
      <c r="A1975" s="6"/>
      <c r="B1975" s="6"/>
      <c r="C1975" s="6"/>
      <c r="D1975" s="6"/>
      <c r="E1975" s="6"/>
      <c r="G1975" s="6"/>
      <c r="H1975" s="6"/>
      <c r="I1975" s="6"/>
      <c r="J1975" s="6"/>
      <c r="K1975" s="6"/>
      <c r="L1975" s="6"/>
      <c r="M1975" s="6"/>
      <c r="N1975" s="672"/>
      <c r="O1975" s="6"/>
      <c r="P1975" s="6"/>
      <c r="Q1975" s="6"/>
      <c r="R1975" s="6"/>
      <c r="S1975" s="6"/>
      <c r="T1975" s="6"/>
      <c r="U1975" s="6"/>
    </row>
    <row r="1976">
      <c r="A1976" s="6"/>
      <c r="B1976" s="6"/>
      <c r="C1976" s="6"/>
      <c r="D1976" s="6"/>
      <c r="E1976" s="6"/>
      <c r="G1976" s="6"/>
      <c r="H1976" s="6"/>
      <c r="I1976" s="6"/>
      <c r="J1976" s="6"/>
      <c r="K1976" s="6"/>
      <c r="L1976" s="6"/>
      <c r="M1976" s="6"/>
      <c r="N1976" s="672"/>
      <c r="O1976" s="6"/>
      <c r="P1976" s="6"/>
      <c r="Q1976" s="6"/>
      <c r="R1976" s="6"/>
      <c r="S1976" s="6"/>
      <c r="T1976" s="6"/>
      <c r="U1976" s="6"/>
    </row>
    <row r="1977">
      <c r="A1977" s="6"/>
      <c r="B1977" s="6"/>
      <c r="C1977" s="6"/>
      <c r="D1977" s="6"/>
      <c r="E1977" s="6"/>
      <c r="G1977" s="6"/>
      <c r="H1977" s="6"/>
      <c r="I1977" s="6"/>
      <c r="J1977" s="6"/>
      <c r="K1977" s="6"/>
      <c r="L1977" s="6"/>
      <c r="M1977" s="6"/>
      <c r="N1977" s="672"/>
      <c r="O1977" s="6"/>
      <c r="P1977" s="6"/>
      <c r="Q1977" s="6"/>
      <c r="R1977" s="6"/>
      <c r="S1977" s="6"/>
      <c r="T1977" s="6"/>
      <c r="U1977" s="6"/>
    </row>
    <row r="1978">
      <c r="A1978" s="6"/>
      <c r="B1978" s="6"/>
      <c r="C1978" s="6"/>
      <c r="D1978" s="6"/>
      <c r="E1978" s="6"/>
      <c r="G1978" s="6"/>
      <c r="H1978" s="6"/>
      <c r="I1978" s="6"/>
      <c r="J1978" s="6"/>
      <c r="K1978" s="6"/>
      <c r="L1978" s="6"/>
      <c r="M1978" s="6"/>
      <c r="N1978" s="672"/>
      <c r="O1978" s="6"/>
      <c r="P1978" s="6"/>
      <c r="Q1978" s="6"/>
      <c r="R1978" s="6"/>
      <c r="S1978" s="6"/>
      <c r="T1978" s="6"/>
      <c r="U1978" s="6"/>
    </row>
    <row r="1979">
      <c r="A1979" s="6"/>
      <c r="B1979" s="6"/>
      <c r="C1979" s="6"/>
      <c r="D1979" s="6"/>
      <c r="E1979" s="6"/>
      <c r="G1979" s="6"/>
      <c r="H1979" s="6"/>
      <c r="I1979" s="6"/>
      <c r="J1979" s="6"/>
      <c r="K1979" s="6"/>
      <c r="L1979" s="6"/>
      <c r="M1979" s="6"/>
      <c r="N1979" s="672"/>
      <c r="O1979" s="6"/>
      <c r="P1979" s="6"/>
      <c r="Q1979" s="6"/>
      <c r="R1979" s="6"/>
      <c r="S1979" s="6"/>
      <c r="T1979" s="6"/>
      <c r="U1979" s="6"/>
    </row>
    <row r="1980">
      <c r="A1980" s="6"/>
      <c r="B1980" s="6"/>
      <c r="C1980" s="6"/>
      <c r="D1980" s="6"/>
      <c r="E1980" s="6"/>
      <c r="G1980" s="6"/>
      <c r="H1980" s="6"/>
      <c r="I1980" s="6"/>
      <c r="J1980" s="6"/>
      <c r="K1980" s="6"/>
      <c r="L1980" s="6"/>
      <c r="M1980" s="6"/>
      <c r="N1980" s="672"/>
      <c r="O1980" s="6"/>
      <c r="P1980" s="6"/>
      <c r="Q1980" s="6"/>
      <c r="R1980" s="6"/>
      <c r="S1980" s="6"/>
      <c r="T1980" s="6"/>
      <c r="U1980" s="6"/>
    </row>
    <row r="1981">
      <c r="A1981" s="6"/>
      <c r="B1981" s="6"/>
      <c r="C1981" s="6"/>
      <c r="D1981" s="6"/>
      <c r="E1981" s="6"/>
      <c r="G1981" s="6"/>
      <c r="H1981" s="6"/>
      <c r="I1981" s="6"/>
      <c r="J1981" s="6"/>
      <c r="K1981" s="6"/>
      <c r="L1981" s="6"/>
      <c r="M1981" s="6"/>
      <c r="N1981" s="672"/>
      <c r="O1981" s="6"/>
      <c r="P1981" s="6"/>
      <c r="Q1981" s="6"/>
      <c r="R1981" s="6"/>
      <c r="S1981" s="6"/>
      <c r="T1981" s="6"/>
      <c r="U1981" s="6"/>
    </row>
    <row r="1982">
      <c r="A1982" s="6"/>
      <c r="B1982" s="6"/>
      <c r="C1982" s="6"/>
      <c r="D1982" s="6"/>
      <c r="E1982" s="6"/>
      <c r="G1982" s="6"/>
      <c r="H1982" s="6"/>
      <c r="I1982" s="6"/>
      <c r="J1982" s="6"/>
      <c r="K1982" s="6"/>
      <c r="L1982" s="6"/>
      <c r="M1982" s="6"/>
      <c r="N1982" s="672"/>
      <c r="O1982" s="6"/>
      <c r="P1982" s="6"/>
      <c r="Q1982" s="6"/>
      <c r="R1982" s="6"/>
      <c r="S1982" s="6"/>
      <c r="T1982" s="6"/>
      <c r="U1982" s="6"/>
    </row>
    <row r="1983">
      <c r="A1983" s="6"/>
      <c r="B1983" s="6"/>
      <c r="C1983" s="6"/>
      <c r="D1983" s="6"/>
      <c r="E1983" s="6"/>
      <c r="G1983" s="6"/>
      <c r="H1983" s="6"/>
      <c r="I1983" s="6"/>
      <c r="J1983" s="6"/>
      <c r="K1983" s="6"/>
      <c r="L1983" s="6"/>
      <c r="M1983" s="6"/>
      <c r="N1983" s="672"/>
      <c r="O1983" s="6"/>
      <c r="P1983" s="6"/>
      <c r="Q1983" s="6"/>
      <c r="R1983" s="6"/>
      <c r="S1983" s="6"/>
      <c r="T1983" s="6"/>
      <c r="U1983" s="6"/>
    </row>
    <row r="1984">
      <c r="A1984" s="6"/>
      <c r="B1984" s="6"/>
      <c r="C1984" s="6"/>
      <c r="D1984" s="6"/>
      <c r="E1984" s="6"/>
      <c r="G1984" s="6"/>
      <c r="H1984" s="6"/>
      <c r="I1984" s="6"/>
      <c r="J1984" s="6"/>
      <c r="K1984" s="6"/>
      <c r="L1984" s="6"/>
      <c r="M1984" s="6"/>
      <c r="N1984" s="672"/>
      <c r="O1984" s="6"/>
      <c r="P1984" s="6"/>
      <c r="Q1984" s="6"/>
      <c r="R1984" s="6"/>
      <c r="S1984" s="6"/>
      <c r="T1984" s="6"/>
      <c r="U1984" s="6"/>
    </row>
    <row r="1985">
      <c r="A1985" s="6"/>
      <c r="B1985" s="6"/>
      <c r="C1985" s="6"/>
      <c r="D1985" s="6"/>
      <c r="E1985" s="6"/>
      <c r="G1985" s="6"/>
      <c r="H1985" s="6"/>
      <c r="I1985" s="6"/>
      <c r="J1985" s="6"/>
      <c r="K1985" s="6"/>
      <c r="L1985" s="6"/>
      <c r="M1985" s="6"/>
      <c r="N1985" s="672"/>
      <c r="O1985" s="6"/>
      <c r="P1985" s="6"/>
      <c r="Q1985" s="6"/>
      <c r="R1985" s="6"/>
      <c r="S1985" s="6"/>
      <c r="T1985" s="6"/>
      <c r="U1985" s="6"/>
    </row>
    <row r="1986">
      <c r="A1986" s="6"/>
      <c r="B1986" s="6"/>
      <c r="C1986" s="6"/>
      <c r="D1986" s="6"/>
      <c r="E1986" s="6"/>
      <c r="G1986" s="6"/>
      <c r="H1986" s="6"/>
      <c r="I1986" s="6"/>
      <c r="J1986" s="6"/>
      <c r="K1986" s="6"/>
      <c r="L1986" s="6"/>
      <c r="M1986" s="6"/>
      <c r="N1986" s="672"/>
      <c r="O1986" s="6"/>
      <c r="P1986" s="6"/>
      <c r="Q1986" s="6"/>
      <c r="R1986" s="6"/>
      <c r="S1986" s="6"/>
      <c r="T1986" s="6"/>
      <c r="U1986" s="6"/>
    </row>
    <row r="1987">
      <c r="A1987" s="6"/>
      <c r="B1987" s="6"/>
      <c r="C1987" s="6"/>
      <c r="D1987" s="6"/>
      <c r="E1987" s="6"/>
      <c r="G1987" s="6"/>
      <c r="H1987" s="6"/>
      <c r="I1987" s="6"/>
      <c r="J1987" s="6"/>
      <c r="K1987" s="6"/>
      <c r="L1987" s="6"/>
      <c r="M1987" s="6"/>
      <c r="N1987" s="672"/>
      <c r="O1987" s="6"/>
      <c r="P1987" s="6"/>
      <c r="Q1987" s="6"/>
      <c r="R1987" s="6"/>
      <c r="S1987" s="6"/>
      <c r="T1987" s="6"/>
      <c r="U1987" s="6"/>
    </row>
    <row r="1988">
      <c r="A1988" s="6"/>
      <c r="B1988" s="6"/>
      <c r="C1988" s="6"/>
      <c r="D1988" s="6"/>
      <c r="E1988" s="6"/>
      <c r="G1988" s="6"/>
      <c r="H1988" s="6"/>
      <c r="I1988" s="6"/>
      <c r="J1988" s="6"/>
      <c r="K1988" s="6"/>
      <c r="L1988" s="6"/>
      <c r="M1988" s="6"/>
      <c r="N1988" s="672"/>
      <c r="O1988" s="6"/>
      <c r="P1988" s="6"/>
      <c r="Q1988" s="6"/>
      <c r="R1988" s="6"/>
      <c r="S1988" s="6"/>
      <c r="T1988" s="6"/>
      <c r="U1988" s="6"/>
    </row>
    <row r="1989">
      <c r="A1989" s="6"/>
      <c r="B1989" s="6"/>
      <c r="C1989" s="6"/>
      <c r="D1989" s="6"/>
      <c r="E1989" s="6"/>
      <c r="G1989" s="6"/>
      <c r="H1989" s="6"/>
      <c r="I1989" s="6"/>
      <c r="J1989" s="6"/>
      <c r="K1989" s="6"/>
      <c r="L1989" s="6"/>
      <c r="M1989" s="6"/>
      <c r="N1989" s="672"/>
      <c r="O1989" s="6"/>
      <c r="P1989" s="6"/>
      <c r="Q1989" s="6"/>
      <c r="R1989" s="6"/>
      <c r="S1989" s="6"/>
      <c r="T1989" s="6"/>
      <c r="U1989" s="6"/>
    </row>
    <row r="1990">
      <c r="A1990" s="6"/>
      <c r="B1990" s="6"/>
      <c r="C1990" s="6"/>
      <c r="D1990" s="6"/>
      <c r="E1990" s="6"/>
      <c r="G1990" s="6"/>
      <c r="H1990" s="6"/>
      <c r="I1990" s="6"/>
      <c r="J1990" s="6"/>
      <c r="K1990" s="6"/>
      <c r="L1990" s="6"/>
      <c r="M1990" s="6"/>
      <c r="N1990" s="672"/>
      <c r="O1990" s="6"/>
      <c r="P1990" s="6"/>
      <c r="Q1990" s="6"/>
      <c r="R1990" s="6"/>
      <c r="S1990" s="6"/>
      <c r="T1990" s="6"/>
      <c r="U1990" s="6"/>
    </row>
    <row r="1991">
      <c r="A1991" s="6"/>
      <c r="B1991" s="6"/>
      <c r="C1991" s="6"/>
      <c r="D1991" s="6"/>
      <c r="E1991" s="6"/>
      <c r="G1991" s="6"/>
      <c r="H1991" s="6"/>
      <c r="I1991" s="6"/>
      <c r="J1991" s="6"/>
      <c r="K1991" s="6"/>
      <c r="L1991" s="6"/>
      <c r="M1991" s="6"/>
      <c r="N1991" s="672"/>
      <c r="O1991" s="6"/>
      <c r="P1991" s="6"/>
      <c r="Q1991" s="6"/>
      <c r="R1991" s="6"/>
      <c r="S1991" s="6"/>
      <c r="T1991" s="6"/>
      <c r="U1991" s="6"/>
    </row>
    <row r="1992">
      <c r="A1992" s="6"/>
      <c r="B1992" s="6"/>
      <c r="C1992" s="6"/>
      <c r="D1992" s="6"/>
      <c r="E1992" s="6"/>
      <c r="G1992" s="6"/>
      <c r="H1992" s="6"/>
      <c r="I1992" s="6"/>
      <c r="J1992" s="6"/>
      <c r="K1992" s="6"/>
      <c r="L1992" s="6"/>
      <c r="M1992" s="6"/>
      <c r="N1992" s="672"/>
      <c r="O1992" s="6"/>
      <c r="P1992" s="6"/>
      <c r="Q1992" s="6"/>
      <c r="R1992" s="6"/>
      <c r="S1992" s="6"/>
      <c r="T1992" s="6"/>
      <c r="U1992" s="6"/>
    </row>
    <row r="1993">
      <c r="A1993" s="6"/>
      <c r="B1993" s="6"/>
      <c r="C1993" s="6"/>
      <c r="D1993" s="6"/>
      <c r="E1993" s="6"/>
      <c r="G1993" s="6"/>
      <c r="H1993" s="6"/>
      <c r="I1993" s="6"/>
      <c r="J1993" s="6"/>
      <c r="K1993" s="6"/>
      <c r="L1993" s="6"/>
      <c r="M1993" s="6"/>
      <c r="N1993" s="672"/>
      <c r="O1993" s="6"/>
      <c r="P1993" s="6"/>
      <c r="Q1993" s="6"/>
      <c r="R1993" s="6"/>
      <c r="S1993" s="6"/>
      <c r="T1993" s="6"/>
      <c r="U1993" s="6"/>
    </row>
    <row r="1994">
      <c r="A1994" s="6"/>
      <c r="B1994" s="6"/>
      <c r="C1994" s="6"/>
      <c r="D1994" s="6"/>
      <c r="E1994" s="6"/>
      <c r="G1994" s="6"/>
      <c r="H1994" s="6"/>
      <c r="I1994" s="6"/>
      <c r="J1994" s="6"/>
      <c r="K1994" s="6"/>
      <c r="L1994" s="6"/>
      <c r="M1994" s="6"/>
      <c r="N1994" s="672"/>
      <c r="O1994" s="6"/>
      <c r="P1994" s="6"/>
      <c r="Q1994" s="6"/>
      <c r="R1994" s="6"/>
      <c r="S1994" s="6"/>
      <c r="T1994" s="6"/>
      <c r="U1994" s="6"/>
    </row>
    <row r="1995">
      <c r="A1995" s="6"/>
      <c r="B1995" s="6"/>
      <c r="C1995" s="6"/>
      <c r="D1995" s="6"/>
      <c r="E1995" s="6"/>
      <c r="G1995" s="6"/>
      <c r="H1995" s="6"/>
      <c r="I1995" s="6"/>
      <c r="J1995" s="6"/>
      <c r="K1995" s="6"/>
      <c r="L1995" s="6"/>
      <c r="M1995" s="6"/>
      <c r="N1995" s="672"/>
      <c r="O1995" s="6"/>
      <c r="P1995" s="6"/>
      <c r="Q1995" s="6"/>
      <c r="R1995" s="6"/>
      <c r="S1995" s="6"/>
      <c r="T1995" s="6"/>
      <c r="U1995" s="6"/>
    </row>
    <row r="1996">
      <c r="A1996" s="6"/>
      <c r="B1996" s="6"/>
      <c r="C1996" s="6"/>
      <c r="D1996" s="6"/>
      <c r="E1996" s="6"/>
      <c r="G1996" s="6"/>
      <c r="H1996" s="6"/>
      <c r="I1996" s="6"/>
      <c r="J1996" s="6"/>
      <c r="K1996" s="6"/>
      <c r="L1996" s="6"/>
      <c r="M1996" s="6"/>
      <c r="N1996" s="672"/>
      <c r="O1996" s="6"/>
      <c r="P1996" s="6"/>
      <c r="Q1996" s="6"/>
      <c r="R1996" s="6"/>
      <c r="S1996" s="6"/>
      <c r="T1996" s="6"/>
      <c r="U1996" s="6"/>
    </row>
    <row r="1997">
      <c r="A1997" s="6"/>
      <c r="B1997" s="6"/>
      <c r="C1997" s="6"/>
      <c r="D1997" s="6"/>
      <c r="E1997" s="6"/>
      <c r="G1997" s="6"/>
      <c r="H1997" s="6"/>
      <c r="I1997" s="6"/>
      <c r="J1997" s="6"/>
      <c r="K1997" s="6"/>
      <c r="L1997" s="6"/>
      <c r="M1997" s="6"/>
      <c r="N1997" s="672"/>
      <c r="O1997" s="6"/>
      <c r="P1997" s="6"/>
      <c r="Q1997" s="6"/>
      <c r="R1997" s="6"/>
      <c r="S1997" s="6"/>
      <c r="T1997" s="6"/>
      <c r="U1997" s="6"/>
    </row>
    <row r="1998">
      <c r="A1998" s="6"/>
      <c r="B1998" s="6"/>
      <c r="C1998" s="6"/>
      <c r="D1998" s="6"/>
      <c r="E1998" s="6"/>
      <c r="G1998" s="6"/>
      <c r="H1998" s="6"/>
      <c r="I1998" s="6"/>
      <c r="J1998" s="6"/>
      <c r="K1998" s="6"/>
      <c r="L1998" s="6"/>
      <c r="M1998" s="6"/>
      <c r="N1998" s="672"/>
      <c r="O1998" s="6"/>
      <c r="P1998" s="6"/>
      <c r="Q1998" s="6"/>
      <c r="R1998" s="6"/>
      <c r="S1998" s="6"/>
      <c r="T1998" s="6"/>
      <c r="U1998" s="6"/>
    </row>
    <row r="1999">
      <c r="A1999" s="6"/>
      <c r="B1999" s="6"/>
      <c r="C1999" s="6"/>
      <c r="D1999" s="6"/>
      <c r="E1999" s="6"/>
      <c r="G1999" s="6"/>
      <c r="H1999" s="6"/>
      <c r="I1999" s="6"/>
      <c r="J1999" s="6"/>
      <c r="K1999" s="6"/>
      <c r="L1999" s="6"/>
      <c r="M1999" s="6"/>
      <c r="N1999" s="672"/>
      <c r="O1999" s="6"/>
      <c r="P1999" s="6"/>
      <c r="Q1999" s="6"/>
      <c r="R1999" s="6"/>
      <c r="S1999" s="6"/>
      <c r="T1999" s="6"/>
      <c r="U1999" s="6"/>
    </row>
    <row r="2000">
      <c r="A2000" s="6"/>
      <c r="B2000" s="6"/>
      <c r="C2000" s="6"/>
      <c r="D2000" s="6"/>
      <c r="E2000" s="6"/>
      <c r="G2000" s="6"/>
      <c r="H2000" s="6"/>
      <c r="I2000" s="6"/>
      <c r="J2000" s="6"/>
      <c r="K2000" s="6"/>
      <c r="L2000" s="6"/>
      <c r="M2000" s="6"/>
      <c r="N2000" s="672"/>
      <c r="O2000" s="6"/>
      <c r="P2000" s="6"/>
      <c r="Q2000" s="6"/>
      <c r="R2000" s="6"/>
      <c r="S2000" s="6"/>
      <c r="T2000" s="6"/>
      <c r="U2000" s="6"/>
    </row>
    <row r="2001">
      <c r="A2001" s="6"/>
      <c r="B2001" s="6"/>
      <c r="C2001" s="6"/>
      <c r="D2001" s="6"/>
      <c r="E2001" s="6"/>
      <c r="G2001" s="6"/>
      <c r="H2001" s="6"/>
      <c r="I2001" s="6"/>
      <c r="J2001" s="6"/>
      <c r="K2001" s="6"/>
      <c r="L2001" s="6"/>
      <c r="M2001" s="6"/>
      <c r="N2001" s="672"/>
      <c r="O2001" s="6"/>
      <c r="P2001" s="6"/>
      <c r="Q2001" s="6"/>
      <c r="R2001" s="6"/>
      <c r="S2001" s="6"/>
      <c r="T2001" s="6"/>
      <c r="U2001" s="6"/>
    </row>
    <row r="2002">
      <c r="A2002" s="6"/>
      <c r="B2002" s="6"/>
      <c r="C2002" s="6"/>
      <c r="D2002" s="6"/>
      <c r="E2002" s="6"/>
      <c r="G2002" s="6"/>
      <c r="H2002" s="6"/>
      <c r="I2002" s="6"/>
      <c r="J2002" s="6"/>
      <c r="K2002" s="6"/>
      <c r="L2002" s="6"/>
      <c r="M2002" s="6"/>
      <c r="N2002" s="672"/>
      <c r="O2002" s="6"/>
      <c r="P2002" s="6"/>
      <c r="Q2002" s="6"/>
      <c r="R2002" s="6"/>
      <c r="S2002" s="6"/>
      <c r="T2002" s="6"/>
      <c r="U2002" s="6"/>
    </row>
    <row r="2003">
      <c r="A2003" s="6"/>
      <c r="B2003" s="6"/>
      <c r="C2003" s="6"/>
      <c r="D2003" s="6"/>
      <c r="E2003" s="6"/>
      <c r="G2003" s="6"/>
      <c r="H2003" s="6"/>
      <c r="I2003" s="6"/>
      <c r="J2003" s="6"/>
      <c r="K2003" s="6"/>
      <c r="L2003" s="6"/>
      <c r="M2003" s="6"/>
      <c r="N2003" s="672"/>
      <c r="O2003" s="6"/>
      <c r="P2003" s="6"/>
      <c r="Q2003" s="6"/>
      <c r="R2003" s="6"/>
      <c r="S2003" s="6"/>
      <c r="T2003" s="6"/>
      <c r="U2003" s="6"/>
    </row>
    <row r="2004">
      <c r="A2004" s="6"/>
      <c r="B2004" s="6"/>
      <c r="C2004" s="6"/>
      <c r="D2004" s="6"/>
      <c r="E2004" s="6"/>
      <c r="G2004" s="6"/>
      <c r="H2004" s="6"/>
      <c r="I2004" s="6"/>
      <c r="J2004" s="6"/>
      <c r="K2004" s="6"/>
      <c r="L2004" s="6"/>
      <c r="M2004" s="6"/>
      <c r="N2004" s="672"/>
      <c r="O2004" s="6"/>
      <c r="P2004" s="6"/>
      <c r="Q2004" s="6"/>
      <c r="R2004" s="6"/>
      <c r="S2004" s="6"/>
      <c r="T2004" s="6"/>
      <c r="U2004" s="6"/>
    </row>
    <row r="2005">
      <c r="A2005" s="6"/>
      <c r="B2005" s="6"/>
      <c r="C2005" s="6"/>
      <c r="D2005" s="6"/>
      <c r="E2005" s="6"/>
      <c r="G2005" s="6"/>
      <c r="H2005" s="6"/>
      <c r="I2005" s="6"/>
      <c r="J2005" s="6"/>
      <c r="K2005" s="6"/>
      <c r="L2005" s="6"/>
      <c r="M2005" s="6"/>
      <c r="N2005" s="672"/>
      <c r="O2005" s="6"/>
      <c r="P2005" s="6"/>
      <c r="Q2005" s="6"/>
      <c r="R2005" s="6"/>
      <c r="S2005" s="6"/>
      <c r="T2005" s="6"/>
      <c r="U2005" s="6"/>
    </row>
    <row r="2006">
      <c r="A2006" s="6"/>
      <c r="B2006" s="6"/>
      <c r="C2006" s="6"/>
      <c r="D2006" s="6"/>
      <c r="E2006" s="6"/>
      <c r="G2006" s="6"/>
      <c r="H2006" s="6"/>
      <c r="I2006" s="6"/>
      <c r="J2006" s="6"/>
      <c r="K2006" s="6"/>
      <c r="L2006" s="6"/>
      <c r="M2006" s="6"/>
      <c r="N2006" s="672"/>
      <c r="O2006" s="6"/>
      <c r="P2006" s="6"/>
      <c r="Q2006" s="6"/>
      <c r="R2006" s="6"/>
      <c r="S2006" s="6"/>
      <c r="T2006" s="6"/>
      <c r="U2006" s="6"/>
    </row>
    <row r="2007">
      <c r="A2007" s="6"/>
      <c r="B2007" s="6"/>
      <c r="C2007" s="6"/>
      <c r="D2007" s="6"/>
      <c r="E2007" s="6"/>
      <c r="G2007" s="6"/>
      <c r="H2007" s="6"/>
      <c r="I2007" s="6"/>
      <c r="J2007" s="6"/>
      <c r="K2007" s="6"/>
      <c r="L2007" s="6"/>
      <c r="M2007" s="6"/>
      <c r="N2007" s="672"/>
      <c r="O2007" s="6"/>
      <c r="P2007" s="6"/>
      <c r="Q2007" s="6"/>
      <c r="R2007" s="6"/>
      <c r="S2007" s="6"/>
      <c r="T2007" s="6"/>
      <c r="U2007" s="6"/>
    </row>
    <row r="2008">
      <c r="A2008" s="6"/>
      <c r="B2008" s="6"/>
      <c r="C2008" s="6"/>
      <c r="D2008" s="6"/>
      <c r="E2008" s="6"/>
      <c r="G2008" s="6"/>
      <c r="H2008" s="6"/>
      <c r="I2008" s="6"/>
      <c r="J2008" s="6"/>
      <c r="K2008" s="6"/>
      <c r="L2008" s="6"/>
      <c r="M2008" s="6"/>
      <c r="N2008" s="672"/>
      <c r="O2008" s="6"/>
      <c r="P2008" s="6"/>
      <c r="Q2008" s="6"/>
      <c r="R2008" s="6"/>
      <c r="S2008" s="6"/>
      <c r="T2008" s="6"/>
      <c r="U2008" s="6"/>
    </row>
    <row r="2009">
      <c r="A2009" s="6"/>
      <c r="B2009" s="6"/>
      <c r="C2009" s="6"/>
      <c r="D2009" s="6"/>
      <c r="E2009" s="6"/>
      <c r="G2009" s="6"/>
      <c r="H2009" s="6"/>
      <c r="I2009" s="6"/>
      <c r="J2009" s="6"/>
      <c r="K2009" s="6"/>
      <c r="L2009" s="6"/>
      <c r="M2009" s="6"/>
      <c r="N2009" s="672"/>
      <c r="O2009" s="6"/>
      <c r="P2009" s="6"/>
      <c r="Q2009" s="6"/>
      <c r="R2009" s="6"/>
      <c r="S2009" s="6"/>
      <c r="T2009" s="6"/>
      <c r="U2009" s="6"/>
    </row>
    <row r="2010">
      <c r="A2010" s="6"/>
      <c r="B2010" s="6"/>
      <c r="C2010" s="6"/>
      <c r="D2010" s="6"/>
      <c r="E2010" s="6"/>
      <c r="G2010" s="6"/>
      <c r="H2010" s="6"/>
      <c r="I2010" s="6"/>
      <c r="J2010" s="6"/>
      <c r="K2010" s="6"/>
      <c r="L2010" s="6"/>
      <c r="M2010" s="6"/>
      <c r="N2010" s="672"/>
      <c r="O2010" s="6"/>
      <c r="P2010" s="6"/>
      <c r="Q2010" s="6"/>
      <c r="R2010" s="6"/>
      <c r="S2010" s="6"/>
      <c r="T2010" s="6"/>
      <c r="U2010" s="6"/>
    </row>
    <row r="2011">
      <c r="A2011" s="6"/>
      <c r="B2011" s="6"/>
      <c r="C2011" s="6"/>
      <c r="D2011" s="6"/>
      <c r="E2011" s="6"/>
      <c r="G2011" s="6"/>
      <c r="H2011" s="6"/>
      <c r="I2011" s="6"/>
      <c r="J2011" s="6"/>
      <c r="K2011" s="6"/>
      <c r="L2011" s="6"/>
      <c r="M2011" s="6"/>
      <c r="N2011" s="672"/>
      <c r="O2011" s="6"/>
      <c r="P2011" s="6"/>
      <c r="Q2011" s="6"/>
      <c r="R2011" s="6"/>
      <c r="S2011" s="6"/>
      <c r="T2011" s="6"/>
      <c r="U2011" s="6"/>
    </row>
    <row r="2012">
      <c r="A2012" s="6"/>
      <c r="B2012" s="6"/>
      <c r="C2012" s="6"/>
      <c r="D2012" s="6"/>
      <c r="E2012" s="6"/>
      <c r="G2012" s="6"/>
      <c r="H2012" s="6"/>
      <c r="I2012" s="6"/>
      <c r="J2012" s="6"/>
      <c r="K2012" s="6"/>
      <c r="L2012" s="6"/>
      <c r="M2012" s="6"/>
      <c r="N2012" s="672"/>
      <c r="O2012" s="6"/>
      <c r="P2012" s="6"/>
      <c r="Q2012" s="6"/>
      <c r="R2012" s="6"/>
      <c r="S2012" s="6"/>
      <c r="T2012" s="6"/>
      <c r="U2012" s="6"/>
    </row>
    <row r="2013">
      <c r="A2013" s="6"/>
      <c r="B2013" s="6"/>
      <c r="C2013" s="6"/>
      <c r="D2013" s="6"/>
      <c r="E2013" s="6"/>
      <c r="G2013" s="6"/>
      <c r="H2013" s="6"/>
      <c r="I2013" s="6"/>
      <c r="J2013" s="6"/>
      <c r="K2013" s="6"/>
      <c r="L2013" s="6"/>
      <c r="M2013" s="6"/>
      <c r="N2013" s="672"/>
      <c r="O2013" s="6"/>
      <c r="P2013" s="6"/>
      <c r="Q2013" s="6"/>
      <c r="R2013" s="6"/>
      <c r="S2013" s="6"/>
      <c r="T2013" s="6"/>
      <c r="U2013" s="6"/>
    </row>
    <row r="2014">
      <c r="A2014" s="6"/>
      <c r="B2014" s="6"/>
      <c r="C2014" s="6"/>
      <c r="D2014" s="6"/>
      <c r="E2014" s="6"/>
      <c r="G2014" s="6"/>
      <c r="H2014" s="6"/>
      <c r="I2014" s="6"/>
      <c r="J2014" s="6"/>
      <c r="K2014" s="6"/>
      <c r="L2014" s="6"/>
      <c r="M2014" s="6"/>
      <c r="N2014" s="672"/>
      <c r="O2014" s="6"/>
      <c r="P2014" s="6"/>
      <c r="Q2014" s="6"/>
      <c r="R2014" s="6"/>
      <c r="S2014" s="6"/>
      <c r="T2014" s="6"/>
      <c r="U2014" s="6"/>
    </row>
    <row r="2015">
      <c r="A2015" s="6"/>
      <c r="B2015" s="6"/>
      <c r="C2015" s="6"/>
      <c r="D2015" s="6"/>
      <c r="E2015" s="6"/>
      <c r="G2015" s="6"/>
      <c r="H2015" s="6"/>
      <c r="I2015" s="6"/>
      <c r="J2015" s="6"/>
      <c r="K2015" s="6"/>
      <c r="L2015" s="6"/>
      <c r="M2015" s="6"/>
      <c r="N2015" s="672"/>
      <c r="O2015" s="6"/>
      <c r="P2015" s="6"/>
      <c r="Q2015" s="6"/>
      <c r="R2015" s="6"/>
      <c r="S2015" s="6"/>
      <c r="T2015" s="6"/>
      <c r="U2015" s="6"/>
    </row>
    <row r="2016">
      <c r="A2016" s="6"/>
      <c r="B2016" s="6"/>
      <c r="C2016" s="6"/>
      <c r="D2016" s="6"/>
      <c r="E2016" s="6"/>
      <c r="G2016" s="6"/>
      <c r="H2016" s="6"/>
      <c r="I2016" s="6"/>
      <c r="J2016" s="6"/>
      <c r="K2016" s="6"/>
      <c r="L2016" s="6"/>
      <c r="M2016" s="6"/>
      <c r="N2016" s="672"/>
      <c r="O2016" s="6"/>
      <c r="P2016" s="6"/>
      <c r="Q2016" s="6"/>
      <c r="R2016" s="6"/>
      <c r="S2016" s="6"/>
      <c r="T2016" s="6"/>
      <c r="U2016" s="6"/>
    </row>
    <row r="2017">
      <c r="A2017" s="6"/>
      <c r="B2017" s="6"/>
      <c r="C2017" s="6"/>
      <c r="D2017" s="6"/>
      <c r="E2017" s="6"/>
      <c r="G2017" s="6"/>
      <c r="H2017" s="6"/>
      <c r="I2017" s="6"/>
      <c r="J2017" s="6"/>
      <c r="K2017" s="6"/>
      <c r="L2017" s="6"/>
      <c r="M2017" s="6"/>
      <c r="N2017" s="672"/>
      <c r="O2017" s="6"/>
      <c r="P2017" s="6"/>
      <c r="Q2017" s="6"/>
      <c r="R2017" s="6"/>
      <c r="S2017" s="6"/>
      <c r="T2017" s="6"/>
      <c r="U2017" s="6"/>
    </row>
    <row r="2018">
      <c r="A2018" s="6"/>
      <c r="B2018" s="6"/>
      <c r="C2018" s="6"/>
      <c r="D2018" s="6"/>
      <c r="E2018" s="6"/>
      <c r="G2018" s="6"/>
      <c r="H2018" s="6"/>
      <c r="I2018" s="6"/>
      <c r="J2018" s="6"/>
      <c r="K2018" s="6"/>
      <c r="L2018" s="6"/>
      <c r="M2018" s="6"/>
      <c r="N2018" s="672"/>
      <c r="O2018" s="6"/>
      <c r="P2018" s="6"/>
      <c r="Q2018" s="6"/>
      <c r="R2018" s="6"/>
      <c r="S2018" s="6"/>
      <c r="T2018" s="6"/>
      <c r="U2018" s="6"/>
    </row>
    <row r="2019">
      <c r="A2019" s="6"/>
      <c r="B2019" s="6"/>
      <c r="C2019" s="6"/>
      <c r="D2019" s="6"/>
      <c r="E2019" s="6"/>
      <c r="G2019" s="6"/>
      <c r="H2019" s="6"/>
      <c r="I2019" s="6"/>
      <c r="J2019" s="6"/>
      <c r="K2019" s="6"/>
      <c r="L2019" s="6"/>
      <c r="M2019" s="6"/>
      <c r="N2019" s="672"/>
      <c r="O2019" s="6"/>
      <c r="P2019" s="6"/>
      <c r="Q2019" s="6"/>
      <c r="R2019" s="6"/>
      <c r="S2019" s="6"/>
      <c r="T2019" s="6"/>
      <c r="U2019" s="6"/>
    </row>
    <row r="2020">
      <c r="A2020" s="6"/>
      <c r="B2020" s="6"/>
      <c r="C2020" s="6"/>
      <c r="D2020" s="6"/>
      <c r="E2020" s="6"/>
      <c r="G2020" s="6"/>
      <c r="H2020" s="6"/>
      <c r="I2020" s="6"/>
      <c r="J2020" s="6"/>
      <c r="K2020" s="6"/>
      <c r="L2020" s="6"/>
      <c r="M2020" s="6"/>
      <c r="N2020" s="672"/>
      <c r="O2020" s="6"/>
      <c r="P2020" s="6"/>
      <c r="Q2020" s="6"/>
      <c r="R2020" s="6"/>
      <c r="S2020" s="6"/>
      <c r="T2020" s="6"/>
      <c r="U2020" s="6"/>
    </row>
    <row r="2021">
      <c r="A2021" s="6"/>
      <c r="B2021" s="6"/>
      <c r="C2021" s="6"/>
      <c r="D2021" s="6"/>
      <c r="E2021" s="6"/>
      <c r="G2021" s="6"/>
      <c r="H2021" s="6"/>
      <c r="I2021" s="6"/>
      <c r="J2021" s="6"/>
      <c r="K2021" s="6"/>
      <c r="L2021" s="6"/>
      <c r="M2021" s="6"/>
      <c r="N2021" s="672"/>
      <c r="O2021" s="6"/>
      <c r="P2021" s="6"/>
      <c r="Q2021" s="6"/>
      <c r="R2021" s="6"/>
      <c r="S2021" s="6"/>
      <c r="T2021" s="6"/>
      <c r="U2021" s="6"/>
    </row>
    <row r="2022">
      <c r="A2022" s="6"/>
      <c r="B2022" s="6"/>
      <c r="C2022" s="6"/>
      <c r="D2022" s="6"/>
      <c r="E2022" s="6"/>
      <c r="G2022" s="6"/>
      <c r="H2022" s="6"/>
      <c r="I2022" s="6"/>
      <c r="J2022" s="6"/>
      <c r="K2022" s="6"/>
      <c r="L2022" s="6"/>
      <c r="M2022" s="6"/>
      <c r="N2022" s="672"/>
      <c r="O2022" s="6"/>
      <c r="P2022" s="6"/>
      <c r="Q2022" s="6"/>
      <c r="R2022" s="6"/>
      <c r="S2022" s="6"/>
      <c r="T2022" s="6"/>
      <c r="U2022" s="6"/>
    </row>
    <row r="2023">
      <c r="A2023" s="6"/>
      <c r="B2023" s="6"/>
      <c r="C2023" s="6"/>
      <c r="D2023" s="6"/>
      <c r="E2023" s="6"/>
      <c r="G2023" s="6"/>
      <c r="H2023" s="6"/>
      <c r="I2023" s="6"/>
      <c r="J2023" s="6"/>
      <c r="K2023" s="6"/>
      <c r="L2023" s="6"/>
      <c r="M2023" s="6"/>
      <c r="N2023" s="672"/>
      <c r="O2023" s="6"/>
      <c r="P2023" s="6"/>
      <c r="Q2023" s="6"/>
      <c r="R2023" s="6"/>
      <c r="S2023" s="6"/>
      <c r="T2023" s="6"/>
      <c r="U2023" s="6"/>
    </row>
    <row r="2024">
      <c r="A2024" s="6"/>
      <c r="B2024" s="6"/>
      <c r="C2024" s="6"/>
      <c r="D2024" s="6"/>
      <c r="E2024" s="6"/>
      <c r="G2024" s="6"/>
      <c r="H2024" s="6"/>
      <c r="I2024" s="6"/>
      <c r="J2024" s="6"/>
      <c r="K2024" s="6"/>
      <c r="L2024" s="6"/>
      <c r="M2024" s="6"/>
      <c r="N2024" s="672"/>
      <c r="O2024" s="6"/>
      <c r="P2024" s="6"/>
      <c r="Q2024" s="6"/>
      <c r="R2024" s="6"/>
      <c r="S2024" s="6"/>
      <c r="T2024" s="6"/>
      <c r="U2024" s="6"/>
    </row>
    <row r="2025">
      <c r="A2025" s="6"/>
      <c r="B2025" s="6"/>
      <c r="C2025" s="6"/>
      <c r="D2025" s="6"/>
      <c r="E2025" s="6"/>
      <c r="G2025" s="6"/>
      <c r="H2025" s="6"/>
      <c r="I2025" s="6"/>
      <c r="J2025" s="6"/>
      <c r="K2025" s="6"/>
      <c r="L2025" s="6"/>
      <c r="M2025" s="6"/>
      <c r="N2025" s="672"/>
      <c r="O2025" s="6"/>
      <c r="P2025" s="6"/>
      <c r="Q2025" s="6"/>
      <c r="R2025" s="6"/>
      <c r="S2025" s="6"/>
      <c r="T2025" s="6"/>
      <c r="U2025" s="6"/>
    </row>
    <row r="2026">
      <c r="A2026" s="6"/>
      <c r="B2026" s="6"/>
      <c r="C2026" s="6"/>
      <c r="D2026" s="6"/>
      <c r="E2026" s="6"/>
      <c r="G2026" s="6"/>
      <c r="H2026" s="6"/>
      <c r="I2026" s="6"/>
      <c r="J2026" s="6"/>
      <c r="K2026" s="6"/>
      <c r="L2026" s="6"/>
      <c r="M2026" s="6"/>
      <c r="N2026" s="672"/>
      <c r="O2026" s="6"/>
      <c r="P2026" s="6"/>
      <c r="Q2026" s="6"/>
      <c r="R2026" s="6"/>
      <c r="S2026" s="6"/>
      <c r="T2026" s="6"/>
      <c r="U2026" s="6"/>
    </row>
    <row r="2027">
      <c r="A2027" s="6"/>
      <c r="B2027" s="6"/>
      <c r="C2027" s="6"/>
      <c r="D2027" s="6"/>
      <c r="E2027" s="6"/>
      <c r="G2027" s="6"/>
      <c r="H2027" s="6"/>
      <c r="I2027" s="6"/>
      <c r="J2027" s="6"/>
      <c r="K2027" s="6"/>
      <c r="L2027" s="6"/>
      <c r="M2027" s="6"/>
      <c r="N2027" s="672"/>
      <c r="O2027" s="6"/>
      <c r="P2027" s="6"/>
      <c r="Q2027" s="6"/>
      <c r="R2027" s="6"/>
      <c r="S2027" s="6"/>
      <c r="T2027" s="6"/>
      <c r="U2027" s="6"/>
    </row>
    <row r="2028">
      <c r="A2028" s="6"/>
      <c r="B2028" s="6"/>
      <c r="C2028" s="6"/>
      <c r="D2028" s="6"/>
      <c r="E2028" s="6"/>
      <c r="G2028" s="6"/>
      <c r="H2028" s="6"/>
      <c r="I2028" s="6"/>
      <c r="J2028" s="6"/>
      <c r="K2028" s="6"/>
      <c r="L2028" s="6"/>
      <c r="M2028" s="6"/>
      <c r="N2028" s="672"/>
      <c r="O2028" s="6"/>
      <c r="P2028" s="6"/>
      <c r="Q2028" s="6"/>
      <c r="R2028" s="6"/>
      <c r="S2028" s="6"/>
      <c r="T2028" s="6"/>
      <c r="U2028" s="6"/>
    </row>
    <row r="2029">
      <c r="A2029" s="6"/>
      <c r="B2029" s="6"/>
      <c r="C2029" s="6"/>
      <c r="D2029" s="6"/>
      <c r="E2029" s="6"/>
      <c r="G2029" s="6"/>
      <c r="H2029" s="6"/>
      <c r="I2029" s="6"/>
      <c r="J2029" s="6"/>
      <c r="K2029" s="6"/>
      <c r="L2029" s="6"/>
      <c r="M2029" s="6"/>
      <c r="N2029" s="672"/>
      <c r="O2029" s="6"/>
      <c r="P2029" s="6"/>
      <c r="Q2029" s="6"/>
      <c r="R2029" s="6"/>
      <c r="S2029" s="6"/>
      <c r="T2029" s="6"/>
      <c r="U2029" s="6"/>
    </row>
    <row r="2030">
      <c r="A2030" s="6"/>
      <c r="B2030" s="6"/>
      <c r="C2030" s="6"/>
      <c r="D2030" s="6"/>
      <c r="E2030" s="6"/>
      <c r="G2030" s="6"/>
      <c r="H2030" s="6"/>
      <c r="I2030" s="6"/>
      <c r="J2030" s="6"/>
      <c r="K2030" s="6"/>
      <c r="L2030" s="6"/>
      <c r="M2030" s="6"/>
      <c r="N2030" s="672"/>
      <c r="O2030" s="6"/>
      <c r="P2030" s="6"/>
      <c r="Q2030" s="6"/>
      <c r="R2030" s="6"/>
      <c r="S2030" s="6"/>
      <c r="T2030" s="6"/>
      <c r="U2030" s="6"/>
    </row>
    <row r="2031">
      <c r="A2031" s="6"/>
      <c r="B2031" s="6"/>
      <c r="C2031" s="6"/>
      <c r="D2031" s="6"/>
      <c r="E2031" s="6"/>
      <c r="G2031" s="6"/>
      <c r="H2031" s="6"/>
      <c r="I2031" s="6"/>
      <c r="J2031" s="6"/>
      <c r="K2031" s="6"/>
      <c r="L2031" s="6"/>
      <c r="M2031" s="6"/>
      <c r="N2031" s="672"/>
      <c r="O2031" s="6"/>
      <c r="P2031" s="6"/>
      <c r="Q2031" s="6"/>
      <c r="R2031" s="6"/>
      <c r="S2031" s="6"/>
      <c r="T2031" s="6"/>
      <c r="U2031" s="6"/>
    </row>
    <row r="2032">
      <c r="A2032" s="6"/>
      <c r="B2032" s="6"/>
      <c r="C2032" s="6"/>
      <c r="D2032" s="6"/>
      <c r="E2032" s="6"/>
      <c r="G2032" s="6"/>
      <c r="H2032" s="6"/>
      <c r="I2032" s="6"/>
      <c r="J2032" s="6"/>
      <c r="K2032" s="6"/>
      <c r="L2032" s="6"/>
      <c r="M2032" s="6"/>
      <c r="N2032" s="672"/>
      <c r="O2032" s="6"/>
      <c r="P2032" s="6"/>
      <c r="Q2032" s="6"/>
      <c r="R2032" s="6"/>
      <c r="S2032" s="6"/>
      <c r="T2032" s="6"/>
      <c r="U2032" s="6"/>
    </row>
    <row r="2033">
      <c r="A2033" s="6"/>
      <c r="B2033" s="6"/>
      <c r="C2033" s="6"/>
      <c r="D2033" s="6"/>
      <c r="E2033" s="6"/>
      <c r="G2033" s="6"/>
      <c r="H2033" s="6"/>
      <c r="I2033" s="6"/>
      <c r="J2033" s="6"/>
      <c r="K2033" s="6"/>
      <c r="L2033" s="6"/>
      <c r="M2033" s="6"/>
      <c r="N2033" s="672"/>
      <c r="O2033" s="6"/>
      <c r="P2033" s="6"/>
      <c r="Q2033" s="6"/>
      <c r="R2033" s="6"/>
      <c r="S2033" s="6"/>
      <c r="T2033" s="6"/>
      <c r="U2033" s="6"/>
    </row>
    <row r="2034">
      <c r="A2034" s="6"/>
      <c r="B2034" s="6"/>
      <c r="C2034" s="6"/>
      <c r="D2034" s="6"/>
      <c r="E2034" s="6"/>
      <c r="G2034" s="6"/>
      <c r="H2034" s="6"/>
      <c r="I2034" s="6"/>
      <c r="J2034" s="6"/>
      <c r="K2034" s="6"/>
      <c r="L2034" s="6"/>
      <c r="M2034" s="6"/>
      <c r="N2034" s="672"/>
      <c r="O2034" s="6"/>
      <c r="P2034" s="6"/>
      <c r="Q2034" s="6"/>
      <c r="R2034" s="6"/>
      <c r="S2034" s="6"/>
      <c r="T2034" s="6"/>
      <c r="U2034" s="6"/>
    </row>
    <row r="2035">
      <c r="A2035" s="6"/>
      <c r="B2035" s="6"/>
      <c r="C2035" s="6"/>
      <c r="D2035" s="6"/>
      <c r="E2035" s="6"/>
      <c r="G2035" s="6"/>
      <c r="H2035" s="6"/>
      <c r="I2035" s="6"/>
      <c r="J2035" s="6"/>
      <c r="K2035" s="6"/>
      <c r="L2035" s="6"/>
      <c r="M2035" s="6"/>
      <c r="N2035" s="672"/>
      <c r="O2035" s="6"/>
      <c r="P2035" s="6"/>
      <c r="Q2035" s="6"/>
      <c r="R2035" s="6"/>
      <c r="S2035" s="6"/>
      <c r="T2035" s="6"/>
      <c r="U2035" s="6"/>
    </row>
    <row r="2036">
      <c r="A2036" s="6"/>
      <c r="B2036" s="6"/>
      <c r="C2036" s="6"/>
      <c r="D2036" s="6"/>
      <c r="E2036" s="6"/>
      <c r="G2036" s="6"/>
      <c r="H2036" s="6"/>
      <c r="I2036" s="6"/>
      <c r="J2036" s="6"/>
      <c r="K2036" s="6"/>
      <c r="L2036" s="6"/>
      <c r="M2036" s="6"/>
      <c r="N2036" s="672"/>
      <c r="O2036" s="6"/>
      <c r="P2036" s="6"/>
      <c r="Q2036" s="6"/>
      <c r="R2036" s="6"/>
      <c r="S2036" s="6"/>
      <c r="T2036" s="6"/>
      <c r="U2036" s="6"/>
    </row>
    <row r="2037">
      <c r="A2037" s="6"/>
      <c r="B2037" s="6"/>
      <c r="C2037" s="6"/>
      <c r="D2037" s="6"/>
      <c r="E2037" s="6"/>
      <c r="G2037" s="6"/>
      <c r="H2037" s="6"/>
      <c r="I2037" s="6"/>
      <c r="J2037" s="6"/>
      <c r="K2037" s="6"/>
      <c r="L2037" s="6"/>
      <c r="M2037" s="6"/>
      <c r="N2037" s="672"/>
      <c r="O2037" s="6"/>
      <c r="P2037" s="6"/>
      <c r="Q2037" s="6"/>
      <c r="R2037" s="6"/>
      <c r="S2037" s="6"/>
      <c r="T2037" s="6"/>
      <c r="U2037" s="6"/>
    </row>
    <row r="2038">
      <c r="A2038" s="6"/>
      <c r="B2038" s="6"/>
      <c r="C2038" s="6"/>
      <c r="D2038" s="6"/>
      <c r="E2038" s="6"/>
      <c r="G2038" s="6"/>
      <c r="H2038" s="6"/>
      <c r="I2038" s="6"/>
      <c r="J2038" s="6"/>
      <c r="K2038" s="6"/>
      <c r="L2038" s="6"/>
      <c r="M2038" s="6"/>
      <c r="N2038" s="672"/>
      <c r="O2038" s="6"/>
      <c r="P2038" s="6"/>
      <c r="Q2038" s="6"/>
      <c r="R2038" s="6"/>
      <c r="S2038" s="6"/>
      <c r="T2038" s="6"/>
      <c r="U2038" s="6"/>
    </row>
    <row r="2039">
      <c r="A2039" s="6"/>
      <c r="B2039" s="6"/>
      <c r="C2039" s="6"/>
      <c r="D2039" s="6"/>
      <c r="E2039" s="6"/>
      <c r="G2039" s="6"/>
      <c r="H2039" s="6"/>
      <c r="I2039" s="6"/>
      <c r="J2039" s="6"/>
      <c r="K2039" s="6"/>
      <c r="L2039" s="6"/>
      <c r="M2039" s="6"/>
      <c r="N2039" s="672"/>
      <c r="O2039" s="6"/>
      <c r="P2039" s="6"/>
      <c r="Q2039" s="6"/>
      <c r="R2039" s="6"/>
      <c r="S2039" s="6"/>
      <c r="T2039" s="6"/>
      <c r="U2039" s="6"/>
    </row>
    <row r="2040">
      <c r="A2040" s="6"/>
      <c r="B2040" s="6"/>
      <c r="C2040" s="6"/>
      <c r="D2040" s="6"/>
      <c r="E2040" s="6"/>
      <c r="G2040" s="6"/>
      <c r="H2040" s="6"/>
      <c r="I2040" s="6"/>
      <c r="J2040" s="6"/>
      <c r="K2040" s="6"/>
      <c r="L2040" s="6"/>
      <c r="M2040" s="6"/>
      <c r="N2040" s="672"/>
      <c r="O2040" s="6"/>
      <c r="P2040" s="6"/>
      <c r="Q2040" s="6"/>
      <c r="R2040" s="6"/>
      <c r="S2040" s="6"/>
      <c r="T2040" s="6"/>
      <c r="U2040" s="6"/>
    </row>
    <row r="2041">
      <c r="A2041" s="6"/>
      <c r="B2041" s="6"/>
      <c r="C2041" s="6"/>
      <c r="D2041" s="6"/>
      <c r="E2041" s="6"/>
      <c r="G2041" s="6"/>
      <c r="H2041" s="6"/>
      <c r="I2041" s="6"/>
      <c r="J2041" s="6"/>
      <c r="K2041" s="6"/>
      <c r="L2041" s="6"/>
      <c r="M2041" s="6"/>
      <c r="N2041" s="672"/>
      <c r="O2041" s="6"/>
      <c r="P2041" s="6"/>
      <c r="Q2041" s="6"/>
      <c r="R2041" s="6"/>
      <c r="S2041" s="6"/>
      <c r="T2041" s="6"/>
      <c r="U2041" s="6"/>
    </row>
    <row r="2042">
      <c r="A2042" s="6"/>
      <c r="B2042" s="6"/>
      <c r="C2042" s="6"/>
      <c r="D2042" s="6"/>
      <c r="E2042" s="6"/>
      <c r="G2042" s="6"/>
      <c r="H2042" s="6"/>
      <c r="I2042" s="6"/>
      <c r="J2042" s="6"/>
      <c r="K2042" s="6"/>
      <c r="L2042" s="6"/>
      <c r="M2042" s="6"/>
      <c r="N2042" s="672"/>
      <c r="O2042" s="6"/>
      <c r="P2042" s="6"/>
      <c r="Q2042" s="6"/>
      <c r="R2042" s="6"/>
      <c r="S2042" s="6"/>
      <c r="T2042" s="6"/>
      <c r="U2042" s="6"/>
    </row>
    <row r="2043">
      <c r="A2043" s="6"/>
      <c r="B2043" s="6"/>
      <c r="C2043" s="6"/>
      <c r="D2043" s="6"/>
      <c r="E2043" s="6"/>
      <c r="G2043" s="6"/>
      <c r="H2043" s="6"/>
      <c r="I2043" s="6"/>
      <c r="J2043" s="6"/>
      <c r="K2043" s="6"/>
      <c r="L2043" s="6"/>
      <c r="M2043" s="6"/>
      <c r="N2043" s="672"/>
      <c r="O2043" s="6"/>
      <c r="P2043" s="6"/>
      <c r="Q2043" s="6"/>
      <c r="R2043" s="6"/>
      <c r="S2043" s="6"/>
      <c r="T2043" s="6"/>
      <c r="U2043" s="6"/>
    </row>
    <row r="2044">
      <c r="A2044" s="6"/>
      <c r="B2044" s="6"/>
      <c r="C2044" s="6"/>
      <c r="D2044" s="6"/>
      <c r="E2044" s="6"/>
      <c r="G2044" s="6"/>
      <c r="H2044" s="6"/>
      <c r="I2044" s="6"/>
      <c r="J2044" s="6"/>
      <c r="K2044" s="6"/>
      <c r="L2044" s="6"/>
      <c r="M2044" s="6"/>
      <c r="N2044" s="672"/>
      <c r="O2044" s="6"/>
      <c r="P2044" s="6"/>
      <c r="Q2044" s="6"/>
      <c r="R2044" s="6"/>
      <c r="S2044" s="6"/>
      <c r="T2044" s="6"/>
      <c r="U2044" s="6"/>
    </row>
    <row r="2045">
      <c r="A2045" s="6"/>
      <c r="B2045" s="6"/>
      <c r="C2045" s="6"/>
      <c r="D2045" s="6"/>
      <c r="E2045" s="6"/>
      <c r="G2045" s="6"/>
      <c r="H2045" s="6"/>
      <c r="I2045" s="6"/>
      <c r="J2045" s="6"/>
      <c r="K2045" s="6"/>
      <c r="L2045" s="6"/>
      <c r="M2045" s="6"/>
      <c r="N2045" s="672"/>
      <c r="O2045" s="6"/>
      <c r="P2045" s="6"/>
      <c r="Q2045" s="6"/>
      <c r="R2045" s="6"/>
      <c r="S2045" s="6"/>
      <c r="T2045" s="6"/>
      <c r="U2045" s="6"/>
    </row>
    <row r="2046">
      <c r="A2046" s="6"/>
      <c r="B2046" s="6"/>
      <c r="C2046" s="6"/>
      <c r="D2046" s="6"/>
      <c r="E2046" s="6"/>
      <c r="G2046" s="6"/>
      <c r="H2046" s="6"/>
      <c r="I2046" s="6"/>
      <c r="J2046" s="6"/>
      <c r="K2046" s="6"/>
      <c r="L2046" s="6"/>
      <c r="M2046" s="6"/>
      <c r="N2046" s="672"/>
      <c r="O2046" s="6"/>
      <c r="P2046" s="6"/>
      <c r="Q2046" s="6"/>
      <c r="R2046" s="6"/>
      <c r="S2046" s="6"/>
      <c r="T2046" s="6"/>
      <c r="U2046" s="6"/>
    </row>
    <row r="2047">
      <c r="A2047" s="6"/>
      <c r="B2047" s="6"/>
      <c r="C2047" s="6"/>
      <c r="D2047" s="6"/>
      <c r="E2047" s="6"/>
      <c r="G2047" s="6"/>
      <c r="H2047" s="6"/>
      <c r="I2047" s="6"/>
      <c r="J2047" s="6"/>
      <c r="K2047" s="6"/>
      <c r="L2047" s="6"/>
      <c r="M2047" s="6"/>
      <c r="N2047" s="672"/>
      <c r="O2047" s="6"/>
      <c r="P2047" s="6"/>
      <c r="Q2047" s="6"/>
      <c r="R2047" s="6"/>
      <c r="S2047" s="6"/>
      <c r="T2047" s="6"/>
      <c r="U2047" s="6"/>
    </row>
    <row r="2048">
      <c r="A2048" s="6"/>
      <c r="B2048" s="6"/>
      <c r="C2048" s="6"/>
      <c r="D2048" s="6"/>
      <c r="E2048" s="6"/>
      <c r="G2048" s="6"/>
      <c r="H2048" s="6"/>
      <c r="I2048" s="6"/>
      <c r="J2048" s="6"/>
      <c r="K2048" s="6"/>
      <c r="L2048" s="6"/>
      <c r="M2048" s="6"/>
      <c r="N2048" s="672"/>
      <c r="O2048" s="6"/>
      <c r="P2048" s="6"/>
      <c r="Q2048" s="6"/>
      <c r="R2048" s="6"/>
      <c r="S2048" s="6"/>
      <c r="T2048" s="6"/>
      <c r="U2048" s="6"/>
    </row>
    <row r="2049">
      <c r="A2049" s="6"/>
      <c r="B2049" s="6"/>
      <c r="C2049" s="6"/>
      <c r="D2049" s="6"/>
      <c r="E2049" s="6"/>
      <c r="G2049" s="6"/>
      <c r="H2049" s="6"/>
      <c r="I2049" s="6"/>
      <c r="J2049" s="6"/>
      <c r="K2049" s="6"/>
      <c r="L2049" s="6"/>
      <c r="M2049" s="6"/>
      <c r="N2049" s="672"/>
      <c r="O2049" s="6"/>
      <c r="P2049" s="6"/>
      <c r="Q2049" s="6"/>
      <c r="R2049" s="6"/>
      <c r="S2049" s="6"/>
      <c r="T2049" s="6"/>
      <c r="U2049" s="6"/>
    </row>
    <row r="2050">
      <c r="A2050" s="6"/>
      <c r="B2050" s="6"/>
      <c r="C2050" s="6"/>
      <c r="D2050" s="6"/>
      <c r="E2050" s="6"/>
      <c r="G2050" s="6"/>
      <c r="H2050" s="6"/>
      <c r="I2050" s="6"/>
      <c r="J2050" s="6"/>
      <c r="K2050" s="6"/>
      <c r="L2050" s="6"/>
      <c r="M2050" s="6"/>
      <c r="N2050" s="672"/>
      <c r="O2050" s="6"/>
      <c r="P2050" s="6"/>
      <c r="Q2050" s="6"/>
      <c r="R2050" s="6"/>
      <c r="S2050" s="6"/>
      <c r="T2050" s="6"/>
      <c r="U2050" s="6"/>
    </row>
    <row r="2051">
      <c r="A2051" s="6"/>
      <c r="B2051" s="6"/>
      <c r="C2051" s="6"/>
      <c r="D2051" s="6"/>
      <c r="E2051" s="6"/>
      <c r="G2051" s="6"/>
      <c r="H2051" s="6"/>
      <c r="I2051" s="6"/>
      <c r="J2051" s="6"/>
      <c r="K2051" s="6"/>
      <c r="L2051" s="6"/>
      <c r="M2051" s="6"/>
      <c r="N2051" s="672"/>
      <c r="O2051" s="6"/>
      <c r="P2051" s="6"/>
      <c r="Q2051" s="6"/>
      <c r="R2051" s="6"/>
      <c r="S2051" s="6"/>
      <c r="T2051" s="6"/>
      <c r="U2051" s="6"/>
    </row>
    <row r="2052">
      <c r="A2052" s="6"/>
      <c r="B2052" s="6"/>
      <c r="C2052" s="6"/>
      <c r="D2052" s="6"/>
      <c r="E2052" s="6"/>
      <c r="G2052" s="6"/>
      <c r="H2052" s="6"/>
      <c r="I2052" s="6"/>
      <c r="J2052" s="6"/>
      <c r="K2052" s="6"/>
      <c r="L2052" s="6"/>
      <c r="M2052" s="6"/>
      <c r="N2052" s="672"/>
      <c r="O2052" s="6"/>
      <c r="P2052" s="6"/>
      <c r="Q2052" s="6"/>
      <c r="R2052" s="6"/>
      <c r="S2052" s="6"/>
      <c r="T2052" s="6"/>
      <c r="U2052" s="6"/>
    </row>
    <row r="2053">
      <c r="A2053" s="6"/>
      <c r="B2053" s="6"/>
      <c r="C2053" s="6"/>
      <c r="D2053" s="6"/>
      <c r="E2053" s="6"/>
      <c r="G2053" s="6"/>
      <c r="H2053" s="6"/>
      <c r="I2053" s="6"/>
      <c r="J2053" s="6"/>
      <c r="K2053" s="6"/>
      <c r="L2053" s="6"/>
      <c r="M2053" s="6"/>
      <c r="N2053" s="672"/>
      <c r="O2053" s="6"/>
      <c r="P2053" s="6"/>
      <c r="Q2053" s="6"/>
      <c r="R2053" s="6"/>
      <c r="S2053" s="6"/>
      <c r="T2053" s="6"/>
      <c r="U2053" s="6"/>
    </row>
    <row r="2054">
      <c r="A2054" s="6"/>
      <c r="B2054" s="6"/>
      <c r="C2054" s="6"/>
      <c r="D2054" s="6"/>
      <c r="E2054" s="6"/>
      <c r="G2054" s="6"/>
      <c r="H2054" s="6"/>
      <c r="I2054" s="6"/>
      <c r="J2054" s="6"/>
      <c r="K2054" s="6"/>
      <c r="L2054" s="6"/>
      <c r="M2054" s="6"/>
      <c r="N2054" s="672"/>
      <c r="O2054" s="6"/>
      <c r="P2054" s="6"/>
      <c r="Q2054" s="6"/>
      <c r="R2054" s="6"/>
      <c r="S2054" s="6"/>
      <c r="T2054" s="6"/>
      <c r="U2054" s="6"/>
    </row>
    <row r="2055">
      <c r="A2055" s="6"/>
      <c r="B2055" s="6"/>
      <c r="C2055" s="6"/>
      <c r="D2055" s="6"/>
      <c r="E2055" s="6"/>
      <c r="G2055" s="6"/>
      <c r="H2055" s="6"/>
      <c r="I2055" s="6"/>
      <c r="J2055" s="6"/>
      <c r="K2055" s="6"/>
      <c r="L2055" s="6"/>
      <c r="M2055" s="6"/>
      <c r="N2055" s="672"/>
      <c r="O2055" s="6"/>
      <c r="P2055" s="6"/>
      <c r="Q2055" s="6"/>
      <c r="R2055" s="6"/>
      <c r="S2055" s="6"/>
      <c r="T2055" s="6"/>
      <c r="U2055" s="6"/>
    </row>
    <row r="2056">
      <c r="A2056" s="6"/>
      <c r="B2056" s="6"/>
      <c r="C2056" s="6"/>
      <c r="D2056" s="6"/>
      <c r="E2056" s="6"/>
      <c r="G2056" s="6"/>
      <c r="H2056" s="6"/>
      <c r="I2056" s="6"/>
      <c r="J2056" s="6"/>
      <c r="K2056" s="6"/>
      <c r="L2056" s="6"/>
      <c r="M2056" s="6"/>
      <c r="N2056" s="672"/>
      <c r="O2056" s="6"/>
      <c r="P2056" s="6"/>
      <c r="Q2056" s="6"/>
      <c r="R2056" s="6"/>
      <c r="S2056" s="6"/>
      <c r="T2056" s="6"/>
      <c r="U2056" s="6"/>
    </row>
    <row r="2057">
      <c r="A2057" s="6"/>
      <c r="B2057" s="6"/>
      <c r="C2057" s="6"/>
      <c r="D2057" s="6"/>
      <c r="E2057" s="6"/>
      <c r="G2057" s="6"/>
      <c r="H2057" s="6"/>
      <c r="I2057" s="6"/>
      <c r="J2057" s="6"/>
      <c r="K2057" s="6"/>
      <c r="L2057" s="6"/>
      <c r="M2057" s="6"/>
      <c r="N2057" s="672"/>
      <c r="O2057" s="6"/>
      <c r="P2057" s="6"/>
      <c r="Q2057" s="6"/>
      <c r="R2057" s="6"/>
      <c r="S2057" s="6"/>
      <c r="T2057" s="6"/>
      <c r="U2057" s="6"/>
    </row>
    <row r="2058">
      <c r="A2058" s="6"/>
      <c r="B2058" s="6"/>
      <c r="C2058" s="6"/>
      <c r="D2058" s="6"/>
      <c r="E2058" s="6"/>
      <c r="G2058" s="6"/>
      <c r="H2058" s="6"/>
      <c r="I2058" s="6"/>
      <c r="J2058" s="6"/>
      <c r="K2058" s="6"/>
      <c r="L2058" s="6"/>
      <c r="M2058" s="6"/>
      <c r="N2058" s="672"/>
      <c r="O2058" s="6"/>
      <c r="P2058" s="6"/>
      <c r="Q2058" s="6"/>
      <c r="R2058" s="6"/>
      <c r="S2058" s="6"/>
      <c r="T2058" s="6"/>
      <c r="U2058" s="6"/>
    </row>
    <row r="2059">
      <c r="A2059" s="6"/>
      <c r="B2059" s="6"/>
      <c r="C2059" s="6"/>
      <c r="D2059" s="6"/>
      <c r="E2059" s="6"/>
      <c r="G2059" s="6"/>
      <c r="H2059" s="6"/>
      <c r="I2059" s="6"/>
      <c r="J2059" s="6"/>
      <c r="K2059" s="6"/>
      <c r="L2059" s="6"/>
      <c r="M2059" s="6"/>
      <c r="N2059" s="672"/>
      <c r="O2059" s="6"/>
      <c r="P2059" s="6"/>
      <c r="Q2059" s="6"/>
      <c r="R2059" s="6"/>
      <c r="S2059" s="6"/>
      <c r="T2059" s="6"/>
      <c r="U2059" s="6"/>
    </row>
    <row r="2060">
      <c r="A2060" s="6"/>
      <c r="B2060" s="6"/>
      <c r="C2060" s="6"/>
      <c r="D2060" s="6"/>
      <c r="E2060" s="6"/>
      <c r="G2060" s="6"/>
      <c r="H2060" s="6"/>
      <c r="I2060" s="6"/>
      <c r="J2060" s="6"/>
      <c r="K2060" s="6"/>
      <c r="L2060" s="6"/>
      <c r="M2060" s="6"/>
      <c r="N2060" s="672"/>
      <c r="O2060" s="6"/>
      <c r="P2060" s="6"/>
      <c r="Q2060" s="6"/>
      <c r="R2060" s="6"/>
      <c r="S2060" s="6"/>
      <c r="T2060" s="6"/>
      <c r="U2060" s="6"/>
    </row>
    <row r="2061">
      <c r="A2061" s="6"/>
      <c r="B2061" s="6"/>
      <c r="C2061" s="6"/>
      <c r="D2061" s="6"/>
      <c r="E2061" s="6"/>
      <c r="G2061" s="6"/>
      <c r="H2061" s="6"/>
      <c r="I2061" s="6"/>
      <c r="J2061" s="6"/>
      <c r="K2061" s="6"/>
      <c r="L2061" s="6"/>
      <c r="M2061" s="6"/>
      <c r="N2061" s="672"/>
      <c r="O2061" s="6"/>
      <c r="P2061" s="6"/>
      <c r="Q2061" s="6"/>
      <c r="R2061" s="6"/>
      <c r="S2061" s="6"/>
      <c r="T2061" s="6"/>
      <c r="U2061" s="6"/>
    </row>
    <row r="2062">
      <c r="A2062" s="6"/>
      <c r="B2062" s="6"/>
      <c r="C2062" s="6"/>
      <c r="D2062" s="6"/>
      <c r="E2062" s="6"/>
      <c r="G2062" s="6"/>
      <c r="H2062" s="6"/>
      <c r="I2062" s="6"/>
      <c r="J2062" s="6"/>
      <c r="K2062" s="6"/>
      <c r="L2062" s="6"/>
      <c r="M2062" s="6"/>
      <c r="N2062" s="672"/>
      <c r="O2062" s="6"/>
      <c r="P2062" s="6"/>
      <c r="Q2062" s="6"/>
      <c r="R2062" s="6"/>
      <c r="S2062" s="6"/>
      <c r="T2062" s="6"/>
      <c r="U2062" s="6"/>
    </row>
    <row r="2063">
      <c r="A2063" s="6"/>
      <c r="B2063" s="6"/>
      <c r="C2063" s="6"/>
      <c r="D2063" s="6"/>
      <c r="E2063" s="6"/>
      <c r="G2063" s="6"/>
      <c r="H2063" s="6"/>
      <c r="I2063" s="6"/>
      <c r="J2063" s="6"/>
      <c r="K2063" s="6"/>
      <c r="L2063" s="6"/>
      <c r="M2063" s="6"/>
      <c r="N2063" s="672"/>
      <c r="O2063" s="6"/>
      <c r="P2063" s="6"/>
      <c r="Q2063" s="6"/>
      <c r="R2063" s="6"/>
      <c r="S2063" s="6"/>
      <c r="T2063" s="6"/>
      <c r="U2063" s="6"/>
    </row>
    <row r="2064">
      <c r="A2064" s="6"/>
      <c r="B2064" s="6"/>
      <c r="C2064" s="6"/>
      <c r="D2064" s="6"/>
      <c r="E2064" s="6"/>
      <c r="G2064" s="6"/>
      <c r="H2064" s="6"/>
      <c r="I2064" s="6"/>
      <c r="J2064" s="6"/>
      <c r="K2064" s="6"/>
      <c r="L2064" s="6"/>
      <c r="M2064" s="6"/>
      <c r="N2064" s="672"/>
      <c r="O2064" s="6"/>
      <c r="P2064" s="6"/>
      <c r="Q2064" s="6"/>
      <c r="R2064" s="6"/>
      <c r="S2064" s="6"/>
      <c r="T2064" s="6"/>
      <c r="U2064" s="6"/>
    </row>
    <row r="2065">
      <c r="A2065" s="6"/>
      <c r="B2065" s="6"/>
      <c r="C2065" s="6"/>
      <c r="D2065" s="6"/>
      <c r="E2065" s="6"/>
      <c r="G2065" s="6"/>
      <c r="H2065" s="6"/>
      <c r="I2065" s="6"/>
      <c r="J2065" s="6"/>
      <c r="K2065" s="6"/>
      <c r="L2065" s="6"/>
      <c r="M2065" s="6"/>
      <c r="N2065" s="672"/>
      <c r="O2065" s="6"/>
      <c r="P2065" s="6"/>
      <c r="Q2065" s="6"/>
      <c r="R2065" s="6"/>
      <c r="S2065" s="6"/>
      <c r="T2065" s="6"/>
      <c r="U2065" s="6"/>
    </row>
    <row r="2066">
      <c r="A2066" s="6"/>
      <c r="B2066" s="6"/>
      <c r="C2066" s="6"/>
      <c r="D2066" s="6"/>
      <c r="E2066" s="6"/>
      <c r="G2066" s="6"/>
      <c r="H2066" s="6"/>
      <c r="I2066" s="6"/>
      <c r="J2066" s="6"/>
      <c r="K2066" s="6"/>
      <c r="L2066" s="6"/>
      <c r="M2066" s="6"/>
      <c r="N2066" s="672"/>
      <c r="O2066" s="6"/>
      <c r="P2066" s="6"/>
      <c r="Q2066" s="6"/>
      <c r="R2066" s="6"/>
      <c r="S2066" s="6"/>
      <c r="T2066" s="6"/>
      <c r="U2066" s="6"/>
    </row>
    <row r="2067">
      <c r="A2067" s="6"/>
      <c r="B2067" s="6"/>
      <c r="C2067" s="6"/>
      <c r="D2067" s="6"/>
      <c r="E2067" s="6"/>
      <c r="G2067" s="6"/>
      <c r="H2067" s="6"/>
      <c r="I2067" s="6"/>
      <c r="J2067" s="6"/>
      <c r="K2067" s="6"/>
      <c r="L2067" s="6"/>
      <c r="M2067" s="6"/>
      <c r="N2067" s="672"/>
      <c r="O2067" s="6"/>
      <c r="P2067" s="6"/>
      <c r="Q2067" s="6"/>
      <c r="R2067" s="6"/>
      <c r="S2067" s="6"/>
      <c r="T2067" s="6"/>
      <c r="U2067" s="6"/>
    </row>
    <row r="2068">
      <c r="A2068" s="6"/>
      <c r="B2068" s="6"/>
      <c r="C2068" s="6"/>
      <c r="D2068" s="6"/>
      <c r="E2068" s="6"/>
      <c r="G2068" s="6"/>
      <c r="H2068" s="6"/>
      <c r="I2068" s="6"/>
      <c r="J2068" s="6"/>
      <c r="K2068" s="6"/>
      <c r="L2068" s="6"/>
      <c r="M2068" s="6"/>
      <c r="N2068" s="672"/>
      <c r="O2068" s="6"/>
      <c r="P2068" s="6"/>
      <c r="Q2068" s="6"/>
      <c r="R2068" s="6"/>
      <c r="S2068" s="6"/>
      <c r="T2068" s="6"/>
      <c r="U2068" s="6"/>
    </row>
    <row r="2069">
      <c r="A2069" s="6"/>
      <c r="B2069" s="6"/>
      <c r="C2069" s="6"/>
      <c r="D2069" s="6"/>
      <c r="E2069" s="6"/>
      <c r="G2069" s="6"/>
      <c r="H2069" s="6"/>
      <c r="I2069" s="6"/>
      <c r="J2069" s="6"/>
      <c r="K2069" s="6"/>
      <c r="L2069" s="6"/>
      <c r="M2069" s="6"/>
      <c r="N2069" s="672"/>
      <c r="O2069" s="6"/>
      <c r="P2069" s="6"/>
      <c r="Q2069" s="6"/>
      <c r="R2069" s="6"/>
      <c r="S2069" s="6"/>
      <c r="T2069" s="6"/>
      <c r="U2069" s="6"/>
    </row>
    <row r="2070">
      <c r="A2070" s="6"/>
      <c r="B2070" s="6"/>
      <c r="C2070" s="6"/>
      <c r="D2070" s="6"/>
      <c r="E2070" s="6"/>
      <c r="G2070" s="6"/>
      <c r="H2070" s="6"/>
      <c r="I2070" s="6"/>
      <c r="J2070" s="6"/>
      <c r="K2070" s="6"/>
      <c r="L2070" s="6"/>
      <c r="M2070" s="6"/>
      <c r="N2070" s="672"/>
      <c r="O2070" s="6"/>
      <c r="P2070" s="6"/>
      <c r="Q2070" s="6"/>
      <c r="R2070" s="6"/>
      <c r="S2070" s="6"/>
      <c r="T2070" s="6"/>
      <c r="U2070" s="6"/>
    </row>
    <row r="2071">
      <c r="A2071" s="6"/>
      <c r="B2071" s="6"/>
      <c r="C2071" s="6"/>
      <c r="D2071" s="6"/>
      <c r="E2071" s="6"/>
      <c r="G2071" s="6"/>
      <c r="H2071" s="6"/>
      <c r="I2071" s="6"/>
      <c r="J2071" s="6"/>
      <c r="K2071" s="6"/>
      <c r="L2071" s="6"/>
      <c r="M2071" s="6"/>
      <c r="N2071" s="672"/>
      <c r="O2071" s="6"/>
      <c r="P2071" s="6"/>
      <c r="Q2071" s="6"/>
      <c r="R2071" s="6"/>
      <c r="S2071" s="6"/>
      <c r="T2071" s="6"/>
      <c r="U2071" s="6"/>
    </row>
    <row r="2072">
      <c r="A2072" s="6"/>
      <c r="B2072" s="6"/>
      <c r="C2072" s="6"/>
      <c r="D2072" s="6"/>
      <c r="E2072" s="6"/>
      <c r="G2072" s="6"/>
      <c r="H2072" s="6"/>
      <c r="I2072" s="6"/>
      <c r="J2072" s="6"/>
      <c r="K2072" s="6"/>
      <c r="L2072" s="6"/>
      <c r="M2072" s="6"/>
      <c r="N2072" s="672"/>
      <c r="O2072" s="6"/>
      <c r="P2072" s="6"/>
      <c r="Q2072" s="6"/>
      <c r="R2072" s="6"/>
      <c r="S2072" s="6"/>
      <c r="T2072" s="6"/>
      <c r="U2072" s="6"/>
    </row>
    <row r="2073">
      <c r="A2073" s="6"/>
      <c r="B2073" s="6"/>
      <c r="C2073" s="6"/>
      <c r="D2073" s="6"/>
      <c r="E2073" s="6"/>
      <c r="G2073" s="6"/>
      <c r="H2073" s="6"/>
      <c r="I2073" s="6"/>
      <c r="J2073" s="6"/>
      <c r="K2073" s="6"/>
      <c r="L2073" s="6"/>
      <c r="M2073" s="6"/>
      <c r="N2073" s="672"/>
      <c r="O2073" s="6"/>
      <c r="P2073" s="6"/>
      <c r="Q2073" s="6"/>
      <c r="R2073" s="6"/>
      <c r="S2073" s="6"/>
      <c r="T2073" s="6"/>
      <c r="U2073" s="6"/>
    </row>
    <row r="2074">
      <c r="A2074" s="6"/>
      <c r="B2074" s="6"/>
      <c r="C2074" s="6"/>
      <c r="D2074" s="6"/>
      <c r="E2074" s="6"/>
      <c r="G2074" s="6"/>
      <c r="H2074" s="6"/>
      <c r="I2074" s="6"/>
      <c r="J2074" s="6"/>
      <c r="K2074" s="6"/>
      <c r="L2074" s="6"/>
      <c r="M2074" s="6"/>
      <c r="N2074" s="672"/>
      <c r="O2074" s="6"/>
      <c r="P2074" s="6"/>
      <c r="Q2074" s="6"/>
      <c r="R2074" s="6"/>
      <c r="S2074" s="6"/>
      <c r="T2074" s="6"/>
      <c r="U2074" s="6"/>
    </row>
    <row r="2075">
      <c r="A2075" s="6"/>
      <c r="B2075" s="6"/>
      <c r="C2075" s="6"/>
      <c r="D2075" s="6"/>
      <c r="E2075" s="6"/>
      <c r="G2075" s="6"/>
      <c r="H2075" s="6"/>
      <c r="I2075" s="6"/>
      <c r="J2075" s="6"/>
      <c r="K2075" s="6"/>
      <c r="L2075" s="6"/>
      <c r="M2075" s="6"/>
      <c r="N2075" s="672"/>
      <c r="O2075" s="6"/>
      <c r="P2075" s="6"/>
      <c r="Q2075" s="6"/>
      <c r="R2075" s="6"/>
      <c r="S2075" s="6"/>
      <c r="T2075" s="6"/>
      <c r="U2075" s="6"/>
    </row>
    <row r="2076">
      <c r="A2076" s="6"/>
      <c r="B2076" s="6"/>
      <c r="C2076" s="6"/>
      <c r="D2076" s="6"/>
      <c r="E2076" s="6"/>
      <c r="G2076" s="6"/>
      <c r="H2076" s="6"/>
      <c r="I2076" s="6"/>
      <c r="J2076" s="6"/>
      <c r="K2076" s="6"/>
      <c r="L2076" s="6"/>
      <c r="M2076" s="6"/>
      <c r="N2076" s="672"/>
      <c r="O2076" s="6"/>
      <c r="P2076" s="6"/>
      <c r="Q2076" s="6"/>
      <c r="R2076" s="6"/>
      <c r="S2076" s="6"/>
      <c r="T2076" s="6"/>
      <c r="U2076" s="6"/>
    </row>
    <row r="2077">
      <c r="A2077" s="6"/>
      <c r="B2077" s="6"/>
      <c r="C2077" s="6"/>
      <c r="D2077" s="6"/>
      <c r="E2077" s="6"/>
      <c r="G2077" s="6"/>
      <c r="H2077" s="6"/>
      <c r="I2077" s="6"/>
      <c r="J2077" s="6"/>
      <c r="K2077" s="6"/>
      <c r="L2077" s="6"/>
      <c r="M2077" s="6"/>
      <c r="N2077" s="672"/>
      <c r="O2077" s="6"/>
      <c r="P2077" s="6"/>
      <c r="Q2077" s="6"/>
      <c r="R2077" s="6"/>
      <c r="S2077" s="6"/>
      <c r="T2077" s="6"/>
      <c r="U2077" s="6"/>
    </row>
    <row r="2078">
      <c r="A2078" s="6"/>
      <c r="B2078" s="6"/>
      <c r="C2078" s="6"/>
      <c r="D2078" s="6"/>
      <c r="E2078" s="6"/>
      <c r="G2078" s="6"/>
      <c r="H2078" s="6"/>
      <c r="I2078" s="6"/>
      <c r="J2078" s="6"/>
      <c r="K2078" s="6"/>
      <c r="L2078" s="6"/>
      <c r="M2078" s="6"/>
      <c r="N2078" s="672"/>
      <c r="O2078" s="6"/>
      <c r="P2078" s="6"/>
      <c r="Q2078" s="6"/>
      <c r="R2078" s="6"/>
      <c r="S2078" s="6"/>
      <c r="T2078" s="6"/>
      <c r="U2078" s="6"/>
    </row>
    <row r="2079">
      <c r="A2079" s="6"/>
      <c r="B2079" s="6"/>
      <c r="C2079" s="6"/>
      <c r="D2079" s="6"/>
      <c r="E2079" s="6"/>
      <c r="G2079" s="6"/>
      <c r="H2079" s="6"/>
      <c r="I2079" s="6"/>
      <c r="J2079" s="6"/>
      <c r="K2079" s="6"/>
      <c r="L2079" s="6"/>
      <c r="M2079" s="6"/>
      <c r="N2079" s="672"/>
      <c r="O2079" s="6"/>
      <c r="P2079" s="6"/>
      <c r="Q2079" s="6"/>
      <c r="R2079" s="6"/>
      <c r="S2079" s="6"/>
      <c r="T2079" s="6"/>
      <c r="U2079" s="6"/>
    </row>
    <row r="2080">
      <c r="A2080" s="6"/>
      <c r="B2080" s="6"/>
      <c r="C2080" s="6"/>
      <c r="D2080" s="6"/>
      <c r="E2080" s="6"/>
      <c r="G2080" s="6"/>
      <c r="H2080" s="6"/>
      <c r="I2080" s="6"/>
      <c r="J2080" s="6"/>
      <c r="K2080" s="6"/>
      <c r="L2080" s="6"/>
      <c r="M2080" s="6"/>
      <c r="N2080" s="672"/>
      <c r="O2080" s="6"/>
      <c r="P2080" s="6"/>
      <c r="Q2080" s="6"/>
      <c r="R2080" s="6"/>
      <c r="S2080" s="6"/>
      <c r="T2080" s="6"/>
      <c r="U2080" s="6"/>
    </row>
    <row r="2081">
      <c r="A2081" s="6"/>
      <c r="B2081" s="6"/>
      <c r="C2081" s="6"/>
      <c r="D2081" s="6"/>
      <c r="E2081" s="6"/>
      <c r="G2081" s="6"/>
      <c r="H2081" s="6"/>
      <c r="I2081" s="6"/>
      <c r="J2081" s="6"/>
      <c r="K2081" s="6"/>
      <c r="L2081" s="6"/>
      <c r="M2081" s="6"/>
      <c r="N2081" s="672"/>
      <c r="O2081" s="6"/>
      <c r="P2081" s="6"/>
      <c r="Q2081" s="6"/>
      <c r="R2081" s="6"/>
      <c r="S2081" s="6"/>
      <c r="T2081" s="6"/>
      <c r="U2081" s="6"/>
    </row>
    <row r="2082">
      <c r="A2082" s="6"/>
      <c r="B2082" s="6"/>
      <c r="C2082" s="6"/>
      <c r="D2082" s="6"/>
      <c r="E2082" s="6"/>
      <c r="G2082" s="6"/>
      <c r="H2082" s="6"/>
      <c r="I2082" s="6"/>
      <c r="J2082" s="6"/>
      <c r="K2082" s="6"/>
      <c r="L2082" s="6"/>
      <c r="M2082" s="6"/>
      <c r="N2082" s="672"/>
      <c r="O2082" s="6"/>
      <c r="P2082" s="6"/>
      <c r="Q2082" s="6"/>
      <c r="R2082" s="6"/>
      <c r="S2082" s="6"/>
      <c r="T2082" s="6"/>
      <c r="U2082" s="6"/>
    </row>
    <row r="2083">
      <c r="A2083" s="6"/>
      <c r="B2083" s="6"/>
      <c r="C2083" s="6"/>
      <c r="D2083" s="6"/>
      <c r="E2083" s="6"/>
      <c r="G2083" s="6"/>
      <c r="H2083" s="6"/>
      <c r="I2083" s="6"/>
      <c r="J2083" s="6"/>
      <c r="K2083" s="6"/>
      <c r="L2083" s="6"/>
      <c r="M2083" s="6"/>
      <c r="N2083" s="672"/>
      <c r="O2083" s="6"/>
      <c r="P2083" s="6"/>
      <c r="Q2083" s="6"/>
      <c r="R2083" s="6"/>
      <c r="S2083" s="6"/>
      <c r="T2083" s="6"/>
      <c r="U2083" s="6"/>
    </row>
    <row r="2084">
      <c r="A2084" s="6"/>
      <c r="B2084" s="6"/>
      <c r="C2084" s="6"/>
      <c r="D2084" s="6"/>
      <c r="E2084" s="6"/>
      <c r="G2084" s="6"/>
      <c r="H2084" s="6"/>
      <c r="I2084" s="6"/>
      <c r="J2084" s="6"/>
      <c r="K2084" s="6"/>
      <c r="L2084" s="6"/>
      <c r="M2084" s="6"/>
      <c r="N2084" s="672"/>
      <c r="O2084" s="6"/>
      <c r="P2084" s="6"/>
      <c r="Q2084" s="6"/>
      <c r="R2084" s="6"/>
      <c r="S2084" s="6"/>
      <c r="T2084" s="6"/>
      <c r="U2084" s="6"/>
    </row>
    <row r="2085">
      <c r="A2085" s="6"/>
      <c r="B2085" s="6"/>
      <c r="C2085" s="6"/>
      <c r="D2085" s="6"/>
      <c r="E2085" s="6"/>
      <c r="G2085" s="6"/>
      <c r="H2085" s="6"/>
      <c r="I2085" s="6"/>
      <c r="J2085" s="6"/>
      <c r="K2085" s="6"/>
      <c r="L2085" s="6"/>
      <c r="M2085" s="6"/>
      <c r="N2085" s="672"/>
      <c r="O2085" s="6"/>
      <c r="P2085" s="6"/>
      <c r="Q2085" s="6"/>
      <c r="R2085" s="6"/>
      <c r="S2085" s="6"/>
      <c r="T2085" s="6"/>
      <c r="U2085" s="6"/>
    </row>
    <row r="2086">
      <c r="A2086" s="6"/>
      <c r="B2086" s="6"/>
      <c r="C2086" s="6"/>
      <c r="D2086" s="6"/>
      <c r="E2086" s="6"/>
      <c r="G2086" s="6"/>
      <c r="H2086" s="6"/>
      <c r="I2086" s="6"/>
      <c r="J2086" s="6"/>
      <c r="K2086" s="6"/>
      <c r="L2086" s="6"/>
      <c r="M2086" s="6"/>
      <c r="N2086" s="672"/>
      <c r="O2086" s="6"/>
      <c r="P2086" s="6"/>
      <c r="Q2086" s="6"/>
      <c r="R2086" s="6"/>
      <c r="S2086" s="6"/>
      <c r="T2086" s="6"/>
      <c r="U2086" s="6"/>
    </row>
    <row r="2087">
      <c r="A2087" s="6"/>
      <c r="B2087" s="6"/>
      <c r="C2087" s="6"/>
      <c r="D2087" s="6"/>
      <c r="E2087" s="6"/>
      <c r="G2087" s="6"/>
      <c r="H2087" s="6"/>
      <c r="I2087" s="6"/>
      <c r="J2087" s="6"/>
      <c r="K2087" s="6"/>
      <c r="L2087" s="6"/>
      <c r="M2087" s="6"/>
      <c r="N2087" s="672"/>
      <c r="O2087" s="6"/>
      <c r="P2087" s="6"/>
      <c r="Q2087" s="6"/>
      <c r="R2087" s="6"/>
      <c r="S2087" s="6"/>
      <c r="T2087" s="6"/>
      <c r="U2087" s="6"/>
    </row>
    <row r="2088">
      <c r="A2088" s="6"/>
      <c r="B2088" s="6"/>
      <c r="C2088" s="6"/>
      <c r="D2088" s="6"/>
      <c r="E2088" s="6"/>
      <c r="G2088" s="6"/>
      <c r="H2088" s="6"/>
      <c r="I2088" s="6"/>
      <c r="J2088" s="6"/>
      <c r="K2088" s="6"/>
      <c r="L2088" s="6"/>
      <c r="M2088" s="6"/>
      <c r="N2088" s="672"/>
      <c r="O2088" s="6"/>
      <c r="P2088" s="6"/>
      <c r="Q2088" s="6"/>
      <c r="R2088" s="6"/>
      <c r="S2088" s="6"/>
      <c r="T2088" s="6"/>
      <c r="U2088" s="6"/>
    </row>
    <row r="2089">
      <c r="A2089" s="6"/>
      <c r="B2089" s="6"/>
      <c r="C2089" s="6"/>
      <c r="D2089" s="6"/>
      <c r="E2089" s="6"/>
      <c r="G2089" s="6"/>
      <c r="H2089" s="6"/>
      <c r="I2089" s="6"/>
      <c r="J2089" s="6"/>
      <c r="K2089" s="6"/>
      <c r="L2089" s="6"/>
      <c r="M2089" s="6"/>
      <c r="N2089" s="672"/>
      <c r="O2089" s="6"/>
      <c r="P2089" s="6"/>
      <c r="Q2089" s="6"/>
      <c r="R2089" s="6"/>
      <c r="S2089" s="6"/>
      <c r="T2089" s="6"/>
      <c r="U2089" s="6"/>
    </row>
    <row r="2090">
      <c r="A2090" s="6"/>
      <c r="B2090" s="6"/>
      <c r="C2090" s="6"/>
      <c r="D2090" s="6"/>
      <c r="E2090" s="6"/>
      <c r="G2090" s="6"/>
      <c r="H2090" s="6"/>
      <c r="I2090" s="6"/>
      <c r="J2090" s="6"/>
      <c r="K2090" s="6"/>
      <c r="L2090" s="6"/>
      <c r="M2090" s="6"/>
      <c r="N2090" s="672"/>
      <c r="O2090" s="6"/>
      <c r="P2090" s="6"/>
      <c r="Q2090" s="6"/>
      <c r="R2090" s="6"/>
      <c r="S2090" s="6"/>
      <c r="T2090" s="6"/>
      <c r="U2090" s="6"/>
    </row>
    <row r="2091">
      <c r="A2091" s="6"/>
      <c r="B2091" s="6"/>
      <c r="C2091" s="6"/>
      <c r="D2091" s="6"/>
      <c r="E2091" s="6"/>
      <c r="G2091" s="6"/>
      <c r="H2091" s="6"/>
      <c r="I2091" s="6"/>
      <c r="J2091" s="6"/>
      <c r="K2091" s="6"/>
      <c r="L2091" s="6"/>
      <c r="M2091" s="6"/>
      <c r="N2091" s="672"/>
      <c r="O2091" s="6"/>
      <c r="P2091" s="6"/>
      <c r="Q2091" s="6"/>
      <c r="R2091" s="6"/>
      <c r="S2091" s="6"/>
      <c r="T2091" s="6"/>
      <c r="U2091" s="6"/>
    </row>
    <row r="2092">
      <c r="A2092" s="6"/>
      <c r="B2092" s="6"/>
      <c r="C2092" s="6"/>
      <c r="D2092" s="6"/>
      <c r="E2092" s="6"/>
      <c r="G2092" s="6"/>
      <c r="H2092" s="6"/>
      <c r="I2092" s="6"/>
      <c r="J2092" s="6"/>
      <c r="K2092" s="6"/>
      <c r="L2092" s="6"/>
      <c r="M2092" s="6"/>
      <c r="N2092" s="672"/>
      <c r="O2092" s="6"/>
      <c r="P2092" s="6"/>
      <c r="Q2092" s="6"/>
      <c r="R2092" s="6"/>
      <c r="S2092" s="6"/>
      <c r="T2092" s="6"/>
      <c r="U2092" s="6"/>
    </row>
    <row r="2093">
      <c r="A2093" s="6"/>
      <c r="B2093" s="6"/>
      <c r="C2093" s="6"/>
      <c r="D2093" s="6"/>
      <c r="E2093" s="6"/>
      <c r="G2093" s="6"/>
      <c r="H2093" s="6"/>
      <c r="I2093" s="6"/>
      <c r="J2093" s="6"/>
      <c r="K2093" s="6"/>
      <c r="L2093" s="6"/>
      <c r="M2093" s="6"/>
      <c r="N2093" s="672"/>
      <c r="O2093" s="6"/>
      <c r="P2093" s="6"/>
      <c r="Q2093" s="6"/>
      <c r="R2093" s="6"/>
      <c r="S2093" s="6"/>
      <c r="T2093" s="6"/>
      <c r="U2093" s="6"/>
    </row>
    <row r="2094">
      <c r="A2094" s="6"/>
      <c r="B2094" s="6"/>
      <c r="C2094" s="6"/>
      <c r="D2094" s="6"/>
      <c r="E2094" s="6"/>
      <c r="G2094" s="6"/>
      <c r="H2094" s="6"/>
      <c r="I2094" s="6"/>
      <c r="J2094" s="6"/>
      <c r="K2094" s="6"/>
      <c r="L2094" s="6"/>
      <c r="M2094" s="6"/>
      <c r="N2094" s="672"/>
      <c r="O2094" s="6"/>
      <c r="P2094" s="6"/>
      <c r="Q2094" s="6"/>
      <c r="R2094" s="6"/>
      <c r="S2094" s="6"/>
      <c r="T2094" s="6"/>
      <c r="U2094" s="6"/>
    </row>
    <row r="2095">
      <c r="A2095" s="6"/>
      <c r="B2095" s="6"/>
      <c r="C2095" s="6"/>
      <c r="D2095" s="6"/>
      <c r="E2095" s="6"/>
      <c r="G2095" s="6"/>
      <c r="H2095" s="6"/>
      <c r="I2095" s="6"/>
      <c r="J2095" s="6"/>
      <c r="K2095" s="6"/>
      <c r="L2095" s="6"/>
      <c r="M2095" s="6"/>
      <c r="N2095" s="672"/>
      <c r="O2095" s="6"/>
      <c r="P2095" s="6"/>
      <c r="Q2095" s="6"/>
      <c r="R2095" s="6"/>
      <c r="S2095" s="6"/>
      <c r="T2095" s="6"/>
      <c r="U2095" s="6"/>
    </row>
    <row r="2096">
      <c r="A2096" s="6"/>
      <c r="B2096" s="6"/>
      <c r="C2096" s="6"/>
      <c r="D2096" s="6"/>
      <c r="E2096" s="6"/>
      <c r="G2096" s="6"/>
      <c r="H2096" s="6"/>
      <c r="I2096" s="6"/>
      <c r="J2096" s="6"/>
      <c r="K2096" s="6"/>
      <c r="L2096" s="6"/>
      <c r="M2096" s="6"/>
      <c r="N2096" s="672"/>
      <c r="O2096" s="6"/>
      <c r="P2096" s="6"/>
      <c r="Q2096" s="6"/>
      <c r="R2096" s="6"/>
      <c r="S2096" s="6"/>
      <c r="T2096" s="6"/>
      <c r="U2096" s="6"/>
    </row>
    <row r="2097">
      <c r="A2097" s="6"/>
      <c r="B2097" s="6"/>
      <c r="C2097" s="6"/>
      <c r="D2097" s="6"/>
      <c r="E2097" s="6"/>
      <c r="G2097" s="6"/>
      <c r="H2097" s="6"/>
      <c r="I2097" s="6"/>
      <c r="J2097" s="6"/>
      <c r="K2097" s="6"/>
      <c r="L2097" s="6"/>
      <c r="M2097" s="6"/>
      <c r="N2097" s="672"/>
      <c r="O2097" s="6"/>
      <c r="P2097" s="6"/>
      <c r="Q2097" s="6"/>
      <c r="R2097" s="6"/>
      <c r="S2097" s="6"/>
      <c r="T2097" s="6"/>
      <c r="U2097" s="6"/>
    </row>
    <row r="2098">
      <c r="A2098" s="6"/>
      <c r="B2098" s="6"/>
      <c r="C2098" s="6"/>
      <c r="D2098" s="6"/>
      <c r="E2098" s="6"/>
      <c r="G2098" s="6"/>
      <c r="H2098" s="6"/>
      <c r="I2098" s="6"/>
      <c r="J2098" s="6"/>
      <c r="K2098" s="6"/>
      <c r="L2098" s="6"/>
      <c r="M2098" s="6"/>
      <c r="N2098" s="672"/>
      <c r="O2098" s="6"/>
      <c r="P2098" s="6"/>
      <c r="Q2098" s="6"/>
      <c r="R2098" s="6"/>
      <c r="S2098" s="6"/>
      <c r="T2098" s="6"/>
      <c r="U2098" s="6"/>
    </row>
    <row r="2099">
      <c r="A2099" s="6"/>
      <c r="B2099" s="6"/>
      <c r="C2099" s="6"/>
      <c r="D2099" s="6"/>
      <c r="E2099" s="6"/>
      <c r="G2099" s="6"/>
      <c r="H2099" s="6"/>
      <c r="I2099" s="6"/>
      <c r="J2099" s="6"/>
      <c r="K2099" s="6"/>
      <c r="L2099" s="6"/>
      <c r="M2099" s="6"/>
      <c r="N2099" s="672"/>
      <c r="O2099" s="6"/>
      <c r="P2099" s="6"/>
      <c r="Q2099" s="6"/>
      <c r="R2099" s="6"/>
      <c r="S2099" s="6"/>
      <c r="T2099" s="6"/>
      <c r="U2099" s="6"/>
    </row>
    <row r="2100">
      <c r="A2100" s="6"/>
      <c r="B2100" s="6"/>
      <c r="C2100" s="6"/>
      <c r="D2100" s="6"/>
      <c r="E2100" s="6"/>
      <c r="G2100" s="6"/>
      <c r="H2100" s="6"/>
      <c r="I2100" s="6"/>
      <c r="J2100" s="6"/>
      <c r="K2100" s="6"/>
      <c r="L2100" s="6"/>
      <c r="M2100" s="6"/>
      <c r="N2100" s="672"/>
      <c r="O2100" s="6"/>
      <c r="P2100" s="6"/>
      <c r="Q2100" s="6"/>
      <c r="R2100" s="6"/>
      <c r="S2100" s="6"/>
      <c r="T2100" s="6"/>
      <c r="U2100" s="6"/>
    </row>
    <row r="2101">
      <c r="A2101" s="6"/>
      <c r="B2101" s="6"/>
      <c r="C2101" s="6"/>
      <c r="D2101" s="6"/>
      <c r="E2101" s="6"/>
      <c r="G2101" s="6"/>
      <c r="H2101" s="6"/>
      <c r="I2101" s="6"/>
      <c r="J2101" s="6"/>
      <c r="K2101" s="6"/>
      <c r="L2101" s="6"/>
      <c r="M2101" s="6"/>
      <c r="N2101" s="672"/>
      <c r="O2101" s="6"/>
      <c r="P2101" s="6"/>
      <c r="Q2101" s="6"/>
      <c r="R2101" s="6"/>
      <c r="S2101" s="6"/>
      <c r="T2101" s="6"/>
      <c r="U2101" s="6"/>
    </row>
    <row r="2102">
      <c r="A2102" s="6"/>
      <c r="B2102" s="6"/>
      <c r="C2102" s="6"/>
      <c r="D2102" s="6"/>
      <c r="E2102" s="6"/>
      <c r="G2102" s="6"/>
      <c r="H2102" s="6"/>
      <c r="I2102" s="6"/>
      <c r="J2102" s="6"/>
      <c r="K2102" s="6"/>
      <c r="L2102" s="6"/>
      <c r="M2102" s="6"/>
      <c r="N2102" s="672"/>
      <c r="O2102" s="6"/>
      <c r="P2102" s="6"/>
      <c r="Q2102" s="6"/>
      <c r="R2102" s="6"/>
      <c r="S2102" s="6"/>
      <c r="T2102" s="6"/>
      <c r="U2102" s="6"/>
    </row>
    <row r="2103">
      <c r="A2103" s="6"/>
      <c r="B2103" s="6"/>
      <c r="C2103" s="6"/>
      <c r="D2103" s="6"/>
      <c r="E2103" s="6"/>
      <c r="G2103" s="6"/>
      <c r="H2103" s="6"/>
      <c r="I2103" s="6"/>
      <c r="J2103" s="6"/>
      <c r="K2103" s="6"/>
      <c r="L2103" s="6"/>
      <c r="M2103" s="6"/>
      <c r="N2103" s="672"/>
      <c r="O2103" s="6"/>
      <c r="P2103" s="6"/>
      <c r="Q2103" s="6"/>
      <c r="R2103" s="6"/>
      <c r="S2103" s="6"/>
      <c r="T2103" s="6"/>
      <c r="U2103" s="6"/>
    </row>
    <row r="2104">
      <c r="A2104" s="6"/>
      <c r="B2104" s="6"/>
      <c r="C2104" s="6"/>
      <c r="D2104" s="6"/>
      <c r="E2104" s="6"/>
      <c r="G2104" s="6"/>
      <c r="H2104" s="6"/>
      <c r="I2104" s="6"/>
      <c r="J2104" s="6"/>
      <c r="K2104" s="6"/>
      <c r="L2104" s="6"/>
      <c r="M2104" s="6"/>
      <c r="N2104" s="672"/>
      <c r="O2104" s="6"/>
      <c r="P2104" s="6"/>
      <c r="Q2104" s="6"/>
      <c r="R2104" s="6"/>
      <c r="S2104" s="6"/>
      <c r="T2104" s="6"/>
      <c r="U2104" s="6"/>
    </row>
    <row r="2105">
      <c r="A2105" s="6"/>
      <c r="B2105" s="6"/>
      <c r="C2105" s="6"/>
      <c r="D2105" s="6"/>
      <c r="E2105" s="6"/>
      <c r="G2105" s="6"/>
      <c r="H2105" s="6"/>
      <c r="I2105" s="6"/>
      <c r="J2105" s="6"/>
      <c r="K2105" s="6"/>
      <c r="L2105" s="6"/>
      <c r="M2105" s="6"/>
      <c r="N2105" s="672"/>
      <c r="O2105" s="6"/>
      <c r="P2105" s="6"/>
      <c r="Q2105" s="6"/>
      <c r="R2105" s="6"/>
      <c r="S2105" s="6"/>
      <c r="T2105" s="6"/>
      <c r="U2105" s="6"/>
    </row>
    <row r="2106">
      <c r="A2106" s="6"/>
      <c r="B2106" s="6"/>
      <c r="C2106" s="6"/>
      <c r="D2106" s="6"/>
      <c r="E2106" s="6"/>
      <c r="G2106" s="6"/>
      <c r="H2106" s="6"/>
      <c r="I2106" s="6"/>
      <c r="J2106" s="6"/>
      <c r="K2106" s="6"/>
      <c r="L2106" s="6"/>
      <c r="M2106" s="6"/>
      <c r="N2106" s="672"/>
      <c r="O2106" s="6"/>
      <c r="P2106" s="6"/>
      <c r="Q2106" s="6"/>
      <c r="R2106" s="6"/>
      <c r="S2106" s="6"/>
      <c r="T2106" s="6"/>
      <c r="U2106" s="6"/>
    </row>
    <row r="2107">
      <c r="A2107" s="6"/>
      <c r="B2107" s="6"/>
      <c r="C2107" s="6"/>
      <c r="D2107" s="6"/>
      <c r="E2107" s="6"/>
      <c r="G2107" s="6"/>
      <c r="H2107" s="6"/>
      <c r="I2107" s="6"/>
      <c r="J2107" s="6"/>
      <c r="K2107" s="6"/>
      <c r="L2107" s="6"/>
      <c r="M2107" s="6"/>
      <c r="N2107" s="672"/>
      <c r="O2107" s="6"/>
      <c r="P2107" s="6"/>
      <c r="Q2107" s="6"/>
      <c r="R2107" s="6"/>
      <c r="S2107" s="6"/>
      <c r="T2107" s="6"/>
      <c r="U2107" s="6"/>
    </row>
    <row r="2108">
      <c r="A2108" s="6"/>
      <c r="B2108" s="6"/>
      <c r="C2108" s="6"/>
      <c r="D2108" s="6"/>
      <c r="E2108" s="6"/>
      <c r="G2108" s="6"/>
      <c r="H2108" s="6"/>
      <c r="I2108" s="6"/>
      <c r="J2108" s="6"/>
      <c r="K2108" s="6"/>
      <c r="L2108" s="6"/>
      <c r="M2108" s="6"/>
      <c r="N2108" s="672"/>
      <c r="O2108" s="6"/>
      <c r="P2108" s="6"/>
      <c r="Q2108" s="6"/>
      <c r="R2108" s="6"/>
      <c r="S2108" s="6"/>
      <c r="T2108" s="6"/>
      <c r="U2108" s="6"/>
    </row>
    <row r="2109">
      <c r="A2109" s="6"/>
      <c r="B2109" s="6"/>
      <c r="C2109" s="6"/>
      <c r="D2109" s="6"/>
      <c r="E2109" s="6"/>
      <c r="G2109" s="6"/>
      <c r="H2109" s="6"/>
      <c r="I2109" s="6"/>
      <c r="J2109" s="6"/>
      <c r="K2109" s="6"/>
      <c r="L2109" s="6"/>
      <c r="M2109" s="6"/>
      <c r="N2109" s="672"/>
      <c r="O2109" s="6"/>
      <c r="P2109" s="6"/>
      <c r="Q2109" s="6"/>
      <c r="R2109" s="6"/>
      <c r="S2109" s="6"/>
      <c r="T2109" s="6"/>
      <c r="U2109" s="6"/>
    </row>
    <row r="2110">
      <c r="A2110" s="6"/>
      <c r="B2110" s="6"/>
      <c r="C2110" s="6"/>
      <c r="D2110" s="6"/>
      <c r="E2110" s="6"/>
      <c r="G2110" s="6"/>
      <c r="H2110" s="6"/>
      <c r="I2110" s="6"/>
      <c r="J2110" s="6"/>
      <c r="K2110" s="6"/>
      <c r="L2110" s="6"/>
      <c r="M2110" s="6"/>
      <c r="N2110" s="672"/>
      <c r="O2110" s="6"/>
      <c r="P2110" s="6"/>
      <c r="Q2110" s="6"/>
      <c r="R2110" s="6"/>
      <c r="S2110" s="6"/>
      <c r="T2110" s="6"/>
      <c r="U2110" s="6"/>
    </row>
    <row r="2111">
      <c r="A2111" s="6"/>
      <c r="B2111" s="6"/>
      <c r="C2111" s="6"/>
      <c r="D2111" s="6"/>
      <c r="E2111" s="6"/>
      <c r="G2111" s="6"/>
      <c r="H2111" s="6"/>
      <c r="I2111" s="6"/>
      <c r="J2111" s="6"/>
      <c r="K2111" s="6"/>
      <c r="L2111" s="6"/>
      <c r="M2111" s="6"/>
      <c r="N2111" s="672"/>
      <c r="O2111" s="6"/>
      <c r="P2111" s="6"/>
      <c r="Q2111" s="6"/>
      <c r="R2111" s="6"/>
      <c r="S2111" s="6"/>
      <c r="T2111" s="6"/>
      <c r="U2111" s="6"/>
    </row>
    <row r="2112">
      <c r="A2112" s="6"/>
      <c r="B2112" s="6"/>
      <c r="C2112" s="6"/>
      <c r="D2112" s="6"/>
      <c r="E2112" s="6"/>
      <c r="G2112" s="6"/>
      <c r="H2112" s="6"/>
      <c r="I2112" s="6"/>
      <c r="J2112" s="6"/>
      <c r="K2112" s="6"/>
      <c r="L2112" s="6"/>
      <c r="M2112" s="6"/>
      <c r="N2112" s="672"/>
      <c r="O2112" s="6"/>
      <c r="P2112" s="6"/>
      <c r="Q2112" s="6"/>
      <c r="R2112" s="6"/>
      <c r="S2112" s="6"/>
      <c r="T2112" s="6"/>
      <c r="U2112" s="6"/>
    </row>
    <row r="2113">
      <c r="A2113" s="6"/>
      <c r="B2113" s="6"/>
      <c r="C2113" s="6"/>
      <c r="D2113" s="6"/>
      <c r="E2113" s="6"/>
      <c r="G2113" s="6"/>
      <c r="H2113" s="6"/>
      <c r="I2113" s="6"/>
      <c r="J2113" s="6"/>
      <c r="K2113" s="6"/>
      <c r="L2113" s="6"/>
      <c r="M2113" s="6"/>
      <c r="N2113" s="672"/>
      <c r="O2113" s="6"/>
      <c r="P2113" s="6"/>
      <c r="Q2113" s="6"/>
      <c r="R2113" s="6"/>
      <c r="S2113" s="6"/>
      <c r="T2113" s="6"/>
      <c r="U2113" s="6"/>
    </row>
    <row r="2114">
      <c r="A2114" s="6"/>
      <c r="B2114" s="6"/>
      <c r="C2114" s="6"/>
      <c r="D2114" s="6"/>
      <c r="E2114" s="6"/>
      <c r="G2114" s="6"/>
      <c r="H2114" s="6"/>
      <c r="I2114" s="6"/>
      <c r="J2114" s="6"/>
      <c r="K2114" s="6"/>
      <c r="L2114" s="6"/>
      <c r="M2114" s="6"/>
      <c r="N2114" s="672"/>
      <c r="O2114" s="6"/>
      <c r="P2114" s="6"/>
      <c r="Q2114" s="6"/>
      <c r="R2114" s="6"/>
      <c r="S2114" s="6"/>
      <c r="T2114" s="6"/>
      <c r="U2114" s="6"/>
    </row>
    <row r="2115">
      <c r="A2115" s="6"/>
      <c r="B2115" s="6"/>
      <c r="C2115" s="6"/>
      <c r="D2115" s="6"/>
      <c r="E2115" s="6"/>
      <c r="G2115" s="6"/>
      <c r="H2115" s="6"/>
      <c r="I2115" s="6"/>
      <c r="J2115" s="6"/>
      <c r="K2115" s="6"/>
      <c r="L2115" s="6"/>
      <c r="M2115" s="6"/>
      <c r="N2115" s="672"/>
      <c r="O2115" s="6"/>
      <c r="P2115" s="6"/>
      <c r="Q2115" s="6"/>
      <c r="R2115" s="6"/>
      <c r="S2115" s="6"/>
      <c r="T2115" s="6"/>
      <c r="U2115" s="6"/>
    </row>
    <row r="2116">
      <c r="A2116" s="6"/>
      <c r="B2116" s="6"/>
      <c r="C2116" s="6"/>
      <c r="D2116" s="6"/>
      <c r="E2116" s="6"/>
      <c r="G2116" s="6"/>
      <c r="H2116" s="6"/>
      <c r="I2116" s="6"/>
      <c r="J2116" s="6"/>
      <c r="K2116" s="6"/>
      <c r="L2116" s="6"/>
      <c r="M2116" s="6"/>
      <c r="N2116" s="672"/>
      <c r="O2116" s="6"/>
      <c r="P2116" s="6"/>
      <c r="Q2116" s="6"/>
      <c r="R2116" s="6"/>
      <c r="S2116" s="6"/>
      <c r="T2116" s="6"/>
      <c r="U2116" s="6"/>
    </row>
    <row r="2117">
      <c r="A2117" s="6"/>
      <c r="B2117" s="6"/>
      <c r="C2117" s="6"/>
      <c r="D2117" s="6"/>
      <c r="E2117" s="6"/>
      <c r="G2117" s="6"/>
      <c r="H2117" s="6"/>
      <c r="I2117" s="6"/>
      <c r="J2117" s="6"/>
      <c r="K2117" s="6"/>
      <c r="L2117" s="6"/>
      <c r="M2117" s="6"/>
      <c r="N2117" s="672"/>
      <c r="O2117" s="6"/>
      <c r="P2117" s="6"/>
      <c r="Q2117" s="6"/>
      <c r="R2117" s="6"/>
      <c r="S2117" s="6"/>
      <c r="T2117" s="6"/>
      <c r="U2117" s="6"/>
    </row>
    <row r="2118">
      <c r="A2118" s="6"/>
      <c r="B2118" s="6"/>
      <c r="C2118" s="6"/>
      <c r="D2118" s="6"/>
      <c r="E2118" s="6"/>
      <c r="G2118" s="6"/>
      <c r="H2118" s="6"/>
      <c r="I2118" s="6"/>
      <c r="J2118" s="6"/>
      <c r="K2118" s="6"/>
      <c r="L2118" s="6"/>
      <c r="M2118" s="6"/>
      <c r="N2118" s="672"/>
      <c r="O2118" s="6"/>
      <c r="P2118" s="6"/>
      <c r="Q2118" s="6"/>
      <c r="R2118" s="6"/>
      <c r="S2118" s="6"/>
      <c r="T2118" s="6"/>
      <c r="U2118" s="6"/>
    </row>
    <row r="2119">
      <c r="A2119" s="6"/>
      <c r="B2119" s="6"/>
      <c r="C2119" s="6"/>
      <c r="D2119" s="6"/>
      <c r="E2119" s="6"/>
      <c r="G2119" s="6"/>
      <c r="H2119" s="6"/>
      <c r="I2119" s="6"/>
      <c r="J2119" s="6"/>
      <c r="K2119" s="6"/>
      <c r="L2119" s="6"/>
      <c r="M2119" s="6"/>
      <c r="N2119" s="672"/>
      <c r="O2119" s="6"/>
      <c r="P2119" s="6"/>
      <c r="Q2119" s="6"/>
      <c r="R2119" s="6"/>
      <c r="S2119" s="6"/>
      <c r="T2119" s="6"/>
      <c r="U2119" s="6"/>
    </row>
    <row r="2120">
      <c r="A2120" s="6"/>
      <c r="B2120" s="6"/>
      <c r="C2120" s="6"/>
      <c r="D2120" s="6"/>
      <c r="E2120" s="6"/>
      <c r="G2120" s="6"/>
      <c r="H2120" s="6"/>
      <c r="I2120" s="6"/>
      <c r="J2120" s="6"/>
      <c r="K2120" s="6"/>
      <c r="L2120" s="6"/>
      <c r="M2120" s="6"/>
      <c r="N2120" s="672"/>
      <c r="O2120" s="6"/>
      <c r="P2120" s="6"/>
      <c r="Q2120" s="6"/>
      <c r="R2120" s="6"/>
      <c r="S2120" s="6"/>
      <c r="T2120" s="6"/>
      <c r="U2120" s="6"/>
    </row>
    <row r="2121">
      <c r="A2121" s="6"/>
      <c r="B2121" s="6"/>
      <c r="C2121" s="6"/>
      <c r="D2121" s="6"/>
      <c r="E2121" s="6"/>
      <c r="G2121" s="6"/>
      <c r="H2121" s="6"/>
      <c r="I2121" s="6"/>
      <c r="J2121" s="6"/>
      <c r="K2121" s="6"/>
      <c r="L2121" s="6"/>
      <c r="M2121" s="6"/>
      <c r="N2121" s="672"/>
      <c r="O2121" s="6"/>
      <c r="P2121" s="6"/>
      <c r="Q2121" s="6"/>
      <c r="R2121" s="6"/>
      <c r="S2121" s="6"/>
      <c r="T2121" s="6"/>
      <c r="U2121" s="6"/>
    </row>
    <row r="2122">
      <c r="A2122" s="6"/>
      <c r="B2122" s="6"/>
      <c r="C2122" s="6"/>
      <c r="D2122" s="6"/>
      <c r="E2122" s="6"/>
      <c r="G2122" s="6"/>
      <c r="H2122" s="6"/>
      <c r="I2122" s="6"/>
      <c r="J2122" s="6"/>
      <c r="K2122" s="6"/>
      <c r="L2122" s="6"/>
      <c r="M2122" s="6"/>
      <c r="N2122" s="672"/>
      <c r="O2122" s="6"/>
      <c r="P2122" s="6"/>
      <c r="Q2122" s="6"/>
      <c r="R2122" s="6"/>
      <c r="S2122" s="6"/>
      <c r="T2122" s="6"/>
      <c r="U2122" s="6"/>
    </row>
    <row r="2123">
      <c r="A2123" s="6"/>
      <c r="B2123" s="6"/>
      <c r="C2123" s="6"/>
      <c r="D2123" s="6"/>
      <c r="E2123" s="6"/>
      <c r="G2123" s="6"/>
      <c r="H2123" s="6"/>
      <c r="I2123" s="6"/>
      <c r="J2123" s="6"/>
      <c r="K2123" s="6"/>
      <c r="L2123" s="6"/>
      <c r="M2123" s="6"/>
      <c r="N2123" s="672"/>
      <c r="O2123" s="6"/>
      <c r="P2123" s="6"/>
      <c r="Q2123" s="6"/>
      <c r="R2123" s="6"/>
      <c r="S2123" s="6"/>
      <c r="T2123" s="6"/>
      <c r="U2123" s="6"/>
    </row>
    <row r="2124">
      <c r="A2124" s="6"/>
      <c r="B2124" s="6"/>
      <c r="C2124" s="6"/>
      <c r="D2124" s="6"/>
      <c r="E2124" s="6"/>
      <c r="G2124" s="6"/>
      <c r="H2124" s="6"/>
      <c r="I2124" s="6"/>
      <c r="J2124" s="6"/>
      <c r="K2124" s="6"/>
      <c r="L2124" s="6"/>
      <c r="M2124" s="6"/>
      <c r="N2124" s="672"/>
      <c r="O2124" s="6"/>
      <c r="P2124" s="6"/>
      <c r="Q2124" s="6"/>
      <c r="R2124" s="6"/>
      <c r="S2124" s="6"/>
      <c r="T2124" s="6"/>
      <c r="U2124" s="6"/>
    </row>
    <row r="2125">
      <c r="A2125" s="6"/>
      <c r="B2125" s="6"/>
      <c r="C2125" s="6"/>
      <c r="D2125" s="6"/>
      <c r="E2125" s="6"/>
      <c r="G2125" s="6"/>
      <c r="H2125" s="6"/>
      <c r="I2125" s="6"/>
      <c r="J2125" s="6"/>
      <c r="K2125" s="6"/>
      <c r="L2125" s="6"/>
      <c r="M2125" s="6"/>
      <c r="N2125" s="672"/>
      <c r="O2125" s="6"/>
      <c r="P2125" s="6"/>
      <c r="Q2125" s="6"/>
      <c r="R2125" s="6"/>
      <c r="S2125" s="6"/>
      <c r="T2125" s="6"/>
      <c r="U2125" s="6"/>
    </row>
    <row r="2126">
      <c r="A2126" s="6"/>
      <c r="B2126" s="6"/>
      <c r="C2126" s="6"/>
      <c r="D2126" s="6"/>
      <c r="E2126" s="6"/>
      <c r="G2126" s="6"/>
      <c r="H2126" s="6"/>
      <c r="I2126" s="6"/>
      <c r="J2126" s="6"/>
      <c r="K2126" s="6"/>
      <c r="L2126" s="6"/>
      <c r="M2126" s="6"/>
      <c r="N2126" s="672"/>
      <c r="O2126" s="6"/>
      <c r="P2126" s="6"/>
      <c r="Q2126" s="6"/>
      <c r="R2126" s="6"/>
      <c r="S2126" s="6"/>
      <c r="T2126" s="6"/>
      <c r="U2126" s="6"/>
    </row>
    <row r="2127">
      <c r="A2127" s="6"/>
      <c r="B2127" s="6"/>
      <c r="C2127" s="6"/>
      <c r="D2127" s="6"/>
      <c r="E2127" s="6"/>
      <c r="G2127" s="6"/>
      <c r="H2127" s="6"/>
      <c r="I2127" s="6"/>
      <c r="J2127" s="6"/>
      <c r="K2127" s="6"/>
      <c r="L2127" s="6"/>
      <c r="M2127" s="6"/>
      <c r="N2127" s="672"/>
      <c r="O2127" s="6"/>
      <c r="P2127" s="6"/>
      <c r="Q2127" s="6"/>
      <c r="R2127" s="6"/>
      <c r="S2127" s="6"/>
      <c r="T2127" s="6"/>
      <c r="U2127" s="6"/>
    </row>
    <row r="2128">
      <c r="A2128" s="6"/>
      <c r="B2128" s="6"/>
      <c r="C2128" s="6"/>
      <c r="D2128" s="6"/>
      <c r="E2128" s="6"/>
      <c r="G2128" s="6"/>
      <c r="H2128" s="6"/>
      <c r="I2128" s="6"/>
      <c r="J2128" s="6"/>
      <c r="K2128" s="6"/>
      <c r="L2128" s="6"/>
      <c r="M2128" s="6"/>
      <c r="N2128" s="672"/>
      <c r="O2128" s="6"/>
      <c r="P2128" s="6"/>
      <c r="Q2128" s="6"/>
      <c r="R2128" s="6"/>
      <c r="S2128" s="6"/>
      <c r="T2128" s="6"/>
      <c r="U2128" s="6"/>
    </row>
    <row r="2129">
      <c r="A2129" s="6"/>
      <c r="B2129" s="6"/>
      <c r="C2129" s="6"/>
      <c r="D2129" s="6"/>
      <c r="E2129" s="6"/>
      <c r="G2129" s="6"/>
      <c r="H2129" s="6"/>
      <c r="I2129" s="6"/>
      <c r="J2129" s="6"/>
      <c r="K2129" s="6"/>
      <c r="L2129" s="6"/>
      <c r="M2129" s="6"/>
      <c r="N2129" s="672"/>
      <c r="O2129" s="6"/>
      <c r="P2129" s="6"/>
      <c r="Q2129" s="6"/>
      <c r="R2129" s="6"/>
      <c r="S2129" s="6"/>
      <c r="T2129" s="6"/>
      <c r="U2129" s="6"/>
    </row>
    <row r="2130">
      <c r="A2130" s="6"/>
      <c r="B2130" s="6"/>
      <c r="C2130" s="6"/>
      <c r="D2130" s="6"/>
      <c r="E2130" s="6"/>
      <c r="G2130" s="6"/>
      <c r="H2130" s="6"/>
      <c r="I2130" s="6"/>
      <c r="J2130" s="6"/>
      <c r="K2130" s="6"/>
      <c r="L2130" s="6"/>
      <c r="M2130" s="6"/>
      <c r="N2130" s="672"/>
      <c r="O2130" s="6"/>
      <c r="P2130" s="6"/>
      <c r="Q2130" s="6"/>
      <c r="R2130" s="6"/>
      <c r="S2130" s="6"/>
      <c r="T2130" s="6"/>
      <c r="U2130" s="6"/>
    </row>
    <row r="2131">
      <c r="A2131" s="6"/>
      <c r="B2131" s="6"/>
      <c r="C2131" s="6"/>
      <c r="D2131" s="6"/>
      <c r="E2131" s="6"/>
      <c r="G2131" s="6"/>
      <c r="H2131" s="6"/>
      <c r="I2131" s="6"/>
      <c r="J2131" s="6"/>
      <c r="K2131" s="6"/>
      <c r="L2131" s="6"/>
      <c r="M2131" s="6"/>
      <c r="N2131" s="672"/>
      <c r="O2131" s="6"/>
      <c r="P2131" s="6"/>
      <c r="Q2131" s="6"/>
      <c r="R2131" s="6"/>
      <c r="S2131" s="6"/>
      <c r="T2131" s="6"/>
      <c r="U2131" s="6"/>
    </row>
    <row r="2132">
      <c r="A2132" s="6"/>
      <c r="B2132" s="6"/>
      <c r="C2132" s="6"/>
      <c r="D2132" s="6"/>
      <c r="E2132" s="6"/>
      <c r="G2132" s="6"/>
      <c r="H2132" s="6"/>
      <c r="I2132" s="6"/>
      <c r="J2132" s="6"/>
      <c r="K2132" s="6"/>
      <c r="L2132" s="6"/>
      <c r="M2132" s="6"/>
      <c r="N2132" s="672"/>
      <c r="O2132" s="6"/>
      <c r="P2132" s="6"/>
      <c r="Q2132" s="6"/>
      <c r="R2132" s="6"/>
      <c r="S2132" s="6"/>
      <c r="T2132" s="6"/>
      <c r="U2132" s="6"/>
    </row>
    <row r="2133">
      <c r="A2133" s="6"/>
      <c r="B2133" s="6"/>
      <c r="C2133" s="6"/>
      <c r="D2133" s="6"/>
      <c r="E2133" s="6"/>
      <c r="G2133" s="6"/>
      <c r="H2133" s="6"/>
      <c r="I2133" s="6"/>
      <c r="J2133" s="6"/>
      <c r="K2133" s="6"/>
      <c r="L2133" s="6"/>
      <c r="M2133" s="6"/>
      <c r="N2133" s="672"/>
      <c r="O2133" s="6"/>
      <c r="P2133" s="6"/>
      <c r="Q2133" s="6"/>
      <c r="R2133" s="6"/>
      <c r="S2133" s="6"/>
      <c r="T2133" s="6"/>
      <c r="U2133" s="6"/>
    </row>
    <row r="2134">
      <c r="A2134" s="6"/>
      <c r="B2134" s="6"/>
      <c r="C2134" s="6"/>
      <c r="D2134" s="6"/>
      <c r="E2134" s="6"/>
      <c r="G2134" s="6"/>
      <c r="H2134" s="6"/>
      <c r="I2134" s="6"/>
      <c r="J2134" s="6"/>
      <c r="K2134" s="6"/>
      <c r="L2134" s="6"/>
      <c r="M2134" s="6"/>
      <c r="N2134" s="672"/>
      <c r="O2134" s="6"/>
      <c r="P2134" s="6"/>
      <c r="Q2134" s="6"/>
      <c r="R2134" s="6"/>
      <c r="S2134" s="6"/>
      <c r="T2134" s="6"/>
      <c r="U2134" s="6"/>
    </row>
    <row r="2135">
      <c r="A2135" s="6"/>
      <c r="B2135" s="6"/>
      <c r="C2135" s="6"/>
      <c r="D2135" s="6"/>
      <c r="E2135" s="6"/>
      <c r="G2135" s="6"/>
      <c r="H2135" s="6"/>
      <c r="I2135" s="6"/>
      <c r="J2135" s="6"/>
      <c r="K2135" s="6"/>
      <c r="L2135" s="6"/>
      <c r="M2135" s="6"/>
      <c r="N2135" s="672"/>
      <c r="O2135" s="6"/>
      <c r="P2135" s="6"/>
      <c r="Q2135" s="6"/>
      <c r="R2135" s="6"/>
      <c r="S2135" s="6"/>
      <c r="T2135" s="6"/>
      <c r="U2135" s="6"/>
    </row>
    <row r="2136">
      <c r="A2136" s="6"/>
      <c r="B2136" s="6"/>
      <c r="C2136" s="6"/>
      <c r="D2136" s="6"/>
      <c r="E2136" s="6"/>
      <c r="G2136" s="6"/>
      <c r="H2136" s="6"/>
      <c r="I2136" s="6"/>
      <c r="J2136" s="6"/>
      <c r="K2136" s="6"/>
      <c r="L2136" s="6"/>
      <c r="M2136" s="6"/>
      <c r="N2136" s="672"/>
      <c r="O2136" s="6"/>
      <c r="P2136" s="6"/>
      <c r="Q2136" s="6"/>
      <c r="R2136" s="6"/>
      <c r="S2136" s="6"/>
      <c r="T2136" s="6"/>
      <c r="U2136" s="6"/>
    </row>
    <row r="2137">
      <c r="A2137" s="6"/>
      <c r="B2137" s="6"/>
      <c r="C2137" s="6"/>
      <c r="D2137" s="6"/>
      <c r="E2137" s="6"/>
      <c r="G2137" s="6"/>
      <c r="H2137" s="6"/>
      <c r="I2137" s="6"/>
      <c r="J2137" s="6"/>
      <c r="K2137" s="6"/>
      <c r="L2137" s="6"/>
      <c r="M2137" s="6"/>
      <c r="N2137" s="672"/>
      <c r="O2137" s="6"/>
      <c r="P2137" s="6"/>
      <c r="Q2137" s="6"/>
      <c r="R2137" s="6"/>
      <c r="S2137" s="6"/>
      <c r="T2137" s="6"/>
      <c r="U2137" s="6"/>
    </row>
    <row r="2138">
      <c r="A2138" s="6"/>
      <c r="B2138" s="6"/>
      <c r="C2138" s="6"/>
      <c r="D2138" s="6"/>
      <c r="E2138" s="6"/>
      <c r="G2138" s="6"/>
      <c r="H2138" s="6"/>
      <c r="I2138" s="6"/>
      <c r="J2138" s="6"/>
      <c r="K2138" s="6"/>
      <c r="L2138" s="6"/>
      <c r="M2138" s="6"/>
      <c r="N2138" s="672"/>
      <c r="O2138" s="6"/>
      <c r="P2138" s="6"/>
      <c r="Q2138" s="6"/>
      <c r="R2138" s="6"/>
      <c r="S2138" s="6"/>
      <c r="T2138" s="6"/>
      <c r="U2138" s="6"/>
    </row>
    <row r="2139">
      <c r="A2139" s="6"/>
      <c r="B2139" s="6"/>
      <c r="C2139" s="6"/>
      <c r="D2139" s="6"/>
      <c r="E2139" s="6"/>
      <c r="G2139" s="6"/>
      <c r="H2139" s="6"/>
      <c r="I2139" s="6"/>
      <c r="J2139" s="6"/>
      <c r="K2139" s="6"/>
      <c r="L2139" s="6"/>
      <c r="M2139" s="6"/>
      <c r="N2139" s="672"/>
      <c r="O2139" s="6"/>
      <c r="P2139" s="6"/>
      <c r="Q2139" s="6"/>
      <c r="R2139" s="6"/>
      <c r="S2139" s="6"/>
      <c r="T2139" s="6"/>
      <c r="U2139" s="6"/>
    </row>
    <row r="2140">
      <c r="A2140" s="6"/>
      <c r="B2140" s="6"/>
      <c r="C2140" s="6"/>
      <c r="D2140" s="6"/>
      <c r="E2140" s="6"/>
      <c r="G2140" s="6"/>
      <c r="H2140" s="6"/>
      <c r="I2140" s="6"/>
      <c r="J2140" s="6"/>
      <c r="K2140" s="6"/>
      <c r="L2140" s="6"/>
      <c r="M2140" s="6"/>
      <c r="N2140" s="672"/>
      <c r="O2140" s="6"/>
      <c r="P2140" s="6"/>
      <c r="Q2140" s="6"/>
      <c r="R2140" s="6"/>
      <c r="S2140" s="6"/>
      <c r="T2140" s="6"/>
      <c r="U2140" s="6"/>
    </row>
    <row r="2141">
      <c r="A2141" s="6"/>
      <c r="B2141" s="6"/>
      <c r="C2141" s="6"/>
      <c r="D2141" s="6"/>
      <c r="E2141" s="6"/>
      <c r="G2141" s="6"/>
      <c r="H2141" s="6"/>
      <c r="I2141" s="6"/>
      <c r="J2141" s="6"/>
      <c r="K2141" s="6"/>
      <c r="L2141" s="6"/>
      <c r="M2141" s="6"/>
      <c r="N2141" s="672"/>
      <c r="O2141" s="6"/>
      <c r="P2141" s="6"/>
      <c r="Q2141" s="6"/>
      <c r="R2141" s="6"/>
      <c r="S2141" s="6"/>
      <c r="T2141" s="6"/>
      <c r="U2141" s="6"/>
    </row>
    <row r="2142">
      <c r="A2142" s="6"/>
      <c r="B2142" s="6"/>
      <c r="C2142" s="6"/>
      <c r="D2142" s="6"/>
      <c r="E2142" s="6"/>
      <c r="G2142" s="6"/>
      <c r="H2142" s="6"/>
      <c r="I2142" s="6"/>
      <c r="J2142" s="6"/>
      <c r="K2142" s="6"/>
      <c r="L2142" s="6"/>
      <c r="M2142" s="6"/>
      <c r="N2142" s="672"/>
      <c r="O2142" s="6"/>
      <c r="P2142" s="6"/>
      <c r="Q2142" s="6"/>
      <c r="R2142" s="6"/>
      <c r="S2142" s="6"/>
      <c r="T2142" s="6"/>
      <c r="U2142" s="6"/>
    </row>
    <row r="2143">
      <c r="A2143" s="6"/>
      <c r="B2143" s="6"/>
      <c r="C2143" s="6"/>
      <c r="D2143" s="6"/>
      <c r="E2143" s="6"/>
      <c r="G2143" s="6"/>
      <c r="H2143" s="6"/>
      <c r="I2143" s="6"/>
      <c r="J2143" s="6"/>
      <c r="K2143" s="6"/>
      <c r="L2143" s="6"/>
      <c r="M2143" s="6"/>
      <c r="N2143" s="672"/>
      <c r="O2143" s="6"/>
      <c r="P2143" s="6"/>
      <c r="Q2143" s="6"/>
      <c r="R2143" s="6"/>
      <c r="S2143" s="6"/>
      <c r="T2143" s="6"/>
      <c r="U2143" s="6"/>
    </row>
    <row r="2144">
      <c r="A2144" s="6"/>
      <c r="B2144" s="6"/>
      <c r="C2144" s="6"/>
      <c r="D2144" s="6"/>
      <c r="E2144" s="6"/>
      <c r="G2144" s="6"/>
      <c r="H2144" s="6"/>
      <c r="I2144" s="6"/>
      <c r="J2144" s="6"/>
      <c r="K2144" s="6"/>
      <c r="L2144" s="6"/>
      <c r="M2144" s="6"/>
      <c r="N2144" s="672"/>
      <c r="O2144" s="6"/>
      <c r="P2144" s="6"/>
      <c r="Q2144" s="6"/>
      <c r="R2144" s="6"/>
      <c r="S2144" s="6"/>
      <c r="T2144" s="6"/>
      <c r="U2144" s="6"/>
    </row>
    <row r="2145">
      <c r="A2145" s="6"/>
      <c r="B2145" s="6"/>
      <c r="C2145" s="6"/>
      <c r="D2145" s="6"/>
      <c r="E2145" s="6"/>
      <c r="G2145" s="6"/>
      <c r="H2145" s="6"/>
      <c r="I2145" s="6"/>
      <c r="J2145" s="6"/>
      <c r="K2145" s="6"/>
      <c r="L2145" s="6"/>
      <c r="M2145" s="6"/>
      <c r="N2145" s="672"/>
      <c r="O2145" s="6"/>
      <c r="P2145" s="6"/>
      <c r="Q2145" s="6"/>
      <c r="R2145" s="6"/>
      <c r="S2145" s="6"/>
      <c r="T2145" s="6"/>
      <c r="U2145" s="6"/>
    </row>
    <row r="2146">
      <c r="A2146" s="6"/>
      <c r="B2146" s="6"/>
      <c r="C2146" s="6"/>
      <c r="D2146" s="6"/>
      <c r="E2146" s="6"/>
      <c r="G2146" s="6"/>
      <c r="H2146" s="6"/>
      <c r="I2146" s="6"/>
      <c r="J2146" s="6"/>
      <c r="K2146" s="6"/>
      <c r="L2146" s="6"/>
      <c r="M2146" s="6"/>
      <c r="N2146" s="672"/>
      <c r="O2146" s="6"/>
      <c r="P2146" s="6"/>
      <c r="Q2146" s="6"/>
      <c r="R2146" s="6"/>
      <c r="S2146" s="6"/>
      <c r="T2146" s="6"/>
      <c r="U2146" s="6"/>
    </row>
    <row r="2147">
      <c r="A2147" s="6"/>
      <c r="B2147" s="6"/>
      <c r="C2147" s="6"/>
      <c r="D2147" s="6"/>
      <c r="E2147" s="6"/>
      <c r="G2147" s="6"/>
      <c r="H2147" s="6"/>
      <c r="I2147" s="6"/>
      <c r="J2147" s="6"/>
      <c r="K2147" s="6"/>
      <c r="L2147" s="6"/>
      <c r="M2147" s="6"/>
      <c r="N2147" s="672"/>
      <c r="O2147" s="6"/>
      <c r="P2147" s="6"/>
      <c r="Q2147" s="6"/>
      <c r="R2147" s="6"/>
      <c r="S2147" s="6"/>
      <c r="T2147" s="6"/>
      <c r="U2147" s="6"/>
    </row>
    <row r="2148">
      <c r="A2148" s="6"/>
      <c r="B2148" s="6"/>
      <c r="C2148" s="6"/>
      <c r="D2148" s="6"/>
      <c r="E2148" s="6"/>
      <c r="G2148" s="6"/>
      <c r="H2148" s="6"/>
      <c r="I2148" s="6"/>
      <c r="J2148" s="6"/>
      <c r="K2148" s="6"/>
      <c r="L2148" s="6"/>
      <c r="M2148" s="6"/>
      <c r="N2148" s="672"/>
      <c r="O2148" s="6"/>
      <c r="P2148" s="6"/>
      <c r="Q2148" s="6"/>
      <c r="R2148" s="6"/>
      <c r="S2148" s="6"/>
      <c r="T2148" s="6"/>
      <c r="U2148" s="6"/>
    </row>
    <row r="2149">
      <c r="A2149" s="6"/>
      <c r="B2149" s="6"/>
      <c r="C2149" s="6"/>
      <c r="D2149" s="6"/>
      <c r="E2149" s="6"/>
      <c r="G2149" s="6"/>
      <c r="H2149" s="6"/>
      <c r="I2149" s="6"/>
      <c r="J2149" s="6"/>
      <c r="K2149" s="6"/>
      <c r="L2149" s="6"/>
      <c r="M2149" s="6"/>
      <c r="N2149" s="672"/>
      <c r="O2149" s="6"/>
      <c r="P2149" s="6"/>
      <c r="Q2149" s="6"/>
      <c r="R2149" s="6"/>
      <c r="S2149" s="6"/>
      <c r="T2149" s="6"/>
      <c r="U2149" s="6"/>
    </row>
    <row r="2150">
      <c r="A2150" s="6"/>
      <c r="B2150" s="6"/>
      <c r="C2150" s="6"/>
      <c r="D2150" s="6"/>
      <c r="E2150" s="6"/>
      <c r="G2150" s="6"/>
      <c r="H2150" s="6"/>
      <c r="I2150" s="6"/>
      <c r="J2150" s="6"/>
      <c r="K2150" s="6"/>
      <c r="L2150" s="6"/>
      <c r="M2150" s="6"/>
      <c r="N2150" s="672"/>
      <c r="O2150" s="6"/>
      <c r="P2150" s="6"/>
      <c r="Q2150" s="6"/>
      <c r="R2150" s="6"/>
      <c r="S2150" s="6"/>
      <c r="T2150" s="6"/>
      <c r="U2150" s="6"/>
    </row>
    <row r="2151">
      <c r="A2151" s="6"/>
      <c r="B2151" s="6"/>
      <c r="C2151" s="6"/>
      <c r="D2151" s="6"/>
      <c r="E2151" s="6"/>
      <c r="G2151" s="6"/>
      <c r="H2151" s="6"/>
      <c r="I2151" s="6"/>
      <c r="J2151" s="6"/>
      <c r="K2151" s="6"/>
      <c r="L2151" s="6"/>
      <c r="M2151" s="6"/>
      <c r="N2151" s="672"/>
      <c r="O2151" s="6"/>
      <c r="P2151" s="6"/>
      <c r="Q2151" s="6"/>
      <c r="R2151" s="6"/>
      <c r="S2151" s="6"/>
      <c r="T2151" s="6"/>
      <c r="U2151" s="6"/>
    </row>
    <row r="2152">
      <c r="A2152" s="6"/>
      <c r="B2152" s="6"/>
      <c r="C2152" s="6"/>
      <c r="D2152" s="6"/>
      <c r="E2152" s="6"/>
      <c r="G2152" s="6"/>
      <c r="H2152" s="6"/>
      <c r="I2152" s="6"/>
      <c r="J2152" s="6"/>
      <c r="K2152" s="6"/>
      <c r="L2152" s="6"/>
      <c r="M2152" s="6"/>
      <c r="N2152" s="672"/>
      <c r="O2152" s="6"/>
      <c r="P2152" s="6"/>
      <c r="Q2152" s="6"/>
      <c r="R2152" s="6"/>
      <c r="S2152" s="6"/>
      <c r="T2152" s="6"/>
      <c r="U2152" s="6"/>
    </row>
    <row r="2153">
      <c r="A2153" s="6"/>
      <c r="B2153" s="6"/>
      <c r="C2153" s="6"/>
      <c r="D2153" s="6"/>
      <c r="E2153" s="6"/>
      <c r="G2153" s="6"/>
      <c r="H2153" s="6"/>
      <c r="I2153" s="6"/>
      <c r="J2153" s="6"/>
      <c r="K2153" s="6"/>
      <c r="L2153" s="6"/>
      <c r="M2153" s="6"/>
      <c r="N2153" s="672"/>
      <c r="O2153" s="6"/>
      <c r="P2153" s="6"/>
      <c r="Q2153" s="6"/>
      <c r="R2153" s="6"/>
      <c r="S2153" s="6"/>
      <c r="T2153" s="6"/>
      <c r="U2153" s="6"/>
    </row>
    <row r="2154">
      <c r="A2154" s="6"/>
      <c r="B2154" s="6"/>
      <c r="C2154" s="6"/>
      <c r="D2154" s="6"/>
      <c r="E2154" s="6"/>
      <c r="G2154" s="6"/>
      <c r="H2154" s="6"/>
      <c r="I2154" s="6"/>
      <c r="J2154" s="6"/>
      <c r="K2154" s="6"/>
      <c r="L2154" s="6"/>
      <c r="M2154" s="6"/>
      <c r="N2154" s="672"/>
      <c r="O2154" s="6"/>
      <c r="P2154" s="6"/>
      <c r="Q2154" s="6"/>
      <c r="R2154" s="6"/>
      <c r="S2154" s="6"/>
      <c r="T2154" s="6"/>
      <c r="U2154" s="6"/>
    </row>
    <row r="2155">
      <c r="A2155" s="6"/>
      <c r="B2155" s="6"/>
      <c r="C2155" s="6"/>
      <c r="D2155" s="6"/>
      <c r="E2155" s="6"/>
      <c r="G2155" s="6"/>
      <c r="H2155" s="6"/>
      <c r="I2155" s="6"/>
      <c r="J2155" s="6"/>
      <c r="K2155" s="6"/>
      <c r="L2155" s="6"/>
      <c r="M2155" s="6"/>
      <c r="N2155" s="672"/>
      <c r="O2155" s="6"/>
      <c r="P2155" s="6"/>
      <c r="Q2155" s="6"/>
      <c r="R2155" s="6"/>
      <c r="S2155" s="6"/>
      <c r="T2155" s="6"/>
      <c r="U2155" s="6"/>
    </row>
    <row r="2156">
      <c r="A2156" s="6"/>
      <c r="B2156" s="6"/>
      <c r="C2156" s="6"/>
      <c r="D2156" s="6"/>
      <c r="E2156" s="6"/>
      <c r="G2156" s="6"/>
      <c r="H2156" s="6"/>
      <c r="I2156" s="6"/>
      <c r="J2156" s="6"/>
      <c r="K2156" s="6"/>
      <c r="L2156" s="6"/>
      <c r="M2156" s="6"/>
      <c r="N2156" s="672"/>
      <c r="O2156" s="6"/>
      <c r="P2156" s="6"/>
      <c r="Q2156" s="6"/>
      <c r="R2156" s="6"/>
      <c r="S2156" s="6"/>
      <c r="T2156" s="6"/>
      <c r="U2156" s="6"/>
    </row>
    <row r="2157">
      <c r="A2157" s="6"/>
      <c r="B2157" s="6"/>
      <c r="C2157" s="6"/>
      <c r="D2157" s="6"/>
      <c r="E2157" s="6"/>
      <c r="G2157" s="6"/>
      <c r="H2157" s="6"/>
      <c r="I2157" s="6"/>
      <c r="J2157" s="6"/>
      <c r="K2157" s="6"/>
      <c r="L2157" s="6"/>
      <c r="M2157" s="6"/>
      <c r="N2157" s="672"/>
      <c r="O2157" s="6"/>
      <c r="P2157" s="6"/>
      <c r="Q2157" s="6"/>
      <c r="R2157" s="6"/>
      <c r="S2157" s="6"/>
      <c r="T2157" s="6"/>
      <c r="U2157" s="6"/>
    </row>
    <row r="2158">
      <c r="A2158" s="6"/>
      <c r="B2158" s="6"/>
      <c r="C2158" s="6"/>
      <c r="D2158" s="6"/>
      <c r="E2158" s="6"/>
      <c r="G2158" s="6"/>
      <c r="H2158" s="6"/>
      <c r="I2158" s="6"/>
      <c r="J2158" s="6"/>
      <c r="K2158" s="6"/>
      <c r="L2158" s="6"/>
      <c r="M2158" s="6"/>
      <c r="N2158" s="672"/>
      <c r="O2158" s="6"/>
      <c r="P2158" s="6"/>
      <c r="Q2158" s="6"/>
      <c r="R2158" s="6"/>
      <c r="S2158" s="6"/>
      <c r="T2158" s="6"/>
      <c r="U2158" s="6"/>
    </row>
    <row r="2159">
      <c r="A2159" s="6"/>
      <c r="B2159" s="6"/>
      <c r="C2159" s="6"/>
      <c r="D2159" s="6"/>
      <c r="E2159" s="6"/>
      <c r="G2159" s="6"/>
      <c r="H2159" s="6"/>
      <c r="I2159" s="6"/>
      <c r="J2159" s="6"/>
      <c r="K2159" s="6"/>
      <c r="L2159" s="6"/>
      <c r="M2159" s="6"/>
      <c r="N2159" s="672"/>
      <c r="O2159" s="6"/>
      <c r="P2159" s="6"/>
      <c r="Q2159" s="6"/>
      <c r="R2159" s="6"/>
      <c r="S2159" s="6"/>
      <c r="T2159" s="6"/>
      <c r="U2159" s="6"/>
    </row>
    <row r="2160">
      <c r="A2160" s="6"/>
      <c r="B2160" s="6"/>
      <c r="C2160" s="6"/>
      <c r="D2160" s="6"/>
      <c r="E2160" s="6"/>
      <c r="G2160" s="6"/>
      <c r="H2160" s="6"/>
      <c r="I2160" s="6"/>
      <c r="J2160" s="6"/>
      <c r="K2160" s="6"/>
      <c r="L2160" s="6"/>
      <c r="M2160" s="6"/>
      <c r="N2160" s="672"/>
      <c r="O2160" s="6"/>
      <c r="P2160" s="6"/>
      <c r="Q2160" s="6"/>
      <c r="R2160" s="6"/>
      <c r="S2160" s="6"/>
      <c r="T2160" s="6"/>
      <c r="U2160" s="6"/>
    </row>
    <row r="2161">
      <c r="A2161" s="6"/>
      <c r="B2161" s="6"/>
      <c r="C2161" s="6"/>
      <c r="D2161" s="6"/>
      <c r="E2161" s="6"/>
      <c r="G2161" s="6"/>
      <c r="H2161" s="6"/>
      <c r="I2161" s="6"/>
      <c r="J2161" s="6"/>
      <c r="K2161" s="6"/>
      <c r="L2161" s="6"/>
      <c r="M2161" s="6"/>
      <c r="N2161" s="672"/>
      <c r="O2161" s="6"/>
      <c r="P2161" s="6"/>
      <c r="Q2161" s="6"/>
      <c r="R2161" s="6"/>
      <c r="S2161" s="6"/>
      <c r="T2161" s="6"/>
      <c r="U2161" s="6"/>
    </row>
    <row r="2162">
      <c r="A2162" s="6"/>
      <c r="B2162" s="6"/>
      <c r="C2162" s="6"/>
      <c r="D2162" s="6"/>
      <c r="E2162" s="6"/>
      <c r="G2162" s="6"/>
      <c r="H2162" s="6"/>
      <c r="I2162" s="6"/>
      <c r="J2162" s="6"/>
      <c r="K2162" s="6"/>
      <c r="L2162" s="6"/>
      <c r="M2162" s="6"/>
      <c r="N2162" s="672"/>
      <c r="O2162" s="6"/>
      <c r="P2162" s="6"/>
      <c r="Q2162" s="6"/>
      <c r="R2162" s="6"/>
      <c r="S2162" s="6"/>
      <c r="T2162" s="6"/>
      <c r="U2162" s="6"/>
    </row>
    <row r="2163">
      <c r="A2163" s="6"/>
      <c r="B2163" s="6"/>
      <c r="C2163" s="6"/>
      <c r="D2163" s="6"/>
      <c r="E2163" s="6"/>
      <c r="G2163" s="6"/>
      <c r="H2163" s="6"/>
      <c r="I2163" s="6"/>
      <c r="J2163" s="6"/>
      <c r="K2163" s="6"/>
      <c r="L2163" s="6"/>
      <c r="M2163" s="6"/>
      <c r="N2163" s="672"/>
      <c r="O2163" s="6"/>
      <c r="P2163" s="6"/>
      <c r="Q2163" s="6"/>
      <c r="R2163" s="6"/>
      <c r="S2163" s="6"/>
      <c r="T2163" s="6"/>
      <c r="U2163" s="6"/>
    </row>
    <row r="2164">
      <c r="A2164" s="6"/>
      <c r="B2164" s="6"/>
      <c r="C2164" s="6"/>
      <c r="D2164" s="6"/>
      <c r="E2164" s="6"/>
      <c r="G2164" s="6"/>
      <c r="H2164" s="6"/>
      <c r="I2164" s="6"/>
      <c r="J2164" s="6"/>
      <c r="K2164" s="6"/>
      <c r="L2164" s="6"/>
      <c r="M2164" s="6"/>
      <c r="N2164" s="672"/>
      <c r="O2164" s="6"/>
      <c r="P2164" s="6"/>
      <c r="Q2164" s="6"/>
      <c r="R2164" s="6"/>
      <c r="S2164" s="6"/>
      <c r="T2164" s="6"/>
      <c r="U2164" s="6"/>
    </row>
    <row r="2165">
      <c r="A2165" s="6"/>
      <c r="B2165" s="6"/>
      <c r="C2165" s="6"/>
      <c r="D2165" s="6"/>
      <c r="E2165" s="6"/>
      <c r="G2165" s="6"/>
      <c r="H2165" s="6"/>
      <c r="I2165" s="6"/>
      <c r="J2165" s="6"/>
      <c r="K2165" s="6"/>
      <c r="L2165" s="6"/>
      <c r="M2165" s="6"/>
      <c r="N2165" s="672"/>
      <c r="O2165" s="6"/>
      <c r="P2165" s="6"/>
      <c r="Q2165" s="6"/>
      <c r="R2165" s="6"/>
      <c r="S2165" s="6"/>
      <c r="T2165" s="6"/>
      <c r="U2165" s="6"/>
    </row>
    <row r="2166">
      <c r="A2166" s="6"/>
      <c r="B2166" s="6"/>
      <c r="C2166" s="6"/>
      <c r="D2166" s="6"/>
      <c r="E2166" s="6"/>
      <c r="G2166" s="6"/>
      <c r="H2166" s="6"/>
      <c r="I2166" s="6"/>
      <c r="J2166" s="6"/>
      <c r="K2166" s="6"/>
      <c r="L2166" s="6"/>
      <c r="M2166" s="6"/>
      <c r="N2166" s="672"/>
      <c r="O2166" s="6"/>
      <c r="P2166" s="6"/>
      <c r="Q2166" s="6"/>
      <c r="R2166" s="6"/>
      <c r="S2166" s="6"/>
      <c r="T2166" s="6"/>
      <c r="U2166" s="6"/>
    </row>
    <row r="2167">
      <c r="A2167" s="6"/>
      <c r="B2167" s="6"/>
      <c r="C2167" s="6"/>
      <c r="D2167" s="6"/>
      <c r="E2167" s="6"/>
      <c r="G2167" s="6"/>
      <c r="H2167" s="6"/>
      <c r="I2167" s="6"/>
      <c r="J2167" s="6"/>
      <c r="K2167" s="6"/>
      <c r="L2167" s="6"/>
      <c r="M2167" s="6"/>
      <c r="N2167" s="672"/>
      <c r="O2167" s="6"/>
      <c r="P2167" s="6"/>
      <c r="Q2167" s="6"/>
      <c r="R2167" s="6"/>
      <c r="S2167" s="6"/>
      <c r="T2167" s="6"/>
      <c r="U2167" s="6"/>
    </row>
    <row r="2168">
      <c r="A2168" s="6"/>
      <c r="B2168" s="6"/>
      <c r="C2168" s="6"/>
      <c r="D2168" s="6"/>
      <c r="E2168" s="6"/>
      <c r="G2168" s="6"/>
      <c r="H2168" s="6"/>
      <c r="I2168" s="6"/>
      <c r="J2168" s="6"/>
      <c r="K2168" s="6"/>
      <c r="L2168" s="6"/>
      <c r="M2168" s="6"/>
      <c r="N2168" s="672"/>
      <c r="O2168" s="6"/>
      <c r="P2168" s="6"/>
      <c r="Q2168" s="6"/>
      <c r="R2168" s="6"/>
      <c r="S2168" s="6"/>
      <c r="T2168" s="6"/>
      <c r="U2168" s="6"/>
    </row>
    <row r="2169">
      <c r="A2169" s="6"/>
      <c r="B2169" s="6"/>
      <c r="C2169" s="6"/>
      <c r="D2169" s="6"/>
      <c r="E2169" s="6"/>
      <c r="G2169" s="6"/>
      <c r="H2169" s="6"/>
      <c r="I2169" s="6"/>
      <c r="J2169" s="6"/>
      <c r="K2169" s="6"/>
      <c r="L2169" s="6"/>
      <c r="M2169" s="6"/>
      <c r="N2169" s="672"/>
      <c r="O2169" s="6"/>
      <c r="P2169" s="6"/>
      <c r="Q2169" s="6"/>
      <c r="R2169" s="6"/>
      <c r="S2169" s="6"/>
      <c r="T2169" s="6"/>
      <c r="U2169" s="6"/>
    </row>
    <row r="2170">
      <c r="A2170" s="6"/>
      <c r="B2170" s="6"/>
      <c r="C2170" s="6"/>
      <c r="D2170" s="6"/>
      <c r="E2170" s="6"/>
      <c r="G2170" s="6"/>
      <c r="H2170" s="6"/>
      <c r="I2170" s="6"/>
      <c r="J2170" s="6"/>
      <c r="K2170" s="6"/>
      <c r="L2170" s="6"/>
      <c r="M2170" s="6"/>
      <c r="N2170" s="672"/>
      <c r="O2170" s="6"/>
      <c r="P2170" s="6"/>
      <c r="Q2170" s="6"/>
      <c r="R2170" s="6"/>
      <c r="S2170" s="6"/>
      <c r="T2170" s="6"/>
      <c r="U2170" s="6"/>
    </row>
    <row r="2171">
      <c r="A2171" s="6"/>
      <c r="B2171" s="6"/>
      <c r="C2171" s="6"/>
      <c r="D2171" s="6"/>
      <c r="E2171" s="6"/>
      <c r="G2171" s="6"/>
      <c r="H2171" s="6"/>
      <c r="I2171" s="6"/>
      <c r="J2171" s="6"/>
      <c r="K2171" s="6"/>
      <c r="L2171" s="6"/>
      <c r="M2171" s="6"/>
      <c r="N2171" s="672"/>
      <c r="O2171" s="6"/>
      <c r="P2171" s="6"/>
      <c r="Q2171" s="6"/>
      <c r="R2171" s="6"/>
      <c r="S2171" s="6"/>
      <c r="T2171" s="6"/>
      <c r="U2171" s="6"/>
    </row>
    <row r="2172">
      <c r="A2172" s="6"/>
      <c r="B2172" s="6"/>
      <c r="C2172" s="6"/>
      <c r="D2172" s="6"/>
      <c r="E2172" s="6"/>
      <c r="G2172" s="6"/>
      <c r="H2172" s="6"/>
      <c r="I2172" s="6"/>
      <c r="J2172" s="6"/>
      <c r="K2172" s="6"/>
      <c r="L2172" s="6"/>
      <c r="M2172" s="6"/>
      <c r="N2172" s="672"/>
      <c r="O2172" s="6"/>
      <c r="P2172" s="6"/>
      <c r="Q2172" s="6"/>
      <c r="R2172" s="6"/>
      <c r="S2172" s="6"/>
      <c r="T2172" s="6"/>
      <c r="U2172" s="6"/>
    </row>
    <row r="2173">
      <c r="A2173" s="6"/>
      <c r="B2173" s="6"/>
      <c r="C2173" s="6"/>
      <c r="D2173" s="6"/>
      <c r="E2173" s="6"/>
      <c r="G2173" s="6"/>
      <c r="H2173" s="6"/>
      <c r="I2173" s="6"/>
      <c r="J2173" s="6"/>
      <c r="K2173" s="6"/>
      <c r="L2173" s="6"/>
      <c r="M2173" s="6"/>
      <c r="N2173" s="672"/>
      <c r="O2173" s="6"/>
      <c r="P2173" s="6"/>
      <c r="Q2173" s="6"/>
      <c r="R2173" s="6"/>
      <c r="S2173" s="6"/>
      <c r="T2173" s="6"/>
      <c r="U2173" s="6"/>
    </row>
    <row r="2174">
      <c r="A2174" s="6"/>
      <c r="B2174" s="6"/>
      <c r="C2174" s="6"/>
      <c r="D2174" s="6"/>
      <c r="E2174" s="6"/>
      <c r="G2174" s="6"/>
      <c r="H2174" s="6"/>
      <c r="I2174" s="6"/>
      <c r="J2174" s="6"/>
      <c r="K2174" s="6"/>
      <c r="L2174" s="6"/>
      <c r="M2174" s="6"/>
      <c r="N2174" s="672"/>
      <c r="O2174" s="6"/>
      <c r="P2174" s="6"/>
      <c r="Q2174" s="6"/>
      <c r="R2174" s="6"/>
      <c r="S2174" s="6"/>
      <c r="T2174" s="6"/>
      <c r="U2174" s="6"/>
    </row>
    <row r="2175">
      <c r="A2175" s="6"/>
      <c r="B2175" s="6"/>
      <c r="C2175" s="6"/>
      <c r="D2175" s="6"/>
      <c r="E2175" s="6"/>
      <c r="G2175" s="6"/>
      <c r="H2175" s="6"/>
      <c r="I2175" s="6"/>
      <c r="J2175" s="6"/>
      <c r="K2175" s="6"/>
      <c r="L2175" s="6"/>
      <c r="M2175" s="6"/>
      <c r="N2175" s="672"/>
      <c r="O2175" s="6"/>
      <c r="P2175" s="6"/>
      <c r="Q2175" s="6"/>
      <c r="R2175" s="6"/>
      <c r="S2175" s="6"/>
      <c r="T2175" s="6"/>
      <c r="U2175" s="6"/>
    </row>
    <row r="2176">
      <c r="A2176" s="6"/>
      <c r="B2176" s="6"/>
      <c r="C2176" s="6"/>
      <c r="D2176" s="6"/>
      <c r="E2176" s="6"/>
      <c r="G2176" s="6"/>
      <c r="H2176" s="6"/>
      <c r="I2176" s="6"/>
      <c r="J2176" s="6"/>
      <c r="K2176" s="6"/>
      <c r="L2176" s="6"/>
      <c r="M2176" s="6"/>
      <c r="N2176" s="672"/>
      <c r="O2176" s="6"/>
      <c r="P2176" s="6"/>
      <c r="Q2176" s="6"/>
      <c r="R2176" s="6"/>
      <c r="S2176" s="6"/>
      <c r="T2176" s="6"/>
      <c r="U2176" s="6"/>
    </row>
    <row r="2177">
      <c r="A2177" s="6"/>
      <c r="B2177" s="6"/>
      <c r="C2177" s="6"/>
      <c r="D2177" s="6"/>
      <c r="E2177" s="6"/>
      <c r="G2177" s="6"/>
      <c r="H2177" s="6"/>
      <c r="I2177" s="6"/>
      <c r="J2177" s="6"/>
      <c r="K2177" s="6"/>
      <c r="L2177" s="6"/>
      <c r="M2177" s="6"/>
      <c r="N2177" s="672"/>
      <c r="O2177" s="6"/>
      <c r="P2177" s="6"/>
      <c r="Q2177" s="6"/>
      <c r="R2177" s="6"/>
      <c r="S2177" s="6"/>
      <c r="T2177" s="6"/>
      <c r="U2177" s="6"/>
    </row>
    <row r="2178">
      <c r="A2178" s="6"/>
      <c r="B2178" s="6"/>
      <c r="C2178" s="6"/>
      <c r="D2178" s="6"/>
      <c r="E2178" s="6"/>
      <c r="G2178" s="6"/>
      <c r="H2178" s="6"/>
      <c r="I2178" s="6"/>
      <c r="J2178" s="6"/>
      <c r="K2178" s="6"/>
      <c r="L2178" s="6"/>
      <c r="M2178" s="6"/>
      <c r="N2178" s="672"/>
      <c r="O2178" s="6"/>
      <c r="P2178" s="6"/>
      <c r="Q2178" s="6"/>
      <c r="R2178" s="6"/>
      <c r="S2178" s="6"/>
      <c r="T2178" s="6"/>
      <c r="U2178" s="6"/>
    </row>
    <row r="2179">
      <c r="A2179" s="6"/>
      <c r="B2179" s="6"/>
      <c r="C2179" s="6"/>
      <c r="D2179" s="6"/>
      <c r="E2179" s="6"/>
      <c r="G2179" s="6"/>
      <c r="H2179" s="6"/>
      <c r="I2179" s="6"/>
      <c r="J2179" s="6"/>
      <c r="K2179" s="6"/>
      <c r="L2179" s="6"/>
      <c r="M2179" s="6"/>
      <c r="N2179" s="672"/>
      <c r="O2179" s="6"/>
      <c r="P2179" s="6"/>
      <c r="Q2179" s="6"/>
      <c r="R2179" s="6"/>
      <c r="S2179" s="6"/>
      <c r="T2179" s="6"/>
      <c r="U2179" s="6"/>
    </row>
    <row r="2180">
      <c r="A2180" s="6"/>
      <c r="B2180" s="6"/>
      <c r="C2180" s="6"/>
      <c r="D2180" s="6"/>
      <c r="E2180" s="6"/>
      <c r="G2180" s="6"/>
      <c r="H2180" s="6"/>
      <c r="I2180" s="6"/>
      <c r="J2180" s="6"/>
      <c r="K2180" s="6"/>
      <c r="L2180" s="6"/>
      <c r="M2180" s="6"/>
      <c r="N2180" s="672"/>
      <c r="O2180" s="6"/>
      <c r="P2180" s="6"/>
      <c r="Q2180" s="6"/>
      <c r="R2180" s="6"/>
      <c r="S2180" s="6"/>
      <c r="T2180" s="6"/>
      <c r="U2180" s="6"/>
    </row>
    <row r="2181">
      <c r="A2181" s="6"/>
      <c r="B2181" s="6"/>
      <c r="C2181" s="6"/>
      <c r="D2181" s="6"/>
      <c r="E2181" s="6"/>
      <c r="G2181" s="6"/>
      <c r="H2181" s="6"/>
      <c r="I2181" s="6"/>
      <c r="J2181" s="6"/>
      <c r="K2181" s="6"/>
      <c r="L2181" s="6"/>
      <c r="M2181" s="6"/>
      <c r="N2181" s="672"/>
      <c r="O2181" s="6"/>
      <c r="P2181" s="6"/>
      <c r="Q2181" s="6"/>
      <c r="R2181" s="6"/>
      <c r="S2181" s="6"/>
      <c r="T2181" s="6"/>
      <c r="U2181" s="6"/>
    </row>
    <row r="2182">
      <c r="A2182" s="6"/>
      <c r="B2182" s="6"/>
      <c r="C2182" s="6"/>
      <c r="D2182" s="6"/>
      <c r="E2182" s="6"/>
      <c r="G2182" s="6"/>
      <c r="H2182" s="6"/>
      <c r="I2182" s="6"/>
      <c r="J2182" s="6"/>
      <c r="K2182" s="6"/>
      <c r="L2182" s="6"/>
      <c r="M2182" s="6"/>
      <c r="N2182" s="672"/>
      <c r="O2182" s="6"/>
      <c r="P2182" s="6"/>
      <c r="Q2182" s="6"/>
      <c r="R2182" s="6"/>
      <c r="S2182" s="6"/>
      <c r="T2182" s="6"/>
      <c r="U2182" s="6"/>
    </row>
    <row r="2183">
      <c r="A2183" s="6"/>
      <c r="B2183" s="6"/>
      <c r="C2183" s="6"/>
      <c r="D2183" s="6"/>
      <c r="E2183" s="6"/>
      <c r="G2183" s="6"/>
      <c r="H2183" s="6"/>
      <c r="I2183" s="6"/>
      <c r="J2183" s="6"/>
      <c r="K2183" s="6"/>
      <c r="L2183" s="6"/>
      <c r="M2183" s="6"/>
      <c r="N2183" s="672"/>
      <c r="O2183" s="6"/>
      <c r="P2183" s="6"/>
      <c r="Q2183" s="6"/>
      <c r="R2183" s="6"/>
      <c r="S2183" s="6"/>
      <c r="T2183" s="6"/>
      <c r="U2183" s="6"/>
    </row>
    <row r="2184">
      <c r="A2184" s="6"/>
      <c r="B2184" s="6"/>
      <c r="C2184" s="6"/>
      <c r="D2184" s="6"/>
      <c r="E2184" s="6"/>
      <c r="G2184" s="6"/>
      <c r="H2184" s="6"/>
      <c r="I2184" s="6"/>
      <c r="J2184" s="6"/>
      <c r="K2184" s="6"/>
      <c r="L2184" s="6"/>
      <c r="M2184" s="6"/>
      <c r="N2184" s="672"/>
      <c r="O2184" s="6"/>
      <c r="P2184" s="6"/>
      <c r="Q2184" s="6"/>
      <c r="R2184" s="6"/>
      <c r="S2184" s="6"/>
      <c r="T2184" s="6"/>
      <c r="U2184" s="6"/>
    </row>
    <row r="2185">
      <c r="A2185" s="6"/>
      <c r="B2185" s="6"/>
      <c r="C2185" s="6"/>
      <c r="D2185" s="6"/>
      <c r="E2185" s="6"/>
      <c r="G2185" s="6"/>
      <c r="H2185" s="6"/>
      <c r="I2185" s="6"/>
      <c r="J2185" s="6"/>
      <c r="K2185" s="6"/>
      <c r="L2185" s="6"/>
      <c r="M2185" s="6"/>
      <c r="N2185" s="672"/>
      <c r="O2185" s="6"/>
      <c r="P2185" s="6"/>
      <c r="Q2185" s="6"/>
      <c r="R2185" s="6"/>
      <c r="S2185" s="6"/>
      <c r="T2185" s="6"/>
      <c r="U2185" s="6"/>
    </row>
    <row r="2186">
      <c r="A2186" s="6"/>
      <c r="B2186" s="6"/>
      <c r="C2186" s="6"/>
      <c r="D2186" s="6"/>
      <c r="E2186" s="6"/>
      <c r="G2186" s="6"/>
      <c r="H2186" s="6"/>
      <c r="I2186" s="6"/>
      <c r="J2186" s="6"/>
      <c r="K2186" s="6"/>
      <c r="L2186" s="6"/>
      <c r="M2186" s="6"/>
      <c r="N2186" s="672"/>
      <c r="O2186" s="6"/>
      <c r="P2186" s="6"/>
      <c r="Q2186" s="6"/>
      <c r="R2186" s="6"/>
      <c r="S2186" s="6"/>
      <c r="T2186" s="6"/>
      <c r="U2186" s="6"/>
    </row>
    <row r="2187">
      <c r="A2187" s="6"/>
      <c r="B2187" s="6"/>
      <c r="C2187" s="6"/>
      <c r="D2187" s="6"/>
      <c r="E2187" s="6"/>
      <c r="G2187" s="6"/>
      <c r="H2187" s="6"/>
      <c r="I2187" s="6"/>
      <c r="J2187" s="6"/>
      <c r="K2187" s="6"/>
      <c r="L2187" s="6"/>
      <c r="M2187" s="6"/>
      <c r="N2187" s="672"/>
      <c r="O2187" s="6"/>
      <c r="P2187" s="6"/>
      <c r="Q2187" s="6"/>
      <c r="R2187" s="6"/>
      <c r="S2187" s="6"/>
      <c r="T2187" s="6"/>
      <c r="U2187" s="6"/>
    </row>
    <row r="2188">
      <c r="A2188" s="6"/>
      <c r="B2188" s="6"/>
      <c r="C2188" s="6"/>
      <c r="D2188" s="6"/>
      <c r="E2188" s="6"/>
      <c r="G2188" s="6"/>
      <c r="H2188" s="6"/>
      <c r="I2188" s="6"/>
      <c r="J2188" s="6"/>
      <c r="K2188" s="6"/>
      <c r="L2188" s="6"/>
      <c r="M2188" s="6"/>
      <c r="N2188" s="672"/>
      <c r="O2188" s="6"/>
      <c r="P2188" s="6"/>
      <c r="Q2188" s="6"/>
      <c r="R2188" s="6"/>
      <c r="S2188" s="6"/>
      <c r="T2188" s="6"/>
      <c r="U2188" s="6"/>
    </row>
    <row r="2189">
      <c r="A2189" s="6"/>
      <c r="B2189" s="6"/>
      <c r="C2189" s="6"/>
      <c r="D2189" s="6"/>
      <c r="E2189" s="6"/>
      <c r="G2189" s="6"/>
      <c r="H2189" s="6"/>
      <c r="I2189" s="6"/>
      <c r="J2189" s="6"/>
      <c r="K2189" s="6"/>
      <c r="L2189" s="6"/>
      <c r="M2189" s="6"/>
      <c r="N2189" s="672"/>
      <c r="O2189" s="6"/>
      <c r="P2189" s="6"/>
      <c r="Q2189" s="6"/>
      <c r="R2189" s="6"/>
      <c r="S2189" s="6"/>
      <c r="T2189" s="6"/>
      <c r="U2189" s="6"/>
    </row>
    <row r="2190">
      <c r="A2190" s="6"/>
      <c r="B2190" s="6"/>
      <c r="C2190" s="6"/>
      <c r="D2190" s="6"/>
      <c r="E2190" s="6"/>
      <c r="G2190" s="6"/>
      <c r="H2190" s="6"/>
      <c r="I2190" s="6"/>
      <c r="J2190" s="6"/>
      <c r="K2190" s="6"/>
      <c r="L2190" s="6"/>
      <c r="M2190" s="6"/>
      <c r="N2190" s="672"/>
      <c r="O2190" s="6"/>
      <c r="P2190" s="6"/>
      <c r="Q2190" s="6"/>
      <c r="R2190" s="6"/>
      <c r="S2190" s="6"/>
      <c r="T2190" s="6"/>
      <c r="U2190" s="6"/>
    </row>
    <row r="2191">
      <c r="A2191" s="6"/>
      <c r="B2191" s="6"/>
      <c r="C2191" s="6"/>
      <c r="D2191" s="6"/>
      <c r="E2191" s="6"/>
      <c r="G2191" s="6"/>
      <c r="H2191" s="6"/>
      <c r="I2191" s="6"/>
      <c r="J2191" s="6"/>
      <c r="K2191" s="6"/>
      <c r="L2191" s="6"/>
      <c r="M2191" s="6"/>
      <c r="N2191" s="672"/>
      <c r="O2191" s="6"/>
      <c r="P2191" s="6"/>
      <c r="Q2191" s="6"/>
      <c r="R2191" s="6"/>
      <c r="S2191" s="6"/>
      <c r="T2191" s="6"/>
      <c r="U2191" s="6"/>
    </row>
    <row r="2192">
      <c r="A2192" s="6"/>
      <c r="B2192" s="6"/>
      <c r="C2192" s="6"/>
      <c r="D2192" s="6"/>
      <c r="E2192" s="6"/>
      <c r="G2192" s="6"/>
      <c r="H2192" s="6"/>
      <c r="I2192" s="6"/>
      <c r="J2192" s="6"/>
      <c r="K2192" s="6"/>
      <c r="L2192" s="6"/>
      <c r="M2192" s="6"/>
      <c r="N2192" s="672"/>
      <c r="O2192" s="6"/>
      <c r="P2192" s="6"/>
      <c r="Q2192" s="6"/>
      <c r="R2192" s="6"/>
      <c r="S2192" s="6"/>
      <c r="T2192" s="6"/>
      <c r="U2192" s="6"/>
    </row>
    <row r="2193">
      <c r="A2193" s="6"/>
      <c r="B2193" s="6"/>
      <c r="C2193" s="6"/>
      <c r="D2193" s="6"/>
      <c r="E2193" s="6"/>
      <c r="G2193" s="6"/>
      <c r="H2193" s="6"/>
      <c r="I2193" s="6"/>
      <c r="J2193" s="6"/>
      <c r="K2193" s="6"/>
      <c r="L2193" s="6"/>
      <c r="M2193" s="6"/>
      <c r="N2193" s="672"/>
      <c r="O2193" s="6"/>
      <c r="P2193" s="6"/>
      <c r="Q2193" s="6"/>
      <c r="R2193" s="6"/>
      <c r="S2193" s="6"/>
      <c r="T2193" s="6"/>
      <c r="U2193" s="6"/>
    </row>
    <row r="2194">
      <c r="A2194" s="6"/>
      <c r="B2194" s="6"/>
      <c r="C2194" s="6"/>
      <c r="D2194" s="6"/>
      <c r="E2194" s="6"/>
      <c r="G2194" s="6"/>
      <c r="H2194" s="6"/>
      <c r="I2194" s="6"/>
      <c r="J2194" s="6"/>
      <c r="K2194" s="6"/>
      <c r="L2194" s="6"/>
      <c r="M2194" s="6"/>
      <c r="N2194" s="672"/>
      <c r="O2194" s="6"/>
      <c r="P2194" s="6"/>
      <c r="Q2194" s="6"/>
      <c r="R2194" s="6"/>
      <c r="S2194" s="6"/>
      <c r="T2194" s="6"/>
      <c r="U2194" s="6"/>
    </row>
    <row r="2195">
      <c r="A2195" s="6"/>
      <c r="B2195" s="6"/>
      <c r="C2195" s="6"/>
      <c r="D2195" s="6"/>
      <c r="E2195" s="6"/>
      <c r="G2195" s="6"/>
      <c r="H2195" s="6"/>
      <c r="I2195" s="6"/>
      <c r="J2195" s="6"/>
      <c r="K2195" s="6"/>
      <c r="L2195" s="6"/>
      <c r="M2195" s="6"/>
      <c r="N2195" s="672"/>
      <c r="O2195" s="6"/>
      <c r="P2195" s="6"/>
      <c r="Q2195" s="6"/>
      <c r="R2195" s="6"/>
      <c r="S2195" s="6"/>
      <c r="T2195" s="6"/>
      <c r="U2195" s="6"/>
    </row>
    <row r="2196">
      <c r="A2196" s="6"/>
      <c r="B2196" s="6"/>
      <c r="C2196" s="6"/>
      <c r="D2196" s="6"/>
      <c r="E2196" s="6"/>
      <c r="G2196" s="6"/>
      <c r="H2196" s="6"/>
      <c r="I2196" s="6"/>
      <c r="J2196" s="6"/>
      <c r="K2196" s="6"/>
      <c r="L2196" s="6"/>
      <c r="M2196" s="6"/>
      <c r="N2196" s="672"/>
      <c r="O2196" s="6"/>
      <c r="P2196" s="6"/>
      <c r="Q2196" s="6"/>
      <c r="R2196" s="6"/>
      <c r="S2196" s="6"/>
      <c r="T2196" s="6"/>
      <c r="U2196" s="6"/>
    </row>
    <row r="2197">
      <c r="A2197" s="6"/>
      <c r="B2197" s="6"/>
      <c r="C2197" s="6"/>
      <c r="D2197" s="6"/>
      <c r="E2197" s="6"/>
      <c r="G2197" s="6"/>
      <c r="H2197" s="6"/>
      <c r="I2197" s="6"/>
      <c r="J2197" s="6"/>
      <c r="K2197" s="6"/>
      <c r="L2197" s="6"/>
      <c r="M2197" s="6"/>
      <c r="N2197" s="672"/>
      <c r="O2197" s="6"/>
      <c r="P2197" s="6"/>
      <c r="Q2197" s="6"/>
      <c r="R2197" s="6"/>
      <c r="S2197" s="6"/>
      <c r="T2197" s="6"/>
      <c r="U2197" s="6"/>
    </row>
    <row r="2198">
      <c r="A2198" s="6"/>
      <c r="B2198" s="6"/>
      <c r="C2198" s="6"/>
      <c r="D2198" s="6"/>
      <c r="E2198" s="6"/>
      <c r="G2198" s="6"/>
      <c r="H2198" s="6"/>
      <c r="I2198" s="6"/>
      <c r="J2198" s="6"/>
      <c r="K2198" s="6"/>
      <c r="L2198" s="6"/>
      <c r="M2198" s="6"/>
      <c r="N2198" s="672"/>
      <c r="O2198" s="6"/>
      <c r="P2198" s="6"/>
      <c r="Q2198" s="6"/>
      <c r="R2198" s="6"/>
      <c r="S2198" s="6"/>
      <c r="T2198" s="6"/>
      <c r="U2198" s="6"/>
    </row>
    <row r="2199">
      <c r="A2199" s="6"/>
      <c r="B2199" s="6"/>
      <c r="C2199" s="6"/>
      <c r="D2199" s="6"/>
      <c r="E2199" s="6"/>
      <c r="G2199" s="6"/>
      <c r="H2199" s="6"/>
      <c r="I2199" s="6"/>
      <c r="J2199" s="6"/>
      <c r="K2199" s="6"/>
      <c r="L2199" s="6"/>
      <c r="M2199" s="6"/>
      <c r="N2199" s="672"/>
      <c r="O2199" s="6"/>
      <c r="P2199" s="6"/>
      <c r="Q2199" s="6"/>
      <c r="R2199" s="6"/>
      <c r="S2199" s="6"/>
      <c r="T2199" s="6"/>
      <c r="U2199" s="6"/>
    </row>
    <row r="2200">
      <c r="A2200" s="6"/>
      <c r="B2200" s="6"/>
      <c r="C2200" s="6"/>
      <c r="D2200" s="6"/>
      <c r="E2200" s="6"/>
      <c r="G2200" s="6"/>
      <c r="H2200" s="6"/>
      <c r="I2200" s="6"/>
      <c r="J2200" s="6"/>
      <c r="K2200" s="6"/>
      <c r="L2200" s="6"/>
      <c r="M2200" s="6"/>
      <c r="N2200" s="672"/>
      <c r="O2200" s="6"/>
      <c r="P2200" s="6"/>
      <c r="Q2200" s="6"/>
      <c r="R2200" s="6"/>
      <c r="S2200" s="6"/>
      <c r="T2200" s="6"/>
      <c r="U2200" s="6"/>
    </row>
    <row r="2201">
      <c r="A2201" s="6"/>
      <c r="B2201" s="6"/>
      <c r="C2201" s="6"/>
      <c r="D2201" s="6"/>
      <c r="E2201" s="6"/>
      <c r="G2201" s="6"/>
      <c r="H2201" s="6"/>
      <c r="I2201" s="6"/>
      <c r="J2201" s="6"/>
      <c r="K2201" s="6"/>
      <c r="L2201" s="6"/>
      <c r="M2201" s="6"/>
      <c r="N2201" s="672"/>
      <c r="O2201" s="6"/>
      <c r="P2201" s="6"/>
      <c r="Q2201" s="6"/>
      <c r="R2201" s="6"/>
      <c r="S2201" s="6"/>
      <c r="T2201" s="6"/>
      <c r="U2201" s="6"/>
    </row>
    <row r="2202">
      <c r="A2202" s="6"/>
      <c r="B2202" s="6"/>
      <c r="C2202" s="6"/>
      <c r="D2202" s="6"/>
      <c r="E2202" s="6"/>
      <c r="G2202" s="6"/>
      <c r="H2202" s="6"/>
      <c r="I2202" s="6"/>
      <c r="J2202" s="6"/>
      <c r="K2202" s="6"/>
      <c r="L2202" s="6"/>
      <c r="M2202" s="6"/>
      <c r="N2202" s="672"/>
      <c r="O2202" s="6"/>
      <c r="P2202" s="6"/>
      <c r="Q2202" s="6"/>
      <c r="R2202" s="6"/>
      <c r="S2202" s="6"/>
      <c r="T2202" s="6"/>
      <c r="U2202" s="6"/>
    </row>
    <row r="2203">
      <c r="A2203" s="6"/>
      <c r="B2203" s="6"/>
      <c r="C2203" s="6"/>
      <c r="D2203" s="6"/>
      <c r="E2203" s="6"/>
      <c r="G2203" s="6"/>
      <c r="H2203" s="6"/>
      <c r="I2203" s="6"/>
      <c r="J2203" s="6"/>
      <c r="K2203" s="6"/>
      <c r="L2203" s="6"/>
      <c r="M2203" s="6"/>
      <c r="N2203" s="672"/>
      <c r="O2203" s="6"/>
      <c r="P2203" s="6"/>
      <c r="Q2203" s="6"/>
      <c r="R2203" s="6"/>
      <c r="S2203" s="6"/>
      <c r="T2203" s="6"/>
      <c r="U2203" s="6"/>
    </row>
    <row r="2204">
      <c r="A2204" s="6"/>
      <c r="B2204" s="6"/>
      <c r="C2204" s="6"/>
      <c r="D2204" s="6"/>
      <c r="E2204" s="6"/>
      <c r="G2204" s="6"/>
      <c r="H2204" s="6"/>
      <c r="I2204" s="6"/>
      <c r="J2204" s="6"/>
      <c r="K2204" s="6"/>
      <c r="L2204" s="6"/>
      <c r="M2204" s="6"/>
      <c r="N2204" s="672"/>
      <c r="O2204" s="6"/>
      <c r="P2204" s="6"/>
      <c r="Q2204" s="6"/>
      <c r="R2204" s="6"/>
      <c r="S2204" s="6"/>
      <c r="T2204" s="6"/>
      <c r="U2204" s="6"/>
    </row>
    <row r="2205">
      <c r="A2205" s="6"/>
      <c r="B2205" s="6"/>
      <c r="C2205" s="6"/>
      <c r="D2205" s="6"/>
      <c r="E2205" s="6"/>
      <c r="G2205" s="6"/>
      <c r="H2205" s="6"/>
      <c r="I2205" s="6"/>
      <c r="J2205" s="6"/>
      <c r="K2205" s="6"/>
      <c r="L2205" s="6"/>
      <c r="M2205" s="6"/>
      <c r="N2205" s="672"/>
      <c r="O2205" s="6"/>
      <c r="P2205" s="6"/>
      <c r="Q2205" s="6"/>
      <c r="R2205" s="6"/>
      <c r="S2205" s="6"/>
      <c r="T2205" s="6"/>
      <c r="U2205" s="6"/>
    </row>
    <row r="2206">
      <c r="A2206" s="6"/>
      <c r="B2206" s="6"/>
      <c r="C2206" s="6"/>
      <c r="D2206" s="6"/>
      <c r="E2206" s="6"/>
      <c r="G2206" s="6"/>
      <c r="H2206" s="6"/>
      <c r="I2206" s="6"/>
      <c r="J2206" s="6"/>
      <c r="K2206" s="6"/>
      <c r="L2206" s="6"/>
      <c r="M2206" s="6"/>
      <c r="N2206" s="672"/>
      <c r="O2206" s="6"/>
      <c r="P2206" s="6"/>
      <c r="Q2206" s="6"/>
      <c r="R2206" s="6"/>
      <c r="S2206" s="6"/>
      <c r="T2206" s="6"/>
      <c r="U2206" s="6"/>
    </row>
    <row r="2207">
      <c r="A2207" s="6"/>
      <c r="B2207" s="6"/>
      <c r="C2207" s="6"/>
      <c r="D2207" s="6"/>
      <c r="E2207" s="6"/>
      <c r="G2207" s="6"/>
      <c r="H2207" s="6"/>
      <c r="I2207" s="6"/>
      <c r="J2207" s="6"/>
      <c r="K2207" s="6"/>
      <c r="L2207" s="6"/>
      <c r="M2207" s="6"/>
      <c r="N2207" s="672"/>
      <c r="O2207" s="6"/>
      <c r="P2207" s="6"/>
      <c r="Q2207" s="6"/>
      <c r="R2207" s="6"/>
      <c r="S2207" s="6"/>
      <c r="T2207" s="6"/>
      <c r="U2207" s="6"/>
    </row>
    <row r="2208">
      <c r="A2208" s="6"/>
      <c r="B2208" s="6"/>
      <c r="C2208" s="6"/>
      <c r="D2208" s="6"/>
      <c r="E2208" s="6"/>
      <c r="G2208" s="6"/>
      <c r="H2208" s="6"/>
      <c r="I2208" s="6"/>
      <c r="J2208" s="6"/>
      <c r="K2208" s="6"/>
      <c r="L2208" s="6"/>
      <c r="M2208" s="6"/>
      <c r="N2208" s="672"/>
      <c r="O2208" s="6"/>
      <c r="P2208" s="6"/>
      <c r="Q2208" s="6"/>
      <c r="R2208" s="6"/>
      <c r="S2208" s="6"/>
      <c r="T2208" s="6"/>
      <c r="U2208" s="6"/>
    </row>
    <row r="2209">
      <c r="A2209" s="6"/>
      <c r="B2209" s="6"/>
      <c r="C2209" s="6"/>
      <c r="D2209" s="6"/>
      <c r="E2209" s="6"/>
      <c r="G2209" s="6"/>
      <c r="H2209" s="6"/>
      <c r="I2209" s="6"/>
      <c r="J2209" s="6"/>
      <c r="K2209" s="6"/>
      <c r="L2209" s="6"/>
      <c r="M2209" s="6"/>
      <c r="N2209" s="672"/>
      <c r="O2209" s="6"/>
      <c r="P2209" s="6"/>
      <c r="Q2209" s="6"/>
      <c r="R2209" s="6"/>
      <c r="S2209" s="6"/>
      <c r="T2209" s="6"/>
      <c r="U2209" s="6"/>
    </row>
    <row r="2210">
      <c r="A2210" s="6"/>
      <c r="B2210" s="6"/>
      <c r="C2210" s="6"/>
      <c r="D2210" s="6"/>
      <c r="E2210" s="6"/>
      <c r="G2210" s="6"/>
      <c r="H2210" s="6"/>
      <c r="I2210" s="6"/>
      <c r="J2210" s="6"/>
      <c r="K2210" s="6"/>
      <c r="L2210" s="6"/>
      <c r="M2210" s="6"/>
      <c r="N2210" s="672"/>
      <c r="O2210" s="6"/>
      <c r="P2210" s="6"/>
      <c r="Q2210" s="6"/>
      <c r="R2210" s="6"/>
      <c r="S2210" s="6"/>
      <c r="T2210" s="6"/>
      <c r="U2210" s="6"/>
    </row>
    <row r="2211">
      <c r="A2211" s="6"/>
      <c r="B2211" s="6"/>
      <c r="C2211" s="6"/>
      <c r="D2211" s="6"/>
      <c r="E2211" s="6"/>
      <c r="G2211" s="6"/>
      <c r="H2211" s="6"/>
      <c r="I2211" s="6"/>
      <c r="J2211" s="6"/>
      <c r="K2211" s="6"/>
      <c r="L2211" s="6"/>
      <c r="M2211" s="6"/>
      <c r="N2211" s="672"/>
      <c r="O2211" s="6"/>
      <c r="P2211" s="6"/>
      <c r="Q2211" s="6"/>
      <c r="R2211" s="6"/>
      <c r="S2211" s="6"/>
      <c r="T2211" s="6"/>
      <c r="U2211" s="6"/>
    </row>
    <row r="2212">
      <c r="A2212" s="6"/>
      <c r="B2212" s="6"/>
      <c r="C2212" s="6"/>
      <c r="D2212" s="6"/>
      <c r="E2212" s="6"/>
      <c r="G2212" s="6"/>
      <c r="H2212" s="6"/>
      <c r="I2212" s="6"/>
      <c r="J2212" s="6"/>
      <c r="K2212" s="6"/>
      <c r="L2212" s="6"/>
      <c r="M2212" s="6"/>
      <c r="N2212" s="672"/>
      <c r="O2212" s="6"/>
      <c r="P2212" s="6"/>
      <c r="Q2212" s="6"/>
      <c r="R2212" s="6"/>
      <c r="S2212" s="6"/>
      <c r="T2212" s="6"/>
      <c r="U2212" s="6"/>
    </row>
    <row r="2213">
      <c r="A2213" s="6"/>
      <c r="B2213" s="6"/>
      <c r="C2213" s="6"/>
      <c r="D2213" s="6"/>
      <c r="E2213" s="6"/>
      <c r="G2213" s="6"/>
      <c r="H2213" s="6"/>
      <c r="I2213" s="6"/>
      <c r="J2213" s="6"/>
      <c r="K2213" s="6"/>
      <c r="L2213" s="6"/>
      <c r="M2213" s="6"/>
      <c r="N2213" s="672"/>
      <c r="O2213" s="6"/>
      <c r="P2213" s="6"/>
      <c r="Q2213" s="6"/>
      <c r="R2213" s="6"/>
      <c r="S2213" s="6"/>
      <c r="T2213" s="6"/>
      <c r="U2213" s="6"/>
    </row>
    <row r="2214">
      <c r="A2214" s="6"/>
      <c r="B2214" s="6"/>
      <c r="C2214" s="6"/>
      <c r="D2214" s="6"/>
      <c r="E2214" s="6"/>
      <c r="G2214" s="6"/>
      <c r="H2214" s="6"/>
      <c r="I2214" s="6"/>
      <c r="J2214" s="6"/>
      <c r="K2214" s="6"/>
      <c r="L2214" s="6"/>
      <c r="M2214" s="6"/>
      <c r="N2214" s="672"/>
      <c r="O2214" s="6"/>
      <c r="P2214" s="6"/>
      <c r="Q2214" s="6"/>
      <c r="R2214" s="6"/>
      <c r="S2214" s="6"/>
      <c r="T2214" s="6"/>
      <c r="U2214" s="6"/>
    </row>
    <row r="2215">
      <c r="A2215" s="6"/>
      <c r="B2215" s="6"/>
      <c r="C2215" s="6"/>
      <c r="D2215" s="6"/>
      <c r="E2215" s="6"/>
      <c r="G2215" s="6"/>
      <c r="H2215" s="6"/>
      <c r="I2215" s="6"/>
      <c r="J2215" s="6"/>
      <c r="K2215" s="6"/>
      <c r="L2215" s="6"/>
      <c r="M2215" s="6"/>
      <c r="N2215" s="672"/>
      <c r="O2215" s="6"/>
      <c r="P2215" s="6"/>
      <c r="Q2215" s="6"/>
      <c r="R2215" s="6"/>
      <c r="S2215" s="6"/>
      <c r="T2215" s="6"/>
      <c r="U2215" s="6"/>
    </row>
    <row r="2216">
      <c r="A2216" s="6"/>
      <c r="B2216" s="6"/>
      <c r="C2216" s="6"/>
      <c r="D2216" s="6"/>
      <c r="E2216" s="6"/>
      <c r="G2216" s="6"/>
      <c r="H2216" s="6"/>
      <c r="I2216" s="6"/>
      <c r="J2216" s="6"/>
      <c r="K2216" s="6"/>
      <c r="L2216" s="6"/>
      <c r="M2216" s="6"/>
      <c r="N2216" s="672"/>
      <c r="O2216" s="6"/>
      <c r="P2216" s="6"/>
      <c r="Q2216" s="6"/>
      <c r="R2216" s="6"/>
      <c r="S2216" s="6"/>
      <c r="T2216" s="6"/>
      <c r="U2216" s="6"/>
    </row>
    <row r="2217">
      <c r="A2217" s="6"/>
      <c r="B2217" s="6"/>
      <c r="C2217" s="6"/>
      <c r="D2217" s="6"/>
      <c r="E2217" s="6"/>
      <c r="G2217" s="6"/>
      <c r="H2217" s="6"/>
      <c r="I2217" s="6"/>
      <c r="J2217" s="6"/>
      <c r="K2217" s="6"/>
      <c r="L2217" s="6"/>
      <c r="M2217" s="6"/>
      <c r="N2217" s="672"/>
      <c r="O2217" s="6"/>
      <c r="P2217" s="6"/>
      <c r="Q2217" s="6"/>
      <c r="R2217" s="6"/>
      <c r="S2217" s="6"/>
      <c r="T2217" s="6"/>
      <c r="U2217" s="6"/>
    </row>
    <row r="2218">
      <c r="A2218" s="6"/>
      <c r="B2218" s="6"/>
      <c r="C2218" s="6"/>
      <c r="D2218" s="6"/>
      <c r="E2218" s="6"/>
      <c r="G2218" s="6"/>
      <c r="H2218" s="6"/>
      <c r="I2218" s="6"/>
      <c r="J2218" s="6"/>
      <c r="K2218" s="6"/>
      <c r="L2218" s="6"/>
      <c r="M2218" s="6"/>
      <c r="N2218" s="672"/>
      <c r="O2218" s="6"/>
      <c r="P2218" s="6"/>
      <c r="Q2218" s="6"/>
      <c r="R2218" s="6"/>
      <c r="S2218" s="6"/>
      <c r="T2218" s="6"/>
      <c r="U2218" s="6"/>
    </row>
    <row r="2219">
      <c r="A2219" s="6"/>
      <c r="B2219" s="6"/>
      <c r="C2219" s="6"/>
      <c r="D2219" s="6"/>
      <c r="E2219" s="6"/>
      <c r="G2219" s="6"/>
      <c r="H2219" s="6"/>
      <c r="I2219" s="6"/>
      <c r="J2219" s="6"/>
      <c r="K2219" s="6"/>
      <c r="L2219" s="6"/>
      <c r="M2219" s="6"/>
      <c r="N2219" s="672"/>
      <c r="O2219" s="6"/>
      <c r="P2219" s="6"/>
      <c r="Q2219" s="6"/>
      <c r="R2219" s="6"/>
      <c r="S2219" s="6"/>
      <c r="T2219" s="6"/>
      <c r="U2219" s="6"/>
    </row>
    <row r="2220">
      <c r="A2220" s="6"/>
      <c r="B2220" s="6"/>
      <c r="C2220" s="6"/>
      <c r="D2220" s="6"/>
      <c r="E2220" s="6"/>
      <c r="G2220" s="6"/>
      <c r="H2220" s="6"/>
      <c r="I2220" s="6"/>
      <c r="J2220" s="6"/>
      <c r="K2220" s="6"/>
      <c r="L2220" s="6"/>
      <c r="M2220" s="6"/>
      <c r="N2220" s="672"/>
      <c r="O2220" s="6"/>
      <c r="P2220" s="6"/>
      <c r="Q2220" s="6"/>
      <c r="R2220" s="6"/>
      <c r="S2220" s="6"/>
      <c r="T2220" s="6"/>
      <c r="U2220" s="6"/>
    </row>
    <row r="2221">
      <c r="A2221" s="6"/>
      <c r="B2221" s="6"/>
      <c r="C2221" s="6"/>
      <c r="D2221" s="6"/>
      <c r="E2221" s="6"/>
      <c r="G2221" s="6"/>
      <c r="H2221" s="6"/>
      <c r="I2221" s="6"/>
      <c r="J2221" s="6"/>
      <c r="K2221" s="6"/>
      <c r="L2221" s="6"/>
      <c r="M2221" s="6"/>
      <c r="N2221" s="672"/>
      <c r="O2221" s="6"/>
      <c r="P2221" s="6"/>
      <c r="Q2221" s="6"/>
      <c r="R2221" s="6"/>
      <c r="S2221" s="6"/>
      <c r="T2221" s="6"/>
      <c r="U2221" s="6"/>
    </row>
    <row r="2222">
      <c r="A2222" s="6"/>
      <c r="B2222" s="6"/>
      <c r="C2222" s="6"/>
      <c r="D2222" s="6"/>
      <c r="E2222" s="6"/>
      <c r="G2222" s="6"/>
      <c r="H2222" s="6"/>
      <c r="I2222" s="6"/>
      <c r="J2222" s="6"/>
      <c r="K2222" s="6"/>
      <c r="L2222" s="6"/>
      <c r="M2222" s="6"/>
      <c r="N2222" s="672"/>
      <c r="O2222" s="6"/>
      <c r="P2222" s="6"/>
      <c r="Q2222" s="6"/>
      <c r="R2222" s="6"/>
      <c r="S2222" s="6"/>
      <c r="T2222" s="6"/>
      <c r="U2222" s="6"/>
    </row>
    <row r="2223">
      <c r="A2223" s="6"/>
      <c r="B2223" s="6"/>
      <c r="C2223" s="6"/>
      <c r="D2223" s="6"/>
      <c r="E2223" s="6"/>
      <c r="G2223" s="6"/>
      <c r="H2223" s="6"/>
      <c r="I2223" s="6"/>
      <c r="J2223" s="6"/>
      <c r="K2223" s="6"/>
      <c r="L2223" s="6"/>
      <c r="M2223" s="6"/>
      <c r="N2223" s="672"/>
      <c r="O2223" s="6"/>
      <c r="P2223" s="6"/>
      <c r="Q2223" s="6"/>
      <c r="R2223" s="6"/>
      <c r="S2223" s="6"/>
      <c r="T2223" s="6"/>
      <c r="U2223" s="6"/>
    </row>
    <row r="2224">
      <c r="A2224" s="6"/>
      <c r="B2224" s="6"/>
      <c r="C2224" s="6"/>
      <c r="D2224" s="6"/>
      <c r="E2224" s="6"/>
      <c r="G2224" s="6"/>
      <c r="H2224" s="6"/>
      <c r="I2224" s="6"/>
      <c r="J2224" s="6"/>
      <c r="K2224" s="6"/>
      <c r="L2224" s="6"/>
      <c r="M2224" s="6"/>
      <c r="N2224" s="672"/>
      <c r="O2224" s="6"/>
      <c r="P2224" s="6"/>
      <c r="Q2224" s="6"/>
      <c r="R2224" s="6"/>
      <c r="S2224" s="6"/>
      <c r="T2224" s="6"/>
      <c r="U2224" s="6"/>
    </row>
    <row r="2225">
      <c r="A2225" s="6"/>
      <c r="B2225" s="6"/>
      <c r="C2225" s="6"/>
      <c r="D2225" s="6"/>
      <c r="E2225" s="6"/>
      <c r="G2225" s="6"/>
      <c r="H2225" s="6"/>
      <c r="I2225" s="6"/>
      <c r="J2225" s="6"/>
      <c r="K2225" s="6"/>
      <c r="L2225" s="6"/>
      <c r="M2225" s="6"/>
      <c r="N2225" s="672"/>
      <c r="O2225" s="6"/>
      <c r="P2225" s="6"/>
      <c r="Q2225" s="6"/>
      <c r="R2225" s="6"/>
      <c r="S2225" s="6"/>
      <c r="T2225" s="6"/>
      <c r="U2225" s="6"/>
    </row>
    <row r="2226">
      <c r="A2226" s="6"/>
      <c r="B2226" s="6"/>
      <c r="C2226" s="6"/>
      <c r="D2226" s="6"/>
      <c r="E2226" s="6"/>
      <c r="G2226" s="6"/>
      <c r="H2226" s="6"/>
      <c r="I2226" s="6"/>
      <c r="J2226" s="6"/>
      <c r="K2226" s="6"/>
      <c r="L2226" s="6"/>
      <c r="M2226" s="6"/>
      <c r="N2226" s="672"/>
      <c r="O2226" s="6"/>
      <c r="P2226" s="6"/>
      <c r="Q2226" s="6"/>
      <c r="R2226" s="6"/>
      <c r="S2226" s="6"/>
      <c r="T2226" s="6"/>
      <c r="U2226" s="6"/>
    </row>
    <row r="2227">
      <c r="A2227" s="6"/>
      <c r="B2227" s="6"/>
      <c r="C2227" s="6"/>
      <c r="D2227" s="6"/>
      <c r="E2227" s="6"/>
      <c r="G2227" s="6"/>
      <c r="H2227" s="6"/>
      <c r="I2227" s="6"/>
      <c r="J2227" s="6"/>
      <c r="K2227" s="6"/>
      <c r="L2227" s="6"/>
      <c r="M2227" s="6"/>
      <c r="N2227" s="672"/>
      <c r="O2227" s="6"/>
      <c r="P2227" s="6"/>
      <c r="Q2227" s="6"/>
      <c r="R2227" s="6"/>
      <c r="S2227" s="6"/>
      <c r="T2227" s="6"/>
      <c r="U2227" s="6"/>
    </row>
    <row r="2228">
      <c r="A2228" s="6"/>
      <c r="B2228" s="6"/>
      <c r="C2228" s="6"/>
      <c r="D2228" s="6"/>
      <c r="E2228" s="6"/>
      <c r="G2228" s="6"/>
      <c r="H2228" s="6"/>
      <c r="I2228" s="6"/>
      <c r="J2228" s="6"/>
      <c r="K2228" s="6"/>
      <c r="L2228" s="6"/>
      <c r="M2228" s="6"/>
      <c r="N2228" s="672"/>
      <c r="O2228" s="6"/>
      <c r="P2228" s="6"/>
      <c r="Q2228" s="6"/>
      <c r="R2228" s="6"/>
      <c r="S2228" s="6"/>
      <c r="T2228" s="6"/>
      <c r="U2228" s="6"/>
    </row>
    <row r="2229">
      <c r="A2229" s="6"/>
      <c r="B2229" s="6"/>
      <c r="C2229" s="6"/>
      <c r="D2229" s="6"/>
      <c r="E2229" s="6"/>
      <c r="G2229" s="6"/>
      <c r="H2229" s="6"/>
      <c r="I2229" s="6"/>
      <c r="J2229" s="6"/>
      <c r="K2229" s="6"/>
      <c r="L2229" s="6"/>
      <c r="M2229" s="6"/>
      <c r="N2229" s="672"/>
      <c r="O2229" s="6"/>
      <c r="P2229" s="6"/>
      <c r="Q2229" s="6"/>
      <c r="R2229" s="6"/>
      <c r="S2229" s="6"/>
      <c r="T2229" s="6"/>
      <c r="U2229" s="6"/>
    </row>
    <row r="2230">
      <c r="A2230" s="6"/>
      <c r="B2230" s="6"/>
      <c r="C2230" s="6"/>
      <c r="D2230" s="6"/>
      <c r="E2230" s="6"/>
      <c r="G2230" s="6"/>
      <c r="H2230" s="6"/>
      <c r="I2230" s="6"/>
      <c r="J2230" s="6"/>
      <c r="K2230" s="6"/>
      <c r="L2230" s="6"/>
      <c r="M2230" s="6"/>
      <c r="N2230" s="672"/>
      <c r="O2230" s="6"/>
      <c r="P2230" s="6"/>
      <c r="Q2230" s="6"/>
      <c r="R2230" s="6"/>
      <c r="S2230" s="6"/>
      <c r="T2230" s="6"/>
      <c r="U2230" s="6"/>
    </row>
    <row r="2231">
      <c r="A2231" s="6"/>
      <c r="B2231" s="6"/>
      <c r="C2231" s="6"/>
      <c r="D2231" s="6"/>
      <c r="E2231" s="6"/>
      <c r="G2231" s="6"/>
      <c r="H2231" s="6"/>
      <c r="I2231" s="6"/>
      <c r="J2231" s="6"/>
      <c r="K2231" s="6"/>
      <c r="L2231" s="6"/>
      <c r="M2231" s="6"/>
      <c r="N2231" s="672"/>
      <c r="O2231" s="6"/>
      <c r="P2231" s="6"/>
      <c r="Q2231" s="6"/>
      <c r="R2231" s="6"/>
      <c r="S2231" s="6"/>
      <c r="T2231" s="6"/>
      <c r="U2231" s="6"/>
    </row>
    <row r="2232">
      <c r="A2232" s="6"/>
      <c r="B2232" s="6"/>
      <c r="C2232" s="6"/>
      <c r="D2232" s="6"/>
      <c r="E2232" s="6"/>
      <c r="G2232" s="6"/>
      <c r="H2232" s="6"/>
      <c r="I2232" s="6"/>
      <c r="J2232" s="6"/>
      <c r="K2232" s="6"/>
      <c r="L2232" s="6"/>
      <c r="M2232" s="6"/>
      <c r="N2232" s="672"/>
      <c r="O2232" s="6"/>
      <c r="P2232" s="6"/>
      <c r="Q2232" s="6"/>
      <c r="R2232" s="6"/>
      <c r="S2232" s="6"/>
      <c r="T2232" s="6"/>
      <c r="U2232" s="6"/>
    </row>
    <row r="2233">
      <c r="A2233" s="6"/>
      <c r="B2233" s="6"/>
      <c r="C2233" s="6"/>
      <c r="D2233" s="6"/>
      <c r="E2233" s="6"/>
      <c r="G2233" s="6"/>
      <c r="H2233" s="6"/>
      <c r="I2233" s="6"/>
      <c r="J2233" s="6"/>
      <c r="K2233" s="6"/>
      <c r="L2233" s="6"/>
      <c r="M2233" s="6"/>
      <c r="N2233" s="672"/>
      <c r="O2233" s="6"/>
      <c r="P2233" s="6"/>
      <c r="Q2233" s="6"/>
      <c r="R2233" s="6"/>
      <c r="S2233" s="6"/>
      <c r="T2233" s="6"/>
      <c r="U2233" s="6"/>
    </row>
    <row r="2234">
      <c r="A2234" s="6"/>
      <c r="B2234" s="6"/>
      <c r="C2234" s="6"/>
      <c r="D2234" s="6"/>
      <c r="E2234" s="6"/>
      <c r="G2234" s="6"/>
      <c r="H2234" s="6"/>
      <c r="I2234" s="6"/>
      <c r="J2234" s="6"/>
      <c r="K2234" s="6"/>
      <c r="L2234" s="6"/>
      <c r="M2234" s="6"/>
      <c r="N2234" s="672"/>
      <c r="O2234" s="6"/>
      <c r="P2234" s="6"/>
      <c r="Q2234" s="6"/>
      <c r="R2234" s="6"/>
      <c r="S2234" s="6"/>
      <c r="T2234" s="6"/>
      <c r="U2234" s="6"/>
    </row>
    <row r="2235">
      <c r="A2235" s="6"/>
      <c r="B2235" s="6"/>
      <c r="C2235" s="6"/>
      <c r="D2235" s="6"/>
      <c r="E2235" s="6"/>
      <c r="G2235" s="6"/>
      <c r="H2235" s="6"/>
      <c r="I2235" s="6"/>
      <c r="J2235" s="6"/>
      <c r="K2235" s="6"/>
      <c r="L2235" s="6"/>
      <c r="M2235" s="6"/>
      <c r="N2235" s="672"/>
      <c r="O2235" s="6"/>
      <c r="P2235" s="6"/>
      <c r="Q2235" s="6"/>
      <c r="R2235" s="6"/>
      <c r="S2235" s="6"/>
      <c r="T2235" s="6"/>
      <c r="U2235" s="6"/>
    </row>
    <row r="2236">
      <c r="A2236" s="6"/>
      <c r="B2236" s="6"/>
      <c r="C2236" s="6"/>
      <c r="D2236" s="6"/>
      <c r="E2236" s="6"/>
      <c r="G2236" s="6"/>
      <c r="H2236" s="6"/>
      <c r="I2236" s="6"/>
      <c r="J2236" s="6"/>
      <c r="K2236" s="6"/>
      <c r="L2236" s="6"/>
      <c r="M2236" s="6"/>
      <c r="N2236" s="672"/>
      <c r="O2236" s="6"/>
      <c r="P2236" s="6"/>
      <c r="Q2236" s="6"/>
      <c r="R2236" s="6"/>
      <c r="S2236" s="6"/>
      <c r="T2236" s="6"/>
      <c r="U2236" s="6"/>
    </row>
    <row r="2237">
      <c r="A2237" s="6"/>
      <c r="B2237" s="6"/>
      <c r="C2237" s="6"/>
      <c r="D2237" s="6"/>
      <c r="E2237" s="6"/>
      <c r="G2237" s="6"/>
      <c r="H2237" s="6"/>
      <c r="I2237" s="6"/>
      <c r="J2237" s="6"/>
      <c r="K2237" s="6"/>
      <c r="L2237" s="6"/>
      <c r="M2237" s="6"/>
      <c r="N2237" s="672"/>
      <c r="O2237" s="6"/>
      <c r="P2237" s="6"/>
      <c r="Q2237" s="6"/>
      <c r="R2237" s="6"/>
      <c r="S2237" s="6"/>
      <c r="T2237" s="6"/>
      <c r="U2237" s="6"/>
    </row>
    <row r="2238">
      <c r="A2238" s="6"/>
      <c r="B2238" s="6"/>
      <c r="C2238" s="6"/>
      <c r="D2238" s="6"/>
      <c r="E2238" s="6"/>
      <c r="G2238" s="6"/>
      <c r="H2238" s="6"/>
      <c r="I2238" s="6"/>
      <c r="J2238" s="6"/>
      <c r="K2238" s="6"/>
      <c r="L2238" s="6"/>
      <c r="M2238" s="6"/>
      <c r="N2238" s="672"/>
      <c r="O2238" s="6"/>
      <c r="P2238" s="6"/>
      <c r="Q2238" s="6"/>
      <c r="R2238" s="6"/>
      <c r="S2238" s="6"/>
      <c r="T2238" s="6"/>
      <c r="U2238" s="6"/>
    </row>
    <row r="2239">
      <c r="A2239" s="6"/>
      <c r="B2239" s="6"/>
      <c r="C2239" s="6"/>
      <c r="D2239" s="6"/>
      <c r="E2239" s="6"/>
      <c r="G2239" s="6"/>
      <c r="H2239" s="6"/>
      <c r="I2239" s="6"/>
      <c r="J2239" s="6"/>
      <c r="K2239" s="6"/>
      <c r="L2239" s="6"/>
      <c r="M2239" s="6"/>
      <c r="N2239" s="672"/>
      <c r="O2239" s="6"/>
      <c r="P2239" s="6"/>
      <c r="Q2239" s="6"/>
      <c r="R2239" s="6"/>
      <c r="S2239" s="6"/>
      <c r="T2239" s="6"/>
      <c r="U2239" s="6"/>
    </row>
    <row r="2240">
      <c r="A2240" s="6"/>
      <c r="B2240" s="6"/>
      <c r="C2240" s="6"/>
      <c r="D2240" s="6"/>
      <c r="E2240" s="6"/>
      <c r="G2240" s="6"/>
      <c r="H2240" s="6"/>
      <c r="I2240" s="6"/>
      <c r="J2240" s="6"/>
      <c r="K2240" s="6"/>
      <c r="L2240" s="6"/>
      <c r="M2240" s="6"/>
      <c r="N2240" s="672"/>
      <c r="O2240" s="6"/>
      <c r="P2240" s="6"/>
      <c r="Q2240" s="6"/>
      <c r="R2240" s="6"/>
      <c r="S2240" s="6"/>
      <c r="T2240" s="6"/>
      <c r="U2240" s="6"/>
    </row>
    <row r="2241">
      <c r="A2241" s="6"/>
      <c r="B2241" s="6"/>
      <c r="C2241" s="6"/>
      <c r="D2241" s="6"/>
      <c r="E2241" s="6"/>
      <c r="G2241" s="6"/>
      <c r="H2241" s="6"/>
      <c r="I2241" s="6"/>
      <c r="J2241" s="6"/>
      <c r="K2241" s="6"/>
      <c r="L2241" s="6"/>
      <c r="M2241" s="6"/>
      <c r="N2241" s="672"/>
      <c r="O2241" s="6"/>
      <c r="P2241" s="6"/>
      <c r="Q2241" s="6"/>
      <c r="R2241" s="6"/>
      <c r="S2241" s="6"/>
      <c r="T2241" s="6"/>
      <c r="U2241" s="6"/>
    </row>
    <row r="2242">
      <c r="A2242" s="6"/>
      <c r="B2242" s="6"/>
      <c r="C2242" s="6"/>
      <c r="D2242" s="6"/>
      <c r="E2242" s="6"/>
      <c r="G2242" s="6"/>
      <c r="H2242" s="6"/>
      <c r="I2242" s="6"/>
      <c r="J2242" s="6"/>
      <c r="K2242" s="6"/>
      <c r="L2242" s="6"/>
      <c r="M2242" s="6"/>
      <c r="N2242" s="672"/>
      <c r="O2242" s="6"/>
      <c r="P2242" s="6"/>
      <c r="Q2242" s="6"/>
      <c r="R2242" s="6"/>
      <c r="S2242" s="6"/>
      <c r="T2242" s="6"/>
      <c r="U2242" s="6"/>
    </row>
    <row r="2243">
      <c r="A2243" s="6"/>
      <c r="B2243" s="6"/>
      <c r="C2243" s="6"/>
      <c r="D2243" s="6"/>
      <c r="E2243" s="6"/>
      <c r="G2243" s="6"/>
      <c r="H2243" s="6"/>
      <c r="I2243" s="6"/>
      <c r="J2243" s="6"/>
      <c r="K2243" s="6"/>
      <c r="L2243" s="6"/>
      <c r="M2243" s="6"/>
      <c r="N2243" s="672"/>
      <c r="O2243" s="6"/>
      <c r="P2243" s="6"/>
      <c r="Q2243" s="6"/>
      <c r="R2243" s="6"/>
      <c r="S2243" s="6"/>
      <c r="T2243" s="6"/>
      <c r="U2243" s="6"/>
    </row>
    <row r="2244">
      <c r="A2244" s="6"/>
      <c r="B2244" s="6"/>
      <c r="C2244" s="6"/>
      <c r="D2244" s="6"/>
      <c r="E2244" s="6"/>
      <c r="G2244" s="6"/>
      <c r="H2244" s="6"/>
      <c r="I2244" s="6"/>
      <c r="J2244" s="6"/>
      <c r="K2244" s="6"/>
      <c r="L2244" s="6"/>
      <c r="M2244" s="6"/>
      <c r="N2244" s="672"/>
      <c r="O2244" s="6"/>
      <c r="P2244" s="6"/>
      <c r="Q2244" s="6"/>
      <c r="R2244" s="6"/>
      <c r="S2244" s="6"/>
      <c r="T2244" s="6"/>
      <c r="U2244" s="6"/>
    </row>
    <row r="2245">
      <c r="A2245" s="6"/>
      <c r="B2245" s="6"/>
      <c r="C2245" s="6"/>
      <c r="D2245" s="6"/>
      <c r="E2245" s="6"/>
      <c r="G2245" s="6"/>
      <c r="H2245" s="6"/>
      <c r="I2245" s="6"/>
      <c r="J2245" s="6"/>
      <c r="K2245" s="6"/>
      <c r="L2245" s="6"/>
      <c r="M2245" s="6"/>
      <c r="N2245" s="672"/>
      <c r="O2245" s="6"/>
      <c r="P2245" s="6"/>
      <c r="Q2245" s="6"/>
      <c r="R2245" s="6"/>
      <c r="S2245" s="6"/>
      <c r="T2245" s="6"/>
      <c r="U2245" s="6"/>
    </row>
    <row r="2246">
      <c r="A2246" s="6"/>
      <c r="B2246" s="6"/>
      <c r="C2246" s="6"/>
      <c r="D2246" s="6"/>
      <c r="E2246" s="6"/>
      <c r="G2246" s="6"/>
      <c r="H2246" s="6"/>
      <c r="I2246" s="6"/>
      <c r="J2246" s="6"/>
      <c r="K2246" s="6"/>
      <c r="L2246" s="6"/>
      <c r="M2246" s="6"/>
      <c r="N2246" s="672"/>
      <c r="O2246" s="6"/>
      <c r="P2246" s="6"/>
      <c r="Q2246" s="6"/>
      <c r="R2246" s="6"/>
      <c r="S2246" s="6"/>
      <c r="T2246" s="6"/>
      <c r="U2246" s="6"/>
    </row>
    <row r="2247">
      <c r="A2247" s="6"/>
      <c r="B2247" s="6"/>
      <c r="C2247" s="6"/>
      <c r="D2247" s="6"/>
      <c r="E2247" s="6"/>
      <c r="G2247" s="6"/>
      <c r="H2247" s="6"/>
      <c r="I2247" s="6"/>
      <c r="J2247" s="6"/>
      <c r="K2247" s="6"/>
      <c r="L2247" s="6"/>
      <c r="M2247" s="6"/>
      <c r="N2247" s="672"/>
      <c r="O2247" s="6"/>
      <c r="P2247" s="6"/>
      <c r="Q2247" s="6"/>
      <c r="R2247" s="6"/>
      <c r="S2247" s="6"/>
      <c r="T2247" s="6"/>
      <c r="U2247" s="6"/>
    </row>
    <row r="2248">
      <c r="A2248" s="6"/>
      <c r="B2248" s="6"/>
      <c r="C2248" s="6"/>
      <c r="D2248" s="6"/>
      <c r="E2248" s="6"/>
      <c r="G2248" s="6"/>
      <c r="H2248" s="6"/>
      <c r="I2248" s="6"/>
      <c r="J2248" s="6"/>
      <c r="K2248" s="6"/>
      <c r="L2248" s="6"/>
      <c r="M2248" s="6"/>
      <c r="N2248" s="672"/>
      <c r="O2248" s="6"/>
      <c r="P2248" s="6"/>
      <c r="Q2248" s="6"/>
      <c r="R2248" s="6"/>
      <c r="S2248" s="6"/>
      <c r="T2248" s="6"/>
      <c r="U2248" s="6"/>
    </row>
    <row r="2249">
      <c r="A2249" s="6"/>
      <c r="B2249" s="6"/>
      <c r="C2249" s="6"/>
      <c r="D2249" s="6"/>
      <c r="E2249" s="6"/>
      <c r="G2249" s="6"/>
      <c r="H2249" s="6"/>
      <c r="I2249" s="6"/>
      <c r="J2249" s="6"/>
      <c r="K2249" s="6"/>
      <c r="L2249" s="6"/>
      <c r="M2249" s="6"/>
      <c r="N2249" s="672"/>
      <c r="O2249" s="6"/>
      <c r="P2249" s="6"/>
      <c r="Q2249" s="6"/>
      <c r="R2249" s="6"/>
      <c r="S2249" s="6"/>
      <c r="T2249" s="6"/>
      <c r="U2249" s="6"/>
    </row>
    <row r="2250">
      <c r="A2250" s="6"/>
      <c r="B2250" s="6"/>
      <c r="C2250" s="6"/>
      <c r="D2250" s="6"/>
      <c r="E2250" s="6"/>
      <c r="G2250" s="6"/>
      <c r="H2250" s="6"/>
      <c r="I2250" s="6"/>
      <c r="J2250" s="6"/>
      <c r="K2250" s="6"/>
      <c r="L2250" s="6"/>
      <c r="M2250" s="6"/>
      <c r="N2250" s="672"/>
      <c r="O2250" s="6"/>
      <c r="P2250" s="6"/>
      <c r="Q2250" s="6"/>
      <c r="R2250" s="6"/>
      <c r="S2250" s="6"/>
      <c r="T2250" s="6"/>
      <c r="U2250" s="6"/>
    </row>
    <row r="2251">
      <c r="A2251" s="6"/>
      <c r="B2251" s="6"/>
      <c r="C2251" s="6"/>
      <c r="D2251" s="6"/>
      <c r="E2251" s="6"/>
      <c r="G2251" s="6"/>
      <c r="H2251" s="6"/>
      <c r="I2251" s="6"/>
      <c r="J2251" s="6"/>
      <c r="K2251" s="6"/>
      <c r="L2251" s="6"/>
      <c r="M2251" s="6"/>
      <c r="N2251" s="672"/>
      <c r="O2251" s="6"/>
      <c r="P2251" s="6"/>
      <c r="Q2251" s="6"/>
      <c r="R2251" s="6"/>
      <c r="S2251" s="6"/>
      <c r="T2251" s="6"/>
      <c r="U2251" s="6"/>
    </row>
    <row r="2252">
      <c r="A2252" s="6"/>
      <c r="B2252" s="6"/>
      <c r="C2252" s="6"/>
      <c r="D2252" s="6"/>
      <c r="E2252" s="6"/>
      <c r="G2252" s="6"/>
      <c r="H2252" s="6"/>
      <c r="I2252" s="6"/>
      <c r="J2252" s="6"/>
      <c r="K2252" s="6"/>
      <c r="L2252" s="6"/>
      <c r="M2252" s="6"/>
      <c r="N2252" s="672"/>
      <c r="O2252" s="6"/>
      <c r="P2252" s="6"/>
      <c r="Q2252" s="6"/>
      <c r="R2252" s="6"/>
      <c r="S2252" s="6"/>
      <c r="T2252" s="6"/>
      <c r="U2252" s="6"/>
    </row>
    <row r="2253">
      <c r="A2253" s="6"/>
      <c r="B2253" s="6"/>
      <c r="C2253" s="6"/>
      <c r="D2253" s="6"/>
      <c r="E2253" s="6"/>
      <c r="G2253" s="6"/>
      <c r="H2253" s="6"/>
      <c r="I2253" s="6"/>
      <c r="J2253" s="6"/>
      <c r="K2253" s="6"/>
      <c r="L2253" s="6"/>
      <c r="M2253" s="6"/>
      <c r="N2253" s="672"/>
      <c r="O2253" s="6"/>
      <c r="P2253" s="6"/>
      <c r="Q2253" s="6"/>
      <c r="R2253" s="6"/>
      <c r="S2253" s="6"/>
      <c r="T2253" s="6"/>
      <c r="U2253" s="6"/>
    </row>
    <row r="2254">
      <c r="A2254" s="6"/>
      <c r="B2254" s="6"/>
      <c r="C2254" s="6"/>
      <c r="D2254" s="6"/>
      <c r="E2254" s="6"/>
      <c r="G2254" s="6"/>
      <c r="H2254" s="6"/>
      <c r="I2254" s="6"/>
      <c r="J2254" s="6"/>
      <c r="K2254" s="6"/>
      <c r="L2254" s="6"/>
      <c r="M2254" s="6"/>
      <c r="N2254" s="672"/>
      <c r="O2254" s="6"/>
      <c r="P2254" s="6"/>
      <c r="Q2254" s="6"/>
      <c r="R2254" s="6"/>
      <c r="S2254" s="6"/>
      <c r="T2254" s="6"/>
      <c r="U2254" s="6"/>
    </row>
    <row r="2255">
      <c r="A2255" s="6"/>
      <c r="B2255" s="6"/>
      <c r="C2255" s="6"/>
      <c r="D2255" s="6"/>
      <c r="E2255" s="6"/>
      <c r="G2255" s="6"/>
      <c r="H2255" s="6"/>
      <c r="I2255" s="6"/>
      <c r="J2255" s="6"/>
      <c r="K2255" s="6"/>
      <c r="L2255" s="6"/>
      <c r="M2255" s="6"/>
      <c r="N2255" s="672"/>
      <c r="O2255" s="6"/>
      <c r="P2255" s="6"/>
      <c r="Q2255" s="6"/>
      <c r="R2255" s="6"/>
      <c r="S2255" s="6"/>
      <c r="T2255" s="6"/>
      <c r="U2255" s="6"/>
    </row>
    <row r="2256">
      <c r="A2256" s="6"/>
      <c r="B2256" s="6"/>
      <c r="C2256" s="6"/>
      <c r="D2256" s="6"/>
      <c r="E2256" s="6"/>
      <c r="G2256" s="6"/>
      <c r="H2256" s="6"/>
      <c r="I2256" s="6"/>
      <c r="J2256" s="6"/>
      <c r="K2256" s="6"/>
      <c r="L2256" s="6"/>
      <c r="M2256" s="6"/>
      <c r="N2256" s="672"/>
      <c r="O2256" s="6"/>
      <c r="P2256" s="6"/>
      <c r="Q2256" s="6"/>
      <c r="R2256" s="6"/>
      <c r="S2256" s="6"/>
      <c r="T2256" s="6"/>
      <c r="U2256" s="6"/>
    </row>
    <row r="2257">
      <c r="A2257" s="6"/>
      <c r="B2257" s="6"/>
      <c r="C2257" s="6"/>
      <c r="D2257" s="6"/>
      <c r="E2257" s="6"/>
      <c r="G2257" s="6"/>
      <c r="H2257" s="6"/>
      <c r="I2257" s="6"/>
      <c r="J2257" s="6"/>
      <c r="K2257" s="6"/>
      <c r="L2257" s="6"/>
      <c r="M2257" s="6"/>
      <c r="N2257" s="672"/>
      <c r="O2257" s="6"/>
      <c r="P2257" s="6"/>
      <c r="Q2257" s="6"/>
      <c r="R2257" s="6"/>
      <c r="S2257" s="6"/>
      <c r="T2257" s="6"/>
      <c r="U2257" s="6"/>
    </row>
    <row r="2258">
      <c r="A2258" s="6"/>
      <c r="B2258" s="6"/>
      <c r="C2258" s="6"/>
      <c r="D2258" s="6"/>
      <c r="E2258" s="6"/>
      <c r="G2258" s="6"/>
      <c r="H2258" s="6"/>
      <c r="I2258" s="6"/>
      <c r="J2258" s="6"/>
      <c r="K2258" s="6"/>
      <c r="L2258" s="6"/>
      <c r="M2258" s="6"/>
      <c r="N2258" s="672"/>
      <c r="O2258" s="6"/>
      <c r="P2258" s="6"/>
      <c r="Q2258" s="6"/>
      <c r="R2258" s="6"/>
      <c r="S2258" s="6"/>
      <c r="T2258" s="6"/>
      <c r="U2258" s="6"/>
    </row>
    <row r="2259">
      <c r="A2259" s="6"/>
      <c r="B2259" s="6"/>
      <c r="C2259" s="6"/>
      <c r="D2259" s="6"/>
      <c r="E2259" s="6"/>
      <c r="G2259" s="6"/>
      <c r="H2259" s="6"/>
      <c r="I2259" s="6"/>
      <c r="J2259" s="6"/>
      <c r="K2259" s="6"/>
      <c r="L2259" s="6"/>
      <c r="M2259" s="6"/>
      <c r="N2259" s="672"/>
      <c r="O2259" s="6"/>
      <c r="P2259" s="6"/>
      <c r="Q2259" s="6"/>
      <c r="R2259" s="6"/>
      <c r="S2259" s="6"/>
      <c r="T2259" s="6"/>
      <c r="U2259" s="6"/>
    </row>
    <row r="2260">
      <c r="A2260" s="6"/>
      <c r="B2260" s="6"/>
      <c r="C2260" s="6"/>
      <c r="D2260" s="6"/>
      <c r="E2260" s="6"/>
      <c r="G2260" s="6"/>
      <c r="H2260" s="6"/>
      <c r="I2260" s="6"/>
      <c r="J2260" s="6"/>
      <c r="K2260" s="6"/>
      <c r="L2260" s="6"/>
      <c r="M2260" s="6"/>
      <c r="N2260" s="672"/>
      <c r="O2260" s="6"/>
      <c r="P2260" s="6"/>
      <c r="Q2260" s="6"/>
      <c r="R2260" s="6"/>
      <c r="S2260" s="6"/>
      <c r="T2260" s="6"/>
      <c r="U2260" s="6"/>
    </row>
    <row r="2261">
      <c r="A2261" s="6"/>
      <c r="B2261" s="6"/>
      <c r="C2261" s="6"/>
      <c r="D2261" s="6"/>
      <c r="E2261" s="6"/>
      <c r="G2261" s="6"/>
      <c r="H2261" s="6"/>
      <c r="I2261" s="6"/>
      <c r="J2261" s="6"/>
      <c r="K2261" s="6"/>
      <c r="L2261" s="6"/>
      <c r="M2261" s="6"/>
      <c r="N2261" s="672"/>
      <c r="O2261" s="6"/>
      <c r="P2261" s="6"/>
      <c r="Q2261" s="6"/>
      <c r="R2261" s="6"/>
      <c r="S2261" s="6"/>
      <c r="T2261" s="6"/>
      <c r="U2261" s="6"/>
    </row>
    <row r="2262">
      <c r="A2262" s="6"/>
      <c r="B2262" s="6"/>
      <c r="C2262" s="6"/>
      <c r="D2262" s="6"/>
      <c r="E2262" s="6"/>
      <c r="G2262" s="6"/>
      <c r="H2262" s="6"/>
      <c r="I2262" s="6"/>
      <c r="J2262" s="6"/>
      <c r="K2262" s="6"/>
      <c r="L2262" s="6"/>
      <c r="M2262" s="6"/>
      <c r="N2262" s="672"/>
      <c r="O2262" s="6"/>
      <c r="P2262" s="6"/>
      <c r="Q2262" s="6"/>
      <c r="R2262" s="6"/>
      <c r="S2262" s="6"/>
      <c r="T2262" s="6"/>
      <c r="U2262" s="6"/>
    </row>
    <row r="2263">
      <c r="A2263" s="6"/>
      <c r="B2263" s="6"/>
      <c r="C2263" s="6"/>
      <c r="D2263" s="6"/>
      <c r="E2263" s="6"/>
      <c r="G2263" s="6"/>
      <c r="H2263" s="6"/>
      <c r="I2263" s="6"/>
      <c r="J2263" s="6"/>
      <c r="K2263" s="6"/>
      <c r="L2263" s="6"/>
      <c r="M2263" s="6"/>
      <c r="N2263" s="672"/>
      <c r="O2263" s="6"/>
      <c r="P2263" s="6"/>
      <c r="Q2263" s="6"/>
      <c r="R2263" s="6"/>
      <c r="S2263" s="6"/>
      <c r="T2263" s="6"/>
      <c r="U2263" s="6"/>
    </row>
    <row r="2264">
      <c r="A2264" s="6"/>
      <c r="B2264" s="6"/>
      <c r="C2264" s="6"/>
      <c r="D2264" s="6"/>
      <c r="E2264" s="6"/>
      <c r="G2264" s="6"/>
      <c r="H2264" s="6"/>
      <c r="I2264" s="6"/>
      <c r="J2264" s="6"/>
      <c r="K2264" s="6"/>
      <c r="L2264" s="6"/>
      <c r="M2264" s="6"/>
      <c r="N2264" s="672"/>
      <c r="O2264" s="6"/>
      <c r="P2264" s="6"/>
      <c r="Q2264" s="6"/>
      <c r="R2264" s="6"/>
      <c r="S2264" s="6"/>
      <c r="T2264" s="6"/>
      <c r="U2264" s="6"/>
    </row>
    <row r="2265">
      <c r="A2265" s="6"/>
      <c r="B2265" s="6"/>
      <c r="C2265" s="6"/>
      <c r="D2265" s="6"/>
      <c r="E2265" s="6"/>
      <c r="G2265" s="6"/>
      <c r="H2265" s="6"/>
      <c r="I2265" s="6"/>
      <c r="J2265" s="6"/>
      <c r="K2265" s="6"/>
      <c r="L2265" s="6"/>
      <c r="M2265" s="6"/>
      <c r="N2265" s="672"/>
      <c r="O2265" s="6"/>
      <c r="P2265" s="6"/>
      <c r="Q2265" s="6"/>
      <c r="R2265" s="6"/>
      <c r="S2265" s="6"/>
      <c r="T2265" s="6"/>
      <c r="U2265" s="6"/>
    </row>
    <row r="2266">
      <c r="A2266" s="6"/>
      <c r="B2266" s="6"/>
      <c r="C2266" s="6"/>
      <c r="D2266" s="6"/>
      <c r="E2266" s="6"/>
      <c r="G2266" s="6"/>
      <c r="H2266" s="6"/>
      <c r="I2266" s="6"/>
      <c r="J2266" s="6"/>
      <c r="K2266" s="6"/>
      <c r="L2266" s="6"/>
      <c r="M2266" s="6"/>
      <c r="N2266" s="672"/>
      <c r="O2266" s="6"/>
      <c r="P2266" s="6"/>
      <c r="Q2266" s="6"/>
      <c r="R2266" s="6"/>
      <c r="S2266" s="6"/>
      <c r="T2266" s="6"/>
      <c r="U2266" s="6"/>
    </row>
    <row r="2267">
      <c r="A2267" s="6"/>
      <c r="B2267" s="6"/>
      <c r="C2267" s="6"/>
      <c r="D2267" s="6"/>
      <c r="E2267" s="6"/>
      <c r="G2267" s="6"/>
      <c r="H2267" s="6"/>
      <c r="I2267" s="6"/>
      <c r="J2267" s="6"/>
      <c r="K2267" s="6"/>
      <c r="L2267" s="6"/>
      <c r="M2267" s="6"/>
      <c r="N2267" s="672"/>
      <c r="O2267" s="6"/>
      <c r="P2267" s="6"/>
      <c r="Q2267" s="6"/>
      <c r="R2267" s="6"/>
      <c r="S2267" s="6"/>
      <c r="T2267" s="6"/>
      <c r="U2267" s="6"/>
    </row>
    <row r="2268">
      <c r="A2268" s="6"/>
      <c r="B2268" s="6"/>
      <c r="C2268" s="6"/>
      <c r="D2268" s="6"/>
      <c r="E2268" s="6"/>
      <c r="G2268" s="6"/>
      <c r="H2268" s="6"/>
      <c r="I2268" s="6"/>
      <c r="J2268" s="6"/>
      <c r="K2268" s="6"/>
      <c r="L2268" s="6"/>
      <c r="M2268" s="6"/>
      <c r="N2268" s="672"/>
      <c r="O2268" s="6"/>
      <c r="P2268" s="6"/>
      <c r="Q2268" s="6"/>
      <c r="R2268" s="6"/>
      <c r="S2268" s="6"/>
      <c r="T2268" s="6"/>
      <c r="U2268" s="6"/>
    </row>
    <row r="2269">
      <c r="A2269" s="6"/>
      <c r="B2269" s="6"/>
      <c r="C2269" s="6"/>
      <c r="D2269" s="6"/>
      <c r="E2269" s="6"/>
      <c r="G2269" s="6"/>
      <c r="H2269" s="6"/>
      <c r="I2269" s="6"/>
      <c r="J2269" s="6"/>
      <c r="K2269" s="6"/>
      <c r="L2269" s="6"/>
      <c r="M2269" s="6"/>
      <c r="N2269" s="672"/>
      <c r="O2269" s="6"/>
      <c r="P2269" s="6"/>
      <c r="Q2269" s="6"/>
      <c r="R2269" s="6"/>
      <c r="S2269" s="6"/>
      <c r="T2269" s="6"/>
      <c r="U2269" s="6"/>
    </row>
    <row r="2270">
      <c r="A2270" s="6"/>
      <c r="B2270" s="6"/>
      <c r="C2270" s="6"/>
      <c r="D2270" s="6"/>
      <c r="E2270" s="6"/>
      <c r="G2270" s="6"/>
      <c r="H2270" s="6"/>
      <c r="I2270" s="6"/>
      <c r="J2270" s="6"/>
      <c r="K2270" s="6"/>
      <c r="L2270" s="6"/>
      <c r="M2270" s="6"/>
      <c r="N2270" s="672"/>
      <c r="O2270" s="6"/>
      <c r="P2270" s="6"/>
      <c r="Q2270" s="6"/>
      <c r="R2270" s="6"/>
      <c r="S2270" s="6"/>
      <c r="T2270" s="6"/>
      <c r="U2270" s="6"/>
    </row>
    <row r="2271">
      <c r="A2271" s="6"/>
      <c r="B2271" s="6"/>
      <c r="C2271" s="6"/>
      <c r="D2271" s="6"/>
      <c r="E2271" s="6"/>
      <c r="G2271" s="6"/>
      <c r="H2271" s="6"/>
      <c r="I2271" s="6"/>
      <c r="J2271" s="6"/>
      <c r="K2271" s="6"/>
      <c r="L2271" s="6"/>
      <c r="M2271" s="6"/>
      <c r="N2271" s="672"/>
      <c r="O2271" s="6"/>
      <c r="P2271" s="6"/>
      <c r="Q2271" s="6"/>
      <c r="R2271" s="6"/>
      <c r="S2271" s="6"/>
      <c r="T2271" s="6"/>
      <c r="U2271" s="6"/>
    </row>
    <row r="2272">
      <c r="A2272" s="6"/>
      <c r="B2272" s="6"/>
      <c r="C2272" s="6"/>
      <c r="D2272" s="6"/>
      <c r="E2272" s="6"/>
      <c r="G2272" s="6"/>
      <c r="H2272" s="6"/>
      <c r="I2272" s="6"/>
      <c r="J2272" s="6"/>
      <c r="K2272" s="6"/>
      <c r="L2272" s="6"/>
      <c r="M2272" s="6"/>
      <c r="N2272" s="672"/>
      <c r="O2272" s="6"/>
      <c r="P2272" s="6"/>
      <c r="Q2272" s="6"/>
      <c r="R2272" s="6"/>
      <c r="S2272" s="6"/>
      <c r="T2272" s="6"/>
      <c r="U2272" s="6"/>
    </row>
    <row r="2273">
      <c r="A2273" s="6"/>
      <c r="B2273" s="6"/>
      <c r="C2273" s="6"/>
      <c r="D2273" s="6"/>
      <c r="E2273" s="6"/>
      <c r="G2273" s="6"/>
      <c r="H2273" s="6"/>
      <c r="I2273" s="6"/>
      <c r="J2273" s="6"/>
      <c r="K2273" s="6"/>
      <c r="L2273" s="6"/>
      <c r="M2273" s="6"/>
      <c r="N2273" s="672"/>
      <c r="O2273" s="6"/>
      <c r="P2273" s="6"/>
      <c r="Q2273" s="6"/>
      <c r="R2273" s="6"/>
      <c r="S2273" s="6"/>
      <c r="T2273" s="6"/>
      <c r="U2273" s="6"/>
    </row>
    <row r="2274">
      <c r="A2274" s="6"/>
      <c r="B2274" s="6"/>
      <c r="C2274" s="6"/>
      <c r="D2274" s="6"/>
      <c r="E2274" s="6"/>
      <c r="G2274" s="6"/>
      <c r="H2274" s="6"/>
      <c r="I2274" s="6"/>
      <c r="J2274" s="6"/>
      <c r="K2274" s="6"/>
      <c r="L2274" s="6"/>
      <c r="M2274" s="6"/>
      <c r="N2274" s="672"/>
      <c r="O2274" s="6"/>
      <c r="P2274" s="6"/>
      <c r="Q2274" s="6"/>
      <c r="R2274" s="6"/>
      <c r="S2274" s="6"/>
      <c r="T2274" s="6"/>
      <c r="U2274" s="6"/>
    </row>
    <row r="2275">
      <c r="A2275" s="6"/>
      <c r="B2275" s="6"/>
      <c r="C2275" s="6"/>
      <c r="D2275" s="6"/>
      <c r="E2275" s="6"/>
      <c r="G2275" s="6"/>
      <c r="H2275" s="6"/>
      <c r="I2275" s="6"/>
      <c r="J2275" s="6"/>
      <c r="K2275" s="6"/>
      <c r="L2275" s="6"/>
      <c r="M2275" s="6"/>
      <c r="N2275" s="672"/>
      <c r="O2275" s="6"/>
      <c r="P2275" s="6"/>
      <c r="Q2275" s="6"/>
      <c r="R2275" s="6"/>
      <c r="S2275" s="6"/>
      <c r="T2275" s="6"/>
      <c r="U2275" s="6"/>
    </row>
    <row r="2276">
      <c r="A2276" s="6"/>
      <c r="B2276" s="6"/>
      <c r="C2276" s="6"/>
      <c r="D2276" s="6"/>
      <c r="E2276" s="6"/>
      <c r="G2276" s="6"/>
      <c r="H2276" s="6"/>
      <c r="I2276" s="6"/>
      <c r="J2276" s="6"/>
      <c r="K2276" s="6"/>
      <c r="L2276" s="6"/>
      <c r="M2276" s="6"/>
      <c r="N2276" s="672"/>
      <c r="O2276" s="6"/>
      <c r="P2276" s="6"/>
      <c r="Q2276" s="6"/>
      <c r="R2276" s="6"/>
      <c r="S2276" s="6"/>
      <c r="T2276" s="6"/>
      <c r="U2276" s="6"/>
    </row>
    <row r="2277">
      <c r="A2277" s="6"/>
      <c r="B2277" s="6"/>
      <c r="C2277" s="6"/>
      <c r="D2277" s="6"/>
      <c r="E2277" s="6"/>
      <c r="G2277" s="6"/>
      <c r="H2277" s="6"/>
      <c r="I2277" s="6"/>
      <c r="J2277" s="6"/>
      <c r="K2277" s="6"/>
      <c r="L2277" s="6"/>
      <c r="M2277" s="6"/>
      <c r="N2277" s="672"/>
      <c r="O2277" s="6"/>
      <c r="P2277" s="6"/>
      <c r="Q2277" s="6"/>
      <c r="R2277" s="6"/>
      <c r="S2277" s="6"/>
      <c r="T2277" s="6"/>
      <c r="U2277" s="6"/>
    </row>
    <row r="2278">
      <c r="A2278" s="6"/>
      <c r="B2278" s="6"/>
      <c r="C2278" s="6"/>
      <c r="D2278" s="6"/>
      <c r="E2278" s="6"/>
      <c r="G2278" s="6"/>
      <c r="H2278" s="6"/>
      <c r="I2278" s="6"/>
      <c r="J2278" s="6"/>
      <c r="K2278" s="6"/>
      <c r="L2278" s="6"/>
      <c r="M2278" s="6"/>
      <c r="N2278" s="672"/>
      <c r="O2278" s="6"/>
      <c r="P2278" s="6"/>
      <c r="Q2278" s="6"/>
      <c r="R2278" s="6"/>
      <c r="S2278" s="6"/>
      <c r="T2278" s="6"/>
      <c r="U2278" s="6"/>
    </row>
    <row r="2279">
      <c r="A2279" s="6"/>
      <c r="B2279" s="6"/>
      <c r="C2279" s="6"/>
      <c r="D2279" s="6"/>
      <c r="E2279" s="6"/>
      <c r="G2279" s="6"/>
      <c r="H2279" s="6"/>
      <c r="I2279" s="6"/>
      <c r="J2279" s="6"/>
      <c r="K2279" s="6"/>
      <c r="L2279" s="6"/>
      <c r="M2279" s="6"/>
      <c r="N2279" s="672"/>
      <c r="O2279" s="6"/>
      <c r="P2279" s="6"/>
      <c r="Q2279" s="6"/>
      <c r="R2279" s="6"/>
      <c r="S2279" s="6"/>
      <c r="T2279" s="6"/>
      <c r="U2279" s="6"/>
    </row>
    <row r="2280">
      <c r="A2280" s="6"/>
      <c r="B2280" s="6"/>
      <c r="C2280" s="6"/>
      <c r="D2280" s="6"/>
      <c r="E2280" s="6"/>
      <c r="G2280" s="6"/>
      <c r="H2280" s="6"/>
      <c r="I2280" s="6"/>
      <c r="J2280" s="6"/>
      <c r="K2280" s="6"/>
      <c r="L2280" s="6"/>
      <c r="M2280" s="6"/>
      <c r="N2280" s="672"/>
      <c r="O2280" s="6"/>
      <c r="P2280" s="6"/>
      <c r="Q2280" s="6"/>
      <c r="R2280" s="6"/>
      <c r="S2280" s="6"/>
      <c r="T2280" s="6"/>
      <c r="U2280" s="6"/>
    </row>
    <row r="2281">
      <c r="A2281" s="6"/>
      <c r="B2281" s="6"/>
      <c r="C2281" s="6"/>
      <c r="D2281" s="6"/>
      <c r="E2281" s="6"/>
      <c r="G2281" s="6"/>
      <c r="H2281" s="6"/>
      <c r="I2281" s="6"/>
      <c r="J2281" s="6"/>
      <c r="K2281" s="6"/>
      <c r="L2281" s="6"/>
      <c r="M2281" s="6"/>
      <c r="N2281" s="672"/>
      <c r="O2281" s="6"/>
      <c r="P2281" s="6"/>
      <c r="Q2281" s="6"/>
      <c r="R2281" s="6"/>
      <c r="S2281" s="6"/>
      <c r="T2281" s="6"/>
      <c r="U2281" s="6"/>
    </row>
    <row r="2282">
      <c r="A2282" s="6"/>
      <c r="B2282" s="6"/>
      <c r="C2282" s="6"/>
      <c r="D2282" s="6"/>
      <c r="E2282" s="6"/>
      <c r="G2282" s="6"/>
      <c r="H2282" s="6"/>
      <c r="I2282" s="6"/>
      <c r="J2282" s="6"/>
      <c r="K2282" s="6"/>
      <c r="L2282" s="6"/>
      <c r="M2282" s="6"/>
      <c r="N2282" s="672"/>
      <c r="O2282" s="6"/>
      <c r="P2282" s="6"/>
      <c r="Q2282" s="6"/>
      <c r="R2282" s="6"/>
      <c r="S2282" s="6"/>
      <c r="T2282" s="6"/>
      <c r="U2282" s="6"/>
    </row>
    <row r="2283">
      <c r="A2283" s="6"/>
      <c r="B2283" s="6"/>
      <c r="C2283" s="6"/>
      <c r="D2283" s="6"/>
      <c r="E2283" s="6"/>
      <c r="G2283" s="6"/>
      <c r="H2283" s="6"/>
      <c r="I2283" s="6"/>
      <c r="J2283" s="6"/>
      <c r="K2283" s="6"/>
      <c r="L2283" s="6"/>
      <c r="M2283" s="6"/>
      <c r="N2283" s="672"/>
      <c r="O2283" s="6"/>
      <c r="P2283" s="6"/>
      <c r="Q2283" s="6"/>
      <c r="R2283" s="6"/>
      <c r="S2283" s="6"/>
      <c r="T2283" s="6"/>
      <c r="U2283" s="6"/>
    </row>
    <row r="2284">
      <c r="A2284" s="6"/>
      <c r="B2284" s="6"/>
      <c r="C2284" s="6"/>
      <c r="D2284" s="6"/>
      <c r="E2284" s="6"/>
      <c r="G2284" s="6"/>
      <c r="H2284" s="6"/>
      <c r="I2284" s="6"/>
      <c r="J2284" s="6"/>
      <c r="K2284" s="6"/>
      <c r="L2284" s="6"/>
      <c r="M2284" s="6"/>
      <c r="N2284" s="672"/>
      <c r="O2284" s="6"/>
      <c r="P2284" s="6"/>
      <c r="Q2284" s="6"/>
      <c r="R2284" s="6"/>
      <c r="S2284" s="6"/>
      <c r="T2284" s="6"/>
      <c r="U2284" s="6"/>
    </row>
    <row r="2285">
      <c r="A2285" s="6"/>
      <c r="B2285" s="6"/>
      <c r="C2285" s="6"/>
      <c r="D2285" s="6"/>
      <c r="E2285" s="6"/>
      <c r="G2285" s="6"/>
      <c r="H2285" s="6"/>
      <c r="I2285" s="6"/>
      <c r="J2285" s="6"/>
      <c r="K2285" s="6"/>
      <c r="L2285" s="6"/>
      <c r="M2285" s="6"/>
      <c r="N2285" s="672"/>
      <c r="O2285" s="6"/>
      <c r="P2285" s="6"/>
      <c r="Q2285" s="6"/>
      <c r="R2285" s="6"/>
      <c r="S2285" s="6"/>
      <c r="T2285" s="6"/>
      <c r="U2285" s="6"/>
    </row>
    <row r="2286">
      <c r="A2286" s="6"/>
      <c r="B2286" s="6"/>
      <c r="C2286" s="6"/>
      <c r="D2286" s="6"/>
      <c r="E2286" s="6"/>
      <c r="G2286" s="6"/>
      <c r="H2286" s="6"/>
      <c r="I2286" s="6"/>
      <c r="J2286" s="6"/>
      <c r="K2286" s="6"/>
      <c r="L2286" s="6"/>
      <c r="M2286" s="6"/>
      <c r="N2286" s="672"/>
      <c r="O2286" s="6"/>
      <c r="P2286" s="6"/>
      <c r="Q2286" s="6"/>
      <c r="R2286" s="6"/>
      <c r="S2286" s="6"/>
      <c r="T2286" s="6"/>
      <c r="U2286" s="6"/>
    </row>
    <row r="2287">
      <c r="A2287" s="6"/>
      <c r="B2287" s="6"/>
      <c r="C2287" s="6"/>
      <c r="D2287" s="6"/>
      <c r="E2287" s="6"/>
      <c r="G2287" s="6"/>
      <c r="H2287" s="6"/>
      <c r="I2287" s="6"/>
      <c r="J2287" s="6"/>
      <c r="K2287" s="6"/>
      <c r="L2287" s="6"/>
      <c r="M2287" s="6"/>
      <c r="N2287" s="672"/>
      <c r="O2287" s="6"/>
      <c r="P2287" s="6"/>
      <c r="Q2287" s="6"/>
      <c r="R2287" s="6"/>
      <c r="S2287" s="6"/>
      <c r="T2287" s="6"/>
      <c r="U2287" s="6"/>
    </row>
    <row r="2288">
      <c r="A2288" s="6"/>
      <c r="B2288" s="6"/>
      <c r="C2288" s="6"/>
      <c r="D2288" s="6"/>
      <c r="E2288" s="6"/>
      <c r="G2288" s="6"/>
      <c r="H2288" s="6"/>
      <c r="I2288" s="6"/>
      <c r="J2288" s="6"/>
      <c r="K2288" s="6"/>
      <c r="L2288" s="6"/>
      <c r="M2288" s="6"/>
      <c r="N2288" s="672"/>
      <c r="O2288" s="6"/>
      <c r="P2288" s="6"/>
      <c r="Q2288" s="6"/>
      <c r="R2288" s="6"/>
      <c r="S2288" s="6"/>
      <c r="T2288" s="6"/>
      <c r="U2288" s="6"/>
    </row>
    <row r="2289">
      <c r="A2289" s="6"/>
      <c r="B2289" s="6"/>
      <c r="C2289" s="6"/>
      <c r="D2289" s="6"/>
      <c r="E2289" s="6"/>
      <c r="G2289" s="6"/>
      <c r="H2289" s="6"/>
      <c r="I2289" s="6"/>
      <c r="J2289" s="6"/>
      <c r="K2289" s="6"/>
      <c r="L2289" s="6"/>
      <c r="M2289" s="6"/>
      <c r="N2289" s="672"/>
      <c r="O2289" s="6"/>
      <c r="P2289" s="6"/>
      <c r="Q2289" s="6"/>
      <c r="R2289" s="6"/>
      <c r="S2289" s="6"/>
      <c r="T2289" s="6"/>
      <c r="U2289" s="6"/>
    </row>
    <row r="2290">
      <c r="A2290" s="6"/>
      <c r="B2290" s="6"/>
      <c r="C2290" s="6"/>
      <c r="D2290" s="6"/>
      <c r="E2290" s="6"/>
      <c r="G2290" s="6"/>
      <c r="H2290" s="6"/>
      <c r="I2290" s="6"/>
      <c r="J2290" s="6"/>
      <c r="K2290" s="6"/>
      <c r="L2290" s="6"/>
      <c r="M2290" s="6"/>
      <c r="N2290" s="672"/>
      <c r="O2290" s="6"/>
      <c r="P2290" s="6"/>
      <c r="Q2290" s="6"/>
      <c r="R2290" s="6"/>
      <c r="S2290" s="6"/>
      <c r="T2290" s="6"/>
      <c r="U2290" s="6"/>
    </row>
    <row r="2291">
      <c r="A2291" s="6"/>
      <c r="B2291" s="6"/>
      <c r="C2291" s="6"/>
      <c r="D2291" s="6"/>
      <c r="E2291" s="6"/>
      <c r="G2291" s="6"/>
      <c r="H2291" s="6"/>
      <c r="I2291" s="6"/>
      <c r="J2291" s="6"/>
      <c r="K2291" s="6"/>
      <c r="L2291" s="6"/>
      <c r="M2291" s="6"/>
      <c r="N2291" s="672"/>
      <c r="O2291" s="6"/>
      <c r="P2291" s="6"/>
      <c r="Q2291" s="6"/>
      <c r="R2291" s="6"/>
      <c r="S2291" s="6"/>
      <c r="T2291" s="6"/>
      <c r="U2291" s="6"/>
    </row>
    <row r="2292">
      <c r="A2292" s="6"/>
      <c r="B2292" s="6"/>
      <c r="C2292" s="6"/>
      <c r="D2292" s="6"/>
      <c r="E2292" s="6"/>
      <c r="G2292" s="6"/>
      <c r="H2292" s="6"/>
      <c r="I2292" s="6"/>
      <c r="J2292" s="6"/>
      <c r="K2292" s="6"/>
      <c r="L2292" s="6"/>
      <c r="M2292" s="6"/>
      <c r="N2292" s="672"/>
      <c r="O2292" s="6"/>
      <c r="P2292" s="6"/>
      <c r="Q2292" s="6"/>
      <c r="R2292" s="6"/>
      <c r="S2292" s="6"/>
      <c r="T2292" s="6"/>
      <c r="U2292" s="6"/>
    </row>
    <row r="2293">
      <c r="A2293" s="6"/>
      <c r="B2293" s="6"/>
      <c r="C2293" s="6"/>
      <c r="D2293" s="6"/>
      <c r="E2293" s="6"/>
      <c r="G2293" s="6"/>
      <c r="H2293" s="6"/>
      <c r="I2293" s="6"/>
      <c r="J2293" s="6"/>
      <c r="K2293" s="6"/>
      <c r="L2293" s="6"/>
      <c r="M2293" s="6"/>
      <c r="N2293" s="672"/>
      <c r="O2293" s="6"/>
      <c r="P2293" s="6"/>
      <c r="Q2293" s="6"/>
      <c r="R2293" s="6"/>
      <c r="S2293" s="6"/>
      <c r="T2293" s="6"/>
      <c r="U2293" s="6"/>
    </row>
    <row r="2294">
      <c r="A2294" s="6"/>
      <c r="B2294" s="6"/>
      <c r="C2294" s="6"/>
      <c r="D2294" s="6"/>
      <c r="E2294" s="6"/>
      <c r="G2294" s="6"/>
      <c r="H2294" s="6"/>
      <c r="I2294" s="6"/>
      <c r="J2294" s="6"/>
      <c r="K2294" s="6"/>
      <c r="L2294" s="6"/>
      <c r="M2294" s="6"/>
      <c r="N2294" s="672"/>
      <c r="O2294" s="6"/>
      <c r="P2294" s="6"/>
      <c r="Q2294" s="6"/>
      <c r="R2294" s="6"/>
      <c r="S2294" s="6"/>
      <c r="T2294" s="6"/>
      <c r="U2294" s="6"/>
    </row>
    <row r="2295">
      <c r="A2295" s="6"/>
      <c r="B2295" s="6"/>
      <c r="C2295" s="6"/>
      <c r="D2295" s="6"/>
      <c r="E2295" s="6"/>
      <c r="G2295" s="6"/>
      <c r="H2295" s="6"/>
      <c r="I2295" s="6"/>
      <c r="J2295" s="6"/>
      <c r="K2295" s="6"/>
      <c r="L2295" s="6"/>
      <c r="M2295" s="6"/>
      <c r="N2295" s="672"/>
      <c r="O2295" s="6"/>
      <c r="P2295" s="6"/>
      <c r="Q2295" s="6"/>
      <c r="R2295" s="6"/>
      <c r="S2295" s="6"/>
      <c r="T2295" s="6"/>
      <c r="U2295" s="6"/>
    </row>
    <row r="2296">
      <c r="A2296" s="6"/>
      <c r="B2296" s="6"/>
      <c r="C2296" s="6"/>
      <c r="D2296" s="6"/>
      <c r="E2296" s="6"/>
      <c r="G2296" s="6"/>
      <c r="H2296" s="6"/>
      <c r="I2296" s="6"/>
      <c r="J2296" s="6"/>
      <c r="K2296" s="6"/>
      <c r="L2296" s="6"/>
      <c r="M2296" s="6"/>
      <c r="N2296" s="672"/>
      <c r="O2296" s="6"/>
      <c r="P2296" s="6"/>
      <c r="Q2296" s="6"/>
      <c r="R2296" s="6"/>
      <c r="S2296" s="6"/>
      <c r="T2296" s="6"/>
      <c r="U2296" s="6"/>
    </row>
    <row r="2297">
      <c r="A2297" s="6"/>
      <c r="B2297" s="6"/>
      <c r="C2297" s="6"/>
      <c r="D2297" s="6"/>
      <c r="E2297" s="6"/>
      <c r="G2297" s="6"/>
      <c r="H2297" s="6"/>
      <c r="I2297" s="6"/>
      <c r="J2297" s="6"/>
      <c r="K2297" s="6"/>
      <c r="L2297" s="6"/>
      <c r="M2297" s="6"/>
      <c r="N2297" s="672"/>
      <c r="O2297" s="6"/>
      <c r="P2297" s="6"/>
      <c r="Q2297" s="6"/>
      <c r="R2297" s="6"/>
      <c r="S2297" s="6"/>
      <c r="T2297" s="6"/>
      <c r="U2297" s="6"/>
    </row>
    <row r="2298">
      <c r="A2298" s="6"/>
      <c r="B2298" s="6"/>
      <c r="C2298" s="6"/>
      <c r="D2298" s="6"/>
      <c r="E2298" s="6"/>
      <c r="G2298" s="6"/>
      <c r="H2298" s="6"/>
      <c r="I2298" s="6"/>
      <c r="J2298" s="6"/>
      <c r="K2298" s="6"/>
      <c r="L2298" s="6"/>
      <c r="M2298" s="6"/>
      <c r="N2298" s="672"/>
      <c r="O2298" s="6"/>
      <c r="P2298" s="6"/>
      <c r="Q2298" s="6"/>
      <c r="R2298" s="6"/>
      <c r="S2298" s="6"/>
      <c r="T2298" s="6"/>
      <c r="U2298" s="6"/>
    </row>
    <row r="2299">
      <c r="A2299" s="6"/>
      <c r="B2299" s="6"/>
      <c r="C2299" s="6"/>
      <c r="D2299" s="6"/>
      <c r="E2299" s="6"/>
      <c r="G2299" s="6"/>
      <c r="H2299" s="6"/>
      <c r="I2299" s="6"/>
      <c r="J2299" s="6"/>
      <c r="K2299" s="6"/>
      <c r="L2299" s="6"/>
      <c r="M2299" s="6"/>
      <c r="N2299" s="672"/>
      <c r="O2299" s="6"/>
      <c r="P2299" s="6"/>
      <c r="Q2299" s="6"/>
      <c r="R2299" s="6"/>
      <c r="S2299" s="6"/>
      <c r="T2299" s="6"/>
      <c r="U2299" s="6"/>
    </row>
    <row r="2300">
      <c r="A2300" s="6"/>
      <c r="B2300" s="6"/>
      <c r="C2300" s="6"/>
      <c r="D2300" s="6"/>
      <c r="E2300" s="6"/>
      <c r="G2300" s="6"/>
      <c r="H2300" s="6"/>
      <c r="I2300" s="6"/>
      <c r="J2300" s="6"/>
      <c r="K2300" s="6"/>
      <c r="L2300" s="6"/>
      <c r="M2300" s="6"/>
      <c r="N2300" s="672"/>
      <c r="O2300" s="6"/>
      <c r="P2300" s="6"/>
      <c r="Q2300" s="6"/>
      <c r="R2300" s="6"/>
      <c r="S2300" s="6"/>
      <c r="T2300" s="6"/>
      <c r="U2300" s="6"/>
    </row>
    <row r="2301">
      <c r="A2301" s="6"/>
      <c r="B2301" s="6"/>
      <c r="C2301" s="6"/>
      <c r="D2301" s="6"/>
      <c r="E2301" s="6"/>
      <c r="G2301" s="6"/>
      <c r="H2301" s="6"/>
      <c r="I2301" s="6"/>
      <c r="J2301" s="6"/>
      <c r="K2301" s="6"/>
      <c r="L2301" s="6"/>
      <c r="M2301" s="6"/>
      <c r="N2301" s="672"/>
      <c r="O2301" s="6"/>
      <c r="P2301" s="6"/>
      <c r="Q2301" s="6"/>
      <c r="R2301" s="6"/>
      <c r="S2301" s="6"/>
      <c r="T2301" s="6"/>
      <c r="U2301" s="6"/>
    </row>
    <row r="2302">
      <c r="A2302" s="6"/>
      <c r="B2302" s="6"/>
      <c r="C2302" s="6"/>
      <c r="D2302" s="6"/>
      <c r="E2302" s="6"/>
      <c r="G2302" s="6"/>
      <c r="H2302" s="6"/>
      <c r="I2302" s="6"/>
      <c r="J2302" s="6"/>
      <c r="K2302" s="6"/>
      <c r="L2302" s="6"/>
      <c r="M2302" s="6"/>
      <c r="N2302" s="672"/>
      <c r="O2302" s="6"/>
      <c r="P2302" s="6"/>
      <c r="Q2302" s="6"/>
      <c r="R2302" s="6"/>
      <c r="S2302" s="6"/>
      <c r="T2302" s="6"/>
      <c r="U2302" s="6"/>
    </row>
    <row r="2303">
      <c r="A2303" s="6"/>
      <c r="B2303" s="6"/>
      <c r="C2303" s="6"/>
      <c r="D2303" s="6"/>
      <c r="E2303" s="6"/>
      <c r="G2303" s="6"/>
      <c r="H2303" s="6"/>
      <c r="I2303" s="6"/>
      <c r="J2303" s="6"/>
      <c r="K2303" s="6"/>
      <c r="L2303" s="6"/>
      <c r="M2303" s="6"/>
      <c r="N2303" s="672"/>
      <c r="O2303" s="6"/>
      <c r="P2303" s="6"/>
      <c r="Q2303" s="6"/>
      <c r="R2303" s="6"/>
      <c r="S2303" s="6"/>
      <c r="T2303" s="6"/>
      <c r="U2303" s="6"/>
    </row>
    <row r="2304">
      <c r="A2304" s="6"/>
      <c r="B2304" s="6"/>
      <c r="C2304" s="6"/>
      <c r="D2304" s="6"/>
      <c r="E2304" s="6"/>
      <c r="G2304" s="6"/>
      <c r="H2304" s="6"/>
      <c r="I2304" s="6"/>
      <c r="J2304" s="6"/>
      <c r="K2304" s="6"/>
      <c r="L2304" s="6"/>
      <c r="M2304" s="6"/>
      <c r="N2304" s="672"/>
      <c r="O2304" s="6"/>
      <c r="P2304" s="6"/>
      <c r="Q2304" s="6"/>
      <c r="R2304" s="6"/>
      <c r="S2304" s="6"/>
      <c r="T2304" s="6"/>
      <c r="U2304" s="6"/>
    </row>
    <row r="2305">
      <c r="A2305" s="6"/>
      <c r="B2305" s="6"/>
      <c r="C2305" s="6"/>
      <c r="D2305" s="6"/>
      <c r="E2305" s="6"/>
      <c r="G2305" s="6"/>
      <c r="H2305" s="6"/>
      <c r="I2305" s="6"/>
      <c r="J2305" s="6"/>
      <c r="K2305" s="6"/>
      <c r="L2305" s="6"/>
      <c r="M2305" s="6"/>
      <c r="N2305" s="672"/>
      <c r="O2305" s="6"/>
      <c r="P2305" s="6"/>
      <c r="Q2305" s="6"/>
      <c r="R2305" s="6"/>
      <c r="S2305" s="6"/>
      <c r="T2305" s="6"/>
      <c r="U2305" s="6"/>
    </row>
    <row r="2306">
      <c r="A2306" s="6"/>
      <c r="B2306" s="6"/>
      <c r="C2306" s="6"/>
      <c r="D2306" s="6"/>
      <c r="E2306" s="6"/>
      <c r="G2306" s="6"/>
      <c r="H2306" s="6"/>
      <c r="I2306" s="6"/>
      <c r="J2306" s="6"/>
      <c r="K2306" s="6"/>
      <c r="L2306" s="6"/>
      <c r="M2306" s="6"/>
      <c r="N2306" s="672"/>
      <c r="O2306" s="6"/>
      <c r="P2306" s="6"/>
      <c r="Q2306" s="6"/>
      <c r="R2306" s="6"/>
      <c r="S2306" s="6"/>
      <c r="T2306" s="6"/>
      <c r="U2306" s="6"/>
    </row>
    <row r="2307">
      <c r="A2307" s="6"/>
      <c r="B2307" s="6"/>
      <c r="C2307" s="6"/>
      <c r="D2307" s="6"/>
      <c r="E2307" s="6"/>
      <c r="G2307" s="6"/>
      <c r="H2307" s="6"/>
      <c r="I2307" s="6"/>
      <c r="J2307" s="6"/>
      <c r="K2307" s="6"/>
      <c r="L2307" s="6"/>
      <c r="M2307" s="6"/>
      <c r="N2307" s="672"/>
      <c r="O2307" s="6"/>
      <c r="P2307" s="6"/>
      <c r="Q2307" s="6"/>
      <c r="R2307" s="6"/>
      <c r="S2307" s="6"/>
      <c r="T2307" s="6"/>
      <c r="U2307" s="6"/>
    </row>
    <row r="2308">
      <c r="A2308" s="6"/>
      <c r="B2308" s="6"/>
      <c r="C2308" s="6"/>
      <c r="D2308" s="6"/>
      <c r="E2308" s="6"/>
      <c r="G2308" s="6"/>
      <c r="H2308" s="6"/>
      <c r="I2308" s="6"/>
      <c r="J2308" s="6"/>
      <c r="K2308" s="6"/>
      <c r="L2308" s="6"/>
      <c r="M2308" s="6"/>
      <c r="N2308" s="672"/>
      <c r="O2308" s="6"/>
      <c r="P2308" s="6"/>
      <c r="Q2308" s="6"/>
      <c r="R2308" s="6"/>
      <c r="S2308" s="6"/>
      <c r="T2308" s="6"/>
      <c r="U2308" s="6"/>
    </row>
    <row r="2309">
      <c r="A2309" s="6"/>
      <c r="B2309" s="6"/>
      <c r="C2309" s="6"/>
      <c r="D2309" s="6"/>
      <c r="E2309" s="6"/>
      <c r="G2309" s="6"/>
      <c r="H2309" s="6"/>
      <c r="I2309" s="6"/>
      <c r="J2309" s="6"/>
      <c r="K2309" s="6"/>
      <c r="L2309" s="6"/>
      <c r="M2309" s="6"/>
      <c r="N2309" s="672"/>
      <c r="O2309" s="6"/>
      <c r="P2309" s="6"/>
      <c r="Q2309" s="6"/>
      <c r="R2309" s="6"/>
      <c r="S2309" s="6"/>
      <c r="T2309" s="6"/>
      <c r="U2309" s="6"/>
    </row>
    <row r="2310">
      <c r="A2310" s="6"/>
      <c r="B2310" s="6"/>
      <c r="C2310" s="6"/>
      <c r="D2310" s="6"/>
      <c r="E2310" s="6"/>
      <c r="G2310" s="6"/>
      <c r="H2310" s="6"/>
      <c r="I2310" s="6"/>
      <c r="J2310" s="6"/>
      <c r="K2310" s="6"/>
      <c r="L2310" s="6"/>
      <c r="M2310" s="6"/>
      <c r="N2310" s="672"/>
      <c r="O2310" s="6"/>
      <c r="P2310" s="6"/>
      <c r="Q2310" s="6"/>
      <c r="R2310" s="6"/>
      <c r="S2310" s="6"/>
      <c r="T2310" s="6"/>
      <c r="U2310" s="6"/>
    </row>
    <row r="2311">
      <c r="A2311" s="6"/>
      <c r="B2311" s="6"/>
      <c r="C2311" s="6"/>
      <c r="D2311" s="6"/>
      <c r="E2311" s="6"/>
      <c r="G2311" s="6"/>
      <c r="H2311" s="6"/>
      <c r="I2311" s="6"/>
      <c r="J2311" s="6"/>
      <c r="K2311" s="6"/>
      <c r="L2311" s="6"/>
      <c r="M2311" s="6"/>
      <c r="N2311" s="672"/>
      <c r="O2311" s="6"/>
      <c r="P2311" s="6"/>
      <c r="Q2311" s="6"/>
      <c r="R2311" s="6"/>
      <c r="S2311" s="6"/>
      <c r="T2311" s="6"/>
      <c r="U2311" s="6"/>
    </row>
    <row r="2312">
      <c r="A2312" s="6"/>
      <c r="B2312" s="6"/>
      <c r="C2312" s="6"/>
      <c r="D2312" s="6"/>
      <c r="E2312" s="6"/>
      <c r="G2312" s="6"/>
      <c r="H2312" s="6"/>
      <c r="I2312" s="6"/>
      <c r="J2312" s="6"/>
      <c r="K2312" s="6"/>
      <c r="L2312" s="6"/>
      <c r="M2312" s="6"/>
      <c r="N2312" s="672"/>
      <c r="O2312" s="6"/>
      <c r="P2312" s="6"/>
      <c r="Q2312" s="6"/>
      <c r="R2312" s="6"/>
      <c r="S2312" s="6"/>
      <c r="T2312" s="6"/>
      <c r="U2312" s="6"/>
    </row>
    <row r="2313">
      <c r="A2313" s="6"/>
      <c r="B2313" s="6"/>
      <c r="C2313" s="6"/>
      <c r="D2313" s="6"/>
      <c r="E2313" s="6"/>
      <c r="G2313" s="6"/>
      <c r="H2313" s="6"/>
      <c r="I2313" s="6"/>
      <c r="J2313" s="6"/>
      <c r="K2313" s="6"/>
      <c r="L2313" s="6"/>
      <c r="M2313" s="6"/>
      <c r="N2313" s="672"/>
      <c r="O2313" s="6"/>
      <c r="P2313" s="6"/>
      <c r="Q2313" s="6"/>
      <c r="R2313" s="6"/>
      <c r="S2313" s="6"/>
      <c r="T2313" s="6"/>
      <c r="U2313" s="6"/>
    </row>
    <row r="2314">
      <c r="A2314" s="6"/>
      <c r="B2314" s="6"/>
      <c r="C2314" s="6"/>
      <c r="D2314" s="6"/>
      <c r="E2314" s="6"/>
      <c r="G2314" s="6"/>
      <c r="H2314" s="6"/>
      <c r="I2314" s="6"/>
      <c r="J2314" s="6"/>
      <c r="K2314" s="6"/>
      <c r="L2314" s="6"/>
      <c r="M2314" s="6"/>
      <c r="N2314" s="672"/>
      <c r="O2314" s="6"/>
      <c r="P2314" s="6"/>
      <c r="Q2314" s="6"/>
      <c r="R2314" s="6"/>
      <c r="S2314" s="6"/>
      <c r="T2314" s="6"/>
      <c r="U2314" s="6"/>
    </row>
    <row r="2315">
      <c r="A2315" s="6"/>
      <c r="B2315" s="6"/>
      <c r="C2315" s="6"/>
      <c r="D2315" s="6"/>
      <c r="E2315" s="6"/>
      <c r="G2315" s="6"/>
      <c r="H2315" s="6"/>
      <c r="I2315" s="6"/>
      <c r="J2315" s="6"/>
      <c r="K2315" s="6"/>
      <c r="L2315" s="6"/>
      <c r="M2315" s="6"/>
      <c r="N2315" s="672"/>
      <c r="O2315" s="6"/>
      <c r="P2315" s="6"/>
      <c r="Q2315" s="6"/>
      <c r="R2315" s="6"/>
      <c r="S2315" s="6"/>
      <c r="T2315" s="6"/>
      <c r="U2315" s="6"/>
    </row>
    <row r="2316">
      <c r="A2316" s="6"/>
      <c r="B2316" s="6"/>
      <c r="C2316" s="6"/>
      <c r="D2316" s="6"/>
      <c r="E2316" s="6"/>
      <c r="G2316" s="6"/>
      <c r="H2316" s="6"/>
      <c r="I2316" s="6"/>
      <c r="J2316" s="6"/>
      <c r="K2316" s="6"/>
      <c r="L2316" s="6"/>
      <c r="M2316" s="6"/>
      <c r="N2316" s="672"/>
      <c r="O2316" s="6"/>
      <c r="P2316" s="6"/>
      <c r="Q2316" s="6"/>
      <c r="R2316" s="6"/>
      <c r="S2316" s="6"/>
      <c r="T2316" s="6"/>
      <c r="U2316" s="6"/>
    </row>
    <row r="2317">
      <c r="A2317" s="6"/>
      <c r="B2317" s="6"/>
      <c r="C2317" s="6"/>
      <c r="D2317" s="6"/>
      <c r="E2317" s="6"/>
      <c r="G2317" s="6"/>
      <c r="H2317" s="6"/>
      <c r="I2317" s="6"/>
      <c r="J2317" s="6"/>
      <c r="K2317" s="6"/>
      <c r="L2317" s="6"/>
      <c r="M2317" s="6"/>
      <c r="N2317" s="672"/>
      <c r="O2317" s="6"/>
      <c r="P2317" s="6"/>
      <c r="Q2317" s="6"/>
      <c r="R2317" s="6"/>
      <c r="S2317" s="6"/>
      <c r="T2317" s="6"/>
      <c r="U2317" s="6"/>
    </row>
    <row r="2318">
      <c r="A2318" s="6"/>
      <c r="B2318" s="6"/>
      <c r="C2318" s="6"/>
      <c r="D2318" s="6"/>
      <c r="E2318" s="6"/>
      <c r="G2318" s="6"/>
      <c r="H2318" s="6"/>
      <c r="I2318" s="6"/>
      <c r="J2318" s="6"/>
      <c r="K2318" s="6"/>
      <c r="L2318" s="6"/>
      <c r="M2318" s="6"/>
      <c r="N2318" s="672"/>
      <c r="O2318" s="6"/>
      <c r="P2318" s="6"/>
      <c r="Q2318" s="6"/>
      <c r="R2318" s="6"/>
      <c r="S2318" s="6"/>
      <c r="T2318" s="6"/>
      <c r="U2318" s="6"/>
    </row>
    <row r="2319">
      <c r="A2319" s="6"/>
      <c r="B2319" s="6"/>
      <c r="C2319" s="6"/>
      <c r="D2319" s="6"/>
      <c r="E2319" s="6"/>
      <c r="G2319" s="6"/>
      <c r="H2319" s="6"/>
      <c r="I2319" s="6"/>
      <c r="J2319" s="6"/>
      <c r="K2319" s="6"/>
      <c r="L2319" s="6"/>
      <c r="M2319" s="6"/>
      <c r="N2319" s="672"/>
      <c r="O2319" s="6"/>
      <c r="P2319" s="6"/>
      <c r="Q2319" s="6"/>
      <c r="R2319" s="6"/>
      <c r="S2319" s="6"/>
      <c r="T2319" s="6"/>
      <c r="U2319" s="6"/>
    </row>
    <row r="2320">
      <c r="A2320" s="6"/>
      <c r="B2320" s="6"/>
      <c r="C2320" s="6"/>
      <c r="D2320" s="6"/>
      <c r="E2320" s="6"/>
      <c r="G2320" s="6"/>
      <c r="H2320" s="6"/>
      <c r="I2320" s="6"/>
      <c r="J2320" s="6"/>
      <c r="K2320" s="6"/>
      <c r="L2320" s="6"/>
      <c r="M2320" s="6"/>
      <c r="N2320" s="672"/>
      <c r="O2320" s="6"/>
      <c r="P2320" s="6"/>
      <c r="Q2320" s="6"/>
      <c r="R2320" s="6"/>
      <c r="S2320" s="6"/>
      <c r="T2320" s="6"/>
      <c r="U2320" s="6"/>
    </row>
    <row r="2321">
      <c r="A2321" s="6"/>
      <c r="B2321" s="6"/>
      <c r="C2321" s="6"/>
      <c r="D2321" s="6"/>
      <c r="E2321" s="6"/>
      <c r="G2321" s="6"/>
      <c r="H2321" s="6"/>
      <c r="I2321" s="6"/>
      <c r="J2321" s="6"/>
      <c r="K2321" s="6"/>
      <c r="L2321" s="6"/>
      <c r="M2321" s="6"/>
      <c r="N2321" s="672"/>
      <c r="O2321" s="6"/>
      <c r="P2321" s="6"/>
      <c r="Q2321" s="6"/>
      <c r="R2321" s="6"/>
      <c r="S2321" s="6"/>
      <c r="T2321" s="6"/>
      <c r="U2321" s="6"/>
    </row>
    <row r="2322">
      <c r="A2322" s="6"/>
      <c r="B2322" s="6"/>
      <c r="C2322" s="6"/>
      <c r="D2322" s="6"/>
      <c r="E2322" s="6"/>
      <c r="G2322" s="6"/>
      <c r="H2322" s="6"/>
      <c r="I2322" s="6"/>
      <c r="J2322" s="6"/>
      <c r="K2322" s="6"/>
      <c r="L2322" s="6"/>
      <c r="M2322" s="6"/>
      <c r="N2322" s="672"/>
      <c r="O2322" s="6"/>
      <c r="P2322" s="6"/>
      <c r="Q2322" s="6"/>
      <c r="R2322" s="6"/>
      <c r="S2322" s="6"/>
      <c r="T2322" s="6"/>
      <c r="U2322" s="6"/>
    </row>
    <row r="2323">
      <c r="A2323" s="6"/>
      <c r="B2323" s="6"/>
      <c r="C2323" s="6"/>
      <c r="D2323" s="6"/>
      <c r="E2323" s="6"/>
      <c r="G2323" s="6"/>
      <c r="H2323" s="6"/>
      <c r="I2323" s="6"/>
      <c r="J2323" s="6"/>
      <c r="K2323" s="6"/>
      <c r="L2323" s="6"/>
      <c r="M2323" s="6"/>
      <c r="N2323" s="672"/>
      <c r="O2323" s="6"/>
      <c r="P2323" s="6"/>
      <c r="Q2323" s="6"/>
      <c r="R2323" s="6"/>
      <c r="S2323" s="6"/>
      <c r="T2323" s="6"/>
      <c r="U2323" s="6"/>
    </row>
    <row r="2324">
      <c r="A2324" s="6"/>
      <c r="B2324" s="6"/>
      <c r="C2324" s="6"/>
      <c r="D2324" s="6"/>
      <c r="E2324" s="6"/>
      <c r="G2324" s="6"/>
      <c r="H2324" s="6"/>
      <c r="I2324" s="6"/>
      <c r="J2324" s="6"/>
      <c r="K2324" s="6"/>
      <c r="L2324" s="6"/>
      <c r="M2324" s="6"/>
      <c r="N2324" s="672"/>
      <c r="O2324" s="6"/>
      <c r="P2324" s="6"/>
      <c r="Q2324" s="6"/>
      <c r="R2324" s="6"/>
      <c r="S2324" s="6"/>
      <c r="T2324" s="6"/>
      <c r="U2324" s="6"/>
    </row>
    <row r="2325">
      <c r="A2325" s="6"/>
      <c r="B2325" s="6"/>
      <c r="C2325" s="6"/>
      <c r="D2325" s="6"/>
      <c r="E2325" s="6"/>
      <c r="G2325" s="6"/>
      <c r="H2325" s="6"/>
      <c r="I2325" s="6"/>
      <c r="J2325" s="6"/>
      <c r="K2325" s="6"/>
      <c r="L2325" s="6"/>
      <c r="M2325" s="6"/>
      <c r="N2325" s="672"/>
      <c r="O2325" s="6"/>
      <c r="P2325" s="6"/>
      <c r="Q2325" s="6"/>
      <c r="R2325" s="6"/>
      <c r="S2325" s="6"/>
      <c r="T2325" s="6"/>
      <c r="U2325" s="6"/>
    </row>
    <row r="2326">
      <c r="A2326" s="6"/>
      <c r="B2326" s="6"/>
      <c r="C2326" s="6"/>
      <c r="D2326" s="6"/>
      <c r="E2326" s="6"/>
      <c r="G2326" s="6"/>
      <c r="H2326" s="6"/>
      <c r="I2326" s="6"/>
      <c r="J2326" s="6"/>
      <c r="K2326" s="6"/>
      <c r="L2326" s="6"/>
      <c r="M2326" s="6"/>
      <c r="N2326" s="672"/>
      <c r="O2326" s="6"/>
      <c r="P2326" s="6"/>
      <c r="Q2326" s="6"/>
      <c r="R2326" s="6"/>
      <c r="S2326" s="6"/>
      <c r="T2326" s="6"/>
      <c r="U2326" s="6"/>
    </row>
    <row r="2327">
      <c r="A2327" s="6"/>
      <c r="B2327" s="6"/>
      <c r="C2327" s="6"/>
      <c r="D2327" s="6"/>
      <c r="E2327" s="6"/>
      <c r="G2327" s="6"/>
      <c r="H2327" s="6"/>
      <c r="I2327" s="6"/>
      <c r="J2327" s="6"/>
      <c r="K2327" s="6"/>
      <c r="L2327" s="6"/>
      <c r="M2327" s="6"/>
      <c r="N2327" s="672"/>
      <c r="O2327" s="6"/>
      <c r="P2327" s="6"/>
      <c r="Q2327" s="6"/>
      <c r="R2327" s="6"/>
      <c r="S2327" s="6"/>
      <c r="T2327" s="6"/>
      <c r="U2327" s="6"/>
    </row>
    <row r="2328">
      <c r="A2328" s="6"/>
      <c r="B2328" s="6"/>
      <c r="C2328" s="6"/>
      <c r="D2328" s="6"/>
      <c r="E2328" s="6"/>
      <c r="G2328" s="6"/>
      <c r="H2328" s="6"/>
      <c r="I2328" s="6"/>
      <c r="J2328" s="6"/>
      <c r="K2328" s="6"/>
      <c r="L2328" s="6"/>
      <c r="M2328" s="6"/>
      <c r="N2328" s="672"/>
      <c r="O2328" s="6"/>
      <c r="P2328" s="6"/>
      <c r="Q2328" s="6"/>
      <c r="R2328" s="6"/>
      <c r="S2328" s="6"/>
      <c r="T2328" s="6"/>
      <c r="U2328" s="6"/>
    </row>
    <row r="2329">
      <c r="A2329" s="6"/>
      <c r="B2329" s="6"/>
      <c r="C2329" s="6"/>
      <c r="D2329" s="6"/>
      <c r="E2329" s="6"/>
      <c r="G2329" s="6"/>
      <c r="H2329" s="6"/>
      <c r="I2329" s="6"/>
      <c r="J2329" s="6"/>
      <c r="K2329" s="6"/>
      <c r="L2329" s="6"/>
      <c r="M2329" s="6"/>
      <c r="N2329" s="672"/>
      <c r="O2329" s="6"/>
      <c r="P2329" s="6"/>
      <c r="Q2329" s="6"/>
      <c r="R2329" s="6"/>
      <c r="S2329" s="6"/>
      <c r="T2329" s="6"/>
      <c r="U2329" s="6"/>
    </row>
    <row r="2330">
      <c r="A2330" s="6"/>
      <c r="B2330" s="6"/>
      <c r="C2330" s="6"/>
      <c r="D2330" s="6"/>
      <c r="E2330" s="6"/>
      <c r="G2330" s="6"/>
      <c r="H2330" s="6"/>
      <c r="I2330" s="6"/>
      <c r="J2330" s="6"/>
      <c r="K2330" s="6"/>
      <c r="L2330" s="6"/>
      <c r="M2330" s="6"/>
      <c r="N2330" s="672"/>
      <c r="O2330" s="6"/>
      <c r="P2330" s="6"/>
      <c r="Q2330" s="6"/>
      <c r="R2330" s="6"/>
      <c r="S2330" s="6"/>
      <c r="T2330" s="6"/>
      <c r="U2330" s="6"/>
    </row>
    <row r="2331">
      <c r="A2331" s="6"/>
      <c r="B2331" s="6"/>
      <c r="C2331" s="6"/>
      <c r="D2331" s="6"/>
      <c r="E2331" s="6"/>
      <c r="G2331" s="6"/>
      <c r="H2331" s="6"/>
      <c r="I2331" s="6"/>
      <c r="J2331" s="6"/>
      <c r="K2331" s="6"/>
      <c r="L2331" s="6"/>
      <c r="M2331" s="6"/>
      <c r="N2331" s="672"/>
      <c r="O2331" s="6"/>
      <c r="P2331" s="6"/>
      <c r="Q2331" s="6"/>
      <c r="R2331" s="6"/>
      <c r="S2331" s="6"/>
      <c r="T2331" s="6"/>
      <c r="U2331" s="6"/>
    </row>
    <row r="2332">
      <c r="A2332" s="6"/>
      <c r="B2332" s="6"/>
      <c r="C2332" s="6"/>
      <c r="D2332" s="6"/>
      <c r="E2332" s="6"/>
      <c r="G2332" s="6"/>
      <c r="H2332" s="6"/>
      <c r="I2332" s="6"/>
      <c r="J2332" s="6"/>
      <c r="K2332" s="6"/>
      <c r="L2332" s="6"/>
      <c r="M2332" s="6"/>
      <c r="N2332" s="672"/>
      <c r="O2332" s="6"/>
      <c r="P2332" s="6"/>
      <c r="Q2332" s="6"/>
      <c r="R2332" s="6"/>
      <c r="S2332" s="6"/>
      <c r="T2332" s="6"/>
      <c r="U2332" s="6"/>
    </row>
    <row r="2333">
      <c r="A2333" s="6"/>
      <c r="B2333" s="6"/>
      <c r="C2333" s="6"/>
      <c r="D2333" s="6"/>
      <c r="E2333" s="6"/>
      <c r="G2333" s="6"/>
      <c r="H2333" s="6"/>
      <c r="I2333" s="6"/>
      <c r="J2333" s="6"/>
      <c r="K2333" s="6"/>
      <c r="L2333" s="6"/>
      <c r="M2333" s="6"/>
      <c r="N2333" s="672"/>
      <c r="O2333" s="6"/>
      <c r="P2333" s="6"/>
      <c r="Q2333" s="6"/>
      <c r="R2333" s="6"/>
      <c r="S2333" s="6"/>
      <c r="T2333" s="6"/>
      <c r="U2333" s="6"/>
    </row>
    <row r="2334">
      <c r="A2334" s="6"/>
      <c r="B2334" s="6"/>
      <c r="C2334" s="6"/>
      <c r="D2334" s="6"/>
      <c r="E2334" s="6"/>
      <c r="G2334" s="6"/>
      <c r="H2334" s="6"/>
      <c r="I2334" s="6"/>
      <c r="J2334" s="6"/>
      <c r="K2334" s="6"/>
      <c r="L2334" s="6"/>
      <c r="M2334" s="6"/>
      <c r="N2334" s="672"/>
      <c r="O2334" s="6"/>
      <c r="P2334" s="6"/>
      <c r="Q2334" s="6"/>
      <c r="R2334" s="6"/>
      <c r="S2334" s="6"/>
      <c r="T2334" s="6"/>
      <c r="U2334" s="6"/>
    </row>
    <row r="2335">
      <c r="A2335" s="6"/>
      <c r="B2335" s="6"/>
      <c r="C2335" s="6"/>
      <c r="D2335" s="6"/>
      <c r="E2335" s="6"/>
      <c r="G2335" s="6"/>
      <c r="H2335" s="6"/>
      <c r="I2335" s="6"/>
      <c r="J2335" s="6"/>
      <c r="K2335" s="6"/>
      <c r="L2335" s="6"/>
      <c r="M2335" s="6"/>
      <c r="N2335" s="672"/>
      <c r="O2335" s="6"/>
      <c r="P2335" s="6"/>
      <c r="Q2335" s="6"/>
      <c r="R2335" s="6"/>
      <c r="S2335" s="6"/>
      <c r="T2335" s="6"/>
      <c r="U2335" s="6"/>
    </row>
    <row r="2336">
      <c r="A2336" s="6"/>
      <c r="B2336" s="6"/>
      <c r="C2336" s="6"/>
      <c r="D2336" s="6"/>
      <c r="E2336" s="6"/>
      <c r="G2336" s="6"/>
      <c r="H2336" s="6"/>
      <c r="I2336" s="6"/>
      <c r="J2336" s="6"/>
      <c r="K2336" s="6"/>
      <c r="L2336" s="6"/>
      <c r="M2336" s="6"/>
      <c r="N2336" s="672"/>
      <c r="O2336" s="6"/>
      <c r="P2336" s="6"/>
      <c r="Q2336" s="6"/>
      <c r="R2336" s="6"/>
      <c r="S2336" s="6"/>
      <c r="T2336" s="6"/>
      <c r="U2336" s="6"/>
    </row>
    <row r="2337">
      <c r="A2337" s="6"/>
      <c r="B2337" s="6"/>
      <c r="C2337" s="6"/>
      <c r="D2337" s="6"/>
      <c r="E2337" s="6"/>
      <c r="G2337" s="6"/>
      <c r="H2337" s="6"/>
      <c r="I2337" s="6"/>
      <c r="J2337" s="6"/>
      <c r="K2337" s="6"/>
      <c r="L2337" s="6"/>
      <c r="M2337" s="6"/>
      <c r="N2337" s="672"/>
      <c r="O2337" s="6"/>
      <c r="P2337" s="6"/>
      <c r="Q2337" s="6"/>
      <c r="R2337" s="6"/>
      <c r="S2337" s="6"/>
      <c r="T2337" s="6"/>
      <c r="U2337" s="6"/>
    </row>
    <row r="2338">
      <c r="A2338" s="6"/>
      <c r="B2338" s="6"/>
      <c r="C2338" s="6"/>
      <c r="D2338" s="6"/>
      <c r="E2338" s="6"/>
      <c r="G2338" s="6"/>
      <c r="H2338" s="6"/>
      <c r="I2338" s="6"/>
      <c r="J2338" s="6"/>
      <c r="K2338" s="6"/>
      <c r="L2338" s="6"/>
      <c r="M2338" s="6"/>
      <c r="N2338" s="672"/>
      <c r="O2338" s="6"/>
      <c r="P2338" s="6"/>
      <c r="Q2338" s="6"/>
      <c r="R2338" s="6"/>
      <c r="S2338" s="6"/>
      <c r="T2338" s="6"/>
      <c r="U2338" s="6"/>
    </row>
    <row r="2339">
      <c r="A2339" s="6"/>
      <c r="B2339" s="6"/>
      <c r="C2339" s="6"/>
      <c r="D2339" s="6"/>
      <c r="E2339" s="6"/>
      <c r="G2339" s="6"/>
      <c r="H2339" s="6"/>
      <c r="I2339" s="6"/>
      <c r="J2339" s="6"/>
      <c r="K2339" s="6"/>
      <c r="L2339" s="6"/>
      <c r="M2339" s="6"/>
      <c r="N2339" s="672"/>
      <c r="O2339" s="6"/>
      <c r="P2339" s="6"/>
      <c r="Q2339" s="6"/>
      <c r="R2339" s="6"/>
      <c r="S2339" s="6"/>
      <c r="T2339" s="6"/>
      <c r="U2339" s="6"/>
    </row>
    <row r="2340">
      <c r="A2340" s="6"/>
      <c r="B2340" s="6"/>
      <c r="C2340" s="6"/>
      <c r="D2340" s="6"/>
      <c r="E2340" s="6"/>
      <c r="G2340" s="6"/>
      <c r="H2340" s="6"/>
      <c r="I2340" s="6"/>
      <c r="J2340" s="6"/>
      <c r="K2340" s="6"/>
      <c r="L2340" s="6"/>
      <c r="M2340" s="6"/>
      <c r="N2340" s="672"/>
      <c r="O2340" s="6"/>
      <c r="P2340" s="6"/>
      <c r="Q2340" s="6"/>
      <c r="R2340" s="6"/>
      <c r="S2340" s="6"/>
      <c r="T2340" s="6"/>
      <c r="U2340" s="6"/>
    </row>
    <row r="2341">
      <c r="A2341" s="6"/>
      <c r="B2341" s="6"/>
      <c r="C2341" s="6"/>
      <c r="D2341" s="6"/>
      <c r="E2341" s="6"/>
      <c r="G2341" s="6"/>
      <c r="H2341" s="6"/>
      <c r="I2341" s="6"/>
      <c r="J2341" s="6"/>
      <c r="K2341" s="6"/>
      <c r="L2341" s="6"/>
      <c r="M2341" s="6"/>
      <c r="N2341" s="672"/>
      <c r="O2341" s="6"/>
      <c r="P2341" s="6"/>
      <c r="Q2341" s="6"/>
      <c r="R2341" s="6"/>
      <c r="S2341" s="6"/>
      <c r="T2341" s="6"/>
      <c r="U2341" s="6"/>
    </row>
    <row r="2342">
      <c r="A2342" s="6"/>
      <c r="B2342" s="6"/>
      <c r="C2342" s="6"/>
      <c r="D2342" s="6"/>
      <c r="E2342" s="6"/>
      <c r="G2342" s="6"/>
      <c r="H2342" s="6"/>
      <c r="I2342" s="6"/>
      <c r="J2342" s="6"/>
      <c r="K2342" s="6"/>
      <c r="L2342" s="6"/>
      <c r="M2342" s="6"/>
      <c r="N2342" s="672"/>
      <c r="O2342" s="6"/>
      <c r="P2342" s="6"/>
      <c r="Q2342" s="6"/>
      <c r="R2342" s="6"/>
      <c r="S2342" s="6"/>
      <c r="T2342" s="6"/>
      <c r="U2342" s="6"/>
    </row>
    <row r="2343">
      <c r="A2343" s="6"/>
      <c r="B2343" s="6"/>
      <c r="C2343" s="6"/>
      <c r="D2343" s="6"/>
      <c r="E2343" s="6"/>
      <c r="G2343" s="6"/>
      <c r="H2343" s="6"/>
      <c r="I2343" s="6"/>
      <c r="J2343" s="6"/>
      <c r="K2343" s="6"/>
      <c r="L2343" s="6"/>
      <c r="M2343" s="6"/>
      <c r="N2343" s="672"/>
      <c r="O2343" s="6"/>
      <c r="P2343" s="6"/>
      <c r="Q2343" s="6"/>
      <c r="R2343" s="6"/>
      <c r="S2343" s="6"/>
      <c r="T2343" s="6"/>
      <c r="U2343" s="6"/>
    </row>
    <row r="2344">
      <c r="A2344" s="6"/>
      <c r="B2344" s="6"/>
      <c r="C2344" s="6"/>
      <c r="D2344" s="6"/>
      <c r="E2344" s="6"/>
      <c r="G2344" s="6"/>
      <c r="H2344" s="6"/>
      <c r="I2344" s="6"/>
      <c r="J2344" s="6"/>
      <c r="K2344" s="6"/>
      <c r="L2344" s="6"/>
      <c r="M2344" s="6"/>
      <c r="N2344" s="672"/>
      <c r="O2344" s="6"/>
      <c r="P2344" s="6"/>
      <c r="Q2344" s="6"/>
      <c r="R2344" s="6"/>
      <c r="S2344" s="6"/>
      <c r="T2344" s="6"/>
      <c r="U2344" s="6"/>
    </row>
    <row r="2345">
      <c r="A2345" s="6"/>
      <c r="B2345" s="6"/>
      <c r="C2345" s="6"/>
      <c r="D2345" s="6"/>
      <c r="E2345" s="6"/>
      <c r="G2345" s="6"/>
      <c r="H2345" s="6"/>
      <c r="I2345" s="6"/>
      <c r="J2345" s="6"/>
      <c r="K2345" s="6"/>
      <c r="L2345" s="6"/>
      <c r="M2345" s="6"/>
      <c r="N2345" s="672"/>
      <c r="O2345" s="6"/>
      <c r="P2345" s="6"/>
      <c r="Q2345" s="6"/>
      <c r="R2345" s="6"/>
      <c r="S2345" s="6"/>
      <c r="T2345" s="6"/>
      <c r="U2345" s="6"/>
    </row>
    <row r="2346">
      <c r="A2346" s="6"/>
      <c r="B2346" s="6"/>
      <c r="C2346" s="6"/>
      <c r="D2346" s="6"/>
      <c r="E2346" s="6"/>
      <c r="G2346" s="6"/>
      <c r="H2346" s="6"/>
      <c r="I2346" s="6"/>
      <c r="J2346" s="6"/>
      <c r="K2346" s="6"/>
      <c r="L2346" s="6"/>
      <c r="M2346" s="6"/>
      <c r="N2346" s="672"/>
      <c r="O2346" s="6"/>
      <c r="P2346" s="6"/>
      <c r="Q2346" s="6"/>
      <c r="R2346" s="6"/>
      <c r="S2346" s="6"/>
      <c r="T2346" s="6"/>
      <c r="U2346" s="6"/>
    </row>
    <row r="2347">
      <c r="A2347" s="6"/>
      <c r="B2347" s="6"/>
      <c r="C2347" s="6"/>
      <c r="D2347" s="6"/>
      <c r="E2347" s="6"/>
      <c r="G2347" s="6"/>
      <c r="H2347" s="6"/>
      <c r="I2347" s="6"/>
      <c r="J2347" s="6"/>
      <c r="K2347" s="6"/>
      <c r="L2347" s="6"/>
      <c r="M2347" s="6"/>
      <c r="N2347" s="672"/>
      <c r="O2347" s="6"/>
      <c r="P2347" s="6"/>
      <c r="Q2347" s="6"/>
      <c r="R2347" s="6"/>
      <c r="S2347" s="6"/>
      <c r="T2347" s="6"/>
      <c r="U2347" s="6"/>
    </row>
    <row r="2348">
      <c r="A2348" s="6"/>
      <c r="B2348" s="6"/>
      <c r="C2348" s="6"/>
      <c r="D2348" s="6"/>
      <c r="E2348" s="6"/>
      <c r="G2348" s="6"/>
      <c r="H2348" s="6"/>
      <c r="I2348" s="6"/>
      <c r="J2348" s="6"/>
      <c r="K2348" s="6"/>
      <c r="L2348" s="6"/>
      <c r="M2348" s="6"/>
      <c r="N2348" s="672"/>
      <c r="O2348" s="6"/>
      <c r="P2348" s="6"/>
      <c r="Q2348" s="6"/>
      <c r="R2348" s="6"/>
      <c r="S2348" s="6"/>
      <c r="T2348" s="6"/>
      <c r="U2348" s="6"/>
    </row>
    <row r="2349">
      <c r="A2349" s="6"/>
      <c r="B2349" s="6"/>
      <c r="C2349" s="6"/>
      <c r="D2349" s="6"/>
      <c r="E2349" s="6"/>
      <c r="G2349" s="6"/>
      <c r="H2349" s="6"/>
      <c r="I2349" s="6"/>
      <c r="J2349" s="6"/>
      <c r="K2349" s="6"/>
      <c r="L2349" s="6"/>
      <c r="M2349" s="6"/>
      <c r="N2349" s="672"/>
      <c r="O2349" s="6"/>
      <c r="P2349" s="6"/>
      <c r="Q2349" s="6"/>
      <c r="R2349" s="6"/>
      <c r="S2349" s="6"/>
      <c r="T2349" s="6"/>
      <c r="U2349" s="6"/>
    </row>
    <row r="2350">
      <c r="A2350" s="6"/>
      <c r="B2350" s="6"/>
      <c r="C2350" s="6"/>
      <c r="D2350" s="6"/>
      <c r="E2350" s="6"/>
      <c r="G2350" s="6"/>
      <c r="H2350" s="6"/>
      <c r="I2350" s="6"/>
      <c r="J2350" s="6"/>
      <c r="K2350" s="6"/>
      <c r="L2350" s="6"/>
      <c r="M2350" s="6"/>
      <c r="N2350" s="672"/>
      <c r="O2350" s="6"/>
      <c r="P2350" s="6"/>
      <c r="Q2350" s="6"/>
      <c r="R2350" s="6"/>
      <c r="S2350" s="6"/>
      <c r="T2350" s="6"/>
      <c r="U2350" s="6"/>
    </row>
    <row r="2351">
      <c r="A2351" s="6"/>
      <c r="B2351" s="6"/>
      <c r="C2351" s="6"/>
      <c r="D2351" s="6"/>
      <c r="E2351" s="6"/>
      <c r="G2351" s="6"/>
      <c r="H2351" s="6"/>
      <c r="I2351" s="6"/>
      <c r="J2351" s="6"/>
      <c r="K2351" s="6"/>
      <c r="L2351" s="6"/>
      <c r="M2351" s="6"/>
      <c r="N2351" s="672"/>
      <c r="O2351" s="6"/>
      <c r="P2351" s="6"/>
      <c r="Q2351" s="6"/>
      <c r="R2351" s="6"/>
      <c r="S2351" s="6"/>
      <c r="T2351" s="6"/>
      <c r="U2351" s="6"/>
    </row>
    <row r="2352">
      <c r="A2352" s="6"/>
      <c r="B2352" s="6"/>
      <c r="C2352" s="6"/>
      <c r="D2352" s="6"/>
      <c r="E2352" s="6"/>
      <c r="G2352" s="6"/>
      <c r="H2352" s="6"/>
      <c r="I2352" s="6"/>
      <c r="J2352" s="6"/>
      <c r="K2352" s="6"/>
      <c r="L2352" s="6"/>
      <c r="M2352" s="6"/>
      <c r="N2352" s="672"/>
      <c r="O2352" s="6"/>
      <c r="P2352" s="6"/>
      <c r="Q2352" s="6"/>
      <c r="R2352" s="6"/>
      <c r="S2352" s="6"/>
      <c r="T2352" s="6"/>
      <c r="U2352" s="6"/>
    </row>
    <row r="2353">
      <c r="A2353" s="6"/>
      <c r="B2353" s="6"/>
      <c r="C2353" s="6"/>
      <c r="D2353" s="6"/>
      <c r="E2353" s="6"/>
      <c r="G2353" s="6"/>
      <c r="H2353" s="6"/>
      <c r="I2353" s="6"/>
      <c r="J2353" s="6"/>
      <c r="K2353" s="6"/>
      <c r="L2353" s="6"/>
      <c r="M2353" s="6"/>
      <c r="N2353" s="672"/>
      <c r="O2353" s="6"/>
      <c r="P2353" s="6"/>
      <c r="Q2353" s="6"/>
      <c r="R2353" s="6"/>
      <c r="S2353" s="6"/>
      <c r="T2353" s="6"/>
      <c r="U2353" s="6"/>
    </row>
    <row r="2354">
      <c r="A2354" s="6"/>
      <c r="B2354" s="6"/>
      <c r="C2354" s="6"/>
      <c r="D2354" s="6"/>
      <c r="E2354" s="6"/>
      <c r="G2354" s="6"/>
      <c r="H2354" s="6"/>
      <c r="I2354" s="6"/>
      <c r="J2354" s="6"/>
      <c r="K2354" s="6"/>
      <c r="L2354" s="6"/>
      <c r="M2354" s="6"/>
      <c r="N2354" s="672"/>
      <c r="O2354" s="6"/>
      <c r="P2354" s="6"/>
      <c r="Q2354" s="6"/>
      <c r="R2354" s="6"/>
      <c r="S2354" s="6"/>
      <c r="T2354" s="6"/>
      <c r="U2354" s="6"/>
    </row>
    <row r="2355">
      <c r="A2355" s="6"/>
      <c r="B2355" s="6"/>
      <c r="C2355" s="6"/>
      <c r="D2355" s="6"/>
      <c r="E2355" s="6"/>
      <c r="G2355" s="6"/>
      <c r="H2355" s="6"/>
      <c r="I2355" s="6"/>
      <c r="J2355" s="6"/>
      <c r="K2355" s="6"/>
      <c r="L2355" s="6"/>
      <c r="M2355" s="6"/>
      <c r="N2355" s="672"/>
      <c r="O2355" s="6"/>
      <c r="P2355" s="6"/>
      <c r="Q2355" s="6"/>
      <c r="R2355" s="6"/>
      <c r="S2355" s="6"/>
      <c r="T2355" s="6"/>
      <c r="U2355" s="6"/>
    </row>
    <row r="2356">
      <c r="A2356" s="6"/>
      <c r="B2356" s="6"/>
      <c r="C2356" s="6"/>
      <c r="D2356" s="6"/>
      <c r="E2356" s="6"/>
      <c r="G2356" s="6"/>
      <c r="H2356" s="6"/>
      <c r="I2356" s="6"/>
      <c r="J2356" s="6"/>
      <c r="K2356" s="6"/>
      <c r="L2356" s="6"/>
      <c r="M2356" s="6"/>
      <c r="N2356" s="672"/>
      <c r="O2356" s="6"/>
      <c r="P2356" s="6"/>
      <c r="Q2356" s="6"/>
      <c r="R2356" s="6"/>
      <c r="S2356" s="6"/>
      <c r="T2356" s="6"/>
      <c r="U2356" s="6"/>
    </row>
    <row r="2357">
      <c r="A2357" s="6"/>
      <c r="B2357" s="6"/>
      <c r="C2357" s="6"/>
      <c r="D2357" s="6"/>
      <c r="E2357" s="6"/>
      <c r="G2357" s="6"/>
      <c r="H2357" s="6"/>
      <c r="I2357" s="6"/>
      <c r="J2357" s="6"/>
      <c r="K2357" s="6"/>
      <c r="L2357" s="6"/>
      <c r="M2357" s="6"/>
      <c r="N2357" s="672"/>
      <c r="O2357" s="6"/>
      <c r="P2357" s="6"/>
      <c r="Q2357" s="6"/>
      <c r="R2357" s="6"/>
      <c r="S2357" s="6"/>
      <c r="T2357" s="6"/>
      <c r="U2357" s="6"/>
    </row>
    <row r="2358">
      <c r="A2358" s="6"/>
      <c r="B2358" s="6"/>
      <c r="C2358" s="6"/>
      <c r="D2358" s="6"/>
      <c r="E2358" s="6"/>
      <c r="G2358" s="6"/>
      <c r="H2358" s="6"/>
      <c r="I2358" s="6"/>
      <c r="J2358" s="6"/>
      <c r="K2358" s="6"/>
      <c r="L2358" s="6"/>
      <c r="M2358" s="6"/>
      <c r="N2358" s="672"/>
      <c r="O2358" s="6"/>
      <c r="P2358" s="6"/>
      <c r="Q2358" s="6"/>
      <c r="R2358" s="6"/>
      <c r="S2358" s="6"/>
      <c r="T2358" s="6"/>
      <c r="U2358" s="6"/>
    </row>
    <row r="2359">
      <c r="A2359" s="6"/>
      <c r="B2359" s="6"/>
      <c r="C2359" s="6"/>
      <c r="D2359" s="6"/>
      <c r="E2359" s="6"/>
      <c r="G2359" s="6"/>
      <c r="H2359" s="6"/>
      <c r="I2359" s="6"/>
      <c r="J2359" s="6"/>
      <c r="K2359" s="6"/>
      <c r="L2359" s="6"/>
      <c r="M2359" s="6"/>
      <c r="N2359" s="672"/>
      <c r="O2359" s="6"/>
      <c r="P2359" s="6"/>
      <c r="Q2359" s="6"/>
      <c r="R2359" s="6"/>
      <c r="S2359" s="6"/>
      <c r="T2359" s="6"/>
      <c r="U2359" s="6"/>
    </row>
    <row r="2360">
      <c r="A2360" s="6"/>
      <c r="B2360" s="6"/>
      <c r="C2360" s="6"/>
      <c r="D2360" s="6"/>
      <c r="E2360" s="6"/>
      <c r="G2360" s="6"/>
      <c r="H2360" s="6"/>
      <c r="I2360" s="6"/>
      <c r="J2360" s="6"/>
      <c r="K2360" s="6"/>
      <c r="L2360" s="6"/>
      <c r="M2360" s="6"/>
      <c r="N2360" s="672"/>
      <c r="O2360" s="6"/>
      <c r="P2360" s="6"/>
      <c r="Q2360" s="6"/>
      <c r="R2360" s="6"/>
      <c r="S2360" s="6"/>
      <c r="T2360" s="6"/>
      <c r="U2360" s="6"/>
    </row>
    <row r="2361">
      <c r="A2361" s="6"/>
      <c r="B2361" s="6"/>
      <c r="C2361" s="6"/>
      <c r="D2361" s="6"/>
      <c r="E2361" s="6"/>
      <c r="G2361" s="6"/>
      <c r="H2361" s="6"/>
      <c r="I2361" s="6"/>
      <c r="J2361" s="6"/>
      <c r="K2361" s="6"/>
      <c r="L2361" s="6"/>
      <c r="M2361" s="6"/>
      <c r="N2361" s="672"/>
      <c r="O2361" s="6"/>
      <c r="P2361" s="6"/>
      <c r="Q2361" s="6"/>
      <c r="R2361" s="6"/>
      <c r="S2361" s="6"/>
      <c r="T2361" s="6"/>
      <c r="U2361" s="6"/>
    </row>
    <row r="2362">
      <c r="A2362" s="6"/>
      <c r="B2362" s="6"/>
      <c r="C2362" s="6"/>
      <c r="D2362" s="6"/>
      <c r="E2362" s="6"/>
      <c r="G2362" s="6"/>
      <c r="H2362" s="6"/>
      <c r="I2362" s="6"/>
      <c r="J2362" s="6"/>
      <c r="K2362" s="6"/>
      <c r="L2362" s="6"/>
      <c r="M2362" s="6"/>
      <c r="N2362" s="672"/>
      <c r="O2362" s="6"/>
      <c r="P2362" s="6"/>
      <c r="Q2362" s="6"/>
      <c r="R2362" s="6"/>
      <c r="S2362" s="6"/>
      <c r="T2362" s="6"/>
      <c r="U2362" s="6"/>
    </row>
    <row r="2363">
      <c r="A2363" s="6"/>
      <c r="B2363" s="6"/>
      <c r="C2363" s="6"/>
      <c r="D2363" s="6"/>
      <c r="E2363" s="6"/>
      <c r="G2363" s="6"/>
      <c r="H2363" s="6"/>
      <c r="I2363" s="6"/>
      <c r="J2363" s="6"/>
      <c r="K2363" s="6"/>
      <c r="L2363" s="6"/>
      <c r="M2363" s="6"/>
      <c r="N2363" s="672"/>
      <c r="O2363" s="6"/>
      <c r="P2363" s="6"/>
      <c r="Q2363" s="6"/>
      <c r="R2363" s="6"/>
      <c r="S2363" s="6"/>
      <c r="T2363" s="6"/>
      <c r="U2363" s="6"/>
    </row>
    <row r="2364">
      <c r="A2364" s="6"/>
      <c r="B2364" s="6"/>
      <c r="C2364" s="6"/>
      <c r="D2364" s="6"/>
      <c r="E2364" s="6"/>
      <c r="G2364" s="6"/>
      <c r="H2364" s="6"/>
      <c r="I2364" s="6"/>
      <c r="J2364" s="6"/>
      <c r="K2364" s="6"/>
      <c r="L2364" s="6"/>
      <c r="M2364" s="6"/>
      <c r="N2364" s="672"/>
      <c r="O2364" s="6"/>
      <c r="P2364" s="6"/>
      <c r="Q2364" s="6"/>
      <c r="R2364" s="6"/>
      <c r="S2364" s="6"/>
      <c r="T2364" s="6"/>
      <c r="U2364" s="6"/>
    </row>
    <row r="2365">
      <c r="A2365" s="6"/>
      <c r="B2365" s="6"/>
      <c r="C2365" s="6"/>
      <c r="D2365" s="6"/>
      <c r="E2365" s="6"/>
      <c r="G2365" s="6"/>
      <c r="H2365" s="6"/>
      <c r="I2365" s="6"/>
      <c r="J2365" s="6"/>
      <c r="K2365" s="6"/>
      <c r="L2365" s="6"/>
      <c r="M2365" s="6"/>
      <c r="N2365" s="672"/>
      <c r="O2365" s="6"/>
      <c r="P2365" s="6"/>
      <c r="Q2365" s="6"/>
      <c r="R2365" s="6"/>
      <c r="S2365" s="6"/>
      <c r="T2365" s="6"/>
      <c r="U2365" s="6"/>
    </row>
    <row r="2366">
      <c r="A2366" s="6"/>
      <c r="B2366" s="6"/>
      <c r="C2366" s="6"/>
      <c r="D2366" s="6"/>
      <c r="E2366" s="6"/>
      <c r="G2366" s="6"/>
      <c r="H2366" s="6"/>
      <c r="I2366" s="6"/>
      <c r="J2366" s="6"/>
      <c r="K2366" s="6"/>
      <c r="L2366" s="6"/>
      <c r="M2366" s="6"/>
      <c r="N2366" s="672"/>
      <c r="O2366" s="6"/>
      <c r="P2366" s="6"/>
      <c r="Q2366" s="6"/>
      <c r="R2366" s="6"/>
      <c r="S2366" s="6"/>
      <c r="T2366" s="6"/>
      <c r="U2366" s="6"/>
    </row>
    <row r="2367">
      <c r="A2367" s="6"/>
      <c r="B2367" s="6"/>
      <c r="C2367" s="6"/>
      <c r="D2367" s="6"/>
      <c r="E2367" s="6"/>
      <c r="G2367" s="6"/>
      <c r="H2367" s="6"/>
      <c r="I2367" s="6"/>
      <c r="J2367" s="6"/>
      <c r="K2367" s="6"/>
      <c r="L2367" s="6"/>
      <c r="M2367" s="6"/>
      <c r="N2367" s="672"/>
      <c r="O2367" s="6"/>
      <c r="P2367" s="6"/>
      <c r="Q2367" s="6"/>
      <c r="R2367" s="6"/>
      <c r="S2367" s="6"/>
      <c r="T2367" s="6"/>
      <c r="U2367" s="6"/>
    </row>
    <row r="2368">
      <c r="A2368" s="6"/>
      <c r="B2368" s="6"/>
      <c r="C2368" s="6"/>
      <c r="D2368" s="6"/>
      <c r="E2368" s="6"/>
      <c r="G2368" s="6"/>
      <c r="H2368" s="6"/>
      <c r="I2368" s="6"/>
      <c r="J2368" s="6"/>
      <c r="K2368" s="6"/>
      <c r="L2368" s="6"/>
      <c r="M2368" s="6"/>
      <c r="N2368" s="672"/>
      <c r="O2368" s="6"/>
      <c r="P2368" s="6"/>
      <c r="Q2368" s="6"/>
      <c r="R2368" s="6"/>
      <c r="S2368" s="6"/>
      <c r="T2368" s="6"/>
      <c r="U2368" s="6"/>
    </row>
    <row r="2369">
      <c r="A2369" s="6"/>
      <c r="B2369" s="6"/>
      <c r="C2369" s="6"/>
      <c r="D2369" s="6"/>
      <c r="E2369" s="6"/>
      <c r="G2369" s="6"/>
      <c r="H2369" s="6"/>
      <c r="I2369" s="6"/>
      <c r="J2369" s="6"/>
      <c r="K2369" s="6"/>
      <c r="L2369" s="6"/>
      <c r="M2369" s="6"/>
      <c r="N2369" s="672"/>
      <c r="O2369" s="6"/>
      <c r="P2369" s="6"/>
      <c r="Q2369" s="6"/>
      <c r="R2369" s="6"/>
      <c r="S2369" s="6"/>
      <c r="T2369" s="6"/>
      <c r="U2369" s="6"/>
    </row>
    <row r="2370">
      <c r="A2370" s="6"/>
      <c r="B2370" s="6"/>
      <c r="C2370" s="6"/>
      <c r="D2370" s="6"/>
      <c r="E2370" s="6"/>
      <c r="G2370" s="6"/>
      <c r="H2370" s="6"/>
      <c r="I2370" s="6"/>
      <c r="J2370" s="6"/>
      <c r="K2370" s="6"/>
      <c r="L2370" s="6"/>
      <c r="M2370" s="6"/>
      <c r="N2370" s="672"/>
      <c r="O2370" s="6"/>
      <c r="P2370" s="6"/>
      <c r="Q2370" s="6"/>
      <c r="R2370" s="6"/>
      <c r="S2370" s="6"/>
      <c r="T2370" s="6"/>
      <c r="U2370" s="6"/>
    </row>
    <row r="2371">
      <c r="A2371" s="6"/>
      <c r="B2371" s="6"/>
      <c r="C2371" s="6"/>
      <c r="D2371" s="6"/>
      <c r="E2371" s="6"/>
      <c r="G2371" s="6"/>
      <c r="H2371" s="6"/>
      <c r="I2371" s="6"/>
      <c r="J2371" s="6"/>
      <c r="K2371" s="6"/>
      <c r="L2371" s="6"/>
      <c r="M2371" s="6"/>
      <c r="N2371" s="672"/>
      <c r="O2371" s="6"/>
      <c r="P2371" s="6"/>
      <c r="Q2371" s="6"/>
      <c r="R2371" s="6"/>
      <c r="S2371" s="6"/>
      <c r="T2371" s="6"/>
      <c r="U2371" s="6"/>
    </row>
    <row r="2372">
      <c r="A2372" s="6"/>
      <c r="B2372" s="6"/>
      <c r="C2372" s="6"/>
      <c r="D2372" s="6"/>
      <c r="E2372" s="6"/>
      <c r="G2372" s="6"/>
      <c r="H2372" s="6"/>
      <c r="I2372" s="6"/>
      <c r="J2372" s="6"/>
      <c r="K2372" s="6"/>
      <c r="L2372" s="6"/>
      <c r="M2372" s="6"/>
      <c r="N2372" s="672"/>
      <c r="O2372" s="6"/>
      <c r="P2372" s="6"/>
      <c r="Q2372" s="6"/>
      <c r="R2372" s="6"/>
      <c r="S2372" s="6"/>
      <c r="T2372" s="6"/>
      <c r="U2372" s="6"/>
    </row>
    <row r="2373">
      <c r="A2373" s="6"/>
      <c r="B2373" s="6"/>
      <c r="C2373" s="6"/>
      <c r="D2373" s="6"/>
      <c r="E2373" s="6"/>
      <c r="G2373" s="6"/>
      <c r="H2373" s="6"/>
      <c r="I2373" s="6"/>
      <c r="J2373" s="6"/>
      <c r="K2373" s="6"/>
      <c r="L2373" s="6"/>
      <c r="M2373" s="6"/>
      <c r="N2373" s="672"/>
      <c r="O2373" s="6"/>
      <c r="P2373" s="6"/>
      <c r="Q2373" s="6"/>
      <c r="R2373" s="6"/>
      <c r="S2373" s="6"/>
      <c r="T2373" s="6"/>
      <c r="U2373" s="6"/>
    </row>
    <row r="2374">
      <c r="A2374" s="6"/>
      <c r="B2374" s="6"/>
      <c r="C2374" s="6"/>
      <c r="D2374" s="6"/>
      <c r="E2374" s="6"/>
      <c r="G2374" s="6"/>
      <c r="H2374" s="6"/>
      <c r="I2374" s="6"/>
      <c r="J2374" s="6"/>
      <c r="K2374" s="6"/>
      <c r="L2374" s="6"/>
      <c r="M2374" s="6"/>
      <c r="N2374" s="672"/>
      <c r="O2374" s="6"/>
      <c r="P2374" s="6"/>
      <c r="Q2374" s="6"/>
      <c r="R2374" s="6"/>
      <c r="S2374" s="6"/>
      <c r="T2374" s="6"/>
      <c r="U2374" s="6"/>
    </row>
    <row r="2375">
      <c r="A2375" s="6"/>
      <c r="B2375" s="6"/>
      <c r="C2375" s="6"/>
      <c r="D2375" s="6"/>
      <c r="E2375" s="6"/>
      <c r="G2375" s="6"/>
      <c r="H2375" s="6"/>
      <c r="I2375" s="6"/>
      <c r="J2375" s="6"/>
      <c r="K2375" s="6"/>
      <c r="L2375" s="6"/>
      <c r="M2375" s="6"/>
      <c r="N2375" s="672"/>
      <c r="O2375" s="6"/>
      <c r="P2375" s="6"/>
      <c r="Q2375" s="6"/>
      <c r="R2375" s="6"/>
      <c r="S2375" s="6"/>
      <c r="T2375" s="6"/>
      <c r="U2375" s="6"/>
    </row>
    <row r="2376">
      <c r="A2376" s="6"/>
      <c r="B2376" s="6"/>
      <c r="C2376" s="6"/>
      <c r="D2376" s="6"/>
      <c r="E2376" s="6"/>
      <c r="G2376" s="6"/>
      <c r="H2376" s="6"/>
      <c r="I2376" s="6"/>
      <c r="J2376" s="6"/>
      <c r="K2376" s="6"/>
      <c r="L2376" s="6"/>
      <c r="M2376" s="6"/>
      <c r="N2376" s="672"/>
      <c r="O2376" s="6"/>
      <c r="P2376" s="6"/>
      <c r="Q2376" s="6"/>
      <c r="R2376" s="6"/>
      <c r="S2376" s="6"/>
      <c r="T2376" s="6"/>
      <c r="U2376" s="6"/>
    </row>
    <row r="2377">
      <c r="A2377" s="6"/>
      <c r="B2377" s="6"/>
      <c r="C2377" s="6"/>
      <c r="D2377" s="6"/>
      <c r="E2377" s="6"/>
      <c r="G2377" s="6"/>
      <c r="H2377" s="6"/>
      <c r="I2377" s="6"/>
      <c r="J2377" s="6"/>
      <c r="K2377" s="6"/>
      <c r="L2377" s="6"/>
      <c r="M2377" s="6"/>
      <c r="N2377" s="672"/>
      <c r="O2377" s="6"/>
      <c r="P2377" s="6"/>
      <c r="Q2377" s="6"/>
      <c r="R2377" s="6"/>
      <c r="S2377" s="6"/>
      <c r="T2377" s="6"/>
      <c r="U2377" s="6"/>
    </row>
    <row r="2378">
      <c r="A2378" s="6"/>
      <c r="B2378" s="6"/>
      <c r="C2378" s="6"/>
      <c r="D2378" s="6"/>
      <c r="E2378" s="6"/>
      <c r="G2378" s="6"/>
      <c r="H2378" s="6"/>
      <c r="I2378" s="6"/>
      <c r="J2378" s="6"/>
      <c r="K2378" s="6"/>
      <c r="L2378" s="6"/>
      <c r="M2378" s="6"/>
      <c r="N2378" s="672"/>
      <c r="O2378" s="6"/>
      <c r="P2378" s="6"/>
      <c r="Q2378" s="6"/>
      <c r="R2378" s="6"/>
      <c r="S2378" s="6"/>
      <c r="T2378" s="6"/>
      <c r="U2378" s="6"/>
    </row>
    <row r="2379">
      <c r="A2379" s="6"/>
      <c r="B2379" s="6"/>
      <c r="C2379" s="6"/>
      <c r="D2379" s="6"/>
      <c r="E2379" s="6"/>
      <c r="G2379" s="6"/>
      <c r="H2379" s="6"/>
      <c r="I2379" s="6"/>
      <c r="J2379" s="6"/>
      <c r="K2379" s="6"/>
      <c r="L2379" s="6"/>
      <c r="M2379" s="6"/>
      <c r="N2379" s="672"/>
      <c r="O2379" s="6"/>
      <c r="P2379" s="6"/>
      <c r="Q2379" s="6"/>
      <c r="R2379" s="6"/>
      <c r="S2379" s="6"/>
      <c r="T2379" s="6"/>
      <c r="U2379" s="6"/>
    </row>
    <row r="2380">
      <c r="A2380" s="6"/>
      <c r="B2380" s="6"/>
      <c r="C2380" s="6"/>
      <c r="D2380" s="6"/>
      <c r="E2380" s="6"/>
      <c r="G2380" s="6"/>
      <c r="H2380" s="6"/>
      <c r="I2380" s="6"/>
      <c r="J2380" s="6"/>
      <c r="K2380" s="6"/>
      <c r="L2380" s="6"/>
      <c r="M2380" s="6"/>
      <c r="N2380" s="672"/>
      <c r="O2380" s="6"/>
      <c r="P2380" s="6"/>
      <c r="Q2380" s="6"/>
      <c r="R2380" s="6"/>
      <c r="S2380" s="6"/>
      <c r="T2380" s="6"/>
      <c r="U2380" s="6"/>
    </row>
    <row r="2381">
      <c r="A2381" s="6"/>
      <c r="B2381" s="6"/>
      <c r="C2381" s="6"/>
      <c r="D2381" s="6"/>
      <c r="E2381" s="6"/>
      <c r="G2381" s="6"/>
      <c r="H2381" s="6"/>
      <c r="I2381" s="6"/>
      <c r="J2381" s="6"/>
      <c r="K2381" s="6"/>
      <c r="L2381" s="6"/>
      <c r="M2381" s="6"/>
      <c r="N2381" s="672"/>
      <c r="O2381" s="6"/>
      <c r="P2381" s="6"/>
      <c r="Q2381" s="6"/>
      <c r="R2381" s="6"/>
      <c r="S2381" s="6"/>
      <c r="T2381" s="6"/>
      <c r="U2381" s="6"/>
    </row>
    <row r="2382">
      <c r="A2382" s="6"/>
      <c r="B2382" s="6"/>
      <c r="C2382" s="6"/>
      <c r="D2382" s="6"/>
      <c r="E2382" s="6"/>
      <c r="G2382" s="6"/>
      <c r="H2382" s="6"/>
      <c r="I2382" s="6"/>
      <c r="J2382" s="6"/>
      <c r="K2382" s="6"/>
      <c r="L2382" s="6"/>
      <c r="M2382" s="6"/>
      <c r="N2382" s="672"/>
      <c r="O2382" s="6"/>
      <c r="P2382" s="6"/>
      <c r="Q2382" s="6"/>
      <c r="R2382" s="6"/>
      <c r="S2382" s="6"/>
      <c r="T2382" s="6"/>
      <c r="U2382" s="6"/>
    </row>
    <row r="2383">
      <c r="A2383" s="6"/>
      <c r="B2383" s="6"/>
      <c r="C2383" s="6"/>
      <c r="D2383" s="6"/>
      <c r="E2383" s="6"/>
      <c r="G2383" s="6"/>
      <c r="H2383" s="6"/>
      <c r="I2383" s="6"/>
      <c r="J2383" s="6"/>
      <c r="K2383" s="6"/>
      <c r="L2383" s="6"/>
      <c r="M2383" s="6"/>
      <c r="N2383" s="672"/>
      <c r="O2383" s="6"/>
      <c r="P2383" s="6"/>
      <c r="Q2383" s="6"/>
      <c r="R2383" s="6"/>
      <c r="S2383" s="6"/>
      <c r="T2383" s="6"/>
      <c r="U2383" s="6"/>
    </row>
    <row r="2384">
      <c r="A2384" s="6"/>
      <c r="B2384" s="6"/>
      <c r="C2384" s="6"/>
      <c r="D2384" s="6"/>
      <c r="E2384" s="6"/>
      <c r="G2384" s="6"/>
      <c r="H2384" s="6"/>
      <c r="I2384" s="6"/>
      <c r="J2384" s="6"/>
      <c r="K2384" s="6"/>
      <c r="L2384" s="6"/>
      <c r="M2384" s="6"/>
      <c r="N2384" s="672"/>
      <c r="O2384" s="6"/>
      <c r="P2384" s="6"/>
      <c r="Q2384" s="6"/>
      <c r="R2384" s="6"/>
      <c r="S2384" s="6"/>
      <c r="T2384" s="6"/>
      <c r="U2384" s="6"/>
    </row>
    <row r="2385">
      <c r="A2385" s="6"/>
      <c r="B2385" s="6"/>
      <c r="C2385" s="6"/>
      <c r="D2385" s="6"/>
      <c r="E2385" s="6"/>
      <c r="G2385" s="6"/>
      <c r="H2385" s="6"/>
      <c r="I2385" s="6"/>
      <c r="J2385" s="6"/>
      <c r="K2385" s="6"/>
      <c r="L2385" s="6"/>
      <c r="M2385" s="6"/>
      <c r="N2385" s="672"/>
      <c r="O2385" s="6"/>
      <c r="P2385" s="6"/>
      <c r="Q2385" s="6"/>
      <c r="R2385" s="6"/>
      <c r="S2385" s="6"/>
      <c r="T2385" s="6"/>
      <c r="U2385" s="6"/>
    </row>
    <row r="2386">
      <c r="A2386" s="6"/>
      <c r="B2386" s="6"/>
      <c r="C2386" s="6"/>
      <c r="D2386" s="6"/>
      <c r="E2386" s="6"/>
      <c r="G2386" s="6"/>
      <c r="H2386" s="6"/>
      <c r="I2386" s="6"/>
      <c r="J2386" s="6"/>
      <c r="K2386" s="6"/>
      <c r="L2386" s="6"/>
      <c r="M2386" s="6"/>
      <c r="N2386" s="672"/>
      <c r="O2386" s="6"/>
      <c r="P2386" s="6"/>
      <c r="Q2386" s="6"/>
      <c r="R2386" s="6"/>
      <c r="S2386" s="6"/>
      <c r="T2386" s="6"/>
      <c r="U2386" s="6"/>
    </row>
    <row r="2387">
      <c r="A2387" s="6"/>
      <c r="B2387" s="6"/>
      <c r="C2387" s="6"/>
      <c r="D2387" s="6"/>
      <c r="E2387" s="6"/>
      <c r="G2387" s="6"/>
      <c r="H2387" s="6"/>
      <c r="I2387" s="6"/>
      <c r="J2387" s="6"/>
      <c r="K2387" s="6"/>
      <c r="L2387" s="6"/>
      <c r="M2387" s="6"/>
      <c r="N2387" s="672"/>
      <c r="O2387" s="6"/>
      <c r="P2387" s="6"/>
      <c r="Q2387" s="6"/>
      <c r="R2387" s="6"/>
      <c r="S2387" s="6"/>
      <c r="T2387" s="6"/>
      <c r="U2387" s="6"/>
    </row>
    <row r="2388">
      <c r="A2388" s="6"/>
      <c r="B2388" s="6"/>
      <c r="C2388" s="6"/>
      <c r="D2388" s="6"/>
      <c r="E2388" s="6"/>
      <c r="G2388" s="6"/>
      <c r="H2388" s="6"/>
      <c r="I2388" s="6"/>
      <c r="J2388" s="6"/>
      <c r="K2388" s="6"/>
      <c r="L2388" s="6"/>
      <c r="M2388" s="6"/>
      <c r="N2388" s="672"/>
      <c r="O2388" s="6"/>
      <c r="P2388" s="6"/>
      <c r="Q2388" s="6"/>
      <c r="R2388" s="6"/>
      <c r="S2388" s="6"/>
      <c r="T2388" s="6"/>
      <c r="U2388" s="6"/>
    </row>
    <row r="2389">
      <c r="A2389" s="6"/>
      <c r="B2389" s="6"/>
      <c r="C2389" s="6"/>
      <c r="D2389" s="6"/>
      <c r="E2389" s="6"/>
      <c r="G2389" s="6"/>
      <c r="H2389" s="6"/>
      <c r="I2389" s="6"/>
      <c r="J2389" s="6"/>
      <c r="K2389" s="6"/>
      <c r="L2389" s="6"/>
      <c r="M2389" s="6"/>
      <c r="N2389" s="672"/>
      <c r="O2389" s="6"/>
      <c r="P2389" s="6"/>
      <c r="Q2389" s="6"/>
      <c r="R2389" s="6"/>
      <c r="S2389" s="6"/>
      <c r="T2389" s="6"/>
      <c r="U2389" s="6"/>
    </row>
    <row r="2390">
      <c r="A2390" s="6"/>
      <c r="B2390" s="6"/>
      <c r="C2390" s="6"/>
      <c r="D2390" s="6"/>
      <c r="E2390" s="6"/>
      <c r="G2390" s="6"/>
      <c r="H2390" s="6"/>
      <c r="I2390" s="6"/>
      <c r="J2390" s="6"/>
      <c r="K2390" s="6"/>
      <c r="L2390" s="6"/>
      <c r="M2390" s="6"/>
      <c r="N2390" s="672"/>
      <c r="O2390" s="6"/>
      <c r="P2390" s="6"/>
      <c r="Q2390" s="6"/>
      <c r="R2390" s="6"/>
      <c r="S2390" s="6"/>
      <c r="T2390" s="6"/>
      <c r="U2390" s="6"/>
    </row>
    <row r="2391">
      <c r="A2391" s="6"/>
      <c r="B2391" s="6"/>
      <c r="C2391" s="6"/>
      <c r="D2391" s="6"/>
      <c r="E2391" s="6"/>
      <c r="G2391" s="6"/>
      <c r="H2391" s="6"/>
      <c r="I2391" s="6"/>
      <c r="J2391" s="6"/>
      <c r="K2391" s="6"/>
      <c r="L2391" s="6"/>
      <c r="M2391" s="6"/>
      <c r="N2391" s="672"/>
      <c r="O2391" s="6"/>
      <c r="P2391" s="6"/>
      <c r="Q2391" s="6"/>
      <c r="R2391" s="6"/>
      <c r="S2391" s="6"/>
      <c r="T2391" s="6"/>
      <c r="U2391" s="6"/>
    </row>
    <row r="2392">
      <c r="A2392" s="6"/>
      <c r="B2392" s="6"/>
      <c r="C2392" s="6"/>
      <c r="D2392" s="6"/>
      <c r="E2392" s="6"/>
      <c r="G2392" s="6"/>
      <c r="H2392" s="6"/>
      <c r="I2392" s="6"/>
      <c r="J2392" s="6"/>
      <c r="K2392" s="6"/>
      <c r="L2392" s="6"/>
      <c r="M2392" s="6"/>
      <c r="N2392" s="672"/>
      <c r="O2392" s="6"/>
      <c r="P2392" s="6"/>
      <c r="Q2392" s="6"/>
      <c r="R2392" s="6"/>
      <c r="S2392" s="6"/>
      <c r="T2392" s="6"/>
      <c r="U2392" s="6"/>
    </row>
    <row r="2393">
      <c r="A2393" s="6"/>
      <c r="B2393" s="6"/>
      <c r="C2393" s="6"/>
      <c r="D2393" s="6"/>
      <c r="E2393" s="6"/>
      <c r="G2393" s="6"/>
      <c r="H2393" s="6"/>
      <c r="I2393" s="6"/>
      <c r="J2393" s="6"/>
      <c r="K2393" s="6"/>
      <c r="L2393" s="6"/>
      <c r="M2393" s="6"/>
      <c r="N2393" s="672"/>
      <c r="O2393" s="6"/>
      <c r="P2393" s="6"/>
      <c r="Q2393" s="6"/>
      <c r="R2393" s="6"/>
      <c r="S2393" s="6"/>
      <c r="T2393" s="6"/>
      <c r="U2393" s="6"/>
    </row>
    <row r="2394">
      <c r="A2394" s="6"/>
      <c r="B2394" s="6"/>
      <c r="C2394" s="6"/>
      <c r="D2394" s="6"/>
      <c r="E2394" s="6"/>
      <c r="G2394" s="6"/>
      <c r="H2394" s="6"/>
      <c r="I2394" s="6"/>
      <c r="J2394" s="6"/>
      <c r="K2394" s="6"/>
      <c r="L2394" s="6"/>
      <c r="M2394" s="6"/>
      <c r="N2394" s="672"/>
      <c r="O2394" s="6"/>
      <c r="P2394" s="6"/>
      <c r="Q2394" s="6"/>
      <c r="R2394" s="6"/>
      <c r="S2394" s="6"/>
      <c r="T2394" s="6"/>
      <c r="U2394" s="6"/>
    </row>
    <row r="2395">
      <c r="A2395" s="6"/>
      <c r="B2395" s="6"/>
      <c r="C2395" s="6"/>
      <c r="D2395" s="6"/>
      <c r="E2395" s="6"/>
      <c r="G2395" s="6"/>
      <c r="H2395" s="6"/>
      <c r="I2395" s="6"/>
      <c r="J2395" s="6"/>
      <c r="K2395" s="6"/>
      <c r="L2395" s="6"/>
      <c r="M2395" s="6"/>
      <c r="N2395" s="672"/>
      <c r="O2395" s="6"/>
      <c r="P2395" s="6"/>
      <c r="Q2395" s="6"/>
      <c r="R2395" s="6"/>
      <c r="S2395" s="6"/>
      <c r="T2395" s="6"/>
      <c r="U2395" s="6"/>
    </row>
    <row r="2396">
      <c r="A2396" s="6"/>
      <c r="B2396" s="6"/>
      <c r="C2396" s="6"/>
      <c r="D2396" s="6"/>
      <c r="E2396" s="6"/>
      <c r="G2396" s="6"/>
      <c r="H2396" s="6"/>
      <c r="I2396" s="6"/>
      <c r="J2396" s="6"/>
      <c r="K2396" s="6"/>
      <c r="L2396" s="6"/>
      <c r="M2396" s="6"/>
      <c r="N2396" s="672"/>
      <c r="O2396" s="6"/>
      <c r="P2396" s="6"/>
      <c r="Q2396" s="6"/>
      <c r="R2396" s="6"/>
      <c r="S2396" s="6"/>
      <c r="T2396" s="6"/>
      <c r="U2396" s="6"/>
    </row>
    <row r="2397">
      <c r="A2397" s="6"/>
      <c r="B2397" s="6"/>
      <c r="C2397" s="6"/>
      <c r="D2397" s="6"/>
      <c r="E2397" s="6"/>
      <c r="G2397" s="6"/>
      <c r="H2397" s="6"/>
      <c r="I2397" s="6"/>
      <c r="J2397" s="6"/>
      <c r="K2397" s="6"/>
      <c r="L2397" s="6"/>
      <c r="M2397" s="6"/>
      <c r="N2397" s="672"/>
      <c r="O2397" s="6"/>
      <c r="P2397" s="6"/>
      <c r="Q2397" s="6"/>
      <c r="R2397" s="6"/>
      <c r="S2397" s="6"/>
      <c r="T2397" s="6"/>
      <c r="U2397" s="6"/>
    </row>
    <row r="2398">
      <c r="A2398" s="6"/>
      <c r="B2398" s="6"/>
      <c r="C2398" s="6"/>
      <c r="D2398" s="6"/>
      <c r="E2398" s="6"/>
      <c r="G2398" s="6"/>
      <c r="H2398" s="6"/>
      <c r="I2398" s="6"/>
      <c r="J2398" s="6"/>
      <c r="K2398" s="6"/>
      <c r="L2398" s="6"/>
      <c r="M2398" s="6"/>
      <c r="N2398" s="672"/>
      <c r="O2398" s="6"/>
      <c r="P2398" s="6"/>
      <c r="Q2398" s="6"/>
      <c r="R2398" s="6"/>
      <c r="S2398" s="6"/>
      <c r="T2398" s="6"/>
      <c r="U2398" s="6"/>
    </row>
    <row r="2399">
      <c r="A2399" s="6"/>
      <c r="B2399" s="6"/>
      <c r="C2399" s="6"/>
      <c r="D2399" s="6"/>
      <c r="E2399" s="6"/>
      <c r="G2399" s="6"/>
      <c r="H2399" s="6"/>
      <c r="I2399" s="6"/>
      <c r="J2399" s="6"/>
      <c r="K2399" s="6"/>
      <c r="L2399" s="6"/>
      <c r="M2399" s="6"/>
      <c r="N2399" s="672"/>
      <c r="O2399" s="6"/>
      <c r="P2399" s="6"/>
      <c r="Q2399" s="6"/>
      <c r="R2399" s="6"/>
      <c r="S2399" s="6"/>
      <c r="T2399" s="6"/>
      <c r="U2399" s="6"/>
    </row>
    <row r="2400">
      <c r="A2400" s="6"/>
      <c r="B2400" s="6"/>
      <c r="C2400" s="6"/>
      <c r="D2400" s="6"/>
      <c r="E2400" s="6"/>
      <c r="G2400" s="6"/>
      <c r="H2400" s="6"/>
      <c r="I2400" s="6"/>
      <c r="J2400" s="6"/>
      <c r="K2400" s="6"/>
      <c r="L2400" s="6"/>
      <c r="M2400" s="6"/>
      <c r="N2400" s="672"/>
      <c r="O2400" s="6"/>
      <c r="P2400" s="6"/>
      <c r="Q2400" s="6"/>
      <c r="R2400" s="6"/>
      <c r="S2400" s="6"/>
      <c r="T2400" s="6"/>
      <c r="U2400" s="6"/>
    </row>
    <row r="2401">
      <c r="A2401" s="6"/>
      <c r="B2401" s="6"/>
      <c r="C2401" s="6"/>
      <c r="D2401" s="6"/>
      <c r="E2401" s="6"/>
      <c r="G2401" s="6"/>
      <c r="H2401" s="6"/>
      <c r="I2401" s="6"/>
      <c r="J2401" s="6"/>
      <c r="K2401" s="6"/>
      <c r="L2401" s="6"/>
      <c r="M2401" s="6"/>
      <c r="N2401" s="672"/>
      <c r="O2401" s="6"/>
      <c r="P2401" s="6"/>
      <c r="Q2401" s="6"/>
      <c r="R2401" s="6"/>
      <c r="S2401" s="6"/>
      <c r="T2401" s="6"/>
      <c r="U2401" s="6"/>
    </row>
    <row r="2402">
      <c r="A2402" s="6"/>
      <c r="B2402" s="6"/>
      <c r="C2402" s="6"/>
      <c r="D2402" s="6"/>
      <c r="E2402" s="6"/>
      <c r="G2402" s="6"/>
      <c r="H2402" s="6"/>
      <c r="I2402" s="6"/>
      <c r="J2402" s="6"/>
      <c r="K2402" s="6"/>
      <c r="L2402" s="6"/>
      <c r="M2402" s="6"/>
      <c r="N2402" s="672"/>
      <c r="O2402" s="6"/>
      <c r="P2402" s="6"/>
      <c r="Q2402" s="6"/>
      <c r="R2402" s="6"/>
      <c r="S2402" s="6"/>
      <c r="T2402" s="6"/>
      <c r="U2402" s="6"/>
    </row>
    <row r="2403">
      <c r="A2403" s="6"/>
      <c r="B2403" s="6"/>
      <c r="C2403" s="6"/>
      <c r="D2403" s="6"/>
      <c r="E2403" s="6"/>
      <c r="G2403" s="6"/>
      <c r="H2403" s="6"/>
      <c r="I2403" s="6"/>
      <c r="J2403" s="6"/>
      <c r="K2403" s="6"/>
      <c r="L2403" s="6"/>
      <c r="M2403" s="6"/>
      <c r="N2403" s="672"/>
      <c r="O2403" s="6"/>
      <c r="P2403" s="6"/>
      <c r="Q2403" s="6"/>
      <c r="R2403" s="6"/>
      <c r="S2403" s="6"/>
      <c r="T2403" s="6"/>
      <c r="U2403" s="6"/>
    </row>
    <row r="2404">
      <c r="A2404" s="6"/>
      <c r="B2404" s="6"/>
      <c r="C2404" s="6"/>
      <c r="D2404" s="6"/>
      <c r="E2404" s="6"/>
      <c r="G2404" s="6"/>
      <c r="H2404" s="6"/>
      <c r="I2404" s="6"/>
      <c r="J2404" s="6"/>
      <c r="K2404" s="6"/>
      <c r="L2404" s="6"/>
      <c r="M2404" s="6"/>
      <c r="N2404" s="672"/>
      <c r="O2404" s="6"/>
      <c r="P2404" s="6"/>
      <c r="Q2404" s="6"/>
      <c r="R2404" s="6"/>
      <c r="S2404" s="6"/>
      <c r="T2404" s="6"/>
      <c r="U2404" s="6"/>
    </row>
    <row r="2405">
      <c r="A2405" s="6"/>
      <c r="B2405" s="6"/>
      <c r="C2405" s="6"/>
      <c r="D2405" s="6"/>
      <c r="E2405" s="6"/>
      <c r="G2405" s="6"/>
      <c r="H2405" s="6"/>
      <c r="I2405" s="6"/>
      <c r="J2405" s="6"/>
      <c r="K2405" s="6"/>
      <c r="L2405" s="6"/>
      <c r="M2405" s="6"/>
      <c r="N2405" s="672"/>
      <c r="O2405" s="6"/>
      <c r="P2405" s="6"/>
      <c r="Q2405" s="6"/>
      <c r="R2405" s="6"/>
      <c r="S2405" s="6"/>
      <c r="T2405" s="6"/>
      <c r="U2405" s="6"/>
    </row>
    <row r="2406">
      <c r="A2406" s="6"/>
      <c r="B2406" s="6"/>
      <c r="C2406" s="6"/>
      <c r="D2406" s="6"/>
      <c r="E2406" s="6"/>
      <c r="G2406" s="6"/>
      <c r="H2406" s="6"/>
      <c r="I2406" s="6"/>
      <c r="J2406" s="6"/>
      <c r="K2406" s="6"/>
      <c r="L2406" s="6"/>
      <c r="M2406" s="6"/>
      <c r="N2406" s="672"/>
      <c r="O2406" s="6"/>
      <c r="P2406" s="6"/>
      <c r="Q2406" s="6"/>
      <c r="R2406" s="6"/>
      <c r="S2406" s="6"/>
      <c r="T2406" s="6"/>
      <c r="U2406" s="6"/>
    </row>
    <row r="2407">
      <c r="A2407" s="6"/>
      <c r="B2407" s="6"/>
      <c r="C2407" s="6"/>
      <c r="D2407" s="6"/>
      <c r="E2407" s="6"/>
      <c r="G2407" s="6"/>
      <c r="H2407" s="6"/>
      <c r="I2407" s="6"/>
      <c r="J2407" s="6"/>
      <c r="K2407" s="6"/>
      <c r="L2407" s="6"/>
      <c r="M2407" s="6"/>
      <c r="N2407" s="672"/>
      <c r="O2407" s="6"/>
      <c r="P2407" s="6"/>
      <c r="Q2407" s="6"/>
      <c r="R2407" s="6"/>
      <c r="S2407" s="6"/>
      <c r="T2407" s="6"/>
      <c r="U2407" s="6"/>
    </row>
    <row r="2408">
      <c r="A2408" s="6"/>
      <c r="B2408" s="6"/>
      <c r="C2408" s="6"/>
      <c r="D2408" s="6"/>
      <c r="E2408" s="6"/>
      <c r="G2408" s="6"/>
      <c r="H2408" s="6"/>
      <c r="I2408" s="6"/>
      <c r="J2408" s="6"/>
      <c r="K2408" s="6"/>
      <c r="L2408" s="6"/>
      <c r="M2408" s="6"/>
      <c r="N2408" s="672"/>
      <c r="O2408" s="6"/>
      <c r="P2408" s="6"/>
      <c r="Q2408" s="6"/>
      <c r="R2408" s="6"/>
      <c r="S2408" s="6"/>
      <c r="T2408" s="6"/>
      <c r="U2408" s="6"/>
    </row>
    <row r="2409">
      <c r="A2409" s="6"/>
      <c r="B2409" s="6"/>
      <c r="C2409" s="6"/>
      <c r="D2409" s="6"/>
      <c r="E2409" s="6"/>
      <c r="G2409" s="6"/>
      <c r="H2409" s="6"/>
      <c r="I2409" s="6"/>
      <c r="J2409" s="6"/>
      <c r="K2409" s="6"/>
      <c r="L2409" s="6"/>
      <c r="M2409" s="6"/>
      <c r="N2409" s="672"/>
      <c r="O2409" s="6"/>
      <c r="P2409" s="6"/>
      <c r="Q2409" s="6"/>
      <c r="R2409" s="6"/>
      <c r="S2409" s="6"/>
      <c r="T2409" s="6"/>
      <c r="U2409" s="6"/>
    </row>
    <row r="2410">
      <c r="A2410" s="6"/>
      <c r="B2410" s="6"/>
      <c r="C2410" s="6"/>
      <c r="D2410" s="6"/>
      <c r="E2410" s="6"/>
      <c r="G2410" s="6"/>
      <c r="H2410" s="6"/>
      <c r="I2410" s="6"/>
      <c r="J2410" s="6"/>
      <c r="K2410" s="6"/>
      <c r="L2410" s="6"/>
      <c r="M2410" s="6"/>
      <c r="N2410" s="672"/>
      <c r="O2410" s="6"/>
      <c r="P2410" s="6"/>
      <c r="Q2410" s="6"/>
      <c r="R2410" s="6"/>
      <c r="S2410" s="6"/>
      <c r="T2410" s="6"/>
      <c r="U2410" s="6"/>
    </row>
    <row r="2411">
      <c r="A2411" s="6"/>
      <c r="B2411" s="6"/>
      <c r="C2411" s="6"/>
      <c r="D2411" s="6"/>
      <c r="E2411" s="6"/>
      <c r="G2411" s="6"/>
      <c r="H2411" s="6"/>
      <c r="I2411" s="6"/>
      <c r="J2411" s="6"/>
      <c r="K2411" s="6"/>
      <c r="L2411" s="6"/>
      <c r="M2411" s="6"/>
      <c r="N2411" s="672"/>
      <c r="O2411" s="6"/>
      <c r="P2411" s="6"/>
      <c r="Q2411" s="6"/>
      <c r="R2411" s="6"/>
      <c r="S2411" s="6"/>
      <c r="T2411" s="6"/>
      <c r="U2411" s="6"/>
    </row>
    <row r="2412">
      <c r="A2412" s="6"/>
      <c r="B2412" s="6"/>
      <c r="C2412" s="6"/>
      <c r="D2412" s="6"/>
      <c r="E2412" s="6"/>
      <c r="G2412" s="6"/>
      <c r="H2412" s="6"/>
      <c r="I2412" s="6"/>
      <c r="J2412" s="6"/>
      <c r="K2412" s="6"/>
      <c r="L2412" s="6"/>
      <c r="M2412" s="6"/>
      <c r="N2412" s="672"/>
      <c r="O2412" s="6"/>
      <c r="P2412" s="6"/>
      <c r="Q2412" s="6"/>
      <c r="R2412" s="6"/>
      <c r="S2412" s="6"/>
      <c r="T2412" s="6"/>
      <c r="U2412" s="6"/>
    </row>
    <row r="2413">
      <c r="A2413" s="6"/>
      <c r="B2413" s="6"/>
      <c r="C2413" s="6"/>
      <c r="D2413" s="6"/>
      <c r="E2413" s="6"/>
      <c r="G2413" s="6"/>
      <c r="H2413" s="6"/>
      <c r="I2413" s="6"/>
      <c r="J2413" s="6"/>
      <c r="K2413" s="6"/>
      <c r="L2413" s="6"/>
      <c r="M2413" s="6"/>
      <c r="N2413" s="672"/>
      <c r="O2413" s="6"/>
      <c r="P2413" s="6"/>
      <c r="Q2413" s="6"/>
      <c r="R2413" s="6"/>
      <c r="S2413" s="6"/>
      <c r="T2413" s="6"/>
      <c r="U2413" s="6"/>
    </row>
    <row r="2414">
      <c r="A2414" s="6"/>
      <c r="B2414" s="6"/>
      <c r="C2414" s="6"/>
      <c r="D2414" s="6"/>
      <c r="E2414" s="6"/>
      <c r="G2414" s="6"/>
      <c r="H2414" s="6"/>
      <c r="I2414" s="6"/>
      <c r="J2414" s="6"/>
      <c r="K2414" s="6"/>
      <c r="L2414" s="6"/>
      <c r="M2414" s="6"/>
      <c r="N2414" s="672"/>
      <c r="O2414" s="6"/>
      <c r="P2414" s="6"/>
      <c r="Q2414" s="6"/>
      <c r="R2414" s="6"/>
      <c r="S2414" s="6"/>
      <c r="T2414" s="6"/>
      <c r="U2414" s="6"/>
    </row>
    <row r="2415">
      <c r="A2415" s="6"/>
      <c r="B2415" s="6"/>
      <c r="C2415" s="6"/>
      <c r="D2415" s="6"/>
      <c r="E2415" s="6"/>
      <c r="G2415" s="6"/>
      <c r="H2415" s="6"/>
      <c r="I2415" s="6"/>
      <c r="J2415" s="6"/>
      <c r="K2415" s="6"/>
      <c r="L2415" s="6"/>
      <c r="M2415" s="6"/>
      <c r="N2415" s="672"/>
      <c r="O2415" s="6"/>
      <c r="P2415" s="6"/>
      <c r="Q2415" s="6"/>
      <c r="R2415" s="6"/>
      <c r="S2415" s="6"/>
      <c r="T2415" s="6"/>
      <c r="U2415" s="6"/>
    </row>
    <row r="2416">
      <c r="A2416" s="6"/>
      <c r="B2416" s="6"/>
      <c r="C2416" s="6"/>
      <c r="D2416" s="6"/>
      <c r="E2416" s="6"/>
      <c r="G2416" s="6"/>
      <c r="H2416" s="6"/>
      <c r="I2416" s="6"/>
      <c r="J2416" s="6"/>
      <c r="K2416" s="6"/>
      <c r="L2416" s="6"/>
      <c r="M2416" s="6"/>
      <c r="N2416" s="672"/>
      <c r="O2416" s="6"/>
      <c r="P2416" s="6"/>
      <c r="Q2416" s="6"/>
      <c r="R2416" s="6"/>
      <c r="S2416" s="6"/>
      <c r="T2416" s="6"/>
      <c r="U2416" s="6"/>
    </row>
    <row r="2417">
      <c r="A2417" s="6"/>
      <c r="B2417" s="6"/>
      <c r="C2417" s="6"/>
      <c r="D2417" s="6"/>
      <c r="E2417" s="6"/>
      <c r="G2417" s="6"/>
      <c r="H2417" s="6"/>
      <c r="I2417" s="6"/>
      <c r="J2417" s="6"/>
      <c r="K2417" s="6"/>
      <c r="L2417" s="6"/>
      <c r="M2417" s="6"/>
      <c r="N2417" s="672"/>
      <c r="O2417" s="6"/>
      <c r="P2417" s="6"/>
      <c r="Q2417" s="6"/>
      <c r="R2417" s="6"/>
      <c r="S2417" s="6"/>
      <c r="T2417" s="6"/>
      <c r="U2417" s="6"/>
    </row>
    <row r="2418">
      <c r="A2418" s="6"/>
      <c r="B2418" s="6"/>
      <c r="C2418" s="6"/>
      <c r="D2418" s="6"/>
      <c r="E2418" s="6"/>
      <c r="G2418" s="6"/>
      <c r="H2418" s="6"/>
      <c r="I2418" s="6"/>
      <c r="J2418" s="6"/>
      <c r="K2418" s="6"/>
      <c r="L2418" s="6"/>
      <c r="M2418" s="6"/>
      <c r="N2418" s="672"/>
      <c r="O2418" s="6"/>
      <c r="P2418" s="6"/>
      <c r="Q2418" s="6"/>
      <c r="R2418" s="6"/>
      <c r="S2418" s="6"/>
      <c r="T2418" s="6"/>
      <c r="U2418" s="6"/>
    </row>
    <row r="2419">
      <c r="A2419" s="6"/>
      <c r="B2419" s="6"/>
      <c r="C2419" s="6"/>
      <c r="D2419" s="6"/>
      <c r="E2419" s="6"/>
      <c r="G2419" s="6"/>
      <c r="H2419" s="6"/>
      <c r="I2419" s="6"/>
      <c r="J2419" s="6"/>
      <c r="K2419" s="6"/>
      <c r="L2419" s="6"/>
      <c r="M2419" s="6"/>
      <c r="N2419" s="672"/>
      <c r="O2419" s="6"/>
      <c r="P2419" s="6"/>
      <c r="Q2419" s="6"/>
      <c r="R2419" s="6"/>
      <c r="S2419" s="6"/>
      <c r="T2419" s="6"/>
      <c r="U2419" s="6"/>
    </row>
    <row r="2420">
      <c r="A2420" s="6"/>
      <c r="B2420" s="6"/>
      <c r="C2420" s="6"/>
      <c r="D2420" s="6"/>
      <c r="E2420" s="6"/>
      <c r="G2420" s="6"/>
      <c r="H2420" s="6"/>
      <c r="I2420" s="6"/>
      <c r="J2420" s="6"/>
      <c r="K2420" s="6"/>
      <c r="L2420" s="6"/>
      <c r="M2420" s="6"/>
      <c r="N2420" s="672"/>
      <c r="O2420" s="6"/>
      <c r="P2420" s="6"/>
      <c r="Q2420" s="6"/>
      <c r="R2420" s="6"/>
      <c r="S2420" s="6"/>
      <c r="T2420" s="6"/>
      <c r="U2420" s="6"/>
    </row>
    <row r="2421">
      <c r="A2421" s="6"/>
      <c r="B2421" s="6"/>
      <c r="C2421" s="6"/>
      <c r="D2421" s="6"/>
      <c r="E2421" s="6"/>
      <c r="G2421" s="6"/>
      <c r="H2421" s="6"/>
      <c r="I2421" s="6"/>
      <c r="J2421" s="6"/>
      <c r="K2421" s="6"/>
      <c r="L2421" s="6"/>
      <c r="M2421" s="6"/>
      <c r="N2421" s="672"/>
      <c r="O2421" s="6"/>
      <c r="P2421" s="6"/>
      <c r="Q2421" s="6"/>
      <c r="R2421" s="6"/>
      <c r="S2421" s="6"/>
      <c r="T2421" s="6"/>
      <c r="U2421" s="6"/>
    </row>
    <row r="2422">
      <c r="A2422" s="6"/>
      <c r="B2422" s="6"/>
      <c r="C2422" s="6"/>
      <c r="D2422" s="6"/>
      <c r="E2422" s="6"/>
      <c r="G2422" s="6"/>
      <c r="H2422" s="6"/>
      <c r="I2422" s="6"/>
      <c r="J2422" s="6"/>
      <c r="K2422" s="6"/>
      <c r="L2422" s="6"/>
      <c r="M2422" s="6"/>
      <c r="N2422" s="672"/>
      <c r="O2422" s="6"/>
      <c r="P2422" s="6"/>
      <c r="Q2422" s="6"/>
      <c r="R2422" s="6"/>
      <c r="S2422" s="6"/>
      <c r="T2422" s="6"/>
      <c r="U2422" s="6"/>
    </row>
    <row r="2423">
      <c r="A2423" s="6"/>
      <c r="B2423" s="6"/>
      <c r="C2423" s="6"/>
      <c r="D2423" s="6"/>
      <c r="E2423" s="6"/>
      <c r="G2423" s="6"/>
      <c r="H2423" s="6"/>
      <c r="I2423" s="6"/>
      <c r="J2423" s="6"/>
      <c r="K2423" s="6"/>
      <c r="L2423" s="6"/>
      <c r="M2423" s="6"/>
      <c r="N2423" s="672"/>
      <c r="O2423" s="6"/>
      <c r="P2423" s="6"/>
      <c r="Q2423" s="6"/>
      <c r="R2423" s="6"/>
      <c r="S2423" s="6"/>
      <c r="T2423" s="6"/>
      <c r="U2423" s="6"/>
    </row>
    <row r="2424">
      <c r="A2424" s="6"/>
      <c r="B2424" s="6"/>
      <c r="C2424" s="6"/>
      <c r="D2424" s="6"/>
      <c r="E2424" s="6"/>
      <c r="G2424" s="6"/>
      <c r="H2424" s="6"/>
      <c r="I2424" s="6"/>
      <c r="J2424" s="6"/>
      <c r="K2424" s="6"/>
      <c r="L2424" s="6"/>
      <c r="M2424" s="6"/>
      <c r="N2424" s="672"/>
      <c r="O2424" s="6"/>
      <c r="P2424" s="6"/>
      <c r="Q2424" s="6"/>
      <c r="R2424" s="6"/>
      <c r="S2424" s="6"/>
      <c r="T2424" s="6"/>
      <c r="U2424" s="6"/>
    </row>
    <row r="2425">
      <c r="A2425" s="6"/>
      <c r="B2425" s="6"/>
      <c r="C2425" s="6"/>
      <c r="D2425" s="6"/>
      <c r="E2425" s="6"/>
      <c r="G2425" s="6"/>
      <c r="H2425" s="6"/>
      <c r="I2425" s="6"/>
      <c r="J2425" s="6"/>
      <c r="K2425" s="6"/>
      <c r="L2425" s="6"/>
      <c r="M2425" s="6"/>
      <c r="N2425" s="672"/>
      <c r="O2425" s="6"/>
      <c r="P2425" s="6"/>
      <c r="Q2425" s="6"/>
      <c r="R2425" s="6"/>
      <c r="S2425" s="6"/>
      <c r="T2425" s="6"/>
      <c r="U2425" s="6"/>
    </row>
    <row r="2426">
      <c r="A2426" s="6"/>
      <c r="B2426" s="6"/>
      <c r="C2426" s="6"/>
      <c r="D2426" s="6"/>
      <c r="E2426" s="6"/>
      <c r="G2426" s="6"/>
      <c r="H2426" s="6"/>
      <c r="I2426" s="6"/>
      <c r="J2426" s="6"/>
      <c r="K2426" s="6"/>
      <c r="L2426" s="6"/>
      <c r="M2426" s="6"/>
      <c r="N2426" s="672"/>
      <c r="O2426" s="6"/>
      <c r="P2426" s="6"/>
      <c r="Q2426" s="6"/>
      <c r="R2426" s="6"/>
      <c r="S2426" s="6"/>
      <c r="T2426" s="6"/>
      <c r="U2426" s="6"/>
    </row>
    <row r="2427">
      <c r="A2427" s="6"/>
      <c r="B2427" s="6"/>
      <c r="C2427" s="6"/>
      <c r="D2427" s="6"/>
      <c r="E2427" s="6"/>
      <c r="G2427" s="6"/>
      <c r="H2427" s="6"/>
      <c r="I2427" s="6"/>
      <c r="J2427" s="6"/>
      <c r="K2427" s="6"/>
      <c r="L2427" s="6"/>
      <c r="M2427" s="6"/>
      <c r="N2427" s="672"/>
      <c r="O2427" s="6"/>
      <c r="P2427" s="6"/>
      <c r="Q2427" s="6"/>
      <c r="R2427" s="6"/>
      <c r="S2427" s="6"/>
      <c r="T2427" s="6"/>
      <c r="U2427" s="6"/>
    </row>
    <row r="2428">
      <c r="A2428" s="6"/>
      <c r="B2428" s="6"/>
      <c r="C2428" s="6"/>
      <c r="D2428" s="6"/>
      <c r="E2428" s="6"/>
      <c r="G2428" s="6"/>
      <c r="H2428" s="6"/>
      <c r="I2428" s="6"/>
      <c r="J2428" s="6"/>
      <c r="K2428" s="6"/>
      <c r="L2428" s="6"/>
      <c r="M2428" s="6"/>
      <c r="N2428" s="672"/>
      <c r="O2428" s="6"/>
      <c r="P2428" s="6"/>
      <c r="Q2428" s="6"/>
      <c r="R2428" s="6"/>
      <c r="S2428" s="6"/>
      <c r="T2428" s="6"/>
      <c r="U2428" s="6"/>
    </row>
    <row r="2429">
      <c r="A2429" s="6"/>
      <c r="B2429" s="6"/>
      <c r="C2429" s="6"/>
      <c r="D2429" s="6"/>
      <c r="E2429" s="6"/>
      <c r="G2429" s="6"/>
      <c r="H2429" s="6"/>
      <c r="I2429" s="6"/>
      <c r="J2429" s="6"/>
      <c r="K2429" s="6"/>
      <c r="L2429" s="6"/>
      <c r="M2429" s="6"/>
      <c r="N2429" s="672"/>
      <c r="O2429" s="6"/>
      <c r="P2429" s="6"/>
      <c r="Q2429" s="6"/>
      <c r="R2429" s="6"/>
      <c r="S2429" s="6"/>
      <c r="T2429" s="6"/>
      <c r="U2429" s="6"/>
    </row>
    <row r="2430">
      <c r="A2430" s="6"/>
      <c r="B2430" s="6"/>
      <c r="C2430" s="6"/>
      <c r="D2430" s="6"/>
      <c r="E2430" s="6"/>
      <c r="G2430" s="6"/>
      <c r="H2430" s="6"/>
      <c r="I2430" s="6"/>
      <c r="J2430" s="6"/>
      <c r="K2430" s="6"/>
      <c r="L2430" s="6"/>
      <c r="M2430" s="6"/>
      <c r="N2430" s="672"/>
      <c r="O2430" s="6"/>
      <c r="P2430" s="6"/>
      <c r="Q2430" s="6"/>
      <c r="R2430" s="6"/>
      <c r="S2430" s="6"/>
      <c r="T2430" s="6"/>
      <c r="U2430" s="6"/>
    </row>
    <row r="2431">
      <c r="A2431" s="6"/>
      <c r="B2431" s="6"/>
      <c r="C2431" s="6"/>
      <c r="D2431" s="6"/>
      <c r="E2431" s="6"/>
      <c r="G2431" s="6"/>
      <c r="H2431" s="6"/>
      <c r="I2431" s="6"/>
      <c r="J2431" s="6"/>
      <c r="K2431" s="6"/>
      <c r="L2431" s="6"/>
      <c r="M2431" s="6"/>
      <c r="N2431" s="672"/>
      <c r="O2431" s="6"/>
      <c r="P2431" s="6"/>
      <c r="Q2431" s="6"/>
      <c r="R2431" s="6"/>
      <c r="S2431" s="6"/>
      <c r="T2431" s="6"/>
      <c r="U2431" s="6"/>
    </row>
    <row r="2432">
      <c r="A2432" s="6"/>
      <c r="B2432" s="6"/>
      <c r="C2432" s="6"/>
      <c r="D2432" s="6"/>
      <c r="E2432" s="6"/>
      <c r="G2432" s="6"/>
      <c r="H2432" s="6"/>
      <c r="I2432" s="6"/>
      <c r="J2432" s="6"/>
      <c r="K2432" s="6"/>
      <c r="L2432" s="6"/>
      <c r="M2432" s="6"/>
      <c r="N2432" s="672"/>
      <c r="O2432" s="6"/>
      <c r="P2432" s="6"/>
      <c r="Q2432" s="6"/>
      <c r="R2432" s="6"/>
      <c r="S2432" s="6"/>
      <c r="T2432" s="6"/>
      <c r="U2432" s="6"/>
    </row>
    <row r="2433">
      <c r="A2433" s="6"/>
      <c r="B2433" s="6"/>
      <c r="C2433" s="6"/>
      <c r="D2433" s="6"/>
      <c r="E2433" s="6"/>
      <c r="G2433" s="6"/>
      <c r="H2433" s="6"/>
      <c r="I2433" s="6"/>
      <c r="J2433" s="6"/>
      <c r="K2433" s="6"/>
      <c r="L2433" s="6"/>
      <c r="M2433" s="6"/>
      <c r="N2433" s="672"/>
      <c r="O2433" s="6"/>
      <c r="P2433" s="6"/>
      <c r="Q2433" s="6"/>
      <c r="R2433" s="6"/>
      <c r="S2433" s="6"/>
      <c r="T2433" s="6"/>
      <c r="U2433" s="6"/>
    </row>
    <row r="2434">
      <c r="A2434" s="6"/>
      <c r="B2434" s="6"/>
      <c r="C2434" s="6"/>
      <c r="D2434" s="6"/>
      <c r="E2434" s="6"/>
      <c r="G2434" s="6"/>
      <c r="H2434" s="6"/>
      <c r="I2434" s="6"/>
      <c r="J2434" s="6"/>
      <c r="K2434" s="6"/>
      <c r="L2434" s="6"/>
      <c r="M2434" s="6"/>
      <c r="N2434" s="672"/>
      <c r="O2434" s="6"/>
      <c r="P2434" s="6"/>
      <c r="Q2434" s="6"/>
      <c r="R2434" s="6"/>
      <c r="S2434" s="6"/>
      <c r="T2434" s="6"/>
      <c r="U2434" s="6"/>
    </row>
    <row r="2435">
      <c r="A2435" s="6"/>
      <c r="B2435" s="6"/>
      <c r="C2435" s="6"/>
      <c r="D2435" s="6"/>
      <c r="E2435" s="6"/>
      <c r="G2435" s="6"/>
      <c r="H2435" s="6"/>
      <c r="I2435" s="6"/>
      <c r="J2435" s="6"/>
      <c r="K2435" s="6"/>
      <c r="L2435" s="6"/>
      <c r="M2435" s="6"/>
      <c r="N2435" s="672"/>
      <c r="O2435" s="6"/>
      <c r="P2435" s="6"/>
      <c r="Q2435" s="6"/>
      <c r="R2435" s="6"/>
      <c r="S2435" s="6"/>
      <c r="T2435" s="6"/>
      <c r="U2435" s="6"/>
    </row>
    <row r="2436">
      <c r="A2436" s="6"/>
      <c r="B2436" s="6"/>
      <c r="C2436" s="6"/>
      <c r="D2436" s="6"/>
      <c r="E2436" s="6"/>
      <c r="G2436" s="6"/>
      <c r="H2436" s="6"/>
      <c r="I2436" s="6"/>
      <c r="J2436" s="6"/>
      <c r="K2436" s="6"/>
      <c r="L2436" s="6"/>
      <c r="M2436" s="6"/>
      <c r="N2436" s="672"/>
      <c r="O2436" s="6"/>
      <c r="P2436" s="6"/>
      <c r="Q2436" s="6"/>
      <c r="R2436" s="6"/>
      <c r="S2436" s="6"/>
      <c r="T2436" s="6"/>
      <c r="U2436" s="6"/>
    </row>
    <row r="2437">
      <c r="A2437" s="6"/>
      <c r="B2437" s="6"/>
      <c r="C2437" s="6"/>
      <c r="D2437" s="6"/>
      <c r="E2437" s="6"/>
      <c r="G2437" s="6"/>
      <c r="H2437" s="6"/>
      <c r="I2437" s="6"/>
      <c r="J2437" s="6"/>
      <c r="K2437" s="6"/>
      <c r="L2437" s="6"/>
      <c r="M2437" s="6"/>
      <c r="N2437" s="672"/>
      <c r="O2437" s="6"/>
      <c r="P2437" s="6"/>
      <c r="Q2437" s="6"/>
      <c r="R2437" s="6"/>
      <c r="S2437" s="6"/>
      <c r="T2437" s="6"/>
      <c r="U2437" s="6"/>
    </row>
    <row r="2438">
      <c r="A2438" s="6"/>
      <c r="B2438" s="6"/>
      <c r="C2438" s="6"/>
      <c r="D2438" s="6"/>
      <c r="E2438" s="6"/>
      <c r="G2438" s="6"/>
      <c r="H2438" s="6"/>
      <c r="I2438" s="6"/>
      <c r="J2438" s="6"/>
      <c r="K2438" s="6"/>
      <c r="L2438" s="6"/>
      <c r="M2438" s="6"/>
      <c r="N2438" s="672"/>
      <c r="O2438" s="6"/>
      <c r="P2438" s="6"/>
      <c r="Q2438" s="6"/>
      <c r="R2438" s="6"/>
      <c r="S2438" s="6"/>
      <c r="T2438" s="6"/>
      <c r="U2438" s="6"/>
    </row>
    <row r="2439">
      <c r="A2439" s="6"/>
      <c r="B2439" s="6"/>
      <c r="C2439" s="6"/>
      <c r="D2439" s="6"/>
      <c r="E2439" s="6"/>
      <c r="G2439" s="6"/>
      <c r="H2439" s="6"/>
      <c r="I2439" s="6"/>
      <c r="J2439" s="6"/>
      <c r="K2439" s="6"/>
      <c r="L2439" s="6"/>
      <c r="M2439" s="6"/>
      <c r="N2439" s="672"/>
      <c r="O2439" s="6"/>
      <c r="P2439" s="6"/>
      <c r="Q2439" s="6"/>
      <c r="R2439" s="6"/>
      <c r="S2439" s="6"/>
      <c r="T2439" s="6"/>
      <c r="U2439" s="6"/>
    </row>
    <row r="2440">
      <c r="A2440" s="6"/>
      <c r="B2440" s="6"/>
      <c r="C2440" s="6"/>
      <c r="D2440" s="6"/>
      <c r="E2440" s="6"/>
      <c r="G2440" s="6"/>
      <c r="H2440" s="6"/>
      <c r="I2440" s="6"/>
      <c r="J2440" s="6"/>
      <c r="K2440" s="6"/>
      <c r="L2440" s="6"/>
      <c r="M2440" s="6"/>
      <c r="N2440" s="672"/>
      <c r="O2440" s="6"/>
      <c r="P2440" s="6"/>
      <c r="Q2440" s="6"/>
      <c r="R2440" s="6"/>
      <c r="S2440" s="6"/>
      <c r="T2440" s="6"/>
      <c r="U2440" s="6"/>
    </row>
    <row r="2441">
      <c r="A2441" s="6"/>
      <c r="B2441" s="6"/>
      <c r="C2441" s="6"/>
      <c r="D2441" s="6"/>
      <c r="E2441" s="6"/>
      <c r="G2441" s="6"/>
      <c r="H2441" s="6"/>
      <c r="I2441" s="6"/>
      <c r="J2441" s="6"/>
      <c r="K2441" s="6"/>
      <c r="L2441" s="6"/>
      <c r="M2441" s="6"/>
      <c r="N2441" s="672"/>
      <c r="O2441" s="6"/>
      <c r="P2441" s="6"/>
      <c r="Q2441" s="6"/>
      <c r="R2441" s="6"/>
      <c r="S2441" s="6"/>
      <c r="T2441" s="6"/>
      <c r="U2441" s="6"/>
    </row>
    <row r="2442">
      <c r="A2442" s="6"/>
      <c r="B2442" s="6"/>
      <c r="C2442" s="6"/>
      <c r="D2442" s="6"/>
      <c r="E2442" s="6"/>
      <c r="G2442" s="6"/>
      <c r="H2442" s="6"/>
      <c r="I2442" s="6"/>
      <c r="J2442" s="6"/>
      <c r="K2442" s="6"/>
      <c r="L2442" s="6"/>
      <c r="M2442" s="6"/>
      <c r="N2442" s="672"/>
      <c r="O2442" s="6"/>
      <c r="P2442" s="6"/>
      <c r="Q2442" s="6"/>
      <c r="R2442" s="6"/>
      <c r="S2442" s="6"/>
      <c r="T2442" s="6"/>
      <c r="U2442" s="6"/>
    </row>
    <row r="2443">
      <c r="A2443" s="6"/>
      <c r="B2443" s="6"/>
      <c r="C2443" s="6"/>
      <c r="D2443" s="6"/>
      <c r="E2443" s="6"/>
      <c r="G2443" s="6"/>
      <c r="H2443" s="6"/>
      <c r="I2443" s="6"/>
      <c r="J2443" s="6"/>
      <c r="K2443" s="6"/>
      <c r="L2443" s="6"/>
      <c r="M2443" s="6"/>
      <c r="N2443" s="672"/>
      <c r="O2443" s="6"/>
      <c r="P2443" s="6"/>
      <c r="Q2443" s="6"/>
      <c r="R2443" s="6"/>
      <c r="S2443" s="6"/>
      <c r="T2443" s="6"/>
      <c r="U2443" s="6"/>
    </row>
    <row r="2444">
      <c r="A2444" s="6"/>
      <c r="B2444" s="6"/>
      <c r="C2444" s="6"/>
      <c r="D2444" s="6"/>
      <c r="E2444" s="6"/>
      <c r="G2444" s="6"/>
      <c r="H2444" s="6"/>
      <c r="I2444" s="6"/>
      <c r="J2444" s="6"/>
      <c r="K2444" s="6"/>
      <c r="L2444" s="6"/>
      <c r="M2444" s="6"/>
      <c r="N2444" s="672"/>
      <c r="O2444" s="6"/>
      <c r="P2444" s="6"/>
      <c r="Q2444" s="6"/>
      <c r="R2444" s="6"/>
      <c r="S2444" s="6"/>
      <c r="T2444" s="6"/>
      <c r="U2444" s="6"/>
    </row>
    <row r="2445">
      <c r="A2445" s="6"/>
      <c r="B2445" s="6"/>
      <c r="C2445" s="6"/>
      <c r="D2445" s="6"/>
      <c r="E2445" s="6"/>
      <c r="G2445" s="6"/>
      <c r="H2445" s="6"/>
      <c r="I2445" s="6"/>
      <c r="J2445" s="6"/>
      <c r="K2445" s="6"/>
      <c r="L2445" s="6"/>
      <c r="M2445" s="6"/>
      <c r="N2445" s="672"/>
      <c r="O2445" s="6"/>
      <c r="P2445" s="6"/>
      <c r="Q2445" s="6"/>
      <c r="R2445" s="6"/>
      <c r="S2445" s="6"/>
      <c r="T2445" s="6"/>
      <c r="U2445" s="6"/>
    </row>
    <row r="2446">
      <c r="A2446" s="6"/>
      <c r="B2446" s="6"/>
      <c r="C2446" s="6"/>
      <c r="D2446" s="6"/>
      <c r="E2446" s="6"/>
      <c r="G2446" s="6"/>
      <c r="H2446" s="6"/>
      <c r="I2446" s="6"/>
      <c r="J2446" s="6"/>
      <c r="K2446" s="6"/>
      <c r="L2446" s="6"/>
      <c r="M2446" s="6"/>
      <c r="N2446" s="672"/>
      <c r="O2446" s="6"/>
      <c r="P2446" s="6"/>
      <c r="Q2446" s="6"/>
      <c r="R2446" s="6"/>
      <c r="S2446" s="6"/>
      <c r="T2446" s="6"/>
      <c r="U2446" s="6"/>
    </row>
    <row r="2447">
      <c r="A2447" s="6"/>
      <c r="B2447" s="6"/>
      <c r="C2447" s="6"/>
      <c r="D2447" s="6"/>
      <c r="E2447" s="6"/>
      <c r="G2447" s="6"/>
      <c r="H2447" s="6"/>
      <c r="I2447" s="6"/>
      <c r="J2447" s="6"/>
      <c r="K2447" s="6"/>
      <c r="L2447" s="6"/>
      <c r="M2447" s="6"/>
      <c r="N2447" s="672"/>
      <c r="O2447" s="6"/>
      <c r="P2447" s="6"/>
      <c r="Q2447" s="6"/>
      <c r="R2447" s="6"/>
      <c r="S2447" s="6"/>
      <c r="T2447" s="6"/>
      <c r="U2447" s="6"/>
    </row>
    <row r="2448">
      <c r="A2448" s="6"/>
      <c r="B2448" s="6"/>
      <c r="C2448" s="6"/>
      <c r="D2448" s="6"/>
      <c r="E2448" s="6"/>
      <c r="G2448" s="6"/>
      <c r="H2448" s="6"/>
      <c r="I2448" s="6"/>
      <c r="J2448" s="6"/>
      <c r="K2448" s="6"/>
      <c r="L2448" s="6"/>
      <c r="M2448" s="6"/>
      <c r="N2448" s="672"/>
      <c r="O2448" s="6"/>
      <c r="P2448" s="6"/>
      <c r="Q2448" s="6"/>
      <c r="R2448" s="6"/>
      <c r="S2448" s="6"/>
      <c r="T2448" s="6"/>
      <c r="U2448" s="6"/>
    </row>
    <row r="2449">
      <c r="A2449" s="6"/>
      <c r="B2449" s="6"/>
      <c r="C2449" s="6"/>
      <c r="D2449" s="6"/>
      <c r="E2449" s="6"/>
      <c r="G2449" s="6"/>
      <c r="H2449" s="6"/>
      <c r="I2449" s="6"/>
      <c r="J2449" s="6"/>
      <c r="K2449" s="6"/>
      <c r="L2449" s="6"/>
      <c r="M2449" s="6"/>
      <c r="N2449" s="672"/>
      <c r="O2449" s="6"/>
      <c r="P2449" s="6"/>
      <c r="Q2449" s="6"/>
      <c r="R2449" s="6"/>
      <c r="S2449" s="6"/>
      <c r="T2449" s="6"/>
      <c r="U2449" s="6"/>
    </row>
    <row r="2450">
      <c r="A2450" s="6"/>
      <c r="B2450" s="6"/>
      <c r="C2450" s="6"/>
      <c r="D2450" s="6"/>
      <c r="E2450" s="6"/>
      <c r="G2450" s="6"/>
      <c r="H2450" s="6"/>
      <c r="I2450" s="6"/>
      <c r="J2450" s="6"/>
      <c r="K2450" s="6"/>
      <c r="L2450" s="6"/>
      <c r="M2450" s="6"/>
      <c r="N2450" s="672"/>
      <c r="O2450" s="6"/>
      <c r="P2450" s="6"/>
      <c r="Q2450" s="6"/>
      <c r="R2450" s="6"/>
      <c r="S2450" s="6"/>
      <c r="T2450" s="6"/>
      <c r="U2450" s="6"/>
    </row>
    <row r="2451">
      <c r="A2451" s="6"/>
      <c r="B2451" s="6"/>
      <c r="C2451" s="6"/>
      <c r="D2451" s="6"/>
      <c r="E2451" s="6"/>
      <c r="G2451" s="6"/>
      <c r="H2451" s="6"/>
      <c r="I2451" s="6"/>
      <c r="J2451" s="6"/>
      <c r="K2451" s="6"/>
      <c r="L2451" s="6"/>
      <c r="M2451" s="6"/>
      <c r="N2451" s="672"/>
      <c r="O2451" s="6"/>
      <c r="P2451" s="6"/>
      <c r="Q2451" s="6"/>
      <c r="R2451" s="6"/>
      <c r="S2451" s="6"/>
      <c r="T2451" s="6"/>
      <c r="U2451" s="6"/>
    </row>
    <row r="2452">
      <c r="A2452" s="6"/>
      <c r="B2452" s="6"/>
      <c r="C2452" s="6"/>
      <c r="D2452" s="6"/>
      <c r="E2452" s="6"/>
      <c r="G2452" s="6"/>
      <c r="H2452" s="6"/>
      <c r="I2452" s="6"/>
      <c r="J2452" s="6"/>
      <c r="K2452" s="6"/>
      <c r="L2452" s="6"/>
      <c r="M2452" s="6"/>
      <c r="N2452" s="672"/>
      <c r="O2452" s="6"/>
      <c r="P2452" s="6"/>
      <c r="Q2452" s="6"/>
      <c r="R2452" s="6"/>
      <c r="S2452" s="6"/>
      <c r="T2452" s="6"/>
      <c r="U2452" s="6"/>
    </row>
    <row r="2453">
      <c r="A2453" s="6"/>
      <c r="B2453" s="6"/>
      <c r="C2453" s="6"/>
      <c r="D2453" s="6"/>
      <c r="E2453" s="6"/>
      <c r="G2453" s="6"/>
      <c r="H2453" s="6"/>
      <c r="I2453" s="6"/>
      <c r="J2453" s="6"/>
      <c r="K2453" s="6"/>
      <c r="L2453" s="6"/>
      <c r="M2453" s="6"/>
      <c r="N2453" s="672"/>
      <c r="O2453" s="6"/>
      <c r="P2453" s="6"/>
      <c r="Q2453" s="6"/>
      <c r="R2453" s="6"/>
      <c r="S2453" s="6"/>
      <c r="T2453" s="6"/>
      <c r="U2453" s="6"/>
    </row>
    <row r="2454">
      <c r="A2454" s="6"/>
      <c r="B2454" s="6"/>
      <c r="C2454" s="6"/>
      <c r="D2454" s="6"/>
      <c r="E2454" s="6"/>
      <c r="G2454" s="6"/>
      <c r="H2454" s="6"/>
      <c r="I2454" s="6"/>
      <c r="J2454" s="6"/>
      <c r="K2454" s="6"/>
      <c r="L2454" s="6"/>
      <c r="M2454" s="6"/>
      <c r="N2454" s="672"/>
      <c r="O2454" s="6"/>
      <c r="P2454" s="6"/>
      <c r="Q2454" s="6"/>
      <c r="R2454" s="6"/>
      <c r="S2454" s="6"/>
      <c r="T2454" s="6"/>
      <c r="U2454" s="6"/>
    </row>
    <row r="2455">
      <c r="A2455" s="6"/>
      <c r="B2455" s="6"/>
      <c r="C2455" s="6"/>
      <c r="D2455" s="6"/>
      <c r="E2455" s="6"/>
      <c r="G2455" s="6"/>
      <c r="H2455" s="6"/>
      <c r="I2455" s="6"/>
      <c r="J2455" s="6"/>
      <c r="K2455" s="6"/>
      <c r="L2455" s="6"/>
      <c r="M2455" s="6"/>
      <c r="N2455" s="672"/>
      <c r="O2455" s="6"/>
      <c r="P2455" s="6"/>
      <c r="Q2455" s="6"/>
      <c r="R2455" s="6"/>
      <c r="S2455" s="6"/>
      <c r="T2455" s="6"/>
      <c r="U2455" s="6"/>
    </row>
    <row r="2456">
      <c r="A2456" s="6"/>
      <c r="B2456" s="6"/>
      <c r="C2456" s="6"/>
      <c r="D2456" s="6"/>
      <c r="E2456" s="6"/>
      <c r="G2456" s="6"/>
      <c r="H2456" s="6"/>
      <c r="I2456" s="6"/>
      <c r="J2456" s="6"/>
      <c r="K2456" s="6"/>
      <c r="L2456" s="6"/>
      <c r="M2456" s="6"/>
      <c r="N2456" s="672"/>
      <c r="O2456" s="6"/>
      <c r="P2456" s="6"/>
      <c r="Q2456" s="6"/>
      <c r="R2456" s="6"/>
      <c r="S2456" s="6"/>
      <c r="T2456" s="6"/>
      <c r="U2456" s="6"/>
    </row>
    <row r="2457">
      <c r="A2457" s="6"/>
      <c r="B2457" s="6"/>
      <c r="C2457" s="6"/>
      <c r="D2457" s="6"/>
      <c r="E2457" s="6"/>
      <c r="G2457" s="6"/>
      <c r="H2457" s="6"/>
      <c r="I2457" s="6"/>
      <c r="J2457" s="6"/>
      <c r="K2457" s="6"/>
      <c r="L2457" s="6"/>
      <c r="M2457" s="6"/>
      <c r="N2457" s="672"/>
      <c r="O2457" s="6"/>
      <c r="P2457" s="6"/>
      <c r="Q2457" s="6"/>
      <c r="R2457" s="6"/>
      <c r="S2457" s="6"/>
      <c r="T2457" s="6"/>
      <c r="U2457" s="6"/>
    </row>
    <row r="2458">
      <c r="A2458" s="6"/>
      <c r="B2458" s="6"/>
      <c r="C2458" s="6"/>
      <c r="D2458" s="6"/>
      <c r="E2458" s="6"/>
      <c r="G2458" s="6"/>
      <c r="H2458" s="6"/>
      <c r="I2458" s="6"/>
      <c r="J2458" s="6"/>
      <c r="K2458" s="6"/>
      <c r="L2458" s="6"/>
      <c r="M2458" s="6"/>
      <c r="N2458" s="672"/>
      <c r="O2458" s="6"/>
      <c r="P2458" s="6"/>
      <c r="Q2458" s="6"/>
      <c r="R2458" s="6"/>
      <c r="S2458" s="6"/>
      <c r="T2458" s="6"/>
      <c r="U2458" s="6"/>
    </row>
    <row r="2459">
      <c r="A2459" s="6"/>
      <c r="B2459" s="6"/>
      <c r="C2459" s="6"/>
      <c r="D2459" s="6"/>
      <c r="E2459" s="6"/>
      <c r="G2459" s="6"/>
      <c r="H2459" s="6"/>
      <c r="I2459" s="6"/>
      <c r="J2459" s="6"/>
      <c r="K2459" s="6"/>
      <c r="L2459" s="6"/>
      <c r="M2459" s="6"/>
      <c r="N2459" s="672"/>
      <c r="O2459" s="6"/>
      <c r="P2459" s="6"/>
      <c r="Q2459" s="6"/>
      <c r="R2459" s="6"/>
      <c r="S2459" s="6"/>
      <c r="T2459" s="6"/>
      <c r="U2459" s="6"/>
    </row>
    <row r="2460">
      <c r="A2460" s="6"/>
      <c r="B2460" s="6"/>
      <c r="C2460" s="6"/>
      <c r="D2460" s="6"/>
      <c r="E2460" s="6"/>
      <c r="G2460" s="6"/>
      <c r="H2460" s="6"/>
      <c r="I2460" s="6"/>
      <c r="J2460" s="6"/>
      <c r="K2460" s="6"/>
      <c r="L2460" s="6"/>
      <c r="M2460" s="6"/>
      <c r="N2460" s="672"/>
      <c r="O2460" s="6"/>
      <c r="P2460" s="6"/>
      <c r="Q2460" s="6"/>
      <c r="R2460" s="6"/>
      <c r="S2460" s="6"/>
      <c r="T2460" s="6"/>
      <c r="U2460" s="6"/>
    </row>
    <row r="2461">
      <c r="A2461" s="6"/>
      <c r="B2461" s="6"/>
      <c r="C2461" s="6"/>
      <c r="D2461" s="6"/>
      <c r="E2461" s="6"/>
      <c r="G2461" s="6"/>
      <c r="H2461" s="6"/>
      <c r="I2461" s="6"/>
      <c r="J2461" s="6"/>
      <c r="K2461" s="6"/>
      <c r="L2461" s="6"/>
      <c r="M2461" s="6"/>
      <c r="N2461" s="672"/>
      <c r="O2461" s="6"/>
      <c r="P2461" s="6"/>
      <c r="Q2461" s="6"/>
      <c r="R2461" s="6"/>
      <c r="S2461" s="6"/>
      <c r="T2461" s="6"/>
      <c r="U2461" s="6"/>
    </row>
    <row r="2462">
      <c r="A2462" s="6"/>
      <c r="B2462" s="6"/>
      <c r="C2462" s="6"/>
      <c r="D2462" s="6"/>
      <c r="E2462" s="6"/>
      <c r="G2462" s="6"/>
      <c r="H2462" s="6"/>
      <c r="I2462" s="6"/>
      <c r="J2462" s="6"/>
      <c r="K2462" s="6"/>
      <c r="L2462" s="6"/>
      <c r="M2462" s="6"/>
      <c r="N2462" s="672"/>
      <c r="O2462" s="6"/>
      <c r="P2462" s="6"/>
      <c r="Q2462" s="6"/>
      <c r="R2462" s="6"/>
      <c r="S2462" s="6"/>
      <c r="T2462" s="6"/>
      <c r="U2462" s="6"/>
    </row>
    <row r="2463">
      <c r="A2463" s="6"/>
      <c r="B2463" s="6"/>
      <c r="C2463" s="6"/>
      <c r="D2463" s="6"/>
      <c r="E2463" s="6"/>
      <c r="G2463" s="6"/>
      <c r="H2463" s="6"/>
      <c r="I2463" s="6"/>
      <c r="J2463" s="6"/>
      <c r="K2463" s="6"/>
      <c r="L2463" s="6"/>
      <c r="M2463" s="6"/>
      <c r="N2463" s="672"/>
      <c r="O2463" s="6"/>
      <c r="P2463" s="6"/>
      <c r="Q2463" s="6"/>
      <c r="R2463" s="6"/>
      <c r="S2463" s="6"/>
      <c r="T2463" s="6"/>
      <c r="U2463" s="6"/>
    </row>
    <row r="2464">
      <c r="A2464" s="6"/>
      <c r="B2464" s="6"/>
      <c r="C2464" s="6"/>
      <c r="D2464" s="6"/>
      <c r="E2464" s="6"/>
      <c r="G2464" s="6"/>
      <c r="H2464" s="6"/>
      <c r="I2464" s="6"/>
      <c r="J2464" s="6"/>
      <c r="K2464" s="6"/>
      <c r="L2464" s="6"/>
      <c r="M2464" s="6"/>
      <c r="N2464" s="672"/>
      <c r="O2464" s="6"/>
      <c r="P2464" s="6"/>
      <c r="Q2464" s="6"/>
      <c r="R2464" s="6"/>
      <c r="S2464" s="6"/>
      <c r="T2464" s="6"/>
      <c r="U2464" s="6"/>
    </row>
    <row r="2465">
      <c r="A2465" s="6"/>
      <c r="B2465" s="6"/>
      <c r="C2465" s="6"/>
      <c r="D2465" s="6"/>
      <c r="E2465" s="6"/>
      <c r="G2465" s="6"/>
      <c r="H2465" s="6"/>
      <c r="I2465" s="6"/>
      <c r="J2465" s="6"/>
      <c r="K2465" s="6"/>
      <c r="L2465" s="6"/>
      <c r="M2465" s="6"/>
      <c r="N2465" s="672"/>
      <c r="O2465" s="6"/>
      <c r="P2465" s="6"/>
      <c r="Q2465" s="6"/>
      <c r="R2465" s="6"/>
      <c r="S2465" s="6"/>
      <c r="T2465" s="6"/>
      <c r="U2465" s="6"/>
    </row>
    <row r="2466">
      <c r="A2466" s="6"/>
      <c r="B2466" s="6"/>
      <c r="C2466" s="6"/>
      <c r="D2466" s="6"/>
      <c r="E2466" s="6"/>
      <c r="G2466" s="6"/>
      <c r="H2466" s="6"/>
      <c r="I2466" s="6"/>
      <c r="J2466" s="6"/>
      <c r="K2466" s="6"/>
      <c r="L2466" s="6"/>
      <c r="M2466" s="6"/>
      <c r="N2466" s="672"/>
      <c r="O2466" s="6"/>
      <c r="P2466" s="6"/>
      <c r="Q2466" s="6"/>
      <c r="R2466" s="6"/>
      <c r="S2466" s="6"/>
      <c r="T2466" s="6"/>
      <c r="U2466" s="6"/>
    </row>
    <row r="2467">
      <c r="A2467" s="6"/>
      <c r="B2467" s="6"/>
      <c r="C2467" s="6"/>
      <c r="D2467" s="6"/>
      <c r="E2467" s="6"/>
      <c r="G2467" s="6"/>
      <c r="H2467" s="6"/>
      <c r="I2467" s="6"/>
      <c r="J2467" s="6"/>
      <c r="K2467" s="6"/>
      <c r="L2467" s="6"/>
      <c r="M2467" s="6"/>
      <c r="N2467" s="672"/>
      <c r="O2467" s="6"/>
      <c r="P2467" s="6"/>
      <c r="Q2467" s="6"/>
      <c r="R2467" s="6"/>
      <c r="S2467" s="6"/>
      <c r="T2467" s="6"/>
      <c r="U2467" s="6"/>
    </row>
    <row r="2468">
      <c r="A2468" s="6"/>
      <c r="B2468" s="6"/>
      <c r="C2468" s="6"/>
      <c r="D2468" s="6"/>
      <c r="E2468" s="6"/>
      <c r="G2468" s="6"/>
      <c r="H2468" s="6"/>
      <c r="I2468" s="6"/>
      <c r="J2468" s="6"/>
      <c r="K2468" s="6"/>
      <c r="L2468" s="6"/>
      <c r="M2468" s="6"/>
      <c r="N2468" s="672"/>
      <c r="O2468" s="6"/>
      <c r="P2468" s="6"/>
      <c r="Q2468" s="6"/>
      <c r="R2468" s="6"/>
      <c r="S2468" s="6"/>
      <c r="T2468" s="6"/>
      <c r="U2468" s="6"/>
    </row>
    <row r="2469">
      <c r="A2469" s="6"/>
      <c r="B2469" s="6"/>
      <c r="C2469" s="6"/>
      <c r="D2469" s="6"/>
      <c r="E2469" s="6"/>
      <c r="G2469" s="6"/>
      <c r="H2469" s="6"/>
      <c r="I2469" s="6"/>
      <c r="J2469" s="6"/>
      <c r="K2469" s="6"/>
      <c r="L2469" s="6"/>
      <c r="M2469" s="6"/>
      <c r="N2469" s="672"/>
      <c r="O2469" s="6"/>
      <c r="P2469" s="6"/>
      <c r="Q2469" s="6"/>
      <c r="R2469" s="6"/>
      <c r="S2469" s="6"/>
      <c r="T2469" s="6"/>
      <c r="U2469" s="6"/>
    </row>
    <row r="2470">
      <c r="A2470" s="6"/>
      <c r="B2470" s="6"/>
      <c r="C2470" s="6"/>
      <c r="D2470" s="6"/>
      <c r="E2470" s="6"/>
      <c r="G2470" s="6"/>
      <c r="H2470" s="6"/>
      <c r="I2470" s="6"/>
      <c r="J2470" s="6"/>
      <c r="K2470" s="6"/>
      <c r="L2470" s="6"/>
      <c r="M2470" s="6"/>
      <c r="N2470" s="672"/>
      <c r="O2470" s="6"/>
      <c r="P2470" s="6"/>
      <c r="Q2470" s="6"/>
      <c r="R2470" s="6"/>
      <c r="S2470" s="6"/>
      <c r="T2470" s="6"/>
      <c r="U2470" s="6"/>
    </row>
    <row r="2471">
      <c r="A2471" s="6"/>
      <c r="B2471" s="6"/>
      <c r="C2471" s="6"/>
      <c r="D2471" s="6"/>
      <c r="E2471" s="6"/>
      <c r="G2471" s="6"/>
      <c r="H2471" s="6"/>
      <c r="I2471" s="6"/>
      <c r="J2471" s="6"/>
      <c r="K2471" s="6"/>
      <c r="L2471" s="6"/>
      <c r="M2471" s="6"/>
      <c r="N2471" s="672"/>
      <c r="O2471" s="6"/>
      <c r="P2471" s="6"/>
      <c r="Q2471" s="6"/>
      <c r="R2471" s="6"/>
      <c r="S2471" s="6"/>
      <c r="T2471" s="6"/>
      <c r="U2471" s="6"/>
    </row>
    <row r="2472">
      <c r="A2472" s="6"/>
      <c r="B2472" s="6"/>
      <c r="C2472" s="6"/>
      <c r="D2472" s="6"/>
      <c r="E2472" s="6"/>
      <c r="G2472" s="6"/>
      <c r="H2472" s="6"/>
      <c r="I2472" s="6"/>
      <c r="J2472" s="6"/>
      <c r="K2472" s="6"/>
      <c r="L2472" s="6"/>
      <c r="M2472" s="6"/>
      <c r="N2472" s="672"/>
      <c r="O2472" s="6"/>
      <c r="P2472" s="6"/>
      <c r="Q2472" s="6"/>
      <c r="R2472" s="6"/>
      <c r="S2472" s="6"/>
      <c r="T2472" s="6"/>
      <c r="U2472" s="6"/>
    </row>
    <row r="2473">
      <c r="A2473" s="6"/>
      <c r="B2473" s="6"/>
      <c r="C2473" s="6"/>
      <c r="D2473" s="6"/>
      <c r="E2473" s="6"/>
      <c r="G2473" s="6"/>
      <c r="H2473" s="6"/>
      <c r="I2473" s="6"/>
      <c r="J2473" s="6"/>
      <c r="K2473" s="6"/>
      <c r="L2473" s="6"/>
      <c r="M2473" s="6"/>
      <c r="N2473" s="672"/>
      <c r="O2473" s="6"/>
      <c r="P2473" s="6"/>
      <c r="Q2473" s="6"/>
      <c r="R2473" s="6"/>
      <c r="S2473" s="6"/>
      <c r="T2473" s="6"/>
      <c r="U2473" s="6"/>
    </row>
    <row r="2474">
      <c r="A2474" s="6"/>
      <c r="B2474" s="6"/>
      <c r="C2474" s="6"/>
      <c r="D2474" s="6"/>
      <c r="E2474" s="6"/>
      <c r="G2474" s="6"/>
      <c r="H2474" s="6"/>
      <c r="I2474" s="6"/>
      <c r="J2474" s="6"/>
      <c r="K2474" s="6"/>
      <c r="L2474" s="6"/>
      <c r="M2474" s="6"/>
      <c r="N2474" s="672"/>
      <c r="O2474" s="6"/>
      <c r="P2474" s="6"/>
      <c r="Q2474" s="6"/>
      <c r="R2474" s="6"/>
      <c r="S2474" s="6"/>
      <c r="T2474" s="6"/>
      <c r="U2474" s="6"/>
    </row>
    <row r="2475">
      <c r="A2475" s="6"/>
      <c r="B2475" s="6"/>
      <c r="C2475" s="6"/>
      <c r="D2475" s="6"/>
      <c r="E2475" s="6"/>
      <c r="G2475" s="6"/>
      <c r="H2475" s="6"/>
      <c r="I2475" s="6"/>
      <c r="J2475" s="6"/>
      <c r="K2475" s="6"/>
      <c r="L2475" s="6"/>
      <c r="M2475" s="6"/>
      <c r="N2475" s="672"/>
      <c r="O2475" s="6"/>
      <c r="P2475" s="6"/>
      <c r="Q2475" s="6"/>
      <c r="R2475" s="6"/>
      <c r="S2475" s="6"/>
      <c r="T2475" s="6"/>
      <c r="U2475" s="6"/>
    </row>
    <row r="2476">
      <c r="A2476" s="6"/>
      <c r="B2476" s="6"/>
      <c r="C2476" s="6"/>
      <c r="D2476" s="6"/>
      <c r="E2476" s="6"/>
      <c r="G2476" s="6"/>
      <c r="H2476" s="6"/>
      <c r="I2476" s="6"/>
      <c r="J2476" s="6"/>
      <c r="K2476" s="6"/>
      <c r="L2476" s="6"/>
      <c r="M2476" s="6"/>
      <c r="N2476" s="672"/>
      <c r="O2476" s="6"/>
      <c r="P2476" s="6"/>
      <c r="Q2476" s="6"/>
      <c r="R2476" s="6"/>
      <c r="S2476" s="6"/>
      <c r="T2476" s="6"/>
      <c r="U2476" s="6"/>
    </row>
    <row r="2477">
      <c r="A2477" s="6"/>
      <c r="B2477" s="6"/>
      <c r="C2477" s="6"/>
      <c r="D2477" s="6"/>
      <c r="E2477" s="6"/>
      <c r="G2477" s="6"/>
      <c r="H2477" s="6"/>
      <c r="I2477" s="6"/>
      <c r="J2477" s="6"/>
      <c r="K2477" s="6"/>
      <c r="L2477" s="6"/>
      <c r="M2477" s="6"/>
      <c r="N2477" s="672"/>
      <c r="O2477" s="6"/>
      <c r="P2477" s="6"/>
      <c r="Q2477" s="6"/>
      <c r="R2477" s="6"/>
      <c r="S2477" s="6"/>
      <c r="T2477" s="6"/>
      <c r="U2477" s="6"/>
    </row>
    <row r="2478">
      <c r="A2478" s="6"/>
      <c r="B2478" s="6"/>
      <c r="C2478" s="6"/>
      <c r="D2478" s="6"/>
      <c r="E2478" s="6"/>
      <c r="G2478" s="6"/>
      <c r="H2478" s="6"/>
      <c r="I2478" s="6"/>
      <c r="J2478" s="6"/>
      <c r="K2478" s="6"/>
      <c r="L2478" s="6"/>
      <c r="M2478" s="6"/>
      <c r="N2478" s="672"/>
      <c r="O2478" s="6"/>
      <c r="P2478" s="6"/>
      <c r="Q2478" s="6"/>
      <c r="R2478" s="6"/>
      <c r="S2478" s="6"/>
      <c r="T2478" s="6"/>
      <c r="U2478" s="6"/>
    </row>
    <row r="2479">
      <c r="A2479" s="6"/>
      <c r="B2479" s="6"/>
      <c r="C2479" s="6"/>
      <c r="D2479" s="6"/>
      <c r="E2479" s="6"/>
      <c r="G2479" s="6"/>
      <c r="H2479" s="6"/>
      <c r="I2479" s="6"/>
      <c r="J2479" s="6"/>
      <c r="K2479" s="6"/>
      <c r="L2479" s="6"/>
      <c r="M2479" s="6"/>
      <c r="N2479" s="672"/>
      <c r="O2479" s="6"/>
      <c r="P2479" s="6"/>
      <c r="Q2479" s="6"/>
      <c r="R2479" s="6"/>
      <c r="S2479" s="6"/>
      <c r="T2479" s="6"/>
      <c r="U2479" s="6"/>
    </row>
    <row r="2480">
      <c r="A2480" s="6"/>
      <c r="B2480" s="6"/>
      <c r="C2480" s="6"/>
      <c r="D2480" s="6"/>
      <c r="E2480" s="6"/>
      <c r="G2480" s="6"/>
      <c r="H2480" s="6"/>
      <c r="I2480" s="6"/>
      <c r="J2480" s="6"/>
      <c r="K2480" s="6"/>
      <c r="L2480" s="6"/>
      <c r="M2480" s="6"/>
      <c r="N2480" s="672"/>
      <c r="O2480" s="6"/>
      <c r="P2480" s="6"/>
      <c r="Q2480" s="6"/>
      <c r="R2480" s="6"/>
      <c r="S2480" s="6"/>
      <c r="T2480" s="6"/>
      <c r="U2480" s="6"/>
    </row>
    <row r="2481">
      <c r="A2481" s="6"/>
      <c r="B2481" s="6"/>
      <c r="C2481" s="6"/>
      <c r="D2481" s="6"/>
      <c r="E2481" s="6"/>
      <c r="G2481" s="6"/>
      <c r="H2481" s="6"/>
      <c r="I2481" s="6"/>
      <c r="J2481" s="6"/>
      <c r="K2481" s="6"/>
      <c r="L2481" s="6"/>
      <c r="M2481" s="6"/>
      <c r="N2481" s="672"/>
      <c r="O2481" s="6"/>
      <c r="P2481" s="6"/>
      <c r="Q2481" s="6"/>
      <c r="R2481" s="6"/>
      <c r="S2481" s="6"/>
      <c r="T2481" s="6"/>
      <c r="U2481" s="6"/>
    </row>
    <row r="2482">
      <c r="A2482" s="6"/>
      <c r="B2482" s="6"/>
      <c r="C2482" s="6"/>
      <c r="D2482" s="6"/>
      <c r="E2482" s="6"/>
      <c r="G2482" s="6"/>
      <c r="H2482" s="6"/>
      <c r="I2482" s="6"/>
      <c r="J2482" s="6"/>
      <c r="K2482" s="6"/>
      <c r="L2482" s="6"/>
      <c r="M2482" s="6"/>
      <c r="N2482" s="672"/>
      <c r="O2482" s="6"/>
      <c r="P2482" s="6"/>
      <c r="Q2482" s="6"/>
      <c r="R2482" s="6"/>
      <c r="S2482" s="6"/>
      <c r="T2482" s="6"/>
      <c r="U2482" s="6"/>
    </row>
    <row r="2483">
      <c r="A2483" s="6"/>
      <c r="B2483" s="6"/>
      <c r="C2483" s="6"/>
      <c r="D2483" s="6"/>
      <c r="E2483" s="6"/>
      <c r="G2483" s="6"/>
      <c r="H2483" s="6"/>
      <c r="I2483" s="6"/>
      <c r="J2483" s="6"/>
      <c r="K2483" s="6"/>
      <c r="L2483" s="6"/>
      <c r="M2483" s="6"/>
      <c r="N2483" s="672"/>
      <c r="O2483" s="6"/>
      <c r="P2483" s="6"/>
      <c r="Q2483" s="6"/>
      <c r="R2483" s="6"/>
      <c r="S2483" s="6"/>
      <c r="T2483" s="6"/>
      <c r="U2483" s="6"/>
    </row>
    <row r="2484">
      <c r="A2484" s="6"/>
      <c r="B2484" s="6"/>
      <c r="C2484" s="6"/>
      <c r="D2484" s="6"/>
      <c r="E2484" s="6"/>
      <c r="G2484" s="6"/>
      <c r="H2484" s="6"/>
      <c r="I2484" s="6"/>
      <c r="J2484" s="6"/>
      <c r="K2484" s="6"/>
      <c r="L2484" s="6"/>
      <c r="M2484" s="6"/>
      <c r="N2484" s="672"/>
      <c r="O2484" s="6"/>
      <c r="P2484" s="6"/>
      <c r="Q2484" s="6"/>
      <c r="R2484" s="6"/>
      <c r="S2484" s="6"/>
      <c r="T2484" s="6"/>
      <c r="U2484" s="6"/>
    </row>
    <row r="2485">
      <c r="A2485" s="6"/>
      <c r="B2485" s="6"/>
      <c r="C2485" s="6"/>
      <c r="D2485" s="6"/>
      <c r="E2485" s="6"/>
      <c r="G2485" s="6"/>
      <c r="H2485" s="6"/>
      <c r="I2485" s="6"/>
      <c r="J2485" s="6"/>
      <c r="K2485" s="6"/>
      <c r="L2485" s="6"/>
      <c r="M2485" s="6"/>
      <c r="N2485" s="672"/>
      <c r="O2485" s="6"/>
      <c r="P2485" s="6"/>
      <c r="Q2485" s="6"/>
      <c r="R2485" s="6"/>
      <c r="S2485" s="6"/>
      <c r="T2485" s="6"/>
      <c r="U2485" s="6"/>
    </row>
    <row r="2486">
      <c r="A2486" s="6"/>
      <c r="B2486" s="6"/>
      <c r="C2486" s="6"/>
      <c r="D2486" s="6"/>
      <c r="E2486" s="6"/>
      <c r="G2486" s="6"/>
      <c r="H2486" s="6"/>
      <c r="I2486" s="6"/>
      <c r="J2486" s="6"/>
      <c r="K2486" s="6"/>
      <c r="L2486" s="6"/>
      <c r="M2486" s="6"/>
      <c r="N2486" s="672"/>
      <c r="O2486" s="6"/>
      <c r="P2486" s="6"/>
      <c r="Q2486" s="6"/>
      <c r="R2486" s="6"/>
      <c r="S2486" s="6"/>
      <c r="T2486" s="6"/>
      <c r="U2486" s="6"/>
    </row>
    <row r="2487">
      <c r="A2487" s="6"/>
      <c r="B2487" s="6"/>
      <c r="C2487" s="6"/>
      <c r="D2487" s="6"/>
      <c r="E2487" s="6"/>
      <c r="G2487" s="6"/>
      <c r="H2487" s="6"/>
      <c r="I2487" s="6"/>
      <c r="J2487" s="6"/>
      <c r="K2487" s="6"/>
      <c r="L2487" s="6"/>
      <c r="M2487" s="6"/>
      <c r="N2487" s="672"/>
      <c r="O2487" s="6"/>
      <c r="P2487" s="6"/>
      <c r="Q2487" s="6"/>
      <c r="R2487" s="6"/>
      <c r="S2487" s="6"/>
      <c r="T2487" s="6"/>
      <c r="U2487" s="6"/>
    </row>
    <row r="2488">
      <c r="A2488" s="6"/>
      <c r="B2488" s="6"/>
      <c r="C2488" s="6"/>
      <c r="D2488" s="6"/>
      <c r="E2488" s="6"/>
      <c r="G2488" s="6"/>
      <c r="H2488" s="6"/>
      <c r="I2488" s="6"/>
      <c r="J2488" s="6"/>
      <c r="K2488" s="6"/>
      <c r="L2488" s="6"/>
      <c r="M2488" s="6"/>
      <c r="N2488" s="672"/>
      <c r="O2488" s="6"/>
      <c r="P2488" s="6"/>
      <c r="Q2488" s="6"/>
      <c r="R2488" s="6"/>
      <c r="S2488" s="6"/>
      <c r="T2488" s="6"/>
      <c r="U2488" s="6"/>
    </row>
    <row r="2489">
      <c r="A2489" s="6"/>
      <c r="B2489" s="6"/>
      <c r="C2489" s="6"/>
      <c r="D2489" s="6"/>
      <c r="E2489" s="6"/>
      <c r="G2489" s="6"/>
      <c r="H2489" s="6"/>
      <c r="I2489" s="6"/>
      <c r="J2489" s="6"/>
      <c r="K2489" s="6"/>
      <c r="L2489" s="6"/>
      <c r="M2489" s="6"/>
      <c r="N2489" s="672"/>
      <c r="O2489" s="6"/>
      <c r="P2489" s="6"/>
      <c r="Q2489" s="6"/>
      <c r="R2489" s="6"/>
      <c r="S2489" s="6"/>
      <c r="T2489" s="6"/>
      <c r="U2489" s="6"/>
    </row>
    <row r="2490">
      <c r="A2490" s="6"/>
      <c r="B2490" s="6"/>
      <c r="C2490" s="6"/>
      <c r="D2490" s="6"/>
      <c r="E2490" s="6"/>
      <c r="G2490" s="6"/>
      <c r="H2490" s="6"/>
      <c r="I2490" s="6"/>
      <c r="J2490" s="6"/>
      <c r="K2490" s="6"/>
      <c r="L2490" s="6"/>
      <c r="M2490" s="6"/>
      <c r="N2490" s="672"/>
      <c r="O2490" s="6"/>
      <c r="P2490" s="6"/>
      <c r="Q2490" s="6"/>
      <c r="R2490" s="6"/>
      <c r="S2490" s="6"/>
      <c r="T2490" s="6"/>
      <c r="U2490" s="6"/>
    </row>
    <row r="2491">
      <c r="A2491" s="6"/>
      <c r="B2491" s="6"/>
      <c r="C2491" s="6"/>
      <c r="D2491" s="6"/>
      <c r="E2491" s="6"/>
      <c r="G2491" s="6"/>
      <c r="H2491" s="6"/>
      <c r="I2491" s="6"/>
      <c r="J2491" s="6"/>
      <c r="K2491" s="6"/>
      <c r="L2491" s="6"/>
      <c r="M2491" s="6"/>
      <c r="N2491" s="672"/>
      <c r="O2491" s="6"/>
      <c r="P2491" s="6"/>
      <c r="Q2491" s="6"/>
      <c r="R2491" s="6"/>
      <c r="S2491" s="6"/>
      <c r="T2491" s="6"/>
      <c r="U2491" s="6"/>
    </row>
    <row r="2492">
      <c r="A2492" s="6"/>
      <c r="B2492" s="6"/>
      <c r="C2492" s="6"/>
      <c r="D2492" s="6"/>
      <c r="E2492" s="6"/>
      <c r="G2492" s="6"/>
      <c r="H2492" s="6"/>
      <c r="I2492" s="6"/>
      <c r="J2492" s="6"/>
      <c r="K2492" s="6"/>
      <c r="L2492" s="6"/>
      <c r="M2492" s="6"/>
      <c r="N2492" s="672"/>
      <c r="O2492" s="6"/>
      <c r="P2492" s="6"/>
      <c r="Q2492" s="6"/>
      <c r="R2492" s="6"/>
      <c r="S2492" s="6"/>
      <c r="T2492" s="6"/>
      <c r="U2492" s="6"/>
    </row>
    <row r="2493">
      <c r="A2493" s="6"/>
      <c r="B2493" s="6"/>
      <c r="C2493" s="6"/>
      <c r="D2493" s="6"/>
      <c r="E2493" s="6"/>
      <c r="G2493" s="6"/>
      <c r="H2493" s="6"/>
      <c r="I2493" s="6"/>
      <c r="J2493" s="6"/>
      <c r="K2493" s="6"/>
      <c r="L2493" s="6"/>
      <c r="M2493" s="6"/>
      <c r="N2493" s="672"/>
      <c r="O2493" s="6"/>
      <c r="P2493" s="6"/>
      <c r="Q2493" s="6"/>
      <c r="R2493" s="6"/>
      <c r="S2493" s="6"/>
      <c r="T2493" s="6"/>
      <c r="U2493" s="6"/>
    </row>
    <row r="2494">
      <c r="A2494" s="6"/>
      <c r="B2494" s="6"/>
      <c r="C2494" s="6"/>
      <c r="D2494" s="6"/>
      <c r="E2494" s="6"/>
      <c r="G2494" s="6"/>
      <c r="H2494" s="6"/>
      <c r="I2494" s="6"/>
      <c r="J2494" s="6"/>
      <c r="K2494" s="6"/>
      <c r="L2494" s="6"/>
      <c r="M2494" s="6"/>
      <c r="N2494" s="672"/>
      <c r="O2494" s="6"/>
      <c r="P2494" s="6"/>
      <c r="Q2494" s="6"/>
      <c r="R2494" s="6"/>
      <c r="S2494" s="6"/>
      <c r="T2494" s="6"/>
      <c r="U2494" s="6"/>
    </row>
    <row r="2495">
      <c r="A2495" s="6"/>
      <c r="B2495" s="6"/>
      <c r="C2495" s="6"/>
      <c r="D2495" s="6"/>
      <c r="E2495" s="6"/>
      <c r="G2495" s="6"/>
      <c r="H2495" s="6"/>
      <c r="I2495" s="6"/>
      <c r="J2495" s="6"/>
      <c r="K2495" s="6"/>
      <c r="L2495" s="6"/>
      <c r="M2495" s="6"/>
      <c r="N2495" s="672"/>
      <c r="O2495" s="6"/>
      <c r="P2495" s="6"/>
      <c r="Q2495" s="6"/>
      <c r="R2495" s="6"/>
      <c r="S2495" s="6"/>
      <c r="T2495" s="6"/>
      <c r="U2495" s="6"/>
    </row>
    <row r="2496">
      <c r="A2496" s="6"/>
      <c r="B2496" s="6"/>
      <c r="C2496" s="6"/>
      <c r="D2496" s="6"/>
      <c r="E2496" s="6"/>
      <c r="G2496" s="6"/>
      <c r="H2496" s="6"/>
      <c r="I2496" s="6"/>
      <c r="J2496" s="6"/>
      <c r="K2496" s="6"/>
      <c r="L2496" s="6"/>
      <c r="M2496" s="6"/>
      <c r="N2496" s="672"/>
      <c r="O2496" s="6"/>
      <c r="P2496" s="6"/>
      <c r="Q2496" s="6"/>
      <c r="R2496" s="6"/>
      <c r="S2496" s="6"/>
      <c r="T2496" s="6"/>
      <c r="U2496" s="6"/>
    </row>
    <row r="2497">
      <c r="A2497" s="6"/>
      <c r="B2497" s="6"/>
      <c r="C2497" s="6"/>
      <c r="D2497" s="6"/>
      <c r="E2497" s="6"/>
      <c r="G2497" s="6"/>
      <c r="H2497" s="6"/>
      <c r="I2497" s="6"/>
      <c r="J2497" s="6"/>
      <c r="K2497" s="6"/>
      <c r="L2497" s="6"/>
      <c r="M2497" s="6"/>
      <c r="N2497" s="672"/>
      <c r="O2497" s="6"/>
      <c r="P2497" s="6"/>
      <c r="Q2497" s="6"/>
      <c r="R2497" s="6"/>
      <c r="S2497" s="6"/>
      <c r="T2497" s="6"/>
      <c r="U2497" s="6"/>
    </row>
    <row r="2498">
      <c r="A2498" s="6"/>
      <c r="B2498" s="6"/>
      <c r="C2498" s="6"/>
      <c r="D2498" s="6"/>
      <c r="E2498" s="6"/>
      <c r="G2498" s="6"/>
      <c r="H2498" s="6"/>
      <c r="I2498" s="6"/>
      <c r="J2498" s="6"/>
      <c r="K2498" s="6"/>
      <c r="L2498" s="6"/>
      <c r="M2498" s="6"/>
      <c r="N2498" s="672"/>
      <c r="O2498" s="6"/>
      <c r="P2498" s="6"/>
      <c r="Q2498" s="6"/>
      <c r="R2498" s="6"/>
      <c r="S2498" s="6"/>
      <c r="T2498" s="6"/>
      <c r="U2498" s="6"/>
    </row>
    <row r="2499">
      <c r="A2499" s="6"/>
      <c r="B2499" s="6"/>
      <c r="C2499" s="6"/>
      <c r="D2499" s="6"/>
      <c r="E2499" s="6"/>
      <c r="G2499" s="6"/>
      <c r="H2499" s="6"/>
      <c r="I2499" s="6"/>
      <c r="J2499" s="6"/>
      <c r="K2499" s="6"/>
      <c r="L2499" s="6"/>
      <c r="M2499" s="6"/>
      <c r="N2499" s="672"/>
      <c r="O2499" s="6"/>
      <c r="P2499" s="6"/>
      <c r="Q2499" s="6"/>
      <c r="R2499" s="6"/>
      <c r="S2499" s="6"/>
      <c r="T2499" s="6"/>
      <c r="U2499" s="6"/>
    </row>
    <row r="2500">
      <c r="A2500" s="6"/>
      <c r="B2500" s="6"/>
      <c r="C2500" s="6"/>
      <c r="D2500" s="6"/>
      <c r="E2500" s="6"/>
      <c r="G2500" s="6"/>
      <c r="H2500" s="6"/>
      <c r="I2500" s="6"/>
      <c r="J2500" s="6"/>
      <c r="K2500" s="6"/>
      <c r="L2500" s="6"/>
      <c r="M2500" s="6"/>
      <c r="N2500" s="672"/>
      <c r="O2500" s="6"/>
      <c r="P2500" s="6"/>
      <c r="Q2500" s="6"/>
      <c r="R2500" s="6"/>
      <c r="S2500" s="6"/>
      <c r="T2500" s="6"/>
      <c r="U2500" s="6"/>
    </row>
    <row r="2501">
      <c r="A2501" s="6"/>
      <c r="B2501" s="6"/>
      <c r="C2501" s="6"/>
      <c r="D2501" s="6"/>
      <c r="E2501" s="6"/>
      <c r="G2501" s="6"/>
      <c r="H2501" s="6"/>
      <c r="I2501" s="6"/>
      <c r="J2501" s="6"/>
      <c r="K2501" s="6"/>
      <c r="L2501" s="6"/>
      <c r="M2501" s="6"/>
      <c r="N2501" s="672"/>
      <c r="O2501" s="6"/>
      <c r="P2501" s="6"/>
      <c r="Q2501" s="6"/>
      <c r="R2501" s="6"/>
      <c r="S2501" s="6"/>
      <c r="T2501" s="6"/>
      <c r="U2501" s="6"/>
    </row>
    <row r="2502">
      <c r="A2502" s="6"/>
      <c r="B2502" s="6"/>
      <c r="C2502" s="6"/>
      <c r="D2502" s="6"/>
      <c r="E2502" s="6"/>
      <c r="G2502" s="6"/>
      <c r="H2502" s="6"/>
      <c r="I2502" s="6"/>
      <c r="J2502" s="6"/>
      <c r="K2502" s="6"/>
      <c r="L2502" s="6"/>
      <c r="M2502" s="6"/>
      <c r="N2502" s="672"/>
      <c r="O2502" s="6"/>
      <c r="P2502" s="6"/>
      <c r="Q2502" s="6"/>
      <c r="R2502" s="6"/>
      <c r="S2502" s="6"/>
      <c r="T2502" s="6"/>
      <c r="U2502" s="6"/>
    </row>
    <row r="2503">
      <c r="A2503" s="6"/>
      <c r="B2503" s="6"/>
      <c r="C2503" s="6"/>
      <c r="D2503" s="6"/>
      <c r="E2503" s="6"/>
      <c r="G2503" s="6"/>
      <c r="H2503" s="6"/>
      <c r="I2503" s="6"/>
      <c r="J2503" s="6"/>
      <c r="K2503" s="6"/>
      <c r="L2503" s="6"/>
      <c r="M2503" s="6"/>
      <c r="N2503" s="672"/>
      <c r="O2503" s="6"/>
      <c r="P2503" s="6"/>
      <c r="Q2503" s="6"/>
      <c r="R2503" s="6"/>
      <c r="S2503" s="6"/>
      <c r="T2503" s="6"/>
      <c r="U2503" s="6"/>
    </row>
    <row r="2504">
      <c r="A2504" s="6"/>
      <c r="B2504" s="6"/>
      <c r="C2504" s="6"/>
      <c r="D2504" s="6"/>
      <c r="E2504" s="6"/>
      <c r="G2504" s="6"/>
      <c r="H2504" s="6"/>
      <c r="I2504" s="6"/>
      <c r="J2504" s="6"/>
      <c r="K2504" s="6"/>
      <c r="L2504" s="6"/>
      <c r="M2504" s="6"/>
      <c r="N2504" s="672"/>
      <c r="O2504" s="6"/>
      <c r="P2504" s="6"/>
      <c r="Q2504" s="6"/>
      <c r="R2504" s="6"/>
      <c r="S2504" s="6"/>
      <c r="T2504" s="6"/>
      <c r="U2504" s="6"/>
    </row>
    <row r="2505">
      <c r="A2505" s="6"/>
      <c r="B2505" s="6"/>
      <c r="C2505" s="6"/>
      <c r="D2505" s="6"/>
      <c r="E2505" s="6"/>
      <c r="G2505" s="6"/>
      <c r="H2505" s="6"/>
      <c r="I2505" s="6"/>
      <c r="J2505" s="6"/>
      <c r="K2505" s="6"/>
      <c r="L2505" s="6"/>
      <c r="M2505" s="6"/>
      <c r="N2505" s="672"/>
      <c r="O2505" s="6"/>
      <c r="P2505" s="6"/>
      <c r="Q2505" s="6"/>
      <c r="R2505" s="6"/>
      <c r="S2505" s="6"/>
      <c r="T2505" s="6"/>
      <c r="U2505" s="6"/>
    </row>
    <row r="2506">
      <c r="A2506" s="6"/>
      <c r="B2506" s="6"/>
      <c r="C2506" s="6"/>
      <c r="D2506" s="6"/>
      <c r="E2506" s="6"/>
      <c r="G2506" s="6"/>
      <c r="H2506" s="6"/>
      <c r="I2506" s="6"/>
      <c r="J2506" s="6"/>
      <c r="K2506" s="6"/>
      <c r="L2506" s="6"/>
      <c r="M2506" s="6"/>
      <c r="N2506" s="672"/>
      <c r="O2506" s="6"/>
      <c r="P2506" s="6"/>
      <c r="Q2506" s="6"/>
      <c r="R2506" s="6"/>
      <c r="S2506" s="6"/>
      <c r="T2506" s="6"/>
      <c r="U2506" s="6"/>
    </row>
    <row r="2507">
      <c r="A2507" s="6"/>
      <c r="B2507" s="6"/>
      <c r="C2507" s="6"/>
      <c r="D2507" s="6"/>
      <c r="E2507" s="6"/>
      <c r="G2507" s="6"/>
      <c r="H2507" s="6"/>
      <c r="I2507" s="6"/>
      <c r="J2507" s="6"/>
      <c r="K2507" s="6"/>
      <c r="L2507" s="6"/>
      <c r="M2507" s="6"/>
      <c r="N2507" s="672"/>
      <c r="O2507" s="6"/>
      <c r="P2507" s="6"/>
      <c r="Q2507" s="6"/>
      <c r="R2507" s="6"/>
      <c r="S2507" s="6"/>
      <c r="T2507" s="6"/>
      <c r="U2507" s="6"/>
    </row>
    <row r="2508">
      <c r="A2508" s="6"/>
      <c r="B2508" s="6"/>
      <c r="C2508" s="6"/>
      <c r="D2508" s="6"/>
      <c r="E2508" s="6"/>
      <c r="G2508" s="6"/>
      <c r="H2508" s="6"/>
      <c r="I2508" s="6"/>
      <c r="J2508" s="6"/>
      <c r="K2508" s="6"/>
      <c r="L2508" s="6"/>
      <c r="M2508" s="6"/>
      <c r="N2508" s="672"/>
      <c r="O2508" s="6"/>
      <c r="P2508" s="6"/>
      <c r="Q2508" s="6"/>
      <c r="R2508" s="6"/>
      <c r="S2508" s="6"/>
      <c r="T2508" s="6"/>
      <c r="U2508" s="6"/>
    </row>
    <row r="2509">
      <c r="A2509" s="6"/>
      <c r="B2509" s="6"/>
      <c r="C2509" s="6"/>
      <c r="D2509" s="6"/>
      <c r="E2509" s="6"/>
      <c r="G2509" s="6"/>
      <c r="H2509" s="6"/>
      <c r="I2509" s="6"/>
      <c r="J2509" s="6"/>
      <c r="K2509" s="6"/>
      <c r="L2509" s="6"/>
      <c r="M2509" s="6"/>
      <c r="N2509" s="672"/>
      <c r="O2509" s="6"/>
      <c r="P2509" s="6"/>
      <c r="Q2509" s="6"/>
      <c r="R2509" s="6"/>
      <c r="S2509" s="6"/>
      <c r="T2509" s="6"/>
      <c r="U2509" s="6"/>
    </row>
    <row r="2510">
      <c r="A2510" s="6"/>
      <c r="B2510" s="6"/>
      <c r="C2510" s="6"/>
      <c r="D2510" s="6"/>
      <c r="E2510" s="6"/>
      <c r="G2510" s="6"/>
      <c r="H2510" s="6"/>
      <c r="I2510" s="6"/>
      <c r="J2510" s="6"/>
      <c r="K2510" s="6"/>
      <c r="L2510" s="6"/>
      <c r="M2510" s="6"/>
      <c r="N2510" s="672"/>
      <c r="O2510" s="6"/>
      <c r="P2510" s="6"/>
      <c r="Q2510" s="6"/>
      <c r="R2510" s="6"/>
      <c r="S2510" s="6"/>
      <c r="T2510" s="6"/>
      <c r="U2510" s="6"/>
    </row>
    <row r="2511">
      <c r="A2511" s="6"/>
      <c r="B2511" s="6"/>
      <c r="C2511" s="6"/>
      <c r="D2511" s="6"/>
      <c r="E2511" s="6"/>
      <c r="G2511" s="6"/>
      <c r="H2511" s="6"/>
      <c r="I2511" s="6"/>
      <c r="J2511" s="6"/>
      <c r="K2511" s="6"/>
      <c r="L2511" s="6"/>
      <c r="M2511" s="6"/>
      <c r="N2511" s="672"/>
      <c r="O2511" s="6"/>
      <c r="P2511" s="6"/>
      <c r="Q2511" s="6"/>
      <c r="R2511" s="6"/>
      <c r="S2511" s="6"/>
      <c r="T2511" s="6"/>
      <c r="U2511" s="6"/>
    </row>
    <row r="2512">
      <c r="A2512" s="6"/>
      <c r="B2512" s="6"/>
      <c r="C2512" s="6"/>
      <c r="D2512" s="6"/>
      <c r="E2512" s="6"/>
      <c r="G2512" s="6"/>
      <c r="H2512" s="6"/>
      <c r="I2512" s="6"/>
      <c r="J2512" s="6"/>
      <c r="K2512" s="6"/>
      <c r="L2512" s="6"/>
      <c r="M2512" s="6"/>
      <c r="N2512" s="672"/>
      <c r="O2512" s="6"/>
      <c r="P2512" s="6"/>
      <c r="Q2512" s="6"/>
      <c r="R2512" s="6"/>
      <c r="S2512" s="6"/>
      <c r="T2512" s="6"/>
      <c r="U2512" s="6"/>
    </row>
    <row r="2513">
      <c r="A2513" s="6"/>
      <c r="B2513" s="6"/>
      <c r="C2513" s="6"/>
      <c r="D2513" s="6"/>
      <c r="E2513" s="6"/>
      <c r="G2513" s="6"/>
      <c r="H2513" s="6"/>
      <c r="I2513" s="6"/>
      <c r="J2513" s="6"/>
      <c r="K2513" s="6"/>
      <c r="L2513" s="6"/>
      <c r="M2513" s="6"/>
      <c r="N2513" s="672"/>
      <c r="O2513" s="6"/>
      <c r="P2513" s="6"/>
      <c r="Q2513" s="6"/>
      <c r="R2513" s="6"/>
      <c r="S2513" s="6"/>
      <c r="T2513" s="6"/>
      <c r="U2513" s="6"/>
    </row>
    <row r="2514">
      <c r="A2514" s="6"/>
      <c r="B2514" s="6"/>
      <c r="C2514" s="6"/>
      <c r="D2514" s="6"/>
      <c r="E2514" s="6"/>
      <c r="G2514" s="6"/>
      <c r="H2514" s="6"/>
      <c r="I2514" s="6"/>
      <c r="J2514" s="6"/>
      <c r="K2514" s="6"/>
      <c r="L2514" s="6"/>
      <c r="M2514" s="6"/>
      <c r="N2514" s="672"/>
      <c r="O2514" s="6"/>
      <c r="P2514" s="6"/>
      <c r="Q2514" s="6"/>
      <c r="R2514" s="6"/>
      <c r="S2514" s="6"/>
      <c r="T2514" s="6"/>
      <c r="U2514" s="6"/>
    </row>
    <row r="2515">
      <c r="A2515" s="6"/>
      <c r="B2515" s="6"/>
      <c r="C2515" s="6"/>
      <c r="D2515" s="6"/>
      <c r="E2515" s="6"/>
      <c r="G2515" s="6"/>
      <c r="H2515" s="6"/>
      <c r="I2515" s="6"/>
      <c r="J2515" s="6"/>
      <c r="K2515" s="6"/>
      <c r="L2515" s="6"/>
      <c r="M2515" s="6"/>
      <c r="N2515" s="672"/>
      <c r="O2515" s="6"/>
      <c r="P2515" s="6"/>
      <c r="Q2515" s="6"/>
      <c r="R2515" s="6"/>
      <c r="S2515" s="6"/>
      <c r="T2515" s="6"/>
      <c r="U2515" s="6"/>
    </row>
    <row r="2516">
      <c r="A2516" s="6"/>
      <c r="B2516" s="6"/>
      <c r="C2516" s="6"/>
      <c r="D2516" s="6"/>
      <c r="E2516" s="6"/>
      <c r="G2516" s="6"/>
      <c r="H2516" s="6"/>
      <c r="I2516" s="6"/>
      <c r="J2516" s="6"/>
      <c r="K2516" s="6"/>
      <c r="L2516" s="6"/>
      <c r="M2516" s="6"/>
      <c r="N2516" s="672"/>
      <c r="O2516" s="6"/>
      <c r="P2516" s="6"/>
      <c r="Q2516" s="6"/>
      <c r="R2516" s="6"/>
      <c r="S2516" s="6"/>
      <c r="T2516" s="6"/>
      <c r="U2516" s="6"/>
    </row>
    <row r="2517">
      <c r="A2517" s="6"/>
      <c r="B2517" s="6"/>
      <c r="C2517" s="6"/>
      <c r="D2517" s="6"/>
      <c r="E2517" s="6"/>
      <c r="G2517" s="6"/>
      <c r="H2517" s="6"/>
      <c r="I2517" s="6"/>
      <c r="J2517" s="6"/>
      <c r="K2517" s="6"/>
      <c r="L2517" s="6"/>
      <c r="M2517" s="6"/>
      <c r="N2517" s="672"/>
      <c r="O2517" s="6"/>
      <c r="P2517" s="6"/>
      <c r="Q2517" s="6"/>
      <c r="R2517" s="6"/>
      <c r="S2517" s="6"/>
      <c r="T2517" s="6"/>
      <c r="U2517" s="6"/>
    </row>
    <row r="2518">
      <c r="A2518" s="6"/>
      <c r="B2518" s="6"/>
      <c r="C2518" s="6"/>
      <c r="D2518" s="6"/>
      <c r="E2518" s="6"/>
      <c r="G2518" s="6"/>
      <c r="H2518" s="6"/>
      <c r="I2518" s="6"/>
      <c r="J2518" s="6"/>
      <c r="K2518" s="6"/>
      <c r="L2518" s="6"/>
      <c r="M2518" s="6"/>
      <c r="N2518" s="672"/>
      <c r="O2518" s="6"/>
      <c r="P2518" s="6"/>
      <c r="Q2518" s="6"/>
      <c r="R2518" s="6"/>
      <c r="S2518" s="6"/>
      <c r="T2518" s="6"/>
      <c r="U2518" s="6"/>
    </row>
    <row r="2519">
      <c r="A2519" s="6"/>
      <c r="B2519" s="6"/>
      <c r="C2519" s="6"/>
      <c r="D2519" s="6"/>
      <c r="E2519" s="6"/>
      <c r="G2519" s="6"/>
      <c r="H2519" s="6"/>
      <c r="I2519" s="6"/>
      <c r="J2519" s="6"/>
      <c r="K2519" s="6"/>
      <c r="L2519" s="6"/>
      <c r="M2519" s="6"/>
      <c r="N2519" s="672"/>
      <c r="O2519" s="6"/>
      <c r="P2519" s="6"/>
      <c r="Q2519" s="6"/>
      <c r="R2519" s="6"/>
      <c r="S2519" s="6"/>
      <c r="T2519" s="6"/>
      <c r="U2519" s="6"/>
    </row>
    <row r="2520">
      <c r="A2520" s="6"/>
      <c r="B2520" s="6"/>
      <c r="C2520" s="6"/>
      <c r="D2520" s="6"/>
      <c r="E2520" s="6"/>
      <c r="G2520" s="6"/>
      <c r="H2520" s="6"/>
      <c r="I2520" s="6"/>
      <c r="J2520" s="6"/>
      <c r="K2520" s="6"/>
      <c r="L2520" s="6"/>
      <c r="M2520" s="6"/>
      <c r="N2520" s="672"/>
      <c r="O2520" s="6"/>
      <c r="P2520" s="6"/>
      <c r="Q2520" s="6"/>
      <c r="R2520" s="6"/>
      <c r="S2520" s="6"/>
      <c r="T2520" s="6"/>
      <c r="U2520" s="6"/>
    </row>
    <row r="2521">
      <c r="A2521" s="6"/>
      <c r="B2521" s="6"/>
      <c r="C2521" s="6"/>
      <c r="D2521" s="6"/>
      <c r="E2521" s="6"/>
      <c r="G2521" s="6"/>
      <c r="H2521" s="6"/>
      <c r="I2521" s="6"/>
      <c r="J2521" s="6"/>
      <c r="K2521" s="6"/>
      <c r="L2521" s="6"/>
      <c r="M2521" s="6"/>
      <c r="N2521" s="672"/>
      <c r="O2521" s="6"/>
      <c r="P2521" s="6"/>
      <c r="Q2521" s="6"/>
      <c r="R2521" s="6"/>
      <c r="S2521" s="6"/>
      <c r="T2521" s="6"/>
      <c r="U2521" s="6"/>
    </row>
    <row r="2522">
      <c r="A2522" s="6"/>
      <c r="B2522" s="6"/>
      <c r="C2522" s="6"/>
      <c r="D2522" s="6"/>
      <c r="E2522" s="6"/>
      <c r="G2522" s="6"/>
      <c r="H2522" s="6"/>
      <c r="I2522" s="6"/>
      <c r="J2522" s="6"/>
      <c r="K2522" s="6"/>
      <c r="L2522" s="6"/>
      <c r="M2522" s="6"/>
      <c r="N2522" s="672"/>
      <c r="O2522" s="6"/>
      <c r="P2522" s="6"/>
      <c r="Q2522" s="6"/>
      <c r="R2522" s="6"/>
      <c r="S2522" s="6"/>
      <c r="T2522" s="6"/>
      <c r="U2522" s="6"/>
    </row>
    <row r="2523">
      <c r="A2523" s="6"/>
      <c r="B2523" s="6"/>
      <c r="C2523" s="6"/>
      <c r="D2523" s="6"/>
      <c r="E2523" s="6"/>
      <c r="G2523" s="6"/>
      <c r="H2523" s="6"/>
      <c r="I2523" s="6"/>
      <c r="J2523" s="6"/>
      <c r="K2523" s="6"/>
      <c r="L2523" s="6"/>
      <c r="M2523" s="6"/>
      <c r="N2523" s="672"/>
      <c r="O2523" s="6"/>
      <c r="P2523" s="6"/>
      <c r="Q2523" s="6"/>
      <c r="R2523" s="6"/>
      <c r="S2523" s="6"/>
      <c r="T2523" s="6"/>
      <c r="U2523" s="6"/>
    </row>
    <row r="2524">
      <c r="A2524" s="6"/>
      <c r="B2524" s="6"/>
      <c r="C2524" s="6"/>
      <c r="D2524" s="6"/>
      <c r="E2524" s="6"/>
      <c r="G2524" s="6"/>
      <c r="H2524" s="6"/>
      <c r="I2524" s="6"/>
      <c r="J2524" s="6"/>
      <c r="K2524" s="6"/>
      <c r="L2524" s="6"/>
      <c r="M2524" s="6"/>
      <c r="N2524" s="672"/>
      <c r="O2524" s="6"/>
      <c r="P2524" s="6"/>
      <c r="Q2524" s="6"/>
      <c r="R2524" s="6"/>
      <c r="S2524" s="6"/>
      <c r="T2524" s="6"/>
      <c r="U2524" s="6"/>
    </row>
    <row r="2525">
      <c r="A2525" s="6"/>
      <c r="B2525" s="6"/>
      <c r="C2525" s="6"/>
      <c r="D2525" s="6"/>
      <c r="E2525" s="6"/>
      <c r="G2525" s="6"/>
      <c r="H2525" s="6"/>
      <c r="I2525" s="6"/>
      <c r="J2525" s="6"/>
      <c r="K2525" s="6"/>
      <c r="L2525" s="6"/>
      <c r="M2525" s="6"/>
      <c r="N2525" s="672"/>
      <c r="O2525" s="6"/>
      <c r="P2525" s="6"/>
      <c r="Q2525" s="6"/>
      <c r="R2525" s="6"/>
      <c r="S2525" s="6"/>
      <c r="T2525" s="6"/>
      <c r="U2525" s="6"/>
    </row>
    <row r="2526">
      <c r="A2526" s="6"/>
      <c r="B2526" s="6"/>
      <c r="C2526" s="6"/>
      <c r="D2526" s="6"/>
      <c r="E2526" s="6"/>
      <c r="G2526" s="6"/>
      <c r="H2526" s="6"/>
      <c r="I2526" s="6"/>
      <c r="J2526" s="6"/>
      <c r="K2526" s="6"/>
      <c r="L2526" s="6"/>
      <c r="M2526" s="6"/>
      <c r="N2526" s="672"/>
      <c r="O2526" s="6"/>
      <c r="P2526" s="6"/>
      <c r="Q2526" s="6"/>
      <c r="R2526" s="6"/>
      <c r="S2526" s="6"/>
      <c r="T2526" s="6"/>
      <c r="U2526" s="6"/>
    </row>
    <row r="2527">
      <c r="A2527" s="6"/>
      <c r="B2527" s="6"/>
      <c r="C2527" s="6"/>
      <c r="D2527" s="6"/>
      <c r="E2527" s="6"/>
      <c r="G2527" s="6"/>
      <c r="H2527" s="6"/>
      <c r="I2527" s="6"/>
      <c r="J2527" s="6"/>
      <c r="K2527" s="6"/>
      <c r="L2527" s="6"/>
      <c r="M2527" s="6"/>
      <c r="N2527" s="672"/>
      <c r="O2527" s="6"/>
      <c r="P2527" s="6"/>
      <c r="Q2527" s="6"/>
      <c r="R2527" s="6"/>
      <c r="S2527" s="6"/>
      <c r="T2527" s="6"/>
      <c r="U2527" s="6"/>
    </row>
    <row r="2528">
      <c r="A2528" s="6"/>
      <c r="B2528" s="6"/>
      <c r="C2528" s="6"/>
      <c r="D2528" s="6"/>
      <c r="E2528" s="6"/>
      <c r="G2528" s="6"/>
      <c r="H2528" s="6"/>
      <c r="I2528" s="6"/>
      <c r="J2528" s="6"/>
      <c r="K2528" s="6"/>
      <c r="L2528" s="6"/>
      <c r="M2528" s="6"/>
      <c r="N2528" s="672"/>
      <c r="O2528" s="6"/>
      <c r="P2528" s="6"/>
      <c r="Q2528" s="6"/>
      <c r="R2528" s="6"/>
      <c r="S2528" s="6"/>
      <c r="T2528" s="6"/>
      <c r="U2528" s="6"/>
    </row>
    <row r="2529">
      <c r="A2529" s="6"/>
      <c r="B2529" s="6"/>
      <c r="C2529" s="6"/>
      <c r="D2529" s="6"/>
      <c r="E2529" s="6"/>
      <c r="G2529" s="6"/>
      <c r="H2529" s="6"/>
      <c r="I2529" s="6"/>
      <c r="J2529" s="6"/>
      <c r="K2529" s="6"/>
      <c r="L2529" s="6"/>
      <c r="M2529" s="6"/>
      <c r="N2529" s="672"/>
      <c r="O2529" s="6"/>
      <c r="P2529" s="6"/>
      <c r="Q2529" s="6"/>
      <c r="R2529" s="6"/>
      <c r="S2529" s="6"/>
      <c r="T2529" s="6"/>
      <c r="U2529" s="6"/>
    </row>
    <row r="2530">
      <c r="A2530" s="6"/>
      <c r="B2530" s="6"/>
      <c r="C2530" s="6"/>
      <c r="D2530" s="6"/>
      <c r="E2530" s="6"/>
      <c r="G2530" s="6"/>
      <c r="H2530" s="6"/>
      <c r="I2530" s="6"/>
      <c r="J2530" s="6"/>
      <c r="K2530" s="6"/>
      <c r="L2530" s="6"/>
      <c r="M2530" s="6"/>
      <c r="N2530" s="672"/>
      <c r="O2530" s="6"/>
      <c r="P2530" s="6"/>
      <c r="Q2530" s="6"/>
      <c r="R2530" s="6"/>
      <c r="S2530" s="6"/>
      <c r="T2530" s="6"/>
      <c r="U2530" s="6"/>
    </row>
    <row r="2531">
      <c r="A2531" s="6"/>
      <c r="B2531" s="6"/>
      <c r="C2531" s="6"/>
      <c r="D2531" s="6"/>
      <c r="E2531" s="6"/>
      <c r="G2531" s="6"/>
      <c r="H2531" s="6"/>
      <c r="I2531" s="6"/>
      <c r="J2531" s="6"/>
      <c r="K2531" s="6"/>
      <c r="L2531" s="6"/>
      <c r="M2531" s="6"/>
      <c r="N2531" s="672"/>
      <c r="O2531" s="6"/>
      <c r="P2531" s="6"/>
      <c r="Q2531" s="6"/>
      <c r="R2531" s="6"/>
      <c r="S2531" s="6"/>
      <c r="T2531" s="6"/>
      <c r="U2531" s="6"/>
    </row>
    <row r="2532">
      <c r="A2532" s="6"/>
      <c r="B2532" s="6"/>
      <c r="C2532" s="6"/>
      <c r="D2532" s="6"/>
      <c r="E2532" s="6"/>
      <c r="G2532" s="6"/>
      <c r="H2532" s="6"/>
      <c r="I2532" s="6"/>
      <c r="J2532" s="6"/>
      <c r="K2532" s="6"/>
      <c r="L2532" s="6"/>
      <c r="M2532" s="6"/>
      <c r="N2532" s="672"/>
      <c r="O2532" s="6"/>
      <c r="P2532" s="6"/>
      <c r="Q2532" s="6"/>
      <c r="R2532" s="6"/>
      <c r="S2532" s="6"/>
      <c r="T2532" s="6"/>
      <c r="U2532" s="6"/>
    </row>
    <row r="2533">
      <c r="A2533" s="6"/>
      <c r="B2533" s="6"/>
      <c r="C2533" s="6"/>
      <c r="D2533" s="6"/>
      <c r="E2533" s="6"/>
      <c r="G2533" s="6"/>
      <c r="H2533" s="6"/>
      <c r="I2533" s="6"/>
      <c r="J2533" s="6"/>
      <c r="K2533" s="6"/>
      <c r="L2533" s="6"/>
      <c r="M2533" s="6"/>
      <c r="N2533" s="672"/>
      <c r="O2533" s="6"/>
      <c r="P2533" s="6"/>
      <c r="Q2533" s="6"/>
      <c r="R2533" s="6"/>
      <c r="S2533" s="6"/>
      <c r="T2533" s="6"/>
      <c r="U2533" s="6"/>
    </row>
    <row r="2534">
      <c r="A2534" s="6"/>
      <c r="B2534" s="6"/>
      <c r="C2534" s="6"/>
      <c r="D2534" s="6"/>
      <c r="E2534" s="6"/>
      <c r="G2534" s="6"/>
      <c r="H2534" s="6"/>
      <c r="I2534" s="6"/>
      <c r="J2534" s="6"/>
      <c r="K2534" s="6"/>
      <c r="L2534" s="6"/>
      <c r="M2534" s="6"/>
      <c r="N2534" s="672"/>
      <c r="O2534" s="6"/>
      <c r="P2534" s="6"/>
      <c r="Q2534" s="6"/>
      <c r="R2534" s="6"/>
      <c r="S2534" s="6"/>
      <c r="T2534" s="6"/>
      <c r="U2534" s="6"/>
    </row>
    <row r="2535">
      <c r="A2535" s="6"/>
      <c r="B2535" s="6"/>
      <c r="C2535" s="6"/>
      <c r="D2535" s="6"/>
      <c r="E2535" s="6"/>
      <c r="G2535" s="6"/>
      <c r="H2535" s="6"/>
      <c r="I2535" s="6"/>
      <c r="J2535" s="6"/>
      <c r="K2535" s="6"/>
      <c r="L2535" s="6"/>
      <c r="M2535" s="6"/>
      <c r="N2535" s="672"/>
      <c r="O2535" s="6"/>
      <c r="P2535" s="6"/>
      <c r="Q2535" s="6"/>
      <c r="R2535" s="6"/>
      <c r="S2535" s="6"/>
      <c r="T2535" s="6"/>
      <c r="U2535" s="6"/>
    </row>
    <row r="2536">
      <c r="A2536" s="6"/>
      <c r="B2536" s="6"/>
      <c r="C2536" s="6"/>
      <c r="D2536" s="6"/>
      <c r="E2536" s="6"/>
      <c r="G2536" s="6"/>
      <c r="H2536" s="6"/>
      <c r="I2536" s="6"/>
      <c r="J2536" s="6"/>
      <c r="K2536" s="6"/>
      <c r="L2536" s="6"/>
      <c r="M2536" s="6"/>
      <c r="N2536" s="672"/>
      <c r="O2536" s="6"/>
      <c r="P2536" s="6"/>
      <c r="Q2536" s="6"/>
      <c r="R2536" s="6"/>
      <c r="S2536" s="6"/>
      <c r="T2536" s="6"/>
      <c r="U2536" s="6"/>
    </row>
    <row r="2537">
      <c r="A2537" s="6"/>
      <c r="B2537" s="6"/>
      <c r="C2537" s="6"/>
      <c r="D2537" s="6"/>
      <c r="E2537" s="6"/>
      <c r="G2537" s="6"/>
      <c r="H2537" s="6"/>
      <c r="I2537" s="6"/>
      <c r="J2537" s="6"/>
      <c r="K2537" s="6"/>
      <c r="L2537" s="6"/>
      <c r="M2537" s="6"/>
      <c r="N2537" s="672"/>
      <c r="O2537" s="6"/>
      <c r="P2537" s="6"/>
      <c r="Q2537" s="6"/>
      <c r="R2537" s="6"/>
      <c r="S2537" s="6"/>
      <c r="T2537" s="6"/>
      <c r="U2537" s="6"/>
    </row>
    <row r="2538">
      <c r="A2538" s="6"/>
      <c r="B2538" s="6"/>
      <c r="C2538" s="6"/>
      <c r="D2538" s="6"/>
      <c r="E2538" s="6"/>
      <c r="G2538" s="6"/>
      <c r="H2538" s="6"/>
      <c r="I2538" s="6"/>
      <c r="J2538" s="6"/>
      <c r="K2538" s="6"/>
      <c r="L2538" s="6"/>
      <c r="M2538" s="6"/>
      <c r="N2538" s="672"/>
      <c r="O2538" s="6"/>
      <c r="P2538" s="6"/>
      <c r="Q2538" s="6"/>
      <c r="R2538" s="6"/>
      <c r="S2538" s="6"/>
      <c r="T2538" s="6"/>
      <c r="U2538" s="6"/>
    </row>
    <row r="2539">
      <c r="A2539" s="6"/>
      <c r="B2539" s="6"/>
      <c r="C2539" s="6"/>
      <c r="D2539" s="6"/>
      <c r="E2539" s="6"/>
      <c r="G2539" s="6"/>
      <c r="H2539" s="6"/>
      <c r="I2539" s="6"/>
      <c r="J2539" s="6"/>
      <c r="K2539" s="6"/>
      <c r="L2539" s="6"/>
      <c r="M2539" s="6"/>
      <c r="N2539" s="672"/>
      <c r="O2539" s="6"/>
      <c r="P2539" s="6"/>
      <c r="Q2539" s="6"/>
      <c r="R2539" s="6"/>
      <c r="S2539" s="6"/>
      <c r="T2539" s="6"/>
      <c r="U2539" s="6"/>
    </row>
    <row r="2540">
      <c r="A2540" s="6"/>
      <c r="B2540" s="6"/>
      <c r="C2540" s="6"/>
      <c r="D2540" s="6"/>
      <c r="E2540" s="6"/>
      <c r="G2540" s="6"/>
      <c r="H2540" s="6"/>
      <c r="I2540" s="6"/>
      <c r="J2540" s="6"/>
      <c r="K2540" s="6"/>
      <c r="L2540" s="6"/>
      <c r="M2540" s="6"/>
      <c r="N2540" s="672"/>
      <c r="O2540" s="6"/>
      <c r="P2540" s="6"/>
      <c r="Q2540" s="6"/>
      <c r="R2540" s="6"/>
      <c r="S2540" s="6"/>
      <c r="T2540" s="6"/>
      <c r="U2540" s="6"/>
    </row>
    <row r="2541">
      <c r="A2541" s="6"/>
      <c r="B2541" s="6"/>
      <c r="C2541" s="6"/>
      <c r="D2541" s="6"/>
      <c r="E2541" s="6"/>
      <c r="G2541" s="6"/>
      <c r="H2541" s="6"/>
      <c r="I2541" s="6"/>
      <c r="J2541" s="6"/>
      <c r="K2541" s="6"/>
      <c r="L2541" s="6"/>
      <c r="M2541" s="6"/>
      <c r="N2541" s="672"/>
      <c r="O2541" s="6"/>
      <c r="P2541" s="6"/>
      <c r="Q2541" s="6"/>
      <c r="R2541" s="6"/>
      <c r="S2541" s="6"/>
      <c r="T2541" s="6"/>
      <c r="U2541" s="6"/>
    </row>
    <row r="2542">
      <c r="A2542" s="6"/>
      <c r="B2542" s="6"/>
      <c r="C2542" s="6"/>
      <c r="D2542" s="6"/>
      <c r="E2542" s="6"/>
      <c r="G2542" s="6"/>
      <c r="H2542" s="6"/>
      <c r="I2542" s="6"/>
      <c r="J2542" s="6"/>
      <c r="K2542" s="6"/>
      <c r="L2542" s="6"/>
      <c r="M2542" s="6"/>
      <c r="N2542" s="672"/>
      <c r="O2542" s="6"/>
      <c r="P2542" s="6"/>
      <c r="Q2542" s="6"/>
      <c r="R2542" s="6"/>
      <c r="S2542" s="6"/>
      <c r="T2542" s="6"/>
      <c r="U2542" s="6"/>
    </row>
    <row r="2543">
      <c r="A2543" s="6"/>
      <c r="B2543" s="6"/>
      <c r="C2543" s="6"/>
      <c r="D2543" s="6"/>
      <c r="E2543" s="6"/>
      <c r="G2543" s="6"/>
      <c r="H2543" s="6"/>
      <c r="I2543" s="6"/>
      <c r="J2543" s="6"/>
      <c r="K2543" s="6"/>
      <c r="L2543" s="6"/>
      <c r="M2543" s="6"/>
      <c r="N2543" s="672"/>
      <c r="O2543" s="6"/>
      <c r="P2543" s="6"/>
      <c r="Q2543" s="6"/>
      <c r="R2543" s="6"/>
      <c r="S2543" s="6"/>
      <c r="T2543" s="6"/>
      <c r="U2543" s="6"/>
    </row>
    <row r="2544">
      <c r="A2544" s="6"/>
      <c r="B2544" s="6"/>
      <c r="C2544" s="6"/>
      <c r="D2544" s="6"/>
      <c r="E2544" s="6"/>
      <c r="G2544" s="6"/>
      <c r="H2544" s="6"/>
      <c r="I2544" s="6"/>
      <c r="J2544" s="6"/>
      <c r="K2544" s="6"/>
      <c r="L2544" s="6"/>
      <c r="M2544" s="6"/>
      <c r="N2544" s="672"/>
      <c r="O2544" s="6"/>
      <c r="P2544" s="6"/>
      <c r="Q2544" s="6"/>
      <c r="R2544" s="6"/>
      <c r="S2544" s="6"/>
      <c r="T2544" s="6"/>
      <c r="U2544" s="6"/>
    </row>
    <row r="2545">
      <c r="A2545" s="6"/>
      <c r="B2545" s="6"/>
      <c r="C2545" s="6"/>
      <c r="D2545" s="6"/>
      <c r="E2545" s="6"/>
      <c r="G2545" s="6"/>
      <c r="H2545" s="6"/>
      <c r="I2545" s="6"/>
      <c r="J2545" s="6"/>
      <c r="K2545" s="6"/>
      <c r="L2545" s="6"/>
      <c r="M2545" s="6"/>
      <c r="N2545" s="672"/>
      <c r="O2545" s="6"/>
      <c r="P2545" s="6"/>
      <c r="Q2545" s="6"/>
      <c r="R2545" s="6"/>
      <c r="S2545" s="6"/>
      <c r="T2545" s="6"/>
      <c r="U2545" s="6"/>
    </row>
    <row r="2546">
      <c r="A2546" s="6"/>
      <c r="B2546" s="6"/>
      <c r="C2546" s="6"/>
      <c r="D2546" s="6"/>
      <c r="E2546" s="6"/>
      <c r="G2546" s="6"/>
      <c r="H2546" s="6"/>
      <c r="I2546" s="6"/>
      <c r="J2546" s="6"/>
      <c r="K2546" s="6"/>
      <c r="L2546" s="6"/>
      <c r="M2546" s="6"/>
      <c r="N2546" s="672"/>
      <c r="O2546" s="6"/>
      <c r="P2546" s="6"/>
      <c r="Q2546" s="6"/>
      <c r="R2546" s="6"/>
      <c r="S2546" s="6"/>
      <c r="T2546" s="6"/>
      <c r="U2546" s="6"/>
    </row>
    <row r="2547">
      <c r="A2547" s="6"/>
      <c r="B2547" s="6"/>
      <c r="C2547" s="6"/>
      <c r="D2547" s="6"/>
      <c r="E2547" s="6"/>
      <c r="G2547" s="6"/>
      <c r="H2547" s="6"/>
      <c r="I2547" s="6"/>
      <c r="J2547" s="6"/>
      <c r="K2547" s="6"/>
      <c r="L2547" s="6"/>
      <c r="M2547" s="6"/>
      <c r="N2547" s="672"/>
      <c r="O2547" s="6"/>
      <c r="P2547" s="6"/>
      <c r="Q2547" s="6"/>
      <c r="R2547" s="6"/>
      <c r="S2547" s="6"/>
      <c r="T2547" s="6"/>
      <c r="U2547" s="6"/>
    </row>
    <row r="2548">
      <c r="A2548" s="6"/>
      <c r="B2548" s="6"/>
      <c r="C2548" s="6"/>
      <c r="D2548" s="6"/>
      <c r="E2548" s="6"/>
      <c r="G2548" s="6"/>
      <c r="H2548" s="6"/>
      <c r="I2548" s="6"/>
      <c r="J2548" s="6"/>
      <c r="K2548" s="6"/>
      <c r="L2548" s="6"/>
      <c r="M2548" s="6"/>
      <c r="N2548" s="672"/>
      <c r="O2548" s="6"/>
      <c r="P2548" s="6"/>
      <c r="Q2548" s="6"/>
      <c r="R2548" s="6"/>
      <c r="S2548" s="6"/>
      <c r="T2548" s="6"/>
      <c r="U2548" s="6"/>
    </row>
    <row r="2549">
      <c r="A2549" s="6"/>
      <c r="B2549" s="6"/>
      <c r="C2549" s="6"/>
      <c r="D2549" s="6"/>
      <c r="E2549" s="6"/>
      <c r="G2549" s="6"/>
      <c r="H2549" s="6"/>
      <c r="I2549" s="6"/>
      <c r="J2549" s="6"/>
      <c r="K2549" s="6"/>
      <c r="L2549" s="6"/>
      <c r="M2549" s="6"/>
      <c r="N2549" s="672"/>
      <c r="O2549" s="6"/>
      <c r="P2549" s="6"/>
      <c r="Q2549" s="6"/>
      <c r="R2549" s="6"/>
      <c r="S2549" s="6"/>
      <c r="T2549" s="6"/>
      <c r="U2549" s="6"/>
    </row>
    <row r="2550">
      <c r="A2550" s="6"/>
      <c r="B2550" s="6"/>
      <c r="C2550" s="6"/>
      <c r="D2550" s="6"/>
      <c r="E2550" s="6"/>
      <c r="G2550" s="6"/>
      <c r="H2550" s="6"/>
      <c r="I2550" s="6"/>
      <c r="J2550" s="6"/>
      <c r="K2550" s="6"/>
      <c r="L2550" s="6"/>
      <c r="M2550" s="6"/>
      <c r="N2550" s="672"/>
      <c r="O2550" s="6"/>
      <c r="P2550" s="6"/>
      <c r="Q2550" s="6"/>
      <c r="R2550" s="6"/>
      <c r="S2550" s="6"/>
      <c r="T2550" s="6"/>
      <c r="U2550" s="6"/>
    </row>
    <row r="2551">
      <c r="A2551" s="6"/>
      <c r="B2551" s="6"/>
      <c r="C2551" s="6"/>
      <c r="D2551" s="6"/>
      <c r="E2551" s="6"/>
      <c r="G2551" s="6"/>
      <c r="H2551" s="6"/>
      <c r="I2551" s="6"/>
      <c r="J2551" s="6"/>
      <c r="K2551" s="6"/>
      <c r="L2551" s="6"/>
      <c r="M2551" s="6"/>
      <c r="N2551" s="672"/>
      <c r="O2551" s="6"/>
      <c r="P2551" s="6"/>
      <c r="Q2551" s="6"/>
      <c r="R2551" s="6"/>
      <c r="S2551" s="6"/>
      <c r="T2551" s="6"/>
      <c r="U2551" s="6"/>
    </row>
    <row r="2552">
      <c r="A2552" s="6"/>
      <c r="B2552" s="6"/>
      <c r="C2552" s="6"/>
      <c r="D2552" s="6"/>
      <c r="E2552" s="6"/>
      <c r="G2552" s="6"/>
      <c r="H2552" s="6"/>
      <c r="I2552" s="6"/>
      <c r="J2552" s="6"/>
      <c r="K2552" s="6"/>
      <c r="L2552" s="6"/>
      <c r="M2552" s="6"/>
      <c r="N2552" s="672"/>
      <c r="O2552" s="6"/>
      <c r="P2552" s="6"/>
      <c r="Q2552" s="6"/>
      <c r="R2552" s="6"/>
      <c r="S2552" s="6"/>
      <c r="T2552" s="6"/>
      <c r="U2552" s="6"/>
    </row>
    <row r="2553">
      <c r="A2553" s="6"/>
      <c r="B2553" s="6"/>
      <c r="C2553" s="6"/>
      <c r="D2553" s="6"/>
      <c r="E2553" s="6"/>
      <c r="G2553" s="6"/>
      <c r="H2553" s="6"/>
      <c r="I2553" s="6"/>
      <c r="J2553" s="6"/>
      <c r="K2553" s="6"/>
      <c r="L2553" s="6"/>
      <c r="M2553" s="6"/>
      <c r="N2553" s="672"/>
      <c r="O2553" s="6"/>
      <c r="P2553" s="6"/>
      <c r="Q2553" s="6"/>
      <c r="R2553" s="6"/>
      <c r="S2553" s="6"/>
      <c r="T2553" s="6"/>
      <c r="U2553" s="6"/>
    </row>
    <row r="2554">
      <c r="A2554" s="6"/>
      <c r="B2554" s="6"/>
      <c r="C2554" s="6"/>
      <c r="D2554" s="6"/>
      <c r="E2554" s="6"/>
      <c r="G2554" s="6"/>
      <c r="H2554" s="6"/>
      <c r="I2554" s="6"/>
      <c r="J2554" s="6"/>
      <c r="K2554" s="6"/>
      <c r="L2554" s="6"/>
      <c r="M2554" s="6"/>
      <c r="N2554" s="672"/>
      <c r="O2554" s="6"/>
      <c r="P2554" s="6"/>
      <c r="Q2554" s="6"/>
      <c r="R2554" s="6"/>
      <c r="S2554" s="6"/>
      <c r="T2554" s="6"/>
      <c r="U2554" s="6"/>
    </row>
    <row r="2555">
      <c r="A2555" s="6"/>
      <c r="B2555" s="6"/>
      <c r="C2555" s="6"/>
      <c r="D2555" s="6"/>
      <c r="E2555" s="6"/>
      <c r="G2555" s="6"/>
      <c r="H2555" s="6"/>
      <c r="I2555" s="6"/>
      <c r="J2555" s="6"/>
      <c r="K2555" s="6"/>
      <c r="L2555" s="6"/>
      <c r="M2555" s="6"/>
      <c r="N2555" s="672"/>
      <c r="O2555" s="6"/>
      <c r="P2555" s="6"/>
      <c r="Q2555" s="6"/>
      <c r="R2555" s="6"/>
      <c r="S2555" s="6"/>
      <c r="T2555" s="6"/>
      <c r="U2555" s="6"/>
    </row>
    <row r="2556">
      <c r="A2556" s="6"/>
      <c r="B2556" s="6"/>
      <c r="C2556" s="6"/>
      <c r="D2556" s="6"/>
      <c r="E2556" s="6"/>
      <c r="G2556" s="6"/>
      <c r="H2556" s="6"/>
      <c r="I2556" s="6"/>
      <c r="J2556" s="6"/>
      <c r="K2556" s="6"/>
      <c r="L2556" s="6"/>
      <c r="M2556" s="6"/>
      <c r="N2556" s="672"/>
      <c r="O2556" s="6"/>
      <c r="P2556" s="6"/>
      <c r="Q2556" s="6"/>
      <c r="R2556" s="6"/>
      <c r="S2556" s="6"/>
      <c r="T2556" s="6"/>
      <c r="U2556" s="6"/>
    </row>
    <row r="2557">
      <c r="A2557" s="6"/>
      <c r="B2557" s="6"/>
      <c r="C2557" s="6"/>
      <c r="D2557" s="6"/>
      <c r="E2557" s="6"/>
      <c r="G2557" s="6"/>
      <c r="H2557" s="6"/>
      <c r="I2557" s="6"/>
      <c r="J2557" s="6"/>
      <c r="K2557" s="6"/>
      <c r="L2557" s="6"/>
      <c r="M2557" s="6"/>
      <c r="N2557" s="672"/>
      <c r="O2557" s="6"/>
      <c r="P2557" s="6"/>
      <c r="Q2557" s="6"/>
      <c r="R2557" s="6"/>
      <c r="S2557" s="6"/>
      <c r="T2557" s="6"/>
      <c r="U2557" s="6"/>
    </row>
    <row r="2558">
      <c r="A2558" s="6"/>
      <c r="B2558" s="6"/>
      <c r="C2558" s="6"/>
      <c r="D2558" s="6"/>
      <c r="E2558" s="6"/>
      <c r="G2558" s="6"/>
      <c r="H2558" s="6"/>
      <c r="I2558" s="6"/>
      <c r="J2558" s="6"/>
      <c r="K2558" s="6"/>
      <c r="L2558" s="6"/>
      <c r="M2558" s="6"/>
      <c r="N2558" s="672"/>
      <c r="O2558" s="6"/>
      <c r="P2558" s="6"/>
      <c r="Q2558" s="6"/>
      <c r="R2558" s="6"/>
      <c r="S2558" s="6"/>
      <c r="T2558" s="6"/>
      <c r="U2558" s="6"/>
    </row>
    <row r="2559">
      <c r="A2559" s="6"/>
      <c r="B2559" s="6"/>
      <c r="C2559" s="6"/>
      <c r="D2559" s="6"/>
      <c r="E2559" s="6"/>
      <c r="G2559" s="6"/>
      <c r="H2559" s="6"/>
      <c r="I2559" s="6"/>
      <c r="J2559" s="6"/>
      <c r="K2559" s="6"/>
      <c r="L2559" s="6"/>
      <c r="M2559" s="6"/>
      <c r="N2559" s="672"/>
      <c r="O2559" s="6"/>
      <c r="P2559" s="6"/>
      <c r="Q2559" s="6"/>
      <c r="R2559" s="6"/>
      <c r="S2559" s="6"/>
      <c r="T2559" s="6"/>
      <c r="U2559" s="6"/>
    </row>
    <row r="2560">
      <c r="A2560" s="6"/>
      <c r="B2560" s="6"/>
      <c r="C2560" s="6"/>
      <c r="D2560" s="6"/>
      <c r="E2560" s="6"/>
      <c r="G2560" s="6"/>
      <c r="H2560" s="6"/>
      <c r="I2560" s="6"/>
      <c r="J2560" s="6"/>
      <c r="K2560" s="6"/>
      <c r="L2560" s="6"/>
      <c r="M2560" s="6"/>
      <c r="N2560" s="672"/>
      <c r="O2560" s="6"/>
      <c r="P2560" s="6"/>
      <c r="Q2560" s="6"/>
      <c r="R2560" s="6"/>
      <c r="S2560" s="6"/>
      <c r="T2560" s="6"/>
      <c r="U2560" s="6"/>
    </row>
    <row r="2561">
      <c r="A2561" s="6"/>
      <c r="B2561" s="6"/>
      <c r="C2561" s="6"/>
      <c r="D2561" s="6"/>
      <c r="E2561" s="6"/>
      <c r="G2561" s="6"/>
      <c r="H2561" s="6"/>
      <c r="I2561" s="6"/>
      <c r="J2561" s="6"/>
      <c r="K2561" s="6"/>
      <c r="L2561" s="6"/>
      <c r="M2561" s="6"/>
      <c r="N2561" s="672"/>
      <c r="O2561" s="6"/>
      <c r="P2561" s="6"/>
      <c r="Q2561" s="6"/>
      <c r="R2561" s="6"/>
      <c r="S2561" s="6"/>
      <c r="T2561" s="6"/>
      <c r="U2561" s="6"/>
    </row>
    <row r="2562">
      <c r="A2562" s="6"/>
      <c r="B2562" s="6"/>
      <c r="C2562" s="6"/>
      <c r="D2562" s="6"/>
      <c r="E2562" s="6"/>
      <c r="G2562" s="6"/>
      <c r="H2562" s="6"/>
      <c r="I2562" s="6"/>
      <c r="J2562" s="6"/>
      <c r="K2562" s="6"/>
      <c r="L2562" s="6"/>
      <c r="M2562" s="6"/>
      <c r="N2562" s="672"/>
      <c r="O2562" s="6"/>
      <c r="P2562" s="6"/>
      <c r="Q2562" s="6"/>
      <c r="R2562" s="6"/>
      <c r="S2562" s="6"/>
      <c r="T2562" s="6"/>
      <c r="U2562" s="6"/>
    </row>
    <row r="2563">
      <c r="A2563" s="6"/>
      <c r="B2563" s="6"/>
      <c r="C2563" s="6"/>
      <c r="D2563" s="6"/>
      <c r="E2563" s="6"/>
      <c r="G2563" s="6"/>
      <c r="H2563" s="6"/>
      <c r="I2563" s="6"/>
      <c r="J2563" s="6"/>
      <c r="K2563" s="6"/>
      <c r="L2563" s="6"/>
      <c r="M2563" s="6"/>
      <c r="N2563" s="672"/>
      <c r="O2563" s="6"/>
      <c r="P2563" s="6"/>
      <c r="Q2563" s="6"/>
      <c r="R2563" s="6"/>
      <c r="S2563" s="6"/>
      <c r="T2563" s="6"/>
      <c r="U2563" s="6"/>
    </row>
    <row r="2564">
      <c r="A2564" s="6"/>
      <c r="B2564" s="6"/>
      <c r="C2564" s="6"/>
      <c r="D2564" s="6"/>
      <c r="E2564" s="6"/>
      <c r="G2564" s="6"/>
      <c r="H2564" s="6"/>
      <c r="I2564" s="6"/>
      <c r="J2564" s="6"/>
      <c r="K2564" s="6"/>
      <c r="L2564" s="6"/>
      <c r="M2564" s="6"/>
      <c r="N2564" s="672"/>
      <c r="O2564" s="6"/>
      <c r="P2564" s="6"/>
      <c r="Q2564" s="6"/>
      <c r="R2564" s="6"/>
      <c r="S2564" s="6"/>
      <c r="T2564" s="6"/>
      <c r="U2564" s="6"/>
    </row>
    <row r="2565">
      <c r="A2565" s="6"/>
      <c r="B2565" s="6"/>
      <c r="C2565" s="6"/>
      <c r="D2565" s="6"/>
      <c r="E2565" s="6"/>
      <c r="G2565" s="6"/>
      <c r="H2565" s="6"/>
      <c r="I2565" s="6"/>
      <c r="J2565" s="6"/>
      <c r="K2565" s="6"/>
      <c r="L2565" s="6"/>
      <c r="M2565" s="6"/>
      <c r="N2565" s="672"/>
      <c r="O2565" s="6"/>
      <c r="P2565" s="6"/>
      <c r="Q2565" s="6"/>
      <c r="R2565" s="6"/>
      <c r="S2565" s="6"/>
      <c r="T2565" s="6"/>
      <c r="U2565" s="6"/>
    </row>
    <row r="2566">
      <c r="A2566" s="6"/>
      <c r="B2566" s="6"/>
      <c r="C2566" s="6"/>
      <c r="D2566" s="6"/>
      <c r="E2566" s="6"/>
      <c r="G2566" s="6"/>
      <c r="H2566" s="6"/>
      <c r="I2566" s="6"/>
      <c r="J2566" s="6"/>
      <c r="K2566" s="6"/>
      <c r="L2566" s="6"/>
      <c r="M2566" s="6"/>
      <c r="N2566" s="672"/>
      <c r="O2566" s="6"/>
      <c r="P2566" s="6"/>
      <c r="Q2566" s="6"/>
      <c r="R2566" s="6"/>
      <c r="S2566" s="6"/>
      <c r="T2566" s="6"/>
      <c r="U2566" s="6"/>
    </row>
    <row r="2567">
      <c r="A2567" s="6"/>
      <c r="B2567" s="6"/>
      <c r="C2567" s="6"/>
      <c r="D2567" s="6"/>
      <c r="E2567" s="6"/>
      <c r="G2567" s="6"/>
      <c r="H2567" s="6"/>
      <c r="I2567" s="6"/>
      <c r="J2567" s="6"/>
      <c r="K2567" s="6"/>
      <c r="L2567" s="6"/>
      <c r="M2567" s="6"/>
      <c r="N2567" s="672"/>
      <c r="O2567" s="6"/>
      <c r="P2567" s="6"/>
      <c r="Q2567" s="6"/>
      <c r="R2567" s="6"/>
      <c r="S2567" s="6"/>
      <c r="T2567" s="6"/>
      <c r="U2567" s="6"/>
    </row>
    <row r="2568">
      <c r="A2568" s="6"/>
      <c r="B2568" s="6"/>
      <c r="C2568" s="6"/>
      <c r="D2568" s="6"/>
      <c r="E2568" s="6"/>
      <c r="G2568" s="6"/>
      <c r="H2568" s="6"/>
      <c r="I2568" s="6"/>
      <c r="J2568" s="6"/>
      <c r="K2568" s="6"/>
      <c r="L2568" s="6"/>
      <c r="M2568" s="6"/>
      <c r="N2568" s="672"/>
      <c r="O2568" s="6"/>
      <c r="P2568" s="6"/>
      <c r="Q2568" s="6"/>
      <c r="R2568" s="6"/>
      <c r="S2568" s="6"/>
      <c r="T2568" s="6"/>
      <c r="U2568" s="6"/>
    </row>
    <row r="2569">
      <c r="A2569" s="6"/>
      <c r="B2569" s="6"/>
      <c r="C2569" s="6"/>
      <c r="D2569" s="6"/>
      <c r="E2569" s="6"/>
      <c r="G2569" s="6"/>
      <c r="H2569" s="6"/>
      <c r="I2569" s="6"/>
      <c r="J2569" s="6"/>
      <c r="K2569" s="6"/>
      <c r="L2569" s="6"/>
      <c r="M2569" s="6"/>
      <c r="N2569" s="672"/>
      <c r="O2569" s="6"/>
      <c r="P2569" s="6"/>
      <c r="Q2569" s="6"/>
      <c r="R2569" s="6"/>
      <c r="S2569" s="6"/>
      <c r="T2569" s="6"/>
      <c r="U2569" s="6"/>
    </row>
    <row r="2570">
      <c r="A2570" s="6"/>
      <c r="B2570" s="6"/>
      <c r="C2570" s="6"/>
      <c r="D2570" s="6"/>
      <c r="E2570" s="6"/>
      <c r="G2570" s="6"/>
      <c r="H2570" s="6"/>
      <c r="I2570" s="6"/>
      <c r="J2570" s="6"/>
      <c r="K2570" s="6"/>
      <c r="L2570" s="6"/>
      <c r="M2570" s="6"/>
      <c r="N2570" s="672"/>
      <c r="O2570" s="6"/>
      <c r="P2570" s="6"/>
      <c r="Q2570" s="6"/>
      <c r="R2570" s="6"/>
      <c r="S2570" s="6"/>
      <c r="T2570" s="6"/>
      <c r="U2570" s="6"/>
    </row>
    <row r="2571">
      <c r="A2571" s="6"/>
      <c r="B2571" s="6"/>
      <c r="C2571" s="6"/>
      <c r="D2571" s="6"/>
      <c r="E2571" s="6"/>
      <c r="G2571" s="6"/>
      <c r="H2571" s="6"/>
      <c r="I2571" s="6"/>
      <c r="J2571" s="6"/>
      <c r="K2571" s="6"/>
      <c r="L2571" s="6"/>
      <c r="M2571" s="6"/>
      <c r="N2571" s="672"/>
      <c r="O2571" s="6"/>
      <c r="P2571" s="6"/>
      <c r="Q2571" s="6"/>
      <c r="R2571" s="6"/>
      <c r="S2571" s="6"/>
      <c r="T2571" s="6"/>
      <c r="U2571" s="6"/>
    </row>
    <row r="2572">
      <c r="A2572" s="6"/>
      <c r="B2572" s="6"/>
      <c r="C2572" s="6"/>
      <c r="D2572" s="6"/>
      <c r="E2572" s="6"/>
      <c r="G2572" s="6"/>
      <c r="H2572" s="6"/>
      <c r="I2572" s="6"/>
      <c r="J2572" s="6"/>
      <c r="K2572" s="6"/>
      <c r="L2572" s="6"/>
      <c r="M2572" s="6"/>
      <c r="N2572" s="672"/>
      <c r="O2572" s="6"/>
      <c r="P2572" s="6"/>
      <c r="Q2572" s="6"/>
      <c r="R2572" s="6"/>
      <c r="S2572" s="6"/>
      <c r="T2572" s="6"/>
      <c r="U2572" s="6"/>
    </row>
    <row r="2573">
      <c r="A2573" s="6"/>
      <c r="B2573" s="6"/>
      <c r="C2573" s="6"/>
      <c r="D2573" s="6"/>
      <c r="E2573" s="6"/>
      <c r="G2573" s="6"/>
      <c r="H2573" s="6"/>
      <c r="I2573" s="6"/>
      <c r="J2573" s="6"/>
      <c r="K2573" s="6"/>
      <c r="L2573" s="6"/>
      <c r="M2573" s="6"/>
      <c r="N2573" s="672"/>
      <c r="O2573" s="6"/>
      <c r="P2573" s="6"/>
      <c r="Q2573" s="6"/>
      <c r="R2573" s="6"/>
      <c r="S2573" s="6"/>
      <c r="T2573" s="6"/>
      <c r="U2573" s="6"/>
    </row>
    <row r="2574">
      <c r="A2574" s="6"/>
      <c r="B2574" s="6"/>
      <c r="C2574" s="6"/>
      <c r="D2574" s="6"/>
      <c r="E2574" s="6"/>
      <c r="G2574" s="6"/>
      <c r="H2574" s="6"/>
      <c r="I2574" s="6"/>
      <c r="J2574" s="6"/>
      <c r="K2574" s="6"/>
      <c r="L2574" s="6"/>
      <c r="M2574" s="6"/>
      <c r="N2574" s="672"/>
      <c r="O2574" s="6"/>
      <c r="P2574" s="6"/>
      <c r="Q2574" s="6"/>
      <c r="R2574" s="6"/>
      <c r="S2574" s="6"/>
      <c r="T2574" s="6"/>
      <c r="U2574" s="6"/>
    </row>
    <row r="2575">
      <c r="A2575" s="6"/>
      <c r="B2575" s="6"/>
      <c r="C2575" s="6"/>
      <c r="D2575" s="6"/>
      <c r="E2575" s="6"/>
      <c r="G2575" s="6"/>
      <c r="H2575" s="6"/>
      <c r="I2575" s="6"/>
      <c r="J2575" s="6"/>
      <c r="K2575" s="6"/>
      <c r="L2575" s="6"/>
      <c r="M2575" s="6"/>
      <c r="N2575" s="672"/>
      <c r="O2575" s="6"/>
      <c r="P2575" s="6"/>
      <c r="Q2575" s="6"/>
      <c r="R2575" s="6"/>
      <c r="S2575" s="6"/>
      <c r="T2575" s="6"/>
      <c r="U2575" s="6"/>
    </row>
    <row r="2576">
      <c r="A2576" s="6"/>
      <c r="B2576" s="6"/>
      <c r="C2576" s="6"/>
      <c r="D2576" s="6"/>
      <c r="E2576" s="6"/>
      <c r="G2576" s="6"/>
      <c r="H2576" s="6"/>
      <c r="I2576" s="6"/>
      <c r="J2576" s="6"/>
      <c r="K2576" s="6"/>
      <c r="L2576" s="6"/>
      <c r="M2576" s="6"/>
      <c r="N2576" s="672"/>
      <c r="O2576" s="6"/>
      <c r="P2576" s="6"/>
      <c r="Q2576" s="6"/>
      <c r="R2576" s="6"/>
      <c r="S2576" s="6"/>
      <c r="T2576" s="6"/>
      <c r="U2576" s="6"/>
    </row>
    <row r="2577">
      <c r="A2577" s="6"/>
      <c r="B2577" s="6"/>
      <c r="C2577" s="6"/>
      <c r="D2577" s="6"/>
      <c r="E2577" s="6"/>
      <c r="G2577" s="6"/>
      <c r="H2577" s="6"/>
      <c r="I2577" s="6"/>
      <c r="J2577" s="6"/>
      <c r="K2577" s="6"/>
      <c r="L2577" s="6"/>
      <c r="M2577" s="6"/>
      <c r="N2577" s="672"/>
      <c r="O2577" s="6"/>
      <c r="P2577" s="6"/>
      <c r="Q2577" s="6"/>
      <c r="R2577" s="6"/>
      <c r="S2577" s="6"/>
      <c r="T2577" s="6"/>
      <c r="U2577" s="6"/>
    </row>
    <row r="2578">
      <c r="A2578" s="6"/>
      <c r="B2578" s="6"/>
      <c r="C2578" s="6"/>
      <c r="D2578" s="6"/>
      <c r="E2578" s="6"/>
      <c r="G2578" s="6"/>
      <c r="H2578" s="6"/>
      <c r="I2578" s="6"/>
      <c r="J2578" s="6"/>
      <c r="K2578" s="6"/>
      <c r="L2578" s="6"/>
      <c r="M2578" s="6"/>
      <c r="N2578" s="672"/>
      <c r="O2578" s="6"/>
      <c r="P2578" s="6"/>
      <c r="Q2578" s="6"/>
      <c r="R2578" s="6"/>
      <c r="S2578" s="6"/>
      <c r="T2578" s="6"/>
      <c r="U2578" s="6"/>
    </row>
    <row r="2579">
      <c r="A2579" s="6"/>
      <c r="B2579" s="6"/>
      <c r="C2579" s="6"/>
      <c r="D2579" s="6"/>
      <c r="E2579" s="6"/>
      <c r="G2579" s="6"/>
      <c r="H2579" s="6"/>
      <c r="I2579" s="6"/>
      <c r="J2579" s="6"/>
      <c r="K2579" s="6"/>
      <c r="L2579" s="6"/>
      <c r="M2579" s="6"/>
      <c r="N2579" s="672"/>
      <c r="O2579" s="6"/>
      <c r="P2579" s="6"/>
      <c r="Q2579" s="6"/>
      <c r="R2579" s="6"/>
      <c r="S2579" s="6"/>
      <c r="T2579" s="6"/>
      <c r="U2579" s="6"/>
    </row>
    <row r="2580">
      <c r="A2580" s="6"/>
      <c r="B2580" s="6"/>
      <c r="C2580" s="6"/>
      <c r="D2580" s="6"/>
      <c r="E2580" s="6"/>
      <c r="G2580" s="6"/>
      <c r="H2580" s="6"/>
      <c r="I2580" s="6"/>
      <c r="J2580" s="6"/>
      <c r="K2580" s="6"/>
      <c r="L2580" s="6"/>
      <c r="M2580" s="6"/>
      <c r="N2580" s="672"/>
      <c r="O2580" s="6"/>
      <c r="P2580" s="6"/>
      <c r="Q2580" s="6"/>
      <c r="R2580" s="6"/>
      <c r="S2580" s="6"/>
      <c r="T2580" s="6"/>
      <c r="U2580" s="6"/>
    </row>
    <row r="2581">
      <c r="A2581" s="6"/>
      <c r="B2581" s="6"/>
      <c r="C2581" s="6"/>
      <c r="D2581" s="6"/>
      <c r="E2581" s="6"/>
      <c r="G2581" s="6"/>
      <c r="H2581" s="6"/>
      <c r="I2581" s="6"/>
      <c r="J2581" s="6"/>
      <c r="K2581" s="6"/>
      <c r="L2581" s="6"/>
      <c r="M2581" s="6"/>
      <c r="N2581" s="672"/>
      <c r="O2581" s="6"/>
      <c r="P2581" s="6"/>
      <c r="Q2581" s="6"/>
      <c r="R2581" s="6"/>
      <c r="S2581" s="6"/>
      <c r="T2581" s="6"/>
      <c r="U2581" s="6"/>
    </row>
    <row r="2582">
      <c r="A2582" s="6"/>
      <c r="B2582" s="6"/>
      <c r="C2582" s="6"/>
      <c r="D2582" s="6"/>
      <c r="E2582" s="6"/>
      <c r="G2582" s="6"/>
      <c r="H2582" s="6"/>
      <c r="I2582" s="6"/>
      <c r="J2582" s="6"/>
      <c r="K2582" s="6"/>
      <c r="L2582" s="6"/>
      <c r="M2582" s="6"/>
      <c r="N2582" s="672"/>
      <c r="O2582" s="6"/>
      <c r="P2582" s="6"/>
      <c r="Q2582" s="6"/>
      <c r="R2582" s="6"/>
      <c r="S2582" s="6"/>
      <c r="T2582" s="6"/>
      <c r="U2582" s="6"/>
    </row>
    <row r="2583">
      <c r="A2583" s="6"/>
      <c r="B2583" s="6"/>
      <c r="C2583" s="6"/>
      <c r="D2583" s="6"/>
      <c r="E2583" s="6"/>
      <c r="G2583" s="6"/>
      <c r="H2583" s="6"/>
      <c r="I2583" s="6"/>
      <c r="J2583" s="6"/>
      <c r="K2583" s="6"/>
      <c r="L2583" s="6"/>
      <c r="M2583" s="6"/>
      <c r="N2583" s="672"/>
      <c r="O2583" s="6"/>
      <c r="P2583" s="6"/>
      <c r="Q2583" s="6"/>
      <c r="R2583" s="6"/>
      <c r="S2583" s="6"/>
      <c r="T2583" s="6"/>
      <c r="U2583" s="6"/>
    </row>
    <row r="2584">
      <c r="A2584" s="6"/>
      <c r="B2584" s="6"/>
      <c r="C2584" s="6"/>
      <c r="D2584" s="6"/>
      <c r="E2584" s="6"/>
      <c r="G2584" s="6"/>
      <c r="H2584" s="6"/>
      <c r="I2584" s="6"/>
      <c r="J2584" s="6"/>
      <c r="K2584" s="6"/>
      <c r="L2584" s="6"/>
      <c r="M2584" s="6"/>
      <c r="N2584" s="672"/>
      <c r="O2584" s="6"/>
      <c r="P2584" s="6"/>
      <c r="Q2584" s="6"/>
      <c r="R2584" s="6"/>
      <c r="S2584" s="6"/>
      <c r="T2584" s="6"/>
      <c r="U2584" s="6"/>
    </row>
    <row r="2585">
      <c r="A2585" s="6"/>
      <c r="B2585" s="6"/>
      <c r="C2585" s="6"/>
      <c r="D2585" s="6"/>
      <c r="E2585" s="6"/>
      <c r="G2585" s="6"/>
      <c r="H2585" s="6"/>
      <c r="I2585" s="6"/>
      <c r="J2585" s="6"/>
      <c r="K2585" s="6"/>
      <c r="L2585" s="6"/>
      <c r="M2585" s="6"/>
      <c r="N2585" s="672"/>
      <c r="O2585" s="6"/>
      <c r="P2585" s="6"/>
      <c r="Q2585" s="6"/>
      <c r="R2585" s="6"/>
      <c r="S2585" s="6"/>
      <c r="T2585" s="6"/>
      <c r="U2585" s="6"/>
    </row>
    <row r="2586">
      <c r="A2586" s="6"/>
      <c r="B2586" s="6"/>
      <c r="C2586" s="6"/>
      <c r="D2586" s="6"/>
      <c r="E2586" s="6"/>
      <c r="G2586" s="6"/>
      <c r="H2586" s="6"/>
      <c r="I2586" s="6"/>
      <c r="J2586" s="6"/>
      <c r="K2586" s="6"/>
      <c r="L2586" s="6"/>
      <c r="M2586" s="6"/>
      <c r="N2586" s="672"/>
      <c r="O2586" s="6"/>
      <c r="P2586" s="6"/>
      <c r="Q2586" s="6"/>
      <c r="R2586" s="6"/>
      <c r="S2586" s="6"/>
      <c r="T2586" s="6"/>
      <c r="U2586" s="6"/>
    </row>
    <row r="2587">
      <c r="A2587" s="6"/>
      <c r="B2587" s="6"/>
      <c r="C2587" s="6"/>
      <c r="D2587" s="6"/>
      <c r="E2587" s="6"/>
      <c r="G2587" s="6"/>
      <c r="H2587" s="6"/>
      <c r="I2587" s="6"/>
      <c r="J2587" s="6"/>
      <c r="K2587" s="6"/>
      <c r="L2587" s="6"/>
      <c r="M2587" s="6"/>
      <c r="N2587" s="672"/>
      <c r="O2587" s="6"/>
      <c r="P2587" s="6"/>
      <c r="Q2587" s="6"/>
      <c r="R2587" s="6"/>
      <c r="S2587" s="6"/>
      <c r="T2587" s="6"/>
      <c r="U2587" s="6"/>
    </row>
    <row r="2588">
      <c r="A2588" s="6"/>
      <c r="B2588" s="6"/>
      <c r="C2588" s="6"/>
      <c r="D2588" s="6"/>
      <c r="E2588" s="6"/>
      <c r="G2588" s="6"/>
      <c r="H2588" s="6"/>
      <c r="I2588" s="6"/>
      <c r="J2588" s="6"/>
      <c r="K2588" s="6"/>
      <c r="L2588" s="6"/>
      <c r="M2588" s="6"/>
      <c r="N2588" s="672"/>
      <c r="O2588" s="6"/>
      <c r="P2588" s="6"/>
      <c r="Q2588" s="6"/>
      <c r="R2588" s="6"/>
      <c r="S2588" s="6"/>
      <c r="T2588" s="6"/>
      <c r="U2588" s="6"/>
    </row>
    <row r="2589">
      <c r="A2589" s="6"/>
      <c r="B2589" s="6"/>
      <c r="C2589" s="6"/>
      <c r="D2589" s="6"/>
      <c r="E2589" s="6"/>
      <c r="G2589" s="6"/>
      <c r="H2589" s="6"/>
      <c r="I2589" s="6"/>
      <c r="J2589" s="6"/>
      <c r="K2589" s="6"/>
      <c r="L2589" s="6"/>
      <c r="M2589" s="6"/>
      <c r="N2589" s="672"/>
      <c r="O2589" s="6"/>
      <c r="P2589" s="6"/>
      <c r="Q2589" s="6"/>
      <c r="R2589" s="6"/>
      <c r="S2589" s="6"/>
      <c r="T2589" s="6"/>
      <c r="U2589" s="6"/>
    </row>
    <row r="2590">
      <c r="A2590" s="6"/>
      <c r="B2590" s="6"/>
      <c r="C2590" s="6"/>
      <c r="D2590" s="6"/>
      <c r="E2590" s="6"/>
      <c r="G2590" s="6"/>
      <c r="H2590" s="6"/>
      <c r="I2590" s="6"/>
      <c r="J2590" s="6"/>
      <c r="K2590" s="6"/>
      <c r="L2590" s="6"/>
      <c r="M2590" s="6"/>
      <c r="N2590" s="672"/>
      <c r="O2590" s="6"/>
      <c r="P2590" s="6"/>
      <c r="Q2590" s="6"/>
      <c r="R2590" s="6"/>
      <c r="S2590" s="6"/>
      <c r="T2590" s="6"/>
      <c r="U2590" s="6"/>
    </row>
    <row r="2591">
      <c r="A2591" s="6"/>
      <c r="B2591" s="6"/>
      <c r="C2591" s="6"/>
      <c r="D2591" s="6"/>
      <c r="E2591" s="6"/>
      <c r="G2591" s="6"/>
      <c r="H2591" s="6"/>
      <c r="I2591" s="6"/>
      <c r="J2591" s="6"/>
      <c r="K2591" s="6"/>
      <c r="L2591" s="6"/>
      <c r="M2591" s="6"/>
      <c r="N2591" s="672"/>
      <c r="O2591" s="6"/>
      <c r="P2591" s="6"/>
      <c r="Q2591" s="6"/>
      <c r="R2591" s="6"/>
      <c r="S2591" s="6"/>
      <c r="T2591" s="6"/>
      <c r="U2591" s="6"/>
    </row>
    <row r="2592">
      <c r="A2592" s="6"/>
      <c r="B2592" s="6"/>
      <c r="C2592" s="6"/>
      <c r="D2592" s="6"/>
      <c r="E2592" s="6"/>
      <c r="G2592" s="6"/>
      <c r="H2592" s="6"/>
      <c r="I2592" s="6"/>
      <c r="J2592" s="6"/>
      <c r="K2592" s="6"/>
      <c r="L2592" s="6"/>
      <c r="M2592" s="6"/>
      <c r="N2592" s="672"/>
      <c r="O2592" s="6"/>
      <c r="P2592" s="6"/>
      <c r="Q2592" s="6"/>
      <c r="R2592" s="6"/>
      <c r="S2592" s="6"/>
      <c r="T2592" s="6"/>
      <c r="U2592" s="6"/>
    </row>
    <row r="2593">
      <c r="A2593" s="6"/>
      <c r="B2593" s="6"/>
      <c r="C2593" s="6"/>
      <c r="D2593" s="6"/>
      <c r="E2593" s="6"/>
      <c r="G2593" s="6"/>
      <c r="H2593" s="6"/>
      <c r="I2593" s="6"/>
      <c r="J2593" s="6"/>
      <c r="K2593" s="6"/>
      <c r="L2593" s="6"/>
      <c r="M2593" s="6"/>
      <c r="N2593" s="672"/>
      <c r="O2593" s="6"/>
      <c r="P2593" s="6"/>
      <c r="Q2593" s="6"/>
      <c r="R2593" s="6"/>
      <c r="S2593" s="6"/>
      <c r="T2593" s="6"/>
      <c r="U2593" s="6"/>
    </row>
    <row r="2594">
      <c r="A2594" s="6"/>
      <c r="B2594" s="6"/>
      <c r="C2594" s="6"/>
      <c r="D2594" s="6"/>
      <c r="E2594" s="6"/>
      <c r="G2594" s="6"/>
      <c r="H2594" s="6"/>
      <c r="I2594" s="6"/>
      <c r="J2594" s="6"/>
      <c r="K2594" s="6"/>
      <c r="L2594" s="6"/>
      <c r="M2594" s="6"/>
      <c r="N2594" s="672"/>
      <c r="O2594" s="6"/>
      <c r="P2594" s="6"/>
      <c r="Q2594" s="6"/>
      <c r="R2594" s="6"/>
      <c r="S2594" s="6"/>
      <c r="T2594" s="6"/>
      <c r="U2594" s="6"/>
    </row>
    <row r="2595">
      <c r="A2595" s="6"/>
      <c r="B2595" s="6"/>
      <c r="C2595" s="6"/>
      <c r="D2595" s="6"/>
      <c r="E2595" s="6"/>
      <c r="G2595" s="6"/>
      <c r="H2595" s="6"/>
      <c r="I2595" s="6"/>
      <c r="J2595" s="6"/>
      <c r="K2595" s="6"/>
      <c r="L2595" s="6"/>
      <c r="M2595" s="6"/>
      <c r="N2595" s="672"/>
      <c r="O2595" s="6"/>
      <c r="P2595" s="6"/>
      <c r="Q2595" s="6"/>
      <c r="R2595" s="6"/>
      <c r="S2595" s="6"/>
      <c r="T2595" s="6"/>
      <c r="U2595" s="6"/>
    </row>
    <row r="2596">
      <c r="A2596" s="6"/>
      <c r="B2596" s="6"/>
      <c r="C2596" s="6"/>
      <c r="D2596" s="6"/>
      <c r="E2596" s="6"/>
      <c r="G2596" s="6"/>
      <c r="H2596" s="6"/>
      <c r="I2596" s="6"/>
      <c r="J2596" s="6"/>
      <c r="K2596" s="6"/>
      <c r="L2596" s="6"/>
      <c r="M2596" s="6"/>
      <c r="N2596" s="672"/>
      <c r="O2596" s="6"/>
      <c r="P2596" s="6"/>
      <c r="Q2596" s="6"/>
      <c r="R2596" s="6"/>
      <c r="S2596" s="6"/>
      <c r="T2596" s="6"/>
      <c r="U2596" s="6"/>
    </row>
    <row r="2597">
      <c r="A2597" s="6"/>
      <c r="B2597" s="6"/>
      <c r="C2597" s="6"/>
      <c r="D2597" s="6"/>
      <c r="E2597" s="6"/>
      <c r="G2597" s="6"/>
      <c r="H2597" s="6"/>
      <c r="I2597" s="6"/>
      <c r="J2597" s="6"/>
      <c r="K2597" s="6"/>
      <c r="L2597" s="6"/>
      <c r="M2597" s="6"/>
      <c r="N2597" s="672"/>
      <c r="O2597" s="6"/>
      <c r="P2597" s="6"/>
      <c r="Q2597" s="6"/>
      <c r="R2597" s="6"/>
      <c r="S2597" s="6"/>
      <c r="T2597" s="6"/>
      <c r="U2597" s="6"/>
    </row>
    <row r="2598">
      <c r="A2598" s="6"/>
      <c r="B2598" s="6"/>
      <c r="C2598" s="6"/>
      <c r="D2598" s="6"/>
      <c r="E2598" s="6"/>
      <c r="G2598" s="6"/>
      <c r="H2598" s="6"/>
      <c r="I2598" s="6"/>
      <c r="J2598" s="6"/>
      <c r="K2598" s="6"/>
      <c r="L2598" s="6"/>
      <c r="M2598" s="6"/>
      <c r="N2598" s="672"/>
      <c r="O2598" s="6"/>
      <c r="P2598" s="6"/>
      <c r="Q2598" s="6"/>
      <c r="R2598" s="6"/>
      <c r="S2598" s="6"/>
      <c r="T2598" s="6"/>
      <c r="U2598" s="6"/>
    </row>
    <row r="2599">
      <c r="A2599" s="6"/>
      <c r="B2599" s="6"/>
      <c r="C2599" s="6"/>
      <c r="D2599" s="6"/>
      <c r="E2599" s="6"/>
      <c r="G2599" s="6"/>
      <c r="H2599" s="6"/>
      <c r="I2599" s="6"/>
      <c r="J2599" s="6"/>
      <c r="K2599" s="6"/>
      <c r="L2599" s="6"/>
      <c r="M2599" s="6"/>
      <c r="N2599" s="672"/>
      <c r="O2599" s="6"/>
      <c r="P2599" s="6"/>
      <c r="Q2599" s="6"/>
      <c r="R2599" s="6"/>
      <c r="S2599" s="6"/>
      <c r="T2599" s="6"/>
      <c r="U2599" s="6"/>
    </row>
    <row r="2600">
      <c r="A2600" s="6"/>
      <c r="B2600" s="6"/>
      <c r="C2600" s="6"/>
      <c r="D2600" s="6"/>
      <c r="E2600" s="6"/>
      <c r="G2600" s="6"/>
      <c r="H2600" s="6"/>
      <c r="I2600" s="6"/>
      <c r="J2600" s="6"/>
      <c r="K2600" s="6"/>
      <c r="L2600" s="6"/>
      <c r="M2600" s="6"/>
      <c r="N2600" s="672"/>
      <c r="O2600" s="6"/>
      <c r="P2600" s="6"/>
      <c r="Q2600" s="6"/>
      <c r="R2600" s="6"/>
      <c r="S2600" s="6"/>
      <c r="T2600" s="6"/>
      <c r="U2600" s="6"/>
    </row>
    <row r="2601">
      <c r="A2601" s="6"/>
      <c r="B2601" s="6"/>
      <c r="C2601" s="6"/>
      <c r="D2601" s="6"/>
      <c r="E2601" s="6"/>
      <c r="G2601" s="6"/>
      <c r="H2601" s="6"/>
      <c r="I2601" s="6"/>
      <c r="J2601" s="6"/>
      <c r="K2601" s="6"/>
      <c r="L2601" s="6"/>
      <c r="M2601" s="6"/>
      <c r="N2601" s="672"/>
      <c r="O2601" s="6"/>
      <c r="P2601" s="6"/>
      <c r="Q2601" s="6"/>
      <c r="R2601" s="6"/>
      <c r="S2601" s="6"/>
      <c r="T2601" s="6"/>
      <c r="U2601" s="6"/>
    </row>
    <row r="2602">
      <c r="A2602" s="6"/>
      <c r="B2602" s="6"/>
      <c r="C2602" s="6"/>
      <c r="D2602" s="6"/>
      <c r="E2602" s="6"/>
      <c r="G2602" s="6"/>
      <c r="H2602" s="6"/>
      <c r="I2602" s="6"/>
      <c r="J2602" s="6"/>
      <c r="K2602" s="6"/>
      <c r="L2602" s="6"/>
      <c r="M2602" s="6"/>
      <c r="N2602" s="672"/>
      <c r="O2602" s="6"/>
      <c r="P2602" s="6"/>
      <c r="Q2602" s="6"/>
      <c r="R2602" s="6"/>
      <c r="S2602" s="6"/>
      <c r="T2602" s="6"/>
      <c r="U2602" s="6"/>
    </row>
    <row r="2603">
      <c r="A2603" s="6"/>
      <c r="B2603" s="6"/>
      <c r="C2603" s="6"/>
      <c r="D2603" s="6"/>
      <c r="E2603" s="6"/>
      <c r="G2603" s="6"/>
      <c r="H2603" s="6"/>
      <c r="I2603" s="6"/>
      <c r="J2603" s="6"/>
      <c r="K2603" s="6"/>
      <c r="L2603" s="6"/>
      <c r="M2603" s="6"/>
      <c r="N2603" s="672"/>
      <c r="O2603" s="6"/>
      <c r="P2603" s="6"/>
      <c r="Q2603" s="6"/>
      <c r="R2603" s="6"/>
      <c r="S2603" s="6"/>
      <c r="T2603" s="6"/>
      <c r="U2603" s="6"/>
    </row>
    <row r="2604">
      <c r="A2604" s="6"/>
      <c r="B2604" s="6"/>
      <c r="C2604" s="6"/>
      <c r="D2604" s="6"/>
      <c r="E2604" s="6"/>
      <c r="G2604" s="6"/>
      <c r="H2604" s="6"/>
      <c r="I2604" s="6"/>
      <c r="J2604" s="6"/>
      <c r="K2604" s="6"/>
      <c r="L2604" s="6"/>
      <c r="M2604" s="6"/>
      <c r="N2604" s="672"/>
      <c r="O2604" s="6"/>
      <c r="P2604" s="6"/>
      <c r="Q2604" s="6"/>
      <c r="R2604" s="6"/>
      <c r="S2604" s="6"/>
      <c r="T2604" s="6"/>
      <c r="U2604" s="6"/>
    </row>
    <row r="2605">
      <c r="A2605" s="6"/>
      <c r="B2605" s="6"/>
      <c r="C2605" s="6"/>
      <c r="D2605" s="6"/>
      <c r="E2605" s="6"/>
      <c r="G2605" s="6"/>
      <c r="H2605" s="6"/>
      <c r="I2605" s="6"/>
      <c r="J2605" s="6"/>
      <c r="K2605" s="6"/>
      <c r="L2605" s="6"/>
      <c r="M2605" s="6"/>
      <c r="N2605" s="672"/>
      <c r="O2605" s="6"/>
      <c r="P2605" s="6"/>
      <c r="Q2605" s="6"/>
      <c r="R2605" s="6"/>
      <c r="S2605" s="6"/>
      <c r="T2605" s="6"/>
      <c r="U2605" s="6"/>
    </row>
    <row r="2606">
      <c r="A2606" s="6"/>
      <c r="B2606" s="6"/>
      <c r="C2606" s="6"/>
      <c r="D2606" s="6"/>
      <c r="E2606" s="6"/>
      <c r="G2606" s="6"/>
      <c r="H2606" s="6"/>
      <c r="I2606" s="6"/>
      <c r="J2606" s="6"/>
      <c r="K2606" s="6"/>
      <c r="L2606" s="6"/>
      <c r="M2606" s="6"/>
      <c r="N2606" s="672"/>
      <c r="O2606" s="6"/>
      <c r="P2606" s="6"/>
      <c r="Q2606" s="6"/>
      <c r="R2606" s="6"/>
      <c r="S2606" s="6"/>
      <c r="T2606" s="6"/>
      <c r="U2606" s="6"/>
    </row>
    <row r="2607">
      <c r="A2607" s="6"/>
      <c r="B2607" s="6"/>
      <c r="C2607" s="6"/>
      <c r="D2607" s="6"/>
      <c r="E2607" s="6"/>
      <c r="G2607" s="6"/>
      <c r="H2607" s="6"/>
      <c r="I2607" s="6"/>
      <c r="J2607" s="6"/>
      <c r="K2607" s="6"/>
      <c r="L2607" s="6"/>
      <c r="M2607" s="6"/>
      <c r="N2607" s="672"/>
      <c r="O2607" s="6"/>
      <c r="P2607" s="6"/>
      <c r="Q2607" s="6"/>
      <c r="R2607" s="6"/>
      <c r="S2607" s="6"/>
      <c r="T2607" s="6"/>
      <c r="U2607" s="6"/>
    </row>
    <row r="2608">
      <c r="A2608" s="6"/>
      <c r="B2608" s="6"/>
      <c r="C2608" s="6"/>
      <c r="D2608" s="6"/>
      <c r="E2608" s="6"/>
      <c r="G2608" s="6"/>
      <c r="H2608" s="6"/>
      <c r="I2608" s="6"/>
      <c r="J2608" s="6"/>
      <c r="K2608" s="6"/>
      <c r="L2608" s="6"/>
      <c r="M2608" s="6"/>
      <c r="N2608" s="672"/>
      <c r="O2608" s="6"/>
      <c r="P2608" s="6"/>
      <c r="Q2608" s="6"/>
      <c r="R2608" s="6"/>
      <c r="S2608" s="6"/>
      <c r="T2608" s="6"/>
      <c r="U2608" s="6"/>
    </row>
    <row r="2609">
      <c r="A2609" s="6"/>
      <c r="B2609" s="6"/>
      <c r="C2609" s="6"/>
      <c r="D2609" s="6"/>
      <c r="E2609" s="6"/>
      <c r="G2609" s="6"/>
      <c r="H2609" s="6"/>
      <c r="I2609" s="6"/>
      <c r="J2609" s="6"/>
      <c r="K2609" s="6"/>
      <c r="L2609" s="6"/>
      <c r="M2609" s="6"/>
      <c r="N2609" s="672"/>
      <c r="O2609" s="6"/>
      <c r="P2609" s="6"/>
      <c r="Q2609" s="6"/>
      <c r="R2609" s="6"/>
      <c r="S2609" s="6"/>
      <c r="T2609" s="6"/>
      <c r="U2609" s="6"/>
    </row>
    <row r="2610">
      <c r="A2610" s="6"/>
      <c r="B2610" s="6"/>
      <c r="C2610" s="6"/>
      <c r="D2610" s="6"/>
      <c r="E2610" s="6"/>
      <c r="G2610" s="6"/>
      <c r="H2610" s="6"/>
      <c r="I2610" s="6"/>
      <c r="J2610" s="6"/>
      <c r="K2610" s="6"/>
      <c r="L2610" s="6"/>
      <c r="M2610" s="6"/>
      <c r="N2610" s="672"/>
      <c r="O2610" s="6"/>
      <c r="P2610" s="6"/>
      <c r="Q2610" s="6"/>
      <c r="R2610" s="6"/>
      <c r="S2610" s="6"/>
      <c r="T2610" s="6"/>
      <c r="U2610" s="6"/>
    </row>
    <row r="2611">
      <c r="A2611" s="6"/>
      <c r="B2611" s="6"/>
      <c r="C2611" s="6"/>
      <c r="D2611" s="6"/>
      <c r="E2611" s="6"/>
      <c r="G2611" s="6"/>
      <c r="H2611" s="6"/>
      <c r="I2611" s="6"/>
      <c r="J2611" s="6"/>
      <c r="K2611" s="6"/>
      <c r="L2611" s="6"/>
      <c r="M2611" s="6"/>
      <c r="N2611" s="672"/>
      <c r="O2611" s="6"/>
      <c r="P2611" s="6"/>
      <c r="Q2611" s="6"/>
      <c r="R2611" s="6"/>
      <c r="S2611" s="6"/>
      <c r="T2611" s="6"/>
      <c r="U2611" s="6"/>
    </row>
    <row r="2612">
      <c r="A2612" s="6"/>
      <c r="B2612" s="6"/>
      <c r="C2612" s="6"/>
      <c r="D2612" s="6"/>
      <c r="E2612" s="6"/>
      <c r="G2612" s="6"/>
      <c r="H2612" s="6"/>
      <c r="I2612" s="6"/>
      <c r="J2612" s="6"/>
      <c r="K2612" s="6"/>
      <c r="L2612" s="6"/>
      <c r="M2612" s="6"/>
      <c r="N2612" s="672"/>
      <c r="O2612" s="6"/>
      <c r="P2612" s="6"/>
      <c r="Q2612" s="6"/>
      <c r="R2612" s="6"/>
      <c r="S2612" s="6"/>
      <c r="T2612" s="6"/>
      <c r="U2612" s="6"/>
    </row>
    <row r="2613">
      <c r="A2613" s="6"/>
      <c r="B2613" s="6"/>
      <c r="C2613" s="6"/>
      <c r="D2613" s="6"/>
      <c r="E2613" s="6"/>
      <c r="G2613" s="6"/>
      <c r="H2613" s="6"/>
      <c r="I2613" s="6"/>
      <c r="J2613" s="6"/>
      <c r="K2613" s="6"/>
      <c r="L2613" s="6"/>
      <c r="M2613" s="6"/>
      <c r="N2613" s="672"/>
      <c r="O2613" s="6"/>
      <c r="P2613" s="6"/>
      <c r="Q2613" s="6"/>
      <c r="R2613" s="6"/>
      <c r="S2613" s="6"/>
      <c r="T2613" s="6"/>
      <c r="U2613" s="6"/>
    </row>
    <row r="2614">
      <c r="A2614" s="6"/>
      <c r="B2614" s="6"/>
      <c r="C2614" s="6"/>
      <c r="D2614" s="6"/>
      <c r="E2614" s="6"/>
      <c r="G2614" s="6"/>
      <c r="H2614" s="6"/>
      <c r="I2614" s="6"/>
      <c r="J2614" s="6"/>
      <c r="K2614" s="6"/>
      <c r="L2614" s="6"/>
      <c r="M2614" s="6"/>
      <c r="N2614" s="672"/>
      <c r="O2614" s="6"/>
      <c r="P2614" s="6"/>
      <c r="Q2614" s="6"/>
      <c r="R2614" s="6"/>
      <c r="S2614" s="6"/>
      <c r="T2614" s="6"/>
      <c r="U2614" s="6"/>
    </row>
    <row r="2615">
      <c r="A2615" s="6"/>
      <c r="B2615" s="6"/>
      <c r="C2615" s="6"/>
      <c r="D2615" s="6"/>
      <c r="E2615" s="6"/>
      <c r="G2615" s="6"/>
      <c r="H2615" s="6"/>
      <c r="I2615" s="6"/>
      <c r="J2615" s="6"/>
      <c r="K2615" s="6"/>
      <c r="L2615" s="6"/>
      <c r="M2615" s="6"/>
      <c r="N2615" s="672"/>
      <c r="O2615" s="6"/>
      <c r="P2615" s="6"/>
      <c r="Q2615" s="6"/>
      <c r="R2615" s="6"/>
      <c r="S2615" s="6"/>
      <c r="T2615" s="6"/>
      <c r="U2615" s="6"/>
    </row>
    <row r="2616">
      <c r="A2616" s="6"/>
      <c r="B2616" s="6"/>
      <c r="C2616" s="6"/>
      <c r="D2616" s="6"/>
      <c r="E2616" s="6"/>
      <c r="G2616" s="6"/>
      <c r="H2616" s="6"/>
      <c r="I2616" s="6"/>
      <c r="J2616" s="6"/>
      <c r="K2616" s="6"/>
      <c r="L2616" s="6"/>
      <c r="M2616" s="6"/>
      <c r="N2616" s="672"/>
      <c r="O2616" s="6"/>
      <c r="P2616" s="6"/>
      <c r="Q2616" s="6"/>
      <c r="R2616" s="6"/>
      <c r="S2616" s="6"/>
      <c r="T2616" s="6"/>
      <c r="U2616" s="6"/>
    </row>
    <row r="2617">
      <c r="A2617" s="6"/>
      <c r="B2617" s="6"/>
      <c r="C2617" s="6"/>
      <c r="D2617" s="6"/>
      <c r="E2617" s="6"/>
      <c r="G2617" s="6"/>
      <c r="H2617" s="6"/>
      <c r="I2617" s="6"/>
      <c r="J2617" s="6"/>
      <c r="K2617" s="6"/>
      <c r="L2617" s="6"/>
      <c r="M2617" s="6"/>
      <c r="N2617" s="672"/>
      <c r="O2617" s="6"/>
      <c r="P2617" s="6"/>
      <c r="Q2617" s="6"/>
      <c r="R2617" s="6"/>
      <c r="S2617" s="6"/>
      <c r="T2617" s="6"/>
      <c r="U2617" s="6"/>
    </row>
    <row r="2618">
      <c r="A2618" s="6"/>
      <c r="B2618" s="6"/>
      <c r="C2618" s="6"/>
      <c r="D2618" s="6"/>
      <c r="E2618" s="6"/>
      <c r="G2618" s="6"/>
      <c r="H2618" s="6"/>
      <c r="I2618" s="6"/>
      <c r="J2618" s="6"/>
      <c r="K2618" s="6"/>
      <c r="L2618" s="6"/>
      <c r="M2618" s="6"/>
      <c r="N2618" s="672"/>
      <c r="O2618" s="6"/>
      <c r="P2618" s="6"/>
      <c r="Q2618" s="6"/>
      <c r="R2618" s="6"/>
      <c r="S2618" s="6"/>
      <c r="T2618" s="6"/>
      <c r="U2618" s="6"/>
    </row>
    <row r="2619">
      <c r="A2619" s="6"/>
      <c r="B2619" s="6"/>
      <c r="C2619" s="6"/>
      <c r="D2619" s="6"/>
      <c r="E2619" s="6"/>
      <c r="G2619" s="6"/>
      <c r="H2619" s="6"/>
      <c r="I2619" s="6"/>
      <c r="J2619" s="6"/>
      <c r="K2619" s="6"/>
      <c r="L2619" s="6"/>
      <c r="M2619" s="6"/>
      <c r="N2619" s="672"/>
      <c r="O2619" s="6"/>
      <c r="P2619" s="6"/>
      <c r="Q2619" s="6"/>
      <c r="R2619" s="6"/>
      <c r="S2619" s="6"/>
      <c r="T2619" s="6"/>
      <c r="U2619" s="6"/>
    </row>
    <row r="2620">
      <c r="A2620" s="6"/>
      <c r="B2620" s="6"/>
      <c r="C2620" s="6"/>
      <c r="D2620" s="6"/>
      <c r="E2620" s="6"/>
      <c r="G2620" s="6"/>
      <c r="H2620" s="6"/>
      <c r="I2620" s="6"/>
      <c r="J2620" s="6"/>
      <c r="K2620" s="6"/>
      <c r="L2620" s="6"/>
      <c r="M2620" s="6"/>
      <c r="N2620" s="672"/>
      <c r="O2620" s="6"/>
      <c r="P2620" s="6"/>
      <c r="Q2620" s="6"/>
      <c r="R2620" s="6"/>
      <c r="S2620" s="6"/>
      <c r="T2620" s="6"/>
      <c r="U2620" s="6"/>
    </row>
    <row r="2621">
      <c r="A2621" s="6"/>
      <c r="B2621" s="6"/>
      <c r="C2621" s="6"/>
      <c r="D2621" s="6"/>
      <c r="E2621" s="6"/>
      <c r="G2621" s="6"/>
      <c r="H2621" s="6"/>
      <c r="I2621" s="6"/>
      <c r="J2621" s="6"/>
      <c r="K2621" s="6"/>
      <c r="L2621" s="6"/>
      <c r="M2621" s="6"/>
      <c r="N2621" s="672"/>
      <c r="O2621" s="6"/>
      <c r="P2621" s="6"/>
      <c r="Q2621" s="6"/>
      <c r="R2621" s="6"/>
      <c r="S2621" s="6"/>
      <c r="T2621" s="6"/>
      <c r="U2621" s="6"/>
    </row>
    <row r="2622">
      <c r="A2622" s="6"/>
      <c r="B2622" s="6"/>
      <c r="C2622" s="6"/>
      <c r="D2622" s="6"/>
      <c r="E2622" s="6"/>
      <c r="G2622" s="6"/>
      <c r="H2622" s="6"/>
      <c r="I2622" s="6"/>
      <c r="J2622" s="6"/>
      <c r="K2622" s="6"/>
      <c r="L2622" s="6"/>
      <c r="M2622" s="6"/>
      <c r="N2622" s="672"/>
      <c r="O2622" s="6"/>
      <c r="P2622" s="6"/>
      <c r="Q2622" s="6"/>
      <c r="R2622" s="6"/>
      <c r="S2622" s="6"/>
      <c r="T2622" s="6"/>
      <c r="U2622" s="6"/>
    </row>
    <row r="2623">
      <c r="A2623" s="6"/>
      <c r="B2623" s="6"/>
      <c r="C2623" s="6"/>
      <c r="D2623" s="6"/>
      <c r="E2623" s="6"/>
      <c r="G2623" s="6"/>
      <c r="H2623" s="6"/>
      <c r="I2623" s="6"/>
      <c r="J2623" s="6"/>
      <c r="K2623" s="6"/>
      <c r="L2623" s="6"/>
      <c r="M2623" s="6"/>
      <c r="N2623" s="672"/>
      <c r="O2623" s="6"/>
      <c r="P2623" s="6"/>
      <c r="Q2623" s="6"/>
      <c r="R2623" s="6"/>
      <c r="S2623" s="6"/>
      <c r="T2623" s="6"/>
      <c r="U2623" s="6"/>
    </row>
    <row r="2624">
      <c r="A2624" s="6"/>
      <c r="B2624" s="6"/>
      <c r="C2624" s="6"/>
      <c r="D2624" s="6"/>
      <c r="E2624" s="6"/>
      <c r="G2624" s="6"/>
      <c r="H2624" s="6"/>
      <c r="I2624" s="6"/>
      <c r="J2624" s="6"/>
      <c r="K2624" s="6"/>
      <c r="L2624" s="6"/>
      <c r="M2624" s="6"/>
      <c r="N2624" s="672"/>
      <c r="O2624" s="6"/>
      <c r="P2624" s="6"/>
      <c r="Q2624" s="6"/>
      <c r="R2624" s="6"/>
      <c r="S2624" s="6"/>
      <c r="T2624" s="6"/>
      <c r="U2624" s="6"/>
    </row>
    <row r="2625">
      <c r="A2625" s="6"/>
      <c r="B2625" s="6"/>
      <c r="C2625" s="6"/>
      <c r="D2625" s="6"/>
      <c r="E2625" s="6"/>
      <c r="G2625" s="6"/>
      <c r="H2625" s="6"/>
      <c r="I2625" s="6"/>
      <c r="J2625" s="6"/>
      <c r="K2625" s="6"/>
      <c r="L2625" s="6"/>
      <c r="M2625" s="6"/>
      <c r="N2625" s="672"/>
      <c r="O2625" s="6"/>
      <c r="P2625" s="6"/>
      <c r="Q2625" s="6"/>
      <c r="R2625" s="6"/>
      <c r="S2625" s="6"/>
      <c r="T2625" s="6"/>
      <c r="U2625" s="6"/>
    </row>
    <row r="2626">
      <c r="A2626" s="6"/>
      <c r="B2626" s="6"/>
      <c r="C2626" s="6"/>
      <c r="D2626" s="6"/>
      <c r="E2626" s="6"/>
      <c r="G2626" s="6"/>
      <c r="H2626" s="6"/>
      <c r="I2626" s="6"/>
      <c r="J2626" s="6"/>
      <c r="K2626" s="6"/>
      <c r="L2626" s="6"/>
      <c r="M2626" s="6"/>
      <c r="N2626" s="672"/>
      <c r="O2626" s="6"/>
      <c r="P2626" s="6"/>
      <c r="Q2626" s="6"/>
      <c r="R2626" s="6"/>
      <c r="S2626" s="6"/>
      <c r="T2626" s="6"/>
      <c r="U2626" s="6"/>
    </row>
    <row r="2627">
      <c r="A2627" s="6"/>
      <c r="B2627" s="6"/>
      <c r="C2627" s="6"/>
      <c r="D2627" s="6"/>
      <c r="E2627" s="6"/>
      <c r="G2627" s="6"/>
      <c r="H2627" s="6"/>
      <c r="I2627" s="6"/>
      <c r="J2627" s="6"/>
      <c r="K2627" s="6"/>
      <c r="L2627" s="6"/>
      <c r="M2627" s="6"/>
      <c r="N2627" s="672"/>
      <c r="O2627" s="6"/>
      <c r="P2627" s="6"/>
      <c r="Q2627" s="6"/>
      <c r="R2627" s="6"/>
      <c r="S2627" s="6"/>
      <c r="T2627" s="6"/>
      <c r="U2627" s="6"/>
    </row>
    <row r="2628">
      <c r="A2628" s="6"/>
      <c r="B2628" s="6"/>
      <c r="C2628" s="6"/>
      <c r="D2628" s="6"/>
      <c r="E2628" s="6"/>
      <c r="G2628" s="6"/>
      <c r="H2628" s="6"/>
      <c r="I2628" s="6"/>
      <c r="J2628" s="6"/>
      <c r="K2628" s="6"/>
      <c r="L2628" s="6"/>
      <c r="M2628" s="6"/>
      <c r="N2628" s="672"/>
      <c r="O2628" s="6"/>
      <c r="P2628" s="6"/>
      <c r="Q2628" s="6"/>
      <c r="R2628" s="6"/>
      <c r="S2628" s="6"/>
      <c r="T2628" s="6"/>
      <c r="U2628" s="6"/>
    </row>
    <row r="2629">
      <c r="A2629" s="6"/>
      <c r="B2629" s="6"/>
      <c r="C2629" s="6"/>
      <c r="D2629" s="6"/>
      <c r="E2629" s="6"/>
      <c r="G2629" s="6"/>
      <c r="H2629" s="6"/>
      <c r="I2629" s="6"/>
      <c r="J2629" s="6"/>
      <c r="K2629" s="6"/>
      <c r="L2629" s="6"/>
      <c r="M2629" s="6"/>
      <c r="N2629" s="672"/>
      <c r="O2629" s="6"/>
      <c r="P2629" s="6"/>
      <c r="Q2629" s="6"/>
      <c r="R2629" s="6"/>
      <c r="S2629" s="6"/>
      <c r="T2629" s="6"/>
      <c r="U2629" s="6"/>
    </row>
    <row r="2630">
      <c r="A2630" s="6"/>
      <c r="B2630" s="6"/>
      <c r="C2630" s="6"/>
      <c r="D2630" s="6"/>
      <c r="E2630" s="6"/>
      <c r="G2630" s="6"/>
      <c r="H2630" s="6"/>
      <c r="I2630" s="6"/>
      <c r="J2630" s="6"/>
      <c r="K2630" s="6"/>
      <c r="L2630" s="6"/>
      <c r="M2630" s="6"/>
      <c r="N2630" s="672"/>
      <c r="O2630" s="6"/>
      <c r="P2630" s="6"/>
      <c r="Q2630" s="6"/>
      <c r="R2630" s="6"/>
      <c r="S2630" s="6"/>
      <c r="T2630" s="6"/>
      <c r="U2630" s="6"/>
    </row>
    <row r="2631">
      <c r="A2631" s="6"/>
      <c r="B2631" s="6"/>
      <c r="C2631" s="6"/>
      <c r="D2631" s="6"/>
      <c r="E2631" s="6"/>
      <c r="G2631" s="6"/>
      <c r="H2631" s="6"/>
      <c r="I2631" s="6"/>
      <c r="J2631" s="6"/>
      <c r="K2631" s="6"/>
      <c r="L2631" s="6"/>
      <c r="M2631" s="6"/>
      <c r="N2631" s="672"/>
      <c r="O2631" s="6"/>
      <c r="P2631" s="6"/>
      <c r="Q2631" s="6"/>
      <c r="R2631" s="6"/>
      <c r="S2631" s="6"/>
      <c r="T2631" s="6"/>
      <c r="U2631" s="6"/>
    </row>
    <row r="2632">
      <c r="A2632" s="6"/>
      <c r="B2632" s="6"/>
      <c r="C2632" s="6"/>
      <c r="D2632" s="6"/>
      <c r="E2632" s="6"/>
      <c r="G2632" s="6"/>
      <c r="H2632" s="6"/>
      <c r="I2632" s="6"/>
      <c r="J2632" s="6"/>
      <c r="K2632" s="6"/>
      <c r="L2632" s="6"/>
      <c r="M2632" s="6"/>
      <c r="N2632" s="672"/>
      <c r="O2632" s="6"/>
      <c r="P2632" s="6"/>
      <c r="Q2632" s="6"/>
      <c r="R2632" s="6"/>
      <c r="S2632" s="6"/>
      <c r="T2632" s="6"/>
      <c r="U2632" s="6"/>
    </row>
    <row r="2633">
      <c r="A2633" s="6"/>
      <c r="B2633" s="6"/>
      <c r="C2633" s="6"/>
      <c r="D2633" s="6"/>
      <c r="E2633" s="6"/>
      <c r="G2633" s="6"/>
      <c r="H2633" s="6"/>
      <c r="I2633" s="6"/>
      <c r="J2633" s="6"/>
      <c r="K2633" s="6"/>
      <c r="L2633" s="6"/>
      <c r="M2633" s="6"/>
      <c r="N2633" s="672"/>
      <c r="O2633" s="6"/>
      <c r="P2633" s="6"/>
      <c r="Q2633" s="6"/>
      <c r="R2633" s="6"/>
      <c r="S2633" s="6"/>
      <c r="T2633" s="6"/>
      <c r="U2633" s="6"/>
    </row>
    <row r="2634">
      <c r="A2634" s="6"/>
      <c r="B2634" s="6"/>
      <c r="C2634" s="6"/>
      <c r="D2634" s="6"/>
      <c r="E2634" s="6"/>
      <c r="G2634" s="6"/>
      <c r="H2634" s="6"/>
      <c r="I2634" s="6"/>
      <c r="J2634" s="6"/>
      <c r="K2634" s="6"/>
      <c r="L2634" s="6"/>
      <c r="M2634" s="6"/>
      <c r="N2634" s="672"/>
      <c r="O2634" s="6"/>
      <c r="P2634" s="6"/>
      <c r="Q2634" s="6"/>
      <c r="R2634" s="6"/>
      <c r="S2634" s="6"/>
      <c r="T2634" s="6"/>
      <c r="U2634" s="6"/>
    </row>
    <row r="2635">
      <c r="A2635" s="6"/>
      <c r="B2635" s="6"/>
      <c r="C2635" s="6"/>
      <c r="D2635" s="6"/>
      <c r="E2635" s="6"/>
      <c r="G2635" s="6"/>
      <c r="H2635" s="6"/>
      <c r="I2635" s="6"/>
      <c r="J2635" s="6"/>
      <c r="K2635" s="6"/>
      <c r="L2635" s="6"/>
      <c r="M2635" s="6"/>
      <c r="N2635" s="672"/>
      <c r="O2635" s="6"/>
      <c r="P2635" s="6"/>
      <c r="Q2635" s="6"/>
      <c r="R2635" s="6"/>
      <c r="S2635" s="6"/>
      <c r="T2635" s="6"/>
      <c r="U2635" s="6"/>
    </row>
    <row r="2636">
      <c r="A2636" s="6"/>
      <c r="B2636" s="6"/>
      <c r="C2636" s="6"/>
      <c r="D2636" s="6"/>
      <c r="E2636" s="6"/>
      <c r="G2636" s="6"/>
      <c r="H2636" s="6"/>
      <c r="I2636" s="6"/>
      <c r="J2636" s="6"/>
      <c r="K2636" s="6"/>
      <c r="L2636" s="6"/>
      <c r="M2636" s="6"/>
      <c r="N2636" s="672"/>
      <c r="O2636" s="6"/>
      <c r="P2636" s="6"/>
      <c r="Q2636" s="6"/>
      <c r="R2636" s="6"/>
      <c r="S2636" s="6"/>
      <c r="T2636" s="6"/>
      <c r="U2636" s="6"/>
    </row>
    <row r="2637">
      <c r="A2637" s="6"/>
      <c r="B2637" s="6"/>
      <c r="C2637" s="6"/>
      <c r="D2637" s="6"/>
      <c r="E2637" s="6"/>
      <c r="G2637" s="6"/>
      <c r="H2637" s="6"/>
      <c r="I2637" s="6"/>
      <c r="J2637" s="6"/>
      <c r="K2637" s="6"/>
      <c r="L2637" s="6"/>
      <c r="M2637" s="6"/>
      <c r="N2637" s="672"/>
      <c r="O2637" s="6"/>
      <c r="P2637" s="6"/>
      <c r="Q2637" s="6"/>
      <c r="R2637" s="6"/>
      <c r="S2637" s="6"/>
      <c r="T2637" s="6"/>
      <c r="U2637" s="6"/>
    </row>
    <row r="2638">
      <c r="A2638" s="6"/>
      <c r="B2638" s="6"/>
      <c r="C2638" s="6"/>
      <c r="D2638" s="6"/>
      <c r="E2638" s="6"/>
      <c r="G2638" s="6"/>
      <c r="H2638" s="6"/>
      <c r="I2638" s="6"/>
      <c r="J2638" s="6"/>
      <c r="K2638" s="6"/>
      <c r="L2638" s="6"/>
      <c r="M2638" s="6"/>
      <c r="N2638" s="672"/>
      <c r="O2638" s="6"/>
      <c r="P2638" s="6"/>
      <c r="Q2638" s="6"/>
      <c r="R2638" s="6"/>
      <c r="S2638" s="6"/>
      <c r="T2638" s="6"/>
      <c r="U2638" s="6"/>
    </row>
    <row r="2639">
      <c r="A2639" s="6"/>
      <c r="B2639" s="6"/>
      <c r="C2639" s="6"/>
      <c r="D2639" s="6"/>
      <c r="E2639" s="6"/>
      <c r="G2639" s="6"/>
      <c r="H2639" s="6"/>
      <c r="I2639" s="6"/>
      <c r="J2639" s="6"/>
      <c r="K2639" s="6"/>
      <c r="L2639" s="6"/>
      <c r="M2639" s="6"/>
      <c r="N2639" s="672"/>
      <c r="O2639" s="6"/>
      <c r="P2639" s="6"/>
      <c r="Q2639" s="6"/>
      <c r="R2639" s="6"/>
      <c r="S2639" s="6"/>
      <c r="T2639" s="6"/>
      <c r="U2639" s="6"/>
    </row>
    <row r="2640">
      <c r="A2640" s="6"/>
      <c r="B2640" s="6"/>
      <c r="C2640" s="6"/>
      <c r="D2640" s="6"/>
      <c r="E2640" s="6"/>
      <c r="G2640" s="6"/>
      <c r="H2640" s="6"/>
      <c r="I2640" s="6"/>
      <c r="J2640" s="6"/>
      <c r="K2640" s="6"/>
      <c r="L2640" s="6"/>
      <c r="M2640" s="6"/>
      <c r="N2640" s="672"/>
      <c r="O2640" s="6"/>
      <c r="P2640" s="6"/>
      <c r="Q2640" s="6"/>
      <c r="R2640" s="6"/>
      <c r="S2640" s="6"/>
      <c r="T2640" s="6"/>
      <c r="U2640" s="6"/>
    </row>
    <row r="2641">
      <c r="A2641" s="6"/>
      <c r="B2641" s="6"/>
      <c r="C2641" s="6"/>
      <c r="D2641" s="6"/>
      <c r="E2641" s="6"/>
      <c r="G2641" s="6"/>
      <c r="H2641" s="6"/>
      <c r="I2641" s="6"/>
      <c r="J2641" s="6"/>
      <c r="K2641" s="6"/>
      <c r="L2641" s="6"/>
      <c r="M2641" s="6"/>
      <c r="N2641" s="672"/>
      <c r="O2641" s="6"/>
      <c r="P2641" s="6"/>
      <c r="Q2641" s="6"/>
      <c r="R2641" s="6"/>
      <c r="S2641" s="6"/>
      <c r="T2641" s="6"/>
      <c r="U2641" s="6"/>
    </row>
    <row r="2642">
      <c r="A2642" s="6"/>
      <c r="B2642" s="6"/>
      <c r="C2642" s="6"/>
      <c r="D2642" s="6"/>
      <c r="E2642" s="6"/>
      <c r="G2642" s="6"/>
      <c r="H2642" s="6"/>
      <c r="I2642" s="6"/>
      <c r="J2642" s="6"/>
      <c r="K2642" s="6"/>
      <c r="L2642" s="6"/>
      <c r="M2642" s="6"/>
      <c r="N2642" s="672"/>
      <c r="O2642" s="6"/>
      <c r="P2642" s="6"/>
      <c r="Q2642" s="6"/>
      <c r="R2642" s="6"/>
      <c r="S2642" s="6"/>
      <c r="T2642" s="6"/>
      <c r="U2642" s="6"/>
    </row>
    <row r="2643">
      <c r="A2643" s="6"/>
      <c r="B2643" s="6"/>
      <c r="C2643" s="6"/>
      <c r="D2643" s="6"/>
      <c r="E2643" s="6"/>
      <c r="G2643" s="6"/>
      <c r="H2643" s="6"/>
      <c r="I2643" s="6"/>
      <c r="J2643" s="6"/>
      <c r="K2643" s="6"/>
      <c r="L2643" s="6"/>
      <c r="M2643" s="6"/>
      <c r="N2643" s="672"/>
      <c r="O2643" s="6"/>
      <c r="P2643" s="6"/>
      <c r="Q2643" s="6"/>
      <c r="R2643" s="6"/>
      <c r="S2643" s="6"/>
      <c r="T2643" s="6"/>
      <c r="U2643" s="6"/>
    </row>
    <row r="2644">
      <c r="A2644" s="6"/>
      <c r="B2644" s="6"/>
      <c r="C2644" s="6"/>
      <c r="D2644" s="6"/>
      <c r="E2644" s="6"/>
      <c r="G2644" s="6"/>
      <c r="H2644" s="6"/>
      <c r="I2644" s="6"/>
      <c r="J2644" s="6"/>
      <c r="K2644" s="6"/>
      <c r="L2644" s="6"/>
      <c r="M2644" s="6"/>
      <c r="N2644" s="672"/>
      <c r="O2644" s="6"/>
      <c r="P2644" s="6"/>
      <c r="Q2644" s="6"/>
      <c r="R2644" s="6"/>
      <c r="S2644" s="6"/>
      <c r="T2644" s="6"/>
      <c r="U2644" s="6"/>
    </row>
    <row r="2645">
      <c r="A2645" s="6"/>
      <c r="B2645" s="6"/>
      <c r="C2645" s="6"/>
      <c r="D2645" s="6"/>
      <c r="E2645" s="6"/>
      <c r="G2645" s="6"/>
      <c r="H2645" s="6"/>
      <c r="I2645" s="6"/>
      <c r="J2645" s="6"/>
      <c r="K2645" s="6"/>
      <c r="L2645" s="6"/>
      <c r="M2645" s="6"/>
      <c r="N2645" s="672"/>
      <c r="O2645" s="6"/>
      <c r="P2645" s="6"/>
      <c r="Q2645" s="6"/>
      <c r="R2645" s="6"/>
      <c r="S2645" s="6"/>
      <c r="T2645" s="6"/>
      <c r="U2645" s="6"/>
    </row>
    <row r="2646">
      <c r="A2646" s="6"/>
      <c r="B2646" s="6"/>
      <c r="C2646" s="6"/>
      <c r="D2646" s="6"/>
      <c r="E2646" s="6"/>
      <c r="G2646" s="6"/>
      <c r="H2646" s="6"/>
      <c r="I2646" s="6"/>
      <c r="J2646" s="6"/>
      <c r="K2646" s="6"/>
      <c r="L2646" s="6"/>
      <c r="M2646" s="6"/>
      <c r="N2646" s="672"/>
      <c r="O2646" s="6"/>
      <c r="P2646" s="6"/>
      <c r="Q2646" s="6"/>
      <c r="R2646" s="6"/>
      <c r="S2646" s="6"/>
      <c r="T2646" s="6"/>
      <c r="U2646" s="6"/>
    </row>
    <row r="2647">
      <c r="A2647" s="6"/>
      <c r="B2647" s="6"/>
      <c r="C2647" s="6"/>
      <c r="D2647" s="6"/>
      <c r="E2647" s="6"/>
      <c r="G2647" s="6"/>
      <c r="H2647" s="6"/>
      <c r="I2647" s="6"/>
      <c r="J2647" s="6"/>
      <c r="K2647" s="6"/>
      <c r="L2647" s="6"/>
      <c r="M2647" s="6"/>
      <c r="N2647" s="672"/>
      <c r="O2647" s="6"/>
      <c r="P2647" s="6"/>
      <c r="Q2647" s="6"/>
      <c r="R2647" s="6"/>
      <c r="S2647" s="6"/>
      <c r="T2647" s="6"/>
      <c r="U2647" s="6"/>
    </row>
    <row r="2648">
      <c r="A2648" s="6"/>
      <c r="B2648" s="6"/>
      <c r="C2648" s="6"/>
      <c r="D2648" s="6"/>
      <c r="E2648" s="6"/>
      <c r="G2648" s="6"/>
      <c r="H2648" s="6"/>
      <c r="I2648" s="6"/>
      <c r="J2648" s="6"/>
      <c r="K2648" s="6"/>
      <c r="L2648" s="6"/>
      <c r="M2648" s="6"/>
      <c r="N2648" s="672"/>
      <c r="O2648" s="6"/>
      <c r="P2648" s="6"/>
      <c r="Q2648" s="6"/>
      <c r="R2648" s="6"/>
      <c r="S2648" s="6"/>
      <c r="T2648" s="6"/>
      <c r="U2648" s="6"/>
    </row>
    <row r="2649">
      <c r="A2649" s="6"/>
      <c r="B2649" s="6"/>
      <c r="C2649" s="6"/>
      <c r="D2649" s="6"/>
      <c r="E2649" s="6"/>
      <c r="G2649" s="6"/>
      <c r="H2649" s="6"/>
      <c r="I2649" s="6"/>
      <c r="J2649" s="6"/>
      <c r="K2649" s="6"/>
      <c r="L2649" s="6"/>
      <c r="M2649" s="6"/>
      <c r="N2649" s="672"/>
      <c r="O2649" s="6"/>
      <c r="P2649" s="6"/>
      <c r="Q2649" s="6"/>
      <c r="R2649" s="6"/>
      <c r="S2649" s="6"/>
      <c r="T2649" s="6"/>
      <c r="U2649" s="6"/>
    </row>
    <row r="2650">
      <c r="A2650" s="6"/>
      <c r="B2650" s="6"/>
      <c r="C2650" s="6"/>
      <c r="D2650" s="6"/>
      <c r="E2650" s="6"/>
      <c r="G2650" s="6"/>
      <c r="H2650" s="6"/>
      <c r="I2650" s="6"/>
      <c r="J2650" s="6"/>
      <c r="K2650" s="6"/>
      <c r="L2650" s="6"/>
      <c r="M2650" s="6"/>
      <c r="N2650" s="672"/>
      <c r="O2650" s="6"/>
      <c r="P2650" s="6"/>
      <c r="Q2650" s="6"/>
      <c r="R2650" s="6"/>
      <c r="S2650" s="6"/>
      <c r="T2650" s="6"/>
      <c r="U2650" s="6"/>
    </row>
    <row r="2651">
      <c r="A2651" s="6"/>
      <c r="B2651" s="6"/>
      <c r="C2651" s="6"/>
      <c r="D2651" s="6"/>
      <c r="E2651" s="6"/>
      <c r="G2651" s="6"/>
      <c r="H2651" s="6"/>
      <c r="I2651" s="6"/>
      <c r="J2651" s="6"/>
      <c r="K2651" s="6"/>
      <c r="L2651" s="6"/>
      <c r="M2651" s="6"/>
      <c r="N2651" s="672"/>
      <c r="O2651" s="6"/>
      <c r="P2651" s="6"/>
      <c r="Q2651" s="6"/>
      <c r="R2651" s="6"/>
      <c r="S2651" s="6"/>
      <c r="T2651" s="6"/>
      <c r="U2651" s="6"/>
    </row>
    <row r="2652">
      <c r="A2652" s="6"/>
      <c r="B2652" s="6"/>
      <c r="C2652" s="6"/>
      <c r="D2652" s="6"/>
      <c r="E2652" s="6"/>
      <c r="G2652" s="6"/>
      <c r="H2652" s="6"/>
      <c r="I2652" s="6"/>
      <c r="J2652" s="6"/>
      <c r="K2652" s="6"/>
      <c r="L2652" s="6"/>
      <c r="M2652" s="6"/>
      <c r="N2652" s="672"/>
      <c r="O2652" s="6"/>
      <c r="P2652" s="6"/>
      <c r="Q2652" s="6"/>
      <c r="R2652" s="6"/>
      <c r="S2652" s="6"/>
      <c r="T2652" s="6"/>
      <c r="U2652" s="6"/>
    </row>
    <row r="2653">
      <c r="A2653" s="6"/>
      <c r="B2653" s="6"/>
      <c r="C2653" s="6"/>
      <c r="D2653" s="6"/>
      <c r="E2653" s="6"/>
      <c r="G2653" s="6"/>
      <c r="H2653" s="6"/>
      <c r="I2653" s="6"/>
      <c r="J2653" s="6"/>
      <c r="K2653" s="6"/>
      <c r="L2653" s="6"/>
      <c r="M2653" s="6"/>
      <c r="N2653" s="672"/>
      <c r="O2653" s="6"/>
      <c r="P2653" s="6"/>
      <c r="Q2653" s="6"/>
      <c r="R2653" s="6"/>
      <c r="S2653" s="6"/>
      <c r="T2653" s="6"/>
      <c r="U2653" s="6"/>
    </row>
    <row r="2654">
      <c r="A2654" s="6"/>
      <c r="B2654" s="6"/>
      <c r="C2654" s="6"/>
      <c r="D2654" s="6"/>
      <c r="E2654" s="6"/>
      <c r="G2654" s="6"/>
      <c r="H2654" s="6"/>
      <c r="I2654" s="6"/>
      <c r="J2654" s="6"/>
      <c r="K2654" s="6"/>
      <c r="L2654" s="6"/>
      <c r="M2654" s="6"/>
      <c r="N2654" s="672"/>
      <c r="O2654" s="6"/>
      <c r="P2654" s="6"/>
      <c r="Q2654" s="6"/>
      <c r="R2654" s="6"/>
      <c r="S2654" s="6"/>
      <c r="T2654" s="6"/>
      <c r="U2654" s="6"/>
    </row>
    <row r="2655">
      <c r="A2655" s="6"/>
      <c r="B2655" s="6"/>
      <c r="C2655" s="6"/>
      <c r="D2655" s="6"/>
      <c r="E2655" s="6"/>
      <c r="G2655" s="6"/>
      <c r="H2655" s="6"/>
      <c r="I2655" s="6"/>
      <c r="J2655" s="6"/>
      <c r="K2655" s="6"/>
      <c r="L2655" s="6"/>
      <c r="M2655" s="6"/>
      <c r="N2655" s="672"/>
      <c r="O2655" s="6"/>
      <c r="P2655" s="6"/>
      <c r="Q2655" s="6"/>
      <c r="R2655" s="6"/>
      <c r="S2655" s="6"/>
      <c r="T2655" s="6"/>
      <c r="U2655" s="6"/>
    </row>
    <row r="2656">
      <c r="A2656" s="6"/>
      <c r="B2656" s="6"/>
      <c r="C2656" s="6"/>
      <c r="D2656" s="6"/>
      <c r="E2656" s="6"/>
      <c r="G2656" s="6"/>
      <c r="H2656" s="6"/>
      <c r="I2656" s="6"/>
      <c r="J2656" s="6"/>
      <c r="K2656" s="6"/>
      <c r="L2656" s="6"/>
      <c r="M2656" s="6"/>
      <c r="N2656" s="672"/>
      <c r="O2656" s="6"/>
      <c r="P2656" s="6"/>
      <c r="Q2656" s="6"/>
      <c r="R2656" s="6"/>
      <c r="S2656" s="6"/>
      <c r="T2656" s="6"/>
      <c r="U2656" s="6"/>
    </row>
    <row r="2657">
      <c r="A2657" s="6"/>
      <c r="B2657" s="6"/>
      <c r="C2657" s="6"/>
      <c r="D2657" s="6"/>
      <c r="E2657" s="6"/>
      <c r="G2657" s="6"/>
      <c r="H2657" s="6"/>
      <c r="I2657" s="6"/>
      <c r="J2657" s="6"/>
      <c r="K2657" s="6"/>
      <c r="L2657" s="6"/>
      <c r="M2657" s="6"/>
      <c r="N2657" s="672"/>
      <c r="O2657" s="6"/>
      <c r="P2657" s="6"/>
      <c r="Q2657" s="6"/>
      <c r="R2657" s="6"/>
      <c r="S2657" s="6"/>
      <c r="T2657" s="6"/>
      <c r="U2657" s="6"/>
    </row>
    <row r="2658">
      <c r="A2658" s="6"/>
      <c r="B2658" s="6"/>
      <c r="C2658" s="6"/>
      <c r="D2658" s="6"/>
      <c r="E2658" s="6"/>
      <c r="G2658" s="6"/>
      <c r="H2658" s="6"/>
      <c r="I2658" s="6"/>
      <c r="J2658" s="6"/>
      <c r="K2658" s="6"/>
      <c r="L2658" s="6"/>
      <c r="M2658" s="6"/>
      <c r="N2658" s="672"/>
      <c r="O2658" s="6"/>
      <c r="P2658" s="6"/>
      <c r="Q2658" s="6"/>
      <c r="R2658" s="6"/>
      <c r="S2658" s="6"/>
      <c r="T2658" s="6"/>
      <c r="U2658" s="6"/>
    </row>
    <row r="2659">
      <c r="A2659" s="6"/>
      <c r="B2659" s="6"/>
      <c r="C2659" s="6"/>
      <c r="D2659" s="6"/>
      <c r="E2659" s="6"/>
      <c r="G2659" s="6"/>
      <c r="H2659" s="6"/>
      <c r="I2659" s="6"/>
      <c r="J2659" s="6"/>
      <c r="K2659" s="6"/>
      <c r="L2659" s="6"/>
      <c r="M2659" s="6"/>
      <c r="N2659" s="672"/>
      <c r="O2659" s="6"/>
      <c r="P2659" s="6"/>
      <c r="Q2659" s="6"/>
      <c r="R2659" s="6"/>
      <c r="S2659" s="6"/>
      <c r="T2659" s="6"/>
      <c r="U2659" s="6"/>
    </row>
    <row r="2660">
      <c r="A2660" s="6"/>
      <c r="B2660" s="6"/>
      <c r="C2660" s="6"/>
      <c r="D2660" s="6"/>
      <c r="E2660" s="6"/>
      <c r="G2660" s="6"/>
      <c r="H2660" s="6"/>
      <c r="I2660" s="6"/>
      <c r="J2660" s="6"/>
      <c r="K2660" s="6"/>
      <c r="L2660" s="6"/>
      <c r="M2660" s="6"/>
      <c r="N2660" s="672"/>
      <c r="O2660" s="6"/>
      <c r="P2660" s="6"/>
      <c r="Q2660" s="6"/>
      <c r="R2660" s="6"/>
      <c r="S2660" s="6"/>
      <c r="T2660" s="6"/>
      <c r="U2660" s="6"/>
    </row>
    <row r="2661">
      <c r="A2661" s="6"/>
      <c r="B2661" s="6"/>
      <c r="C2661" s="6"/>
      <c r="D2661" s="6"/>
      <c r="E2661" s="6"/>
      <c r="G2661" s="6"/>
      <c r="H2661" s="6"/>
      <c r="I2661" s="6"/>
      <c r="J2661" s="6"/>
      <c r="K2661" s="6"/>
      <c r="L2661" s="6"/>
      <c r="M2661" s="6"/>
      <c r="N2661" s="672"/>
      <c r="O2661" s="6"/>
      <c r="P2661" s="6"/>
      <c r="Q2661" s="6"/>
      <c r="R2661" s="6"/>
      <c r="S2661" s="6"/>
      <c r="T2661" s="6"/>
      <c r="U2661" s="6"/>
    </row>
    <row r="2662">
      <c r="A2662" s="6"/>
      <c r="B2662" s="6"/>
      <c r="C2662" s="6"/>
      <c r="D2662" s="6"/>
      <c r="E2662" s="6"/>
      <c r="G2662" s="6"/>
      <c r="H2662" s="6"/>
      <c r="I2662" s="6"/>
      <c r="J2662" s="6"/>
      <c r="K2662" s="6"/>
      <c r="L2662" s="6"/>
      <c r="M2662" s="6"/>
      <c r="N2662" s="672"/>
      <c r="O2662" s="6"/>
      <c r="P2662" s="6"/>
      <c r="Q2662" s="6"/>
      <c r="R2662" s="6"/>
      <c r="S2662" s="6"/>
      <c r="T2662" s="6"/>
      <c r="U2662" s="6"/>
    </row>
    <row r="2663">
      <c r="A2663" s="6"/>
      <c r="B2663" s="6"/>
      <c r="C2663" s="6"/>
      <c r="D2663" s="6"/>
      <c r="E2663" s="6"/>
      <c r="G2663" s="6"/>
      <c r="H2663" s="6"/>
      <c r="I2663" s="6"/>
      <c r="J2663" s="6"/>
      <c r="K2663" s="6"/>
      <c r="L2663" s="6"/>
      <c r="M2663" s="6"/>
      <c r="N2663" s="672"/>
      <c r="O2663" s="6"/>
      <c r="P2663" s="6"/>
      <c r="Q2663" s="6"/>
      <c r="R2663" s="6"/>
      <c r="S2663" s="6"/>
      <c r="T2663" s="6"/>
      <c r="U2663" s="6"/>
    </row>
    <row r="2664">
      <c r="A2664" s="6"/>
      <c r="B2664" s="6"/>
      <c r="C2664" s="6"/>
      <c r="D2664" s="6"/>
      <c r="E2664" s="6"/>
      <c r="G2664" s="6"/>
      <c r="H2664" s="6"/>
      <c r="I2664" s="6"/>
      <c r="J2664" s="6"/>
      <c r="K2664" s="6"/>
      <c r="L2664" s="6"/>
      <c r="M2664" s="6"/>
      <c r="N2664" s="672"/>
      <c r="O2664" s="6"/>
      <c r="P2664" s="6"/>
      <c r="Q2664" s="6"/>
      <c r="R2664" s="6"/>
      <c r="S2664" s="6"/>
      <c r="T2664" s="6"/>
      <c r="U2664" s="6"/>
    </row>
    <row r="2665">
      <c r="A2665" s="6"/>
      <c r="B2665" s="6"/>
      <c r="C2665" s="6"/>
      <c r="D2665" s="6"/>
      <c r="E2665" s="6"/>
      <c r="G2665" s="6"/>
      <c r="H2665" s="6"/>
      <c r="I2665" s="6"/>
      <c r="J2665" s="6"/>
      <c r="K2665" s="6"/>
      <c r="L2665" s="6"/>
      <c r="M2665" s="6"/>
      <c r="N2665" s="672"/>
      <c r="O2665" s="6"/>
      <c r="P2665" s="6"/>
      <c r="Q2665" s="6"/>
      <c r="R2665" s="6"/>
      <c r="S2665" s="6"/>
      <c r="T2665" s="6"/>
      <c r="U2665" s="6"/>
    </row>
    <row r="2666">
      <c r="A2666" s="6"/>
      <c r="B2666" s="6"/>
      <c r="C2666" s="6"/>
      <c r="D2666" s="6"/>
      <c r="E2666" s="6"/>
      <c r="G2666" s="6"/>
      <c r="H2666" s="6"/>
      <c r="I2666" s="6"/>
      <c r="J2666" s="6"/>
      <c r="K2666" s="6"/>
      <c r="L2666" s="6"/>
      <c r="M2666" s="6"/>
      <c r="N2666" s="672"/>
      <c r="O2666" s="6"/>
      <c r="P2666" s="6"/>
      <c r="Q2666" s="6"/>
      <c r="R2666" s="6"/>
      <c r="S2666" s="6"/>
      <c r="T2666" s="6"/>
      <c r="U2666" s="6"/>
    </row>
    <row r="2667">
      <c r="A2667" s="6"/>
      <c r="B2667" s="6"/>
      <c r="C2667" s="6"/>
      <c r="D2667" s="6"/>
      <c r="E2667" s="6"/>
      <c r="G2667" s="6"/>
      <c r="H2667" s="6"/>
      <c r="I2667" s="6"/>
      <c r="J2667" s="6"/>
      <c r="K2667" s="6"/>
      <c r="L2667" s="6"/>
      <c r="M2667" s="6"/>
      <c r="N2667" s="672"/>
      <c r="O2667" s="6"/>
      <c r="P2667" s="6"/>
      <c r="Q2667" s="6"/>
      <c r="R2667" s="6"/>
      <c r="S2667" s="6"/>
      <c r="T2667" s="6"/>
      <c r="U2667" s="6"/>
    </row>
    <row r="2668">
      <c r="A2668" s="6"/>
      <c r="B2668" s="6"/>
      <c r="C2668" s="6"/>
      <c r="D2668" s="6"/>
      <c r="E2668" s="6"/>
      <c r="G2668" s="6"/>
      <c r="H2668" s="6"/>
      <c r="I2668" s="6"/>
      <c r="J2668" s="6"/>
      <c r="K2668" s="6"/>
      <c r="L2668" s="6"/>
      <c r="M2668" s="6"/>
      <c r="N2668" s="672"/>
      <c r="O2668" s="6"/>
      <c r="P2668" s="6"/>
      <c r="Q2668" s="6"/>
      <c r="R2668" s="6"/>
      <c r="S2668" s="6"/>
      <c r="T2668" s="6"/>
      <c r="U2668" s="6"/>
    </row>
    <row r="2669">
      <c r="A2669" s="6"/>
      <c r="B2669" s="6"/>
      <c r="C2669" s="6"/>
      <c r="D2669" s="6"/>
      <c r="E2669" s="6"/>
      <c r="G2669" s="6"/>
      <c r="H2669" s="6"/>
      <c r="I2669" s="6"/>
      <c r="J2669" s="6"/>
      <c r="K2669" s="6"/>
      <c r="L2669" s="6"/>
      <c r="M2669" s="6"/>
      <c r="N2669" s="672"/>
      <c r="O2669" s="6"/>
      <c r="P2669" s="6"/>
      <c r="Q2669" s="6"/>
      <c r="R2669" s="6"/>
      <c r="S2669" s="6"/>
      <c r="T2669" s="6"/>
      <c r="U2669" s="6"/>
    </row>
    <row r="2670">
      <c r="A2670" s="6"/>
      <c r="B2670" s="6"/>
      <c r="C2670" s="6"/>
      <c r="D2670" s="6"/>
      <c r="E2670" s="6"/>
      <c r="G2670" s="6"/>
      <c r="H2670" s="6"/>
      <c r="I2670" s="6"/>
      <c r="J2670" s="6"/>
      <c r="K2670" s="6"/>
      <c r="L2670" s="6"/>
      <c r="M2670" s="6"/>
      <c r="N2670" s="672"/>
      <c r="O2670" s="6"/>
      <c r="P2670" s="6"/>
      <c r="Q2670" s="6"/>
      <c r="R2670" s="6"/>
      <c r="S2670" s="6"/>
      <c r="T2670" s="6"/>
      <c r="U2670" s="6"/>
    </row>
    <row r="2671">
      <c r="A2671" s="6"/>
      <c r="B2671" s="6"/>
      <c r="C2671" s="6"/>
      <c r="D2671" s="6"/>
      <c r="E2671" s="6"/>
      <c r="G2671" s="6"/>
      <c r="H2671" s="6"/>
      <c r="I2671" s="6"/>
      <c r="J2671" s="6"/>
      <c r="K2671" s="6"/>
      <c r="L2671" s="6"/>
      <c r="M2671" s="6"/>
      <c r="N2671" s="672"/>
      <c r="O2671" s="6"/>
      <c r="P2671" s="6"/>
      <c r="Q2671" s="6"/>
      <c r="R2671" s="6"/>
      <c r="S2671" s="6"/>
      <c r="T2671" s="6"/>
      <c r="U2671" s="6"/>
    </row>
    <row r="2672">
      <c r="A2672" s="6"/>
      <c r="B2672" s="6"/>
      <c r="C2672" s="6"/>
      <c r="D2672" s="6"/>
      <c r="E2672" s="6"/>
      <c r="G2672" s="6"/>
      <c r="H2672" s="6"/>
      <c r="I2672" s="6"/>
      <c r="J2672" s="6"/>
      <c r="K2672" s="6"/>
      <c r="L2672" s="6"/>
      <c r="M2672" s="6"/>
      <c r="N2672" s="672"/>
      <c r="O2672" s="6"/>
      <c r="P2672" s="6"/>
      <c r="Q2672" s="6"/>
      <c r="R2672" s="6"/>
      <c r="S2672" s="6"/>
      <c r="T2672" s="6"/>
      <c r="U2672" s="6"/>
    </row>
    <row r="2673">
      <c r="A2673" s="6"/>
      <c r="B2673" s="6"/>
      <c r="C2673" s="6"/>
      <c r="D2673" s="6"/>
      <c r="E2673" s="6"/>
      <c r="G2673" s="6"/>
      <c r="H2673" s="6"/>
      <c r="I2673" s="6"/>
      <c r="J2673" s="6"/>
      <c r="K2673" s="6"/>
      <c r="L2673" s="6"/>
      <c r="M2673" s="6"/>
      <c r="N2673" s="672"/>
      <c r="O2673" s="6"/>
      <c r="P2673" s="6"/>
      <c r="Q2673" s="6"/>
      <c r="R2673" s="6"/>
      <c r="S2673" s="6"/>
      <c r="T2673" s="6"/>
      <c r="U2673" s="6"/>
    </row>
    <row r="2674">
      <c r="A2674" s="6"/>
      <c r="B2674" s="6"/>
      <c r="C2674" s="6"/>
      <c r="D2674" s="6"/>
      <c r="E2674" s="6"/>
      <c r="G2674" s="6"/>
      <c r="H2674" s="6"/>
      <c r="I2674" s="6"/>
      <c r="J2674" s="6"/>
      <c r="K2674" s="6"/>
      <c r="L2674" s="6"/>
      <c r="M2674" s="6"/>
      <c r="N2674" s="672"/>
      <c r="O2674" s="6"/>
      <c r="P2674" s="6"/>
      <c r="Q2674" s="6"/>
      <c r="R2674" s="6"/>
      <c r="S2674" s="6"/>
      <c r="T2674" s="6"/>
      <c r="U2674" s="6"/>
    </row>
    <row r="2675">
      <c r="A2675" s="6"/>
      <c r="B2675" s="6"/>
      <c r="C2675" s="6"/>
      <c r="D2675" s="6"/>
      <c r="E2675" s="6"/>
      <c r="G2675" s="6"/>
      <c r="H2675" s="6"/>
      <c r="I2675" s="6"/>
      <c r="J2675" s="6"/>
      <c r="K2675" s="6"/>
      <c r="L2675" s="6"/>
      <c r="M2675" s="6"/>
      <c r="N2675" s="672"/>
      <c r="O2675" s="6"/>
      <c r="P2675" s="6"/>
      <c r="Q2675" s="6"/>
      <c r="R2675" s="6"/>
      <c r="S2675" s="6"/>
      <c r="T2675" s="6"/>
      <c r="U2675" s="6"/>
    </row>
    <row r="2676">
      <c r="A2676" s="6"/>
      <c r="B2676" s="6"/>
      <c r="C2676" s="6"/>
      <c r="D2676" s="6"/>
      <c r="E2676" s="6"/>
      <c r="G2676" s="6"/>
      <c r="H2676" s="6"/>
      <c r="I2676" s="6"/>
      <c r="J2676" s="6"/>
      <c r="K2676" s="6"/>
      <c r="L2676" s="6"/>
      <c r="M2676" s="6"/>
      <c r="N2676" s="672"/>
      <c r="O2676" s="6"/>
      <c r="P2676" s="6"/>
      <c r="Q2676" s="6"/>
      <c r="R2676" s="6"/>
      <c r="S2676" s="6"/>
      <c r="T2676" s="6"/>
      <c r="U2676" s="6"/>
    </row>
    <row r="2677">
      <c r="A2677" s="6"/>
      <c r="B2677" s="6"/>
      <c r="C2677" s="6"/>
      <c r="D2677" s="6"/>
      <c r="E2677" s="6"/>
      <c r="G2677" s="6"/>
      <c r="H2677" s="6"/>
      <c r="I2677" s="6"/>
      <c r="J2677" s="6"/>
      <c r="K2677" s="6"/>
      <c r="L2677" s="6"/>
      <c r="M2677" s="6"/>
      <c r="N2677" s="672"/>
      <c r="O2677" s="6"/>
      <c r="P2677" s="6"/>
      <c r="Q2677" s="6"/>
      <c r="R2677" s="6"/>
      <c r="S2677" s="6"/>
      <c r="T2677" s="6"/>
      <c r="U2677" s="6"/>
    </row>
    <row r="2678">
      <c r="A2678" s="6"/>
      <c r="B2678" s="6"/>
      <c r="C2678" s="6"/>
      <c r="D2678" s="6"/>
      <c r="E2678" s="6"/>
      <c r="G2678" s="6"/>
      <c r="H2678" s="6"/>
      <c r="I2678" s="6"/>
      <c r="J2678" s="6"/>
      <c r="K2678" s="6"/>
      <c r="L2678" s="6"/>
      <c r="M2678" s="6"/>
      <c r="N2678" s="672"/>
      <c r="O2678" s="6"/>
      <c r="P2678" s="6"/>
      <c r="Q2678" s="6"/>
      <c r="R2678" s="6"/>
      <c r="S2678" s="6"/>
      <c r="T2678" s="6"/>
      <c r="U2678" s="6"/>
    </row>
    <row r="2679">
      <c r="A2679" s="6"/>
      <c r="B2679" s="6"/>
      <c r="C2679" s="6"/>
      <c r="D2679" s="6"/>
      <c r="E2679" s="6"/>
      <c r="G2679" s="6"/>
      <c r="H2679" s="6"/>
      <c r="I2679" s="6"/>
      <c r="J2679" s="6"/>
      <c r="K2679" s="6"/>
      <c r="L2679" s="6"/>
      <c r="M2679" s="6"/>
      <c r="N2679" s="672"/>
      <c r="O2679" s="6"/>
      <c r="P2679" s="6"/>
      <c r="Q2679" s="6"/>
      <c r="R2679" s="6"/>
      <c r="S2679" s="6"/>
      <c r="T2679" s="6"/>
      <c r="U2679" s="6"/>
    </row>
    <row r="2680">
      <c r="A2680" s="6"/>
      <c r="B2680" s="6"/>
      <c r="C2680" s="6"/>
      <c r="D2680" s="6"/>
      <c r="E2680" s="6"/>
      <c r="G2680" s="6"/>
      <c r="H2680" s="6"/>
      <c r="I2680" s="6"/>
      <c r="J2680" s="6"/>
      <c r="K2680" s="6"/>
      <c r="L2680" s="6"/>
      <c r="M2680" s="6"/>
      <c r="N2680" s="672"/>
      <c r="O2680" s="6"/>
      <c r="P2680" s="6"/>
      <c r="Q2680" s="6"/>
      <c r="R2680" s="6"/>
      <c r="S2680" s="6"/>
      <c r="T2680" s="6"/>
      <c r="U2680" s="6"/>
    </row>
    <row r="2681">
      <c r="A2681" s="6"/>
      <c r="B2681" s="6"/>
      <c r="C2681" s="6"/>
      <c r="D2681" s="6"/>
      <c r="E2681" s="6"/>
      <c r="G2681" s="6"/>
      <c r="H2681" s="6"/>
      <c r="I2681" s="6"/>
      <c r="J2681" s="6"/>
      <c r="K2681" s="6"/>
      <c r="L2681" s="6"/>
      <c r="M2681" s="6"/>
      <c r="N2681" s="672"/>
      <c r="O2681" s="6"/>
      <c r="P2681" s="6"/>
      <c r="Q2681" s="6"/>
      <c r="R2681" s="6"/>
      <c r="S2681" s="6"/>
      <c r="T2681" s="6"/>
      <c r="U2681" s="6"/>
    </row>
    <row r="2682">
      <c r="A2682" s="6"/>
      <c r="B2682" s="6"/>
      <c r="C2682" s="6"/>
      <c r="D2682" s="6"/>
      <c r="E2682" s="6"/>
      <c r="G2682" s="6"/>
      <c r="H2682" s="6"/>
      <c r="I2682" s="6"/>
      <c r="J2682" s="6"/>
      <c r="K2682" s="6"/>
      <c r="L2682" s="6"/>
      <c r="M2682" s="6"/>
      <c r="N2682" s="672"/>
      <c r="O2682" s="6"/>
      <c r="P2682" s="6"/>
      <c r="Q2682" s="6"/>
      <c r="R2682" s="6"/>
      <c r="S2682" s="6"/>
      <c r="T2682" s="6"/>
      <c r="U2682" s="6"/>
    </row>
    <row r="2683">
      <c r="A2683" s="6"/>
      <c r="B2683" s="6"/>
      <c r="C2683" s="6"/>
      <c r="D2683" s="6"/>
      <c r="E2683" s="6"/>
      <c r="G2683" s="6"/>
      <c r="H2683" s="6"/>
      <c r="I2683" s="6"/>
      <c r="J2683" s="6"/>
      <c r="K2683" s="6"/>
      <c r="L2683" s="6"/>
      <c r="M2683" s="6"/>
      <c r="N2683" s="672"/>
      <c r="O2683" s="6"/>
      <c r="P2683" s="6"/>
      <c r="Q2683" s="6"/>
      <c r="R2683" s="6"/>
      <c r="S2683" s="6"/>
      <c r="T2683" s="6"/>
      <c r="U2683" s="6"/>
    </row>
    <row r="2684">
      <c r="A2684" s="6"/>
      <c r="B2684" s="6"/>
      <c r="C2684" s="6"/>
      <c r="D2684" s="6"/>
      <c r="E2684" s="6"/>
      <c r="G2684" s="6"/>
      <c r="H2684" s="6"/>
      <c r="I2684" s="6"/>
      <c r="J2684" s="6"/>
      <c r="K2684" s="6"/>
      <c r="L2684" s="6"/>
      <c r="M2684" s="6"/>
      <c r="N2684" s="672"/>
      <c r="O2684" s="6"/>
      <c r="P2684" s="6"/>
      <c r="Q2684" s="6"/>
      <c r="R2684" s="6"/>
      <c r="S2684" s="6"/>
      <c r="T2684" s="6"/>
      <c r="U2684" s="6"/>
    </row>
    <row r="2685">
      <c r="A2685" s="6"/>
      <c r="B2685" s="6"/>
      <c r="C2685" s="6"/>
      <c r="D2685" s="6"/>
      <c r="E2685" s="6"/>
      <c r="G2685" s="6"/>
      <c r="H2685" s="6"/>
      <c r="I2685" s="6"/>
      <c r="J2685" s="6"/>
      <c r="K2685" s="6"/>
      <c r="L2685" s="6"/>
      <c r="M2685" s="6"/>
      <c r="N2685" s="672"/>
      <c r="O2685" s="6"/>
      <c r="P2685" s="6"/>
      <c r="Q2685" s="6"/>
      <c r="R2685" s="6"/>
      <c r="S2685" s="6"/>
      <c r="T2685" s="6"/>
      <c r="U2685" s="6"/>
    </row>
    <row r="2686">
      <c r="A2686" s="6"/>
      <c r="B2686" s="6"/>
      <c r="C2686" s="6"/>
      <c r="D2686" s="6"/>
      <c r="E2686" s="6"/>
      <c r="G2686" s="6"/>
      <c r="H2686" s="6"/>
      <c r="I2686" s="6"/>
      <c r="J2686" s="6"/>
      <c r="K2686" s="6"/>
      <c r="L2686" s="6"/>
      <c r="M2686" s="6"/>
      <c r="N2686" s="672"/>
      <c r="O2686" s="6"/>
      <c r="P2686" s="6"/>
      <c r="Q2686" s="6"/>
      <c r="R2686" s="6"/>
      <c r="S2686" s="6"/>
      <c r="T2686" s="6"/>
      <c r="U2686" s="6"/>
    </row>
    <row r="2687">
      <c r="A2687" s="6"/>
      <c r="B2687" s="6"/>
      <c r="C2687" s="6"/>
      <c r="D2687" s="6"/>
      <c r="E2687" s="6"/>
      <c r="G2687" s="6"/>
      <c r="H2687" s="6"/>
      <c r="I2687" s="6"/>
      <c r="J2687" s="6"/>
      <c r="K2687" s="6"/>
      <c r="L2687" s="6"/>
      <c r="M2687" s="6"/>
      <c r="N2687" s="672"/>
      <c r="O2687" s="6"/>
      <c r="P2687" s="6"/>
      <c r="Q2687" s="6"/>
      <c r="R2687" s="6"/>
      <c r="S2687" s="6"/>
      <c r="T2687" s="6"/>
      <c r="U2687" s="6"/>
    </row>
    <row r="2688">
      <c r="A2688" s="6"/>
      <c r="B2688" s="6"/>
      <c r="C2688" s="6"/>
      <c r="D2688" s="6"/>
      <c r="E2688" s="6"/>
      <c r="G2688" s="6"/>
      <c r="H2688" s="6"/>
      <c r="I2688" s="6"/>
      <c r="J2688" s="6"/>
      <c r="K2688" s="6"/>
      <c r="L2688" s="6"/>
      <c r="M2688" s="6"/>
      <c r="N2688" s="672"/>
      <c r="O2688" s="6"/>
      <c r="P2688" s="6"/>
      <c r="Q2688" s="6"/>
      <c r="R2688" s="6"/>
      <c r="S2688" s="6"/>
      <c r="T2688" s="6"/>
      <c r="U2688" s="6"/>
    </row>
    <row r="2689">
      <c r="A2689" s="6"/>
      <c r="B2689" s="6"/>
      <c r="C2689" s="6"/>
      <c r="D2689" s="6"/>
      <c r="E2689" s="6"/>
      <c r="G2689" s="6"/>
      <c r="H2689" s="6"/>
      <c r="I2689" s="6"/>
      <c r="J2689" s="6"/>
      <c r="K2689" s="6"/>
      <c r="L2689" s="6"/>
      <c r="M2689" s="6"/>
      <c r="N2689" s="672"/>
      <c r="O2689" s="6"/>
      <c r="P2689" s="6"/>
      <c r="Q2689" s="6"/>
      <c r="R2689" s="6"/>
      <c r="S2689" s="6"/>
      <c r="T2689" s="6"/>
      <c r="U2689" s="6"/>
    </row>
    <row r="2690">
      <c r="A2690" s="6"/>
      <c r="B2690" s="6"/>
      <c r="C2690" s="6"/>
      <c r="D2690" s="6"/>
      <c r="E2690" s="6"/>
      <c r="G2690" s="6"/>
      <c r="H2690" s="6"/>
      <c r="I2690" s="6"/>
      <c r="J2690" s="6"/>
      <c r="K2690" s="6"/>
      <c r="L2690" s="6"/>
      <c r="M2690" s="6"/>
      <c r="N2690" s="672"/>
      <c r="O2690" s="6"/>
      <c r="P2690" s="6"/>
      <c r="Q2690" s="6"/>
      <c r="R2690" s="6"/>
      <c r="S2690" s="6"/>
      <c r="T2690" s="6"/>
      <c r="U2690" s="6"/>
    </row>
    <row r="2691">
      <c r="A2691" s="6"/>
      <c r="B2691" s="6"/>
      <c r="C2691" s="6"/>
      <c r="D2691" s="6"/>
      <c r="E2691" s="6"/>
      <c r="G2691" s="6"/>
      <c r="H2691" s="6"/>
      <c r="I2691" s="6"/>
      <c r="J2691" s="6"/>
      <c r="K2691" s="6"/>
      <c r="L2691" s="6"/>
      <c r="M2691" s="6"/>
      <c r="N2691" s="672"/>
      <c r="O2691" s="6"/>
      <c r="P2691" s="6"/>
      <c r="Q2691" s="6"/>
      <c r="R2691" s="6"/>
      <c r="S2691" s="6"/>
      <c r="T2691" s="6"/>
      <c r="U2691" s="6"/>
    </row>
    <row r="2692">
      <c r="A2692" s="6"/>
      <c r="B2692" s="6"/>
      <c r="C2692" s="6"/>
      <c r="D2692" s="6"/>
      <c r="E2692" s="6"/>
      <c r="G2692" s="6"/>
      <c r="H2692" s="6"/>
      <c r="I2692" s="6"/>
      <c r="J2692" s="6"/>
      <c r="K2692" s="6"/>
      <c r="L2692" s="6"/>
      <c r="M2692" s="6"/>
      <c r="N2692" s="672"/>
      <c r="O2692" s="6"/>
      <c r="P2692" s="6"/>
      <c r="Q2692" s="6"/>
      <c r="R2692" s="6"/>
      <c r="S2692" s="6"/>
      <c r="T2692" s="6"/>
      <c r="U2692" s="6"/>
    </row>
    <row r="2693">
      <c r="A2693" s="6"/>
      <c r="B2693" s="6"/>
      <c r="C2693" s="6"/>
      <c r="D2693" s="6"/>
      <c r="E2693" s="6"/>
      <c r="G2693" s="6"/>
      <c r="H2693" s="6"/>
      <c r="I2693" s="6"/>
      <c r="J2693" s="6"/>
      <c r="K2693" s="6"/>
      <c r="L2693" s="6"/>
      <c r="M2693" s="6"/>
      <c r="N2693" s="672"/>
      <c r="O2693" s="6"/>
      <c r="P2693" s="6"/>
      <c r="Q2693" s="6"/>
      <c r="R2693" s="6"/>
      <c r="S2693" s="6"/>
      <c r="T2693" s="6"/>
      <c r="U2693" s="6"/>
    </row>
    <row r="2694">
      <c r="A2694" s="6"/>
      <c r="B2694" s="6"/>
      <c r="C2694" s="6"/>
      <c r="D2694" s="6"/>
      <c r="E2694" s="6"/>
      <c r="G2694" s="6"/>
      <c r="H2694" s="6"/>
      <c r="I2694" s="6"/>
      <c r="J2694" s="6"/>
      <c r="K2694" s="6"/>
      <c r="L2694" s="6"/>
      <c r="M2694" s="6"/>
      <c r="N2694" s="672"/>
      <c r="O2694" s="6"/>
      <c r="P2694" s="6"/>
      <c r="Q2694" s="6"/>
      <c r="R2694" s="6"/>
      <c r="S2694" s="6"/>
      <c r="T2694" s="6"/>
      <c r="U2694" s="6"/>
    </row>
    <row r="2695">
      <c r="A2695" s="6"/>
      <c r="B2695" s="6"/>
      <c r="C2695" s="6"/>
      <c r="D2695" s="6"/>
      <c r="E2695" s="6"/>
      <c r="G2695" s="6"/>
      <c r="H2695" s="6"/>
      <c r="I2695" s="6"/>
      <c r="J2695" s="6"/>
      <c r="K2695" s="6"/>
      <c r="L2695" s="6"/>
      <c r="M2695" s="6"/>
      <c r="N2695" s="672"/>
      <c r="O2695" s="6"/>
      <c r="P2695" s="6"/>
      <c r="Q2695" s="6"/>
      <c r="R2695" s="6"/>
      <c r="S2695" s="6"/>
      <c r="T2695" s="6"/>
      <c r="U2695" s="6"/>
    </row>
    <row r="2696">
      <c r="A2696" s="6"/>
      <c r="B2696" s="6"/>
      <c r="C2696" s="6"/>
      <c r="D2696" s="6"/>
      <c r="E2696" s="6"/>
      <c r="G2696" s="6"/>
      <c r="H2696" s="6"/>
      <c r="I2696" s="6"/>
      <c r="J2696" s="6"/>
      <c r="K2696" s="6"/>
      <c r="L2696" s="6"/>
      <c r="M2696" s="6"/>
      <c r="N2696" s="672"/>
      <c r="O2696" s="6"/>
      <c r="P2696" s="6"/>
      <c r="Q2696" s="6"/>
      <c r="R2696" s="6"/>
      <c r="S2696" s="6"/>
      <c r="T2696" s="6"/>
      <c r="U2696" s="6"/>
    </row>
    <row r="2697">
      <c r="A2697" s="6"/>
      <c r="B2697" s="6"/>
      <c r="C2697" s="6"/>
      <c r="D2697" s="6"/>
      <c r="E2697" s="6"/>
      <c r="G2697" s="6"/>
      <c r="H2697" s="6"/>
      <c r="I2697" s="6"/>
      <c r="J2697" s="6"/>
      <c r="K2697" s="6"/>
      <c r="L2697" s="6"/>
      <c r="M2697" s="6"/>
      <c r="N2697" s="672"/>
      <c r="O2697" s="6"/>
      <c r="P2697" s="6"/>
      <c r="Q2697" s="6"/>
      <c r="R2697" s="6"/>
      <c r="S2697" s="6"/>
      <c r="T2697" s="6"/>
      <c r="U2697" s="6"/>
    </row>
    <row r="2698">
      <c r="A2698" s="6"/>
      <c r="B2698" s="6"/>
      <c r="C2698" s="6"/>
      <c r="D2698" s="6"/>
      <c r="E2698" s="6"/>
      <c r="G2698" s="6"/>
      <c r="H2698" s="6"/>
      <c r="I2698" s="6"/>
      <c r="J2698" s="6"/>
      <c r="K2698" s="6"/>
      <c r="L2698" s="6"/>
      <c r="M2698" s="6"/>
      <c r="N2698" s="672"/>
      <c r="O2698" s="6"/>
      <c r="P2698" s="6"/>
      <c r="Q2698" s="6"/>
      <c r="R2698" s="6"/>
      <c r="S2698" s="6"/>
      <c r="T2698" s="6"/>
      <c r="U2698" s="6"/>
    </row>
    <row r="2699">
      <c r="A2699" s="6"/>
      <c r="B2699" s="6"/>
      <c r="C2699" s="6"/>
      <c r="D2699" s="6"/>
      <c r="E2699" s="6"/>
      <c r="G2699" s="6"/>
      <c r="H2699" s="6"/>
      <c r="I2699" s="6"/>
      <c r="J2699" s="6"/>
      <c r="K2699" s="6"/>
      <c r="L2699" s="6"/>
      <c r="M2699" s="6"/>
      <c r="N2699" s="672"/>
      <c r="O2699" s="6"/>
      <c r="P2699" s="6"/>
      <c r="Q2699" s="6"/>
      <c r="R2699" s="6"/>
      <c r="S2699" s="6"/>
      <c r="T2699" s="6"/>
      <c r="U2699" s="6"/>
    </row>
    <row r="2700">
      <c r="A2700" s="6"/>
      <c r="B2700" s="6"/>
      <c r="C2700" s="6"/>
      <c r="D2700" s="6"/>
      <c r="E2700" s="6"/>
      <c r="G2700" s="6"/>
      <c r="H2700" s="6"/>
      <c r="I2700" s="6"/>
      <c r="J2700" s="6"/>
      <c r="K2700" s="6"/>
      <c r="L2700" s="6"/>
      <c r="M2700" s="6"/>
      <c r="N2700" s="672"/>
      <c r="O2700" s="6"/>
      <c r="P2700" s="6"/>
      <c r="Q2700" s="6"/>
      <c r="R2700" s="6"/>
      <c r="S2700" s="6"/>
      <c r="T2700" s="6"/>
      <c r="U2700" s="6"/>
    </row>
    <row r="2701">
      <c r="A2701" s="6"/>
      <c r="B2701" s="6"/>
      <c r="C2701" s="6"/>
      <c r="D2701" s="6"/>
      <c r="E2701" s="6"/>
      <c r="G2701" s="6"/>
      <c r="H2701" s="6"/>
      <c r="I2701" s="6"/>
      <c r="J2701" s="6"/>
      <c r="K2701" s="6"/>
      <c r="L2701" s="6"/>
      <c r="M2701" s="6"/>
      <c r="N2701" s="672"/>
      <c r="O2701" s="6"/>
      <c r="P2701" s="6"/>
      <c r="Q2701" s="6"/>
      <c r="R2701" s="6"/>
      <c r="S2701" s="6"/>
      <c r="T2701" s="6"/>
      <c r="U2701" s="6"/>
    </row>
    <row r="2702">
      <c r="A2702" s="6"/>
      <c r="B2702" s="6"/>
      <c r="C2702" s="6"/>
      <c r="D2702" s="6"/>
      <c r="E2702" s="6"/>
      <c r="G2702" s="6"/>
      <c r="H2702" s="6"/>
      <c r="I2702" s="6"/>
      <c r="J2702" s="6"/>
      <c r="K2702" s="6"/>
      <c r="L2702" s="6"/>
      <c r="M2702" s="6"/>
      <c r="N2702" s="672"/>
      <c r="O2702" s="6"/>
      <c r="P2702" s="6"/>
      <c r="Q2702" s="6"/>
      <c r="R2702" s="6"/>
      <c r="S2702" s="6"/>
      <c r="T2702" s="6"/>
      <c r="U2702" s="6"/>
    </row>
    <row r="2703">
      <c r="A2703" s="6"/>
      <c r="B2703" s="6"/>
      <c r="C2703" s="6"/>
      <c r="D2703" s="6"/>
      <c r="E2703" s="6"/>
      <c r="G2703" s="6"/>
      <c r="H2703" s="6"/>
      <c r="I2703" s="6"/>
      <c r="J2703" s="6"/>
      <c r="K2703" s="6"/>
      <c r="L2703" s="6"/>
      <c r="M2703" s="6"/>
      <c r="N2703" s="672"/>
      <c r="O2703" s="6"/>
      <c r="P2703" s="6"/>
      <c r="Q2703" s="6"/>
      <c r="R2703" s="6"/>
      <c r="S2703" s="6"/>
      <c r="T2703" s="6"/>
      <c r="U2703" s="6"/>
    </row>
    <row r="2704">
      <c r="A2704" s="6"/>
      <c r="B2704" s="6"/>
      <c r="C2704" s="6"/>
      <c r="D2704" s="6"/>
      <c r="E2704" s="6"/>
      <c r="G2704" s="6"/>
      <c r="H2704" s="6"/>
      <c r="I2704" s="6"/>
      <c r="J2704" s="6"/>
      <c r="K2704" s="6"/>
      <c r="L2704" s="6"/>
      <c r="M2704" s="6"/>
      <c r="N2704" s="672"/>
      <c r="O2704" s="6"/>
      <c r="P2704" s="6"/>
      <c r="Q2704" s="6"/>
      <c r="R2704" s="6"/>
      <c r="S2704" s="6"/>
      <c r="T2704" s="6"/>
      <c r="U2704" s="6"/>
    </row>
    <row r="2705">
      <c r="A2705" s="6"/>
      <c r="B2705" s="6"/>
      <c r="C2705" s="6"/>
      <c r="D2705" s="6"/>
      <c r="E2705" s="6"/>
      <c r="G2705" s="6"/>
      <c r="H2705" s="6"/>
      <c r="I2705" s="6"/>
      <c r="J2705" s="6"/>
      <c r="K2705" s="6"/>
      <c r="L2705" s="6"/>
      <c r="M2705" s="6"/>
      <c r="N2705" s="672"/>
      <c r="O2705" s="6"/>
      <c r="P2705" s="6"/>
      <c r="Q2705" s="6"/>
      <c r="R2705" s="6"/>
      <c r="S2705" s="6"/>
      <c r="T2705" s="6"/>
      <c r="U2705" s="6"/>
    </row>
    <row r="2706">
      <c r="A2706" s="6"/>
      <c r="B2706" s="6"/>
      <c r="C2706" s="6"/>
      <c r="D2706" s="6"/>
      <c r="E2706" s="6"/>
      <c r="G2706" s="6"/>
      <c r="H2706" s="6"/>
      <c r="I2706" s="6"/>
      <c r="J2706" s="6"/>
      <c r="K2706" s="6"/>
      <c r="L2706" s="6"/>
      <c r="M2706" s="6"/>
      <c r="N2706" s="672"/>
      <c r="O2706" s="6"/>
      <c r="P2706" s="6"/>
      <c r="Q2706" s="6"/>
      <c r="R2706" s="6"/>
      <c r="S2706" s="6"/>
      <c r="T2706" s="6"/>
      <c r="U2706" s="6"/>
    </row>
    <row r="2707">
      <c r="A2707" s="6"/>
      <c r="B2707" s="6"/>
      <c r="C2707" s="6"/>
      <c r="D2707" s="6"/>
      <c r="E2707" s="6"/>
      <c r="G2707" s="6"/>
      <c r="H2707" s="6"/>
      <c r="I2707" s="6"/>
      <c r="J2707" s="6"/>
      <c r="K2707" s="6"/>
      <c r="L2707" s="6"/>
      <c r="M2707" s="6"/>
      <c r="N2707" s="672"/>
      <c r="O2707" s="6"/>
      <c r="P2707" s="6"/>
      <c r="Q2707" s="6"/>
      <c r="R2707" s="6"/>
      <c r="S2707" s="6"/>
      <c r="T2707" s="6"/>
      <c r="U2707" s="6"/>
    </row>
    <row r="2708">
      <c r="A2708" s="6"/>
      <c r="B2708" s="6"/>
      <c r="C2708" s="6"/>
      <c r="D2708" s="6"/>
      <c r="E2708" s="6"/>
      <c r="G2708" s="6"/>
      <c r="H2708" s="6"/>
      <c r="I2708" s="6"/>
      <c r="J2708" s="6"/>
      <c r="K2708" s="6"/>
      <c r="L2708" s="6"/>
      <c r="M2708" s="6"/>
      <c r="N2708" s="672"/>
      <c r="O2708" s="6"/>
      <c r="P2708" s="6"/>
      <c r="Q2708" s="6"/>
      <c r="R2708" s="6"/>
      <c r="S2708" s="6"/>
      <c r="T2708" s="6"/>
      <c r="U2708" s="6"/>
    </row>
    <row r="2709">
      <c r="A2709" s="6"/>
      <c r="B2709" s="6"/>
      <c r="C2709" s="6"/>
      <c r="D2709" s="6"/>
      <c r="E2709" s="6"/>
      <c r="G2709" s="6"/>
      <c r="H2709" s="6"/>
      <c r="I2709" s="6"/>
      <c r="J2709" s="6"/>
      <c r="K2709" s="6"/>
      <c r="L2709" s="6"/>
      <c r="M2709" s="6"/>
      <c r="N2709" s="672"/>
      <c r="O2709" s="6"/>
      <c r="P2709" s="6"/>
      <c r="Q2709" s="6"/>
      <c r="R2709" s="6"/>
      <c r="S2709" s="6"/>
      <c r="T2709" s="6"/>
      <c r="U2709" s="6"/>
    </row>
    <row r="2710">
      <c r="A2710" s="6"/>
      <c r="B2710" s="6"/>
      <c r="C2710" s="6"/>
      <c r="D2710" s="6"/>
      <c r="E2710" s="6"/>
      <c r="G2710" s="6"/>
      <c r="H2710" s="6"/>
      <c r="I2710" s="6"/>
      <c r="J2710" s="6"/>
      <c r="K2710" s="6"/>
      <c r="L2710" s="6"/>
      <c r="M2710" s="6"/>
      <c r="N2710" s="672"/>
      <c r="O2710" s="6"/>
      <c r="P2710" s="6"/>
      <c r="Q2710" s="6"/>
      <c r="R2710" s="6"/>
      <c r="S2710" s="6"/>
      <c r="T2710" s="6"/>
      <c r="U2710" s="6"/>
    </row>
    <row r="2711">
      <c r="A2711" s="6"/>
      <c r="B2711" s="6"/>
      <c r="C2711" s="6"/>
      <c r="D2711" s="6"/>
      <c r="E2711" s="6"/>
      <c r="G2711" s="6"/>
      <c r="H2711" s="6"/>
      <c r="I2711" s="6"/>
      <c r="J2711" s="6"/>
      <c r="K2711" s="6"/>
      <c r="L2711" s="6"/>
      <c r="M2711" s="6"/>
      <c r="N2711" s="672"/>
      <c r="O2711" s="6"/>
      <c r="P2711" s="6"/>
      <c r="Q2711" s="6"/>
      <c r="R2711" s="6"/>
      <c r="S2711" s="6"/>
      <c r="T2711" s="6"/>
      <c r="U2711" s="6"/>
    </row>
    <row r="2712">
      <c r="A2712" s="6"/>
      <c r="B2712" s="6"/>
      <c r="C2712" s="6"/>
      <c r="D2712" s="6"/>
      <c r="E2712" s="6"/>
      <c r="G2712" s="6"/>
      <c r="H2712" s="6"/>
      <c r="I2712" s="6"/>
      <c r="J2712" s="6"/>
      <c r="K2712" s="6"/>
      <c r="L2712" s="6"/>
      <c r="M2712" s="6"/>
      <c r="N2712" s="672"/>
      <c r="O2712" s="6"/>
      <c r="P2712" s="6"/>
      <c r="Q2712" s="6"/>
      <c r="R2712" s="6"/>
      <c r="S2712" s="6"/>
      <c r="T2712" s="6"/>
      <c r="U2712" s="6"/>
    </row>
    <row r="2713">
      <c r="A2713" s="6"/>
      <c r="B2713" s="6"/>
      <c r="C2713" s="6"/>
      <c r="D2713" s="6"/>
      <c r="E2713" s="6"/>
      <c r="G2713" s="6"/>
      <c r="H2713" s="6"/>
      <c r="I2713" s="6"/>
      <c r="J2713" s="6"/>
      <c r="K2713" s="6"/>
      <c r="L2713" s="6"/>
      <c r="M2713" s="6"/>
      <c r="N2713" s="672"/>
      <c r="O2713" s="6"/>
      <c r="P2713" s="6"/>
      <c r="Q2713" s="6"/>
      <c r="R2713" s="6"/>
      <c r="S2713" s="6"/>
      <c r="T2713" s="6"/>
      <c r="U2713" s="6"/>
    </row>
    <row r="2714">
      <c r="A2714" s="6"/>
      <c r="B2714" s="6"/>
      <c r="C2714" s="6"/>
      <c r="D2714" s="6"/>
      <c r="E2714" s="6"/>
      <c r="G2714" s="6"/>
      <c r="H2714" s="6"/>
      <c r="I2714" s="6"/>
      <c r="J2714" s="6"/>
      <c r="K2714" s="6"/>
      <c r="L2714" s="6"/>
      <c r="M2714" s="6"/>
      <c r="N2714" s="672"/>
      <c r="O2714" s="6"/>
      <c r="P2714" s="6"/>
      <c r="Q2714" s="6"/>
      <c r="R2714" s="6"/>
      <c r="S2714" s="6"/>
      <c r="T2714" s="6"/>
      <c r="U2714" s="6"/>
    </row>
    <row r="2715">
      <c r="A2715" s="6"/>
      <c r="B2715" s="6"/>
      <c r="C2715" s="6"/>
      <c r="D2715" s="6"/>
      <c r="E2715" s="6"/>
      <c r="G2715" s="6"/>
      <c r="H2715" s="6"/>
      <c r="I2715" s="6"/>
      <c r="J2715" s="6"/>
      <c r="K2715" s="6"/>
      <c r="L2715" s="6"/>
      <c r="M2715" s="6"/>
      <c r="N2715" s="672"/>
      <c r="O2715" s="6"/>
      <c r="P2715" s="6"/>
      <c r="Q2715" s="6"/>
      <c r="R2715" s="6"/>
      <c r="S2715" s="6"/>
      <c r="T2715" s="6"/>
      <c r="U2715" s="6"/>
    </row>
    <row r="2716">
      <c r="A2716" s="6"/>
      <c r="B2716" s="6"/>
      <c r="C2716" s="6"/>
      <c r="D2716" s="6"/>
      <c r="E2716" s="6"/>
      <c r="G2716" s="6"/>
      <c r="H2716" s="6"/>
      <c r="I2716" s="6"/>
      <c r="J2716" s="6"/>
      <c r="K2716" s="6"/>
      <c r="L2716" s="6"/>
      <c r="M2716" s="6"/>
      <c r="N2716" s="672"/>
      <c r="O2716" s="6"/>
      <c r="P2716" s="6"/>
      <c r="Q2716" s="6"/>
      <c r="R2716" s="6"/>
      <c r="S2716" s="6"/>
      <c r="T2716" s="6"/>
      <c r="U2716" s="6"/>
    </row>
    <row r="2717">
      <c r="A2717" s="6"/>
      <c r="B2717" s="6"/>
      <c r="C2717" s="6"/>
      <c r="D2717" s="6"/>
      <c r="E2717" s="6"/>
      <c r="G2717" s="6"/>
      <c r="H2717" s="6"/>
      <c r="I2717" s="6"/>
      <c r="J2717" s="6"/>
      <c r="K2717" s="6"/>
      <c r="L2717" s="6"/>
      <c r="M2717" s="6"/>
      <c r="N2717" s="672"/>
      <c r="O2717" s="6"/>
      <c r="P2717" s="6"/>
      <c r="Q2717" s="6"/>
      <c r="R2717" s="6"/>
      <c r="S2717" s="6"/>
      <c r="T2717" s="6"/>
      <c r="U2717" s="6"/>
    </row>
    <row r="2718">
      <c r="A2718" s="6"/>
      <c r="B2718" s="6"/>
      <c r="C2718" s="6"/>
      <c r="D2718" s="6"/>
      <c r="E2718" s="6"/>
      <c r="G2718" s="6"/>
      <c r="H2718" s="6"/>
      <c r="I2718" s="6"/>
      <c r="J2718" s="6"/>
      <c r="K2718" s="6"/>
      <c r="L2718" s="6"/>
      <c r="M2718" s="6"/>
      <c r="N2718" s="672"/>
      <c r="O2718" s="6"/>
      <c r="P2718" s="6"/>
      <c r="Q2718" s="6"/>
      <c r="R2718" s="6"/>
      <c r="S2718" s="6"/>
      <c r="T2718" s="6"/>
      <c r="U2718" s="6"/>
    </row>
    <row r="2719">
      <c r="A2719" s="6"/>
      <c r="B2719" s="6"/>
      <c r="C2719" s="6"/>
      <c r="D2719" s="6"/>
      <c r="E2719" s="6"/>
      <c r="G2719" s="6"/>
      <c r="H2719" s="6"/>
      <c r="I2719" s="6"/>
      <c r="J2719" s="6"/>
      <c r="K2719" s="6"/>
      <c r="L2719" s="6"/>
      <c r="M2719" s="6"/>
      <c r="N2719" s="672"/>
      <c r="O2719" s="6"/>
      <c r="P2719" s="6"/>
      <c r="Q2719" s="6"/>
      <c r="R2719" s="6"/>
      <c r="S2719" s="6"/>
      <c r="T2719" s="6"/>
      <c r="U2719" s="6"/>
    </row>
    <row r="2720">
      <c r="A2720" s="6"/>
      <c r="B2720" s="6"/>
      <c r="C2720" s="6"/>
      <c r="D2720" s="6"/>
      <c r="E2720" s="6"/>
      <c r="G2720" s="6"/>
      <c r="H2720" s="6"/>
      <c r="I2720" s="6"/>
      <c r="J2720" s="6"/>
      <c r="K2720" s="6"/>
      <c r="L2720" s="6"/>
      <c r="M2720" s="6"/>
      <c r="N2720" s="672"/>
      <c r="O2720" s="6"/>
      <c r="P2720" s="6"/>
      <c r="Q2720" s="6"/>
      <c r="R2720" s="6"/>
      <c r="S2720" s="6"/>
      <c r="T2720" s="6"/>
      <c r="U2720" s="6"/>
    </row>
    <row r="2721">
      <c r="A2721" s="6"/>
      <c r="B2721" s="6"/>
      <c r="C2721" s="6"/>
      <c r="D2721" s="6"/>
      <c r="E2721" s="6"/>
      <c r="G2721" s="6"/>
      <c r="H2721" s="6"/>
      <c r="I2721" s="6"/>
      <c r="J2721" s="6"/>
      <c r="K2721" s="6"/>
      <c r="L2721" s="6"/>
      <c r="M2721" s="6"/>
      <c r="N2721" s="672"/>
      <c r="O2721" s="6"/>
      <c r="P2721" s="6"/>
      <c r="Q2721" s="6"/>
      <c r="R2721" s="6"/>
      <c r="S2721" s="6"/>
      <c r="T2721" s="6"/>
      <c r="U2721" s="6"/>
    </row>
    <row r="2722">
      <c r="A2722" s="6"/>
      <c r="B2722" s="6"/>
      <c r="C2722" s="6"/>
      <c r="D2722" s="6"/>
      <c r="E2722" s="6"/>
      <c r="G2722" s="6"/>
      <c r="H2722" s="6"/>
      <c r="I2722" s="6"/>
      <c r="J2722" s="6"/>
      <c r="K2722" s="6"/>
      <c r="L2722" s="6"/>
      <c r="M2722" s="6"/>
      <c r="N2722" s="672"/>
      <c r="O2722" s="6"/>
      <c r="P2722" s="6"/>
      <c r="Q2722" s="6"/>
      <c r="R2722" s="6"/>
      <c r="S2722" s="6"/>
      <c r="T2722" s="6"/>
      <c r="U2722" s="6"/>
    </row>
    <row r="2723">
      <c r="A2723" s="6"/>
      <c r="B2723" s="6"/>
      <c r="C2723" s="6"/>
      <c r="D2723" s="6"/>
      <c r="E2723" s="6"/>
      <c r="G2723" s="6"/>
      <c r="H2723" s="6"/>
      <c r="I2723" s="6"/>
      <c r="J2723" s="6"/>
      <c r="K2723" s="6"/>
      <c r="L2723" s="6"/>
      <c r="M2723" s="6"/>
      <c r="N2723" s="672"/>
      <c r="O2723" s="6"/>
      <c r="P2723" s="6"/>
      <c r="Q2723" s="6"/>
      <c r="R2723" s="6"/>
      <c r="S2723" s="6"/>
      <c r="T2723" s="6"/>
      <c r="U2723" s="6"/>
    </row>
    <row r="2724">
      <c r="A2724" s="6"/>
      <c r="B2724" s="6"/>
      <c r="C2724" s="6"/>
      <c r="D2724" s="6"/>
      <c r="E2724" s="6"/>
      <c r="G2724" s="6"/>
      <c r="H2724" s="6"/>
      <c r="I2724" s="6"/>
      <c r="J2724" s="6"/>
      <c r="K2724" s="6"/>
      <c r="L2724" s="6"/>
      <c r="M2724" s="6"/>
      <c r="N2724" s="672"/>
      <c r="O2724" s="6"/>
      <c r="P2724" s="6"/>
      <c r="Q2724" s="6"/>
      <c r="R2724" s="6"/>
      <c r="S2724" s="6"/>
      <c r="T2724" s="6"/>
      <c r="U2724" s="6"/>
    </row>
    <row r="2725">
      <c r="A2725" s="6"/>
      <c r="B2725" s="6"/>
      <c r="C2725" s="6"/>
      <c r="D2725" s="6"/>
      <c r="E2725" s="6"/>
      <c r="G2725" s="6"/>
      <c r="H2725" s="6"/>
      <c r="I2725" s="6"/>
      <c r="J2725" s="6"/>
      <c r="K2725" s="6"/>
      <c r="L2725" s="6"/>
      <c r="M2725" s="6"/>
      <c r="N2725" s="672"/>
      <c r="O2725" s="6"/>
      <c r="P2725" s="6"/>
      <c r="Q2725" s="6"/>
      <c r="R2725" s="6"/>
      <c r="S2725" s="6"/>
      <c r="T2725" s="6"/>
      <c r="U2725" s="6"/>
    </row>
    <row r="2726">
      <c r="A2726" s="6"/>
      <c r="B2726" s="6"/>
      <c r="C2726" s="6"/>
      <c r="D2726" s="6"/>
      <c r="E2726" s="6"/>
      <c r="G2726" s="6"/>
      <c r="H2726" s="6"/>
      <c r="I2726" s="6"/>
      <c r="J2726" s="6"/>
      <c r="K2726" s="6"/>
      <c r="L2726" s="6"/>
      <c r="M2726" s="6"/>
      <c r="N2726" s="672"/>
      <c r="O2726" s="6"/>
      <c r="P2726" s="6"/>
      <c r="Q2726" s="6"/>
      <c r="R2726" s="6"/>
      <c r="S2726" s="6"/>
      <c r="T2726" s="6"/>
      <c r="U2726" s="6"/>
    </row>
    <row r="2727">
      <c r="A2727" s="6"/>
      <c r="B2727" s="6"/>
      <c r="C2727" s="6"/>
      <c r="D2727" s="6"/>
      <c r="E2727" s="6"/>
      <c r="G2727" s="6"/>
      <c r="H2727" s="6"/>
      <c r="I2727" s="6"/>
      <c r="J2727" s="6"/>
      <c r="K2727" s="6"/>
      <c r="L2727" s="6"/>
      <c r="M2727" s="6"/>
      <c r="N2727" s="672"/>
      <c r="O2727" s="6"/>
      <c r="P2727" s="6"/>
      <c r="Q2727" s="6"/>
      <c r="R2727" s="6"/>
      <c r="S2727" s="6"/>
      <c r="T2727" s="6"/>
      <c r="U2727" s="6"/>
    </row>
    <row r="2728">
      <c r="A2728" s="6"/>
      <c r="B2728" s="6"/>
      <c r="C2728" s="6"/>
      <c r="D2728" s="6"/>
      <c r="E2728" s="6"/>
      <c r="G2728" s="6"/>
      <c r="H2728" s="6"/>
      <c r="I2728" s="6"/>
      <c r="J2728" s="6"/>
      <c r="K2728" s="6"/>
      <c r="L2728" s="6"/>
      <c r="M2728" s="6"/>
      <c r="N2728" s="672"/>
      <c r="O2728" s="6"/>
      <c r="P2728" s="6"/>
      <c r="Q2728" s="6"/>
      <c r="R2728" s="6"/>
      <c r="S2728" s="6"/>
      <c r="T2728" s="6"/>
      <c r="U2728" s="6"/>
    </row>
    <row r="2729">
      <c r="A2729" s="6"/>
      <c r="B2729" s="6"/>
      <c r="C2729" s="6"/>
      <c r="D2729" s="6"/>
      <c r="E2729" s="6"/>
      <c r="G2729" s="6"/>
      <c r="H2729" s="6"/>
      <c r="I2729" s="6"/>
      <c r="J2729" s="6"/>
      <c r="K2729" s="6"/>
      <c r="L2729" s="6"/>
      <c r="M2729" s="6"/>
      <c r="N2729" s="672"/>
      <c r="O2729" s="6"/>
      <c r="P2729" s="6"/>
      <c r="Q2729" s="6"/>
      <c r="R2729" s="6"/>
      <c r="S2729" s="6"/>
      <c r="T2729" s="6"/>
      <c r="U2729" s="6"/>
    </row>
    <row r="2730">
      <c r="A2730" s="6"/>
      <c r="B2730" s="6"/>
      <c r="C2730" s="6"/>
      <c r="D2730" s="6"/>
      <c r="E2730" s="6"/>
      <c r="G2730" s="6"/>
      <c r="H2730" s="6"/>
      <c r="I2730" s="6"/>
      <c r="J2730" s="6"/>
      <c r="K2730" s="6"/>
      <c r="L2730" s="6"/>
      <c r="M2730" s="6"/>
      <c r="N2730" s="672"/>
      <c r="O2730" s="6"/>
      <c r="P2730" s="6"/>
      <c r="Q2730" s="6"/>
      <c r="R2730" s="6"/>
      <c r="S2730" s="6"/>
      <c r="T2730" s="6"/>
      <c r="U2730" s="6"/>
    </row>
    <row r="2731">
      <c r="A2731" s="6"/>
      <c r="B2731" s="6"/>
      <c r="C2731" s="6"/>
      <c r="D2731" s="6"/>
      <c r="E2731" s="6"/>
      <c r="G2731" s="6"/>
      <c r="H2731" s="6"/>
      <c r="I2731" s="6"/>
      <c r="J2731" s="6"/>
      <c r="K2731" s="6"/>
      <c r="L2731" s="6"/>
      <c r="M2731" s="6"/>
      <c r="N2731" s="672"/>
      <c r="O2731" s="6"/>
      <c r="P2731" s="6"/>
      <c r="Q2731" s="6"/>
      <c r="R2731" s="6"/>
      <c r="S2731" s="6"/>
      <c r="T2731" s="6"/>
      <c r="U2731" s="6"/>
    </row>
    <row r="2732">
      <c r="A2732" s="6"/>
      <c r="B2732" s="6"/>
      <c r="C2732" s="6"/>
      <c r="D2732" s="6"/>
      <c r="E2732" s="6"/>
      <c r="G2732" s="6"/>
      <c r="H2732" s="6"/>
      <c r="I2732" s="6"/>
      <c r="J2732" s="6"/>
      <c r="K2732" s="6"/>
      <c r="L2732" s="6"/>
      <c r="M2732" s="6"/>
      <c r="N2732" s="672"/>
      <c r="O2732" s="6"/>
      <c r="P2732" s="6"/>
      <c r="Q2732" s="6"/>
      <c r="R2732" s="6"/>
      <c r="S2732" s="6"/>
      <c r="T2732" s="6"/>
      <c r="U2732" s="6"/>
    </row>
    <row r="2733">
      <c r="A2733" s="6"/>
      <c r="B2733" s="6"/>
      <c r="C2733" s="6"/>
      <c r="D2733" s="6"/>
      <c r="E2733" s="6"/>
      <c r="G2733" s="6"/>
      <c r="H2733" s="6"/>
      <c r="I2733" s="6"/>
      <c r="J2733" s="6"/>
      <c r="K2733" s="6"/>
      <c r="L2733" s="6"/>
      <c r="M2733" s="6"/>
      <c r="N2733" s="672"/>
      <c r="O2733" s="6"/>
      <c r="P2733" s="6"/>
      <c r="Q2733" s="6"/>
      <c r="R2733" s="6"/>
      <c r="S2733" s="6"/>
      <c r="T2733" s="6"/>
      <c r="U2733" s="6"/>
    </row>
    <row r="2734">
      <c r="A2734" s="6"/>
      <c r="B2734" s="6"/>
      <c r="C2734" s="6"/>
      <c r="D2734" s="6"/>
      <c r="E2734" s="6"/>
      <c r="G2734" s="6"/>
      <c r="H2734" s="6"/>
      <c r="I2734" s="6"/>
      <c r="J2734" s="6"/>
      <c r="K2734" s="6"/>
      <c r="L2734" s="6"/>
      <c r="M2734" s="6"/>
      <c r="N2734" s="672"/>
      <c r="O2734" s="6"/>
      <c r="P2734" s="6"/>
      <c r="Q2734" s="6"/>
      <c r="R2734" s="6"/>
      <c r="S2734" s="6"/>
      <c r="T2734" s="6"/>
      <c r="U2734" s="6"/>
    </row>
    <row r="2735">
      <c r="A2735" s="6"/>
      <c r="B2735" s="6"/>
      <c r="C2735" s="6"/>
      <c r="D2735" s="6"/>
      <c r="E2735" s="6"/>
      <c r="G2735" s="6"/>
      <c r="H2735" s="6"/>
      <c r="I2735" s="6"/>
      <c r="J2735" s="6"/>
      <c r="K2735" s="6"/>
      <c r="L2735" s="6"/>
      <c r="M2735" s="6"/>
      <c r="N2735" s="672"/>
      <c r="O2735" s="6"/>
      <c r="P2735" s="6"/>
      <c r="Q2735" s="6"/>
      <c r="R2735" s="6"/>
      <c r="S2735" s="6"/>
      <c r="T2735" s="6"/>
      <c r="U2735" s="6"/>
    </row>
    <row r="2736">
      <c r="A2736" s="6"/>
      <c r="B2736" s="6"/>
      <c r="C2736" s="6"/>
      <c r="D2736" s="6"/>
      <c r="E2736" s="6"/>
      <c r="G2736" s="6"/>
      <c r="H2736" s="6"/>
      <c r="I2736" s="6"/>
      <c r="J2736" s="6"/>
      <c r="K2736" s="6"/>
      <c r="L2736" s="6"/>
      <c r="M2736" s="6"/>
      <c r="N2736" s="672"/>
      <c r="O2736" s="6"/>
      <c r="P2736" s="6"/>
      <c r="Q2736" s="6"/>
      <c r="R2736" s="6"/>
      <c r="S2736" s="6"/>
      <c r="T2736" s="6"/>
      <c r="U2736" s="6"/>
    </row>
    <row r="2737">
      <c r="A2737" s="6"/>
      <c r="B2737" s="6"/>
      <c r="C2737" s="6"/>
      <c r="D2737" s="6"/>
      <c r="E2737" s="6"/>
      <c r="G2737" s="6"/>
      <c r="H2737" s="6"/>
      <c r="I2737" s="6"/>
      <c r="J2737" s="6"/>
      <c r="K2737" s="6"/>
      <c r="L2737" s="6"/>
      <c r="M2737" s="6"/>
      <c r="N2737" s="672"/>
      <c r="O2737" s="6"/>
      <c r="P2737" s="6"/>
      <c r="Q2737" s="6"/>
      <c r="R2737" s="6"/>
      <c r="S2737" s="6"/>
      <c r="T2737" s="6"/>
      <c r="U2737" s="6"/>
    </row>
    <row r="2738">
      <c r="A2738" s="6"/>
      <c r="B2738" s="6"/>
      <c r="C2738" s="6"/>
      <c r="D2738" s="6"/>
      <c r="E2738" s="6"/>
      <c r="G2738" s="6"/>
      <c r="H2738" s="6"/>
      <c r="I2738" s="6"/>
      <c r="J2738" s="6"/>
      <c r="K2738" s="6"/>
      <c r="L2738" s="6"/>
      <c r="M2738" s="6"/>
      <c r="N2738" s="672"/>
      <c r="O2738" s="6"/>
      <c r="P2738" s="6"/>
      <c r="Q2738" s="6"/>
      <c r="R2738" s="6"/>
      <c r="S2738" s="6"/>
      <c r="T2738" s="6"/>
      <c r="U2738" s="6"/>
    </row>
    <row r="2739">
      <c r="A2739" s="6"/>
      <c r="B2739" s="6"/>
      <c r="C2739" s="6"/>
      <c r="D2739" s="6"/>
      <c r="E2739" s="6"/>
      <c r="G2739" s="6"/>
      <c r="H2739" s="6"/>
      <c r="I2739" s="6"/>
      <c r="J2739" s="6"/>
      <c r="K2739" s="6"/>
      <c r="L2739" s="6"/>
      <c r="M2739" s="6"/>
      <c r="N2739" s="672"/>
      <c r="O2739" s="6"/>
      <c r="P2739" s="6"/>
      <c r="Q2739" s="6"/>
      <c r="R2739" s="6"/>
      <c r="S2739" s="6"/>
      <c r="T2739" s="6"/>
      <c r="U2739" s="6"/>
    </row>
    <row r="2740">
      <c r="A2740" s="6"/>
      <c r="B2740" s="6"/>
      <c r="C2740" s="6"/>
      <c r="D2740" s="6"/>
      <c r="E2740" s="6"/>
      <c r="G2740" s="6"/>
      <c r="H2740" s="6"/>
      <c r="I2740" s="6"/>
      <c r="J2740" s="6"/>
      <c r="K2740" s="6"/>
      <c r="L2740" s="6"/>
      <c r="M2740" s="6"/>
      <c r="N2740" s="672"/>
      <c r="O2740" s="6"/>
      <c r="P2740" s="6"/>
      <c r="Q2740" s="6"/>
      <c r="R2740" s="6"/>
      <c r="S2740" s="6"/>
      <c r="T2740" s="6"/>
      <c r="U2740" s="6"/>
    </row>
    <row r="2741">
      <c r="A2741" s="6"/>
      <c r="B2741" s="6"/>
      <c r="C2741" s="6"/>
      <c r="D2741" s="6"/>
      <c r="E2741" s="6"/>
      <c r="G2741" s="6"/>
      <c r="H2741" s="6"/>
      <c r="I2741" s="6"/>
      <c r="J2741" s="6"/>
      <c r="K2741" s="6"/>
      <c r="L2741" s="6"/>
      <c r="M2741" s="6"/>
      <c r="N2741" s="672"/>
      <c r="O2741" s="6"/>
      <c r="P2741" s="6"/>
      <c r="Q2741" s="6"/>
      <c r="R2741" s="6"/>
      <c r="S2741" s="6"/>
      <c r="T2741" s="6"/>
      <c r="U2741" s="6"/>
    </row>
    <row r="2742">
      <c r="A2742" s="6"/>
      <c r="B2742" s="6"/>
      <c r="C2742" s="6"/>
      <c r="D2742" s="6"/>
      <c r="E2742" s="6"/>
      <c r="G2742" s="6"/>
      <c r="H2742" s="6"/>
      <c r="I2742" s="6"/>
      <c r="J2742" s="6"/>
      <c r="K2742" s="6"/>
      <c r="L2742" s="6"/>
      <c r="M2742" s="6"/>
      <c r="N2742" s="672"/>
      <c r="O2742" s="6"/>
      <c r="P2742" s="6"/>
      <c r="Q2742" s="6"/>
      <c r="R2742" s="6"/>
      <c r="S2742" s="6"/>
      <c r="T2742" s="6"/>
      <c r="U2742" s="6"/>
    </row>
    <row r="2743">
      <c r="A2743" s="6"/>
      <c r="B2743" s="6"/>
      <c r="C2743" s="6"/>
      <c r="D2743" s="6"/>
      <c r="E2743" s="6"/>
      <c r="G2743" s="6"/>
      <c r="H2743" s="6"/>
      <c r="I2743" s="6"/>
      <c r="J2743" s="6"/>
      <c r="K2743" s="6"/>
      <c r="L2743" s="6"/>
      <c r="M2743" s="6"/>
      <c r="N2743" s="672"/>
      <c r="O2743" s="6"/>
      <c r="P2743" s="6"/>
      <c r="Q2743" s="6"/>
      <c r="R2743" s="6"/>
      <c r="S2743" s="6"/>
      <c r="T2743" s="6"/>
      <c r="U2743" s="6"/>
    </row>
    <row r="2744">
      <c r="A2744" s="6"/>
      <c r="B2744" s="6"/>
      <c r="C2744" s="6"/>
      <c r="D2744" s="6"/>
      <c r="E2744" s="6"/>
      <c r="G2744" s="6"/>
      <c r="H2744" s="6"/>
      <c r="I2744" s="6"/>
      <c r="J2744" s="6"/>
      <c r="K2744" s="6"/>
      <c r="L2744" s="6"/>
      <c r="M2744" s="6"/>
      <c r="N2744" s="672"/>
      <c r="O2744" s="6"/>
      <c r="P2744" s="6"/>
      <c r="Q2744" s="6"/>
      <c r="R2744" s="6"/>
      <c r="S2744" s="6"/>
      <c r="T2744" s="6"/>
      <c r="U2744" s="6"/>
    </row>
    <row r="2745">
      <c r="A2745" s="6"/>
      <c r="B2745" s="6"/>
      <c r="C2745" s="6"/>
      <c r="D2745" s="6"/>
      <c r="E2745" s="6"/>
      <c r="G2745" s="6"/>
      <c r="H2745" s="6"/>
      <c r="I2745" s="6"/>
      <c r="J2745" s="6"/>
      <c r="K2745" s="6"/>
      <c r="L2745" s="6"/>
      <c r="M2745" s="6"/>
      <c r="N2745" s="672"/>
      <c r="O2745" s="6"/>
      <c r="P2745" s="6"/>
      <c r="Q2745" s="6"/>
      <c r="R2745" s="6"/>
      <c r="S2745" s="6"/>
      <c r="T2745" s="6"/>
      <c r="U2745" s="6"/>
    </row>
    <row r="2746">
      <c r="A2746" s="6"/>
      <c r="B2746" s="6"/>
      <c r="C2746" s="6"/>
      <c r="D2746" s="6"/>
      <c r="E2746" s="6"/>
      <c r="G2746" s="6"/>
      <c r="H2746" s="6"/>
      <c r="I2746" s="6"/>
      <c r="J2746" s="6"/>
      <c r="K2746" s="6"/>
      <c r="L2746" s="6"/>
      <c r="M2746" s="6"/>
      <c r="N2746" s="672"/>
      <c r="O2746" s="6"/>
      <c r="P2746" s="6"/>
      <c r="Q2746" s="6"/>
      <c r="R2746" s="6"/>
      <c r="S2746" s="6"/>
      <c r="T2746" s="6"/>
      <c r="U2746" s="6"/>
    </row>
    <row r="2747">
      <c r="A2747" s="6"/>
      <c r="B2747" s="6"/>
      <c r="C2747" s="6"/>
      <c r="D2747" s="6"/>
      <c r="E2747" s="6"/>
      <c r="G2747" s="6"/>
      <c r="H2747" s="6"/>
      <c r="I2747" s="6"/>
      <c r="J2747" s="6"/>
      <c r="K2747" s="6"/>
      <c r="L2747" s="6"/>
      <c r="M2747" s="6"/>
      <c r="N2747" s="672"/>
      <c r="O2747" s="6"/>
      <c r="P2747" s="6"/>
      <c r="Q2747" s="6"/>
      <c r="R2747" s="6"/>
      <c r="S2747" s="6"/>
      <c r="T2747" s="6"/>
      <c r="U2747" s="6"/>
    </row>
    <row r="2748">
      <c r="A2748" s="6"/>
      <c r="B2748" s="6"/>
      <c r="C2748" s="6"/>
      <c r="D2748" s="6"/>
      <c r="E2748" s="6"/>
      <c r="G2748" s="6"/>
      <c r="H2748" s="6"/>
      <c r="I2748" s="6"/>
      <c r="J2748" s="6"/>
      <c r="K2748" s="6"/>
      <c r="L2748" s="6"/>
      <c r="M2748" s="6"/>
      <c r="N2748" s="672"/>
      <c r="O2748" s="6"/>
      <c r="P2748" s="6"/>
      <c r="Q2748" s="6"/>
      <c r="R2748" s="6"/>
      <c r="S2748" s="6"/>
      <c r="T2748" s="6"/>
      <c r="U2748" s="6"/>
    </row>
    <row r="2749">
      <c r="A2749" s="6"/>
      <c r="B2749" s="6"/>
      <c r="C2749" s="6"/>
      <c r="D2749" s="6"/>
      <c r="E2749" s="6"/>
      <c r="G2749" s="6"/>
      <c r="H2749" s="6"/>
      <c r="I2749" s="6"/>
      <c r="J2749" s="6"/>
      <c r="K2749" s="6"/>
      <c r="L2749" s="6"/>
      <c r="M2749" s="6"/>
      <c r="N2749" s="672"/>
      <c r="O2749" s="6"/>
      <c r="P2749" s="6"/>
      <c r="Q2749" s="6"/>
      <c r="R2749" s="6"/>
      <c r="S2749" s="6"/>
      <c r="T2749" s="6"/>
      <c r="U2749" s="6"/>
    </row>
    <row r="2750">
      <c r="A2750" s="6"/>
      <c r="B2750" s="6"/>
      <c r="C2750" s="6"/>
      <c r="D2750" s="6"/>
      <c r="E2750" s="6"/>
      <c r="G2750" s="6"/>
      <c r="H2750" s="6"/>
      <c r="I2750" s="6"/>
      <c r="J2750" s="6"/>
      <c r="K2750" s="6"/>
      <c r="L2750" s="6"/>
      <c r="M2750" s="6"/>
      <c r="N2750" s="672"/>
      <c r="O2750" s="6"/>
      <c r="P2750" s="6"/>
      <c r="Q2750" s="6"/>
      <c r="R2750" s="6"/>
      <c r="S2750" s="6"/>
      <c r="T2750" s="6"/>
      <c r="U2750" s="6"/>
    </row>
    <row r="2751">
      <c r="A2751" s="6"/>
      <c r="B2751" s="6"/>
      <c r="C2751" s="6"/>
      <c r="D2751" s="6"/>
      <c r="E2751" s="6"/>
      <c r="G2751" s="6"/>
      <c r="H2751" s="6"/>
      <c r="I2751" s="6"/>
      <c r="J2751" s="6"/>
      <c r="K2751" s="6"/>
      <c r="L2751" s="6"/>
      <c r="M2751" s="6"/>
      <c r="N2751" s="672"/>
      <c r="O2751" s="6"/>
      <c r="P2751" s="6"/>
      <c r="Q2751" s="6"/>
      <c r="R2751" s="6"/>
      <c r="S2751" s="6"/>
      <c r="T2751" s="6"/>
      <c r="U2751" s="6"/>
    </row>
    <row r="2752">
      <c r="A2752" s="6"/>
      <c r="B2752" s="6"/>
      <c r="C2752" s="6"/>
      <c r="D2752" s="6"/>
      <c r="E2752" s="6"/>
      <c r="G2752" s="6"/>
      <c r="H2752" s="6"/>
      <c r="I2752" s="6"/>
      <c r="J2752" s="6"/>
      <c r="K2752" s="6"/>
      <c r="L2752" s="6"/>
      <c r="M2752" s="6"/>
      <c r="N2752" s="672"/>
      <c r="O2752" s="6"/>
      <c r="P2752" s="6"/>
      <c r="Q2752" s="6"/>
      <c r="R2752" s="6"/>
      <c r="S2752" s="6"/>
      <c r="T2752" s="6"/>
      <c r="U2752" s="6"/>
    </row>
    <row r="2753">
      <c r="A2753" s="6"/>
      <c r="B2753" s="6"/>
      <c r="C2753" s="6"/>
      <c r="D2753" s="6"/>
      <c r="E2753" s="6"/>
      <c r="G2753" s="6"/>
      <c r="H2753" s="6"/>
      <c r="I2753" s="6"/>
      <c r="J2753" s="6"/>
      <c r="K2753" s="6"/>
      <c r="L2753" s="6"/>
      <c r="M2753" s="6"/>
      <c r="N2753" s="672"/>
      <c r="O2753" s="6"/>
      <c r="P2753" s="6"/>
      <c r="Q2753" s="6"/>
      <c r="R2753" s="6"/>
      <c r="S2753" s="6"/>
      <c r="T2753" s="6"/>
      <c r="U2753" s="6"/>
    </row>
    <row r="2754">
      <c r="A2754" s="6"/>
      <c r="B2754" s="6"/>
      <c r="C2754" s="6"/>
      <c r="D2754" s="6"/>
      <c r="E2754" s="6"/>
      <c r="G2754" s="6"/>
      <c r="H2754" s="6"/>
      <c r="I2754" s="6"/>
      <c r="J2754" s="6"/>
      <c r="K2754" s="6"/>
      <c r="L2754" s="6"/>
      <c r="M2754" s="6"/>
      <c r="N2754" s="672"/>
      <c r="O2754" s="6"/>
      <c r="P2754" s="6"/>
      <c r="Q2754" s="6"/>
      <c r="R2754" s="6"/>
      <c r="S2754" s="6"/>
      <c r="T2754" s="6"/>
      <c r="U2754" s="6"/>
    </row>
    <row r="2755">
      <c r="A2755" s="6"/>
      <c r="B2755" s="6"/>
      <c r="C2755" s="6"/>
      <c r="D2755" s="6"/>
      <c r="E2755" s="6"/>
      <c r="G2755" s="6"/>
      <c r="H2755" s="6"/>
      <c r="I2755" s="6"/>
      <c r="J2755" s="6"/>
      <c r="K2755" s="6"/>
      <c r="L2755" s="6"/>
      <c r="M2755" s="6"/>
      <c r="N2755" s="672"/>
      <c r="O2755" s="6"/>
      <c r="P2755" s="6"/>
      <c r="Q2755" s="6"/>
      <c r="R2755" s="6"/>
      <c r="S2755" s="6"/>
      <c r="T2755" s="6"/>
      <c r="U2755" s="6"/>
    </row>
    <row r="2756">
      <c r="A2756" s="6"/>
      <c r="B2756" s="6"/>
      <c r="C2756" s="6"/>
      <c r="D2756" s="6"/>
      <c r="E2756" s="6"/>
      <c r="G2756" s="6"/>
      <c r="H2756" s="6"/>
      <c r="I2756" s="6"/>
      <c r="J2756" s="6"/>
      <c r="K2756" s="6"/>
      <c r="L2756" s="6"/>
      <c r="M2756" s="6"/>
      <c r="N2756" s="672"/>
      <c r="O2756" s="6"/>
      <c r="P2756" s="6"/>
      <c r="Q2756" s="6"/>
      <c r="R2756" s="6"/>
      <c r="S2756" s="6"/>
      <c r="T2756" s="6"/>
      <c r="U2756" s="6"/>
    </row>
    <row r="2757">
      <c r="A2757" s="6"/>
      <c r="B2757" s="6"/>
      <c r="C2757" s="6"/>
      <c r="D2757" s="6"/>
      <c r="E2757" s="6"/>
      <c r="G2757" s="6"/>
      <c r="H2757" s="6"/>
      <c r="I2757" s="6"/>
      <c r="J2757" s="6"/>
      <c r="K2757" s="6"/>
      <c r="L2757" s="6"/>
      <c r="M2757" s="6"/>
      <c r="N2757" s="672"/>
      <c r="O2757" s="6"/>
      <c r="P2757" s="6"/>
      <c r="Q2757" s="6"/>
      <c r="R2757" s="6"/>
      <c r="S2757" s="6"/>
      <c r="T2757" s="6"/>
      <c r="U2757" s="6"/>
    </row>
    <row r="2758">
      <c r="A2758" s="6"/>
      <c r="B2758" s="6"/>
      <c r="C2758" s="6"/>
      <c r="D2758" s="6"/>
      <c r="E2758" s="6"/>
      <c r="G2758" s="6"/>
      <c r="H2758" s="6"/>
      <c r="I2758" s="6"/>
      <c r="J2758" s="6"/>
      <c r="K2758" s="6"/>
      <c r="L2758" s="6"/>
      <c r="M2758" s="6"/>
      <c r="N2758" s="672"/>
      <c r="O2758" s="6"/>
      <c r="P2758" s="6"/>
      <c r="Q2758" s="6"/>
      <c r="R2758" s="6"/>
      <c r="S2758" s="6"/>
      <c r="T2758" s="6"/>
      <c r="U2758" s="6"/>
    </row>
    <row r="2759">
      <c r="A2759" s="6"/>
      <c r="B2759" s="6"/>
      <c r="C2759" s="6"/>
      <c r="D2759" s="6"/>
      <c r="E2759" s="6"/>
      <c r="G2759" s="6"/>
      <c r="H2759" s="6"/>
      <c r="I2759" s="6"/>
      <c r="J2759" s="6"/>
      <c r="K2759" s="6"/>
      <c r="L2759" s="6"/>
      <c r="M2759" s="6"/>
      <c r="N2759" s="672"/>
      <c r="O2759" s="6"/>
      <c r="P2759" s="6"/>
      <c r="Q2759" s="6"/>
      <c r="R2759" s="6"/>
      <c r="S2759" s="6"/>
      <c r="T2759" s="6"/>
      <c r="U2759" s="6"/>
    </row>
    <row r="2760">
      <c r="A2760" s="6"/>
      <c r="B2760" s="6"/>
      <c r="C2760" s="6"/>
      <c r="D2760" s="6"/>
      <c r="E2760" s="6"/>
      <c r="G2760" s="6"/>
      <c r="H2760" s="6"/>
      <c r="I2760" s="6"/>
      <c r="J2760" s="6"/>
      <c r="K2760" s="6"/>
      <c r="L2760" s="6"/>
      <c r="M2760" s="6"/>
      <c r="N2760" s="672"/>
      <c r="O2760" s="6"/>
      <c r="P2760" s="6"/>
      <c r="Q2760" s="6"/>
      <c r="R2760" s="6"/>
      <c r="S2760" s="6"/>
      <c r="T2760" s="6"/>
      <c r="U2760" s="6"/>
    </row>
    <row r="2761">
      <c r="A2761" s="6"/>
      <c r="B2761" s="6"/>
      <c r="C2761" s="6"/>
      <c r="D2761" s="6"/>
      <c r="E2761" s="6"/>
      <c r="G2761" s="6"/>
      <c r="H2761" s="6"/>
      <c r="I2761" s="6"/>
      <c r="J2761" s="6"/>
      <c r="K2761" s="6"/>
      <c r="L2761" s="6"/>
      <c r="M2761" s="6"/>
      <c r="N2761" s="672"/>
      <c r="O2761" s="6"/>
      <c r="P2761" s="6"/>
      <c r="Q2761" s="6"/>
      <c r="R2761" s="6"/>
      <c r="S2761" s="6"/>
      <c r="T2761" s="6"/>
      <c r="U2761" s="6"/>
    </row>
    <row r="2762">
      <c r="A2762" s="6"/>
      <c r="B2762" s="6"/>
      <c r="C2762" s="6"/>
      <c r="D2762" s="6"/>
      <c r="E2762" s="6"/>
      <c r="G2762" s="6"/>
      <c r="H2762" s="6"/>
      <c r="I2762" s="6"/>
      <c r="J2762" s="6"/>
      <c r="K2762" s="6"/>
      <c r="L2762" s="6"/>
      <c r="M2762" s="6"/>
      <c r="N2762" s="672"/>
      <c r="O2762" s="6"/>
      <c r="P2762" s="6"/>
      <c r="Q2762" s="6"/>
      <c r="R2762" s="6"/>
      <c r="S2762" s="6"/>
      <c r="T2762" s="6"/>
      <c r="U2762" s="6"/>
    </row>
    <row r="2763">
      <c r="A2763" s="6"/>
      <c r="B2763" s="6"/>
      <c r="C2763" s="6"/>
      <c r="D2763" s="6"/>
      <c r="E2763" s="6"/>
      <c r="G2763" s="6"/>
      <c r="H2763" s="6"/>
      <c r="I2763" s="6"/>
      <c r="J2763" s="6"/>
      <c r="K2763" s="6"/>
      <c r="L2763" s="6"/>
      <c r="M2763" s="6"/>
      <c r="N2763" s="672"/>
      <c r="O2763" s="6"/>
      <c r="P2763" s="6"/>
      <c r="Q2763" s="6"/>
      <c r="R2763" s="6"/>
      <c r="S2763" s="6"/>
      <c r="T2763" s="6"/>
      <c r="U2763" s="6"/>
    </row>
    <row r="2764">
      <c r="A2764" s="6"/>
      <c r="B2764" s="6"/>
      <c r="C2764" s="6"/>
      <c r="D2764" s="6"/>
      <c r="E2764" s="6"/>
      <c r="G2764" s="6"/>
      <c r="H2764" s="6"/>
      <c r="I2764" s="6"/>
      <c r="J2764" s="6"/>
      <c r="K2764" s="6"/>
      <c r="L2764" s="6"/>
      <c r="M2764" s="6"/>
      <c r="N2764" s="672"/>
      <c r="O2764" s="6"/>
      <c r="P2764" s="6"/>
      <c r="Q2764" s="6"/>
      <c r="R2764" s="6"/>
      <c r="S2764" s="6"/>
      <c r="T2764" s="6"/>
      <c r="U2764" s="6"/>
    </row>
    <row r="2765">
      <c r="A2765" s="6"/>
      <c r="B2765" s="6"/>
      <c r="C2765" s="6"/>
      <c r="D2765" s="6"/>
      <c r="E2765" s="6"/>
      <c r="G2765" s="6"/>
      <c r="H2765" s="6"/>
      <c r="I2765" s="6"/>
      <c r="J2765" s="6"/>
      <c r="K2765" s="6"/>
      <c r="L2765" s="6"/>
      <c r="M2765" s="6"/>
      <c r="N2765" s="672"/>
      <c r="O2765" s="6"/>
      <c r="P2765" s="6"/>
      <c r="Q2765" s="6"/>
      <c r="R2765" s="6"/>
      <c r="S2765" s="6"/>
      <c r="T2765" s="6"/>
      <c r="U2765" s="6"/>
    </row>
    <row r="2766">
      <c r="A2766" s="6"/>
      <c r="B2766" s="6"/>
      <c r="C2766" s="6"/>
      <c r="D2766" s="6"/>
      <c r="E2766" s="6"/>
      <c r="G2766" s="6"/>
      <c r="H2766" s="6"/>
      <c r="I2766" s="6"/>
      <c r="J2766" s="6"/>
      <c r="K2766" s="6"/>
      <c r="L2766" s="6"/>
      <c r="M2766" s="6"/>
      <c r="N2766" s="672"/>
      <c r="O2766" s="6"/>
      <c r="P2766" s="6"/>
      <c r="Q2766" s="6"/>
      <c r="R2766" s="6"/>
      <c r="S2766" s="6"/>
      <c r="T2766" s="6"/>
      <c r="U2766" s="6"/>
    </row>
    <row r="2767">
      <c r="A2767" s="6"/>
      <c r="B2767" s="6"/>
      <c r="C2767" s="6"/>
      <c r="D2767" s="6"/>
      <c r="E2767" s="6"/>
      <c r="G2767" s="6"/>
      <c r="H2767" s="6"/>
      <c r="I2767" s="6"/>
      <c r="J2767" s="6"/>
      <c r="K2767" s="6"/>
      <c r="L2767" s="6"/>
      <c r="M2767" s="6"/>
      <c r="N2767" s="672"/>
      <c r="O2767" s="6"/>
      <c r="P2767" s="6"/>
      <c r="Q2767" s="6"/>
      <c r="R2767" s="6"/>
      <c r="S2767" s="6"/>
      <c r="T2767" s="6"/>
      <c r="U2767" s="6"/>
    </row>
    <row r="2768">
      <c r="A2768" s="6"/>
      <c r="B2768" s="6"/>
      <c r="C2768" s="6"/>
      <c r="D2768" s="6"/>
      <c r="E2768" s="6"/>
      <c r="G2768" s="6"/>
      <c r="H2768" s="6"/>
      <c r="I2768" s="6"/>
      <c r="J2768" s="6"/>
      <c r="K2768" s="6"/>
      <c r="L2768" s="6"/>
      <c r="M2768" s="6"/>
      <c r="N2768" s="672"/>
      <c r="O2768" s="6"/>
      <c r="P2768" s="6"/>
      <c r="Q2768" s="6"/>
      <c r="R2768" s="6"/>
      <c r="S2768" s="6"/>
      <c r="T2768" s="6"/>
      <c r="U2768" s="6"/>
    </row>
    <row r="2769">
      <c r="A2769" s="6"/>
      <c r="B2769" s="6"/>
      <c r="C2769" s="6"/>
      <c r="D2769" s="6"/>
      <c r="E2769" s="6"/>
      <c r="G2769" s="6"/>
      <c r="H2769" s="6"/>
      <c r="I2769" s="6"/>
      <c r="J2769" s="6"/>
      <c r="K2769" s="6"/>
      <c r="L2769" s="6"/>
      <c r="M2769" s="6"/>
      <c r="N2769" s="672"/>
      <c r="O2769" s="6"/>
      <c r="P2769" s="6"/>
      <c r="Q2769" s="6"/>
      <c r="R2769" s="6"/>
      <c r="S2769" s="6"/>
      <c r="T2769" s="6"/>
      <c r="U2769" s="6"/>
    </row>
    <row r="2770">
      <c r="A2770" s="6"/>
      <c r="B2770" s="6"/>
      <c r="C2770" s="6"/>
      <c r="D2770" s="6"/>
      <c r="E2770" s="6"/>
      <c r="G2770" s="6"/>
      <c r="H2770" s="6"/>
      <c r="I2770" s="6"/>
      <c r="J2770" s="6"/>
      <c r="K2770" s="6"/>
      <c r="L2770" s="6"/>
      <c r="M2770" s="6"/>
      <c r="N2770" s="672"/>
      <c r="O2770" s="6"/>
      <c r="P2770" s="6"/>
      <c r="Q2770" s="6"/>
      <c r="R2770" s="6"/>
      <c r="S2770" s="6"/>
      <c r="T2770" s="6"/>
      <c r="U2770" s="6"/>
    </row>
    <row r="2771">
      <c r="A2771" s="6"/>
      <c r="B2771" s="6"/>
      <c r="C2771" s="6"/>
      <c r="D2771" s="6"/>
      <c r="E2771" s="6"/>
      <c r="G2771" s="6"/>
      <c r="H2771" s="6"/>
      <c r="I2771" s="6"/>
      <c r="J2771" s="6"/>
      <c r="K2771" s="6"/>
      <c r="L2771" s="6"/>
      <c r="M2771" s="6"/>
      <c r="N2771" s="672"/>
      <c r="O2771" s="6"/>
      <c r="P2771" s="6"/>
      <c r="Q2771" s="6"/>
      <c r="R2771" s="6"/>
      <c r="S2771" s="6"/>
      <c r="T2771" s="6"/>
      <c r="U2771" s="6"/>
    </row>
    <row r="2772">
      <c r="A2772" s="6"/>
      <c r="B2772" s="6"/>
      <c r="C2772" s="6"/>
      <c r="D2772" s="6"/>
      <c r="E2772" s="6"/>
      <c r="G2772" s="6"/>
      <c r="H2772" s="6"/>
      <c r="I2772" s="6"/>
      <c r="J2772" s="6"/>
      <c r="K2772" s="6"/>
      <c r="L2772" s="6"/>
      <c r="M2772" s="6"/>
      <c r="N2772" s="672"/>
      <c r="O2772" s="6"/>
      <c r="P2772" s="6"/>
      <c r="Q2772" s="6"/>
      <c r="R2772" s="6"/>
      <c r="S2772" s="6"/>
      <c r="T2772" s="6"/>
      <c r="U2772" s="6"/>
    </row>
    <row r="2773">
      <c r="A2773" s="6"/>
      <c r="B2773" s="6"/>
      <c r="C2773" s="6"/>
      <c r="D2773" s="6"/>
      <c r="E2773" s="6"/>
      <c r="G2773" s="6"/>
      <c r="H2773" s="6"/>
      <c r="I2773" s="6"/>
      <c r="J2773" s="6"/>
      <c r="K2773" s="6"/>
      <c r="L2773" s="6"/>
      <c r="M2773" s="6"/>
      <c r="N2773" s="672"/>
      <c r="O2773" s="6"/>
      <c r="P2773" s="6"/>
      <c r="Q2773" s="6"/>
      <c r="R2773" s="6"/>
      <c r="S2773" s="6"/>
      <c r="T2773" s="6"/>
      <c r="U2773" s="6"/>
    </row>
    <row r="2774">
      <c r="A2774" s="6"/>
      <c r="B2774" s="6"/>
      <c r="C2774" s="6"/>
      <c r="D2774" s="6"/>
      <c r="E2774" s="6"/>
      <c r="G2774" s="6"/>
      <c r="H2774" s="6"/>
      <c r="I2774" s="6"/>
      <c r="J2774" s="6"/>
      <c r="K2774" s="6"/>
      <c r="L2774" s="6"/>
      <c r="M2774" s="6"/>
      <c r="N2774" s="672"/>
      <c r="O2774" s="6"/>
      <c r="P2774" s="6"/>
      <c r="Q2774" s="6"/>
      <c r="R2774" s="6"/>
      <c r="S2774" s="6"/>
      <c r="T2774" s="6"/>
      <c r="U2774" s="6"/>
    </row>
    <row r="2775">
      <c r="A2775" s="6"/>
      <c r="B2775" s="6"/>
      <c r="C2775" s="6"/>
      <c r="D2775" s="6"/>
      <c r="E2775" s="6"/>
      <c r="G2775" s="6"/>
      <c r="H2775" s="6"/>
      <c r="I2775" s="6"/>
      <c r="J2775" s="6"/>
      <c r="K2775" s="6"/>
      <c r="L2775" s="6"/>
      <c r="M2775" s="6"/>
      <c r="N2775" s="672"/>
      <c r="O2775" s="6"/>
      <c r="P2775" s="6"/>
      <c r="Q2775" s="6"/>
      <c r="R2775" s="6"/>
      <c r="S2775" s="6"/>
      <c r="T2775" s="6"/>
      <c r="U2775" s="6"/>
    </row>
    <row r="2776">
      <c r="A2776" s="6"/>
      <c r="B2776" s="6"/>
      <c r="C2776" s="6"/>
      <c r="D2776" s="6"/>
      <c r="E2776" s="6"/>
      <c r="G2776" s="6"/>
      <c r="H2776" s="6"/>
      <c r="I2776" s="6"/>
      <c r="J2776" s="6"/>
      <c r="K2776" s="6"/>
      <c r="L2776" s="6"/>
      <c r="M2776" s="6"/>
      <c r="N2776" s="672"/>
      <c r="O2776" s="6"/>
      <c r="P2776" s="6"/>
      <c r="Q2776" s="6"/>
      <c r="R2776" s="6"/>
      <c r="S2776" s="6"/>
      <c r="T2776" s="6"/>
      <c r="U2776" s="6"/>
    </row>
    <row r="2777">
      <c r="A2777" s="6"/>
      <c r="B2777" s="6"/>
      <c r="C2777" s="6"/>
      <c r="D2777" s="6"/>
      <c r="E2777" s="6"/>
      <c r="G2777" s="6"/>
      <c r="H2777" s="6"/>
      <c r="I2777" s="6"/>
      <c r="J2777" s="6"/>
      <c r="K2777" s="6"/>
      <c r="L2777" s="6"/>
      <c r="M2777" s="6"/>
      <c r="N2777" s="672"/>
      <c r="O2777" s="6"/>
      <c r="P2777" s="6"/>
      <c r="Q2777" s="6"/>
      <c r="R2777" s="6"/>
      <c r="S2777" s="6"/>
      <c r="T2777" s="6"/>
      <c r="U2777" s="6"/>
    </row>
    <row r="2778">
      <c r="A2778" s="6"/>
      <c r="B2778" s="6"/>
      <c r="C2778" s="6"/>
      <c r="D2778" s="6"/>
      <c r="E2778" s="6"/>
      <c r="G2778" s="6"/>
      <c r="H2778" s="6"/>
      <c r="I2778" s="6"/>
      <c r="J2778" s="6"/>
      <c r="K2778" s="6"/>
      <c r="L2778" s="6"/>
      <c r="M2778" s="6"/>
      <c r="N2778" s="672"/>
      <c r="O2778" s="6"/>
      <c r="P2778" s="6"/>
      <c r="Q2778" s="6"/>
      <c r="R2778" s="6"/>
      <c r="S2778" s="6"/>
      <c r="T2778" s="6"/>
      <c r="U2778" s="6"/>
    </row>
    <row r="2779">
      <c r="A2779" s="6"/>
      <c r="B2779" s="6"/>
      <c r="C2779" s="6"/>
      <c r="D2779" s="6"/>
      <c r="E2779" s="6"/>
      <c r="G2779" s="6"/>
      <c r="H2779" s="6"/>
      <c r="I2779" s="6"/>
      <c r="J2779" s="6"/>
      <c r="K2779" s="6"/>
      <c r="L2779" s="6"/>
      <c r="M2779" s="6"/>
      <c r="N2779" s="672"/>
      <c r="O2779" s="6"/>
      <c r="P2779" s="6"/>
      <c r="Q2779" s="6"/>
      <c r="R2779" s="6"/>
      <c r="S2779" s="6"/>
      <c r="T2779" s="6"/>
      <c r="U2779" s="6"/>
    </row>
    <row r="2780">
      <c r="A2780" s="6"/>
      <c r="B2780" s="6"/>
      <c r="C2780" s="6"/>
      <c r="D2780" s="6"/>
      <c r="E2780" s="6"/>
      <c r="G2780" s="6"/>
      <c r="H2780" s="6"/>
      <c r="I2780" s="6"/>
      <c r="J2780" s="6"/>
      <c r="K2780" s="6"/>
      <c r="L2780" s="6"/>
      <c r="M2780" s="6"/>
      <c r="N2780" s="672"/>
      <c r="O2780" s="6"/>
      <c r="P2780" s="6"/>
      <c r="Q2780" s="6"/>
      <c r="R2780" s="6"/>
      <c r="S2780" s="6"/>
      <c r="T2780" s="6"/>
      <c r="U2780" s="6"/>
    </row>
    <row r="2781">
      <c r="A2781" s="6"/>
      <c r="B2781" s="6"/>
      <c r="C2781" s="6"/>
      <c r="D2781" s="6"/>
      <c r="E2781" s="6"/>
      <c r="G2781" s="6"/>
      <c r="H2781" s="6"/>
      <c r="I2781" s="6"/>
      <c r="J2781" s="6"/>
      <c r="K2781" s="6"/>
      <c r="L2781" s="6"/>
      <c r="M2781" s="6"/>
      <c r="N2781" s="672"/>
      <c r="O2781" s="6"/>
      <c r="P2781" s="6"/>
      <c r="Q2781" s="6"/>
      <c r="R2781" s="6"/>
      <c r="S2781" s="6"/>
      <c r="T2781" s="6"/>
      <c r="U2781" s="6"/>
    </row>
    <row r="2782">
      <c r="A2782" s="6"/>
      <c r="B2782" s="6"/>
      <c r="C2782" s="6"/>
      <c r="D2782" s="6"/>
      <c r="E2782" s="6"/>
      <c r="G2782" s="6"/>
      <c r="H2782" s="6"/>
      <c r="I2782" s="6"/>
      <c r="J2782" s="6"/>
      <c r="K2782" s="6"/>
      <c r="L2782" s="6"/>
      <c r="M2782" s="6"/>
      <c r="N2782" s="672"/>
      <c r="O2782" s="6"/>
      <c r="P2782" s="6"/>
      <c r="Q2782" s="6"/>
      <c r="R2782" s="6"/>
      <c r="S2782" s="6"/>
      <c r="T2782" s="6"/>
      <c r="U2782" s="6"/>
    </row>
    <row r="2783">
      <c r="A2783" s="6"/>
      <c r="B2783" s="6"/>
      <c r="C2783" s="6"/>
      <c r="D2783" s="6"/>
      <c r="E2783" s="6"/>
      <c r="G2783" s="6"/>
      <c r="H2783" s="6"/>
      <c r="I2783" s="6"/>
      <c r="J2783" s="6"/>
      <c r="K2783" s="6"/>
      <c r="L2783" s="6"/>
      <c r="M2783" s="6"/>
      <c r="N2783" s="672"/>
      <c r="O2783" s="6"/>
      <c r="P2783" s="6"/>
      <c r="Q2783" s="6"/>
      <c r="R2783" s="6"/>
      <c r="S2783" s="6"/>
      <c r="T2783" s="6"/>
      <c r="U2783" s="6"/>
    </row>
    <row r="2784">
      <c r="A2784" s="6"/>
      <c r="B2784" s="6"/>
      <c r="C2784" s="6"/>
      <c r="D2784" s="6"/>
      <c r="E2784" s="6"/>
      <c r="G2784" s="6"/>
      <c r="H2784" s="6"/>
      <c r="I2784" s="6"/>
      <c r="J2784" s="6"/>
      <c r="K2784" s="6"/>
      <c r="L2784" s="6"/>
      <c r="M2784" s="6"/>
      <c r="N2784" s="672"/>
      <c r="O2784" s="6"/>
      <c r="P2784" s="6"/>
      <c r="Q2784" s="6"/>
      <c r="R2784" s="6"/>
      <c r="S2784" s="6"/>
      <c r="T2784" s="6"/>
      <c r="U2784" s="6"/>
    </row>
    <row r="2785">
      <c r="A2785" s="6"/>
      <c r="B2785" s="6"/>
      <c r="C2785" s="6"/>
      <c r="D2785" s="6"/>
      <c r="E2785" s="6"/>
      <c r="G2785" s="6"/>
      <c r="H2785" s="6"/>
      <c r="I2785" s="6"/>
      <c r="J2785" s="6"/>
      <c r="K2785" s="6"/>
      <c r="L2785" s="6"/>
      <c r="M2785" s="6"/>
      <c r="N2785" s="672"/>
      <c r="O2785" s="6"/>
      <c r="P2785" s="6"/>
      <c r="Q2785" s="6"/>
      <c r="R2785" s="6"/>
      <c r="S2785" s="6"/>
      <c r="T2785" s="6"/>
      <c r="U2785" s="6"/>
    </row>
    <row r="2786">
      <c r="A2786" s="6"/>
      <c r="B2786" s="6"/>
      <c r="C2786" s="6"/>
      <c r="D2786" s="6"/>
      <c r="E2786" s="6"/>
      <c r="G2786" s="6"/>
      <c r="H2786" s="6"/>
      <c r="I2786" s="6"/>
      <c r="J2786" s="6"/>
      <c r="K2786" s="6"/>
      <c r="L2786" s="6"/>
      <c r="M2786" s="6"/>
      <c r="N2786" s="672"/>
      <c r="O2786" s="6"/>
      <c r="P2786" s="6"/>
      <c r="Q2786" s="6"/>
      <c r="R2786" s="6"/>
      <c r="S2786" s="6"/>
      <c r="T2786" s="6"/>
      <c r="U2786" s="6"/>
    </row>
    <row r="2787">
      <c r="A2787" s="6"/>
      <c r="B2787" s="6"/>
      <c r="C2787" s="6"/>
      <c r="D2787" s="6"/>
      <c r="E2787" s="6"/>
      <c r="G2787" s="6"/>
      <c r="H2787" s="6"/>
      <c r="I2787" s="6"/>
      <c r="J2787" s="6"/>
      <c r="K2787" s="6"/>
      <c r="L2787" s="6"/>
      <c r="M2787" s="6"/>
      <c r="N2787" s="672"/>
      <c r="O2787" s="6"/>
      <c r="P2787" s="6"/>
      <c r="Q2787" s="6"/>
      <c r="R2787" s="6"/>
      <c r="S2787" s="6"/>
      <c r="T2787" s="6"/>
      <c r="U2787" s="6"/>
    </row>
    <row r="2788">
      <c r="A2788" s="6"/>
      <c r="B2788" s="6"/>
      <c r="C2788" s="6"/>
      <c r="D2788" s="6"/>
      <c r="E2788" s="6"/>
      <c r="G2788" s="6"/>
      <c r="H2788" s="6"/>
      <c r="I2788" s="6"/>
      <c r="J2788" s="6"/>
      <c r="K2788" s="6"/>
      <c r="L2788" s="6"/>
      <c r="M2788" s="6"/>
      <c r="N2788" s="672"/>
      <c r="O2788" s="6"/>
      <c r="P2788" s="6"/>
      <c r="Q2788" s="6"/>
      <c r="R2788" s="6"/>
      <c r="S2788" s="6"/>
      <c r="T2788" s="6"/>
      <c r="U2788" s="6"/>
    </row>
    <row r="2789">
      <c r="A2789" s="6"/>
      <c r="B2789" s="6"/>
      <c r="C2789" s="6"/>
      <c r="D2789" s="6"/>
      <c r="E2789" s="6"/>
      <c r="G2789" s="6"/>
      <c r="H2789" s="6"/>
      <c r="I2789" s="6"/>
      <c r="J2789" s="6"/>
      <c r="K2789" s="6"/>
      <c r="L2789" s="6"/>
      <c r="M2789" s="6"/>
      <c r="N2789" s="672"/>
      <c r="O2789" s="6"/>
      <c r="P2789" s="6"/>
      <c r="Q2789" s="6"/>
      <c r="R2789" s="6"/>
      <c r="S2789" s="6"/>
      <c r="T2789" s="6"/>
      <c r="U2789" s="6"/>
    </row>
    <row r="2790">
      <c r="A2790" s="6"/>
      <c r="B2790" s="6"/>
      <c r="C2790" s="6"/>
      <c r="D2790" s="6"/>
      <c r="E2790" s="6"/>
      <c r="G2790" s="6"/>
      <c r="H2790" s="6"/>
      <c r="I2790" s="6"/>
      <c r="J2790" s="6"/>
      <c r="K2790" s="6"/>
      <c r="L2790" s="6"/>
      <c r="M2790" s="6"/>
      <c r="N2790" s="672"/>
      <c r="O2790" s="6"/>
      <c r="P2790" s="6"/>
      <c r="Q2790" s="6"/>
      <c r="R2790" s="6"/>
      <c r="S2790" s="6"/>
      <c r="T2790" s="6"/>
      <c r="U2790" s="6"/>
    </row>
    <row r="2791">
      <c r="A2791" s="6"/>
      <c r="B2791" s="6"/>
      <c r="C2791" s="6"/>
      <c r="D2791" s="6"/>
      <c r="E2791" s="6"/>
      <c r="G2791" s="6"/>
      <c r="H2791" s="6"/>
      <c r="I2791" s="6"/>
      <c r="J2791" s="6"/>
      <c r="K2791" s="6"/>
      <c r="L2791" s="6"/>
      <c r="M2791" s="6"/>
      <c r="N2791" s="672"/>
      <c r="O2791" s="6"/>
      <c r="P2791" s="6"/>
      <c r="Q2791" s="6"/>
      <c r="R2791" s="6"/>
      <c r="S2791" s="6"/>
      <c r="T2791" s="6"/>
      <c r="U2791" s="6"/>
    </row>
    <row r="2792">
      <c r="A2792" s="6"/>
      <c r="B2792" s="6"/>
      <c r="C2792" s="6"/>
      <c r="D2792" s="6"/>
      <c r="E2792" s="6"/>
      <c r="G2792" s="6"/>
      <c r="H2792" s="6"/>
      <c r="I2792" s="6"/>
      <c r="J2792" s="6"/>
      <c r="K2792" s="6"/>
      <c r="L2792" s="6"/>
      <c r="M2792" s="6"/>
      <c r="N2792" s="672"/>
      <c r="O2792" s="6"/>
      <c r="P2792" s="6"/>
      <c r="Q2792" s="6"/>
      <c r="R2792" s="6"/>
      <c r="S2792" s="6"/>
      <c r="T2792" s="6"/>
      <c r="U2792" s="6"/>
    </row>
    <row r="2793">
      <c r="A2793" s="6"/>
      <c r="B2793" s="6"/>
      <c r="C2793" s="6"/>
      <c r="D2793" s="6"/>
      <c r="E2793" s="6"/>
      <c r="G2793" s="6"/>
      <c r="H2793" s="6"/>
      <c r="I2793" s="6"/>
      <c r="J2793" s="6"/>
      <c r="K2793" s="6"/>
      <c r="L2793" s="6"/>
      <c r="M2793" s="6"/>
      <c r="N2793" s="672"/>
      <c r="O2793" s="6"/>
      <c r="P2793" s="6"/>
      <c r="Q2793" s="6"/>
      <c r="R2793" s="6"/>
      <c r="S2793" s="6"/>
      <c r="T2793" s="6"/>
      <c r="U2793" s="6"/>
    </row>
    <row r="2794">
      <c r="A2794" s="6"/>
      <c r="B2794" s="6"/>
      <c r="C2794" s="6"/>
      <c r="D2794" s="6"/>
      <c r="E2794" s="6"/>
      <c r="G2794" s="6"/>
      <c r="H2794" s="6"/>
      <c r="I2794" s="6"/>
      <c r="J2794" s="6"/>
      <c r="K2794" s="6"/>
      <c r="L2794" s="6"/>
      <c r="M2794" s="6"/>
      <c r="N2794" s="672"/>
      <c r="O2794" s="6"/>
      <c r="P2794" s="6"/>
      <c r="Q2794" s="6"/>
      <c r="R2794" s="6"/>
      <c r="S2794" s="6"/>
      <c r="T2794" s="6"/>
      <c r="U2794" s="6"/>
    </row>
    <row r="2795">
      <c r="A2795" s="6"/>
      <c r="B2795" s="6"/>
      <c r="C2795" s="6"/>
      <c r="D2795" s="6"/>
      <c r="E2795" s="6"/>
      <c r="G2795" s="6"/>
      <c r="H2795" s="6"/>
      <c r="I2795" s="6"/>
      <c r="J2795" s="6"/>
      <c r="K2795" s="6"/>
      <c r="L2795" s="6"/>
      <c r="M2795" s="6"/>
      <c r="N2795" s="672"/>
      <c r="O2795" s="6"/>
      <c r="P2795" s="6"/>
      <c r="Q2795" s="6"/>
      <c r="R2795" s="6"/>
      <c r="S2795" s="6"/>
      <c r="T2795" s="6"/>
      <c r="U2795" s="6"/>
    </row>
    <row r="2796">
      <c r="A2796" s="6"/>
      <c r="B2796" s="6"/>
      <c r="C2796" s="6"/>
      <c r="D2796" s="6"/>
      <c r="E2796" s="6"/>
      <c r="G2796" s="6"/>
      <c r="H2796" s="6"/>
      <c r="I2796" s="6"/>
      <c r="J2796" s="6"/>
      <c r="K2796" s="6"/>
      <c r="L2796" s="6"/>
      <c r="M2796" s="6"/>
      <c r="N2796" s="672"/>
      <c r="O2796" s="6"/>
      <c r="P2796" s="6"/>
      <c r="Q2796" s="6"/>
      <c r="R2796" s="6"/>
      <c r="S2796" s="6"/>
      <c r="T2796" s="6"/>
      <c r="U2796" s="6"/>
    </row>
    <row r="2797">
      <c r="A2797" s="6"/>
      <c r="B2797" s="6"/>
      <c r="C2797" s="6"/>
      <c r="D2797" s="6"/>
      <c r="E2797" s="6"/>
      <c r="G2797" s="6"/>
      <c r="H2797" s="6"/>
      <c r="I2797" s="6"/>
      <c r="J2797" s="6"/>
      <c r="K2797" s="6"/>
      <c r="L2797" s="6"/>
      <c r="M2797" s="6"/>
      <c r="N2797" s="672"/>
      <c r="O2797" s="6"/>
      <c r="P2797" s="6"/>
      <c r="Q2797" s="6"/>
      <c r="R2797" s="6"/>
      <c r="S2797" s="6"/>
      <c r="T2797" s="6"/>
      <c r="U2797" s="6"/>
    </row>
    <row r="2798">
      <c r="A2798" s="6"/>
      <c r="B2798" s="6"/>
      <c r="C2798" s="6"/>
      <c r="D2798" s="6"/>
      <c r="E2798" s="6"/>
      <c r="G2798" s="6"/>
      <c r="H2798" s="6"/>
      <c r="I2798" s="6"/>
      <c r="J2798" s="6"/>
      <c r="K2798" s="6"/>
      <c r="L2798" s="6"/>
      <c r="M2798" s="6"/>
      <c r="N2798" s="672"/>
      <c r="O2798" s="6"/>
      <c r="P2798" s="6"/>
      <c r="Q2798" s="6"/>
      <c r="R2798" s="6"/>
      <c r="S2798" s="6"/>
      <c r="T2798" s="6"/>
      <c r="U2798" s="6"/>
    </row>
    <row r="2799">
      <c r="A2799" s="6"/>
      <c r="B2799" s="6"/>
      <c r="C2799" s="6"/>
      <c r="D2799" s="6"/>
      <c r="E2799" s="6"/>
      <c r="G2799" s="6"/>
      <c r="H2799" s="6"/>
      <c r="I2799" s="6"/>
      <c r="J2799" s="6"/>
      <c r="K2799" s="6"/>
      <c r="L2799" s="6"/>
      <c r="M2799" s="6"/>
      <c r="N2799" s="672"/>
      <c r="O2799" s="6"/>
      <c r="P2799" s="6"/>
      <c r="Q2799" s="6"/>
      <c r="R2799" s="6"/>
      <c r="S2799" s="6"/>
      <c r="T2799" s="6"/>
      <c r="U2799" s="6"/>
    </row>
    <row r="2800">
      <c r="A2800" s="6"/>
      <c r="B2800" s="6"/>
      <c r="C2800" s="6"/>
      <c r="D2800" s="6"/>
      <c r="E2800" s="6"/>
      <c r="G2800" s="6"/>
      <c r="H2800" s="6"/>
      <c r="I2800" s="6"/>
      <c r="J2800" s="6"/>
      <c r="K2800" s="6"/>
      <c r="L2800" s="6"/>
      <c r="M2800" s="6"/>
      <c r="N2800" s="672"/>
      <c r="O2800" s="6"/>
      <c r="P2800" s="6"/>
      <c r="Q2800" s="6"/>
      <c r="R2800" s="6"/>
      <c r="S2800" s="6"/>
      <c r="T2800" s="6"/>
      <c r="U2800" s="6"/>
    </row>
    <row r="2801">
      <c r="A2801" s="6"/>
      <c r="B2801" s="6"/>
      <c r="C2801" s="6"/>
      <c r="D2801" s="6"/>
      <c r="E2801" s="6"/>
      <c r="G2801" s="6"/>
      <c r="H2801" s="6"/>
      <c r="I2801" s="6"/>
      <c r="J2801" s="6"/>
      <c r="K2801" s="6"/>
      <c r="L2801" s="6"/>
      <c r="M2801" s="6"/>
      <c r="N2801" s="672"/>
      <c r="O2801" s="6"/>
      <c r="P2801" s="6"/>
      <c r="Q2801" s="6"/>
      <c r="R2801" s="6"/>
      <c r="S2801" s="6"/>
      <c r="T2801" s="6"/>
      <c r="U2801" s="6"/>
    </row>
    <row r="2802">
      <c r="A2802" s="6"/>
      <c r="B2802" s="6"/>
      <c r="C2802" s="6"/>
      <c r="D2802" s="6"/>
      <c r="E2802" s="6"/>
      <c r="G2802" s="6"/>
      <c r="H2802" s="6"/>
      <c r="I2802" s="6"/>
      <c r="J2802" s="6"/>
      <c r="K2802" s="6"/>
      <c r="L2802" s="6"/>
      <c r="M2802" s="6"/>
      <c r="N2802" s="672"/>
      <c r="O2802" s="6"/>
      <c r="P2802" s="6"/>
      <c r="Q2802" s="6"/>
      <c r="R2802" s="6"/>
      <c r="S2802" s="6"/>
      <c r="T2802" s="6"/>
      <c r="U2802" s="6"/>
    </row>
    <row r="2803">
      <c r="A2803" s="6"/>
      <c r="B2803" s="6"/>
      <c r="C2803" s="6"/>
      <c r="D2803" s="6"/>
      <c r="E2803" s="6"/>
      <c r="G2803" s="6"/>
      <c r="H2803" s="6"/>
      <c r="I2803" s="6"/>
      <c r="J2803" s="6"/>
      <c r="K2803" s="6"/>
      <c r="L2803" s="6"/>
      <c r="M2803" s="6"/>
      <c r="N2803" s="672"/>
      <c r="O2803" s="6"/>
      <c r="P2803" s="6"/>
      <c r="Q2803" s="6"/>
      <c r="R2803" s="6"/>
      <c r="S2803" s="6"/>
      <c r="T2803" s="6"/>
      <c r="U2803" s="6"/>
    </row>
    <row r="2804">
      <c r="A2804" s="6"/>
      <c r="B2804" s="6"/>
      <c r="C2804" s="6"/>
      <c r="D2804" s="6"/>
      <c r="E2804" s="6"/>
      <c r="G2804" s="6"/>
      <c r="H2804" s="6"/>
      <c r="I2804" s="6"/>
      <c r="J2804" s="6"/>
      <c r="K2804" s="6"/>
      <c r="L2804" s="6"/>
      <c r="M2804" s="6"/>
      <c r="N2804" s="672"/>
      <c r="O2804" s="6"/>
      <c r="P2804" s="6"/>
      <c r="Q2804" s="6"/>
      <c r="R2804" s="6"/>
      <c r="S2804" s="6"/>
      <c r="T2804" s="6"/>
      <c r="U2804" s="6"/>
    </row>
    <row r="2805">
      <c r="A2805" s="6"/>
      <c r="B2805" s="6"/>
      <c r="C2805" s="6"/>
      <c r="D2805" s="6"/>
      <c r="E2805" s="6"/>
      <c r="G2805" s="6"/>
      <c r="H2805" s="6"/>
      <c r="I2805" s="6"/>
      <c r="J2805" s="6"/>
      <c r="K2805" s="6"/>
      <c r="L2805" s="6"/>
      <c r="M2805" s="6"/>
      <c r="N2805" s="672"/>
      <c r="O2805" s="6"/>
      <c r="P2805" s="6"/>
      <c r="Q2805" s="6"/>
      <c r="R2805" s="6"/>
      <c r="S2805" s="6"/>
      <c r="T2805" s="6"/>
      <c r="U2805" s="6"/>
    </row>
    <row r="2806">
      <c r="A2806" s="6"/>
      <c r="B2806" s="6"/>
      <c r="C2806" s="6"/>
      <c r="D2806" s="6"/>
      <c r="E2806" s="6"/>
      <c r="G2806" s="6"/>
      <c r="H2806" s="6"/>
      <c r="I2806" s="6"/>
      <c r="J2806" s="6"/>
      <c r="K2806" s="6"/>
      <c r="L2806" s="6"/>
      <c r="M2806" s="6"/>
      <c r="N2806" s="672"/>
      <c r="O2806" s="6"/>
      <c r="P2806" s="6"/>
      <c r="Q2806" s="6"/>
      <c r="R2806" s="6"/>
      <c r="S2806" s="6"/>
      <c r="T2806" s="6"/>
      <c r="U2806" s="6"/>
    </row>
    <row r="2807">
      <c r="A2807" s="6"/>
      <c r="B2807" s="6"/>
      <c r="C2807" s="6"/>
      <c r="D2807" s="6"/>
      <c r="E2807" s="6"/>
      <c r="G2807" s="6"/>
      <c r="H2807" s="6"/>
      <c r="I2807" s="6"/>
      <c r="J2807" s="6"/>
      <c r="K2807" s="6"/>
      <c r="L2807" s="6"/>
      <c r="M2807" s="6"/>
      <c r="N2807" s="672"/>
      <c r="O2807" s="6"/>
      <c r="P2807" s="6"/>
      <c r="Q2807" s="6"/>
      <c r="R2807" s="6"/>
      <c r="S2807" s="6"/>
      <c r="T2807" s="6"/>
      <c r="U2807" s="6"/>
    </row>
    <row r="2808">
      <c r="A2808" s="6"/>
      <c r="B2808" s="6"/>
      <c r="C2808" s="6"/>
      <c r="D2808" s="6"/>
      <c r="E2808" s="6"/>
      <c r="G2808" s="6"/>
      <c r="H2808" s="6"/>
      <c r="I2808" s="6"/>
      <c r="J2808" s="6"/>
      <c r="K2808" s="6"/>
      <c r="L2808" s="6"/>
      <c r="M2808" s="6"/>
      <c r="N2808" s="672"/>
      <c r="O2808" s="6"/>
      <c r="P2808" s="6"/>
      <c r="Q2808" s="6"/>
      <c r="R2808" s="6"/>
      <c r="S2808" s="6"/>
      <c r="T2808" s="6"/>
      <c r="U2808" s="6"/>
    </row>
    <row r="2809">
      <c r="A2809" s="6"/>
      <c r="B2809" s="6"/>
      <c r="C2809" s="6"/>
      <c r="D2809" s="6"/>
      <c r="E2809" s="6"/>
      <c r="G2809" s="6"/>
      <c r="H2809" s="6"/>
      <c r="I2809" s="6"/>
      <c r="J2809" s="6"/>
      <c r="K2809" s="6"/>
      <c r="L2809" s="6"/>
      <c r="M2809" s="6"/>
      <c r="N2809" s="672"/>
      <c r="O2809" s="6"/>
      <c r="P2809" s="6"/>
      <c r="Q2809" s="6"/>
      <c r="R2809" s="6"/>
      <c r="S2809" s="6"/>
      <c r="T2809" s="6"/>
      <c r="U2809" s="6"/>
    </row>
    <row r="2810">
      <c r="A2810" s="6"/>
      <c r="B2810" s="6"/>
      <c r="C2810" s="6"/>
      <c r="D2810" s="6"/>
      <c r="E2810" s="6"/>
      <c r="G2810" s="6"/>
      <c r="H2810" s="6"/>
      <c r="I2810" s="6"/>
      <c r="J2810" s="6"/>
      <c r="K2810" s="6"/>
      <c r="L2810" s="6"/>
      <c r="M2810" s="6"/>
      <c r="N2810" s="672"/>
      <c r="O2810" s="6"/>
      <c r="P2810" s="6"/>
      <c r="Q2810" s="6"/>
      <c r="R2810" s="6"/>
      <c r="S2810" s="6"/>
      <c r="T2810" s="6"/>
      <c r="U2810" s="6"/>
    </row>
    <row r="2811">
      <c r="A2811" s="6"/>
      <c r="B2811" s="6"/>
      <c r="C2811" s="6"/>
      <c r="D2811" s="6"/>
      <c r="E2811" s="6"/>
      <c r="G2811" s="6"/>
      <c r="H2811" s="6"/>
      <c r="I2811" s="6"/>
      <c r="J2811" s="6"/>
      <c r="K2811" s="6"/>
      <c r="L2811" s="6"/>
      <c r="M2811" s="6"/>
      <c r="N2811" s="672"/>
      <c r="O2811" s="6"/>
      <c r="P2811" s="6"/>
      <c r="Q2811" s="6"/>
      <c r="R2811" s="6"/>
      <c r="S2811" s="6"/>
      <c r="T2811" s="6"/>
      <c r="U2811" s="6"/>
    </row>
    <row r="2812">
      <c r="A2812" s="6"/>
      <c r="B2812" s="6"/>
      <c r="C2812" s="6"/>
      <c r="D2812" s="6"/>
      <c r="E2812" s="6"/>
      <c r="G2812" s="6"/>
      <c r="H2812" s="6"/>
      <c r="I2812" s="6"/>
      <c r="J2812" s="6"/>
      <c r="K2812" s="6"/>
      <c r="L2812" s="6"/>
      <c r="M2812" s="6"/>
      <c r="N2812" s="672"/>
      <c r="O2812" s="6"/>
      <c r="P2812" s="6"/>
      <c r="Q2812" s="6"/>
      <c r="R2812" s="6"/>
      <c r="S2812" s="6"/>
      <c r="T2812" s="6"/>
      <c r="U2812" s="6"/>
    </row>
    <row r="2813">
      <c r="A2813" s="6"/>
      <c r="B2813" s="6"/>
      <c r="C2813" s="6"/>
      <c r="D2813" s="6"/>
      <c r="E2813" s="6"/>
      <c r="G2813" s="6"/>
      <c r="H2813" s="6"/>
      <c r="I2813" s="6"/>
      <c r="J2813" s="6"/>
      <c r="K2813" s="6"/>
      <c r="L2813" s="6"/>
      <c r="M2813" s="6"/>
      <c r="N2813" s="672"/>
      <c r="O2813" s="6"/>
      <c r="P2813" s="6"/>
      <c r="Q2813" s="6"/>
      <c r="R2813" s="6"/>
      <c r="S2813" s="6"/>
      <c r="T2813" s="6"/>
      <c r="U2813" s="6"/>
    </row>
    <row r="2814">
      <c r="A2814" s="6"/>
      <c r="B2814" s="6"/>
      <c r="C2814" s="6"/>
      <c r="D2814" s="6"/>
      <c r="E2814" s="6"/>
      <c r="G2814" s="6"/>
      <c r="H2814" s="6"/>
      <c r="I2814" s="6"/>
      <c r="J2814" s="6"/>
      <c r="K2814" s="6"/>
      <c r="L2814" s="6"/>
      <c r="M2814" s="6"/>
      <c r="N2814" s="672"/>
      <c r="O2814" s="6"/>
      <c r="P2814" s="6"/>
      <c r="Q2814" s="6"/>
      <c r="R2814" s="6"/>
      <c r="S2814" s="6"/>
      <c r="T2814" s="6"/>
      <c r="U2814" s="6"/>
    </row>
    <row r="2815">
      <c r="A2815" s="6"/>
      <c r="B2815" s="6"/>
      <c r="C2815" s="6"/>
      <c r="D2815" s="6"/>
      <c r="E2815" s="6"/>
      <c r="G2815" s="6"/>
      <c r="H2815" s="6"/>
      <c r="I2815" s="6"/>
      <c r="J2815" s="6"/>
      <c r="K2815" s="6"/>
      <c r="L2815" s="6"/>
      <c r="M2815" s="6"/>
      <c r="N2815" s="672"/>
      <c r="O2815" s="6"/>
      <c r="P2815" s="6"/>
      <c r="Q2815" s="6"/>
      <c r="R2815" s="6"/>
      <c r="S2815" s="6"/>
      <c r="T2815" s="6"/>
      <c r="U2815" s="6"/>
    </row>
    <row r="2816">
      <c r="A2816" s="6"/>
      <c r="B2816" s="6"/>
      <c r="C2816" s="6"/>
      <c r="D2816" s="6"/>
      <c r="E2816" s="6"/>
      <c r="G2816" s="6"/>
      <c r="H2816" s="6"/>
      <c r="I2816" s="6"/>
      <c r="J2816" s="6"/>
      <c r="K2816" s="6"/>
      <c r="L2816" s="6"/>
      <c r="M2816" s="6"/>
      <c r="N2816" s="672"/>
      <c r="O2816" s="6"/>
      <c r="P2816" s="6"/>
      <c r="Q2816" s="6"/>
      <c r="R2816" s="6"/>
      <c r="S2816" s="6"/>
      <c r="T2816" s="6"/>
      <c r="U2816" s="6"/>
    </row>
    <row r="2817">
      <c r="A2817" s="6"/>
      <c r="B2817" s="6"/>
      <c r="C2817" s="6"/>
      <c r="D2817" s="6"/>
      <c r="E2817" s="6"/>
      <c r="G2817" s="6"/>
      <c r="H2817" s="6"/>
      <c r="I2817" s="6"/>
      <c r="J2817" s="6"/>
      <c r="K2817" s="6"/>
      <c r="L2817" s="6"/>
      <c r="M2817" s="6"/>
      <c r="N2817" s="672"/>
      <c r="O2817" s="6"/>
      <c r="P2817" s="6"/>
      <c r="Q2817" s="6"/>
      <c r="R2817" s="6"/>
      <c r="S2817" s="6"/>
      <c r="T2817" s="6"/>
      <c r="U2817" s="6"/>
    </row>
    <row r="2818">
      <c r="A2818" s="6"/>
      <c r="B2818" s="6"/>
      <c r="C2818" s="6"/>
      <c r="D2818" s="6"/>
      <c r="E2818" s="6"/>
      <c r="G2818" s="6"/>
      <c r="H2818" s="6"/>
      <c r="I2818" s="6"/>
      <c r="J2818" s="6"/>
      <c r="K2818" s="6"/>
      <c r="L2818" s="6"/>
      <c r="M2818" s="6"/>
      <c r="N2818" s="672"/>
      <c r="O2818" s="6"/>
      <c r="P2818" s="6"/>
      <c r="Q2818" s="6"/>
      <c r="R2818" s="6"/>
      <c r="S2818" s="6"/>
      <c r="T2818" s="6"/>
      <c r="U2818" s="6"/>
    </row>
    <row r="2819">
      <c r="A2819" s="6"/>
      <c r="B2819" s="6"/>
      <c r="C2819" s="6"/>
      <c r="D2819" s="6"/>
      <c r="E2819" s="6"/>
      <c r="G2819" s="6"/>
      <c r="H2819" s="6"/>
      <c r="I2819" s="6"/>
      <c r="J2819" s="6"/>
      <c r="K2819" s="6"/>
      <c r="L2819" s="6"/>
      <c r="M2819" s="6"/>
      <c r="N2819" s="672"/>
      <c r="O2819" s="6"/>
      <c r="P2819" s="6"/>
      <c r="Q2819" s="6"/>
      <c r="R2819" s="6"/>
      <c r="S2819" s="6"/>
      <c r="T2819" s="6"/>
      <c r="U2819" s="6"/>
    </row>
    <row r="2820">
      <c r="A2820" s="6"/>
      <c r="B2820" s="6"/>
      <c r="C2820" s="6"/>
      <c r="D2820" s="6"/>
      <c r="E2820" s="6"/>
      <c r="G2820" s="6"/>
      <c r="H2820" s="6"/>
      <c r="I2820" s="6"/>
      <c r="J2820" s="6"/>
      <c r="K2820" s="6"/>
      <c r="L2820" s="6"/>
      <c r="M2820" s="6"/>
      <c r="N2820" s="672"/>
      <c r="O2820" s="6"/>
      <c r="P2820" s="6"/>
      <c r="Q2820" s="6"/>
      <c r="R2820" s="6"/>
      <c r="S2820" s="6"/>
      <c r="T2820" s="6"/>
      <c r="U2820" s="6"/>
    </row>
    <row r="2821">
      <c r="A2821" s="6"/>
      <c r="B2821" s="6"/>
      <c r="C2821" s="6"/>
      <c r="D2821" s="6"/>
      <c r="E2821" s="6"/>
      <c r="G2821" s="6"/>
      <c r="H2821" s="6"/>
      <c r="I2821" s="6"/>
      <c r="J2821" s="6"/>
      <c r="K2821" s="6"/>
      <c r="L2821" s="6"/>
      <c r="M2821" s="6"/>
      <c r="N2821" s="672"/>
      <c r="O2821" s="6"/>
      <c r="P2821" s="6"/>
      <c r="Q2821" s="6"/>
      <c r="R2821" s="6"/>
      <c r="S2821" s="6"/>
      <c r="T2821" s="6"/>
      <c r="U2821" s="6"/>
    </row>
    <row r="2822">
      <c r="A2822" s="6"/>
      <c r="B2822" s="6"/>
      <c r="C2822" s="6"/>
      <c r="D2822" s="6"/>
      <c r="E2822" s="6"/>
      <c r="G2822" s="6"/>
      <c r="H2822" s="6"/>
      <c r="I2822" s="6"/>
      <c r="J2822" s="6"/>
      <c r="K2822" s="6"/>
      <c r="L2822" s="6"/>
      <c r="M2822" s="6"/>
      <c r="N2822" s="672"/>
      <c r="O2822" s="6"/>
      <c r="P2822" s="6"/>
      <c r="Q2822" s="6"/>
      <c r="R2822" s="6"/>
      <c r="S2822" s="6"/>
      <c r="T2822" s="6"/>
      <c r="U2822" s="6"/>
    </row>
    <row r="2823">
      <c r="A2823" s="6"/>
      <c r="B2823" s="6"/>
      <c r="C2823" s="6"/>
      <c r="D2823" s="6"/>
      <c r="E2823" s="6"/>
      <c r="G2823" s="6"/>
      <c r="H2823" s="6"/>
      <c r="I2823" s="6"/>
      <c r="J2823" s="6"/>
      <c r="K2823" s="6"/>
      <c r="L2823" s="6"/>
      <c r="M2823" s="6"/>
      <c r="N2823" s="672"/>
      <c r="O2823" s="6"/>
      <c r="P2823" s="6"/>
      <c r="Q2823" s="6"/>
      <c r="R2823" s="6"/>
      <c r="S2823" s="6"/>
      <c r="T2823" s="6"/>
      <c r="U2823" s="6"/>
    </row>
    <row r="2824">
      <c r="A2824" s="6"/>
      <c r="B2824" s="6"/>
      <c r="C2824" s="6"/>
      <c r="D2824" s="6"/>
      <c r="E2824" s="6"/>
      <c r="G2824" s="6"/>
      <c r="H2824" s="6"/>
      <c r="I2824" s="6"/>
      <c r="J2824" s="6"/>
      <c r="K2824" s="6"/>
      <c r="L2824" s="6"/>
      <c r="M2824" s="6"/>
      <c r="N2824" s="672"/>
      <c r="O2824" s="6"/>
      <c r="P2824" s="6"/>
      <c r="Q2824" s="6"/>
      <c r="R2824" s="6"/>
      <c r="S2824" s="6"/>
      <c r="T2824" s="6"/>
      <c r="U2824" s="6"/>
    </row>
    <row r="2825">
      <c r="A2825" s="6"/>
      <c r="B2825" s="6"/>
      <c r="C2825" s="6"/>
      <c r="D2825" s="6"/>
      <c r="E2825" s="6"/>
      <c r="G2825" s="6"/>
      <c r="H2825" s="6"/>
      <c r="I2825" s="6"/>
      <c r="J2825" s="6"/>
      <c r="K2825" s="6"/>
      <c r="L2825" s="6"/>
      <c r="M2825" s="6"/>
      <c r="N2825" s="672"/>
      <c r="O2825" s="6"/>
      <c r="P2825" s="6"/>
      <c r="Q2825" s="6"/>
      <c r="R2825" s="6"/>
      <c r="S2825" s="6"/>
      <c r="T2825" s="6"/>
      <c r="U2825" s="6"/>
    </row>
    <row r="2826">
      <c r="A2826" s="6"/>
      <c r="B2826" s="6"/>
      <c r="C2826" s="6"/>
      <c r="D2826" s="6"/>
      <c r="E2826" s="6"/>
      <c r="G2826" s="6"/>
      <c r="H2826" s="6"/>
      <c r="I2826" s="6"/>
      <c r="J2826" s="6"/>
      <c r="K2826" s="6"/>
      <c r="L2826" s="6"/>
      <c r="M2826" s="6"/>
      <c r="N2826" s="672"/>
      <c r="O2826" s="6"/>
      <c r="P2826" s="6"/>
      <c r="Q2826" s="6"/>
      <c r="R2826" s="6"/>
      <c r="S2826" s="6"/>
      <c r="T2826" s="6"/>
      <c r="U2826" s="6"/>
    </row>
    <row r="2827">
      <c r="A2827" s="6"/>
      <c r="B2827" s="6"/>
      <c r="C2827" s="6"/>
      <c r="D2827" s="6"/>
      <c r="E2827" s="6"/>
      <c r="G2827" s="6"/>
      <c r="H2827" s="6"/>
      <c r="I2827" s="6"/>
      <c r="J2827" s="6"/>
      <c r="K2827" s="6"/>
      <c r="L2827" s="6"/>
      <c r="M2827" s="6"/>
      <c r="N2827" s="672"/>
      <c r="O2827" s="6"/>
      <c r="P2827" s="6"/>
      <c r="Q2827" s="6"/>
      <c r="R2827" s="6"/>
      <c r="S2827" s="6"/>
      <c r="T2827" s="6"/>
      <c r="U2827" s="6"/>
    </row>
    <row r="2828">
      <c r="A2828" s="6"/>
      <c r="B2828" s="6"/>
      <c r="C2828" s="6"/>
      <c r="D2828" s="6"/>
      <c r="E2828" s="6"/>
      <c r="G2828" s="6"/>
      <c r="H2828" s="6"/>
      <c r="I2828" s="6"/>
      <c r="J2828" s="6"/>
      <c r="K2828" s="6"/>
      <c r="L2828" s="6"/>
      <c r="M2828" s="6"/>
      <c r="N2828" s="672"/>
      <c r="O2828" s="6"/>
      <c r="P2828" s="6"/>
      <c r="Q2828" s="6"/>
      <c r="R2828" s="6"/>
      <c r="S2828" s="6"/>
      <c r="T2828" s="6"/>
      <c r="U2828" s="6"/>
    </row>
    <row r="2829">
      <c r="A2829" s="6"/>
      <c r="B2829" s="6"/>
      <c r="C2829" s="6"/>
      <c r="D2829" s="6"/>
      <c r="E2829" s="6"/>
      <c r="G2829" s="6"/>
      <c r="H2829" s="6"/>
      <c r="I2829" s="6"/>
      <c r="J2829" s="6"/>
      <c r="K2829" s="6"/>
      <c r="L2829" s="6"/>
      <c r="M2829" s="6"/>
      <c r="N2829" s="672"/>
      <c r="O2829" s="6"/>
      <c r="P2829" s="6"/>
      <c r="Q2829" s="6"/>
      <c r="R2829" s="6"/>
      <c r="S2829" s="6"/>
      <c r="T2829" s="6"/>
      <c r="U2829" s="6"/>
    </row>
    <row r="2830">
      <c r="A2830" s="6"/>
      <c r="B2830" s="6"/>
      <c r="C2830" s="6"/>
      <c r="D2830" s="6"/>
      <c r="E2830" s="6"/>
      <c r="G2830" s="6"/>
      <c r="H2830" s="6"/>
      <c r="I2830" s="6"/>
      <c r="J2830" s="6"/>
      <c r="K2830" s="6"/>
      <c r="L2830" s="6"/>
      <c r="M2830" s="6"/>
      <c r="N2830" s="672"/>
      <c r="O2830" s="6"/>
      <c r="P2830" s="6"/>
      <c r="Q2830" s="6"/>
      <c r="R2830" s="6"/>
      <c r="S2830" s="6"/>
      <c r="T2830" s="6"/>
      <c r="U2830" s="6"/>
    </row>
    <row r="2831">
      <c r="A2831" s="6"/>
      <c r="B2831" s="6"/>
      <c r="C2831" s="6"/>
      <c r="D2831" s="6"/>
      <c r="E2831" s="6"/>
      <c r="G2831" s="6"/>
      <c r="H2831" s="6"/>
      <c r="I2831" s="6"/>
      <c r="J2831" s="6"/>
      <c r="K2831" s="6"/>
      <c r="L2831" s="6"/>
      <c r="M2831" s="6"/>
      <c r="N2831" s="672"/>
      <c r="O2831" s="6"/>
      <c r="P2831" s="6"/>
      <c r="Q2831" s="6"/>
      <c r="R2831" s="6"/>
      <c r="S2831" s="6"/>
      <c r="T2831" s="6"/>
      <c r="U2831" s="6"/>
    </row>
    <row r="2832">
      <c r="A2832" s="6"/>
      <c r="B2832" s="6"/>
      <c r="C2832" s="6"/>
      <c r="D2832" s="6"/>
      <c r="E2832" s="6"/>
      <c r="G2832" s="6"/>
      <c r="H2832" s="6"/>
      <c r="I2832" s="6"/>
      <c r="J2832" s="6"/>
      <c r="K2832" s="6"/>
      <c r="L2832" s="6"/>
      <c r="M2832" s="6"/>
      <c r="N2832" s="672"/>
      <c r="O2832" s="6"/>
      <c r="P2832" s="6"/>
      <c r="Q2832" s="6"/>
      <c r="R2832" s="6"/>
      <c r="S2832" s="6"/>
      <c r="T2832" s="6"/>
      <c r="U2832" s="6"/>
    </row>
    <row r="2833">
      <c r="A2833" s="6"/>
      <c r="B2833" s="6"/>
      <c r="C2833" s="6"/>
      <c r="D2833" s="6"/>
      <c r="E2833" s="6"/>
      <c r="G2833" s="6"/>
      <c r="H2833" s="6"/>
      <c r="I2833" s="6"/>
      <c r="J2833" s="6"/>
      <c r="K2833" s="6"/>
      <c r="L2833" s="6"/>
      <c r="M2833" s="6"/>
      <c r="N2833" s="672"/>
      <c r="O2833" s="6"/>
      <c r="P2833" s="6"/>
      <c r="Q2833" s="6"/>
      <c r="R2833" s="6"/>
      <c r="S2833" s="6"/>
      <c r="T2833" s="6"/>
      <c r="U2833" s="6"/>
    </row>
    <row r="2834">
      <c r="A2834" s="6"/>
      <c r="B2834" s="6"/>
      <c r="C2834" s="6"/>
      <c r="D2834" s="6"/>
      <c r="E2834" s="6"/>
      <c r="G2834" s="6"/>
      <c r="H2834" s="6"/>
      <c r="I2834" s="6"/>
      <c r="J2834" s="6"/>
      <c r="K2834" s="6"/>
      <c r="L2834" s="6"/>
      <c r="M2834" s="6"/>
      <c r="N2834" s="672"/>
      <c r="O2834" s="6"/>
      <c r="P2834" s="6"/>
      <c r="Q2834" s="6"/>
      <c r="R2834" s="6"/>
      <c r="S2834" s="6"/>
      <c r="T2834" s="6"/>
      <c r="U2834" s="6"/>
    </row>
    <row r="2835">
      <c r="A2835" s="6"/>
      <c r="B2835" s="6"/>
      <c r="C2835" s="6"/>
      <c r="D2835" s="6"/>
      <c r="E2835" s="6"/>
      <c r="G2835" s="6"/>
      <c r="H2835" s="6"/>
      <c r="I2835" s="6"/>
      <c r="J2835" s="6"/>
      <c r="K2835" s="6"/>
      <c r="L2835" s="6"/>
      <c r="M2835" s="6"/>
      <c r="N2835" s="672"/>
      <c r="O2835" s="6"/>
      <c r="P2835" s="6"/>
      <c r="Q2835" s="6"/>
      <c r="R2835" s="6"/>
      <c r="S2835" s="6"/>
      <c r="T2835" s="6"/>
      <c r="U2835" s="6"/>
    </row>
    <row r="2836">
      <c r="A2836" s="6"/>
      <c r="B2836" s="6"/>
      <c r="C2836" s="6"/>
      <c r="D2836" s="6"/>
      <c r="E2836" s="6"/>
      <c r="G2836" s="6"/>
      <c r="H2836" s="6"/>
      <c r="I2836" s="6"/>
      <c r="J2836" s="6"/>
      <c r="K2836" s="6"/>
      <c r="L2836" s="6"/>
      <c r="M2836" s="6"/>
      <c r="N2836" s="672"/>
      <c r="O2836" s="6"/>
      <c r="P2836" s="6"/>
      <c r="Q2836" s="6"/>
      <c r="R2836" s="6"/>
      <c r="S2836" s="6"/>
      <c r="T2836" s="6"/>
      <c r="U2836" s="6"/>
    </row>
    <row r="2837">
      <c r="A2837" s="6"/>
      <c r="B2837" s="6"/>
      <c r="C2837" s="6"/>
      <c r="D2837" s="6"/>
      <c r="E2837" s="6"/>
      <c r="G2837" s="6"/>
      <c r="H2837" s="6"/>
      <c r="I2837" s="6"/>
      <c r="J2837" s="6"/>
      <c r="K2837" s="6"/>
      <c r="L2837" s="6"/>
      <c r="M2837" s="6"/>
      <c r="N2837" s="672"/>
      <c r="O2837" s="6"/>
      <c r="P2837" s="6"/>
      <c r="Q2837" s="6"/>
      <c r="R2837" s="6"/>
      <c r="S2837" s="6"/>
      <c r="T2837" s="6"/>
      <c r="U2837" s="6"/>
    </row>
    <row r="2838">
      <c r="A2838" s="6"/>
      <c r="B2838" s="6"/>
      <c r="C2838" s="6"/>
      <c r="D2838" s="6"/>
      <c r="E2838" s="6"/>
      <c r="G2838" s="6"/>
      <c r="H2838" s="6"/>
      <c r="I2838" s="6"/>
      <c r="J2838" s="6"/>
      <c r="K2838" s="6"/>
      <c r="L2838" s="6"/>
      <c r="M2838" s="6"/>
      <c r="N2838" s="672"/>
      <c r="O2838" s="6"/>
      <c r="P2838" s="6"/>
      <c r="Q2838" s="6"/>
      <c r="R2838" s="6"/>
      <c r="S2838" s="6"/>
      <c r="T2838" s="6"/>
      <c r="U2838" s="6"/>
    </row>
    <row r="2839">
      <c r="A2839" s="6"/>
      <c r="B2839" s="6"/>
      <c r="C2839" s="6"/>
      <c r="D2839" s="6"/>
      <c r="E2839" s="6"/>
      <c r="G2839" s="6"/>
      <c r="H2839" s="6"/>
      <c r="I2839" s="6"/>
      <c r="J2839" s="6"/>
      <c r="K2839" s="6"/>
      <c r="L2839" s="6"/>
      <c r="M2839" s="6"/>
      <c r="N2839" s="672"/>
      <c r="O2839" s="6"/>
      <c r="P2839" s="6"/>
      <c r="Q2839" s="6"/>
      <c r="R2839" s="6"/>
      <c r="S2839" s="6"/>
      <c r="T2839" s="6"/>
      <c r="U2839" s="6"/>
    </row>
    <row r="2840">
      <c r="A2840" s="6"/>
      <c r="B2840" s="6"/>
      <c r="C2840" s="6"/>
      <c r="D2840" s="6"/>
      <c r="E2840" s="6"/>
      <c r="G2840" s="6"/>
      <c r="H2840" s="6"/>
      <c r="I2840" s="6"/>
      <c r="J2840" s="6"/>
      <c r="K2840" s="6"/>
      <c r="L2840" s="6"/>
      <c r="M2840" s="6"/>
      <c r="N2840" s="672"/>
      <c r="O2840" s="6"/>
      <c r="P2840" s="6"/>
      <c r="Q2840" s="6"/>
      <c r="R2840" s="6"/>
      <c r="S2840" s="6"/>
      <c r="T2840" s="6"/>
      <c r="U2840" s="6"/>
    </row>
    <row r="2841">
      <c r="A2841" s="6"/>
      <c r="B2841" s="6"/>
      <c r="C2841" s="6"/>
      <c r="D2841" s="6"/>
      <c r="E2841" s="6"/>
      <c r="G2841" s="6"/>
      <c r="H2841" s="6"/>
      <c r="I2841" s="6"/>
      <c r="J2841" s="6"/>
      <c r="K2841" s="6"/>
      <c r="L2841" s="6"/>
      <c r="M2841" s="6"/>
      <c r="N2841" s="672"/>
      <c r="O2841" s="6"/>
      <c r="P2841" s="6"/>
      <c r="Q2841" s="6"/>
      <c r="R2841" s="6"/>
      <c r="S2841" s="6"/>
      <c r="T2841" s="6"/>
      <c r="U2841" s="6"/>
    </row>
    <row r="2842">
      <c r="A2842" s="6"/>
      <c r="B2842" s="6"/>
      <c r="C2842" s="6"/>
      <c r="D2842" s="6"/>
      <c r="E2842" s="6"/>
      <c r="G2842" s="6"/>
      <c r="H2842" s="6"/>
      <c r="I2842" s="6"/>
      <c r="J2842" s="6"/>
      <c r="K2842" s="6"/>
      <c r="L2842" s="6"/>
      <c r="M2842" s="6"/>
      <c r="N2842" s="672"/>
      <c r="O2842" s="6"/>
      <c r="P2842" s="6"/>
      <c r="Q2842" s="6"/>
      <c r="R2842" s="6"/>
      <c r="S2842" s="6"/>
      <c r="T2842" s="6"/>
      <c r="U2842" s="6"/>
    </row>
    <row r="2843">
      <c r="A2843" s="6"/>
      <c r="B2843" s="6"/>
      <c r="C2843" s="6"/>
      <c r="D2843" s="6"/>
      <c r="E2843" s="6"/>
      <c r="G2843" s="6"/>
      <c r="H2843" s="6"/>
      <c r="I2843" s="6"/>
      <c r="J2843" s="6"/>
      <c r="K2843" s="6"/>
      <c r="L2843" s="6"/>
      <c r="M2843" s="6"/>
      <c r="N2843" s="672"/>
      <c r="O2843" s="6"/>
      <c r="P2843" s="6"/>
      <c r="Q2843" s="6"/>
      <c r="R2843" s="6"/>
      <c r="S2843" s="6"/>
      <c r="T2843" s="6"/>
      <c r="U2843" s="6"/>
    </row>
    <row r="2844">
      <c r="A2844" s="6"/>
      <c r="B2844" s="6"/>
      <c r="C2844" s="6"/>
      <c r="D2844" s="6"/>
      <c r="E2844" s="6"/>
      <c r="G2844" s="6"/>
      <c r="H2844" s="6"/>
      <c r="I2844" s="6"/>
      <c r="J2844" s="6"/>
      <c r="K2844" s="6"/>
      <c r="L2844" s="6"/>
      <c r="M2844" s="6"/>
      <c r="N2844" s="672"/>
      <c r="O2844" s="6"/>
      <c r="P2844" s="6"/>
      <c r="Q2844" s="6"/>
      <c r="R2844" s="6"/>
      <c r="S2844" s="6"/>
      <c r="T2844" s="6"/>
      <c r="U2844" s="6"/>
    </row>
    <row r="2845">
      <c r="A2845" s="6"/>
      <c r="B2845" s="6"/>
      <c r="C2845" s="6"/>
      <c r="D2845" s="6"/>
      <c r="E2845" s="6"/>
      <c r="G2845" s="6"/>
      <c r="H2845" s="6"/>
      <c r="I2845" s="6"/>
      <c r="J2845" s="6"/>
      <c r="K2845" s="6"/>
      <c r="L2845" s="6"/>
      <c r="M2845" s="6"/>
      <c r="N2845" s="672"/>
      <c r="O2845" s="6"/>
      <c r="P2845" s="6"/>
      <c r="Q2845" s="6"/>
      <c r="R2845" s="6"/>
      <c r="S2845" s="6"/>
      <c r="T2845" s="6"/>
      <c r="U2845" s="6"/>
    </row>
    <row r="2846">
      <c r="A2846" s="6"/>
      <c r="B2846" s="6"/>
      <c r="C2846" s="6"/>
      <c r="D2846" s="6"/>
      <c r="E2846" s="6"/>
      <c r="G2846" s="6"/>
      <c r="H2846" s="6"/>
      <c r="I2846" s="6"/>
      <c r="J2846" s="6"/>
      <c r="K2846" s="6"/>
      <c r="L2846" s="6"/>
      <c r="M2846" s="6"/>
      <c r="N2846" s="672"/>
      <c r="O2846" s="6"/>
      <c r="P2846" s="6"/>
      <c r="Q2846" s="6"/>
      <c r="R2846" s="6"/>
      <c r="S2846" s="6"/>
      <c r="T2846" s="6"/>
      <c r="U2846" s="6"/>
    </row>
    <row r="2847">
      <c r="A2847" s="6"/>
      <c r="B2847" s="6"/>
      <c r="C2847" s="6"/>
      <c r="D2847" s="6"/>
      <c r="E2847" s="6"/>
      <c r="G2847" s="6"/>
      <c r="H2847" s="6"/>
      <c r="I2847" s="6"/>
      <c r="J2847" s="6"/>
      <c r="K2847" s="6"/>
      <c r="L2847" s="6"/>
      <c r="M2847" s="6"/>
      <c r="N2847" s="672"/>
      <c r="O2847" s="6"/>
      <c r="P2847" s="6"/>
      <c r="Q2847" s="6"/>
      <c r="R2847" s="6"/>
      <c r="S2847" s="6"/>
      <c r="T2847" s="6"/>
      <c r="U2847" s="6"/>
    </row>
    <row r="2848">
      <c r="A2848" s="6"/>
      <c r="B2848" s="6"/>
      <c r="C2848" s="6"/>
      <c r="D2848" s="6"/>
      <c r="E2848" s="6"/>
      <c r="G2848" s="6"/>
      <c r="H2848" s="6"/>
      <c r="I2848" s="6"/>
      <c r="J2848" s="6"/>
      <c r="K2848" s="6"/>
      <c r="L2848" s="6"/>
      <c r="M2848" s="6"/>
      <c r="N2848" s="672"/>
      <c r="O2848" s="6"/>
      <c r="P2848" s="6"/>
      <c r="Q2848" s="6"/>
      <c r="R2848" s="6"/>
      <c r="S2848" s="6"/>
      <c r="T2848" s="6"/>
      <c r="U2848" s="6"/>
    </row>
    <row r="2849">
      <c r="A2849" s="6"/>
      <c r="B2849" s="6"/>
      <c r="C2849" s="6"/>
      <c r="D2849" s="6"/>
      <c r="E2849" s="6"/>
      <c r="G2849" s="6"/>
      <c r="H2849" s="6"/>
      <c r="I2849" s="6"/>
      <c r="J2849" s="6"/>
      <c r="K2849" s="6"/>
      <c r="L2849" s="6"/>
      <c r="M2849" s="6"/>
      <c r="N2849" s="672"/>
      <c r="O2849" s="6"/>
      <c r="P2849" s="6"/>
      <c r="Q2849" s="6"/>
      <c r="R2849" s="6"/>
      <c r="S2849" s="6"/>
      <c r="T2849" s="6"/>
      <c r="U2849" s="6"/>
    </row>
    <row r="2850">
      <c r="A2850" s="6"/>
      <c r="B2850" s="6"/>
      <c r="C2850" s="6"/>
      <c r="D2850" s="6"/>
      <c r="E2850" s="6"/>
      <c r="G2850" s="6"/>
      <c r="H2850" s="6"/>
      <c r="I2850" s="6"/>
      <c r="J2850" s="6"/>
      <c r="K2850" s="6"/>
      <c r="L2850" s="6"/>
      <c r="M2850" s="6"/>
      <c r="N2850" s="672"/>
      <c r="O2850" s="6"/>
      <c r="P2850" s="6"/>
      <c r="Q2850" s="6"/>
      <c r="R2850" s="6"/>
      <c r="S2850" s="6"/>
      <c r="T2850" s="6"/>
      <c r="U2850" s="6"/>
    </row>
    <row r="2851">
      <c r="A2851" s="6"/>
      <c r="B2851" s="6"/>
      <c r="C2851" s="6"/>
      <c r="D2851" s="6"/>
      <c r="E2851" s="6"/>
      <c r="G2851" s="6"/>
      <c r="H2851" s="6"/>
      <c r="I2851" s="6"/>
      <c r="J2851" s="6"/>
      <c r="K2851" s="6"/>
      <c r="L2851" s="6"/>
      <c r="M2851" s="6"/>
      <c r="N2851" s="672"/>
      <c r="O2851" s="6"/>
      <c r="P2851" s="6"/>
      <c r="Q2851" s="6"/>
      <c r="R2851" s="6"/>
      <c r="S2851" s="6"/>
      <c r="T2851" s="6"/>
      <c r="U2851" s="6"/>
    </row>
    <row r="2852">
      <c r="A2852" s="6"/>
      <c r="B2852" s="6"/>
      <c r="C2852" s="6"/>
      <c r="D2852" s="6"/>
      <c r="E2852" s="6"/>
      <c r="G2852" s="6"/>
      <c r="H2852" s="6"/>
      <c r="I2852" s="6"/>
      <c r="J2852" s="6"/>
      <c r="K2852" s="6"/>
      <c r="L2852" s="6"/>
      <c r="M2852" s="6"/>
      <c r="N2852" s="672"/>
      <c r="O2852" s="6"/>
      <c r="P2852" s="6"/>
      <c r="Q2852" s="6"/>
      <c r="R2852" s="6"/>
      <c r="S2852" s="6"/>
      <c r="T2852" s="6"/>
      <c r="U2852" s="6"/>
    </row>
    <row r="2853">
      <c r="A2853" s="6"/>
      <c r="B2853" s="6"/>
      <c r="C2853" s="6"/>
      <c r="D2853" s="6"/>
      <c r="E2853" s="6"/>
      <c r="G2853" s="6"/>
      <c r="H2853" s="6"/>
      <c r="I2853" s="6"/>
      <c r="J2853" s="6"/>
      <c r="K2853" s="6"/>
      <c r="L2853" s="6"/>
      <c r="M2853" s="6"/>
      <c r="N2853" s="672"/>
      <c r="O2853" s="6"/>
      <c r="P2853" s="6"/>
      <c r="Q2853" s="6"/>
      <c r="R2853" s="6"/>
      <c r="S2853" s="6"/>
      <c r="T2853" s="6"/>
      <c r="U2853" s="6"/>
    </row>
    <row r="2854">
      <c r="A2854" s="6"/>
      <c r="B2854" s="6"/>
      <c r="C2854" s="6"/>
      <c r="D2854" s="6"/>
      <c r="E2854" s="6"/>
      <c r="G2854" s="6"/>
      <c r="H2854" s="6"/>
      <c r="I2854" s="6"/>
      <c r="J2854" s="6"/>
      <c r="K2854" s="6"/>
      <c r="L2854" s="6"/>
      <c r="M2854" s="6"/>
      <c r="N2854" s="672"/>
      <c r="O2854" s="6"/>
      <c r="P2854" s="6"/>
      <c r="Q2854" s="6"/>
      <c r="R2854" s="6"/>
      <c r="S2854" s="6"/>
      <c r="T2854" s="6"/>
      <c r="U2854" s="6"/>
    </row>
    <row r="2855">
      <c r="A2855" s="6"/>
      <c r="B2855" s="6"/>
      <c r="C2855" s="6"/>
      <c r="D2855" s="6"/>
      <c r="E2855" s="6"/>
      <c r="G2855" s="6"/>
      <c r="H2855" s="6"/>
      <c r="I2855" s="6"/>
      <c r="J2855" s="6"/>
      <c r="K2855" s="6"/>
      <c r="L2855" s="6"/>
      <c r="M2855" s="6"/>
      <c r="N2855" s="672"/>
      <c r="O2855" s="6"/>
      <c r="P2855" s="6"/>
      <c r="Q2855" s="6"/>
      <c r="R2855" s="6"/>
      <c r="S2855" s="6"/>
      <c r="T2855" s="6"/>
      <c r="U2855" s="6"/>
    </row>
    <row r="2856">
      <c r="A2856" s="6"/>
      <c r="B2856" s="6"/>
      <c r="C2856" s="6"/>
      <c r="D2856" s="6"/>
      <c r="E2856" s="6"/>
      <c r="G2856" s="6"/>
      <c r="H2856" s="6"/>
      <c r="I2856" s="6"/>
      <c r="J2856" s="6"/>
      <c r="K2856" s="6"/>
      <c r="L2856" s="6"/>
      <c r="M2856" s="6"/>
      <c r="N2856" s="672"/>
      <c r="O2856" s="6"/>
      <c r="P2856" s="6"/>
      <c r="Q2856" s="6"/>
      <c r="R2856" s="6"/>
      <c r="S2856" s="6"/>
      <c r="T2856" s="6"/>
      <c r="U2856" s="6"/>
    </row>
    <row r="2857">
      <c r="A2857" s="6"/>
      <c r="B2857" s="6"/>
      <c r="C2857" s="6"/>
      <c r="D2857" s="6"/>
      <c r="E2857" s="6"/>
      <c r="G2857" s="6"/>
      <c r="H2857" s="6"/>
      <c r="I2857" s="6"/>
      <c r="J2857" s="6"/>
      <c r="K2857" s="6"/>
      <c r="L2857" s="6"/>
      <c r="M2857" s="6"/>
      <c r="N2857" s="672"/>
      <c r="O2857" s="6"/>
      <c r="P2857" s="6"/>
      <c r="Q2857" s="6"/>
      <c r="R2857" s="6"/>
      <c r="S2857" s="6"/>
      <c r="T2857" s="6"/>
      <c r="U2857" s="6"/>
    </row>
    <row r="2858">
      <c r="A2858" s="6"/>
      <c r="B2858" s="6"/>
      <c r="C2858" s="6"/>
      <c r="D2858" s="6"/>
      <c r="E2858" s="6"/>
      <c r="G2858" s="6"/>
      <c r="H2858" s="6"/>
      <c r="I2858" s="6"/>
      <c r="J2858" s="6"/>
      <c r="K2858" s="6"/>
      <c r="L2858" s="6"/>
      <c r="M2858" s="6"/>
      <c r="N2858" s="672"/>
      <c r="O2858" s="6"/>
      <c r="P2858" s="6"/>
      <c r="Q2858" s="6"/>
      <c r="R2858" s="6"/>
      <c r="S2858" s="6"/>
      <c r="T2858" s="6"/>
      <c r="U2858" s="6"/>
    </row>
    <row r="2859">
      <c r="A2859" s="6"/>
      <c r="B2859" s="6"/>
      <c r="C2859" s="6"/>
      <c r="D2859" s="6"/>
      <c r="E2859" s="6"/>
      <c r="G2859" s="6"/>
      <c r="H2859" s="6"/>
      <c r="I2859" s="6"/>
      <c r="J2859" s="6"/>
      <c r="K2859" s="6"/>
      <c r="L2859" s="6"/>
      <c r="M2859" s="6"/>
      <c r="N2859" s="672"/>
      <c r="O2859" s="6"/>
      <c r="P2859" s="6"/>
      <c r="Q2859" s="6"/>
      <c r="R2859" s="6"/>
      <c r="S2859" s="6"/>
      <c r="T2859" s="6"/>
      <c r="U2859" s="6"/>
    </row>
    <row r="2860">
      <c r="A2860" s="6"/>
      <c r="B2860" s="6"/>
      <c r="C2860" s="6"/>
      <c r="D2860" s="6"/>
      <c r="E2860" s="6"/>
      <c r="G2860" s="6"/>
      <c r="H2860" s="6"/>
      <c r="I2860" s="6"/>
      <c r="J2860" s="6"/>
      <c r="K2860" s="6"/>
      <c r="L2860" s="6"/>
      <c r="M2860" s="6"/>
      <c r="N2860" s="672"/>
      <c r="O2860" s="6"/>
      <c r="P2860" s="6"/>
      <c r="Q2860" s="6"/>
      <c r="R2860" s="6"/>
      <c r="S2860" s="6"/>
      <c r="T2860" s="6"/>
      <c r="U2860" s="6"/>
    </row>
    <row r="2861">
      <c r="A2861" s="6"/>
      <c r="B2861" s="6"/>
      <c r="C2861" s="6"/>
      <c r="D2861" s="6"/>
      <c r="E2861" s="6"/>
      <c r="G2861" s="6"/>
      <c r="H2861" s="6"/>
      <c r="I2861" s="6"/>
      <c r="J2861" s="6"/>
      <c r="K2861" s="6"/>
      <c r="L2861" s="6"/>
      <c r="M2861" s="6"/>
      <c r="N2861" s="672"/>
      <c r="O2861" s="6"/>
      <c r="P2861" s="6"/>
      <c r="Q2861" s="6"/>
      <c r="R2861" s="6"/>
      <c r="S2861" s="6"/>
      <c r="T2861" s="6"/>
      <c r="U2861" s="6"/>
    </row>
    <row r="2862">
      <c r="A2862" s="6"/>
      <c r="B2862" s="6"/>
      <c r="C2862" s="6"/>
      <c r="D2862" s="6"/>
      <c r="E2862" s="6"/>
      <c r="G2862" s="6"/>
      <c r="H2862" s="6"/>
      <c r="I2862" s="6"/>
      <c r="J2862" s="6"/>
      <c r="K2862" s="6"/>
      <c r="L2862" s="6"/>
      <c r="M2862" s="6"/>
      <c r="N2862" s="672"/>
      <c r="O2862" s="6"/>
      <c r="P2862" s="6"/>
      <c r="Q2862" s="6"/>
      <c r="R2862" s="6"/>
      <c r="S2862" s="6"/>
      <c r="T2862" s="6"/>
      <c r="U2862" s="6"/>
    </row>
    <row r="2863">
      <c r="A2863" s="6"/>
      <c r="B2863" s="6"/>
      <c r="C2863" s="6"/>
      <c r="D2863" s="6"/>
      <c r="E2863" s="6"/>
      <c r="G2863" s="6"/>
      <c r="H2863" s="6"/>
      <c r="I2863" s="6"/>
      <c r="J2863" s="6"/>
      <c r="K2863" s="6"/>
      <c r="L2863" s="6"/>
      <c r="M2863" s="6"/>
      <c r="N2863" s="672"/>
      <c r="O2863" s="6"/>
      <c r="P2863" s="6"/>
      <c r="Q2863" s="6"/>
      <c r="R2863" s="6"/>
      <c r="S2863" s="6"/>
      <c r="T2863" s="6"/>
      <c r="U2863" s="6"/>
    </row>
    <row r="2864">
      <c r="A2864" s="6"/>
      <c r="B2864" s="6"/>
      <c r="C2864" s="6"/>
      <c r="D2864" s="6"/>
      <c r="E2864" s="6"/>
      <c r="G2864" s="6"/>
      <c r="H2864" s="6"/>
      <c r="I2864" s="6"/>
      <c r="J2864" s="6"/>
      <c r="K2864" s="6"/>
      <c r="L2864" s="6"/>
      <c r="M2864" s="6"/>
      <c r="N2864" s="672"/>
      <c r="O2864" s="6"/>
      <c r="P2864" s="6"/>
      <c r="Q2864" s="6"/>
      <c r="R2864" s="6"/>
      <c r="S2864" s="6"/>
      <c r="T2864" s="6"/>
      <c r="U2864" s="6"/>
    </row>
    <row r="2865">
      <c r="A2865" s="6"/>
      <c r="B2865" s="6"/>
      <c r="C2865" s="6"/>
      <c r="D2865" s="6"/>
      <c r="E2865" s="6"/>
      <c r="G2865" s="6"/>
      <c r="H2865" s="6"/>
      <c r="I2865" s="6"/>
      <c r="J2865" s="6"/>
      <c r="K2865" s="6"/>
      <c r="L2865" s="6"/>
      <c r="M2865" s="6"/>
      <c r="N2865" s="672"/>
      <c r="O2865" s="6"/>
      <c r="P2865" s="6"/>
      <c r="Q2865" s="6"/>
      <c r="R2865" s="6"/>
      <c r="S2865" s="6"/>
      <c r="T2865" s="6"/>
      <c r="U2865" s="6"/>
    </row>
    <row r="2866">
      <c r="A2866" s="6"/>
      <c r="B2866" s="6"/>
      <c r="C2866" s="6"/>
      <c r="D2866" s="6"/>
      <c r="E2866" s="6"/>
      <c r="G2866" s="6"/>
      <c r="H2866" s="6"/>
      <c r="I2866" s="6"/>
      <c r="J2866" s="6"/>
      <c r="K2866" s="6"/>
      <c r="L2866" s="6"/>
      <c r="M2866" s="6"/>
      <c r="N2866" s="672"/>
      <c r="O2866" s="6"/>
      <c r="P2866" s="6"/>
      <c r="Q2866" s="6"/>
      <c r="R2866" s="6"/>
      <c r="S2866" s="6"/>
      <c r="T2866" s="6"/>
      <c r="U2866" s="6"/>
    </row>
    <row r="2867">
      <c r="A2867" s="6"/>
      <c r="B2867" s="6"/>
      <c r="C2867" s="6"/>
      <c r="D2867" s="6"/>
      <c r="E2867" s="6"/>
      <c r="G2867" s="6"/>
      <c r="H2867" s="6"/>
      <c r="I2867" s="6"/>
      <c r="J2867" s="6"/>
      <c r="K2867" s="6"/>
      <c r="L2867" s="6"/>
      <c r="M2867" s="6"/>
      <c r="N2867" s="672"/>
      <c r="O2867" s="6"/>
      <c r="P2867" s="6"/>
      <c r="Q2867" s="6"/>
      <c r="R2867" s="6"/>
      <c r="S2867" s="6"/>
      <c r="T2867" s="6"/>
      <c r="U2867" s="6"/>
    </row>
    <row r="2868">
      <c r="A2868" s="6"/>
      <c r="B2868" s="6"/>
      <c r="C2868" s="6"/>
      <c r="D2868" s="6"/>
      <c r="E2868" s="6"/>
      <c r="G2868" s="6"/>
      <c r="H2868" s="6"/>
      <c r="I2868" s="6"/>
      <c r="J2868" s="6"/>
      <c r="K2868" s="6"/>
      <c r="L2868" s="6"/>
      <c r="M2868" s="6"/>
      <c r="N2868" s="672"/>
      <c r="O2868" s="6"/>
      <c r="P2868" s="6"/>
      <c r="Q2868" s="6"/>
      <c r="R2868" s="6"/>
      <c r="S2868" s="6"/>
      <c r="T2868" s="6"/>
      <c r="U2868" s="6"/>
    </row>
    <row r="2869">
      <c r="A2869" s="6"/>
      <c r="B2869" s="6"/>
      <c r="C2869" s="6"/>
      <c r="D2869" s="6"/>
      <c r="E2869" s="6"/>
      <c r="G2869" s="6"/>
      <c r="H2869" s="6"/>
      <c r="I2869" s="6"/>
      <c r="J2869" s="6"/>
      <c r="K2869" s="6"/>
      <c r="L2869" s="6"/>
      <c r="M2869" s="6"/>
      <c r="N2869" s="672"/>
      <c r="O2869" s="6"/>
      <c r="P2869" s="6"/>
      <c r="Q2869" s="6"/>
      <c r="R2869" s="6"/>
      <c r="S2869" s="6"/>
      <c r="T2869" s="6"/>
      <c r="U2869" s="6"/>
    </row>
    <row r="2870">
      <c r="A2870" s="6"/>
      <c r="B2870" s="6"/>
      <c r="C2870" s="6"/>
      <c r="D2870" s="6"/>
      <c r="E2870" s="6"/>
      <c r="G2870" s="6"/>
      <c r="H2870" s="6"/>
      <c r="I2870" s="6"/>
      <c r="J2870" s="6"/>
      <c r="K2870" s="6"/>
      <c r="L2870" s="6"/>
      <c r="M2870" s="6"/>
      <c r="N2870" s="672"/>
      <c r="O2870" s="6"/>
      <c r="P2870" s="6"/>
      <c r="Q2870" s="6"/>
      <c r="R2870" s="6"/>
      <c r="S2870" s="6"/>
      <c r="T2870" s="6"/>
      <c r="U2870" s="6"/>
    </row>
    <row r="2871">
      <c r="A2871" s="6"/>
      <c r="B2871" s="6"/>
      <c r="C2871" s="6"/>
      <c r="D2871" s="6"/>
      <c r="E2871" s="6"/>
      <c r="G2871" s="6"/>
      <c r="H2871" s="6"/>
      <c r="I2871" s="6"/>
      <c r="J2871" s="6"/>
      <c r="K2871" s="6"/>
      <c r="L2871" s="6"/>
      <c r="M2871" s="6"/>
      <c r="N2871" s="672"/>
      <c r="O2871" s="6"/>
      <c r="P2871" s="6"/>
      <c r="Q2871" s="6"/>
      <c r="R2871" s="6"/>
      <c r="S2871" s="6"/>
      <c r="T2871" s="6"/>
      <c r="U2871" s="6"/>
    </row>
    <row r="2872">
      <c r="A2872" s="6"/>
      <c r="B2872" s="6"/>
      <c r="C2872" s="6"/>
      <c r="D2872" s="6"/>
      <c r="E2872" s="6"/>
      <c r="G2872" s="6"/>
      <c r="H2872" s="6"/>
      <c r="I2872" s="6"/>
      <c r="J2872" s="6"/>
      <c r="K2872" s="6"/>
      <c r="L2872" s="6"/>
      <c r="M2872" s="6"/>
      <c r="N2872" s="672"/>
      <c r="O2872" s="6"/>
      <c r="P2872" s="6"/>
      <c r="Q2872" s="6"/>
      <c r="R2872" s="6"/>
      <c r="S2872" s="6"/>
      <c r="T2872" s="6"/>
      <c r="U2872" s="6"/>
    </row>
    <row r="2873">
      <c r="A2873" s="6"/>
      <c r="B2873" s="6"/>
      <c r="C2873" s="6"/>
      <c r="D2873" s="6"/>
      <c r="E2873" s="6"/>
      <c r="G2873" s="6"/>
      <c r="H2873" s="6"/>
      <c r="I2873" s="6"/>
      <c r="J2873" s="6"/>
      <c r="K2873" s="6"/>
      <c r="L2873" s="6"/>
      <c r="M2873" s="6"/>
      <c r="N2873" s="672"/>
      <c r="O2873" s="6"/>
      <c r="P2873" s="6"/>
      <c r="Q2873" s="6"/>
      <c r="R2873" s="6"/>
      <c r="S2873" s="6"/>
      <c r="T2873" s="6"/>
      <c r="U2873" s="6"/>
    </row>
    <row r="2874">
      <c r="A2874" s="6"/>
      <c r="B2874" s="6"/>
      <c r="C2874" s="6"/>
      <c r="D2874" s="6"/>
      <c r="E2874" s="6"/>
      <c r="G2874" s="6"/>
      <c r="H2874" s="6"/>
      <c r="I2874" s="6"/>
      <c r="J2874" s="6"/>
      <c r="K2874" s="6"/>
      <c r="L2874" s="6"/>
      <c r="M2874" s="6"/>
      <c r="N2874" s="672"/>
      <c r="O2874" s="6"/>
      <c r="P2874" s="6"/>
      <c r="Q2874" s="6"/>
      <c r="R2874" s="6"/>
      <c r="S2874" s="6"/>
      <c r="T2874" s="6"/>
      <c r="U2874" s="6"/>
    </row>
    <row r="2875">
      <c r="A2875" s="6"/>
      <c r="B2875" s="6"/>
      <c r="C2875" s="6"/>
      <c r="D2875" s="6"/>
      <c r="E2875" s="6"/>
      <c r="G2875" s="6"/>
      <c r="H2875" s="6"/>
      <c r="I2875" s="6"/>
      <c r="J2875" s="6"/>
      <c r="K2875" s="6"/>
      <c r="L2875" s="6"/>
      <c r="M2875" s="6"/>
      <c r="N2875" s="672"/>
      <c r="O2875" s="6"/>
      <c r="P2875" s="6"/>
      <c r="Q2875" s="6"/>
      <c r="R2875" s="6"/>
      <c r="S2875" s="6"/>
      <c r="T2875" s="6"/>
      <c r="U2875" s="6"/>
    </row>
    <row r="2876">
      <c r="A2876" s="6"/>
      <c r="B2876" s="6"/>
      <c r="C2876" s="6"/>
      <c r="D2876" s="6"/>
      <c r="E2876" s="6"/>
      <c r="G2876" s="6"/>
      <c r="H2876" s="6"/>
      <c r="I2876" s="6"/>
      <c r="J2876" s="6"/>
      <c r="K2876" s="6"/>
      <c r="L2876" s="6"/>
      <c r="M2876" s="6"/>
      <c r="N2876" s="672"/>
      <c r="O2876" s="6"/>
      <c r="P2876" s="6"/>
      <c r="Q2876" s="6"/>
      <c r="R2876" s="6"/>
      <c r="S2876" s="6"/>
      <c r="T2876" s="6"/>
      <c r="U2876" s="6"/>
    </row>
    <row r="2877">
      <c r="A2877" s="6"/>
      <c r="B2877" s="6"/>
      <c r="C2877" s="6"/>
      <c r="D2877" s="6"/>
      <c r="E2877" s="6"/>
      <c r="G2877" s="6"/>
      <c r="H2877" s="6"/>
      <c r="I2877" s="6"/>
      <c r="J2877" s="6"/>
      <c r="K2877" s="6"/>
      <c r="L2877" s="6"/>
      <c r="M2877" s="6"/>
      <c r="N2877" s="672"/>
      <c r="O2877" s="6"/>
      <c r="P2877" s="6"/>
      <c r="Q2877" s="6"/>
      <c r="R2877" s="6"/>
      <c r="S2877" s="6"/>
      <c r="T2877" s="6"/>
      <c r="U2877" s="6"/>
    </row>
    <row r="2878">
      <c r="A2878" s="6"/>
      <c r="B2878" s="6"/>
      <c r="C2878" s="6"/>
      <c r="D2878" s="6"/>
      <c r="E2878" s="6"/>
      <c r="G2878" s="6"/>
      <c r="H2878" s="6"/>
      <c r="I2878" s="6"/>
      <c r="J2878" s="6"/>
      <c r="K2878" s="6"/>
      <c r="L2878" s="6"/>
      <c r="M2878" s="6"/>
      <c r="N2878" s="672"/>
      <c r="O2878" s="6"/>
      <c r="P2878" s="6"/>
      <c r="Q2878" s="6"/>
      <c r="R2878" s="6"/>
      <c r="S2878" s="6"/>
      <c r="T2878" s="6"/>
      <c r="U2878" s="6"/>
    </row>
    <row r="2879">
      <c r="A2879" s="6"/>
      <c r="B2879" s="6"/>
      <c r="C2879" s="6"/>
      <c r="D2879" s="6"/>
      <c r="E2879" s="6"/>
      <c r="G2879" s="6"/>
      <c r="H2879" s="6"/>
      <c r="I2879" s="6"/>
      <c r="J2879" s="6"/>
      <c r="K2879" s="6"/>
      <c r="L2879" s="6"/>
      <c r="M2879" s="6"/>
      <c r="N2879" s="672"/>
      <c r="O2879" s="6"/>
      <c r="P2879" s="6"/>
      <c r="Q2879" s="6"/>
      <c r="R2879" s="6"/>
      <c r="S2879" s="6"/>
      <c r="T2879" s="6"/>
      <c r="U2879" s="6"/>
    </row>
    <row r="2880">
      <c r="A2880" s="6"/>
      <c r="B2880" s="6"/>
      <c r="C2880" s="6"/>
      <c r="D2880" s="6"/>
      <c r="E2880" s="6"/>
      <c r="G2880" s="6"/>
      <c r="H2880" s="6"/>
      <c r="I2880" s="6"/>
      <c r="J2880" s="6"/>
      <c r="K2880" s="6"/>
      <c r="L2880" s="6"/>
      <c r="M2880" s="6"/>
      <c r="N2880" s="672"/>
      <c r="O2880" s="6"/>
      <c r="P2880" s="6"/>
      <c r="Q2880" s="6"/>
      <c r="R2880" s="6"/>
      <c r="S2880" s="6"/>
      <c r="T2880" s="6"/>
      <c r="U2880" s="6"/>
    </row>
    <row r="2881">
      <c r="A2881" s="6"/>
      <c r="B2881" s="6"/>
      <c r="C2881" s="6"/>
      <c r="D2881" s="6"/>
      <c r="E2881" s="6"/>
      <c r="G2881" s="6"/>
      <c r="H2881" s="6"/>
      <c r="I2881" s="6"/>
      <c r="J2881" s="6"/>
      <c r="K2881" s="6"/>
      <c r="L2881" s="6"/>
      <c r="M2881" s="6"/>
      <c r="N2881" s="672"/>
      <c r="O2881" s="6"/>
      <c r="P2881" s="6"/>
      <c r="Q2881" s="6"/>
      <c r="R2881" s="6"/>
      <c r="S2881" s="6"/>
      <c r="T2881" s="6"/>
      <c r="U2881" s="6"/>
    </row>
    <row r="2882">
      <c r="A2882" s="6"/>
      <c r="B2882" s="6"/>
      <c r="C2882" s="6"/>
      <c r="D2882" s="6"/>
      <c r="E2882" s="6"/>
      <c r="G2882" s="6"/>
      <c r="H2882" s="6"/>
      <c r="I2882" s="6"/>
      <c r="J2882" s="6"/>
      <c r="K2882" s="6"/>
      <c r="L2882" s="6"/>
      <c r="M2882" s="6"/>
      <c r="N2882" s="672"/>
      <c r="O2882" s="6"/>
      <c r="P2882" s="6"/>
      <c r="Q2882" s="6"/>
      <c r="R2882" s="6"/>
      <c r="S2882" s="6"/>
      <c r="T2882" s="6"/>
      <c r="U2882" s="6"/>
    </row>
    <row r="2883">
      <c r="A2883" s="6"/>
      <c r="B2883" s="6"/>
      <c r="C2883" s="6"/>
      <c r="D2883" s="6"/>
      <c r="E2883" s="6"/>
      <c r="G2883" s="6"/>
      <c r="H2883" s="6"/>
      <c r="I2883" s="6"/>
      <c r="J2883" s="6"/>
      <c r="K2883" s="6"/>
      <c r="L2883" s="6"/>
      <c r="M2883" s="6"/>
      <c r="N2883" s="672"/>
      <c r="O2883" s="6"/>
      <c r="P2883" s="6"/>
      <c r="Q2883" s="6"/>
      <c r="R2883" s="6"/>
      <c r="S2883" s="6"/>
      <c r="T2883" s="6"/>
      <c r="U2883" s="6"/>
    </row>
    <row r="2884">
      <c r="A2884" s="6"/>
      <c r="B2884" s="6"/>
      <c r="C2884" s="6"/>
      <c r="D2884" s="6"/>
      <c r="E2884" s="6"/>
      <c r="G2884" s="6"/>
      <c r="H2884" s="6"/>
      <c r="I2884" s="6"/>
      <c r="J2884" s="6"/>
      <c r="K2884" s="6"/>
      <c r="L2884" s="6"/>
      <c r="M2884" s="6"/>
      <c r="N2884" s="672"/>
      <c r="O2884" s="6"/>
      <c r="P2884" s="6"/>
      <c r="Q2884" s="6"/>
      <c r="R2884" s="6"/>
      <c r="S2884" s="6"/>
      <c r="T2884" s="6"/>
      <c r="U2884" s="6"/>
    </row>
    <row r="2885">
      <c r="A2885" s="6"/>
      <c r="B2885" s="6"/>
      <c r="C2885" s="6"/>
      <c r="D2885" s="6"/>
      <c r="E2885" s="6"/>
      <c r="G2885" s="6"/>
      <c r="H2885" s="6"/>
      <c r="I2885" s="6"/>
      <c r="J2885" s="6"/>
      <c r="K2885" s="6"/>
      <c r="L2885" s="6"/>
      <c r="M2885" s="6"/>
      <c r="N2885" s="672"/>
      <c r="O2885" s="6"/>
      <c r="P2885" s="6"/>
      <c r="Q2885" s="6"/>
      <c r="R2885" s="6"/>
      <c r="S2885" s="6"/>
      <c r="T2885" s="6"/>
      <c r="U2885" s="6"/>
    </row>
    <row r="2886">
      <c r="A2886" s="6"/>
      <c r="B2886" s="6"/>
      <c r="C2886" s="6"/>
      <c r="D2886" s="6"/>
      <c r="E2886" s="6"/>
      <c r="G2886" s="6"/>
      <c r="H2886" s="6"/>
      <c r="I2886" s="6"/>
      <c r="J2886" s="6"/>
      <c r="K2886" s="6"/>
      <c r="L2886" s="6"/>
      <c r="M2886" s="6"/>
      <c r="N2886" s="672"/>
      <c r="O2886" s="6"/>
      <c r="P2886" s="6"/>
      <c r="Q2886" s="6"/>
      <c r="R2886" s="6"/>
      <c r="S2886" s="6"/>
      <c r="T2886" s="6"/>
      <c r="U2886" s="6"/>
    </row>
    <row r="2887">
      <c r="A2887" s="6"/>
      <c r="B2887" s="6"/>
      <c r="C2887" s="6"/>
      <c r="D2887" s="6"/>
      <c r="E2887" s="6"/>
      <c r="G2887" s="6"/>
      <c r="H2887" s="6"/>
      <c r="I2887" s="6"/>
      <c r="J2887" s="6"/>
      <c r="K2887" s="6"/>
      <c r="L2887" s="6"/>
      <c r="M2887" s="6"/>
      <c r="N2887" s="672"/>
      <c r="O2887" s="6"/>
      <c r="P2887" s="6"/>
      <c r="Q2887" s="6"/>
      <c r="R2887" s="6"/>
      <c r="S2887" s="6"/>
      <c r="T2887" s="6"/>
      <c r="U2887" s="6"/>
    </row>
    <row r="2888">
      <c r="A2888" s="6"/>
      <c r="B2888" s="6"/>
      <c r="C2888" s="6"/>
      <c r="D2888" s="6"/>
      <c r="E2888" s="6"/>
      <c r="G2888" s="6"/>
      <c r="H2888" s="6"/>
      <c r="I2888" s="6"/>
      <c r="J2888" s="6"/>
      <c r="K2888" s="6"/>
      <c r="L2888" s="6"/>
      <c r="M2888" s="6"/>
      <c r="N2888" s="672"/>
      <c r="O2888" s="6"/>
      <c r="P2888" s="6"/>
      <c r="Q2888" s="6"/>
      <c r="R2888" s="6"/>
      <c r="S2888" s="6"/>
      <c r="T2888" s="6"/>
      <c r="U2888" s="6"/>
    </row>
    <row r="2889">
      <c r="A2889" s="6"/>
      <c r="B2889" s="6"/>
      <c r="C2889" s="6"/>
      <c r="D2889" s="6"/>
      <c r="E2889" s="6"/>
      <c r="G2889" s="6"/>
      <c r="H2889" s="6"/>
      <c r="I2889" s="6"/>
      <c r="J2889" s="6"/>
      <c r="K2889" s="6"/>
      <c r="L2889" s="6"/>
      <c r="M2889" s="6"/>
      <c r="N2889" s="672"/>
      <c r="O2889" s="6"/>
      <c r="P2889" s="6"/>
      <c r="Q2889" s="6"/>
      <c r="R2889" s="6"/>
      <c r="S2889" s="6"/>
      <c r="T2889" s="6"/>
      <c r="U2889" s="6"/>
    </row>
    <row r="2890">
      <c r="A2890" s="6"/>
      <c r="B2890" s="6"/>
      <c r="C2890" s="6"/>
      <c r="D2890" s="6"/>
      <c r="E2890" s="6"/>
      <c r="G2890" s="6"/>
      <c r="H2890" s="6"/>
      <c r="I2890" s="6"/>
      <c r="J2890" s="6"/>
      <c r="K2890" s="6"/>
      <c r="L2890" s="6"/>
      <c r="M2890" s="6"/>
      <c r="N2890" s="672"/>
      <c r="O2890" s="6"/>
      <c r="P2890" s="6"/>
      <c r="Q2890" s="6"/>
      <c r="R2890" s="6"/>
      <c r="S2890" s="6"/>
      <c r="T2890" s="6"/>
      <c r="U2890" s="6"/>
    </row>
    <row r="2891">
      <c r="A2891" s="6"/>
      <c r="B2891" s="6"/>
      <c r="C2891" s="6"/>
      <c r="D2891" s="6"/>
      <c r="E2891" s="6"/>
      <c r="G2891" s="6"/>
      <c r="H2891" s="6"/>
      <c r="I2891" s="6"/>
      <c r="J2891" s="6"/>
      <c r="K2891" s="6"/>
      <c r="L2891" s="6"/>
      <c r="M2891" s="6"/>
      <c r="N2891" s="672"/>
      <c r="O2891" s="6"/>
      <c r="P2891" s="6"/>
      <c r="Q2891" s="6"/>
      <c r="R2891" s="6"/>
      <c r="S2891" s="6"/>
      <c r="T2891" s="6"/>
      <c r="U2891" s="6"/>
    </row>
    <row r="2892">
      <c r="A2892" s="6"/>
      <c r="B2892" s="6"/>
      <c r="C2892" s="6"/>
      <c r="D2892" s="6"/>
      <c r="E2892" s="6"/>
      <c r="G2892" s="6"/>
      <c r="H2892" s="6"/>
      <c r="I2892" s="6"/>
      <c r="J2892" s="6"/>
      <c r="K2892" s="6"/>
      <c r="L2892" s="6"/>
      <c r="M2892" s="6"/>
      <c r="N2892" s="672"/>
      <c r="O2892" s="6"/>
      <c r="P2892" s="6"/>
      <c r="Q2892" s="6"/>
      <c r="R2892" s="6"/>
      <c r="S2892" s="6"/>
      <c r="T2892" s="6"/>
      <c r="U2892" s="6"/>
    </row>
    <row r="2893">
      <c r="A2893" s="6"/>
      <c r="B2893" s="6"/>
      <c r="C2893" s="6"/>
      <c r="D2893" s="6"/>
      <c r="E2893" s="6"/>
      <c r="G2893" s="6"/>
      <c r="H2893" s="6"/>
      <c r="I2893" s="6"/>
      <c r="J2893" s="6"/>
      <c r="K2893" s="6"/>
      <c r="L2893" s="6"/>
      <c r="M2893" s="6"/>
      <c r="N2893" s="672"/>
      <c r="O2893" s="6"/>
      <c r="P2893" s="6"/>
      <c r="Q2893" s="6"/>
      <c r="R2893" s="6"/>
      <c r="S2893" s="6"/>
      <c r="T2893" s="6"/>
      <c r="U2893" s="6"/>
    </row>
    <row r="2894">
      <c r="A2894" s="6"/>
      <c r="B2894" s="6"/>
      <c r="C2894" s="6"/>
      <c r="D2894" s="6"/>
      <c r="E2894" s="6"/>
      <c r="G2894" s="6"/>
      <c r="H2894" s="6"/>
      <c r="I2894" s="6"/>
      <c r="J2894" s="6"/>
      <c r="K2894" s="6"/>
      <c r="L2894" s="6"/>
      <c r="M2894" s="6"/>
      <c r="N2894" s="672"/>
      <c r="O2894" s="6"/>
      <c r="P2894" s="6"/>
      <c r="Q2894" s="6"/>
      <c r="R2894" s="6"/>
      <c r="S2894" s="6"/>
      <c r="T2894" s="6"/>
      <c r="U2894" s="6"/>
    </row>
    <row r="2895">
      <c r="A2895" s="6"/>
      <c r="B2895" s="6"/>
      <c r="C2895" s="6"/>
      <c r="D2895" s="6"/>
      <c r="E2895" s="6"/>
      <c r="G2895" s="6"/>
      <c r="H2895" s="6"/>
      <c r="I2895" s="6"/>
      <c r="J2895" s="6"/>
      <c r="K2895" s="6"/>
      <c r="L2895" s="6"/>
      <c r="M2895" s="6"/>
      <c r="N2895" s="672"/>
      <c r="O2895" s="6"/>
      <c r="P2895" s="6"/>
      <c r="Q2895" s="6"/>
      <c r="R2895" s="6"/>
      <c r="S2895" s="6"/>
      <c r="T2895" s="6"/>
      <c r="U2895" s="6"/>
    </row>
    <row r="2896">
      <c r="A2896" s="6"/>
      <c r="B2896" s="6"/>
      <c r="C2896" s="6"/>
      <c r="D2896" s="6"/>
      <c r="E2896" s="6"/>
      <c r="G2896" s="6"/>
      <c r="H2896" s="6"/>
      <c r="I2896" s="6"/>
      <c r="J2896" s="6"/>
      <c r="K2896" s="6"/>
      <c r="L2896" s="6"/>
      <c r="M2896" s="6"/>
      <c r="N2896" s="672"/>
      <c r="O2896" s="6"/>
      <c r="P2896" s="6"/>
      <c r="Q2896" s="6"/>
      <c r="R2896" s="6"/>
      <c r="S2896" s="6"/>
      <c r="T2896" s="6"/>
      <c r="U2896" s="6"/>
    </row>
    <row r="2897">
      <c r="A2897" s="6"/>
      <c r="B2897" s="6"/>
      <c r="C2897" s="6"/>
      <c r="D2897" s="6"/>
      <c r="E2897" s="6"/>
      <c r="G2897" s="6"/>
      <c r="H2897" s="6"/>
      <c r="I2897" s="6"/>
      <c r="J2897" s="6"/>
      <c r="K2897" s="6"/>
      <c r="L2897" s="6"/>
      <c r="M2897" s="6"/>
      <c r="N2897" s="672"/>
      <c r="O2897" s="6"/>
      <c r="P2897" s="6"/>
      <c r="Q2897" s="6"/>
      <c r="R2897" s="6"/>
      <c r="S2897" s="6"/>
      <c r="T2897" s="6"/>
      <c r="U2897" s="6"/>
    </row>
    <row r="2898">
      <c r="A2898" s="6"/>
      <c r="B2898" s="6"/>
      <c r="C2898" s="6"/>
      <c r="D2898" s="6"/>
      <c r="E2898" s="6"/>
      <c r="G2898" s="6"/>
      <c r="H2898" s="6"/>
      <c r="I2898" s="6"/>
      <c r="J2898" s="6"/>
      <c r="K2898" s="6"/>
      <c r="L2898" s="6"/>
      <c r="M2898" s="6"/>
      <c r="N2898" s="672"/>
      <c r="O2898" s="6"/>
      <c r="P2898" s="6"/>
      <c r="Q2898" s="6"/>
      <c r="R2898" s="6"/>
      <c r="S2898" s="6"/>
      <c r="T2898" s="6"/>
      <c r="U2898" s="6"/>
    </row>
    <row r="2899">
      <c r="A2899" s="6"/>
      <c r="B2899" s="6"/>
      <c r="C2899" s="6"/>
      <c r="D2899" s="6"/>
      <c r="E2899" s="6"/>
      <c r="G2899" s="6"/>
      <c r="H2899" s="6"/>
      <c r="I2899" s="6"/>
      <c r="J2899" s="6"/>
      <c r="K2899" s="6"/>
      <c r="L2899" s="6"/>
      <c r="M2899" s="6"/>
      <c r="N2899" s="672"/>
      <c r="O2899" s="6"/>
      <c r="P2899" s="6"/>
      <c r="Q2899" s="6"/>
      <c r="R2899" s="6"/>
      <c r="S2899" s="6"/>
      <c r="T2899" s="6"/>
      <c r="U2899" s="6"/>
    </row>
    <row r="2900">
      <c r="A2900" s="6"/>
      <c r="B2900" s="6"/>
      <c r="C2900" s="6"/>
      <c r="D2900" s="6"/>
      <c r="E2900" s="6"/>
      <c r="G2900" s="6"/>
      <c r="H2900" s="6"/>
      <c r="I2900" s="6"/>
      <c r="J2900" s="6"/>
      <c r="K2900" s="6"/>
      <c r="L2900" s="6"/>
      <c r="M2900" s="6"/>
      <c r="N2900" s="672"/>
      <c r="O2900" s="6"/>
      <c r="P2900" s="6"/>
      <c r="Q2900" s="6"/>
      <c r="R2900" s="6"/>
      <c r="S2900" s="6"/>
      <c r="T2900" s="6"/>
      <c r="U2900" s="6"/>
    </row>
    <row r="2901">
      <c r="A2901" s="6"/>
      <c r="B2901" s="6"/>
      <c r="C2901" s="6"/>
      <c r="D2901" s="6"/>
      <c r="E2901" s="6"/>
      <c r="G2901" s="6"/>
      <c r="H2901" s="6"/>
      <c r="I2901" s="6"/>
      <c r="J2901" s="6"/>
      <c r="K2901" s="6"/>
      <c r="L2901" s="6"/>
      <c r="M2901" s="6"/>
      <c r="N2901" s="672"/>
      <c r="O2901" s="6"/>
      <c r="P2901" s="6"/>
      <c r="Q2901" s="6"/>
      <c r="R2901" s="6"/>
      <c r="S2901" s="6"/>
      <c r="T2901" s="6"/>
      <c r="U2901" s="6"/>
    </row>
    <row r="2902">
      <c r="A2902" s="6"/>
      <c r="B2902" s="6"/>
      <c r="C2902" s="6"/>
      <c r="D2902" s="6"/>
      <c r="E2902" s="6"/>
      <c r="G2902" s="6"/>
      <c r="H2902" s="6"/>
      <c r="I2902" s="6"/>
      <c r="J2902" s="6"/>
      <c r="K2902" s="6"/>
      <c r="L2902" s="6"/>
      <c r="M2902" s="6"/>
      <c r="N2902" s="672"/>
      <c r="O2902" s="6"/>
      <c r="P2902" s="6"/>
      <c r="Q2902" s="6"/>
      <c r="R2902" s="6"/>
      <c r="S2902" s="6"/>
      <c r="T2902" s="6"/>
      <c r="U2902" s="6"/>
    </row>
    <row r="2903">
      <c r="A2903" s="6"/>
      <c r="B2903" s="6"/>
      <c r="C2903" s="6"/>
      <c r="D2903" s="6"/>
      <c r="E2903" s="6"/>
      <c r="G2903" s="6"/>
      <c r="H2903" s="6"/>
      <c r="I2903" s="6"/>
      <c r="J2903" s="6"/>
      <c r="K2903" s="6"/>
      <c r="L2903" s="6"/>
      <c r="M2903" s="6"/>
      <c r="N2903" s="672"/>
      <c r="O2903" s="6"/>
      <c r="P2903" s="6"/>
      <c r="Q2903" s="6"/>
      <c r="R2903" s="6"/>
      <c r="S2903" s="6"/>
      <c r="T2903" s="6"/>
      <c r="U2903" s="6"/>
    </row>
    <row r="2904">
      <c r="A2904" s="6"/>
      <c r="B2904" s="6"/>
      <c r="C2904" s="6"/>
      <c r="D2904" s="6"/>
      <c r="E2904" s="6"/>
      <c r="G2904" s="6"/>
      <c r="H2904" s="6"/>
      <c r="I2904" s="6"/>
      <c r="J2904" s="6"/>
      <c r="K2904" s="6"/>
      <c r="L2904" s="6"/>
      <c r="M2904" s="6"/>
      <c r="N2904" s="672"/>
      <c r="O2904" s="6"/>
      <c r="P2904" s="6"/>
      <c r="Q2904" s="6"/>
      <c r="R2904" s="6"/>
      <c r="S2904" s="6"/>
      <c r="T2904" s="6"/>
      <c r="U2904" s="6"/>
    </row>
    <row r="2905">
      <c r="A2905" s="6"/>
      <c r="B2905" s="6"/>
      <c r="C2905" s="6"/>
      <c r="D2905" s="6"/>
      <c r="E2905" s="6"/>
      <c r="G2905" s="6"/>
      <c r="H2905" s="6"/>
      <c r="I2905" s="6"/>
      <c r="J2905" s="6"/>
      <c r="K2905" s="6"/>
      <c r="L2905" s="6"/>
      <c r="M2905" s="6"/>
      <c r="N2905" s="672"/>
      <c r="O2905" s="6"/>
      <c r="P2905" s="6"/>
      <c r="Q2905" s="6"/>
      <c r="R2905" s="6"/>
      <c r="S2905" s="6"/>
      <c r="T2905" s="6"/>
      <c r="U2905" s="6"/>
    </row>
    <row r="2906">
      <c r="A2906" s="6"/>
      <c r="B2906" s="6"/>
      <c r="C2906" s="6"/>
      <c r="D2906" s="6"/>
      <c r="E2906" s="6"/>
      <c r="G2906" s="6"/>
      <c r="H2906" s="6"/>
      <c r="I2906" s="6"/>
      <c r="J2906" s="6"/>
      <c r="K2906" s="6"/>
      <c r="L2906" s="6"/>
      <c r="M2906" s="6"/>
      <c r="N2906" s="672"/>
      <c r="O2906" s="6"/>
      <c r="P2906" s="6"/>
      <c r="Q2906" s="6"/>
      <c r="R2906" s="6"/>
      <c r="S2906" s="6"/>
      <c r="T2906" s="6"/>
      <c r="U2906" s="6"/>
    </row>
    <row r="2907">
      <c r="A2907" s="6"/>
      <c r="B2907" s="6"/>
      <c r="C2907" s="6"/>
      <c r="D2907" s="6"/>
      <c r="E2907" s="6"/>
      <c r="G2907" s="6"/>
      <c r="H2907" s="6"/>
      <c r="I2907" s="6"/>
      <c r="J2907" s="6"/>
      <c r="K2907" s="6"/>
      <c r="L2907" s="6"/>
      <c r="M2907" s="6"/>
      <c r="N2907" s="672"/>
      <c r="O2907" s="6"/>
      <c r="P2907" s="6"/>
      <c r="Q2907" s="6"/>
      <c r="R2907" s="6"/>
      <c r="S2907" s="6"/>
      <c r="T2907" s="6"/>
      <c r="U2907" s="6"/>
    </row>
    <row r="2908">
      <c r="A2908" s="6"/>
      <c r="B2908" s="6"/>
      <c r="C2908" s="6"/>
      <c r="D2908" s="6"/>
      <c r="E2908" s="6"/>
      <c r="G2908" s="6"/>
      <c r="H2908" s="6"/>
      <c r="I2908" s="6"/>
      <c r="J2908" s="6"/>
      <c r="K2908" s="6"/>
      <c r="L2908" s="6"/>
      <c r="M2908" s="6"/>
      <c r="N2908" s="672"/>
      <c r="O2908" s="6"/>
      <c r="P2908" s="6"/>
      <c r="Q2908" s="6"/>
      <c r="R2908" s="6"/>
      <c r="S2908" s="6"/>
      <c r="T2908" s="6"/>
      <c r="U2908" s="6"/>
    </row>
    <row r="2909">
      <c r="A2909" s="6"/>
      <c r="B2909" s="6"/>
      <c r="C2909" s="6"/>
      <c r="D2909" s="6"/>
      <c r="E2909" s="6"/>
      <c r="G2909" s="6"/>
      <c r="H2909" s="6"/>
      <c r="I2909" s="6"/>
      <c r="J2909" s="6"/>
      <c r="K2909" s="6"/>
      <c r="L2909" s="6"/>
      <c r="M2909" s="6"/>
      <c r="N2909" s="672"/>
      <c r="O2909" s="6"/>
      <c r="P2909" s="6"/>
      <c r="Q2909" s="6"/>
      <c r="R2909" s="6"/>
      <c r="S2909" s="6"/>
      <c r="T2909" s="6"/>
      <c r="U2909" s="6"/>
    </row>
    <row r="2910">
      <c r="A2910" s="6"/>
      <c r="B2910" s="6"/>
      <c r="C2910" s="6"/>
      <c r="D2910" s="6"/>
      <c r="E2910" s="6"/>
      <c r="G2910" s="6"/>
      <c r="H2910" s="6"/>
      <c r="I2910" s="6"/>
      <c r="J2910" s="6"/>
      <c r="K2910" s="6"/>
      <c r="L2910" s="6"/>
      <c r="M2910" s="6"/>
      <c r="N2910" s="672"/>
      <c r="O2910" s="6"/>
      <c r="P2910" s="6"/>
      <c r="Q2910" s="6"/>
      <c r="R2910" s="6"/>
      <c r="S2910" s="6"/>
      <c r="T2910" s="6"/>
      <c r="U2910" s="6"/>
    </row>
    <row r="2911">
      <c r="A2911" s="6"/>
      <c r="B2911" s="6"/>
      <c r="C2911" s="6"/>
      <c r="D2911" s="6"/>
      <c r="E2911" s="6"/>
      <c r="G2911" s="6"/>
      <c r="H2911" s="6"/>
      <c r="I2911" s="6"/>
      <c r="J2911" s="6"/>
      <c r="K2911" s="6"/>
      <c r="L2911" s="6"/>
      <c r="M2911" s="6"/>
      <c r="N2911" s="672"/>
      <c r="O2911" s="6"/>
      <c r="P2911" s="6"/>
      <c r="Q2911" s="6"/>
      <c r="R2911" s="6"/>
      <c r="S2911" s="6"/>
      <c r="T2911" s="6"/>
      <c r="U2911" s="6"/>
    </row>
    <row r="2912">
      <c r="A2912" s="6"/>
      <c r="B2912" s="6"/>
      <c r="C2912" s="6"/>
      <c r="D2912" s="6"/>
      <c r="E2912" s="6"/>
      <c r="G2912" s="6"/>
      <c r="H2912" s="6"/>
      <c r="I2912" s="6"/>
      <c r="J2912" s="6"/>
      <c r="K2912" s="6"/>
      <c r="L2912" s="6"/>
      <c r="M2912" s="6"/>
      <c r="N2912" s="672"/>
      <c r="O2912" s="6"/>
      <c r="P2912" s="6"/>
      <c r="Q2912" s="6"/>
      <c r="R2912" s="6"/>
      <c r="S2912" s="6"/>
      <c r="T2912" s="6"/>
      <c r="U2912" s="6"/>
    </row>
    <row r="2913">
      <c r="A2913" s="6"/>
      <c r="B2913" s="6"/>
      <c r="C2913" s="6"/>
      <c r="D2913" s="6"/>
      <c r="E2913" s="6"/>
      <c r="G2913" s="6"/>
      <c r="H2913" s="6"/>
      <c r="I2913" s="6"/>
      <c r="J2913" s="6"/>
      <c r="K2913" s="6"/>
      <c r="L2913" s="6"/>
      <c r="M2913" s="6"/>
      <c r="N2913" s="672"/>
      <c r="O2913" s="6"/>
      <c r="P2913" s="6"/>
      <c r="Q2913" s="6"/>
      <c r="R2913" s="6"/>
      <c r="S2913" s="6"/>
      <c r="T2913" s="6"/>
      <c r="U2913" s="6"/>
    </row>
    <row r="2914">
      <c r="A2914" s="6"/>
      <c r="B2914" s="6"/>
      <c r="C2914" s="6"/>
      <c r="D2914" s="6"/>
      <c r="E2914" s="6"/>
      <c r="G2914" s="6"/>
      <c r="H2914" s="6"/>
      <c r="I2914" s="6"/>
      <c r="J2914" s="6"/>
      <c r="K2914" s="6"/>
      <c r="L2914" s="6"/>
      <c r="M2914" s="6"/>
      <c r="N2914" s="672"/>
      <c r="O2914" s="6"/>
      <c r="P2914" s="6"/>
      <c r="Q2914" s="6"/>
      <c r="R2914" s="6"/>
      <c r="S2914" s="6"/>
      <c r="T2914" s="6"/>
      <c r="U2914" s="6"/>
    </row>
    <row r="2915">
      <c r="A2915" s="6"/>
      <c r="B2915" s="6"/>
      <c r="C2915" s="6"/>
      <c r="D2915" s="6"/>
      <c r="E2915" s="6"/>
      <c r="G2915" s="6"/>
      <c r="H2915" s="6"/>
      <c r="I2915" s="6"/>
      <c r="J2915" s="6"/>
      <c r="K2915" s="6"/>
      <c r="L2915" s="6"/>
      <c r="M2915" s="6"/>
      <c r="N2915" s="672"/>
      <c r="O2915" s="6"/>
      <c r="P2915" s="6"/>
      <c r="Q2915" s="6"/>
      <c r="R2915" s="6"/>
      <c r="S2915" s="6"/>
      <c r="T2915" s="6"/>
      <c r="U2915" s="6"/>
    </row>
    <row r="2916">
      <c r="A2916" s="6"/>
      <c r="B2916" s="6"/>
      <c r="C2916" s="6"/>
      <c r="D2916" s="6"/>
      <c r="E2916" s="6"/>
      <c r="G2916" s="6"/>
      <c r="H2916" s="6"/>
      <c r="I2916" s="6"/>
      <c r="J2916" s="6"/>
      <c r="K2916" s="6"/>
      <c r="L2916" s="6"/>
      <c r="M2916" s="6"/>
      <c r="N2916" s="672"/>
      <c r="O2916" s="6"/>
      <c r="P2916" s="6"/>
      <c r="Q2916" s="6"/>
      <c r="R2916" s="6"/>
      <c r="S2916" s="6"/>
      <c r="T2916" s="6"/>
      <c r="U2916" s="6"/>
    </row>
    <row r="2917">
      <c r="A2917" s="6"/>
      <c r="B2917" s="6"/>
      <c r="C2917" s="6"/>
      <c r="D2917" s="6"/>
      <c r="E2917" s="6"/>
      <c r="G2917" s="6"/>
      <c r="H2917" s="6"/>
      <c r="I2917" s="6"/>
      <c r="J2917" s="6"/>
      <c r="K2917" s="6"/>
      <c r="L2917" s="6"/>
      <c r="M2917" s="6"/>
      <c r="N2917" s="672"/>
      <c r="O2917" s="6"/>
      <c r="P2917" s="6"/>
      <c r="Q2917" s="6"/>
      <c r="R2917" s="6"/>
      <c r="S2917" s="6"/>
      <c r="T2917" s="6"/>
      <c r="U2917" s="6"/>
    </row>
    <row r="2918">
      <c r="A2918" s="6"/>
      <c r="B2918" s="6"/>
      <c r="C2918" s="6"/>
      <c r="D2918" s="6"/>
      <c r="E2918" s="6"/>
      <c r="G2918" s="6"/>
      <c r="H2918" s="6"/>
      <c r="I2918" s="6"/>
      <c r="J2918" s="6"/>
      <c r="K2918" s="6"/>
      <c r="L2918" s="6"/>
      <c r="M2918" s="6"/>
      <c r="N2918" s="672"/>
      <c r="O2918" s="6"/>
      <c r="P2918" s="6"/>
      <c r="Q2918" s="6"/>
      <c r="R2918" s="6"/>
      <c r="S2918" s="6"/>
      <c r="T2918" s="6"/>
      <c r="U2918" s="6"/>
    </row>
    <row r="2919">
      <c r="A2919" s="6"/>
      <c r="B2919" s="6"/>
      <c r="C2919" s="6"/>
      <c r="D2919" s="6"/>
      <c r="E2919" s="6"/>
      <c r="G2919" s="6"/>
      <c r="H2919" s="6"/>
      <c r="I2919" s="6"/>
      <c r="J2919" s="6"/>
      <c r="K2919" s="6"/>
      <c r="L2919" s="6"/>
      <c r="M2919" s="6"/>
      <c r="N2919" s="672"/>
      <c r="O2919" s="6"/>
      <c r="P2919" s="6"/>
      <c r="Q2919" s="6"/>
      <c r="R2919" s="6"/>
      <c r="S2919" s="6"/>
      <c r="T2919" s="6"/>
      <c r="U2919" s="6"/>
    </row>
    <row r="2920">
      <c r="A2920" s="6"/>
      <c r="B2920" s="6"/>
      <c r="C2920" s="6"/>
      <c r="D2920" s="6"/>
      <c r="E2920" s="6"/>
      <c r="G2920" s="6"/>
      <c r="H2920" s="6"/>
      <c r="I2920" s="6"/>
      <c r="J2920" s="6"/>
      <c r="K2920" s="6"/>
      <c r="L2920" s="6"/>
      <c r="M2920" s="6"/>
      <c r="N2920" s="672"/>
      <c r="O2920" s="6"/>
      <c r="P2920" s="6"/>
      <c r="Q2920" s="6"/>
      <c r="R2920" s="6"/>
      <c r="S2920" s="6"/>
      <c r="T2920" s="6"/>
      <c r="U2920" s="6"/>
    </row>
    <row r="2921">
      <c r="A2921" s="6"/>
      <c r="B2921" s="6"/>
      <c r="C2921" s="6"/>
      <c r="D2921" s="6"/>
      <c r="E2921" s="6"/>
      <c r="G2921" s="6"/>
      <c r="H2921" s="6"/>
      <c r="I2921" s="6"/>
      <c r="J2921" s="6"/>
      <c r="K2921" s="6"/>
      <c r="L2921" s="6"/>
      <c r="M2921" s="6"/>
      <c r="N2921" s="672"/>
      <c r="O2921" s="6"/>
      <c r="P2921" s="6"/>
      <c r="Q2921" s="6"/>
      <c r="R2921" s="6"/>
      <c r="S2921" s="6"/>
      <c r="T2921" s="6"/>
      <c r="U2921" s="6"/>
    </row>
    <row r="2922">
      <c r="A2922" s="6"/>
      <c r="B2922" s="6"/>
      <c r="C2922" s="6"/>
      <c r="D2922" s="6"/>
      <c r="E2922" s="6"/>
      <c r="G2922" s="6"/>
      <c r="H2922" s="6"/>
      <c r="I2922" s="6"/>
      <c r="J2922" s="6"/>
      <c r="K2922" s="6"/>
      <c r="L2922" s="6"/>
      <c r="M2922" s="6"/>
      <c r="N2922" s="672"/>
      <c r="O2922" s="6"/>
      <c r="P2922" s="6"/>
      <c r="Q2922" s="6"/>
      <c r="R2922" s="6"/>
      <c r="S2922" s="6"/>
      <c r="T2922" s="6"/>
      <c r="U2922" s="6"/>
    </row>
    <row r="2923">
      <c r="A2923" s="6"/>
      <c r="B2923" s="6"/>
      <c r="C2923" s="6"/>
      <c r="D2923" s="6"/>
      <c r="E2923" s="6"/>
      <c r="G2923" s="6"/>
      <c r="H2923" s="6"/>
      <c r="I2923" s="6"/>
      <c r="J2923" s="6"/>
      <c r="K2923" s="6"/>
      <c r="L2923" s="6"/>
      <c r="M2923" s="6"/>
      <c r="N2923" s="672"/>
      <c r="O2923" s="6"/>
      <c r="P2923" s="6"/>
      <c r="Q2923" s="6"/>
      <c r="R2923" s="6"/>
      <c r="S2923" s="6"/>
      <c r="T2923" s="6"/>
      <c r="U2923" s="6"/>
    </row>
    <row r="2924">
      <c r="A2924" s="6"/>
      <c r="B2924" s="6"/>
      <c r="C2924" s="6"/>
      <c r="D2924" s="6"/>
      <c r="E2924" s="6"/>
      <c r="G2924" s="6"/>
      <c r="H2924" s="6"/>
      <c r="I2924" s="6"/>
      <c r="J2924" s="6"/>
      <c r="K2924" s="6"/>
      <c r="L2924" s="6"/>
      <c r="M2924" s="6"/>
      <c r="N2924" s="672"/>
      <c r="O2924" s="6"/>
      <c r="P2924" s="6"/>
      <c r="Q2924" s="6"/>
      <c r="R2924" s="6"/>
      <c r="S2924" s="6"/>
      <c r="T2924" s="6"/>
      <c r="U2924" s="6"/>
    </row>
    <row r="2925">
      <c r="A2925" s="6"/>
      <c r="B2925" s="6"/>
      <c r="C2925" s="6"/>
      <c r="D2925" s="6"/>
      <c r="E2925" s="6"/>
      <c r="G2925" s="6"/>
      <c r="H2925" s="6"/>
      <c r="I2925" s="6"/>
      <c r="J2925" s="6"/>
      <c r="K2925" s="6"/>
      <c r="L2925" s="6"/>
      <c r="M2925" s="6"/>
      <c r="N2925" s="672"/>
      <c r="O2925" s="6"/>
      <c r="P2925" s="6"/>
      <c r="Q2925" s="6"/>
      <c r="R2925" s="6"/>
      <c r="S2925" s="6"/>
      <c r="T2925" s="6"/>
      <c r="U2925" s="6"/>
    </row>
    <row r="2926">
      <c r="A2926" s="6"/>
      <c r="B2926" s="6"/>
      <c r="C2926" s="6"/>
      <c r="D2926" s="6"/>
      <c r="E2926" s="6"/>
      <c r="G2926" s="6"/>
      <c r="H2926" s="6"/>
      <c r="I2926" s="6"/>
      <c r="J2926" s="6"/>
      <c r="K2926" s="6"/>
      <c r="L2926" s="6"/>
      <c r="M2926" s="6"/>
      <c r="N2926" s="672"/>
      <c r="O2926" s="6"/>
      <c r="P2926" s="6"/>
      <c r="Q2926" s="6"/>
      <c r="R2926" s="6"/>
      <c r="S2926" s="6"/>
      <c r="T2926" s="6"/>
      <c r="U2926" s="6"/>
    </row>
    <row r="2927">
      <c r="A2927" s="6"/>
      <c r="B2927" s="6"/>
      <c r="C2927" s="6"/>
      <c r="D2927" s="6"/>
      <c r="E2927" s="6"/>
      <c r="G2927" s="6"/>
      <c r="H2927" s="6"/>
      <c r="I2927" s="6"/>
      <c r="J2927" s="6"/>
      <c r="K2927" s="6"/>
      <c r="L2927" s="6"/>
      <c r="M2927" s="6"/>
      <c r="N2927" s="672"/>
      <c r="O2927" s="6"/>
      <c r="P2927" s="6"/>
      <c r="Q2927" s="6"/>
      <c r="R2927" s="6"/>
      <c r="S2927" s="6"/>
      <c r="T2927" s="6"/>
      <c r="U2927" s="6"/>
    </row>
    <row r="2928">
      <c r="A2928" s="6"/>
      <c r="B2928" s="6"/>
      <c r="C2928" s="6"/>
      <c r="D2928" s="6"/>
      <c r="E2928" s="6"/>
      <c r="G2928" s="6"/>
      <c r="H2928" s="6"/>
      <c r="I2928" s="6"/>
      <c r="J2928" s="6"/>
      <c r="K2928" s="6"/>
      <c r="L2928" s="6"/>
      <c r="M2928" s="6"/>
      <c r="N2928" s="672"/>
      <c r="O2928" s="6"/>
      <c r="P2928" s="6"/>
      <c r="Q2928" s="6"/>
      <c r="R2928" s="6"/>
      <c r="S2928" s="6"/>
      <c r="T2928" s="6"/>
      <c r="U2928" s="6"/>
    </row>
    <row r="2929">
      <c r="A2929" s="6"/>
      <c r="B2929" s="6"/>
      <c r="C2929" s="6"/>
      <c r="D2929" s="6"/>
      <c r="E2929" s="6"/>
      <c r="G2929" s="6"/>
      <c r="H2929" s="6"/>
      <c r="I2929" s="6"/>
      <c r="J2929" s="6"/>
      <c r="K2929" s="6"/>
      <c r="L2929" s="6"/>
      <c r="M2929" s="6"/>
      <c r="N2929" s="672"/>
      <c r="O2929" s="6"/>
      <c r="P2929" s="6"/>
      <c r="Q2929" s="6"/>
      <c r="R2929" s="6"/>
      <c r="S2929" s="6"/>
      <c r="T2929" s="6"/>
      <c r="U2929" s="6"/>
    </row>
    <row r="2930">
      <c r="A2930" s="6"/>
      <c r="B2930" s="6"/>
      <c r="C2930" s="6"/>
      <c r="D2930" s="6"/>
      <c r="E2930" s="6"/>
      <c r="G2930" s="6"/>
      <c r="H2930" s="6"/>
      <c r="I2930" s="6"/>
      <c r="J2930" s="6"/>
      <c r="K2930" s="6"/>
      <c r="L2930" s="6"/>
      <c r="M2930" s="6"/>
      <c r="N2930" s="672"/>
      <c r="O2930" s="6"/>
      <c r="P2930" s="6"/>
      <c r="Q2930" s="6"/>
      <c r="R2930" s="6"/>
      <c r="S2930" s="6"/>
      <c r="T2930" s="6"/>
      <c r="U2930" s="6"/>
    </row>
    <row r="2931">
      <c r="A2931" s="6"/>
      <c r="B2931" s="6"/>
      <c r="C2931" s="6"/>
      <c r="D2931" s="6"/>
      <c r="E2931" s="6"/>
      <c r="G2931" s="6"/>
      <c r="H2931" s="6"/>
      <c r="I2931" s="6"/>
      <c r="J2931" s="6"/>
      <c r="K2931" s="6"/>
      <c r="L2931" s="6"/>
      <c r="M2931" s="6"/>
      <c r="N2931" s="672"/>
      <c r="O2931" s="6"/>
      <c r="P2931" s="6"/>
      <c r="Q2931" s="6"/>
      <c r="R2931" s="6"/>
      <c r="S2931" s="6"/>
      <c r="T2931" s="6"/>
      <c r="U2931" s="6"/>
    </row>
    <row r="2932">
      <c r="A2932" s="6"/>
      <c r="B2932" s="6"/>
      <c r="C2932" s="6"/>
      <c r="D2932" s="6"/>
      <c r="E2932" s="6"/>
      <c r="G2932" s="6"/>
      <c r="H2932" s="6"/>
      <c r="I2932" s="6"/>
      <c r="J2932" s="6"/>
      <c r="K2932" s="6"/>
      <c r="L2932" s="6"/>
      <c r="M2932" s="6"/>
      <c r="N2932" s="672"/>
      <c r="O2932" s="6"/>
      <c r="P2932" s="6"/>
      <c r="Q2932" s="6"/>
      <c r="R2932" s="6"/>
      <c r="S2932" s="6"/>
      <c r="T2932" s="6"/>
      <c r="U2932" s="6"/>
    </row>
    <row r="2933">
      <c r="A2933" s="6"/>
      <c r="B2933" s="6"/>
      <c r="C2933" s="6"/>
      <c r="D2933" s="6"/>
      <c r="E2933" s="6"/>
      <c r="G2933" s="6"/>
      <c r="H2933" s="6"/>
      <c r="I2933" s="6"/>
      <c r="J2933" s="6"/>
      <c r="K2933" s="6"/>
      <c r="L2933" s="6"/>
      <c r="M2933" s="6"/>
      <c r="N2933" s="672"/>
      <c r="O2933" s="6"/>
      <c r="P2933" s="6"/>
      <c r="Q2933" s="6"/>
      <c r="R2933" s="6"/>
      <c r="S2933" s="6"/>
      <c r="T2933" s="6"/>
      <c r="U2933" s="6"/>
    </row>
    <row r="2934">
      <c r="A2934" s="6"/>
      <c r="B2934" s="6"/>
      <c r="C2934" s="6"/>
      <c r="D2934" s="6"/>
      <c r="E2934" s="6"/>
      <c r="G2934" s="6"/>
      <c r="H2934" s="6"/>
      <c r="I2934" s="6"/>
      <c r="J2934" s="6"/>
      <c r="K2934" s="6"/>
      <c r="L2934" s="6"/>
      <c r="M2934" s="6"/>
      <c r="N2934" s="672"/>
      <c r="O2934" s="6"/>
      <c r="P2934" s="6"/>
      <c r="Q2934" s="6"/>
      <c r="R2934" s="6"/>
      <c r="S2934" s="6"/>
      <c r="T2934" s="6"/>
      <c r="U2934" s="6"/>
    </row>
    <row r="2935">
      <c r="A2935" s="6"/>
      <c r="B2935" s="6"/>
      <c r="C2935" s="6"/>
      <c r="D2935" s="6"/>
      <c r="E2935" s="6"/>
      <c r="G2935" s="6"/>
      <c r="H2935" s="6"/>
      <c r="I2935" s="6"/>
      <c r="J2935" s="6"/>
      <c r="K2935" s="6"/>
      <c r="L2935" s="6"/>
      <c r="M2935" s="6"/>
      <c r="N2935" s="672"/>
      <c r="O2935" s="6"/>
      <c r="P2935" s="6"/>
      <c r="Q2935" s="6"/>
      <c r="R2935" s="6"/>
      <c r="S2935" s="6"/>
      <c r="T2935" s="6"/>
      <c r="U2935" s="6"/>
    </row>
    <row r="2936">
      <c r="A2936" s="6"/>
      <c r="B2936" s="6"/>
      <c r="C2936" s="6"/>
      <c r="D2936" s="6"/>
      <c r="E2936" s="6"/>
      <c r="G2936" s="6"/>
      <c r="H2936" s="6"/>
      <c r="I2936" s="6"/>
      <c r="J2936" s="6"/>
      <c r="K2936" s="6"/>
      <c r="L2936" s="6"/>
      <c r="M2936" s="6"/>
      <c r="N2936" s="672"/>
      <c r="O2936" s="6"/>
      <c r="P2936" s="6"/>
      <c r="Q2936" s="6"/>
      <c r="R2936" s="6"/>
      <c r="S2936" s="6"/>
      <c r="T2936" s="6"/>
      <c r="U2936" s="6"/>
    </row>
    <row r="2937">
      <c r="A2937" s="6"/>
      <c r="B2937" s="6"/>
      <c r="C2937" s="6"/>
      <c r="D2937" s="6"/>
      <c r="E2937" s="6"/>
      <c r="G2937" s="6"/>
      <c r="H2937" s="6"/>
      <c r="I2937" s="6"/>
      <c r="J2937" s="6"/>
      <c r="K2937" s="6"/>
      <c r="L2937" s="6"/>
      <c r="M2937" s="6"/>
      <c r="N2937" s="672"/>
      <c r="O2937" s="6"/>
      <c r="P2937" s="6"/>
      <c r="Q2937" s="6"/>
      <c r="R2937" s="6"/>
      <c r="S2937" s="6"/>
      <c r="T2937" s="6"/>
      <c r="U2937" s="6"/>
    </row>
    <row r="2938">
      <c r="A2938" s="6"/>
      <c r="B2938" s="6"/>
      <c r="C2938" s="6"/>
      <c r="D2938" s="6"/>
      <c r="E2938" s="6"/>
      <c r="G2938" s="6"/>
      <c r="H2938" s="6"/>
      <c r="I2938" s="6"/>
      <c r="J2938" s="6"/>
      <c r="K2938" s="6"/>
      <c r="L2938" s="6"/>
      <c r="M2938" s="6"/>
      <c r="N2938" s="672"/>
      <c r="O2938" s="6"/>
      <c r="P2938" s="6"/>
      <c r="Q2938" s="6"/>
      <c r="R2938" s="6"/>
      <c r="S2938" s="6"/>
      <c r="T2938" s="6"/>
      <c r="U2938" s="6"/>
    </row>
    <row r="2939">
      <c r="A2939" s="6"/>
      <c r="B2939" s="6"/>
      <c r="C2939" s="6"/>
      <c r="D2939" s="6"/>
      <c r="E2939" s="6"/>
      <c r="G2939" s="6"/>
      <c r="H2939" s="6"/>
      <c r="I2939" s="6"/>
      <c r="J2939" s="6"/>
      <c r="K2939" s="6"/>
      <c r="L2939" s="6"/>
      <c r="M2939" s="6"/>
      <c r="N2939" s="672"/>
      <c r="O2939" s="6"/>
      <c r="P2939" s="6"/>
      <c r="Q2939" s="6"/>
      <c r="R2939" s="6"/>
      <c r="S2939" s="6"/>
      <c r="T2939" s="6"/>
      <c r="U2939" s="6"/>
    </row>
    <row r="2940">
      <c r="A2940" s="6"/>
      <c r="B2940" s="6"/>
      <c r="C2940" s="6"/>
      <c r="D2940" s="6"/>
      <c r="E2940" s="6"/>
      <c r="G2940" s="6"/>
      <c r="H2940" s="6"/>
      <c r="I2940" s="6"/>
      <c r="J2940" s="6"/>
      <c r="K2940" s="6"/>
      <c r="L2940" s="6"/>
      <c r="M2940" s="6"/>
      <c r="N2940" s="672"/>
      <c r="O2940" s="6"/>
      <c r="P2940" s="6"/>
      <c r="Q2940" s="6"/>
      <c r="R2940" s="6"/>
      <c r="S2940" s="6"/>
      <c r="T2940" s="6"/>
      <c r="U2940" s="6"/>
    </row>
    <row r="2941">
      <c r="A2941" s="6"/>
      <c r="B2941" s="6"/>
      <c r="C2941" s="6"/>
      <c r="D2941" s="6"/>
      <c r="E2941" s="6"/>
      <c r="G2941" s="6"/>
      <c r="H2941" s="6"/>
      <c r="I2941" s="6"/>
      <c r="J2941" s="6"/>
      <c r="K2941" s="6"/>
      <c r="L2941" s="6"/>
      <c r="M2941" s="6"/>
      <c r="N2941" s="672"/>
      <c r="O2941" s="6"/>
      <c r="P2941" s="6"/>
      <c r="Q2941" s="6"/>
      <c r="R2941" s="6"/>
      <c r="S2941" s="6"/>
      <c r="T2941" s="6"/>
      <c r="U2941" s="6"/>
    </row>
    <row r="2942">
      <c r="A2942" s="6"/>
      <c r="B2942" s="6"/>
      <c r="C2942" s="6"/>
      <c r="D2942" s="6"/>
      <c r="E2942" s="6"/>
      <c r="G2942" s="6"/>
      <c r="H2942" s="6"/>
      <c r="I2942" s="6"/>
      <c r="J2942" s="6"/>
      <c r="K2942" s="6"/>
      <c r="L2942" s="6"/>
      <c r="M2942" s="6"/>
      <c r="N2942" s="672"/>
      <c r="O2942" s="6"/>
      <c r="P2942" s="6"/>
      <c r="Q2942" s="6"/>
      <c r="R2942" s="6"/>
      <c r="S2942" s="6"/>
      <c r="T2942" s="6"/>
      <c r="U2942" s="6"/>
    </row>
    <row r="2943">
      <c r="A2943" s="6"/>
      <c r="B2943" s="6"/>
      <c r="C2943" s="6"/>
      <c r="D2943" s="6"/>
      <c r="E2943" s="6"/>
      <c r="G2943" s="6"/>
      <c r="H2943" s="6"/>
      <c r="I2943" s="6"/>
      <c r="J2943" s="6"/>
      <c r="K2943" s="6"/>
      <c r="L2943" s="6"/>
      <c r="M2943" s="6"/>
      <c r="N2943" s="672"/>
      <c r="O2943" s="6"/>
      <c r="P2943" s="6"/>
      <c r="Q2943" s="6"/>
      <c r="R2943" s="6"/>
      <c r="S2943" s="6"/>
      <c r="T2943" s="6"/>
      <c r="U2943" s="6"/>
    </row>
    <row r="2944">
      <c r="A2944" s="6"/>
      <c r="B2944" s="6"/>
      <c r="C2944" s="6"/>
      <c r="D2944" s="6"/>
      <c r="E2944" s="6"/>
      <c r="G2944" s="6"/>
      <c r="H2944" s="6"/>
      <c r="I2944" s="6"/>
      <c r="J2944" s="6"/>
      <c r="K2944" s="6"/>
      <c r="L2944" s="6"/>
      <c r="M2944" s="6"/>
      <c r="N2944" s="672"/>
      <c r="O2944" s="6"/>
      <c r="P2944" s="6"/>
      <c r="Q2944" s="6"/>
      <c r="R2944" s="6"/>
      <c r="S2944" s="6"/>
      <c r="T2944" s="6"/>
      <c r="U2944" s="6"/>
    </row>
    <row r="2945">
      <c r="A2945" s="6"/>
      <c r="B2945" s="6"/>
      <c r="C2945" s="6"/>
      <c r="D2945" s="6"/>
      <c r="E2945" s="6"/>
      <c r="G2945" s="6"/>
      <c r="H2945" s="6"/>
      <c r="I2945" s="6"/>
      <c r="J2945" s="6"/>
      <c r="K2945" s="6"/>
      <c r="L2945" s="6"/>
      <c r="M2945" s="6"/>
      <c r="N2945" s="672"/>
      <c r="O2945" s="6"/>
      <c r="P2945" s="6"/>
      <c r="Q2945" s="6"/>
      <c r="R2945" s="6"/>
      <c r="S2945" s="6"/>
      <c r="T2945" s="6"/>
      <c r="U2945" s="6"/>
    </row>
    <row r="2946">
      <c r="A2946" s="6"/>
      <c r="B2946" s="6"/>
      <c r="C2946" s="6"/>
      <c r="D2946" s="6"/>
      <c r="E2946" s="6"/>
      <c r="G2946" s="6"/>
      <c r="H2946" s="6"/>
      <c r="I2946" s="6"/>
      <c r="J2946" s="6"/>
      <c r="K2946" s="6"/>
      <c r="L2946" s="6"/>
      <c r="M2946" s="6"/>
      <c r="N2946" s="672"/>
      <c r="O2946" s="6"/>
      <c r="P2946" s="6"/>
      <c r="Q2946" s="6"/>
      <c r="R2946" s="6"/>
      <c r="S2946" s="6"/>
      <c r="T2946" s="6"/>
      <c r="U2946" s="6"/>
    </row>
    <row r="2947">
      <c r="A2947" s="6"/>
      <c r="B2947" s="6"/>
      <c r="C2947" s="6"/>
      <c r="D2947" s="6"/>
      <c r="E2947" s="6"/>
      <c r="G2947" s="6"/>
      <c r="H2947" s="6"/>
      <c r="I2947" s="6"/>
      <c r="J2947" s="6"/>
      <c r="K2947" s="6"/>
      <c r="L2947" s="6"/>
      <c r="M2947" s="6"/>
      <c r="N2947" s="672"/>
      <c r="O2947" s="6"/>
      <c r="P2947" s="6"/>
      <c r="Q2947" s="6"/>
      <c r="R2947" s="6"/>
      <c r="S2947" s="6"/>
      <c r="T2947" s="6"/>
      <c r="U2947" s="6"/>
    </row>
    <row r="2948">
      <c r="A2948" s="6"/>
      <c r="B2948" s="6"/>
      <c r="C2948" s="6"/>
      <c r="D2948" s="6"/>
      <c r="E2948" s="6"/>
      <c r="G2948" s="6"/>
      <c r="H2948" s="6"/>
      <c r="I2948" s="6"/>
      <c r="J2948" s="6"/>
      <c r="K2948" s="6"/>
      <c r="L2948" s="6"/>
      <c r="M2948" s="6"/>
      <c r="N2948" s="672"/>
      <c r="O2948" s="6"/>
      <c r="P2948" s="6"/>
      <c r="Q2948" s="6"/>
      <c r="R2948" s="6"/>
      <c r="S2948" s="6"/>
      <c r="T2948" s="6"/>
      <c r="U2948" s="6"/>
    </row>
    <row r="2949">
      <c r="A2949" s="6"/>
      <c r="B2949" s="6"/>
      <c r="C2949" s="6"/>
      <c r="D2949" s="6"/>
      <c r="E2949" s="6"/>
      <c r="G2949" s="6"/>
      <c r="H2949" s="6"/>
      <c r="I2949" s="6"/>
      <c r="J2949" s="6"/>
      <c r="K2949" s="6"/>
      <c r="L2949" s="6"/>
      <c r="M2949" s="6"/>
      <c r="N2949" s="672"/>
      <c r="O2949" s="6"/>
      <c r="P2949" s="6"/>
      <c r="Q2949" s="6"/>
      <c r="R2949" s="6"/>
      <c r="S2949" s="6"/>
      <c r="T2949" s="6"/>
      <c r="U2949" s="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3.29"/>
    <col customWidth="1" min="3" max="3" width="8.71"/>
    <col customWidth="1" min="4" max="4" width="11.43"/>
    <col customWidth="1" min="5" max="5" width="8.71"/>
    <col customWidth="1" min="6" max="6" width="6.71"/>
    <col customWidth="1" min="7" max="7" width="7.57"/>
    <col customWidth="1" min="8" max="8" width="3.57"/>
    <col customWidth="1" min="9" max="9" width="3.43"/>
    <col customWidth="1" min="10" max="10" width="7.29"/>
    <col customWidth="1" min="11" max="11" width="7.0"/>
    <col customWidth="1" min="12" max="12" width="12.0"/>
  </cols>
  <sheetData>
    <row r="1" ht="13.5" customHeight="1">
      <c r="A1" s="507" t="s">
        <v>12115</v>
      </c>
      <c r="B1" s="508"/>
      <c r="C1" s="509"/>
      <c r="D1" s="509"/>
      <c r="E1" s="509"/>
      <c r="F1" s="510"/>
      <c r="G1" s="509"/>
      <c r="H1" s="509"/>
      <c r="I1" s="509"/>
      <c r="J1" s="511" t="s">
        <v>2867</v>
      </c>
      <c r="L1" s="512">
        <v>45736.0</v>
      </c>
    </row>
    <row r="2" ht="13.5" customHeight="1">
      <c r="A2" s="513" t="s">
        <v>12116</v>
      </c>
      <c r="B2" s="514"/>
      <c r="C2" s="515"/>
      <c r="D2" s="515"/>
      <c r="E2" s="515"/>
      <c r="F2" s="509"/>
      <c r="G2" s="509"/>
      <c r="H2" s="509"/>
      <c r="I2" s="509"/>
      <c r="J2" s="511" t="s">
        <v>11444</v>
      </c>
      <c r="L2" s="516"/>
    </row>
    <row r="3" ht="13.5" customHeight="1">
      <c r="A3" s="517"/>
      <c r="B3" s="518"/>
      <c r="C3" s="509"/>
      <c r="D3" s="519"/>
      <c r="E3" s="519"/>
      <c r="F3" s="519"/>
      <c r="G3" s="519"/>
      <c r="H3" s="519"/>
      <c r="I3" s="519"/>
      <c r="J3" s="307" t="s">
        <v>7326</v>
      </c>
      <c r="K3" s="131"/>
      <c r="L3" s="131"/>
    </row>
    <row r="4" ht="13.5" customHeight="1">
      <c r="A4" s="520"/>
      <c r="B4" s="520"/>
      <c r="C4" s="509"/>
      <c r="D4" s="519"/>
      <c r="E4" s="519"/>
      <c r="F4" s="519"/>
      <c r="G4" s="519"/>
      <c r="H4" s="519"/>
      <c r="I4" s="519"/>
      <c r="J4" s="421" t="s">
        <v>7327</v>
      </c>
      <c r="K4" s="131"/>
      <c r="L4" s="131"/>
    </row>
    <row r="5" ht="13.5" customHeight="1">
      <c r="A5" s="520"/>
      <c r="B5" s="520"/>
      <c r="C5" s="509"/>
      <c r="D5" s="519"/>
      <c r="E5" s="519"/>
      <c r="F5" s="519"/>
      <c r="G5" s="519"/>
      <c r="H5" s="519"/>
      <c r="I5" s="519"/>
      <c r="J5" s="329" t="s">
        <v>2958</v>
      </c>
      <c r="K5" s="131"/>
      <c r="L5" s="521"/>
    </row>
    <row r="6" ht="13.5" customHeight="1">
      <c r="A6" s="520"/>
      <c r="B6" s="520"/>
      <c r="C6" s="509"/>
      <c r="D6" s="519"/>
      <c r="E6" s="519"/>
      <c r="F6" s="519"/>
      <c r="G6" s="519"/>
      <c r="H6" s="519"/>
      <c r="I6" s="519"/>
      <c r="J6" s="329"/>
      <c r="K6" s="131"/>
      <c r="L6" s="522"/>
    </row>
    <row r="7" ht="13.5" customHeight="1">
      <c r="A7" s="520"/>
      <c r="B7" s="520"/>
      <c r="C7" s="509"/>
      <c r="D7" s="523" t="s">
        <v>11446</v>
      </c>
      <c r="G7" s="519"/>
      <c r="H7" s="519"/>
      <c r="I7" s="519"/>
      <c r="J7" s="524"/>
      <c r="K7" s="524"/>
      <c r="L7" s="524"/>
    </row>
    <row r="8" ht="13.5" customHeight="1">
      <c r="A8" s="73"/>
      <c r="B8" s="518"/>
      <c r="C8" s="73"/>
      <c r="D8" s="526"/>
      <c r="E8" s="526"/>
      <c r="F8" s="526"/>
      <c r="G8" s="73"/>
      <c r="H8" s="73"/>
      <c r="I8" s="73"/>
      <c r="J8" s="527"/>
      <c r="K8" s="527"/>
    </row>
    <row r="9" ht="13.5" customHeight="1">
      <c r="A9" s="528" t="s">
        <v>2892</v>
      </c>
      <c r="B9" s="496" t="s">
        <v>7325</v>
      </c>
      <c r="C9" s="73"/>
      <c r="D9" s="529"/>
      <c r="E9" s="73"/>
      <c r="F9" s="73"/>
      <c r="G9" s="73"/>
      <c r="H9" s="530"/>
      <c r="I9" s="531"/>
      <c r="J9" s="530" t="s">
        <v>11447</v>
      </c>
      <c r="K9" s="531"/>
      <c r="L9" s="289"/>
    </row>
    <row r="10" ht="13.5" customHeight="1">
      <c r="A10" s="532" t="s">
        <v>11448</v>
      </c>
      <c r="B10" s="649" t="s">
        <v>11449</v>
      </c>
      <c r="C10" s="532" t="s">
        <v>11462</v>
      </c>
      <c r="D10" s="2"/>
      <c r="E10" s="2"/>
      <c r="F10" s="2"/>
      <c r="G10" s="2"/>
      <c r="H10" s="535" t="s">
        <v>11450</v>
      </c>
      <c r="I10" s="536"/>
      <c r="J10" s="535" t="s">
        <v>11451</v>
      </c>
      <c r="K10" s="536"/>
      <c r="L10" s="532" t="s">
        <v>2905</v>
      </c>
    </row>
    <row r="11" ht="13.5" customHeight="1">
      <c r="A11" s="537">
        <v>1.0</v>
      </c>
      <c r="B11" s="513" t="s">
        <v>3085</v>
      </c>
      <c r="C11" s="475" t="str">
        <f>IFERROR(VLOOKUP(B11,Stock,3,FALSE),"")</f>
        <v>Honda Jazz 07-13 2nd Gen</v>
      </c>
      <c r="H11" s="538">
        <v>1.0</v>
      </c>
      <c r="I11" s="538" t="s">
        <v>2894</v>
      </c>
      <c r="J11" s="539">
        <v>1087000.0</v>
      </c>
      <c r="K11" s="536"/>
      <c r="L11" s="540">
        <f t="shared" ref="L11:L18" si="1">H11*J11</f>
        <v>1087000</v>
      </c>
    </row>
    <row r="12" ht="13.5" customHeight="1">
      <c r="A12" s="541"/>
      <c r="B12" s="56"/>
      <c r="C12" s="475" t="str">
        <f>IFERROR(VLOOKUP(B12,Stock,3,FALSE),"")</f>
        <v/>
      </c>
      <c r="H12" s="574"/>
      <c r="I12" s="203"/>
      <c r="J12" s="388"/>
      <c r="L12" s="540">
        <f t="shared" si="1"/>
        <v>0</v>
      </c>
    </row>
    <row r="13" ht="13.5" customHeight="1">
      <c r="A13" s="537"/>
      <c r="B13" s="169"/>
      <c r="C13" s="475" t="str">
        <f>IFERROR(VLOOKUP(B13,Stock,3,FALSE),"")</f>
        <v/>
      </c>
      <c r="H13" s="203"/>
      <c r="I13" s="203"/>
      <c r="J13" s="388"/>
      <c r="L13" s="540">
        <f t="shared" si="1"/>
        <v>0</v>
      </c>
    </row>
    <row r="14" ht="13.5" customHeight="1">
      <c r="A14" s="541"/>
      <c r="B14" s="169"/>
      <c r="C14" s="475" t="str">
        <f>IFERROR(VLOOKUP(B14,Stock,3,FALSE),"")</f>
        <v/>
      </c>
      <c r="H14" s="203"/>
      <c r="I14" s="203"/>
      <c r="J14" s="388"/>
      <c r="L14" s="540">
        <f t="shared" si="1"/>
        <v>0</v>
      </c>
    </row>
    <row r="15" ht="13.5" customHeight="1">
      <c r="A15" s="541"/>
      <c r="B15" s="304"/>
      <c r="C15" s="475" t="str">
        <f>IFERROR(VLOOKUP(B15,Stock,3,FALSE),"")</f>
        <v/>
      </c>
      <c r="H15" s="203"/>
      <c r="I15" s="203"/>
      <c r="J15" s="542"/>
      <c r="L15" s="540">
        <f t="shared" si="1"/>
        <v>0</v>
      </c>
    </row>
    <row r="16" ht="13.5" customHeight="1">
      <c r="A16" s="203"/>
      <c r="B16" s="175"/>
      <c r="C16" s="475" t="str">
        <f>IFERROR(VLOOKUP(B16,Stock,3,FALSE),"")</f>
        <v/>
      </c>
      <c r="H16" s="203"/>
      <c r="I16" s="203"/>
      <c r="J16" s="542"/>
      <c r="L16" s="540">
        <f t="shared" si="1"/>
        <v>0</v>
      </c>
    </row>
    <row r="17" ht="13.5" customHeight="1">
      <c r="A17" s="203"/>
      <c r="B17" s="175"/>
      <c r="C17" s="475"/>
      <c r="D17" s="475"/>
      <c r="E17" s="475"/>
      <c r="F17" s="475"/>
      <c r="G17" s="475"/>
      <c r="H17" s="203"/>
      <c r="I17" s="203"/>
      <c r="J17" s="542"/>
      <c r="L17" s="540">
        <f t="shared" si="1"/>
        <v>0</v>
      </c>
    </row>
    <row r="18" ht="13.5" customHeight="1">
      <c r="A18" s="543"/>
      <c r="B18" s="544" t="s">
        <v>11452</v>
      </c>
      <c r="C18" s="531"/>
      <c r="D18" s="531"/>
      <c r="E18" s="531"/>
      <c r="F18" s="531"/>
      <c r="G18" s="531"/>
      <c r="H18" s="530"/>
      <c r="I18" s="530"/>
      <c r="J18" s="545"/>
      <c r="K18" s="531"/>
      <c r="L18" s="540">
        <f t="shared" si="1"/>
        <v>0</v>
      </c>
    </row>
    <row r="19" ht="13.5" customHeight="1">
      <c r="A19" s="546"/>
      <c r="B19" s="536"/>
      <c r="C19" s="536"/>
      <c r="D19" s="536"/>
      <c r="E19" s="547"/>
      <c r="F19" s="547"/>
      <c r="G19" s="547"/>
      <c r="H19" s="548"/>
      <c r="I19" s="516"/>
      <c r="J19" s="549"/>
      <c r="K19" s="200" t="s">
        <v>11453</v>
      </c>
      <c r="L19" s="575">
        <f>SUM(L11:L18)</f>
        <v>1087000</v>
      </c>
    </row>
    <row r="20" ht="13.5" customHeight="1">
      <c r="A20" s="551"/>
      <c r="D20" s="552" t="s">
        <v>11454</v>
      </c>
      <c r="E20" s="553"/>
      <c r="F20" s="554" t="s">
        <v>11490</v>
      </c>
      <c r="J20" s="555"/>
      <c r="K20" s="200" t="s">
        <v>11491</v>
      </c>
      <c r="L20" s="556"/>
    </row>
    <row r="21" ht="13.5" customHeight="1">
      <c r="A21" s="509"/>
      <c r="B21" s="557"/>
      <c r="C21" s="557"/>
      <c r="D21" s="557"/>
      <c r="E21" s="558" t="s">
        <v>1484</v>
      </c>
      <c r="J21" s="559"/>
      <c r="K21" s="560" t="s">
        <v>11457</v>
      </c>
      <c r="L21" s="561">
        <f>L19-L20</f>
        <v>1087000</v>
      </c>
    </row>
    <row r="22" ht="13.5" customHeight="1">
      <c r="A22" s="509"/>
      <c r="B22" s="520"/>
      <c r="C22" s="520"/>
      <c r="D22" s="563"/>
      <c r="E22" s="553"/>
      <c r="J22" s="564"/>
      <c r="K22" s="200"/>
      <c r="L22" s="565"/>
    </row>
    <row r="23" ht="13.5" customHeight="1">
      <c r="A23" s="509"/>
      <c r="B23" s="520"/>
      <c r="C23" s="520"/>
      <c r="D23" s="520"/>
      <c r="E23" s="520"/>
      <c r="J23" s="566"/>
      <c r="K23" s="566" t="s">
        <v>11458</v>
      </c>
      <c r="L23" s="566"/>
    </row>
    <row r="24" ht="13.5" customHeight="1">
      <c r="A24" s="567" t="s">
        <v>11459</v>
      </c>
      <c r="B24" s="508"/>
      <c r="C24" s="508"/>
      <c r="D24" s="563" t="s">
        <v>11460</v>
      </c>
      <c r="E24" s="520"/>
      <c r="F24" s="569"/>
      <c r="G24" s="569"/>
      <c r="H24" s="569"/>
      <c r="I24" s="569"/>
      <c r="J24" s="570"/>
      <c r="K24" s="572"/>
    </row>
    <row r="25" ht="15.75" customHeight="1">
      <c r="G25" s="6" t="s">
        <v>1484</v>
      </c>
      <c r="K25" s="673"/>
    </row>
    <row r="26" ht="15.75" customHeight="1"/>
    <row r="27" ht="15.75" customHeight="1"/>
    <row r="28" ht="15.75" customHeight="1"/>
    <row r="29" ht="13.5" customHeight="1">
      <c r="A29" s="507"/>
      <c r="B29" s="508"/>
      <c r="C29" s="509"/>
      <c r="D29" s="509"/>
      <c r="E29" s="573"/>
      <c r="F29" s="509"/>
      <c r="G29" s="509"/>
      <c r="H29" s="509"/>
      <c r="I29" s="509"/>
      <c r="J29" s="511"/>
      <c r="L29" s="512"/>
    </row>
    <row r="30" ht="13.5" customHeight="1">
      <c r="A30" s="56"/>
      <c r="B30" s="518"/>
      <c r="C30" s="509"/>
      <c r="D30" s="509"/>
      <c r="E30" s="509"/>
      <c r="F30" s="509"/>
      <c r="G30" s="509"/>
      <c r="H30" s="509"/>
      <c r="I30" s="509"/>
      <c r="J30" s="511"/>
      <c r="L30" s="516"/>
    </row>
    <row r="31" ht="13.5" customHeight="1">
      <c r="A31" s="517"/>
      <c r="B31" s="518"/>
      <c r="C31" s="509"/>
      <c r="D31" s="519"/>
      <c r="E31" s="519"/>
      <c r="F31" s="519"/>
      <c r="G31" s="519"/>
      <c r="H31" s="519"/>
      <c r="I31" s="519"/>
      <c r="J31" s="307"/>
      <c r="K31" s="131"/>
      <c r="L31" s="131"/>
    </row>
    <row r="32" ht="13.5" customHeight="1">
      <c r="A32" s="520"/>
      <c r="B32" s="520"/>
      <c r="C32" s="509"/>
      <c r="D32" s="519"/>
      <c r="E32" s="519"/>
      <c r="F32" s="519"/>
      <c r="G32" s="519"/>
      <c r="H32" s="519"/>
      <c r="I32" s="519"/>
      <c r="K32" s="131"/>
      <c r="L32" s="131"/>
    </row>
    <row r="33" ht="13.5" customHeight="1">
      <c r="A33" s="520"/>
      <c r="B33" s="520"/>
      <c r="C33" s="509"/>
      <c r="D33" s="519"/>
      <c r="E33" s="519"/>
      <c r="F33" s="519"/>
      <c r="G33" s="519"/>
      <c r="H33" s="519"/>
      <c r="I33" s="519"/>
      <c r="J33" s="521"/>
    </row>
    <row r="34" ht="13.5" customHeight="1">
      <c r="A34" s="520"/>
      <c r="B34" s="520"/>
      <c r="C34" s="509"/>
      <c r="D34" s="519"/>
      <c r="E34" s="519"/>
      <c r="F34" s="519"/>
      <c r="G34" s="519"/>
      <c r="H34" s="519"/>
      <c r="I34" s="519"/>
      <c r="J34" s="329"/>
      <c r="K34" s="522"/>
      <c r="L34" s="522"/>
    </row>
    <row r="35" ht="13.5" customHeight="1">
      <c r="A35" s="520"/>
      <c r="B35" s="520"/>
      <c r="C35" s="509"/>
      <c r="D35" s="523"/>
      <c r="G35" s="519"/>
      <c r="H35" s="519"/>
      <c r="I35" s="519"/>
      <c r="J35" s="524"/>
      <c r="K35" s="524"/>
      <c r="L35" s="524"/>
    </row>
    <row r="36" ht="13.5" customHeight="1">
      <c r="A36" s="73"/>
      <c r="B36" s="518"/>
      <c r="C36" s="73"/>
      <c r="D36" s="526"/>
      <c r="E36" s="526"/>
      <c r="F36" s="526"/>
      <c r="G36" s="73"/>
      <c r="H36" s="73"/>
      <c r="I36" s="73"/>
      <c r="J36" s="527"/>
      <c r="K36" s="527"/>
    </row>
    <row r="37" ht="13.5" customHeight="1">
      <c r="A37" s="581"/>
      <c r="B37" s="496"/>
      <c r="C37" s="73"/>
      <c r="D37" s="529"/>
      <c r="E37" s="73"/>
      <c r="F37" s="73"/>
      <c r="G37" s="73"/>
      <c r="H37" s="557"/>
      <c r="J37" s="557"/>
      <c r="L37" s="223"/>
    </row>
    <row r="38" ht="13.5" customHeight="1">
      <c r="A38" s="557"/>
      <c r="B38" s="585"/>
      <c r="C38" s="557"/>
      <c r="H38" s="557"/>
      <c r="J38" s="557"/>
      <c r="L38" s="557"/>
    </row>
    <row r="39" ht="13.5" customHeight="1">
      <c r="A39" s="537"/>
      <c r="B39" s="56"/>
      <c r="C39" s="475"/>
      <c r="H39" s="203"/>
      <c r="I39" s="203"/>
      <c r="J39" s="388"/>
      <c r="L39" s="540"/>
    </row>
    <row r="40" ht="13.5" customHeight="1">
      <c r="A40" s="541"/>
      <c r="B40" s="56"/>
      <c r="C40" s="87"/>
      <c r="H40" s="574"/>
      <c r="I40" s="203"/>
      <c r="J40" s="388"/>
      <c r="L40" s="540"/>
    </row>
    <row r="41" ht="13.5" customHeight="1">
      <c r="A41" s="537"/>
      <c r="B41" s="56"/>
      <c r="C41" s="87"/>
      <c r="H41" s="203"/>
      <c r="I41" s="203"/>
      <c r="J41" s="388"/>
      <c r="L41" s="540"/>
    </row>
    <row r="42" ht="13.5" customHeight="1">
      <c r="A42" s="541"/>
      <c r="B42" s="169"/>
      <c r="C42" s="87"/>
      <c r="H42" s="203"/>
      <c r="I42" s="203"/>
      <c r="J42" s="388"/>
      <c r="L42" s="540"/>
    </row>
    <row r="43" ht="13.5" customHeight="1">
      <c r="A43" s="541"/>
      <c r="B43" s="56"/>
      <c r="C43" s="87"/>
      <c r="H43" s="203"/>
      <c r="I43" s="203"/>
      <c r="J43" s="542"/>
      <c r="L43" s="540"/>
    </row>
    <row r="44" ht="13.5" customHeight="1">
      <c r="A44" s="203"/>
      <c r="B44" s="175"/>
      <c r="C44" s="56"/>
      <c r="H44" s="203"/>
      <c r="I44" s="203"/>
      <c r="J44" s="542"/>
      <c r="L44" s="540"/>
    </row>
    <row r="45" ht="13.5" customHeight="1">
      <c r="A45" s="203"/>
      <c r="B45" s="175"/>
      <c r="C45" s="56"/>
      <c r="D45" s="56"/>
      <c r="E45" s="56"/>
      <c r="F45" s="56"/>
      <c r="G45" s="56"/>
      <c r="H45" s="203"/>
      <c r="I45" s="203"/>
      <c r="J45" s="542"/>
      <c r="K45" s="542"/>
      <c r="L45" s="540"/>
    </row>
    <row r="46" ht="13.5" customHeight="1">
      <c r="A46" s="543"/>
      <c r="B46" s="175"/>
      <c r="H46" s="557"/>
      <c r="I46" s="557"/>
      <c r="J46" s="586"/>
      <c r="L46" s="540"/>
    </row>
    <row r="47" ht="13.5" customHeight="1">
      <c r="A47" s="587"/>
      <c r="E47" s="588"/>
      <c r="F47" s="588"/>
      <c r="G47" s="588"/>
      <c r="H47" s="548"/>
      <c r="I47" s="516"/>
      <c r="J47" s="549"/>
      <c r="K47" s="200"/>
      <c r="L47" s="589"/>
    </row>
    <row r="48" ht="13.5" customHeight="1">
      <c r="A48" s="551"/>
      <c r="D48" s="552"/>
      <c r="E48" s="553"/>
      <c r="F48" s="554"/>
      <c r="J48" s="555"/>
      <c r="K48" s="200"/>
      <c r="L48" s="590"/>
    </row>
    <row r="49" ht="13.5" customHeight="1">
      <c r="A49" s="509"/>
      <c r="B49" s="557"/>
      <c r="C49" s="557"/>
      <c r="D49" s="557"/>
      <c r="E49" s="558"/>
      <c r="J49" s="559"/>
      <c r="K49" s="560"/>
      <c r="L49" s="591"/>
    </row>
    <row r="50" ht="13.5" customHeight="1">
      <c r="A50" s="509"/>
      <c r="B50" s="520"/>
      <c r="C50" s="520"/>
      <c r="D50" s="563"/>
      <c r="E50" s="553"/>
      <c r="J50" s="564"/>
      <c r="K50" s="200"/>
      <c r="L50" s="565"/>
    </row>
    <row r="51" ht="13.5" customHeight="1">
      <c r="A51" s="509"/>
      <c r="B51" s="520"/>
      <c r="C51" s="520"/>
      <c r="D51" s="520"/>
      <c r="E51" s="520"/>
      <c r="J51" s="566"/>
      <c r="K51" s="566"/>
      <c r="L51" s="566"/>
    </row>
    <row r="52" ht="13.5" customHeight="1">
      <c r="A52" s="508"/>
      <c r="B52" s="508"/>
      <c r="C52" s="508"/>
      <c r="D52" s="563"/>
      <c r="E52" s="520"/>
      <c r="F52" s="569"/>
      <c r="G52" s="569"/>
      <c r="H52" s="569"/>
      <c r="I52" s="569"/>
      <c r="J52" s="570"/>
      <c r="K52" s="576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</sheetData>
  <mergeCells count="50">
    <mergeCell ref="D7:F7"/>
    <mergeCell ref="H9:I9"/>
    <mergeCell ref="J9:K9"/>
    <mergeCell ref="C10:G10"/>
    <mergeCell ref="H10:I10"/>
    <mergeCell ref="J10:K10"/>
    <mergeCell ref="J11:K11"/>
    <mergeCell ref="C11:G11"/>
    <mergeCell ref="C12:G12"/>
    <mergeCell ref="J12:K12"/>
    <mergeCell ref="C13:G13"/>
    <mergeCell ref="J13:K13"/>
    <mergeCell ref="C14:G14"/>
    <mergeCell ref="C15:G15"/>
    <mergeCell ref="C16:G16"/>
    <mergeCell ref="J16:K16"/>
    <mergeCell ref="B18:G18"/>
    <mergeCell ref="J18:K18"/>
    <mergeCell ref="A19:D19"/>
    <mergeCell ref="A20:C20"/>
    <mergeCell ref="K24:L24"/>
    <mergeCell ref="J40:K40"/>
    <mergeCell ref="J41:K41"/>
    <mergeCell ref="J42:K42"/>
    <mergeCell ref="J43:K43"/>
    <mergeCell ref="J44:K44"/>
    <mergeCell ref="J46:K46"/>
    <mergeCell ref="K52:L52"/>
    <mergeCell ref="J14:K14"/>
    <mergeCell ref="J15:K15"/>
    <mergeCell ref="J17:K17"/>
    <mergeCell ref="J33:L33"/>
    <mergeCell ref="J37:K37"/>
    <mergeCell ref="J38:K38"/>
    <mergeCell ref="J39:K39"/>
    <mergeCell ref="C41:G41"/>
    <mergeCell ref="C42:G42"/>
    <mergeCell ref="C43:G43"/>
    <mergeCell ref="C44:G44"/>
    <mergeCell ref="B46:G46"/>
    <mergeCell ref="A47:D47"/>
    <mergeCell ref="A48:C48"/>
    <mergeCell ref="F48:I51"/>
    <mergeCell ref="F20:I23"/>
    <mergeCell ref="D35:F35"/>
    <mergeCell ref="H37:I37"/>
    <mergeCell ref="C38:G38"/>
    <mergeCell ref="H38:I38"/>
    <mergeCell ref="C39:G39"/>
    <mergeCell ref="C40:G40"/>
  </mergeCells>
  <printOptions horizontalCentered="1"/>
  <pageMargins bottom="0.75" footer="0.0" header="0.0" left="0.25" right="0.25" top="0.75"/>
  <pageSetup fitToHeight="0"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674" t="s">
        <v>12117</v>
      </c>
    </row>
    <row r="2">
      <c r="A2" s="675" t="s">
        <v>12118</v>
      </c>
      <c r="B2" s="675" t="s">
        <v>12119</v>
      </c>
      <c r="C2" s="676" t="s">
        <v>12120</v>
      </c>
      <c r="D2" s="677" t="s">
        <v>12121</v>
      </c>
      <c r="E2" s="677" t="s">
        <v>12122</v>
      </c>
      <c r="F2" s="109"/>
    </row>
    <row r="3">
      <c r="A3" s="678" t="s">
        <v>12123</v>
      </c>
      <c r="B3" s="679" t="s">
        <v>7878</v>
      </c>
      <c r="C3" s="680" t="s">
        <v>4717</v>
      </c>
      <c r="D3" s="678" t="s">
        <v>3671</v>
      </c>
      <c r="E3" s="679" t="s">
        <v>3664</v>
      </c>
      <c r="F3" s="109"/>
    </row>
    <row r="4">
      <c r="A4" s="678" t="s">
        <v>12124</v>
      </c>
      <c r="B4" s="678" t="s">
        <v>12125</v>
      </c>
      <c r="C4" s="681" t="s">
        <v>12126</v>
      </c>
      <c r="D4" s="678" t="s">
        <v>3664</v>
      </c>
      <c r="E4" s="679" t="s">
        <v>3671</v>
      </c>
      <c r="F4" s="109"/>
    </row>
    <row r="5">
      <c r="A5" s="678" t="s">
        <v>12127</v>
      </c>
      <c r="B5" s="678" t="s">
        <v>4717</v>
      </c>
      <c r="C5" s="680" t="s">
        <v>12125</v>
      </c>
      <c r="D5" s="678" t="s">
        <v>3671</v>
      </c>
      <c r="E5" s="679" t="s">
        <v>3664</v>
      </c>
      <c r="F5" s="109"/>
    </row>
    <row r="6">
      <c r="A6" s="678" t="s">
        <v>12128</v>
      </c>
      <c r="B6" s="679" t="s">
        <v>12126</v>
      </c>
      <c r="C6" s="681" t="s">
        <v>7878</v>
      </c>
      <c r="D6" s="678" t="s">
        <v>3664</v>
      </c>
      <c r="E6" s="679" t="s">
        <v>3671</v>
      </c>
      <c r="F6" s="109"/>
    </row>
    <row r="7">
      <c r="A7" s="682" t="s">
        <v>12129</v>
      </c>
      <c r="B7" s="682" t="s">
        <v>12125</v>
      </c>
      <c r="C7" s="683" t="s">
        <v>4717</v>
      </c>
      <c r="D7" s="682" t="s">
        <v>3671</v>
      </c>
      <c r="E7" s="679" t="s">
        <v>3664</v>
      </c>
      <c r="F7" s="109"/>
    </row>
    <row r="8">
      <c r="A8" s="684"/>
      <c r="B8" s="684"/>
      <c r="C8" s="684"/>
      <c r="D8" s="684"/>
      <c r="E8" s="685"/>
      <c r="F8" s="685"/>
    </row>
    <row r="9">
      <c r="A9" s="686"/>
      <c r="B9" s="686"/>
      <c r="C9" s="686"/>
      <c r="D9" s="686"/>
      <c r="E9" s="686"/>
      <c r="F9" s="686"/>
    </row>
    <row r="10">
      <c r="A10" s="687"/>
      <c r="B10" s="687"/>
      <c r="C10" s="687"/>
      <c r="D10" s="687"/>
      <c r="E10" s="687"/>
      <c r="F10" s="686"/>
    </row>
    <row r="11">
      <c r="A11" s="686"/>
      <c r="B11" s="686"/>
      <c r="C11" s="686"/>
      <c r="D11" s="686"/>
      <c r="E11" s="686"/>
      <c r="F11" s="686"/>
    </row>
    <row r="12">
      <c r="A12" s="686" t="s">
        <v>12130</v>
      </c>
      <c r="B12" s="686"/>
      <c r="C12" s="686"/>
      <c r="D12" s="686"/>
      <c r="E12" s="686"/>
      <c r="F12" s="686"/>
    </row>
    <row r="13">
      <c r="A13" s="688">
        <v>1.0</v>
      </c>
      <c r="B13" s="686" t="s">
        <v>12131</v>
      </c>
      <c r="C13" s="686"/>
      <c r="D13" s="686"/>
      <c r="E13" s="686"/>
      <c r="F13" s="686"/>
    </row>
    <row r="14">
      <c r="A14" s="688">
        <v>2.0</v>
      </c>
      <c r="B14" s="686" t="s">
        <v>12132</v>
      </c>
      <c r="C14" s="686"/>
      <c r="D14" s="686"/>
      <c r="E14" s="686"/>
      <c r="F14" s="686"/>
    </row>
    <row r="15">
      <c r="A15" s="688">
        <v>3.0</v>
      </c>
      <c r="B15" s="686" t="s">
        <v>12133</v>
      </c>
      <c r="C15" s="686"/>
      <c r="D15" s="686"/>
      <c r="E15" s="686"/>
      <c r="F15" s="686"/>
    </row>
    <row r="16">
      <c r="A16" s="688">
        <v>4.0</v>
      </c>
      <c r="B16" s="686" t="s">
        <v>12134</v>
      </c>
      <c r="C16" s="686"/>
      <c r="D16" s="686"/>
      <c r="E16" s="686"/>
      <c r="F16" s="686"/>
    </row>
    <row r="17">
      <c r="A17" s="688">
        <v>5.0</v>
      </c>
      <c r="B17" s="686" t="s">
        <v>12135</v>
      </c>
      <c r="C17" s="686"/>
      <c r="D17" s="686"/>
      <c r="E17" s="686"/>
      <c r="F17" s="686"/>
    </row>
    <row r="18">
      <c r="A18" s="688">
        <v>6.0</v>
      </c>
      <c r="B18" s="686" t="s">
        <v>12136</v>
      </c>
      <c r="C18" s="686"/>
      <c r="D18" s="686"/>
      <c r="E18" s="686"/>
      <c r="F18" s="686"/>
    </row>
    <row r="19">
      <c r="A19" s="688">
        <v>7.0</v>
      </c>
      <c r="B19" s="686" t="s">
        <v>12137</v>
      </c>
      <c r="C19" s="686"/>
      <c r="D19" s="686"/>
      <c r="E19" s="686"/>
      <c r="F19" s="686"/>
    </row>
  </sheetData>
  <mergeCells count="1">
    <mergeCell ref="A1:F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9.57"/>
    <col customWidth="1" min="3" max="3" width="8.71"/>
    <col customWidth="1" min="4" max="4" width="11.43"/>
    <col customWidth="1" min="5" max="5" width="8.71"/>
    <col customWidth="1" min="6" max="6" width="6.71"/>
    <col customWidth="1" min="7" max="7" width="7.57"/>
    <col customWidth="1" min="8" max="8" width="3.57"/>
    <col customWidth="1" min="9" max="9" width="3.43"/>
    <col customWidth="1" min="10" max="11" width="6.43"/>
    <col customWidth="1" min="12" max="12" width="12.0"/>
    <col customWidth="1" min="13" max="20" width="8.71"/>
  </cols>
  <sheetData>
    <row r="1" ht="13.5" customHeight="1">
      <c r="A1" s="519"/>
      <c r="B1" s="508"/>
      <c r="C1" s="509"/>
      <c r="D1" s="509"/>
      <c r="E1" s="509"/>
      <c r="F1" s="509"/>
      <c r="G1" s="509"/>
      <c r="H1" s="509"/>
      <c r="I1" s="509"/>
      <c r="J1" s="511" t="s">
        <v>2867</v>
      </c>
      <c r="L1" s="656" t="s">
        <v>12138</v>
      </c>
    </row>
    <row r="2" ht="13.5" customHeight="1">
      <c r="A2" s="73"/>
      <c r="B2" s="518"/>
      <c r="C2" s="509"/>
      <c r="D2" s="509"/>
      <c r="E2" s="509"/>
      <c r="F2" s="509"/>
      <c r="G2" s="509"/>
      <c r="H2" s="509"/>
      <c r="I2" s="509"/>
      <c r="J2" s="511" t="s">
        <v>11444</v>
      </c>
      <c r="L2" s="516"/>
    </row>
    <row r="3" ht="13.5" customHeight="1">
      <c r="A3" s="518"/>
      <c r="B3" s="518"/>
      <c r="C3" s="509"/>
      <c r="D3" s="519"/>
      <c r="E3" s="519"/>
      <c r="F3" s="519"/>
      <c r="G3" s="519"/>
      <c r="H3" s="519"/>
      <c r="I3" s="519"/>
      <c r="J3" s="307" t="s">
        <v>3828</v>
      </c>
      <c r="K3" s="307"/>
      <c r="L3" s="307"/>
    </row>
    <row r="4" ht="13.5" customHeight="1">
      <c r="A4" s="520"/>
      <c r="B4" s="520"/>
      <c r="C4" s="509"/>
      <c r="D4" s="519"/>
      <c r="E4" s="519"/>
      <c r="F4" s="519"/>
      <c r="G4" s="519"/>
      <c r="H4" s="519"/>
      <c r="I4" s="519"/>
      <c r="J4" s="421" t="s">
        <v>3683</v>
      </c>
      <c r="K4" s="329"/>
      <c r="L4" s="329"/>
    </row>
    <row r="5" ht="13.5" customHeight="1">
      <c r="A5" s="520"/>
      <c r="B5" s="520"/>
      <c r="C5" s="509"/>
      <c r="D5" s="519"/>
      <c r="E5" s="519"/>
      <c r="F5" s="519"/>
      <c r="G5" s="519"/>
      <c r="H5" s="519"/>
      <c r="I5" s="519"/>
      <c r="J5" s="689" t="s">
        <v>12139</v>
      </c>
      <c r="K5" s="329"/>
      <c r="L5" s="329"/>
    </row>
    <row r="6" ht="13.5" customHeight="1">
      <c r="A6" s="520"/>
      <c r="B6" s="520"/>
      <c r="C6" s="509"/>
      <c r="D6" s="519"/>
      <c r="E6" s="519"/>
      <c r="F6" s="519"/>
      <c r="G6" s="519"/>
      <c r="H6" s="519"/>
      <c r="I6" s="519"/>
      <c r="J6" s="689" t="s">
        <v>12140</v>
      </c>
      <c r="K6" s="329"/>
      <c r="L6" s="329"/>
    </row>
    <row r="7" ht="13.5" customHeight="1">
      <c r="A7" s="520"/>
      <c r="B7" s="520"/>
      <c r="C7" s="509"/>
      <c r="D7" s="519"/>
      <c r="E7" s="519"/>
      <c r="F7" s="519"/>
      <c r="G7" s="519"/>
      <c r="H7" s="519"/>
      <c r="I7" s="519"/>
      <c r="J7" s="690" t="s">
        <v>12141</v>
      </c>
      <c r="K7" s="329"/>
      <c r="L7" s="329"/>
    </row>
    <row r="8" ht="13.5" customHeight="1">
      <c r="A8" s="520"/>
      <c r="B8" s="520"/>
      <c r="C8" s="509"/>
      <c r="D8" s="519"/>
      <c r="E8" s="519"/>
      <c r="F8" s="519"/>
      <c r="G8" s="519"/>
      <c r="H8" s="519"/>
      <c r="I8" s="519"/>
      <c r="J8" s="690"/>
      <c r="K8" s="329"/>
      <c r="L8" s="329"/>
    </row>
    <row r="9" ht="13.5" customHeight="1">
      <c r="A9" s="520"/>
      <c r="B9" s="520"/>
      <c r="C9" s="509"/>
      <c r="D9" s="523" t="s">
        <v>11468</v>
      </c>
      <c r="G9" s="519"/>
      <c r="H9" s="519"/>
      <c r="I9" s="519"/>
      <c r="J9" s="689"/>
      <c r="K9" s="689"/>
      <c r="L9" s="689"/>
    </row>
    <row r="10" ht="13.5" customHeight="1">
      <c r="A10" s="528" t="s">
        <v>12142</v>
      </c>
      <c r="B10" s="658" t="s">
        <v>12143</v>
      </c>
      <c r="C10" s="73"/>
      <c r="D10" s="529"/>
      <c r="E10" s="73"/>
      <c r="F10" s="73"/>
      <c r="G10" s="73"/>
      <c r="H10" s="530"/>
      <c r="I10" s="531"/>
      <c r="J10" s="690"/>
      <c r="K10" s="690"/>
      <c r="L10" s="690"/>
    </row>
    <row r="11" ht="13.5" customHeight="1">
      <c r="A11" s="532" t="s">
        <v>11448</v>
      </c>
      <c r="B11" s="533" t="s">
        <v>11449</v>
      </c>
      <c r="C11" s="532" t="s">
        <v>11462</v>
      </c>
      <c r="D11" s="2"/>
      <c r="E11" s="2"/>
      <c r="F11" s="2"/>
      <c r="G11" s="2"/>
      <c r="H11" s="2"/>
      <c r="I11" s="2"/>
      <c r="J11" s="2"/>
      <c r="K11" s="2"/>
      <c r="L11" s="532" t="s">
        <v>11470</v>
      </c>
    </row>
    <row r="12" ht="13.5" customHeight="1">
      <c r="A12" s="537">
        <v>1.0</v>
      </c>
      <c r="B12" s="56" t="s">
        <v>2552</v>
      </c>
      <c r="C12" s="691" t="str">
        <f>IFERROR(VLOOKUP(B12,Stock,3,FALSE),"")</f>
        <v>Toyota Kijang 02-04 Kapsul Lem Efi</v>
      </c>
      <c r="D12" s="536"/>
      <c r="E12" s="536"/>
      <c r="F12" s="536"/>
      <c r="G12" s="536"/>
      <c r="H12" s="536"/>
      <c r="I12" s="536"/>
      <c r="J12" s="536"/>
      <c r="K12" s="536"/>
      <c r="L12" s="388">
        <v>1.0</v>
      </c>
    </row>
    <row r="13" ht="13.5" customHeight="1">
      <c r="A13" s="541">
        <v>2.0</v>
      </c>
      <c r="B13" s="56" t="s">
        <v>2814</v>
      </c>
      <c r="C13" s="222" t="s">
        <v>12144</v>
      </c>
      <c r="L13" s="578">
        <v>1.0</v>
      </c>
      <c r="N13" s="73"/>
      <c r="P13" s="162"/>
      <c r="Q13" s="162"/>
      <c r="R13" s="162"/>
      <c r="S13" s="162"/>
      <c r="T13" s="162"/>
    </row>
    <row r="14" ht="13.5" customHeight="1">
      <c r="A14" s="557"/>
      <c r="B14" s="73"/>
      <c r="C14" s="692" t="str">
        <f>IFERROR(VLOOKUP(B14,Stock,3,FALSE),"")</f>
        <v/>
      </c>
      <c r="L14" s="540"/>
    </row>
    <row r="15" ht="13.5" customHeight="1">
      <c r="A15" s="693"/>
      <c r="B15" s="73"/>
      <c r="C15" s="692" t="str">
        <f>IFERROR(VLOOKUP(B15,Stock,3,FALSE),"")</f>
        <v/>
      </c>
      <c r="L15" s="540"/>
    </row>
    <row r="16" ht="13.5" customHeight="1">
      <c r="A16" s="693"/>
      <c r="B16" s="73"/>
      <c r="C16" s="694" t="str">
        <f>IFERROR(VLOOKUP(B16,Stock,3,FALSE),"")</f>
        <v/>
      </c>
      <c r="D16" s="531"/>
      <c r="E16" s="531"/>
      <c r="F16" s="531"/>
      <c r="G16" s="531"/>
      <c r="H16" s="531"/>
      <c r="I16" s="531"/>
      <c r="J16" s="531"/>
      <c r="K16" s="531"/>
      <c r="L16" s="540"/>
    </row>
    <row r="17" ht="13.5" customHeight="1">
      <c r="A17" s="547"/>
      <c r="B17" s="547"/>
      <c r="C17" s="547"/>
      <c r="D17" s="547"/>
      <c r="E17" s="547"/>
      <c r="F17" s="547"/>
      <c r="G17" s="547"/>
      <c r="H17" s="645"/>
      <c r="I17" s="600"/>
      <c r="J17" s="549"/>
      <c r="K17" s="695"/>
      <c r="L17" s="696"/>
    </row>
    <row r="18" ht="13.5" customHeight="1">
      <c r="A18" s="516"/>
      <c r="B18" s="557"/>
      <c r="C18" s="516"/>
      <c r="D18" s="557"/>
      <c r="E18" s="557" t="s">
        <v>11454</v>
      </c>
      <c r="F18" s="620"/>
      <c r="G18" s="620"/>
      <c r="H18" s="620"/>
      <c r="I18" s="620"/>
      <c r="J18" s="621" t="s">
        <v>11472</v>
      </c>
      <c r="K18" s="536"/>
      <c r="L18" s="622"/>
    </row>
    <row r="19" ht="13.5" customHeight="1">
      <c r="A19" s="509"/>
      <c r="B19" s="557"/>
      <c r="C19" s="557"/>
      <c r="D19" s="557"/>
      <c r="E19" s="553"/>
      <c r="F19" s="620"/>
      <c r="G19" s="620"/>
      <c r="H19" s="620"/>
      <c r="I19" s="620"/>
      <c r="J19" s="623"/>
      <c r="K19" s="531"/>
      <c r="L19" s="160"/>
    </row>
    <row r="20" ht="13.5" customHeight="1">
      <c r="A20" s="509"/>
      <c r="B20" s="520"/>
      <c r="C20" s="520"/>
      <c r="D20" s="563"/>
      <c r="E20" s="553"/>
      <c r="F20" s="620"/>
      <c r="G20" s="620"/>
      <c r="H20" s="620"/>
      <c r="I20" s="620"/>
      <c r="J20" s="564"/>
      <c r="K20" s="200"/>
      <c r="L20" s="565"/>
    </row>
    <row r="21" ht="13.5" customHeight="1">
      <c r="A21" s="509"/>
      <c r="B21" s="520"/>
      <c r="C21" s="520"/>
      <c r="D21" s="520"/>
      <c r="E21" s="553"/>
      <c r="F21" s="620"/>
      <c r="G21" s="620"/>
      <c r="H21" s="620"/>
      <c r="I21" s="620"/>
      <c r="J21" s="576" t="s">
        <v>11473</v>
      </c>
      <c r="K21" s="566"/>
      <c r="L21" s="627"/>
    </row>
    <row r="22" ht="13.5" customHeight="1">
      <c r="A22" s="509"/>
      <c r="B22" s="520"/>
      <c r="C22" s="520"/>
      <c r="D22" s="520"/>
      <c r="E22" s="520" t="s">
        <v>11460</v>
      </c>
      <c r="F22" s="569"/>
      <c r="G22" s="569"/>
      <c r="H22" s="569"/>
      <c r="I22" s="569"/>
      <c r="J22" s="576" t="s">
        <v>11466</v>
      </c>
      <c r="K22" s="566"/>
      <c r="L22" s="629"/>
    </row>
    <row r="23" ht="13.5" customHeight="1">
      <c r="B23" s="605"/>
      <c r="H23" s="606"/>
      <c r="I23" s="606"/>
      <c r="J23" s="564"/>
      <c r="K23" s="559"/>
      <c r="L23" s="559"/>
    </row>
    <row r="24" ht="13.5" customHeight="1">
      <c r="B24" s="605"/>
      <c r="L24" s="631"/>
    </row>
    <row r="25" ht="13.5" customHeight="1">
      <c r="B25" s="605"/>
      <c r="L25" s="632"/>
    </row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6:K16"/>
    <mergeCell ref="J18:L19"/>
    <mergeCell ref="D9:F9"/>
    <mergeCell ref="H10:I10"/>
    <mergeCell ref="C11:K11"/>
    <mergeCell ref="C12:K12"/>
    <mergeCell ref="C13:K13"/>
    <mergeCell ref="C14:K14"/>
    <mergeCell ref="C15:K15"/>
  </mergeCells>
  <printOptions/>
  <pageMargins bottom="0.75" footer="0.0" header="0.0" left="0.7" right="0.7" top="0.75"/>
  <pageSetup paperSize="9" scale="85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86"/>
    <col customWidth="1" min="2" max="2" width="14.71"/>
    <col customWidth="1" min="3" max="3" width="18.71"/>
  </cols>
  <sheetData>
    <row r="1">
      <c r="A1" s="697" t="s">
        <v>12145</v>
      </c>
      <c r="B1" s="697" t="s">
        <v>11470</v>
      </c>
      <c r="C1" s="697" t="s">
        <v>2812</v>
      </c>
      <c r="D1" s="698" t="s">
        <v>12146</v>
      </c>
      <c r="E1" s="699" t="s">
        <v>12147</v>
      </c>
      <c r="F1" s="101"/>
    </row>
    <row r="2">
      <c r="B2" s="697">
        <f>sum(B3:B79)</f>
        <v>163</v>
      </c>
      <c r="F2" s="101"/>
    </row>
    <row r="3">
      <c r="A3" s="390" t="s">
        <v>6807</v>
      </c>
      <c r="B3" s="289">
        <v>1.0</v>
      </c>
      <c r="C3" s="171" t="str">
        <f>IFERROR(VLOOKUP(A3,Stock,10,FALSE),"")</f>
        <v>B12T4</v>
      </c>
      <c r="D3" s="289">
        <v>1.0</v>
      </c>
    </row>
    <row r="4">
      <c r="A4" s="390" t="s">
        <v>6810</v>
      </c>
      <c r="B4" s="289">
        <v>1.0</v>
      </c>
      <c r="C4" s="171" t="str">
        <f>IFERROR(VLOOKUP(A4,Stock,10,FALSE),"")</f>
        <v>B12T4/peti</v>
      </c>
      <c r="D4" s="289">
        <v>1.0</v>
      </c>
    </row>
    <row r="5">
      <c r="A5" s="390" t="s">
        <v>6812</v>
      </c>
      <c r="B5" s="289">
        <v>1.0</v>
      </c>
      <c r="C5" s="171" t="str">
        <f>IFERROR(VLOOKUP(A5,Stock,10,FALSE),"")</f>
        <v>B11T4/peti</v>
      </c>
      <c r="D5" s="289">
        <v>1.0</v>
      </c>
    </row>
    <row r="6">
      <c r="A6" s="390" t="s">
        <v>2843</v>
      </c>
      <c r="B6" s="289">
        <v>1.0</v>
      </c>
      <c r="C6" s="171" t="str">
        <f>IFERROR(VLOOKUP(A6,Stock,10,FALSE),"")</f>
        <v>B11T4</v>
      </c>
      <c r="D6" s="289">
        <v>1.0</v>
      </c>
    </row>
    <row r="7">
      <c r="A7" s="171" t="s">
        <v>6813</v>
      </c>
      <c r="B7" s="289">
        <v>1.0</v>
      </c>
      <c r="C7" s="171" t="str">
        <f>IFERROR(VLOOKUP(A7,Stock,10,FALSE),"")</f>
        <v>A12T4</v>
      </c>
      <c r="D7" s="289">
        <v>1.0</v>
      </c>
    </row>
    <row r="8">
      <c r="A8" s="171" t="s">
        <v>2857</v>
      </c>
      <c r="B8" s="289">
        <v>1.0</v>
      </c>
      <c r="C8" s="171" t="str">
        <f>IFERROR(VLOOKUP(A8,Stock,10,FALSE),"")</f>
        <v>A12T4</v>
      </c>
      <c r="D8" s="289">
        <v>1.0</v>
      </c>
    </row>
    <row r="9">
      <c r="A9" s="390" t="s">
        <v>6814</v>
      </c>
      <c r="B9" s="289">
        <v>1.0</v>
      </c>
      <c r="C9" s="171" t="str">
        <f>IFERROR(VLOOKUP(A9,Stock,10,FALSE),"")</f>
        <v>B6T4</v>
      </c>
      <c r="D9" s="289">
        <v>1.0</v>
      </c>
    </row>
    <row r="10">
      <c r="A10" s="390" t="s">
        <v>6815</v>
      </c>
      <c r="B10" s="289">
        <v>1.0</v>
      </c>
      <c r="C10" s="171" t="str">
        <f>IFERROR(VLOOKUP(A10,Stock,10,FALSE),"")</f>
        <v>B6T4</v>
      </c>
      <c r="D10" s="289">
        <v>1.0</v>
      </c>
    </row>
    <row r="11">
      <c r="A11" s="390" t="s">
        <v>2832</v>
      </c>
      <c r="B11" s="289">
        <v>1.0</v>
      </c>
      <c r="C11" s="171" t="str">
        <f>IFERROR(VLOOKUP(A11,Stock,10,FALSE),"")</f>
        <v>A12T4</v>
      </c>
      <c r="D11" s="289">
        <v>1.0</v>
      </c>
    </row>
    <row r="12">
      <c r="A12" s="390" t="s">
        <v>2837</v>
      </c>
      <c r="B12" s="289">
        <v>1.0</v>
      </c>
      <c r="C12" s="171" t="str">
        <f>IFERROR(VLOOKUP(A12,Stock,10,FALSE),"")</f>
        <v>B12T4</v>
      </c>
      <c r="D12" s="289">
        <v>1.0</v>
      </c>
    </row>
    <row r="13">
      <c r="A13" s="390" t="s">
        <v>6817</v>
      </c>
      <c r="B13" s="289">
        <v>1.0</v>
      </c>
      <c r="C13" s="171" t="str">
        <f>IFERROR(VLOOKUP(A13,Stock,10,FALSE),"")</f>
        <v>A12T3</v>
      </c>
      <c r="D13" s="289">
        <v>1.0</v>
      </c>
    </row>
    <row r="14">
      <c r="A14" s="390" t="s">
        <v>6818</v>
      </c>
      <c r="B14" s="289">
        <v>2.0</v>
      </c>
      <c r="C14" s="171" t="str">
        <f>IFERROR(VLOOKUP(A14,Stock,10,FALSE),"")</f>
        <v>A12T3</v>
      </c>
      <c r="D14" s="289">
        <v>2.0</v>
      </c>
    </row>
    <row r="15">
      <c r="A15" s="169" t="s">
        <v>6819</v>
      </c>
      <c r="B15" s="289">
        <v>1.0</v>
      </c>
      <c r="C15" s="171" t="str">
        <f>IFERROR(VLOOKUP(A15,Stock,10,FALSE),"")</f>
        <v>B14T4</v>
      </c>
      <c r="D15" s="289">
        <v>1.0</v>
      </c>
    </row>
    <row r="16">
      <c r="A16" s="169" t="s">
        <v>4356</v>
      </c>
      <c r="B16" s="289">
        <v>2.0</v>
      </c>
      <c r="C16" s="171" t="str">
        <f>IFERROR(VLOOKUP(A16,Stock,10,FALSE),"")</f>
        <v>B6T4</v>
      </c>
      <c r="D16" s="289">
        <v>2.0</v>
      </c>
    </row>
    <row r="17">
      <c r="A17" s="390" t="s">
        <v>2829</v>
      </c>
      <c r="B17" s="289">
        <v>2.0</v>
      </c>
      <c r="C17" s="171" t="str">
        <f>IFERROR(VLOOKUP(A17,Stock,10,FALSE),"")</f>
        <v>A10T3</v>
      </c>
      <c r="D17" s="289">
        <v>2.0</v>
      </c>
    </row>
    <row r="18">
      <c r="A18" s="390" t="s">
        <v>2831</v>
      </c>
      <c r="B18" s="289">
        <v>2.0</v>
      </c>
      <c r="C18" s="171" t="str">
        <f>IFERROR(VLOOKUP(A18,Stock,10,FALSE),"")</f>
        <v>A10T3/A11T3 5PC</v>
      </c>
      <c r="D18" s="289">
        <v>2.0</v>
      </c>
    </row>
    <row r="19">
      <c r="A19" s="390" t="s">
        <v>6686</v>
      </c>
      <c r="B19" s="289">
        <v>3.0</v>
      </c>
      <c r="C19" s="171" t="str">
        <f>IFERROR(VLOOKUP(A19,Stock,10,FALSE),"")</f>
        <v>A13T3 </v>
      </c>
      <c r="D19" s="289">
        <v>3.0</v>
      </c>
    </row>
    <row r="20">
      <c r="A20" s="390" t="s">
        <v>6687</v>
      </c>
      <c r="B20" s="289">
        <v>3.0</v>
      </c>
      <c r="C20" s="171" t="str">
        <f>IFERROR(VLOOKUP(A20,Stock,10,FALSE),"")</f>
        <v>A13T3 </v>
      </c>
      <c r="D20" s="289">
        <v>3.0</v>
      </c>
    </row>
    <row r="21">
      <c r="A21" s="390" t="s">
        <v>3542</v>
      </c>
      <c r="B21" s="289">
        <v>1.0</v>
      </c>
      <c r="C21" s="171" t="str">
        <f>IFERROR(VLOOKUP(A21,Stock,10,FALSE),"")</f>
        <v>A8T3</v>
      </c>
      <c r="D21" s="289">
        <v>1.0</v>
      </c>
    </row>
    <row r="22">
      <c r="A22" s="390" t="s">
        <v>3541</v>
      </c>
      <c r="B22" s="289">
        <v>2.0</v>
      </c>
      <c r="C22" s="171" t="str">
        <f>IFERROR(VLOOKUP(A22,Stock,10,FALSE),"")</f>
        <v>A8T3</v>
      </c>
      <c r="D22" s="289">
        <v>2.0</v>
      </c>
    </row>
    <row r="23">
      <c r="A23" s="390" t="s">
        <v>3347</v>
      </c>
      <c r="B23" s="289">
        <v>2.0</v>
      </c>
      <c r="C23" s="171" t="str">
        <f>IFERROR(VLOOKUP(A23,Stock,10,FALSE),"")</f>
        <v>A11T3</v>
      </c>
      <c r="D23" s="289">
        <v>2.0</v>
      </c>
    </row>
    <row r="24">
      <c r="A24" s="390" t="s">
        <v>6895</v>
      </c>
      <c r="B24" s="289">
        <v>3.0</v>
      </c>
      <c r="C24" s="171" t="str">
        <f>IFERROR(VLOOKUP(A24,Stock,10,FALSE),"")</f>
        <v>A11T3</v>
      </c>
    </row>
    <row r="25">
      <c r="A25" s="390" t="s">
        <v>6820</v>
      </c>
      <c r="B25" s="289">
        <v>3.0</v>
      </c>
      <c r="C25" s="171" t="str">
        <f>IFERROR(VLOOKUP(A25,Stock,10,FALSE),"")</f>
        <v>A13T4</v>
      </c>
    </row>
    <row r="26">
      <c r="A26" s="390" t="s">
        <v>6821</v>
      </c>
      <c r="B26" s="289">
        <v>3.0</v>
      </c>
      <c r="C26" s="171" t="str">
        <f>IFERROR(VLOOKUP(A26,Stock,10,FALSE),"")</f>
        <v>A13T4</v>
      </c>
    </row>
    <row r="27">
      <c r="A27" s="390" t="s">
        <v>5145</v>
      </c>
      <c r="B27" s="289">
        <v>2.0</v>
      </c>
      <c r="C27" s="171" t="str">
        <f>IFERROR(VLOOKUP(A27,Stock,10,FALSE),"")</f>
        <v>A11T3</v>
      </c>
    </row>
    <row r="28">
      <c r="A28" s="390" t="s">
        <v>5598</v>
      </c>
      <c r="B28" s="289">
        <v>2.0</v>
      </c>
      <c r="C28" s="171" t="str">
        <f>IFERROR(VLOOKUP(A28,Stock,10,FALSE),"")</f>
        <v>A11T3</v>
      </c>
    </row>
    <row r="29">
      <c r="A29" s="390" t="s">
        <v>6888</v>
      </c>
      <c r="B29" s="289">
        <v>3.0</v>
      </c>
      <c r="C29" s="171" t="str">
        <f>IFERROR(VLOOKUP(A29,Stock,10,FALSE),"")</f>
        <v>A10T3</v>
      </c>
    </row>
    <row r="30">
      <c r="A30" s="390" t="s">
        <v>6887</v>
      </c>
      <c r="B30" s="289">
        <v>3.0</v>
      </c>
      <c r="C30" s="171" t="str">
        <f>IFERROR(VLOOKUP(A30,Stock,10,FALSE),"")</f>
        <v>A10T3</v>
      </c>
    </row>
    <row r="31">
      <c r="A31" s="390" t="s">
        <v>6822</v>
      </c>
      <c r="B31" s="289">
        <v>3.0</v>
      </c>
      <c r="C31" s="171" t="str">
        <f>IFERROR(VLOOKUP(A31,Stock,10,FALSE),"")</f>
        <v>A13T4</v>
      </c>
    </row>
    <row r="32">
      <c r="A32" s="390" t="s">
        <v>6823</v>
      </c>
      <c r="B32" s="289">
        <v>3.0</v>
      </c>
      <c r="C32" s="171" t="str">
        <f>IFERROR(VLOOKUP(A32,Stock,10,FALSE),"")</f>
        <v>A13T4</v>
      </c>
    </row>
    <row r="33">
      <c r="A33" s="390" t="s">
        <v>2855</v>
      </c>
      <c r="B33" s="289">
        <v>3.0</v>
      </c>
      <c r="C33" s="171" t="str">
        <f>IFERROR(VLOOKUP(A33,Stock,10,FALSE),"")</f>
        <v>A8T3</v>
      </c>
    </row>
    <row r="34">
      <c r="A34" s="390" t="s">
        <v>2820</v>
      </c>
      <c r="B34" s="289">
        <v>2.0</v>
      </c>
      <c r="C34" s="171" t="str">
        <f>IFERROR(VLOOKUP(A34,Stock,10,FALSE),"")</f>
        <v>A7T3</v>
      </c>
    </row>
    <row r="35">
      <c r="A35" s="169" t="s">
        <v>6896</v>
      </c>
      <c r="B35" s="289">
        <v>1.0</v>
      </c>
      <c r="C35" s="171" t="str">
        <f>IFERROR(VLOOKUP(A35,Stock,10,FALSE),"")</f>
        <v>A11T4</v>
      </c>
    </row>
    <row r="36">
      <c r="A36" s="390" t="s">
        <v>6824</v>
      </c>
      <c r="B36" s="289">
        <v>3.0</v>
      </c>
      <c r="C36" s="171" t="str">
        <f>IFERROR(VLOOKUP(A36,Stock,10,FALSE),"")</f>
        <v>A13T4</v>
      </c>
    </row>
    <row r="37">
      <c r="A37" s="390" t="s">
        <v>4354</v>
      </c>
      <c r="B37" s="289">
        <v>2.0</v>
      </c>
      <c r="C37" s="171" t="str">
        <f>IFERROR(VLOOKUP(A37,Stock,10,FALSE),"")</f>
        <v>A13T4</v>
      </c>
    </row>
    <row r="38">
      <c r="A38" s="169" t="s">
        <v>4355</v>
      </c>
      <c r="B38" s="289">
        <v>2.0</v>
      </c>
      <c r="C38" s="171" t="str">
        <f>IFERROR(VLOOKUP(A38,Stock,10,FALSE),"")</f>
        <v>B8T4</v>
      </c>
    </row>
    <row r="39">
      <c r="A39" s="169" t="s">
        <v>6465</v>
      </c>
      <c r="B39" s="289">
        <v>2.0</v>
      </c>
      <c r="C39" s="171" t="str">
        <f>IFERROR(VLOOKUP(A39,Stock,10,FALSE),"")</f>
        <v>B9T4</v>
      </c>
    </row>
    <row r="40">
      <c r="A40" s="390" t="s">
        <v>2822</v>
      </c>
      <c r="B40" s="289">
        <v>2.0</v>
      </c>
      <c r="C40" s="171" t="str">
        <f>IFERROR(VLOOKUP(A40,Stock,10,FALSE),"")</f>
        <v>A7T3</v>
      </c>
    </row>
    <row r="41">
      <c r="A41" s="390" t="s">
        <v>6894</v>
      </c>
      <c r="B41" s="289">
        <v>3.0</v>
      </c>
      <c r="C41" s="171" t="str">
        <f>IFERROR(VLOOKUP(A41,Stock,10,FALSE),"")</f>
        <v>A7T3</v>
      </c>
    </row>
    <row r="42">
      <c r="A42" s="390" t="s">
        <v>2856</v>
      </c>
      <c r="B42" s="289">
        <v>3.0</v>
      </c>
      <c r="C42" s="171" t="str">
        <f>IFERROR(VLOOKUP(A42,Stock,10,FALSE),"")</f>
        <v>A6T3</v>
      </c>
    </row>
    <row r="43">
      <c r="A43" s="390" t="s">
        <v>2821</v>
      </c>
      <c r="B43" s="289">
        <v>2.0</v>
      </c>
      <c r="C43" s="171" t="str">
        <f>IFERROR(VLOOKUP(A43,Stock,10,FALSE),"")</f>
        <v>A6T3</v>
      </c>
    </row>
    <row r="44">
      <c r="A44" s="169" t="s">
        <v>4219</v>
      </c>
      <c r="B44" s="289">
        <v>2.0</v>
      </c>
      <c r="C44" s="171" t="str">
        <f>IFERROR(VLOOKUP(A44,Stock,10,FALSE),"")</f>
        <v>A13T3</v>
      </c>
    </row>
    <row r="45">
      <c r="A45" s="390" t="s">
        <v>6893</v>
      </c>
      <c r="B45" s="289">
        <v>3.0</v>
      </c>
      <c r="C45" s="171" t="str">
        <f>IFERROR(VLOOKUP(A45,Stock,10,FALSE),"")</f>
        <v>A13T3</v>
      </c>
    </row>
    <row r="46">
      <c r="A46" s="390" t="s">
        <v>6889</v>
      </c>
      <c r="B46" s="289">
        <v>2.0</v>
      </c>
      <c r="C46" s="171" t="str">
        <f>IFERROR(VLOOKUP(A46,Stock,10,FALSE),"")</f>
        <v>B7T4</v>
      </c>
    </row>
    <row r="47">
      <c r="A47" s="390" t="s">
        <v>2852</v>
      </c>
      <c r="B47" s="289">
        <v>3.0</v>
      </c>
      <c r="C47" s="171" t="str">
        <f>IFERROR(VLOOKUP(A47,Stock,10,FALSE),"")</f>
        <v>B7T4</v>
      </c>
    </row>
    <row r="48">
      <c r="A48" s="169" t="s">
        <v>5774</v>
      </c>
      <c r="B48" s="289">
        <v>2.0</v>
      </c>
      <c r="C48" s="171" t="str">
        <f>IFERROR(VLOOKUP(A48,Stock,10,FALSE),"")</f>
        <v>A6T3</v>
      </c>
    </row>
    <row r="49">
      <c r="A49" s="169" t="s">
        <v>6892</v>
      </c>
      <c r="B49" s="289">
        <v>3.0</v>
      </c>
      <c r="C49" s="171" t="str">
        <f>IFERROR(VLOOKUP(A49,Stock,10,FALSE),"")</f>
        <v>A7T3</v>
      </c>
    </row>
    <row r="50">
      <c r="A50" s="169" t="s">
        <v>2819</v>
      </c>
      <c r="B50" s="289">
        <v>2.0</v>
      </c>
      <c r="C50" s="171" t="str">
        <f>IFERROR(VLOOKUP(A50,Stock,10,FALSE),"")</f>
        <v>A12T3</v>
      </c>
    </row>
    <row r="51">
      <c r="A51" s="169" t="s">
        <v>6890</v>
      </c>
      <c r="B51" s="289">
        <v>3.0</v>
      </c>
      <c r="C51" s="171" t="str">
        <f>IFERROR(VLOOKUP(A51,Stock,10,FALSE),"")</f>
        <v>A12T3</v>
      </c>
    </row>
    <row r="52">
      <c r="A52" s="169" t="s">
        <v>12148</v>
      </c>
      <c r="B52" s="289">
        <v>3.0</v>
      </c>
      <c r="C52" s="171" t="str">
        <f>IFERROR(VLOOKUP(A52,Stock,10,FALSE),"")</f>
        <v/>
      </c>
    </row>
    <row r="53">
      <c r="A53" s="169" t="s">
        <v>12149</v>
      </c>
      <c r="B53" s="289">
        <v>3.0</v>
      </c>
      <c r="C53" s="171" t="str">
        <f>IFERROR(VLOOKUP(A53,Stock,10,FALSE),"")</f>
        <v/>
      </c>
    </row>
    <row r="54">
      <c r="A54" s="169" t="s">
        <v>7405</v>
      </c>
      <c r="B54" s="289">
        <v>1.0</v>
      </c>
      <c r="C54" s="171" t="str">
        <f>IFERROR(VLOOKUP(A54,Stock,10,FALSE),"")</f>
        <v>B14T4</v>
      </c>
      <c r="E54" s="6" t="s">
        <v>12150</v>
      </c>
    </row>
    <row r="55">
      <c r="A55" s="169" t="s">
        <v>7171</v>
      </c>
      <c r="B55" s="289">
        <v>3.0</v>
      </c>
      <c r="C55" s="171" t="str">
        <f>IFERROR(VLOOKUP(A55,Stock,10,FALSE),"")</f>
        <v>B10T4</v>
      </c>
    </row>
    <row r="56">
      <c r="A56" s="169" t="s">
        <v>7173</v>
      </c>
      <c r="B56" s="289">
        <v>3.0</v>
      </c>
      <c r="C56" s="171" t="str">
        <f>IFERROR(VLOOKUP(A56,Stock,10,FALSE),"")</f>
        <v>B10T4</v>
      </c>
    </row>
    <row r="57">
      <c r="A57" s="169" t="s">
        <v>2863</v>
      </c>
      <c r="B57" s="289">
        <v>3.0</v>
      </c>
      <c r="C57" s="171" t="str">
        <f>IFERROR(VLOOKUP(A57,Stock,10,FALSE),"")</f>
        <v>A7T3</v>
      </c>
    </row>
    <row r="58">
      <c r="A58" s="169" t="s">
        <v>2827</v>
      </c>
      <c r="B58" s="289">
        <v>2.0</v>
      </c>
      <c r="C58" s="171" t="str">
        <f>IFERROR(VLOOKUP(A58,Stock,10,FALSE),"")</f>
        <v>B10T4</v>
      </c>
    </row>
    <row r="59">
      <c r="A59" s="169" t="s">
        <v>5040</v>
      </c>
      <c r="B59" s="289">
        <v>2.0</v>
      </c>
      <c r="C59" s="171" t="str">
        <f>IFERROR(VLOOKUP(A59,Stock,10,FALSE),"")</f>
        <v>B9T4</v>
      </c>
    </row>
    <row r="60">
      <c r="A60" s="169" t="s">
        <v>5263</v>
      </c>
      <c r="B60" s="289">
        <v>2.0</v>
      </c>
      <c r="C60" s="171" t="str">
        <f>IFERROR(VLOOKUP(A60,Stock,10,FALSE),"")</f>
        <v>B10T4</v>
      </c>
    </row>
    <row r="61">
      <c r="A61" s="169" t="s">
        <v>6033</v>
      </c>
      <c r="B61" s="289">
        <v>2.0</v>
      </c>
      <c r="C61" s="171" t="str">
        <f>IFERROR(VLOOKUP(A61,Stock,10,FALSE),"")</f>
        <v>B10T4</v>
      </c>
    </row>
    <row r="62">
      <c r="A62" s="169" t="s">
        <v>6891</v>
      </c>
      <c r="B62" s="289">
        <v>3.0</v>
      </c>
      <c r="C62" s="171" t="str">
        <f>IFERROR(VLOOKUP(A62,Stock,10,FALSE),"")</f>
        <v>A10T4</v>
      </c>
    </row>
    <row r="63">
      <c r="A63" s="169" t="s">
        <v>4402</v>
      </c>
      <c r="B63" s="289">
        <v>1.0</v>
      </c>
      <c r="C63" s="171" t="str">
        <f>IFERROR(VLOOKUP(A63,Stock,10,FALSE),"")</f>
        <v>B10T4</v>
      </c>
    </row>
    <row r="64">
      <c r="A64" s="169" t="s">
        <v>4149</v>
      </c>
      <c r="B64" s="289">
        <v>2.0</v>
      </c>
      <c r="C64" s="171" t="str">
        <f>IFERROR(VLOOKUP(A64,Stock,10,FALSE),"")</f>
        <v>A13T3</v>
      </c>
    </row>
    <row r="65">
      <c r="A65" s="169" t="s">
        <v>6827</v>
      </c>
      <c r="B65" s="289">
        <v>3.0</v>
      </c>
      <c r="C65" s="171" t="str">
        <f>IFERROR(VLOOKUP(A65,Stock,10,FALSE),"")</f>
        <v>A13T3</v>
      </c>
    </row>
    <row r="66">
      <c r="A66" s="402" t="s">
        <v>6830</v>
      </c>
      <c r="B66" s="395">
        <v>3.0</v>
      </c>
      <c r="C66" s="401" t="str">
        <f>IFERROR(VLOOKUP(A66,Stock,10,FALSE),"")</f>
        <v>B8T4</v>
      </c>
    </row>
    <row r="67">
      <c r="A67" s="402" t="s">
        <v>5458</v>
      </c>
      <c r="B67" s="395">
        <v>2.0</v>
      </c>
      <c r="C67" s="401" t="str">
        <f>IFERROR(VLOOKUP(A67,Stock,10,FALSE),"")</f>
        <v>B12T3</v>
      </c>
    </row>
    <row r="68">
      <c r="A68" s="402" t="s">
        <v>2826</v>
      </c>
      <c r="B68" s="395">
        <v>2.0</v>
      </c>
      <c r="C68" s="401" t="str">
        <f>IFERROR(VLOOKUP(A68,Stock,10,FALSE),"")</f>
        <v>A6T3</v>
      </c>
    </row>
    <row r="69">
      <c r="A69" s="402" t="s">
        <v>3501</v>
      </c>
      <c r="B69" s="395">
        <v>1.0</v>
      </c>
      <c r="C69" s="401" t="str">
        <f>IFERROR(VLOOKUP(A69,Stock,10,FALSE),"")</f>
        <v>B7T3</v>
      </c>
    </row>
    <row r="70">
      <c r="A70" s="402" t="s">
        <v>2694</v>
      </c>
      <c r="B70" s="395">
        <v>1.0</v>
      </c>
      <c r="C70" s="401" t="str">
        <f>IFERROR(VLOOKUP(A70,Stock,10,FALSE),"")</f>
        <v>B6T3</v>
      </c>
    </row>
    <row r="71">
      <c r="A71" s="402" t="s">
        <v>3698</v>
      </c>
      <c r="B71" s="395">
        <v>2.0</v>
      </c>
      <c r="C71" s="401" t="str">
        <f>IFERROR(VLOOKUP(A71,Stock,10,FALSE),"")</f>
        <v>B8T4</v>
      </c>
    </row>
    <row r="72">
      <c r="A72" s="402" t="s">
        <v>3168</v>
      </c>
      <c r="B72" s="395">
        <v>2.0</v>
      </c>
      <c r="C72" s="401" t="str">
        <f>IFERROR(VLOOKUP(A72,Stock,10,FALSE),"")</f>
        <v>B4T3</v>
      </c>
    </row>
    <row r="73">
      <c r="A73" s="402" t="s">
        <v>5365</v>
      </c>
      <c r="B73" s="395">
        <v>2.0</v>
      </c>
      <c r="C73" s="401" t="str">
        <f>IFERROR(VLOOKUP(A73,Stock,10,FALSE),"")</f>
        <v>B8T3 2PC</v>
      </c>
    </row>
    <row r="74">
      <c r="A74" s="402" t="s">
        <v>2960</v>
      </c>
      <c r="B74" s="395">
        <v>3.0</v>
      </c>
      <c r="C74" s="401" t="str">
        <f>IFERROR(VLOOKUP(A74,Stock,10,FALSE),"")</f>
        <v>A5T3</v>
      </c>
    </row>
    <row r="75">
      <c r="A75" s="363" t="s">
        <v>2696</v>
      </c>
      <c r="B75" s="700">
        <v>1.0</v>
      </c>
      <c r="C75" s="362" t="str">
        <f>IFERROR(VLOOKUP(A75,Stock,10,FALSE),"")</f>
        <v>B7T2</v>
      </c>
    </row>
    <row r="76">
      <c r="A76" s="363" t="s">
        <v>6829</v>
      </c>
      <c r="B76" s="700">
        <v>3.0</v>
      </c>
      <c r="C76" s="362" t="str">
        <f>IFERROR(VLOOKUP(A76,Stock,10,FALSE),"")</f>
        <v>B1T2</v>
      </c>
      <c r="D76" s="6">
        <v>1.0</v>
      </c>
    </row>
    <row r="77">
      <c r="A77" s="363" t="s">
        <v>3313</v>
      </c>
      <c r="B77" s="700">
        <v>3.0</v>
      </c>
      <c r="C77" s="362" t="str">
        <f>IFERROR(VLOOKUP(A77,Stock,10,FALSE),"")</f>
        <v>B1T2</v>
      </c>
    </row>
    <row r="78">
      <c r="A78" s="363" t="s">
        <v>2847</v>
      </c>
      <c r="B78" s="700">
        <v>2.0</v>
      </c>
      <c r="C78" s="362" t="str">
        <f>IFERROR(VLOOKUP(A78,Stock,10,FALSE),"")</f>
        <v>B5T1 </v>
      </c>
    </row>
    <row r="79">
      <c r="A79" s="363" t="s">
        <v>2710</v>
      </c>
      <c r="B79" s="700">
        <v>2.0</v>
      </c>
      <c r="C79" s="362" t="str">
        <f>IFERROR(VLOOKUP(A79,Stock,10,FALSE),"")</f>
        <v>A13T1</v>
      </c>
    </row>
    <row r="80">
      <c r="C80" s="171" t="str">
        <f>IFERROR(VLOOKUP(A80,Stock,10,FALSE),"")</f>
        <v/>
      </c>
    </row>
    <row r="81">
      <c r="A81" s="110" t="s">
        <v>12151</v>
      </c>
      <c r="C81" s="171" t="str">
        <f>IFERROR(VLOOKUP(A81,Stock,10,FALSE),"")</f>
        <v/>
      </c>
    </row>
    <row r="82">
      <c r="A82" s="6" t="s">
        <v>2557</v>
      </c>
      <c r="B82" s="6">
        <v>5.0</v>
      </c>
      <c r="C82" s="171" t="str">
        <f>IFERROR(VLOOKUP(A82,Stock,10,FALSE),"")</f>
        <v>B2T2</v>
      </c>
    </row>
    <row r="83">
      <c r="A83" s="6" t="s">
        <v>4365</v>
      </c>
      <c r="B83" s="6">
        <v>3.0</v>
      </c>
      <c r="C83" s="171" t="str">
        <f>IFERROR(VLOOKUP(A83,Stock,10,FALSE),"")</f>
        <v>A9T1</v>
      </c>
      <c r="D83" s="6">
        <v>1.0</v>
      </c>
    </row>
    <row r="84">
      <c r="C84" s="171" t="str">
        <f>IFERROR(VLOOKUP(A84,Stock,10,FALSE),"")</f>
        <v/>
      </c>
    </row>
    <row r="85">
      <c r="C85" s="171" t="str">
        <f>IFERROR(VLOOKUP(A85,Stock,10,FALSE),"")</f>
        <v/>
      </c>
    </row>
    <row r="86">
      <c r="C86" s="171" t="str">
        <f>IFERROR(VLOOKUP(A86,Stock,10,FALSE),"")</f>
        <v/>
      </c>
    </row>
    <row r="87">
      <c r="C87" s="171" t="str">
        <f>IFERROR(VLOOKUP(A87,Stock,10,FALSE),"")</f>
        <v/>
      </c>
    </row>
    <row r="88">
      <c r="C88" s="171" t="str">
        <f>IFERROR(VLOOKUP(A88,Stock,10,FALSE),"")</f>
        <v/>
      </c>
    </row>
    <row r="89">
      <c r="C89" s="171" t="str">
        <f>IFERROR(VLOOKUP(A89,Stock,10,FALSE),"")</f>
        <v/>
      </c>
    </row>
    <row r="90">
      <c r="C90" s="171" t="str">
        <f>IFERROR(VLOOKUP(A90,Stock,10,FALSE),"")</f>
        <v/>
      </c>
    </row>
    <row r="91">
      <c r="C91" s="171" t="str">
        <f>IFERROR(VLOOKUP(A91,Stock,10,FALSE),"")</f>
        <v/>
      </c>
    </row>
    <row r="92">
      <c r="C92" s="171" t="str">
        <f>IFERROR(VLOOKUP(A92,Stock,10,FALSE),"")</f>
        <v/>
      </c>
    </row>
    <row r="93">
      <c r="C93" s="171" t="str">
        <f>IFERROR(VLOOKUP(A93,Stock,10,FALSE),"")</f>
        <v/>
      </c>
    </row>
    <row r="94">
      <c r="C94" s="171" t="str">
        <f>IFERROR(VLOOKUP(A94,Stock,10,FALSE),"")</f>
        <v/>
      </c>
    </row>
    <row r="95">
      <c r="C95" s="171" t="str">
        <f>IFERROR(VLOOKUP(A95,Stock,10,FALSE),"")</f>
        <v/>
      </c>
    </row>
  </sheetData>
  <mergeCells count="4">
    <mergeCell ref="A1:A2"/>
    <mergeCell ref="C1:C2"/>
    <mergeCell ref="D1:D2"/>
    <mergeCell ref="E1:E2"/>
  </mergeCells>
  <conditionalFormatting sqref="F1:F1003">
    <cfRule type="notContainsBlanks" dxfId="0" priority="1">
      <formula>LEN(TRIM(F1))&gt;0</formula>
    </cfRule>
  </conditionalFormatting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1.0"/>
    <col customWidth="1" min="3" max="3" width="8.71"/>
    <col customWidth="1" min="4" max="4" width="11.43"/>
    <col customWidth="1" min="5" max="5" width="8.71"/>
    <col customWidth="1" min="6" max="6" width="6.71"/>
    <col customWidth="1" min="7" max="7" width="7.57"/>
    <col customWidth="1" min="8" max="8" width="3.57"/>
    <col customWidth="1" min="9" max="9" width="3.43"/>
    <col customWidth="1" min="10" max="10" width="6.43"/>
    <col customWidth="1" min="11" max="11" width="7.0"/>
    <col customWidth="1" min="12" max="12" width="12.0"/>
  </cols>
  <sheetData>
    <row r="1" ht="13.5" customHeight="1">
      <c r="A1" s="507" t="s">
        <v>11442</v>
      </c>
      <c r="B1" s="508"/>
      <c r="C1" s="509"/>
      <c r="D1" s="509"/>
      <c r="E1" s="509"/>
      <c r="F1" s="510"/>
      <c r="G1" s="509"/>
      <c r="H1" s="509"/>
      <c r="I1" s="509"/>
      <c r="J1" s="511" t="s">
        <v>2867</v>
      </c>
      <c r="L1" s="512">
        <v>45448.0</v>
      </c>
    </row>
    <row r="2" ht="13.5" customHeight="1">
      <c r="A2" s="513" t="s">
        <v>11488</v>
      </c>
      <c r="B2" s="514"/>
      <c r="C2" s="515"/>
      <c r="D2" s="515"/>
      <c r="E2" s="515"/>
      <c r="F2" s="509"/>
      <c r="G2" s="509"/>
      <c r="H2" s="509"/>
      <c r="I2" s="509"/>
      <c r="J2" s="511" t="s">
        <v>11444</v>
      </c>
      <c r="L2" s="516"/>
    </row>
    <row r="3" ht="13.5" customHeight="1">
      <c r="A3" s="517" t="s">
        <v>11445</v>
      </c>
      <c r="B3" s="518"/>
      <c r="C3" s="509"/>
      <c r="D3" s="519"/>
      <c r="E3" s="519"/>
      <c r="F3" s="519"/>
      <c r="G3" s="519"/>
      <c r="H3" s="519"/>
      <c r="I3" s="519"/>
      <c r="J3" s="307" t="s">
        <v>3561</v>
      </c>
      <c r="K3" s="131"/>
      <c r="L3" s="131"/>
    </row>
    <row r="4" ht="13.5" customHeight="1">
      <c r="A4" s="520"/>
      <c r="B4" s="520"/>
      <c r="C4" s="509"/>
      <c r="D4" s="519"/>
      <c r="E4" s="519"/>
      <c r="F4" s="519"/>
      <c r="G4" s="519"/>
      <c r="H4" s="519"/>
      <c r="I4" s="519"/>
      <c r="J4" s="648" t="s">
        <v>3562</v>
      </c>
      <c r="K4" s="131"/>
      <c r="L4" s="131"/>
    </row>
    <row r="5" ht="13.5" customHeight="1">
      <c r="A5" s="520"/>
      <c r="B5" s="520"/>
      <c r="C5" s="509"/>
      <c r="D5" s="519"/>
      <c r="E5" s="519"/>
      <c r="F5" s="519"/>
      <c r="G5" s="519"/>
      <c r="H5" s="519"/>
      <c r="I5" s="519"/>
      <c r="J5" s="521" t="s">
        <v>2958</v>
      </c>
    </row>
    <row r="6" ht="13.5" customHeight="1">
      <c r="A6" s="520"/>
      <c r="B6" s="520"/>
      <c r="C6" s="509"/>
      <c r="D6" s="519"/>
      <c r="E6" s="519"/>
      <c r="F6" s="519"/>
      <c r="G6" s="519"/>
      <c r="H6" s="519"/>
      <c r="I6" s="519"/>
      <c r="J6" s="329"/>
      <c r="K6" s="522"/>
      <c r="L6" s="522"/>
    </row>
    <row r="7" ht="13.5" customHeight="1">
      <c r="A7" s="520"/>
      <c r="B7" s="520"/>
      <c r="C7" s="509"/>
      <c r="D7" s="657" t="s">
        <v>12152</v>
      </c>
      <c r="G7" s="519"/>
      <c r="H7" s="519"/>
      <c r="I7" s="519"/>
      <c r="J7" s="524"/>
      <c r="K7" s="524"/>
      <c r="L7" s="524"/>
    </row>
    <row r="8" ht="13.5" customHeight="1">
      <c r="A8" s="73"/>
      <c r="B8" s="518"/>
      <c r="C8" s="73"/>
      <c r="D8" s="526"/>
      <c r="E8" s="526"/>
      <c r="F8" s="526"/>
      <c r="G8" s="73"/>
      <c r="H8" s="73"/>
      <c r="I8" s="73"/>
      <c r="J8" s="527"/>
      <c r="K8" s="527"/>
    </row>
    <row r="9" ht="13.5" customHeight="1">
      <c r="A9" s="658" t="s">
        <v>12153</v>
      </c>
      <c r="B9" s="496" t="s">
        <v>3560</v>
      </c>
      <c r="C9" s="496" t="s">
        <v>12154</v>
      </c>
      <c r="D9" s="529"/>
      <c r="E9" s="73"/>
      <c r="F9" s="73"/>
      <c r="G9" s="73"/>
      <c r="H9" s="530"/>
      <c r="I9" s="531"/>
      <c r="J9" s="530" t="s">
        <v>11447</v>
      </c>
      <c r="K9" s="531"/>
      <c r="L9" s="223"/>
    </row>
    <row r="10" ht="13.5" customHeight="1">
      <c r="A10" s="532" t="s">
        <v>11448</v>
      </c>
      <c r="B10" s="649" t="s">
        <v>11449</v>
      </c>
      <c r="C10" s="535" t="s">
        <v>11462</v>
      </c>
      <c r="D10" s="536"/>
      <c r="E10" s="536"/>
      <c r="F10" s="536"/>
      <c r="G10" s="536"/>
      <c r="H10" s="535" t="s">
        <v>11450</v>
      </c>
      <c r="I10" s="536"/>
      <c r="J10" s="535" t="s">
        <v>11451</v>
      </c>
      <c r="K10" s="536"/>
      <c r="L10" s="532" t="s">
        <v>2905</v>
      </c>
    </row>
    <row r="11" ht="13.5" customHeight="1">
      <c r="A11" s="650">
        <v>1.0</v>
      </c>
      <c r="B11" s="701" t="s">
        <v>3342</v>
      </c>
      <c r="C11" s="513" t="s">
        <v>12155</v>
      </c>
      <c r="D11" s="536"/>
      <c r="E11" s="536"/>
      <c r="F11" s="536"/>
      <c r="G11" s="536"/>
      <c r="H11" s="538">
        <v>1.0</v>
      </c>
      <c r="I11" s="538" t="s">
        <v>2894</v>
      </c>
      <c r="J11" s="539">
        <v>780600.0</v>
      </c>
      <c r="K11" s="536"/>
      <c r="L11" s="578">
        <f t="shared" ref="L11:L17" si="1">H11*J11</f>
        <v>780600</v>
      </c>
    </row>
    <row r="12" ht="13.5" customHeight="1">
      <c r="A12" s="651"/>
      <c r="B12" s="208"/>
      <c r="C12" s="56"/>
      <c r="H12" s="203"/>
      <c r="I12" s="203"/>
      <c r="J12" s="388"/>
      <c r="L12" s="540">
        <f t="shared" si="1"/>
        <v>0</v>
      </c>
    </row>
    <row r="13" ht="13.5" customHeight="1">
      <c r="A13" s="650"/>
      <c r="B13" s="181"/>
      <c r="C13" s="56"/>
      <c r="H13" s="203"/>
      <c r="I13" s="203"/>
      <c r="J13" s="388"/>
      <c r="L13" s="540">
        <f t="shared" si="1"/>
        <v>0</v>
      </c>
    </row>
    <row r="14" ht="13.5" customHeight="1">
      <c r="A14" s="203"/>
      <c r="B14" s="702" t="s">
        <v>12156</v>
      </c>
      <c r="C14" s="56" t="s">
        <v>12157</v>
      </c>
      <c r="H14" s="203"/>
      <c r="I14" s="203"/>
      <c r="J14" s="388"/>
      <c r="L14" s="540">
        <f t="shared" si="1"/>
        <v>0</v>
      </c>
    </row>
    <row r="15" ht="13.5" customHeight="1">
      <c r="A15" s="203"/>
      <c r="B15" s="175"/>
      <c r="C15" s="331"/>
      <c r="H15" s="203"/>
      <c r="I15" s="203"/>
      <c r="J15" s="542"/>
      <c r="L15" s="540">
        <f t="shared" si="1"/>
        <v>0</v>
      </c>
    </row>
    <row r="16" ht="13.5" customHeight="1">
      <c r="A16" s="203"/>
      <c r="B16" s="175"/>
      <c r="C16" s="331"/>
      <c r="H16" s="203"/>
      <c r="I16" s="203"/>
      <c r="J16" s="542"/>
      <c r="L16" s="540">
        <f t="shared" si="1"/>
        <v>0</v>
      </c>
    </row>
    <row r="17" ht="13.5" customHeight="1">
      <c r="A17" s="543"/>
      <c r="B17" s="544"/>
      <c r="C17" s="544"/>
      <c r="D17" s="531"/>
      <c r="E17" s="531"/>
      <c r="F17" s="531"/>
      <c r="G17" s="531"/>
      <c r="H17" s="530"/>
      <c r="I17" s="530"/>
      <c r="J17" s="545"/>
      <c r="K17" s="531"/>
      <c r="L17" s="540">
        <f t="shared" si="1"/>
        <v>0</v>
      </c>
    </row>
    <row r="18" ht="13.5" customHeight="1">
      <c r="A18" s="546"/>
      <c r="B18" s="536"/>
      <c r="C18" s="536"/>
      <c r="D18" s="536"/>
      <c r="E18" s="547"/>
      <c r="F18" s="547"/>
      <c r="G18" s="547"/>
      <c r="H18" s="548"/>
      <c r="I18" s="516"/>
      <c r="J18" s="549"/>
      <c r="K18" s="200" t="s">
        <v>11453</v>
      </c>
      <c r="L18" s="575">
        <f>SUM(L11:L17)</f>
        <v>780600</v>
      </c>
    </row>
    <row r="19" ht="13.5" customHeight="1">
      <c r="A19" s="551"/>
      <c r="D19" s="552" t="s">
        <v>11454</v>
      </c>
      <c r="E19" s="553"/>
      <c r="F19" s="703" t="s">
        <v>12158</v>
      </c>
      <c r="J19" s="555"/>
      <c r="K19" s="200" t="s">
        <v>11491</v>
      </c>
      <c r="L19" s="556">
        <v>0.0</v>
      </c>
    </row>
    <row r="20" ht="13.5" customHeight="1">
      <c r="A20" s="509"/>
      <c r="B20" s="557"/>
      <c r="C20" s="557"/>
      <c r="D20" s="557"/>
      <c r="E20" s="558" t="s">
        <v>1484</v>
      </c>
      <c r="J20" s="559"/>
      <c r="K20" s="560" t="s">
        <v>11457</v>
      </c>
      <c r="L20" s="561">
        <f>L18-L19</f>
        <v>780600</v>
      </c>
    </row>
    <row r="21" ht="13.5" customHeight="1">
      <c r="A21" s="509"/>
      <c r="B21" s="520"/>
      <c r="C21" s="520"/>
      <c r="D21" s="563"/>
      <c r="E21" s="553"/>
      <c r="J21" s="564"/>
      <c r="K21" s="200"/>
      <c r="L21" s="565"/>
    </row>
    <row r="22" ht="13.5" customHeight="1">
      <c r="A22" s="509"/>
      <c r="B22" s="520"/>
      <c r="C22" s="520"/>
      <c r="D22" s="520"/>
      <c r="E22" s="520"/>
      <c r="J22" s="566"/>
      <c r="K22" s="566" t="s">
        <v>11458</v>
      </c>
      <c r="L22" s="566"/>
    </row>
    <row r="23" ht="13.5" customHeight="1">
      <c r="A23" s="567" t="s">
        <v>11459</v>
      </c>
      <c r="B23" s="508"/>
      <c r="C23" s="508"/>
      <c r="D23" s="563" t="s">
        <v>11460</v>
      </c>
      <c r="E23" s="520"/>
      <c r="F23" s="569"/>
      <c r="G23" s="569"/>
      <c r="H23" s="569"/>
      <c r="I23" s="569"/>
      <c r="J23" s="570"/>
      <c r="K23" s="704"/>
    </row>
    <row r="24" ht="13.5" customHeight="1"/>
    <row r="25" ht="13.5" customHeight="1"/>
    <row r="26" ht="13.5" customHeight="1"/>
    <row r="27" ht="15.75" customHeight="1">
      <c r="E27" s="6" t="s">
        <v>1484</v>
      </c>
    </row>
    <row r="28" ht="15.75" customHeight="1"/>
    <row r="29" ht="15.75" customHeight="1"/>
    <row r="30" ht="15.75" customHeight="1">
      <c r="H30" s="6" t="s">
        <v>12159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</sheetData>
  <mergeCells count="25">
    <mergeCell ref="J10:K10"/>
    <mergeCell ref="J11:K11"/>
    <mergeCell ref="J5:L5"/>
    <mergeCell ref="D7:F7"/>
    <mergeCell ref="H9:I9"/>
    <mergeCell ref="J9:K9"/>
    <mergeCell ref="C10:G10"/>
    <mergeCell ref="H10:I10"/>
    <mergeCell ref="C11:G11"/>
    <mergeCell ref="C12:G12"/>
    <mergeCell ref="J12:K12"/>
    <mergeCell ref="C13:G13"/>
    <mergeCell ref="J13:K13"/>
    <mergeCell ref="C14:G14"/>
    <mergeCell ref="J14:K14"/>
    <mergeCell ref="J15:K15"/>
    <mergeCell ref="F19:I22"/>
    <mergeCell ref="K23:L23"/>
    <mergeCell ref="C15:G15"/>
    <mergeCell ref="C16:G16"/>
    <mergeCell ref="J16:K16"/>
    <mergeCell ref="C17:G17"/>
    <mergeCell ref="J17:K17"/>
    <mergeCell ref="A18:D18"/>
    <mergeCell ref="A19:C19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26.29"/>
    <col customWidth="1" min="10" max="10" width="8.71"/>
  </cols>
  <sheetData>
    <row r="1" ht="23.25" customHeight="1">
      <c r="A1" s="705" t="s">
        <v>12160</v>
      </c>
      <c r="B1" s="706"/>
      <c r="C1" s="707"/>
      <c r="D1" s="707"/>
      <c r="E1" s="707"/>
      <c r="F1" s="707"/>
      <c r="G1" s="707"/>
      <c r="H1" s="707"/>
    </row>
    <row r="2" ht="14.25" customHeight="1">
      <c r="A2" s="708" t="s">
        <v>12161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>
      <c r="J14" s="709"/>
    </row>
    <row r="15" ht="14.25" customHeight="1">
      <c r="A15" s="710"/>
      <c r="B15" s="710"/>
      <c r="C15" s="710"/>
      <c r="D15" s="710"/>
      <c r="E15" s="710"/>
      <c r="F15" s="710"/>
      <c r="G15" s="710"/>
      <c r="H15" s="711"/>
      <c r="K15" s="630"/>
    </row>
    <row r="16" ht="14.25" customHeight="1">
      <c r="A16" s="710"/>
      <c r="B16" s="710"/>
      <c r="C16" s="710"/>
      <c r="D16" s="710"/>
      <c r="E16" s="710"/>
      <c r="F16" s="710"/>
      <c r="G16" s="710"/>
      <c r="H16" s="710"/>
      <c r="I16" s="710"/>
    </row>
    <row r="17" ht="14.25" customHeight="1">
      <c r="G17" s="712"/>
    </row>
    <row r="18" ht="14.25" customHeight="1">
      <c r="G18" s="713"/>
    </row>
    <row r="19" ht="14.25" customHeight="1"/>
    <row r="20" ht="14.25" customHeight="1"/>
    <row r="21" ht="14.25" customHeight="1"/>
    <row r="22" ht="14.25" customHeight="1">
      <c r="B22" s="714"/>
    </row>
    <row r="23" ht="14.25" customHeight="1"/>
    <row r="24" ht="14.25" customHeight="1"/>
    <row r="25" ht="14.25" customHeight="1">
      <c r="G25" s="715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I14"/>
    <mergeCell ref="H15:I15"/>
    <mergeCell ref="G18:I21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3" max="3" width="30.43"/>
    <col customWidth="1" min="9" max="9" width="4.29"/>
  </cols>
  <sheetData>
    <row r="1">
      <c r="A1" s="716" t="s">
        <v>12162</v>
      </c>
      <c r="I1" s="717" t="s">
        <v>12163</v>
      </c>
      <c r="J1" s="718" t="s">
        <v>12164</v>
      </c>
    </row>
    <row r="2">
      <c r="A2" s="719" t="s">
        <v>2867</v>
      </c>
      <c r="B2" s="720" t="s">
        <v>2908</v>
      </c>
      <c r="C2" s="720" t="s">
        <v>11458</v>
      </c>
      <c r="D2" s="721" t="s">
        <v>12165</v>
      </c>
      <c r="E2" s="722" t="s">
        <v>12166</v>
      </c>
      <c r="F2" s="723" t="s">
        <v>12167</v>
      </c>
      <c r="G2" s="724" t="s">
        <v>12168</v>
      </c>
      <c r="H2" s="724" t="s">
        <v>12169</v>
      </c>
      <c r="J2" s="725" t="s">
        <v>12170</v>
      </c>
      <c r="K2" s="725" t="s">
        <v>12171</v>
      </c>
      <c r="L2" s="725" t="s">
        <v>12172</v>
      </c>
      <c r="M2" s="725" t="s">
        <v>12173</v>
      </c>
      <c r="N2" s="725" t="s">
        <v>12174</v>
      </c>
      <c r="O2" s="725" t="s">
        <v>12175</v>
      </c>
    </row>
    <row r="3">
      <c r="A3" s="726" t="s">
        <v>12176</v>
      </c>
      <c r="J3" s="727"/>
      <c r="K3" s="727"/>
      <c r="L3" s="727"/>
      <c r="M3" s="727"/>
      <c r="N3" s="727"/>
      <c r="O3" s="727"/>
    </row>
    <row r="4">
      <c r="A4" s="728">
        <v>45447.0</v>
      </c>
      <c r="B4" s="6" t="s">
        <v>12177</v>
      </c>
      <c r="D4" s="729">
        <v>300000.0</v>
      </c>
      <c r="E4" s="727"/>
      <c r="F4" s="727">
        <f>D4-E4</f>
        <v>300000</v>
      </c>
      <c r="H4" s="6" t="s">
        <v>12178</v>
      </c>
      <c r="J4" s="727"/>
      <c r="K4" s="727"/>
      <c r="L4" s="727"/>
      <c r="M4" s="727"/>
      <c r="N4" s="727"/>
      <c r="O4" s="727"/>
    </row>
    <row r="5">
      <c r="A5" s="728">
        <v>45447.0</v>
      </c>
      <c r="B5" s="6" t="s">
        <v>12179</v>
      </c>
      <c r="C5" s="6" t="s">
        <v>12180</v>
      </c>
      <c r="D5" s="727"/>
      <c r="E5" s="729">
        <v>84000.0</v>
      </c>
      <c r="F5" s="727">
        <f t="shared" ref="F5:F38" si="1">F4+D5-E5</f>
        <v>216000</v>
      </c>
      <c r="G5" s="6" t="s">
        <v>3671</v>
      </c>
      <c r="H5" s="6" t="s">
        <v>12181</v>
      </c>
      <c r="J5" s="727"/>
      <c r="K5" s="727"/>
      <c r="L5" s="727"/>
      <c r="M5" s="727"/>
      <c r="N5" s="727"/>
      <c r="O5" s="727"/>
    </row>
    <row r="6">
      <c r="A6" s="728">
        <v>45447.0</v>
      </c>
      <c r="B6" s="6" t="s">
        <v>12179</v>
      </c>
      <c r="C6" s="6" t="s">
        <v>12182</v>
      </c>
      <c r="D6" s="727"/>
      <c r="E6" s="729">
        <v>82000.0</v>
      </c>
      <c r="F6" s="727">
        <f t="shared" si="1"/>
        <v>134000</v>
      </c>
      <c r="G6" s="6" t="s">
        <v>3671</v>
      </c>
      <c r="H6" s="6" t="s">
        <v>12181</v>
      </c>
      <c r="J6" s="727"/>
      <c r="K6" s="727"/>
      <c r="L6" s="727"/>
      <c r="M6" s="727"/>
      <c r="N6" s="727"/>
      <c r="O6" s="727"/>
    </row>
    <row r="7">
      <c r="A7" s="728">
        <v>45447.0</v>
      </c>
      <c r="B7" s="6" t="s">
        <v>12183</v>
      </c>
      <c r="D7" s="727"/>
      <c r="E7" s="729">
        <v>5000.0</v>
      </c>
      <c r="F7" s="727">
        <f t="shared" si="1"/>
        <v>129000</v>
      </c>
      <c r="G7" s="6" t="s">
        <v>3671</v>
      </c>
      <c r="H7" s="6" t="s">
        <v>12181</v>
      </c>
      <c r="J7" s="727"/>
      <c r="K7" s="727"/>
      <c r="L7" s="727"/>
      <c r="M7" s="727"/>
      <c r="N7" s="727"/>
      <c r="O7" s="727"/>
    </row>
    <row r="8">
      <c r="A8" s="728">
        <v>45448.0</v>
      </c>
      <c r="B8" s="6" t="s">
        <v>12184</v>
      </c>
      <c r="C8" s="6" t="s">
        <v>12185</v>
      </c>
      <c r="D8" s="727"/>
      <c r="E8" s="729">
        <v>25500.0</v>
      </c>
      <c r="F8" s="727">
        <f t="shared" si="1"/>
        <v>103500</v>
      </c>
      <c r="G8" s="6" t="s">
        <v>3671</v>
      </c>
      <c r="H8" s="6" t="s">
        <v>12186</v>
      </c>
      <c r="J8" s="727"/>
      <c r="K8" s="727"/>
      <c r="L8" s="727"/>
      <c r="M8" s="727"/>
      <c r="N8" s="727"/>
      <c r="O8" s="727"/>
    </row>
    <row r="9">
      <c r="A9" s="728">
        <v>45451.0</v>
      </c>
      <c r="B9" s="6" t="s">
        <v>12187</v>
      </c>
      <c r="C9" s="6" t="s">
        <v>12188</v>
      </c>
      <c r="D9" s="727"/>
      <c r="E9" s="729">
        <v>5000.0</v>
      </c>
      <c r="F9" s="727">
        <f t="shared" si="1"/>
        <v>98500</v>
      </c>
      <c r="G9" s="6" t="s">
        <v>3671</v>
      </c>
      <c r="H9" s="6" t="s">
        <v>12186</v>
      </c>
      <c r="J9" s="727"/>
      <c r="K9" s="727"/>
      <c r="L9" s="727"/>
      <c r="M9" s="727"/>
      <c r="N9" s="727"/>
      <c r="O9" s="727"/>
    </row>
    <row r="10">
      <c r="A10" s="728">
        <v>45451.0</v>
      </c>
      <c r="B10" s="6" t="s">
        <v>12189</v>
      </c>
      <c r="C10" s="6" t="s">
        <v>12190</v>
      </c>
      <c r="D10" s="727"/>
      <c r="E10" s="729">
        <v>36000.0</v>
      </c>
      <c r="F10" s="727">
        <f t="shared" si="1"/>
        <v>62500</v>
      </c>
      <c r="G10" s="6" t="s">
        <v>3671</v>
      </c>
      <c r="H10" s="6" t="s">
        <v>12186</v>
      </c>
      <c r="J10" s="727"/>
      <c r="K10" s="727"/>
      <c r="L10" s="727"/>
      <c r="M10" s="727"/>
      <c r="N10" s="727"/>
      <c r="O10" s="727"/>
    </row>
    <row r="11">
      <c r="A11" s="728">
        <v>45453.0</v>
      </c>
      <c r="B11" s="6" t="s">
        <v>12184</v>
      </c>
      <c r="C11" s="6" t="s">
        <v>12191</v>
      </c>
      <c r="D11" s="727"/>
      <c r="E11" s="729">
        <v>5000.0</v>
      </c>
      <c r="F11" s="727">
        <f t="shared" si="1"/>
        <v>57500</v>
      </c>
      <c r="G11" s="6" t="s">
        <v>3671</v>
      </c>
      <c r="H11" s="6" t="s">
        <v>12192</v>
      </c>
      <c r="J11" s="727"/>
      <c r="K11" s="727"/>
      <c r="L11" s="727"/>
      <c r="M11" s="727"/>
      <c r="N11" s="727"/>
      <c r="O11" s="727"/>
    </row>
    <row r="12">
      <c r="A12" s="728">
        <v>45453.0</v>
      </c>
      <c r="B12" s="307" t="s">
        <v>12177</v>
      </c>
      <c r="D12" s="729">
        <v>300000.0</v>
      </c>
      <c r="E12" s="727"/>
      <c r="F12" s="727">
        <f t="shared" si="1"/>
        <v>357500</v>
      </c>
      <c r="G12" s="6" t="s">
        <v>3671</v>
      </c>
      <c r="H12" s="6" t="s">
        <v>3883</v>
      </c>
      <c r="J12" s="727"/>
      <c r="K12" s="727"/>
      <c r="L12" s="727"/>
      <c r="M12" s="727"/>
      <c r="N12" s="727"/>
      <c r="O12" s="727"/>
    </row>
    <row r="13">
      <c r="A13" s="728">
        <v>45453.0</v>
      </c>
      <c r="B13" s="6" t="s">
        <v>12193</v>
      </c>
      <c r="C13" s="6" t="s">
        <v>12194</v>
      </c>
      <c r="D13" s="727"/>
      <c r="E13" s="729">
        <v>5000.0</v>
      </c>
      <c r="F13" s="727">
        <f t="shared" si="1"/>
        <v>352500</v>
      </c>
      <c r="G13" s="6" t="s">
        <v>3671</v>
      </c>
      <c r="H13" s="6" t="s">
        <v>3883</v>
      </c>
      <c r="J13" s="727"/>
      <c r="K13" s="727"/>
      <c r="L13" s="727"/>
      <c r="M13" s="727"/>
      <c r="N13" s="727"/>
      <c r="O13" s="727"/>
    </row>
    <row r="14">
      <c r="A14" s="728">
        <v>45453.0</v>
      </c>
      <c r="B14" s="6" t="s">
        <v>12193</v>
      </c>
      <c r="C14" s="6" t="s">
        <v>12195</v>
      </c>
      <c r="D14" s="727"/>
      <c r="E14" s="729">
        <v>20000.0</v>
      </c>
      <c r="F14" s="727">
        <f t="shared" si="1"/>
        <v>332500</v>
      </c>
      <c r="G14" s="6" t="s">
        <v>3671</v>
      </c>
      <c r="H14" s="6" t="s">
        <v>12196</v>
      </c>
      <c r="J14" s="727"/>
      <c r="K14" s="727"/>
      <c r="L14" s="727"/>
      <c r="M14" s="727"/>
      <c r="N14" s="727"/>
      <c r="O14" s="727"/>
    </row>
    <row r="15">
      <c r="A15" s="728">
        <v>45453.0</v>
      </c>
      <c r="B15" s="6" t="s">
        <v>12193</v>
      </c>
      <c r="C15" s="6" t="s">
        <v>12197</v>
      </c>
      <c r="D15" s="727"/>
      <c r="E15" s="729">
        <v>15000.0</v>
      </c>
      <c r="F15" s="727">
        <f t="shared" si="1"/>
        <v>317500</v>
      </c>
      <c r="G15" s="6" t="s">
        <v>3671</v>
      </c>
      <c r="H15" s="6" t="s">
        <v>12196</v>
      </c>
      <c r="J15" s="727"/>
      <c r="K15" s="727"/>
      <c r="L15" s="727"/>
      <c r="M15" s="727"/>
      <c r="N15" s="727"/>
      <c r="O15" s="727"/>
    </row>
    <row r="16">
      <c r="A16" s="728">
        <v>45454.0</v>
      </c>
      <c r="B16" s="6" t="s">
        <v>12198</v>
      </c>
      <c r="C16" s="6" t="s">
        <v>12199</v>
      </c>
      <c r="D16" s="727"/>
      <c r="E16" s="729">
        <v>300000.0</v>
      </c>
      <c r="F16" s="727">
        <f t="shared" si="1"/>
        <v>17500</v>
      </c>
      <c r="G16" s="6" t="s">
        <v>3671</v>
      </c>
      <c r="H16" s="6" t="s">
        <v>12186</v>
      </c>
      <c r="J16" s="727"/>
      <c r="K16" s="727"/>
      <c r="L16" s="727"/>
      <c r="M16" s="727"/>
      <c r="N16" s="727"/>
      <c r="O16" s="727"/>
    </row>
    <row r="17">
      <c r="A17" s="728">
        <v>45454.0</v>
      </c>
      <c r="B17" s="6" t="s">
        <v>12177</v>
      </c>
      <c r="D17" s="729">
        <v>300000.0</v>
      </c>
      <c r="E17" s="729"/>
      <c r="F17" s="727">
        <f t="shared" si="1"/>
        <v>317500</v>
      </c>
      <c r="G17" s="6" t="s">
        <v>3883</v>
      </c>
      <c r="H17" s="6" t="s">
        <v>3883</v>
      </c>
      <c r="J17" s="727"/>
      <c r="K17" s="727"/>
      <c r="L17" s="727"/>
      <c r="M17" s="727"/>
      <c r="N17" s="727"/>
      <c r="O17" s="727"/>
    </row>
    <row r="18">
      <c r="A18" s="728">
        <v>45454.0</v>
      </c>
      <c r="B18" s="6" t="s">
        <v>12200</v>
      </c>
      <c r="C18" s="6" t="s">
        <v>12201</v>
      </c>
      <c r="D18" s="727"/>
      <c r="E18" s="729">
        <v>50000.0</v>
      </c>
      <c r="F18" s="727">
        <f t="shared" si="1"/>
        <v>267500</v>
      </c>
      <c r="G18" s="6" t="s">
        <v>3799</v>
      </c>
      <c r="H18" s="6" t="s">
        <v>4717</v>
      </c>
      <c r="J18" s="727"/>
      <c r="K18" s="727"/>
      <c r="L18" s="727"/>
      <c r="M18" s="727"/>
      <c r="N18" s="727"/>
      <c r="O18" s="727"/>
    </row>
    <row r="19">
      <c r="A19" s="728">
        <v>45455.0</v>
      </c>
      <c r="B19" s="6" t="s">
        <v>12184</v>
      </c>
      <c r="C19" s="6" t="s">
        <v>12191</v>
      </c>
      <c r="D19" s="727"/>
      <c r="E19" s="729">
        <v>5000.0</v>
      </c>
      <c r="F19" s="727">
        <f t="shared" si="1"/>
        <v>262500</v>
      </c>
      <c r="G19" s="6" t="s">
        <v>3883</v>
      </c>
      <c r="H19" s="6" t="s">
        <v>12192</v>
      </c>
      <c r="J19" s="727"/>
      <c r="K19" s="727"/>
      <c r="L19" s="727"/>
      <c r="M19" s="727"/>
      <c r="N19" s="727"/>
      <c r="O19" s="727"/>
    </row>
    <row r="20">
      <c r="A20" s="728">
        <v>45455.0</v>
      </c>
      <c r="B20" s="6" t="s">
        <v>12202</v>
      </c>
      <c r="C20" s="6" t="s">
        <v>12203</v>
      </c>
      <c r="D20" s="727"/>
      <c r="E20" s="729">
        <v>80000.0</v>
      </c>
      <c r="F20" s="727">
        <f t="shared" si="1"/>
        <v>182500</v>
      </c>
      <c r="G20" s="6" t="s">
        <v>3799</v>
      </c>
      <c r="H20" s="6" t="s">
        <v>4717</v>
      </c>
      <c r="J20" s="727"/>
      <c r="K20" s="727"/>
      <c r="L20" s="727"/>
      <c r="M20" s="727"/>
      <c r="N20" s="727"/>
      <c r="O20" s="727"/>
    </row>
    <row r="21">
      <c r="A21" s="728">
        <v>45455.0</v>
      </c>
      <c r="B21" s="6" t="s">
        <v>12204</v>
      </c>
      <c r="C21" s="6" t="s">
        <v>12188</v>
      </c>
      <c r="D21" s="727"/>
      <c r="E21" s="729">
        <v>5000.0</v>
      </c>
      <c r="F21" s="727">
        <f t="shared" si="1"/>
        <v>177500</v>
      </c>
      <c r="G21" s="6" t="s">
        <v>3799</v>
      </c>
      <c r="H21" s="6" t="s">
        <v>6096</v>
      </c>
      <c r="J21" s="727"/>
      <c r="K21" s="727"/>
      <c r="L21" s="727"/>
      <c r="M21" s="727"/>
      <c r="N21" s="727"/>
      <c r="O21" s="727"/>
    </row>
    <row r="22">
      <c r="A22" s="728">
        <v>45457.0</v>
      </c>
      <c r="B22" s="6" t="s">
        <v>12184</v>
      </c>
      <c r="C22" s="6" t="s">
        <v>12191</v>
      </c>
      <c r="D22" s="727"/>
      <c r="E22" s="729">
        <v>5000.0</v>
      </c>
      <c r="F22" s="727">
        <f t="shared" si="1"/>
        <v>172500</v>
      </c>
      <c r="G22" s="6" t="s">
        <v>3799</v>
      </c>
      <c r="H22" s="6" t="s">
        <v>12192</v>
      </c>
      <c r="J22" s="727"/>
      <c r="K22" s="727"/>
      <c r="L22" s="727"/>
      <c r="M22" s="727"/>
      <c r="N22" s="727"/>
      <c r="O22" s="727"/>
    </row>
    <row r="23">
      <c r="A23" s="728">
        <v>45457.0</v>
      </c>
      <c r="B23" s="6" t="s">
        <v>12205</v>
      </c>
      <c r="C23" s="6" t="s">
        <v>12206</v>
      </c>
      <c r="D23" s="727"/>
      <c r="E23" s="729">
        <v>5000.0</v>
      </c>
      <c r="F23" s="727">
        <f t="shared" si="1"/>
        <v>167500</v>
      </c>
      <c r="G23" s="6" t="s">
        <v>3799</v>
      </c>
      <c r="H23" s="6" t="s">
        <v>12186</v>
      </c>
      <c r="J23" s="727"/>
      <c r="K23" s="727"/>
      <c r="L23" s="727"/>
      <c r="M23" s="727"/>
      <c r="N23" s="727"/>
      <c r="O23" s="727"/>
    </row>
    <row r="24">
      <c r="A24" s="728">
        <v>45457.0</v>
      </c>
      <c r="B24" s="6" t="s">
        <v>54</v>
      </c>
      <c r="C24" s="6" t="s">
        <v>12207</v>
      </c>
      <c r="D24" s="727"/>
      <c r="E24" s="729">
        <v>100000.0</v>
      </c>
      <c r="F24" s="727">
        <f t="shared" si="1"/>
        <v>67500</v>
      </c>
      <c r="H24" s="6" t="s">
        <v>12208</v>
      </c>
      <c r="J24" s="727"/>
      <c r="K24" s="727"/>
      <c r="L24" s="727"/>
      <c r="M24" s="727"/>
      <c r="N24" s="727"/>
      <c r="O24" s="727"/>
    </row>
    <row r="25">
      <c r="A25" s="728">
        <v>45461.0</v>
      </c>
      <c r="B25" s="6" t="s">
        <v>12184</v>
      </c>
      <c r="C25" s="6" t="s">
        <v>12209</v>
      </c>
      <c r="D25" s="727"/>
      <c r="E25" s="729">
        <v>10000.0</v>
      </c>
      <c r="F25" s="727">
        <f t="shared" si="1"/>
        <v>57500</v>
      </c>
      <c r="G25" s="6" t="s">
        <v>3799</v>
      </c>
      <c r="H25" s="6" t="s">
        <v>12192</v>
      </c>
      <c r="J25" s="727"/>
      <c r="K25" s="727"/>
      <c r="L25" s="727"/>
      <c r="M25" s="727"/>
      <c r="N25" s="727"/>
      <c r="O25" s="727"/>
    </row>
    <row r="26">
      <c r="A26" s="730">
        <v>45461.0</v>
      </c>
      <c r="B26" s="6" t="s">
        <v>12177</v>
      </c>
      <c r="D26" s="729">
        <v>300000.0</v>
      </c>
      <c r="E26" s="727"/>
      <c r="F26" s="727">
        <f t="shared" si="1"/>
        <v>357500</v>
      </c>
      <c r="G26" s="6" t="s">
        <v>4262</v>
      </c>
      <c r="H26" s="6" t="s">
        <v>4262</v>
      </c>
      <c r="I26" s="6" t="s">
        <v>12210</v>
      </c>
      <c r="J26" s="727"/>
      <c r="K26" s="727"/>
      <c r="L26" s="727"/>
      <c r="M26" s="727"/>
      <c r="N26" s="727"/>
      <c r="O26" s="727"/>
    </row>
    <row r="27">
      <c r="A27" s="731">
        <v>45462.0</v>
      </c>
      <c r="B27" s="6" t="s">
        <v>12211</v>
      </c>
      <c r="C27" s="6" t="s">
        <v>12212</v>
      </c>
      <c r="D27" s="727"/>
      <c r="E27" s="729">
        <v>1000.0</v>
      </c>
      <c r="F27" s="727">
        <f t="shared" si="1"/>
        <v>356500</v>
      </c>
      <c r="G27" s="6" t="s">
        <v>3799</v>
      </c>
      <c r="H27" s="6" t="s">
        <v>12213</v>
      </c>
      <c r="J27" s="727"/>
      <c r="K27" s="727"/>
      <c r="L27" s="727"/>
      <c r="M27" s="727"/>
      <c r="N27" s="727"/>
      <c r="O27" s="727"/>
    </row>
    <row r="28">
      <c r="A28" s="113">
        <v>45465.0</v>
      </c>
      <c r="B28" s="6" t="s">
        <v>12184</v>
      </c>
      <c r="C28" s="6" t="s">
        <v>12191</v>
      </c>
      <c r="D28" s="727"/>
      <c r="E28" s="729">
        <v>5000.0</v>
      </c>
      <c r="F28" s="727">
        <f t="shared" si="1"/>
        <v>351500</v>
      </c>
      <c r="G28" s="6" t="s">
        <v>4262</v>
      </c>
      <c r="H28" s="6" t="s">
        <v>4717</v>
      </c>
      <c r="J28" s="727"/>
      <c r="K28" s="727"/>
      <c r="L28" s="727"/>
      <c r="M28" s="727"/>
      <c r="N28" s="727"/>
      <c r="O28" s="727"/>
    </row>
    <row r="29">
      <c r="A29" s="113">
        <v>45465.0</v>
      </c>
      <c r="B29" s="6" t="s">
        <v>12214</v>
      </c>
      <c r="C29" s="6" t="s">
        <v>12215</v>
      </c>
      <c r="D29" s="727"/>
      <c r="E29" s="729">
        <v>100000.0</v>
      </c>
      <c r="F29" s="727">
        <f t="shared" si="1"/>
        <v>251500</v>
      </c>
      <c r="G29" s="6" t="s">
        <v>3671</v>
      </c>
      <c r="H29" s="6" t="s">
        <v>7878</v>
      </c>
      <c r="J29" s="727"/>
      <c r="K29" s="727"/>
      <c r="L29" s="727"/>
      <c r="M29" s="727"/>
      <c r="N29" s="727"/>
      <c r="O29" s="727"/>
    </row>
    <row r="30">
      <c r="A30" s="113">
        <v>45466.0</v>
      </c>
      <c r="B30" s="6" t="s">
        <v>54</v>
      </c>
      <c r="C30" s="6" t="s">
        <v>12216</v>
      </c>
      <c r="D30" s="727"/>
      <c r="E30" s="729">
        <v>100000.0</v>
      </c>
      <c r="F30" s="727">
        <f t="shared" si="1"/>
        <v>151500</v>
      </c>
      <c r="G30" s="6" t="s">
        <v>3883</v>
      </c>
      <c r="H30" s="6" t="s">
        <v>12217</v>
      </c>
      <c r="J30" s="727"/>
      <c r="K30" s="727"/>
      <c r="L30" s="727"/>
      <c r="M30" s="727"/>
      <c r="N30" s="727"/>
      <c r="O30" s="727"/>
    </row>
    <row r="31">
      <c r="A31" s="113">
        <v>45466.0</v>
      </c>
      <c r="B31" s="6" t="s">
        <v>12187</v>
      </c>
      <c r="C31" s="6" t="s">
        <v>12188</v>
      </c>
      <c r="D31" s="727"/>
      <c r="E31" s="729">
        <v>5000.0</v>
      </c>
      <c r="F31" s="727">
        <f t="shared" si="1"/>
        <v>146500</v>
      </c>
      <c r="G31" s="6" t="s">
        <v>3883</v>
      </c>
      <c r="H31" s="6" t="s">
        <v>6096</v>
      </c>
      <c r="J31" s="727"/>
      <c r="K31" s="727"/>
      <c r="L31" s="727"/>
      <c r="M31" s="727"/>
      <c r="N31" s="727"/>
      <c r="O31" s="727"/>
    </row>
    <row r="32">
      <c r="A32" s="113">
        <v>45466.0</v>
      </c>
      <c r="B32" s="6" t="s">
        <v>12205</v>
      </c>
      <c r="C32" s="6" t="s">
        <v>12206</v>
      </c>
      <c r="D32" s="727"/>
      <c r="E32" s="729">
        <v>57000.0</v>
      </c>
      <c r="F32" s="727">
        <f t="shared" si="1"/>
        <v>89500</v>
      </c>
      <c r="G32" s="6" t="s">
        <v>3883</v>
      </c>
      <c r="H32" s="6" t="s">
        <v>12218</v>
      </c>
      <c r="J32" s="727"/>
      <c r="K32" s="727"/>
      <c r="L32" s="727"/>
      <c r="M32" s="727"/>
      <c r="N32" s="727"/>
      <c r="O32" s="727"/>
    </row>
    <row r="33">
      <c r="A33" s="113">
        <v>45468.0</v>
      </c>
      <c r="B33" s="6" t="s">
        <v>12177</v>
      </c>
      <c r="D33" s="729">
        <v>300000.0</v>
      </c>
      <c r="E33" s="727"/>
      <c r="F33" s="727">
        <f t="shared" si="1"/>
        <v>389500</v>
      </c>
      <c r="G33" s="6" t="s">
        <v>3883</v>
      </c>
      <c r="H33" s="6" t="s">
        <v>4262</v>
      </c>
      <c r="I33" s="6" t="s">
        <v>12219</v>
      </c>
      <c r="J33" s="727"/>
      <c r="K33" s="727"/>
      <c r="L33" s="727"/>
      <c r="M33" s="727"/>
      <c r="N33" s="727"/>
      <c r="O33" s="727"/>
    </row>
    <row r="34">
      <c r="A34" s="113">
        <v>45468.0</v>
      </c>
      <c r="B34" s="6" t="s">
        <v>12220</v>
      </c>
      <c r="C34" s="6" t="s">
        <v>12221</v>
      </c>
      <c r="D34" s="727"/>
      <c r="E34" s="729">
        <v>17800.0</v>
      </c>
      <c r="F34" s="727">
        <f t="shared" si="1"/>
        <v>371700</v>
      </c>
      <c r="G34" s="6" t="s">
        <v>3883</v>
      </c>
      <c r="H34" s="6" t="s">
        <v>4717</v>
      </c>
      <c r="J34" s="727"/>
      <c r="K34" s="727"/>
      <c r="L34" s="727"/>
      <c r="M34" s="727"/>
      <c r="N34" s="727"/>
      <c r="O34" s="727"/>
    </row>
    <row r="35">
      <c r="A35" s="113">
        <v>45468.0</v>
      </c>
      <c r="B35" s="6" t="s">
        <v>12198</v>
      </c>
      <c r="C35" s="732" t="s">
        <v>12222</v>
      </c>
      <c r="D35" s="727"/>
      <c r="E35" s="729">
        <v>287500.0</v>
      </c>
      <c r="F35" s="727">
        <f t="shared" si="1"/>
        <v>84200</v>
      </c>
      <c r="G35" s="6" t="s">
        <v>3883</v>
      </c>
      <c r="H35" s="6" t="s">
        <v>12218</v>
      </c>
      <c r="J35" s="727"/>
      <c r="K35" s="727"/>
      <c r="L35" s="727"/>
      <c r="M35" s="727"/>
      <c r="N35" s="727"/>
      <c r="O35" s="727"/>
    </row>
    <row r="36">
      <c r="A36" s="113">
        <v>45469.0</v>
      </c>
      <c r="B36" s="6" t="s">
        <v>12184</v>
      </c>
      <c r="C36" s="732" t="s">
        <v>12223</v>
      </c>
      <c r="D36" s="727"/>
      <c r="E36" s="729">
        <v>34000.0</v>
      </c>
      <c r="F36" s="727">
        <f t="shared" si="1"/>
        <v>50200</v>
      </c>
      <c r="G36" s="6" t="s">
        <v>3883</v>
      </c>
      <c r="H36" s="6" t="s">
        <v>12218</v>
      </c>
      <c r="J36" s="727"/>
      <c r="K36" s="727"/>
      <c r="L36" s="727"/>
      <c r="M36" s="727"/>
      <c r="N36" s="727"/>
      <c r="O36" s="727"/>
    </row>
    <row r="37">
      <c r="A37" s="113">
        <v>45469.0</v>
      </c>
      <c r="B37" s="6" t="s">
        <v>12220</v>
      </c>
      <c r="C37" s="732" t="s">
        <v>12224</v>
      </c>
      <c r="D37" s="727"/>
      <c r="E37" s="729">
        <v>17000.0</v>
      </c>
      <c r="F37" s="727">
        <f t="shared" si="1"/>
        <v>33200</v>
      </c>
      <c r="G37" s="6" t="s">
        <v>3883</v>
      </c>
      <c r="H37" s="6" t="s">
        <v>4717</v>
      </c>
      <c r="J37" s="727"/>
      <c r="K37" s="727"/>
      <c r="L37" s="727"/>
      <c r="M37" s="727"/>
      <c r="N37" s="727"/>
      <c r="O37" s="727"/>
    </row>
    <row r="38">
      <c r="A38" s="733">
        <v>45471.0</v>
      </c>
      <c r="B38" s="6" t="s">
        <v>12187</v>
      </c>
      <c r="C38" s="6" t="s">
        <v>12188</v>
      </c>
      <c r="D38" s="727"/>
      <c r="E38" s="729">
        <v>8000.0</v>
      </c>
      <c r="F38" s="727">
        <f t="shared" si="1"/>
        <v>25200</v>
      </c>
      <c r="G38" s="6" t="s">
        <v>3883</v>
      </c>
      <c r="H38" s="6" t="s">
        <v>6096</v>
      </c>
      <c r="J38" s="727"/>
      <c r="K38" s="727"/>
      <c r="L38" s="727"/>
      <c r="M38" s="727"/>
      <c r="N38" s="727"/>
      <c r="O38" s="727"/>
    </row>
    <row r="39">
      <c r="A39" s="726" t="s">
        <v>12225</v>
      </c>
      <c r="J39" s="727"/>
      <c r="K39" s="727"/>
      <c r="L39" s="727"/>
      <c r="M39" s="727"/>
      <c r="N39" s="727"/>
      <c r="O39" s="727"/>
    </row>
    <row r="40">
      <c r="A40" s="113">
        <v>45476.0</v>
      </c>
      <c r="B40" s="6" t="s">
        <v>12177</v>
      </c>
      <c r="D40" s="729">
        <v>500000.0</v>
      </c>
      <c r="E40" s="727"/>
      <c r="F40" s="727">
        <f>F38+D40-E40</f>
        <v>525200</v>
      </c>
      <c r="G40" s="6" t="s">
        <v>3799</v>
      </c>
      <c r="H40" s="6" t="s">
        <v>3799</v>
      </c>
      <c r="I40" s="6" t="s">
        <v>12219</v>
      </c>
      <c r="J40" s="727"/>
      <c r="K40" s="727"/>
      <c r="L40" s="727"/>
      <c r="M40" s="727"/>
      <c r="N40" s="727"/>
      <c r="O40" s="727"/>
    </row>
    <row r="41">
      <c r="A41" s="113">
        <v>45476.0</v>
      </c>
      <c r="B41" s="6" t="s">
        <v>12184</v>
      </c>
      <c r="C41" s="732" t="s">
        <v>12226</v>
      </c>
      <c r="D41" s="727"/>
      <c r="E41" s="729">
        <v>25500.0</v>
      </c>
      <c r="F41" s="727">
        <f t="shared" ref="F41:F83" si="2">F40+D41-E41</f>
        <v>499700</v>
      </c>
      <c r="G41" s="6" t="s">
        <v>3799</v>
      </c>
      <c r="H41" s="6" t="s">
        <v>7878</v>
      </c>
      <c r="J41" s="727"/>
      <c r="K41" s="727"/>
      <c r="L41" s="727"/>
      <c r="M41" s="727"/>
      <c r="N41" s="727"/>
      <c r="O41" s="727"/>
    </row>
    <row r="42">
      <c r="A42" s="113">
        <v>45476.0</v>
      </c>
      <c r="B42" s="6" t="s">
        <v>12227</v>
      </c>
      <c r="C42" s="6" t="s">
        <v>12228</v>
      </c>
      <c r="D42" s="727"/>
      <c r="E42" s="729">
        <v>90000.0</v>
      </c>
      <c r="F42" s="727">
        <f t="shared" si="2"/>
        <v>409700</v>
      </c>
      <c r="G42" s="6" t="s">
        <v>3799</v>
      </c>
      <c r="H42" s="6" t="s">
        <v>4717</v>
      </c>
      <c r="J42" s="727"/>
      <c r="K42" s="727"/>
      <c r="L42" s="727"/>
      <c r="M42" s="727"/>
      <c r="N42" s="727"/>
      <c r="O42" s="727"/>
    </row>
    <row r="43">
      <c r="A43" s="113">
        <v>45476.0</v>
      </c>
      <c r="B43" s="6" t="s">
        <v>12187</v>
      </c>
      <c r="C43" s="6" t="s">
        <v>12229</v>
      </c>
      <c r="D43" s="727"/>
      <c r="E43" s="729">
        <v>2000.0</v>
      </c>
      <c r="F43" s="727">
        <f t="shared" si="2"/>
        <v>407700</v>
      </c>
      <c r="G43" s="6" t="s">
        <v>3799</v>
      </c>
      <c r="H43" s="6" t="s">
        <v>12196</v>
      </c>
      <c r="J43" s="727"/>
      <c r="K43" s="727"/>
      <c r="L43" s="727"/>
      <c r="M43" s="727"/>
      <c r="N43" s="727"/>
      <c r="O43" s="727"/>
    </row>
    <row r="44">
      <c r="A44" s="113">
        <v>45477.0</v>
      </c>
      <c r="B44" s="6" t="s">
        <v>12198</v>
      </c>
      <c r="C44" s="6" t="s">
        <v>12199</v>
      </c>
      <c r="D44" s="727"/>
      <c r="E44" s="729">
        <v>300000.0</v>
      </c>
      <c r="F44" s="727">
        <f t="shared" si="2"/>
        <v>107700</v>
      </c>
      <c r="G44" s="6" t="s">
        <v>3799</v>
      </c>
      <c r="H44" s="6" t="s">
        <v>12218</v>
      </c>
      <c r="J44" s="727"/>
      <c r="K44" s="727"/>
      <c r="L44" s="727"/>
      <c r="M44" s="727"/>
      <c r="N44" s="727"/>
      <c r="O44" s="727"/>
    </row>
    <row r="45">
      <c r="A45" s="734">
        <v>45478.0</v>
      </c>
      <c r="B45" s="6" t="s">
        <v>12177</v>
      </c>
      <c r="D45" s="729">
        <v>400000.0</v>
      </c>
      <c r="E45" s="727"/>
      <c r="F45" s="727">
        <f t="shared" si="2"/>
        <v>507700</v>
      </c>
      <c r="G45" s="6" t="s">
        <v>3793</v>
      </c>
      <c r="H45" s="6" t="s">
        <v>2939</v>
      </c>
      <c r="I45" s="6" t="s">
        <v>12230</v>
      </c>
      <c r="J45" s="727"/>
      <c r="K45" s="727"/>
      <c r="L45" s="727"/>
      <c r="M45" s="727"/>
      <c r="N45" s="727"/>
      <c r="O45" s="727"/>
    </row>
    <row r="46">
      <c r="A46" s="734">
        <v>45478.0</v>
      </c>
      <c r="B46" s="6" t="s">
        <v>12177</v>
      </c>
      <c r="C46" s="6" t="s">
        <v>12231</v>
      </c>
      <c r="D46" s="729">
        <v>351000.0</v>
      </c>
      <c r="E46" s="729"/>
      <c r="F46" s="727">
        <f t="shared" si="2"/>
        <v>858700</v>
      </c>
      <c r="G46" s="6" t="s">
        <v>3793</v>
      </c>
      <c r="H46" s="6"/>
      <c r="I46" s="6" t="s">
        <v>12232</v>
      </c>
      <c r="J46" s="727"/>
      <c r="K46" s="727"/>
      <c r="L46" s="727"/>
      <c r="M46" s="727"/>
      <c r="N46" s="727"/>
      <c r="O46" s="727"/>
    </row>
    <row r="47">
      <c r="A47" s="734">
        <v>45478.0</v>
      </c>
      <c r="B47" s="6" t="s">
        <v>12233</v>
      </c>
      <c r="C47" s="6" t="s">
        <v>12234</v>
      </c>
      <c r="D47" s="729"/>
      <c r="E47" s="729">
        <v>351000.0</v>
      </c>
      <c r="F47" s="727">
        <f t="shared" si="2"/>
        <v>507700</v>
      </c>
      <c r="G47" s="6" t="s">
        <v>3793</v>
      </c>
      <c r="H47" s="6"/>
      <c r="I47" s="6" t="s">
        <v>12235</v>
      </c>
      <c r="J47" s="727"/>
      <c r="K47" s="727"/>
      <c r="L47" s="727"/>
      <c r="M47" s="727"/>
      <c r="N47" s="727"/>
      <c r="O47" s="727"/>
    </row>
    <row r="48">
      <c r="A48" s="113">
        <v>45477.0</v>
      </c>
      <c r="B48" s="6" t="s">
        <v>12187</v>
      </c>
      <c r="C48" s="6" t="s">
        <v>12188</v>
      </c>
      <c r="D48" s="727"/>
      <c r="E48" s="729">
        <v>5000.0</v>
      </c>
      <c r="F48" s="727">
        <f t="shared" si="2"/>
        <v>502700</v>
      </c>
      <c r="G48" s="6" t="s">
        <v>3799</v>
      </c>
      <c r="H48" s="6" t="s">
        <v>6096</v>
      </c>
      <c r="J48" s="727"/>
      <c r="K48" s="727"/>
      <c r="L48" s="727"/>
      <c r="M48" s="727"/>
      <c r="N48" s="727"/>
      <c r="O48" s="727"/>
    </row>
    <row r="49">
      <c r="A49" s="113">
        <v>45481.0</v>
      </c>
      <c r="B49" s="6" t="s">
        <v>12214</v>
      </c>
      <c r="C49" s="6" t="s">
        <v>12214</v>
      </c>
      <c r="D49" s="727"/>
      <c r="E49" s="729">
        <v>100000.0</v>
      </c>
      <c r="F49" s="727">
        <f t="shared" si="2"/>
        <v>402700</v>
      </c>
      <c r="G49" s="6" t="s">
        <v>3799</v>
      </c>
      <c r="H49" s="6" t="s">
        <v>7878</v>
      </c>
      <c r="J49" s="727"/>
      <c r="K49" s="727"/>
      <c r="L49" s="727"/>
      <c r="M49" s="727"/>
      <c r="N49" s="727"/>
      <c r="O49" s="727"/>
    </row>
    <row r="50">
      <c r="A50" s="113">
        <v>45482.0</v>
      </c>
      <c r="B50" s="6" t="s">
        <v>12187</v>
      </c>
      <c r="C50" s="6" t="s">
        <v>12236</v>
      </c>
      <c r="D50" s="727"/>
      <c r="E50" s="729">
        <v>11000.0</v>
      </c>
      <c r="F50" s="727">
        <f t="shared" si="2"/>
        <v>391700</v>
      </c>
      <c r="G50" s="6" t="s">
        <v>3799</v>
      </c>
      <c r="H50" s="6" t="s">
        <v>6096</v>
      </c>
      <c r="J50" s="727"/>
      <c r="K50" s="727"/>
      <c r="L50" s="727"/>
      <c r="M50" s="727"/>
      <c r="N50" s="727"/>
      <c r="O50" s="727"/>
    </row>
    <row r="51">
      <c r="A51" s="113">
        <v>45484.0</v>
      </c>
      <c r="B51" s="6" t="s">
        <v>12205</v>
      </c>
      <c r="C51" s="6" t="s">
        <v>12206</v>
      </c>
      <c r="D51" s="727"/>
      <c r="E51" s="729">
        <v>12000.0</v>
      </c>
      <c r="F51" s="727">
        <f t="shared" si="2"/>
        <v>379700</v>
      </c>
      <c r="G51" s="6" t="s">
        <v>3799</v>
      </c>
      <c r="H51" s="6" t="s">
        <v>12218</v>
      </c>
      <c r="J51" s="727"/>
      <c r="K51" s="727"/>
      <c r="L51" s="727"/>
      <c r="M51" s="727"/>
      <c r="N51" s="727"/>
      <c r="O51" s="727"/>
    </row>
    <row r="52">
      <c r="A52" s="113">
        <v>45484.0</v>
      </c>
      <c r="B52" s="6" t="s">
        <v>12187</v>
      </c>
      <c r="C52" s="6" t="s">
        <v>12188</v>
      </c>
      <c r="D52" s="727"/>
      <c r="E52" s="729">
        <v>5000.0</v>
      </c>
      <c r="F52" s="727">
        <f t="shared" si="2"/>
        <v>374700</v>
      </c>
      <c r="G52" s="6" t="s">
        <v>3799</v>
      </c>
      <c r="H52" s="6" t="s">
        <v>6096</v>
      </c>
      <c r="J52" s="727"/>
      <c r="K52" s="727"/>
      <c r="L52" s="727"/>
      <c r="M52" s="727"/>
      <c r="N52" s="727"/>
      <c r="O52" s="727"/>
    </row>
    <row r="53">
      <c r="A53" s="113">
        <v>45484.0</v>
      </c>
      <c r="B53" s="6" t="s">
        <v>12198</v>
      </c>
      <c r="C53" s="6" t="s">
        <v>12199</v>
      </c>
      <c r="D53" s="727"/>
      <c r="E53" s="729">
        <v>200000.0</v>
      </c>
      <c r="F53" s="727">
        <f t="shared" si="2"/>
        <v>174700</v>
      </c>
      <c r="G53" s="6" t="s">
        <v>3799</v>
      </c>
      <c r="H53" s="6" t="s">
        <v>6096</v>
      </c>
      <c r="J53" s="727"/>
      <c r="K53" s="727"/>
      <c r="L53" s="727"/>
      <c r="M53" s="727"/>
      <c r="N53" s="727"/>
      <c r="O53" s="727"/>
    </row>
    <row r="54">
      <c r="A54" s="113">
        <v>45485.0</v>
      </c>
      <c r="B54" s="6" t="s">
        <v>12177</v>
      </c>
      <c r="D54" s="729">
        <v>500000.0</v>
      </c>
      <c r="E54" s="727"/>
      <c r="F54" s="727">
        <f t="shared" si="2"/>
        <v>674700</v>
      </c>
      <c r="G54" s="6" t="s">
        <v>3799</v>
      </c>
      <c r="H54" s="6" t="s">
        <v>3799</v>
      </c>
      <c r="I54" s="6" t="s">
        <v>12237</v>
      </c>
      <c r="J54" s="727"/>
      <c r="K54" s="727"/>
      <c r="L54" s="727"/>
      <c r="M54" s="727"/>
      <c r="N54" s="727"/>
      <c r="O54" s="727"/>
    </row>
    <row r="55">
      <c r="A55" s="113">
        <v>45486.0</v>
      </c>
      <c r="B55" s="6" t="s">
        <v>12238</v>
      </c>
      <c r="C55" s="6" t="s">
        <v>12239</v>
      </c>
      <c r="D55" s="727"/>
      <c r="E55" s="729">
        <v>100000.0</v>
      </c>
      <c r="F55" s="727">
        <f t="shared" si="2"/>
        <v>574700</v>
      </c>
      <c r="G55" s="6" t="s">
        <v>3799</v>
      </c>
      <c r="H55" s="6" t="s">
        <v>12196</v>
      </c>
      <c r="J55" s="727"/>
      <c r="K55" s="727"/>
      <c r="L55" s="727"/>
      <c r="M55" s="727"/>
      <c r="N55" s="727"/>
      <c r="O55" s="727"/>
    </row>
    <row r="56">
      <c r="A56" s="113">
        <v>45486.0</v>
      </c>
      <c r="B56" s="6" t="s">
        <v>12227</v>
      </c>
      <c r="C56" s="6" t="s">
        <v>12240</v>
      </c>
      <c r="D56" s="727"/>
      <c r="E56" s="729">
        <v>250000.0</v>
      </c>
      <c r="F56" s="727">
        <f t="shared" si="2"/>
        <v>324700</v>
      </c>
      <c r="G56" s="6" t="s">
        <v>3799</v>
      </c>
      <c r="H56" s="6" t="s">
        <v>7878</v>
      </c>
      <c r="J56" s="727"/>
      <c r="K56" s="727"/>
      <c r="L56" s="727"/>
      <c r="M56" s="727"/>
      <c r="N56" s="727"/>
      <c r="O56" s="727"/>
    </row>
    <row r="57">
      <c r="A57" s="113">
        <v>45486.0</v>
      </c>
      <c r="B57" s="6" t="s">
        <v>12241</v>
      </c>
      <c r="C57" s="6" t="s">
        <v>12242</v>
      </c>
      <c r="D57" s="727"/>
      <c r="E57" s="729">
        <v>15000.0</v>
      </c>
      <c r="F57" s="727">
        <f t="shared" si="2"/>
        <v>309700</v>
      </c>
      <c r="G57" s="6" t="s">
        <v>3799</v>
      </c>
      <c r="H57" s="6" t="s">
        <v>12218</v>
      </c>
      <c r="J57" s="727"/>
      <c r="K57" s="727"/>
      <c r="L57" s="727"/>
      <c r="M57" s="727"/>
      <c r="N57" s="727"/>
      <c r="O57" s="727"/>
    </row>
    <row r="58">
      <c r="A58" s="113">
        <v>45486.0</v>
      </c>
      <c r="B58" s="6" t="s">
        <v>12184</v>
      </c>
      <c r="C58" s="732" t="s">
        <v>12226</v>
      </c>
      <c r="D58" s="727"/>
      <c r="E58" s="729">
        <v>25500.0</v>
      </c>
      <c r="F58" s="727">
        <f t="shared" si="2"/>
        <v>284200</v>
      </c>
      <c r="G58" s="6" t="s">
        <v>3799</v>
      </c>
      <c r="H58" s="6" t="s">
        <v>7878</v>
      </c>
      <c r="J58" s="727"/>
      <c r="K58" s="727"/>
      <c r="L58" s="727"/>
      <c r="M58" s="727"/>
      <c r="N58" s="727"/>
      <c r="O58" s="727"/>
    </row>
    <row r="59">
      <c r="A59" s="113">
        <v>45486.0</v>
      </c>
      <c r="B59" s="6" t="s">
        <v>12177</v>
      </c>
      <c r="D59" s="729">
        <v>500000.0</v>
      </c>
      <c r="E59" s="727"/>
      <c r="F59" s="727">
        <f t="shared" si="2"/>
        <v>784200</v>
      </c>
      <c r="G59" s="6" t="s">
        <v>3799</v>
      </c>
      <c r="H59" s="6" t="s">
        <v>3799</v>
      </c>
      <c r="I59" s="6" t="s">
        <v>12230</v>
      </c>
      <c r="J59" s="727"/>
      <c r="K59" s="727"/>
      <c r="L59" s="727"/>
      <c r="M59" s="727"/>
      <c r="N59" s="727"/>
      <c r="O59" s="727"/>
    </row>
    <row r="60">
      <c r="A60" s="113">
        <v>45486.0</v>
      </c>
      <c r="B60" s="6" t="s">
        <v>12243</v>
      </c>
      <c r="C60" s="6" t="s">
        <v>12243</v>
      </c>
      <c r="D60" s="727"/>
      <c r="E60" s="729">
        <v>300000.0</v>
      </c>
      <c r="F60" s="727">
        <f t="shared" si="2"/>
        <v>484200</v>
      </c>
      <c r="G60" s="6" t="s">
        <v>3799</v>
      </c>
      <c r="H60" s="6" t="s">
        <v>12218</v>
      </c>
      <c r="J60" s="727"/>
      <c r="K60" s="727"/>
      <c r="L60" s="727"/>
      <c r="M60" s="727"/>
      <c r="N60" s="727"/>
      <c r="O60" s="727"/>
    </row>
    <row r="61">
      <c r="A61" s="113">
        <v>45486.0</v>
      </c>
      <c r="B61" s="6" t="s">
        <v>12214</v>
      </c>
      <c r="C61" s="6" t="s">
        <v>12214</v>
      </c>
      <c r="D61" s="727"/>
      <c r="E61" s="729">
        <v>100000.0</v>
      </c>
      <c r="F61" s="727">
        <f t="shared" si="2"/>
        <v>384200</v>
      </c>
      <c r="G61" s="6" t="s">
        <v>3799</v>
      </c>
      <c r="H61" s="6" t="s">
        <v>7878</v>
      </c>
      <c r="J61" s="727"/>
      <c r="K61" s="727"/>
      <c r="L61" s="727"/>
      <c r="M61" s="727"/>
      <c r="N61" s="727"/>
      <c r="O61" s="727"/>
    </row>
    <row r="62">
      <c r="A62" s="113">
        <v>45488.0</v>
      </c>
      <c r="B62" s="6" t="s">
        <v>12244</v>
      </c>
      <c r="C62" s="6" t="s">
        <v>12245</v>
      </c>
      <c r="D62" s="727"/>
      <c r="E62" s="729">
        <v>302000.0</v>
      </c>
      <c r="F62" s="727">
        <f t="shared" si="2"/>
        <v>82200</v>
      </c>
      <c r="G62" s="6" t="s">
        <v>3799</v>
      </c>
      <c r="H62" s="6" t="s">
        <v>6096</v>
      </c>
      <c r="J62" s="727"/>
      <c r="K62" s="727"/>
      <c r="L62" s="727"/>
      <c r="M62" s="727"/>
      <c r="N62" s="727"/>
      <c r="O62" s="727"/>
    </row>
    <row r="63">
      <c r="A63" s="113">
        <v>45489.0</v>
      </c>
      <c r="B63" s="6" t="s">
        <v>12187</v>
      </c>
      <c r="C63" s="6" t="s">
        <v>12246</v>
      </c>
      <c r="D63" s="727"/>
      <c r="E63" s="729">
        <v>5000.0</v>
      </c>
      <c r="F63" s="727">
        <f t="shared" si="2"/>
        <v>77200</v>
      </c>
      <c r="G63" s="6" t="s">
        <v>3799</v>
      </c>
      <c r="H63" s="6" t="s">
        <v>6096</v>
      </c>
      <c r="J63" s="727"/>
      <c r="K63" s="727"/>
      <c r="L63" s="727"/>
      <c r="M63" s="727"/>
      <c r="N63" s="727"/>
      <c r="O63" s="727"/>
    </row>
    <row r="64">
      <c r="A64" s="113">
        <v>45489.0</v>
      </c>
      <c r="B64" s="6" t="s">
        <v>12177</v>
      </c>
      <c r="D64" s="729">
        <v>700000.0</v>
      </c>
      <c r="E64" s="727"/>
      <c r="F64" s="727">
        <f t="shared" si="2"/>
        <v>777200</v>
      </c>
      <c r="G64" s="6" t="s">
        <v>3799</v>
      </c>
      <c r="H64" s="6" t="s">
        <v>3799</v>
      </c>
      <c r="I64" s="6" t="s">
        <v>12247</v>
      </c>
      <c r="J64" s="727"/>
      <c r="K64" s="727"/>
      <c r="L64" s="727"/>
      <c r="M64" s="727"/>
      <c r="N64" s="727"/>
      <c r="O64" s="727"/>
    </row>
    <row r="65">
      <c r="A65" s="113">
        <v>45490.0</v>
      </c>
      <c r="B65" s="6" t="s">
        <v>12220</v>
      </c>
      <c r="C65" s="6" t="s">
        <v>12248</v>
      </c>
      <c r="D65" s="727"/>
      <c r="E65" s="729">
        <v>8800.0</v>
      </c>
      <c r="F65" s="727">
        <f t="shared" si="2"/>
        <v>768400</v>
      </c>
      <c r="G65" s="6" t="s">
        <v>3799</v>
      </c>
      <c r="H65" s="6" t="s">
        <v>12196</v>
      </c>
      <c r="J65" s="727"/>
      <c r="K65" s="727"/>
      <c r="L65" s="727"/>
      <c r="M65" s="727"/>
      <c r="N65" s="727"/>
      <c r="O65" s="727"/>
    </row>
    <row r="66">
      <c r="A66" s="113">
        <v>45493.0</v>
      </c>
      <c r="B66" s="6" t="s">
        <v>12177</v>
      </c>
      <c r="D66" s="729">
        <v>1000000.0</v>
      </c>
      <c r="E66" s="727"/>
      <c r="F66" s="727">
        <f t="shared" si="2"/>
        <v>1768400</v>
      </c>
      <c r="G66" s="6" t="s">
        <v>3799</v>
      </c>
      <c r="H66" s="6" t="s">
        <v>3799</v>
      </c>
      <c r="I66" s="6" t="s">
        <v>12249</v>
      </c>
      <c r="J66" s="727"/>
      <c r="K66" s="727"/>
      <c r="L66" s="727"/>
      <c r="M66" s="727"/>
      <c r="N66" s="727"/>
      <c r="O66" s="727"/>
    </row>
    <row r="67">
      <c r="A67" s="113">
        <v>45493.0</v>
      </c>
      <c r="B67" s="6" t="s">
        <v>12214</v>
      </c>
      <c r="C67" s="6" t="s">
        <v>12214</v>
      </c>
      <c r="D67" s="727"/>
      <c r="E67" s="729">
        <v>100000.0</v>
      </c>
      <c r="F67" s="727">
        <f t="shared" si="2"/>
        <v>1668400</v>
      </c>
      <c r="G67" s="6" t="s">
        <v>3799</v>
      </c>
      <c r="H67" s="6" t="s">
        <v>7878</v>
      </c>
      <c r="J67" s="727"/>
      <c r="K67" s="727"/>
      <c r="L67" s="727"/>
      <c r="M67" s="727"/>
      <c r="N67" s="727"/>
      <c r="O67" s="727"/>
    </row>
    <row r="68">
      <c r="A68" s="113">
        <v>45493.0</v>
      </c>
      <c r="B68" s="6" t="s">
        <v>12250</v>
      </c>
      <c r="C68" s="6" t="s">
        <v>12250</v>
      </c>
      <c r="D68" s="727"/>
      <c r="E68" s="729">
        <v>200000.0</v>
      </c>
      <c r="F68" s="727">
        <f t="shared" si="2"/>
        <v>1468400</v>
      </c>
      <c r="G68" s="6" t="s">
        <v>3799</v>
      </c>
      <c r="H68" s="6" t="s">
        <v>12196</v>
      </c>
      <c r="J68" s="727"/>
      <c r="K68" s="727"/>
      <c r="L68" s="727"/>
      <c r="M68" s="727"/>
      <c r="N68" s="727"/>
      <c r="O68" s="727"/>
    </row>
    <row r="69">
      <c r="A69" s="113">
        <v>45493.0</v>
      </c>
      <c r="B69" s="6" t="s">
        <v>12251</v>
      </c>
      <c r="C69" s="6" t="s">
        <v>12251</v>
      </c>
      <c r="D69" s="727"/>
      <c r="E69" s="729">
        <v>100000.0</v>
      </c>
      <c r="F69" s="727">
        <f t="shared" si="2"/>
        <v>1368400</v>
      </c>
      <c r="G69" s="6" t="s">
        <v>3799</v>
      </c>
      <c r="H69" s="6" t="s">
        <v>6096</v>
      </c>
      <c r="J69" s="727"/>
      <c r="K69" s="727"/>
      <c r="L69" s="727"/>
      <c r="M69" s="727"/>
      <c r="N69" s="727"/>
      <c r="O69" s="727"/>
    </row>
    <row r="70">
      <c r="A70" s="113">
        <v>45493.0</v>
      </c>
      <c r="B70" s="6" t="s">
        <v>12252</v>
      </c>
      <c r="C70" s="6" t="s">
        <v>12252</v>
      </c>
      <c r="D70" s="727"/>
      <c r="E70" s="729">
        <v>100000.0</v>
      </c>
      <c r="F70" s="727">
        <f t="shared" si="2"/>
        <v>1268400</v>
      </c>
      <c r="G70" s="6" t="s">
        <v>3799</v>
      </c>
      <c r="H70" s="6" t="s">
        <v>3664</v>
      </c>
      <c r="J70" s="727"/>
      <c r="K70" s="727"/>
      <c r="L70" s="727"/>
      <c r="M70" s="727"/>
      <c r="N70" s="727"/>
      <c r="O70" s="727"/>
    </row>
    <row r="71">
      <c r="A71" s="113">
        <v>45493.0</v>
      </c>
      <c r="B71" s="6" t="s">
        <v>12253</v>
      </c>
      <c r="C71" s="6" t="s">
        <v>12253</v>
      </c>
      <c r="D71" s="727"/>
      <c r="E71" s="729">
        <v>200000.0</v>
      </c>
      <c r="F71" s="727">
        <f t="shared" si="2"/>
        <v>1068400</v>
      </c>
      <c r="G71" s="6" t="s">
        <v>3799</v>
      </c>
      <c r="H71" s="6" t="s">
        <v>3671</v>
      </c>
      <c r="J71" s="727"/>
      <c r="K71" s="727"/>
      <c r="L71" s="727"/>
      <c r="M71" s="727"/>
      <c r="N71" s="727"/>
      <c r="O71" s="727"/>
    </row>
    <row r="72">
      <c r="A72" s="113">
        <v>45493.0</v>
      </c>
      <c r="B72" s="6" t="s">
        <v>12243</v>
      </c>
      <c r="C72" s="6" t="s">
        <v>12243</v>
      </c>
      <c r="D72" s="727"/>
      <c r="E72" s="729">
        <v>300000.0</v>
      </c>
      <c r="F72" s="727">
        <f t="shared" si="2"/>
        <v>768400</v>
      </c>
      <c r="G72" s="6" t="s">
        <v>3799</v>
      </c>
      <c r="H72" s="6" t="s">
        <v>12218</v>
      </c>
      <c r="J72" s="727"/>
      <c r="K72" s="727"/>
      <c r="L72" s="727"/>
      <c r="M72" s="727"/>
      <c r="N72" s="727"/>
      <c r="O72" s="727"/>
    </row>
    <row r="73">
      <c r="A73" s="113">
        <v>45496.0</v>
      </c>
      <c r="B73" s="6" t="s">
        <v>12198</v>
      </c>
      <c r="C73" s="6" t="s">
        <v>12199</v>
      </c>
      <c r="D73" s="727"/>
      <c r="E73" s="729">
        <v>300000.0</v>
      </c>
      <c r="F73" s="727">
        <f t="shared" si="2"/>
        <v>468400</v>
      </c>
      <c r="G73" s="6" t="s">
        <v>3799</v>
      </c>
      <c r="H73" s="6" t="s">
        <v>12218</v>
      </c>
      <c r="J73" s="727"/>
      <c r="K73" s="727"/>
      <c r="L73" s="727"/>
      <c r="M73" s="727"/>
      <c r="N73" s="727"/>
      <c r="O73" s="727"/>
    </row>
    <row r="74">
      <c r="A74" s="113">
        <v>45497.0</v>
      </c>
      <c r="B74" s="6" t="s">
        <v>12184</v>
      </c>
      <c r="C74" s="732" t="s">
        <v>12226</v>
      </c>
      <c r="D74" s="727"/>
      <c r="E74" s="729">
        <v>25500.0</v>
      </c>
      <c r="F74" s="727">
        <f t="shared" si="2"/>
        <v>442900</v>
      </c>
      <c r="G74" s="6" t="s">
        <v>3799</v>
      </c>
      <c r="H74" s="6" t="s">
        <v>7878</v>
      </c>
      <c r="J74" s="727"/>
      <c r="K74" s="727"/>
      <c r="L74" s="727"/>
      <c r="M74" s="727"/>
      <c r="N74" s="727"/>
      <c r="O74" s="727"/>
    </row>
    <row r="75">
      <c r="A75" s="113">
        <v>45498.0</v>
      </c>
      <c r="B75" s="6" t="s">
        <v>12254</v>
      </c>
      <c r="C75" s="6" t="s">
        <v>12255</v>
      </c>
      <c r="E75" s="729">
        <v>315000.0</v>
      </c>
      <c r="F75" s="727">
        <f t="shared" si="2"/>
        <v>127900</v>
      </c>
      <c r="G75" s="6" t="s">
        <v>3799</v>
      </c>
      <c r="H75" s="6" t="s">
        <v>7878</v>
      </c>
      <c r="I75" s="6" t="s">
        <v>12210</v>
      </c>
      <c r="J75" s="727"/>
      <c r="K75" s="727"/>
      <c r="L75" s="727"/>
      <c r="M75" s="727"/>
      <c r="N75" s="727"/>
      <c r="O75" s="727"/>
    </row>
    <row r="76">
      <c r="A76" s="113">
        <v>45498.0</v>
      </c>
      <c r="B76" s="6" t="s">
        <v>12177</v>
      </c>
      <c r="D76" s="729">
        <v>1000000.0</v>
      </c>
      <c r="F76" s="727">
        <f t="shared" si="2"/>
        <v>1127900</v>
      </c>
      <c r="G76" s="6" t="s">
        <v>3799</v>
      </c>
      <c r="H76" s="6" t="s">
        <v>3799</v>
      </c>
      <c r="I76" s="6" t="s">
        <v>12256</v>
      </c>
      <c r="J76" s="727"/>
      <c r="K76" s="727"/>
      <c r="L76" s="727"/>
      <c r="M76" s="727"/>
      <c r="N76" s="727"/>
      <c r="O76" s="727"/>
    </row>
    <row r="77">
      <c r="A77" s="733">
        <v>45500.0</v>
      </c>
      <c r="B77" s="6" t="s">
        <v>12214</v>
      </c>
      <c r="C77" s="6" t="s">
        <v>12214</v>
      </c>
      <c r="D77" s="727"/>
      <c r="E77" s="729">
        <v>100000.0</v>
      </c>
      <c r="F77" s="727">
        <f t="shared" si="2"/>
        <v>1027900</v>
      </c>
      <c r="G77" s="6" t="s">
        <v>3799</v>
      </c>
      <c r="H77" s="6" t="s">
        <v>7878</v>
      </c>
      <c r="J77" s="727"/>
      <c r="K77" s="727"/>
      <c r="L77" s="727"/>
      <c r="M77" s="727"/>
      <c r="N77" s="727"/>
      <c r="O77" s="727"/>
    </row>
    <row r="78">
      <c r="A78" s="733">
        <v>45500.0</v>
      </c>
      <c r="B78" s="6" t="s">
        <v>12251</v>
      </c>
      <c r="C78" s="6" t="s">
        <v>12251</v>
      </c>
      <c r="D78" s="727"/>
      <c r="E78" s="729">
        <v>100000.0</v>
      </c>
      <c r="F78" s="727">
        <f t="shared" si="2"/>
        <v>927900</v>
      </c>
      <c r="G78" s="6" t="s">
        <v>3799</v>
      </c>
      <c r="H78" s="6" t="s">
        <v>6096</v>
      </c>
      <c r="J78" s="727"/>
      <c r="K78" s="727"/>
      <c r="L78" s="727"/>
      <c r="M78" s="727"/>
      <c r="N78" s="727"/>
      <c r="O78" s="727"/>
    </row>
    <row r="79">
      <c r="A79" s="733">
        <v>45500.0</v>
      </c>
      <c r="B79" s="6" t="s">
        <v>12250</v>
      </c>
      <c r="C79" s="6" t="s">
        <v>12250</v>
      </c>
      <c r="D79" s="727"/>
      <c r="E79" s="729">
        <v>200000.0</v>
      </c>
      <c r="F79" s="727">
        <f t="shared" si="2"/>
        <v>727900</v>
      </c>
      <c r="G79" s="6" t="s">
        <v>3799</v>
      </c>
      <c r="H79" s="6" t="s">
        <v>12196</v>
      </c>
      <c r="J79" s="727"/>
      <c r="K79" s="727"/>
      <c r="L79" s="727"/>
      <c r="M79" s="727"/>
      <c r="N79" s="727"/>
      <c r="O79" s="727"/>
    </row>
    <row r="80">
      <c r="A80" s="733">
        <v>45500.0</v>
      </c>
      <c r="B80" s="6" t="s">
        <v>12243</v>
      </c>
      <c r="C80" s="6" t="s">
        <v>12243</v>
      </c>
      <c r="D80" s="727"/>
      <c r="E80" s="729">
        <v>300000.0</v>
      </c>
      <c r="F80" s="727">
        <f t="shared" si="2"/>
        <v>427900</v>
      </c>
      <c r="G80" s="6" t="s">
        <v>3799</v>
      </c>
      <c r="H80" s="6" t="s">
        <v>12218</v>
      </c>
      <c r="J80" s="727"/>
      <c r="K80" s="727"/>
      <c r="L80" s="727"/>
      <c r="M80" s="727"/>
      <c r="N80" s="727"/>
      <c r="O80" s="727"/>
    </row>
    <row r="81">
      <c r="A81" s="733">
        <v>45500.0</v>
      </c>
      <c r="B81" s="6" t="s">
        <v>12241</v>
      </c>
      <c r="C81" s="6" t="s">
        <v>12257</v>
      </c>
      <c r="E81" s="729">
        <v>20000.0</v>
      </c>
      <c r="F81" s="727">
        <f t="shared" si="2"/>
        <v>407900</v>
      </c>
      <c r="G81" s="6" t="s">
        <v>3799</v>
      </c>
      <c r="H81" s="6" t="s">
        <v>6096</v>
      </c>
      <c r="J81" s="727"/>
      <c r="K81" s="727"/>
      <c r="L81" s="727"/>
      <c r="M81" s="727"/>
      <c r="N81" s="727"/>
      <c r="O81" s="727"/>
    </row>
    <row r="82">
      <c r="A82" s="113">
        <v>45504.0</v>
      </c>
      <c r="B82" s="6" t="s">
        <v>12187</v>
      </c>
      <c r="C82" s="6" t="s">
        <v>12188</v>
      </c>
      <c r="E82" s="6">
        <v>5000.0</v>
      </c>
      <c r="F82" s="727">
        <f t="shared" si="2"/>
        <v>402900</v>
      </c>
      <c r="G82" s="6" t="s">
        <v>3799</v>
      </c>
      <c r="H82" s="6" t="s">
        <v>6096</v>
      </c>
      <c r="J82" s="727"/>
      <c r="K82" s="727"/>
      <c r="L82" s="727"/>
      <c r="M82" s="727"/>
      <c r="N82" s="727"/>
      <c r="O82" s="727"/>
    </row>
    <row r="83">
      <c r="A83" s="113">
        <v>45504.0</v>
      </c>
      <c r="B83" s="6" t="s">
        <v>12198</v>
      </c>
      <c r="C83" s="6" t="s">
        <v>12199</v>
      </c>
      <c r="E83" s="729">
        <v>300000.0</v>
      </c>
      <c r="F83" s="727">
        <f t="shared" si="2"/>
        <v>102900</v>
      </c>
      <c r="G83" s="6" t="s">
        <v>3799</v>
      </c>
      <c r="H83" s="6" t="s">
        <v>12218</v>
      </c>
      <c r="J83" s="727"/>
      <c r="K83" s="727"/>
      <c r="L83" s="727"/>
      <c r="M83" s="727"/>
      <c r="N83" s="727"/>
      <c r="O83" s="727"/>
    </row>
    <row r="84">
      <c r="A84" s="726" t="s">
        <v>12258</v>
      </c>
      <c r="J84" s="727"/>
      <c r="K84" s="727"/>
      <c r="L84" s="727"/>
      <c r="M84" s="727"/>
      <c r="N84" s="727"/>
      <c r="O84" s="727"/>
    </row>
    <row r="85">
      <c r="A85" s="113">
        <v>45505.0</v>
      </c>
      <c r="B85" s="6" t="s">
        <v>12177</v>
      </c>
      <c r="D85" s="729">
        <v>500000.0</v>
      </c>
      <c r="E85" s="729"/>
      <c r="F85" s="727">
        <f>F83+D85-E85</f>
        <v>602900</v>
      </c>
      <c r="G85" s="6" t="s">
        <v>3799</v>
      </c>
      <c r="H85" s="6" t="s">
        <v>3799</v>
      </c>
      <c r="I85" s="6" t="s">
        <v>12259</v>
      </c>
      <c r="J85" s="727"/>
      <c r="K85" s="727"/>
      <c r="L85" s="727"/>
      <c r="M85" s="727"/>
      <c r="N85" s="727"/>
      <c r="O85" s="727"/>
    </row>
    <row r="86">
      <c r="A86" s="113">
        <v>45505.0</v>
      </c>
      <c r="B86" s="6" t="s">
        <v>12260</v>
      </c>
      <c r="C86" s="6" t="s">
        <v>12260</v>
      </c>
      <c r="D86" s="727"/>
      <c r="E86" s="729">
        <v>500000.0</v>
      </c>
      <c r="F86" s="727">
        <f t="shared" ref="F86:F155" si="3">F85+D86-E86</f>
        <v>102900</v>
      </c>
      <c r="G86" s="6" t="s">
        <v>3799</v>
      </c>
      <c r="H86" s="6" t="s">
        <v>12218</v>
      </c>
      <c r="J86" s="727"/>
      <c r="K86" s="727"/>
      <c r="L86" s="727"/>
      <c r="M86" s="727"/>
      <c r="N86" s="727"/>
      <c r="O86" s="727"/>
    </row>
    <row r="87">
      <c r="A87" s="113">
        <v>45506.0</v>
      </c>
      <c r="B87" s="6" t="s">
        <v>12261</v>
      </c>
      <c r="C87" s="6" t="s">
        <v>12262</v>
      </c>
      <c r="D87" s="727"/>
      <c r="E87" s="729">
        <v>20000.0</v>
      </c>
      <c r="F87" s="727">
        <f t="shared" si="3"/>
        <v>82900</v>
      </c>
      <c r="G87" s="6" t="s">
        <v>3799</v>
      </c>
      <c r="H87" s="6" t="s">
        <v>7878</v>
      </c>
      <c r="J87" s="727"/>
      <c r="K87" s="727"/>
      <c r="L87" s="727"/>
      <c r="M87" s="727"/>
      <c r="N87" s="727"/>
      <c r="O87" s="727"/>
    </row>
    <row r="88">
      <c r="A88" s="113">
        <v>45506.0</v>
      </c>
      <c r="B88" s="6" t="s">
        <v>12263</v>
      </c>
      <c r="C88" s="6" t="s">
        <v>12264</v>
      </c>
      <c r="D88" s="727"/>
      <c r="E88" s="729">
        <v>49000.0</v>
      </c>
      <c r="F88" s="727">
        <f t="shared" si="3"/>
        <v>33900</v>
      </c>
      <c r="G88" s="6" t="s">
        <v>3799</v>
      </c>
      <c r="H88" s="6" t="s">
        <v>12265</v>
      </c>
      <c r="J88" s="727"/>
      <c r="K88" s="727"/>
      <c r="L88" s="727"/>
      <c r="M88" s="727"/>
      <c r="N88" s="727"/>
      <c r="O88" s="727"/>
    </row>
    <row r="89">
      <c r="A89" s="113">
        <v>45512.0</v>
      </c>
      <c r="B89" s="6" t="s">
        <v>12177</v>
      </c>
      <c r="D89" s="729">
        <v>300000.0</v>
      </c>
      <c r="E89" s="729"/>
      <c r="F89" s="727">
        <f t="shared" si="3"/>
        <v>333900</v>
      </c>
      <c r="I89" s="6" t="s">
        <v>12266</v>
      </c>
      <c r="J89" s="727"/>
      <c r="K89" s="727"/>
      <c r="L89" s="727"/>
      <c r="M89" s="727"/>
      <c r="N89" s="727"/>
      <c r="O89" s="727"/>
    </row>
    <row r="90">
      <c r="A90" s="113">
        <v>45512.0</v>
      </c>
      <c r="B90" s="6" t="s">
        <v>12198</v>
      </c>
      <c r="C90" s="6" t="s">
        <v>12199</v>
      </c>
      <c r="D90" s="727"/>
      <c r="E90" s="729">
        <v>300000.0</v>
      </c>
      <c r="F90" s="727">
        <f t="shared" si="3"/>
        <v>33900</v>
      </c>
      <c r="G90" s="6" t="s">
        <v>4258</v>
      </c>
      <c r="H90" s="6" t="s">
        <v>6069</v>
      </c>
      <c r="J90" s="727"/>
      <c r="K90" s="727"/>
      <c r="L90" s="727"/>
      <c r="M90" s="727"/>
      <c r="N90" s="727"/>
      <c r="O90" s="727"/>
    </row>
    <row r="91">
      <c r="A91" s="113">
        <v>45514.0</v>
      </c>
      <c r="B91" s="6" t="s">
        <v>12177</v>
      </c>
      <c r="D91" s="729">
        <v>10600.0</v>
      </c>
      <c r="E91" s="729"/>
      <c r="F91" s="727">
        <f t="shared" si="3"/>
        <v>44500</v>
      </c>
      <c r="J91" s="727"/>
      <c r="K91" s="727"/>
      <c r="L91" s="727"/>
      <c r="M91" s="727"/>
      <c r="N91" s="727"/>
      <c r="O91" s="727"/>
    </row>
    <row r="92">
      <c r="A92" s="113">
        <v>45514.0</v>
      </c>
      <c r="B92" s="6" t="s">
        <v>12267</v>
      </c>
      <c r="C92" s="6" t="s">
        <v>12268</v>
      </c>
      <c r="D92" s="727"/>
      <c r="E92" s="729">
        <v>10600.0</v>
      </c>
      <c r="F92" s="727">
        <f t="shared" si="3"/>
        <v>33900</v>
      </c>
      <c r="G92" s="6" t="s">
        <v>12269</v>
      </c>
      <c r="I92" s="6" t="s">
        <v>12270</v>
      </c>
      <c r="J92" s="727"/>
      <c r="K92" s="727"/>
      <c r="L92" s="727"/>
      <c r="M92" s="727"/>
      <c r="N92" s="727"/>
      <c r="O92" s="727"/>
    </row>
    <row r="93">
      <c r="A93" s="113">
        <v>45507.0</v>
      </c>
      <c r="B93" s="6" t="s">
        <v>12184</v>
      </c>
      <c r="C93" s="732" t="s">
        <v>12226</v>
      </c>
      <c r="D93" s="727"/>
      <c r="E93" s="729">
        <v>25500.0</v>
      </c>
      <c r="F93" s="727">
        <f t="shared" si="3"/>
        <v>8400</v>
      </c>
      <c r="G93" s="6" t="s">
        <v>3799</v>
      </c>
      <c r="H93" s="6" t="s">
        <v>12271</v>
      </c>
      <c r="J93" s="727"/>
      <c r="K93" s="727"/>
      <c r="L93" s="727"/>
      <c r="M93" s="727"/>
      <c r="N93" s="727"/>
      <c r="O93" s="727"/>
    </row>
    <row r="94">
      <c r="A94" s="113">
        <v>45509.0</v>
      </c>
      <c r="B94" s="6" t="s">
        <v>12272</v>
      </c>
      <c r="C94" s="6" t="s">
        <v>12273</v>
      </c>
      <c r="D94" s="727"/>
      <c r="E94" s="729">
        <v>7000.0</v>
      </c>
      <c r="F94" s="727">
        <f t="shared" si="3"/>
        <v>1400</v>
      </c>
      <c r="G94" s="6" t="s">
        <v>3799</v>
      </c>
      <c r="H94" s="6" t="s">
        <v>12274</v>
      </c>
      <c r="J94" s="727"/>
      <c r="K94" s="727"/>
      <c r="L94" s="727"/>
      <c r="M94" s="727"/>
      <c r="N94" s="727"/>
      <c r="O94" s="727"/>
    </row>
    <row r="95">
      <c r="A95" s="113">
        <v>45514.0</v>
      </c>
      <c r="B95" s="6" t="s">
        <v>12177</v>
      </c>
      <c r="C95" s="6" t="s">
        <v>12275</v>
      </c>
      <c r="D95" s="729">
        <v>148000.0</v>
      </c>
      <c r="E95" s="727"/>
      <c r="F95" s="727">
        <f t="shared" si="3"/>
        <v>149400</v>
      </c>
      <c r="G95" s="6" t="s">
        <v>12269</v>
      </c>
      <c r="I95" s="6" t="s">
        <v>12276</v>
      </c>
      <c r="J95" s="727"/>
      <c r="K95" s="727"/>
      <c r="L95" s="727"/>
      <c r="M95" s="727"/>
      <c r="N95" s="727"/>
      <c r="O95" s="727"/>
    </row>
    <row r="96">
      <c r="A96" s="113">
        <v>45514.0</v>
      </c>
      <c r="B96" s="6" t="s">
        <v>12277</v>
      </c>
      <c r="C96" s="6" t="s">
        <v>12275</v>
      </c>
      <c r="D96" s="729"/>
      <c r="E96" s="729">
        <v>148000.0</v>
      </c>
      <c r="F96" s="727">
        <f t="shared" si="3"/>
        <v>1400</v>
      </c>
      <c r="G96" s="6" t="s">
        <v>12269</v>
      </c>
      <c r="J96" s="727"/>
      <c r="K96" s="727"/>
      <c r="L96" s="727"/>
      <c r="M96" s="727"/>
      <c r="N96" s="727"/>
      <c r="O96" s="727"/>
    </row>
    <row r="97">
      <c r="A97" s="113">
        <v>45514.0</v>
      </c>
      <c r="B97" s="6" t="s">
        <v>12177</v>
      </c>
      <c r="D97" s="729">
        <v>350000.0</v>
      </c>
      <c r="E97" s="727"/>
      <c r="F97" s="727">
        <f t="shared" si="3"/>
        <v>351400</v>
      </c>
      <c r="G97" s="6" t="s">
        <v>12269</v>
      </c>
      <c r="J97" s="727"/>
      <c r="K97" s="727"/>
      <c r="L97" s="727"/>
      <c r="M97" s="727"/>
      <c r="N97" s="727"/>
      <c r="O97" s="727"/>
    </row>
    <row r="98">
      <c r="A98" s="113">
        <v>45514.0</v>
      </c>
      <c r="B98" s="6" t="s">
        <v>12278</v>
      </c>
      <c r="D98" s="727"/>
      <c r="E98" s="729">
        <v>100000.0</v>
      </c>
      <c r="F98" s="727">
        <f t="shared" si="3"/>
        <v>251400</v>
      </c>
      <c r="G98" s="6" t="s">
        <v>12269</v>
      </c>
      <c r="H98" s="6" t="s">
        <v>4258</v>
      </c>
      <c r="I98" s="6" t="s">
        <v>12276</v>
      </c>
      <c r="J98" s="727"/>
      <c r="K98" s="727"/>
      <c r="L98" s="727"/>
      <c r="M98" s="727"/>
      <c r="N98" s="727"/>
      <c r="O98" s="727"/>
    </row>
    <row r="99">
      <c r="A99" s="113">
        <v>45514.0</v>
      </c>
      <c r="B99" s="6" t="s">
        <v>12177</v>
      </c>
      <c r="C99" s="6" t="s">
        <v>12279</v>
      </c>
      <c r="D99" s="729">
        <v>700000.0</v>
      </c>
      <c r="E99" s="727"/>
      <c r="F99" s="727">
        <f t="shared" si="3"/>
        <v>951400</v>
      </c>
      <c r="G99" s="6" t="s">
        <v>12269</v>
      </c>
      <c r="I99" s="6" t="s">
        <v>12270</v>
      </c>
      <c r="J99" s="727"/>
      <c r="K99" s="727"/>
      <c r="L99" s="727"/>
      <c r="M99" s="727"/>
      <c r="N99" s="727"/>
      <c r="O99" s="727"/>
    </row>
    <row r="100">
      <c r="A100" s="113">
        <v>45514.0</v>
      </c>
      <c r="B100" s="735" t="s">
        <v>12279</v>
      </c>
      <c r="C100" s="6" t="s">
        <v>12214</v>
      </c>
      <c r="D100" s="727"/>
      <c r="E100" s="729">
        <v>100000.0</v>
      </c>
      <c r="F100" s="727">
        <f t="shared" si="3"/>
        <v>851400</v>
      </c>
      <c r="G100" s="6" t="s">
        <v>3799</v>
      </c>
      <c r="H100" s="6" t="s">
        <v>12271</v>
      </c>
      <c r="J100" s="727"/>
      <c r="K100" s="727"/>
      <c r="L100" s="727"/>
      <c r="M100" s="727"/>
      <c r="N100" s="727"/>
      <c r="O100" s="727"/>
    </row>
    <row r="101">
      <c r="A101" s="113">
        <v>45514.0</v>
      </c>
      <c r="B101" s="735" t="s">
        <v>12279</v>
      </c>
      <c r="C101" s="6" t="s">
        <v>12251</v>
      </c>
      <c r="D101" s="727"/>
      <c r="E101" s="729">
        <v>300000.0</v>
      </c>
      <c r="F101" s="727">
        <f t="shared" si="3"/>
        <v>551400</v>
      </c>
      <c r="G101" s="6" t="s">
        <v>3799</v>
      </c>
      <c r="H101" s="6" t="s">
        <v>12274</v>
      </c>
      <c r="J101" s="727"/>
      <c r="K101" s="727"/>
      <c r="L101" s="727"/>
      <c r="M101" s="727"/>
      <c r="N101" s="727"/>
      <c r="O101" s="727"/>
    </row>
    <row r="102">
      <c r="A102" s="113">
        <v>45514.0</v>
      </c>
      <c r="B102" s="735" t="s">
        <v>12243</v>
      </c>
      <c r="C102" s="6" t="s">
        <v>12243</v>
      </c>
      <c r="D102" s="727"/>
      <c r="E102" s="729">
        <v>300000.0</v>
      </c>
      <c r="F102" s="727">
        <f t="shared" si="3"/>
        <v>251400</v>
      </c>
      <c r="G102" s="6" t="s">
        <v>3799</v>
      </c>
      <c r="H102" s="6" t="s">
        <v>12218</v>
      </c>
      <c r="J102" s="727"/>
      <c r="K102" s="727"/>
      <c r="L102" s="727"/>
      <c r="M102" s="727"/>
      <c r="N102" s="727"/>
      <c r="O102" s="727"/>
    </row>
    <row r="103">
      <c r="A103" s="113">
        <v>45515.0</v>
      </c>
      <c r="B103" s="6" t="s">
        <v>12177</v>
      </c>
      <c r="C103" s="6" t="s">
        <v>12280</v>
      </c>
      <c r="D103" s="729">
        <v>900000.0</v>
      </c>
      <c r="E103" s="729"/>
      <c r="F103" s="727">
        <f t="shared" si="3"/>
        <v>1151400</v>
      </c>
      <c r="G103" s="6" t="s">
        <v>3799</v>
      </c>
      <c r="I103" s="6" t="s">
        <v>12270</v>
      </c>
      <c r="J103" s="727"/>
      <c r="K103" s="727"/>
      <c r="L103" s="727"/>
      <c r="M103" s="727"/>
      <c r="N103" s="727"/>
      <c r="O103" s="727"/>
    </row>
    <row r="104">
      <c r="A104" s="113">
        <v>45515.0</v>
      </c>
      <c r="B104" s="6" t="s">
        <v>12281</v>
      </c>
      <c r="C104" s="6" t="s">
        <v>12282</v>
      </c>
      <c r="D104" s="727"/>
      <c r="E104" s="729">
        <v>900000.0</v>
      </c>
      <c r="F104" s="727">
        <f t="shared" si="3"/>
        <v>251400</v>
      </c>
      <c r="G104" s="6" t="s">
        <v>3799</v>
      </c>
      <c r="J104" s="727"/>
      <c r="K104" s="727"/>
      <c r="L104" s="727"/>
      <c r="M104" s="727"/>
      <c r="N104" s="727"/>
      <c r="O104" s="727"/>
    </row>
    <row r="105">
      <c r="A105" s="113">
        <v>45516.0</v>
      </c>
      <c r="B105" s="6" t="s">
        <v>12184</v>
      </c>
      <c r="C105" s="732" t="s">
        <v>12226</v>
      </c>
      <c r="D105" s="727"/>
      <c r="E105" s="729">
        <v>25500.0</v>
      </c>
      <c r="F105" s="727">
        <f t="shared" si="3"/>
        <v>225900</v>
      </c>
      <c r="G105" s="6" t="s">
        <v>3799</v>
      </c>
      <c r="H105" s="6" t="s">
        <v>12271</v>
      </c>
      <c r="J105" s="727"/>
      <c r="K105" s="727"/>
      <c r="L105" s="727"/>
      <c r="M105" s="727"/>
      <c r="N105" s="727"/>
      <c r="O105" s="727"/>
    </row>
    <row r="106">
      <c r="A106" s="113">
        <v>45516.0</v>
      </c>
      <c r="B106" s="6" t="s">
        <v>12283</v>
      </c>
      <c r="C106" s="6" t="s">
        <v>12284</v>
      </c>
      <c r="D106" s="729">
        <v>740000.0</v>
      </c>
      <c r="E106" s="727"/>
      <c r="F106" s="727">
        <f t="shared" si="3"/>
        <v>965900</v>
      </c>
      <c r="G106" s="6" t="s">
        <v>3799</v>
      </c>
      <c r="I106" s="6" t="s">
        <v>12270</v>
      </c>
      <c r="J106" s="727"/>
      <c r="K106" s="727"/>
      <c r="L106" s="727"/>
      <c r="M106" s="727"/>
      <c r="N106" s="727"/>
      <c r="O106" s="727"/>
    </row>
    <row r="107">
      <c r="A107" s="113">
        <v>45516.0</v>
      </c>
      <c r="B107" s="6" t="s">
        <v>12285</v>
      </c>
      <c r="C107" s="6" t="s">
        <v>12284</v>
      </c>
      <c r="D107" s="727"/>
      <c r="E107" s="729">
        <v>740000.0</v>
      </c>
      <c r="F107" s="727">
        <f t="shared" si="3"/>
        <v>225900</v>
      </c>
      <c r="G107" s="6" t="s">
        <v>3799</v>
      </c>
      <c r="H107" s="6" t="s">
        <v>12286</v>
      </c>
      <c r="J107" s="727"/>
      <c r="K107" s="727"/>
      <c r="L107" s="727"/>
      <c r="M107" s="727"/>
      <c r="N107" s="727"/>
      <c r="O107" s="727"/>
    </row>
    <row r="108">
      <c r="A108" s="113">
        <v>45516.0</v>
      </c>
      <c r="B108" s="6" t="s">
        <v>12283</v>
      </c>
      <c r="D108" s="729">
        <v>927020.0</v>
      </c>
      <c r="E108" s="727"/>
      <c r="F108" s="727">
        <f t="shared" si="3"/>
        <v>1152920</v>
      </c>
      <c r="G108" s="6" t="s">
        <v>3799</v>
      </c>
      <c r="I108" s="6" t="s">
        <v>12287</v>
      </c>
      <c r="J108" s="727"/>
      <c r="K108" s="727"/>
      <c r="L108" s="727"/>
      <c r="M108" s="727"/>
      <c r="N108" s="727"/>
      <c r="O108" s="727"/>
    </row>
    <row r="109">
      <c r="A109" s="113">
        <v>45516.0</v>
      </c>
      <c r="B109" s="6" t="s">
        <v>12288</v>
      </c>
      <c r="C109" s="6" t="s">
        <v>12289</v>
      </c>
      <c r="D109" s="727"/>
      <c r="E109" s="729">
        <v>927020.0</v>
      </c>
      <c r="F109" s="727">
        <f t="shared" si="3"/>
        <v>225900</v>
      </c>
      <c r="G109" s="6" t="s">
        <v>3799</v>
      </c>
      <c r="J109" s="727"/>
      <c r="K109" s="727"/>
      <c r="L109" s="727"/>
      <c r="M109" s="727"/>
      <c r="N109" s="727"/>
      <c r="O109" s="727"/>
    </row>
    <row r="110">
      <c r="A110" s="113">
        <v>45517.0</v>
      </c>
      <c r="B110" s="6" t="s">
        <v>12283</v>
      </c>
      <c r="D110" s="729">
        <v>359854.0</v>
      </c>
      <c r="E110" s="727"/>
      <c r="F110" s="727">
        <f t="shared" si="3"/>
        <v>585754</v>
      </c>
      <c r="G110" s="6" t="s">
        <v>3799</v>
      </c>
      <c r="J110" s="727"/>
      <c r="K110" s="727"/>
      <c r="L110" s="727"/>
      <c r="M110" s="727"/>
      <c r="N110" s="727"/>
      <c r="O110" s="727"/>
    </row>
    <row r="111">
      <c r="A111" s="113">
        <v>45517.0</v>
      </c>
      <c r="B111" s="6" t="s">
        <v>12290</v>
      </c>
      <c r="C111" s="6" t="s">
        <v>12291</v>
      </c>
      <c r="D111" s="727"/>
      <c r="E111" s="729">
        <v>359854.0</v>
      </c>
      <c r="F111" s="727">
        <f t="shared" si="3"/>
        <v>225900</v>
      </c>
      <c r="G111" s="6" t="s">
        <v>3799</v>
      </c>
      <c r="I111" s="6" t="s">
        <v>12270</v>
      </c>
      <c r="J111" s="727"/>
      <c r="K111" s="727"/>
      <c r="L111" s="727"/>
      <c r="M111" s="727"/>
      <c r="N111" s="727"/>
      <c r="O111" s="727"/>
    </row>
    <row r="112">
      <c r="A112" s="113">
        <v>45517.0</v>
      </c>
      <c r="B112" s="6" t="s">
        <v>12292</v>
      </c>
      <c r="C112" s="6" t="s">
        <v>12293</v>
      </c>
      <c r="D112" s="727"/>
      <c r="E112" s="729">
        <v>80000.0</v>
      </c>
      <c r="F112" s="727">
        <f t="shared" si="3"/>
        <v>145900</v>
      </c>
      <c r="G112" s="6" t="s">
        <v>3799</v>
      </c>
      <c r="H112" s="6" t="s">
        <v>12271</v>
      </c>
      <c r="J112" s="727"/>
      <c r="K112" s="727"/>
      <c r="L112" s="727"/>
      <c r="M112" s="727"/>
      <c r="N112" s="727"/>
      <c r="O112" s="727"/>
    </row>
    <row r="113">
      <c r="A113" s="113">
        <v>45519.0</v>
      </c>
      <c r="B113" s="6" t="s">
        <v>12294</v>
      </c>
      <c r="C113" s="6" t="s">
        <v>12295</v>
      </c>
      <c r="D113" s="727"/>
      <c r="E113" s="729">
        <v>17500.0</v>
      </c>
      <c r="F113" s="727">
        <f t="shared" si="3"/>
        <v>128400</v>
      </c>
      <c r="G113" s="6" t="s">
        <v>3799</v>
      </c>
      <c r="H113" s="6" t="s">
        <v>12196</v>
      </c>
      <c r="J113" s="727"/>
      <c r="K113" s="727"/>
      <c r="L113" s="727"/>
      <c r="M113" s="727"/>
      <c r="N113" s="727"/>
      <c r="O113" s="727"/>
    </row>
    <row r="114">
      <c r="A114" s="113">
        <v>45519.0</v>
      </c>
      <c r="B114" s="6" t="s">
        <v>12184</v>
      </c>
      <c r="C114" s="732" t="s">
        <v>12296</v>
      </c>
      <c r="D114" s="727"/>
      <c r="E114" s="729">
        <v>17000.0</v>
      </c>
      <c r="F114" s="727">
        <f t="shared" si="3"/>
        <v>111400</v>
      </c>
      <c r="G114" s="6" t="s">
        <v>3799</v>
      </c>
      <c r="H114" s="6" t="s">
        <v>12196</v>
      </c>
      <c r="J114" s="727"/>
      <c r="K114" s="727"/>
      <c r="L114" s="727"/>
      <c r="M114" s="727"/>
      <c r="N114" s="727"/>
      <c r="O114" s="727"/>
    </row>
    <row r="115">
      <c r="A115" s="113">
        <v>45520.0</v>
      </c>
      <c r="B115" s="6" t="s">
        <v>12283</v>
      </c>
      <c r="D115" s="729">
        <v>660300.0</v>
      </c>
      <c r="E115" s="727"/>
      <c r="F115" s="727">
        <f t="shared" si="3"/>
        <v>771700</v>
      </c>
      <c r="G115" s="6" t="s">
        <v>3799</v>
      </c>
      <c r="I115" s="6" t="s">
        <v>12287</v>
      </c>
      <c r="J115" s="727"/>
      <c r="K115" s="727"/>
      <c r="L115" s="727"/>
      <c r="M115" s="727"/>
      <c r="N115" s="727"/>
      <c r="O115" s="727"/>
    </row>
    <row r="116">
      <c r="A116" s="113">
        <v>45520.0</v>
      </c>
      <c r="B116" s="6" t="s">
        <v>12290</v>
      </c>
      <c r="C116" s="6" t="s">
        <v>12297</v>
      </c>
      <c r="D116" s="727"/>
      <c r="E116" s="729">
        <v>660300.0</v>
      </c>
      <c r="F116" s="727">
        <f t="shared" si="3"/>
        <v>111400</v>
      </c>
      <c r="G116" s="6" t="s">
        <v>3799</v>
      </c>
      <c r="J116" s="727"/>
      <c r="K116" s="727"/>
      <c r="L116" s="727"/>
      <c r="M116" s="727"/>
      <c r="N116" s="727"/>
      <c r="O116" s="727"/>
    </row>
    <row r="117">
      <c r="A117" s="113">
        <v>45520.0</v>
      </c>
      <c r="B117" s="6" t="s">
        <v>12298</v>
      </c>
      <c r="C117" s="6" t="s">
        <v>12299</v>
      </c>
      <c r="D117" s="727"/>
      <c r="E117" s="729">
        <v>52000.0</v>
      </c>
      <c r="F117" s="727">
        <f t="shared" si="3"/>
        <v>59400</v>
      </c>
      <c r="G117" s="6" t="s">
        <v>3799</v>
      </c>
      <c r="H117" s="6" t="s">
        <v>12300</v>
      </c>
      <c r="J117" s="727"/>
      <c r="K117" s="727"/>
      <c r="L117" s="727"/>
      <c r="M117" s="727"/>
      <c r="N117" s="727"/>
      <c r="O117" s="727"/>
    </row>
    <row r="118">
      <c r="A118" s="113">
        <v>45520.0</v>
      </c>
      <c r="B118" s="6" t="s">
        <v>12283</v>
      </c>
      <c r="C118" s="6"/>
      <c r="D118" s="729">
        <v>100000.0</v>
      </c>
      <c r="E118" s="729"/>
      <c r="F118" s="727">
        <f t="shared" si="3"/>
        <v>159400</v>
      </c>
      <c r="G118" s="6"/>
      <c r="H118" s="6"/>
      <c r="I118" s="6" t="s">
        <v>12287</v>
      </c>
      <c r="J118" s="727"/>
      <c r="K118" s="727"/>
      <c r="L118" s="727"/>
      <c r="M118" s="727"/>
      <c r="N118" s="727"/>
      <c r="O118" s="727"/>
    </row>
    <row r="119">
      <c r="A119" s="113">
        <v>45520.0</v>
      </c>
      <c r="B119" s="6" t="s">
        <v>12301</v>
      </c>
      <c r="C119" s="6" t="s">
        <v>12302</v>
      </c>
      <c r="D119" s="727"/>
      <c r="E119" s="729">
        <v>100000.0</v>
      </c>
      <c r="F119" s="727">
        <f t="shared" si="3"/>
        <v>59400</v>
      </c>
      <c r="G119" s="6" t="s">
        <v>3799</v>
      </c>
      <c r="H119" s="6" t="s">
        <v>12303</v>
      </c>
      <c r="J119" s="727"/>
      <c r="K119" s="727"/>
      <c r="L119" s="727"/>
      <c r="M119" s="727"/>
      <c r="N119" s="727"/>
      <c r="O119" s="727"/>
    </row>
    <row r="120">
      <c r="A120" s="113">
        <v>45523.0</v>
      </c>
      <c r="B120" s="6" t="s">
        <v>12283</v>
      </c>
      <c r="D120" s="729">
        <v>320000.0</v>
      </c>
      <c r="E120" s="727"/>
      <c r="F120" s="727">
        <f t="shared" si="3"/>
        <v>379400</v>
      </c>
      <c r="G120" s="6" t="s">
        <v>3799</v>
      </c>
      <c r="I120" s="6" t="s">
        <v>12287</v>
      </c>
      <c r="J120" s="727"/>
      <c r="K120" s="727"/>
      <c r="L120" s="727"/>
      <c r="M120" s="727"/>
      <c r="N120" s="727"/>
      <c r="O120" s="727"/>
    </row>
    <row r="121" ht="13.5" customHeight="1">
      <c r="A121" s="113">
        <v>45523.0</v>
      </c>
      <c r="B121" s="6" t="s">
        <v>12198</v>
      </c>
      <c r="C121" s="6" t="s">
        <v>12199</v>
      </c>
      <c r="D121" s="727"/>
      <c r="E121" s="729">
        <v>300000.0</v>
      </c>
      <c r="F121" s="727">
        <f t="shared" si="3"/>
        <v>79400</v>
      </c>
      <c r="G121" s="6" t="s">
        <v>3799</v>
      </c>
      <c r="H121" s="6" t="s">
        <v>12274</v>
      </c>
      <c r="J121" s="727"/>
      <c r="K121" s="727"/>
      <c r="L121" s="727"/>
      <c r="M121" s="727"/>
      <c r="N121" s="727"/>
      <c r="O121" s="727"/>
    </row>
    <row r="122">
      <c r="A122" s="113">
        <v>45523.0</v>
      </c>
      <c r="B122" s="6" t="s">
        <v>12241</v>
      </c>
      <c r="C122" s="6" t="s">
        <v>12304</v>
      </c>
      <c r="D122" s="727"/>
      <c r="E122" s="729">
        <v>20000.0</v>
      </c>
      <c r="F122" s="727">
        <f t="shared" si="3"/>
        <v>59400</v>
      </c>
      <c r="G122" s="6" t="s">
        <v>3799</v>
      </c>
      <c r="H122" s="6" t="s">
        <v>12196</v>
      </c>
      <c r="J122" s="727"/>
      <c r="K122" s="727"/>
      <c r="L122" s="727"/>
      <c r="M122" s="727"/>
      <c r="N122" s="727"/>
      <c r="O122" s="727"/>
    </row>
    <row r="123">
      <c r="A123" s="113">
        <v>45523.0</v>
      </c>
      <c r="B123" s="6" t="s">
        <v>12283</v>
      </c>
      <c r="D123" s="729">
        <v>415800.0</v>
      </c>
      <c r="E123" s="727"/>
      <c r="F123" s="727">
        <f t="shared" si="3"/>
        <v>475200</v>
      </c>
      <c r="G123" s="6" t="s">
        <v>3799</v>
      </c>
      <c r="I123" s="6" t="s">
        <v>12287</v>
      </c>
      <c r="J123" s="727"/>
      <c r="K123" s="727"/>
      <c r="L123" s="727"/>
      <c r="M123" s="727"/>
      <c r="N123" s="727"/>
      <c r="O123" s="727"/>
    </row>
    <row r="124">
      <c r="A124" s="113">
        <v>45523.0</v>
      </c>
      <c r="B124" s="6" t="s">
        <v>12305</v>
      </c>
      <c r="C124" s="6" t="s">
        <v>12306</v>
      </c>
      <c r="D124" s="727"/>
      <c r="E124" s="729">
        <v>415800.0</v>
      </c>
      <c r="F124" s="727">
        <f t="shared" si="3"/>
        <v>59400</v>
      </c>
      <c r="G124" s="6" t="s">
        <v>3799</v>
      </c>
      <c r="J124" s="727"/>
      <c r="K124" s="727"/>
      <c r="L124" s="727"/>
      <c r="M124" s="727"/>
      <c r="N124" s="727"/>
      <c r="O124" s="727"/>
    </row>
    <row r="125">
      <c r="A125" s="113">
        <v>45523.0</v>
      </c>
      <c r="B125" s="6" t="s">
        <v>12307</v>
      </c>
      <c r="C125" s="6" t="s">
        <v>12308</v>
      </c>
      <c r="D125" s="727"/>
      <c r="E125" s="729">
        <v>55600.0</v>
      </c>
      <c r="F125" s="727">
        <f t="shared" si="3"/>
        <v>3800</v>
      </c>
      <c r="G125" s="6" t="s">
        <v>3799</v>
      </c>
      <c r="H125" s="6" t="s">
        <v>12300</v>
      </c>
      <c r="J125" s="727"/>
      <c r="K125" s="727"/>
      <c r="L125" s="727"/>
      <c r="M125" s="727"/>
      <c r="N125" s="727"/>
      <c r="O125" s="727"/>
    </row>
    <row r="126">
      <c r="A126" s="113">
        <v>45523.0</v>
      </c>
      <c r="B126" s="6" t="s">
        <v>12177</v>
      </c>
      <c r="D126" s="729">
        <v>900000.0</v>
      </c>
      <c r="E126" s="727"/>
      <c r="F126" s="727">
        <f t="shared" si="3"/>
        <v>903800</v>
      </c>
      <c r="G126" s="6"/>
      <c r="I126" s="6" t="s">
        <v>12287</v>
      </c>
      <c r="J126" s="727"/>
      <c r="K126" s="727"/>
      <c r="L126" s="727"/>
      <c r="M126" s="727"/>
      <c r="N126" s="727"/>
      <c r="O126" s="727"/>
    </row>
    <row r="127">
      <c r="A127" s="113">
        <v>45523.0</v>
      </c>
      <c r="B127" s="6" t="s">
        <v>12309</v>
      </c>
      <c r="D127" s="727"/>
      <c r="E127" s="729">
        <v>900000.0</v>
      </c>
      <c r="F127" s="727">
        <f t="shared" si="3"/>
        <v>3800</v>
      </c>
      <c r="G127" s="6" t="s">
        <v>12310</v>
      </c>
      <c r="H127" s="6" t="s">
        <v>12311</v>
      </c>
      <c r="J127" s="727"/>
      <c r="K127" s="727"/>
      <c r="L127" s="727"/>
      <c r="M127" s="727"/>
      <c r="N127" s="727"/>
      <c r="O127" s="727"/>
    </row>
    <row r="128">
      <c r="A128" s="113">
        <v>45520.0</v>
      </c>
      <c r="B128" s="6" t="s">
        <v>12283</v>
      </c>
      <c r="D128" s="729">
        <v>1050000.0</v>
      </c>
      <c r="E128" s="727"/>
      <c r="F128" s="727">
        <f t="shared" si="3"/>
        <v>1053800</v>
      </c>
      <c r="G128" s="6" t="s">
        <v>3799</v>
      </c>
      <c r="I128" s="6" t="s">
        <v>12287</v>
      </c>
      <c r="J128" s="727"/>
      <c r="K128" s="727"/>
      <c r="L128" s="727"/>
      <c r="M128" s="727"/>
      <c r="N128" s="727"/>
      <c r="O128" s="727"/>
    </row>
    <row r="129">
      <c r="A129" s="113">
        <v>45520.0</v>
      </c>
      <c r="B129" s="735" t="s">
        <v>12214</v>
      </c>
      <c r="C129" s="6" t="s">
        <v>12214</v>
      </c>
      <c r="D129" s="727"/>
      <c r="E129" s="729">
        <v>200000.0</v>
      </c>
      <c r="F129" s="727">
        <f t="shared" si="3"/>
        <v>853800</v>
      </c>
      <c r="G129" s="6" t="s">
        <v>3799</v>
      </c>
      <c r="H129" s="6" t="s">
        <v>12271</v>
      </c>
      <c r="J129" s="727"/>
      <c r="K129" s="727"/>
      <c r="L129" s="727"/>
      <c r="M129" s="727"/>
      <c r="N129" s="727"/>
      <c r="O129" s="727"/>
    </row>
    <row r="130">
      <c r="A130" s="113">
        <v>45520.0</v>
      </c>
      <c r="B130" s="735" t="s">
        <v>12250</v>
      </c>
      <c r="C130" s="6" t="s">
        <v>12250</v>
      </c>
      <c r="D130" s="727"/>
      <c r="E130" s="729">
        <v>150000.0</v>
      </c>
      <c r="F130" s="727">
        <f t="shared" si="3"/>
        <v>703800</v>
      </c>
      <c r="G130" s="6" t="s">
        <v>3799</v>
      </c>
      <c r="H130" s="6" t="s">
        <v>12196</v>
      </c>
      <c r="J130" s="727"/>
      <c r="K130" s="727"/>
      <c r="L130" s="727"/>
      <c r="M130" s="727"/>
      <c r="N130" s="727"/>
      <c r="O130" s="727"/>
    </row>
    <row r="131">
      <c r="A131" s="113">
        <v>45520.0</v>
      </c>
      <c r="B131" s="735" t="s">
        <v>12252</v>
      </c>
      <c r="C131" s="6" t="s">
        <v>12252</v>
      </c>
      <c r="D131" s="727"/>
      <c r="E131" s="729">
        <v>100000.0</v>
      </c>
      <c r="F131" s="727">
        <f t="shared" si="3"/>
        <v>603800</v>
      </c>
      <c r="G131" s="6" t="s">
        <v>3799</v>
      </c>
      <c r="H131" s="6" t="s">
        <v>3799</v>
      </c>
      <c r="J131" s="727"/>
      <c r="K131" s="727"/>
      <c r="L131" s="727"/>
      <c r="M131" s="727"/>
      <c r="N131" s="727"/>
      <c r="O131" s="727"/>
    </row>
    <row r="132">
      <c r="A132" s="113">
        <v>45520.0</v>
      </c>
      <c r="B132" s="735" t="s">
        <v>12253</v>
      </c>
      <c r="C132" s="6" t="s">
        <v>12253</v>
      </c>
      <c r="D132" s="727"/>
      <c r="E132" s="729">
        <v>300000.0</v>
      </c>
      <c r="F132" s="727">
        <f t="shared" si="3"/>
        <v>303800</v>
      </c>
      <c r="G132" s="6" t="s">
        <v>3799</v>
      </c>
      <c r="H132" s="6" t="s">
        <v>3883</v>
      </c>
      <c r="J132" s="727"/>
      <c r="K132" s="727"/>
      <c r="L132" s="727"/>
      <c r="M132" s="727"/>
      <c r="N132" s="727"/>
      <c r="O132" s="727"/>
    </row>
    <row r="133">
      <c r="A133" s="113">
        <v>45520.0</v>
      </c>
      <c r="B133" s="735" t="s">
        <v>12243</v>
      </c>
      <c r="C133" s="6" t="s">
        <v>12243</v>
      </c>
      <c r="D133" s="727"/>
      <c r="E133" s="729">
        <v>300000.0</v>
      </c>
      <c r="F133" s="727">
        <f t="shared" si="3"/>
        <v>3800</v>
      </c>
      <c r="G133" s="6" t="s">
        <v>3799</v>
      </c>
      <c r="H133" s="6" t="s">
        <v>12218</v>
      </c>
      <c r="J133" s="727"/>
      <c r="K133" s="727"/>
      <c r="L133" s="727"/>
      <c r="M133" s="727"/>
      <c r="N133" s="727"/>
      <c r="O133" s="727"/>
    </row>
    <row r="134">
      <c r="A134" s="113">
        <v>45524.0</v>
      </c>
      <c r="B134" s="6" t="s">
        <v>12177</v>
      </c>
      <c r="D134" s="729">
        <v>300000.0</v>
      </c>
      <c r="E134" s="727"/>
      <c r="F134" s="727">
        <f t="shared" si="3"/>
        <v>303800</v>
      </c>
      <c r="G134" s="6" t="s">
        <v>12310</v>
      </c>
      <c r="H134" s="6" t="s">
        <v>3799</v>
      </c>
      <c r="I134" s="6" t="s">
        <v>12312</v>
      </c>
      <c r="J134" s="727"/>
      <c r="K134" s="727"/>
      <c r="L134" s="727"/>
      <c r="M134" s="727"/>
      <c r="N134" s="727"/>
      <c r="O134" s="727"/>
    </row>
    <row r="135">
      <c r="A135" s="113">
        <v>45524.0</v>
      </c>
      <c r="B135" s="6" t="s">
        <v>12313</v>
      </c>
      <c r="C135" s="6" t="s">
        <v>12314</v>
      </c>
      <c r="D135" s="727"/>
      <c r="E135" s="729">
        <v>85000.0</v>
      </c>
      <c r="F135" s="727">
        <f t="shared" si="3"/>
        <v>218800</v>
      </c>
      <c r="G135" s="6" t="s">
        <v>3799</v>
      </c>
      <c r="H135" s="6" t="s">
        <v>12196</v>
      </c>
      <c r="J135" s="727"/>
      <c r="K135" s="727"/>
      <c r="L135" s="727"/>
      <c r="M135" s="727"/>
      <c r="N135" s="727"/>
      <c r="O135" s="727"/>
    </row>
    <row r="136">
      <c r="A136" s="113">
        <v>45524.0</v>
      </c>
      <c r="B136" s="6" t="s">
        <v>12187</v>
      </c>
      <c r="C136" s="6" t="s">
        <v>12188</v>
      </c>
      <c r="D136" s="727"/>
      <c r="E136" s="729">
        <v>5000.0</v>
      </c>
      <c r="F136" s="727">
        <f t="shared" si="3"/>
        <v>213800</v>
      </c>
      <c r="G136" s="6" t="s">
        <v>3799</v>
      </c>
      <c r="H136" s="6" t="s">
        <v>12274</v>
      </c>
      <c r="J136" s="727"/>
      <c r="K136" s="727"/>
      <c r="L136" s="727"/>
      <c r="M136" s="727"/>
      <c r="N136" s="727"/>
      <c r="O136" s="727"/>
    </row>
    <row r="137">
      <c r="A137" s="113">
        <v>45524.0</v>
      </c>
      <c r="B137" s="6" t="s">
        <v>12315</v>
      </c>
      <c r="C137" s="6" t="s">
        <v>12316</v>
      </c>
      <c r="D137" s="727"/>
      <c r="E137" s="729">
        <v>20000.0</v>
      </c>
      <c r="F137" s="727">
        <f t="shared" si="3"/>
        <v>193800</v>
      </c>
      <c r="G137" s="6" t="s">
        <v>3799</v>
      </c>
      <c r="H137" s="6" t="s">
        <v>12274</v>
      </c>
      <c r="J137" s="727"/>
      <c r="K137" s="727"/>
      <c r="L137" s="727"/>
      <c r="M137" s="727"/>
      <c r="N137" s="727"/>
      <c r="O137" s="727"/>
    </row>
    <row r="138">
      <c r="A138" s="113">
        <v>45525.0</v>
      </c>
      <c r="B138" s="6" t="s">
        <v>12317</v>
      </c>
      <c r="C138" s="6" t="s">
        <v>12316</v>
      </c>
      <c r="D138" s="727"/>
      <c r="E138" s="729">
        <v>15000.0</v>
      </c>
      <c r="F138" s="727">
        <f t="shared" si="3"/>
        <v>178800</v>
      </c>
      <c r="G138" s="6" t="s">
        <v>3799</v>
      </c>
      <c r="H138" s="6" t="s">
        <v>12274</v>
      </c>
      <c r="J138" s="727"/>
      <c r="K138" s="727"/>
      <c r="L138" s="727"/>
      <c r="M138" s="727"/>
      <c r="N138" s="727"/>
      <c r="O138" s="727"/>
    </row>
    <row r="139">
      <c r="A139" s="113">
        <v>45525.0</v>
      </c>
      <c r="B139" s="6" t="s">
        <v>12317</v>
      </c>
      <c r="C139" s="6" t="s">
        <v>12316</v>
      </c>
      <c r="D139" s="727"/>
      <c r="E139" s="729">
        <v>20000.0</v>
      </c>
      <c r="F139" s="727">
        <f t="shared" si="3"/>
        <v>158800</v>
      </c>
      <c r="G139" s="6" t="s">
        <v>3799</v>
      </c>
      <c r="H139" s="6" t="s">
        <v>12274</v>
      </c>
      <c r="J139" s="727"/>
      <c r="K139" s="727"/>
      <c r="L139" s="727"/>
      <c r="M139" s="727"/>
      <c r="N139" s="727"/>
      <c r="O139" s="727"/>
    </row>
    <row r="140">
      <c r="A140" s="113">
        <v>45526.0</v>
      </c>
      <c r="B140" s="6" t="s">
        <v>12184</v>
      </c>
      <c r="C140" s="732" t="s">
        <v>12226</v>
      </c>
      <c r="D140" s="727"/>
      <c r="E140" s="729">
        <v>25500.0</v>
      </c>
      <c r="F140" s="727">
        <f t="shared" si="3"/>
        <v>133300</v>
      </c>
      <c r="G140" s="6" t="s">
        <v>3799</v>
      </c>
      <c r="H140" s="6" t="s">
        <v>12196</v>
      </c>
      <c r="J140" s="727"/>
      <c r="K140" s="727"/>
      <c r="L140" s="727"/>
      <c r="M140" s="727"/>
      <c r="N140" s="727"/>
      <c r="O140" s="727"/>
    </row>
    <row r="141">
      <c r="A141" s="113">
        <v>45528.0</v>
      </c>
      <c r="B141" s="6" t="s">
        <v>12283</v>
      </c>
      <c r="D141" s="729">
        <v>300000.0</v>
      </c>
      <c r="E141" s="727"/>
      <c r="F141" s="727">
        <f t="shared" si="3"/>
        <v>433300</v>
      </c>
      <c r="G141" s="6" t="s">
        <v>3799</v>
      </c>
      <c r="I141" s="6" t="s">
        <v>12312</v>
      </c>
      <c r="J141" s="727"/>
      <c r="K141" s="727"/>
      <c r="L141" s="727"/>
      <c r="M141" s="727"/>
      <c r="N141" s="727"/>
      <c r="O141" s="727"/>
    </row>
    <row r="142">
      <c r="A142" s="113">
        <v>45528.0</v>
      </c>
      <c r="B142" s="6" t="s">
        <v>12198</v>
      </c>
      <c r="C142" s="6" t="s">
        <v>12199</v>
      </c>
      <c r="D142" s="727"/>
      <c r="E142" s="729">
        <v>300000.0</v>
      </c>
      <c r="F142" s="727">
        <f t="shared" si="3"/>
        <v>133300</v>
      </c>
      <c r="G142" s="6" t="s">
        <v>3799</v>
      </c>
      <c r="H142" s="6" t="s">
        <v>12274</v>
      </c>
      <c r="J142" s="727"/>
      <c r="K142" s="727"/>
      <c r="L142" s="727"/>
      <c r="M142" s="727"/>
      <c r="N142" s="727"/>
      <c r="O142" s="727"/>
    </row>
    <row r="143">
      <c r="A143" s="113">
        <v>45528.0</v>
      </c>
      <c r="B143" s="6" t="s">
        <v>12283</v>
      </c>
      <c r="D143" s="729">
        <v>900000.0</v>
      </c>
      <c r="E143" s="729"/>
      <c r="F143" s="727">
        <f t="shared" si="3"/>
        <v>1033300</v>
      </c>
      <c r="G143" s="6" t="s">
        <v>3799</v>
      </c>
      <c r="I143" s="6" t="s">
        <v>12312</v>
      </c>
      <c r="J143" s="727"/>
      <c r="K143" s="727"/>
      <c r="L143" s="727"/>
      <c r="M143" s="727"/>
      <c r="N143" s="727"/>
      <c r="O143" s="727"/>
    </row>
    <row r="144">
      <c r="A144" s="113">
        <v>45528.0</v>
      </c>
      <c r="B144" s="735" t="s">
        <v>12214</v>
      </c>
      <c r="C144" s="6" t="s">
        <v>12214</v>
      </c>
      <c r="D144" s="727"/>
      <c r="E144" s="729">
        <v>200000.0</v>
      </c>
      <c r="F144" s="727">
        <f t="shared" si="3"/>
        <v>833300</v>
      </c>
      <c r="G144" s="6" t="s">
        <v>3799</v>
      </c>
      <c r="H144" s="6" t="s">
        <v>12271</v>
      </c>
      <c r="J144" s="727"/>
      <c r="K144" s="727"/>
      <c r="L144" s="727"/>
      <c r="M144" s="727"/>
      <c r="N144" s="727"/>
      <c r="O144" s="727"/>
    </row>
    <row r="145">
      <c r="A145" s="113">
        <v>45528.0</v>
      </c>
      <c r="B145" s="735" t="s">
        <v>12250</v>
      </c>
      <c r="C145" s="6" t="s">
        <v>12250</v>
      </c>
      <c r="D145" s="727"/>
      <c r="E145" s="729">
        <v>100000.0</v>
      </c>
      <c r="F145" s="727">
        <f t="shared" si="3"/>
        <v>733300</v>
      </c>
      <c r="G145" s="6" t="s">
        <v>3799</v>
      </c>
      <c r="H145" s="6" t="s">
        <v>12196</v>
      </c>
      <c r="J145" s="727"/>
      <c r="K145" s="727"/>
      <c r="L145" s="727"/>
      <c r="M145" s="727"/>
      <c r="N145" s="727"/>
      <c r="O145" s="727"/>
    </row>
    <row r="146">
      <c r="A146" s="113">
        <v>45528.0</v>
      </c>
      <c r="B146" s="735" t="s">
        <v>12252</v>
      </c>
      <c r="C146" s="6" t="s">
        <v>12252</v>
      </c>
      <c r="D146" s="727"/>
      <c r="E146" s="729">
        <v>100000.0</v>
      </c>
      <c r="F146" s="727">
        <f t="shared" si="3"/>
        <v>633300</v>
      </c>
      <c r="G146" s="6" t="s">
        <v>3799</v>
      </c>
      <c r="H146" s="6" t="s">
        <v>3799</v>
      </c>
      <c r="J146" s="727"/>
      <c r="K146" s="727"/>
      <c r="L146" s="727"/>
      <c r="M146" s="727"/>
      <c r="N146" s="727"/>
      <c r="O146" s="727"/>
    </row>
    <row r="147">
      <c r="A147" s="113">
        <v>45528.0</v>
      </c>
      <c r="B147" s="735" t="s">
        <v>12251</v>
      </c>
      <c r="C147" s="6" t="s">
        <v>12251</v>
      </c>
      <c r="D147" s="727"/>
      <c r="E147" s="729">
        <v>200000.0</v>
      </c>
      <c r="F147" s="727">
        <f t="shared" si="3"/>
        <v>433300</v>
      </c>
      <c r="G147" s="6" t="s">
        <v>3799</v>
      </c>
      <c r="H147" s="6" t="s">
        <v>12274</v>
      </c>
      <c r="J147" s="727"/>
      <c r="K147" s="727"/>
      <c r="L147" s="727"/>
      <c r="M147" s="727"/>
      <c r="N147" s="727"/>
      <c r="O147" s="727"/>
    </row>
    <row r="148">
      <c r="A148" s="113">
        <v>45528.0</v>
      </c>
      <c r="B148" s="735" t="s">
        <v>12243</v>
      </c>
      <c r="C148" s="6" t="s">
        <v>12243</v>
      </c>
      <c r="D148" s="727"/>
      <c r="E148" s="729">
        <v>300000.0</v>
      </c>
      <c r="F148" s="727">
        <f t="shared" si="3"/>
        <v>133300</v>
      </c>
      <c r="G148" s="6" t="s">
        <v>3799</v>
      </c>
      <c r="H148" s="6" t="s">
        <v>12218</v>
      </c>
      <c r="J148" s="727"/>
      <c r="K148" s="727"/>
      <c r="L148" s="727"/>
      <c r="M148" s="727"/>
      <c r="N148" s="727"/>
      <c r="O148" s="727"/>
    </row>
    <row r="149">
      <c r="A149" s="113">
        <v>45530.0</v>
      </c>
      <c r="B149" s="6" t="s">
        <v>12318</v>
      </c>
      <c r="C149" s="6" t="s">
        <v>12319</v>
      </c>
      <c r="D149" s="727"/>
      <c r="E149" s="729">
        <v>5000.0</v>
      </c>
      <c r="F149" s="727">
        <f t="shared" si="3"/>
        <v>128300</v>
      </c>
      <c r="G149" s="6" t="s">
        <v>3799</v>
      </c>
      <c r="H149" s="6" t="s">
        <v>12274</v>
      </c>
      <c r="J149" s="727"/>
      <c r="K149" s="727"/>
      <c r="L149" s="727"/>
      <c r="M149" s="727"/>
      <c r="N149" s="727"/>
      <c r="O149" s="727"/>
    </row>
    <row r="150">
      <c r="A150" s="113">
        <v>45531.0</v>
      </c>
      <c r="B150" s="6" t="s">
        <v>12179</v>
      </c>
      <c r="C150" s="6" t="s">
        <v>12320</v>
      </c>
      <c r="D150" s="727"/>
      <c r="E150" s="729">
        <v>93000.0</v>
      </c>
      <c r="F150" s="727">
        <f t="shared" si="3"/>
        <v>35300</v>
      </c>
      <c r="G150" s="6" t="s">
        <v>3799</v>
      </c>
      <c r="H150" s="6" t="s">
        <v>12196</v>
      </c>
      <c r="J150" s="727"/>
      <c r="K150" s="727"/>
      <c r="L150" s="727"/>
      <c r="M150" s="727"/>
      <c r="N150" s="727"/>
      <c r="O150" s="727"/>
    </row>
    <row r="151">
      <c r="A151" s="113">
        <v>45531.0</v>
      </c>
      <c r="B151" s="6" t="s">
        <v>12184</v>
      </c>
      <c r="C151" s="732" t="s">
        <v>12226</v>
      </c>
      <c r="D151" s="727"/>
      <c r="E151" s="729">
        <v>25500.0</v>
      </c>
      <c r="F151" s="727">
        <f t="shared" si="3"/>
        <v>9800</v>
      </c>
      <c r="G151" s="6" t="s">
        <v>3799</v>
      </c>
      <c r="H151" s="6" t="s">
        <v>12196</v>
      </c>
      <c r="J151" s="727"/>
      <c r="K151" s="727"/>
      <c r="L151" s="727"/>
      <c r="M151" s="727"/>
      <c r="N151" s="727"/>
      <c r="O151" s="727"/>
    </row>
    <row r="152">
      <c r="A152" s="113">
        <v>45535.0</v>
      </c>
      <c r="B152" s="6" t="s">
        <v>12283</v>
      </c>
      <c r="D152" s="729">
        <v>263900.0</v>
      </c>
      <c r="E152" s="727"/>
      <c r="F152" s="727">
        <f t="shared" si="3"/>
        <v>273700</v>
      </c>
      <c r="G152" s="6" t="s">
        <v>3799</v>
      </c>
      <c r="H152" s="6" t="s">
        <v>4258</v>
      </c>
      <c r="I152" s="6" t="s">
        <v>12312</v>
      </c>
      <c r="J152" s="727"/>
      <c r="K152" s="727"/>
      <c r="L152" s="727"/>
      <c r="M152" s="727"/>
      <c r="N152" s="727"/>
      <c r="O152" s="727"/>
    </row>
    <row r="153">
      <c r="A153" s="113">
        <v>45535.0</v>
      </c>
      <c r="B153" s="6" t="s">
        <v>12321</v>
      </c>
      <c r="C153" s="6" t="s">
        <v>12322</v>
      </c>
      <c r="D153" s="727"/>
      <c r="E153" s="729">
        <v>163900.0</v>
      </c>
      <c r="F153" s="727">
        <f t="shared" si="3"/>
        <v>109800</v>
      </c>
      <c r="G153" s="6" t="s">
        <v>12310</v>
      </c>
      <c r="H153" s="6" t="s">
        <v>12323</v>
      </c>
      <c r="J153" s="727"/>
      <c r="K153" s="727"/>
      <c r="L153" s="727"/>
      <c r="M153" s="727"/>
      <c r="N153" s="727"/>
      <c r="O153" s="727"/>
    </row>
    <row r="154">
      <c r="A154" s="113">
        <v>45535.0</v>
      </c>
      <c r="B154" s="6" t="s">
        <v>12324</v>
      </c>
      <c r="C154" s="6" t="s">
        <v>12325</v>
      </c>
      <c r="D154" s="727"/>
      <c r="E154" s="729">
        <v>9900.0</v>
      </c>
      <c r="F154" s="727">
        <f t="shared" si="3"/>
        <v>99900</v>
      </c>
      <c r="G154" s="6" t="s">
        <v>3799</v>
      </c>
      <c r="H154" s="6" t="s">
        <v>12196</v>
      </c>
      <c r="J154" s="727"/>
      <c r="K154" s="727"/>
      <c r="L154" s="727"/>
      <c r="M154" s="727"/>
      <c r="N154" s="727"/>
      <c r="O154" s="727"/>
    </row>
    <row r="155">
      <c r="A155" s="113">
        <v>45535.0</v>
      </c>
      <c r="B155" s="6" t="s">
        <v>12324</v>
      </c>
      <c r="C155" s="6" t="s">
        <v>12326</v>
      </c>
      <c r="D155" s="727"/>
      <c r="E155" s="729">
        <v>46700.0</v>
      </c>
      <c r="F155" s="727">
        <f t="shared" si="3"/>
        <v>53200</v>
      </c>
      <c r="G155" s="6" t="s">
        <v>3799</v>
      </c>
      <c r="H155" s="6" t="s">
        <v>12196</v>
      </c>
      <c r="J155" s="727"/>
      <c r="K155" s="727"/>
      <c r="L155" s="727"/>
      <c r="M155" s="727"/>
      <c r="N155" s="727"/>
      <c r="O155" s="727"/>
    </row>
    <row r="156">
      <c r="A156" s="726" t="s">
        <v>12327</v>
      </c>
      <c r="J156" s="727"/>
      <c r="K156" s="727"/>
      <c r="L156" s="727"/>
      <c r="M156" s="727"/>
      <c r="N156" s="727"/>
      <c r="O156" s="727"/>
    </row>
    <row r="157">
      <c r="A157" s="113">
        <v>45536.0</v>
      </c>
      <c r="B157" s="6" t="s">
        <v>12184</v>
      </c>
      <c r="C157" s="732" t="s">
        <v>12226</v>
      </c>
      <c r="D157" s="727"/>
      <c r="E157" s="729">
        <v>25500.0</v>
      </c>
      <c r="F157" s="727">
        <f>F155+D157-E157</f>
        <v>27700</v>
      </c>
      <c r="G157" s="6" t="s">
        <v>3883</v>
      </c>
      <c r="H157" s="6" t="s">
        <v>12218</v>
      </c>
      <c r="J157" s="727"/>
      <c r="K157" s="727"/>
      <c r="L157" s="727"/>
      <c r="M157" s="727"/>
      <c r="N157" s="727"/>
      <c r="O157" s="727"/>
    </row>
    <row r="158">
      <c r="A158" s="113">
        <v>45536.0</v>
      </c>
      <c r="B158" s="6" t="s">
        <v>12283</v>
      </c>
      <c r="D158" s="729">
        <v>300000.0</v>
      </c>
      <c r="E158" s="727"/>
      <c r="F158" s="727">
        <f t="shared" ref="F158:F199" si="4">F157+D158-E158</f>
        <v>327700</v>
      </c>
      <c r="G158" s="6" t="s">
        <v>3883</v>
      </c>
      <c r="H158" s="6" t="s">
        <v>3883</v>
      </c>
      <c r="I158" s="6" t="s">
        <v>12328</v>
      </c>
      <c r="J158" s="727"/>
      <c r="K158" s="727"/>
      <c r="L158" s="727"/>
      <c r="M158" s="727"/>
      <c r="N158" s="727"/>
      <c r="O158" s="727"/>
    </row>
    <row r="159">
      <c r="A159" s="113">
        <v>45536.0</v>
      </c>
      <c r="B159" s="6" t="s">
        <v>12329</v>
      </c>
      <c r="C159" s="6" t="s">
        <v>12330</v>
      </c>
      <c r="D159" s="727"/>
      <c r="E159" s="729">
        <v>300000.0</v>
      </c>
      <c r="F159" s="727">
        <f t="shared" si="4"/>
        <v>27700</v>
      </c>
      <c r="G159" s="6" t="s">
        <v>3883</v>
      </c>
      <c r="H159" s="6" t="s">
        <v>12331</v>
      </c>
      <c r="J159" s="727"/>
      <c r="K159" s="727"/>
      <c r="L159" s="727"/>
      <c r="M159" s="727"/>
      <c r="N159" s="727"/>
      <c r="O159" s="727"/>
    </row>
    <row r="160">
      <c r="A160" s="113">
        <v>45537.0</v>
      </c>
      <c r="B160" s="6" t="s">
        <v>12177</v>
      </c>
      <c r="D160" s="729">
        <v>600000.0</v>
      </c>
      <c r="E160" s="727"/>
      <c r="F160" s="727">
        <f t="shared" si="4"/>
        <v>627700</v>
      </c>
      <c r="G160" s="6" t="s">
        <v>3799</v>
      </c>
      <c r="H160" s="6" t="s">
        <v>4258</v>
      </c>
      <c r="I160" s="6" t="s">
        <v>12328</v>
      </c>
      <c r="J160" s="727"/>
      <c r="K160" s="727"/>
      <c r="L160" s="727"/>
      <c r="M160" s="727"/>
      <c r="N160" s="727"/>
      <c r="O160" s="727"/>
    </row>
    <row r="161">
      <c r="A161" s="113">
        <v>45537.0</v>
      </c>
      <c r="B161" s="6" t="s">
        <v>12198</v>
      </c>
      <c r="C161" s="6" t="s">
        <v>12199</v>
      </c>
      <c r="D161" s="727"/>
      <c r="E161" s="729">
        <v>300000.0</v>
      </c>
      <c r="F161" s="727">
        <f t="shared" si="4"/>
        <v>327700</v>
      </c>
      <c r="G161" s="6" t="s">
        <v>3799</v>
      </c>
      <c r="H161" s="6" t="s">
        <v>12274</v>
      </c>
      <c r="J161" s="727"/>
      <c r="K161" s="727"/>
      <c r="L161" s="727"/>
      <c r="M161" s="727"/>
      <c r="N161" s="727"/>
      <c r="O161" s="727"/>
    </row>
    <row r="162">
      <c r="A162" s="113">
        <v>45538.0</v>
      </c>
      <c r="B162" s="6" t="s">
        <v>12332</v>
      </c>
      <c r="C162" s="6" t="s">
        <v>12333</v>
      </c>
      <c r="D162" s="727"/>
      <c r="E162" s="729">
        <v>53500.0</v>
      </c>
      <c r="F162" s="727">
        <f t="shared" si="4"/>
        <v>274200</v>
      </c>
      <c r="G162" s="6" t="s">
        <v>3799</v>
      </c>
      <c r="H162" s="6" t="s">
        <v>12218</v>
      </c>
      <c r="J162" s="727"/>
      <c r="K162" s="727"/>
      <c r="L162" s="727"/>
      <c r="M162" s="727"/>
      <c r="N162" s="727"/>
      <c r="O162" s="727"/>
    </row>
    <row r="163">
      <c r="A163" s="113">
        <v>45537.0</v>
      </c>
      <c r="B163" s="6" t="s">
        <v>12283</v>
      </c>
      <c r="D163" s="729">
        <v>500000.0</v>
      </c>
      <c r="E163" s="727"/>
      <c r="F163" s="727">
        <f t="shared" si="4"/>
        <v>774200</v>
      </c>
      <c r="G163" s="6" t="s">
        <v>3799</v>
      </c>
      <c r="I163" s="6" t="s">
        <v>12334</v>
      </c>
      <c r="J163" s="727"/>
      <c r="K163" s="727"/>
      <c r="L163" s="727"/>
      <c r="M163" s="727"/>
      <c r="N163" s="727"/>
      <c r="O163" s="727"/>
    </row>
    <row r="164">
      <c r="A164" s="113">
        <v>45537.0</v>
      </c>
      <c r="B164" s="6" t="s">
        <v>12260</v>
      </c>
      <c r="C164" s="6" t="s">
        <v>12260</v>
      </c>
      <c r="D164" s="727"/>
      <c r="E164" s="729">
        <v>500000.0</v>
      </c>
      <c r="F164" s="727">
        <f t="shared" si="4"/>
        <v>274200</v>
      </c>
      <c r="G164" s="6" t="s">
        <v>3799</v>
      </c>
      <c r="H164" s="6" t="s">
        <v>12218</v>
      </c>
      <c r="J164" s="727"/>
      <c r="K164" s="727"/>
      <c r="L164" s="727"/>
      <c r="M164" s="727"/>
      <c r="N164" s="727"/>
      <c r="O164" s="727"/>
    </row>
    <row r="165">
      <c r="A165" s="736">
        <v>45542.0</v>
      </c>
      <c r="B165" s="6" t="s">
        <v>12184</v>
      </c>
      <c r="C165" s="732" t="s">
        <v>12226</v>
      </c>
      <c r="D165" s="727"/>
      <c r="E165" s="729">
        <v>25500.0</v>
      </c>
      <c r="F165" s="727">
        <f t="shared" si="4"/>
        <v>248700</v>
      </c>
      <c r="G165" s="6" t="s">
        <v>3799</v>
      </c>
      <c r="H165" s="6" t="s">
        <v>12274</v>
      </c>
      <c r="J165" s="727"/>
      <c r="K165" s="727"/>
      <c r="L165" s="727"/>
      <c r="M165" s="727"/>
      <c r="N165" s="727"/>
      <c r="O165" s="727"/>
    </row>
    <row r="166">
      <c r="A166" s="113">
        <v>45544.0</v>
      </c>
      <c r="B166" s="6" t="s">
        <v>12198</v>
      </c>
      <c r="C166" s="6" t="s">
        <v>12199</v>
      </c>
      <c r="D166" s="727"/>
      <c r="E166" s="729">
        <v>200000.0</v>
      </c>
      <c r="F166" s="727">
        <f t="shared" si="4"/>
        <v>48700</v>
      </c>
      <c r="G166" s="6" t="s">
        <v>3799</v>
      </c>
      <c r="H166" s="6" t="s">
        <v>12274</v>
      </c>
      <c r="J166" s="727"/>
      <c r="K166" s="727"/>
      <c r="L166" s="727"/>
      <c r="M166" s="727"/>
      <c r="N166" s="727"/>
      <c r="O166" s="727"/>
    </row>
    <row r="167">
      <c r="A167" s="113">
        <v>45549.0</v>
      </c>
      <c r="B167" s="6" t="s">
        <v>12283</v>
      </c>
      <c r="D167" s="729">
        <v>1000000.0</v>
      </c>
      <c r="E167" s="727"/>
      <c r="F167" s="727">
        <f t="shared" si="4"/>
        <v>1048700</v>
      </c>
      <c r="G167" s="6" t="s">
        <v>3799</v>
      </c>
      <c r="I167" s="6" t="s">
        <v>12335</v>
      </c>
      <c r="J167" s="727"/>
      <c r="K167" s="727"/>
      <c r="L167" s="727"/>
      <c r="M167" s="727"/>
      <c r="N167" s="727"/>
      <c r="O167" s="727"/>
    </row>
    <row r="168">
      <c r="A168" s="113">
        <v>45549.0</v>
      </c>
      <c r="B168" s="6" t="s">
        <v>12336</v>
      </c>
      <c r="C168" s="6" t="s">
        <v>12337</v>
      </c>
      <c r="D168" s="727"/>
      <c r="E168" s="729">
        <v>250000.0</v>
      </c>
      <c r="F168" s="727">
        <f t="shared" si="4"/>
        <v>798700</v>
      </c>
      <c r="G168" s="6" t="s">
        <v>3799</v>
      </c>
      <c r="H168" s="6" t="s">
        <v>12338</v>
      </c>
      <c r="J168" s="727"/>
      <c r="K168" s="727"/>
      <c r="L168" s="727"/>
      <c r="M168" s="727"/>
      <c r="N168" s="727"/>
      <c r="O168" s="727"/>
    </row>
    <row r="169">
      <c r="A169" s="113">
        <v>45549.0</v>
      </c>
      <c r="B169" s="6" t="s">
        <v>12279</v>
      </c>
      <c r="C169" s="6" t="s">
        <v>12243</v>
      </c>
      <c r="D169" s="727"/>
      <c r="E169" s="729">
        <v>300000.0</v>
      </c>
      <c r="F169" s="727">
        <f t="shared" si="4"/>
        <v>498700</v>
      </c>
      <c r="G169" s="6" t="s">
        <v>3799</v>
      </c>
      <c r="H169" s="6" t="s">
        <v>12218</v>
      </c>
      <c r="J169" s="727"/>
      <c r="K169" s="727"/>
      <c r="L169" s="727"/>
      <c r="M169" s="727"/>
      <c r="N169" s="727"/>
      <c r="O169" s="727"/>
    </row>
    <row r="170">
      <c r="A170" s="113">
        <v>45549.0</v>
      </c>
      <c r="B170" s="6" t="s">
        <v>12279</v>
      </c>
      <c r="C170" s="6" t="s">
        <v>12339</v>
      </c>
      <c r="D170" s="727"/>
      <c r="E170" s="729">
        <v>300000.0</v>
      </c>
      <c r="F170" s="727">
        <f t="shared" si="4"/>
        <v>198700</v>
      </c>
      <c r="G170" s="6" t="s">
        <v>3799</v>
      </c>
      <c r="H170" s="6" t="s">
        <v>12271</v>
      </c>
      <c r="J170" s="727"/>
      <c r="K170" s="727"/>
      <c r="L170" s="727"/>
      <c r="M170" s="727"/>
      <c r="N170" s="727"/>
      <c r="O170" s="727"/>
    </row>
    <row r="171">
      <c r="A171" s="113">
        <v>45549.0</v>
      </c>
      <c r="B171" s="6" t="s">
        <v>12187</v>
      </c>
      <c r="C171" s="6" t="s">
        <v>12340</v>
      </c>
      <c r="D171" s="727"/>
      <c r="E171" s="729">
        <v>8000.0</v>
      </c>
      <c r="F171" s="727">
        <f t="shared" si="4"/>
        <v>190700</v>
      </c>
      <c r="G171" s="6" t="s">
        <v>3799</v>
      </c>
      <c r="H171" s="6" t="s">
        <v>12218</v>
      </c>
      <c r="J171" s="727"/>
      <c r="K171" s="727"/>
      <c r="L171" s="727"/>
      <c r="M171" s="727"/>
      <c r="N171" s="727"/>
      <c r="O171" s="727"/>
    </row>
    <row r="172">
      <c r="A172" s="113">
        <v>45550.0</v>
      </c>
      <c r="B172" s="6" t="s">
        <v>12283</v>
      </c>
      <c r="D172" s="729">
        <v>300000.0</v>
      </c>
      <c r="E172" s="727"/>
      <c r="F172" s="727">
        <f t="shared" si="4"/>
        <v>490700</v>
      </c>
      <c r="G172" s="6" t="s">
        <v>3883</v>
      </c>
      <c r="I172" s="6" t="s">
        <v>12335</v>
      </c>
      <c r="J172" s="727"/>
      <c r="K172" s="727"/>
      <c r="L172" s="727"/>
      <c r="M172" s="727"/>
      <c r="N172" s="727"/>
      <c r="O172" s="727"/>
    </row>
    <row r="173">
      <c r="A173" s="113">
        <v>45550.0</v>
      </c>
      <c r="B173" s="6" t="s">
        <v>12329</v>
      </c>
      <c r="C173" s="6" t="s">
        <v>12330</v>
      </c>
      <c r="D173" s="727"/>
      <c r="E173" s="729">
        <v>300000.0</v>
      </c>
      <c r="F173" s="727">
        <f t="shared" si="4"/>
        <v>190700</v>
      </c>
      <c r="G173" s="6" t="s">
        <v>3883</v>
      </c>
      <c r="H173" s="6" t="s">
        <v>12331</v>
      </c>
      <c r="J173" s="727"/>
      <c r="K173" s="727"/>
      <c r="L173" s="727"/>
      <c r="M173" s="727"/>
      <c r="N173" s="727"/>
      <c r="O173" s="727"/>
    </row>
    <row r="174">
      <c r="A174" s="113">
        <v>45552.0</v>
      </c>
      <c r="B174" s="6" t="s">
        <v>12283</v>
      </c>
      <c r="D174" s="729">
        <v>100000.0</v>
      </c>
      <c r="E174" s="727"/>
      <c r="F174" s="727">
        <f t="shared" si="4"/>
        <v>290700</v>
      </c>
      <c r="G174" s="6" t="s">
        <v>3799</v>
      </c>
      <c r="J174" s="727"/>
      <c r="K174" s="727"/>
      <c r="L174" s="727"/>
      <c r="M174" s="727"/>
      <c r="N174" s="727"/>
      <c r="O174" s="727"/>
    </row>
    <row r="175">
      <c r="A175" s="113">
        <v>45552.0</v>
      </c>
      <c r="B175" s="6" t="s">
        <v>12198</v>
      </c>
      <c r="C175" s="6" t="s">
        <v>12199</v>
      </c>
      <c r="D175" s="727"/>
      <c r="E175" s="729">
        <v>100000.0</v>
      </c>
      <c r="F175" s="727">
        <f t="shared" si="4"/>
        <v>190700</v>
      </c>
      <c r="G175" s="6" t="s">
        <v>3799</v>
      </c>
      <c r="H175" s="6" t="s">
        <v>12274</v>
      </c>
      <c r="J175" s="727"/>
      <c r="K175" s="727"/>
      <c r="L175" s="727"/>
      <c r="M175" s="727"/>
      <c r="N175" s="727"/>
      <c r="O175" s="727"/>
    </row>
    <row r="176">
      <c r="A176" s="113">
        <v>45553.0</v>
      </c>
      <c r="B176" s="6" t="s">
        <v>12198</v>
      </c>
      <c r="C176" s="6" t="s">
        <v>12199</v>
      </c>
      <c r="D176" s="727"/>
      <c r="E176" s="729">
        <v>150000.0</v>
      </c>
      <c r="F176" s="727">
        <f t="shared" si="4"/>
        <v>40700</v>
      </c>
      <c r="G176" s="6" t="s">
        <v>3799</v>
      </c>
      <c r="H176" s="6" t="s">
        <v>12218</v>
      </c>
      <c r="J176" s="727"/>
      <c r="K176" s="727"/>
      <c r="L176" s="727"/>
      <c r="M176" s="727"/>
      <c r="N176" s="727"/>
      <c r="O176" s="727"/>
    </row>
    <row r="177">
      <c r="A177" s="113">
        <v>45554.0</v>
      </c>
      <c r="B177" s="6" t="s">
        <v>12283</v>
      </c>
      <c r="D177" s="729">
        <v>500000.0</v>
      </c>
      <c r="E177" s="727"/>
      <c r="F177" s="727">
        <f t="shared" si="4"/>
        <v>540700</v>
      </c>
      <c r="G177" s="6" t="s">
        <v>3799</v>
      </c>
      <c r="H177" s="6" t="s">
        <v>3799</v>
      </c>
      <c r="J177" s="727"/>
      <c r="K177" s="727"/>
      <c r="L177" s="727"/>
      <c r="M177" s="727"/>
      <c r="N177" s="727"/>
      <c r="O177" s="727"/>
    </row>
    <row r="178">
      <c r="A178" s="113">
        <v>45554.0</v>
      </c>
      <c r="B178" s="6" t="s">
        <v>12184</v>
      </c>
      <c r="C178" s="732" t="s">
        <v>12226</v>
      </c>
      <c r="D178" s="727"/>
      <c r="E178" s="729">
        <v>25500.0</v>
      </c>
      <c r="F178" s="727">
        <f t="shared" si="4"/>
        <v>515200</v>
      </c>
      <c r="G178" s="6" t="s">
        <v>3799</v>
      </c>
      <c r="H178" s="6" t="s">
        <v>12196</v>
      </c>
      <c r="J178" s="727"/>
      <c r="K178" s="727"/>
      <c r="L178" s="727"/>
      <c r="M178" s="727"/>
      <c r="N178" s="727"/>
      <c r="O178" s="727"/>
    </row>
    <row r="179">
      <c r="A179" s="113">
        <v>45554.0</v>
      </c>
      <c r="B179" s="6" t="s">
        <v>12324</v>
      </c>
      <c r="C179" s="6" t="s">
        <v>12341</v>
      </c>
      <c r="D179" s="727"/>
      <c r="E179" s="729">
        <v>38000.0</v>
      </c>
      <c r="F179" s="727">
        <f t="shared" si="4"/>
        <v>477200</v>
      </c>
      <c r="G179" s="6" t="s">
        <v>3799</v>
      </c>
      <c r="H179" s="6" t="s">
        <v>12196</v>
      </c>
      <c r="J179" s="727"/>
      <c r="K179" s="727"/>
      <c r="L179" s="727"/>
      <c r="M179" s="727"/>
      <c r="N179" s="727"/>
      <c r="O179" s="727"/>
    </row>
    <row r="180">
      <c r="A180" s="113">
        <v>45554.0</v>
      </c>
      <c r="B180" s="6" t="s">
        <v>12342</v>
      </c>
      <c r="C180" s="6" t="s">
        <v>12343</v>
      </c>
      <c r="D180" s="727"/>
      <c r="E180" s="729">
        <v>5000.0</v>
      </c>
      <c r="F180" s="727">
        <f t="shared" si="4"/>
        <v>472200</v>
      </c>
      <c r="G180" s="6" t="s">
        <v>3799</v>
      </c>
      <c r="H180" s="6" t="s">
        <v>12274</v>
      </c>
      <c r="J180" s="727"/>
      <c r="K180" s="727"/>
      <c r="L180" s="727"/>
      <c r="M180" s="727"/>
      <c r="N180" s="727"/>
      <c r="O180" s="727"/>
    </row>
    <row r="181">
      <c r="A181" s="113">
        <v>45554.0</v>
      </c>
      <c r="B181" s="6" t="s">
        <v>12344</v>
      </c>
      <c r="C181" s="6" t="s">
        <v>12343</v>
      </c>
      <c r="D181" s="727"/>
      <c r="E181" s="729">
        <v>5000.0</v>
      </c>
      <c r="F181" s="727">
        <f t="shared" si="4"/>
        <v>467200</v>
      </c>
      <c r="G181" s="6" t="s">
        <v>3799</v>
      </c>
      <c r="H181" s="6" t="s">
        <v>12274</v>
      </c>
      <c r="J181" s="727"/>
      <c r="K181" s="727"/>
      <c r="L181" s="727"/>
      <c r="M181" s="727"/>
      <c r="N181" s="727"/>
      <c r="O181" s="727"/>
    </row>
    <row r="182">
      <c r="A182" s="113">
        <v>45556.0</v>
      </c>
      <c r="B182" s="6" t="s">
        <v>12283</v>
      </c>
      <c r="D182" s="729">
        <v>700000.0</v>
      </c>
      <c r="E182" s="727"/>
      <c r="F182" s="727">
        <f t="shared" si="4"/>
        <v>1167200</v>
      </c>
      <c r="G182" s="6" t="s">
        <v>3799</v>
      </c>
      <c r="H182" s="6" t="s">
        <v>3799</v>
      </c>
      <c r="J182" s="727"/>
      <c r="K182" s="727"/>
      <c r="L182" s="727"/>
      <c r="M182" s="727"/>
      <c r="N182" s="727"/>
      <c r="O182" s="727"/>
    </row>
    <row r="183">
      <c r="A183" s="113">
        <v>45556.0</v>
      </c>
      <c r="B183" s="6" t="s">
        <v>12279</v>
      </c>
      <c r="C183" s="6" t="s">
        <v>12186</v>
      </c>
      <c r="D183" s="727"/>
      <c r="E183" s="729">
        <v>300000.0</v>
      </c>
      <c r="F183" s="727">
        <f t="shared" si="4"/>
        <v>867200</v>
      </c>
      <c r="G183" s="6" t="s">
        <v>3799</v>
      </c>
      <c r="H183" s="6" t="s">
        <v>12218</v>
      </c>
      <c r="J183" s="727"/>
      <c r="K183" s="727"/>
      <c r="L183" s="727"/>
      <c r="M183" s="727"/>
      <c r="N183" s="727"/>
      <c r="O183" s="727"/>
    </row>
    <row r="184">
      <c r="A184" s="113">
        <v>45556.0</v>
      </c>
      <c r="B184" s="6" t="s">
        <v>12279</v>
      </c>
      <c r="C184" s="6" t="s">
        <v>12271</v>
      </c>
      <c r="D184" s="727"/>
      <c r="E184" s="729">
        <v>200000.0</v>
      </c>
      <c r="F184" s="727">
        <f t="shared" si="4"/>
        <v>667200</v>
      </c>
      <c r="G184" s="6" t="s">
        <v>3799</v>
      </c>
      <c r="H184" s="6" t="s">
        <v>12271</v>
      </c>
      <c r="J184" s="727"/>
      <c r="K184" s="727"/>
      <c r="L184" s="727"/>
      <c r="M184" s="727"/>
      <c r="N184" s="727"/>
      <c r="O184" s="727"/>
    </row>
    <row r="185">
      <c r="A185" s="113">
        <v>45556.0</v>
      </c>
      <c r="B185" s="6" t="s">
        <v>12279</v>
      </c>
      <c r="C185" s="6" t="s">
        <v>12274</v>
      </c>
      <c r="D185" s="727"/>
      <c r="E185" s="729">
        <v>100000.0</v>
      </c>
      <c r="F185" s="727">
        <f t="shared" si="4"/>
        <v>567200</v>
      </c>
      <c r="G185" s="6" t="s">
        <v>3799</v>
      </c>
      <c r="H185" s="6" t="s">
        <v>12274</v>
      </c>
      <c r="J185" s="727"/>
      <c r="K185" s="727"/>
      <c r="L185" s="727"/>
      <c r="M185" s="727"/>
      <c r="N185" s="727"/>
      <c r="O185" s="727"/>
    </row>
    <row r="186">
      <c r="A186" s="113">
        <v>45556.0</v>
      </c>
      <c r="B186" s="6" t="s">
        <v>12279</v>
      </c>
      <c r="C186" s="6" t="s">
        <v>3799</v>
      </c>
      <c r="D186" s="727"/>
      <c r="E186" s="729">
        <v>100000.0</v>
      </c>
      <c r="F186" s="727">
        <f t="shared" si="4"/>
        <v>467200</v>
      </c>
      <c r="G186" s="6" t="s">
        <v>3799</v>
      </c>
      <c r="H186" s="6" t="s">
        <v>3799</v>
      </c>
      <c r="J186" s="727"/>
      <c r="K186" s="727"/>
      <c r="L186" s="727"/>
      <c r="M186" s="727"/>
      <c r="N186" s="727"/>
      <c r="O186" s="727"/>
    </row>
    <row r="187">
      <c r="A187" s="113">
        <v>45558.0</v>
      </c>
      <c r="B187" s="6" t="s">
        <v>12198</v>
      </c>
      <c r="C187" s="6" t="s">
        <v>12199</v>
      </c>
      <c r="D187" s="727"/>
      <c r="E187" s="729">
        <v>300000.0</v>
      </c>
      <c r="F187" s="727">
        <f t="shared" si="4"/>
        <v>167200</v>
      </c>
      <c r="G187" s="6" t="s">
        <v>3799</v>
      </c>
      <c r="H187" s="6" t="s">
        <v>12218</v>
      </c>
      <c r="J187" s="727"/>
      <c r="K187" s="727"/>
      <c r="L187" s="727"/>
      <c r="M187" s="727"/>
      <c r="N187" s="727"/>
      <c r="O187" s="727"/>
    </row>
    <row r="188">
      <c r="A188" s="113">
        <v>45558.0</v>
      </c>
      <c r="B188" s="6" t="s">
        <v>12187</v>
      </c>
      <c r="C188" s="6" t="s">
        <v>12340</v>
      </c>
      <c r="D188" s="727"/>
      <c r="E188" s="729">
        <v>8000.0</v>
      </c>
      <c r="F188" s="727">
        <f t="shared" si="4"/>
        <v>159200</v>
      </c>
      <c r="G188" s="6" t="s">
        <v>3799</v>
      </c>
      <c r="H188" s="6" t="s">
        <v>12274</v>
      </c>
      <c r="J188" s="727"/>
      <c r="K188" s="727"/>
      <c r="L188" s="727"/>
      <c r="M188" s="727"/>
      <c r="N188" s="727"/>
      <c r="O188" s="727"/>
    </row>
    <row r="189">
      <c r="A189" s="113">
        <v>45560.0</v>
      </c>
      <c r="B189" s="6" t="s">
        <v>12184</v>
      </c>
      <c r="C189" s="732" t="s">
        <v>12223</v>
      </c>
      <c r="D189" s="727"/>
      <c r="E189" s="729">
        <v>34000.0</v>
      </c>
      <c r="F189" s="727">
        <f t="shared" si="4"/>
        <v>125200</v>
      </c>
      <c r="G189" s="6" t="s">
        <v>3799</v>
      </c>
      <c r="H189" s="6" t="s">
        <v>12274</v>
      </c>
      <c r="J189" s="727"/>
      <c r="K189" s="727"/>
      <c r="L189" s="727"/>
      <c r="M189" s="727"/>
      <c r="N189" s="727"/>
      <c r="O189" s="727"/>
    </row>
    <row r="190">
      <c r="A190" s="113">
        <v>45561.0</v>
      </c>
      <c r="B190" s="6" t="s">
        <v>12187</v>
      </c>
      <c r="C190" s="6" t="s">
        <v>12340</v>
      </c>
      <c r="D190" s="727"/>
      <c r="E190" s="729">
        <v>8000.0</v>
      </c>
      <c r="F190" s="727">
        <f t="shared" si="4"/>
        <v>117200</v>
      </c>
      <c r="G190" s="6" t="s">
        <v>3799</v>
      </c>
      <c r="H190" s="6" t="s">
        <v>12274</v>
      </c>
      <c r="J190" s="727"/>
      <c r="K190" s="727"/>
      <c r="L190" s="727"/>
      <c r="M190" s="727"/>
      <c r="N190" s="727"/>
      <c r="O190" s="727"/>
    </row>
    <row r="191">
      <c r="A191" s="113">
        <v>45564.0</v>
      </c>
      <c r="B191" s="6" t="s">
        <v>12283</v>
      </c>
      <c r="D191" s="729">
        <v>300000.0</v>
      </c>
      <c r="E191" s="727"/>
      <c r="F191" s="727">
        <f t="shared" si="4"/>
        <v>417200</v>
      </c>
      <c r="G191" s="6" t="s">
        <v>3883</v>
      </c>
      <c r="H191" s="6" t="s">
        <v>12274</v>
      </c>
      <c r="J191" s="727"/>
      <c r="K191" s="727"/>
      <c r="L191" s="727"/>
      <c r="M191" s="727"/>
      <c r="N191" s="727"/>
      <c r="O191" s="727"/>
    </row>
    <row r="192">
      <c r="A192" s="113">
        <v>45564.0</v>
      </c>
      <c r="C192" s="6" t="s">
        <v>12345</v>
      </c>
      <c r="D192" s="727"/>
      <c r="E192" s="729">
        <v>300000.0</v>
      </c>
      <c r="F192" s="727">
        <f t="shared" si="4"/>
        <v>117200</v>
      </c>
      <c r="G192" s="6" t="s">
        <v>3883</v>
      </c>
      <c r="H192" s="6" t="s">
        <v>12346</v>
      </c>
      <c r="J192" s="727"/>
      <c r="K192" s="727"/>
      <c r="L192" s="727"/>
      <c r="M192" s="727"/>
      <c r="N192" s="727"/>
      <c r="O192" s="727"/>
    </row>
    <row r="193">
      <c r="A193" s="113">
        <v>45563.0</v>
      </c>
      <c r="B193" s="6" t="s">
        <v>12177</v>
      </c>
      <c r="D193" s="729">
        <v>350000.0</v>
      </c>
      <c r="E193" s="727"/>
      <c r="F193" s="727">
        <f t="shared" si="4"/>
        <v>467200</v>
      </c>
      <c r="G193" s="6" t="s">
        <v>3799</v>
      </c>
      <c r="H193" s="6" t="s">
        <v>3799</v>
      </c>
      <c r="J193" s="727"/>
      <c r="K193" s="727"/>
      <c r="L193" s="727"/>
      <c r="M193" s="727"/>
      <c r="N193" s="727"/>
      <c r="O193" s="727"/>
    </row>
    <row r="194">
      <c r="A194" s="113">
        <v>45563.0</v>
      </c>
      <c r="B194" s="6" t="s">
        <v>12279</v>
      </c>
      <c r="C194" s="6" t="s">
        <v>12186</v>
      </c>
      <c r="D194" s="727"/>
      <c r="E194" s="729">
        <v>200000.0</v>
      </c>
      <c r="F194" s="727">
        <f t="shared" si="4"/>
        <v>267200</v>
      </c>
      <c r="G194" s="6" t="s">
        <v>3799</v>
      </c>
      <c r="H194" s="6" t="s">
        <v>12218</v>
      </c>
      <c r="J194" s="727"/>
      <c r="K194" s="727"/>
      <c r="L194" s="727"/>
      <c r="M194" s="727"/>
      <c r="N194" s="727"/>
      <c r="O194" s="727"/>
    </row>
    <row r="195">
      <c r="A195" s="113">
        <v>45563.0</v>
      </c>
      <c r="B195" s="6" t="s">
        <v>12279</v>
      </c>
      <c r="C195" s="6" t="s">
        <v>12271</v>
      </c>
      <c r="D195" s="727"/>
      <c r="E195" s="729">
        <v>100000.0</v>
      </c>
      <c r="F195" s="727">
        <f t="shared" si="4"/>
        <v>167200</v>
      </c>
      <c r="G195" s="6" t="s">
        <v>3799</v>
      </c>
      <c r="H195" s="6" t="s">
        <v>12271</v>
      </c>
      <c r="J195" s="727"/>
      <c r="K195" s="727"/>
      <c r="L195" s="727"/>
      <c r="M195" s="727"/>
      <c r="N195" s="727"/>
      <c r="O195" s="727"/>
    </row>
    <row r="196">
      <c r="A196" s="113">
        <v>45563.0</v>
      </c>
      <c r="B196" s="6" t="s">
        <v>12279</v>
      </c>
      <c r="C196" s="6" t="s">
        <v>12196</v>
      </c>
      <c r="D196" s="727"/>
      <c r="E196" s="729">
        <v>50000.0</v>
      </c>
      <c r="F196" s="727">
        <f t="shared" si="4"/>
        <v>117200</v>
      </c>
      <c r="G196" s="6" t="s">
        <v>3799</v>
      </c>
      <c r="H196" s="6" t="s">
        <v>12196</v>
      </c>
      <c r="J196" s="727"/>
      <c r="K196" s="727"/>
      <c r="L196" s="727"/>
      <c r="M196" s="727"/>
      <c r="N196" s="727"/>
      <c r="O196" s="727"/>
    </row>
    <row r="197">
      <c r="A197" s="113">
        <v>45565.0</v>
      </c>
      <c r="B197" s="6" t="s">
        <v>12177</v>
      </c>
      <c r="D197" s="729">
        <v>500000.0</v>
      </c>
      <c r="E197" s="727"/>
      <c r="F197" s="727">
        <f t="shared" si="4"/>
        <v>617200</v>
      </c>
      <c r="G197" s="6" t="s">
        <v>3799</v>
      </c>
      <c r="H197" s="6" t="s">
        <v>3799</v>
      </c>
      <c r="J197" s="727"/>
      <c r="K197" s="727"/>
      <c r="L197" s="727"/>
      <c r="M197" s="727"/>
      <c r="N197" s="727"/>
      <c r="O197" s="727"/>
    </row>
    <row r="198">
      <c r="A198" s="113">
        <v>45565.0</v>
      </c>
      <c r="B198" s="6" t="s">
        <v>12198</v>
      </c>
      <c r="C198" s="6" t="s">
        <v>12199</v>
      </c>
      <c r="D198" s="727"/>
      <c r="E198" s="729">
        <v>300000.0</v>
      </c>
      <c r="F198" s="727">
        <f t="shared" si="4"/>
        <v>317200</v>
      </c>
      <c r="G198" s="6" t="s">
        <v>3799</v>
      </c>
      <c r="H198" s="6" t="s">
        <v>12274</v>
      </c>
      <c r="J198" s="727"/>
      <c r="K198" s="727"/>
      <c r="L198" s="727"/>
      <c r="M198" s="727"/>
      <c r="N198" s="727"/>
      <c r="O198" s="727"/>
    </row>
    <row r="199">
      <c r="A199" s="113">
        <v>45565.0</v>
      </c>
      <c r="B199" s="6" t="s">
        <v>12184</v>
      </c>
      <c r="C199" s="732" t="s">
        <v>12226</v>
      </c>
      <c r="D199" s="727"/>
      <c r="E199" s="729">
        <v>25500.0</v>
      </c>
      <c r="F199" s="727">
        <f t="shared" si="4"/>
        <v>291700</v>
      </c>
      <c r="G199" s="6" t="s">
        <v>3799</v>
      </c>
      <c r="H199" s="6" t="s">
        <v>12274</v>
      </c>
      <c r="J199" s="727"/>
      <c r="K199" s="727"/>
      <c r="L199" s="727"/>
      <c r="M199" s="727"/>
      <c r="N199" s="727"/>
      <c r="O199" s="727"/>
    </row>
    <row r="200">
      <c r="A200" s="726" t="s">
        <v>12347</v>
      </c>
      <c r="J200" s="727"/>
      <c r="K200" s="727"/>
      <c r="L200" s="727"/>
      <c r="M200" s="727"/>
      <c r="N200" s="727"/>
      <c r="O200" s="727"/>
    </row>
    <row r="201" hidden="1">
      <c r="A201" s="113">
        <v>45568.0</v>
      </c>
      <c r="B201" s="737" t="s">
        <v>12348</v>
      </c>
      <c r="C201" s="6" t="s">
        <v>12349</v>
      </c>
      <c r="D201" s="727"/>
      <c r="E201" s="729">
        <v>105000.0</v>
      </c>
      <c r="F201" s="727">
        <f>F199+D201-E201</f>
        <v>186700</v>
      </c>
      <c r="G201" s="6" t="s">
        <v>3799</v>
      </c>
      <c r="H201" s="6" t="s">
        <v>12274</v>
      </c>
      <c r="J201" s="727"/>
      <c r="K201" s="727"/>
      <c r="L201" s="727"/>
      <c r="M201" s="727"/>
      <c r="N201" s="727"/>
      <c r="O201" s="727"/>
    </row>
    <row r="202" hidden="1">
      <c r="A202" s="113">
        <v>45568.0</v>
      </c>
      <c r="B202" s="6" t="s">
        <v>12350</v>
      </c>
      <c r="C202" s="6" t="s">
        <v>12351</v>
      </c>
      <c r="D202" s="727"/>
      <c r="E202" s="729">
        <v>10000.0</v>
      </c>
      <c r="F202" s="727">
        <f t="shared" ref="F202:F261" si="5">F201+D202-E202</f>
        <v>176700</v>
      </c>
      <c r="G202" s="6" t="s">
        <v>3799</v>
      </c>
      <c r="H202" s="6" t="s">
        <v>12274</v>
      </c>
      <c r="J202" s="727"/>
      <c r="K202" s="727"/>
      <c r="L202" s="727"/>
      <c r="M202" s="727"/>
      <c r="N202" s="727"/>
      <c r="O202" s="727"/>
    </row>
    <row r="203" hidden="1">
      <c r="A203" s="113">
        <v>45569.0</v>
      </c>
      <c r="B203" s="6" t="s">
        <v>12187</v>
      </c>
      <c r="C203" s="6" t="s">
        <v>12340</v>
      </c>
      <c r="D203" s="727"/>
      <c r="E203" s="729">
        <v>5000.0</v>
      </c>
      <c r="F203" s="727">
        <f t="shared" si="5"/>
        <v>171700</v>
      </c>
      <c r="G203" s="6" t="s">
        <v>3799</v>
      </c>
      <c r="H203" s="6" t="s">
        <v>12218</v>
      </c>
      <c r="J203" s="727"/>
      <c r="K203" s="727"/>
      <c r="L203" s="727"/>
      <c r="M203" s="727"/>
      <c r="N203" s="727"/>
      <c r="O203" s="727"/>
    </row>
    <row r="204" hidden="1">
      <c r="A204" s="113">
        <v>45570.0</v>
      </c>
      <c r="B204" s="6" t="s">
        <v>12184</v>
      </c>
      <c r="C204" s="732" t="s">
        <v>12226</v>
      </c>
      <c r="D204" s="727"/>
      <c r="E204" s="729">
        <v>25500.0</v>
      </c>
      <c r="F204" s="727">
        <f t="shared" si="5"/>
        <v>146200</v>
      </c>
      <c r="G204" s="6" t="s">
        <v>3799</v>
      </c>
      <c r="H204" s="6" t="s">
        <v>12274</v>
      </c>
      <c r="J204" s="727"/>
      <c r="K204" s="727"/>
      <c r="L204" s="727"/>
      <c r="M204" s="727"/>
      <c r="N204" s="727"/>
      <c r="O204" s="727"/>
    </row>
    <row r="205" hidden="1">
      <c r="A205" s="113">
        <v>45570.0</v>
      </c>
      <c r="B205" s="6" t="s">
        <v>12177</v>
      </c>
      <c r="D205" s="729">
        <v>500000.0</v>
      </c>
      <c r="E205" s="727"/>
      <c r="F205" s="727">
        <f t="shared" si="5"/>
        <v>646200</v>
      </c>
      <c r="G205" s="6" t="s">
        <v>3799</v>
      </c>
      <c r="H205" s="6" t="s">
        <v>3799</v>
      </c>
      <c r="J205" s="727"/>
      <c r="K205" s="727"/>
      <c r="L205" s="727"/>
      <c r="M205" s="727"/>
      <c r="N205" s="727"/>
      <c r="O205" s="727"/>
    </row>
    <row r="206" hidden="1">
      <c r="A206" s="113">
        <v>45570.0</v>
      </c>
      <c r="B206" s="6" t="s">
        <v>12198</v>
      </c>
      <c r="C206" s="6" t="s">
        <v>12199</v>
      </c>
      <c r="D206" s="727"/>
      <c r="E206" s="729">
        <v>300000.0</v>
      </c>
      <c r="F206" s="727">
        <f t="shared" si="5"/>
        <v>346200</v>
      </c>
      <c r="G206" s="6" t="s">
        <v>3799</v>
      </c>
      <c r="H206" s="6" t="s">
        <v>12274</v>
      </c>
      <c r="J206" s="727"/>
      <c r="K206" s="727"/>
      <c r="L206" s="727"/>
      <c r="M206" s="727"/>
      <c r="N206" s="727"/>
      <c r="O206" s="727"/>
    </row>
    <row r="207" hidden="1">
      <c r="A207" s="113">
        <v>45570.0</v>
      </c>
      <c r="B207" s="6" t="s">
        <v>12352</v>
      </c>
      <c r="C207" s="6" t="s">
        <v>12353</v>
      </c>
      <c r="D207" s="727"/>
      <c r="E207" s="729">
        <v>85000.0</v>
      </c>
      <c r="F207" s="727">
        <f t="shared" si="5"/>
        <v>261200</v>
      </c>
      <c r="G207" s="6" t="s">
        <v>3799</v>
      </c>
      <c r="H207" s="6" t="s">
        <v>12354</v>
      </c>
      <c r="J207" s="727"/>
      <c r="K207" s="727"/>
      <c r="L207" s="727"/>
      <c r="M207" s="727"/>
      <c r="N207" s="727"/>
      <c r="O207" s="727"/>
    </row>
    <row r="208" hidden="1">
      <c r="A208" s="113">
        <v>45572.0</v>
      </c>
      <c r="B208" s="6" t="s">
        <v>12187</v>
      </c>
      <c r="C208" s="6" t="s">
        <v>12355</v>
      </c>
      <c r="D208" s="727"/>
      <c r="E208" s="729">
        <v>5000.0</v>
      </c>
      <c r="F208" s="727">
        <f t="shared" si="5"/>
        <v>256200</v>
      </c>
      <c r="G208" s="6" t="s">
        <v>3799</v>
      </c>
      <c r="H208" s="6" t="s">
        <v>12218</v>
      </c>
      <c r="J208" s="727"/>
      <c r="K208" s="727"/>
      <c r="L208" s="727"/>
      <c r="M208" s="727"/>
      <c r="N208" s="727"/>
      <c r="O208" s="727"/>
    </row>
    <row r="209" hidden="1">
      <c r="A209" s="113">
        <v>45572.0</v>
      </c>
      <c r="B209" s="6" t="s">
        <v>12187</v>
      </c>
      <c r="C209" s="6" t="s">
        <v>12356</v>
      </c>
      <c r="D209" s="727"/>
      <c r="E209" s="729">
        <v>7000.0</v>
      </c>
      <c r="F209" s="727">
        <f t="shared" si="5"/>
        <v>249200</v>
      </c>
      <c r="G209" s="6" t="s">
        <v>3799</v>
      </c>
      <c r="H209" s="6" t="s">
        <v>12274</v>
      </c>
      <c r="J209" s="727"/>
      <c r="K209" s="727"/>
      <c r="L209" s="727"/>
      <c r="M209" s="727"/>
      <c r="N209" s="727"/>
      <c r="O209" s="727"/>
    </row>
    <row r="210" hidden="1">
      <c r="A210" s="113">
        <v>45573.0</v>
      </c>
      <c r="B210" s="6" t="s">
        <v>12187</v>
      </c>
      <c r="C210" s="6" t="s">
        <v>12340</v>
      </c>
      <c r="D210" s="727"/>
      <c r="E210" s="729">
        <v>5000.0</v>
      </c>
      <c r="F210" s="727">
        <f t="shared" si="5"/>
        <v>244200</v>
      </c>
      <c r="G210" s="6" t="s">
        <v>3799</v>
      </c>
      <c r="H210" s="6" t="s">
        <v>12274</v>
      </c>
      <c r="J210" s="727"/>
      <c r="K210" s="727"/>
      <c r="L210" s="727"/>
      <c r="M210" s="727"/>
      <c r="N210" s="727"/>
      <c r="O210" s="727"/>
    </row>
    <row r="211" hidden="1">
      <c r="A211" s="113">
        <v>45574.0</v>
      </c>
      <c r="B211" s="6" t="s">
        <v>12332</v>
      </c>
      <c r="C211" s="6" t="s">
        <v>12357</v>
      </c>
      <c r="D211" s="729"/>
      <c r="E211" s="729">
        <v>40500.0</v>
      </c>
      <c r="F211" s="727">
        <f t="shared" si="5"/>
        <v>203700</v>
      </c>
      <c r="G211" s="6" t="s">
        <v>3799</v>
      </c>
      <c r="H211" s="6" t="s">
        <v>12218</v>
      </c>
      <c r="J211" s="727"/>
      <c r="K211" s="727"/>
      <c r="L211" s="727"/>
      <c r="M211" s="727"/>
      <c r="N211" s="727"/>
      <c r="O211" s="727"/>
    </row>
    <row r="212" hidden="1">
      <c r="A212" s="113">
        <v>45575.0</v>
      </c>
      <c r="B212" s="6" t="s">
        <v>12177</v>
      </c>
      <c r="D212" s="729">
        <v>300000.0</v>
      </c>
      <c r="E212" s="729"/>
      <c r="F212" s="727">
        <f t="shared" si="5"/>
        <v>503700</v>
      </c>
      <c r="G212" s="6" t="s">
        <v>3799</v>
      </c>
      <c r="H212" s="6" t="s">
        <v>12218</v>
      </c>
      <c r="J212" s="727"/>
      <c r="K212" s="727"/>
      <c r="L212" s="727"/>
      <c r="M212" s="727"/>
      <c r="N212" s="727"/>
      <c r="O212" s="727"/>
    </row>
    <row r="213" hidden="1">
      <c r="A213" s="733">
        <v>45575.0</v>
      </c>
      <c r="B213" s="6" t="s">
        <v>12358</v>
      </c>
      <c r="C213" s="6" t="s">
        <v>12359</v>
      </c>
      <c r="D213" s="727"/>
      <c r="E213" s="729">
        <v>200000.0</v>
      </c>
      <c r="F213" s="727">
        <f t="shared" si="5"/>
        <v>303700</v>
      </c>
      <c r="G213" s="6" t="s">
        <v>3799</v>
      </c>
      <c r="H213" s="6" t="s">
        <v>12218</v>
      </c>
      <c r="J213" s="727"/>
      <c r="K213" s="727"/>
      <c r="L213" s="727"/>
      <c r="M213" s="727"/>
      <c r="N213" s="727"/>
      <c r="O213" s="727"/>
    </row>
    <row r="214" hidden="1">
      <c r="A214" s="733">
        <v>45575.0</v>
      </c>
      <c r="B214" s="6" t="s">
        <v>12198</v>
      </c>
      <c r="C214" s="6" t="s">
        <v>12199</v>
      </c>
      <c r="D214" s="727"/>
      <c r="E214" s="729">
        <v>100000.0</v>
      </c>
      <c r="F214" s="727">
        <f t="shared" si="5"/>
        <v>203700</v>
      </c>
      <c r="G214" s="6" t="s">
        <v>3799</v>
      </c>
      <c r="H214" s="6" t="s">
        <v>12218</v>
      </c>
      <c r="J214" s="727"/>
      <c r="K214" s="727"/>
      <c r="L214" s="727"/>
      <c r="M214" s="727"/>
      <c r="N214" s="727"/>
      <c r="O214" s="727"/>
    </row>
    <row r="215" hidden="1">
      <c r="A215" s="733">
        <v>45575.0</v>
      </c>
      <c r="B215" s="6" t="s">
        <v>12241</v>
      </c>
      <c r="C215" s="6" t="s">
        <v>12360</v>
      </c>
      <c r="D215" s="727"/>
      <c r="E215" s="729">
        <v>10000.0</v>
      </c>
      <c r="F215" s="727">
        <f t="shared" si="5"/>
        <v>193700</v>
      </c>
      <c r="G215" s="6" t="s">
        <v>3799</v>
      </c>
      <c r="H215" s="6" t="s">
        <v>12274</v>
      </c>
      <c r="J215" s="727"/>
      <c r="K215" s="727"/>
      <c r="L215" s="727"/>
      <c r="M215" s="727"/>
      <c r="N215" s="727"/>
      <c r="O215" s="727"/>
    </row>
    <row r="216" hidden="1">
      <c r="A216" s="733">
        <v>45575.0</v>
      </c>
      <c r="B216" s="6" t="s">
        <v>12332</v>
      </c>
      <c r="C216" s="6" t="s">
        <v>12361</v>
      </c>
      <c r="D216" s="727"/>
      <c r="E216" s="729">
        <v>20000.0</v>
      </c>
      <c r="F216" s="727">
        <f t="shared" si="5"/>
        <v>173700</v>
      </c>
      <c r="G216" s="6" t="s">
        <v>3799</v>
      </c>
      <c r="H216" s="6" t="s">
        <v>12218</v>
      </c>
      <c r="J216" s="727"/>
      <c r="K216" s="727"/>
      <c r="L216" s="727"/>
      <c r="M216" s="727"/>
      <c r="N216" s="727"/>
      <c r="O216" s="727"/>
    </row>
    <row r="217" hidden="1">
      <c r="A217" s="733">
        <v>45575.0</v>
      </c>
      <c r="B217" s="6" t="s">
        <v>12362</v>
      </c>
      <c r="C217" s="6" t="s">
        <v>12363</v>
      </c>
      <c r="D217" s="727"/>
      <c r="E217" s="729">
        <v>10000.0</v>
      </c>
      <c r="F217" s="727">
        <f t="shared" si="5"/>
        <v>163700</v>
      </c>
      <c r="G217" s="6" t="s">
        <v>3799</v>
      </c>
      <c r="H217" s="6" t="s">
        <v>12274</v>
      </c>
      <c r="J217" s="727"/>
      <c r="K217" s="727"/>
      <c r="L217" s="727"/>
      <c r="M217" s="727"/>
      <c r="N217" s="727"/>
      <c r="O217" s="727"/>
    </row>
    <row r="218" hidden="1">
      <c r="A218" s="733">
        <v>45576.0</v>
      </c>
      <c r="B218" s="6" t="s">
        <v>12184</v>
      </c>
      <c r="C218" s="732" t="s">
        <v>12223</v>
      </c>
      <c r="D218" s="727"/>
      <c r="E218" s="729">
        <v>34000.0</v>
      </c>
      <c r="F218" s="727">
        <f t="shared" si="5"/>
        <v>129700</v>
      </c>
      <c r="G218" s="6" t="s">
        <v>3799</v>
      </c>
      <c r="H218" s="6" t="s">
        <v>12271</v>
      </c>
      <c r="J218" s="727"/>
      <c r="K218" s="727"/>
      <c r="L218" s="727"/>
      <c r="M218" s="727"/>
      <c r="N218" s="727"/>
      <c r="O218" s="727"/>
    </row>
    <row r="219" hidden="1">
      <c r="A219" s="733">
        <v>45576.0</v>
      </c>
      <c r="B219" s="6" t="s">
        <v>12187</v>
      </c>
      <c r="C219" s="6" t="s">
        <v>12364</v>
      </c>
      <c r="D219" s="727"/>
      <c r="E219" s="729">
        <v>5000.0</v>
      </c>
      <c r="F219" s="727">
        <f t="shared" si="5"/>
        <v>124700</v>
      </c>
      <c r="G219" s="6" t="s">
        <v>3799</v>
      </c>
      <c r="H219" s="6" t="s">
        <v>12274</v>
      </c>
      <c r="J219" s="727"/>
      <c r="K219" s="727"/>
      <c r="L219" s="727"/>
      <c r="M219" s="727"/>
      <c r="N219" s="727"/>
      <c r="O219" s="727"/>
    </row>
    <row r="220" hidden="1">
      <c r="A220" s="733">
        <v>45576.0</v>
      </c>
      <c r="B220" s="6" t="s">
        <v>12198</v>
      </c>
      <c r="C220" s="6" t="s">
        <v>12199</v>
      </c>
      <c r="D220" s="727"/>
      <c r="E220" s="729">
        <v>100000.0</v>
      </c>
      <c r="F220" s="727">
        <f t="shared" si="5"/>
        <v>24700</v>
      </c>
      <c r="G220" s="6" t="s">
        <v>3799</v>
      </c>
      <c r="H220" s="6" t="s">
        <v>12271</v>
      </c>
      <c r="J220" s="727"/>
      <c r="K220" s="727"/>
      <c r="L220" s="727"/>
      <c r="M220" s="727"/>
      <c r="N220" s="727"/>
      <c r="O220" s="727"/>
    </row>
    <row r="221" hidden="1">
      <c r="A221" s="733">
        <v>45577.0</v>
      </c>
      <c r="B221" s="6" t="s">
        <v>12365</v>
      </c>
      <c r="C221" s="6" t="s">
        <v>12366</v>
      </c>
      <c r="D221" s="727"/>
      <c r="E221" s="729">
        <v>15000.0</v>
      </c>
      <c r="F221" s="727">
        <f t="shared" si="5"/>
        <v>9700</v>
      </c>
      <c r="G221" s="6" t="s">
        <v>3799</v>
      </c>
      <c r="H221" s="6" t="s">
        <v>12218</v>
      </c>
      <c r="J221" s="727"/>
      <c r="K221" s="727"/>
      <c r="L221" s="727"/>
      <c r="M221" s="727"/>
      <c r="N221" s="727"/>
      <c r="O221" s="727"/>
    </row>
    <row r="222" hidden="1">
      <c r="A222" s="733">
        <v>45577.0</v>
      </c>
      <c r="B222" s="6" t="s">
        <v>12177</v>
      </c>
      <c r="D222" s="729">
        <v>1737000.0</v>
      </c>
      <c r="E222" s="727"/>
      <c r="F222" s="727">
        <f t="shared" si="5"/>
        <v>1746700</v>
      </c>
      <c r="G222" s="6" t="s">
        <v>3799</v>
      </c>
      <c r="H222" s="6" t="s">
        <v>3799</v>
      </c>
      <c r="I222" s="6" t="s">
        <v>12210</v>
      </c>
      <c r="J222" s="727"/>
      <c r="K222" s="727"/>
      <c r="L222" s="727"/>
      <c r="M222" s="727"/>
      <c r="N222" s="727"/>
      <c r="O222" s="727"/>
    </row>
    <row r="223" hidden="1">
      <c r="A223" s="733">
        <v>45577.0</v>
      </c>
      <c r="B223" s="6" t="s">
        <v>12279</v>
      </c>
      <c r="C223" s="6" t="s">
        <v>12215</v>
      </c>
      <c r="D223" s="727"/>
      <c r="E223" s="738">
        <v>300000.0</v>
      </c>
      <c r="F223" s="727">
        <f t="shared" si="5"/>
        <v>1446700</v>
      </c>
      <c r="G223" s="6" t="s">
        <v>3799</v>
      </c>
      <c r="H223" s="6" t="s">
        <v>12271</v>
      </c>
      <c r="J223" s="727"/>
      <c r="K223" s="727"/>
      <c r="L223" s="727"/>
      <c r="M223" s="727"/>
      <c r="N223" s="727"/>
      <c r="O223" s="727"/>
    </row>
    <row r="224" hidden="1">
      <c r="A224" s="733">
        <v>45577.0</v>
      </c>
      <c r="B224" s="6" t="s">
        <v>12279</v>
      </c>
      <c r="C224" s="6" t="s">
        <v>12251</v>
      </c>
      <c r="D224" s="727"/>
      <c r="E224" s="738">
        <v>300000.0</v>
      </c>
      <c r="F224" s="727">
        <f t="shared" si="5"/>
        <v>1146700</v>
      </c>
      <c r="G224" s="6" t="s">
        <v>3799</v>
      </c>
      <c r="H224" s="6" t="s">
        <v>12274</v>
      </c>
      <c r="J224" s="727"/>
      <c r="K224" s="727"/>
      <c r="L224" s="727"/>
      <c r="M224" s="727"/>
      <c r="N224" s="727"/>
      <c r="O224" s="727"/>
    </row>
    <row r="225" hidden="1">
      <c r="A225" s="733">
        <v>45577.0</v>
      </c>
      <c r="B225" s="6" t="s">
        <v>12279</v>
      </c>
      <c r="C225" s="6" t="s">
        <v>12253</v>
      </c>
      <c r="D225" s="727"/>
      <c r="E225" s="738">
        <v>300000.0</v>
      </c>
      <c r="F225" s="727">
        <f t="shared" si="5"/>
        <v>846700</v>
      </c>
      <c r="G225" s="6" t="s">
        <v>3799</v>
      </c>
      <c r="H225" s="6" t="s">
        <v>3883</v>
      </c>
      <c r="J225" s="727"/>
      <c r="K225" s="727"/>
      <c r="L225" s="727"/>
      <c r="M225" s="727"/>
      <c r="N225" s="727"/>
      <c r="O225" s="727"/>
    </row>
    <row r="226" hidden="1">
      <c r="A226" s="733">
        <v>45577.0</v>
      </c>
      <c r="B226" s="6" t="s">
        <v>12279</v>
      </c>
      <c r="C226" s="6" t="s">
        <v>12252</v>
      </c>
      <c r="D226" s="727"/>
      <c r="E226" s="738">
        <v>300000.0</v>
      </c>
      <c r="F226" s="727">
        <f t="shared" si="5"/>
        <v>546700</v>
      </c>
      <c r="G226" s="6" t="s">
        <v>3799</v>
      </c>
      <c r="H226" s="6" t="s">
        <v>3799</v>
      </c>
      <c r="J226" s="727"/>
      <c r="K226" s="727"/>
      <c r="L226" s="727"/>
      <c r="M226" s="727"/>
      <c r="N226" s="727"/>
      <c r="O226" s="727"/>
    </row>
    <row r="227" hidden="1">
      <c r="A227" s="733">
        <v>45577.0</v>
      </c>
      <c r="B227" s="6" t="s">
        <v>12279</v>
      </c>
      <c r="C227" s="6" t="s">
        <v>12243</v>
      </c>
      <c r="D227" s="727"/>
      <c r="E227" s="738">
        <v>200000.0</v>
      </c>
      <c r="F227" s="727">
        <f t="shared" si="5"/>
        <v>346700</v>
      </c>
      <c r="G227" s="6" t="s">
        <v>3799</v>
      </c>
      <c r="H227" s="6" t="s">
        <v>12218</v>
      </c>
      <c r="J227" s="727"/>
      <c r="K227" s="727"/>
      <c r="L227" s="727"/>
      <c r="M227" s="727"/>
      <c r="N227" s="727"/>
      <c r="O227" s="727"/>
    </row>
    <row r="228" hidden="1">
      <c r="A228" s="733">
        <v>45577.0</v>
      </c>
      <c r="B228" s="6" t="s">
        <v>12279</v>
      </c>
      <c r="C228" s="6" t="s">
        <v>12250</v>
      </c>
      <c r="D228" s="727"/>
      <c r="E228" s="738">
        <v>100000.0</v>
      </c>
      <c r="F228" s="727">
        <f t="shared" si="5"/>
        <v>246700</v>
      </c>
      <c r="G228" s="6" t="s">
        <v>3799</v>
      </c>
      <c r="H228" s="6" t="s">
        <v>12196</v>
      </c>
      <c r="J228" s="727"/>
      <c r="K228" s="727"/>
      <c r="L228" s="727"/>
      <c r="M228" s="727"/>
      <c r="N228" s="727"/>
      <c r="O228" s="727"/>
    </row>
    <row r="229" hidden="1">
      <c r="A229" s="733">
        <v>45578.0</v>
      </c>
      <c r="B229" s="6" t="s">
        <v>12177</v>
      </c>
      <c r="D229" s="729">
        <v>300000.0</v>
      </c>
      <c r="E229" s="727"/>
      <c r="F229" s="727">
        <f t="shared" si="5"/>
        <v>546700</v>
      </c>
      <c r="G229" s="6" t="s">
        <v>3883</v>
      </c>
      <c r="H229" s="6" t="s">
        <v>12218</v>
      </c>
      <c r="I229" s="6" t="s">
        <v>12210</v>
      </c>
      <c r="J229" s="727"/>
      <c r="K229" s="727"/>
      <c r="L229" s="727"/>
      <c r="M229" s="727"/>
      <c r="N229" s="727"/>
      <c r="O229" s="727"/>
    </row>
    <row r="230" hidden="1">
      <c r="A230" s="733">
        <v>45578.0</v>
      </c>
      <c r="B230" s="6" t="s">
        <v>12367</v>
      </c>
      <c r="C230" s="6" t="s">
        <v>12368</v>
      </c>
      <c r="D230" s="727"/>
      <c r="E230" s="729">
        <v>300000.0</v>
      </c>
      <c r="F230" s="727">
        <f t="shared" si="5"/>
        <v>246700</v>
      </c>
      <c r="G230" s="6" t="s">
        <v>3883</v>
      </c>
      <c r="H230" s="6" t="s">
        <v>12369</v>
      </c>
      <c r="J230" s="727"/>
      <c r="K230" s="727"/>
      <c r="L230" s="727"/>
      <c r="M230" s="727"/>
      <c r="N230" s="727"/>
      <c r="O230" s="727"/>
    </row>
    <row r="231" hidden="1">
      <c r="A231" s="733">
        <v>45579.0</v>
      </c>
      <c r="B231" s="6" t="s">
        <v>12198</v>
      </c>
      <c r="C231" s="6" t="s">
        <v>12199</v>
      </c>
      <c r="D231" s="727"/>
      <c r="E231" s="729">
        <v>200000.0</v>
      </c>
      <c r="F231" s="727">
        <f t="shared" si="5"/>
        <v>46700</v>
      </c>
      <c r="G231" s="6" t="s">
        <v>3799</v>
      </c>
      <c r="H231" s="6" t="s">
        <v>12271</v>
      </c>
      <c r="J231" s="727"/>
      <c r="K231" s="727"/>
      <c r="L231" s="727"/>
      <c r="M231" s="727"/>
      <c r="N231" s="727"/>
      <c r="O231" s="727"/>
    </row>
    <row r="232" hidden="1">
      <c r="A232" s="733">
        <v>45579.0</v>
      </c>
      <c r="B232" s="6" t="s">
        <v>12362</v>
      </c>
      <c r="C232" s="6" t="s">
        <v>12363</v>
      </c>
      <c r="D232" s="727"/>
      <c r="E232" s="729">
        <v>10000.0</v>
      </c>
      <c r="F232" s="727">
        <f t="shared" si="5"/>
        <v>36700</v>
      </c>
      <c r="G232" s="6" t="s">
        <v>3799</v>
      </c>
      <c r="H232" s="6" t="s">
        <v>12274</v>
      </c>
      <c r="J232" s="727"/>
      <c r="K232" s="727"/>
      <c r="L232" s="727"/>
      <c r="M232" s="727"/>
      <c r="N232" s="727"/>
      <c r="O232" s="727"/>
    </row>
    <row r="233" hidden="1">
      <c r="A233" s="733">
        <v>45580.0</v>
      </c>
      <c r="B233" s="6" t="s">
        <v>12370</v>
      </c>
      <c r="C233" s="6" t="s">
        <v>12371</v>
      </c>
      <c r="D233" s="727"/>
      <c r="E233" s="729">
        <v>12000.0</v>
      </c>
      <c r="F233" s="727">
        <f t="shared" si="5"/>
        <v>24700</v>
      </c>
      <c r="G233" s="6" t="s">
        <v>3799</v>
      </c>
      <c r="H233" s="6" t="s">
        <v>3883</v>
      </c>
      <c r="J233" s="727"/>
      <c r="K233" s="727"/>
      <c r="L233" s="727"/>
      <c r="M233" s="727"/>
      <c r="N233" s="727"/>
      <c r="O233" s="727"/>
    </row>
    <row r="234" hidden="1">
      <c r="A234" s="733">
        <v>45580.0</v>
      </c>
      <c r="B234" s="6" t="s">
        <v>12241</v>
      </c>
      <c r="C234" s="6" t="s">
        <v>12372</v>
      </c>
      <c r="D234" s="727"/>
      <c r="E234" s="729">
        <v>10000.0</v>
      </c>
      <c r="F234" s="727">
        <f t="shared" si="5"/>
        <v>14700</v>
      </c>
      <c r="G234" s="6" t="s">
        <v>3799</v>
      </c>
      <c r="H234" s="6" t="s">
        <v>12274</v>
      </c>
      <c r="J234" s="727"/>
      <c r="K234" s="727"/>
      <c r="L234" s="727"/>
      <c r="M234" s="727"/>
      <c r="N234" s="727"/>
      <c r="O234" s="727"/>
    </row>
    <row r="235" hidden="1">
      <c r="A235" s="733">
        <v>45580.0</v>
      </c>
      <c r="B235" s="6" t="s">
        <v>12177</v>
      </c>
      <c r="D235" s="729">
        <v>300000.0</v>
      </c>
      <c r="E235" s="727"/>
      <c r="F235" s="727">
        <f t="shared" si="5"/>
        <v>314700</v>
      </c>
      <c r="G235" s="6" t="s">
        <v>4778</v>
      </c>
      <c r="H235" s="6" t="s">
        <v>3799</v>
      </c>
      <c r="I235" s="6" t="s">
        <v>12210</v>
      </c>
      <c r="J235" s="727"/>
      <c r="K235" s="727"/>
      <c r="L235" s="727"/>
      <c r="M235" s="727"/>
      <c r="N235" s="727"/>
      <c r="O235" s="727"/>
    </row>
    <row r="236" hidden="1">
      <c r="A236" s="733">
        <v>45580.0</v>
      </c>
      <c r="B236" s="6" t="s">
        <v>12187</v>
      </c>
      <c r="C236" s="6" t="s">
        <v>12373</v>
      </c>
      <c r="D236" s="727"/>
      <c r="E236" s="729">
        <v>5000.0</v>
      </c>
      <c r="F236" s="727">
        <f t="shared" si="5"/>
        <v>309700</v>
      </c>
      <c r="G236" s="6" t="s">
        <v>3799</v>
      </c>
      <c r="H236" s="6" t="s">
        <v>12274</v>
      </c>
      <c r="J236" s="727"/>
      <c r="K236" s="727"/>
      <c r="L236" s="727"/>
      <c r="M236" s="727"/>
      <c r="N236" s="727"/>
      <c r="O236" s="727"/>
    </row>
    <row r="237" hidden="1">
      <c r="A237" s="733">
        <v>45582.0</v>
      </c>
      <c r="B237" s="6" t="s">
        <v>12184</v>
      </c>
      <c r="C237" s="732" t="s">
        <v>12223</v>
      </c>
      <c r="D237" s="727"/>
      <c r="E237" s="729">
        <v>34000.0</v>
      </c>
      <c r="F237" s="727">
        <f t="shared" si="5"/>
        <v>275700</v>
      </c>
      <c r="G237" s="6" t="s">
        <v>3799</v>
      </c>
      <c r="H237" s="6" t="s">
        <v>12274</v>
      </c>
      <c r="J237" s="727"/>
      <c r="K237" s="727"/>
      <c r="L237" s="727"/>
      <c r="M237" s="727"/>
      <c r="N237" s="727"/>
      <c r="O237" s="727"/>
    </row>
    <row r="238" hidden="1">
      <c r="A238" s="733">
        <v>45583.0</v>
      </c>
      <c r="B238" s="6" t="s">
        <v>12374</v>
      </c>
      <c r="C238" s="6" t="s">
        <v>12375</v>
      </c>
      <c r="D238" s="727"/>
      <c r="E238" s="729">
        <v>30000.0</v>
      </c>
      <c r="F238" s="727">
        <f t="shared" si="5"/>
        <v>245700</v>
      </c>
      <c r="G238" s="6" t="s">
        <v>3799</v>
      </c>
      <c r="H238" s="6" t="s">
        <v>12196</v>
      </c>
      <c r="J238" s="727"/>
      <c r="K238" s="727"/>
      <c r="L238" s="727"/>
      <c r="M238" s="727"/>
      <c r="N238" s="727"/>
      <c r="O238" s="727"/>
    </row>
    <row r="239" hidden="1">
      <c r="A239" s="733">
        <v>45584.0</v>
      </c>
      <c r="B239" s="6" t="s">
        <v>12187</v>
      </c>
      <c r="C239" s="6" t="s">
        <v>12373</v>
      </c>
      <c r="D239" s="727"/>
      <c r="E239" s="729">
        <v>5000.0</v>
      </c>
      <c r="F239" s="727">
        <f t="shared" si="5"/>
        <v>240700</v>
      </c>
      <c r="G239" s="6" t="s">
        <v>3799</v>
      </c>
      <c r="H239" s="6" t="s">
        <v>12274</v>
      </c>
      <c r="J239" s="727"/>
      <c r="K239" s="727"/>
      <c r="L239" s="727"/>
      <c r="M239" s="727"/>
      <c r="N239" s="727"/>
      <c r="O239" s="727"/>
    </row>
    <row r="240" hidden="1">
      <c r="A240" s="733">
        <v>45584.0</v>
      </c>
      <c r="B240" s="6" t="s">
        <v>12358</v>
      </c>
      <c r="C240" s="6" t="s">
        <v>12376</v>
      </c>
      <c r="D240" s="727"/>
      <c r="E240" s="729">
        <v>25000.0</v>
      </c>
      <c r="F240" s="727">
        <f t="shared" si="5"/>
        <v>215700</v>
      </c>
      <c r="G240" s="6" t="s">
        <v>3799</v>
      </c>
      <c r="H240" s="6" t="s">
        <v>12274</v>
      </c>
      <c r="J240" s="727"/>
      <c r="K240" s="727"/>
      <c r="L240" s="727"/>
      <c r="M240" s="727"/>
      <c r="N240" s="727"/>
      <c r="O240" s="727"/>
    </row>
    <row r="241" hidden="1">
      <c r="A241" s="733">
        <v>45584.0</v>
      </c>
      <c r="B241" s="6" t="s">
        <v>12177</v>
      </c>
      <c r="D241" s="729">
        <v>1500000.0</v>
      </c>
      <c r="E241" s="727"/>
      <c r="F241" s="727">
        <f t="shared" si="5"/>
        <v>1715700</v>
      </c>
      <c r="G241" s="6" t="s">
        <v>3799</v>
      </c>
      <c r="H241" s="6" t="s">
        <v>3799</v>
      </c>
      <c r="J241" s="727"/>
      <c r="K241" s="727"/>
      <c r="L241" s="727"/>
      <c r="M241" s="727"/>
      <c r="N241" s="727"/>
      <c r="O241" s="727"/>
    </row>
    <row r="242" hidden="1">
      <c r="A242" s="733">
        <v>45584.0</v>
      </c>
      <c r="B242" s="6" t="s">
        <v>12279</v>
      </c>
      <c r="C242" s="6" t="s">
        <v>12215</v>
      </c>
      <c r="D242" s="727"/>
      <c r="E242" s="738">
        <v>300000.0</v>
      </c>
      <c r="F242" s="727">
        <f t="shared" si="5"/>
        <v>1415700</v>
      </c>
      <c r="G242" s="6" t="s">
        <v>3799</v>
      </c>
      <c r="H242" s="6" t="s">
        <v>12271</v>
      </c>
      <c r="J242" s="727"/>
      <c r="K242" s="727"/>
      <c r="L242" s="727"/>
      <c r="M242" s="727"/>
      <c r="N242" s="727"/>
      <c r="O242" s="727"/>
    </row>
    <row r="243" hidden="1">
      <c r="A243" s="733">
        <v>45584.0</v>
      </c>
      <c r="B243" s="6" t="s">
        <v>12279</v>
      </c>
      <c r="C243" s="6" t="s">
        <v>12251</v>
      </c>
      <c r="D243" s="727"/>
      <c r="E243" s="738">
        <v>200000.0</v>
      </c>
      <c r="F243" s="727">
        <f t="shared" si="5"/>
        <v>1215700</v>
      </c>
      <c r="G243" s="6" t="s">
        <v>3799</v>
      </c>
      <c r="H243" s="6" t="s">
        <v>12274</v>
      </c>
      <c r="J243" s="727"/>
      <c r="K243" s="727"/>
      <c r="L243" s="727"/>
      <c r="M243" s="727"/>
      <c r="N243" s="727"/>
      <c r="O243" s="727"/>
    </row>
    <row r="244" hidden="1">
      <c r="A244" s="733">
        <v>45584.0</v>
      </c>
      <c r="B244" s="6" t="s">
        <v>12279</v>
      </c>
      <c r="C244" s="6" t="s">
        <v>12253</v>
      </c>
      <c r="D244" s="727"/>
      <c r="E244" s="738">
        <v>300000.0</v>
      </c>
      <c r="F244" s="727">
        <f t="shared" si="5"/>
        <v>915700</v>
      </c>
      <c r="G244" s="6" t="s">
        <v>3799</v>
      </c>
      <c r="H244" s="6" t="s">
        <v>3883</v>
      </c>
      <c r="J244" s="727"/>
      <c r="K244" s="727"/>
      <c r="L244" s="727"/>
      <c r="M244" s="727"/>
      <c r="N244" s="727"/>
      <c r="O244" s="727"/>
    </row>
    <row r="245" hidden="1">
      <c r="A245" s="733">
        <v>45584.0</v>
      </c>
      <c r="B245" s="6" t="s">
        <v>12279</v>
      </c>
      <c r="C245" s="6" t="s">
        <v>12252</v>
      </c>
      <c r="D245" s="727"/>
      <c r="E245" s="738">
        <v>200000.0</v>
      </c>
      <c r="F245" s="727">
        <f t="shared" si="5"/>
        <v>715700</v>
      </c>
      <c r="G245" s="6" t="s">
        <v>3799</v>
      </c>
      <c r="H245" s="6" t="s">
        <v>3799</v>
      </c>
      <c r="J245" s="727"/>
      <c r="K245" s="727"/>
      <c r="L245" s="727"/>
      <c r="M245" s="727"/>
      <c r="N245" s="727"/>
      <c r="O245" s="727"/>
    </row>
    <row r="246" hidden="1">
      <c r="A246" s="733">
        <v>45584.0</v>
      </c>
      <c r="B246" s="6" t="s">
        <v>12279</v>
      </c>
      <c r="C246" s="6" t="s">
        <v>12243</v>
      </c>
      <c r="D246" s="727"/>
      <c r="E246" s="738">
        <v>300000.0</v>
      </c>
      <c r="F246" s="727">
        <f t="shared" si="5"/>
        <v>415700</v>
      </c>
      <c r="G246" s="6" t="s">
        <v>3799</v>
      </c>
      <c r="H246" s="6" t="s">
        <v>12218</v>
      </c>
      <c r="J246" s="727"/>
      <c r="K246" s="727"/>
      <c r="L246" s="727"/>
      <c r="M246" s="727"/>
      <c r="N246" s="727"/>
      <c r="O246" s="727"/>
    </row>
    <row r="247" hidden="1">
      <c r="A247" s="733">
        <v>45586.0</v>
      </c>
      <c r="B247" s="6" t="s">
        <v>12198</v>
      </c>
      <c r="C247" s="6" t="s">
        <v>12199</v>
      </c>
      <c r="D247" s="727"/>
      <c r="E247" s="729">
        <v>200000.0</v>
      </c>
      <c r="F247" s="727">
        <f t="shared" si="5"/>
        <v>215700</v>
      </c>
      <c r="G247" s="6" t="s">
        <v>3799</v>
      </c>
      <c r="H247" s="6" t="s">
        <v>12274</v>
      </c>
      <c r="J247" s="727"/>
      <c r="K247" s="727"/>
      <c r="L247" s="727"/>
      <c r="M247" s="727"/>
      <c r="N247" s="727"/>
      <c r="O247" s="727"/>
    </row>
    <row r="248" hidden="1">
      <c r="A248" s="733">
        <v>45587.0</v>
      </c>
      <c r="B248" s="6" t="s">
        <v>12187</v>
      </c>
      <c r="C248" s="6" t="s">
        <v>12373</v>
      </c>
      <c r="D248" s="727"/>
      <c r="E248" s="729">
        <v>5000.0</v>
      </c>
      <c r="F248" s="727">
        <f t="shared" si="5"/>
        <v>210700</v>
      </c>
      <c r="G248" s="6" t="s">
        <v>3799</v>
      </c>
      <c r="H248" s="6" t="s">
        <v>12218</v>
      </c>
      <c r="J248" s="727"/>
      <c r="K248" s="727"/>
      <c r="L248" s="727"/>
      <c r="M248" s="727"/>
      <c r="N248" s="727"/>
      <c r="O248" s="727"/>
    </row>
    <row r="249" hidden="1">
      <c r="A249" s="733">
        <v>45589.0</v>
      </c>
      <c r="B249" s="6" t="s">
        <v>12184</v>
      </c>
      <c r="C249" s="732" t="s">
        <v>12223</v>
      </c>
      <c r="D249" s="727"/>
      <c r="E249" s="729">
        <v>34000.0</v>
      </c>
      <c r="F249" s="727">
        <f t="shared" si="5"/>
        <v>176700</v>
      </c>
      <c r="G249" s="6" t="s">
        <v>3799</v>
      </c>
      <c r="H249" s="6" t="s">
        <v>12271</v>
      </c>
      <c r="J249" s="727"/>
      <c r="K249" s="727"/>
      <c r="L249" s="727"/>
      <c r="M249" s="727"/>
      <c r="N249" s="727"/>
      <c r="O249" s="727"/>
    </row>
    <row r="250" hidden="1">
      <c r="A250" s="733">
        <v>45593.0</v>
      </c>
      <c r="B250" s="6" t="s">
        <v>12358</v>
      </c>
      <c r="C250" s="6" t="s">
        <v>12377</v>
      </c>
      <c r="D250" s="727"/>
      <c r="E250" s="729">
        <v>32500.0</v>
      </c>
      <c r="F250" s="727">
        <f t="shared" si="5"/>
        <v>144200</v>
      </c>
      <c r="G250" s="6" t="s">
        <v>3799</v>
      </c>
      <c r="H250" s="6" t="s">
        <v>3883</v>
      </c>
      <c r="J250" s="727"/>
      <c r="K250" s="727"/>
      <c r="L250" s="727"/>
      <c r="M250" s="727"/>
      <c r="N250" s="727"/>
      <c r="O250" s="727"/>
    </row>
    <row r="251" hidden="1">
      <c r="A251" s="733">
        <v>45594.0</v>
      </c>
      <c r="B251" s="6" t="s">
        <v>12177</v>
      </c>
      <c r="D251" s="729">
        <v>300000.0</v>
      </c>
      <c r="E251" s="727"/>
      <c r="F251" s="727">
        <f t="shared" si="5"/>
        <v>444200</v>
      </c>
      <c r="G251" s="6" t="s">
        <v>3799</v>
      </c>
      <c r="H251" s="6" t="s">
        <v>12274</v>
      </c>
      <c r="J251" s="727"/>
      <c r="K251" s="727"/>
      <c r="L251" s="727"/>
      <c r="M251" s="727"/>
      <c r="N251" s="727"/>
      <c r="O251" s="727"/>
    </row>
    <row r="252" hidden="1">
      <c r="A252" s="733">
        <v>45594.0</v>
      </c>
      <c r="B252" s="6" t="s">
        <v>12198</v>
      </c>
      <c r="C252" s="6" t="s">
        <v>12199</v>
      </c>
      <c r="D252" s="727"/>
      <c r="E252" s="729">
        <v>300000.0</v>
      </c>
      <c r="F252" s="727">
        <f t="shared" si="5"/>
        <v>144200</v>
      </c>
      <c r="G252" s="6" t="s">
        <v>3799</v>
      </c>
      <c r="H252" s="6" t="s">
        <v>12274</v>
      </c>
      <c r="J252" s="727"/>
      <c r="K252" s="727"/>
      <c r="L252" s="727"/>
      <c r="M252" s="727"/>
      <c r="N252" s="727"/>
      <c r="O252" s="727"/>
    </row>
    <row r="253" hidden="1">
      <c r="A253" s="733">
        <v>45594.0</v>
      </c>
      <c r="B253" s="6" t="s">
        <v>12362</v>
      </c>
      <c r="C253" s="6" t="s">
        <v>12363</v>
      </c>
      <c r="D253" s="727"/>
      <c r="E253" s="729">
        <v>10000.0</v>
      </c>
      <c r="F253" s="727">
        <f t="shared" si="5"/>
        <v>134200</v>
      </c>
      <c r="G253" s="6" t="s">
        <v>3799</v>
      </c>
      <c r="H253" s="6" t="s">
        <v>12274</v>
      </c>
      <c r="J253" s="727"/>
      <c r="K253" s="727"/>
      <c r="L253" s="727"/>
      <c r="M253" s="727"/>
      <c r="N253" s="727"/>
      <c r="O253" s="727"/>
    </row>
    <row r="254" hidden="1">
      <c r="A254" s="733">
        <v>45594.0</v>
      </c>
      <c r="B254" s="6" t="s">
        <v>12378</v>
      </c>
      <c r="C254" s="6" t="s">
        <v>12379</v>
      </c>
      <c r="D254" s="727"/>
      <c r="E254" s="729">
        <v>5000.0</v>
      </c>
      <c r="F254" s="727">
        <f t="shared" si="5"/>
        <v>129200</v>
      </c>
      <c r="G254" s="6" t="s">
        <v>3799</v>
      </c>
      <c r="H254" s="6" t="s">
        <v>12196</v>
      </c>
      <c r="J254" s="727"/>
      <c r="K254" s="727"/>
      <c r="L254" s="727"/>
      <c r="M254" s="727"/>
      <c r="N254" s="727"/>
      <c r="O254" s="727"/>
    </row>
    <row r="255" hidden="1">
      <c r="A255" s="733">
        <v>45595.0</v>
      </c>
      <c r="B255" s="6" t="s">
        <v>12184</v>
      </c>
      <c r="C255" s="732" t="s">
        <v>12223</v>
      </c>
      <c r="D255" s="727"/>
      <c r="E255" s="729">
        <v>34000.0</v>
      </c>
      <c r="F255" s="727">
        <f t="shared" si="5"/>
        <v>95200</v>
      </c>
      <c r="G255" s="6" t="s">
        <v>3799</v>
      </c>
      <c r="H255" s="6" t="s">
        <v>12274</v>
      </c>
      <c r="J255" s="727"/>
      <c r="K255" s="727"/>
      <c r="L255" s="727"/>
      <c r="M255" s="727"/>
      <c r="N255" s="727"/>
      <c r="O255" s="727"/>
    </row>
    <row r="256" hidden="1">
      <c r="A256" s="733">
        <v>7350441.0</v>
      </c>
      <c r="B256" s="6" t="s">
        <v>12177</v>
      </c>
      <c r="D256" s="729">
        <v>600000.0</v>
      </c>
      <c r="E256" s="727"/>
      <c r="F256" s="727">
        <f t="shared" si="5"/>
        <v>695200</v>
      </c>
      <c r="G256" s="6" t="s">
        <v>3799</v>
      </c>
      <c r="H256" s="6" t="s">
        <v>12218</v>
      </c>
      <c r="J256" s="727"/>
      <c r="K256" s="727"/>
      <c r="L256" s="727"/>
      <c r="M256" s="727"/>
      <c r="N256" s="727"/>
      <c r="O256" s="727"/>
    </row>
    <row r="257" hidden="1">
      <c r="A257" s="733">
        <v>7350441.0</v>
      </c>
      <c r="B257" s="6" t="s">
        <v>12279</v>
      </c>
      <c r="C257" s="6" t="s">
        <v>12215</v>
      </c>
      <c r="D257" s="727"/>
      <c r="E257" s="729">
        <v>200000.0</v>
      </c>
      <c r="F257" s="727">
        <f t="shared" si="5"/>
        <v>495200</v>
      </c>
      <c r="G257" s="6" t="s">
        <v>3799</v>
      </c>
      <c r="H257" s="6" t="s">
        <v>7878</v>
      </c>
      <c r="J257" s="727"/>
      <c r="K257" s="727"/>
      <c r="L257" s="727"/>
      <c r="M257" s="727"/>
      <c r="N257" s="727"/>
      <c r="O257" s="727"/>
    </row>
    <row r="258" hidden="1">
      <c r="A258" s="733">
        <v>7350441.0</v>
      </c>
      <c r="B258" s="6" t="s">
        <v>12279</v>
      </c>
      <c r="C258" s="6" t="s">
        <v>12250</v>
      </c>
      <c r="D258" s="727"/>
      <c r="E258" s="729">
        <v>100000.0</v>
      </c>
      <c r="F258" s="727">
        <f t="shared" si="5"/>
        <v>395200</v>
      </c>
      <c r="G258" s="6" t="s">
        <v>3799</v>
      </c>
      <c r="H258" s="6" t="s">
        <v>4717</v>
      </c>
      <c r="J258" s="727"/>
      <c r="K258" s="727"/>
      <c r="L258" s="727"/>
      <c r="M258" s="727"/>
      <c r="N258" s="727"/>
      <c r="O258" s="727"/>
    </row>
    <row r="259" hidden="1">
      <c r="A259" s="733">
        <v>7350441.0</v>
      </c>
      <c r="B259" s="6" t="s">
        <v>12279</v>
      </c>
      <c r="C259" s="6" t="s">
        <v>12253</v>
      </c>
      <c r="D259" s="727"/>
      <c r="E259" s="729">
        <v>100000.0</v>
      </c>
      <c r="F259" s="727">
        <f t="shared" si="5"/>
        <v>295200</v>
      </c>
      <c r="G259" s="6" t="s">
        <v>3799</v>
      </c>
      <c r="H259" s="6" t="s">
        <v>3671</v>
      </c>
      <c r="J259" s="727"/>
      <c r="K259" s="727"/>
      <c r="L259" s="727"/>
      <c r="M259" s="727"/>
      <c r="N259" s="727"/>
      <c r="O259" s="727"/>
    </row>
    <row r="260" hidden="1">
      <c r="A260" s="733">
        <v>7350441.0</v>
      </c>
      <c r="B260" s="6" t="s">
        <v>12279</v>
      </c>
      <c r="C260" s="6" t="s">
        <v>12252</v>
      </c>
      <c r="D260" s="727"/>
      <c r="E260" s="729">
        <v>100000.0</v>
      </c>
      <c r="F260" s="727">
        <f t="shared" si="5"/>
        <v>195200</v>
      </c>
      <c r="G260" s="6" t="s">
        <v>3799</v>
      </c>
      <c r="H260" s="6" t="s">
        <v>3664</v>
      </c>
      <c r="J260" s="727"/>
      <c r="K260" s="727"/>
      <c r="L260" s="727"/>
      <c r="M260" s="727"/>
      <c r="N260" s="727"/>
      <c r="O260" s="727"/>
    </row>
    <row r="261" hidden="1">
      <c r="A261" s="733">
        <v>7350441.0</v>
      </c>
      <c r="B261" s="6" t="s">
        <v>12279</v>
      </c>
      <c r="C261" s="6" t="s">
        <v>12243</v>
      </c>
      <c r="D261" s="727"/>
      <c r="E261" s="729">
        <v>100000.0</v>
      </c>
      <c r="F261" s="727">
        <f t="shared" si="5"/>
        <v>95200</v>
      </c>
      <c r="G261" s="6" t="s">
        <v>3799</v>
      </c>
      <c r="H261" s="6" t="s">
        <v>12186</v>
      </c>
      <c r="J261" s="727"/>
      <c r="K261" s="727"/>
      <c r="L261" s="727"/>
      <c r="M261" s="727"/>
      <c r="N261" s="727"/>
      <c r="O261" s="727"/>
    </row>
    <row r="262">
      <c r="A262" s="726" t="s">
        <v>12380</v>
      </c>
      <c r="J262" s="727"/>
      <c r="K262" s="727"/>
      <c r="L262" s="727"/>
      <c r="M262" s="727"/>
      <c r="N262" s="727"/>
      <c r="O262" s="727"/>
    </row>
    <row r="263">
      <c r="A263" s="113">
        <v>45598.0</v>
      </c>
      <c r="B263" s="6" t="s">
        <v>12381</v>
      </c>
      <c r="C263" s="6" t="s">
        <v>12382</v>
      </c>
      <c r="D263" s="727"/>
      <c r="E263" s="729">
        <v>8000.0</v>
      </c>
      <c r="F263" s="727">
        <f>F261+D263-E263</f>
        <v>87200</v>
      </c>
      <c r="G263" s="6" t="s">
        <v>3799</v>
      </c>
      <c r="H263" s="6" t="s">
        <v>12274</v>
      </c>
      <c r="J263" s="727"/>
      <c r="K263" s="727"/>
      <c r="L263" s="727"/>
      <c r="M263" s="727"/>
      <c r="N263" s="727"/>
      <c r="O263" s="727"/>
    </row>
    <row r="264">
      <c r="A264" s="113">
        <v>45598.0</v>
      </c>
      <c r="B264" s="6" t="s">
        <v>12358</v>
      </c>
      <c r="C264" s="6" t="s">
        <v>12383</v>
      </c>
      <c r="D264" s="727"/>
      <c r="E264" s="729">
        <v>19000.0</v>
      </c>
      <c r="F264" s="727">
        <f t="shared" ref="F264:F289" si="6">F263+D264-E264</f>
        <v>68200</v>
      </c>
      <c r="G264" s="6" t="s">
        <v>3799</v>
      </c>
      <c r="H264" s="6" t="s">
        <v>4717</v>
      </c>
      <c r="J264" s="727"/>
      <c r="K264" s="727"/>
      <c r="L264" s="727"/>
      <c r="M264" s="727"/>
      <c r="N264" s="727"/>
      <c r="O264" s="727"/>
    </row>
    <row r="265">
      <c r="A265" s="113">
        <v>45600.0</v>
      </c>
      <c r="B265" s="6" t="s">
        <v>12187</v>
      </c>
      <c r="C265" s="6" t="s">
        <v>12382</v>
      </c>
      <c r="D265" s="727"/>
      <c r="E265" s="729">
        <v>5000.0</v>
      </c>
      <c r="F265" s="727">
        <f t="shared" si="6"/>
        <v>63200</v>
      </c>
      <c r="G265" s="6" t="s">
        <v>3883</v>
      </c>
      <c r="H265" s="6" t="s">
        <v>7878</v>
      </c>
      <c r="J265" s="727"/>
      <c r="K265" s="727"/>
      <c r="L265" s="727"/>
      <c r="M265" s="727"/>
      <c r="N265" s="727"/>
      <c r="O265" s="727"/>
    </row>
    <row r="266">
      <c r="A266" s="113">
        <v>45602.0</v>
      </c>
      <c r="B266" s="6" t="s">
        <v>12184</v>
      </c>
      <c r="C266" s="732" t="s">
        <v>12223</v>
      </c>
      <c r="D266" s="727"/>
      <c r="E266" s="729">
        <v>34000.0</v>
      </c>
      <c r="F266" s="727">
        <f t="shared" si="6"/>
        <v>29200</v>
      </c>
      <c r="G266" s="6" t="s">
        <v>3799</v>
      </c>
      <c r="H266" s="6" t="s">
        <v>4717</v>
      </c>
      <c r="J266" s="727"/>
      <c r="K266" s="727"/>
      <c r="L266" s="727"/>
      <c r="M266" s="727"/>
      <c r="N266" s="727"/>
      <c r="O266" s="727"/>
    </row>
    <row r="267">
      <c r="A267" s="113">
        <v>45602.0</v>
      </c>
      <c r="B267" s="6" t="s">
        <v>12384</v>
      </c>
      <c r="C267" s="6" t="s">
        <v>12382</v>
      </c>
      <c r="D267" s="727"/>
      <c r="E267" s="729">
        <v>8000.0</v>
      </c>
      <c r="F267" s="727">
        <f t="shared" si="6"/>
        <v>21200</v>
      </c>
      <c r="G267" s="6" t="s">
        <v>3799</v>
      </c>
      <c r="H267" s="6" t="s">
        <v>12274</v>
      </c>
      <c r="J267" s="727"/>
      <c r="K267" s="727"/>
      <c r="L267" s="727"/>
      <c r="M267" s="727"/>
      <c r="N267" s="727"/>
      <c r="O267" s="727"/>
    </row>
    <row r="268">
      <c r="A268" s="733">
        <v>45603.0</v>
      </c>
      <c r="B268" s="6" t="s">
        <v>12384</v>
      </c>
      <c r="C268" s="6" t="s">
        <v>12382</v>
      </c>
      <c r="D268" s="727"/>
      <c r="E268" s="729">
        <v>5000.0</v>
      </c>
      <c r="F268" s="727">
        <f t="shared" si="6"/>
        <v>16200</v>
      </c>
      <c r="G268" s="6" t="s">
        <v>3799</v>
      </c>
      <c r="H268" s="6" t="s">
        <v>4717</v>
      </c>
      <c r="J268" s="727"/>
      <c r="K268" s="727"/>
      <c r="L268" s="727"/>
      <c r="M268" s="727"/>
      <c r="N268" s="727"/>
      <c r="O268" s="727"/>
    </row>
    <row r="269">
      <c r="A269" s="733">
        <v>45603.0</v>
      </c>
      <c r="B269" s="6" t="s">
        <v>12177</v>
      </c>
      <c r="D269" s="729">
        <v>600000.0</v>
      </c>
      <c r="E269" s="727"/>
      <c r="F269" s="727">
        <f t="shared" si="6"/>
        <v>616200</v>
      </c>
      <c r="G269" s="6" t="s">
        <v>3799</v>
      </c>
      <c r="H269" s="6" t="s">
        <v>3664</v>
      </c>
      <c r="J269" s="727"/>
      <c r="K269" s="727"/>
      <c r="L269" s="727"/>
      <c r="M269" s="727"/>
      <c r="N269" s="727"/>
      <c r="O269" s="727"/>
    </row>
    <row r="270">
      <c r="A270" s="113">
        <v>45604.0</v>
      </c>
      <c r="B270" s="6" t="s">
        <v>54</v>
      </c>
      <c r="C270" s="6" t="s">
        <v>12385</v>
      </c>
      <c r="D270" s="727"/>
      <c r="E270" s="729">
        <v>100000.0</v>
      </c>
      <c r="F270" s="727">
        <f t="shared" si="6"/>
        <v>516200</v>
      </c>
      <c r="G270" s="6" t="s">
        <v>3799</v>
      </c>
      <c r="H270" s="6" t="s">
        <v>12386</v>
      </c>
      <c r="J270" s="727"/>
      <c r="K270" s="727"/>
      <c r="L270" s="727"/>
      <c r="M270" s="727"/>
      <c r="N270" s="727"/>
      <c r="O270" s="727"/>
    </row>
    <row r="271">
      <c r="A271" s="733">
        <v>45606.0</v>
      </c>
      <c r="B271" s="6" t="s">
        <v>12367</v>
      </c>
      <c r="D271" s="727"/>
      <c r="E271" s="729">
        <v>300000.0</v>
      </c>
      <c r="F271" s="727">
        <f t="shared" si="6"/>
        <v>216200</v>
      </c>
      <c r="G271" s="6" t="s">
        <v>3799</v>
      </c>
      <c r="H271" s="6" t="s">
        <v>12387</v>
      </c>
      <c r="J271" s="727"/>
      <c r="K271" s="727"/>
      <c r="L271" s="727"/>
      <c r="M271" s="727"/>
      <c r="N271" s="727"/>
      <c r="O271" s="727"/>
    </row>
    <row r="272">
      <c r="A272" s="733">
        <v>45607.0</v>
      </c>
      <c r="B272" s="6" t="s">
        <v>12384</v>
      </c>
      <c r="C272" s="6" t="s">
        <v>12382</v>
      </c>
      <c r="D272" s="727"/>
      <c r="E272" s="729">
        <v>5000.0</v>
      </c>
      <c r="F272" s="727">
        <f t="shared" si="6"/>
        <v>211200</v>
      </c>
      <c r="G272" s="6" t="s">
        <v>3799</v>
      </c>
      <c r="H272" s="6" t="s">
        <v>12274</v>
      </c>
      <c r="J272" s="727"/>
      <c r="K272" s="727"/>
      <c r="L272" s="727"/>
      <c r="M272" s="727"/>
      <c r="N272" s="727"/>
      <c r="O272" s="727"/>
    </row>
    <row r="273">
      <c r="A273" s="733">
        <v>45609.0</v>
      </c>
      <c r="B273" s="6" t="s">
        <v>12187</v>
      </c>
      <c r="C273" s="6" t="s">
        <v>12382</v>
      </c>
      <c r="D273" s="727"/>
      <c r="E273" s="729">
        <v>5000.0</v>
      </c>
      <c r="F273" s="727">
        <f t="shared" si="6"/>
        <v>206200</v>
      </c>
      <c r="G273" s="6" t="s">
        <v>3799</v>
      </c>
      <c r="H273" s="6" t="s">
        <v>7878</v>
      </c>
      <c r="J273" s="727"/>
      <c r="K273" s="727"/>
      <c r="L273" s="727"/>
      <c r="M273" s="727"/>
      <c r="N273" s="727"/>
      <c r="O273" s="727"/>
    </row>
    <row r="274">
      <c r="A274" s="733">
        <v>45610.0</v>
      </c>
      <c r="B274" s="6" t="s">
        <v>12184</v>
      </c>
      <c r="C274" s="732" t="s">
        <v>12223</v>
      </c>
      <c r="D274" s="727"/>
      <c r="E274" s="729">
        <v>34000.0</v>
      </c>
      <c r="F274" s="727">
        <f t="shared" si="6"/>
        <v>172200</v>
      </c>
      <c r="G274" s="6" t="s">
        <v>3799</v>
      </c>
      <c r="H274" s="6" t="s">
        <v>7878</v>
      </c>
      <c r="J274" s="727"/>
      <c r="K274" s="727"/>
      <c r="L274" s="727"/>
      <c r="M274" s="727"/>
      <c r="N274" s="727"/>
      <c r="O274" s="727"/>
    </row>
    <row r="275">
      <c r="A275" s="733">
        <v>45610.0</v>
      </c>
      <c r="B275" s="6" t="s">
        <v>12358</v>
      </c>
      <c r="C275" s="6" t="s">
        <v>12388</v>
      </c>
      <c r="D275" s="727"/>
      <c r="E275" s="729">
        <v>48500.0</v>
      </c>
      <c r="F275" s="727">
        <f t="shared" si="6"/>
        <v>123700</v>
      </c>
      <c r="G275" s="6" t="s">
        <v>3799</v>
      </c>
      <c r="H275" s="6" t="s">
        <v>12196</v>
      </c>
      <c r="J275" s="727"/>
      <c r="K275" s="727"/>
      <c r="L275" s="727"/>
      <c r="M275" s="727"/>
      <c r="N275" s="727"/>
      <c r="O275" s="727"/>
    </row>
    <row r="276">
      <c r="A276" s="733">
        <v>45611.0</v>
      </c>
      <c r="B276" s="6" t="s">
        <v>12350</v>
      </c>
      <c r="C276" s="6" t="s">
        <v>12382</v>
      </c>
      <c r="D276" s="727"/>
      <c r="E276" s="729">
        <v>10000.0</v>
      </c>
      <c r="F276" s="727">
        <f t="shared" si="6"/>
        <v>113700</v>
      </c>
      <c r="G276" s="6" t="s">
        <v>3799</v>
      </c>
      <c r="H276" s="6" t="s">
        <v>7878</v>
      </c>
      <c r="J276" s="727"/>
      <c r="K276" s="727"/>
      <c r="L276" s="727"/>
      <c r="M276" s="727"/>
      <c r="N276" s="727"/>
      <c r="O276" s="727"/>
    </row>
    <row r="277">
      <c r="A277" s="733">
        <v>45612.0</v>
      </c>
      <c r="B277" s="6" t="s">
        <v>3116</v>
      </c>
      <c r="C277" s="6" t="s">
        <v>12382</v>
      </c>
      <c r="D277" s="727"/>
      <c r="E277" s="729">
        <v>5000.0</v>
      </c>
      <c r="F277" s="727">
        <f t="shared" si="6"/>
        <v>108700</v>
      </c>
      <c r="G277" s="6" t="s">
        <v>3799</v>
      </c>
      <c r="H277" s="6" t="s">
        <v>7878</v>
      </c>
      <c r="J277" s="727"/>
      <c r="K277" s="727"/>
      <c r="L277" s="727"/>
      <c r="M277" s="727"/>
      <c r="N277" s="727"/>
      <c r="O277" s="727"/>
    </row>
    <row r="278">
      <c r="A278" s="733">
        <v>45615.0</v>
      </c>
      <c r="B278" s="6" t="s">
        <v>12384</v>
      </c>
      <c r="C278" s="6" t="s">
        <v>12382</v>
      </c>
      <c r="D278" s="727"/>
      <c r="E278" s="729">
        <v>5000.0</v>
      </c>
      <c r="F278" s="727">
        <f t="shared" si="6"/>
        <v>103700</v>
      </c>
      <c r="G278" s="6" t="s">
        <v>3799</v>
      </c>
      <c r="H278" s="6" t="s">
        <v>7878</v>
      </c>
      <c r="J278" s="727"/>
      <c r="K278" s="727"/>
      <c r="L278" s="727"/>
      <c r="M278" s="727"/>
      <c r="N278" s="727"/>
      <c r="O278" s="727"/>
    </row>
    <row r="279">
      <c r="A279" s="733">
        <v>45615.0</v>
      </c>
      <c r="B279" s="6" t="s">
        <v>12384</v>
      </c>
      <c r="C279" s="6" t="s">
        <v>12382</v>
      </c>
      <c r="D279" s="727"/>
      <c r="E279" s="729">
        <v>8000.0</v>
      </c>
      <c r="F279" s="727">
        <f t="shared" si="6"/>
        <v>95700</v>
      </c>
      <c r="G279" s="6" t="s">
        <v>3799</v>
      </c>
      <c r="H279" s="6" t="s">
        <v>7878</v>
      </c>
      <c r="J279" s="727"/>
      <c r="K279" s="727"/>
      <c r="L279" s="727"/>
      <c r="M279" s="727"/>
      <c r="N279" s="727"/>
      <c r="O279" s="727"/>
    </row>
    <row r="280">
      <c r="A280" s="733">
        <v>45616.0</v>
      </c>
      <c r="B280" s="6" t="s">
        <v>12184</v>
      </c>
      <c r="C280" s="732" t="s">
        <v>12226</v>
      </c>
      <c r="D280" s="727"/>
      <c r="E280" s="729">
        <v>25500.0</v>
      </c>
      <c r="F280" s="727">
        <f t="shared" si="6"/>
        <v>70200</v>
      </c>
      <c r="G280" s="6" t="s">
        <v>3799</v>
      </c>
      <c r="H280" s="6" t="s">
        <v>12218</v>
      </c>
      <c r="J280" s="727"/>
      <c r="K280" s="727"/>
      <c r="L280" s="727"/>
      <c r="M280" s="727"/>
      <c r="N280" s="727"/>
      <c r="O280" s="727"/>
    </row>
    <row r="281">
      <c r="A281" s="733">
        <v>45618.0</v>
      </c>
      <c r="B281" s="6" t="s">
        <v>12381</v>
      </c>
      <c r="C281" s="6" t="s">
        <v>12382</v>
      </c>
      <c r="D281" s="727"/>
      <c r="E281" s="729">
        <v>8000.0</v>
      </c>
      <c r="F281" s="727">
        <f t="shared" si="6"/>
        <v>62200</v>
      </c>
      <c r="G281" s="6" t="s">
        <v>3799</v>
      </c>
      <c r="H281" s="6" t="s">
        <v>7878</v>
      </c>
      <c r="J281" s="727"/>
      <c r="K281" s="727"/>
      <c r="L281" s="727"/>
      <c r="M281" s="727"/>
      <c r="N281" s="727"/>
      <c r="O281" s="727"/>
    </row>
    <row r="282">
      <c r="A282" s="733">
        <v>45618.0</v>
      </c>
      <c r="B282" s="6" t="s">
        <v>12384</v>
      </c>
      <c r="C282" s="6" t="s">
        <v>12382</v>
      </c>
      <c r="D282" s="727"/>
      <c r="E282" s="729">
        <v>5000.0</v>
      </c>
      <c r="F282" s="727">
        <f t="shared" si="6"/>
        <v>57200</v>
      </c>
      <c r="G282" s="6" t="s">
        <v>3799</v>
      </c>
      <c r="H282" s="6" t="s">
        <v>12274</v>
      </c>
      <c r="J282" s="727"/>
      <c r="K282" s="727"/>
      <c r="L282" s="727"/>
      <c r="M282" s="727"/>
      <c r="N282" s="727"/>
      <c r="O282" s="727"/>
    </row>
    <row r="283">
      <c r="A283" s="733">
        <v>45618.0</v>
      </c>
      <c r="B283" s="6" t="s">
        <v>12177</v>
      </c>
      <c r="D283" s="729">
        <v>700000.0</v>
      </c>
      <c r="E283" s="727"/>
      <c r="F283" s="727">
        <f t="shared" si="6"/>
        <v>757200</v>
      </c>
      <c r="G283" s="6" t="s">
        <v>3799</v>
      </c>
      <c r="H283" s="6" t="s">
        <v>3664</v>
      </c>
      <c r="J283" s="727"/>
      <c r="K283" s="727"/>
      <c r="L283" s="727"/>
      <c r="M283" s="727"/>
      <c r="N283" s="727"/>
      <c r="O283" s="727"/>
    </row>
    <row r="284">
      <c r="A284" s="733">
        <v>45618.0</v>
      </c>
      <c r="B284" s="6" t="s">
        <v>12267</v>
      </c>
      <c r="C284" s="6" t="s">
        <v>12389</v>
      </c>
      <c r="D284" s="727"/>
      <c r="E284" s="729">
        <v>200000.0</v>
      </c>
      <c r="F284" s="727">
        <f t="shared" si="6"/>
        <v>557200</v>
      </c>
      <c r="G284" s="6" t="s">
        <v>3799</v>
      </c>
      <c r="H284" s="6" t="s">
        <v>7878</v>
      </c>
      <c r="J284" s="727"/>
      <c r="K284" s="727"/>
      <c r="L284" s="727"/>
      <c r="M284" s="727"/>
      <c r="N284" s="727"/>
      <c r="O284" s="727"/>
    </row>
    <row r="285">
      <c r="A285" s="733">
        <v>45619.0</v>
      </c>
      <c r="B285" s="6" t="s">
        <v>12390</v>
      </c>
      <c r="C285" s="6" t="s">
        <v>12391</v>
      </c>
      <c r="D285" s="727"/>
      <c r="E285" s="729">
        <v>300000.0</v>
      </c>
      <c r="F285" s="727">
        <f t="shared" si="6"/>
        <v>257200</v>
      </c>
      <c r="G285" s="6" t="s">
        <v>3799</v>
      </c>
      <c r="H285" s="6" t="s">
        <v>12274</v>
      </c>
      <c r="J285" s="727"/>
      <c r="K285" s="727"/>
      <c r="L285" s="727"/>
      <c r="M285" s="727"/>
      <c r="N285" s="727"/>
      <c r="O285" s="727"/>
    </row>
    <row r="286">
      <c r="A286" s="733">
        <v>45619.0</v>
      </c>
      <c r="B286" s="6" t="s">
        <v>12384</v>
      </c>
      <c r="C286" s="6" t="s">
        <v>12382</v>
      </c>
      <c r="D286" s="727"/>
      <c r="E286" s="729">
        <v>5000.0</v>
      </c>
      <c r="F286" s="727">
        <f t="shared" si="6"/>
        <v>252200</v>
      </c>
      <c r="G286" s="6" t="s">
        <v>3799</v>
      </c>
      <c r="H286" s="6" t="s">
        <v>12274</v>
      </c>
      <c r="J286" s="727"/>
      <c r="K286" s="727"/>
      <c r="L286" s="727"/>
      <c r="M286" s="727"/>
      <c r="N286" s="727"/>
      <c r="O286" s="727"/>
    </row>
    <row r="287">
      <c r="A287" s="733">
        <v>45620.0</v>
      </c>
      <c r="B287" s="6" t="s">
        <v>12177</v>
      </c>
      <c r="D287" s="729">
        <v>300000.0</v>
      </c>
      <c r="E287" s="727"/>
      <c r="F287" s="727">
        <f t="shared" si="6"/>
        <v>552200</v>
      </c>
      <c r="G287" s="6" t="s">
        <v>3883</v>
      </c>
      <c r="J287" s="727"/>
      <c r="K287" s="727"/>
      <c r="L287" s="727"/>
      <c r="M287" s="727"/>
      <c r="N287" s="727"/>
      <c r="O287" s="727"/>
    </row>
    <row r="288">
      <c r="A288" s="733">
        <v>45620.0</v>
      </c>
      <c r="B288" s="6" t="s">
        <v>12367</v>
      </c>
      <c r="D288" s="727"/>
      <c r="E288" s="729">
        <v>300000.0</v>
      </c>
      <c r="F288" s="727">
        <f t="shared" si="6"/>
        <v>252200</v>
      </c>
      <c r="G288" s="6" t="s">
        <v>3883</v>
      </c>
      <c r="H288" s="6" t="s">
        <v>12392</v>
      </c>
      <c r="J288" s="727"/>
      <c r="K288" s="727"/>
      <c r="L288" s="727"/>
      <c r="M288" s="727"/>
      <c r="N288" s="727"/>
      <c r="O288" s="727"/>
    </row>
    <row r="289">
      <c r="A289" s="733">
        <v>45624.0</v>
      </c>
      <c r="B289" s="6" t="s">
        <v>12184</v>
      </c>
      <c r="C289" s="732" t="s">
        <v>12223</v>
      </c>
      <c r="D289" s="727"/>
      <c r="E289" s="729">
        <v>34000.0</v>
      </c>
      <c r="F289" s="727">
        <f t="shared" si="6"/>
        <v>218200</v>
      </c>
      <c r="G289" s="6" t="s">
        <v>3799</v>
      </c>
      <c r="H289" s="6" t="s">
        <v>12218</v>
      </c>
      <c r="J289" s="727"/>
      <c r="K289" s="727"/>
      <c r="L289" s="727"/>
      <c r="M289" s="727"/>
      <c r="N289" s="727"/>
      <c r="O289" s="727"/>
    </row>
    <row r="290">
      <c r="A290" s="726" t="s">
        <v>12393</v>
      </c>
      <c r="J290" s="727"/>
      <c r="K290" s="727"/>
      <c r="L290" s="727"/>
      <c r="M290" s="727"/>
      <c r="N290" s="727"/>
      <c r="O290" s="727"/>
    </row>
    <row r="291">
      <c r="A291" s="113">
        <v>45627.0</v>
      </c>
      <c r="B291" s="6" t="s">
        <v>12267</v>
      </c>
      <c r="C291" s="6" t="s">
        <v>12394</v>
      </c>
      <c r="D291" s="727"/>
      <c r="E291" s="729">
        <v>10000.0</v>
      </c>
      <c r="F291" s="727">
        <f>F289+D291-E291</f>
        <v>208200</v>
      </c>
      <c r="G291" s="6" t="s">
        <v>3799</v>
      </c>
      <c r="H291" s="6" t="s">
        <v>12196</v>
      </c>
      <c r="J291" s="727"/>
      <c r="K291" s="727"/>
      <c r="L291" s="727"/>
      <c r="M291" s="727"/>
      <c r="N291" s="727"/>
      <c r="O291" s="727"/>
    </row>
    <row r="292">
      <c r="A292" s="113">
        <v>45630.0</v>
      </c>
      <c r="B292" s="6" t="s">
        <v>12187</v>
      </c>
      <c r="C292" s="6" t="s">
        <v>12382</v>
      </c>
      <c r="D292" s="727"/>
      <c r="E292" s="729">
        <v>5000.0</v>
      </c>
      <c r="F292" s="727">
        <f t="shared" ref="F292:F334" si="7">F291+D292-E292</f>
        <v>203200</v>
      </c>
      <c r="G292" s="6" t="s">
        <v>3883</v>
      </c>
      <c r="H292" s="6" t="s">
        <v>6096</v>
      </c>
      <c r="J292" s="727"/>
      <c r="K292" s="727"/>
      <c r="L292" s="727"/>
      <c r="M292" s="727"/>
      <c r="N292" s="727"/>
      <c r="O292" s="727"/>
    </row>
    <row r="293">
      <c r="A293" s="113">
        <v>45632.0</v>
      </c>
      <c r="B293" s="6" t="s">
        <v>12187</v>
      </c>
      <c r="C293" s="6" t="s">
        <v>12382</v>
      </c>
      <c r="D293" s="727"/>
      <c r="E293" s="729">
        <v>5000.0</v>
      </c>
      <c r="F293" s="727">
        <f t="shared" si="7"/>
        <v>198200</v>
      </c>
      <c r="G293" s="6" t="s">
        <v>3883</v>
      </c>
      <c r="H293" s="6" t="s">
        <v>4717</v>
      </c>
      <c r="J293" s="727"/>
      <c r="K293" s="727"/>
      <c r="L293" s="727"/>
      <c r="M293" s="727"/>
      <c r="N293" s="727"/>
      <c r="O293" s="727"/>
    </row>
    <row r="294">
      <c r="A294" s="113">
        <v>45632.0</v>
      </c>
      <c r="B294" s="6" t="s">
        <v>12187</v>
      </c>
      <c r="C294" s="6" t="s">
        <v>12382</v>
      </c>
      <c r="D294" s="727"/>
      <c r="E294" s="729">
        <v>5000.0</v>
      </c>
      <c r="F294" s="727">
        <f t="shared" si="7"/>
        <v>193200</v>
      </c>
      <c r="G294" s="6" t="s">
        <v>3883</v>
      </c>
      <c r="H294" s="6" t="s">
        <v>12196</v>
      </c>
      <c r="J294" s="727"/>
      <c r="K294" s="727"/>
      <c r="L294" s="727"/>
      <c r="M294" s="727"/>
      <c r="N294" s="727"/>
      <c r="O294" s="727"/>
    </row>
    <row r="295">
      <c r="A295" s="113">
        <v>45633.0</v>
      </c>
      <c r="B295" s="6" t="s">
        <v>12177</v>
      </c>
      <c r="D295" s="729">
        <v>300000.0</v>
      </c>
      <c r="E295" s="727"/>
      <c r="F295" s="727">
        <f t="shared" si="7"/>
        <v>493200</v>
      </c>
      <c r="G295" s="6" t="s">
        <v>3883</v>
      </c>
      <c r="J295" s="727"/>
      <c r="K295" s="727"/>
      <c r="L295" s="727"/>
      <c r="M295" s="727"/>
      <c r="N295" s="727"/>
      <c r="O295" s="727"/>
    </row>
    <row r="296">
      <c r="A296" s="113">
        <v>45633.0</v>
      </c>
      <c r="B296" s="6" t="s">
        <v>12267</v>
      </c>
      <c r="C296" s="6" t="s">
        <v>12389</v>
      </c>
      <c r="D296" s="727"/>
      <c r="E296" s="729">
        <v>300000.0</v>
      </c>
      <c r="F296" s="727">
        <f t="shared" si="7"/>
        <v>193200</v>
      </c>
      <c r="G296" s="6" t="s">
        <v>3883</v>
      </c>
      <c r="H296" s="6" t="s">
        <v>6096</v>
      </c>
      <c r="J296" s="727"/>
      <c r="K296" s="727"/>
      <c r="L296" s="727"/>
      <c r="M296" s="727"/>
      <c r="N296" s="727"/>
      <c r="O296" s="727"/>
    </row>
    <row r="297">
      <c r="A297" s="113">
        <v>45633.0</v>
      </c>
      <c r="B297" s="6" t="s">
        <v>12395</v>
      </c>
      <c r="C297" s="6" t="s">
        <v>12396</v>
      </c>
      <c r="D297" s="727"/>
      <c r="E297" s="729">
        <v>5000.0</v>
      </c>
      <c r="F297" s="727">
        <f t="shared" si="7"/>
        <v>188200</v>
      </c>
      <c r="G297" s="6" t="s">
        <v>3883</v>
      </c>
      <c r="H297" s="6" t="s">
        <v>12271</v>
      </c>
      <c r="J297" s="727"/>
      <c r="K297" s="727"/>
      <c r="L297" s="727"/>
      <c r="M297" s="727"/>
      <c r="N297" s="727"/>
      <c r="O297" s="727"/>
    </row>
    <row r="298">
      <c r="A298" s="113">
        <v>45634.0</v>
      </c>
      <c r="B298" s="6" t="s">
        <v>12184</v>
      </c>
      <c r="C298" s="6" t="s">
        <v>12296</v>
      </c>
      <c r="D298" s="727"/>
      <c r="E298" s="729">
        <v>17000.0</v>
      </c>
      <c r="F298" s="727">
        <f t="shared" si="7"/>
        <v>171200</v>
      </c>
      <c r="G298" s="6" t="s">
        <v>3883</v>
      </c>
      <c r="H298" s="6" t="s">
        <v>12218</v>
      </c>
      <c r="J298" s="727"/>
      <c r="K298" s="727"/>
      <c r="L298" s="727"/>
      <c r="M298" s="727"/>
      <c r="N298" s="727"/>
      <c r="O298" s="727"/>
    </row>
    <row r="299">
      <c r="A299" s="113">
        <v>45634.0</v>
      </c>
      <c r="B299" s="6" t="s">
        <v>12177</v>
      </c>
      <c r="D299" s="729">
        <v>300000.0</v>
      </c>
      <c r="E299" s="727"/>
      <c r="F299" s="727">
        <f t="shared" si="7"/>
        <v>471200</v>
      </c>
      <c r="G299" s="6" t="s">
        <v>3883</v>
      </c>
      <c r="J299" s="727"/>
      <c r="K299" s="727"/>
      <c r="L299" s="727"/>
      <c r="M299" s="727"/>
      <c r="N299" s="727"/>
      <c r="O299" s="727"/>
    </row>
    <row r="300">
      <c r="A300" s="113">
        <v>45634.0</v>
      </c>
      <c r="B300" s="6" t="s">
        <v>12367</v>
      </c>
      <c r="D300" s="727"/>
      <c r="E300" s="729">
        <v>300000.0</v>
      </c>
      <c r="F300" s="727">
        <f t="shared" si="7"/>
        <v>171200</v>
      </c>
      <c r="G300" s="6" t="s">
        <v>3883</v>
      </c>
      <c r="H300" s="6" t="s">
        <v>12392</v>
      </c>
      <c r="J300" s="727"/>
      <c r="K300" s="727"/>
      <c r="L300" s="727"/>
      <c r="M300" s="727"/>
      <c r="N300" s="727"/>
      <c r="O300" s="727"/>
    </row>
    <row r="301">
      <c r="A301" s="113">
        <v>45635.0</v>
      </c>
      <c r="B301" s="6" t="s">
        <v>12187</v>
      </c>
      <c r="C301" s="6" t="s">
        <v>12382</v>
      </c>
      <c r="D301" s="727"/>
      <c r="E301" s="729">
        <v>10000.0</v>
      </c>
      <c r="F301" s="727">
        <f t="shared" si="7"/>
        <v>161200</v>
      </c>
      <c r="G301" s="6" t="s">
        <v>3883</v>
      </c>
      <c r="H301" s="6" t="s">
        <v>12271</v>
      </c>
      <c r="J301" s="727"/>
      <c r="K301" s="727"/>
      <c r="L301" s="727"/>
      <c r="M301" s="727"/>
      <c r="N301" s="727"/>
      <c r="O301" s="727"/>
    </row>
    <row r="302">
      <c r="A302" s="113">
        <v>45635.0</v>
      </c>
      <c r="B302" s="6" t="s">
        <v>12187</v>
      </c>
      <c r="C302" s="6" t="s">
        <v>12382</v>
      </c>
      <c r="D302" s="727"/>
      <c r="E302" s="729">
        <v>5000.0</v>
      </c>
      <c r="F302" s="727">
        <f t="shared" si="7"/>
        <v>156200</v>
      </c>
      <c r="G302" s="6" t="s">
        <v>3883</v>
      </c>
      <c r="H302" s="6" t="s">
        <v>12271</v>
      </c>
      <c r="J302" s="727"/>
      <c r="K302" s="727"/>
      <c r="L302" s="727"/>
      <c r="M302" s="727"/>
      <c r="N302" s="727"/>
      <c r="O302" s="727"/>
    </row>
    <row r="303">
      <c r="A303" s="113">
        <v>45635.0</v>
      </c>
      <c r="B303" s="6" t="s">
        <v>12397</v>
      </c>
      <c r="C303" s="6" t="s">
        <v>12398</v>
      </c>
      <c r="D303" s="727"/>
      <c r="E303" s="729">
        <v>90000.0</v>
      </c>
      <c r="F303" s="727">
        <f t="shared" si="7"/>
        <v>66200</v>
      </c>
      <c r="G303" s="6" t="s">
        <v>3883</v>
      </c>
      <c r="H303" s="6" t="s">
        <v>12218</v>
      </c>
      <c r="J303" s="727"/>
      <c r="K303" s="727"/>
      <c r="L303" s="727"/>
      <c r="M303" s="727"/>
      <c r="N303" s="727"/>
      <c r="O303" s="727"/>
    </row>
    <row r="304">
      <c r="A304" s="113">
        <v>45635.0</v>
      </c>
      <c r="B304" s="6" t="s">
        <v>12177</v>
      </c>
      <c r="D304" s="729">
        <v>500000.0</v>
      </c>
      <c r="E304" s="727"/>
      <c r="F304" s="727">
        <f t="shared" si="7"/>
        <v>566200</v>
      </c>
      <c r="G304" s="6" t="s">
        <v>3883</v>
      </c>
      <c r="J304" s="727"/>
      <c r="K304" s="727"/>
      <c r="L304" s="727"/>
      <c r="M304" s="727"/>
      <c r="N304" s="727"/>
      <c r="O304" s="727"/>
    </row>
    <row r="305">
      <c r="A305" s="113">
        <v>45636.0</v>
      </c>
      <c r="B305" s="6" t="s">
        <v>12399</v>
      </c>
      <c r="C305" s="6" t="s">
        <v>12400</v>
      </c>
      <c r="D305" s="727"/>
      <c r="E305" s="729">
        <v>105000.0</v>
      </c>
      <c r="F305" s="727">
        <f t="shared" si="7"/>
        <v>461200</v>
      </c>
      <c r="G305" s="6" t="s">
        <v>3883</v>
      </c>
      <c r="H305" s="6" t="s">
        <v>12274</v>
      </c>
      <c r="J305" s="727"/>
      <c r="K305" s="727"/>
      <c r="L305" s="727"/>
      <c r="M305" s="727"/>
      <c r="N305" s="727"/>
      <c r="O305" s="727"/>
    </row>
    <row r="306">
      <c r="A306" s="113">
        <v>45639.0</v>
      </c>
      <c r="B306" s="6" t="s">
        <v>12198</v>
      </c>
      <c r="C306" s="6" t="s">
        <v>12199</v>
      </c>
      <c r="D306" s="727"/>
      <c r="E306" s="729">
        <v>200000.0</v>
      </c>
      <c r="F306" s="727">
        <f t="shared" si="7"/>
        <v>261200</v>
      </c>
      <c r="G306" s="6" t="s">
        <v>3883</v>
      </c>
      <c r="H306" s="6" t="s">
        <v>12218</v>
      </c>
      <c r="J306" s="727"/>
      <c r="K306" s="727"/>
      <c r="L306" s="727"/>
      <c r="M306" s="727"/>
      <c r="N306" s="727"/>
      <c r="O306" s="727"/>
    </row>
    <row r="307">
      <c r="A307" s="113">
        <v>45639.0</v>
      </c>
      <c r="B307" s="6" t="s">
        <v>12184</v>
      </c>
      <c r="C307" s="6" t="s">
        <v>12223</v>
      </c>
      <c r="D307" s="727"/>
      <c r="E307" s="729">
        <v>34000.0</v>
      </c>
      <c r="F307" s="727">
        <f t="shared" si="7"/>
        <v>227200</v>
      </c>
      <c r="G307" s="6" t="s">
        <v>3883</v>
      </c>
      <c r="H307" s="6" t="s">
        <v>12218</v>
      </c>
      <c r="J307" s="727"/>
      <c r="K307" s="727"/>
      <c r="L307" s="727"/>
      <c r="M307" s="727"/>
      <c r="N307" s="727"/>
      <c r="O307" s="727"/>
    </row>
    <row r="308">
      <c r="A308" s="113">
        <v>45639.0</v>
      </c>
      <c r="B308" s="6" t="s">
        <v>12177</v>
      </c>
      <c r="D308" s="729">
        <v>100000.0</v>
      </c>
      <c r="E308" s="727"/>
      <c r="F308" s="727">
        <f t="shared" si="7"/>
        <v>327200</v>
      </c>
      <c r="G308" s="6" t="s">
        <v>3883</v>
      </c>
      <c r="H308" s="6" t="s">
        <v>12218</v>
      </c>
      <c r="J308" s="727"/>
      <c r="K308" s="727"/>
      <c r="L308" s="727"/>
      <c r="M308" s="727"/>
      <c r="N308" s="727"/>
      <c r="O308" s="727"/>
    </row>
    <row r="309">
      <c r="A309" s="113">
        <v>45639.0</v>
      </c>
      <c r="B309" s="6" t="s">
        <v>12401</v>
      </c>
      <c r="C309" s="6" t="s">
        <v>12402</v>
      </c>
      <c r="D309" s="727"/>
      <c r="E309" s="729">
        <v>100000.0</v>
      </c>
      <c r="F309" s="727">
        <f t="shared" si="7"/>
        <v>227200</v>
      </c>
      <c r="G309" s="6" t="s">
        <v>3883</v>
      </c>
      <c r="H309" s="6" t="s">
        <v>12403</v>
      </c>
      <c r="J309" s="727"/>
      <c r="K309" s="727"/>
      <c r="L309" s="727"/>
      <c r="M309" s="727"/>
      <c r="N309" s="727"/>
      <c r="O309" s="727"/>
    </row>
    <row r="310">
      <c r="A310" s="113">
        <v>45640.0</v>
      </c>
      <c r="B310" s="6" t="s">
        <v>12358</v>
      </c>
      <c r="C310" s="6" t="s">
        <v>12404</v>
      </c>
      <c r="D310" s="727"/>
      <c r="E310" s="729">
        <v>6200.0</v>
      </c>
      <c r="F310" s="727">
        <f t="shared" si="7"/>
        <v>221000</v>
      </c>
      <c r="G310" s="6" t="s">
        <v>3883</v>
      </c>
      <c r="H310" s="6" t="s">
        <v>7878</v>
      </c>
      <c r="J310" s="727"/>
      <c r="K310" s="727"/>
      <c r="L310" s="727"/>
      <c r="M310" s="727"/>
      <c r="N310" s="727"/>
      <c r="O310" s="727"/>
    </row>
    <row r="311">
      <c r="A311" s="733">
        <v>45640.0</v>
      </c>
      <c r="B311" s="6" t="s">
        <v>12177</v>
      </c>
      <c r="D311" s="729">
        <v>1300000.0</v>
      </c>
      <c r="E311" s="727"/>
      <c r="F311" s="727">
        <f t="shared" si="7"/>
        <v>1521000</v>
      </c>
      <c r="G311" s="6" t="s">
        <v>3883</v>
      </c>
      <c r="J311" s="727"/>
      <c r="K311" s="727"/>
      <c r="L311" s="727"/>
      <c r="M311" s="727"/>
      <c r="N311" s="727"/>
      <c r="O311" s="727"/>
    </row>
    <row r="312">
      <c r="A312" s="733">
        <v>45640.0</v>
      </c>
      <c r="B312" s="6" t="s">
        <v>12279</v>
      </c>
      <c r="C312" s="6" t="s">
        <v>12243</v>
      </c>
      <c r="D312" s="727"/>
      <c r="E312" s="729">
        <v>300000.0</v>
      </c>
      <c r="F312" s="727">
        <f t="shared" si="7"/>
        <v>1221000</v>
      </c>
      <c r="G312" s="6" t="s">
        <v>3883</v>
      </c>
      <c r="H312" s="6" t="s">
        <v>12218</v>
      </c>
      <c r="J312" s="727"/>
      <c r="K312" s="727"/>
      <c r="L312" s="727"/>
      <c r="M312" s="727"/>
      <c r="N312" s="727"/>
      <c r="O312" s="727"/>
    </row>
    <row r="313">
      <c r="A313" s="733">
        <v>45640.0</v>
      </c>
      <c r="B313" s="6" t="s">
        <v>12279</v>
      </c>
      <c r="C313" s="6" t="s">
        <v>12215</v>
      </c>
      <c r="D313" s="727"/>
      <c r="E313" s="729">
        <v>300000.0</v>
      </c>
      <c r="F313" s="727">
        <f t="shared" si="7"/>
        <v>921000</v>
      </c>
      <c r="G313" s="6" t="s">
        <v>3883</v>
      </c>
      <c r="H313" s="6" t="s">
        <v>12271</v>
      </c>
      <c r="J313" s="727"/>
      <c r="K313" s="727"/>
      <c r="L313" s="727"/>
      <c r="M313" s="727"/>
      <c r="N313" s="727"/>
      <c r="O313" s="727"/>
    </row>
    <row r="314">
      <c r="A314" s="733">
        <v>45640.0</v>
      </c>
      <c r="B314" s="6" t="s">
        <v>12279</v>
      </c>
      <c r="C314" s="6" t="s">
        <v>12405</v>
      </c>
      <c r="D314" s="727"/>
      <c r="E314" s="729">
        <v>300000.0</v>
      </c>
      <c r="F314" s="727">
        <f t="shared" si="7"/>
        <v>621000</v>
      </c>
      <c r="G314" s="6" t="s">
        <v>3883</v>
      </c>
      <c r="H314" s="6" t="s">
        <v>12196</v>
      </c>
      <c r="J314" s="727"/>
      <c r="K314" s="727"/>
      <c r="L314" s="727"/>
      <c r="M314" s="727"/>
      <c r="N314" s="727"/>
      <c r="O314" s="727"/>
    </row>
    <row r="315">
      <c r="A315" s="733">
        <v>45640.0</v>
      </c>
      <c r="B315" s="6" t="s">
        <v>12279</v>
      </c>
      <c r="C315" s="6" t="s">
        <v>12406</v>
      </c>
      <c r="D315" s="727"/>
      <c r="E315" s="729">
        <v>100000.0</v>
      </c>
      <c r="F315" s="727">
        <f t="shared" si="7"/>
        <v>521000</v>
      </c>
      <c r="G315" s="6" t="s">
        <v>3883</v>
      </c>
      <c r="H315" s="6" t="s">
        <v>12274</v>
      </c>
      <c r="J315" s="727"/>
      <c r="K315" s="727"/>
      <c r="L315" s="727"/>
      <c r="M315" s="727"/>
      <c r="N315" s="727"/>
      <c r="O315" s="727"/>
    </row>
    <row r="316">
      <c r="A316" s="733">
        <v>45640.0</v>
      </c>
      <c r="B316" s="6" t="s">
        <v>12279</v>
      </c>
      <c r="C316" s="6" t="s">
        <v>12253</v>
      </c>
      <c r="D316" s="727"/>
      <c r="E316" s="729">
        <v>300000.0</v>
      </c>
      <c r="F316" s="727">
        <f t="shared" si="7"/>
        <v>221000</v>
      </c>
      <c r="G316" s="6" t="s">
        <v>3883</v>
      </c>
      <c r="H316" s="6" t="s">
        <v>12218</v>
      </c>
      <c r="J316" s="727"/>
      <c r="K316" s="727"/>
      <c r="L316" s="727"/>
      <c r="M316" s="727"/>
      <c r="N316" s="727"/>
      <c r="O316" s="727"/>
    </row>
    <row r="317">
      <c r="A317" s="733">
        <v>45642.0</v>
      </c>
      <c r="B317" s="6" t="s">
        <v>12177</v>
      </c>
      <c r="D317" s="729">
        <v>300000.0</v>
      </c>
      <c r="E317" s="727"/>
      <c r="F317" s="727">
        <f t="shared" si="7"/>
        <v>521000</v>
      </c>
      <c r="G317" s="6" t="s">
        <v>3883</v>
      </c>
      <c r="H317" s="6" t="s">
        <v>12218</v>
      </c>
      <c r="I317" s="6" t="s">
        <v>12407</v>
      </c>
      <c r="J317" s="727"/>
      <c r="K317" s="727"/>
      <c r="L317" s="727"/>
      <c r="M317" s="727"/>
      <c r="N317" s="727"/>
      <c r="O317" s="727"/>
    </row>
    <row r="318">
      <c r="A318" s="733">
        <v>45642.0</v>
      </c>
      <c r="B318" s="6" t="s">
        <v>12358</v>
      </c>
      <c r="C318" s="6" t="s">
        <v>12408</v>
      </c>
      <c r="D318" s="727"/>
      <c r="E318" s="729">
        <v>38800.0</v>
      </c>
      <c r="F318" s="727">
        <f t="shared" si="7"/>
        <v>482200</v>
      </c>
      <c r="G318" s="6" t="s">
        <v>3883</v>
      </c>
      <c r="H318" s="6" t="s">
        <v>12218</v>
      </c>
      <c r="J318" s="727"/>
      <c r="K318" s="727"/>
      <c r="L318" s="727"/>
      <c r="M318" s="727"/>
      <c r="N318" s="727"/>
      <c r="O318" s="727"/>
    </row>
    <row r="319">
      <c r="A319" s="733">
        <v>45642.0</v>
      </c>
      <c r="B319" s="6" t="s">
        <v>12397</v>
      </c>
      <c r="C319" s="6" t="s">
        <v>12409</v>
      </c>
      <c r="D319" s="727"/>
      <c r="E319" s="729">
        <v>102000.0</v>
      </c>
      <c r="F319" s="727">
        <f t="shared" si="7"/>
        <v>380200</v>
      </c>
      <c r="G319" s="6" t="s">
        <v>3883</v>
      </c>
      <c r="H319" s="6" t="s">
        <v>12218</v>
      </c>
      <c r="J319" s="727"/>
      <c r="K319" s="727"/>
      <c r="L319" s="727"/>
      <c r="M319" s="727"/>
      <c r="N319" s="727"/>
      <c r="O319" s="727"/>
    </row>
    <row r="320">
      <c r="A320" s="733">
        <v>45645.0</v>
      </c>
      <c r="B320" s="6" t="s">
        <v>12410</v>
      </c>
      <c r="C320" s="6" t="s">
        <v>12411</v>
      </c>
      <c r="D320" s="727"/>
      <c r="E320" s="729">
        <v>75000.0</v>
      </c>
      <c r="F320" s="727">
        <f t="shared" si="7"/>
        <v>305200</v>
      </c>
      <c r="G320" s="6" t="s">
        <v>3799</v>
      </c>
      <c r="H320" s="6" t="s">
        <v>12412</v>
      </c>
      <c r="J320" s="727"/>
      <c r="K320" s="727"/>
      <c r="L320" s="727"/>
      <c r="M320" s="727"/>
      <c r="N320" s="727"/>
      <c r="O320" s="727"/>
    </row>
    <row r="321">
      <c r="A321" s="733">
        <v>45645.0</v>
      </c>
      <c r="B321" s="6" t="s">
        <v>12384</v>
      </c>
      <c r="C321" s="6" t="s">
        <v>12382</v>
      </c>
      <c r="D321" s="727"/>
      <c r="E321" s="729">
        <v>10000.0</v>
      </c>
      <c r="F321" s="727">
        <f t="shared" si="7"/>
        <v>295200</v>
      </c>
      <c r="G321" s="6" t="s">
        <v>3799</v>
      </c>
      <c r="H321" s="6" t="s">
        <v>12274</v>
      </c>
      <c r="J321" s="727"/>
      <c r="K321" s="727"/>
      <c r="L321" s="727"/>
      <c r="M321" s="727"/>
      <c r="N321" s="727"/>
      <c r="O321" s="727"/>
    </row>
    <row r="322">
      <c r="A322" s="733">
        <v>45646.0</v>
      </c>
      <c r="B322" s="6" t="s">
        <v>12413</v>
      </c>
      <c r="C322" s="6" t="s">
        <v>12414</v>
      </c>
      <c r="D322" s="727"/>
      <c r="E322" s="729">
        <v>20000.0</v>
      </c>
      <c r="F322" s="727">
        <f t="shared" si="7"/>
        <v>275200</v>
      </c>
      <c r="G322" s="6" t="s">
        <v>3799</v>
      </c>
      <c r="H322" s="6" t="s">
        <v>12196</v>
      </c>
      <c r="J322" s="727"/>
      <c r="K322" s="727"/>
      <c r="L322" s="727"/>
      <c r="M322" s="727"/>
      <c r="N322" s="727"/>
      <c r="O322" s="727"/>
    </row>
    <row r="323">
      <c r="A323" s="733">
        <v>45647.0</v>
      </c>
      <c r="B323" s="6" t="s">
        <v>12358</v>
      </c>
      <c r="C323" s="6" t="s">
        <v>12415</v>
      </c>
      <c r="D323" s="727"/>
      <c r="E323" s="729">
        <v>200000.0</v>
      </c>
      <c r="F323" s="727">
        <f t="shared" si="7"/>
        <v>75200</v>
      </c>
      <c r="G323" s="6" t="s">
        <v>3799</v>
      </c>
      <c r="H323" s="6" t="s">
        <v>12274</v>
      </c>
      <c r="J323" s="727"/>
      <c r="K323" s="727"/>
      <c r="L323" s="727"/>
      <c r="M323" s="727"/>
      <c r="N323" s="727"/>
      <c r="O323" s="727"/>
    </row>
    <row r="324">
      <c r="A324" s="733">
        <v>45649.0</v>
      </c>
      <c r="B324" s="6" t="s">
        <v>3671</v>
      </c>
      <c r="C324" s="6" t="s">
        <v>12416</v>
      </c>
      <c r="D324" s="727"/>
      <c r="E324" s="729">
        <v>12000.0</v>
      </c>
      <c r="F324" s="727">
        <f t="shared" si="7"/>
        <v>63200</v>
      </c>
      <c r="G324" s="6" t="s">
        <v>3799</v>
      </c>
      <c r="H324" s="6" t="s">
        <v>3883</v>
      </c>
      <c r="J324" s="727"/>
      <c r="K324" s="727"/>
      <c r="L324" s="727"/>
      <c r="M324" s="727"/>
      <c r="N324" s="727"/>
      <c r="O324" s="727"/>
    </row>
    <row r="325">
      <c r="A325" s="733">
        <v>45652.0</v>
      </c>
      <c r="B325" s="6" t="s">
        <v>12184</v>
      </c>
      <c r="C325" s="732" t="s">
        <v>12223</v>
      </c>
      <c r="D325" s="727"/>
      <c r="E325" s="729">
        <v>34000.0</v>
      </c>
      <c r="F325" s="727">
        <f t="shared" si="7"/>
        <v>29200</v>
      </c>
      <c r="G325" s="6" t="s">
        <v>3799</v>
      </c>
      <c r="H325" s="6" t="s">
        <v>12274</v>
      </c>
      <c r="J325" s="727"/>
      <c r="K325" s="727"/>
      <c r="L325" s="727"/>
      <c r="M325" s="727"/>
      <c r="N325" s="727"/>
      <c r="O325" s="727"/>
    </row>
    <row r="326">
      <c r="A326" s="733">
        <v>45652.0</v>
      </c>
      <c r="B326" s="6" t="s">
        <v>12177</v>
      </c>
      <c r="D326" s="729">
        <v>500000.0</v>
      </c>
      <c r="E326" s="727"/>
      <c r="F326" s="727">
        <f t="shared" si="7"/>
        <v>529200</v>
      </c>
      <c r="G326" s="6" t="s">
        <v>3799</v>
      </c>
      <c r="H326" s="6" t="s">
        <v>3799</v>
      </c>
      <c r="J326" s="727"/>
      <c r="K326" s="727"/>
      <c r="L326" s="727"/>
      <c r="M326" s="727"/>
      <c r="N326" s="727"/>
      <c r="O326" s="727"/>
    </row>
    <row r="327">
      <c r="A327" s="733">
        <v>45652.0</v>
      </c>
      <c r="B327" s="6" t="s">
        <v>12417</v>
      </c>
      <c r="C327" s="6" t="s">
        <v>12391</v>
      </c>
      <c r="D327" s="727"/>
      <c r="E327" s="729">
        <v>300000.0</v>
      </c>
      <c r="F327" s="727">
        <f t="shared" si="7"/>
        <v>229200</v>
      </c>
      <c r="G327" s="6" t="s">
        <v>3799</v>
      </c>
      <c r="H327" s="6" t="s">
        <v>12274</v>
      </c>
      <c r="J327" s="727"/>
      <c r="K327" s="727"/>
      <c r="L327" s="727"/>
      <c r="M327" s="727"/>
      <c r="N327" s="727"/>
      <c r="O327" s="727"/>
    </row>
    <row r="328">
      <c r="A328" s="733">
        <v>45654.0</v>
      </c>
      <c r="B328" s="6" t="s">
        <v>12418</v>
      </c>
      <c r="C328" s="6" t="s">
        <v>12419</v>
      </c>
      <c r="D328" s="727"/>
      <c r="E328" s="729">
        <v>10000.0</v>
      </c>
      <c r="F328" s="727">
        <f t="shared" si="7"/>
        <v>219200</v>
      </c>
      <c r="G328" s="6" t="s">
        <v>3799</v>
      </c>
      <c r="H328" s="6" t="s">
        <v>12274</v>
      </c>
      <c r="J328" s="727"/>
      <c r="K328" s="727"/>
      <c r="L328" s="727"/>
      <c r="M328" s="727"/>
      <c r="N328" s="727"/>
      <c r="O328" s="727"/>
    </row>
    <row r="329">
      <c r="A329" s="733">
        <v>45654.0</v>
      </c>
      <c r="B329" s="6" t="s">
        <v>12177</v>
      </c>
      <c r="D329" s="729">
        <v>550000.0</v>
      </c>
      <c r="E329" s="727"/>
      <c r="F329" s="727">
        <f t="shared" si="7"/>
        <v>769200</v>
      </c>
      <c r="G329" s="6" t="s">
        <v>3799</v>
      </c>
      <c r="H329" s="6" t="s">
        <v>3799</v>
      </c>
      <c r="J329" s="727"/>
      <c r="K329" s="727"/>
      <c r="L329" s="727"/>
      <c r="M329" s="727"/>
      <c r="N329" s="727"/>
      <c r="O329" s="727"/>
    </row>
    <row r="330">
      <c r="A330" s="733">
        <v>45654.0</v>
      </c>
      <c r="B330" s="6" t="s">
        <v>12279</v>
      </c>
      <c r="C330" s="6" t="s">
        <v>12243</v>
      </c>
      <c r="D330" s="727"/>
      <c r="E330" s="729">
        <v>200000.0</v>
      </c>
      <c r="F330" s="727">
        <f t="shared" si="7"/>
        <v>569200</v>
      </c>
      <c r="G330" s="6" t="s">
        <v>3799</v>
      </c>
      <c r="H330" s="6" t="s">
        <v>12218</v>
      </c>
      <c r="J330" s="727"/>
      <c r="K330" s="727"/>
      <c r="L330" s="727"/>
      <c r="M330" s="727"/>
      <c r="N330" s="727"/>
      <c r="O330" s="727"/>
    </row>
    <row r="331">
      <c r="A331" s="733">
        <v>45654.0</v>
      </c>
      <c r="B331" s="6" t="s">
        <v>12279</v>
      </c>
      <c r="C331" s="6" t="s">
        <v>12215</v>
      </c>
      <c r="D331" s="727"/>
      <c r="E331" s="729">
        <v>200000.0</v>
      </c>
      <c r="F331" s="727">
        <f t="shared" si="7"/>
        <v>369200</v>
      </c>
      <c r="G331" s="6" t="s">
        <v>3799</v>
      </c>
      <c r="H331" s="6" t="s">
        <v>12271</v>
      </c>
      <c r="J331" s="727"/>
      <c r="K331" s="727"/>
      <c r="L331" s="727"/>
      <c r="M331" s="727"/>
      <c r="N331" s="727"/>
      <c r="O331" s="727"/>
    </row>
    <row r="332">
      <c r="A332" s="733">
        <v>45654.0</v>
      </c>
      <c r="B332" s="6" t="s">
        <v>12279</v>
      </c>
      <c r="C332" s="6" t="s">
        <v>12251</v>
      </c>
      <c r="D332" s="727"/>
      <c r="E332" s="729">
        <v>150000.0</v>
      </c>
      <c r="F332" s="727">
        <f t="shared" si="7"/>
        <v>219200</v>
      </c>
      <c r="G332" s="6" t="s">
        <v>3799</v>
      </c>
      <c r="H332" s="6" t="s">
        <v>12274</v>
      </c>
      <c r="J332" s="727"/>
      <c r="K332" s="727"/>
      <c r="L332" s="727"/>
      <c r="M332" s="727"/>
      <c r="N332" s="727"/>
      <c r="O332" s="727"/>
    </row>
    <row r="333">
      <c r="A333" s="733">
        <v>45656.0</v>
      </c>
      <c r="B333" s="6" t="s">
        <v>12332</v>
      </c>
      <c r="C333" s="6" t="s">
        <v>12420</v>
      </c>
      <c r="D333" s="727"/>
      <c r="E333" s="729">
        <v>45000.0</v>
      </c>
      <c r="F333" s="727">
        <f t="shared" si="7"/>
        <v>174200</v>
      </c>
      <c r="G333" s="6" t="s">
        <v>3799</v>
      </c>
      <c r="H333" s="6" t="s">
        <v>12274</v>
      </c>
      <c r="J333" s="727"/>
      <c r="K333" s="727"/>
      <c r="L333" s="727"/>
      <c r="M333" s="727"/>
      <c r="N333" s="727"/>
      <c r="O333" s="727"/>
    </row>
    <row r="334">
      <c r="A334" s="733">
        <v>45656.0</v>
      </c>
      <c r="B334" s="6" t="s">
        <v>12332</v>
      </c>
      <c r="C334" s="6" t="s">
        <v>12421</v>
      </c>
      <c r="D334" s="727"/>
      <c r="E334" s="729">
        <v>20000.0</v>
      </c>
      <c r="F334" s="727">
        <f t="shared" si="7"/>
        <v>154200</v>
      </c>
      <c r="G334" s="6" t="s">
        <v>3799</v>
      </c>
      <c r="H334" s="6" t="s">
        <v>12218</v>
      </c>
      <c r="J334" s="727"/>
      <c r="K334" s="727"/>
      <c r="L334" s="727"/>
      <c r="M334" s="727"/>
      <c r="N334" s="727"/>
      <c r="O334" s="727"/>
    </row>
    <row r="335">
      <c r="A335" s="726" t="s">
        <v>12393</v>
      </c>
      <c r="J335" s="727"/>
      <c r="K335" s="727"/>
      <c r="L335" s="727"/>
      <c r="M335" s="727"/>
      <c r="N335" s="727"/>
      <c r="O335" s="727"/>
    </row>
    <row r="336">
      <c r="A336" s="739" t="s">
        <v>12422</v>
      </c>
      <c r="J336" s="727"/>
      <c r="K336" s="727"/>
      <c r="L336" s="727"/>
      <c r="M336" s="727"/>
      <c r="N336" s="727"/>
      <c r="O336" s="727"/>
    </row>
    <row r="337">
      <c r="A337" s="113">
        <v>45659.0</v>
      </c>
      <c r="B337" s="6" t="s">
        <v>12423</v>
      </c>
      <c r="C337" s="6" t="s">
        <v>12424</v>
      </c>
      <c r="D337" s="727"/>
      <c r="E337" s="729">
        <v>30000.0</v>
      </c>
      <c r="F337" s="727">
        <f>F334+D337-E337</f>
        <v>124200</v>
      </c>
      <c r="G337" s="6" t="s">
        <v>3799</v>
      </c>
      <c r="H337" s="6" t="s">
        <v>12274</v>
      </c>
      <c r="J337" s="727"/>
      <c r="K337" s="727"/>
      <c r="L337" s="727"/>
      <c r="M337" s="727"/>
      <c r="N337" s="727"/>
      <c r="O337" s="727"/>
    </row>
    <row r="338">
      <c r="A338" s="113">
        <v>45660.0</v>
      </c>
      <c r="B338" s="6" t="s">
        <v>12184</v>
      </c>
      <c r="C338" s="6" t="s">
        <v>12226</v>
      </c>
      <c r="D338" s="727"/>
      <c r="E338" s="729">
        <v>25500.0</v>
      </c>
      <c r="F338" s="727">
        <f t="shared" ref="F338:F391" si="8">F337+D338-E338</f>
        <v>98700</v>
      </c>
      <c r="G338" s="6" t="s">
        <v>3799</v>
      </c>
      <c r="H338" s="6" t="s">
        <v>12271</v>
      </c>
      <c r="J338" s="727"/>
      <c r="K338" s="727"/>
      <c r="L338" s="727"/>
      <c r="M338" s="727"/>
      <c r="N338" s="727"/>
      <c r="O338" s="727"/>
    </row>
    <row r="339">
      <c r="A339" s="113">
        <v>45660.0</v>
      </c>
      <c r="B339" s="6" t="s">
        <v>12425</v>
      </c>
      <c r="C339" s="6" t="s">
        <v>12426</v>
      </c>
      <c r="D339" s="727"/>
      <c r="E339" s="729">
        <v>20000.0</v>
      </c>
      <c r="F339" s="727">
        <f t="shared" si="8"/>
        <v>78700</v>
      </c>
      <c r="G339" s="6" t="s">
        <v>3799</v>
      </c>
      <c r="H339" s="6" t="s">
        <v>12271</v>
      </c>
      <c r="J339" s="727"/>
      <c r="K339" s="727"/>
      <c r="L339" s="727"/>
      <c r="M339" s="727"/>
      <c r="N339" s="727"/>
      <c r="O339" s="727"/>
    </row>
    <row r="340">
      <c r="A340" s="113">
        <v>45663.0</v>
      </c>
      <c r="B340" s="6" t="s">
        <v>12177</v>
      </c>
      <c r="D340" s="729">
        <v>500000.0</v>
      </c>
      <c r="E340" s="727"/>
      <c r="F340" s="727">
        <f t="shared" si="8"/>
        <v>578700</v>
      </c>
      <c r="G340" s="6" t="s">
        <v>3799</v>
      </c>
      <c r="H340" s="6" t="s">
        <v>3799</v>
      </c>
      <c r="J340" s="727"/>
      <c r="K340" s="727"/>
      <c r="L340" s="727"/>
      <c r="M340" s="727"/>
      <c r="N340" s="727"/>
      <c r="O340" s="727"/>
    </row>
    <row r="341">
      <c r="A341" s="113">
        <v>45663.0</v>
      </c>
      <c r="B341" s="6" t="s">
        <v>12417</v>
      </c>
      <c r="C341" s="6" t="s">
        <v>12391</v>
      </c>
      <c r="D341" s="727"/>
      <c r="E341" s="729">
        <v>300000.0</v>
      </c>
      <c r="F341" s="727">
        <f t="shared" si="8"/>
        <v>278700</v>
      </c>
      <c r="G341" s="6" t="s">
        <v>3799</v>
      </c>
      <c r="H341" s="6" t="s">
        <v>12271</v>
      </c>
      <c r="J341" s="727"/>
      <c r="K341" s="727"/>
      <c r="L341" s="727"/>
      <c r="M341" s="727"/>
      <c r="N341" s="727"/>
      <c r="O341" s="727"/>
    </row>
    <row r="342">
      <c r="A342" s="113">
        <v>45663.0</v>
      </c>
      <c r="B342" s="6" t="s">
        <v>12187</v>
      </c>
      <c r="C342" s="6" t="s">
        <v>12382</v>
      </c>
      <c r="D342" s="727"/>
      <c r="E342" s="729">
        <v>5000.0</v>
      </c>
      <c r="F342" s="727">
        <f t="shared" si="8"/>
        <v>273700</v>
      </c>
      <c r="G342" s="6" t="s">
        <v>3799</v>
      </c>
      <c r="H342" s="6" t="s">
        <v>12271</v>
      </c>
      <c r="J342" s="727"/>
      <c r="K342" s="727"/>
      <c r="L342" s="727"/>
      <c r="M342" s="727"/>
      <c r="N342" s="727"/>
      <c r="O342" s="727"/>
    </row>
    <row r="343">
      <c r="A343" s="113">
        <v>45664.0</v>
      </c>
      <c r="B343" s="6" t="s">
        <v>12427</v>
      </c>
      <c r="C343" s="6" t="s">
        <v>12382</v>
      </c>
      <c r="D343" s="727"/>
      <c r="E343" s="729">
        <v>5000.0</v>
      </c>
      <c r="F343" s="727">
        <f t="shared" si="8"/>
        <v>268700</v>
      </c>
      <c r="G343" s="6" t="s">
        <v>3799</v>
      </c>
      <c r="H343" s="6" t="s">
        <v>12274</v>
      </c>
      <c r="J343" s="727"/>
      <c r="K343" s="727"/>
      <c r="L343" s="727"/>
      <c r="M343" s="727"/>
      <c r="N343" s="727"/>
      <c r="O343" s="727"/>
    </row>
    <row r="344">
      <c r="A344" s="113">
        <v>45664.0</v>
      </c>
      <c r="C344" s="6" t="s">
        <v>12428</v>
      </c>
      <c r="D344" s="727"/>
      <c r="E344" s="729">
        <v>150000.0</v>
      </c>
      <c r="F344" s="727">
        <f t="shared" si="8"/>
        <v>118700</v>
      </c>
      <c r="G344" s="6" t="s">
        <v>3799</v>
      </c>
      <c r="H344" s="6" t="s">
        <v>12429</v>
      </c>
      <c r="J344" s="727"/>
      <c r="K344" s="727"/>
      <c r="L344" s="727"/>
      <c r="M344" s="727"/>
      <c r="N344" s="727"/>
      <c r="O344" s="727"/>
    </row>
    <row r="345">
      <c r="A345" s="113">
        <v>45666.0</v>
      </c>
      <c r="B345" s="6" t="s">
        <v>12430</v>
      </c>
      <c r="C345" s="6" t="s">
        <v>12431</v>
      </c>
      <c r="D345" s="727"/>
      <c r="E345" s="729">
        <v>90000.0</v>
      </c>
      <c r="F345" s="727">
        <f t="shared" si="8"/>
        <v>28700</v>
      </c>
      <c r="G345" s="6" t="s">
        <v>3799</v>
      </c>
      <c r="H345" s="6" t="s">
        <v>12274</v>
      </c>
      <c r="J345" s="727"/>
      <c r="K345" s="727"/>
      <c r="L345" s="727"/>
      <c r="M345" s="727"/>
      <c r="N345" s="727"/>
      <c r="O345" s="727"/>
    </row>
    <row r="346">
      <c r="A346" s="113">
        <v>45666.0</v>
      </c>
      <c r="B346" s="6" t="s">
        <v>12427</v>
      </c>
      <c r="C346" s="6" t="s">
        <v>12382</v>
      </c>
      <c r="D346" s="727"/>
      <c r="E346" s="729">
        <v>5000.0</v>
      </c>
      <c r="F346" s="727">
        <f t="shared" si="8"/>
        <v>23700</v>
      </c>
      <c r="G346" s="6" t="s">
        <v>3799</v>
      </c>
      <c r="H346" s="6" t="s">
        <v>12274</v>
      </c>
      <c r="J346" s="727"/>
      <c r="K346" s="727"/>
      <c r="L346" s="727"/>
      <c r="M346" s="727"/>
      <c r="N346" s="727"/>
      <c r="O346" s="727"/>
    </row>
    <row r="347">
      <c r="A347" s="113">
        <v>45666.0</v>
      </c>
      <c r="B347" s="6" t="s">
        <v>12427</v>
      </c>
      <c r="C347" s="6" t="s">
        <v>12382</v>
      </c>
      <c r="D347" s="727"/>
      <c r="E347" s="729">
        <v>5000.0</v>
      </c>
      <c r="F347" s="727">
        <f t="shared" si="8"/>
        <v>18700</v>
      </c>
      <c r="G347" s="6" t="s">
        <v>3799</v>
      </c>
      <c r="H347" s="6" t="s">
        <v>12274</v>
      </c>
      <c r="J347" s="727"/>
      <c r="K347" s="727"/>
      <c r="L347" s="727"/>
      <c r="M347" s="727"/>
      <c r="N347" s="727"/>
      <c r="O347" s="727"/>
    </row>
    <row r="348">
      <c r="A348" s="113">
        <v>45667.0</v>
      </c>
      <c r="B348" s="6" t="s">
        <v>12184</v>
      </c>
      <c r="C348" s="6" t="s">
        <v>12226</v>
      </c>
      <c r="D348" s="727"/>
      <c r="E348" s="729">
        <v>25500.0</v>
      </c>
      <c r="F348" s="727">
        <f t="shared" si="8"/>
        <v>-6800</v>
      </c>
      <c r="G348" s="6" t="s">
        <v>3799</v>
      </c>
      <c r="H348" s="6" t="s">
        <v>12274</v>
      </c>
      <c r="J348" s="727"/>
      <c r="K348" s="727"/>
      <c r="L348" s="727"/>
      <c r="M348" s="727"/>
      <c r="N348" s="727"/>
      <c r="O348" s="727"/>
    </row>
    <row r="349">
      <c r="A349" s="113">
        <v>45668.0</v>
      </c>
      <c r="B349" s="6" t="s">
        <v>12177</v>
      </c>
      <c r="D349" s="729">
        <v>1300000.0</v>
      </c>
      <c r="E349" s="727"/>
      <c r="F349" s="727">
        <f t="shared" si="8"/>
        <v>1293200</v>
      </c>
      <c r="G349" s="6" t="s">
        <v>3799</v>
      </c>
      <c r="H349" s="6" t="s">
        <v>3799</v>
      </c>
      <c r="J349" s="727"/>
      <c r="K349" s="727"/>
      <c r="L349" s="727"/>
      <c r="M349" s="727"/>
      <c r="N349" s="727"/>
      <c r="O349" s="727"/>
    </row>
    <row r="350">
      <c r="A350" s="113">
        <v>45668.0</v>
      </c>
      <c r="B350" s="6" t="s">
        <v>12279</v>
      </c>
      <c r="C350" s="6" t="s">
        <v>12251</v>
      </c>
      <c r="D350" s="727"/>
      <c r="E350" s="729">
        <v>300000.0</v>
      </c>
      <c r="F350" s="727">
        <f t="shared" si="8"/>
        <v>993200</v>
      </c>
      <c r="G350" s="6" t="s">
        <v>3799</v>
      </c>
      <c r="H350" s="6" t="s">
        <v>12274</v>
      </c>
      <c r="J350" s="727"/>
      <c r="K350" s="727"/>
      <c r="L350" s="727"/>
      <c r="M350" s="727"/>
      <c r="N350" s="727"/>
      <c r="O350" s="727"/>
    </row>
    <row r="351">
      <c r="A351" s="113">
        <v>45668.0</v>
      </c>
      <c r="B351" s="6" t="s">
        <v>12279</v>
      </c>
      <c r="C351" s="6" t="s">
        <v>12215</v>
      </c>
      <c r="D351" s="727"/>
      <c r="E351" s="729">
        <v>300000.0</v>
      </c>
      <c r="F351" s="727">
        <f t="shared" si="8"/>
        <v>693200</v>
      </c>
      <c r="G351" s="6" t="s">
        <v>3799</v>
      </c>
      <c r="H351" s="6" t="s">
        <v>12271</v>
      </c>
      <c r="J351" s="727"/>
      <c r="K351" s="727"/>
      <c r="L351" s="727"/>
      <c r="M351" s="727"/>
      <c r="N351" s="727"/>
      <c r="O351" s="727"/>
    </row>
    <row r="352">
      <c r="A352" s="113">
        <v>45668.0</v>
      </c>
      <c r="B352" s="6" t="s">
        <v>12279</v>
      </c>
      <c r="C352" s="6" t="s">
        <v>12253</v>
      </c>
      <c r="D352" s="727"/>
      <c r="E352" s="729">
        <v>300000.0</v>
      </c>
      <c r="F352" s="727">
        <f t="shared" si="8"/>
        <v>393200</v>
      </c>
      <c r="G352" s="6" t="s">
        <v>3799</v>
      </c>
      <c r="H352" s="6" t="s">
        <v>3883</v>
      </c>
      <c r="J352" s="727"/>
      <c r="K352" s="727"/>
      <c r="L352" s="727"/>
      <c r="M352" s="727"/>
      <c r="N352" s="727"/>
      <c r="O352" s="727"/>
    </row>
    <row r="353">
      <c r="A353" s="113">
        <v>45668.0</v>
      </c>
      <c r="B353" s="6" t="s">
        <v>12279</v>
      </c>
      <c r="C353" s="6" t="s">
        <v>12252</v>
      </c>
      <c r="D353" s="727"/>
      <c r="E353" s="729">
        <v>100000.0</v>
      </c>
      <c r="F353" s="727">
        <f t="shared" si="8"/>
        <v>293200</v>
      </c>
      <c r="G353" s="6" t="s">
        <v>3799</v>
      </c>
      <c r="H353" s="6" t="s">
        <v>3799</v>
      </c>
      <c r="J353" s="727"/>
      <c r="K353" s="727"/>
      <c r="L353" s="727"/>
      <c r="M353" s="727"/>
      <c r="N353" s="727"/>
      <c r="O353" s="727"/>
    </row>
    <row r="354">
      <c r="A354" s="113">
        <v>45670.0</v>
      </c>
      <c r="B354" s="6" t="s">
        <v>12417</v>
      </c>
      <c r="C354" s="6" t="s">
        <v>12391</v>
      </c>
      <c r="D354" s="727"/>
      <c r="E354" s="729">
        <v>200000.0</v>
      </c>
      <c r="F354" s="727">
        <f t="shared" si="8"/>
        <v>93200</v>
      </c>
      <c r="G354" s="6" t="s">
        <v>3799</v>
      </c>
      <c r="H354" s="6" t="s">
        <v>12274</v>
      </c>
      <c r="J354" s="727"/>
      <c r="K354" s="727"/>
      <c r="L354" s="727"/>
      <c r="M354" s="727"/>
      <c r="N354" s="727"/>
      <c r="O354" s="727"/>
    </row>
    <row r="355">
      <c r="A355" s="113">
        <v>45671.0</v>
      </c>
      <c r="B355" s="6" t="s">
        <v>12267</v>
      </c>
      <c r="C355" s="6" t="s">
        <v>12359</v>
      </c>
      <c r="D355" s="727"/>
      <c r="E355" s="729">
        <v>100000.0</v>
      </c>
      <c r="F355" s="727">
        <f t="shared" si="8"/>
        <v>-6800</v>
      </c>
      <c r="G355" s="6" t="s">
        <v>3799</v>
      </c>
      <c r="H355" s="6" t="s">
        <v>12274</v>
      </c>
      <c r="J355" s="727"/>
      <c r="K355" s="727"/>
      <c r="L355" s="727"/>
      <c r="M355" s="727"/>
      <c r="N355" s="727"/>
      <c r="O355" s="727"/>
    </row>
    <row r="356">
      <c r="A356" s="113">
        <v>45674.0</v>
      </c>
      <c r="B356" s="6" t="s">
        <v>12177</v>
      </c>
      <c r="D356" s="729">
        <v>300000.0</v>
      </c>
      <c r="E356" s="727"/>
      <c r="F356" s="727">
        <f t="shared" si="8"/>
        <v>293200</v>
      </c>
      <c r="G356" s="6" t="s">
        <v>3799</v>
      </c>
      <c r="H356" s="6" t="s">
        <v>3799</v>
      </c>
      <c r="J356" s="727"/>
      <c r="K356" s="727"/>
      <c r="L356" s="727"/>
      <c r="M356" s="727"/>
      <c r="N356" s="727"/>
      <c r="O356" s="727"/>
    </row>
    <row r="357">
      <c r="A357" s="113">
        <v>45674.0</v>
      </c>
      <c r="B357" s="6" t="s">
        <v>12307</v>
      </c>
      <c r="C357" s="6" t="s">
        <v>12432</v>
      </c>
      <c r="D357" s="727"/>
      <c r="E357" s="729">
        <v>10000.0</v>
      </c>
      <c r="F357" s="727">
        <f t="shared" si="8"/>
        <v>283200</v>
      </c>
      <c r="G357" s="6" t="s">
        <v>3799</v>
      </c>
      <c r="H357" s="6" t="s">
        <v>12271</v>
      </c>
      <c r="J357" s="727"/>
      <c r="K357" s="727"/>
      <c r="L357" s="727"/>
      <c r="M357" s="727"/>
      <c r="N357" s="727"/>
      <c r="O357" s="727"/>
    </row>
    <row r="358">
      <c r="A358" s="113">
        <v>45674.0</v>
      </c>
      <c r="B358" s="6" t="s">
        <v>12179</v>
      </c>
      <c r="D358" s="727"/>
      <c r="E358" s="729">
        <v>98000.0</v>
      </c>
      <c r="F358" s="727">
        <f t="shared" si="8"/>
        <v>185200</v>
      </c>
      <c r="G358" s="6" t="s">
        <v>3799</v>
      </c>
      <c r="H358" s="6" t="s">
        <v>12412</v>
      </c>
      <c r="J358" s="727"/>
      <c r="K358" s="727"/>
      <c r="L358" s="727"/>
      <c r="M358" s="727"/>
      <c r="N358" s="727"/>
      <c r="O358" s="727"/>
    </row>
    <row r="359">
      <c r="A359" s="113">
        <v>45674.0</v>
      </c>
      <c r="B359" s="6" t="s">
        <v>12433</v>
      </c>
      <c r="C359" s="6" t="s">
        <v>12434</v>
      </c>
      <c r="D359" s="727"/>
      <c r="E359" s="729">
        <v>77000.0</v>
      </c>
      <c r="F359" s="727">
        <f t="shared" si="8"/>
        <v>108200</v>
      </c>
      <c r="G359" s="6" t="s">
        <v>3799</v>
      </c>
      <c r="H359" s="6" t="s">
        <v>12274</v>
      </c>
      <c r="J359" s="727"/>
      <c r="K359" s="727"/>
      <c r="L359" s="727"/>
      <c r="M359" s="727"/>
      <c r="N359" s="727"/>
      <c r="O359" s="727"/>
    </row>
    <row r="360">
      <c r="A360" s="113">
        <v>45674.0</v>
      </c>
      <c r="B360" s="6" t="s">
        <v>12184</v>
      </c>
      <c r="C360" s="6" t="s">
        <v>12226</v>
      </c>
      <c r="D360" s="727"/>
      <c r="E360" s="729">
        <v>25500.0</v>
      </c>
      <c r="F360" s="727">
        <f t="shared" si="8"/>
        <v>82700</v>
      </c>
      <c r="G360" s="6" t="s">
        <v>3799</v>
      </c>
      <c r="H360" s="6" t="s">
        <v>12274</v>
      </c>
      <c r="J360" s="727"/>
      <c r="K360" s="727"/>
      <c r="L360" s="727"/>
      <c r="M360" s="727"/>
      <c r="N360" s="727"/>
      <c r="O360" s="727"/>
    </row>
    <row r="361">
      <c r="A361" s="113">
        <v>45674.0</v>
      </c>
      <c r="B361" s="6" t="s">
        <v>12187</v>
      </c>
      <c r="C361" s="6" t="s">
        <v>12382</v>
      </c>
      <c r="D361" s="727"/>
      <c r="E361" s="729">
        <v>5000.0</v>
      </c>
      <c r="F361" s="727">
        <f t="shared" si="8"/>
        <v>77700</v>
      </c>
      <c r="G361" s="6" t="s">
        <v>3799</v>
      </c>
      <c r="H361" s="6" t="s">
        <v>12274</v>
      </c>
      <c r="J361" s="727"/>
      <c r="K361" s="727"/>
      <c r="L361" s="727"/>
      <c r="M361" s="727"/>
      <c r="N361" s="727"/>
      <c r="O361" s="727"/>
    </row>
    <row r="362">
      <c r="A362" s="113">
        <v>45675.0</v>
      </c>
      <c r="B362" s="6" t="s">
        <v>12267</v>
      </c>
      <c r="C362" s="6" t="s">
        <v>12435</v>
      </c>
      <c r="D362" s="727"/>
      <c r="E362" s="729">
        <v>30000.0</v>
      </c>
      <c r="F362" s="727">
        <f t="shared" si="8"/>
        <v>47700</v>
      </c>
      <c r="G362" s="6" t="s">
        <v>3799</v>
      </c>
      <c r="H362" s="6" t="s">
        <v>12274</v>
      </c>
      <c r="J362" s="727"/>
      <c r="K362" s="727"/>
      <c r="L362" s="727"/>
      <c r="M362" s="727"/>
      <c r="N362" s="727"/>
      <c r="O362" s="727"/>
    </row>
    <row r="363">
      <c r="A363" s="113">
        <v>45675.0</v>
      </c>
      <c r="B363" s="6" t="s">
        <v>12177</v>
      </c>
      <c r="D363" s="729">
        <v>1500000.0</v>
      </c>
      <c r="E363" s="727"/>
      <c r="F363" s="727">
        <f t="shared" si="8"/>
        <v>1547700</v>
      </c>
      <c r="G363" s="6" t="s">
        <v>3799</v>
      </c>
      <c r="H363" s="6" t="s">
        <v>3799</v>
      </c>
      <c r="J363" s="727"/>
      <c r="K363" s="727"/>
      <c r="L363" s="727"/>
      <c r="M363" s="727"/>
      <c r="N363" s="727"/>
      <c r="O363" s="727"/>
    </row>
    <row r="364">
      <c r="A364" s="113">
        <v>45675.0</v>
      </c>
      <c r="B364" s="6" t="s">
        <v>12417</v>
      </c>
      <c r="C364" s="6" t="s">
        <v>12391</v>
      </c>
      <c r="D364" s="727"/>
      <c r="E364" s="729">
        <v>200000.0</v>
      </c>
      <c r="F364" s="727">
        <f t="shared" si="8"/>
        <v>1347700</v>
      </c>
      <c r="G364" s="6" t="s">
        <v>3799</v>
      </c>
      <c r="H364" s="6" t="s">
        <v>12271</v>
      </c>
      <c r="J364" s="727"/>
      <c r="K364" s="727"/>
      <c r="L364" s="727"/>
      <c r="M364" s="727"/>
      <c r="N364" s="727"/>
      <c r="O364" s="727"/>
    </row>
    <row r="365">
      <c r="B365" s="6" t="s">
        <v>12279</v>
      </c>
      <c r="C365" s="6" t="s">
        <v>12339</v>
      </c>
      <c r="D365" s="727"/>
      <c r="E365" s="729">
        <v>300000.0</v>
      </c>
      <c r="F365" s="727">
        <f t="shared" si="8"/>
        <v>1047700</v>
      </c>
      <c r="G365" s="6" t="s">
        <v>3799</v>
      </c>
      <c r="H365" s="6" t="s">
        <v>12271</v>
      </c>
      <c r="J365" s="727"/>
      <c r="K365" s="727"/>
      <c r="L365" s="727"/>
      <c r="M365" s="727"/>
      <c r="N365" s="727"/>
      <c r="O365" s="727"/>
    </row>
    <row r="366">
      <c r="B366" s="6" t="s">
        <v>12279</v>
      </c>
      <c r="C366" s="6" t="s">
        <v>12436</v>
      </c>
      <c r="D366" s="727"/>
      <c r="E366" s="729">
        <v>300000.0</v>
      </c>
      <c r="F366" s="727">
        <f t="shared" si="8"/>
        <v>747700</v>
      </c>
      <c r="G366" s="6" t="s">
        <v>3799</v>
      </c>
      <c r="J366" s="727"/>
      <c r="K366" s="727"/>
      <c r="L366" s="727"/>
      <c r="M366" s="727"/>
      <c r="N366" s="727"/>
      <c r="O366" s="727"/>
    </row>
    <row r="367">
      <c r="B367" s="6" t="s">
        <v>12279</v>
      </c>
      <c r="C367" s="6" t="s">
        <v>12437</v>
      </c>
      <c r="D367" s="727"/>
      <c r="E367" s="729">
        <v>300000.0</v>
      </c>
      <c r="F367" s="727">
        <f t="shared" si="8"/>
        <v>447700</v>
      </c>
      <c r="G367" s="6" t="s">
        <v>3799</v>
      </c>
      <c r="J367" s="727"/>
      <c r="K367" s="727"/>
      <c r="L367" s="727"/>
      <c r="M367" s="727"/>
      <c r="N367" s="727"/>
      <c r="O367" s="727"/>
    </row>
    <row r="368">
      <c r="B368" s="6" t="s">
        <v>12279</v>
      </c>
      <c r="C368" s="6" t="s">
        <v>12438</v>
      </c>
      <c r="D368" s="727"/>
      <c r="E368" s="729">
        <v>300000.0</v>
      </c>
      <c r="F368" s="727">
        <f t="shared" si="8"/>
        <v>147700</v>
      </c>
      <c r="J368" s="727"/>
      <c r="K368" s="727"/>
      <c r="L368" s="727"/>
      <c r="M368" s="727"/>
      <c r="N368" s="727"/>
      <c r="O368" s="727"/>
    </row>
    <row r="369">
      <c r="A369" s="113">
        <v>45676.0</v>
      </c>
      <c r="B369" s="6" t="s">
        <v>12177</v>
      </c>
      <c r="D369" s="729">
        <v>300000.0</v>
      </c>
      <c r="E369" s="727"/>
      <c r="F369" s="727">
        <f t="shared" si="8"/>
        <v>447700</v>
      </c>
      <c r="J369" s="727"/>
      <c r="K369" s="727"/>
      <c r="L369" s="727"/>
      <c r="M369" s="727"/>
      <c r="N369" s="727"/>
      <c r="O369" s="727"/>
    </row>
    <row r="370">
      <c r="A370" s="113">
        <v>45676.0</v>
      </c>
      <c r="B370" s="6" t="s">
        <v>12367</v>
      </c>
      <c r="C370" s="6" t="s">
        <v>12439</v>
      </c>
      <c r="D370" s="727"/>
      <c r="E370" s="729">
        <v>250000.0</v>
      </c>
      <c r="F370" s="727">
        <f t="shared" si="8"/>
        <v>197700</v>
      </c>
      <c r="G370" s="6" t="s">
        <v>3883</v>
      </c>
      <c r="H370" s="6" t="s">
        <v>12440</v>
      </c>
      <c r="J370" s="727"/>
      <c r="K370" s="727"/>
      <c r="L370" s="727"/>
      <c r="M370" s="727"/>
      <c r="N370" s="727"/>
      <c r="O370" s="727"/>
    </row>
    <row r="371">
      <c r="A371" s="113">
        <v>45676.0</v>
      </c>
      <c r="B371" s="6" t="s">
        <v>12401</v>
      </c>
      <c r="D371" s="727"/>
      <c r="E371" s="729">
        <v>50000.0</v>
      </c>
      <c r="F371" s="727">
        <f t="shared" si="8"/>
        <v>147700</v>
      </c>
      <c r="G371" s="6" t="s">
        <v>3883</v>
      </c>
      <c r="H371" s="6" t="s">
        <v>12274</v>
      </c>
      <c r="J371" s="727"/>
      <c r="K371" s="727"/>
      <c r="L371" s="727"/>
      <c r="M371" s="727"/>
      <c r="N371" s="727"/>
      <c r="O371" s="727"/>
    </row>
    <row r="372">
      <c r="A372" s="113">
        <v>45679.0</v>
      </c>
      <c r="B372" s="6" t="s">
        <v>12430</v>
      </c>
      <c r="C372" s="6" t="s">
        <v>12441</v>
      </c>
      <c r="D372" s="727"/>
      <c r="E372" s="729">
        <v>100000.0</v>
      </c>
      <c r="F372" s="727">
        <f t="shared" si="8"/>
        <v>47700</v>
      </c>
      <c r="G372" s="6" t="s">
        <v>3799</v>
      </c>
      <c r="H372" s="6" t="s">
        <v>12274</v>
      </c>
      <c r="J372" s="727"/>
      <c r="K372" s="727"/>
      <c r="L372" s="727"/>
      <c r="M372" s="727"/>
      <c r="N372" s="727"/>
      <c r="O372" s="727"/>
    </row>
    <row r="373">
      <c r="A373" s="113">
        <v>45679.0</v>
      </c>
      <c r="B373" s="6" t="s">
        <v>12427</v>
      </c>
      <c r="C373" s="6" t="s">
        <v>12382</v>
      </c>
      <c r="D373" s="727"/>
      <c r="E373" s="729">
        <v>5000.0</v>
      </c>
      <c r="F373" s="727">
        <f t="shared" si="8"/>
        <v>42700</v>
      </c>
      <c r="G373" s="6" t="s">
        <v>3799</v>
      </c>
      <c r="H373" s="6" t="s">
        <v>12274</v>
      </c>
      <c r="J373" s="727"/>
      <c r="K373" s="727"/>
      <c r="L373" s="727"/>
      <c r="M373" s="727"/>
      <c r="N373" s="727"/>
      <c r="O373" s="727"/>
    </row>
    <row r="374">
      <c r="A374" s="113">
        <v>45680.0</v>
      </c>
      <c r="B374" s="6" t="s">
        <v>12427</v>
      </c>
      <c r="C374" s="6" t="s">
        <v>12382</v>
      </c>
      <c r="D374" s="727"/>
      <c r="E374" s="729">
        <v>5000.0</v>
      </c>
      <c r="F374" s="727">
        <f t="shared" si="8"/>
        <v>37700</v>
      </c>
      <c r="G374" s="6" t="s">
        <v>3799</v>
      </c>
      <c r="H374" s="6" t="s">
        <v>12274</v>
      </c>
      <c r="J374" s="727"/>
      <c r="K374" s="727"/>
      <c r="L374" s="727"/>
      <c r="M374" s="727"/>
      <c r="N374" s="727"/>
      <c r="O374" s="727"/>
    </row>
    <row r="375">
      <c r="A375" s="113">
        <v>45680.0</v>
      </c>
      <c r="B375" s="6" t="s">
        <v>12177</v>
      </c>
      <c r="D375" s="729">
        <v>450000.0</v>
      </c>
      <c r="E375" s="727"/>
      <c r="F375" s="727">
        <f t="shared" si="8"/>
        <v>487700</v>
      </c>
      <c r="G375" s="6" t="s">
        <v>3799</v>
      </c>
      <c r="H375" s="6" t="s">
        <v>3799</v>
      </c>
      <c r="J375" s="727"/>
      <c r="K375" s="727"/>
      <c r="L375" s="727"/>
      <c r="M375" s="727"/>
      <c r="N375" s="727"/>
      <c r="O375" s="727"/>
    </row>
    <row r="376">
      <c r="A376" s="113">
        <v>45680.0</v>
      </c>
      <c r="B376" s="6" t="s">
        <v>12430</v>
      </c>
      <c r="C376" s="6" t="s">
        <v>12442</v>
      </c>
      <c r="D376" s="727"/>
      <c r="E376" s="729">
        <v>55000.0</v>
      </c>
      <c r="F376" s="727">
        <f t="shared" si="8"/>
        <v>432700</v>
      </c>
      <c r="G376" s="6" t="s">
        <v>3799</v>
      </c>
      <c r="H376" s="6" t="s">
        <v>12274</v>
      </c>
      <c r="J376" s="727"/>
      <c r="K376" s="727"/>
      <c r="L376" s="727"/>
      <c r="M376" s="727"/>
      <c r="N376" s="727"/>
      <c r="O376" s="727"/>
    </row>
    <row r="377">
      <c r="A377" s="113">
        <v>45680.0</v>
      </c>
      <c r="B377" s="6" t="s">
        <v>12184</v>
      </c>
      <c r="C377" s="6" t="s">
        <v>12443</v>
      </c>
      <c r="D377" s="727"/>
      <c r="E377" s="729">
        <v>36000.0</v>
      </c>
      <c r="F377" s="727">
        <f t="shared" si="8"/>
        <v>396700</v>
      </c>
      <c r="G377" s="6" t="s">
        <v>3799</v>
      </c>
      <c r="H377" s="6" t="s">
        <v>12274</v>
      </c>
      <c r="J377" s="727"/>
      <c r="K377" s="727"/>
      <c r="L377" s="727"/>
      <c r="M377" s="727"/>
      <c r="N377" s="727"/>
      <c r="O377" s="727"/>
    </row>
    <row r="378">
      <c r="A378" s="113">
        <v>45685.0</v>
      </c>
      <c r="B378" s="6" t="s">
        <v>12417</v>
      </c>
      <c r="C378" s="6" t="s">
        <v>12391</v>
      </c>
      <c r="D378" s="727"/>
      <c r="E378" s="729">
        <v>300000.0</v>
      </c>
      <c r="F378" s="727">
        <f t="shared" si="8"/>
        <v>96700</v>
      </c>
      <c r="G378" s="6" t="s">
        <v>3883</v>
      </c>
      <c r="H378" s="6" t="s">
        <v>12274</v>
      </c>
      <c r="J378" s="727"/>
      <c r="K378" s="727"/>
      <c r="L378" s="727"/>
      <c r="M378" s="727"/>
      <c r="N378" s="727"/>
      <c r="O378" s="727"/>
    </row>
    <row r="379">
      <c r="A379" s="113">
        <v>45685.0</v>
      </c>
      <c r="B379" s="6" t="s">
        <v>12177</v>
      </c>
      <c r="D379" s="729">
        <v>250000.0</v>
      </c>
      <c r="E379" s="727"/>
      <c r="F379" s="727">
        <f t="shared" si="8"/>
        <v>346700</v>
      </c>
      <c r="G379" s="6" t="s">
        <v>3883</v>
      </c>
      <c r="H379" s="6" t="s">
        <v>3883</v>
      </c>
      <c r="J379" s="727"/>
      <c r="K379" s="727"/>
      <c r="L379" s="727"/>
      <c r="M379" s="727"/>
      <c r="N379" s="727"/>
      <c r="O379" s="727"/>
    </row>
    <row r="380">
      <c r="A380" s="113">
        <v>45686.0</v>
      </c>
      <c r="B380" s="6" t="s">
        <v>12430</v>
      </c>
      <c r="C380" s="6" t="s">
        <v>12441</v>
      </c>
      <c r="D380" s="727"/>
      <c r="E380" s="729">
        <v>100000.0</v>
      </c>
      <c r="F380" s="727">
        <f t="shared" si="8"/>
        <v>246700</v>
      </c>
      <c r="G380" s="6" t="s">
        <v>3883</v>
      </c>
      <c r="H380" s="6" t="s">
        <v>12274</v>
      </c>
      <c r="J380" s="727"/>
      <c r="K380" s="727"/>
      <c r="L380" s="727"/>
      <c r="M380" s="727"/>
      <c r="N380" s="727"/>
      <c r="O380" s="727"/>
    </row>
    <row r="381">
      <c r="A381" s="113">
        <v>45686.0</v>
      </c>
      <c r="B381" s="6" t="s">
        <v>12267</v>
      </c>
      <c r="C381" s="6" t="s">
        <v>12444</v>
      </c>
      <c r="D381" s="727"/>
      <c r="E381" s="729">
        <v>54700.0</v>
      </c>
      <c r="F381" s="727">
        <f t="shared" si="8"/>
        <v>192000</v>
      </c>
      <c r="G381" s="6" t="s">
        <v>3883</v>
      </c>
      <c r="H381" s="6" t="s">
        <v>12274</v>
      </c>
      <c r="J381" s="727"/>
      <c r="K381" s="727"/>
      <c r="L381" s="727"/>
      <c r="M381" s="727"/>
      <c r="N381" s="727"/>
      <c r="O381" s="727"/>
    </row>
    <row r="382">
      <c r="A382" s="113">
        <v>45687.0</v>
      </c>
      <c r="B382" s="6" t="s">
        <v>12179</v>
      </c>
      <c r="D382" s="727"/>
      <c r="E382" s="729">
        <v>83000.0</v>
      </c>
      <c r="F382" s="727">
        <f t="shared" si="8"/>
        <v>109000</v>
      </c>
      <c r="G382" s="6" t="s">
        <v>3799</v>
      </c>
      <c r="H382" s="6" t="s">
        <v>12412</v>
      </c>
      <c r="J382" s="727"/>
      <c r="K382" s="727"/>
      <c r="L382" s="727"/>
      <c r="M382" s="727"/>
      <c r="N382" s="727"/>
      <c r="O382" s="727"/>
    </row>
    <row r="383">
      <c r="A383" s="113">
        <v>45688.0</v>
      </c>
      <c r="B383" s="6" t="s">
        <v>12177</v>
      </c>
      <c r="D383" s="729">
        <v>500000.0</v>
      </c>
      <c r="E383" s="727"/>
      <c r="F383" s="727">
        <f t="shared" si="8"/>
        <v>609000</v>
      </c>
      <c r="G383" s="6" t="s">
        <v>3799</v>
      </c>
      <c r="H383" s="6" t="s">
        <v>3799</v>
      </c>
      <c r="J383" s="727"/>
      <c r="K383" s="727"/>
      <c r="L383" s="727"/>
      <c r="M383" s="727"/>
      <c r="N383" s="727"/>
      <c r="O383" s="727"/>
    </row>
    <row r="384">
      <c r="A384" s="113">
        <v>45688.0</v>
      </c>
      <c r="B384" s="6" t="s">
        <v>12417</v>
      </c>
      <c r="C384" s="6" t="s">
        <v>12445</v>
      </c>
      <c r="D384" s="727"/>
      <c r="E384" s="729">
        <v>300000.0</v>
      </c>
      <c r="F384" s="727">
        <f t="shared" si="8"/>
        <v>309000</v>
      </c>
      <c r="G384" s="6" t="s">
        <v>3799</v>
      </c>
      <c r="H384" s="6" t="s">
        <v>12274</v>
      </c>
      <c r="J384" s="727"/>
      <c r="K384" s="727"/>
      <c r="L384" s="727"/>
      <c r="M384" s="727"/>
      <c r="N384" s="727"/>
      <c r="O384" s="727"/>
    </row>
    <row r="385">
      <c r="A385" s="113">
        <v>45688.0</v>
      </c>
      <c r="B385" s="6" t="s">
        <v>12417</v>
      </c>
      <c r="C385" s="6" t="s">
        <v>12446</v>
      </c>
      <c r="D385" s="727"/>
      <c r="E385" s="729">
        <v>150000.0</v>
      </c>
      <c r="F385" s="727">
        <f t="shared" si="8"/>
        <v>159000</v>
      </c>
      <c r="G385" s="6" t="s">
        <v>3799</v>
      </c>
      <c r="H385" s="6" t="s">
        <v>12274</v>
      </c>
      <c r="J385" s="727"/>
      <c r="K385" s="727"/>
      <c r="L385" s="727"/>
      <c r="M385" s="727"/>
      <c r="N385" s="727"/>
      <c r="O385" s="727"/>
    </row>
    <row r="386">
      <c r="A386" s="113">
        <v>45688.0</v>
      </c>
      <c r="B386" s="6" t="s">
        <v>12447</v>
      </c>
      <c r="C386" s="6" t="s">
        <v>12448</v>
      </c>
      <c r="D386" s="727"/>
      <c r="E386" s="729">
        <v>30000.0</v>
      </c>
      <c r="F386" s="727">
        <f t="shared" si="8"/>
        <v>129000</v>
      </c>
      <c r="G386" s="6" t="s">
        <v>3799</v>
      </c>
      <c r="H386" s="6" t="s">
        <v>12274</v>
      </c>
      <c r="J386" s="727"/>
      <c r="K386" s="727"/>
      <c r="L386" s="727"/>
      <c r="M386" s="727"/>
      <c r="N386" s="727"/>
      <c r="O386" s="727"/>
    </row>
    <row r="387">
      <c r="A387" s="113">
        <v>45688.0</v>
      </c>
      <c r="B387" s="6" t="s">
        <v>12179</v>
      </c>
      <c r="C387" s="6" t="s">
        <v>12449</v>
      </c>
      <c r="D387" s="727"/>
      <c r="E387" s="729">
        <v>110000.0</v>
      </c>
      <c r="F387" s="727">
        <f t="shared" si="8"/>
        <v>19000</v>
      </c>
      <c r="G387" s="6" t="s">
        <v>3799</v>
      </c>
      <c r="H387" s="6" t="s">
        <v>12412</v>
      </c>
      <c r="J387" s="727"/>
      <c r="K387" s="727"/>
      <c r="L387" s="727"/>
      <c r="M387" s="727"/>
      <c r="N387" s="727"/>
      <c r="O387" s="727"/>
    </row>
    <row r="388">
      <c r="A388" s="113">
        <v>45689.0</v>
      </c>
      <c r="B388" s="6" t="s">
        <v>12427</v>
      </c>
      <c r="C388" s="6" t="s">
        <v>12382</v>
      </c>
      <c r="D388" s="727"/>
      <c r="E388" s="729">
        <v>5000.0</v>
      </c>
      <c r="F388" s="727">
        <f t="shared" si="8"/>
        <v>14000</v>
      </c>
      <c r="G388" s="6" t="s">
        <v>3799</v>
      </c>
      <c r="H388" s="6" t="s">
        <v>12274</v>
      </c>
      <c r="J388" s="727"/>
      <c r="K388" s="727"/>
      <c r="L388" s="727"/>
      <c r="M388" s="727"/>
      <c r="N388" s="727"/>
      <c r="O388" s="727"/>
    </row>
    <row r="389">
      <c r="A389" s="113">
        <v>45660.0</v>
      </c>
      <c r="B389" s="6" t="s">
        <v>12177</v>
      </c>
      <c r="D389" s="729">
        <v>300000.0</v>
      </c>
      <c r="E389" s="727"/>
      <c r="F389" s="727">
        <f t="shared" si="8"/>
        <v>314000</v>
      </c>
      <c r="G389" s="6" t="s">
        <v>3799</v>
      </c>
      <c r="H389" s="6" t="s">
        <v>3799</v>
      </c>
      <c r="J389" s="727"/>
      <c r="K389" s="727"/>
      <c r="L389" s="727"/>
      <c r="M389" s="727"/>
      <c r="N389" s="727"/>
      <c r="O389" s="727"/>
    </row>
    <row r="390">
      <c r="A390" s="113">
        <v>45660.0</v>
      </c>
      <c r="B390" s="6" t="s">
        <v>12417</v>
      </c>
      <c r="C390" s="6" t="s">
        <v>12391</v>
      </c>
      <c r="D390" s="727"/>
      <c r="E390" s="729">
        <v>200000.0</v>
      </c>
      <c r="F390" s="727">
        <f t="shared" si="8"/>
        <v>114000</v>
      </c>
      <c r="G390" s="6" t="s">
        <v>3799</v>
      </c>
      <c r="H390" s="6" t="s">
        <v>12274</v>
      </c>
      <c r="J390" s="727"/>
      <c r="K390" s="727"/>
      <c r="L390" s="727"/>
      <c r="M390" s="727"/>
      <c r="N390" s="727"/>
      <c r="O390" s="727"/>
    </row>
    <row r="391">
      <c r="A391" s="113">
        <v>45660.0</v>
      </c>
      <c r="B391" s="6" t="s">
        <v>12184</v>
      </c>
      <c r="C391" s="6" t="s">
        <v>12450</v>
      </c>
      <c r="D391" s="727"/>
      <c r="E391" s="729">
        <v>27000.0</v>
      </c>
      <c r="F391" s="727">
        <f t="shared" si="8"/>
        <v>87000</v>
      </c>
      <c r="G391" s="6" t="s">
        <v>3799</v>
      </c>
      <c r="H391" s="6" t="s">
        <v>12271</v>
      </c>
      <c r="J391" s="727"/>
      <c r="K391" s="727"/>
      <c r="L391" s="727"/>
      <c r="M391" s="727"/>
      <c r="N391" s="727"/>
      <c r="O391" s="727"/>
    </row>
    <row r="392">
      <c r="A392" s="739" t="s">
        <v>12451</v>
      </c>
      <c r="J392" s="727"/>
      <c r="K392" s="727"/>
      <c r="L392" s="727"/>
      <c r="M392" s="727"/>
      <c r="N392" s="727"/>
      <c r="O392" s="727"/>
    </row>
    <row r="393">
      <c r="A393" s="113">
        <v>45693.0</v>
      </c>
      <c r="B393" s="6" t="s">
        <v>12177</v>
      </c>
      <c r="D393" s="729">
        <v>330000.0</v>
      </c>
      <c r="E393" s="727"/>
      <c r="F393" s="727">
        <f>F391+D393-E393</f>
        <v>417000</v>
      </c>
      <c r="G393" s="6" t="s">
        <v>3799</v>
      </c>
      <c r="H393" s="6" t="s">
        <v>3799</v>
      </c>
      <c r="I393" s="6" t="s">
        <v>12210</v>
      </c>
      <c r="J393" s="727"/>
      <c r="K393" s="727"/>
      <c r="L393" s="727"/>
      <c r="M393" s="727"/>
      <c r="N393" s="727"/>
      <c r="O393" s="727"/>
    </row>
    <row r="394">
      <c r="A394" s="113">
        <v>45693.0</v>
      </c>
      <c r="B394" s="6" t="s">
        <v>12452</v>
      </c>
      <c r="D394" s="727"/>
      <c r="E394" s="729">
        <v>200000.0</v>
      </c>
      <c r="F394" s="727">
        <f t="shared" ref="F394:F432" si="9">F393+D394-E394</f>
        <v>217000</v>
      </c>
      <c r="G394" s="6" t="s">
        <v>3799</v>
      </c>
      <c r="H394" s="6" t="s">
        <v>12274</v>
      </c>
      <c r="J394" s="727"/>
      <c r="K394" s="727"/>
      <c r="L394" s="727"/>
      <c r="M394" s="727"/>
      <c r="N394" s="727"/>
      <c r="O394" s="727"/>
    </row>
    <row r="395">
      <c r="A395" s="113">
        <v>45694.0</v>
      </c>
      <c r="B395" s="6" t="s">
        <v>12427</v>
      </c>
      <c r="C395" s="6" t="s">
        <v>12382</v>
      </c>
      <c r="D395" s="727"/>
      <c r="E395" s="729">
        <v>5000.0</v>
      </c>
      <c r="F395" s="727">
        <f t="shared" si="9"/>
        <v>212000</v>
      </c>
      <c r="G395" s="6" t="s">
        <v>3799</v>
      </c>
      <c r="H395" s="6" t="s">
        <v>12271</v>
      </c>
      <c r="J395" s="727"/>
      <c r="K395" s="727"/>
      <c r="L395" s="727"/>
      <c r="M395" s="727"/>
      <c r="N395" s="727"/>
      <c r="O395" s="727"/>
    </row>
    <row r="396">
      <c r="A396" s="113">
        <v>45695.0</v>
      </c>
      <c r="B396" s="6" t="s">
        <v>12427</v>
      </c>
      <c r="C396" s="6" t="s">
        <v>12382</v>
      </c>
      <c r="D396" s="727"/>
      <c r="E396" s="729">
        <v>5000.0</v>
      </c>
      <c r="F396" s="727">
        <f t="shared" si="9"/>
        <v>207000</v>
      </c>
      <c r="G396" s="6" t="s">
        <v>3799</v>
      </c>
      <c r="H396" s="6" t="s">
        <v>12274</v>
      </c>
      <c r="J396" s="727"/>
      <c r="K396" s="727"/>
      <c r="L396" s="727"/>
      <c r="M396" s="727"/>
      <c r="N396" s="727"/>
      <c r="O396" s="727"/>
    </row>
    <row r="397">
      <c r="A397" s="113">
        <v>45696.0</v>
      </c>
      <c r="B397" s="6" t="s">
        <v>12177</v>
      </c>
      <c r="D397" s="729">
        <v>300000.0</v>
      </c>
      <c r="E397" s="727"/>
      <c r="F397" s="727">
        <f t="shared" si="9"/>
        <v>507000</v>
      </c>
      <c r="G397" s="6" t="s">
        <v>3799</v>
      </c>
      <c r="H397" s="6" t="s">
        <v>3799</v>
      </c>
      <c r="J397" s="727"/>
      <c r="K397" s="727"/>
      <c r="L397" s="727"/>
      <c r="M397" s="727"/>
      <c r="N397" s="727"/>
      <c r="O397" s="727"/>
    </row>
    <row r="398">
      <c r="A398" s="113">
        <v>45696.0</v>
      </c>
      <c r="B398" s="6" t="s">
        <v>12417</v>
      </c>
      <c r="C398" s="6" t="s">
        <v>12453</v>
      </c>
      <c r="D398" s="727"/>
      <c r="E398" s="729">
        <v>295000.0</v>
      </c>
      <c r="F398" s="727">
        <f t="shared" si="9"/>
        <v>212000</v>
      </c>
      <c r="G398" s="6" t="s">
        <v>3799</v>
      </c>
      <c r="H398" s="6" t="s">
        <v>12271</v>
      </c>
      <c r="J398" s="727"/>
      <c r="K398" s="727"/>
      <c r="L398" s="727"/>
      <c r="M398" s="727"/>
      <c r="N398" s="727"/>
      <c r="O398" s="727"/>
    </row>
    <row r="399">
      <c r="A399" s="113">
        <v>45696.0</v>
      </c>
      <c r="B399" s="6" t="s">
        <v>12267</v>
      </c>
      <c r="C399" s="6" t="s">
        <v>12454</v>
      </c>
      <c r="D399" s="727"/>
      <c r="E399" s="729">
        <v>22800.0</v>
      </c>
      <c r="F399" s="727">
        <f t="shared" si="9"/>
        <v>189200</v>
      </c>
      <c r="G399" s="6" t="s">
        <v>3799</v>
      </c>
      <c r="H399" s="6" t="s">
        <v>12274</v>
      </c>
      <c r="J399" s="727"/>
      <c r="K399" s="727"/>
      <c r="L399" s="727"/>
      <c r="M399" s="727"/>
      <c r="N399" s="727"/>
      <c r="O399" s="727"/>
    </row>
    <row r="400">
      <c r="A400" s="113">
        <v>45696.0</v>
      </c>
      <c r="B400" s="6" t="s">
        <v>12455</v>
      </c>
      <c r="D400" s="727"/>
      <c r="E400" s="729">
        <v>17500.0</v>
      </c>
      <c r="F400" s="727">
        <f t="shared" si="9"/>
        <v>171700</v>
      </c>
      <c r="G400" s="6" t="s">
        <v>3799</v>
      </c>
      <c r="H400" s="6" t="s">
        <v>3883</v>
      </c>
      <c r="J400" s="727"/>
      <c r="K400" s="727"/>
      <c r="L400" s="727"/>
      <c r="M400" s="727"/>
      <c r="N400" s="727"/>
      <c r="O400" s="727"/>
    </row>
    <row r="401">
      <c r="A401" s="113">
        <v>45696.0</v>
      </c>
      <c r="B401" s="6" t="s">
        <v>12456</v>
      </c>
      <c r="D401" s="727"/>
      <c r="E401" s="729">
        <v>85000.0</v>
      </c>
      <c r="F401" s="727">
        <f t="shared" si="9"/>
        <v>86700</v>
      </c>
      <c r="G401" s="6" t="s">
        <v>3799</v>
      </c>
      <c r="H401" s="6" t="s">
        <v>12457</v>
      </c>
      <c r="J401" s="727"/>
      <c r="K401" s="727"/>
      <c r="L401" s="727"/>
      <c r="M401" s="727"/>
      <c r="N401" s="727"/>
      <c r="O401" s="727"/>
    </row>
    <row r="402">
      <c r="A402" s="113">
        <v>45697.0</v>
      </c>
      <c r="B402" s="6" t="s">
        <v>12401</v>
      </c>
      <c r="D402" s="727"/>
      <c r="E402" s="729">
        <v>50000.0</v>
      </c>
      <c r="F402" s="727">
        <f t="shared" si="9"/>
        <v>36700</v>
      </c>
      <c r="G402" s="6" t="s">
        <v>3883</v>
      </c>
      <c r="H402" s="6" t="s">
        <v>12458</v>
      </c>
      <c r="J402" s="727"/>
      <c r="K402" s="727"/>
      <c r="L402" s="727"/>
      <c r="M402" s="727"/>
      <c r="N402" s="727"/>
      <c r="O402" s="727"/>
    </row>
    <row r="403">
      <c r="A403" s="113">
        <v>45697.0</v>
      </c>
      <c r="B403" s="6" t="s">
        <v>12367</v>
      </c>
      <c r="C403" s="6" t="s">
        <v>12459</v>
      </c>
      <c r="D403" s="727"/>
      <c r="E403" s="729">
        <v>10000.0</v>
      </c>
      <c r="F403" s="727">
        <f t="shared" si="9"/>
        <v>26700</v>
      </c>
      <c r="G403" s="6" t="s">
        <v>3883</v>
      </c>
      <c r="H403" s="6" t="s">
        <v>12271</v>
      </c>
      <c r="J403" s="727"/>
      <c r="K403" s="727"/>
      <c r="L403" s="727"/>
      <c r="M403" s="727"/>
      <c r="N403" s="727"/>
      <c r="O403" s="727"/>
    </row>
    <row r="404">
      <c r="A404" s="113">
        <v>45699.0</v>
      </c>
      <c r="B404" s="6" t="s">
        <v>12460</v>
      </c>
      <c r="C404" s="6" t="s">
        <v>12382</v>
      </c>
      <c r="D404" s="727"/>
      <c r="E404" s="729">
        <v>5000.0</v>
      </c>
      <c r="F404" s="727">
        <f t="shared" si="9"/>
        <v>21700</v>
      </c>
      <c r="G404" s="6" t="s">
        <v>3799</v>
      </c>
      <c r="H404" s="6" t="s">
        <v>12271</v>
      </c>
      <c r="J404" s="727"/>
      <c r="K404" s="727"/>
      <c r="L404" s="727"/>
      <c r="M404" s="727"/>
      <c r="N404" s="727"/>
      <c r="O404" s="727"/>
    </row>
    <row r="405">
      <c r="A405" s="113">
        <v>45699.0</v>
      </c>
      <c r="B405" s="6" t="s">
        <v>12177</v>
      </c>
      <c r="D405" s="729">
        <v>300000.0</v>
      </c>
      <c r="E405" s="727"/>
      <c r="F405" s="727">
        <f t="shared" si="9"/>
        <v>321700</v>
      </c>
      <c r="G405" s="6" t="s">
        <v>3799</v>
      </c>
      <c r="H405" s="6" t="s">
        <v>3799</v>
      </c>
      <c r="J405" s="727"/>
      <c r="K405" s="727"/>
      <c r="L405" s="727"/>
      <c r="M405" s="727"/>
      <c r="N405" s="727"/>
      <c r="O405" s="727"/>
    </row>
    <row r="406">
      <c r="A406" s="113">
        <v>45699.0</v>
      </c>
      <c r="B406" s="6" t="s">
        <v>12184</v>
      </c>
      <c r="C406" s="6" t="s">
        <v>12450</v>
      </c>
      <c r="D406" s="727"/>
      <c r="E406" s="729">
        <v>27000.0</v>
      </c>
      <c r="F406" s="727">
        <f t="shared" si="9"/>
        <v>294700</v>
      </c>
      <c r="G406" s="6" t="s">
        <v>3799</v>
      </c>
      <c r="H406" s="6" t="s">
        <v>12461</v>
      </c>
      <c r="J406" s="727"/>
      <c r="K406" s="727"/>
      <c r="L406" s="727"/>
      <c r="M406" s="727"/>
      <c r="N406" s="727"/>
      <c r="O406" s="727"/>
    </row>
    <row r="407">
      <c r="A407" s="113">
        <v>45700.0</v>
      </c>
      <c r="B407" s="6" t="s">
        <v>12427</v>
      </c>
      <c r="C407" s="6" t="s">
        <v>12382</v>
      </c>
      <c r="D407" s="727"/>
      <c r="E407" s="729">
        <v>5000.0</v>
      </c>
      <c r="F407" s="727">
        <f t="shared" si="9"/>
        <v>289700</v>
      </c>
      <c r="G407" s="6" t="s">
        <v>3799</v>
      </c>
      <c r="H407" s="6" t="s">
        <v>12271</v>
      </c>
      <c r="J407" s="727"/>
      <c r="K407" s="727"/>
      <c r="L407" s="727"/>
      <c r="M407" s="727"/>
      <c r="N407" s="727"/>
      <c r="O407" s="727"/>
    </row>
    <row r="408">
      <c r="A408" s="113">
        <v>45701.0</v>
      </c>
      <c r="B408" s="6" t="s">
        <v>12462</v>
      </c>
      <c r="C408" s="6" t="s">
        <v>12463</v>
      </c>
      <c r="D408" s="727"/>
      <c r="E408" s="729">
        <v>18000.0</v>
      </c>
      <c r="F408" s="727">
        <f t="shared" si="9"/>
        <v>271700</v>
      </c>
      <c r="G408" s="6" t="s">
        <v>3799</v>
      </c>
      <c r="H408" s="6" t="s">
        <v>12274</v>
      </c>
      <c r="J408" s="727"/>
      <c r="K408" s="727"/>
      <c r="L408" s="727"/>
      <c r="M408" s="727"/>
      <c r="N408" s="727"/>
      <c r="O408" s="727"/>
    </row>
    <row r="409">
      <c r="A409" s="113">
        <v>45702.0</v>
      </c>
      <c r="B409" s="6" t="s">
        <v>12464</v>
      </c>
      <c r="D409" s="727"/>
      <c r="E409" s="729">
        <v>100000.0</v>
      </c>
      <c r="F409" s="727">
        <f t="shared" si="9"/>
        <v>171700</v>
      </c>
      <c r="G409" s="6" t="s">
        <v>3799</v>
      </c>
      <c r="H409" s="6" t="s">
        <v>12274</v>
      </c>
      <c r="J409" s="727"/>
      <c r="K409" s="727"/>
      <c r="L409" s="727"/>
      <c r="M409" s="727"/>
      <c r="N409" s="727"/>
      <c r="O409" s="727"/>
    </row>
    <row r="410">
      <c r="A410" s="113">
        <v>45703.0</v>
      </c>
      <c r="B410" s="6" t="s">
        <v>12177</v>
      </c>
      <c r="D410" s="729">
        <v>300000.0</v>
      </c>
      <c r="E410" s="727"/>
      <c r="F410" s="727">
        <f t="shared" si="9"/>
        <v>471700</v>
      </c>
      <c r="G410" s="6" t="s">
        <v>3799</v>
      </c>
      <c r="H410" s="6" t="s">
        <v>3799</v>
      </c>
      <c r="J410" s="727"/>
      <c r="K410" s="727"/>
      <c r="L410" s="727"/>
      <c r="M410" s="727"/>
      <c r="N410" s="727"/>
      <c r="O410" s="727"/>
    </row>
    <row r="411">
      <c r="A411" s="113">
        <v>45703.0</v>
      </c>
      <c r="B411" s="6" t="s">
        <v>12417</v>
      </c>
      <c r="C411" s="6" t="s">
        <v>12391</v>
      </c>
      <c r="D411" s="727"/>
      <c r="E411" s="729">
        <v>200000.0</v>
      </c>
      <c r="F411" s="727">
        <f t="shared" si="9"/>
        <v>271700</v>
      </c>
      <c r="G411" s="6" t="s">
        <v>3799</v>
      </c>
      <c r="H411" s="6" t="s">
        <v>12274</v>
      </c>
      <c r="J411" s="727"/>
      <c r="K411" s="727"/>
      <c r="L411" s="727"/>
      <c r="M411" s="727"/>
      <c r="N411" s="727"/>
      <c r="O411" s="727"/>
    </row>
    <row r="412">
      <c r="A412" s="113">
        <v>45703.0</v>
      </c>
      <c r="B412" s="6" t="s">
        <v>12427</v>
      </c>
      <c r="C412" s="6" t="s">
        <v>12382</v>
      </c>
      <c r="D412" s="727"/>
      <c r="E412" s="729">
        <v>5000.0</v>
      </c>
      <c r="F412" s="727">
        <f t="shared" si="9"/>
        <v>266700</v>
      </c>
      <c r="G412" s="6" t="s">
        <v>3799</v>
      </c>
      <c r="H412" s="6" t="s">
        <v>12274</v>
      </c>
      <c r="J412" s="727"/>
      <c r="K412" s="727"/>
      <c r="L412" s="727"/>
      <c r="M412" s="727"/>
      <c r="N412" s="727"/>
      <c r="O412" s="727"/>
    </row>
    <row r="413">
      <c r="A413" s="113">
        <v>45704.0</v>
      </c>
      <c r="B413" s="6" t="s">
        <v>12430</v>
      </c>
      <c r="C413" s="6" t="s">
        <v>12465</v>
      </c>
      <c r="D413" s="727"/>
      <c r="E413" s="729">
        <v>80000.0</v>
      </c>
      <c r="F413" s="727">
        <f t="shared" si="9"/>
        <v>186700</v>
      </c>
      <c r="G413" s="6" t="s">
        <v>3799</v>
      </c>
      <c r="H413" s="6" t="s">
        <v>12274</v>
      </c>
      <c r="J413" s="727"/>
      <c r="K413" s="727"/>
      <c r="L413" s="727"/>
      <c r="M413" s="727"/>
      <c r="N413" s="727"/>
      <c r="O413" s="727"/>
    </row>
    <row r="414">
      <c r="A414" s="113">
        <v>45705.0</v>
      </c>
      <c r="B414" s="6" t="s">
        <v>12466</v>
      </c>
      <c r="C414" s="6" t="s">
        <v>12467</v>
      </c>
      <c r="D414" s="727"/>
      <c r="E414" s="729">
        <v>107000.0</v>
      </c>
      <c r="F414" s="727">
        <f t="shared" si="9"/>
        <v>79700</v>
      </c>
      <c r="G414" s="6" t="s">
        <v>3799</v>
      </c>
      <c r="H414" s="6" t="s">
        <v>12461</v>
      </c>
      <c r="J414" s="727"/>
      <c r="K414" s="727"/>
      <c r="L414" s="727"/>
      <c r="M414" s="727"/>
      <c r="N414" s="727"/>
      <c r="O414" s="727"/>
    </row>
    <row r="415">
      <c r="A415" s="113">
        <v>45706.0</v>
      </c>
      <c r="B415" s="6" t="s">
        <v>12468</v>
      </c>
      <c r="C415" s="6" t="s">
        <v>12382</v>
      </c>
      <c r="D415" s="727"/>
      <c r="E415" s="729">
        <v>5000.0</v>
      </c>
      <c r="F415" s="727">
        <f t="shared" si="9"/>
        <v>74700</v>
      </c>
      <c r="G415" s="6" t="s">
        <v>3883</v>
      </c>
      <c r="H415" s="6" t="s">
        <v>12274</v>
      </c>
      <c r="J415" s="727"/>
      <c r="K415" s="727"/>
      <c r="L415" s="727"/>
      <c r="M415" s="727"/>
      <c r="N415" s="727"/>
      <c r="O415" s="727"/>
    </row>
    <row r="416">
      <c r="A416" s="113">
        <v>45707.0</v>
      </c>
      <c r="B416" s="6" t="s">
        <v>12184</v>
      </c>
      <c r="C416" s="6" t="s">
        <v>12443</v>
      </c>
      <c r="D416" s="727"/>
      <c r="E416" s="729">
        <v>36000.0</v>
      </c>
      <c r="F416" s="727">
        <f t="shared" si="9"/>
        <v>38700</v>
      </c>
      <c r="G416" s="6" t="s">
        <v>3799</v>
      </c>
      <c r="H416" s="6" t="s">
        <v>12461</v>
      </c>
      <c r="J416" s="727"/>
      <c r="K416" s="727"/>
      <c r="L416" s="727"/>
      <c r="M416" s="727"/>
      <c r="N416" s="727"/>
      <c r="O416" s="727"/>
    </row>
    <row r="417">
      <c r="A417" s="113">
        <v>45707.0</v>
      </c>
      <c r="B417" s="6" t="s">
        <v>12177</v>
      </c>
      <c r="D417" s="729">
        <v>223000.0</v>
      </c>
      <c r="E417" s="727"/>
      <c r="F417" s="727">
        <f t="shared" si="9"/>
        <v>261700</v>
      </c>
      <c r="G417" s="6" t="s">
        <v>3799</v>
      </c>
      <c r="H417" s="6" t="s">
        <v>3799</v>
      </c>
      <c r="J417" s="727"/>
      <c r="K417" s="727"/>
      <c r="L417" s="727"/>
      <c r="M417" s="727"/>
      <c r="N417" s="727"/>
      <c r="O417" s="727"/>
    </row>
    <row r="418">
      <c r="A418" s="113">
        <v>45708.0</v>
      </c>
      <c r="B418" s="6" t="s">
        <v>12427</v>
      </c>
      <c r="C418" s="6" t="s">
        <v>12382</v>
      </c>
      <c r="D418" s="727"/>
      <c r="E418" s="729">
        <v>5000.0</v>
      </c>
      <c r="F418" s="727">
        <f t="shared" si="9"/>
        <v>256700</v>
      </c>
      <c r="G418" s="6" t="s">
        <v>3799</v>
      </c>
      <c r="H418" s="6" t="s">
        <v>12274</v>
      </c>
      <c r="J418" s="727"/>
      <c r="K418" s="727"/>
      <c r="L418" s="727"/>
      <c r="M418" s="727"/>
      <c r="N418" s="727"/>
      <c r="O418" s="727"/>
    </row>
    <row r="419">
      <c r="A419" s="113">
        <v>45709.0</v>
      </c>
      <c r="B419" s="6" t="s">
        <v>12430</v>
      </c>
      <c r="C419" s="6" t="s">
        <v>12441</v>
      </c>
      <c r="D419" s="727"/>
      <c r="E419" s="729">
        <v>100000.0</v>
      </c>
      <c r="F419" s="727">
        <f t="shared" si="9"/>
        <v>156700</v>
      </c>
      <c r="G419" s="6" t="s">
        <v>3799</v>
      </c>
      <c r="H419" s="6" t="s">
        <v>12461</v>
      </c>
      <c r="J419" s="727"/>
      <c r="K419" s="727"/>
      <c r="L419" s="727"/>
      <c r="M419" s="727"/>
      <c r="N419" s="727"/>
      <c r="O419" s="727"/>
    </row>
    <row r="420">
      <c r="A420" s="113">
        <v>45710.0</v>
      </c>
      <c r="B420" s="6" t="s">
        <v>12283</v>
      </c>
      <c r="D420" s="729">
        <v>1750000.0</v>
      </c>
      <c r="E420" s="729"/>
      <c r="F420" s="727">
        <f t="shared" si="9"/>
        <v>1906700</v>
      </c>
      <c r="G420" s="6" t="s">
        <v>3799</v>
      </c>
      <c r="H420" s="6" t="s">
        <v>3799</v>
      </c>
      <c r="J420" s="727"/>
      <c r="K420" s="727"/>
      <c r="L420" s="727"/>
      <c r="M420" s="727"/>
      <c r="N420" s="727"/>
      <c r="O420" s="727"/>
    </row>
    <row r="421">
      <c r="A421" s="113">
        <v>45710.0</v>
      </c>
      <c r="B421" s="6" t="s">
        <v>12279</v>
      </c>
      <c r="C421" s="6" t="s">
        <v>12469</v>
      </c>
      <c r="D421" s="727"/>
      <c r="E421" s="729">
        <v>300000.0</v>
      </c>
      <c r="F421" s="727">
        <f t="shared" si="9"/>
        <v>1606700</v>
      </c>
      <c r="G421" s="6" t="s">
        <v>3799</v>
      </c>
      <c r="H421" s="6" t="s">
        <v>12271</v>
      </c>
      <c r="J421" s="727"/>
      <c r="K421" s="727"/>
      <c r="L421" s="727"/>
      <c r="M421" s="727"/>
      <c r="N421" s="727"/>
      <c r="O421" s="727"/>
    </row>
    <row r="422">
      <c r="A422" s="113">
        <v>45710.0</v>
      </c>
      <c r="B422" s="6" t="s">
        <v>12279</v>
      </c>
      <c r="C422" s="6" t="s">
        <v>12470</v>
      </c>
      <c r="D422" s="727"/>
      <c r="E422" s="729">
        <v>300000.0</v>
      </c>
      <c r="F422" s="727">
        <f t="shared" si="9"/>
        <v>1306700</v>
      </c>
      <c r="G422" s="6" t="s">
        <v>3799</v>
      </c>
      <c r="H422" s="6" t="s">
        <v>12274</v>
      </c>
      <c r="J422" s="727"/>
      <c r="K422" s="727"/>
      <c r="L422" s="727"/>
      <c r="M422" s="727"/>
      <c r="N422" s="727"/>
      <c r="O422" s="727"/>
    </row>
    <row r="423">
      <c r="A423" s="113">
        <v>45710.0</v>
      </c>
      <c r="B423" s="6" t="s">
        <v>12279</v>
      </c>
      <c r="C423" s="6" t="s">
        <v>12471</v>
      </c>
      <c r="D423" s="727"/>
      <c r="E423" s="729">
        <v>200000.0</v>
      </c>
      <c r="F423" s="727">
        <f t="shared" si="9"/>
        <v>1106700</v>
      </c>
      <c r="G423" s="6" t="s">
        <v>3799</v>
      </c>
      <c r="H423" s="6" t="s">
        <v>12472</v>
      </c>
      <c r="J423" s="727"/>
      <c r="K423" s="727"/>
      <c r="L423" s="727"/>
      <c r="M423" s="727"/>
      <c r="N423" s="727"/>
      <c r="O423" s="727"/>
    </row>
    <row r="424">
      <c r="A424" s="113">
        <v>45710.0</v>
      </c>
      <c r="B424" s="6" t="s">
        <v>12279</v>
      </c>
      <c r="C424" s="6" t="s">
        <v>12473</v>
      </c>
      <c r="D424" s="727"/>
      <c r="E424" s="729">
        <v>150000.0</v>
      </c>
      <c r="F424" s="727">
        <f t="shared" si="9"/>
        <v>956700</v>
      </c>
      <c r="G424" s="6" t="s">
        <v>3799</v>
      </c>
      <c r="H424" s="6" t="s">
        <v>12461</v>
      </c>
      <c r="J424" s="727"/>
      <c r="K424" s="727"/>
      <c r="L424" s="727"/>
      <c r="M424" s="727"/>
      <c r="N424" s="727"/>
      <c r="O424" s="727"/>
    </row>
    <row r="425">
      <c r="A425" s="113">
        <v>45710.0</v>
      </c>
      <c r="B425" s="6" t="s">
        <v>12279</v>
      </c>
      <c r="C425" s="6" t="s">
        <v>12474</v>
      </c>
      <c r="D425" s="727"/>
      <c r="E425" s="729">
        <v>300000.0</v>
      </c>
      <c r="F425" s="727">
        <f t="shared" si="9"/>
        <v>656700</v>
      </c>
      <c r="G425" s="6" t="s">
        <v>3799</v>
      </c>
      <c r="H425" s="6" t="s">
        <v>3883</v>
      </c>
      <c r="J425" s="727"/>
      <c r="K425" s="727"/>
      <c r="L425" s="727"/>
      <c r="M425" s="727"/>
      <c r="N425" s="727"/>
      <c r="O425" s="727"/>
    </row>
    <row r="426">
      <c r="A426" s="113">
        <v>45710.0</v>
      </c>
      <c r="B426" s="6" t="s">
        <v>12279</v>
      </c>
      <c r="C426" s="6" t="s">
        <v>12475</v>
      </c>
      <c r="D426" s="727"/>
      <c r="E426" s="729">
        <v>200000.0</v>
      </c>
      <c r="F426" s="727">
        <f t="shared" si="9"/>
        <v>456700</v>
      </c>
      <c r="G426" s="6" t="s">
        <v>3799</v>
      </c>
      <c r="H426" s="6" t="s">
        <v>3799</v>
      </c>
      <c r="J426" s="727"/>
      <c r="K426" s="727"/>
      <c r="L426" s="727"/>
      <c r="M426" s="727"/>
      <c r="N426" s="727"/>
      <c r="O426" s="727"/>
    </row>
    <row r="427">
      <c r="A427" s="113">
        <v>45710.0</v>
      </c>
      <c r="B427" s="6" t="s">
        <v>12417</v>
      </c>
      <c r="C427" s="6" t="s">
        <v>12391</v>
      </c>
      <c r="D427" s="727"/>
      <c r="E427" s="729">
        <v>300000.0</v>
      </c>
      <c r="F427" s="727">
        <f t="shared" si="9"/>
        <v>156700</v>
      </c>
      <c r="G427" s="6" t="s">
        <v>3799</v>
      </c>
      <c r="H427" s="6" t="s">
        <v>12461</v>
      </c>
      <c r="J427" s="727"/>
      <c r="K427" s="727"/>
      <c r="L427" s="727"/>
      <c r="M427" s="727"/>
      <c r="N427" s="727"/>
      <c r="O427" s="727"/>
    </row>
    <row r="428">
      <c r="A428" s="113">
        <v>45712.0</v>
      </c>
      <c r="B428" s="6" t="s">
        <v>12324</v>
      </c>
      <c r="C428" s="6" t="s">
        <v>12476</v>
      </c>
      <c r="D428" s="727"/>
      <c r="E428" s="729">
        <v>19500.0</v>
      </c>
      <c r="F428" s="727">
        <f t="shared" si="9"/>
        <v>137200</v>
      </c>
      <c r="G428" s="6" t="s">
        <v>3799</v>
      </c>
      <c r="H428" s="6" t="s">
        <v>12274</v>
      </c>
      <c r="J428" s="727"/>
      <c r="K428" s="727"/>
      <c r="L428" s="727"/>
      <c r="M428" s="727"/>
      <c r="N428" s="727"/>
      <c r="O428" s="727"/>
    </row>
    <row r="429">
      <c r="A429" s="113">
        <v>45712.0</v>
      </c>
      <c r="B429" s="6" t="s">
        <v>12283</v>
      </c>
      <c r="D429" s="729">
        <v>300000.0</v>
      </c>
      <c r="E429" s="727"/>
      <c r="F429" s="727">
        <f t="shared" si="9"/>
        <v>437200</v>
      </c>
      <c r="G429" s="6" t="s">
        <v>3799</v>
      </c>
      <c r="H429" s="6" t="s">
        <v>3799</v>
      </c>
      <c r="J429" s="727"/>
      <c r="K429" s="727"/>
      <c r="L429" s="727"/>
      <c r="M429" s="727"/>
      <c r="N429" s="727"/>
      <c r="O429" s="727"/>
    </row>
    <row r="430">
      <c r="A430" s="113">
        <v>45712.0</v>
      </c>
      <c r="B430" s="6" t="s">
        <v>12477</v>
      </c>
      <c r="C430" s="6" t="s">
        <v>12478</v>
      </c>
      <c r="D430" s="727"/>
      <c r="E430" s="729">
        <v>200000.0</v>
      </c>
      <c r="F430" s="727">
        <f t="shared" si="9"/>
        <v>237200</v>
      </c>
      <c r="G430" s="6" t="s">
        <v>3799</v>
      </c>
      <c r="H430" s="6" t="s">
        <v>12274</v>
      </c>
      <c r="J430" s="727"/>
      <c r="K430" s="727"/>
      <c r="L430" s="727"/>
      <c r="M430" s="727"/>
      <c r="N430" s="727"/>
      <c r="O430" s="727"/>
    </row>
    <row r="431">
      <c r="A431" s="113">
        <v>45712.0</v>
      </c>
      <c r="B431" s="6" t="s">
        <v>12384</v>
      </c>
      <c r="C431" s="6" t="s">
        <v>12382</v>
      </c>
      <c r="D431" s="727"/>
      <c r="E431" s="729">
        <v>5000.0</v>
      </c>
      <c r="F431" s="727">
        <f t="shared" si="9"/>
        <v>232200</v>
      </c>
      <c r="G431" s="6" t="s">
        <v>3799</v>
      </c>
      <c r="H431" s="6" t="s">
        <v>12461</v>
      </c>
      <c r="J431" s="727"/>
      <c r="K431" s="727"/>
      <c r="L431" s="727"/>
      <c r="M431" s="727"/>
      <c r="N431" s="727"/>
      <c r="O431" s="727"/>
    </row>
    <row r="432">
      <c r="A432" s="113">
        <v>45713.0</v>
      </c>
      <c r="B432" s="6" t="s">
        <v>12267</v>
      </c>
      <c r="C432" s="6" t="s">
        <v>12479</v>
      </c>
      <c r="D432" s="727"/>
      <c r="E432" s="729">
        <v>20500.0</v>
      </c>
      <c r="F432" s="727">
        <f t="shared" si="9"/>
        <v>211700</v>
      </c>
      <c r="G432" s="6" t="s">
        <v>3799</v>
      </c>
      <c r="H432" s="6" t="s">
        <v>12461</v>
      </c>
      <c r="J432" s="727"/>
      <c r="K432" s="727"/>
      <c r="L432" s="727"/>
      <c r="M432" s="727"/>
      <c r="N432" s="727"/>
      <c r="O432" s="727"/>
    </row>
    <row r="433">
      <c r="A433" s="739" t="s">
        <v>12480</v>
      </c>
      <c r="J433" s="727"/>
      <c r="K433" s="727"/>
      <c r="L433" s="727"/>
      <c r="M433" s="727"/>
      <c r="N433" s="727"/>
      <c r="O433" s="727"/>
    </row>
    <row r="434">
      <c r="A434" s="113">
        <v>45719.0</v>
      </c>
      <c r="B434" s="6" t="s">
        <v>12481</v>
      </c>
      <c r="C434" s="6" t="s">
        <v>12382</v>
      </c>
      <c r="D434" s="727"/>
      <c r="E434" s="729">
        <v>8000.0</v>
      </c>
      <c r="F434" s="727">
        <f>F432+D434-E434</f>
        <v>203700</v>
      </c>
      <c r="G434" s="6" t="s">
        <v>3883</v>
      </c>
      <c r="H434" s="6" t="s">
        <v>12461</v>
      </c>
      <c r="J434" s="727"/>
      <c r="K434" s="727"/>
      <c r="L434" s="727"/>
      <c r="M434" s="727"/>
      <c r="N434" s="727"/>
      <c r="O434" s="727"/>
    </row>
    <row r="435">
      <c r="A435" s="113">
        <v>45720.0</v>
      </c>
      <c r="B435" s="6" t="s">
        <v>12283</v>
      </c>
      <c r="D435" s="729">
        <v>300000.0</v>
      </c>
      <c r="E435" s="727"/>
      <c r="F435" s="727">
        <f t="shared" ref="F435:F479" si="10">F434+D435-E435</f>
        <v>503700</v>
      </c>
      <c r="G435" s="6" t="s">
        <v>3883</v>
      </c>
      <c r="H435" s="6" t="s">
        <v>3883</v>
      </c>
      <c r="J435" s="727"/>
      <c r="K435" s="727"/>
      <c r="L435" s="727"/>
      <c r="M435" s="727"/>
      <c r="N435" s="727"/>
      <c r="O435" s="727"/>
    </row>
    <row r="436">
      <c r="A436" s="113">
        <v>45721.0</v>
      </c>
      <c r="B436" s="6" t="s">
        <v>12417</v>
      </c>
      <c r="C436" s="6" t="s">
        <v>12391</v>
      </c>
      <c r="D436" s="727"/>
      <c r="E436" s="729">
        <v>200000.0</v>
      </c>
      <c r="F436" s="727">
        <f t="shared" si="10"/>
        <v>303700</v>
      </c>
      <c r="G436" s="6" t="s">
        <v>4262</v>
      </c>
      <c r="H436" s="6" t="s">
        <v>6096</v>
      </c>
      <c r="J436" s="727"/>
      <c r="K436" s="727"/>
      <c r="L436" s="727"/>
      <c r="M436" s="727"/>
      <c r="N436" s="727"/>
      <c r="O436" s="727"/>
    </row>
    <row r="437">
      <c r="A437" s="113">
        <v>45721.0</v>
      </c>
      <c r="B437" s="6" t="s">
        <v>12384</v>
      </c>
      <c r="C437" s="6" t="s">
        <v>12382</v>
      </c>
      <c r="D437" s="727"/>
      <c r="E437" s="729">
        <v>5000.0</v>
      </c>
      <c r="F437" s="727">
        <f t="shared" si="10"/>
        <v>298700</v>
      </c>
      <c r="G437" s="6" t="s">
        <v>4262</v>
      </c>
      <c r="H437" s="6" t="s">
        <v>6096</v>
      </c>
      <c r="J437" s="727"/>
      <c r="K437" s="727"/>
      <c r="L437" s="727"/>
      <c r="M437" s="727"/>
      <c r="N437" s="727"/>
      <c r="O437" s="727"/>
    </row>
    <row r="438">
      <c r="A438" s="113">
        <v>45722.0</v>
      </c>
      <c r="B438" s="6" t="s">
        <v>12184</v>
      </c>
      <c r="C438" s="6" t="s">
        <v>12443</v>
      </c>
      <c r="D438" s="727"/>
      <c r="E438" s="729">
        <v>36000.0</v>
      </c>
      <c r="F438" s="727">
        <f t="shared" si="10"/>
        <v>262700</v>
      </c>
      <c r="G438" s="6" t="s">
        <v>3883</v>
      </c>
      <c r="H438" s="6" t="s">
        <v>12472</v>
      </c>
      <c r="J438" s="727"/>
      <c r="K438" s="727"/>
      <c r="L438" s="727"/>
      <c r="M438" s="727"/>
      <c r="N438" s="727"/>
      <c r="O438" s="727"/>
    </row>
    <row r="439">
      <c r="A439" s="113">
        <v>45723.0</v>
      </c>
      <c r="B439" s="6" t="s">
        <v>12283</v>
      </c>
      <c r="D439" s="729">
        <v>500000.0</v>
      </c>
      <c r="E439" s="727"/>
      <c r="F439" s="727">
        <f t="shared" si="10"/>
        <v>762700</v>
      </c>
      <c r="G439" s="6" t="s">
        <v>3883</v>
      </c>
      <c r="H439" s="6" t="s">
        <v>3883</v>
      </c>
      <c r="J439" s="727"/>
      <c r="K439" s="727"/>
      <c r="L439" s="727"/>
      <c r="M439" s="727"/>
      <c r="N439" s="727"/>
      <c r="O439" s="727"/>
    </row>
    <row r="440">
      <c r="A440" s="113">
        <v>45723.0</v>
      </c>
      <c r="B440" s="6" t="s">
        <v>12482</v>
      </c>
      <c r="C440" s="6" t="s">
        <v>12483</v>
      </c>
      <c r="D440" s="727"/>
      <c r="E440" s="729">
        <v>300000.0</v>
      </c>
      <c r="F440" s="727">
        <f t="shared" si="10"/>
        <v>462700</v>
      </c>
      <c r="G440" s="6" t="s">
        <v>3883</v>
      </c>
      <c r="H440" s="6" t="s">
        <v>12484</v>
      </c>
      <c r="J440" s="727"/>
      <c r="K440" s="727"/>
      <c r="L440" s="727"/>
      <c r="M440" s="727"/>
      <c r="N440" s="727"/>
      <c r="O440" s="727"/>
    </row>
    <row r="441">
      <c r="A441" s="113">
        <v>45724.0</v>
      </c>
      <c r="B441" s="6" t="s">
        <v>12430</v>
      </c>
      <c r="C441" s="6" t="s">
        <v>12485</v>
      </c>
      <c r="D441" s="727"/>
      <c r="E441" s="729">
        <v>100000.0</v>
      </c>
      <c r="F441" s="727">
        <f t="shared" si="10"/>
        <v>362700</v>
      </c>
      <c r="G441" s="6" t="s">
        <v>3883</v>
      </c>
      <c r="H441" s="6" t="s">
        <v>12461</v>
      </c>
      <c r="J441" s="727"/>
      <c r="K441" s="727"/>
      <c r="L441" s="727"/>
      <c r="M441" s="727"/>
      <c r="N441" s="727"/>
      <c r="O441" s="727"/>
    </row>
    <row r="442">
      <c r="A442" s="113">
        <v>45724.0</v>
      </c>
      <c r="B442" s="6" t="s">
        <v>12283</v>
      </c>
      <c r="D442" s="729">
        <v>1500000.0</v>
      </c>
      <c r="E442" s="727"/>
      <c r="F442" s="727">
        <f t="shared" si="10"/>
        <v>1862700</v>
      </c>
      <c r="G442" s="6" t="s">
        <v>3883</v>
      </c>
      <c r="J442" s="727"/>
      <c r="K442" s="727"/>
      <c r="L442" s="727"/>
      <c r="M442" s="727"/>
      <c r="N442" s="727"/>
      <c r="O442" s="727"/>
    </row>
    <row r="443">
      <c r="A443" s="113">
        <v>45724.0</v>
      </c>
      <c r="B443" s="6" t="s">
        <v>12279</v>
      </c>
      <c r="C443" s="6" t="s">
        <v>12469</v>
      </c>
      <c r="D443" s="727"/>
      <c r="E443" s="729">
        <v>300000.0</v>
      </c>
      <c r="F443" s="727">
        <f t="shared" si="10"/>
        <v>1562700</v>
      </c>
      <c r="G443" s="6" t="s">
        <v>3883</v>
      </c>
      <c r="H443" s="6" t="s">
        <v>12271</v>
      </c>
      <c r="J443" s="727"/>
      <c r="K443" s="727"/>
      <c r="L443" s="727"/>
      <c r="M443" s="727"/>
      <c r="N443" s="727"/>
      <c r="O443" s="727"/>
    </row>
    <row r="444">
      <c r="A444" s="113">
        <v>45724.0</v>
      </c>
      <c r="B444" s="6" t="s">
        <v>12279</v>
      </c>
      <c r="C444" s="6" t="s">
        <v>12470</v>
      </c>
      <c r="D444" s="727"/>
      <c r="E444" s="729">
        <v>300000.0</v>
      </c>
      <c r="F444" s="727">
        <f t="shared" si="10"/>
        <v>1262700</v>
      </c>
      <c r="G444" s="6" t="s">
        <v>3883</v>
      </c>
      <c r="H444" s="6" t="s">
        <v>12274</v>
      </c>
      <c r="J444" s="727"/>
      <c r="K444" s="727"/>
      <c r="L444" s="727"/>
      <c r="M444" s="727"/>
      <c r="N444" s="727"/>
      <c r="O444" s="727"/>
    </row>
    <row r="445">
      <c r="A445" s="113">
        <v>45724.0</v>
      </c>
      <c r="B445" s="6" t="s">
        <v>12279</v>
      </c>
      <c r="C445" s="6" t="s">
        <v>12471</v>
      </c>
      <c r="D445" s="727"/>
      <c r="E445" s="729">
        <v>300000.0</v>
      </c>
      <c r="F445" s="727">
        <f t="shared" si="10"/>
        <v>962700</v>
      </c>
      <c r="G445" s="6" t="s">
        <v>3883</v>
      </c>
      <c r="H445" s="6" t="s">
        <v>12472</v>
      </c>
      <c r="J445" s="727"/>
      <c r="K445" s="727"/>
      <c r="L445" s="727"/>
      <c r="M445" s="727"/>
      <c r="N445" s="727"/>
      <c r="O445" s="727"/>
    </row>
    <row r="446">
      <c r="A446" s="113">
        <v>45724.0</v>
      </c>
      <c r="B446" s="6" t="s">
        <v>12279</v>
      </c>
      <c r="C446" s="6" t="s">
        <v>12473</v>
      </c>
      <c r="D446" s="727"/>
      <c r="E446" s="729">
        <v>200000.0</v>
      </c>
      <c r="F446" s="727">
        <f t="shared" si="10"/>
        <v>762700</v>
      </c>
      <c r="G446" s="6" t="s">
        <v>3883</v>
      </c>
      <c r="H446" s="6" t="s">
        <v>12461</v>
      </c>
      <c r="J446" s="727"/>
      <c r="K446" s="727"/>
      <c r="L446" s="727"/>
      <c r="M446" s="727"/>
      <c r="N446" s="727"/>
      <c r="O446" s="727"/>
    </row>
    <row r="447">
      <c r="A447" s="113">
        <v>45724.0</v>
      </c>
      <c r="B447" s="6" t="s">
        <v>12279</v>
      </c>
      <c r="C447" s="6" t="s">
        <v>12474</v>
      </c>
      <c r="D447" s="727"/>
      <c r="E447" s="729">
        <v>300000.0</v>
      </c>
      <c r="F447" s="727">
        <f t="shared" si="10"/>
        <v>462700</v>
      </c>
      <c r="G447" s="6" t="s">
        <v>3883</v>
      </c>
      <c r="H447" s="6" t="s">
        <v>3883</v>
      </c>
      <c r="J447" s="727"/>
      <c r="K447" s="727"/>
      <c r="L447" s="727"/>
      <c r="M447" s="727"/>
      <c r="N447" s="727"/>
      <c r="O447" s="727"/>
    </row>
    <row r="448">
      <c r="A448" s="113">
        <v>45724.0</v>
      </c>
      <c r="B448" s="6" t="s">
        <v>12279</v>
      </c>
      <c r="C448" s="6" t="s">
        <v>12475</v>
      </c>
      <c r="D448" s="727"/>
      <c r="E448" s="729">
        <v>100000.0</v>
      </c>
      <c r="F448" s="727">
        <f t="shared" si="10"/>
        <v>362700</v>
      </c>
      <c r="G448" s="6" t="s">
        <v>3883</v>
      </c>
      <c r="H448" s="6" t="s">
        <v>3799</v>
      </c>
      <c r="J448" s="727"/>
      <c r="K448" s="727"/>
      <c r="L448" s="727"/>
      <c r="M448" s="727"/>
      <c r="N448" s="727"/>
      <c r="O448" s="727"/>
    </row>
    <row r="449">
      <c r="A449" s="113">
        <v>45725.0</v>
      </c>
      <c r="B449" s="6" t="s">
        <v>12367</v>
      </c>
      <c r="C449" s="6" t="s">
        <v>12439</v>
      </c>
      <c r="D449" s="727"/>
      <c r="E449" s="729">
        <v>250000.0</v>
      </c>
      <c r="F449" s="727">
        <f t="shared" si="10"/>
        <v>112700</v>
      </c>
      <c r="G449" s="6" t="s">
        <v>3883</v>
      </c>
      <c r="H449" s="6" t="s">
        <v>12486</v>
      </c>
      <c r="J449" s="727"/>
      <c r="K449" s="727"/>
      <c r="L449" s="727"/>
      <c r="M449" s="727"/>
      <c r="N449" s="727"/>
      <c r="O449" s="727"/>
    </row>
    <row r="450">
      <c r="A450" s="113">
        <v>45728.0</v>
      </c>
      <c r="B450" s="6" t="s">
        <v>12283</v>
      </c>
      <c r="D450" s="729">
        <v>500000.0</v>
      </c>
      <c r="E450" s="727"/>
      <c r="F450" s="727">
        <f t="shared" si="10"/>
        <v>612700</v>
      </c>
      <c r="G450" s="6" t="s">
        <v>3883</v>
      </c>
      <c r="H450" s="6" t="s">
        <v>3883</v>
      </c>
      <c r="J450" s="727"/>
      <c r="K450" s="727"/>
      <c r="L450" s="727"/>
      <c r="M450" s="727"/>
      <c r="N450" s="727"/>
      <c r="O450" s="727"/>
    </row>
    <row r="451">
      <c r="A451" s="113">
        <v>45728.0</v>
      </c>
      <c r="B451" s="6" t="s">
        <v>12179</v>
      </c>
      <c r="D451" s="727"/>
      <c r="E451" s="729">
        <v>122000.0</v>
      </c>
      <c r="F451" s="727">
        <f t="shared" si="10"/>
        <v>490700</v>
      </c>
      <c r="G451" s="6" t="s">
        <v>3883</v>
      </c>
      <c r="H451" s="6" t="s">
        <v>12487</v>
      </c>
      <c r="J451" s="727"/>
      <c r="K451" s="727"/>
      <c r="L451" s="727"/>
      <c r="M451" s="727"/>
      <c r="N451" s="727"/>
      <c r="O451" s="727"/>
    </row>
    <row r="452">
      <c r="A452" s="113">
        <v>45729.0</v>
      </c>
      <c r="B452" s="6" t="s">
        <v>12417</v>
      </c>
      <c r="C452" s="6" t="s">
        <v>12391</v>
      </c>
      <c r="D452" s="727"/>
      <c r="E452" s="729">
        <v>300000.0</v>
      </c>
      <c r="F452" s="727">
        <f t="shared" si="10"/>
        <v>190700</v>
      </c>
      <c r="G452" s="6" t="s">
        <v>3883</v>
      </c>
      <c r="H452" s="6" t="s">
        <v>12125</v>
      </c>
      <c r="J452" s="727"/>
      <c r="K452" s="727"/>
      <c r="L452" s="727"/>
      <c r="M452" s="727"/>
      <c r="N452" s="727"/>
      <c r="O452" s="727"/>
    </row>
    <row r="453">
      <c r="A453" s="113">
        <v>45730.0</v>
      </c>
      <c r="B453" s="6" t="s">
        <v>12267</v>
      </c>
      <c r="C453" s="6" t="s">
        <v>12488</v>
      </c>
      <c r="D453" s="727"/>
      <c r="E453" s="729">
        <v>9900.0</v>
      </c>
      <c r="F453" s="727">
        <f t="shared" si="10"/>
        <v>180800</v>
      </c>
      <c r="G453" s="6" t="s">
        <v>3883</v>
      </c>
      <c r="H453" s="6" t="s">
        <v>12126</v>
      </c>
      <c r="J453" s="727"/>
      <c r="K453" s="727"/>
      <c r="L453" s="727"/>
      <c r="M453" s="727"/>
      <c r="N453" s="727"/>
      <c r="O453" s="727"/>
    </row>
    <row r="454">
      <c r="A454" s="113">
        <v>45731.0</v>
      </c>
      <c r="B454" s="6" t="s">
        <v>12430</v>
      </c>
      <c r="C454" s="6" t="s">
        <v>12489</v>
      </c>
      <c r="D454" s="727"/>
      <c r="E454" s="729">
        <v>30000.0</v>
      </c>
      <c r="F454" s="727">
        <f t="shared" si="10"/>
        <v>150800</v>
      </c>
      <c r="G454" s="6" t="s">
        <v>3883</v>
      </c>
      <c r="H454" s="6" t="s">
        <v>12461</v>
      </c>
      <c r="J454" s="727"/>
      <c r="K454" s="727"/>
      <c r="L454" s="727"/>
      <c r="M454" s="727"/>
      <c r="N454" s="727"/>
      <c r="O454" s="727"/>
    </row>
    <row r="455">
      <c r="A455" s="113">
        <v>45731.0</v>
      </c>
      <c r="B455" s="6" t="s">
        <v>12283</v>
      </c>
      <c r="D455" s="729">
        <v>1100000.0</v>
      </c>
      <c r="E455" s="727"/>
      <c r="F455" s="727">
        <f t="shared" si="10"/>
        <v>1250800</v>
      </c>
      <c r="G455" s="6" t="s">
        <v>3883</v>
      </c>
      <c r="H455" s="6" t="s">
        <v>3883</v>
      </c>
      <c r="J455" s="727"/>
      <c r="K455" s="727"/>
      <c r="L455" s="727"/>
      <c r="M455" s="727"/>
      <c r="N455" s="727"/>
      <c r="O455" s="727"/>
    </row>
    <row r="456">
      <c r="A456" s="113">
        <v>45731.0</v>
      </c>
      <c r="B456" s="6" t="s">
        <v>12279</v>
      </c>
      <c r="C456" s="6" t="s">
        <v>12469</v>
      </c>
      <c r="D456" s="727"/>
      <c r="E456" s="729">
        <v>300000.0</v>
      </c>
      <c r="F456" s="727">
        <f t="shared" si="10"/>
        <v>950800</v>
      </c>
      <c r="G456" s="6" t="s">
        <v>3883</v>
      </c>
      <c r="H456" s="6" t="s">
        <v>12271</v>
      </c>
      <c r="J456" s="727"/>
      <c r="K456" s="727"/>
      <c r="L456" s="727"/>
      <c r="M456" s="727"/>
      <c r="N456" s="727"/>
      <c r="O456" s="727"/>
    </row>
    <row r="457">
      <c r="A457" s="113">
        <v>45731.0</v>
      </c>
      <c r="B457" s="6" t="s">
        <v>12279</v>
      </c>
      <c r="C457" s="6" t="s">
        <v>12470</v>
      </c>
      <c r="D457" s="727"/>
      <c r="E457" s="729">
        <v>300000.0</v>
      </c>
      <c r="F457" s="727">
        <f t="shared" si="10"/>
        <v>650800</v>
      </c>
      <c r="G457" s="6" t="s">
        <v>3883</v>
      </c>
      <c r="H457" s="6" t="s">
        <v>12274</v>
      </c>
      <c r="J457" s="727"/>
      <c r="K457" s="727"/>
      <c r="L457" s="727"/>
      <c r="M457" s="727"/>
      <c r="N457" s="727"/>
      <c r="O457" s="727"/>
    </row>
    <row r="458">
      <c r="A458" s="113">
        <v>45731.0</v>
      </c>
      <c r="B458" s="6" t="s">
        <v>12279</v>
      </c>
      <c r="C458" s="6" t="s">
        <v>12471</v>
      </c>
      <c r="D458" s="727"/>
      <c r="E458" s="729">
        <v>300000.0</v>
      </c>
      <c r="F458" s="727">
        <f t="shared" si="10"/>
        <v>350800</v>
      </c>
      <c r="G458" s="6" t="s">
        <v>3883</v>
      </c>
      <c r="H458" s="6" t="s">
        <v>12472</v>
      </c>
      <c r="J458" s="727"/>
      <c r="K458" s="727"/>
      <c r="L458" s="727"/>
      <c r="M458" s="727"/>
      <c r="N458" s="727"/>
      <c r="O458" s="727"/>
    </row>
    <row r="459">
      <c r="A459" s="113">
        <v>45731.0</v>
      </c>
      <c r="B459" s="6" t="s">
        <v>12279</v>
      </c>
      <c r="C459" s="6" t="s">
        <v>12473</v>
      </c>
      <c r="D459" s="727"/>
      <c r="E459" s="729">
        <v>100000.0</v>
      </c>
      <c r="F459" s="727">
        <f t="shared" si="10"/>
        <v>250800</v>
      </c>
      <c r="G459" s="6" t="s">
        <v>3883</v>
      </c>
      <c r="H459" s="6" t="s">
        <v>12461</v>
      </c>
      <c r="J459" s="727"/>
      <c r="K459" s="727"/>
      <c r="L459" s="727"/>
      <c r="M459" s="727"/>
      <c r="N459" s="727"/>
      <c r="O459" s="727"/>
    </row>
    <row r="460">
      <c r="A460" s="113">
        <v>45731.0</v>
      </c>
      <c r="B460" s="6" t="s">
        <v>12279</v>
      </c>
      <c r="C460" s="6" t="s">
        <v>12475</v>
      </c>
      <c r="D460" s="727"/>
      <c r="E460" s="729">
        <v>100000.0</v>
      </c>
      <c r="F460" s="727">
        <f t="shared" si="10"/>
        <v>150800</v>
      </c>
      <c r="G460" s="6" t="s">
        <v>3883</v>
      </c>
      <c r="H460" s="6" t="s">
        <v>3799</v>
      </c>
      <c r="J460" s="727"/>
      <c r="K460" s="727"/>
      <c r="L460" s="727"/>
      <c r="M460" s="727"/>
      <c r="N460" s="727"/>
      <c r="O460" s="727"/>
    </row>
    <row r="461">
      <c r="A461" s="113">
        <v>45733.0</v>
      </c>
      <c r="B461" s="6" t="s">
        <v>12427</v>
      </c>
      <c r="C461" s="6" t="s">
        <v>12382</v>
      </c>
      <c r="D461" s="727"/>
      <c r="E461" s="729">
        <v>5000.0</v>
      </c>
      <c r="F461" s="727">
        <f t="shared" si="10"/>
        <v>145800</v>
      </c>
      <c r="G461" s="6" t="s">
        <v>3883</v>
      </c>
      <c r="H461" s="6" t="s">
        <v>12274</v>
      </c>
      <c r="J461" s="727"/>
      <c r="K461" s="727"/>
      <c r="L461" s="727"/>
      <c r="M461" s="727"/>
      <c r="N461" s="727"/>
      <c r="O461" s="727"/>
    </row>
    <row r="462">
      <c r="A462" s="113">
        <v>45734.0</v>
      </c>
      <c r="B462" s="6" t="s">
        <v>12477</v>
      </c>
      <c r="C462" s="6" t="s">
        <v>12478</v>
      </c>
      <c r="D462" s="727"/>
      <c r="E462" s="729">
        <v>100000.0</v>
      </c>
      <c r="F462" s="727">
        <f t="shared" si="10"/>
        <v>45800</v>
      </c>
      <c r="G462" s="6" t="s">
        <v>3883</v>
      </c>
      <c r="H462" s="6" t="s">
        <v>12126</v>
      </c>
      <c r="J462" s="727"/>
      <c r="K462" s="727"/>
      <c r="L462" s="727"/>
      <c r="M462" s="727"/>
      <c r="N462" s="727"/>
      <c r="O462" s="727"/>
    </row>
    <row r="463">
      <c r="A463" s="113">
        <v>45734.0</v>
      </c>
      <c r="B463" s="6" t="s">
        <v>12427</v>
      </c>
      <c r="C463" s="6" t="s">
        <v>12382</v>
      </c>
      <c r="D463" s="727"/>
      <c r="E463" s="729">
        <v>5000.0</v>
      </c>
      <c r="F463" s="727">
        <f t="shared" si="10"/>
        <v>40800</v>
      </c>
      <c r="G463" s="6" t="s">
        <v>3883</v>
      </c>
      <c r="H463" s="6" t="s">
        <v>12271</v>
      </c>
      <c r="J463" s="727"/>
      <c r="K463" s="727"/>
      <c r="L463" s="727"/>
      <c r="M463" s="727"/>
      <c r="N463" s="727"/>
      <c r="O463" s="727"/>
    </row>
    <row r="464">
      <c r="A464" s="113">
        <v>45734.0</v>
      </c>
      <c r="B464" s="6" t="s">
        <v>12283</v>
      </c>
      <c r="D464" s="729">
        <v>500000.0</v>
      </c>
      <c r="E464" s="727"/>
      <c r="F464" s="727">
        <f t="shared" si="10"/>
        <v>540800</v>
      </c>
      <c r="G464" s="6" t="s">
        <v>3883</v>
      </c>
      <c r="J464" s="727"/>
      <c r="K464" s="727"/>
      <c r="L464" s="727"/>
      <c r="M464" s="727"/>
      <c r="N464" s="727"/>
      <c r="O464" s="727"/>
    </row>
    <row r="465">
      <c r="A465" s="113">
        <v>45734.0</v>
      </c>
      <c r="B465" s="6" t="s">
        <v>12427</v>
      </c>
      <c r="C465" s="6" t="s">
        <v>12382</v>
      </c>
      <c r="D465" s="727"/>
      <c r="E465" s="729">
        <v>5000.0</v>
      </c>
      <c r="F465" s="727">
        <f t="shared" si="10"/>
        <v>535800</v>
      </c>
      <c r="G465" s="6" t="s">
        <v>3883</v>
      </c>
      <c r="H465" s="6" t="s">
        <v>12274</v>
      </c>
      <c r="J465" s="727"/>
      <c r="K465" s="727"/>
      <c r="L465" s="727"/>
      <c r="M465" s="727"/>
      <c r="N465" s="727"/>
      <c r="O465" s="727"/>
    </row>
    <row r="466">
      <c r="A466" s="113">
        <v>45735.0</v>
      </c>
      <c r="B466" s="6" t="s">
        <v>12427</v>
      </c>
      <c r="C466" s="6" t="s">
        <v>12382</v>
      </c>
      <c r="D466" s="727"/>
      <c r="E466" s="729">
        <v>8000.0</v>
      </c>
      <c r="F466" s="727">
        <f t="shared" si="10"/>
        <v>527800</v>
      </c>
      <c r="G466" s="6" t="s">
        <v>3883</v>
      </c>
      <c r="H466" s="6" t="s">
        <v>12125</v>
      </c>
      <c r="J466" s="727"/>
      <c r="K466" s="727"/>
      <c r="L466" s="727"/>
      <c r="M466" s="727"/>
      <c r="N466" s="727"/>
      <c r="O466" s="727"/>
    </row>
    <row r="467">
      <c r="A467" s="113">
        <v>45736.0</v>
      </c>
      <c r="B467" s="6" t="s">
        <v>12417</v>
      </c>
      <c r="C467" s="6" t="s">
        <v>12391</v>
      </c>
      <c r="D467" s="727"/>
      <c r="E467" s="729">
        <v>200000.0</v>
      </c>
      <c r="F467" s="727">
        <f t="shared" si="10"/>
        <v>327800</v>
      </c>
      <c r="G467" s="6" t="s">
        <v>3883</v>
      </c>
      <c r="H467" s="6" t="s">
        <v>12461</v>
      </c>
      <c r="J467" s="727"/>
      <c r="K467" s="727"/>
      <c r="L467" s="727"/>
      <c r="M467" s="727"/>
      <c r="N467" s="727"/>
      <c r="O467" s="727"/>
    </row>
    <row r="468">
      <c r="A468" s="113">
        <v>45738.0</v>
      </c>
      <c r="B468" s="6" t="s">
        <v>12427</v>
      </c>
      <c r="C468" s="6" t="s">
        <v>12382</v>
      </c>
      <c r="D468" s="727"/>
      <c r="E468" s="729">
        <v>5000.0</v>
      </c>
      <c r="F468" s="727">
        <f t="shared" si="10"/>
        <v>322800</v>
      </c>
      <c r="G468" s="6" t="s">
        <v>3883</v>
      </c>
      <c r="H468" s="6" t="s">
        <v>12461</v>
      </c>
      <c r="J468" s="727"/>
      <c r="K468" s="727"/>
      <c r="L468" s="727"/>
      <c r="M468" s="727"/>
      <c r="N468" s="727"/>
      <c r="O468" s="727"/>
    </row>
    <row r="469">
      <c r="A469" s="113">
        <v>45738.0</v>
      </c>
      <c r="B469" s="6" t="s">
        <v>12427</v>
      </c>
      <c r="C469" s="6" t="s">
        <v>12382</v>
      </c>
      <c r="D469" s="727"/>
      <c r="E469" s="729">
        <v>5000.0</v>
      </c>
      <c r="F469" s="727">
        <f t="shared" si="10"/>
        <v>317800</v>
      </c>
      <c r="G469" s="6" t="s">
        <v>3883</v>
      </c>
      <c r="H469" s="6" t="s">
        <v>12461</v>
      </c>
      <c r="J469" s="727"/>
      <c r="K469" s="727"/>
      <c r="L469" s="727"/>
      <c r="M469" s="727"/>
      <c r="N469" s="727"/>
      <c r="O469" s="727"/>
    </row>
    <row r="470">
      <c r="A470" s="113">
        <v>45739.0</v>
      </c>
      <c r="B470" s="6" t="s">
        <v>12283</v>
      </c>
      <c r="D470" s="729">
        <v>250000.0</v>
      </c>
      <c r="E470" s="729"/>
      <c r="F470" s="727">
        <f t="shared" si="10"/>
        <v>567800</v>
      </c>
      <c r="G470" s="6" t="s">
        <v>3883</v>
      </c>
      <c r="J470" s="727"/>
      <c r="K470" s="727"/>
      <c r="L470" s="727"/>
      <c r="M470" s="727"/>
      <c r="N470" s="727"/>
      <c r="O470" s="727"/>
    </row>
    <row r="471">
      <c r="A471" s="113">
        <v>45739.0</v>
      </c>
      <c r="B471" s="6" t="s">
        <v>12367</v>
      </c>
      <c r="C471" s="6" t="s">
        <v>12439</v>
      </c>
      <c r="D471" s="727"/>
      <c r="E471" s="729">
        <v>250000.0</v>
      </c>
      <c r="F471" s="727">
        <f t="shared" si="10"/>
        <v>317800</v>
      </c>
      <c r="G471" s="6" t="s">
        <v>3883</v>
      </c>
      <c r="H471" s="6" t="s">
        <v>12486</v>
      </c>
      <c r="J471" s="727"/>
      <c r="K471" s="727"/>
      <c r="L471" s="727"/>
      <c r="M471" s="727"/>
      <c r="N471" s="727"/>
      <c r="O471" s="727"/>
    </row>
    <row r="472">
      <c r="A472" s="113">
        <v>45740.0</v>
      </c>
      <c r="B472" s="6" t="s">
        <v>12417</v>
      </c>
      <c r="C472" s="6" t="s">
        <v>12391</v>
      </c>
      <c r="D472" s="727"/>
      <c r="E472" s="729">
        <v>300000.0</v>
      </c>
      <c r="F472" s="727">
        <f t="shared" si="10"/>
        <v>17800</v>
      </c>
      <c r="G472" s="6" t="s">
        <v>4262</v>
      </c>
      <c r="H472" s="6" t="s">
        <v>12126</v>
      </c>
      <c r="J472" s="727"/>
      <c r="K472" s="727"/>
      <c r="L472" s="727"/>
      <c r="M472" s="727"/>
      <c r="N472" s="727"/>
      <c r="O472" s="727"/>
    </row>
    <row r="473">
      <c r="A473" s="113">
        <v>45740.0</v>
      </c>
      <c r="B473" s="6" t="s">
        <v>12283</v>
      </c>
      <c r="D473" s="729">
        <v>500000.0</v>
      </c>
      <c r="E473" s="727"/>
      <c r="F473" s="727">
        <f t="shared" si="10"/>
        <v>517800</v>
      </c>
      <c r="J473" s="727"/>
      <c r="K473" s="727"/>
      <c r="L473" s="727"/>
      <c r="M473" s="727"/>
      <c r="N473" s="727"/>
      <c r="O473" s="727"/>
    </row>
    <row r="474">
      <c r="A474" s="113">
        <v>45741.0</v>
      </c>
      <c r="B474" s="6" t="s">
        <v>12184</v>
      </c>
      <c r="C474" s="6" t="s">
        <v>12443</v>
      </c>
      <c r="D474" s="727"/>
      <c r="E474" s="729">
        <v>36000.0</v>
      </c>
      <c r="F474" s="727">
        <f t="shared" si="10"/>
        <v>481800</v>
      </c>
      <c r="G474" s="6" t="s">
        <v>3799</v>
      </c>
      <c r="H474" s="6" t="s">
        <v>12461</v>
      </c>
      <c r="J474" s="727"/>
      <c r="K474" s="727"/>
      <c r="L474" s="727"/>
      <c r="M474" s="727"/>
      <c r="N474" s="727"/>
      <c r="O474" s="727"/>
    </row>
    <row r="475">
      <c r="A475" s="113">
        <v>45742.0</v>
      </c>
      <c r="B475" s="6" t="s">
        <v>12490</v>
      </c>
      <c r="D475" s="727"/>
      <c r="E475" s="729">
        <v>2000.0</v>
      </c>
      <c r="F475" s="727">
        <f t="shared" si="10"/>
        <v>479800</v>
      </c>
      <c r="G475" s="6" t="s">
        <v>3883</v>
      </c>
      <c r="H475" s="6" t="s">
        <v>12461</v>
      </c>
      <c r="J475" s="727"/>
      <c r="K475" s="727"/>
      <c r="L475" s="727"/>
      <c r="M475" s="727"/>
      <c r="N475" s="727"/>
      <c r="O475" s="727"/>
    </row>
    <row r="476">
      <c r="A476" s="113">
        <v>45743.0</v>
      </c>
      <c r="B476" s="6" t="s">
        <v>12491</v>
      </c>
      <c r="D476" s="727"/>
      <c r="E476" s="729">
        <v>10000.0</v>
      </c>
      <c r="F476" s="727">
        <f t="shared" si="10"/>
        <v>469800</v>
      </c>
      <c r="G476" s="6" t="s">
        <v>3883</v>
      </c>
      <c r="H476" s="6" t="s">
        <v>12271</v>
      </c>
      <c r="J476" s="727"/>
      <c r="K476" s="727"/>
      <c r="L476" s="727"/>
      <c r="M476" s="727"/>
      <c r="N476" s="727"/>
      <c r="O476" s="727"/>
    </row>
    <row r="477">
      <c r="A477" s="113">
        <v>45743.0</v>
      </c>
      <c r="B477" s="6" t="s">
        <v>12492</v>
      </c>
      <c r="D477" s="727"/>
      <c r="E477" s="729">
        <v>400000.0</v>
      </c>
      <c r="F477" s="727">
        <f t="shared" si="10"/>
        <v>69800</v>
      </c>
      <c r="G477" s="6" t="s">
        <v>3883</v>
      </c>
      <c r="H477" s="6" t="s">
        <v>12271</v>
      </c>
      <c r="J477" s="727"/>
      <c r="K477" s="727"/>
      <c r="L477" s="727"/>
      <c r="M477" s="727"/>
      <c r="N477" s="727"/>
      <c r="O477" s="727"/>
    </row>
    <row r="478">
      <c r="A478" s="113">
        <v>45744.0</v>
      </c>
      <c r="B478" s="6" t="s">
        <v>12493</v>
      </c>
      <c r="D478" s="727"/>
      <c r="E478" s="729">
        <v>10000.0</v>
      </c>
      <c r="F478" s="727">
        <f t="shared" si="10"/>
        <v>59800</v>
      </c>
      <c r="G478" s="6" t="s">
        <v>3883</v>
      </c>
      <c r="J478" s="727"/>
      <c r="K478" s="727"/>
      <c r="L478" s="727"/>
      <c r="M478" s="727"/>
      <c r="N478" s="727"/>
      <c r="O478" s="727"/>
    </row>
    <row r="479">
      <c r="A479" s="113">
        <v>45744.0</v>
      </c>
      <c r="B479" s="6" t="s">
        <v>12494</v>
      </c>
      <c r="D479" s="727"/>
      <c r="E479" s="729">
        <v>59800.0</v>
      </c>
      <c r="F479" s="727">
        <f t="shared" si="10"/>
        <v>0</v>
      </c>
      <c r="G479" s="6" t="s">
        <v>3883</v>
      </c>
      <c r="J479" s="727"/>
      <c r="K479" s="727"/>
      <c r="L479" s="727"/>
      <c r="M479" s="727"/>
      <c r="N479" s="727"/>
      <c r="O479" s="727"/>
    </row>
    <row r="480">
      <c r="A480" s="739" t="s">
        <v>12495</v>
      </c>
      <c r="J480" s="727"/>
      <c r="K480" s="727"/>
      <c r="L480" s="727"/>
      <c r="M480" s="727"/>
      <c r="N480" s="727"/>
      <c r="O480" s="727"/>
    </row>
    <row r="481">
      <c r="A481" s="113">
        <v>45754.0</v>
      </c>
      <c r="B481" s="6" t="s">
        <v>12283</v>
      </c>
      <c r="D481" s="729">
        <v>500000.0</v>
      </c>
      <c r="E481" s="727"/>
      <c r="F481" s="727">
        <f>F479+D481-E481</f>
        <v>500000</v>
      </c>
      <c r="G481" s="6" t="s">
        <v>3883</v>
      </c>
      <c r="J481" s="727"/>
      <c r="K481" s="727"/>
      <c r="L481" s="727"/>
      <c r="M481" s="727"/>
      <c r="N481" s="727"/>
      <c r="O481" s="727"/>
    </row>
    <row r="482">
      <c r="A482" s="113">
        <v>45754.0</v>
      </c>
      <c r="B482" s="6" t="s">
        <v>12417</v>
      </c>
      <c r="D482" s="727"/>
      <c r="E482" s="729">
        <v>300000.0</v>
      </c>
      <c r="F482" s="727">
        <f t="shared" ref="F482:F536" si="11">F481+D482-E482</f>
        <v>200000</v>
      </c>
      <c r="G482" s="6" t="s">
        <v>3883</v>
      </c>
      <c r="H482" s="6" t="s">
        <v>12126</v>
      </c>
      <c r="J482" s="727"/>
      <c r="K482" s="727"/>
      <c r="L482" s="727"/>
      <c r="M482" s="727"/>
      <c r="N482" s="727"/>
      <c r="O482" s="727"/>
    </row>
    <row r="483">
      <c r="A483" s="113">
        <v>45754.0</v>
      </c>
      <c r="B483" s="6" t="s">
        <v>12477</v>
      </c>
      <c r="D483" s="727"/>
      <c r="E483" s="729">
        <v>150000.0</v>
      </c>
      <c r="F483" s="727">
        <f t="shared" si="11"/>
        <v>50000</v>
      </c>
      <c r="G483" s="6" t="s">
        <v>3883</v>
      </c>
      <c r="H483" s="6" t="s">
        <v>12126</v>
      </c>
      <c r="J483" s="727"/>
      <c r="K483" s="727"/>
      <c r="L483" s="727"/>
      <c r="M483" s="727"/>
      <c r="N483" s="727"/>
      <c r="O483" s="727"/>
    </row>
    <row r="484">
      <c r="A484" s="113">
        <v>45755.0</v>
      </c>
      <c r="B484" s="6" t="s">
        <v>12283</v>
      </c>
      <c r="D484" s="729">
        <v>500000.0</v>
      </c>
      <c r="E484" s="727"/>
      <c r="F484" s="727">
        <f t="shared" si="11"/>
        <v>550000</v>
      </c>
      <c r="G484" s="6" t="s">
        <v>3883</v>
      </c>
      <c r="J484" s="727"/>
      <c r="K484" s="727"/>
      <c r="L484" s="727"/>
      <c r="M484" s="727"/>
      <c r="N484" s="727"/>
      <c r="O484" s="727"/>
    </row>
    <row r="485">
      <c r="A485" s="113">
        <v>45755.0</v>
      </c>
      <c r="B485" s="6" t="s">
        <v>12496</v>
      </c>
      <c r="D485" s="727"/>
      <c r="E485" s="729">
        <v>44500.0</v>
      </c>
      <c r="F485" s="727">
        <f t="shared" si="11"/>
        <v>505500</v>
      </c>
      <c r="G485" s="6" t="s">
        <v>3883</v>
      </c>
      <c r="H485" s="6" t="s">
        <v>12126</v>
      </c>
      <c r="J485" s="727"/>
      <c r="K485" s="727"/>
      <c r="L485" s="727"/>
      <c r="M485" s="727"/>
      <c r="N485" s="727"/>
      <c r="O485" s="727"/>
    </row>
    <row r="486">
      <c r="A486" s="113">
        <v>45757.0</v>
      </c>
      <c r="B486" s="6" t="s">
        <v>12497</v>
      </c>
      <c r="D486" s="727"/>
      <c r="E486" s="729">
        <v>86000.0</v>
      </c>
      <c r="F486" s="727">
        <f t="shared" si="11"/>
        <v>419500</v>
      </c>
      <c r="G486" s="6" t="s">
        <v>3883</v>
      </c>
      <c r="H486" s="6" t="s">
        <v>12196</v>
      </c>
      <c r="J486" s="727"/>
      <c r="K486" s="727"/>
      <c r="L486" s="727"/>
      <c r="M486" s="727"/>
      <c r="N486" s="727"/>
      <c r="O486" s="727"/>
    </row>
    <row r="487">
      <c r="A487" s="113">
        <v>45757.0</v>
      </c>
      <c r="B487" s="6" t="s">
        <v>12382</v>
      </c>
      <c r="C487" s="6" t="s">
        <v>12362</v>
      </c>
      <c r="D487" s="727"/>
      <c r="E487" s="729">
        <v>5000.0</v>
      </c>
      <c r="F487" s="727">
        <f t="shared" si="11"/>
        <v>414500</v>
      </c>
      <c r="G487" s="6" t="s">
        <v>3883</v>
      </c>
      <c r="H487" s="6" t="s">
        <v>12196</v>
      </c>
      <c r="J487" s="727"/>
      <c r="K487" s="727"/>
      <c r="L487" s="727"/>
      <c r="M487" s="727"/>
      <c r="N487" s="727"/>
      <c r="O487" s="727"/>
    </row>
    <row r="488">
      <c r="A488" s="113">
        <v>45757.0</v>
      </c>
      <c r="B488" s="6" t="s">
        <v>12382</v>
      </c>
      <c r="C488" s="6" t="s">
        <v>12427</v>
      </c>
      <c r="D488" s="727"/>
      <c r="E488" s="729">
        <v>8000.0</v>
      </c>
      <c r="F488" s="727">
        <f t="shared" si="11"/>
        <v>406500</v>
      </c>
      <c r="G488" s="6" t="s">
        <v>3883</v>
      </c>
      <c r="H488" s="6" t="s">
        <v>12196</v>
      </c>
      <c r="J488" s="727"/>
      <c r="K488" s="727"/>
      <c r="L488" s="727"/>
      <c r="M488" s="727"/>
      <c r="N488" s="727"/>
      <c r="O488" s="727"/>
    </row>
    <row r="489">
      <c r="A489" s="113">
        <v>45758.0</v>
      </c>
      <c r="B489" s="6" t="s">
        <v>12382</v>
      </c>
      <c r="C489" s="6" t="s">
        <v>12498</v>
      </c>
      <c r="D489" s="727"/>
      <c r="E489" s="729">
        <v>8000.0</v>
      </c>
      <c r="F489" s="727">
        <f t="shared" si="11"/>
        <v>398500</v>
      </c>
      <c r="G489" s="6" t="s">
        <v>3883</v>
      </c>
      <c r="H489" s="6" t="s">
        <v>12196</v>
      </c>
      <c r="J489" s="727"/>
      <c r="K489" s="727"/>
      <c r="L489" s="727"/>
      <c r="M489" s="727"/>
      <c r="N489" s="727"/>
      <c r="O489" s="727"/>
    </row>
    <row r="490">
      <c r="A490" s="113">
        <v>45759.0</v>
      </c>
      <c r="B490" s="6" t="s">
        <v>12417</v>
      </c>
      <c r="C490" s="6" t="s">
        <v>12391</v>
      </c>
      <c r="D490" s="727"/>
      <c r="E490" s="729">
        <v>300000.0</v>
      </c>
      <c r="F490" s="727">
        <f t="shared" si="11"/>
        <v>98500</v>
      </c>
      <c r="G490" s="6" t="s">
        <v>3883</v>
      </c>
      <c r="H490" s="6" t="s">
        <v>7878</v>
      </c>
      <c r="J490" s="727"/>
      <c r="K490" s="727"/>
      <c r="L490" s="727"/>
      <c r="M490" s="727"/>
      <c r="N490" s="727"/>
      <c r="O490" s="727"/>
    </row>
    <row r="491">
      <c r="A491" s="113">
        <v>45757.0</v>
      </c>
      <c r="B491" s="6" t="s">
        <v>12382</v>
      </c>
      <c r="D491" s="727"/>
      <c r="E491" s="729">
        <v>5000.0</v>
      </c>
      <c r="F491" s="727">
        <f t="shared" si="11"/>
        <v>93500</v>
      </c>
      <c r="G491" s="6" t="s">
        <v>3883</v>
      </c>
      <c r="H491" s="6" t="s">
        <v>12472</v>
      </c>
      <c r="J491" s="727"/>
      <c r="K491" s="727"/>
      <c r="L491" s="727"/>
      <c r="M491" s="727"/>
      <c r="N491" s="727"/>
      <c r="O491" s="727"/>
    </row>
    <row r="492">
      <c r="A492" s="113">
        <v>45759.0</v>
      </c>
      <c r="B492" s="6" t="s">
        <v>12283</v>
      </c>
      <c r="D492" s="729">
        <v>1300000.0</v>
      </c>
      <c r="E492" s="727"/>
      <c r="F492" s="727">
        <f t="shared" si="11"/>
        <v>1393500</v>
      </c>
      <c r="G492" s="6" t="s">
        <v>3883</v>
      </c>
      <c r="H492" s="6" t="s">
        <v>3883</v>
      </c>
      <c r="J492" s="727"/>
      <c r="K492" s="727"/>
      <c r="L492" s="727"/>
      <c r="M492" s="727"/>
      <c r="N492" s="727"/>
      <c r="O492" s="727"/>
    </row>
    <row r="493">
      <c r="A493" s="113">
        <v>45759.0</v>
      </c>
      <c r="B493" s="6" t="s">
        <v>12279</v>
      </c>
      <c r="C493" s="6" t="s">
        <v>12469</v>
      </c>
      <c r="D493" s="727"/>
      <c r="E493" s="729">
        <v>200000.0</v>
      </c>
      <c r="F493" s="727">
        <f t="shared" si="11"/>
        <v>1193500</v>
      </c>
      <c r="G493" s="6" t="s">
        <v>3883</v>
      </c>
      <c r="H493" s="6" t="s">
        <v>12271</v>
      </c>
      <c r="J493" s="727"/>
      <c r="K493" s="727"/>
      <c r="L493" s="727"/>
      <c r="M493" s="727"/>
      <c r="N493" s="727"/>
      <c r="O493" s="727"/>
    </row>
    <row r="494">
      <c r="A494" s="113">
        <v>45759.0</v>
      </c>
      <c r="B494" s="6" t="s">
        <v>12279</v>
      </c>
      <c r="C494" s="6" t="s">
        <v>12470</v>
      </c>
      <c r="D494" s="727"/>
      <c r="E494" s="729">
        <v>200000.0</v>
      </c>
      <c r="F494" s="727">
        <f t="shared" si="11"/>
        <v>993500</v>
      </c>
      <c r="G494" s="6" t="s">
        <v>3883</v>
      </c>
      <c r="H494" s="6" t="s">
        <v>12274</v>
      </c>
      <c r="J494" s="727"/>
      <c r="K494" s="727"/>
      <c r="L494" s="727"/>
      <c r="M494" s="727"/>
      <c r="N494" s="727"/>
      <c r="O494" s="727"/>
    </row>
    <row r="495">
      <c r="A495" s="113">
        <v>45759.0</v>
      </c>
      <c r="B495" s="6" t="s">
        <v>12279</v>
      </c>
      <c r="C495" s="6" t="s">
        <v>12471</v>
      </c>
      <c r="D495" s="727"/>
      <c r="E495" s="729">
        <v>200000.0</v>
      </c>
      <c r="F495" s="727">
        <f t="shared" si="11"/>
        <v>793500</v>
      </c>
      <c r="G495" s="6" t="s">
        <v>3883</v>
      </c>
      <c r="H495" s="6" t="s">
        <v>12472</v>
      </c>
      <c r="J495" s="727"/>
      <c r="K495" s="727"/>
      <c r="L495" s="727"/>
      <c r="M495" s="727"/>
      <c r="N495" s="727"/>
      <c r="O495" s="727"/>
    </row>
    <row r="496">
      <c r="A496" s="113">
        <v>45759.0</v>
      </c>
      <c r="B496" s="6" t="s">
        <v>12279</v>
      </c>
      <c r="C496" s="6" t="s">
        <v>12473</v>
      </c>
      <c r="D496" s="727"/>
      <c r="E496" s="729">
        <v>200000.0</v>
      </c>
      <c r="F496" s="727">
        <f t="shared" si="11"/>
        <v>593500</v>
      </c>
      <c r="G496" s="6" t="s">
        <v>3883</v>
      </c>
      <c r="H496" s="6" t="s">
        <v>12461</v>
      </c>
      <c r="J496" s="727"/>
      <c r="K496" s="727"/>
      <c r="L496" s="727"/>
      <c r="M496" s="727"/>
      <c r="N496" s="727"/>
      <c r="O496" s="727"/>
    </row>
    <row r="497">
      <c r="A497" s="113">
        <v>45759.0</v>
      </c>
      <c r="B497" s="6" t="s">
        <v>12279</v>
      </c>
      <c r="C497" s="6" t="s">
        <v>12474</v>
      </c>
      <c r="D497" s="727"/>
      <c r="E497" s="729">
        <v>200000.0</v>
      </c>
      <c r="F497" s="727">
        <f t="shared" si="11"/>
        <v>393500</v>
      </c>
      <c r="G497" s="6" t="s">
        <v>3883</v>
      </c>
      <c r="H497" s="6" t="s">
        <v>3883</v>
      </c>
      <c r="J497" s="727"/>
      <c r="K497" s="727"/>
      <c r="L497" s="727"/>
      <c r="M497" s="727"/>
      <c r="N497" s="727"/>
      <c r="O497" s="727"/>
    </row>
    <row r="498">
      <c r="A498" s="113">
        <v>45759.0</v>
      </c>
      <c r="B498" s="6" t="s">
        <v>12279</v>
      </c>
      <c r="C498" s="6" t="s">
        <v>12475</v>
      </c>
      <c r="D498" s="727"/>
      <c r="E498" s="729">
        <v>100000.0</v>
      </c>
      <c r="F498" s="727">
        <f t="shared" si="11"/>
        <v>293500</v>
      </c>
      <c r="G498" s="6" t="s">
        <v>3883</v>
      </c>
      <c r="H498" s="6" t="s">
        <v>3799</v>
      </c>
      <c r="J498" s="727"/>
      <c r="K498" s="727"/>
      <c r="L498" s="727"/>
      <c r="M498" s="727"/>
      <c r="N498" s="727"/>
      <c r="O498" s="727"/>
    </row>
    <row r="499">
      <c r="A499" s="113">
        <v>45759.0</v>
      </c>
      <c r="B499" s="6" t="s">
        <v>12279</v>
      </c>
      <c r="C499" s="6" t="s">
        <v>12499</v>
      </c>
      <c r="D499" s="727"/>
      <c r="E499" s="729">
        <v>200000.0</v>
      </c>
      <c r="F499" s="727">
        <f t="shared" si="11"/>
        <v>93500</v>
      </c>
      <c r="G499" s="6" t="s">
        <v>3883</v>
      </c>
      <c r="H499" s="6" t="s">
        <v>12196</v>
      </c>
      <c r="J499" s="727"/>
      <c r="K499" s="727"/>
      <c r="L499" s="727"/>
      <c r="M499" s="727"/>
      <c r="N499" s="727"/>
      <c r="O499" s="727"/>
    </row>
    <row r="500">
      <c r="A500" s="113">
        <v>45763.0</v>
      </c>
      <c r="B500" s="6" t="s">
        <v>12184</v>
      </c>
      <c r="C500" s="6" t="s">
        <v>12443</v>
      </c>
      <c r="D500" s="727"/>
      <c r="E500" s="729">
        <v>36000.0</v>
      </c>
      <c r="F500" s="727">
        <f t="shared" si="11"/>
        <v>57500</v>
      </c>
      <c r="G500" s="6" t="s">
        <v>3883</v>
      </c>
      <c r="H500" s="6" t="s">
        <v>12472</v>
      </c>
      <c r="J500" s="727"/>
      <c r="K500" s="727"/>
      <c r="L500" s="727"/>
      <c r="M500" s="727"/>
      <c r="N500" s="727"/>
      <c r="O500" s="727"/>
    </row>
    <row r="501">
      <c r="A501" s="113">
        <v>45763.0</v>
      </c>
      <c r="B501" s="6" t="s">
        <v>12382</v>
      </c>
      <c r="D501" s="727"/>
      <c r="E501" s="729">
        <v>5000.0</v>
      </c>
      <c r="F501" s="727">
        <f t="shared" si="11"/>
        <v>52500</v>
      </c>
      <c r="G501" s="6" t="s">
        <v>3883</v>
      </c>
      <c r="H501" s="6" t="s">
        <v>12472</v>
      </c>
      <c r="J501" s="727"/>
      <c r="K501" s="727"/>
      <c r="L501" s="727"/>
      <c r="M501" s="727"/>
      <c r="N501" s="727"/>
      <c r="O501" s="727"/>
    </row>
    <row r="502">
      <c r="A502" s="113">
        <v>45764.0</v>
      </c>
      <c r="B502" s="6" t="s">
        <v>12500</v>
      </c>
      <c r="D502" s="727"/>
      <c r="E502" s="729">
        <v>20000.0</v>
      </c>
      <c r="F502" s="727">
        <f t="shared" si="11"/>
        <v>32500</v>
      </c>
      <c r="G502" s="6" t="s">
        <v>3883</v>
      </c>
      <c r="H502" s="6" t="s">
        <v>12472</v>
      </c>
      <c r="J502" s="727"/>
      <c r="K502" s="727"/>
      <c r="L502" s="727"/>
      <c r="M502" s="727"/>
      <c r="N502" s="727"/>
      <c r="O502" s="727"/>
    </row>
    <row r="503">
      <c r="A503" s="113">
        <v>45764.0</v>
      </c>
      <c r="B503" s="6" t="s">
        <v>12501</v>
      </c>
      <c r="D503" s="727"/>
      <c r="E503" s="729">
        <v>11000.0</v>
      </c>
      <c r="F503" s="727">
        <f t="shared" si="11"/>
        <v>21500</v>
      </c>
      <c r="G503" s="6" t="s">
        <v>3883</v>
      </c>
      <c r="H503" s="6" t="s">
        <v>12472</v>
      </c>
      <c r="J503" s="727"/>
      <c r="K503" s="727"/>
      <c r="L503" s="727"/>
      <c r="M503" s="727"/>
      <c r="N503" s="727"/>
      <c r="O503" s="727"/>
    </row>
    <row r="504">
      <c r="A504" s="113">
        <v>45764.0</v>
      </c>
      <c r="B504" s="6" t="s">
        <v>12283</v>
      </c>
      <c r="D504" s="729">
        <v>800000.0</v>
      </c>
      <c r="E504" s="729"/>
      <c r="F504" s="727">
        <f t="shared" si="11"/>
        <v>821500</v>
      </c>
      <c r="G504" s="6" t="s">
        <v>3883</v>
      </c>
      <c r="H504" s="6" t="s">
        <v>3883</v>
      </c>
      <c r="J504" s="727"/>
      <c r="K504" s="727"/>
      <c r="L504" s="727"/>
      <c r="M504" s="727"/>
      <c r="N504" s="727"/>
      <c r="O504" s="727"/>
    </row>
    <row r="505">
      <c r="A505" s="113">
        <v>45764.0</v>
      </c>
      <c r="B505" s="6" t="s">
        <v>12482</v>
      </c>
      <c r="C505" s="6" t="s">
        <v>12502</v>
      </c>
      <c r="D505" s="727"/>
      <c r="E505" s="729">
        <v>300000.0</v>
      </c>
      <c r="F505" s="727">
        <f t="shared" si="11"/>
        <v>521500</v>
      </c>
      <c r="G505" s="6" t="s">
        <v>3883</v>
      </c>
      <c r="H505" s="6" t="s">
        <v>12484</v>
      </c>
      <c r="J505" s="727"/>
      <c r="K505" s="727"/>
      <c r="L505" s="727"/>
      <c r="M505" s="727"/>
      <c r="N505" s="727"/>
      <c r="O505" s="727"/>
    </row>
    <row r="506">
      <c r="A506" s="113">
        <v>45766.0</v>
      </c>
      <c r="B506" s="6" t="s">
        <v>12283</v>
      </c>
      <c r="D506" s="729">
        <v>1050000.0</v>
      </c>
      <c r="E506" s="727"/>
      <c r="F506" s="727">
        <f t="shared" si="11"/>
        <v>1571500</v>
      </c>
      <c r="G506" s="6" t="s">
        <v>3883</v>
      </c>
      <c r="H506" s="6" t="s">
        <v>3883</v>
      </c>
      <c r="J506" s="727"/>
      <c r="K506" s="727"/>
      <c r="L506" s="727"/>
      <c r="M506" s="727"/>
      <c r="N506" s="727"/>
      <c r="O506" s="727"/>
    </row>
    <row r="507">
      <c r="A507" s="113">
        <v>45766.0</v>
      </c>
      <c r="B507" s="6" t="s">
        <v>12279</v>
      </c>
      <c r="C507" s="6" t="s">
        <v>12503</v>
      </c>
      <c r="D507" s="727"/>
      <c r="E507" s="729">
        <v>300000.0</v>
      </c>
      <c r="F507" s="727">
        <f t="shared" si="11"/>
        <v>1271500</v>
      </c>
      <c r="G507" s="6" t="s">
        <v>3883</v>
      </c>
      <c r="H507" s="6" t="s">
        <v>12271</v>
      </c>
      <c r="J507" s="727"/>
      <c r="K507" s="727"/>
      <c r="L507" s="727"/>
      <c r="M507" s="727"/>
      <c r="N507" s="727"/>
      <c r="O507" s="727"/>
    </row>
    <row r="508">
      <c r="A508" s="113">
        <v>45766.0</v>
      </c>
      <c r="B508" s="6" t="s">
        <v>12279</v>
      </c>
      <c r="C508" s="6" t="s">
        <v>12504</v>
      </c>
      <c r="D508" s="727"/>
      <c r="E508" s="729">
        <v>300000.0</v>
      </c>
      <c r="F508" s="727">
        <f t="shared" si="11"/>
        <v>971500</v>
      </c>
      <c r="G508" s="6" t="s">
        <v>3883</v>
      </c>
      <c r="H508" s="6" t="s">
        <v>12461</v>
      </c>
      <c r="J508" s="727"/>
      <c r="K508" s="727"/>
      <c r="L508" s="727"/>
      <c r="M508" s="727"/>
      <c r="N508" s="727"/>
      <c r="O508" s="727"/>
    </row>
    <row r="509">
      <c r="A509" s="113">
        <v>45766.0</v>
      </c>
      <c r="B509" s="6" t="s">
        <v>12279</v>
      </c>
      <c r="C509" s="6" t="s">
        <v>12505</v>
      </c>
      <c r="D509" s="727"/>
      <c r="E509" s="729">
        <v>300000.0</v>
      </c>
      <c r="F509" s="727">
        <f t="shared" si="11"/>
        <v>671500</v>
      </c>
      <c r="G509" s="6" t="s">
        <v>3883</v>
      </c>
      <c r="H509" s="6" t="s">
        <v>12196</v>
      </c>
      <c r="J509" s="727"/>
      <c r="K509" s="727"/>
      <c r="L509" s="727"/>
      <c r="M509" s="727"/>
      <c r="N509" s="727"/>
      <c r="O509" s="727"/>
    </row>
    <row r="510">
      <c r="A510" s="113">
        <v>45766.0</v>
      </c>
      <c r="B510" s="6" t="s">
        <v>12279</v>
      </c>
      <c r="C510" s="6" t="s">
        <v>12506</v>
      </c>
      <c r="D510" s="727"/>
      <c r="E510" s="729">
        <v>100000.0</v>
      </c>
      <c r="F510" s="727">
        <f t="shared" si="11"/>
        <v>571500</v>
      </c>
      <c r="G510" s="6" t="s">
        <v>3883</v>
      </c>
      <c r="H510" s="6" t="s">
        <v>12274</v>
      </c>
      <c r="J510" s="727"/>
      <c r="K510" s="727"/>
      <c r="L510" s="727"/>
      <c r="M510" s="727"/>
      <c r="N510" s="727"/>
      <c r="O510" s="727"/>
    </row>
    <row r="511">
      <c r="A511" s="113">
        <v>45766.0</v>
      </c>
      <c r="B511" s="6" t="s">
        <v>12279</v>
      </c>
      <c r="C511" s="6" t="s">
        <v>12474</v>
      </c>
      <c r="D511" s="727"/>
      <c r="E511" s="729">
        <v>50000.0</v>
      </c>
      <c r="F511" s="727">
        <f t="shared" si="11"/>
        <v>521500</v>
      </c>
      <c r="G511" s="6" t="s">
        <v>3883</v>
      </c>
      <c r="H511" s="6" t="s">
        <v>3883</v>
      </c>
      <c r="J511" s="727"/>
      <c r="K511" s="727"/>
      <c r="L511" s="727"/>
      <c r="M511" s="727"/>
      <c r="N511" s="727"/>
      <c r="O511" s="727"/>
    </row>
    <row r="512">
      <c r="A512" s="113">
        <v>45767.0</v>
      </c>
      <c r="B512" s="6" t="s">
        <v>12507</v>
      </c>
      <c r="D512" s="727"/>
      <c r="E512" s="729">
        <v>55000.0</v>
      </c>
      <c r="F512" s="727">
        <f t="shared" si="11"/>
        <v>466500</v>
      </c>
      <c r="G512" s="6" t="s">
        <v>3883</v>
      </c>
      <c r="H512" s="6" t="s">
        <v>12472</v>
      </c>
      <c r="J512" s="727"/>
      <c r="K512" s="727"/>
      <c r="L512" s="727"/>
      <c r="M512" s="727"/>
      <c r="N512" s="727"/>
      <c r="O512" s="727"/>
    </row>
    <row r="513">
      <c r="A513" s="113">
        <v>45767.0</v>
      </c>
      <c r="B513" s="6" t="s">
        <v>12283</v>
      </c>
      <c r="D513" s="729">
        <v>250000.0</v>
      </c>
      <c r="E513" s="727"/>
      <c r="F513" s="727">
        <f t="shared" si="11"/>
        <v>716500</v>
      </c>
      <c r="G513" s="6" t="s">
        <v>3883</v>
      </c>
      <c r="H513" s="6" t="s">
        <v>3883</v>
      </c>
      <c r="J513" s="727"/>
      <c r="K513" s="727"/>
      <c r="L513" s="727"/>
      <c r="M513" s="727"/>
      <c r="N513" s="727"/>
      <c r="O513" s="727"/>
    </row>
    <row r="514">
      <c r="A514" s="113">
        <v>45767.0</v>
      </c>
      <c r="B514" s="6" t="s">
        <v>12367</v>
      </c>
      <c r="C514" s="6" t="s">
        <v>12439</v>
      </c>
      <c r="D514" s="727"/>
      <c r="E514" s="729">
        <v>250000.0</v>
      </c>
      <c r="F514" s="727">
        <f t="shared" si="11"/>
        <v>466500</v>
      </c>
      <c r="G514" s="6" t="s">
        <v>3883</v>
      </c>
      <c r="H514" s="6" t="s">
        <v>12508</v>
      </c>
      <c r="J514" s="727"/>
      <c r="K514" s="727"/>
      <c r="L514" s="727"/>
      <c r="M514" s="727"/>
      <c r="N514" s="727"/>
      <c r="O514" s="727"/>
    </row>
    <row r="515">
      <c r="A515" s="113">
        <v>45768.0</v>
      </c>
      <c r="B515" s="6" t="s">
        <v>12509</v>
      </c>
      <c r="C515" s="6" t="s">
        <v>12510</v>
      </c>
      <c r="D515" s="727"/>
      <c r="E515" s="729">
        <v>12000.0</v>
      </c>
      <c r="F515" s="727">
        <f t="shared" si="11"/>
        <v>454500</v>
      </c>
      <c r="G515" s="6" t="s">
        <v>3883</v>
      </c>
      <c r="H515" s="6" t="s">
        <v>12126</v>
      </c>
      <c r="J515" s="727"/>
      <c r="K515" s="727"/>
      <c r="L515" s="727"/>
      <c r="M515" s="727"/>
      <c r="N515" s="727"/>
      <c r="O515" s="727"/>
    </row>
    <row r="516">
      <c r="A516" s="113">
        <v>45768.0</v>
      </c>
      <c r="B516" s="6" t="s">
        <v>12511</v>
      </c>
      <c r="C516" s="6" t="s">
        <v>12512</v>
      </c>
      <c r="D516" s="727"/>
      <c r="E516" s="729">
        <v>13000.0</v>
      </c>
      <c r="F516" s="727">
        <f t="shared" si="11"/>
        <v>441500</v>
      </c>
      <c r="G516" s="6" t="s">
        <v>3883</v>
      </c>
      <c r="H516" s="6" t="s">
        <v>12126</v>
      </c>
      <c r="J516" s="727"/>
      <c r="K516" s="727"/>
      <c r="L516" s="727"/>
      <c r="M516" s="727"/>
      <c r="N516" s="727"/>
      <c r="O516" s="727"/>
    </row>
    <row r="517">
      <c r="A517" s="113">
        <v>45768.0</v>
      </c>
      <c r="B517" s="6" t="s">
        <v>12382</v>
      </c>
      <c r="C517" s="6" t="s">
        <v>12427</v>
      </c>
      <c r="D517" s="727"/>
      <c r="E517" s="729">
        <v>5000.0</v>
      </c>
      <c r="F517" s="727">
        <f t="shared" si="11"/>
        <v>436500</v>
      </c>
      <c r="G517" s="6" t="s">
        <v>3883</v>
      </c>
      <c r="H517" s="6" t="s">
        <v>12196</v>
      </c>
      <c r="J517" s="727"/>
      <c r="K517" s="727"/>
      <c r="L517" s="727"/>
      <c r="M517" s="727"/>
      <c r="N517" s="727"/>
      <c r="O517" s="727"/>
    </row>
    <row r="518">
      <c r="A518" s="113">
        <v>45768.0</v>
      </c>
      <c r="B518" s="6" t="s">
        <v>12382</v>
      </c>
      <c r="C518" s="6" t="s">
        <v>12427</v>
      </c>
      <c r="D518" s="727"/>
      <c r="E518" s="729">
        <v>5000.0</v>
      </c>
      <c r="F518" s="727">
        <f t="shared" si="11"/>
        <v>431500</v>
      </c>
      <c r="G518" s="6" t="s">
        <v>3883</v>
      </c>
      <c r="H518" s="6" t="s">
        <v>4717</v>
      </c>
      <c r="J518" s="727"/>
      <c r="K518" s="727"/>
      <c r="L518" s="727"/>
      <c r="M518" s="727"/>
      <c r="N518" s="727"/>
      <c r="O518" s="727"/>
    </row>
    <row r="519">
      <c r="A519" s="113">
        <v>45769.0</v>
      </c>
      <c r="B519" s="6" t="s">
        <v>12417</v>
      </c>
      <c r="C519" s="6" t="s">
        <v>12198</v>
      </c>
      <c r="D519" s="727"/>
      <c r="E519" s="729">
        <v>200000.0</v>
      </c>
      <c r="F519" s="727">
        <f t="shared" si="11"/>
        <v>231500</v>
      </c>
      <c r="G519" s="6" t="s">
        <v>3799</v>
      </c>
      <c r="H519" s="6" t="s">
        <v>12274</v>
      </c>
      <c r="J519" s="727"/>
      <c r="K519" s="727"/>
      <c r="L519" s="727"/>
      <c r="M519" s="727"/>
      <c r="N519" s="727"/>
      <c r="O519" s="727"/>
    </row>
    <row r="520">
      <c r="A520" s="113">
        <v>45769.0</v>
      </c>
      <c r="B520" s="6" t="s">
        <v>12267</v>
      </c>
      <c r="C520" s="6" t="s">
        <v>12477</v>
      </c>
      <c r="D520" s="727"/>
      <c r="E520" s="729">
        <v>150000.0</v>
      </c>
      <c r="F520" s="727">
        <f t="shared" si="11"/>
        <v>81500</v>
      </c>
      <c r="G520" s="6" t="s">
        <v>3799</v>
      </c>
      <c r="H520" s="6" t="s">
        <v>12274</v>
      </c>
      <c r="J520" s="727"/>
      <c r="K520" s="727"/>
      <c r="L520" s="727"/>
      <c r="M520" s="727"/>
      <c r="N520" s="727"/>
      <c r="O520" s="727"/>
    </row>
    <row r="521">
      <c r="A521" s="113">
        <v>45771.0</v>
      </c>
      <c r="B521" s="6" t="s">
        <v>12283</v>
      </c>
      <c r="D521" s="729">
        <v>500000.0</v>
      </c>
      <c r="E521" s="727"/>
      <c r="F521" s="727">
        <f t="shared" si="11"/>
        <v>581500</v>
      </c>
      <c r="G521" s="6" t="s">
        <v>3883</v>
      </c>
      <c r="H521" s="6" t="s">
        <v>3883</v>
      </c>
      <c r="J521" s="727"/>
      <c r="K521" s="727"/>
      <c r="L521" s="727"/>
      <c r="M521" s="727"/>
      <c r="N521" s="727"/>
      <c r="O521" s="727"/>
    </row>
    <row r="522">
      <c r="A522" s="113">
        <v>45772.0</v>
      </c>
      <c r="B522" s="6" t="s">
        <v>12382</v>
      </c>
      <c r="C522" s="6" t="s">
        <v>12427</v>
      </c>
      <c r="D522" s="727"/>
      <c r="E522" s="729">
        <v>5000.0</v>
      </c>
      <c r="F522" s="727">
        <f t="shared" si="11"/>
        <v>576500</v>
      </c>
      <c r="G522" s="6" t="s">
        <v>3883</v>
      </c>
      <c r="H522" s="6" t="s">
        <v>12472</v>
      </c>
      <c r="J522" s="727"/>
      <c r="K522" s="727"/>
      <c r="L522" s="727"/>
      <c r="M522" s="727"/>
      <c r="N522" s="727"/>
      <c r="O522" s="727"/>
    </row>
    <row r="523">
      <c r="A523" s="113">
        <v>45773.0</v>
      </c>
      <c r="B523" s="6" t="s">
        <v>12283</v>
      </c>
      <c r="D523" s="729">
        <v>1240000.0</v>
      </c>
      <c r="E523" s="727"/>
      <c r="F523" s="727">
        <f t="shared" si="11"/>
        <v>1816500</v>
      </c>
      <c r="G523" s="6" t="s">
        <v>3883</v>
      </c>
      <c r="J523" s="727"/>
      <c r="K523" s="727"/>
      <c r="L523" s="727"/>
      <c r="M523" s="727"/>
      <c r="N523" s="727"/>
      <c r="O523" s="727"/>
    </row>
    <row r="524">
      <c r="A524" s="113">
        <v>45773.0</v>
      </c>
      <c r="B524" s="6" t="s">
        <v>12279</v>
      </c>
      <c r="C524" s="6" t="s">
        <v>12503</v>
      </c>
      <c r="D524" s="727"/>
      <c r="E524" s="729">
        <v>300000.0</v>
      </c>
      <c r="F524" s="727">
        <f t="shared" si="11"/>
        <v>1516500</v>
      </c>
      <c r="G524" s="6" t="s">
        <v>3883</v>
      </c>
      <c r="H524" s="6" t="s">
        <v>7878</v>
      </c>
      <c r="J524" s="727"/>
      <c r="K524" s="727"/>
      <c r="L524" s="727"/>
      <c r="M524" s="727"/>
      <c r="N524" s="727"/>
      <c r="O524" s="727"/>
    </row>
    <row r="525">
      <c r="A525" s="113">
        <v>45773.0</v>
      </c>
      <c r="B525" s="6" t="s">
        <v>12279</v>
      </c>
      <c r="C525" s="6" t="s">
        <v>12504</v>
      </c>
      <c r="D525" s="727"/>
      <c r="E525" s="729">
        <v>150000.0</v>
      </c>
      <c r="F525" s="727">
        <f t="shared" si="11"/>
        <v>1366500</v>
      </c>
      <c r="G525" s="6" t="s">
        <v>3883</v>
      </c>
      <c r="H525" s="6" t="s">
        <v>12126</v>
      </c>
      <c r="J525" s="727"/>
      <c r="K525" s="727"/>
      <c r="L525" s="727"/>
      <c r="M525" s="727"/>
      <c r="N525" s="727"/>
      <c r="O525" s="727"/>
    </row>
    <row r="526">
      <c r="A526" s="113">
        <v>45773.0</v>
      </c>
      <c r="B526" s="6" t="s">
        <v>12279</v>
      </c>
      <c r="C526" s="6" t="s">
        <v>12505</v>
      </c>
      <c r="D526" s="727"/>
      <c r="E526" s="729">
        <v>300000.0</v>
      </c>
      <c r="F526" s="727">
        <f t="shared" si="11"/>
        <v>1066500</v>
      </c>
      <c r="G526" s="6" t="s">
        <v>3883</v>
      </c>
      <c r="H526" s="6" t="s">
        <v>4717</v>
      </c>
      <c r="J526" s="727"/>
      <c r="K526" s="727"/>
      <c r="L526" s="727"/>
      <c r="M526" s="727"/>
      <c r="N526" s="727"/>
      <c r="O526" s="727"/>
    </row>
    <row r="527">
      <c r="A527" s="113">
        <v>45773.0</v>
      </c>
      <c r="B527" s="6" t="s">
        <v>12279</v>
      </c>
      <c r="C527" s="6" t="s">
        <v>12506</v>
      </c>
      <c r="D527" s="727"/>
      <c r="E527" s="729">
        <v>200000.0</v>
      </c>
      <c r="F527" s="727">
        <f t="shared" si="11"/>
        <v>866500</v>
      </c>
      <c r="G527" s="6" t="s">
        <v>3883</v>
      </c>
      <c r="H527" s="6" t="s">
        <v>6096</v>
      </c>
      <c r="J527" s="727"/>
      <c r="K527" s="727"/>
      <c r="L527" s="727"/>
      <c r="M527" s="727"/>
      <c r="N527" s="727"/>
      <c r="O527" s="727"/>
    </row>
    <row r="528">
      <c r="A528" s="113">
        <v>45773.0</v>
      </c>
      <c r="B528" s="6" t="s">
        <v>12279</v>
      </c>
      <c r="C528" s="6" t="s">
        <v>12513</v>
      </c>
      <c r="D528" s="727"/>
      <c r="E528" s="729">
        <v>300000.0</v>
      </c>
      <c r="F528" s="727">
        <f t="shared" si="11"/>
        <v>566500</v>
      </c>
      <c r="G528" s="6" t="s">
        <v>3883</v>
      </c>
      <c r="H528" s="6" t="s">
        <v>12125</v>
      </c>
      <c r="J528" s="727"/>
      <c r="K528" s="727"/>
      <c r="L528" s="727"/>
      <c r="M528" s="727"/>
      <c r="N528" s="727"/>
      <c r="O528" s="727"/>
    </row>
    <row r="529">
      <c r="A529" s="113">
        <v>45774.0</v>
      </c>
      <c r="B529" s="6" t="s">
        <v>12283</v>
      </c>
      <c r="D529" s="729">
        <v>250000.0</v>
      </c>
      <c r="E529" s="727"/>
      <c r="F529" s="727">
        <f t="shared" si="11"/>
        <v>816500</v>
      </c>
      <c r="G529" s="6" t="s">
        <v>3883</v>
      </c>
      <c r="J529" s="727"/>
      <c r="K529" s="727"/>
      <c r="L529" s="727"/>
      <c r="M529" s="727"/>
      <c r="N529" s="727"/>
      <c r="O529" s="727"/>
    </row>
    <row r="530">
      <c r="A530" s="113">
        <v>45774.0</v>
      </c>
      <c r="B530" s="6" t="s">
        <v>12367</v>
      </c>
      <c r="C530" s="6" t="s">
        <v>12439</v>
      </c>
      <c r="D530" s="727"/>
      <c r="E530" s="729">
        <v>250000.0</v>
      </c>
      <c r="F530" s="727">
        <f t="shared" si="11"/>
        <v>566500</v>
      </c>
      <c r="G530" s="6" t="s">
        <v>3883</v>
      </c>
      <c r="H530" s="6" t="s">
        <v>12514</v>
      </c>
      <c r="J530" s="727"/>
      <c r="K530" s="727"/>
      <c r="L530" s="727"/>
      <c r="M530" s="727"/>
      <c r="N530" s="727"/>
      <c r="O530" s="727"/>
    </row>
    <row r="531">
      <c r="A531" s="113">
        <v>45775.0</v>
      </c>
      <c r="B531" s="6" t="s">
        <v>12515</v>
      </c>
      <c r="D531" s="727"/>
      <c r="E531" s="729">
        <v>35000.0</v>
      </c>
      <c r="F531" s="727">
        <f t="shared" si="11"/>
        <v>531500</v>
      </c>
      <c r="G531" s="6" t="s">
        <v>3883</v>
      </c>
      <c r="H531" s="6" t="s">
        <v>12516</v>
      </c>
      <c r="J531" s="727"/>
      <c r="K531" s="727"/>
      <c r="L531" s="727"/>
      <c r="M531" s="727"/>
      <c r="N531" s="727"/>
      <c r="O531" s="727"/>
    </row>
    <row r="532">
      <c r="A532" s="113">
        <v>45775.0</v>
      </c>
      <c r="B532" s="6" t="s">
        <v>12517</v>
      </c>
      <c r="D532" s="727"/>
      <c r="E532" s="729">
        <v>81891.0</v>
      </c>
      <c r="F532" s="727">
        <f t="shared" si="11"/>
        <v>449609</v>
      </c>
      <c r="G532" s="6" t="s">
        <v>3883</v>
      </c>
      <c r="H532" s="6" t="s">
        <v>12518</v>
      </c>
      <c r="J532" s="727"/>
      <c r="K532" s="727"/>
      <c r="L532" s="727"/>
      <c r="M532" s="727"/>
      <c r="N532" s="727"/>
      <c r="O532" s="727"/>
    </row>
    <row r="533">
      <c r="A533" s="113">
        <v>45775.0</v>
      </c>
      <c r="B533" s="6" t="s">
        <v>12417</v>
      </c>
      <c r="C533" s="6" t="s">
        <v>12391</v>
      </c>
      <c r="D533" s="727"/>
      <c r="E533" s="729">
        <v>100000.0</v>
      </c>
      <c r="F533" s="727">
        <f t="shared" si="11"/>
        <v>349609</v>
      </c>
      <c r="G533" s="6" t="s">
        <v>3883</v>
      </c>
      <c r="H533" s="6" t="s">
        <v>12472</v>
      </c>
      <c r="J533" s="727"/>
      <c r="K533" s="727"/>
      <c r="L533" s="727"/>
      <c r="M533" s="727"/>
      <c r="N533" s="727"/>
      <c r="O533" s="727"/>
    </row>
    <row r="534">
      <c r="A534" s="113">
        <v>45775.0</v>
      </c>
      <c r="B534" s="6" t="s">
        <v>12184</v>
      </c>
      <c r="C534" s="6" t="s">
        <v>12443</v>
      </c>
      <c r="D534" s="727"/>
      <c r="E534" s="729">
        <v>36000.0</v>
      </c>
      <c r="F534" s="727">
        <f t="shared" si="11"/>
        <v>313609</v>
      </c>
      <c r="G534" s="6" t="s">
        <v>4262</v>
      </c>
      <c r="H534" s="6" t="s">
        <v>12519</v>
      </c>
      <c r="J534" s="727"/>
      <c r="K534" s="727"/>
      <c r="L534" s="727"/>
      <c r="M534" s="727"/>
      <c r="N534" s="727"/>
      <c r="O534" s="727"/>
    </row>
    <row r="535">
      <c r="A535" s="113">
        <v>45776.0</v>
      </c>
      <c r="B535" s="6" t="s">
        <v>12382</v>
      </c>
      <c r="C535" s="6" t="s">
        <v>12427</v>
      </c>
      <c r="D535" s="727"/>
      <c r="E535" s="729">
        <v>5000.0</v>
      </c>
      <c r="F535" s="727">
        <f t="shared" si="11"/>
        <v>308609</v>
      </c>
      <c r="G535" s="6" t="s">
        <v>4262</v>
      </c>
      <c r="H535" s="6" t="s">
        <v>12520</v>
      </c>
      <c r="J535" s="727"/>
      <c r="K535" s="727"/>
      <c r="L535" s="727"/>
      <c r="M535" s="727"/>
      <c r="N535" s="727"/>
      <c r="O535" s="727"/>
    </row>
    <row r="536">
      <c r="A536" s="113">
        <v>45777.0</v>
      </c>
      <c r="B536" s="6" t="s">
        <v>12382</v>
      </c>
      <c r="C536" s="6" t="s">
        <v>12427</v>
      </c>
      <c r="D536" s="727"/>
      <c r="E536" s="729">
        <v>5000.0</v>
      </c>
      <c r="F536" s="727">
        <f t="shared" si="11"/>
        <v>303609</v>
      </c>
      <c r="G536" s="6" t="s">
        <v>3883</v>
      </c>
      <c r="H536" s="6" t="s">
        <v>12461</v>
      </c>
      <c r="J536" s="727"/>
      <c r="K536" s="727"/>
      <c r="L536" s="727"/>
      <c r="M536" s="727"/>
      <c r="N536" s="727"/>
      <c r="O536" s="727"/>
    </row>
    <row r="537">
      <c r="A537" s="739" t="s">
        <v>12521</v>
      </c>
      <c r="J537" s="727"/>
      <c r="K537" s="727"/>
      <c r="L537" s="727"/>
      <c r="M537" s="727"/>
      <c r="N537" s="727"/>
      <c r="O537" s="727"/>
    </row>
    <row r="538" hidden="1">
      <c r="A538" s="113">
        <v>45779.0</v>
      </c>
      <c r="B538" s="6" t="s">
        <v>12417</v>
      </c>
      <c r="C538" s="6" t="s">
        <v>12391</v>
      </c>
      <c r="D538" s="727"/>
      <c r="E538" s="729">
        <v>200000.0</v>
      </c>
      <c r="F538" s="727">
        <f>F536+D538-E538</f>
        <v>103609</v>
      </c>
      <c r="G538" s="6" t="s">
        <v>3883</v>
      </c>
      <c r="H538" s="6" t="s">
        <v>7878</v>
      </c>
      <c r="J538" s="727"/>
      <c r="K538" s="727"/>
      <c r="L538" s="727"/>
      <c r="M538" s="727"/>
      <c r="N538" s="727"/>
      <c r="O538" s="727"/>
    </row>
    <row r="539" hidden="1">
      <c r="A539" s="113">
        <v>45779.0</v>
      </c>
      <c r="B539" s="6" t="s">
        <v>12477</v>
      </c>
      <c r="D539" s="727"/>
      <c r="E539" s="729">
        <v>100000.0</v>
      </c>
      <c r="F539" s="727">
        <f t="shared" ref="F539:F559" si="12">F538+D539-E539</f>
        <v>3609</v>
      </c>
      <c r="G539" s="6" t="s">
        <v>3883</v>
      </c>
      <c r="H539" s="6" t="s">
        <v>6096</v>
      </c>
      <c r="J539" s="727"/>
      <c r="K539" s="727"/>
      <c r="L539" s="727"/>
      <c r="M539" s="727"/>
      <c r="N539" s="727"/>
      <c r="O539" s="727"/>
    </row>
    <row r="540" hidden="1">
      <c r="A540" s="113">
        <v>45779.0</v>
      </c>
      <c r="B540" s="6" t="s">
        <v>12283</v>
      </c>
      <c r="D540" s="729">
        <v>600000.0</v>
      </c>
      <c r="E540" s="727"/>
      <c r="F540" s="727">
        <f t="shared" si="12"/>
        <v>603609</v>
      </c>
      <c r="G540" s="6" t="s">
        <v>3883</v>
      </c>
      <c r="J540" s="727"/>
      <c r="K540" s="727"/>
      <c r="L540" s="727"/>
      <c r="M540" s="727"/>
      <c r="N540" s="727"/>
      <c r="O540" s="727"/>
    </row>
    <row r="541" hidden="1">
      <c r="A541" s="113">
        <v>45779.0</v>
      </c>
      <c r="B541" s="6" t="s">
        <v>12482</v>
      </c>
      <c r="C541" s="6" t="s">
        <v>12522</v>
      </c>
      <c r="D541" s="727"/>
      <c r="E541" s="729">
        <v>300000.0</v>
      </c>
      <c r="F541" s="727">
        <f t="shared" si="12"/>
        <v>303609</v>
      </c>
      <c r="G541" s="6" t="s">
        <v>3883</v>
      </c>
      <c r="H541" s="6" t="s">
        <v>12484</v>
      </c>
      <c r="J541" s="727"/>
      <c r="K541" s="727"/>
      <c r="L541" s="727"/>
      <c r="M541" s="727"/>
      <c r="N541" s="727"/>
      <c r="O541" s="727"/>
    </row>
    <row r="542" hidden="1">
      <c r="A542" s="113">
        <v>45782.0</v>
      </c>
      <c r="B542" s="6" t="s">
        <v>12382</v>
      </c>
      <c r="C542" s="6" t="s">
        <v>12427</v>
      </c>
      <c r="D542" s="727"/>
      <c r="E542" s="729">
        <v>5000.0</v>
      </c>
      <c r="F542" s="727">
        <f t="shared" si="12"/>
        <v>298609</v>
      </c>
      <c r="G542" s="6" t="s">
        <v>3883</v>
      </c>
      <c r="H542" s="6" t="s">
        <v>12196</v>
      </c>
      <c r="J542" s="727"/>
      <c r="K542" s="727"/>
      <c r="L542" s="727"/>
      <c r="M542" s="727"/>
      <c r="N542" s="727"/>
      <c r="O542" s="727"/>
    </row>
    <row r="543" hidden="1">
      <c r="A543" s="113">
        <v>45785.0</v>
      </c>
      <c r="B543" s="6" t="s">
        <v>12382</v>
      </c>
      <c r="C543" s="6" t="s">
        <v>12427</v>
      </c>
      <c r="D543" s="727"/>
      <c r="E543" s="729">
        <v>5000.0</v>
      </c>
      <c r="F543" s="727">
        <f t="shared" si="12"/>
        <v>293609</v>
      </c>
      <c r="G543" s="6" t="s">
        <v>3883</v>
      </c>
      <c r="H543" s="6" t="s">
        <v>12461</v>
      </c>
      <c r="J543" s="727"/>
      <c r="K543" s="727"/>
      <c r="L543" s="727"/>
      <c r="M543" s="727"/>
      <c r="N543" s="727"/>
      <c r="O543" s="727"/>
    </row>
    <row r="544" hidden="1">
      <c r="A544" s="113">
        <v>45787.0</v>
      </c>
      <c r="B544" s="6" t="s">
        <v>12382</v>
      </c>
      <c r="C544" s="6" t="s">
        <v>12427</v>
      </c>
      <c r="D544" s="727"/>
      <c r="E544" s="729">
        <v>5000.0</v>
      </c>
      <c r="F544" s="727">
        <f t="shared" si="12"/>
        <v>288609</v>
      </c>
      <c r="G544" s="6" t="s">
        <v>3883</v>
      </c>
      <c r="H544" s="6" t="s">
        <v>12461</v>
      </c>
      <c r="J544" s="727"/>
      <c r="K544" s="727"/>
      <c r="L544" s="727"/>
      <c r="M544" s="727"/>
      <c r="N544" s="727"/>
      <c r="O544" s="727"/>
    </row>
    <row r="545" hidden="1">
      <c r="A545" s="113">
        <v>45790.0</v>
      </c>
      <c r="B545" s="6" t="s">
        <v>12184</v>
      </c>
      <c r="C545" s="6" t="s">
        <v>12443</v>
      </c>
      <c r="D545" s="727"/>
      <c r="E545" s="729">
        <v>36000.0</v>
      </c>
      <c r="F545" s="727">
        <f t="shared" si="12"/>
        <v>252609</v>
      </c>
      <c r="G545" s="6" t="s">
        <v>3883</v>
      </c>
      <c r="H545" s="6" t="s">
        <v>12461</v>
      </c>
      <c r="J545" s="727"/>
      <c r="K545" s="727"/>
      <c r="L545" s="727"/>
      <c r="M545" s="727"/>
      <c r="N545" s="727"/>
      <c r="O545" s="727"/>
    </row>
    <row r="546" hidden="1">
      <c r="A546" s="113">
        <v>45791.0</v>
      </c>
      <c r="B546" s="6" t="s">
        <v>12382</v>
      </c>
      <c r="C546" s="6" t="s">
        <v>12427</v>
      </c>
      <c r="D546" s="727"/>
      <c r="E546" s="729">
        <v>5000.0</v>
      </c>
      <c r="F546" s="727">
        <f t="shared" si="12"/>
        <v>247609</v>
      </c>
      <c r="G546" s="6" t="s">
        <v>3883</v>
      </c>
      <c r="H546" s="6" t="s">
        <v>12472</v>
      </c>
      <c r="J546" s="727"/>
      <c r="K546" s="727"/>
      <c r="L546" s="727"/>
      <c r="M546" s="727"/>
      <c r="N546" s="727"/>
      <c r="O546" s="727"/>
    </row>
    <row r="547" hidden="1">
      <c r="A547" s="113">
        <v>45791.0</v>
      </c>
      <c r="B547" s="6" t="s">
        <v>12417</v>
      </c>
      <c r="C547" s="6" t="s">
        <v>12391</v>
      </c>
      <c r="D547" s="727"/>
      <c r="E547" s="729">
        <v>200000.0</v>
      </c>
      <c r="F547" s="727">
        <f t="shared" si="12"/>
        <v>47609</v>
      </c>
      <c r="G547" s="6" t="s">
        <v>3883</v>
      </c>
      <c r="H547" s="6" t="s">
        <v>12472</v>
      </c>
      <c r="J547" s="727"/>
      <c r="K547" s="727"/>
      <c r="L547" s="727"/>
      <c r="M547" s="727"/>
      <c r="N547" s="727"/>
      <c r="O547" s="727"/>
    </row>
    <row r="548" hidden="1">
      <c r="A548" s="113">
        <v>45791.0</v>
      </c>
      <c r="B548" s="6" t="s">
        <v>12283</v>
      </c>
      <c r="D548" s="729">
        <v>500000.0</v>
      </c>
      <c r="E548" s="727"/>
      <c r="F548" s="727">
        <f t="shared" si="12"/>
        <v>547609</v>
      </c>
      <c r="G548" s="6" t="s">
        <v>3883</v>
      </c>
      <c r="J548" s="727"/>
      <c r="K548" s="727"/>
      <c r="L548" s="727"/>
      <c r="M548" s="727"/>
      <c r="N548" s="727"/>
      <c r="O548" s="727"/>
    </row>
    <row r="549" hidden="1">
      <c r="A549" s="113">
        <v>45791.0</v>
      </c>
      <c r="B549" s="6" t="s">
        <v>12523</v>
      </c>
      <c r="C549" s="6" t="s">
        <v>12524</v>
      </c>
      <c r="D549" s="727"/>
      <c r="E549" s="729">
        <v>150000.0</v>
      </c>
      <c r="F549" s="727">
        <f t="shared" si="12"/>
        <v>397609</v>
      </c>
      <c r="G549" s="6" t="s">
        <v>3883</v>
      </c>
      <c r="H549" s="6" t="s">
        <v>7878</v>
      </c>
      <c r="J549" s="727"/>
      <c r="K549" s="727"/>
      <c r="L549" s="727"/>
      <c r="M549" s="727"/>
      <c r="N549" s="727"/>
      <c r="O549" s="727"/>
    </row>
    <row r="550" hidden="1">
      <c r="A550" s="113">
        <v>45792.0</v>
      </c>
      <c r="B550" s="6" t="s">
        <v>12382</v>
      </c>
      <c r="C550" s="6" t="s">
        <v>12427</v>
      </c>
      <c r="D550" s="727"/>
      <c r="E550" s="729">
        <v>8000.0</v>
      </c>
      <c r="F550" s="727">
        <f t="shared" si="12"/>
        <v>389609</v>
      </c>
      <c r="G550" s="6" t="s">
        <v>3883</v>
      </c>
      <c r="H550" s="6" t="s">
        <v>12126</v>
      </c>
      <c r="J550" s="727"/>
      <c r="K550" s="727"/>
      <c r="L550" s="727"/>
      <c r="M550" s="727"/>
      <c r="N550" s="727"/>
      <c r="O550" s="727"/>
    </row>
    <row r="551" hidden="1">
      <c r="A551" s="113">
        <v>45794.0</v>
      </c>
      <c r="B551" s="6" t="s">
        <v>12382</v>
      </c>
      <c r="C551" s="6" t="s">
        <v>12427</v>
      </c>
      <c r="D551" s="727"/>
      <c r="E551" s="729">
        <v>5000.0</v>
      </c>
      <c r="F551" s="727">
        <f t="shared" si="12"/>
        <v>384609</v>
      </c>
      <c r="G551" s="6" t="s">
        <v>3883</v>
      </c>
      <c r="H551" s="6" t="s">
        <v>12472</v>
      </c>
      <c r="J551" s="727"/>
      <c r="K551" s="727"/>
      <c r="L551" s="727"/>
      <c r="M551" s="727"/>
      <c r="N551" s="727"/>
      <c r="O551" s="727"/>
    </row>
    <row r="552" hidden="1">
      <c r="A552" s="113">
        <v>45796.0</v>
      </c>
      <c r="B552" s="6" t="s">
        <v>12417</v>
      </c>
      <c r="C552" s="6" t="s">
        <v>12391</v>
      </c>
      <c r="D552" s="727"/>
      <c r="E552" s="729">
        <v>200000.0</v>
      </c>
      <c r="F552" s="727">
        <f t="shared" si="12"/>
        <v>184609</v>
      </c>
      <c r="G552" s="6" t="s">
        <v>3883</v>
      </c>
      <c r="H552" s="6" t="s">
        <v>12461</v>
      </c>
      <c r="J552" s="727"/>
      <c r="K552" s="727"/>
      <c r="L552" s="727"/>
      <c r="M552" s="727"/>
      <c r="N552" s="727"/>
      <c r="O552" s="727"/>
    </row>
    <row r="553" hidden="1">
      <c r="A553" s="113">
        <v>45796.0</v>
      </c>
      <c r="B553" s="6" t="s">
        <v>12179</v>
      </c>
      <c r="C553" s="181" t="s">
        <v>7827</v>
      </c>
      <c r="D553" s="727"/>
      <c r="E553" s="729">
        <v>87000.0</v>
      </c>
      <c r="F553" s="727">
        <f t="shared" si="12"/>
        <v>97609</v>
      </c>
      <c r="G553" s="6" t="s">
        <v>3883</v>
      </c>
      <c r="H553" s="6" t="s">
        <v>12487</v>
      </c>
      <c r="J553" s="727"/>
      <c r="K553" s="727"/>
      <c r="L553" s="727"/>
      <c r="M553" s="727"/>
      <c r="N553" s="727"/>
      <c r="O553" s="727"/>
    </row>
    <row r="554" hidden="1">
      <c r="A554" s="113">
        <v>45796.0</v>
      </c>
      <c r="B554" s="6" t="s">
        <v>12525</v>
      </c>
      <c r="C554" s="6" t="s">
        <v>7824</v>
      </c>
      <c r="D554" s="727"/>
      <c r="E554" s="729">
        <v>30000.0</v>
      </c>
      <c r="F554" s="727">
        <f t="shared" si="12"/>
        <v>67609</v>
      </c>
      <c r="G554" s="6" t="s">
        <v>3883</v>
      </c>
      <c r="H554" s="6" t="s">
        <v>12125</v>
      </c>
      <c r="J554" s="727"/>
      <c r="K554" s="727"/>
      <c r="L554" s="727"/>
      <c r="M554" s="727"/>
      <c r="N554" s="727"/>
      <c r="O554" s="727"/>
    </row>
    <row r="555" hidden="1">
      <c r="A555" s="113">
        <v>45796.0</v>
      </c>
      <c r="B555" s="6" t="s">
        <v>12283</v>
      </c>
      <c r="D555" s="729">
        <v>500000.0</v>
      </c>
      <c r="E555" s="727"/>
      <c r="F555" s="727">
        <f t="shared" si="12"/>
        <v>567609</v>
      </c>
      <c r="G555" s="6" t="s">
        <v>3883</v>
      </c>
      <c r="J555" s="727"/>
      <c r="K555" s="727"/>
      <c r="L555" s="727"/>
      <c r="M555" s="727"/>
      <c r="N555" s="727"/>
      <c r="O555" s="727"/>
    </row>
    <row r="556" hidden="1">
      <c r="A556" s="113">
        <v>45798.0</v>
      </c>
      <c r="B556" s="6" t="s">
        <v>12382</v>
      </c>
      <c r="C556" s="6" t="s">
        <v>12427</v>
      </c>
      <c r="D556" s="727"/>
      <c r="E556" s="729">
        <v>5000.0</v>
      </c>
      <c r="F556" s="727">
        <f t="shared" si="12"/>
        <v>562609</v>
      </c>
      <c r="G556" s="6" t="s">
        <v>4262</v>
      </c>
      <c r="H556" s="6" t="s">
        <v>12526</v>
      </c>
      <c r="J556" s="727"/>
      <c r="K556" s="727"/>
      <c r="L556" s="727"/>
      <c r="M556" s="727"/>
      <c r="N556" s="727"/>
      <c r="O556" s="727"/>
    </row>
    <row r="557" hidden="1">
      <c r="A557" s="113">
        <v>45800.0</v>
      </c>
      <c r="B557" s="6" t="s">
        <v>12477</v>
      </c>
      <c r="D557" s="727"/>
      <c r="E557" s="729">
        <v>100000.0</v>
      </c>
      <c r="F557" s="727">
        <f t="shared" si="12"/>
        <v>462609</v>
      </c>
      <c r="G557" s="6" t="s">
        <v>3883</v>
      </c>
      <c r="H557" s="6" t="s">
        <v>12271</v>
      </c>
      <c r="J557" s="727"/>
      <c r="K557" s="727"/>
      <c r="L557" s="727"/>
      <c r="M557" s="727"/>
      <c r="N557" s="727"/>
      <c r="O557" s="727"/>
    </row>
    <row r="558" hidden="1">
      <c r="A558" s="113">
        <v>45801.0</v>
      </c>
      <c r="B558" s="6" t="s">
        <v>12527</v>
      </c>
      <c r="C558" s="6" t="s">
        <v>12528</v>
      </c>
      <c r="D558" s="727"/>
      <c r="E558" s="729">
        <v>50000.0</v>
      </c>
      <c r="F558" s="727">
        <f t="shared" si="12"/>
        <v>412609</v>
      </c>
      <c r="G558" s="6" t="s">
        <v>3883</v>
      </c>
      <c r="H558" s="6" t="s">
        <v>12196</v>
      </c>
      <c r="J558" s="727"/>
      <c r="K558" s="727"/>
      <c r="L558" s="727"/>
      <c r="M558" s="727"/>
      <c r="N558" s="727"/>
      <c r="O558" s="727"/>
    </row>
    <row r="559" hidden="1">
      <c r="A559" s="113">
        <v>45803.0</v>
      </c>
      <c r="B559" s="6" t="s">
        <v>12184</v>
      </c>
      <c r="C559" s="6" t="s">
        <v>12450</v>
      </c>
      <c r="D559" s="727"/>
      <c r="E559" s="729">
        <v>27000.0</v>
      </c>
      <c r="F559" s="727">
        <f t="shared" si="12"/>
        <v>385609</v>
      </c>
      <c r="G559" s="6" t="s">
        <v>3883</v>
      </c>
      <c r="H559" s="6" t="s">
        <v>12472</v>
      </c>
      <c r="J559" s="727"/>
      <c r="K559" s="727"/>
      <c r="L559" s="727"/>
      <c r="M559" s="727"/>
      <c r="N559" s="727"/>
      <c r="O559" s="727"/>
    </row>
    <row r="560">
      <c r="A560" s="739" t="s">
        <v>12529</v>
      </c>
      <c r="J560" s="727"/>
      <c r="K560" s="727"/>
      <c r="L560" s="727"/>
      <c r="M560" s="727"/>
      <c r="N560" s="727"/>
      <c r="O560" s="727"/>
    </row>
    <row r="561">
      <c r="A561" s="113">
        <v>45810.0</v>
      </c>
      <c r="B561" s="6" t="s">
        <v>12477</v>
      </c>
      <c r="D561" s="727"/>
      <c r="E561" s="729">
        <v>100000.0</v>
      </c>
      <c r="F561" s="727">
        <f>F559+D561-E561</f>
        <v>285609</v>
      </c>
      <c r="G561" s="6" t="s">
        <v>3883</v>
      </c>
      <c r="H561" s="6" t="s">
        <v>12472</v>
      </c>
      <c r="J561" s="727"/>
      <c r="K561" s="727"/>
      <c r="L561" s="727"/>
      <c r="M561" s="727"/>
      <c r="N561" s="727"/>
      <c r="O561" s="727"/>
    </row>
    <row r="562">
      <c r="A562" s="113">
        <v>45810.0</v>
      </c>
      <c r="B562" s="6" t="s">
        <v>12530</v>
      </c>
      <c r="C562" s="6" t="s">
        <v>12531</v>
      </c>
      <c r="D562" s="727"/>
      <c r="E562" s="729">
        <v>36000.0</v>
      </c>
      <c r="F562" s="727">
        <f t="shared" ref="F562:F599" si="13">F561+D562-E562</f>
        <v>249609</v>
      </c>
      <c r="G562" s="6" t="s">
        <v>3883</v>
      </c>
      <c r="H562" s="6" t="s">
        <v>12516</v>
      </c>
      <c r="J562" s="727"/>
      <c r="K562" s="727"/>
      <c r="L562" s="727"/>
      <c r="M562" s="727"/>
      <c r="N562" s="727"/>
      <c r="O562" s="727"/>
    </row>
    <row r="563">
      <c r="A563" s="113">
        <v>45812.0</v>
      </c>
      <c r="B563" s="6" t="s">
        <v>12417</v>
      </c>
      <c r="C563" s="6" t="s">
        <v>12391</v>
      </c>
      <c r="D563" s="727"/>
      <c r="E563" s="729">
        <v>200000.0</v>
      </c>
      <c r="F563" s="727">
        <f t="shared" si="13"/>
        <v>49609</v>
      </c>
      <c r="G563" s="6" t="s">
        <v>3883</v>
      </c>
      <c r="H563" s="6" t="s">
        <v>12196</v>
      </c>
      <c r="J563" s="727"/>
      <c r="K563" s="727"/>
      <c r="L563" s="727"/>
      <c r="M563" s="727"/>
      <c r="N563" s="727"/>
      <c r="O563" s="727"/>
    </row>
    <row r="564">
      <c r="A564" s="113">
        <v>45812.0</v>
      </c>
      <c r="B564" s="6" t="s">
        <v>12382</v>
      </c>
      <c r="C564" s="6" t="s">
        <v>12427</v>
      </c>
      <c r="D564" s="727"/>
      <c r="E564" s="729">
        <v>5000.0</v>
      </c>
      <c r="F564" s="727">
        <f t="shared" si="13"/>
        <v>44609</v>
      </c>
      <c r="G564" s="6" t="s">
        <v>3883</v>
      </c>
      <c r="H564" s="6" t="s">
        <v>12196</v>
      </c>
      <c r="J564" s="727"/>
      <c r="K564" s="727"/>
      <c r="L564" s="727"/>
      <c r="M564" s="727"/>
      <c r="N564" s="727"/>
      <c r="O564" s="727"/>
    </row>
    <row r="565">
      <c r="A565" s="113">
        <v>45812.0</v>
      </c>
      <c r="B565" s="6" t="s">
        <v>12184</v>
      </c>
      <c r="C565" s="6" t="s">
        <v>12443</v>
      </c>
      <c r="D565" s="727"/>
      <c r="E565" s="729">
        <v>36000.0</v>
      </c>
      <c r="F565" s="727">
        <f t="shared" si="13"/>
        <v>8609</v>
      </c>
      <c r="G565" s="6" t="s">
        <v>3883</v>
      </c>
      <c r="H565" s="6" t="s">
        <v>12461</v>
      </c>
      <c r="J565" s="727"/>
      <c r="K565" s="727"/>
      <c r="L565" s="727"/>
      <c r="M565" s="727"/>
      <c r="N565" s="727"/>
      <c r="O565" s="727"/>
    </row>
    <row r="566">
      <c r="A566" s="113">
        <v>45812.0</v>
      </c>
      <c r="B566" s="6" t="s">
        <v>12283</v>
      </c>
      <c r="D566" s="729">
        <v>1000000.0</v>
      </c>
      <c r="E566" s="727"/>
      <c r="F566" s="727">
        <f t="shared" si="13"/>
        <v>1008609</v>
      </c>
      <c r="G566" s="6" t="s">
        <v>12532</v>
      </c>
      <c r="H566" s="6" t="s">
        <v>3883</v>
      </c>
      <c r="J566" s="727"/>
      <c r="K566" s="727"/>
      <c r="L566" s="727"/>
      <c r="M566" s="727"/>
      <c r="N566" s="727"/>
      <c r="O566" s="727"/>
    </row>
    <row r="567">
      <c r="A567" s="113">
        <v>45813.0</v>
      </c>
      <c r="B567" s="6" t="s">
        <v>12382</v>
      </c>
      <c r="C567" s="6" t="s">
        <v>12427</v>
      </c>
      <c r="D567" s="727"/>
      <c r="E567" s="729">
        <v>5000.0</v>
      </c>
      <c r="F567" s="727">
        <f t="shared" si="13"/>
        <v>1003609</v>
      </c>
      <c r="G567" s="6" t="s">
        <v>3883</v>
      </c>
      <c r="J567" s="727"/>
      <c r="K567" s="727"/>
      <c r="L567" s="727"/>
      <c r="M567" s="727"/>
      <c r="N567" s="727"/>
      <c r="O567" s="727"/>
    </row>
    <row r="568">
      <c r="A568" s="113">
        <v>45815.0</v>
      </c>
      <c r="B568" s="6" t="s">
        <v>12533</v>
      </c>
      <c r="C568" s="6" t="s">
        <v>12534</v>
      </c>
      <c r="D568" s="727"/>
      <c r="E568" s="729">
        <v>15000.0</v>
      </c>
      <c r="F568" s="727">
        <f t="shared" si="13"/>
        <v>988609</v>
      </c>
      <c r="G568" s="6" t="s">
        <v>3883</v>
      </c>
      <c r="H568" s="6" t="s">
        <v>7878</v>
      </c>
      <c r="J568" s="727"/>
      <c r="K568" s="727"/>
      <c r="L568" s="727"/>
      <c r="M568" s="727"/>
      <c r="N568" s="727"/>
      <c r="O568" s="727"/>
    </row>
    <row r="569">
      <c r="A569" s="113">
        <v>45815.0</v>
      </c>
      <c r="B569" s="6" t="s">
        <v>12283</v>
      </c>
      <c r="D569" s="729">
        <v>1500000.0</v>
      </c>
      <c r="E569" s="729"/>
      <c r="F569" s="727">
        <f t="shared" si="13"/>
        <v>2488609</v>
      </c>
      <c r="G569" s="6" t="s">
        <v>3883</v>
      </c>
      <c r="H569" s="6" t="s">
        <v>3883</v>
      </c>
      <c r="J569" s="727"/>
      <c r="K569" s="727"/>
      <c r="L569" s="727"/>
      <c r="M569" s="727"/>
      <c r="N569" s="727"/>
      <c r="O569" s="727"/>
    </row>
    <row r="570">
      <c r="A570" s="113">
        <v>45815.0</v>
      </c>
      <c r="B570" s="6" t="s">
        <v>12437</v>
      </c>
      <c r="D570" s="727"/>
      <c r="E570" s="729">
        <v>300000.0</v>
      </c>
      <c r="F570" s="727">
        <f t="shared" si="13"/>
        <v>2188609</v>
      </c>
      <c r="G570" s="6" t="s">
        <v>3883</v>
      </c>
      <c r="H570" s="6" t="s">
        <v>12126</v>
      </c>
      <c r="J570" s="727"/>
      <c r="K570" s="727"/>
      <c r="L570" s="727"/>
      <c r="M570" s="727"/>
      <c r="N570" s="727"/>
      <c r="O570" s="727"/>
    </row>
    <row r="571">
      <c r="A571" s="113">
        <v>45815.0</v>
      </c>
      <c r="B571" s="6" t="s">
        <v>12215</v>
      </c>
      <c r="D571" s="727"/>
      <c r="E571" s="729">
        <v>300000.0</v>
      </c>
      <c r="F571" s="727">
        <f t="shared" si="13"/>
        <v>1888609</v>
      </c>
      <c r="G571" s="6" t="s">
        <v>3883</v>
      </c>
      <c r="H571" s="6" t="s">
        <v>7878</v>
      </c>
      <c r="J571" s="727"/>
      <c r="K571" s="727"/>
      <c r="L571" s="727"/>
      <c r="M571" s="727"/>
      <c r="N571" s="727"/>
      <c r="O571" s="727"/>
    </row>
    <row r="572">
      <c r="A572" s="113">
        <v>45815.0</v>
      </c>
      <c r="B572" s="6" t="s">
        <v>12535</v>
      </c>
      <c r="D572" s="727"/>
      <c r="E572" s="729">
        <v>300000.0</v>
      </c>
      <c r="F572" s="727">
        <f t="shared" si="13"/>
        <v>1588609</v>
      </c>
      <c r="G572" s="6" t="s">
        <v>3883</v>
      </c>
      <c r="H572" s="6" t="s">
        <v>12125</v>
      </c>
      <c r="J572" s="727"/>
      <c r="K572" s="727"/>
      <c r="L572" s="727"/>
      <c r="M572" s="727"/>
      <c r="N572" s="727"/>
      <c r="O572" s="727"/>
    </row>
    <row r="573">
      <c r="A573" s="113">
        <v>45815.0</v>
      </c>
      <c r="B573" s="6" t="s">
        <v>12253</v>
      </c>
      <c r="D573" s="727"/>
      <c r="E573" s="729">
        <v>300000.0</v>
      </c>
      <c r="F573" s="727">
        <f t="shared" si="13"/>
        <v>1288609</v>
      </c>
      <c r="G573" s="6" t="s">
        <v>3883</v>
      </c>
      <c r="H573" s="6" t="s">
        <v>3671</v>
      </c>
      <c r="J573" s="727"/>
      <c r="K573" s="727"/>
      <c r="L573" s="727"/>
      <c r="M573" s="727"/>
      <c r="N573" s="727"/>
      <c r="O573" s="727"/>
    </row>
    <row r="574">
      <c r="A574" s="113">
        <v>45815.0</v>
      </c>
      <c r="B574" s="6" t="s">
        <v>12252</v>
      </c>
      <c r="D574" s="727"/>
      <c r="E574" s="729">
        <v>300000.0</v>
      </c>
      <c r="F574" s="727">
        <f t="shared" si="13"/>
        <v>988609</v>
      </c>
      <c r="G574" s="6" t="s">
        <v>3883</v>
      </c>
      <c r="H574" s="6" t="s">
        <v>3664</v>
      </c>
      <c r="J574" s="727"/>
      <c r="K574" s="727"/>
      <c r="L574" s="727"/>
      <c r="M574" s="727"/>
      <c r="N574" s="727"/>
      <c r="O574" s="727"/>
    </row>
    <row r="575">
      <c r="A575" s="113">
        <v>45816.0</v>
      </c>
      <c r="B575" s="6" t="s">
        <v>12536</v>
      </c>
      <c r="C575" s="6" t="s">
        <v>12537</v>
      </c>
      <c r="D575" s="727"/>
      <c r="E575" s="729">
        <v>50000.0</v>
      </c>
      <c r="F575" s="727">
        <f t="shared" si="13"/>
        <v>938609</v>
      </c>
      <c r="G575" s="6" t="s">
        <v>3883</v>
      </c>
      <c r="H575" s="6" t="s">
        <v>8357</v>
      </c>
      <c r="J575" s="727"/>
      <c r="K575" s="727"/>
      <c r="L575" s="727"/>
      <c r="M575" s="727"/>
      <c r="N575" s="727"/>
      <c r="O575" s="727"/>
    </row>
    <row r="576">
      <c r="A576" s="113">
        <v>45818.0</v>
      </c>
      <c r="B576" s="6" t="s">
        <v>12482</v>
      </c>
      <c r="C576" s="6" t="s">
        <v>12538</v>
      </c>
      <c r="D576" s="727"/>
      <c r="E576" s="729">
        <v>300000.0</v>
      </c>
      <c r="F576" s="727">
        <f t="shared" si="13"/>
        <v>638609</v>
      </c>
      <c r="G576" s="6" t="s">
        <v>3883</v>
      </c>
      <c r="H576" s="6" t="s">
        <v>12484</v>
      </c>
      <c r="J576" s="727"/>
      <c r="K576" s="727"/>
      <c r="L576" s="727"/>
      <c r="M576" s="727"/>
      <c r="N576" s="727"/>
      <c r="O576" s="727"/>
    </row>
    <row r="577">
      <c r="A577" s="113">
        <v>45818.0</v>
      </c>
      <c r="B577" s="6" t="s">
        <v>12417</v>
      </c>
      <c r="C577" s="6" t="s">
        <v>12391</v>
      </c>
      <c r="D577" s="727"/>
      <c r="E577" s="729">
        <v>200000.0</v>
      </c>
      <c r="F577" s="727">
        <f t="shared" si="13"/>
        <v>438609</v>
      </c>
      <c r="G577" s="6" t="s">
        <v>3883</v>
      </c>
      <c r="H577" s="6" t="s">
        <v>4717</v>
      </c>
      <c r="J577" s="727"/>
      <c r="K577" s="727"/>
      <c r="L577" s="727"/>
      <c r="M577" s="727"/>
      <c r="N577" s="727"/>
      <c r="O577" s="727"/>
    </row>
    <row r="578">
      <c r="A578" s="113">
        <v>45818.0</v>
      </c>
      <c r="B578" s="6" t="s">
        <v>12539</v>
      </c>
      <c r="C578" s="6" t="s">
        <v>7934</v>
      </c>
      <c r="D578" s="727"/>
      <c r="E578" s="729">
        <v>70770.0</v>
      </c>
      <c r="F578" s="727">
        <f t="shared" si="13"/>
        <v>367839</v>
      </c>
      <c r="G578" s="6" t="s">
        <v>3883</v>
      </c>
      <c r="H578" s="6" t="s">
        <v>4717</v>
      </c>
      <c r="J578" s="727"/>
      <c r="K578" s="727"/>
      <c r="L578" s="727"/>
      <c r="M578" s="727"/>
      <c r="N578" s="727"/>
      <c r="O578" s="727"/>
    </row>
    <row r="579">
      <c r="A579" s="113">
        <v>45818.0</v>
      </c>
      <c r="B579" s="6" t="s">
        <v>12382</v>
      </c>
      <c r="C579" s="6" t="s">
        <v>12540</v>
      </c>
      <c r="D579" s="727"/>
      <c r="E579" s="729">
        <v>5000.0</v>
      </c>
      <c r="F579" s="727">
        <f t="shared" si="13"/>
        <v>362839</v>
      </c>
      <c r="G579" s="6" t="s">
        <v>3883</v>
      </c>
      <c r="H579" s="6" t="s">
        <v>4717</v>
      </c>
      <c r="J579" s="727"/>
      <c r="K579" s="727"/>
      <c r="L579" s="727"/>
      <c r="M579" s="727"/>
      <c r="N579" s="727"/>
      <c r="O579" s="727"/>
    </row>
    <row r="580">
      <c r="A580" s="113">
        <v>45818.0</v>
      </c>
      <c r="B580" s="6" t="s">
        <v>12477</v>
      </c>
      <c r="D580" s="727"/>
      <c r="E580" s="729">
        <v>100000.0</v>
      </c>
      <c r="F580" s="727">
        <f t="shared" si="13"/>
        <v>262839</v>
      </c>
      <c r="G580" s="6" t="s">
        <v>3883</v>
      </c>
      <c r="H580" s="6" t="s">
        <v>12271</v>
      </c>
      <c r="J580" s="727"/>
      <c r="K580" s="727"/>
      <c r="L580" s="727"/>
      <c r="M580" s="727"/>
      <c r="N580" s="727"/>
      <c r="O580" s="727"/>
    </row>
    <row r="581">
      <c r="A581" s="113">
        <v>45818.0</v>
      </c>
      <c r="B581" s="6" t="s">
        <v>12493</v>
      </c>
      <c r="D581" s="727"/>
      <c r="E581" s="729">
        <v>10000.0</v>
      </c>
      <c r="F581" s="727">
        <f t="shared" si="13"/>
        <v>252839</v>
      </c>
      <c r="G581" s="6" t="s">
        <v>3883</v>
      </c>
      <c r="H581" s="6" t="s">
        <v>12271</v>
      </c>
      <c r="J581" s="727"/>
      <c r="K581" s="727"/>
      <c r="L581" s="727"/>
      <c r="M581" s="727"/>
      <c r="N581" s="727"/>
      <c r="O581" s="727"/>
    </row>
    <row r="582">
      <c r="A582" s="113">
        <v>45819.0</v>
      </c>
      <c r="B582" s="6" t="s">
        <v>12382</v>
      </c>
      <c r="C582" s="6" t="s">
        <v>12427</v>
      </c>
      <c r="D582" s="727"/>
      <c r="E582" s="729">
        <v>5000.0</v>
      </c>
      <c r="F582" s="727">
        <f t="shared" si="13"/>
        <v>247839</v>
      </c>
      <c r="G582" s="6" t="s">
        <v>3883</v>
      </c>
      <c r="H582" s="6" t="s">
        <v>12126</v>
      </c>
      <c r="J582" s="727"/>
      <c r="K582" s="727"/>
      <c r="L582" s="727"/>
      <c r="M582" s="727"/>
      <c r="N582" s="727"/>
      <c r="O582" s="727"/>
    </row>
    <row r="583">
      <c r="A583" s="113">
        <v>45820.0</v>
      </c>
      <c r="B583" s="6" t="s">
        <v>12202</v>
      </c>
      <c r="C583" s="6" t="s">
        <v>12203</v>
      </c>
      <c r="D583" s="727"/>
      <c r="E583" s="729">
        <v>80000.0</v>
      </c>
      <c r="F583" s="727">
        <f t="shared" si="13"/>
        <v>167839</v>
      </c>
      <c r="G583" s="6" t="s">
        <v>3883</v>
      </c>
      <c r="H583" s="6" t="s">
        <v>12126</v>
      </c>
      <c r="J583" s="727"/>
      <c r="K583" s="727"/>
      <c r="L583" s="727"/>
      <c r="M583" s="727"/>
      <c r="N583" s="727"/>
      <c r="O583" s="727"/>
    </row>
    <row r="584">
      <c r="A584" s="113">
        <v>45820.0</v>
      </c>
      <c r="B584" s="6" t="s">
        <v>12382</v>
      </c>
      <c r="C584" s="6" t="s">
        <v>12427</v>
      </c>
      <c r="D584" s="727"/>
      <c r="E584" s="729">
        <v>5000.0</v>
      </c>
      <c r="F584" s="727">
        <f t="shared" si="13"/>
        <v>162839</v>
      </c>
      <c r="G584" s="6" t="s">
        <v>3883</v>
      </c>
      <c r="H584" s="6" t="s">
        <v>12126</v>
      </c>
      <c r="J584" s="727"/>
      <c r="K584" s="727"/>
      <c r="L584" s="727"/>
      <c r="M584" s="727"/>
      <c r="N584" s="727"/>
      <c r="O584" s="727"/>
    </row>
    <row r="585">
      <c r="A585" s="113">
        <v>45820.0</v>
      </c>
      <c r="B585" s="6" t="s">
        <v>12382</v>
      </c>
      <c r="C585" s="6" t="s">
        <v>12541</v>
      </c>
      <c r="D585" s="727"/>
      <c r="E585" s="729">
        <v>5000.0</v>
      </c>
      <c r="F585" s="727">
        <f t="shared" si="13"/>
        <v>157839</v>
      </c>
      <c r="G585" s="6" t="s">
        <v>3883</v>
      </c>
      <c r="H585" s="6" t="s">
        <v>12126</v>
      </c>
      <c r="J585" s="727"/>
      <c r="K585" s="727"/>
      <c r="L585" s="727"/>
      <c r="M585" s="727"/>
      <c r="N585" s="727"/>
      <c r="O585" s="727"/>
    </row>
    <row r="586">
      <c r="A586" s="113">
        <v>45824.0</v>
      </c>
      <c r="B586" s="6" t="s">
        <v>12382</v>
      </c>
      <c r="C586" s="6" t="s">
        <v>12542</v>
      </c>
      <c r="D586" s="727"/>
      <c r="E586" s="729">
        <v>15000.0</v>
      </c>
      <c r="F586" s="727">
        <f t="shared" si="13"/>
        <v>142839</v>
      </c>
      <c r="G586" s="6" t="s">
        <v>3883</v>
      </c>
      <c r="H586" s="6" t="s">
        <v>12271</v>
      </c>
      <c r="J586" s="727"/>
      <c r="K586" s="727"/>
      <c r="L586" s="727"/>
      <c r="M586" s="727"/>
      <c r="N586" s="727"/>
      <c r="O586" s="727"/>
    </row>
    <row r="587">
      <c r="A587" s="113">
        <v>45826.0</v>
      </c>
      <c r="B587" s="6" t="s">
        <v>12184</v>
      </c>
      <c r="C587" s="6" t="s">
        <v>12443</v>
      </c>
      <c r="D587" s="727"/>
      <c r="E587" s="729">
        <v>36000.0</v>
      </c>
      <c r="F587" s="727">
        <f t="shared" si="13"/>
        <v>106839</v>
      </c>
      <c r="G587" s="6" t="s">
        <v>3883</v>
      </c>
      <c r="H587" s="6" t="s">
        <v>12271</v>
      </c>
      <c r="J587" s="727"/>
      <c r="K587" s="727"/>
      <c r="L587" s="727"/>
      <c r="M587" s="727"/>
      <c r="N587" s="727"/>
      <c r="O587" s="727"/>
    </row>
    <row r="588">
      <c r="A588" s="113">
        <v>45827.0</v>
      </c>
      <c r="B588" s="6" t="s">
        <v>12397</v>
      </c>
      <c r="C588" s="6" t="s">
        <v>12543</v>
      </c>
      <c r="D588" s="727"/>
      <c r="E588" s="729">
        <v>100000.0</v>
      </c>
      <c r="F588" s="727">
        <f t="shared" si="13"/>
        <v>6839</v>
      </c>
      <c r="G588" s="6" t="s">
        <v>3883</v>
      </c>
      <c r="H588" s="6" t="s">
        <v>12472</v>
      </c>
      <c r="J588" s="727"/>
      <c r="K588" s="727"/>
      <c r="L588" s="727"/>
      <c r="M588" s="727"/>
      <c r="N588" s="727"/>
      <c r="O588" s="727"/>
    </row>
    <row r="589">
      <c r="A589" s="113">
        <v>45827.0</v>
      </c>
      <c r="B589" s="6" t="s">
        <v>12382</v>
      </c>
      <c r="C589" s="6" t="s">
        <v>12544</v>
      </c>
      <c r="D589" s="727"/>
      <c r="E589" s="729">
        <v>5000.0</v>
      </c>
      <c r="F589" s="727">
        <f t="shared" si="13"/>
        <v>1839</v>
      </c>
      <c r="G589" s="6" t="s">
        <v>3883</v>
      </c>
      <c r="H589" s="6" t="s">
        <v>12196</v>
      </c>
      <c r="J589" s="727"/>
      <c r="K589" s="727"/>
      <c r="L589" s="727"/>
      <c r="M589" s="727"/>
      <c r="N589" s="727"/>
      <c r="O589" s="727"/>
    </row>
    <row r="590">
      <c r="A590" s="113">
        <v>45827.0</v>
      </c>
      <c r="B590" s="6" t="s">
        <v>12382</v>
      </c>
      <c r="C590" s="6" t="s">
        <v>12545</v>
      </c>
      <c r="D590" s="727"/>
      <c r="E590" s="729">
        <v>5000.0</v>
      </c>
      <c r="F590" s="727">
        <f t="shared" si="13"/>
        <v>-3161</v>
      </c>
      <c r="G590" s="6" t="s">
        <v>3883</v>
      </c>
      <c r="H590" s="6" t="s">
        <v>12196</v>
      </c>
      <c r="J590" s="727"/>
      <c r="K590" s="727"/>
      <c r="L590" s="727"/>
      <c r="M590" s="727"/>
      <c r="N590" s="727"/>
      <c r="O590" s="727"/>
    </row>
    <row r="591">
      <c r="A591" s="113">
        <v>45828.0</v>
      </c>
      <c r="B591" s="6" t="s">
        <v>12382</v>
      </c>
      <c r="C591" s="6" t="s">
        <v>8088</v>
      </c>
      <c r="D591" s="727"/>
      <c r="E591" s="729">
        <v>5000.0</v>
      </c>
      <c r="F591" s="727">
        <f t="shared" si="13"/>
        <v>-8161</v>
      </c>
      <c r="G591" s="6" t="s">
        <v>3883</v>
      </c>
      <c r="H591" s="6" t="s">
        <v>12196</v>
      </c>
      <c r="J591" s="727"/>
      <c r="K591" s="727"/>
      <c r="L591" s="727"/>
      <c r="M591" s="727"/>
      <c r="N591" s="727"/>
      <c r="O591" s="727"/>
    </row>
    <row r="592">
      <c r="A592" s="113">
        <v>45831.0</v>
      </c>
      <c r="B592" s="6" t="s">
        <v>12283</v>
      </c>
      <c r="D592" s="729">
        <v>250000.0</v>
      </c>
      <c r="E592" s="727"/>
      <c r="F592" s="727">
        <f t="shared" si="13"/>
        <v>241839</v>
      </c>
      <c r="G592" s="6" t="s">
        <v>3883</v>
      </c>
      <c r="H592" s="6" t="s">
        <v>12126</v>
      </c>
      <c r="J592" s="727"/>
      <c r="K592" s="727"/>
      <c r="L592" s="727"/>
      <c r="M592" s="727"/>
      <c r="N592" s="727"/>
      <c r="O592" s="727"/>
    </row>
    <row r="593">
      <c r="A593" s="113">
        <v>45834.0</v>
      </c>
      <c r="B593" s="6" t="s">
        <v>12417</v>
      </c>
      <c r="C593" s="6" t="s">
        <v>12391</v>
      </c>
      <c r="D593" s="727"/>
      <c r="E593" s="729">
        <v>200000.0</v>
      </c>
      <c r="F593" s="727">
        <f t="shared" si="13"/>
        <v>41839</v>
      </c>
      <c r="G593" s="6" t="s">
        <v>3883</v>
      </c>
      <c r="H593" s="6" t="s">
        <v>7878</v>
      </c>
      <c r="J593" s="727"/>
      <c r="K593" s="727"/>
      <c r="L593" s="727"/>
      <c r="M593" s="727"/>
      <c r="N593" s="727"/>
      <c r="O593" s="727"/>
    </row>
    <row r="594">
      <c r="A594" s="113">
        <v>45831.0</v>
      </c>
      <c r="B594" s="6" t="s">
        <v>12283</v>
      </c>
      <c r="D594" s="729">
        <v>500000.0</v>
      </c>
      <c r="E594" s="727"/>
      <c r="F594" s="727">
        <f t="shared" si="13"/>
        <v>541839</v>
      </c>
      <c r="G594" s="6" t="s">
        <v>3883</v>
      </c>
      <c r="J594" s="727"/>
      <c r="K594" s="727"/>
      <c r="L594" s="727"/>
      <c r="M594" s="727"/>
      <c r="N594" s="727"/>
      <c r="O594" s="727"/>
    </row>
    <row r="595">
      <c r="A595" s="113">
        <v>45836.0</v>
      </c>
      <c r="B595" s="6" t="s">
        <v>12382</v>
      </c>
      <c r="C595" s="6" t="s">
        <v>12427</v>
      </c>
      <c r="D595" s="727"/>
      <c r="E595" s="729">
        <v>5000.0</v>
      </c>
      <c r="F595" s="727">
        <f t="shared" si="13"/>
        <v>536839</v>
      </c>
      <c r="G595" s="6" t="s">
        <v>3883</v>
      </c>
      <c r="H595" s="6" t="s">
        <v>12526</v>
      </c>
      <c r="J595" s="727"/>
      <c r="K595" s="727"/>
      <c r="L595" s="727"/>
      <c r="M595" s="727"/>
      <c r="N595" s="727"/>
      <c r="O595" s="727"/>
    </row>
    <row r="596">
      <c r="A596" s="113">
        <v>45836.0</v>
      </c>
      <c r="B596" s="6" t="s">
        <v>12382</v>
      </c>
      <c r="C596" s="6" t="s">
        <v>12427</v>
      </c>
      <c r="D596" s="727"/>
      <c r="E596" s="729">
        <v>5000.0</v>
      </c>
      <c r="F596" s="727">
        <f t="shared" si="13"/>
        <v>531839</v>
      </c>
      <c r="G596" s="6" t="s">
        <v>3883</v>
      </c>
      <c r="H596" s="6" t="s">
        <v>12196</v>
      </c>
      <c r="J596" s="727"/>
      <c r="K596" s="727"/>
      <c r="L596" s="727"/>
      <c r="M596" s="727"/>
      <c r="N596" s="727"/>
      <c r="O596" s="727"/>
    </row>
    <row r="597">
      <c r="A597" s="113">
        <v>45816.0</v>
      </c>
      <c r="B597" s="6" t="s">
        <v>12536</v>
      </c>
      <c r="C597" s="6" t="s">
        <v>12546</v>
      </c>
      <c r="D597" s="727"/>
      <c r="E597" s="729">
        <v>108000.0</v>
      </c>
      <c r="F597" s="727">
        <f t="shared" si="13"/>
        <v>423839</v>
      </c>
      <c r="G597" s="6" t="s">
        <v>3883</v>
      </c>
      <c r="H597" s="6" t="s">
        <v>12547</v>
      </c>
      <c r="I597" s="6" t="s">
        <v>12210</v>
      </c>
      <c r="J597" s="727"/>
      <c r="K597" s="727"/>
      <c r="L597" s="727"/>
      <c r="M597" s="727"/>
      <c r="N597" s="727"/>
      <c r="O597" s="727"/>
    </row>
    <row r="598">
      <c r="A598" s="113">
        <v>45838.0</v>
      </c>
      <c r="B598" s="6" t="s">
        <v>12382</v>
      </c>
      <c r="C598" s="6" t="s">
        <v>12427</v>
      </c>
      <c r="D598" s="727"/>
      <c r="E598" s="729">
        <v>5000.0</v>
      </c>
      <c r="F598" s="727">
        <f t="shared" si="13"/>
        <v>418839</v>
      </c>
      <c r="G598" s="6" t="s">
        <v>3883</v>
      </c>
      <c r="H598" s="6" t="s">
        <v>12526</v>
      </c>
      <c r="J598" s="727"/>
      <c r="K598" s="727"/>
      <c r="L598" s="727"/>
      <c r="M598" s="727"/>
      <c r="N598" s="727"/>
      <c r="O598" s="727"/>
    </row>
    <row r="599">
      <c r="A599" s="113">
        <v>45838.0</v>
      </c>
      <c r="B599" s="6" t="s">
        <v>12382</v>
      </c>
      <c r="C599" s="6" t="s">
        <v>12427</v>
      </c>
      <c r="D599" s="727"/>
      <c r="E599" s="729">
        <v>5000.0</v>
      </c>
      <c r="F599" s="727">
        <f t="shared" si="13"/>
        <v>413839</v>
      </c>
      <c r="G599" s="6" t="s">
        <v>3883</v>
      </c>
      <c r="H599" s="6" t="s">
        <v>12519</v>
      </c>
      <c r="J599" s="727"/>
      <c r="K599" s="727"/>
      <c r="L599" s="727"/>
      <c r="M599" s="727"/>
      <c r="N599" s="727"/>
      <c r="O599" s="727"/>
    </row>
    <row r="600">
      <c r="A600" s="739" t="s">
        <v>12548</v>
      </c>
      <c r="J600" s="727"/>
      <c r="K600" s="727"/>
      <c r="L600" s="727"/>
      <c r="M600" s="727"/>
      <c r="N600" s="727"/>
      <c r="O600" s="727"/>
    </row>
    <row r="601">
      <c r="A601" s="113">
        <v>45839.0</v>
      </c>
      <c r="B601" s="6" t="s">
        <v>12417</v>
      </c>
      <c r="C601" s="6" t="s">
        <v>12391</v>
      </c>
      <c r="D601" s="727"/>
      <c r="E601" s="729">
        <v>200000.0</v>
      </c>
      <c r="F601" s="727">
        <f>F599+D601-E601</f>
        <v>213839</v>
      </c>
      <c r="G601" s="6" t="s">
        <v>3883</v>
      </c>
      <c r="H601" s="6" t="s">
        <v>12519</v>
      </c>
      <c r="J601" s="727"/>
      <c r="K601" s="727"/>
      <c r="L601" s="727"/>
      <c r="M601" s="727"/>
      <c r="N601" s="727"/>
      <c r="O601" s="727"/>
    </row>
    <row r="602">
      <c r="A602" s="113">
        <v>45840.0</v>
      </c>
      <c r="B602" s="6" t="s">
        <v>12382</v>
      </c>
      <c r="C602" s="6" t="s">
        <v>12427</v>
      </c>
      <c r="D602" s="727"/>
      <c r="E602" s="729">
        <v>5000.0</v>
      </c>
      <c r="F602" s="727">
        <f t="shared" ref="F602:F654" si="14">F601+D602-E602</f>
        <v>208839</v>
      </c>
      <c r="G602" s="6" t="s">
        <v>3883</v>
      </c>
      <c r="H602" s="6" t="s">
        <v>12271</v>
      </c>
      <c r="J602" s="727"/>
      <c r="K602" s="727"/>
      <c r="L602" s="727"/>
      <c r="M602" s="727"/>
      <c r="N602" s="727"/>
      <c r="O602" s="727"/>
    </row>
    <row r="603">
      <c r="A603" s="113">
        <v>45841.0</v>
      </c>
      <c r="B603" s="6" t="s">
        <v>12417</v>
      </c>
      <c r="C603" s="6" t="s">
        <v>12391</v>
      </c>
      <c r="D603" s="727"/>
      <c r="E603" s="729">
        <v>200000.0</v>
      </c>
      <c r="F603" s="727">
        <f t="shared" si="14"/>
        <v>8839</v>
      </c>
      <c r="G603" s="6" t="s">
        <v>3883</v>
      </c>
      <c r="H603" s="6" t="s">
        <v>12461</v>
      </c>
      <c r="J603" s="727"/>
      <c r="K603" s="727"/>
      <c r="L603" s="727"/>
      <c r="M603" s="727"/>
      <c r="N603" s="727"/>
      <c r="O603" s="727"/>
    </row>
    <row r="604">
      <c r="A604" s="113">
        <v>45841.0</v>
      </c>
      <c r="B604" s="6" t="s">
        <v>12382</v>
      </c>
      <c r="C604" s="6" t="s">
        <v>12427</v>
      </c>
      <c r="D604" s="727"/>
      <c r="E604" s="729">
        <v>5000.0</v>
      </c>
      <c r="F604" s="727">
        <f t="shared" si="14"/>
        <v>3839</v>
      </c>
      <c r="G604" s="6" t="s">
        <v>3883</v>
      </c>
      <c r="H604" s="6" t="s">
        <v>12461</v>
      </c>
      <c r="J604" s="727"/>
      <c r="K604" s="727"/>
      <c r="L604" s="727"/>
      <c r="M604" s="727"/>
      <c r="N604" s="727"/>
      <c r="O604" s="727"/>
    </row>
    <row r="605">
      <c r="A605" s="113">
        <v>45841.0</v>
      </c>
      <c r="B605" s="6" t="s">
        <v>12283</v>
      </c>
      <c r="C605" s="6" t="s">
        <v>12549</v>
      </c>
      <c r="D605" s="729">
        <v>22000.0</v>
      </c>
      <c r="E605" s="729"/>
      <c r="F605" s="727">
        <f t="shared" si="14"/>
        <v>25839</v>
      </c>
      <c r="G605" s="6" t="s">
        <v>3883</v>
      </c>
      <c r="H605" s="6" t="s">
        <v>12472</v>
      </c>
      <c r="J605" s="727"/>
      <c r="K605" s="727"/>
      <c r="L605" s="727"/>
      <c r="M605" s="727"/>
      <c r="N605" s="727"/>
      <c r="O605" s="727"/>
    </row>
    <row r="606">
      <c r="A606" s="113">
        <v>45841.0</v>
      </c>
      <c r="B606" s="6" t="s">
        <v>12382</v>
      </c>
      <c r="C606" s="6" t="s">
        <v>12427</v>
      </c>
      <c r="D606" s="727"/>
      <c r="E606" s="729">
        <v>5000.0</v>
      </c>
      <c r="F606" s="727">
        <f t="shared" si="14"/>
        <v>20839</v>
      </c>
      <c r="G606" s="6" t="s">
        <v>3883</v>
      </c>
      <c r="H606" s="6" t="s">
        <v>12472</v>
      </c>
      <c r="J606" s="727"/>
      <c r="K606" s="727"/>
      <c r="L606" s="727"/>
      <c r="M606" s="727"/>
      <c r="N606" s="727"/>
      <c r="O606" s="727"/>
    </row>
    <row r="607">
      <c r="A607" s="113">
        <v>45842.0</v>
      </c>
      <c r="B607" s="6" t="s">
        <v>12283</v>
      </c>
      <c r="D607" s="729">
        <v>1000000.0</v>
      </c>
      <c r="E607" s="727"/>
      <c r="F607" s="727">
        <f t="shared" si="14"/>
        <v>1020839</v>
      </c>
      <c r="G607" s="6" t="s">
        <v>3883</v>
      </c>
      <c r="H607" s="6" t="s">
        <v>3883</v>
      </c>
      <c r="J607" s="727"/>
      <c r="K607" s="727"/>
      <c r="L607" s="727"/>
      <c r="M607" s="727"/>
      <c r="N607" s="727"/>
      <c r="O607" s="727"/>
    </row>
    <row r="608">
      <c r="A608" s="113">
        <v>45842.0</v>
      </c>
      <c r="B608" s="6" t="s">
        <v>12530</v>
      </c>
      <c r="C608" s="6" t="s">
        <v>12550</v>
      </c>
      <c r="D608" s="727"/>
      <c r="E608" s="729">
        <v>36000.0</v>
      </c>
      <c r="F608" s="727">
        <f t="shared" si="14"/>
        <v>984839</v>
      </c>
      <c r="G608" s="6" t="s">
        <v>3883</v>
      </c>
      <c r="H608" s="6" t="s">
        <v>12516</v>
      </c>
      <c r="J608" s="727"/>
      <c r="K608" s="727"/>
      <c r="L608" s="727"/>
      <c r="M608" s="727"/>
      <c r="N608" s="727"/>
      <c r="O608" s="727"/>
    </row>
    <row r="609">
      <c r="A609" s="113">
        <v>45842.0</v>
      </c>
      <c r="B609" s="6" t="s">
        <v>12184</v>
      </c>
      <c r="C609" s="6" t="s">
        <v>12443</v>
      </c>
      <c r="D609" s="727"/>
      <c r="E609" s="729">
        <v>36000.0</v>
      </c>
      <c r="F609" s="727">
        <f t="shared" si="14"/>
        <v>948839</v>
      </c>
      <c r="G609" s="6" t="s">
        <v>3883</v>
      </c>
      <c r="H609" s="6" t="s">
        <v>12461</v>
      </c>
      <c r="J609" s="727"/>
      <c r="K609" s="727"/>
      <c r="L609" s="727"/>
      <c r="M609" s="727"/>
      <c r="N609" s="727"/>
      <c r="O609" s="727"/>
    </row>
    <row r="610">
      <c r="A610" s="113">
        <v>45843.0</v>
      </c>
      <c r="B610" s="6" t="s">
        <v>12382</v>
      </c>
      <c r="C610" s="6" t="s">
        <v>12427</v>
      </c>
      <c r="D610" s="727"/>
      <c r="E610" s="729">
        <v>5000.0</v>
      </c>
      <c r="F610" s="727">
        <f t="shared" si="14"/>
        <v>943839</v>
      </c>
      <c r="G610" s="6" t="s">
        <v>3883</v>
      </c>
      <c r="H610" s="6" t="s">
        <v>12472</v>
      </c>
      <c r="J610" s="727"/>
      <c r="K610" s="727"/>
      <c r="L610" s="727"/>
      <c r="M610" s="727"/>
      <c r="N610" s="727"/>
      <c r="O610" s="727"/>
    </row>
    <row r="611">
      <c r="A611" s="740">
        <v>45843.0</v>
      </c>
      <c r="B611" s="741" t="s">
        <v>12382</v>
      </c>
      <c r="C611" s="474" t="s">
        <v>12551</v>
      </c>
      <c r="D611" s="742"/>
      <c r="E611" s="743">
        <v>8000.0</v>
      </c>
      <c r="F611" s="727">
        <f t="shared" si="14"/>
        <v>935839</v>
      </c>
      <c r="G611" s="6" t="s">
        <v>3883</v>
      </c>
      <c r="H611" s="6" t="s">
        <v>12472</v>
      </c>
      <c r="J611" s="727"/>
      <c r="K611" s="727"/>
      <c r="L611" s="727"/>
      <c r="M611" s="727"/>
      <c r="N611" s="727"/>
      <c r="O611" s="727"/>
    </row>
    <row r="612">
      <c r="A612" s="113">
        <v>45843.0</v>
      </c>
      <c r="B612" s="6" t="s">
        <v>12482</v>
      </c>
      <c r="C612" s="6" t="s">
        <v>12538</v>
      </c>
      <c r="D612" s="727"/>
      <c r="E612" s="729">
        <v>300000.0</v>
      </c>
      <c r="F612" s="727">
        <f t="shared" si="14"/>
        <v>635839</v>
      </c>
      <c r="G612" s="6" t="s">
        <v>3883</v>
      </c>
      <c r="H612" s="6" t="s">
        <v>12484</v>
      </c>
      <c r="J612" s="727"/>
      <c r="K612" s="727"/>
      <c r="L612" s="727"/>
      <c r="M612" s="727"/>
      <c r="N612" s="727"/>
      <c r="O612" s="727"/>
    </row>
    <row r="613">
      <c r="A613" s="113">
        <v>45843.0</v>
      </c>
      <c r="B613" s="6" t="s">
        <v>12382</v>
      </c>
      <c r="C613" s="6" t="s">
        <v>12552</v>
      </c>
      <c r="D613" s="727"/>
      <c r="E613" s="729">
        <v>5000.0</v>
      </c>
      <c r="F613" s="727">
        <f t="shared" si="14"/>
        <v>630839</v>
      </c>
      <c r="G613" s="6" t="s">
        <v>3883</v>
      </c>
      <c r="H613" s="6" t="s">
        <v>12271</v>
      </c>
      <c r="J613" s="727"/>
      <c r="K613" s="727"/>
      <c r="L613" s="727"/>
      <c r="M613" s="727"/>
      <c r="N613" s="727"/>
      <c r="O613" s="727"/>
    </row>
    <row r="614">
      <c r="A614" s="113">
        <v>45818.0</v>
      </c>
      <c r="B614" s="6" t="s">
        <v>12493</v>
      </c>
      <c r="D614" s="727"/>
      <c r="E614" s="729">
        <v>5000.0</v>
      </c>
      <c r="F614" s="727">
        <f t="shared" si="14"/>
        <v>625839</v>
      </c>
      <c r="G614" s="6" t="s">
        <v>3883</v>
      </c>
      <c r="H614" s="6" t="s">
        <v>12271</v>
      </c>
      <c r="J614" s="727"/>
      <c r="K614" s="727"/>
      <c r="L614" s="727"/>
      <c r="M614" s="727"/>
      <c r="N614" s="727"/>
      <c r="O614" s="727"/>
    </row>
    <row r="615">
      <c r="A615" s="113">
        <v>45845.0</v>
      </c>
      <c r="B615" s="6" t="s">
        <v>12417</v>
      </c>
      <c r="C615" s="6" t="s">
        <v>12391</v>
      </c>
      <c r="D615" s="727"/>
      <c r="E615" s="729">
        <v>285000.0</v>
      </c>
      <c r="F615" s="727">
        <f t="shared" si="14"/>
        <v>340839</v>
      </c>
      <c r="G615" s="6" t="s">
        <v>3883</v>
      </c>
      <c r="H615" s="6" t="s">
        <v>12271</v>
      </c>
      <c r="J615" s="727"/>
      <c r="K615" s="727"/>
      <c r="L615" s="727"/>
      <c r="M615" s="727"/>
      <c r="N615" s="727"/>
      <c r="O615" s="727"/>
    </row>
    <row r="616">
      <c r="A616" s="113">
        <v>45845.0</v>
      </c>
      <c r="B616" s="6" t="s">
        <v>12382</v>
      </c>
      <c r="C616" s="6" t="s">
        <v>12427</v>
      </c>
      <c r="D616" s="727"/>
      <c r="E616" s="729">
        <v>5000.0</v>
      </c>
      <c r="F616" s="727">
        <f t="shared" si="14"/>
        <v>335839</v>
      </c>
      <c r="G616" s="6" t="s">
        <v>3883</v>
      </c>
      <c r="H616" s="6" t="s">
        <v>12126</v>
      </c>
      <c r="J616" s="727"/>
      <c r="K616" s="727"/>
      <c r="L616" s="727"/>
      <c r="M616" s="727"/>
      <c r="N616" s="727"/>
      <c r="O616" s="727"/>
    </row>
    <row r="617">
      <c r="A617" s="113">
        <v>45845.0</v>
      </c>
      <c r="B617" s="741" t="s">
        <v>12382</v>
      </c>
      <c r="C617" s="741" t="s">
        <v>12427</v>
      </c>
      <c r="D617" s="742"/>
      <c r="E617" s="744">
        <v>5000.0</v>
      </c>
      <c r="F617" s="727">
        <f t="shared" si="14"/>
        <v>330839</v>
      </c>
      <c r="G617" s="6" t="s">
        <v>3883</v>
      </c>
      <c r="H617" s="6" t="s">
        <v>12126</v>
      </c>
      <c r="J617" s="727"/>
      <c r="K617" s="727"/>
      <c r="L617" s="727"/>
      <c r="M617" s="727"/>
      <c r="N617" s="727"/>
      <c r="O617" s="727"/>
    </row>
    <row r="618">
      <c r="A618" s="113">
        <v>45845.0</v>
      </c>
      <c r="B618" s="741" t="s">
        <v>12382</v>
      </c>
      <c r="C618" s="741" t="s">
        <v>12427</v>
      </c>
      <c r="D618" s="742"/>
      <c r="E618" s="744">
        <v>5000.0</v>
      </c>
      <c r="F618" s="727">
        <f t="shared" si="14"/>
        <v>325839</v>
      </c>
      <c r="G618" s="6" t="s">
        <v>3883</v>
      </c>
      <c r="H618" s="6" t="s">
        <v>12126</v>
      </c>
      <c r="J618" s="727"/>
      <c r="K618" s="727"/>
      <c r="L618" s="727"/>
      <c r="M618" s="727"/>
      <c r="N618" s="727"/>
      <c r="O618" s="727"/>
    </row>
    <row r="619">
      <c r="A619" s="113">
        <v>45846.0</v>
      </c>
      <c r="B619" s="741" t="s">
        <v>12382</v>
      </c>
      <c r="C619" s="741" t="s">
        <v>12427</v>
      </c>
      <c r="D619" s="742"/>
      <c r="E619" s="744">
        <v>5000.0</v>
      </c>
      <c r="F619" s="727">
        <f t="shared" si="14"/>
        <v>320839</v>
      </c>
      <c r="G619" s="6" t="s">
        <v>3883</v>
      </c>
      <c r="H619" s="6" t="s">
        <v>12126</v>
      </c>
      <c r="J619" s="727"/>
      <c r="K619" s="727"/>
      <c r="L619" s="727"/>
      <c r="M619" s="727"/>
      <c r="N619" s="727"/>
      <c r="O619" s="727"/>
    </row>
    <row r="620">
      <c r="A620" s="113">
        <v>45847.0</v>
      </c>
      <c r="B620" s="6" t="s">
        <v>12179</v>
      </c>
      <c r="C620" s="6" t="s">
        <v>8394</v>
      </c>
      <c r="D620" s="727"/>
      <c r="E620" s="729">
        <v>121000.0</v>
      </c>
      <c r="F620" s="727">
        <f t="shared" si="14"/>
        <v>199839</v>
      </c>
      <c r="G620" s="6" t="s">
        <v>3883</v>
      </c>
      <c r="J620" s="727"/>
      <c r="K620" s="727"/>
      <c r="L620" s="727"/>
      <c r="M620" s="727"/>
      <c r="N620" s="727"/>
      <c r="O620" s="727"/>
    </row>
    <row r="621">
      <c r="A621" s="113">
        <v>45848.0</v>
      </c>
      <c r="B621" s="6" t="s">
        <v>12553</v>
      </c>
      <c r="C621" s="6" t="s">
        <v>12554</v>
      </c>
      <c r="D621" s="727"/>
      <c r="E621" s="729">
        <v>127000.0</v>
      </c>
      <c r="F621" s="727">
        <f t="shared" si="14"/>
        <v>72839</v>
      </c>
      <c r="G621" s="6" t="s">
        <v>3883</v>
      </c>
      <c r="J621" s="727"/>
      <c r="K621" s="727"/>
      <c r="L621" s="727"/>
      <c r="M621" s="727"/>
      <c r="N621" s="727"/>
      <c r="O621" s="727"/>
    </row>
    <row r="622">
      <c r="A622" s="113">
        <v>45848.0</v>
      </c>
      <c r="B622" s="6" t="s">
        <v>12283</v>
      </c>
      <c r="D622" s="729">
        <v>550000.0</v>
      </c>
      <c r="E622" s="727"/>
      <c r="F622" s="727">
        <f t="shared" si="14"/>
        <v>622839</v>
      </c>
      <c r="G622" s="6" t="s">
        <v>3883</v>
      </c>
      <c r="H622" s="6" t="s">
        <v>4262</v>
      </c>
      <c r="I622" s="6" t="s">
        <v>12235</v>
      </c>
      <c r="J622" s="727"/>
      <c r="K622" s="727"/>
      <c r="L622" s="727"/>
      <c r="M622" s="727"/>
      <c r="N622" s="727"/>
      <c r="O622" s="727"/>
    </row>
    <row r="623">
      <c r="A623" s="113">
        <v>45848.0</v>
      </c>
      <c r="B623" s="6" t="s">
        <v>12179</v>
      </c>
      <c r="C623" s="6" t="s">
        <v>8420</v>
      </c>
      <c r="D623" s="727"/>
      <c r="E623" s="729">
        <v>123000.0</v>
      </c>
      <c r="F623" s="727">
        <f t="shared" si="14"/>
        <v>499839</v>
      </c>
      <c r="G623" s="6" t="s">
        <v>3883</v>
      </c>
      <c r="J623" s="727"/>
      <c r="K623" s="727"/>
      <c r="L623" s="727"/>
      <c r="M623" s="727"/>
      <c r="N623" s="727"/>
      <c r="O623" s="727"/>
    </row>
    <row r="624">
      <c r="A624" s="113">
        <v>45849.0</v>
      </c>
      <c r="B624" s="741" t="s">
        <v>12382</v>
      </c>
      <c r="C624" s="741" t="s">
        <v>12427</v>
      </c>
      <c r="D624" s="742"/>
      <c r="E624" s="744">
        <v>5000.0</v>
      </c>
      <c r="F624" s="727">
        <f t="shared" si="14"/>
        <v>494839</v>
      </c>
      <c r="G624" s="6" t="s">
        <v>3883</v>
      </c>
      <c r="H624" s="6" t="s">
        <v>12126</v>
      </c>
      <c r="J624" s="727"/>
      <c r="K624" s="727"/>
      <c r="L624" s="727"/>
      <c r="M624" s="727"/>
      <c r="N624" s="727"/>
      <c r="O624" s="727"/>
    </row>
    <row r="625">
      <c r="A625" s="113">
        <v>45849.0</v>
      </c>
      <c r="B625" s="741" t="s">
        <v>12382</v>
      </c>
      <c r="C625" s="741" t="s">
        <v>12427</v>
      </c>
      <c r="D625" s="742"/>
      <c r="E625" s="744">
        <v>5000.0</v>
      </c>
      <c r="F625" s="727">
        <f t="shared" si="14"/>
        <v>489839</v>
      </c>
      <c r="G625" s="6" t="s">
        <v>3883</v>
      </c>
      <c r="H625" s="6" t="s">
        <v>12126</v>
      </c>
      <c r="J625" s="727"/>
      <c r="K625" s="727"/>
      <c r="L625" s="727"/>
      <c r="M625" s="727"/>
      <c r="N625" s="727"/>
      <c r="O625" s="727"/>
    </row>
    <row r="626">
      <c r="A626" s="113">
        <v>45850.0</v>
      </c>
      <c r="B626" s="741" t="s">
        <v>12382</v>
      </c>
      <c r="C626" s="741" t="s">
        <v>12427</v>
      </c>
      <c r="D626" s="742"/>
      <c r="E626" s="744">
        <v>5000.0</v>
      </c>
      <c r="F626" s="727">
        <f t="shared" si="14"/>
        <v>484839</v>
      </c>
      <c r="G626" s="6" t="s">
        <v>3883</v>
      </c>
      <c r="H626" s="6" t="s">
        <v>12126</v>
      </c>
      <c r="J626" s="727"/>
      <c r="K626" s="727"/>
      <c r="L626" s="727"/>
      <c r="M626" s="727"/>
      <c r="N626" s="727"/>
      <c r="O626" s="727"/>
    </row>
    <row r="627">
      <c r="A627" s="113">
        <v>45850.0</v>
      </c>
      <c r="B627" s="741" t="s">
        <v>12382</v>
      </c>
      <c r="C627" s="741" t="s">
        <v>12427</v>
      </c>
      <c r="D627" s="742"/>
      <c r="E627" s="744">
        <v>5000.0</v>
      </c>
      <c r="F627" s="727">
        <f t="shared" si="14"/>
        <v>479839</v>
      </c>
      <c r="G627" s="6" t="s">
        <v>3883</v>
      </c>
      <c r="H627" s="6" t="s">
        <v>12126</v>
      </c>
      <c r="J627" s="727"/>
      <c r="K627" s="727"/>
      <c r="L627" s="727"/>
      <c r="M627" s="727"/>
      <c r="N627" s="727"/>
      <c r="O627" s="727"/>
    </row>
    <row r="628">
      <c r="A628" s="113">
        <v>45852.0</v>
      </c>
      <c r="B628" s="6" t="s">
        <v>12417</v>
      </c>
      <c r="C628" s="6" t="s">
        <v>12391</v>
      </c>
      <c r="D628" s="727"/>
      <c r="E628" s="729">
        <v>200000.0</v>
      </c>
      <c r="F628" s="727">
        <f t="shared" si="14"/>
        <v>279839</v>
      </c>
      <c r="G628" s="6" t="s">
        <v>3883</v>
      </c>
      <c r="H628" s="6" t="s">
        <v>7878</v>
      </c>
      <c r="J628" s="727"/>
      <c r="K628" s="727"/>
      <c r="L628" s="727"/>
      <c r="M628" s="727"/>
      <c r="N628" s="727"/>
      <c r="O628" s="727"/>
    </row>
    <row r="629">
      <c r="A629" s="113">
        <v>45852.0</v>
      </c>
      <c r="B629" s="741" t="s">
        <v>12382</v>
      </c>
      <c r="C629" s="741" t="s">
        <v>12427</v>
      </c>
      <c r="D629" s="742"/>
      <c r="E629" s="744">
        <v>5000.0</v>
      </c>
      <c r="F629" s="727">
        <f t="shared" si="14"/>
        <v>274839</v>
      </c>
      <c r="G629" s="6" t="s">
        <v>3883</v>
      </c>
      <c r="H629" s="6" t="s">
        <v>12196</v>
      </c>
      <c r="J629" s="727"/>
      <c r="K629" s="727"/>
      <c r="L629" s="727"/>
      <c r="M629" s="727"/>
      <c r="N629" s="727"/>
      <c r="O629" s="727"/>
    </row>
    <row r="630">
      <c r="A630" s="113">
        <v>45853.0</v>
      </c>
      <c r="B630" s="474" t="s">
        <v>12509</v>
      </c>
      <c r="C630" s="474" t="s">
        <v>12555</v>
      </c>
      <c r="D630" s="742"/>
      <c r="E630" s="743">
        <v>15000.0</v>
      </c>
      <c r="F630" s="727">
        <f t="shared" si="14"/>
        <v>259839</v>
      </c>
      <c r="G630" s="6" t="s">
        <v>3883</v>
      </c>
      <c r="H630" s="6" t="s">
        <v>12125</v>
      </c>
      <c r="J630" s="727"/>
      <c r="K630" s="727"/>
      <c r="L630" s="727"/>
      <c r="M630" s="727"/>
      <c r="N630" s="727"/>
      <c r="O630" s="727"/>
    </row>
    <row r="631">
      <c r="A631" s="113">
        <v>45853.0</v>
      </c>
      <c r="B631" s="741" t="s">
        <v>12382</v>
      </c>
      <c r="C631" s="741" t="s">
        <v>12427</v>
      </c>
      <c r="E631" s="6">
        <v>5000.0</v>
      </c>
      <c r="F631" s="727">
        <f t="shared" si="14"/>
        <v>254839</v>
      </c>
      <c r="G631" s="6" t="s">
        <v>3883</v>
      </c>
      <c r="H631" s="6" t="s">
        <v>12271</v>
      </c>
      <c r="J631" s="727"/>
      <c r="K631" s="727"/>
      <c r="L631" s="727"/>
      <c r="M631" s="727"/>
      <c r="N631" s="727"/>
      <c r="O631" s="727"/>
    </row>
    <row r="632">
      <c r="A632" s="113">
        <v>45853.0</v>
      </c>
      <c r="B632" s="741" t="s">
        <v>12382</v>
      </c>
      <c r="C632" s="474" t="s">
        <v>12541</v>
      </c>
      <c r="D632" s="742"/>
      <c r="E632" s="744">
        <v>5000.0</v>
      </c>
      <c r="F632" s="727">
        <f t="shared" si="14"/>
        <v>249839</v>
      </c>
      <c r="G632" s="6" t="s">
        <v>3883</v>
      </c>
      <c r="H632" s="6" t="s">
        <v>7878</v>
      </c>
      <c r="J632" s="727"/>
      <c r="K632" s="727"/>
      <c r="L632" s="727"/>
      <c r="M632" s="727"/>
      <c r="N632" s="727"/>
      <c r="O632" s="727"/>
    </row>
    <row r="633">
      <c r="A633" s="113">
        <v>45853.0</v>
      </c>
      <c r="B633" s="474" t="s">
        <v>8476</v>
      </c>
      <c r="C633" s="474" t="s">
        <v>12493</v>
      </c>
      <c r="D633" s="742"/>
      <c r="E633" s="744">
        <v>5000.0</v>
      </c>
      <c r="F633" s="727">
        <f t="shared" si="14"/>
        <v>244839</v>
      </c>
      <c r="G633" s="6" t="s">
        <v>3883</v>
      </c>
      <c r="H633" s="6" t="s">
        <v>7878</v>
      </c>
      <c r="J633" s="727"/>
      <c r="K633" s="727"/>
      <c r="L633" s="727"/>
      <c r="M633" s="727"/>
      <c r="N633" s="727"/>
      <c r="O633" s="727"/>
    </row>
    <row r="634">
      <c r="A634" s="113">
        <v>45854.0</v>
      </c>
      <c r="B634" s="741" t="s">
        <v>12382</v>
      </c>
      <c r="C634" s="741" t="s">
        <v>12427</v>
      </c>
      <c r="D634" s="742"/>
      <c r="E634" s="744">
        <v>5000.0</v>
      </c>
      <c r="F634" s="727">
        <f t="shared" si="14"/>
        <v>239839</v>
      </c>
      <c r="G634" s="6" t="s">
        <v>3883</v>
      </c>
      <c r="H634" s="6" t="s">
        <v>12196</v>
      </c>
      <c r="J634" s="727"/>
      <c r="K634" s="727"/>
      <c r="L634" s="727"/>
      <c r="M634" s="727"/>
      <c r="N634" s="727"/>
      <c r="O634" s="727"/>
    </row>
    <row r="635">
      <c r="A635" s="113">
        <v>45854.0</v>
      </c>
      <c r="B635" s="741" t="s">
        <v>12382</v>
      </c>
      <c r="C635" s="474" t="s">
        <v>12556</v>
      </c>
      <c r="D635" s="742"/>
      <c r="E635" s="744">
        <v>5000.0</v>
      </c>
      <c r="F635" s="727">
        <f t="shared" si="14"/>
        <v>234839</v>
      </c>
      <c r="G635" s="6" t="s">
        <v>3883</v>
      </c>
      <c r="H635" s="6" t="s">
        <v>12196</v>
      </c>
      <c r="J635" s="727"/>
      <c r="K635" s="727"/>
      <c r="L635" s="727"/>
      <c r="M635" s="727"/>
      <c r="N635" s="727"/>
      <c r="O635" s="727"/>
    </row>
    <row r="636">
      <c r="A636" s="113">
        <v>45855.0</v>
      </c>
      <c r="B636" s="741" t="s">
        <v>12382</v>
      </c>
      <c r="C636" s="741" t="s">
        <v>12427</v>
      </c>
      <c r="D636" s="742"/>
      <c r="E636" s="744">
        <v>5000.0</v>
      </c>
      <c r="F636" s="727">
        <f t="shared" si="14"/>
        <v>229839</v>
      </c>
      <c r="G636" s="6" t="s">
        <v>3883</v>
      </c>
      <c r="H636" s="6" t="s">
        <v>12526</v>
      </c>
      <c r="J636" s="727"/>
      <c r="K636" s="727"/>
      <c r="L636" s="727"/>
      <c r="M636" s="727"/>
      <c r="N636" s="727"/>
      <c r="O636" s="727"/>
    </row>
    <row r="637">
      <c r="A637" s="740">
        <v>45855.0</v>
      </c>
      <c r="B637" s="741" t="s">
        <v>12382</v>
      </c>
      <c r="C637" s="741" t="s">
        <v>12427</v>
      </c>
      <c r="D637" s="742"/>
      <c r="E637" s="744">
        <v>5000.0</v>
      </c>
      <c r="F637" s="727">
        <f t="shared" si="14"/>
        <v>224839</v>
      </c>
      <c r="G637" s="6" t="s">
        <v>3883</v>
      </c>
      <c r="H637" s="6" t="s">
        <v>12526</v>
      </c>
      <c r="J637" s="727"/>
      <c r="K637" s="727"/>
      <c r="L637" s="727"/>
      <c r="M637" s="727"/>
      <c r="N637" s="727"/>
      <c r="O637" s="727"/>
    </row>
    <row r="638">
      <c r="A638" s="740">
        <v>45856.0</v>
      </c>
      <c r="B638" s="741" t="s">
        <v>12382</v>
      </c>
      <c r="C638" s="741" t="s">
        <v>12427</v>
      </c>
      <c r="D638" s="742"/>
      <c r="E638" s="744">
        <v>5000.0</v>
      </c>
      <c r="F638" s="727">
        <f t="shared" si="14"/>
        <v>219839</v>
      </c>
      <c r="G638" s="6" t="s">
        <v>3883</v>
      </c>
      <c r="H638" s="6" t="s">
        <v>12526</v>
      </c>
      <c r="J638" s="727"/>
      <c r="K638" s="727"/>
      <c r="L638" s="727"/>
      <c r="M638" s="727"/>
      <c r="N638" s="727"/>
      <c r="O638" s="727"/>
    </row>
    <row r="639">
      <c r="A639" s="740">
        <v>45857.0</v>
      </c>
      <c r="B639" s="6" t="s">
        <v>12184</v>
      </c>
      <c r="C639" s="6" t="s">
        <v>12443</v>
      </c>
      <c r="D639" s="727"/>
      <c r="E639" s="729">
        <v>36000.0</v>
      </c>
      <c r="F639" s="727">
        <f t="shared" si="14"/>
        <v>183839</v>
      </c>
      <c r="G639" s="6" t="s">
        <v>3883</v>
      </c>
      <c r="H639" s="6" t="s">
        <v>12472</v>
      </c>
      <c r="J639" s="727"/>
      <c r="K639" s="727"/>
      <c r="L639" s="727"/>
      <c r="M639" s="727"/>
      <c r="N639" s="727"/>
      <c r="O639" s="727"/>
    </row>
    <row r="640">
      <c r="A640" s="740">
        <v>45859.0</v>
      </c>
      <c r="B640" s="6" t="s">
        <v>12477</v>
      </c>
      <c r="D640" s="727"/>
      <c r="E640" s="729">
        <v>100000.0</v>
      </c>
      <c r="F640" s="727">
        <f t="shared" si="14"/>
        <v>83839</v>
      </c>
      <c r="G640" s="6" t="s">
        <v>3883</v>
      </c>
      <c r="H640" s="6" t="s">
        <v>12271</v>
      </c>
      <c r="J640" s="727"/>
      <c r="K640" s="727"/>
      <c r="L640" s="727"/>
      <c r="M640" s="727"/>
      <c r="N640" s="727"/>
      <c r="O640" s="727"/>
    </row>
    <row r="641">
      <c r="A641" s="740">
        <v>45859.0</v>
      </c>
      <c r="B641" s="6" t="s">
        <v>12283</v>
      </c>
      <c r="D641" s="729">
        <v>500000.0</v>
      </c>
      <c r="E641" s="727"/>
      <c r="F641" s="727">
        <f t="shared" si="14"/>
        <v>583839</v>
      </c>
      <c r="G641" s="6" t="s">
        <v>3883</v>
      </c>
      <c r="J641" s="727"/>
      <c r="K641" s="727"/>
      <c r="L641" s="727"/>
      <c r="M641" s="727"/>
      <c r="N641" s="727"/>
      <c r="O641" s="727"/>
    </row>
    <row r="642">
      <c r="A642" s="740">
        <v>45860.0</v>
      </c>
      <c r="B642" s="6" t="s">
        <v>12397</v>
      </c>
      <c r="C642" s="6" t="s">
        <v>12543</v>
      </c>
      <c r="D642" s="727"/>
      <c r="E642" s="729">
        <v>100000.0</v>
      </c>
      <c r="F642" s="727">
        <f t="shared" si="14"/>
        <v>483839</v>
      </c>
      <c r="G642" s="6" t="s">
        <v>3883</v>
      </c>
      <c r="H642" s="6" t="s">
        <v>12472</v>
      </c>
      <c r="J642" s="727"/>
      <c r="K642" s="727"/>
      <c r="L642" s="727"/>
      <c r="M642" s="727"/>
      <c r="N642" s="727"/>
      <c r="O642" s="727"/>
    </row>
    <row r="643">
      <c r="A643" s="740">
        <v>45861.0</v>
      </c>
      <c r="B643" s="741" t="s">
        <v>12382</v>
      </c>
      <c r="C643" s="741" t="s">
        <v>12427</v>
      </c>
      <c r="D643" s="742"/>
      <c r="E643" s="744">
        <v>5000.0</v>
      </c>
      <c r="F643" s="727">
        <f t="shared" si="14"/>
        <v>478839</v>
      </c>
      <c r="G643" s="6" t="s">
        <v>3883</v>
      </c>
      <c r="J643" s="727"/>
      <c r="K643" s="727"/>
      <c r="L643" s="727"/>
      <c r="M643" s="727"/>
      <c r="N643" s="727"/>
      <c r="O643" s="727"/>
    </row>
    <row r="644">
      <c r="A644" s="740">
        <v>45864.0</v>
      </c>
      <c r="B644" s="741" t="s">
        <v>12382</v>
      </c>
      <c r="C644" s="741" t="s">
        <v>12427</v>
      </c>
      <c r="D644" s="742"/>
      <c r="E644" s="744">
        <v>5000.0</v>
      </c>
      <c r="F644" s="727">
        <f t="shared" si="14"/>
        <v>473839</v>
      </c>
      <c r="G644" s="6" t="s">
        <v>3883</v>
      </c>
      <c r="H644" s="6" t="s">
        <v>12125</v>
      </c>
      <c r="J644" s="727"/>
      <c r="K644" s="727"/>
      <c r="L644" s="727"/>
      <c r="M644" s="727"/>
      <c r="N644" s="727"/>
      <c r="O644" s="727"/>
    </row>
    <row r="645">
      <c r="A645" s="740">
        <v>45866.0</v>
      </c>
      <c r="B645" s="6" t="s">
        <v>12497</v>
      </c>
      <c r="C645" s="6" t="s">
        <v>12557</v>
      </c>
      <c r="D645" s="727"/>
      <c r="E645" s="729">
        <v>146000.0</v>
      </c>
      <c r="F645" s="727">
        <f t="shared" si="14"/>
        <v>327839</v>
      </c>
      <c r="G645" s="6" t="s">
        <v>3883</v>
      </c>
      <c r="H645" s="6" t="s">
        <v>12196</v>
      </c>
      <c r="J645" s="727"/>
      <c r="K645" s="727"/>
      <c r="L645" s="727"/>
      <c r="M645" s="727"/>
      <c r="N645" s="727"/>
      <c r="O645" s="727"/>
    </row>
    <row r="646">
      <c r="A646" s="740">
        <v>45866.0</v>
      </c>
      <c r="B646" s="6" t="s">
        <v>12558</v>
      </c>
      <c r="D646" s="727"/>
      <c r="E646" s="729">
        <v>155694.0</v>
      </c>
      <c r="F646" s="727">
        <f t="shared" si="14"/>
        <v>172145</v>
      </c>
      <c r="G646" s="6" t="s">
        <v>3883</v>
      </c>
      <c r="H646" s="6" t="s">
        <v>12540</v>
      </c>
      <c r="J646" s="727"/>
      <c r="K646" s="727"/>
      <c r="L646" s="727"/>
      <c r="M646" s="727"/>
      <c r="N646" s="727"/>
      <c r="O646" s="727"/>
    </row>
    <row r="647">
      <c r="A647" s="740">
        <v>45866.0</v>
      </c>
      <c r="B647" s="6" t="s">
        <v>12283</v>
      </c>
      <c r="D647" s="729">
        <v>500000.0</v>
      </c>
      <c r="E647" s="727"/>
      <c r="F647" s="727">
        <f t="shared" si="14"/>
        <v>672145</v>
      </c>
      <c r="G647" s="6" t="s">
        <v>3883</v>
      </c>
      <c r="I647" s="6" t="s">
        <v>12235</v>
      </c>
      <c r="J647" s="727"/>
      <c r="K647" s="727"/>
      <c r="L647" s="727"/>
      <c r="M647" s="727"/>
      <c r="N647" s="727"/>
      <c r="O647" s="727"/>
    </row>
    <row r="648">
      <c r="A648" s="740">
        <v>45867.0</v>
      </c>
      <c r="B648" s="6" t="s">
        <v>12417</v>
      </c>
      <c r="C648" s="6" t="s">
        <v>12391</v>
      </c>
      <c r="D648" s="727"/>
      <c r="E648" s="729">
        <v>300000.0</v>
      </c>
      <c r="F648" s="727">
        <f t="shared" si="14"/>
        <v>372145</v>
      </c>
      <c r="G648" s="6" t="s">
        <v>3883</v>
      </c>
      <c r="H648" s="6" t="s">
        <v>12472</v>
      </c>
      <c r="J648" s="727"/>
      <c r="K648" s="727"/>
      <c r="L648" s="727"/>
      <c r="M648" s="727"/>
      <c r="N648" s="727"/>
      <c r="O648" s="727"/>
    </row>
    <row r="649">
      <c r="A649" s="740">
        <v>45867.0</v>
      </c>
      <c r="B649" s="6" t="s">
        <v>12477</v>
      </c>
      <c r="D649" s="727"/>
      <c r="E649" s="729">
        <v>100000.0</v>
      </c>
      <c r="F649" s="727">
        <f t="shared" si="14"/>
        <v>272145</v>
      </c>
      <c r="G649" s="6" t="s">
        <v>3883</v>
      </c>
      <c r="H649" s="6" t="s">
        <v>7878</v>
      </c>
      <c r="J649" s="727"/>
      <c r="K649" s="727"/>
      <c r="L649" s="727"/>
      <c r="M649" s="727"/>
      <c r="N649" s="727"/>
      <c r="O649" s="727"/>
    </row>
    <row r="650">
      <c r="A650" s="740">
        <v>45868.0</v>
      </c>
      <c r="B650" s="6" t="s">
        <v>12456</v>
      </c>
      <c r="C650" s="6" t="s">
        <v>12559</v>
      </c>
      <c r="D650" s="727"/>
      <c r="E650" s="729">
        <v>85000.0</v>
      </c>
      <c r="F650" s="727">
        <f t="shared" si="14"/>
        <v>187145</v>
      </c>
      <c r="G650" s="6" t="s">
        <v>3883</v>
      </c>
      <c r="H650" s="6" t="s">
        <v>12560</v>
      </c>
      <c r="J650" s="727"/>
      <c r="K650" s="727"/>
      <c r="L650" s="727"/>
      <c r="M650" s="727"/>
      <c r="N650" s="727"/>
      <c r="O650" s="727"/>
    </row>
    <row r="651">
      <c r="A651" s="740">
        <v>45868.0</v>
      </c>
      <c r="B651" s="741" t="s">
        <v>12382</v>
      </c>
      <c r="C651" s="741" t="s">
        <v>12427</v>
      </c>
      <c r="D651" s="742"/>
      <c r="E651" s="744">
        <v>5000.0</v>
      </c>
      <c r="F651" s="727">
        <f t="shared" si="14"/>
        <v>182145</v>
      </c>
      <c r="G651" s="6" t="s">
        <v>3883</v>
      </c>
      <c r="H651" s="6" t="s">
        <v>12472</v>
      </c>
      <c r="J651" s="727"/>
      <c r="K651" s="727"/>
      <c r="L651" s="727"/>
      <c r="M651" s="727"/>
      <c r="N651" s="727"/>
      <c r="O651" s="727"/>
    </row>
    <row r="652">
      <c r="A652" s="740">
        <v>45868.0</v>
      </c>
      <c r="B652" s="741" t="s">
        <v>12382</v>
      </c>
      <c r="C652" s="741" t="s">
        <v>12427</v>
      </c>
      <c r="D652" s="742"/>
      <c r="E652" s="744">
        <v>5000.0</v>
      </c>
      <c r="F652" s="727">
        <f t="shared" si="14"/>
        <v>177145</v>
      </c>
      <c r="G652" s="6" t="s">
        <v>3883</v>
      </c>
      <c r="H652" s="6" t="s">
        <v>12271</v>
      </c>
      <c r="J652" s="727"/>
      <c r="K652" s="727"/>
      <c r="L652" s="727"/>
      <c r="M652" s="727"/>
      <c r="N652" s="727"/>
      <c r="O652" s="727"/>
    </row>
    <row r="653">
      <c r="A653" s="740">
        <v>45869.0</v>
      </c>
      <c r="B653" s="6" t="s">
        <v>12561</v>
      </c>
      <c r="C653" s="6" t="s">
        <v>12562</v>
      </c>
      <c r="D653" s="727"/>
      <c r="E653" s="729">
        <v>49000.0</v>
      </c>
      <c r="F653" s="727">
        <f t="shared" si="14"/>
        <v>128145</v>
      </c>
      <c r="G653" s="6" t="s">
        <v>3883</v>
      </c>
      <c r="H653" s="6" t="s">
        <v>12461</v>
      </c>
      <c r="J653" s="727"/>
      <c r="K653" s="727"/>
      <c r="L653" s="727"/>
      <c r="M653" s="727"/>
      <c r="N653" s="727"/>
      <c r="O653" s="727"/>
    </row>
    <row r="654">
      <c r="A654" s="740">
        <v>45869.0</v>
      </c>
      <c r="B654" s="741" t="s">
        <v>12382</v>
      </c>
      <c r="C654" s="741" t="s">
        <v>12427</v>
      </c>
      <c r="D654" s="742"/>
      <c r="E654" s="744">
        <v>5000.0</v>
      </c>
      <c r="F654" s="727">
        <f t="shared" si="14"/>
        <v>123145</v>
      </c>
      <c r="G654" s="6" t="s">
        <v>3883</v>
      </c>
      <c r="H654" s="6" t="s">
        <v>12472</v>
      </c>
      <c r="J654" s="727"/>
      <c r="K654" s="727"/>
      <c r="L654" s="727"/>
      <c r="M654" s="727"/>
      <c r="N654" s="727"/>
      <c r="O654" s="727"/>
    </row>
    <row r="655">
      <c r="A655" s="739" t="s">
        <v>12563</v>
      </c>
      <c r="J655" s="727"/>
      <c r="K655" s="727"/>
      <c r="L655" s="727"/>
      <c r="M655" s="727"/>
      <c r="N655" s="727"/>
      <c r="O655" s="727"/>
    </row>
    <row r="656">
      <c r="A656" s="740">
        <v>45870.0</v>
      </c>
      <c r="B656" s="741" t="s">
        <v>12382</v>
      </c>
      <c r="C656" s="741" t="s">
        <v>12427</v>
      </c>
      <c r="D656" s="742"/>
      <c r="E656" s="744">
        <v>5000.0</v>
      </c>
      <c r="F656" s="727">
        <f>F654+D656-E656</f>
        <v>118145</v>
      </c>
      <c r="G656" s="6" t="s">
        <v>3883</v>
      </c>
      <c r="H656" s="6" t="s">
        <v>12196</v>
      </c>
      <c r="J656" s="729">
        <v>5000.0</v>
      </c>
      <c r="K656" s="727"/>
      <c r="L656" s="727"/>
      <c r="M656" s="727"/>
      <c r="N656" s="727"/>
      <c r="O656" s="727"/>
    </row>
    <row r="657">
      <c r="A657" s="740">
        <v>45870.0</v>
      </c>
      <c r="B657" s="741" t="s">
        <v>12382</v>
      </c>
      <c r="C657" s="474" t="s">
        <v>12541</v>
      </c>
      <c r="D657" s="742"/>
      <c r="E657" s="744">
        <v>5000.0</v>
      </c>
      <c r="F657" s="727">
        <f t="shared" ref="F657:F688" si="15">F656+D657-E657</f>
        <v>113145</v>
      </c>
      <c r="G657" s="6" t="s">
        <v>3883</v>
      </c>
      <c r="H657" s="6" t="s">
        <v>12196</v>
      </c>
      <c r="J657" s="729">
        <v>5000.0</v>
      </c>
      <c r="K657" s="727"/>
      <c r="L657" s="727"/>
      <c r="M657" s="727"/>
      <c r="N657" s="727"/>
      <c r="O657" s="727"/>
    </row>
    <row r="658">
      <c r="A658" s="740">
        <v>45871.0</v>
      </c>
      <c r="B658" s="6" t="s">
        <v>12491</v>
      </c>
      <c r="D658" s="727"/>
      <c r="E658" s="729">
        <v>10000.0</v>
      </c>
      <c r="F658" s="727">
        <f t="shared" si="15"/>
        <v>103145</v>
      </c>
      <c r="G658" s="6" t="s">
        <v>3883</v>
      </c>
      <c r="H658" s="6" t="s">
        <v>7878</v>
      </c>
      <c r="J658" s="727"/>
      <c r="K658" s="727"/>
      <c r="L658" s="727"/>
      <c r="M658" s="727"/>
      <c r="N658" s="729">
        <v>10000.0</v>
      </c>
      <c r="O658" s="727"/>
    </row>
    <row r="659">
      <c r="A659" s="740">
        <v>45871.0</v>
      </c>
      <c r="B659" s="6" t="s">
        <v>12283</v>
      </c>
      <c r="D659" s="729">
        <v>500000.0</v>
      </c>
      <c r="E659" s="727"/>
      <c r="F659" s="727">
        <f t="shared" si="15"/>
        <v>603145</v>
      </c>
      <c r="G659" s="6" t="s">
        <v>3883</v>
      </c>
      <c r="J659" s="727"/>
      <c r="K659" s="727"/>
      <c r="L659" s="727"/>
      <c r="M659" s="727"/>
      <c r="N659" s="727"/>
      <c r="O659" s="727"/>
    </row>
    <row r="660">
      <c r="A660" s="740">
        <v>45871.0</v>
      </c>
      <c r="B660" s="6" t="s">
        <v>12492</v>
      </c>
      <c r="C660" s="6" t="s">
        <v>12564</v>
      </c>
      <c r="D660" s="727"/>
      <c r="E660" s="729">
        <v>250000.0</v>
      </c>
      <c r="F660" s="727">
        <f t="shared" si="15"/>
        <v>353145</v>
      </c>
      <c r="G660" s="6" t="s">
        <v>3883</v>
      </c>
      <c r="H660" s="6" t="s">
        <v>12126</v>
      </c>
      <c r="J660" s="727"/>
      <c r="K660" s="727"/>
      <c r="L660" s="727"/>
      <c r="M660" s="727"/>
      <c r="N660" s="729">
        <v>250000.0</v>
      </c>
      <c r="O660" s="727"/>
    </row>
    <row r="661">
      <c r="A661" s="740">
        <v>45873.0</v>
      </c>
      <c r="B661" s="741" t="s">
        <v>12382</v>
      </c>
      <c r="C661" s="741" t="s">
        <v>12427</v>
      </c>
      <c r="D661" s="742"/>
      <c r="E661" s="744">
        <v>5000.0</v>
      </c>
      <c r="F661" s="727">
        <f t="shared" si="15"/>
        <v>348145</v>
      </c>
      <c r="G661" s="6" t="s">
        <v>3883</v>
      </c>
      <c r="H661" s="6" t="s">
        <v>12196</v>
      </c>
      <c r="J661" s="729">
        <v>5000.0</v>
      </c>
      <c r="K661" s="727"/>
      <c r="L661" s="727"/>
      <c r="M661" s="727"/>
      <c r="N661" s="727"/>
      <c r="O661" s="727"/>
    </row>
    <row r="662">
      <c r="A662" s="740">
        <v>45873.0</v>
      </c>
      <c r="B662" s="6" t="s">
        <v>12184</v>
      </c>
      <c r="C662" s="6" t="s">
        <v>12450</v>
      </c>
      <c r="D662" s="727"/>
      <c r="E662" s="729">
        <v>27000.0</v>
      </c>
      <c r="F662" s="727">
        <f t="shared" si="15"/>
        <v>321145</v>
      </c>
      <c r="G662" s="6" t="s">
        <v>3883</v>
      </c>
      <c r="H662" s="6" t="s">
        <v>12196</v>
      </c>
      <c r="J662" s="727"/>
      <c r="K662" s="727"/>
      <c r="L662" s="727"/>
      <c r="M662" s="729">
        <v>27000.0</v>
      </c>
      <c r="N662" s="727"/>
      <c r="O662" s="727"/>
    </row>
    <row r="663">
      <c r="A663" s="740">
        <v>45876.0</v>
      </c>
      <c r="B663" s="6" t="s">
        <v>12565</v>
      </c>
      <c r="C663" s="6" t="s">
        <v>12566</v>
      </c>
      <c r="D663" s="727"/>
      <c r="E663" s="729">
        <v>16592.0</v>
      </c>
      <c r="F663" s="727">
        <f t="shared" si="15"/>
        <v>304553</v>
      </c>
      <c r="G663" s="6" t="s">
        <v>3883</v>
      </c>
      <c r="H663" s="6" t="s">
        <v>12472</v>
      </c>
      <c r="J663" s="727"/>
      <c r="K663" s="727"/>
      <c r="L663" s="727"/>
      <c r="M663" s="727"/>
      <c r="N663" s="727"/>
      <c r="O663" s="729">
        <v>16592.0</v>
      </c>
    </row>
    <row r="664">
      <c r="A664" s="740">
        <v>45876.0</v>
      </c>
      <c r="B664" s="741" t="s">
        <v>12382</v>
      </c>
      <c r="C664" s="741" t="s">
        <v>12427</v>
      </c>
      <c r="D664" s="742"/>
      <c r="E664" s="744">
        <v>5000.0</v>
      </c>
      <c r="F664" s="727">
        <f t="shared" si="15"/>
        <v>299553</v>
      </c>
      <c r="G664" s="6" t="s">
        <v>4262</v>
      </c>
      <c r="H664" s="6" t="s">
        <v>12472</v>
      </c>
      <c r="J664" s="744">
        <v>5000.0</v>
      </c>
      <c r="K664" s="727"/>
      <c r="L664" s="727"/>
      <c r="M664" s="727"/>
      <c r="N664" s="727"/>
      <c r="O664" s="727"/>
    </row>
    <row r="665">
      <c r="A665" s="740">
        <v>45880.0</v>
      </c>
      <c r="B665" s="741" t="s">
        <v>12382</v>
      </c>
      <c r="C665" s="741" t="s">
        <v>12427</v>
      </c>
      <c r="D665" s="742"/>
      <c r="E665" s="744">
        <v>5000.0</v>
      </c>
      <c r="F665" s="727">
        <f t="shared" si="15"/>
        <v>294553</v>
      </c>
      <c r="G665" s="6" t="s">
        <v>4262</v>
      </c>
      <c r="H665" s="6" t="s">
        <v>12196</v>
      </c>
      <c r="J665" s="744">
        <v>5000.0</v>
      </c>
      <c r="K665" s="727"/>
      <c r="L665" s="727"/>
      <c r="M665" s="727"/>
      <c r="N665" s="727"/>
      <c r="O665" s="727"/>
    </row>
    <row r="666">
      <c r="A666" s="740">
        <v>45880.0</v>
      </c>
      <c r="B666" s="741" t="s">
        <v>12382</v>
      </c>
      <c r="C666" s="474" t="s">
        <v>12567</v>
      </c>
      <c r="D666" s="742"/>
      <c r="E666" s="744">
        <v>5000.0</v>
      </c>
      <c r="F666" s="727">
        <f t="shared" si="15"/>
        <v>289553</v>
      </c>
      <c r="G666" s="6" t="s">
        <v>4262</v>
      </c>
      <c r="H666" s="6" t="s">
        <v>12461</v>
      </c>
      <c r="J666" s="744">
        <v>5000.0</v>
      </c>
      <c r="K666" s="727"/>
      <c r="L666" s="727"/>
      <c r="M666" s="727"/>
      <c r="N666" s="727"/>
      <c r="O666" s="727"/>
    </row>
    <row r="667">
      <c r="A667" s="740">
        <v>45881.0</v>
      </c>
      <c r="B667" s="474" t="s">
        <v>12493</v>
      </c>
      <c r="C667" s="474" t="s">
        <v>12567</v>
      </c>
      <c r="D667" s="727"/>
      <c r="E667" s="729">
        <v>5000.0</v>
      </c>
      <c r="F667" s="727">
        <f t="shared" si="15"/>
        <v>284553</v>
      </c>
      <c r="G667" s="6" t="s">
        <v>4262</v>
      </c>
      <c r="H667" s="6" t="s">
        <v>12461</v>
      </c>
      <c r="J667" s="727"/>
      <c r="K667" s="727"/>
      <c r="L667" s="727"/>
      <c r="M667" s="727"/>
      <c r="N667" s="727"/>
      <c r="O667" s="744">
        <v>5000.0</v>
      </c>
    </row>
    <row r="668">
      <c r="A668" s="740">
        <v>45881.0</v>
      </c>
      <c r="B668" s="6" t="s">
        <v>12477</v>
      </c>
      <c r="D668" s="727"/>
      <c r="E668" s="729">
        <v>100000.0</v>
      </c>
      <c r="F668" s="727">
        <f t="shared" si="15"/>
        <v>184553</v>
      </c>
      <c r="G668" s="6" t="s">
        <v>4262</v>
      </c>
      <c r="H668" s="6" t="s">
        <v>12271</v>
      </c>
      <c r="J668" s="729">
        <v>100000.0</v>
      </c>
      <c r="K668" s="727"/>
      <c r="L668" s="727"/>
      <c r="M668" s="727"/>
      <c r="N668" s="727"/>
      <c r="O668" s="727"/>
    </row>
    <row r="669">
      <c r="A669" s="740">
        <v>45881.0</v>
      </c>
      <c r="B669" s="741" t="s">
        <v>12382</v>
      </c>
      <c r="C669" s="474" t="s">
        <v>12568</v>
      </c>
      <c r="D669" s="742"/>
      <c r="E669" s="744">
        <v>5000.0</v>
      </c>
      <c r="F669" s="727">
        <f t="shared" si="15"/>
        <v>179553</v>
      </c>
      <c r="G669" s="6" t="s">
        <v>4262</v>
      </c>
      <c r="H669" s="6" t="s">
        <v>12472</v>
      </c>
      <c r="J669" s="744">
        <v>5000.0</v>
      </c>
      <c r="K669" s="727"/>
      <c r="L669" s="727"/>
      <c r="M669" s="727"/>
      <c r="N669" s="727"/>
      <c r="O669" s="727"/>
    </row>
    <row r="670">
      <c r="A670" s="740">
        <v>45881.0</v>
      </c>
      <c r="B670" s="6" t="s">
        <v>12283</v>
      </c>
      <c r="D670" s="729">
        <v>1100000.0</v>
      </c>
      <c r="E670" s="727"/>
      <c r="F670" s="727">
        <f t="shared" si="15"/>
        <v>1279553</v>
      </c>
      <c r="G670" s="6" t="s">
        <v>4262</v>
      </c>
      <c r="H670" s="6" t="s">
        <v>12271</v>
      </c>
      <c r="J670" s="727"/>
      <c r="K670" s="727"/>
      <c r="L670" s="727"/>
      <c r="M670" s="727"/>
      <c r="N670" s="727"/>
      <c r="O670" s="727"/>
    </row>
    <row r="671">
      <c r="A671" s="740">
        <v>45881.0</v>
      </c>
      <c r="B671" s="6" t="s">
        <v>12417</v>
      </c>
      <c r="C671" s="6" t="s">
        <v>12391</v>
      </c>
      <c r="D671" s="727"/>
      <c r="E671" s="729">
        <v>300000.0</v>
      </c>
      <c r="F671" s="727">
        <f t="shared" si="15"/>
        <v>979553</v>
      </c>
      <c r="G671" s="6" t="s">
        <v>4262</v>
      </c>
      <c r="H671" s="6" t="s">
        <v>12461</v>
      </c>
      <c r="J671" s="729">
        <v>300000.0</v>
      </c>
      <c r="K671" s="727"/>
      <c r="L671" s="727"/>
      <c r="M671" s="727"/>
      <c r="N671" s="727"/>
      <c r="O671" s="727"/>
    </row>
    <row r="672">
      <c r="A672" s="740">
        <v>45881.0</v>
      </c>
      <c r="B672" s="6" t="s">
        <v>12482</v>
      </c>
      <c r="C672" s="6" t="s">
        <v>12569</v>
      </c>
      <c r="D672" s="727"/>
      <c r="E672" s="729">
        <v>300000.0</v>
      </c>
      <c r="F672" s="727">
        <f t="shared" si="15"/>
        <v>679553</v>
      </c>
      <c r="G672" s="6" t="s">
        <v>4262</v>
      </c>
      <c r="J672" s="727"/>
      <c r="K672" s="727"/>
      <c r="L672" s="727"/>
      <c r="M672" s="727"/>
      <c r="N672" s="729">
        <v>300000.0</v>
      </c>
      <c r="O672" s="727"/>
    </row>
    <row r="673">
      <c r="A673" s="740">
        <v>45882.0</v>
      </c>
      <c r="B673" s="741" t="s">
        <v>12382</v>
      </c>
      <c r="C673" s="741" t="s">
        <v>12427</v>
      </c>
      <c r="D673" s="742"/>
      <c r="E673" s="744">
        <v>5000.0</v>
      </c>
      <c r="F673" s="727">
        <f t="shared" si="15"/>
        <v>674553</v>
      </c>
      <c r="G673" s="6" t="s">
        <v>4262</v>
      </c>
      <c r="H673" s="6" t="s">
        <v>7878</v>
      </c>
      <c r="J673" s="744">
        <v>5000.0</v>
      </c>
      <c r="K673" s="727"/>
      <c r="L673" s="727"/>
      <c r="M673" s="727"/>
      <c r="N673" s="727"/>
      <c r="O673" s="727"/>
    </row>
    <row r="674">
      <c r="A674" s="740">
        <v>45883.0</v>
      </c>
      <c r="B674" s="6" t="s">
        <v>12397</v>
      </c>
      <c r="C674" s="6" t="s">
        <v>12543</v>
      </c>
      <c r="D674" s="727"/>
      <c r="E674" s="729">
        <v>100000.0</v>
      </c>
      <c r="F674" s="727">
        <f t="shared" si="15"/>
        <v>574553</v>
      </c>
      <c r="G674" s="6" t="s">
        <v>4262</v>
      </c>
      <c r="H674" s="6" t="s">
        <v>4717</v>
      </c>
      <c r="J674" s="727"/>
      <c r="K674" s="729">
        <v>100000.0</v>
      </c>
      <c r="L674" s="727"/>
      <c r="M674" s="727"/>
      <c r="N674" s="727"/>
      <c r="O674" s="727"/>
    </row>
    <row r="675">
      <c r="A675" s="740">
        <v>45883.0</v>
      </c>
      <c r="B675" s="6" t="s">
        <v>12509</v>
      </c>
      <c r="D675" s="727"/>
      <c r="E675" s="729">
        <v>8000.0</v>
      </c>
      <c r="F675" s="727">
        <f t="shared" si="15"/>
        <v>566553</v>
      </c>
      <c r="G675" s="6" t="s">
        <v>4262</v>
      </c>
      <c r="H675" s="6" t="s">
        <v>4717</v>
      </c>
      <c r="J675" s="727"/>
      <c r="K675" s="729">
        <v>8000.0</v>
      </c>
      <c r="L675" s="727"/>
      <c r="M675" s="727"/>
      <c r="N675" s="727"/>
      <c r="O675" s="727"/>
    </row>
    <row r="676">
      <c r="A676" s="740">
        <v>45883.0</v>
      </c>
      <c r="B676" s="6" t="s">
        <v>12184</v>
      </c>
      <c r="C676" s="6" t="s">
        <v>12450</v>
      </c>
      <c r="D676" s="727"/>
      <c r="E676" s="729">
        <v>27000.0</v>
      </c>
      <c r="F676" s="727">
        <f t="shared" si="15"/>
        <v>539553</v>
      </c>
      <c r="G676" s="6" t="s">
        <v>4262</v>
      </c>
      <c r="H676" s="6" t="s">
        <v>12472</v>
      </c>
      <c r="J676" s="727"/>
      <c r="K676" s="727"/>
      <c r="L676" s="727"/>
      <c r="M676" s="729">
        <v>27000.0</v>
      </c>
      <c r="N676" s="727"/>
      <c r="O676" s="727"/>
    </row>
    <row r="677">
      <c r="A677" s="740">
        <v>45885.0</v>
      </c>
      <c r="B677" s="6" t="s">
        <v>12267</v>
      </c>
      <c r="C677" s="6" t="s">
        <v>12570</v>
      </c>
      <c r="D677" s="727"/>
      <c r="E677" s="729">
        <v>27500.0</v>
      </c>
      <c r="F677" s="727">
        <f t="shared" si="15"/>
        <v>512053</v>
      </c>
      <c r="G677" s="6" t="s">
        <v>4262</v>
      </c>
      <c r="H677" s="6" t="s">
        <v>12472</v>
      </c>
      <c r="J677" s="727"/>
      <c r="K677" s="727"/>
      <c r="L677" s="727"/>
      <c r="M677" s="727"/>
      <c r="N677" s="729">
        <v>27500.0</v>
      </c>
      <c r="O677" s="727"/>
    </row>
    <row r="678">
      <c r="A678" s="740">
        <v>45889.0</v>
      </c>
      <c r="B678" s="6" t="s">
        <v>12417</v>
      </c>
      <c r="C678" s="6" t="s">
        <v>12391</v>
      </c>
      <c r="D678" s="727"/>
      <c r="E678" s="729">
        <v>200000.0</v>
      </c>
      <c r="F678" s="727">
        <f t="shared" si="15"/>
        <v>312053</v>
      </c>
      <c r="G678" s="6" t="s">
        <v>4262</v>
      </c>
      <c r="H678" s="6" t="s">
        <v>12472</v>
      </c>
      <c r="J678" s="729">
        <v>200000.0</v>
      </c>
      <c r="K678" s="727"/>
      <c r="L678" s="727"/>
      <c r="M678" s="727"/>
      <c r="N678" s="727"/>
      <c r="O678" s="727"/>
    </row>
    <row r="679">
      <c r="A679" s="740">
        <v>45889.0</v>
      </c>
      <c r="B679" s="6" t="s">
        <v>12382</v>
      </c>
      <c r="C679" s="6" t="s">
        <v>12571</v>
      </c>
      <c r="D679" s="727"/>
      <c r="E679" s="729">
        <v>5000.0</v>
      </c>
      <c r="F679" s="727">
        <f t="shared" si="15"/>
        <v>307053</v>
      </c>
      <c r="G679" s="6" t="s">
        <v>4262</v>
      </c>
      <c r="H679" s="6" t="s">
        <v>12126</v>
      </c>
      <c r="J679" s="729">
        <v>5000.0</v>
      </c>
      <c r="K679" s="727"/>
      <c r="L679" s="727"/>
      <c r="M679" s="727"/>
      <c r="N679" s="727"/>
      <c r="O679" s="727"/>
    </row>
    <row r="680">
      <c r="A680" s="740">
        <v>45889.0</v>
      </c>
      <c r="B680" s="6" t="s">
        <v>12493</v>
      </c>
      <c r="C680" s="6" t="s">
        <v>12571</v>
      </c>
      <c r="D680" s="727"/>
      <c r="E680" s="729">
        <v>21000.0</v>
      </c>
      <c r="F680" s="727">
        <f t="shared" si="15"/>
        <v>286053</v>
      </c>
      <c r="G680" s="6" t="s">
        <v>4262</v>
      </c>
      <c r="H680" s="6" t="s">
        <v>12126</v>
      </c>
      <c r="J680" s="727"/>
      <c r="K680" s="727"/>
      <c r="L680" s="727"/>
      <c r="M680" s="727"/>
      <c r="N680" s="727"/>
      <c r="O680" s="729">
        <v>21000.0</v>
      </c>
    </row>
    <row r="681">
      <c r="A681" s="740">
        <v>45891.0</v>
      </c>
      <c r="B681" s="6" t="s">
        <v>12572</v>
      </c>
      <c r="C681" s="6" t="s">
        <v>12125</v>
      </c>
      <c r="D681" s="727"/>
      <c r="E681" s="729">
        <v>53500.0</v>
      </c>
      <c r="F681" s="727">
        <f t="shared" si="15"/>
        <v>232553</v>
      </c>
      <c r="G681" s="6" t="s">
        <v>4262</v>
      </c>
      <c r="H681" s="6" t="s">
        <v>12125</v>
      </c>
      <c r="J681" s="727"/>
      <c r="K681" s="727"/>
      <c r="L681" s="729">
        <v>53500.0</v>
      </c>
      <c r="M681" s="727"/>
      <c r="N681" s="727"/>
      <c r="O681" s="727"/>
    </row>
    <row r="682">
      <c r="A682" s="740">
        <v>45892.0</v>
      </c>
      <c r="B682" s="6" t="s">
        <v>12539</v>
      </c>
      <c r="C682" s="6" t="s">
        <v>12573</v>
      </c>
      <c r="D682" s="727"/>
      <c r="E682" s="729">
        <v>90935.0</v>
      </c>
      <c r="F682" s="727">
        <f t="shared" si="15"/>
        <v>141618</v>
      </c>
      <c r="G682" s="6" t="s">
        <v>4262</v>
      </c>
      <c r="H682" s="6" t="s">
        <v>12540</v>
      </c>
      <c r="J682" s="727"/>
      <c r="K682" s="727"/>
      <c r="L682" s="727"/>
      <c r="M682" s="727"/>
      <c r="N682" s="727"/>
      <c r="O682" s="727"/>
    </row>
    <row r="683">
      <c r="A683" s="740">
        <v>45894.0</v>
      </c>
      <c r="B683" s="6" t="s">
        <v>12477</v>
      </c>
      <c r="D683" s="727"/>
      <c r="E683" s="729">
        <v>100000.0</v>
      </c>
      <c r="F683" s="727">
        <f t="shared" si="15"/>
        <v>41618</v>
      </c>
      <c r="G683" s="6" t="s">
        <v>4262</v>
      </c>
      <c r="H683" s="6" t="s">
        <v>7878</v>
      </c>
      <c r="J683" s="729">
        <v>100000.0</v>
      </c>
      <c r="K683" s="727"/>
      <c r="L683" s="727"/>
      <c r="M683" s="727"/>
      <c r="N683" s="727"/>
      <c r="O683" s="727"/>
    </row>
    <row r="684">
      <c r="A684" s="740">
        <v>45894.0</v>
      </c>
      <c r="B684" s="6" t="s">
        <v>12283</v>
      </c>
      <c r="D684" s="729">
        <v>500000.0</v>
      </c>
      <c r="E684" s="727"/>
      <c r="F684" s="727">
        <f t="shared" si="15"/>
        <v>541618</v>
      </c>
      <c r="G684" s="6" t="s">
        <v>4262</v>
      </c>
      <c r="J684" s="727"/>
      <c r="K684" s="727"/>
      <c r="L684" s="727"/>
      <c r="M684" s="727"/>
      <c r="N684" s="727"/>
      <c r="O684" s="727"/>
    </row>
    <row r="685">
      <c r="A685" s="740">
        <v>45898.0</v>
      </c>
      <c r="B685" s="741" t="s">
        <v>12382</v>
      </c>
      <c r="C685" s="741" t="s">
        <v>12427</v>
      </c>
      <c r="D685" s="742"/>
      <c r="E685" s="744">
        <v>5000.0</v>
      </c>
      <c r="F685" s="727">
        <f t="shared" si="15"/>
        <v>536618</v>
      </c>
      <c r="G685" s="6" t="s">
        <v>4262</v>
      </c>
      <c r="H685" s="6" t="s">
        <v>12126</v>
      </c>
      <c r="J685" s="744">
        <v>5000.0</v>
      </c>
      <c r="K685" s="727"/>
      <c r="L685" s="727"/>
      <c r="M685" s="727"/>
      <c r="N685" s="727"/>
      <c r="O685" s="727"/>
    </row>
    <row r="686">
      <c r="A686" s="740">
        <v>45898.0</v>
      </c>
      <c r="B686" s="6" t="s">
        <v>12417</v>
      </c>
      <c r="C686" s="6" t="s">
        <v>12391</v>
      </c>
      <c r="D686" s="727"/>
      <c r="E686" s="729">
        <v>300000.0</v>
      </c>
      <c r="F686" s="727">
        <f t="shared" si="15"/>
        <v>236618</v>
      </c>
      <c r="G686" s="6" t="s">
        <v>4262</v>
      </c>
      <c r="H686" s="6" t="s">
        <v>12126</v>
      </c>
      <c r="J686" s="729">
        <v>300000.0</v>
      </c>
      <c r="K686" s="727"/>
      <c r="L686" s="727"/>
      <c r="M686" s="727"/>
      <c r="N686" s="727"/>
      <c r="O686" s="727"/>
    </row>
    <row r="687">
      <c r="A687" s="740">
        <v>45899.0</v>
      </c>
      <c r="B687" s="6" t="s">
        <v>12184</v>
      </c>
      <c r="C687" s="6" t="s">
        <v>12443</v>
      </c>
      <c r="D687" s="727"/>
      <c r="E687" s="729">
        <v>36000.0</v>
      </c>
      <c r="F687" s="727">
        <f t="shared" si="15"/>
        <v>200618</v>
      </c>
      <c r="G687" s="6" t="s">
        <v>4262</v>
      </c>
      <c r="H687" s="6" t="s">
        <v>12126</v>
      </c>
      <c r="J687" s="727"/>
      <c r="K687" s="727"/>
      <c r="L687" s="727"/>
      <c r="M687" s="729">
        <v>36000.0</v>
      </c>
      <c r="N687" s="727"/>
      <c r="O687" s="727"/>
    </row>
    <row r="688">
      <c r="A688" s="740">
        <v>45899.0</v>
      </c>
      <c r="B688" s="6" t="s">
        <v>12574</v>
      </c>
      <c r="D688" s="727"/>
      <c r="E688" s="729">
        <v>10000.0</v>
      </c>
      <c r="F688" s="727">
        <f t="shared" si="15"/>
        <v>190618</v>
      </c>
      <c r="G688" s="6" t="s">
        <v>4262</v>
      </c>
      <c r="H688" s="6" t="s">
        <v>12196</v>
      </c>
      <c r="J688" s="729">
        <v>10000.0</v>
      </c>
      <c r="K688" s="727"/>
      <c r="L688" s="727"/>
      <c r="M688" s="727"/>
      <c r="N688" s="727"/>
      <c r="O688" s="727"/>
    </row>
    <row r="689">
      <c r="A689" s="745"/>
      <c r="B689" s="745"/>
      <c r="C689" s="745"/>
      <c r="D689" s="745"/>
      <c r="E689" s="745"/>
      <c r="F689" s="745"/>
      <c r="G689" s="745"/>
      <c r="H689" s="745"/>
      <c r="I689" s="745"/>
      <c r="J689" s="727"/>
      <c r="K689" s="727"/>
      <c r="L689" s="727"/>
      <c r="M689" s="727"/>
      <c r="N689" s="727"/>
      <c r="O689" s="727"/>
    </row>
    <row r="690">
      <c r="A690" s="739" t="s">
        <v>12575</v>
      </c>
      <c r="J690" s="727"/>
      <c r="K690" s="727"/>
      <c r="L690" s="727"/>
      <c r="M690" s="727"/>
      <c r="N690" s="727"/>
      <c r="O690" s="727"/>
    </row>
    <row r="691">
      <c r="A691" s="740">
        <v>45901.0</v>
      </c>
      <c r="B691" s="6" t="s">
        <v>12576</v>
      </c>
      <c r="C691" s="6" t="s">
        <v>4717</v>
      </c>
      <c r="D691" s="727"/>
      <c r="E691" s="729">
        <v>75000.0</v>
      </c>
      <c r="F691" s="727">
        <f>F688+D691-E691</f>
        <v>115618</v>
      </c>
      <c r="G691" s="6" t="s">
        <v>3883</v>
      </c>
      <c r="H691" s="6" t="s">
        <v>12196</v>
      </c>
      <c r="J691" s="744">
        <v>5000.0</v>
      </c>
      <c r="K691" s="727"/>
      <c r="L691" s="727"/>
      <c r="M691" s="727"/>
      <c r="N691" s="727"/>
      <c r="O691" s="729">
        <v>75000.0</v>
      </c>
    </row>
    <row r="692">
      <c r="A692" s="740">
        <v>45903.0</v>
      </c>
      <c r="B692" s="741" t="s">
        <v>12382</v>
      </c>
      <c r="C692" s="741" t="s">
        <v>12427</v>
      </c>
      <c r="D692" s="742"/>
      <c r="E692" s="744">
        <v>5000.0</v>
      </c>
      <c r="F692" s="727">
        <f t="shared" ref="F692:F716" si="16">F691+D692-E692</f>
        <v>110618</v>
      </c>
      <c r="G692" s="6" t="s">
        <v>3883</v>
      </c>
      <c r="H692" s="6" t="s">
        <v>12196</v>
      </c>
      <c r="J692" s="727"/>
      <c r="K692" s="727"/>
      <c r="L692" s="727"/>
      <c r="M692" s="727"/>
      <c r="N692" s="727"/>
      <c r="O692" s="727"/>
    </row>
    <row r="693">
      <c r="A693" s="740">
        <v>45904.0</v>
      </c>
      <c r="B693" s="6" t="s">
        <v>12283</v>
      </c>
      <c r="D693" s="729">
        <v>500000.0</v>
      </c>
      <c r="E693" s="727"/>
      <c r="F693" s="727">
        <f t="shared" si="16"/>
        <v>610618</v>
      </c>
      <c r="G693" s="6" t="s">
        <v>3883</v>
      </c>
      <c r="J693" s="727"/>
      <c r="K693" s="727"/>
      <c r="L693" s="727"/>
      <c r="M693" s="727"/>
      <c r="N693" s="727"/>
      <c r="O693" s="727"/>
    </row>
    <row r="694">
      <c r="A694" s="740">
        <v>45909.0</v>
      </c>
      <c r="B694" s="6" t="s">
        <v>12482</v>
      </c>
      <c r="C694" s="6" t="s">
        <v>12577</v>
      </c>
      <c r="D694" s="727"/>
      <c r="E694" s="729">
        <v>300000.0</v>
      </c>
      <c r="F694" s="727">
        <f t="shared" si="16"/>
        <v>310618</v>
      </c>
      <c r="G694" s="6" t="s">
        <v>3883</v>
      </c>
      <c r="J694" s="727"/>
      <c r="K694" s="727"/>
      <c r="L694" s="729">
        <v>300000.0</v>
      </c>
      <c r="M694" s="727"/>
      <c r="N694" s="727"/>
      <c r="O694" s="727"/>
    </row>
    <row r="695">
      <c r="A695" s="740">
        <v>45910.0</v>
      </c>
      <c r="B695" s="6" t="s">
        <v>12417</v>
      </c>
      <c r="C695" s="6" t="s">
        <v>12391</v>
      </c>
      <c r="D695" s="727"/>
      <c r="E695" s="729">
        <v>200000.0</v>
      </c>
      <c r="F695" s="727">
        <f t="shared" si="16"/>
        <v>110618</v>
      </c>
      <c r="G695" s="6" t="s">
        <v>3883</v>
      </c>
      <c r="H695" s="6" t="s">
        <v>12271</v>
      </c>
      <c r="J695" s="729">
        <v>200000.0</v>
      </c>
      <c r="K695" s="727"/>
      <c r="L695" s="727"/>
      <c r="M695" s="727"/>
      <c r="N695" s="727"/>
      <c r="O695" s="727"/>
    </row>
    <row r="696">
      <c r="A696" s="740">
        <v>45910.0</v>
      </c>
      <c r="B696" s="6" t="s">
        <v>12283</v>
      </c>
      <c r="D696" s="729">
        <v>500000.0</v>
      </c>
      <c r="E696" s="727"/>
      <c r="F696" s="727">
        <f t="shared" si="16"/>
        <v>610618</v>
      </c>
      <c r="G696" s="6" t="s">
        <v>3883</v>
      </c>
      <c r="J696" s="727"/>
      <c r="K696" s="727"/>
      <c r="L696" s="727"/>
      <c r="M696" s="727"/>
      <c r="N696" s="727"/>
      <c r="O696" s="727"/>
    </row>
    <row r="697">
      <c r="A697" s="740">
        <v>45915.0</v>
      </c>
      <c r="B697" s="6" t="s">
        <v>12477</v>
      </c>
      <c r="D697" s="727"/>
      <c r="E697" s="729">
        <v>100000.0</v>
      </c>
      <c r="F697" s="727">
        <f t="shared" si="16"/>
        <v>510618</v>
      </c>
      <c r="G697" s="6" t="s">
        <v>3883</v>
      </c>
      <c r="H697" s="6" t="s">
        <v>12271</v>
      </c>
      <c r="J697" s="729">
        <v>100000.0</v>
      </c>
      <c r="K697" s="727"/>
      <c r="L697" s="727"/>
      <c r="M697" s="727"/>
      <c r="N697" s="727"/>
      <c r="O697" s="727"/>
    </row>
    <row r="698">
      <c r="A698" s="740">
        <v>45916.0</v>
      </c>
      <c r="B698" s="741" t="s">
        <v>12382</v>
      </c>
      <c r="C698" s="741" t="s">
        <v>12427</v>
      </c>
      <c r="D698" s="742"/>
      <c r="E698" s="744">
        <v>5000.0</v>
      </c>
      <c r="F698" s="727">
        <f t="shared" si="16"/>
        <v>505618</v>
      </c>
      <c r="G698" s="6" t="s">
        <v>3883</v>
      </c>
      <c r="H698" s="6" t="s">
        <v>12461</v>
      </c>
      <c r="J698" s="744">
        <v>5000.0</v>
      </c>
      <c r="K698" s="727"/>
      <c r="L698" s="727"/>
      <c r="M698" s="727"/>
      <c r="N698" s="727"/>
      <c r="O698" s="727"/>
    </row>
    <row r="699">
      <c r="A699" s="740">
        <v>45917.0</v>
      </c>
      <c r="B699" s="6" t="s">
        <v>12184</v>
      </c>
      <c r="C699" s="6" t="s">
        <v>12443</v>
      </c>
      <c r="D699" s="727"/>
      <c r="E699" s="729">
        <v>36000.0</v>
      </c>
      <c r="F699" s="727">
        <f t="shared" si="16"/>
        <v>469618</v>
      </c>
      <c r="G699" s="6" t="s">
        <v>3883</v>
      </c>
      <c r="H699" s="6" t="s">
        <v>4717</v>
      </c>
      <c r="J699" s="727"/>
      <c r="K699" s="727"/>
      <c r="L699" s="727"/>
      <c r="M699" s="729">
        <v>36000.0</v>
      </c>
      <c r="N699" s="727"/>
      <c r="O699" s="727"/>
    </row>
    <row r="700">
      <c r="A700" s="740">
        <v>45917.0</v>
      </c>
      <c r="B700" s="741" t="s">
        <v>12382</v>
      </c>
      <c r="C700" s="741" t="s">
        <v>12427</v>
      </c>
      <c r="D700" s="742"/>
      <c r="E700" s="744">
        <v>5000.0</v>
      </c>
      <c r="F700" s="727">
        <f t="shared" si="16"/>
        <v>464618</v>
      </c>
      <c r="G700" s="6" t="s">
        <v>3883</v>
      </c>
      <c r="H700" s="6" t="s">
        <v>4717</v>
      </c>
      <c r="J700" s="744">
        <v>5000.0</v>
      </c>
      <c r="K700" s="727"/>
      <c r="L700" s="727"/>
      <c r="M700" s="727"/>
      <c r="N700" s="727"/>
      <c r="O700" s="727"/>
    </row>
    <row r="701">
      <c r="A701" s="740">
        <v>45919.0</v>
      </c>
      <c r="B701" s="741" t="s">
        <v>12382</v>
      </c>
      <c r="C701" s="6" t="s">
        <v>12578</v>
      </c>
      <c r="D701" s="727"/>
      <c r="E701" s="729">
        <v>5000.0</v>
      </c>
      <c r="F701" s="727">
        <f t="shared" si="16"/>
        <v>459618</v>
      </c>
      <c r="G701" s="6" t="s">
        <v>3883</v>
      </c>
      <c r="H701" s="6" t="s">
        <v>4717</v>
      </c>
      <c r="J701" s="729">
        <v>5000.0</v>
      </c>
      <c r="K701" s="727"/>
      <c r="L701" s="727"/>
      <c r="M701" s="727"/>
      <c r="N701" s="727"/>
      <c r="O701" s="727"/>
    </row>
    <row r="702">
      <c r="A702" s="740">
        <v>45919.0</v>
      </c>
      <c r="B702" s="741" t="s">
        <v>12382</v>
      </c>
      <c r="C702" s="6" t="s">
        <v>12579</v>
      </c>
      <c r="D702" s="727"/>
      <c r="E702" s="729">
        <v>5000.0</v>
      </c>
      <c r="F702" s="727">
        <f t="shared" si="16"/>
        <v>454618</v>
      </c>
      <c r="G702" s="6" t="s">
        <v>3883</v>
      </c>
      <c r="H702" s="6" t="s">
        <v>4717</v>
      </c>
      <c r="J702" s="729">
        <v>5000.0</v>
      </c>
      <c r="K702" s="727"/>
      <c r="L702" s="727"/>
      <c r="M702" s="727"/>
      <c r="N702" s="727"/>
      <c r="O702" s="727"/>
    </row>
    <row r="703">
      <c r="A703" s="740">
        <v>45919.0</v>
      </c>
      <c r="B703" s="6" t="s">
        <v>12580</v>
      </c>
      <c r="C703" s="6" t="s">
        <v>12581</v>
      </c>
      <c r="D703" s="727"/>
      <c r="E703" s="729">
        <v>130000.0</v>
      </c>
      <c r="F703" s="727">
        <f t="shared" si="16"/>
        <v>324618</v>
      </c>
      <c r="G703" s="6" t="s">
        <v>3883</v>
      </c>
      <c r="H703" s="6" t="s">
        <v>4717</v>
      </c>
      <c r="J703" s="727"/>
      <c r="K703" s="729">
        <v>130000.0</v>
      </c>
      <c r="L703" s="727"/>
      <c r="M703" s="727"/>
      <c r="N703" s="727"/>
      <c r="O703" s="727"/>
    </row>
    <row r="704">
      <c r="A704" s="740">
        <v>45919.0</v>
      </c>
      <c r="B704" s="6" t="s">
        <v>12582</v>
      </c>
      <c r="C704" s="6" t="s">
        <v>12583</v>
      </c>
      <c r="D704" s="727"/>
      <c r="E704" s="729">
        <v>73000.0</v>
      </c>
      <c r="F704" s="727">
        <f t="shared" si="16"/>
        <v>251618</v>
      </c>
      <c r="G704" s="6" t="s">
        <v>3883</v>
      </c>
      <c r="H704" s="6" t="s">
        <v>4717</v>
      </c>
      <c r="J704" s="727"/>
      <c r="K704" s="729">
        <v>73000.0</v>
      </c>
      <c r="L704" s="727"/>
      <c r="M704" s="727"/>
      <c r="N704" s="727"/>
      <c r="O704" s="727"/>
    </row>
    <row r="705">
      <c r="A705" s="740">
        <v>45920.0</v>
      </c>
      <c r="B705" s="6" t="s">
        <v>12584</v>
      </c>
      <c r="C705" s="6" t="s">
        <v>12585</v>
      </c>
      <c r="D705" s="727"/>
      <c r="E705" s="729">
        <v>15900.0</v>
      </c>
      <c r="F705" s="727">
        <f t="shared" si="16"/>
        <v>235718</v>
      </c>
      <c r="G705" s="6" t="s">
        <v>3883</v>
      </c>
      <c r="H705" s="6" t="s">
        <v>12461</v>
      </c>
      <c r="J705" s="727"/>
      <c r="K705" s="729"/>
      <c r="L705" s="727"/>
      <c r="M705" s="727"/>
      <c r="N705" s="729">
        <v>15900.0</v>
      </c>
      <c r="O705" s="727"/>
    </row>
    <row r="706">
      <c r="A706" s="740">
        <v>45922.0</v>
      </c>
      <c r="B706" s="6" t="s">
        <v>12417</v>
      </c>
      <c r="C706" s="6" t="s">
        <v>12391</v>
      </c>
      <c r="D706" s="727"/>
      <c r="E706" s="729">
        <v>200000.0</v>
      </c>
      <c r="F706" s="727">
        <f t="shared" si="16"/>
        <v>35718</v>
      </c>
      <c r="G706" s="6" t="s">
        <v>3883</v>
      </c>
      <c r="H706" s="6" t="s">
        <v>4717</v>
      </c>
      <c r="J706" s="729">
        <v>200000.0</v>
      </c>
      <c r="K706" s="727"/>
      <c r="L706" s="727"/>
      <c r="M706" s="727"/>
      <c r="N706" s="727"/>
      <c r="O706" s="727"/>
    </row>
    <row r="707">
      <c r="A707" s="740">
        <v>45922.0</v>
      </c>
      <c r="B707" s="6" t="s">
        <v>12283</v>
      </c>
      <c r="D707" s="729">
        <v>500000.0</v>
      </c>
      <c r="E707" s="727"/>
      <c r="F707" s="727">
        <f t="shared" si="16"/>
        <v>535718</v>
      </c>
      <c r="G707" s="6" t="s">
        <v>3883</v>
      </c>
      <c r="J707" s="727"/>
      <c r="K707" s="727"/>
      <c r="L707" s="727"/>
      <c r="M707" s="727"/>
      <c r="N707" s="727"/>
      <c r="O707" s="727"/>
    </row>
    <row r="708">
      <c r="A708" s="740">
        <v>45923.0</v>
      </c>
      <c r="B708" s="741" t="s">
        <v>12382</v>
      </c>
      <c r="C708" s="741" t="s">
        <v>12427</v>
      </c>
      <c r="D708" s="742"/>
      <c r="E708" s="744">
        <v>5000.0</v>
      </c>
      <c r="F708" s="727">
        <f t="shared" si="16"/>
        <v>530718</v>
      </c>
      <c r="G708" s="6" t="s">
        <v>3883</v>
      </c>
      <c r="H708" s="6" t="s">
        <v>4717</v>
      </c>
      <c r="J708" s="744">
        <v>5000.0</v>
      </c>
      <c r="K708" s="727"/>
      <c r="L708" s="727"/>
      <c r="M708" s="727"/>
      <c r="N708" s="727"/>
      <c r="O708" s="727"/>
    </row>
    <row r="709">
      <c r="A709" s="740">
        <v>45923.0</v>
      </c>
      <c r="B709" s="741" t="s">
        <v>12382</v>
      </c>
      <c r="C709" s="741" t="s">
        <v>12427</v>
      </c>
      <c r="D709" s="742"/>
      <c r="E709" s="744">
        <v>5000.0</v>
      </c>
      <c r="F709" s="727">
        <f t="shared" si="16"/>
        <v>525718</v>
      </c>
      <c r="G709" s="6" t="s">
        <v>3883</v>
      </c>
      <c r="H709" s="6" t="s">
        <v>4717</v>
      </c>
      <c r="J709" s="744">
        <v>5000.0</v>
      </c>
      <c r="K709" s="727"/>
      <c r="L709" s="727"/>
      <c r="M709" s="727"/>
      <c r="N709" s="727"/>
      <c r="O709" s="727"/>
    </row>
    <row r="710">
      <c r="A710" s="740">
        <v>45924.0</v>
      </c>
      <c r="B710" s="6" t="s">
        <v>12586</v>
      </c>
      <c r="C710" s="6" t="s">
        <v>12587</v>
      </c>
      <c r="D710" s="727"/>
      <c r="E710" s="729">
        <v>39000.0</v>
      </c>
      <c r="F710" s="727">
        <f t="shared" si="16"/>
        <v>486718</v>
      </c>
      <c r="G710" s="6" t="s">
        <v>3883</v>
      </c>
      <c r="H710" s="6" t="s">
        <v>12298</v>
      </c>
      <c r="J710" s="727"/>
      <c r="K710" s="727"/>
      <c r="L710" s="727"/>
      <c r="M710" s="727"/>
      <c r="N710" s="727"/>
      <c r="O710" s="729">
        <v>39000.0</v>
      </c>
    </row>
    <row r="711">
      <c r="A711" s="740">
        <v>45925.0</v>
      </c>
      <c r="B711" s="6" t="s">
        <v>12588</v>
      </c>
      <c r="C711" s="6" t="s">
        <v>12589</v>
      </c>
      <c r="D711" s="727"/>
      <c r="E711" s="729">
        <v>100000.0</v>
      </c>
      <c r="F711" s="727">
        <f t="shared" si="16"/>
        <v>386718</v>
      </c>
      <c r="G711" s="6" t="s">
        <v>3883</v>
      </c>
      <c r="H711" s="6" t="s">
        <v>12590</v>
      </c>
      <c r="J711" s="727"/>
      <c r="K711" s="729">
        <v>100000.0</v>
      </c>
      <c r="L711" s="727"/>
      <c r="M711" s="727"/>
      <c r="N711" s="727"/>
      <c r="O711" s="727"/>
    </row>
    <row r="712">
      <c r="A712" s="740">
        <v>45925.0</v>
      </c>
      <c r="B712" s="6" t="s">
        <v>12179</v>
      </c>
      <c r="C712" s="6" t="s">
        <v>12591</v>
      </c>
      <c r="D712" s="727"/>
      <c r="E712" s="729">
        <v>79409.0</v>
      </c>
      <c r="F712" s="727">
        <f t="shared" si="16"/>
        <v>307309</v>
      </c>
      <c r="G712" s="6" t="s">
        <v>3883</v>
      </c>
      <c r="H712" s="6" t="s">
        <v>12487</v>
      </c>
      <c r="J712" s="729">
        <v>79409.0</v>
      </c>
      <c r="K712" s="727"/>
      <c r="L712" s="727"/>
      <c r="M712" s="727"/>
      <c r="N712" s="727"/>
      <c r="O712" s="729"/>
    </row>
    <row r="713">
      <c r="A713" s="740">
        <v>45927.0</v>
      </c>
      <c r="B713" s="6" t="s">
        <v>12382</v>
      </c>
      <c r="C713" s="6" t="s">
        <v>12592</v>
      </c>
      <c r="D713" s="727"/>
      <c r="E713" s="729">
        <v>10000.0</v>
      </c>
      <c r="F713" s="727">
        <f t="shared" si="16"/>
        <v>297309</v>
      </c>
      <c r="G713" s="6" t="s">
        <v>3883</v>
      </c>
      <c r="H713" s="6" t="s">
        <v>12271</v>
      </c>
      <c r="J713" s="729">
        <v>10000.0</v>
      </c>
      <c r="K713" s="727"/>
      <c r="L713" s="727"/>
      <c r="M713" s="727"/>
      <c r="N713" s="727"/>
      <c r="O713" s="727"/>
    </row>
    <row r="714">
      <c r="A714" s="740">
        <v>45929.0</v>
      </c>
      <c r="B714" s="6" t="s">
        <v>12184</v>
      </c>
      <c r="C714" s="6" t="s">
        <v>12443</v>
      </c>
      <c r="D714" s="727"/>
      <c r="E714" s="729">
        <v>36000.0</v>
      </c>
      <c r="F714" s="727">
        <f t="shared" si="16"/>
        <v>261309</v>
      </c>
      <c r="G714" s="6" t="s">
        <v>3883</v>
      </c>
      <c r="H714" s="6" t="s">
        <v>12196</v>
      </c>
      <c r="J714" s="727"/>
      <c r="K714" s="727"/>
      <c r="L714" s="727"/>
      <c r="M714" s="729">
        <v>36000.0</v>
      </c>
      <c r="N714" s="727"/>
      <c r="O714" s="727"/>
    </row>
    <row r="715">
      <c r="A715" s="740">
        <v>45930.0</v>
      </c>
      <c r="B715" s="741" t="s">
        <v>12382</v>
      </c>
      <c r="C715" s="741" t="s">
        <v>12427</v>
      </c>
      <c r="D715" s="742"/>
      <c r="E715" s="744">
        <v>5000.0</v>
      </c>
      <c r="F715" s="727">
        <f t="shared" si="16"/>
        <v>256309</v>
      </c>
      <c r="G715" s="6" t="s">
        <v>3883</v>
      </c>
      <c r="H715" s="6" t="s">
        <v>12196</v>
      </c>
      <c r="J715" s="744">
        <v>5000.0</v>
      </c>
      <c r="K715" s="727"/>
      <c r="L715" s="727"/>
      <c r="M715" s="727"/>
      <c r="N715" s="727"/>
      <c r="O715" s="727"/>
    </row>
    <row r="716">
      <c r="A716" s="740">
        <v>45930.0</v>
      </c>
      <c r="B716" s="741" t="s">
        <v>12382</v>
      </c>
      <c r="C716" s="741" t="s">
        <v>12427</v>
      </c>
      <c r="D716" s="742"/>
      <c r="E716" s="744">
        <v>5000.0</v>
      </c>
      <c r="F716" s="727">
        <f t="shared" si="16"/>
        <v>251309</v>
      </c>
      <c r="G716" s="6" t="s">
        <v>3883</v>
      </c>
      <c r="H716" s="6" t="s">
        <v>12196</v>
      </c>
      <c r="J716" s="744">
        <v>5000.0</v>
      </c>
      <c r="K716" s="727"/>
      <c r="L716" s="727"/>
      <c r="M716" s="727"/>
      <c r="N716" s="727"/>
      <c r="O716" s="727"/>
    </row>
    <row r="717">
      <c r="A717" s="739" t="s">
        <v>12593</v>
      </c>
      <c r="J717" s="746">
        <f t="shared" ref="J717:O717" si="17">SUM(J718:J783)</f>
        <v>2329800</v>
      </c>
      <c r="K717" s="746">
        <f t="shared" si="17"/>
        <v>614400</v>
      </c>
      <c r="L717" s="746">
        <f t="shared" si="17"/>
        <v>300000</v>
      </c>
      <c r="M717" s="746">
        <f t="shared" si="17"/>
        <v>108000</v>
      </c>
      <c r="N717" s="746">
        <f t="shared" si="17"/>
        <v>250000</v>
      </c>
      <c r="O717" s="746">
        <f t="shared" si="17"/>
        <v>46000</v>
      </c>
    </row>
    <row r="718" hidden="1">
      <c r="A718" s="740">
        <v>45931.0</v>
      </c>
      <c r="B718" s="6" t="s">
        <v>12477</v>
      </c>
      <c r="D718" s="727"/>
      <c r="E718" s="729">
        <v>100000.0</v>
      </c>
      <c r="F718" s="727">
        <f>F716+D718-E718</f>
        <v>151309</v>
      </c>
      <c r="G718" s="6" t="s">
        <v>4262</v>
      </c>
      <c r="H718" s="6" t="s">
        <v>12590</v>
      </c>
      <c r="J718" s="729">
        <v>100000.0</v>
      </c>
      <c r="K718" s="727"/>
      <c r="L718" s="727"/>
      <c r="M718" s="727"/>
      <c r="N718" s="727"/>
      <c r="O718" s="727"/>
    </row>
    <row r="719" hidden="1">
      <c r="A719" s="740">
        <v>45931.0</v>
      </c>
      <c r="B719" s="6" t="s">
        <v>12283</v>
      </c>
      <c r="D719" s="729">
        <v>500000.0</v>
      </c>
      <c r="E719" s="727"/>
      <c r="F719" s="727">
        <f t="shared" ref="F719:F783" si="18">F718+D719-E719</f>
        <v>651309</v>
      </c>
      <c r="G719" s="6" t="s">
        <v>4262</v>
      </c>
      <c r="I719" s="6" t="s">
        <v>12235</v>
      </c>
      <c r="J719" s="727"/>
      <c r="K719" s="727"/>
      <c r="L719" s="727"/>
      <c r="M719" s="727"/>
      <c r="N719" s="727"/>
      <c r="O719" s="727"/>
    </row>
    <row r="720" hidden="1">
      <c r="A720" s="740">
        <v>45932.0</v>
      </c>
      <c r="B720" s="6" t="s">
        <v>12509</v>
      </c>
      <c r="C720" s="6" t="s">
        <v>12594</v>
      </c>
      <c r="D720" s="727"/>
      <c r="E720" s="729">
        <v>15000.0</v>
      </c>
      <c r="F720" s="727">
        <f t="shared" si="18"/>
        <v>636309</v>
      </c>
      <c r="G720" s="6" t="s">
        <v>4262</v>
      </c>
      <c r="H720" s="6" t="s">
        <v>12196</v>
      </c>
      <c r="J720" s="727"/>
      <c r="K720" s="729">
        <v>15000.0</v>
      </c>
      <c r="L720" s="727"/>
      <c r="M720" s="727"/>
      <c r="N720" s="727"/>
      <c r="O720" s="727"/>
    </row>
    <row r="721" hidden="1">
      <c r="A721" s="740">
        <v>45934.0</v>
      </c>
      <c r="B721" s="6" t="s">
        <v>12417</v>
      </c>
      <c r="C721" s="6" t="s">
        <v>12391</v>
      </c>
      <c r="D721" s="727"/>
      <c r="E721" s="729">
        <v>200000.0</v>
      </c>
      <c r="F721" s="727">
        <f t="shared" si="18"/>
        <v>436309</v>
      </c>
      <c r="G721" s="6" t="s">
        <v>4262</v>
      </c>
      <c r="H721" s="6" t="s">
        <v>12126</v>
      </c>
      <c r="J721" s="729">
        <v>200000.0</v>
      </c>
      <c r="K721" s="727"/>
      <c r="L721" s="727"/>
      <c r="M721" s="727"/>
      <c r="N721" s="727"/>
      <c r="O721" s="727"/>
    </row>
    <row r="722" hidden="1">
      <c r="A722" s="740">
        <v>45934.0</v>
      </c>
      <c r="B722" s="741" t="s">
        <v>12382</v>
      </c>
      <c r="C722" s="741" t="s">
        <v>12427</v>
      </c>
      <c r="D722" s="742"/>
      <c r="E722" s="744">
        <v>5000.0</v>
      </c>
      <c r="F722" s="727">
        <f t="shared" si="18"/>
        <v>431309</v>
      </c>
      <c r="G722" s="6" t="s">
        <v>4262</v>
      </c>
      <c r="H722" s="6" t="s">
        <v>12461</v>
      </c>
      <c r="J722" s="744">
        <v>5000.0</v>
      </c>
      <c r="K722" s="727"/>
      <c r="L722" s="727"/>
      <c r="M722" s="727"/>
      <c r="N722" s="727"/>
      <c r="O722" s="727"/>
    </row>
    <row r="723" hidden="1">
      <c r="A723" s="740">
        <v>45936.0</v>
      </c>
      <c r="B723" s="741" t="s">
        <v>12382</v>
      </c>
      <c r="C723" s="741" t="s">
        <v>12427</v>
      </c>
      <c r="D723" s="742"/>
      <c r="E723" s="744">
        <v>5000.0</v>
      </c>
      <c r="F723" s="727">
        <f t="shared" si="18"/>
        <v>426309</v>
      </c>
      <c r="G723" s="6" t="s">
        <v>4262</v>
      </c>
      <c r="H723" s="6" t="s">
        <v>12196</v>
      </c>
      <c r="J723" s="744">
        <v>5000.0</v>
      </c>
      <c r="K723" s="727"/>
      <c r="L723" s="727"/>
      <c r="M723" s="727"/>
      <c r="N723" s="727"/>
      <c r="O723" s="727"/>
    </row>
    <row r="724" hidden="1">
      <c r="A724" s="740">
        <v>45936.0</v>
      </c>
      <c r="B724" s="741" t="s">
        <v>12382</v>
      </c>
      <c r="C724" s="741" t="s">
        <v>12427</v>
      </c>
      <c r="D724" s="742"/>
      <c r="E724" s="744">
        <v>5000.0</v>
      </c>
      <c r="F724" s="727">
        <f t="shared" si="18"/>
        <v>421309</v>
      </c>
      <c r="G724" s="6" t="s">
        <v>4262</v>
      </c>
      <c r="H724" s="6" t="s">
        <v>12196</v>
      </c>
      <c r="J724" s="744">
        <v>5000.0</v>
      </c>
      <c r="K724" s="727"/>
      <c r="L724" s="727"/>
      <c r="M724" s="727"/>
      <c r="N724" s="727"/>
      <c r="O724" s="727"/>
    </row>
    <row r="725" hidden="1">
      <c r="A725" s="740">
        <v>45936.0</v>
      </c>
      <c r="B725" s="741" t="s">
        <v>12382</v>
      </c>
      <c r="C725" s="741" t="s">
        <v>12427</v>
      </c>
      <c r="D725" s="742"/>
      <c r="E725" s="744">
        <v>5000.0</v>
      </c>
      <c r="F725" s="727">
        <f t="shared" si="18"/>
        <v>416309</v>
      </c>
      <c r="G725" s="6" t="s">
        <v>4262</v>
      </c>
      <c r="H725" s="6" t="s">
        <v>12196</v>
      </c>
      <c r="J725" s="744">
        <v>5000.0</v>
      </c>
      <c r="K725" s="727"/>
      <c r="L725" s="727"/>
      <c r="M725" s="727"/>
      <c r="N725" s="727"/>
      <c r="O725" s="727"/>
    </row>
    <row r="726" hidden="1">
      <c r="A726" s="740">
        <v>45936.0</v>
      </c>
      <c r="B726" s="741" t="s">
        <v>12382</v>
      </c>
      <c r="C726" s="741" t="s">
        <v>12427</v>
      </c>
      <c r="D726" s="742"/>
      <c r="E726" s="744">
        <v>5000.0</v>
      </c>
      <c r="F726" s="727">
        <f t="shared" si="18"/>
        <v>411309</v>
      </c>
      <c r="G726" s="6" t="s">
        <v>4262</v>
      </c>
      <c r="H726" s="6" t="s">
        <v>12196</v>
      </c>
      <c r="J726" s="744">
        <v>5000.0</v>
      </c>
      <c r="K726" s="727"/>
      <c r="L726" s="727"/>
      <c r="M726" s="727"/>
      <c r="N726" s="727"/>
      <c r="O726" s="727"/>
    </row>
    <row r="727" hidden="1">
      <c r="A727" s="740">
        <v>45936.0</v>
      </c>
      <c r="B727" s="6" t="s">
        <v>12482</v>
      </c>
      <c r="C727" s="6" t="s">
        <v>12595</v>
      </c>
      <c r="D727" s="727"/>
      <c r="E727" s="729">
        <v>300000.0</v>
      </c>
      <c r="F727" s="727">
        <f t="shared" si="18"/>
        <v>111309</v>
      </c>
      <c r="G727" s="6" t="s">
        <v>4262</v>
      </c>
      <c r="H727" s="6" t="s">
        <v>12196</v>
      </c>
      <c r="J727" s="727"/>
      <c r="K727" s="727"/>
      <c r="L727" s="729">
        <v>300000.0</v>
      </c>
      <c r="M727" s="727"/>
      <c r="N727" s="727"/>
      <c r="O727" s="727"/>
    </row>
    <row r="728" hidden="1">
      <c r="A728" s="740">
        <v>45937.0</v>
      </c>
      <c r="B728" s="6" t="s">
        <v>12493</v>
      </c>
      <c r="C728" s="6" t="s">
        <v>12596</v>
      </c>
      <c r="D728" s="727"/>
      <c r="E728" s="729">
        <v>5000.0</v>
      </c>
      <c r="F728" s="727">
        <f t="shared" si="18"/>
        <v>106309</v>
      </c>
      <c r="G728" s="6" t="s">
        <v>4262</v>
      </c>
      <c r="H728" s="6" t="s">
        <v>12196</v>
      </c>
      <c r="J728" s="727"/>
      <c r="K728" s="727"/>
      <c r="L728" s="727"/>
      <c r="M728" s="727"/>
      <c r="N728" s="727"/>
      <c r="O728" s="729">
        <v>5000.0</v>
      </c>
    </row>
    <row r="729" hidden="1">
      <c r="A729" s="740">
        <v>45938.0</v>
      </c>
      <c r="B729" s="741" t="s">
        <v>12382</v>
      </c>
      <c r="C729" s="741" t="s">
        <v>12427</v>
      </c>
      <c r="D729" s="742"/>
      <c r="E729" s="744">
        <v>5000.0</v>
      </c>
      <c r="F729" s="727">
        <f t="shared" si="18"/>
        <v>101309</v>
      </c>
      <c r="G729" s="6" t="s">
        <v>4262</v>
      </c>
      <c r="H729" s="6" t="s">
        <v>12519</v>
      </c>
      <c r="J729" s="744">
        <v>5000.0</v>
      </c>
      <c r="K729" s="727"/>
      <c r="L729" s="727"/>
      <c r="M729" s="727"/>
      <c r="N729" s="727"/>
      <c r="O729" s="727"/>
    </row>
    <row r="730" hidden="1">
      <c r="A730" s="740">
        <v>45938.0</v>
      </c>
      <c r="B730" s="741" t="s">
        <v>12382</v>
      </c>
      <c r="C730" s="741" t="s">
        <v>12427</v>
      </c>
      <c r="D730" s="742"/>
      <c r="E730" s="744">
        <v>5000.0</v>
      </c>
      <c r="F730" s="727">
        <f t="shared" si="18"/>
        <v>96309</v>
      </c>
      <c r="G730" s="6" t="s">
        <v>4262</v>
      </c>
      <c r="H730" s="6" t="s">
        <v>12519</v>
      </c>
      <c r="J730" s="744">
        <v>5000.0</v>
      </c>
      <c r="K730" s="727"/>
      <c r="L730" s="727"/>
      <c r="M730" s="727"/>
      <c r="N730" s="727"/>
      <c r="O730" s="727"/>
    </row>
    <row r="731" hidden="1">
      <c r="A731" s="740">
        <v>45938.0</v>
      </c>
      <c r="B731" s="6" t="s">
        <v>12597</v>
      </c>
      <c r="C731" s="6" t="s">
        <v>12598</v>
      </c>
      <c r="D731" s="727"/>
      <c r="E731" s="729">
        <v>10000.0</v>
      </c>
      <c r="F731" s="727">
        <f t="shared" si="18"/>
        <v>86309</v>
      </c>
      <c r="G731" s="6" t="s">
        <v>4262</v>
      </c>
      <c r="H731" s="6" t="s">
        <v>12590</v>
      </c>
      <c r="J731" s="727"/>
      <c r="K731" s="729">
        <v>10000.0</v>
      </c>
      <c r="L731" s="727"/>
      <c r="M731" s="727"/>
      <c r="N731" s="727"/>
      <c r="O731" s="727"/>
    </row>
    <row r="732" hidden="1">
      <c r="A732" s="740">
        <v>45938.0</v>
      </c>
      <c r="B732" s="6" t="s">
        <v>12599</v>
      </c>
      <c r="C732" s="6" t="s">
        <v>12358</v>
      </c>
      <c r="D732" s="727"/>
      <c r="E732" s="729">
        <v>15900.0</v>
      </c>
      <c r="F732" s="727">
        <f t="shared" si="18"/>
        <v>70409</v>
      </c>
      <c r="G732" s="6" t="s">
        <v>4262</v>
      </c>
      <c r="H732" s="6" t="s">
        <v>12590</v>
      </c>
      <c r="J732" s="727"/>
      <c r="K732" s="729">
        <v>15900.0</v>
      </c>
      <c r="L732" s="727"/>
      <c r="M732" s="727"/>
      <c r="N732" s="727"/>
      <c r="O732" s="727"/>
    </row>
    <row r="733" hidden="1">
      <c r="A733" s="740">
        <v>45939.0</v>
      </c>
      <c r="B733" s="741" t="s">
        <v>12382</v>
      </c>
      <c r="C733" s="741" t="s">
        <v>12427</v>
      </c>
      <c r="D733" s="742"/>
      <c r="E733" s="744">
        <v>5000.0</v>
      </c>
      <c r="F733" s="727">
        <f t="shared" si="18"/>
        <v>65409</v>
      </c>
      <c r="G733" s="6" t="s">
        <v>3883</v>
      </c>
      <c r="H733" s="6" t="s">
        <v>12461</v>
      </c>
      <c r="J733" s="744">
        <v>5000.0</v>
      </c>
      <c r="K733" s="727"/>
      <c r="L733" s="727"/>
      <c r="M733" s="727"/>
      <c r="N733" s="727"/>
      <c r="O733" s="727"/>
    </row>
    <row r="734" hidden="1">
      <c r="A734" s="740">
        <v>45939.0</v>
      </c>
      <c r="B734" s="6" t="s">
        <v>12283</v>
      </c>
      <c r="D734" s="729">
        <v>500000.0</v>
      </c>
      <c r="E734" s="727"/>
      <c r="F734" s="727">
        <f t="shared" si="18"/>
        <v>565409</v>
      </c>
      <c r="G734" s="6" t="s">
        <v>3883</v>
      </c>
      <c r="I734" s="6" t="s">
        <v>12235</v>
      </c>
      <c r="J734" s="727"/>
      <c r="K734" s="727"/>
      <c r="L734" s="727"/>
      <c r="M734" s="727"/>
      <c r="N734" s="727"/>
      <c r="O734" s="727"/>
    </row>
    <row r="735" hidden="1">
      <c r="A735" s="740">
        <v>45940.0</v>
      </c>
      <c r="B735" s="6" t="s">
        <v>12370</v>
      </c>
      <c r="C735" s="6" t="s">
        <v>12600</v>
      </c>
      <c r="D735" s="727"/>
      <c r="E735" s="729">
        <v>11000.0</v>
      </c>
      <c r="F735" s="727">
        <f t="shared" si="18"/>
        <v>554409</v>
      </c>
      <c r="G735" s="6" t="s">
        <v>3883</v>
      </c>
      <c r="H735" s="6" t="s">
        <v>12590</v>
      </c>
      <c r="J735" s="727"/>
      <c r="K735" s="727"/>
      <c r="L735" s="727"/>
      <c r="M735" s="727"/>
      <c r="N735" s="727"/>
      <c r="O735" s="729">
        <v>11000.0</v>
      </c>
    </row>
    <row r="736" hidden="1">
      <c r="A736" s="740">
        <v>45940.0</v>
      </c>
      <c r="B736" s="6" t="s">
        <v>12601</v>
      </c>
      <c r="C736" s="6" t="s">
        <v>12602</v>
      </c>
      <c r="D736" s="727"/>
      <c r="E736" s="729">
        <v>20000.0</v>
      </c>
      <c r="F736" s="727">
        <f t="shared" si="18"/>
        <v>534409</v>
      </c>
      <c r="G736" s="6" t="s">
        <v>3883</v>
      </c>
      <c r="H736" s="6" t="s">
        <v>12590</v>
      </c>
      <c r="J736" s="727"/>
      <c r="K736" s="727"/>
      <c r="L736" s="727"/>
      <c r="M736" s="727"/>
      <c r="N736" s="727"/>
      <c r="O736" s="729">
        <v>20000.0</v>
      </c>
    </row>
    <row r="737" hidden="1">
      <c r="A737" s="740">
        <v>45940.0</v>
      </c>
      <c r="B737" s="6" t="s">
        <v>12603</v>
      </c>
      <c r="C737" s="6" t="s">
        <v>12491</v>
      </c>
      <c r="D737" s="727"/>
      <c r="E737" s="729">
        <v>10000.0</v>
      </c>
      <c r="F737" s="727">
        <f t="shared" si="18"/>
        <v>524409</v>
      </c>
      <c r="G737" s="6" t="s">
        <v>3883</v>
      </c>
      <c r="H737" s="6" t="s">
        <v>12590</v>
      </c>
      <c r="J737" s="727"/>
      <c r="K737" s="727"/>
      <c r="L737" s="727"/>
      <c r="M737" s="727"/>
      <c r="N737" s="727"/>
      <c r="O737" s="729">
        <v>10000.0</v>
      </c>
    </row>
    <row r="738" hidden="1">
      <c r="A738" s="740">
        <v>45941.0</v>
      </c>
      <c r="B738" s="741" t="s">
        <v>12382</v>
      </c>
      <c r="C738" s="741" t="s">
        <v>12427</v>
      </c>
      <c r="D738" s="742"/>
      <c r="E738" s="744">
        <v>5000.0</v>
      </c>
      <c r="F738" s="727">
        <f t="shared" si="18"/>
        <v>519409</v>
      </c>
      <c r="G738" s="6" t="s">
        <v>3883</v>
      </c>
      <c r="H738" s="6" t="s">
        <v>4717</v>
      </c>
      <c r="J738" s="744">
        <v>5000.0</v>
      </c>
      <c r="K738" s="727"/>
      <c r="L738" s="727"/>
      <c r="M738" s="727"/>
      <c r="N738" s="727"/>
      <c r="O738" s="727"/>
    </row>
    <row r="739" hidden="1">
      <c r="A739" s="740">
        <v>45941.0</v>
      </c>
      <c r="B739" s="6" t="s">
        <v>12184</v>
      </c>
      <c r="C739" s="6" t="s">
        <v>12450</v>
      </c>
      <c r="D739" s="727"/>
      <c r="E739" s="729">
        <v>27000.0</v>
      </c>
      <c r="F739" s="727">
        <f t="shared" si="18"/>
        <v>492409</v>
      </c>
      <c r="G739" s="6" t="s">
        <v>3883</v>
      </c>
      <c r="H739" s="6" t="s">
        <v>12590</v>
      </c>
      <c r="J739" s="727"/>
      <c r="K739" s="727"/>
      <c r="L739" s="727"/>
      <c r="M739" s="729">
        <v>27000.0</v>
      </c>
      <c r="N739" s="727"/>
      <c r="O739" s="727"/>
    </row>
    <row r="740" hidden="1">
      <c r="A740" s="740">
        <v>45941.0</v>
      </c>
      <c r="B740" s="6" t="s">
        <v>12417</v>
      </c>
      <c r="C740" s="6" t="s">
        <v>12391</v>
      </c>
      <c r="D740" s="727"/>
      <c r="E740" s="729">
        <v>300000.0</v>
      </c>
      <c r="F740" s="727">
        <f t="shared" si="18"/>
        <v>192409</v>
      </c>
      <c r="G740" s="6" t="s">
        <v>3883</v>
      </c>
      <c r="H740" s="6" t="s">
        <v>12590</v>
      </c>
      <c r="J740" s="729">
        <v>300000.0</v>
      </c>
      <c r="K740" s="727"/>
      <c r="L740" s="727"/>
      <c r="M740" s="727"/>
      <c r="N740" s="727"/>
      <c r="O740" s="727"/>
    </row>
    <row r="741" hidden="1">
      <c r="A741" s="740">
        <v>45942.0</v>
      </c>
      <c r="B741" s="6" t="s">
        <v>12283</v>
      </c>
      <c r="D741" s="729">
        <v>500000.0</v>
      </c>
      <c r="E741" s="727"/>
      <c r="F741" s="727">
        <f t="shared" si="18"/>
        <v>692409</v>
      </c>
      <c r="G741" s="6" t="s">
        <v>3883</v>
      </c>
      <c r="H741" s="6" t="s">
        <v>12590</v>
      </c>
      <c r="I741" s="6" t="s">
        <v>12235</v>
      </c>
      <c r="J741" s="727"/>
      <c r="K741" s="727"/>
      <c r="L741" s="727"/>
      <c r="M741" s="727"/>
      <c r="N741" s="727"/>
      <c r="O741" s="727"/>
    </row>
    <row r="742" hidden="1">
      <c r="A742" s="740">
        <v>45943.0</v>
      </c>
      <c r="B742" s="6" t="s">
        <v>12477</v>
      </c>
      <c r="D742" s="727"/>
      <c r="E742" s="729">
        <v>100000.0</v>
      </c>
      <c r="F742" s="727">
        <f t="shared" si="18"/>
        <v>592409</v>
      </c>
      <c r="G742" s="6" t="s">
        <v>3883</v>
      </c>
      <c r="J742" s="729">
        <v>100000.0</v>
      </c>
      <c r="K742" s="727"/>
      <c r="L742" s="727"/>
      <c r="M742" s="727"/>
      <c r="N742" s="727"/>
      <c r="O742" s="727"/>
    </row>
    <row r="743" hidden="1">
      <c r="A743" s="740">
        <v>45943.0</v>
      </c>
      <c r="B743" s="741" t="s">
        <v>12382</v>
      </c>
      <c r="C743" s="741" t="s">
        <v>12427</v>
      </c>
      <c r="D743" s="742"/>
      <c r="E743" s="744">
        <v>5000.0</v>
      </c>
      <c r="F743" s="727">
        <f t="shared" si="18"/>
        <v>587409</v>
      </c>
      <c r="G743" s="6" t="s">
        <v>3883</v>
      </c>
      <c r="H743" s="6" t="s">
        <v>12520</v>
      </c>
      <c r="J743" s="744">
        <v>5000.0</v>
      </c>
      <c r="K743" s="727"/>
      <c r="L743" s="727"/>
      <c r="M743" s="727"/>
      <c r="N743" s="727"/>
      <c r="O743" s="727"/>
    </row>
    <row r="744" hidden="1">
      <c r="A744" s="740">
        <v>45943.0</v>
      </c>
      <c r="B744" s="741" t="s">
        <v>12382</v>
      </c>
      <c r="C744" s="474" t="s">
        <v>12604</v>
      </c>
      <c r="D744" s="742"/>
      <c r="E744" s="744">
        <v>5000.0</v>
      </c>
      <c r="F744" s="727">
        <f t="shared" si="18"/>
        <v>582409</v>
      </c>
      <c r="G744" s="6" t="s">
        <v>3883</v>
      </c>
      <c r="H744" s="6" t="s">
        <v>12519</v>
      </c>
      <c r="J744" s="744">
        <v>5000.0</v>
      </c>
      <c r="K744" s="727"/>
      <c r="L744" s="727"/>
      <c r="M744" s="727"/>
      <c r="N744" s="727"/>
      <c r="O744" s="727"/>
    </row>
    <row r="745" hidden="1">
      <c r="A745" s="740">
        <v>45946.0</v>
      </c>
      <c r="B745" s="6" t="s">
        <v>12382</v>
      </c>
      <c r="D745" s="727"/>
      <c r="E745" s="729">
        <v>3000.0</v>
      </c>
      <c r="F745" s="727">
        <f t="shared" si="18"/>
        <v>579409</v>
      </c>
      <c r="G745" s="6" t="s">
        <v>3883</v>
      </c>
      <c r="H745" s="6" t="s">
        <v>12271</v>
      </c>
      <c r="J745" s="729">
        <v>3000.0</v>
      </c>
      <c r="K745" s="727"/>
      <c r="L745" s="727"/>
      <c r="M745" s="727"/>
      <c r="N745" s="727"/>
      <c r="O745" s="727"/>
    </row>
    <row r="746" hidden="1">
      <c r="A746" s="740">
        <v>45946.0</v>
      </c>
      <c r="B746" s="6" t="s">
        <v>12417</v>
      </c>
      <c r="C746" s="6" t="s">
        <v>12391</v>
      </c>
      <c r="D746" s="727"/>
      <c r="E746" s="729">
        <v>200000.0</v>
      </c>
      <c r="F746" s="727">
        <f t="shared" si="18"/>
        <v>379409</v>
      </c>
      <c r="G746" s="6" t="s">
        <v>3883</v>
      </c>
      <c r="H746" s="6" t="s">
        <v>12461</v>
      </c>
      <c r="J746" s="729">
        <v>200000.0</v>
      </c>
      <c r="K746" s="727"/>
      <c r="L746" s="727"/>
      <c r="M746" s="727"/>
      <c r="N746" s="727"/>
      <c r="O746" s="727"/>
    </row>
    <row r="747" hidden="1">
      <c r="A747" s="740">
        <v>45946.0</v>
      </c>
      <c r="B747" s="6" t="s">
        <v>12580</v>
      </c>
      <c r="C747" s="6" t="s">
        <v>12605</v>
      </c>
      <c r="D747" s="727"/>
      <c r="E747" s="729">
        <v>195000.0</v>
      </c>
      <c r="F747" s="727">
        <f t="shared" si="18"/>
        <v>184409</v>
      </c>
      <c r="G747" s="6" t="s">
        <v>3883</v>
      </c>
      <c r="H747" s="6" t="s">
        <v>12461</v>
      </c>
      <c r="J747" s="727"/>
      <c r="K747" s="729">
        <v>195000.0</v>
      </c>
      <c r="L747" s="727"/>
      <c r="M747" s="727"/>
      <c r="N747" s="727"/>
      <c r="O747" s="727"/>
    </row>
    <row r="748" hidden="1">
      <c r="A748" s="740">
        <v>45946.0</v>
      </c>
      <c r="B748" s="6" t="s">
        <v>12382</v>
      </c>
      <c r="C748" s="6" t="s">
        <v>12606</v>
      </c>
      <c r="D748" s="727"/>
      <c r="E748" s="729">
        <v>5000.0</v>
      </c>
      <c r="F748" s="727">
        <f t="shared" si="18"/>
        <v>179409</v>
      </c>
      <c r="G748" s="6" t="s">
        <v>3883</v>
      </c>
      <c r="H748" s="6" t="s">
        <v>12461</v>
      </c>
      <c r="J748" s="729">
        <v>5000.0</v>
      </c>
      <c r="K748" s="727"/>
      <c r="L748" s="727"/>
      <c r="M748" s="727"/>
      <c r="N748" s="727"/>
      <c r="O748" s="727"/>
    </row>
    <row r="749" hidden="1">
      <c r="A749" s="740">
        <v>45947.0</v>
      </c>
      <c r="B749" s="741" t="s">
        <v>12382</v>
      </c>
      <c r="C749" s="741" t="s">
        <v>12427</v>
      </c>
      <c r="D749" s="742"/>
      <c r="E749" s="744">
        <v>5000.0</v>
      </c>
      <c r="F749" s="727">
        <f t="shared" si="18"/>
        <v>174409</v>
      </c>
      <c r="G749" s="6" t="s">
        <v>3883</v>
      </c>
      <c r="H749" s="6" t="s">
        <v>12271</v>
      </c>
      <c r="J749" s="744">
        <v>5000.0</v>
      </c>
      <c r="K749" s="727"/>
      <c r="L749" s="727"/>
      <c r="M749" s="727"/>
      <c r="N749" s="727"/>
      <c r="O749" s="727"/>
    </row>
    <row r="750" hidden="1">
      <c r="A750" s="740">
        <v>45947.0</v>
      </c>
      <c r="B750" s="6" t="s">
        <v>12184</v>
      </c>
      <c r="C750" s="6" t="s">
        <v>12450</v>
      </c>
      <c r="D750" s="727"/>
      <c r="E750" s="729">
        <v>27000.0</v>
      </c>
      <c r="F750" s="727">
        <f t="shared" si="18"/>
        <v>147409</v>
      </c>
      <c r="G750" s="6" t="s">
        <v>3883</v>
      </c>
      <c r="H750" s="6" t="s">
        <v>12271</v>
      </c>
      <c r="J750" s="727"/>
      <c r="K750" s="727"/>
      <c r="L750" s="727"/>
      <c r="M750" s="729">
        <v>27000.0</v>
      </c>
      <c r="N750" s="727"/>
      <c r="O750" s="727"/>
    </row>
    <row r="751" hidden="1">
      <c r="A751" s="740">
        <v>45947.0</v>
      </c>
      <c r="B751" s="741" t="s">
        <v>12382</v>
      </c>
      <c r="C751" s="741" t="s">
        <v>12427</v>
      </c>
      <c r="D751" s="742"/>
      <c r="E751" s="744">
        <v>5000.0</v>
      </c>
      <c r="F751" s="727">
        <f t="shared" si="18"/>
        <v>142409</v>
      </c>
      <c r="G751" s="6" t="s">
        <v>3883</v>
      </c>
      <c r="H751" s="6" t="s">
        <v>12196</v>
      </c>
      <c r="J751" s="744">
        <v>5000.0</v>
      </c>
      <c r="K751" s="727"/>
      <c r="L751" s="727"/>
      <c r="M751" s="727"/>
      <c r="N751" s="727"/>
      <c r="O751" s="727"/>
    </row>
    <row r="752" hidden="1">
      <c r="A752" s="740">
        <v>45947.0</v>
      </c>
      <c r="B752" s="6" t="s">
        <v>12283</v>
      </c>
      <c r="D752" s="729">
        <v>500000.0</v>
      </c>
      <c r="E752" s="729"/>
      <c r="F752" s="727">
        <f t="shared" si="18"/>
        <v>642409</v>
      </c>
      <c r="G752" s="6" t="s">
        <v>3883</v>
      </c>
      <c r="I752" s="6" t="s">
        <v>12235</v>
      </c>
      <c r="J752" s="727"/>
      <c r="K752" s="727"/>
      <c r="L752" s="727"/>
      <c r="M752" s="727"/>
      <c r="N752" s="727"/>
      <c r="O752" s="727"/>
    </row>
    <row r="753" hidden="1">
      <c r="A753" s="740">
        <v>45948.0</v>
      </c>
      <c r="B753" s="6" t="s">
        <v>12417</v>
      </c>
      <c r="C753" s="6" t="s">
        <v>12391</v>
      </c>
      <c r="D753" s="727"/>
      <c r="E753" s="729">
        <v>286800.0</v>
      </c>
      <c r="F753" s="727">
        <f t="shared" si="18"/>
        <v>355609</v>
      </c>
      <c r="G753" s="6" t="s">
        <v>3883</v>
      </c>
      <c r="H753" s="6" t="s">
        <v>12461</v>
      </c>
      <c r="J753" s="729">
        <v>286800.0</v>
      </c>
      <c r="K753" s="727"/>
      <c r="L753" s="727"/>
      <c r="M753" s="727"/>
      <c r="N753" s="727"/>
      <c r="O753" s="727"/>
    </row>
    <row r="754" hidden="1">
      <c r="A754" s="740">
        <v>45950.0</v>
      </c>
      <c r="B754" s="6" t="s">
        <v>12477</v>
      </c>
      <c r="D754" s="727"/>
      <c r="E754" s="729">
        <v>100000.0</v>
      </c>
      <c r="F754" s="727">
        <f t="shared" si="18"/>
        <v>255609</v>
      </c>
      <c r="G754" s="6" t="s">
        <v>3883</v>
      </c>
      <c r="H754" s="6" t="s">
        <v>4717</v>
      </c>
      <c r="J754" s="729">
        <v>100000.0</v>
      </c>
      <c r="K754" s="727"/>
      <c r="L754" s="727"/>
      <c r="M754" s="727"/>
      <c r="N754" s="727"/>
      <c r="O754" s="727"/>
    </row>
    <row r="755" hidden="1">
      <c r="A755" s="740">
        <v>45950.0</v>
      </c>
      <c r="B755" s="6" t="s">
        <v>12397</v>
      </c>
      <c r="C755" s="6" t="s">
        <v>12543</v>
      </c>
      <c r="D755" s="727"/>
      <c r="E755" s="729">
        <v>100000.0</v>
      </c>
      <c r="F755" s="727">
        <f t="shared" si="18"/>
        <v>155609</v>
      </c>
      <c r="G755" s="6" t="s">
        <v>3883</v>
      </c>
      <c r="H755" s="6" t="s">
        <v>12271</v>
      </c>
      <c r="J755" s="727"/>
      <c r="K755" s="729">
        <v>100000.0</v>
      </c>
      <c r="L755" s="727"/>
      <c r="M755" s="727"/>
      <c r="N755" s="727"/>
      <c r="O755" s="727"/>
    </row>
    <row r="756" hidden="1">
      <c r="A756" s="740">
        <v>45950.0</v>
      </c>
      <c r="B756" s="741" t="s">
        <v>12382</v>
      </c>
      <c r="C756" s="474" t="s">
        <v>12607</v>
      </c>
      <c r="D756" s="742"/>
      <c r="E756" s="744">
        <v>5000.0</v>
      </c>
      <c r="F756" s="727">
        <f t="shared" si="18"/>
        <v>150609</v>
      </c>
      <c r="G756" s="6" t="s">
        <v>3883</v>
      </c>
      <c r="H756" s="6" t="s">
        <v>12196</v>
      </c>
      <c r="J756" s="744">
        <v>5000.0</v>
      </c>
      <c r="K756" s="727"/>
      <c r="L756" s="727"/>
      <c r="M756" s="727"/>
      <c r="N756" s="727"/>
      <c r="O756" s="727"/>
    </row>
    <row r="757" hidden="1">
      <c r="A757" s="740">
        <v>45951.0</v>
      </c>
      <c r="B757" s="6" t="s">
        <v>12608</v>
      </c>
      <c r="C757" s="6" t="s">
        <v>12609</v>
      </c>
      <c r="D757" s="727"/>
      <c r="E757" s="729">
        <v>140000.0</v>
      </c>
      <c r="F757" s="727">
        <f t="shared" si="18"/>
        <v>10609</v>
      </c>
      <c r="G757" s="6" t="s">
        <v>3883</v>
      </c>
      <c r="H757" s="6" t="s">
        <v>12461</v>
      </c>
      <c r="J757" s="727"/>
      <c r="K757" s="729">
        <v>140000.0</v>
      </c>
      <c r="L757" s="727"/>
      <c r="M757" s="727"/>
      <c r="N757" s="727"/>
      <c r="O757" s="727"/>
    </row>
    <row r="758" hidden="1">
      <c r="A758" s="740">
        <v>45951.0</v>
      </c>
      <c r="B758" s="6" t="s">
        <v>12283</v>
      </c>
      <c r="D758" s="729">
        <v>500000.0</v>
      </c>
      <c r="E758" s="729"/>
      <c r="F758" s="727">
        <f t="shared" si="18"/>
        <v>510609</v>
      </c>
      <c r="G758" s="6" t="s">
        <v>3883</v>
      </c>
      <c r="I758" s="6" t="s">
        <v>12235</v>
      </c>
      <c r="J758" s="727"/>
      <c r="K758" s="727"/>
      <c r="L758" s="727"/>
      <c r="M758" s="727"/>
      <c r="N758" s="727"/>
      <c r="O758" s="727"/>
    </row>
    <row r="759" hidden="1">
      <c r="A759" s="740">
        <v>45951.0</v>
      </c>
      <c r="B759" s="6" t="s">
        <v>12492</v>
      </c>
      <c r="C759" s="6" t="s">
        <v>12610</v>
      </c>
      <c r="D759" s="727"/>
      <c r="E759" s="729">
        <v>250000.0</v>
      </c>
      <c r="F759" s="727">
        <f t="shared" si="18"/>
        <v>260609</v>
      </c>
      <c r="G759" s="6" t="s">
        <v>3883</v>
      </c>
      <c r="H759" s="6" t="s">
        <v>12461</v>
      </c>
      <c r="J759" s="727"/>
      <c r="K759" s="727"/>
      <c r="L759" s="727"/>
      <c r="M759" s="727"/>
      <c r="N759" s="729">
        <v>250000.0</v>
      </c>
      <c r="O759" s="727"/>
    </row>
    <row r="760" hidden="1">
      <c r="A760" s="740">
        <v>45953.0</v>
      </c>
      <c r="B760" s="741" t="s">
        <v>12382</v>
      </c>
      <c r="C760" s="741" t="s">
        <v>12427</v>
      </c>
      <c r="D760" s="742"/>
      <c r="E760" s="744">
        <v>5000.0</v>
      </c>
      <c r="F760" s="727">
        <f t="shared" si="18"/>
        <v>255609</v>
      </c>
      <c r="G760" s="6" t="s">
        <v>3883</v>
      </c>
      <c r="H760" s="6" t="s">
        <v>12196</v>
      </c>
      <c r="J760" s="744">
        <v>5000.0</v>
      </c>
      <c r="K760" s="727"/>
      <c r="L760" s="727"/>
      <c r="M760" s="727"/>
      <c r="N760" s="727"/>
      <c r="O760" s="727"/>
    </row>
    <row r="761" hidden="1">
      <c r="A761" s="740">
        <v>45953.0</v>
      </c>
      <c r="B761" s="741" t="s">
        <v>12382</v>
      </c>
      <c r="C761" s="741" t="s">
        <v>12427</v>
      </c>
      <c r="D761" s="742"/>
      <c r="E761" s="744">
        <v>5000.0</v>
      </c>
      <c r="F761" s="727">
        <f t="shared" si="18"/>
        <v>250609</v>
      </c>
      <c r="G761" s="6" t="s">
        <v>3883</v>
      </c>
      <c r="H761" s="6" t="s">
        <v>12196</v>
      </c>
      <c r="J761" s="744">
        <v>5000.0</v>
      </c>
      <c r="K761" s="727"/>
      <c r="L761" s="727"/>
      <c r="M761" s="727"/>
      <c r="N761" s="727"/>
      <c r="O761" s="727"/>
    </row>
    <row r="762" hidden="1">
      <c r="A762" s="740">
        <v>45953.0</v>
      </c>
      <c r="B762" s="741" t="s">
        <v>12382</v>
      </c>
      <c r="C762" s="474" t="s">
        <v>12611</v>
      </c>
      <c r="D762" s="742"/>
      <c r="E762" s="744">
        <v>5000.0</v>
      </c>
      <c r="F762" s="727">
        <f t="shared" si="18"/>
        <v>245609</v>
      </c>
      <c r="G762" s="6" t="s">
        <v>3883</v>
      </c>
      <c r="H762" s="6" t="s">
        <v>12196</v>
      </c>
      <c r="J762" s="744">
        <v>5000.0</v>
      </c>
      <c r="K762" s="727"/>
      <c r="L762" s="727"/>
      <c r="M762" s="727"/>
      <c r="N762" s="727"/>
      <c r="O762" s="727"/>
    </row>
    <row r="763" hidden="1">
      <c r="A763" s="740">
        <v>45953.0</v>
      </c>
      <c r="B763" s="741" t="s">
        <v>12382</v>
      </c>
      <c r="C763" s="741" t="s">
        <v>12427</v>
      </c>
      <c r="D763" s="742"/>
      <c r="E763" s="744">
        <v>5000.0</v>
      </c>
      <c r="F763" s="727">
        <f t="shared" si="18"/>
        <v>240609</v>
      </c>
      <c r="G763" s="6" t="s">
        <v>3883</v>
      </c>
      <c r="H763" s="6" t="s">
        <v>12196</v>
      </c>
      <c r="J763" s="744">
        <v>5000.0</v>
      </c>
      <c r="K763" s="727"/>
      <c r="L763" s="727"/>
      <c r="M763" s="727"/>
      <c r="N763" s="727"/>
      <c r="O763" s="727"/>
    </row>
    <row r="764" hidden="1">
      <c r="A764" s="740">
        <v>45953.0</v>
      </c>
      <c r="B764" s="6" t="s">
        <v>12612</v>
      </c>
      <c r="D764" s="727"/>
      <c r="E764" s="729">
        <v>50000.0</v>
      </c>
      <c r="F764" s="727">
        <f t="shared" si="18"/>
        <v>190609</v>
      </c>
      <c r="G764" s="6" t="s">
        <v>3883</v>
      </c>
      <c r="H764" s="6" t="s">
        <v>12487</v>
      </c>
      <c r="J764" s="729">
        <v>50000.0</v>
      </c>
      <c r="K764" s="727"/>
      <c r="L764" s="727"/>
      <c r="M764" s="727"/>
      <c r="N764" s="727"/>
      <c r="O764" s="727"/>
    </row>
    <row r="765" hidden="1">
      <c r="A765" s="740">
        <v>45954.0</v>
      </c>
      <c r="B765" s="6" t="s">
        <v>12184</v>
      </c>
      <c r="C765" s="6" t="s">
        <v>12450</v>
      </c>
      <c r="D765" s="727"/>
      <c r="E765" s="729">
        <v>27000.0</v>
      </c>
      <c r="F765" s="727">
        <f t="shared" si="18"/>
        <v>163609</v>
      </c>
      <c r="G765" s="6" t="s">
        <v>3883</v>
      </c>
      <c r="H765" s="6" t="s">
        <v>12461</v>
      </c>
      <c r="J765" s="727"/>
      <c r="K765" s="727"/>
      <c r="L765" s="727"/>
      <c r="M765" s="729">
        <v>27000.0</v>
      </c>
      <c r="N765" s="727"/>
      <c r="O765" s="727"/>
    </row>
    <row r="766" hidden="1">
      <c r="A766" s="740">
        <v>45954.0</v>
      </c>
      <c r="B766" s="741" t="s">
        <v>12382</v>
      </c>
      <c r="C766" s="741" t="s">
        <v>12427</v>
      </c>
      <c r="D766" s="742"/>
      <c r="E766" s="744">
        <v>5000.0</v>
      </c>
      <c r="F766" s="727">
        <f t="shared" si="18"/>
        <v>158609</v>
      </c>
      <c r="G766" s="6" t="s">
        <v>3883</v>
      </c>
      <c r="H766" s="6" t="s">
        <v>12461</v>
      </c>
      <c r="J766" s="744">
        <v>5000.0</v>
      </c>
      <c r="K766" s="727"/>
      <c r="L766" s="727"/>
      <c r="M766" s="727"/>
      <c r="N766" s="727"/>
      <c r="O766" s="727"/>
    </row>
    <row r="767" hidden="1">
      <c r="A767" s="740">
        <v>45954.0</v>
      </c>
      <c r="B767" s="6" t="s">
        <v>12417</v>
      </c>
      <c r="C767" s="6" t="s">
        <v>12391</v>
      </c>
      <c r="D767" s="727"/>
      <c r="E767" s="729">
        <v>150000.0</v>
      </c>
      <c r="F767" s="727">
        <f t="shared" si="18"/>
        <v>8609</v>
      </c>
      <c r="G767" s="6" t="s">
        <v>3883</v>
      </c>
      <c r="H767" s="6" t="s">
        <v>12196</v>
      </c>
      <c r="J767" s="729">
        <v>150000.0</v>
      </c>
      <c r="K767" s="727"/>
      <c r="L767" s="727"/>
      <c r="M767" s="727"/>
      <c r="N767" s="727"/>
      <c r="O767" s="727"/>
    </row>
    <row r="768" hidden="1">
      <c r="A768" s="740">
        <v>45955.0</v>
      </c>
      <c r="B768" s="6" t="s">
        <v>12283</v>
      </c>
      <c r="D768" s="729">
        <v>500000.0</v>
      </c>
      <c r="E768" s="727"/>
      <c r="F768" s="727">
        <f t="shared" si="18"/>
        <v>508609</v>
      </c>
      <c r="G768" s="6" t="s">
        <v>3883</v>
      </c>
      <c r="I768" s="6" t="s">
        <v>12613</v>
      </c>
      <c r="J768" s="727"/>
      <c r="K768" s="727"/>
      <c r="L768" s="727"/>
      <c r="M768" s="727"/>
      <c r="N768" s="727"/>
      <c r="O768" s="727"/>
    </row>
    <row r="769" hidden="1">
      <c r="A769" s="740">
        <v>45955.0</v>
      </c>
      <c r="B769" s="6" t="s">
        <v>12584</v>
      </c>
      <c r="D769" s="727"/>
      <c r="E769" s="729">
        <v>18500.0</v>
      </c>
      <c r="F769" s="727">
        <f t="shared" si="18"/>
        <v>490109</v>
      </c>
      <c r="G769" s="6" t="s">
        <v>3883</v>
      </c>
      <c r="H769" s="6" t="s">
        <v>12461</v>
      </c>
      <c r="J769" s="727"/>
      <c r="K769" s="729">
        <v>18500.0</v>
      </c>
      <c r="L769" s="727"/>
      <c r="M769" s="727"/>
      <c r="N769" s="727"/>
      <c r="O769" s="727"/>
    </row>
    <row r="770" hidden="1">
      <c r="A770" s="740">
        <v>45957.0</v>
      </c>
      <c r="B770" s="6" t="s">
        <v>12509</v>
      </c>
      <c r="C770" s="6" t="s">
        <v>12594</v>
      </c>
      <c r="D770" s="727"/>
      <c r="E770" s="729">
        <v>20000.0</v>
      </c>
      <c r="F770" s="727">
        <f t="shared" si="18"/>
        <v>470109</v>
      </c>
      <c r="G770" s="6" t="s">
        <v>3883</v>
      </c>
      <c r="H770" s="6" t="s">
        <v>12196</v>
      </c>
      <c r="J770" s="727"/>
      <c r="K770" s="729">
        <v>20000.0</v>
      </c>
      <c r="L770" s="727"/>
      <c r="M770" s="727"/>
      <c r="N770" s="727"/>
      <c r="O770" s="727"/>
    </row>
    <row r="771" hidden="1">
      <c r="A771" s="740">
        <v>45958.0</v>
      </c>
      <c r="B771" s="6" t="s">
        <v>12477</v>
      </c>
      <c r="D771" s="727"/>
      <c r="E771" s="729">
        <v>100000.0</v>
      </c>
      <c r="F771" s="727">
        <f t="shared" si="18"/>
        <v>370109</v>
      </c>
      <c r="G771" s="6" t="s">
        <v>3883</v>
      </c>
      <c r="H771" s="6" t="s">
        <v>12271</v>
      </c>
      <c r="J771" s="729">
        <v>100000.0</v>
      </c>
      <c r="K771" s="727"/>
      <c r="L771" s="727"/>
      <c r="M771" s="727"/>
      <c r="N771" s="727"/>
      <c r="O771" s="727"/>
    </row>
    <row r="772" hidden="1">
      <c r="A772" s="740">
        <v>45958.0</v>
      </c>
      <c r="B772" s="6" t="s">
        <v>12417</v>
      </c>
      <c r="C772" s="6" t="s">
        <v>12391</v>
      </c>
      <c r="D772" s="727"/>
      <c r="E772" s="729">
        <v>200000.0</v>
      </c>
      <c r="F772" s="727">
        <f t="shared" si="18"/>
        <v>170109</v>
      </c>
      <c r="G772" s="6" t="s">
        <v>3883</v>
      </c>
      <c r="H772" s="6" t="s">
        <v>12271</v>
      </c>
      <c r="J772" s="729">
        <v>200000.0</v>
      </c>
      <c r="K772" s="727"/>
      <c r="L772" s="727"/>
      <c r="M772" s="727"/>
      <c r="N772" s="727"/>
      <c r="O772" s="727"/>
    </row>
    <row r="773" hidden="1">
      <c r="A773" s="740">
        <v>45958.0</v>
      </c>
      <c r="B773" s="741" t="s">
        <v>12382</v>
      </c>
      <c r="C773" s="474" t="s">
        <v>12614</v>
      </c>
      <c r="D773" s="742"/>
      <c r="E773" s="744">
        <v>5000.0</v>
      </c>
      <c r="F773" s="727">
        <f t="shared" si="18"/>
        <v>165109</v>
      </c>
      <c r="G773" s="6" t="s">
        <v>3883</v>
      </c>
      <c r="H773" s="6" t="s">
        <v>12271</v>
      </c>
      <c r="J773" s="744">
        <v>5000.0</v>
      </c>
      <c r="K773" s="727"/>
      <c r="L773" s="727"/>
      <c r="M773" s="727"/>
      <c r="N773" s="727"/>
      <c r="O773" s="727"/>
    </row>
    <row r="774" hidden="1">
      <c r="A774" s="740">
        <v>45959.0</v>
      </c>
      <c r="B774" s="741" t="s">
        <v>12382</v>
      </c>
      <c r="C774" s="741" t="s">
        <v>12427</v>
      </c>
      <c r="D774" s="742"/>
      <c r="E774" s="744">
        <v>5000.0</v>
      </c>
      <c r="F774" s="727">
        <f t="shared" si="18"/>
        <v>160109</v>
      </c>
      <c r="G774" s="6" t="s">
        <v>3883</v>
      </c>
      <c r="H774" s="6" t="s">
        <v>12196</v>
      </c>
      <c r="J774" s="744">
        <v>5000.0</v>
      </c>
      <c r="K774" s="727"/>
      <c r="L774" s="727"/>
      <c r="M774" s="727"/>
      <c r="N774" s="727"/>
      <c r="O774" s="727"/>
    </row>
    <row r="775" hidden="1">
      <c r="A775" s="740">
        <v>45960.0</v>
      </c>
      <c r="B775" s="6" t="s">
        <v>12184</v>
      </c>
      <c r="C775" s="6" t="s">
        <v>12450</v>
      </c>
      <c r="D775" s="727"/>
      <c r="E775" s="729">
        <v>27000.0</v>
      </c>
      <c r="F775" s="727">
        <f t="shared" si="18"/>
        <v>133109</v>
      </c>
      <c r="G775" s="6" t="s">
        <v>3883</v>
      </c>
      <c r="H775" s="6" t="s">
        <v>12461</v>
      </c>
      <c r="J775" s="729"/>
      <c r="K775" s="727"/>
      <c r="L775" s="727"/>
      <c r="M775" s="729">
        <v>27000.0</v>
      </c>
      <c r="N775" s="727"/>
      <c r="O775" s="727"/>
    </row>
    <row r="776" hidden="1">
      <c r="A776" s="740">
        <v>45960.0</v>
      </c>
      <c r="B776" s="6" t="s">
        <v>12417</v>
      </c>
      <c r="C776" s="6" t="s">
        <v>12391</v>
      </c>
      <c r="D776" s="727"/>
      <c r="E776" s="729">
        <v>120000.0</v>
      </c>
      <c r="F776" s="727">
        <f t="shared" si="18"/>
        <v>13109</v>
      </c>
      <c r="G776" s="6" t="s">
        <v>3883</v>
      </c>
      <c r="H776" s="6" t="s">
        <v>12271</v>
      </c>
      <c r="J776" s="729">
        <v>120000.0</v>
      </c>
      <c r="K776" s="727"/>
      <c r="L776" s="727"/>
      <c r="M776" s="727"/>
      <c r="N776" s="727"/>
      <c r="O776" s="727"/>
    </row>
    <row r="777" hidden="1">
      <c r="A777" s="740">
        <v>45960.0</v>
      </c>
      <c r="B777" s="6" t="s">
        <v>12283</v>
      </c>
      <c r="D777" s="729">
        <v>500000.0</v>
      </c>
      <c r="E777" s="727"/>
      <c r="F777" s="727">
        <f t="shared" si="18"/>
        <v>513109</v>
      </c>
      <c r="G777" s="6" t="s">
        <v>3883</v>
      </c>
      <c r="I777" s="6" t="s">
        <v>12235</v>
      </c>
      <c r="J777" s="727"/>
      <c r="K777" s="727"/>
      <c r="L777" s="727"/>
      <c r="M777" s="727"/>
      <c r="N777" s="727"/>
      <c r="O777" s="727"/>
    </row>
    <row r="778" hidden="1">
      <c r="A778" s="740">
        <v>45960.0</v>
      </c>
      <c r="B778" s="741" t="s">
        <v>12382</v>
      </c>
      <c r="C778" s="474" t="s">
        <v>12615</v>
      </c>
      <c r="D778" s="727"/>
      <c r="E778" s="729">
        <v>5000.0</v>
      </c>
      <c r="F778" s="727">
        <f t="shared" si="18"/>
        <v>508109</v>
      </c>
      <c r="G778" s="6" t="s">
        <v>3883</v>
      </c>
      <c r="H778" s="6" t="s">
        <v>12196</v>
      </c>
      <c r="J778" s="729">
        <v>5000.0</v>
      </c>
      <c r="K778" s="727"/>
      <c r="L778" s="727"/>
      <c r="M778" s="727"/>
      <c r="N778" s="727"/>
      <c r="O778" s="727"/>
    </row>
    <row r="779" hidden="1">
      <c r="A779" s="740">
        <v>45961.0</v>
      </c>
      <c r="B779" s="6" t="s">
        <v>12397</v>
      </c>
      <c r="C779" s="6" t="s">
        <v>12616</v>
      </c>
      <c r="D779" s="727"/>
      <c r="E779" s="729">
        <v>100000.0</v>
      </c>
      <c r="F779" s="727">
        <f t="shared" si="18"/>
        <v>408109</v>
      </c>
      <c r="G779" s="6" t="s">
        <v>3883</v>
      </c>
      <c r="H779" s="6" t="s">
        <v>12271</v>
      </c>
      <c r="J779" s="727"/>
      <c r="K779" s="729">
        <v>100000.0</v>
      </c>
      <c r="L779" s="727"/>
      <c r="M779" s="727"/>
      <c r="N779" s="727"/>
      <c r="O779" s="727"/>
    </row>
    <row r="780" hidden="1">
      <c r="A780" s="740">
        <v>45961.0</v>
      </c>
      <c r="B780" s="6" t="s">
        <v>12477</v>
      </c>
      <c r="D780" s="727"/>
      <c r="E780" s="729">
        <v>100000.0</v>
      </c>
      <c r="F780" s="727">
        <f t="shared" si="18"/>
        <v>308109</v>
      </c>
      <c r="G780" s="6" t="s">
        <v>3883</v>
      </c>
      <c r="H780" s="6" t="s">
        <v>12271</v>
      </c>
      <c r="J780" s="729">
        <v>100000.0</v>
      </c>
      <c r="K780" s="727"/>
      <c r="L780" s="727"/>
      <c r="M780" s="727"/>
      <c r="N780" s="727"/>
      <c r="O780" s="727"/>
    </row>
    <row r="781" hidden="1">
      <c r="A781" s="740">
        <v>45961.0</v>
      </c>
      <c r="B781" s="6" t="s">
        <v>12417</v>
      </c>
      <c r="C781" s="6" t="s">
        <v>12391</v>
      </c>
      <c r="D781" s="727"/>
      <c r="E781" s="729">
        <v>200000.0</v>
      </c>
      <c r="F781" s="727">
        <f t="shared" si="18"/>
        <v>108109</v>
      </c>
      <c r="G781" s="6" t="s">
        <v>4262</v>
      </c>
      <c r="H781" s="6" t="s">
        <v>12271</v>
      </c>
      <c r="J781" s="729">
        <v>200000.0</v>
      </c>
      <c r="K781" s="727"/>
      <c r="L781" s="727"/>
      <c r="M781" s="727"/>
      <c r="N781" s="727"/>
      <c r="O781" s="727"/>
    </row>
    <row r="782" hidden="1">
      <c r="A782" s="740">
        <v>45961.0</v>
      </c>
      <c r="B782" s="6" t="s">
        <v>12283</v>
      </c>
      <c r="D782" s="729">
        <v>500000.0</v>
      </c>
      <c r="E782" s="727"/>
      <c r="F782" s="727">
        <f t="shared" si="18"/>
        <v>608109</v>
      </c>
      <c r="G782" s="6" t="s">
        <v>3883</v>
      </c>
      <c r="I782" s="6" t="s">
        <v>12235</v>
      </c>
      <c r="J782" s="727"/>
      <c r="K782" s="727"/>
      <c r="L782" s="727"/>
      <c r="M782" s="727"/>
      <c r="N782" s="727"/>
      <c r="O782" s="727"/>
    </row>
    <row r="783" hidden="1">
      <c r="A783" s="740">
        <v>45961.0</v>
      </c>
      <c r="B783" s="741" t="s">
        <v>12382</v>
      </c>
      <c r="C783" s="741" t="s">
        <v>12427</v>
      </c>
      <c r="D783" s="727"/>
      <c r="E783" s="729">
        <v>5000.0</v>
      </c>
      <c r="F783" s="727">
        <f t="shared" si="18"/>
        <v>603109</v>
      </c>
      <c r="G783" s="6" t="s">
        <v>3883</v>
      </c>
      <c r="H783" s="6" t="s">
        <v>12271</v>
      </c>
      <c r="J783" s="729">
        <v>5000.0</v>
      </c>
      <c r="K783" s="727"/>
      <c r="L783" s="727"/>
      <c r="M783" s="727"/>
      <c r="N783" s="727"/>
      <c r="O783" s="727"/>
    </row>
    <row r="784">
      <c r="A784" s="739" t="s">
        <v>12617</v>
      </c>
      <c r="J784" s="729"/>
      <c r="K784" s="727"/>
      <c r="L784" s="727"/>
      <c r="M784" s="727"/>
      <c r="N784" s="727"/>
      <c r="O784" s="727"/>
    </row>
    <row r="785">
      <c r="A785" s="740">
        <v>45962.0</v>
      </c>
      <c r="B785" s="474" t="s">
        <v>12618</v>
      </c>
      <c r="C785" s="474" t="s">
        <v>12619</v>
      </c>
      <c r="D785" s="727"/>
      <c r="E785" s="729">
        <v>5000.0</v>
      </c>
      <c r="F785" s="727">
        <f>F783+D785-E785</f>
        <v>598109</v>
      </c>
      <c r="G785" s="6" t="s">
        <v>3883</v>
      </c>
      <c r="H785" s="6" t="s">
        <v>12620</v>
      </c>
      <c r="J785" s="729">
        <v>5000.0</v>
      </c>
      <c r="K785" s="727"/>
      <c r="L785" s="727"/>
      <c r="M785" s="727"/>
      <c r="N785" s="727"/>
      <c r="O785" s="727"/>
    </row>
    <row r="786">
      <c r="A786" s="740">
        <v>45965.0</v>
      </c>
      <c r="B786" s="6" t="s">
        <v>12184</v>
      </c>
      <c r="C786" s="6" t="s">
        <v>12621</v>
      </c>
      <c r="D786" s="727"/>
      <c r="E786" s="729">
        <v>18000.0</v>
      </c>
      <c r="F786" s="727">
        <f t="shared" ref="F786:F1312" si="19">F785+D786-E786</f>
        <v>580109</v>
      </c>
      <c r="G786" s="6" t="s">
        <v>3883</v>
      </c>
      <c r="H786" s="6" t="s">
        <v>12519</v>
      </c>
      <c r="J786" s="727"/>
      <c r="K786" s="727"/>
      <c r="L786" s="727"/>
      <c r="M786" s="729">
        <v>18000.0</v>
      </c>
      <c r="N786" s="727"/>
      <c r="O786" s="727"/>
    </row>
    <row r="787">
      <c r="A787" s="740">
        <v>45965.0</v>
      </c>
      <c r="B787" s="6" t="s">
        <v>12179</v>
      </c>
      <c r="C787" s="6" t="s">
        <v>12622</v>
      </c>
      <c r="D787" s="727"/>
      <c r="E787" s="729">
        <v>122000.0</v>
      </c>
      <c r="F787" s="727">
        <f t="shared" si="19"/>
        <v>458109</v>
      </c>
      <c r="G787" s="6" t="s">
        <v>3883</v>
      </c>
      <c r="H787" s="6" t="s">
        <v>12623</v>
      </c>
      <c r="J787" s="729">
        <v>122000.0</v>
      </c>
      <c r="K787" s="727"/>
      <c r="L787" s="727"/>
      <c r="M787" s="727"/>
      <c r="N787" s="727"/>
      <c r="O787" s="727"/>
    </row>
    <row r="788">
      <c r="A788" s="740">
        <v>45967.0</v>
      </c>
      <c r="B788" s="6" t="s">
        <v>12509</v>
      </c>
      <c r="C788" s="6" t="s">
        <v>12624</v>
      </c>
      <c r="D788" s="727"/>
      <c r="E788" s="729">
        <v>70000.0</v>
      </c>
      <c r="F788" s="727">
        <f t="shared" si="19"/>
        <v>388109</v>
      </c>
      <c r="G788" s="6" t="s">
        <v>3883</v>
      </c>
      <c r="H788" s="6" t="s">
        <v>12520</v>
      </c>
      <c r="J788" s="727"/>
      <c r="K788" s="729">
        <v>70000.0</v>
      </c>
      <c r="L788" s="727"/>
      <c r="M788" s="727"/>
      <c r="N788" s="727"/>
      <c r="O788" s="727"/>
    </row>
    <row r="789">
      <c r="A789" s="740">
        <v>45968.0</v>
      </c>
      <c r="B789" s="6" t="s">
        <v>12540</v>
      </c>
      <c r="D789" s="727"/>
      <c r="E789" s="729">
        <v>358795.0</v>
      </c>
      <c r="F789" s="727">
        <f t="shared" si="19"/>
        <v>29314</v>
      </c>
      <c r="G789" s="6" t="s">
        <v>3883</v>
      </c>
      <c r="H789" s="6" t="s">
        <v>12540</v>
      </c>
      <c r="J789" s="729">
        <v>358795.0</v>
      </c>
      <c r="K789" s="727"/>
      <c r="L789" s="727"/>
      <c r="M789" s="727"/>
      <c r="N789" s="727"/>
      <c r="O789" s="727"/>
    </row>
    <row r="790">
      <c r="A790" s="740">
        <v>45968.0</v>
      </c>
      <c r="B790" s="6" t="s">
        <v>12283</v>
      </c>
      <c r="D790" s="729">
        <v>1000000.0</v>
      </c>
      <c r="E790" s="727"/>
      <c r="F790" s="727">
        <f t="shared" si="19"/>
        <v>1029314</v>
      </c>
      <c r="G790" s="6" t="s">
        <v>3883</v>
      </c>
      <c r="H790" s="6" t="s">
        <v>4262</v>
      </c>
      <c r="J790" s="727"/>
      <c r="K790" s="727"/>
      <c r="L790" s="727"/>
      <c r="M790" s="727"/>
      <c r="N790" s="727"/>
      <c r="O790" s="727"/>
    </row>
    <row r="791">
      <c r="A791" s="740">
        <v>45968.0</v>
      </c>
      <c r="B791" s="6" t="s">
        <v>12477</v>
      </c>
      <c r="D791" s="727"/>
      <c r="E791" s="729">
        <v>100000.0</v>
      </c>
      <c r="F791" s="727">
        <f t="shared" si="19"/>
        <v>929314</v>
      </c>
      <c r="G791" s="6" t="s">
        <v>3883</v>
      </c>
      <c r="H791" s="6" t="s">
        <v>12590</v>
      </c>
      <c r="J791" s="729">
        <v>100000.0</v>
      </c>
      <c r="K791" s="727"/>
      <c r="L791" s="727"/>
      <c r="M791" s="727"/>
      <c r="N791" s="727"/>
      <c r="O791" s="727"/>
    </row>
    <row r="792">
      <c r="A792" s="740">
        <v>45968.0</v>
      </c>
      <c r="B792" s="6" t="s">
        <v>12417</v>
      </c>
      <c r="C792" s="6" t="s">
        <v>12391</v>
      </c>
      <c r="D792" s="727"/>
      <c r="E792" s="729">
        <v>300000.0</v>
      </c>
      <c r="F792" s="727">
        <f t="shared" si="19"/>
        <v>629314</v>
      </c>
      <c r="G792" s="6" t="s">
        <v>3883</v>
      </c>
      <c r="H792" s="6" t="s">
        <v>12590</v>
      </c>
      <c r="J792" s="729">
        <v>300000.0</v>
      </c>
      <c r="K792" s="727"/>
      <c r="L792" s="727"/>
      <c r="M792" s="727"/>
      <c r="N792" s="727"/>
      <c r="O792" s="727"/>
    </row>
    <row r="793">
      <c r="A793" s="740">
        <v>45968.0</v>
      </c>
      <c r="B793" s="6" t="s">
        <v>12179</v>
      </c>
      <c r="C793" s="6" t="s">
        <v>12625</v>
      </c>
      <c r="D793" s="727"/>
      <c r="E793" s="729">
        <v>155000.0</v>
      </c>
      <c r="F793" s="727">
        <f t="shared" si="19"/>
        <v>474314</v>
      </c>
      <c r="G793" s="6" t="s">
        <v>3883</v>
      </c>
      <c r="H793" s="6" t="s">
        <v>12623</v>
      </c>
      <c r="J793" s="729">
        <v>155000.0</v>
      </c>
      <c r="K793" s="727"/>
      <c r="L793" s="727"/>
      <c r="M793" s="727"/>
      <c r="N793" s="727"/>
      <c r="O793" s="727"/>
    </row>
    <row r="794">
      <c r="A794" s="740">
        <v>45969.0</v>
      </c>
      <c r="B794" s="6" t="s">
        <v>12397</v>
      </c>
      <c r="C794" s="6" t="s">
        <v>12398</v>
      </c>
      <c r="D794" s="727"/>
      <c r="E794" s="729">
        <v>90000.0</v>
      </c>
      <c r="F794" s="727">
        <f t="shared" si="19"/>
        <v>384314</v>
      </c>
      <c r="G794" s="6" t="s">
        <v>3883</v>
      </c>
      <c r="H794" s="6" t="s">
        <v>12590</v>
      </c>
      <c r="J794" s="727"/>
      <c r="K794" s="729">
        <v>90000.0</v>
      </c>
      <c r="L794" s="727"/>
      <c r="M794" s="727"/>
      <c r="N794" s="727"/>
      <c r="O794" s="727"/>
    </row>
    <row r="795">
      <c r="A795" s="740">
        <v>45969.0</v>
      </c>
      <c r="B795" s="6" t="s">
        <v>12626</v>
      </c>
      <c r="D795" s="727"/>
      <c r="E795" s="729">
        <v>36000.0</v>
      </c>
      <c r="F795" s="727">
        <f t="shared" si="19"/>
        <v>348314</v>
      </c>
      <c r="G795" s="6" t="s">
        <v>3883</v>
      </c>
      <c r="H795" s="6" t="s">
        <v>12626</v>
      </c>
      <c r="J795" s="729">
        <v>36000.0</v>
      </c>
      <c r="K795" s="727"/>
      <c r="L795" s="727"/>
      <c r="M795" s="727"/>
      <c r="N795" s="727"/>
      <c r="O795" s="727"/>
    </row>
    <row r="796">
      <c r="A796" s="740">
        <v>45969.0</v>
      </c>
      <c r="B796" s="6" t="s">
        <v>12184</v>
      </c>
      <c r="C796" s="6" t="s">
        <v>12443</v>
      </c>
      <c r="D796" s="727"/>
      <c r="E796" s="729">
        <v>36000.0</v>
      </c>
      <c r="F796" s="727">
        <f t="shared" si="19"/>
        <v>312314</v>
      </c>
      <c r="G796" s="6" t="s">
        <v>3883</v>
      </c>
      <c r="H796" s="6" t="s">
        <v>12461</v>
      </c>
      <c r="J796" s="727"/>
      <c r="K796" s="727"/>
      <c r="L796" s="727"/>
      <c r="M796" s="727"/>
      <c r="N796" s="727"/>
      <c r="O796" s="727"/>
    </row>
    <row r="797">
      <c r="A797" s="740">
        <v>45971.0</v>
      </c>
      <c r="B797" s="6" t="s">
        <v>12627</v>
      </c>
      <c r="C797" s="6" t="s">
        <v>12628</v>
      </c>
      <c r="D797" s="727"/>
      <c r="E797" s="729">
        <v>300000.0</v>
      </c>
      <c r="F797" s="727">
        <f t="shared" si="19"/>
        <v>12314</v>
      </c>
      <c r="G797" s="6" t="s">
        <v>3883</v>
      </c>
      <c r="J797" s="727"/>
      <c r="K797" s="727"/>
      <c r="L797" s="727"/>
      <c r="M797" s="727"/>
      <c r="N797" s="727"/>
      <c r="O797" s="727"/>
    </row>
    <row r="798">
      <c r="A798" s="740">
        <v>45971.0</v>
      </c>
      <c r="B798" s="6" t="s">
        <v>12283</v>
      </c>
      <c r="D798" s="729">
        <v>500000.0</v>
      </c>
      <c r="E798" s="727"/>
      <c r="F798" s="727">
        <f t="shared" si="19"/>
        <v>512314</v>
      </c>
      <c r="G798" s="6" t="s">
        <v>3883</v>
      </c>
      <c r="J798" s="727"/>
      <c r="K798" s="727"/>
      <c r="L798" s="727"/>
      <c r="M798" s="727"/>
      <c r="N798" s="727"/>
      <c r="O798" s="727"/>
    </row>
    <row r="799">
      <c r="A799" s="740">
        <v>45971.0</v>
      </c>
      <c r="B799" s="6" t="s">
        <v>12629</v>
      </c>
      <c r="C799" s="6" t="s">
        <v>12630</v>
      </c>
      <c r="D799" s="727"/>
      <c r="E799" s="729">
        <v>130000.0</v>
      </c>
      <c r="F799" s="727">
        <f t="shared" si="19"/>
        <v>382314</v>
      </c>
      <c r="G799" s="6" t="s">
        <v>3883</v>
      </c>
      <c r="H799" s="6" t="s">
        <v>12196</v>
      </c>
      <c r="J799" s="727"/>
      <c r="K799" s="727"/>
      <c r="L799" s="727"/>
      <c r="M799" s="727"/>
      <c r="N799" s="727"/>
      <c r="O799" s="727"/>
    </row>
    <row r="800">
      <c r="A800" s="740">
        <v>45971.0</v>
      </c>
      <c r="B800" s="6" t="s">
        <v>12631</v>
      </c>
      <c r="C800" s="6" t="s">
        <v>12632</v>
      </c>
      <c r="D800" s="729"/>
      <c r="E800" s="729">
        <v>139900.0</v>
      </c>
      <c r="F800" s="727">
        <f t="shared" si="19"/>
        <v>242414</v>
      </c>
      <c r="G800" s="6" t="s">
        <v>3883</v>
      </c>
      <c r="H800" s="6" t="s">
        <v>12196</v>
      </c>
      <c r="J800" s="727"/>
      <c r="K800" s="727"/>
      <c r="L800" s="727"/>
      <c r="M800" s="727"/>
      <c r="N800" s="727"/>
      <c r="O800" s="727"/>
    </row>
    <row r="801">
      <c r="A801" s="740">
        <v>45971.0</v>
      </c>
      <c r="B801" s="6" t="s">
        <v>12382</v>
      </c>
      <c r="C801" s="6" t="s">
        <v>12633</v>
      </c>
      <c r="D801" s="727"/>
      <c r="E801" s="729">
        <v>5000.0</v>
      </c>
      <c r="F801" s="727">
        <f t="shared" si="19"/>
        <v>237414</v>
      </c>
      <c r="G801" s="6" t="s">
        <v>3883</v>
      </c>
      <c r="H801" s="6" t="s">
        <v>12196</v>
      </c>
      <c r="J801" s="727"/>
      <c r="K801" s="727"/>
      <c r="L801" s="727"/>
      <c r="M801" s="727"/>
      <c r="N801" s="727"/>
      <c r="O801" s="727"/>
    </row>
    <row r="802">
      <c r="A802" s="740">
        <v>45971.0</v>
      </c>
      <c r="B802" s="6" t="s">
        <v>12382</v>
      </c>
      <c r="C802" s="6" t="s">
        <v>12634</v>
      </c>
      <c r="D802" s="727"/>
      <c r="E802" s="729">
        <v>5000.0</v>
      </c>
      <c r="F802" s="727">
        <f t="shared" si="19"/>
        <v>232414</v>
      </c>
      <c r="G802" s="6" t="s">
        <v>3883</v>
      </c>
      <c r="H802" s="6" t="s">
        <v>12196</v>
      </c>
      <c r="J802" s="727"/>
      <c r="K802" s="727"/>
      <c r="L802" s="727"/>
      <c r="M802" s="727"/>
      <c r="N802" s="727"/>
      <c r="O802" s="727"/>
    </row>
    <row r="803">
      <c r="A803" s="740">
        <v>45971.0</v>
      </c>
      <c r="B803" s="6" t="s">
        <v>12635</v>
      </c>
      <c r="C803" s="6" t="s">
        <v>12358</v>
      </c>
      <c r="D803" s="727"/>
      <c r="E803" s="729">
        <v>25000.0</v>
      </c>
      <c r="F803" s="727">
        <f t="shared" si="19"/>
        <v>207414</v>
      </c>
      <c r="G803" s="6" t="s">
        <v>3883</v>
      </c>
      <c r="H803" s="6" t="s">
        <v>12461</v>
      </c>
      <c r="J803" s="727"/>
      <c r="K803" s="727"/>
      <c r="L803" s="727"/>
      <c r="M803" s="727"/>
      <c r="N803" s="727"/>
      <c r="O803" s="727"/>
    </row>
    <row r="804">
      <c r="A804" s="740">
        <v>45971.0</v>
      </c>
      <c r="B804" s="6" t="s">
        <v>12636</v>
      </c>
      <c r="C804" s="6" t="s">
        <v>12637</v>
      </c>
      <c r="D804" s="727"/>
      <c r="E804" s="729">
        <v>70000.0</v>
      </c>
      <c r="F804" s="727">
        <f t="shared" si="19"/>
        <v>137414</v>
      </c>
      <c r="G804" s="6" t="s">
        <v>3883</v>
      </c>
      <c r="H804" s="6" t="s">
        <v>12638</v>
      </c>
      <c r="J804" s="727"/>
      <c r="K804" s="727"/>
      <c r="L804" s="727"/>
      <c r="M804" s="727"/>
      <c r="N804" s="727"/>
      <c r="O804" s="727"/>
    </row>
    <row r="805">
      <c r="A805" s="740">
        <v>45972.0</v>
      </c>
      <c r="B805" s="6" t="s">
        <v>12283</v>
      </c>
      <c r="D805" s="729">
        <v>500000.0</v>
      </c>
      <c r="E805" s="727"/>
      <c r="F805" s="727">
        <f t="shared" si="19"/>
        <v>637414</v>
      </c>
      <c r="G805" s="6" t="s">
        <v>3883</v>
      </c>
      <c r="J805" s="727"/>
      <c r="K805" s="727"/>
      <c r="L805" s="727"/>
      <c r="M805" s="727"/>
      <c r="N805" s="727"/>
      <c r="O805" s="727"/>
    </row>
    <row r="806">
      <c r="A806" s="740">
        <v>45972.0</v>
      </c>
      <c r="B806" s="6" t="s">
        <v>12540</v>
      </c>
      <c r="C806" s="6" t="s">
        <v>9841</v>
      </c>
      <c r="D806" s="727"/>
      <c r="E806" s="729">
        <v>157661.0</v>
      </c>
      <c r="F806" s="727">
        <f t="shared" si="19"/>
        <v>479753</v>
      </c>
      <c r="G806" s="6" t="s">
        <v>3883</v>
      </c>
      <c r="J806" s="727"/>
      <c r="K806" s="727"/>
      <c r="L806" s="727"/>
      <c r="M806" s="727"/>
      <c r="N806" s="727"/>
      <c r="O806" s="727"/>
    </row>
    <row r="807">
      <c r="A807" s="740">
        <v>45973.0</v>
      </c>
      <c r="B807" s="6" t="s">
        <v>12639</v>
      </c>
      <c r="C807" s="6" t="s">
        <v>12640</v>
      </c>
      <c r="D807" s="727"/>
      <c r="E807" s="729">
        <v>16500.0</v>
      </c>
      <c r="F807" s="727">
        <f t="shared" si="19"/>
        <v>463253</v>
      </c>
      <c r="G807" s="6" t="s">
        <v>3883</v>
      </c>
      <c r="H807" s="6" t="s">
        <v>12638</v>
      </c>
      <c r="J807" s="727"/>
      <c r="K807" s="727"/>
      <c r="L807" s="727"/>
      <c r="M807" s="727"/>
      <c r="N807" s="727"/>
      <c r="O807" s="727"/>
    </row>
    <row r="808">
      <c r="A808" s="740">
        <v>45973.0</v>
      </c>
      <c r="B808" s="6" t="s">
        <v>12639</v>
      </c>
      <c r="C808" s="6" t="s">
        <v>12641</v>
      </c>
      <c r="D808" s="727"/>
      <c r="E808" s="729">
        <v>9500.0</v>
      </c>
      <c r="F808" s="727">
        <f t="shared" si="19"/>
        <v>453753</v>
      </c>
      <c r="G808" s="6" t="s">
        <v>3883</v>
      </c>
      <c r="H808" s="6" t="s">
        <v>12638</v>
      </c>
      <c r="J808" s="727"/>
      <c r="K808" s="727"/>
      <c r="L808" s="727"/>
      <c r="M808" s="727"/>
      <c r="N808" s="727"/>
      <c r="O808" s="727"/>
    </row>
    <row r="809">
      <c r="A809" s="740">
        <v>45973.0</v>
      </c>
      <c r="B809" s="6" t="s">
        <v>12639</v>
      </c>
      <c r="C809" s="6" t="s">
        <v>12642</v>
      </c>
      <c r="D809" s="727"/>
      <c r="E809" s="729">
        <v>13500.0</v>
      </c>
      <c r="F809" s="727">
        <f t="shared" si="19"/>
        <v>440253</v>
      </c>
      <c r="G809" s="6" t="s">
        <v>3883</v>
      </c>
      <c r="H809" s="6" t="s">
        <v>12638</v>
      </c>
      <c r="J809" s="727"/>
      <c r="K809" s="727"/>
      <c r="L809" s="727"/>
      <c r="M809" s="727"/>
      <c r="N809" s="727"/>
      <c r="O809" s="727"/>
    </row>
    <row r="810">
      <c r="A810" s="740">
        <v>45973.0</v>
      </c>
      <c r="B810" s="6" t="s">
        <v>12639</v>
      </c>
      <c r="C810" s="6" t="s">
        <v>12643</v>
      </c>
      <c r="D810" s="727"/>
      <c r="E810" s="729">
        <v>3500.0</v>
      </c>
      <c r="F810" s="727">
        <f t="shared" si="19"/>
        <v>436753</v>
      </c>
      <c r="G810" s="6" t="s">
        <v>3883</v>
      </c>
      <c r="H810" s="6" t="s">
        <v>12638</v>
      </c>
      <c r="J810" s="727"/>
      <c r="K810" s="727"/>
      <c r="L810" s="727"/>
      <c r="M810" s="727"/>
      <c r="N810" s="727"/>
      <c r="O810" s="727"/>
    </row>
    <row r="811">
      <c r="A811" s="740">
        <v>45974.0</v>
      </c>
      <c r="B811" s="6" t="s">
        <v>12417</v>
      </c>
      <c r="C811" s="6" t="s">
        <v>12391</v>
      </c>
      <c r="D811" s="727"/>
      <c r="E811" s="729">
        <v>200000.0</v>
      </c>
      <c r="F811" s="727">
        <f t="shared" si="19"/>
        <v>236753</v>
      </c>
      <c r="G811" s="6" t="s">
        <v>3883</v>
      </c>
      <c r="H811" s="6" t="s">
        <v>12271</v>
      </c>
      <c r="J811" s="727"/>
      <c r="K811" s="727"/>
      <c r="L811" s="727"/>
      <c r="M811" s="727"/>
      <c r="N811" s="727"/>
      <c r="O811" s="727"/>
    </row>
    <row r="812">
      <c r="A812" s="740">
        <v>45974.0</v>
      </c>
      <c r="B812" s="6" t="s">
        <v>12644</v>
      </c>
      <c r="D812" s="727"/>
      <c r="E812" s="729">
        <v>15000.0</v>
      </c>
      <c r="F812" s="727">
        <f t="shared" si="19"/>
        <v>221753</v>
      </c>
      <c r="G812" s="6" t="s">
        <v>3883</v>
      </c>
      <c r="H812" s="6" t="s">
        <v>12196</v>
      </c>
      <c r="J812" s="727"/>
      <c r="K812" s="727"/>
      <c r="L812" s="727"/>
      <c r="M812" s="727"/>
      <c r="N812" s="727"/>
      <c r="O812" s="727"/>
    </row>
    <row r="813">
      <c r="A813" s="740">
        <v>45974.0</v>
      </c>
      <c r="B813" s="6" t="s">
        <v>12283</v>
      </c>
      <c r="D813" s="729">
        <v>500000.0</v>
      </c>
      <c r="E813" s="727"/>
      <c r="F813" s="727">
        <f t="shared" si="19"/>
        <v>721753</v>
      </c>
      <c r="G813" s="6" t="s">
        <v>3883</v>
      </c>
      <c r="J813" s="727"/>
      <c r="K813" s="727"/>
      <c r="L813" s="727"/>
      <c r="M813" s="727"/>
      <c r="N813" s="727"/>
      <c r="O813" s="727"/>
    </row>
    <row r="814">
      <c r="A814" s="740">
        <v>45974.0</v>
      </c>
      <c r="B814" s="6" t="s">
        <v>12645</v>
      </c>
      <c r="C814" s="6" t="s">
        <v>12646</v>
      </c>
      <c r="D814" s="727"/>
      <c r="E814" s="729">
        <v>300000.0</v>
      </c>
      <c r="F814" s="727">
        <f t="shared" si="19"/>
        <v>421753</v>
      </c>
      <c r="G814" s="6" t="s">
        <v>3883</v>
      </c>
      <c r="H814" s="6" t="s">
        <v>12647</v>
      </c>
      <c r="J814" s="727"/>
      <c r="K814" s="727"/>
      <c r="L814" s="727"/>
      <c r="M814" s="727"/>
      <c r="N814" s="727"/>
      <c r="O814" s="727"/>
    </row>
    <row r="815">
      <c r="A815" s="740">
        <v>45975.0</v>
      </c>
      <c r="B815" s="6" t="s">
        <v>12179</v>
      </c>
      <c r="C815" s="6" t="s">
        <v>12648</v>
      </c>
      <c r="D815" s="727"/>
      <c r="E815" s="729">
        <v>111000.0</v>
      </c>
      <c r="F815" s="727">
        <f t="shared" si="19"/>
        <v>310753</v>
      </c>
      <c r="G815" s="6" t="s">
        <v>3883</v>
      </c>
      <c r="J815" s="727"/>
      <c r="K815" s="727"/>
      <c r="L815" s="727"/>
      <c r="M815" s="727"/>
      <c r="N815" s="727"/>
      <c r="O815" s="727"/>
    </row>
    <row r="816">
      <c r="A816" s="740">
        <v>45975.0</v>
      </c>
      <c r="B816" s="6" t="s">
        <v>12649</v>
      </c>
      <c r="C816" s="6" t="s">
        <v>12650</v>
      </c>
      <c r="D816" s="727"/>
      <c r="E816" s="729">
        <v>79000.0</v>
      </c>
      <c r="F816" s="727">
        <f t="shared" si="19"/>
        <v>231753</v>
      </c>
      <c r="G816" s="6" t="s">
        <v>3883</v>
      </c>
      <c r="H816" s="6" t="s">
        <v>12638</v>
      </c>
      <c r="J816" s="727"/>
      <c r="K816" s="727"/>
      <c r="L816" s="727"/>
      <c r="M816" s="727"/>
      <c r="N816" s="727"/>
      <c r="O816" s="727"/>
    </row>
    <row r="817">
      <c r="A817" s="740">
        <v>45975.0</v>
      </c>
      <c r="B817" s="6" t="s">
        <v>12649</v>
      </c>
      <c r="C817" s="6" t="s">
        <v>12651</v>
      </c>
      <c r="D817" s="727"/>
      <c r="E817" s="729">
        <v>2500.0</v>
      </c>
      <c r="F817" s="727">
        <f t="shared" si="19"/>
        <v>229253</v>
      </c>
      <c r="G817" s="6" t="s">
        <v>3883</v>
      </c>
      <c r="H817" s="6" t="s">
        <v>12638</v>
      </c>
      <c r="J817" s="727"/>
      <c r="K817" s="727"/>
      <c r="L817" s="727"/>
      <c r="M817" s="727"/>
      <c r="N817" s="727"/>
      <c r="O817" s="727"/>
    </row>
    <row r="818">
      <c r="A818" s="740">
        <v>45975.0</v>
      </c>
      <c r="B818" s="6" t="s">
        <v>12649</v>
      </c>
      <c r="C818" s="6" t="s">
        <v>12652</v>
      </c>
      <c r="D818" s="727"/>
      <c r="E818" s="729">
        <v>9000.0</v>
      </c>
      <c r="F818" s="727">
        <f t="shared" si="19"/>
        <v>220253</v>
      </c>
      <c r="G818" s="6" t="s">
        <v>3883</v>
      </c>
      <c r="H818" s="6" t="s">
        <v>12638</v>
      </c>
      <c r="J818" s="727"/>
      <c r="K818" s="727"/>
      <c r="L818" s="727"/>
      <c r="M818" s="727"/>
      <c r="N818" s="727"/>
      <c r="O818" s="727"/>
    </row>
    <row r="819">
      <c r="A819" s="740">
        <v>45975.0</v>
      </c>
      <c r="B819" s="6" t="s">
        <v>12649</v>
      </c>
      <c r="C819" s="6" t="s">
        <v>12653</v>
      </c>
      <c r="D819" s="727"/>
      <c r="E819" s="729">
        <v>39000.0</v>
      </c>
      <c r="F819" s="727">
        <f t="shared" si="19"/>
        <v>181253</v>
      </c>
      <c r="G819" s="6" t="s">
        <v>3883</v>
      </c>
      <c r="H819" s="6" t="s">
        <v>12638</v>
      </c>
      <c r="J819" s="727"/>
      <c r="K819" s="727"/>
      <c r="L819" s="727"/>
      <c r="M819" s="727"/>
      <c r="N819" s="727"/>
      <c r="O819" s="727"/>
    </row>
    <row r="820">
      <c r="A820" s="740">
        <v>45975.0</v>
      </c>
      <c r="C820" s="6" t="s">
        <v>12654</v>
      </c>
      <c r="D820" s="727"/>
      <c r="E820" s="729">
        <v>20000.0</v>
      </c>
      <c r="F820" s="727">
        <f t="shared" si="19"/>
        <v>161253</v>
      </c>
      <c r="G820" s="6" t="s">
        <v>3883</v>
      </c>
      <c r="H820" s="6" t="s">
        <v>12196</v>
      </c>
      <c r="J820" s="727"/>
      <c r="K820" s="727"/>
      <c r="L820" s="727"/>
      <c r="M820" s="727"/>
      <c r="N820" s="727"/>
      <c r="O820" s="727"/>
    </row>
    <row r="821">
      <c r="A821" s="740">
        <v>45976.0</v>
      </c>
      <c r="B821" s="6" t="s">
        <v>12655</v>
      </c>
      <c r="C821" s="6" t="s">
        <v>12656</v>
      </c>
      <c r="D821" s="727"/>
      <c r="E821" s="729">
        <v>20000.0</v>
      </c>
      <c r="F821" s="727">
        <f t="shared" si="19"/>
        <v>141253</v>
      </c>
      <c r="G821" s="6" t="s">
        <v>3883</v>
      </c>
      <c r="H821" s="6" t="s">
        <v>12638</v>
      </c>
      <c r="J821" s="727"/>
      <c r="K821" s="727"/>
      <c r="L821" s="727"/>
      <c r="M821" s="727"/>
      <c r="N821" s="727"/>
      <c r="O821" s="727"/>
    </row>
    <row r="822">
      <c r="A822" s="740">
        <v>45976.0</v>
      </c>
      <c r="B822" s="6" t="s">
        <v>12649</v>
      </c>
      <c r="C822" s="6" t="s">
        <v>12657</v>
      </c>
      <c r="D822" s="727"/>
      <c r="E822" s="729">
        <v>69000.0</v>
      </c>
      <c r="F822" s="727">
        <f t="shared" si="19"/>
        <v>72253</v>
      </c>
      <c r="G822" s="6" t="s">
        <v>3883</v>
      </c>
      <c r="H822" s="6" t="s">
        <v>12638</v>
      </c>
      <c r="J822" s="727"/>
      <c r="K822" s="727"/>
      <c r="L822" s="727"/>
      <c r="M822" s="727"/>
      <c r="N822" s="727"/>
      <c r="O822" s="727"/>
    </row>
    <row r="823">
      <c r="A823" s="740">
        <v>45976.0</v>
      </c>
      <c r="B823" s="6" t="s">
        <v>12658</v>
      </c>
      <c r="C823" s="6" t="s">
        <v>12659</v>
      </c>
      <c r="D823" s="727"/>
      <c r="E823" s="729">
        <v>50000.0</v>
      </c>
      <c r="F823" s="727">
        <f t="shared" si="19"/>
        <v>22253</v>
      </c>
      <c r="G823" s="6" t="s">
        <v>3883</v>
      </c>
      <c r="H823" s="6" t="s">
        <v>12271</v>
      </c>
      <c r="J823" s="727"/>
      <c r="K823" s="727"/>
      <c r="L823" s="727"/>
      <c r="M823" s="727"/>
      <c r="N823" s="727"/>
      <c r="O823" s="727"/>
    </row>
    <row r="824">
      <c r="A824" s="740">
        <v>45976.0</v>
      </c>
      <c r="B824" s="6" t="s">
        <v>12187</v>
      </c>
      <c r="D824" s="727"/>
      <c r="E824" s="729">
        <v>5000.0</v>
      </c>
      <c r="F824" s="727">
        <f t="shared" si="19"/>
        <v>17253</v>
      </c>
      <c r="G824" s="6" t="s">
        <v>3883</v>
      </c>
      <c r="H824" s="6" t="s">
        <v>12271</v>
      </c>
      <c r="J824" s="727"/>
      <c r="K824" s="727"/>
      <c r="L824" s="727"/>
      <c r="M824" s="727"/>
      <c r="N824" s="727"/>
      <c r="O824" s="727"/>
    </row>
    <row r="825">
      <c r="A825" s="740">
        <v>45976.0</v>
      </c>
      <c r="B825" s="6" t="s">
        <v>12493</v>
      </c>
      <c r="D825" s="727"/>
      <c r="E825" s="729">
        <v>5000.0</v>
      </c>
      <c r="F825" s="727">
        <f t="shared" si="19"/>
        <v>12253</v>
      </c>
      <c r="G825" s="6" t="s">
        <v>3883</v>
      </c>
      <c r="H825" s="6" t="s">
        <v>12271</v>
      </c>
      <c r="J825" s="727"/>
      <c r="K825" s="727"/>
      <c r="L825" s="727"/>
      <c r="M825" s="727"/>
      <c r="N825" s="727"/>
      <c r="O825" s="727"/>
    </row>
    <row r="826">
      <c r="A826" s="740">
        <v>45976.0</v>
      </c>
      <c r="B826" s="6" t="s">
        <v>12283</v>
      </c>
      <c r="D826" s="729">
        <v>500000.0</v>
      </c>
      <c r="E826" s="727"/>
      <c r="F826" s="727">
        <f t="shared" si="19"/>
        <v>512253</v>
      </c>
      <c r="G826" s="6" t="s">
        <v>3883</v>
      </c>
      <c r="J826" s="727"/>
      <c r="K826" s="727"/>
      <c r="L826" s="727"/>
      <c r="M826" s="727"/>
      <c r="N826" s="727"/>
      <c r="O826" s="727"/>
    </row>
    <row r="827">
      <c r="A827" s="740">
        <v>45976.0</v>
      </c>
      <c r="B827" s="6" t="s">
        <v>12417</v>
      </c>
      <c r="C827" s="6" t="s">
        <v>12391</v>
      </c>
      <c r="D827" s="727"/>
      <c r="E827" s="729">
        <v>300000.0</v>
      </c>
      <c r="F827" s="727">
        <f t="shared" si="19"/>
        <v>212253</v>
      </c>
      <c r="G827" s="6" t="s">
        <v>3883</v>
      </c>
      <c r="J827" s="727"/>
      <c r="K827" s="727"/>
      <c r="L827" s="727"/>
      <c r="M827" s="727"/>
      <c r="N827" s="727"/>
      <c r="O827" s="727"/>
    </row>
    <row r="828">
      <c r="A828" s="740">
        <v>45978.0</v>
      </c>
      <c r="B828" s="6" t="s">
        <v>12660</v>
      </c>
      <c r="C828" s="6" t="s">
        <v>12661</v>
      </c>
      <c r="D828" s="727"/>
      <c r="E828" s="729">
        <v>90000.0</v>
      </c>
      <c r="F828" s="727">
        <f t="shared" si="19"/>
        <v>122253</v>
      </c>
      <c r="G828" s="6" t="s">
        <v>3883</v>
      </c>
      <c r="H828" s="6" t="s">
        <v>12638</v>
      </c>
      <c r="J828" s="727"/>
      <c r="K828" s="727"/>
      <c r="L828" s="727"/>
      <c r="M828" s="727"/>
      <c r="N828" s="727"/>
      <c r="O828" s="727"/>
    </row>
    <row r="829">
      <c r="A829" s="740">
        <v>45978.0</v>
      </c>
      <c r="B829" s="6" t="s">
        <v>12662</v>
      </c>
      <c r="C829" s="6" t="s">
        <v>12663</v>
      </c>
      <c r="D829" s="727"/>
      <c r="E829" s="729">
        <v>12000.0</v>
      </c>
      <c r="F829" s="727">
        <f t="shared" si="19"/>
        <v>110253</v>
      </c>
      <c r="G829" s="6" t="s">
        <v>3883</v>
      </c>
      <c r="H829" s="6" t="s">
        <v>12638</v>
      </c>
      <c r="J829" s="727"/>
      <c r="K829" s="727"/>
      <c r="L829" s="727"/>
      <c r="M829" s="727"/>
      <c r="N829" s="727"/>
      <c r="O829" s="727"/>
    </row>
    <row r="830">
      <c r="A830" s="740">
        <v>45978.0</v>
      </c>
      <c r="B830" s="6" t="s">
        <v>12662</v>
      </c>
      <c r="C830" s="6" t="s">
        <v>12664</v>
      </c>
      <c r="D830" s="727"/>
      <c r="E830" s="729">
        <v>5000.0</v>
      </c>
      <c r="F830" s="727">
        <f t="shared" si="19"/>
        <v>105253</v>
      </c>
      <c r="G830" s="6" t="s">
        <v>3883</v>
      </c>
      <c r="H830" s="6" t="s">
        <v>12638</v>
      </c>
      <c r="J830" s="727"/>
      <c r="K830" s="727"/>
      <c r="L830" s="727"/>
      <c r="M830" s="727"/>
      <c r="N830" s="727"/>
      <c r="O830" s="727"/>
    </row>
    <row r="831">
      <c r="A831" s="740">
        <v>45978.0</v>
      </c>
      <c r="B831" s="6" t="s">
        <v>12662</v>
      </c>
      <c r="C831" s="6" t="s">
        <v>12665</v>
      </c>
      <c r="D831" s="727"/>
      <c r="E831" s="729">
        <v>3000.0</v>
      </c>
      <c r="F831" s="727">
        <f t="shared" si="19"/>
        <v>102253</v>
      </c>
      <c r="G831" s="6" t="s">
        <v>3883</v>
      </c>
      <c r="H831" s="6" t="s">
        <v>12638</v>
      </c>
      <c r="J831" s="727"/>
      <c r="K831" s="727"/>
      <c r="L831" s="727"/>
      <c r="M831" s="727"/>
      <c r="N831" s="727"/>
      <c r="O831" s="727"/>
    </row>
    <row r="832">
      <c r="A832" s="740">
        <v>45978.0</v>
      </c>
      <c r="B832" s="6" t="s">
        <v>12283</v>
      </c>
      <c r="D832" s="729">
        <v>500000.0</v>
      </c>
      <c r="E832" s="727"/>
      <c r="F832" s="727">
        <f t="shared" si="19"/>
        <v>602253</v>
      </c>
      <c r="G832" s="6" t="s">
        <v>3883</v>
      </c>
      <c r="J832" s="727"/>
      <c r="K832" s="727"/>
      <c r="L832" s="727"/>
      <c r="M832" s="727"/>
      <c r="N832" s="727"/>
      <c r="O832" s="727"/>
    </row>
    <row r="833">
      <c r="A833" s="740">
        <v>45979.0</v>
      </c>
      <c r="B833" s="6" t="s">
        <v>12623</v>
      </c>
      <c r="C833" s="6" t="s">
        <v>12666</v>
      </c>
      <c r="D833" s="727"/>
      <c r="E833" s="729">
        <v>100000.0</v>
      </c>
      <c r="F833" s="727">
        <f t="shared" si="19"/>
        <v>502253</v>
      </c>
      <c r="G833" s="6" t="s">
        <v>3883</v>
      </c>
      <c r="J833" s="727"/>
      <c r="K833" s="727"/>
      <c r="L833" s="727"/>
      <c r="M833" s="727"/>
      <c r="N833" s="727"/>
      <c r="O833" s="727"/>
    </row>
    <row r="834">
      <c r="A834" s="740">
        <v>45979.0</v>
      </c>
      <c r="B834" s="6" t="s">
        <v>12417</v>
      </c>
      <c r="C834" s="6" t="s">
        <v>12391</v>
      </c>
      <c r="D834" s="727"/>
      <c r="E834" s="729">
        <v>300000.0</v>
      </c>
      <c r="F834" s="727">
        <f t="shared" si="19"/>
        <v>202253</v>
      </c>
      <c r="G834" s="6" t="s">
        <v>3883</v>
      </c>
      <c r="H834" s="6" t="s">
        <v>12196</v>
      </c>
      <c r="J834" s="727"/>
      <c r="K834" s="727"/>
      <c r="L834" s="727"/>
      <c r="M834" s="727"/>
      <c r="N834" s="727"/>
      <c r="O834" s="727"/>
    </row>
    <row r="835">
      <c r="A835" s="740">
        <v>45980.0</v>
      </c>
      <c r="B835" s="6" t="s">
        <v>12623</v>
      </c>
      <c r="C835" s="6" t="s">
        <v>12667</v>
      </c>
      <c r="D835" s="727"/>
      <c r="E835" s="729">
        <v>14000.0</v>
      </c>
      <c r="F835" s="727">
        <f t="shared" si="19"/>
        <v>188253</v>
      </c>
      <c r="G835" s="6" t="s">
        <v>3883</v>
      </c>
      <c r="H835" s="6" t="s">
        <v>3883</v>
      </c>
      <c r="J835" s="727"/>
      <c r="K835" s="727"/>
      <c r="L835" s="727"/>
      <c r="M835" s="727"/>
      <c r="N835" s="727"/>
      <c r="O835" s="727"/>
    </row>
    <row r="836">
      <c r="A836" s="740">
        <v>45980.0</v>
      </c>
      <c r="B836" s="6" t="s">
        <v>12668</v>
      </c>
      <c r="D836" s="727"/>
      <c r="E836" s="729">
        <v>35000.0</v>
      </c>
      <c r="F836" s="727">
        <f t="shared" si="19"/>
        <v>153253</v>
      </c>
      <c r="G836" s="6" t="s">
        <v>3883</v>
      </c>
      <c r="H836" s="6" t="s">
        <v>12638</v>
      </c>
      <c r="J836" s="727"/>
      <c r="K836" s="727"/>
      <c r="L836" s="727"/>
      <c r="M836" s="727"/>
      <c r="N836" s="727"/>
      <c r="O836" s="727"/>
    </row>
    <row r="837">
      <c r="A837" s="740">
        <v>45980.0</v>
      </c>
      <c r="B837" s="6" t="s">
        <v>12184</v>
      </c>
      <c r="C837" s="6" t="s">
        <v>12450</v>
      </c>
      <c r="D837" s="727"/>
      <c r="E837" s="729">
        <v>27000.0</v>
      </c>
      <c r="F837" s="727">
        <f t="shared" si="19"/>
        <v>126253</v>
      </c>
      <c r="G837" s="6" t="s">
        <v>3883</v>
      </c>
      <c r="H837" s="6" t="s">
        <v>12461</v>
      </c>
      <c r="J837" s="727"/>
      <c r="K837" s="727"/>
      <c r="L837" s="727"/>
      <c r="M837" s="727"/>
      <c r="N837" s="727"/>
      <c r="O837" s="727"/>
    </row>
    <row r="838">
      <c r="A838" s="740">
        <v>45982.0</v>
      </c>
      <c r="B838" s="6" t="s">
        <v>12509</v>
      </c>
      <c r="C838" s="6" t="s">
        <v>12624</v>
      </c>
      <c r="D838" s="727"/>
      <c r="E838" s="729">
        <v>65000.0</v>
      </c>
      <c r="F838" s="727">
        <f t="shared" si="19"/>
        <v>61253</v>
      </c>
      <c r="G838" s="6" t="s">
        <v>3883</v>
      </c>
      <c r="H838" s="6" t="s">
        <v>12461</v>
      </c>
      <c r="J838" s="727"/>
      <c r="K838" s="727"/>
      <c r="L838" s="727"/>
      <c r="M838" s="727"/>
      <c r="N838" s="727"/>
      <c r="O838" s="727"/>
    </row>
    <row r="839">
      <c r="A839" s="740">
        <v>45983.0</v>
      </c>
      <c r="B839" s="6" t="s">
        <v>12669</v>
      </c>
      <c r="C839" s="6" t="s">
        <v>12670</v>
      </c>
      <c r="D839" s="727"/>
      <c r="E839" s="729">
        <v>18000.0</v>
      </c>
      <c r="F839" s="727">
        <f t="shared" si="19"/>
        <v>43253</v>
      </c>
      <c r="G839" s="6" t="s">
        <v>3883</v>
      </c>
      <c r="H839" s="6" t="s">
        <v>12461</v>
      </c>
      <c r="J839" s="727"/>
      <c r="K839" s="727"/>
      <c r="L839" s="727"/>
      <c r="M839" s="727"/>
      <c r="N839" s="727"/>
      <c r="O839" s="727"/>
    </row>
    <row r="840">
      <c r="A840" s="740">
        <v>45983.0</v>
      </c>
      <c r="B840" s="6" t="s">
        <v>12669</v>
      </c>
      <c r="C840" s="6" t="s">
        <v>12671</v>
      </c>
      <c r="D840" s="727"/>
      <c r="E840" s="729">
        <v>36000.0</v>
      </c>
      <c r="F840" s="727">
        <f t="shared" si="19"/>
        <v>7253</v>
      </c>
      <c r="G840" s="6" t="s">
        <v>3883</v>
      </c>
      <c r="H840" s="6" t="s">
        <v>12461</v>
      </c>
      <c r="J840" s="727"/>
      <c r="K840" s="727"/>
      <c r="L840" s="727"/>
      <c r="M840" s="727"/>
      <c r="N840" s="727"/>
      <c r="O840" s="727"/>
    </row>
    <row r="841">
      <c r="A841" s="740">
        <v>45983.0</v>
      </c>
      <c r="B841" s="741" t="s">
        <v>12382</v>
      </c>
      <c r="C841" s="741" t="s">
        <v>12427</v>
      </c>
      <c r="D841" s="742"/>
      <c r="E841" s="744">
        <v>5000.0</v>
      </c>
      <c r="F841" s="727">
        <f t="shared" si="19"/>
        <v>2253</v>
      </c>
      <c r="G841" s="6" t="s">
        <v>3883</v>
      </c>
      <c r="H841" s="6" t="s">
        <v>12196</v>
      </c>
      <c r="J841" s="727"/>
      <c r="K841" s="727"/>
      <c r="L841" s="727"/>
      <c r="M841" s="727"/>
      <c r="N841" s="727"/>
      <c r="O841" s="727"/>
    </row>
    <row r="842">
      <c r="A842" s="740">
        <v>45983.0</v>
      </c>
      <c r="B842" s="6" t="s">
        <v>12283</v>
      </c>
      <c r="D842" s="729">
        <v>130000.0</v>
      </c>
      <c r="E842" s="727"/>
      <c r="F842" s="727">
        <f t="shared" si="19"/>
        <v>132253</v>
      </c>
      <c r="G842" s="6" t="s">
        <v>3883</v>
      </c>
      <c r="J842" s="727"/>
      <c r="K842" s="727"/>
      <c r="L842" s="727"/>
      <c r="M842" s="727"/>
      <c r="N842" s="727"/>
      <c r="O842" s="727"/>
    </row>
    <row r="843">
      <c r="A843" s="740">
        <v>45984.0</v>
      </c>
      <c r="B843" s="6" t="s">
        <v>12672</v>
      </c>
      <c r="C843" s="6" t="s">
        <v>12673</v>
      </c>
      <c r="D843" s="727"/>
      <c r="E843" s="729">
        <v>24000.0</v>
      </c>
      <c r="F843" s="727">
        <f t="shared" si="19"/>
        <v>108253</v>
      </c>
      <c r="G843" s="6" t="s">
        <v>3883</v>
      </c>
      <c r="H843" s="6" t="s">
        <v>3883</v>
      </c>
      <c r="J843" s="727"/>
      <c r="K843" s="727"/>
      <c r="L843" s="727"/>
      <c r="M843" s="727"/>
      <c r="N843" s="727"/>
      <c r="O843" s="727"/>
    </row>
    <row r="844">
      <c r="A844" s="740">
        <v>45984.0</v>
      </c>
      <c r="B844" s="6" t="s">
        <v>12283</v>
      </c>
      <c r="D844" s="729">
        <v>500000.0</v>
      </c>
      <c r="E844" s="729"/>
      <c r="F844" s="727">
        <f t="shared" si="19"/>
        <v>608253</v>
      </c>
      <c r="G844" s="6" t="s">
        <v>3883</v>
      </c>
      <c r="J844" s="727"/>
      <c r="K844" s="727"/>
      <c r="L844" s="727"/>
      <c r="M844" s="727"/>
      <c r="N844" s="727"/>
      <c r="O844" s="727"/>
    </row>
    <row r="845">
      <c r="A845" s="740">
        <v>45984.0</v>
      </c>
      <c r="B845" s="6" t="s">
        <v>12477</v>
      </c>
      <c r="D845" s="727"/>
      <c r="E845" s="729">
        <v>100000.0</v>
      </c>
      <c r="F845" s="727">
        <f t="shared" si="19"/>
        <v>508253</v>
      </c>
      <c r="G845" s="6" t="s">
        <v>3883</v>
      </c>
      <c r="H845" s="6" t="s">
        <v>7878</v>
      </c>
      <c r="J845" s="727"/>
      <c r="K845" s="727"/>
      <c r="L845" s="727"/>
      <c r="M845" s="727"/>
      <c r="N845" s="727"/>
      <c r="O845" s="727"/>
    </row>
    <row r="846">
      <c r="A846" s="740">
        <v>45984.0</v>
      </c>
      <c r="B846" s="6" t="s">
        <v>12674</v>
      </c>
      <c r="C846" s="6" t="s">
        <v>12675</v>
      </c>
      <c r="D846" s="727"/>
      <c r="E846" s="729">
        <v>180000.0</v>
      </c>
      <c r="F846" s="727">
        <f t="shared" si="19"/>
        <v>328253</v>
      </c>
      <c r="G846" s="6" t="s">
        <v>3883</v>
      </c>
      <c r="H846" s="6" t="s">
        <v>12461</v>
      </c>
      <c r="J846" s="727"/>
      <c r="K846" s="727"/>
      <c r="L846" s="727"/>
      <c r="M846" s="727"/>
      <c r="N846" s="727"/>
      <c r="O846" s="727"/>
    </row>
    <row r="847">
      <c r="A847" s="740">
        <v>45986.0</v>
      </c>
      <c r="B847" s="6" t="s">
        <v>12676</v>
      </c>
      <c r="C847" s="6" t="s">
        <v>12677</v>
      </c>
      <c r="D847" s="727"/>
      <c r="E847" s="729">
        <v>100000.0</v>
      </c>
      <c r="F847" s="727">
        <f t="shared" si="19"/>
        <v>228253</v>
      </c>
      <c r="G847" s="6" t="s">
        <v>3883</v>
      </c>
      <c r="H847" s="6" t="s">
        <v>12461</v>
      </c>
      <c r="J847" s="727"/>
      <c r="K847" s="727"/>
      <c r="L847" s="727"/>
      <c r="M847" s="727"/>
      <c r="N847" s="727"/>
      <c r="O847" s="727"/>
    </row>
    <row r="848">
      <c r="A848" s="740">
        <v>45986.0</v>
      </c>
      <c r="B848" s="741" t="s">
        <v>12382</v>
      </c>
      <c r="C848" s="741" t="s">
        <v>12427</v>
      </c>
      <c r="D848" s="742"/>
      <c r="E848" s="744">
        <v>5000.0</v>
      </c>
      <c r="F848" s="727">
        <f t="shared" si="19"/>
        <v>223253</v>
      </c>
      <c r="G848" s="6" t="s">
        <v>3883</v>
      </c>
      <c r="H848" s="6" t="s">
        <v>12196</v>
      </c>
      <c r="J848" s="727"/>
      <c r="K848" s="727"/>
      <c r="L848" s="727"/>
      <c r="M848" s="727"/>
      <c r="N848" s="727"/>
      <c r="O848" s="727"/>
    </row>
    <row r="849">
      <c r="A849" s="740">
        <v>45986.0</v>
      </c>
      <c r="B849" s="741" t="s">
        <v>12382</v>
      </c>
      <c r="C849" s="741" t="s">
        <v>12427</v>
      </c>
      <c r="D849" s="742"/>
      <c r="E849" s="744">
        <v>5000.0</v>
      </c>
      <c r="F849" s="727">
        <f t="shared" si="19"/>
        <v>218253</v>
      </c>
      <c r="G849" s="6" t="s">
        <v>3883</v>
      </c>
      <c r="H849" s="6" t="s">
        <v>12196</v>
      </c>
      <c r="J849" s="727"/>
      <c r="K849" s="727"/>
      <c r="L849" s="727"/>
      <c r="M849" s="727"/>
      <c r="N849" s="727"/>
      <c r="O849" s="727"/>
    </row>
    <row r="850">
      <c r="A850" s="740">
        <v>45986.0</v>
      </c>
      <c r="B850" s="6" t="s">
        <v>12283</v>
      </c>
      <c r="D850" s="729">
        <v>151000.0</v>
      </c>
      <c r="E850" s="727"/>
      <c r="F850" s="727">
        <f t="shared" si="19"/>
        <v>369253</v>
      </c>
      <c r="G850" s="6" t="s">
        <v>3883</v>
      </c>
      <c r="J850" s="727"/>
      <c r="K850" s="727"/>
      <c r="L850" s="727"/>
      <c r="M850" s="727"/>
      <c r="N850" s="727"/>
      <c r="O850" s="727"/>
    </row>
    <row r="851">
      <c r="A851" s="740">
        <v>45987.0</v>
      </c>
      <c r="B851" s="6" t="s">
        <v>12678</v>
      </c>
      <c r="C851" s="6" t="s">
        <v>12679</v>
      </c>
      <c r="D851" s="727"/>
      <c r="E851" s="729">
        <v>65000.0</v>
      </c>
      <c r="F851" s="727">
        <f t="shared" si="19"/>
        <v>304253</v>
      </c>
      <c r="G851" s="6" t="s">
        <v>3883</v>
      </c>
      <c r="J851" s="727"/>
      <c r="K851" s="727"/>
      <c r="L851" s="727"/>
      <c r="M851" s="727"/>
      <c r="N851" s="727"/>
      <c r="O851" s="727"/>
    </row>
    <row r="852">
      <c r="A852" s="740">
        <v>45987.0</v>
      </c>
      <c r="B852" s="6" t="s">
        <v>12680</v>
      </c>
      <c r="C852" s="6" t="s">
        <v>12681</v>
      </c>
      <c r="D852" s="727"/>
      <c r="E852" s="729">
        <v>75000.0</v>
      </c>
      <c r="F852" s="727">
        <f t="shared" si="19"/>
        <v>229253</v>
      </c>
      <c r="G852" s="6" t="s">
        <v>3883</v>
      </c>
      <c r="J852" s="727"/>
      <c r="K852" s="727"/>
      <c r="L852" s="727"/>
      <c r="M852" s="727"/>
      <c r="N852" s="727"/>
      <c r="O852" s="727"/>
    </row>
    <row r="853">
      <c r="A853" s="740">
        <v>45987.0</v>
      </c>
      <c r="B853" s="6" t="s">
        <v>12682</v>
      </c>
      <c r="C853" s="6" t="s">
        <v>12683</v>
      </c>
      <c r="D853" s="727"/>
      <c r="E853" s="729">
        <v>23000.0</v>
      </c>
      <c r="F853" s="727">
        <f t="shared" si="19"/>
        <v>206253</v>
      </c>
      <c r="G853" s="6" t="s">
        <v>3883</v>
      </c>
      <c r="J853" s="727"/>
      <c r="K853" s="727"/>
      <c r="L853" s="727"/>
      <c r="M853" s="727"/>
      <c r="N853" s="727"/>
      <c r="O853" s="727"/>
    </row>
    <row r="854">
      <c r="A854" s="740">
        <v>45987.0</v>
      </c>
      <c r="B854" s="6" t="s">
        <v>12684</v>
      </c>
      <c r="C854" s="6" t="s">
        <v>12384</v>
      </c>
      <c r="D854" s="727"/>
      <c r="E854" s="729">
        <v>5000.0</v>
      </c>
      <c r="F854" s="727">
        <f t="shared" si="19"/>
        <v>201253</v>
      </c>
      <c r="G854" s="6" t="s">
        <v>3883</v>
      </c>
      <c r="J854" s="727"/>
      <c r="K854" s="727"/>
      <c r="L854" s="727"/>
      <c r="M854" s="727"/>
      <c r="N854" s="727"/>
      <c r="O854" s="727"/>
    </row>
    <row r="855">
      <c r="A855" s="740">
        <v>45987.0</v>
      </c>
      <c r="B855" s="6" t="s">
        <v>12685</v>
      </c>
      <c r="C855" s="6" t="s">
        <v>12686</v>
      </c>
      <c r="D855" s="727"/>
      <c r="E855" s="729">
        <v>107000.0</v>
      </c>
      <c r="F855" s="727">
        <f t="shared" si="19"/>
        <v>94253</v>
      </c>
      <c r="G855" s="6" t="s">
        <v>3883</v>
      </c>
      <c r="J855" s="727"/>
      <c r="K855" s="727"/>
      <c r="L855" s="727"/>
      <c r="M855" s="727"/>
      <c r="N855" s="727"/>
      <c r="O855" s="727"/>
    </row>
    <row r="856">
      <c r="A856" s="740">
        <v>45987.0</v>
      </c>
      <c r="B856" s="6" t="s">
        <v>12687</v>
      </c>
      <c r="C856" s="6" t="s">
        <v>12688</v>
      </c>
      <c r="D856" s="727"/>
      <c r="E856" s="729">
        <v>48000.0</v>
      </c>
      <c r="F856" s="727">
        <f t="shared" si="19"/>
        <v>46253</v>
      </c>
      <c r="G856" s="6" t="s">
        <v>3883</v>
      </c>
      <c r="J856" s="727"/>
      <c r="K856" s="727"/>
      <c r="L856" s="727"/>
      <c r="M856" s="729">
        <v>48000.0</v>
      </c>
      <c r="N856" s="727"/>
      <c r="O856" s="727"/>
    </row>
    <row r="857">
      <c r="A857" s="740">
        <v>45987.0</v>
      </c>
      <c r="B857" s="6" t="s">
        <v>12689</v>
      </c>
      <c r="C857" s="6" t="s">
        <v>12690</v>
      </c>
      <c r="D857" s="727"/>
      <c r="E857" s="729">
        <v>2500.0</v>
      </c>
      <c r="F857" s="727">
        <f t="shared" si="19"/>
        <v>43753</v>
      </c>
      <c r="G857" s="6" t="s">
        <v>3883</v>
      </c>
      <c r="J857" s="727"/>
      <c r="K857" s="727"/>
      <c r="L857" s="727"/>
      <c r="M857" s="729">
        <v>2500.0</v>
      </c>
      <c r="N857" s="727"/>
      <c r="O857" s="727"/>
    </row>
    <row r="858">
      <c r="A858" s="740">
        <v>45987.0</v>
      </c>
      <c r="B858" s="6" t="s">
        <v>12691</v>
      </c>
      <c r="C858" s="6" t="s">
        <v>12692</v>
      </c>
      <c r="D858" s="727"/>
      <c r="E858" s="729">
        <v>13000.0</v>
      </c>
      <c r="F858" s="727">
        <f t="shared" si="19"/>
        <v>30753</v>
      </c>
      <c r="G858" s="6" t="s">
        <v>3883</v>
      </c>
      <c r="J858" s="727"/>
      <c r="K858" s="727"/>
      <c r="L858" s="727"/>
      <c r="M858" s="729">
        <v>13000.0</v>
      </c>
      <c r="N858" s="727"/>
      <c r="O858" s="727"/>
    </row>
    <row r="859">
      <c r="A859" s="740">
        <v>45988.0</v>
      </c>
      <c r="B859" s="6" t="s">
        <v>12674</v>
      </c>
      <c r="C859" s="6" t="s">
        <v>12693</v>
      </c>
      <c r="D859" s="727"/>
      <c r="E859" s="729">
        <v>10000.0</v>
      </c>
      <c r="F859" s="727">
        <f t="shared" si="19"/>
        <v>20753</v>
      </c>
      <c r="G859" s="6" t="s">
        <v>3883</v>
      </c>
      <c r="J859" s="727"/>
      <c r="K859" s="729">
        <v>10000.0</v>
      </c>
      <c r="L859" s="727"/>
      <c r="M859" s="727"/>
      <c r="N859" s="727"/>
      <c r="O859" s="727"/>
    </row>
    <row r="860">
      <c r="A860" s="740">
        <v>45988.0</v>
      </c>
      <c r="B860" s="6" t="s">
        <v>12694</v>
      </c>
      <c r="C860" s="6" t="s">
        <v>12695</v>
      </c>
      <c r="D860" s="727"/>
      <c r="E860" s="729">
        <v>3000.0</v>
      </c>
      <c r="F860" s="727">
        <f t="shared" si="19"/>
        <v>17753</v>
      </c>
      <c r="G860" s="6" t="s">
        <v>3883</v>
      </c>
      <c r="J860" s="727"/>
      <c r="K860" s="729">
        <v>3000.0</v>
      </c>
      <c r="L860" s="727"/>
      <c r="M860" s="727"/>
      <c r="N860" s="727"/>
      <c r="O860" s="727"/>
    </row>
    <row r="861">
      <c r="A861" s="740">
        <v>45988.0</v>
      </c>
      <c r="B861" s="6" t="s">
        <v>12644</v>
      </c>
      <c r="D861" s="727"/>
      <c r="E861" s="729">
        <v>15000.0</v>
      </c>
      <c r="F861" s="727">
        <f t="shared" si="19"/>
        <v>2753</v>
      </c>
      <c r="G861" s="6" t="s">
        <v>3883</v>
      </c>
      <c r="J861" s="729">
        <v>15000.0</v>
      </c>
      <c r="K861" s="727"/>
      <c r="L861" s="727"/>
      <c r="M861" s="727"/>
      <c r="N861" s="727"/>
      <c r="O861" s="727"/>
    </row>
    <row r="862">
      <c r="A862" s="740">
        <v>45989.0</v>
      </c>
      <c r="B862" s="6" t="s">
        <v>12283</v>
      </c>
      <c r="D862" s="729">
        <v>500000.0</v>
      </c>
      <c r="E862" s="727"/>
      <c r="F862" s="727">
        <f t="shared" si="19"/>
        <v>502753</v>
      </c>
      <c r="G862" s="6" t="s">
        <v>3883</v>
      </c>
      <c r="J862" s="729">
        <v>500000.0</v>
      </c>
      <c r="K862" s="727"/>
      <c r="L862" s="727"/>
      <c r="M862" s="727"/>
      <c r="N862" s="727"/>
      <c r="O862" s="727"/>
    </row>
    <row r="863">
      <c r="A863" s="740">
        <v>45989.0</v>
      </c>
      <c r="B863" s="6" t="s">
        <v>12184</v>
      </c>
      <c r="C863" s="6" t="s">
        <v>12621</v>
      </c>
      <c r="D863" s="727"/>
      <c r="E863" s="729">
        <v>18000.0</v>
      </c>
      <c r="F863" s="727">
        <f t="shared" si="19"/>
        <v>484753</v>
      </c>
      <c r="G863" s="6" t="s">
        <v>3883</v>
      </c>
      <c r="J863" s="727"/>
      <c r="K863" s="727"/>
      <c r="L863" s="727"/>
      <c r="M863" s="729">
        <v>18000.0</v>
      </c>
      <c r="N863" s="727"/>
      <c r="O863" s="727"/>
    </row>
    <row r="864">
      <c r="A864" s="740">
        <v>45989.0</v>
      </c>
      <c r="B864" s="6" t="s">
        <v>12511</v>
      </c>
      <c r="C864" s="6" t="s">
        <v>12696</v>
      </c>
      <c r="D864" s="727"/>
      <c r="E864" s="729">
        <v>16000.0</v>
      </c>
      <c r="F864" s="727">
        <f t="shared" si="19"/>
        <v>468753</v>
      </c>
      <c r="G864" s="6" t="s">
        <v>3883</v>
      </c>
      <c r="J864" s="727"/>
      <c r="K864" s="729">
        <v>16000.0</v>
      </c>
      <c r="L864" s="727"/>
      <c r="M864" s="727"/>
      <c r="N864" s="727"/>
      <c r="O864" s="727"/>
    </row>
    <row r="865">
      <c r="A865" s="740">
        <v>45989.0</v>
      </c>
      <c r="B865" s="6" t="s">
        <v>12697</v>
      </c>
      <c r="D865" s="727"/>
      <c r="E865" s="729">
        <v>15000.0</v>
      </c>
      <c r="F865" s="727">
        <f t="shared" si="19"/>
        <v>453753</v>
      </c>
      <c r="G865" s="6" t="s">
        <v>3883</v>
      </c>
      <c r="J865" s="729">
        <v>15000.0</v>
      </c>
      <c r="K865" s="727"/>
      <c r="L865" s="727"/>
      <c r="M865" s="727"/>
      <c r="N865" s="727"/>
      <c r="O865" s="727"/>
    </row>
    <row r="866">
      <c r="A866" s="740">
        <v>45989.0</v>
      </c>
      <c r="B866" s="6" t="s">
        <v>12674</v>
      </c>
      <c r="C866" s="6" t="s">
        <v>12698</v>
      </c>
      <c r="D866" s="727"/>
      <c r="E866" s="729">
        <v>12500.0</v>
      </c>
      <c r="F866" s="727">
        <f t="shared" si="19"/>
        <v>441253</v>
      </c>
      <c r="G866" s="6" t="s">
        <v>3883</v>
      </c>
      <c r="J866" s="727"/>
      <c r="K866" s="729">
        <v>12500.0</v>
      </c>
      <c r="L866" s="727"/>
      <c r="M866" s="727"/>
      <c r="N866" s="727"/>
      <c r="O866" s="727"/>
    </row>
    <row r="867">
      <c r="A867" s="740">
        <v>45989.0</v>
      </c>
      <c r="B867" s="6" t="s">
        <v>12699</v>
      </c>
      <c r="C867" s="6" t="s">
        <v>12384</v>
      </c>
      <c r="D867" s="727"/>
      <c r="E867" s="729">
        <v>5000.0</v>
      </c>
      <c r="F867" s="727">
        <f t="shared" si="19"/>
        <v>436253</v>
      </c>
      <c r="G867" s="6" t="s">
        <v>3883</v>
      </c>
      <c r="J867" s="729">
        <v>5000.0</v>
      </c>
      <c r="K867" s="727"/>
      <c r="L867" s="727"/>
      <c r="M867" s="727"/>
      <c r="N867" s="727"/>
      <c r="O867" s="727"/>
    </row>
    <row r="868">
      <c r="A868" s="740">
        <v>45990.0</v>
      </c>
      <c r="B868" s="6" t="s">
        <v>12700</v>
      </c>
      <c r="D868" s="727"/>
      <c r="E868" s="729">
        <v>40000.0</v>
      </c>
      <c r="F868" s="727">
        <f t="shared" si="19"/>
        <v>396253</v>
      </c>
      <c r="G868" s="6" t="s">
        <v>3883</v>
      </c>
      <c r="J868" s="727"/>
      <c r="K868" s="729">
        <v>40000.0</v>
      </c>
      <c r="L868" s="727"/>
      <c r="M868" s="727"/>
      <c r="N868" s="727"/>
      <c r="O868" s="727"/>
    </row>
    <row r="869">
      <c r="A869" s="740">
        <v>45990.0</v>
      </c>
      <c r="B869" s="6" t="s">
        <v>12417</v>
      </c>
      <c r="C869" s="6" t="s">
        <v>12391</v>
      </c>
      <c r="D869" s="727"/>
      <c r="E869" s="729">
        <v>300000.0</v>
      </c>
      <c r="F869" s="727">
        <f t="shared" si="19"/>
        <v>96253</v>
      </c>
      <c r="G869" s="6" t="s">
        <v>3883</v>
      </c>
      <c r="J869" s="729">
        <v>300000.0</v>
      </c>
      <c r="K869" s="727"/>
      <c r="L869" s="727"/>
      <c r="M869" s="727"/>
      <c r="N869" s="727"/>
      <c r="O869" s="727"/>
    </row>
    <row r="870">
      <c r="A870" s="740">
        <v>45990.0</v>
      </c>
      <c r="B870" s="6" t="s">
        <v>12283</v>
      </c>
      <c r="D870" s="729">
        <v>600000.0</v>
      </c>
      <c r="E870" s="727"/>
      <c r="F870" s="727">
        <f t="shared" si="19"/>
        <v>696253</v>
      </c>
      <c r="G870" s="6" t="s">
        <v>3883</v>
      </c>
      <c r="I870" s="6" t="s">
        <v>12210</v>
      </c>
      <c r="J870" s="727"/>
      <c r="K870" s="727"/>
      <c r="L870" s="727"/>
      <c r="M870" s="727"/>
      <c r="N870" s="727"/>
      <c r="O870" s="727"/>
    </row>
    <row r="871">
      <c r="A871" s="740">
        <v>45991.0</v>
      </c>
      <c r="B871" s="6" t="s">
        <v>12509</v>
      </c>
      <c r="C871" s="6" t="s">
        <v>12624</v>
      </c>
      <c r="D871" s="727"/>
      <c r="E871" s="729">
        <v>65000.0</v>
      </c>
      <c r="F871" s="727">
        <f t="shared" si="19"/>
        <v>631253</v>
      </c>
      <c r="G871" s="6" t="s">
        <v>3883</v>
      </c>
      <c r="J871" s="727"/>
      <c r="K871" s="729">
        <v>65000.0</v>
      </c>
      <c r="L871" s="727"/>
      <c r="M871" s="727"/>
      <c r="N871" s="727"/>
      <c r="O871" s="727"/>
    </row>
    <row r="872">
      <c r="A872" s="740">
        <v>45992.0</v>
      </c>
      <c r="B872" s="6" t="s">
        <v>12701</v>
      </c>
      <c r="D872" s="727"/>
      <c r="E872" s="729">
        <v>150000.0</v>
      </c>
      <c r="F872" s="727">
        <f t="shared" si="19"/>
        <v>481253</v>
      </c>
      <c r="G872" s="6" t="s">
        <v>3883</v>
      </c>
      <c r="J872" s="727"/>
      <c r="K872" s="727"/>
      <c r="L872" s="727"/>
      <c r="M872" s="727"/>
      <c r="N872" s="729">
        <v>150000.0</v>
      </c>
      <c r="O872" s="727"/>
    </row>
    <row r="873">
      <c r="A873" s="740">
        <v>45992.0</v>
      </c>
      <c r="B873" s="6" t="s">
        <v>12702</v>
      </c>
      <c r="C873" s="6" t="s">
        <v>10091</v>
      </c>
      <c r="D873" s="727"/>
      <c r="E873" s="729">
        <v>101500.0</v>
      </c>
      <c r="F873" s="727">
        <f t="shared" si="19"/>
        <v>379753</v>
      </c>
      <c r="G873" s="6" t="s">
        <v>3883</v>
      </c>
      <c r="J873" s="729">
        <v>101500.0</v>
      </c>
      <c r="K873" s="727"/>
      <c r="L873" s="727"/>
      <c r="M873" s="727"/>
      <c r="N873" s="727"/>
      <c r="O873" s="727"/>
    </row>
    <row r="874">
      <c r="A874" s="740">
        <v>45992.0</v>
      </c>
      <c r="B874" s="6" t="s">
        <v>12703</v>
      </c>
      <c r="D874" s="727"/>
      <c r="E874" s="729">
        <v>10000.0</v>
      </c>
      <c r="F874" s="727">
        <f t="shared" si="19"/>
        <v>369753</v>
      </c>
      <c r="G874" s="6" t="s">
        <v>3883</v>
      </c>
      <c r="J874" s="727"/>
      <c r="K874" s="727"/>
      <c r="L874" s="727"/>
      <c r="M874" s="727"/>
      <c r="N874" s="727"/>
      <c r="O874" s="727"/>
    </row>
    <row r="875">
      <c r="A875" s="740">
        <v>45992.0</v>
      </c>
      <c r="B875" s="6" t="s">
        <v>12684</v>
      </c>
      <c r="C875" s="6" t="s">
        <v>12384</v>
      </c>
      <c r="D875" s="727"/>
      <c r="E875" s="729">
        <v>5000.0</v>
      </c>
      <c r="F875" s="727">
        <f t="shared" si="19"/>
        <v>364753</v>
      </c>
      <c r="G875" s="6" t="s">
        <v>3883</v>
      </c>
      <c r="J875" s="727"/>
      <c r="K875" s="727"/>
      <c r="L875" s="727"/>
      <c r="M875" s="727"/>
      <c r="N875" s="727"/>
      <c r="O875" s="727"/>
    </row>
    <row r="876">
      <c r="A876" s="740">
        <v>45992.0</v>
      </c>
      <c r="B876" s="6" t="s">
        <v>12184</v>
      </c>
      <c r="C876" s="6" t="s">
        <v>12443</v>
      </c>
      <c r="D876" s="727"/>
      <c r="E876" s="729">
        <v>36000.0</v>
      </c>
      <c r="F876" s="727">
        <f t="shared" si="19"/>
        <v>328753</v>
      </c>
      <c r="G876" s="6" t="s">
        <v>3883</v>
      </c>
      <c r="J876" s="727"/>
      <c r="K876" s="727"/>
      <c r="L876" s="727"/>
      <c r="M876" s="727"/>
      <c r="N876" s="727"/>
      <c r="O876" s="727"/>
    </row>
    <row r="877">
      <c r="A877" s="740">
        <v>45993.0</v>
      </c>
      <c r="B877" s="6" t="s">
        <v>12477</v>
      </c>
      <c r="D877" s="727"/>
      <c r="E877" s="729">
        <v>100000.0</v>
      </c>
      <c r="F877" s="727">
        <f t="shared" si="19"/>
        <v>228753</v>
      </c>
      <c r="G877" s="6" t="s">
        <v>3883</v>
      </c>
      <c r="J877" s="727"/>
      <c r="K877" s="727"/>
      <c r="L877" s="727"/>
      <c r="M877" s="727"/>
      <c r="N877" s="727"/>
      <c r="O877" s="727"/>
    </row>
    <row r="878">
      <c r="A878" s="740">
        <v>45993.0</v>
      </c>
      <c r="B878" s="6" t="s">
        <v>12704</v>
      </c>
      <c r="C878" s="6" t="s">
        <v>12705</v>
      </c>
      <c r="D878" s="727"/>
      <c r="E878" s="729">
        <v>48000.0</v>
      </c>
      <c r="F878" s="727">
        <f t="shared" si="19"/>
        <v>180753</v>
      </c>
      <c r="G878" s="6" t="s">
        <v>3883</v>
      </c>
      <c r="J878" s="727"/>
      <c r="K878" s="727"/>
      <c r="L878" s="727"/>
      <c r="M878" s="727"/>
      <c r="N878" s="727"/>
      <c r="O878" s="727"/>
    </row>
    <row r="879">
      <c r="A879" s="740">
        <v>45993.0</v>
      </c>
      <c r="B879" s="6" t="s">
        <v>12706</v>
      </c>
      <c r="C879" s="6" t="s">
        <v>12695</v>
      </c>
      <c r="D879" s="727"/>
      <c r="E879" s="729">
        <v>5000.0</v>
      </c>
      <c r="F879" s="727">
        <f t="shared" si="19"/>
        <v>175753</v>
      </c>
      <c r="G879" s="6" t="s">
        <v>3883</v>
      </c>
      <c r="J879" s="727"/>
      <c r="K879" s="727"/>
      <c r="L879" s="727"/>
      <c r="M879" s="727"/>
      <c r="N879" s="727"/>
      <c r="O879" s="727"/>
    </row>
    <row r="880">
      <c r="A880" s="740">
        <v>45994.0</v>
      </c>
      <c r="B880" s="6" t="s">
        <v>12540</v>
      </c>
      <c r="C880" s="6" t="s">
        <v>12707</v>
      </c>
      <c r="D880" s="727"/>
      <c r="E880" s="729">
        <v>142300.0</v>
      </c>
      <c r="F880" s="727">
        <f t="shared" si="19"/>
        <v>33453</v>
      </c>
      <c r="G880" s="6" t="s">
        <v>3883</v>
      </c>
      <c r="J880" s="727"/>
      <c r="K880" s="727"/>
      <c r="L880" s="727"/>
      <c r="M880" s="727"/>
      <c r="N880" s="727"/>
      <c r="O880" s="727"/>
    </row>
    <row r="881">
      <c r="A881" s="740">
        <v>45994.0</v>
      </c>
      <c r="B881" s="6" t="s">
        <v>12706</v>
      </c>
      <c r="C881" s="6" t="s">
        <v>12708</v>
      </c>
      <c r="D881" s="727"/>
      <c r="E881" s="729">
        <v>8000.0</v>
      </c>
      <c r="F881" s="727">
        <f t="shared" si="19"/>
        <v>25453</v>
      </c>
      <c r="G881" s="6" t="s">
        <v>3883</v>
      </c>
      <c r="J881" s="727"/>
      <c r="K881" s="727"/>
      <c r="L881" s="727"/>
      <c r="M881" s="727"/>
      <c r="N881" s="727"/>
      <c r="O881" s="727"/>
    </row>
    <row r="882">
      <c r="A882" s="740">
        <v>45994.0</v>
      </c>
      <c r="B882" s="6" t="s">
        <v>12283</v>
      </c>
      <c r="D882" s="729">
        <v>100000.0</v>
      </c>
      <c r="E882" s="727"/>
      <c r="F882" s="727">
        <f t="shared" si="19"/>
        <v>125453</v>
      </c>
      <c r="G882" s="6" t="s">
        <v>3883</v>
      </c>
      <c r="J882" s="727"/>
      <c r="K882" s="727"/>
      <c r="L882" s="727"/>
      <c r="M882" s="727"/>
      <c r="N882" s="727"/>
      <c r="O882" s="727"/>
    </row>
    <row r="883">
      <c r="A883" s="740">
        <v>45996.0</v>
      </c>
      <c r="B883" s="6" t="s">
        <v>12283</v>
      </c>
      <c r="D883" s="729">
        <v>400000.0</v>
      </c>
      <c r="E883" s="727"/>
      <c r="F883" s="727">
        <f t="shared" si="19"/>
        <v>525453</v>
      </c>
      <c r="G883" s="6" t="s">
        <v>3883</v>
      </c>
      <c r="J883" s="727"/>
      <c r="K883" s="727"/>
      <c r="L883" s="727"/>
      <c r="M883" s="727"/>
      <c r="N883" s="727"/>
      <c r="O883" s="727"/>
    </row>
    <row r="884">
      <c r="A884" s="740">
        <v>45997.0</v>
      </c>
      <c r="B884" s="6" t="s">
        <v>12540</v>
      </c>
      <c r="D884" s="727"/>
      <c r="E884" s="729">
        <v>116200.0</v>
      </c>
      <c r="F884" s="727">
        <f t="shared" si="19"/>
        <v>409253</v>
      </c>
      <c r="G884" s="6" t="s">
        <v>3883</v>
      </c>
      <c r="J884" s="727"/>
      <c r="K884" s="727"/>
      <c r="L884" s="727"/>
      <c r="M884" s="727"/>
      <c r="N884" s="727"/>
      <c r="O884" s="727"/>
    </row>
    <row r="885">
      <c r="A885" s="740">
        <v>45998.0</v>
      </c>
      <c r="B885" s="6" t="s">
        <v>12709</v>
      </c>
      <c r="C885" s="6" t="s">
        <v>12710</v>
      </c>
      <c r="D885" s="727"/>
      <c r="E885" s="729">
        <v>141000.0</v>
      </c>
      <c r="F885" s="727">
        <f t="shared" si="19"/>
        <v>268253</v>
      </c>
      <c r="G885" s="6" t="s">
        <v>3883</v>
      </c>
      <c r="J885" s="727"/>
      <c r="K885" s="727"/>
      <c r="L885" s="727"/>
      <c r="M885" s="727"/>
      <c r="N885" s="727"/>
      <c r="O885" s="727"/>
    </row>
    <row r="886">
      <c r="A886" s="740">
        <v>45999.0</v>
      </c>
      <c r="B886" s="6" t="s">
        <v>12184</v>
      </c>
      <c r="C886" s="6" t="s">
        <v>12443</v>
      </c>
      <c r="D886" s="727"/>
      <c r="E886" s="729">
        <v>36000.0</v>
      </c>
      <c r="F886" s="727">
        <f t="shared" si="19"/>
        <v>232253</v>
      </c>
      <c r="G886" s="6" t="s">
        <v>3883</v>
      </c>
      <c r="J886" s="727"/>
      <c r="K886" s="727"/>
      <c r="L886" s="727"/>
      <c r="M886" s="727"/>
      <c r="N886" s="727"/>
      <c r="O886" s="727"/>
    </row>
    <row r="887">
      <c r="A887" s="740">
        <v>45999.0</v>
      </c>
      <c r="B887" s="6" t="s">
        <v>12179</v>
      </c>
      <c r="C887" s="6" t="s">
        <v>12711</v>
      </c>
      <c r="D887" s="727"/>
      <c r="E887" s="729">
        <v>100000.0</v>
      </c>
      <c r="F887" s="727">
        <f t="shared" si="19"/>
        <v>132253</v>
      </c>
      <c r="G887" s="6" t="s">
        <v>3883</v>
      </c>
      <c r="J887" s="727"/>
      <c r="K887" s="727"/>
      <c r="L887" s="727"/>
      <c r="M887" s="727"/>
      <c r="N887" s="727"/>
      <c r="O887" s="727"/>
    </row>
    <row r="888">
      <c r="A888" s="740">
        <v>45999.0</v>
      </c>
      <c r="B888" s="6" t="s">
        <v>12283</v>
      </c>
      <c r="D888" s="729">
        <v>500000.0</v>
      </c>
      <c r="E888" s="727"/>
      <c r="F888" s="727">
        <f t="shared" si="19"/>
        <v>632253</v>
      </c>
      <c r="G888" s="6" t="s">
        <v>3883</v>
      </c>
      <c r="J888" s="727"/>
      <c r="K888" s="727"/>
      <c r="L888" s="727"/>
      <c r="M888" s="727"/>
      <c r="N888" s="727"/>
      <c r="O888" s="727"/>
    </row>
    <row r="889">
      <c r="A889" s="740">
        <v>46000.0</v>
      </c>
      <c r="B889" s="6" t="s">
        <v>12712</v>
      </c>
      <c r="C889" s="6" t="s">
        <v>12713</v>
      </c>
      <c r="D889" s="727"/>
      <c r="E889" s="729">
        <v>70000.0</v>
      </c>
      <c r="F889" s="727">
        <f t="shared" si="19"/>
        <v>562253</v>
      </c>
      <c r="G889" s="6" t="s">
        <v>3883</v>
      </c>
      <c r="J889" s="727"/>
      <c r="K889" s="727"/>
      <c r="L889" s="727"/>
      <c r="M889" s="727"/>
      <c r="N889" s="727"/>
      <c r="O889" s="727"/>
    </row>
    <row r="890">
      <c r="A890" s="740">
        <v>46000.0</v>
      </c>
      <c r="B890" s="6" t="s">
        <v>12684</v>
      </c>
      <c r="C890" s="6" t="s">
        <v>12714</v>
      </c>
      <c r="D890" s="727"/>
      <c r="E890" s="729">
        <v>8000.0</v>
      </c>
      <c r="F890" s="727">
        <f t="shared" si="19"/>
        <v>554253</v>
      </c>
      <c r="G890" s="6" t="s">
        <v>3883</v>
      </c>
      <c r="J890" s="727"/>
      <c r="K890" s="727"/>
      <c r="L890" s="727"/>
      <c r="M890" s="727"/>
      <c r="N890" s="727"/>
      <c r="O890" s="727"/>
    </row>
    <row r="891">
      <c r="A891" s="740">
        <v>46000.0</v>
      </c>
      <c r="B891" s="6" t="s">
        <v>12684</v>
      </c>
      <c r="C891" s="6" t="s">
        <v>12714</v>
      </c>
      <c r="D891" s="727"/>
      <c r="E891" s="729">
        <v>5000.0</v>
      </c>
      <c r="F891" s="727">
        <f t="shared" si="19"/>
        <v>549253</v>
      </c>
      <c r="G891" s="6" t="s">
        <v>3883</v>
      </c>
      <c r="J891" s="727"/>
      <c r="K891" s="727"/>
      <c r="L891" s="727"/>
      <c r="M891" s="727"/>
      <c r="N891" s="727"/>
      <c r="O891" s="727"/>
    </row>
    <row r="892">
      <c r="A892" s="740">
        <v>46000.0</v>
      </c>
      <c r="B892" s="6" t="s">
        <v>12684</v>
      </c>
      <c r="C892" s="6" t="s">
        <v>12715</v>
      </c>
      <c r="D892" s="727"/>
      <c r="E892" s="729">
        <v>5000.0</v>
      </c>
      <c r="F892" s="727">
        <f t="shared" si="19"/>
        <v>544253</v>
      </c>
      <c r="G892" s="6" t="s">
        <v>3883</v>
      </c>
      <c r="J892" s="727"/>
      <c r="K892" s="727"/>
      <c r="L892" s="727"/>
      <c r="M892" s="727"/>
      <c r="N892" s="727"/>
      <c r="O892" s="727"/>
    </row>
    <row r="893">
      <c r="A893" s="740">
        <v>46000.0</v>
      </c>
      <c r="B893" s="6" t="s">
        <v>12716</v>
      </c>
      <c r="D893" s="727"/>
      <c r="E893" s="729">
        <v>10000.0</v>
      </c>
      <c r="F893" s="727">
        <f t="shared" si="19"/>
        <v>534253</v>
      </c>
      <c r="G893" s="6" t="s">
        <v>3883</v>
      </c>
      <c r="J893" s="727"/>
      <c r="K893" s="727"/>
      <c r="L893" s="727"/>
      <c r="M893" s="727"/>
      <c r="N893" s="727"/>
      <c r="O893" s="727"/>
    </row>
    <row r="894">
      <c r="A894" s="740">
        <v>46001.0</v>
      </c>
      <c r="B894" s="6" t="s">
        <v>12717</v>
      </c>
      <c r="C894" s="6" t="s">
        <v>12718</v>
      </c>
      <c r="D894" s="727"/>
      <c r="E894" s="729">
        <v>150000.0</v>
      </c>
      <c r="F894" s="727">
        <f t="shared" si="19"/>
        <v>384253</v>
      </c>
      <c r="G894" s="6" t="s">
        <v>3883</v>
      </c>
      <c r="J894" s="727"/>
      <c r="K894" s="727"/>
      <c r="L894" s="727"/>
      <c r="M894" s="727"/>
      <c r="N894" s="727"/>
      <c r="O894" s="727"/>
    </row>
    <row r="895">
      <c r="A895" s="740">
        <v>46001.0</v>
      </c>
      <c r="B895" s="6" t="s">
        <v>12641</v>
      </c>
      <c r="C895" s="6" t="s">
        <v>12719</v>
      </c>
      <c r="D895" s="727"/>
      <c r="E895" s="729">
        <v>23000.0</v>
      </c>
      <c r="F895" s="727">
        <f t="shared" si="19"/>
        <v>361253</v>
      </c>
      <c r="G895" s="6" t="s">
        <v>3883</v>
      </c>
      <c r="J895" s="727"/>
      <c r="K895" s="727"/>
      <c r="L895" s="727"/>
      <c r="M895" s="727"/>
      <c r="N895" s="727"/>
      <c r="O895" s="727"/>
    </row>
    <row r="896">
      <c r="A896" s="740">
        <v>46002.0</v>
      </c>
      <c r="B896" s="6" t="s">
        <v>12709</v>
      </c>
      <c r="C896" s="6" t="s">
        <v>12720</v>
      </c>
      <c r="D896" s="727"/>
      <c r="E896" s="729">
        <v>20000.0</v>
      </c>
      <c r="F896" s="727">
        <f t="shared" si="19"/>
        <v>341253</v>
      </c>
      <c r="G896" s="6" t="s">
        <v>3883</v>
      </c>
      <c r="J896" s="727"/>
      <c r="K896" s="727"/>
      <c r="L896" s="727"/>
      <c r="M896" s="727"/>
      <c r="N896" s="727"/>
      <c r="O896" s="727"/>
    </row>
    <row r="897">
      <c r="A897" s="740">
        <v>46003.0</v>
      </c>
      <c r="B897" s="6" t="s">
        <v>12417</v>
      </c>
      <c r="C897" s="6" t="s">
        <v>12391</v>
      </c>
      <c r="D897" s="727"/>
      <c r="E897" s="729">
        <v>200000.0</v>
      </c>
      <c r="F897" s="727">
        <f t="shared" si="19"/>
        <v>141253</v>
      </c>
      <c r="G897" s="6" t="s">
        <v>3883</v>
      </c>
      <c r="J897" s="727"/>
      <c r="K897" s="727"/>
      <c r="L897" s="727"/>
      <c r="M897" s="727"/>
      <c r="N897" s="727"/>
      <c r="O897" s="727"/>
    </row>
    <row r="898">
      <c r="A898" s="740">
        <v>46004.0</v>
      </c>
      <c r="B898" s="6" t="s">
        <v>12684</v>
      </c>
      <c r="C898" s="6" t="s">
        <v>12715</v>
      </c>
      <c r="D898" s="727"/>
      <c r="E898" s="729">
        <v>5000.0</v>
      </c>
      <c r="F898" s="727">
        <f t="shared" si="19"/>
        <v>136253</v>
      </c>
      <c r="G898" s="6" t="s">
        <v>3883</v>
      </c>
      <c r="J898" s="727"/>
      <c r="K898" s="727"/>
      <c r="L898" s="727"/>
      <c r="M898" s="727"/>
      <c r="N898" s="727"/>
      <c r="O898" s="727"/>
    </row>
    <row r="899">
      <c r="A899" s="740">
        <v>46004.0</v>
      </c>
      <c r="B899" s="6" t="s">
        <v>12721</v>
      </c>
      <c r="D899" s="727"/>
      <c r="E899" s="729">
        <v>8000.0</v>
      </c>
      <c r="F899" s="727">
        <f t="shared" si="19"/>
        <v>128253</v>
      </c>
      <c r="G899" s="6" t="s">
        <v>3883</v>
      </c>
      <c r="J899" s="727"/>
      <c r="K899" s="727"/>
      <c r="L899" s="727"/>
      <c r="M899" s="727"/>
      <c r="N899" s="727"/>
      <c r="O899" s="727"/>
    </row>
    <row r="900">
      <c r="A900" s="740">
        <v>46006.0</v>
      </c>
      <c r="B900" s="6" t="s">
        <v>12184</v>
      </c>
      <c r="C900" s="6" t="s">
        <v>12443</v>
      </c>
      <c r="D900" s="727"/>
      <c r="E900" s="729">
        <v>36000.0</v>
      </c>
      <c r="F900" s="727">
        <f t="shared" si="19"/>
        <v>92253</v>
      </c>
      <c r="G900" s="6" t="s">
        <v>3883</v>
      </c>
      <c r="J900" s="727"/>
      <c r="K900" s="727"/>
      <c r="L900" s="727"/>
      <c r="M900" s="727"/>
      <c r="N900" s="727"/>
      <c r="O900" s="727"/>
    </row>
    <row r="901">
      <c r="A901" s="740">
        <v>46006.0</v>
      </c>
      <c r="B901" s="6" t="s">
        <v>12722</v>
      </c>
      <c r="C901" s="6" t="s">
        <v>12723</v>
      </c>
      <c r="D901" s="727"/>
      <c r="E901" s="729">
        <v>18000.0</v>
      </c>
      <c r="F901" s="727">
        <f t="shared" si="19"/>
        <v>74253</v>
      </c>
      <c r="G901" s="6" t="s">
        <v>3883</v>
      </c>
      <c r="J901" s="727"/>
      <c r="K901" s="727"/>
      <c r="L901" s="727"/>
      <c r="M901" s="727"/>
      <c r="N901" s="727"/>
      <c r="O901" s="727"/>
    </row>
    <row r="902">
      <c r="A902" s="740">
        <v>46007.0</v>
      </c>
      <c r="B902" s="6" t="s">
        <v>12283</v>
      </c>
      <c r="D902" s="729">
        <v>500000.0</v>
      </c>
      <c r="E902" s="727"/>
      <c r="F902" s="727">
        <f t="shared" si="19"/>
        <v>574253</v>
      </c>
      <c r="G902" s="6" t="s">
        <v>3883</v>
      </c>
      <c r="J902" s="727"/>
      <c r="K902" s="727"/>
      <c r="L902" s="727"/>
      <c r="M902" s="727"/>
      <c r="N902" s="727"/>
      <c r="O902" s="727"/>
    </row>
    <row r="903">
      <c r="A903" s="740">
        <v>46011.0</v>
      </c>
      <c r="B903" s="6" t="s">
        <v>12724</v>
      </c>
      <c r="D903" s="727"/>
      <c r="E903" s="729">
        <v>65000.0</v>
      </c>
      <c r="F903" s="727">
        <f t="shared" si="19"/>
        <v>509253</v>
      </c>
      <c r="G903" s="6" t="s">
        <v>3883</v>
      </c>
      <c r="J903" s="727"/>
      <c r="K903" s="727"/>
      <c r="L903" s="727"/>
      <c r="M903" s="727"/>
      <c r="N903" s="727"/>
      <c r="O903" s="727"/>
    </row>
    <row r="904">
      <c r="A904" s="733">
        <v>46011.0</v>
      </c>
      <c r="B904" s="6" t="s">
        <v>12417</v>
      </c>
      <c r="C904" s="6" t="s">
        <v>12391</v>
      </c>
      <c r="D904" s="727"/>
      <c r="E904" s="729">
        <v>300000.0</v>
      </c>
      <c r="F904" s="727">
        <f t="shared" si="19"/>
        <v>209253</v>
      </c>
      <c r="G904" s="6" t="s">
        <v>3883</v>
      </c>
      <c r="J904" s="727"/>
      <c r="K904" s="727"/>
      <c r="L904" s="727"/>
      <c r="M904" s="727"/>
      <c r="N904" s="727"/>
      <c r="O904" s="727"/>
    </row>
    <row r="905">
      <c r="A905" s="733">
        <v>46011.0</v>
      </c>
      <c r="B905" s="6" t="s">
        <v>12477</v>
      </c>
      <c r="D905" s="727"/>
      <c r="E905" s="729">
        <v>100000.0</v>
      </c>
      <c r="F905" s="727">
        <f t="shared" si="19"/>
        <v>109253</v>
      </c>
      <c r="G905" s="6" t="s">
        <v>3883</v>
      </c>
      <c r="J905" s="727"/>
      <c r="K905" s="727"/>
      <c r="L905" s="727"/>
      <c r="M905" s="727"/>
      <c r="N905" s="727"/>
      <c r="O905" s="727"/>
    </row>
    <row r="906">
      <c r="A906" s="733">
        <v>46013.0</v>
      </c>
      <c r="B906" s="6" t="s">
        <v>12184</v>
      </c>
      <c r="C906" s="6" t="s">
        <v>12443</v>
      </c>
      <c r="D906" s="727"/>
      <c r="E906" s="729">
        <v>36000.0</v>
      </c>
      <c r="F906" s="727">
        <f t="shared" si="19"/>
        <v>73253</v>
      </c>
      <c r="G906" s="6" t="s">
        <v>3883</v>
      </c>
      <c r="J906" s="727"/>
      <c r="K906" s="727"/>
      <c r="L906" s="727"/>
      <c r="M906" s="727"/>
      <c r="N906" s="727"/>
      <c r="O906" s="727"/>
    </row>
    <row r="907">
      <c r="A907" s="733">
        <v>46014.0</v>
      </c>
      <c r="B907" s="6" t="s">
        <v>12283</v>
      </c>
      <c r="D907" s="729">
        <v>500000.0</v>
      </c>
      <c r="E907" s="727"/>
      <c r="F907" s="727">
        <f t="shared" si="19"/>
        <v>573253</v>
      </c>
      <c r="G907" s="6" t="s">
        <v>3883</v>
      </c>
      <c r="J907" s="727"/>
      <c r="K907" s="727"/>
      <c r="L907" s="727"/>
      <c r="M907" s="727"/>
      <c r="N907" s="727"/>
      <c r="O907" s="727"/>
    </row>
    <row r="908">
      <c r="A908" s="733">
        <v>46016.0</v>
      </c>
      <c r="B908" s="6" t="s">
        <v>12417</v>
      </c>
      <c r="C908" s="6" t="s">
        <v>12391</v>
      </c>
      <c r="D908" s="727"/>
      <c r="E908" s="729">
        <v>100000.0</v>
      </c>
      <c r="F908" s="727">
        <f t="shared" si="19"/>
        <v>473253</v>
      </c>
      <c r="G908" s="6" t="s">
        <v>3883</v>
      </c>
      <c r="J908" s="727"/>
      <c r="K908" s="727"/>
      <c r="L908" s="727"/>
      <c r="M908" s="727"/>
      <c r="N908" s="727"/>
      <c r="O908" s="727"/>
    </row>
    <row r="909">
      <c r="A909" s="733">
        <v>46017.0</v>
      </c>
      <c r="B909" s="6" t="s">
        <v>12725</v>
      </c>
      <c r="D909" s="727"/>
      <c r="E909" s="729">
        <v>14000.0</v>
      </c>
      <c r="F909" s="727">
        <f t="shared" si="19"/>
        <v>459253</v>
      </c>
      <c r="G909" s="6" t="s">
        <v>3883</v>
      </c>
      <c r="J909" s="727"/>
      <c r="K909" s="727"/>
      <c r="L909" s="727"/>
      <c r="M909" s="727"/>
      <c r="N909" s="727"/>
      <c r="O909" s="727"/>
    </row>
    <row r="910">
      <c r="A910" s="733">
        <v>46017.0</v>
      </c>
      <c r="B910" s="6" t="s">
        <v>12283</v>
      </c>
      <c r="D910" s="729">
        <v>500000.0</v>
      </c>
      <c r="E910" s="727"/>
      <c r="F910" s="727">
        <f t="shared" si="19"/>
        <v>959253</v>
      </c>
      <c r="G910" s="6" t="s">
        <v>3883</v>
      </c>
      <c r="J910" s="727"/>
      <c r="K910" s="727"/>
      <c r="L910" s="727"/>
      <c r="M910" s="727"/>
      <c r="N910" s="727"/>
      <c r="O910" s="727"/>
    </row>
    <row r="911">
      <c r="A911" s="733">
        <v>46017.0</v>
      </c>
      <c r="B911" s="6" t="s">
        <v>12726</v>
      </c>
      <c r="D911" s="727"/>
      <c r="E911" s="729">
        <v>592614.0</v>
      </c>
      <c r="F911" s="727">
        <f t="shared" si="19"/>
        <v>366639</v>
      </c>
      <c r="G911" s="6" t="s">
        <v>3883</v>
      </c>
      <c r="J911" s="727"/>
      <c r="K911" s="727"/>
      <c r="L911" s="727"/>
      <c r="M911" s="727"/>
      <c r="N911" s="727"/>
      <c r="O911" s="727"/>
    </row>
    <row r="912">
      <c r="A912" s="733">
        <v>46017.0</v>
      </c>
      <c r="B912" s="6" t="s">
        <v>12298</v>
      </c>
      <c r="C912" s="6" t="s">
        <v>12727</v>
      </c>
      <c r="D912" s="729"/>
      <c r="E912" s="729">
        <v>29000.0</v>
      </c>
      <c r="F912" s="727">
        <f t="shared" si="19"/>
        <v>337639</v>
      </c>
      <c r="G912" s="6" t="s">
        <v>3883</v>
      </c>
      <c r="J912" s="727"/>
      <c r="K912" s="727"/>
      <c r="L912" s="727"/>
      <c r="M912" s="727"/>
      <c r="N912" s="727"/>
      <c r="O912" s="727"/>
    </row>
    <row r="913">
      <c r="A913" s="733">
        <v>46017.0</v>
      </c>
      <c r="B913" s="6" t="s">
        <v>12283</v>
      </c>
      <c r="C913" s="6" t="s">
        <v>12728</v>
      </c>
      <c r="D913" s="729">
        <v>14500.0</v>
      </c>
      <c r="E913" s="727"/>
      <c r="F913" s="727">
        <f t="shared" si="19"/>
        <v>352139</v>
      </c>
      <c r="G913" s="6" t="s">
        <v>3883</v>
      </c>
      <c r="J913" s="727"/>
      <c r="K913" s="727"/>
      <c r="L913" s="727"/>
      <c r="M913" s="727"/>
      <c r="N913" s="727"/>
      <c r="O913" s="727"/>
    </row>
    <row r="914">
      <c r="A914" s="733">
        <v>46018.0</v>
      </c>
      <c r="B914" s="6" t="s">
        <v>12417</v>
      </c>
      <c r="C914" s="6" t="s">
        <v>12391</v>
      </c>
      <c r="D914" s="727"/>
      <c r="E914" s="729">
        <v>200000.0</v>
      </c>
      <c r="F914" s="727">
        <f t="shared" si="19"/>
        <v>152139</v>
      </c>
      <c r="G914" s="6" t="s">
        <v>3883</v>
      </c>
      <c r="J914" s="727"/>
      <c r="K914" s="727"/>
      <c r="L914" s="727"/>
      <c r="M914" s="727"/>
      <c r="N914" s="727"/>
      <c r="O914" s="727"/>
    </row>
    <row r="915">
      <c r="A915" s="733">
        <v>46018.0</v>
      </c>
      <c r="B915" s="6" t="s">
        <v>12283</v>
      </c>
      <c r="D915" s="729">
        <v>500000.0</v>
      </c>
      <c r="E915" s="727"/>
      <c r="F915" s="727">
        <f t="shared" si="19"/>
        <v>652139</v>
      </c>
      <c r="G915" s="6" t="s">
        <v>3883</v>
      </c>
      <c r="J915" s="727"/>
      <c r="K915" s="727"/>
      <c r="L915" s="727"/>
      <c r="M915" s="727"/>
      <c r="N915" s="727"/>
      <c r="O915" s="727"/>
    </row>
    <row r="916">
      <c r="A916" s="733">
        <v>46021.0</v>
      </c>
      <c r="B916" s="6" t="s">
        <v>12417</v>
      </c>
      <c r="C916" s="6" t="s">
        <v>12391</v>
      </c>
      <c r="D916" s="727"/>
      <c r="E916" s="729">
        <v>300000.0</v>
      </c>
      <c r="F916" s="727">
        <f t="shared" si="19"/>
        <v>352139</v>
      </c>
      <c r="G916" s="6" t="s">
        <v>3883</v>
      </c>
      <c r="J916" s="727"/>
      <c r="K916" s="727"/>
      <c r="L916" s="727"/>
      <c r="M916" s="727"/>
      <c r="N916" s="727"/>
      <c r="O916" s="727"/>
    </row>
    <row r="917">
      <c r="A917" s="733">
        <v>46021.0</v>
      </c>
      <c r="B917" s="6" t="s">
        <v>12729</v>
      </c>
      <c r="C917" s="6" t="s">
        <v>12730</v>
      </c>
      <c r="D917" s="727"/>
      <c r="E917" s="729">
        <v>10000.0</v>
      </c>
      <c r="F917" s="727">
        <f t="shared" si="19"/>
        <v>342139</v>
      </c>
      <c r="G917" s="6" t="s">
        <v>3883</v>
      </c>
      <c r="J917" s="727"/>
      <c r="K917" s="727"/>
      <c r="L917" s="727"/>
      <c r="M917" s="727"/>
      <c r="N917" s="727"/>
      <c r="O917" s="727"/>
    </row>
    <row r="918">
      <c r="A918" s="733">
        <v>46021.0</v>
      </c>
      <c r="B918" s="6" t="s">
        <v>12731</v>
      </c>
      <c r="C918" s="6" t="s">
        <v>12732</v>
      </c>
      <c r="D918" s="727"/>
      <c r="E918" s="729">
        <v>21000.0</v>
      </c>
      <c r="F918" s="727">
        <f t="shared" si="19"/>
        <v>321139</v>
      </c>
      <c r="G918" s="6" t="s">
        <v>3883</v>
      </c>
      <c r="J918" s="727"/>
      <c r="K918" s="727"/>
      <c r="L918" s="727"/>
      <c r="M918" s="727"/>
      <c r="N918" s="727"/>
      <c r="O918" s="727"/>
    </row>
    <row r="919">
      <c r="A919" s="733">
        <v>46021.0</v>
      </c>
      <c r="B919" s="6" t="s">
        <v>12184</v>
      </c>
      <c r="C919" s="6" t="s">
        <v>12621</v>
      </c>
      <c r="D919" s="727"/>
      <c r="E919" s="729">
        <v>18000.0</v>
      </c>
      <c r="F919" s="727">
        <f t="shared" si="19"/>
        <v>303139</v>
      </c>
      <c r="G919" s="6" t="s">
        <v>3883</v>
      </c>
      <c r="J919" s="727"/>
      <c r="K919" s="727"/>
      <c r="L919" s="727"/>
      <c r="M919" s="727"/>
      <c r="N919" s="727"/>
      <c r="O919" s="727"/>
    </row>
    <row r="920">
      <c r="A920" s="733">
        <v>46022.0</v>
      </c>
      <c r="B920" s="6" t="s">
        <v>12733</v>
      </c>
      <c r="D920" s="727"/>
      <c r="E920" s="729">
        <v>25000.0</v>
      </c>
      <c r="F920" s="727">
        <f t="shared" si="19"/>
        <v>278139</v>
      </c>
      <c r="G920" s="6" t="s">
        <v>3883</v>
      </c>
      <c r="J920" s="727"/>
      <c r="K920" s="727"/>
      <c r="L920" s="727"/>
      <c r="M920" s="727"/>
      <c r="N920" s="727"/>
      <c r="O920" s="727"/>
    </row>
    <row r="921">
      <c r="A921" s="733">
        <v>46022.0</v>
      </c>
      <c r="B921" s="6" t="s">
        <v>12283</v>
      </c>
      <c r="D921" s="729">
        <v>50000.0</v>
      </c>
      <c r="E921" s="727"/>
      <c r="F921" s="727">
        <f t="shared" si="19"/>
        <v>328139</v>
      </c>
      <c r="G921" s="6" t="s">
        <v>3883</v>
      </c>
      <c r="J921" s="727"/>
      <c r="K921" s="727"/>
      <c r="L921" s="727"/>
      <c r="M921" s="727"/>
      <c r="N921" s="727"/>
      <c r="O921" s="727"/>
    </row>
    <row r="922">
      <c r="A922" s="733">
        <v>46024.0</v>
      </c>
      <c r="B922" s="6" t="s">
        <v>12580</v>
      </c>
      <c r="C922" s="6" t="s">
        <v>12734</v>
      </c>
      <c r="D922" s="727"/>
      <c r="E922" s="729">
        <v>130000.0</v>
      </c>
      <c r="F922" s="727">
        <f t="shared" si="19"/>
        <v>198139</v>
      </c>
      <c r="G922" s="6" t="s">
        <v>3883</v>
      </c>
      <c r="J922" s="727"/>
      <c r="K922" s="727"/>
      <c r="L922" s="727"/>
      <c r="M922" s="727"/>
      <c r="N922" s="727"/>
      <c r="O922" s="727"/>
    </row>
    <row r="923">
      <c r="A923" s="733">
        <v>46024.0</v>
      </c>
      <c r="B923" s="6" t="s">
        <v>12399</v>
      </c>
      <c r="C923" s="6" t="s">
        <v>12735</v>
      </c>
      <c r="D923" s="727"/>
      <c r="E923" s="729">
        <v>139900.0</v>
      </c>
      <c r="F923" s="727">
        <f t="shared" si="19"/>
        <v>58239</v>
      </c>
      <c r="G923" s="6" t="s">
        <v>3883</v>
      </c>
      <c r="J923" s="727"/>
      <c r="K923" s="727"/>
      <c r="L923" s="727"/>
      <c r="M923" s="727"/>
      <c r="N923" s="727"/>
      <c r="O923" s="727"/>
    </row>
    <row r="924">
      <c r="A924" s="733">
        <v>46024.0</v>
      </c>
      <c r="B924" s="6" t="s">
        <v>12684</v>
      </c>
      <c r="C924" s="6" t="s">
        <v>12606</v>
      </c>
      <c r="D924" s="727"/>
      <c r="E924" s="729">
        <v>5000.0</v>
      </c>
      <c r="F924" s="727">
        <f t="shared" si="19"/>
        <v>53239</v>
      </c>
      <c r="G924" s="6" t="s">
        <v>3883</v>
      </c>
      <c r="J924" s="727"/>
      <c r="K924" s="727"/>
      <c r="L924" s="727"/>
      <c r="M924" s="727"/>
      <c r="N924" s="727"/>
      <c r="O924" s="727"/>
    </row>
    <row r="925">
      <c r="A925" s="733">
        <v>46024.0</v>
      </c>
      <c r="B925" s="6" t="s">
        <v>12684</v>
      </c>
      <c r="C925" s="6" t="s">
        <v>12736</v>
      </c>
      <c r="D925" s="727"/>
      <c r="E925" s="729">
        <v>5000.0</v>
      </c>
      <c r="F925" s="727">
        <f t="shared" si="19"/>
        <v>48239</v>
      </c>
      <c r="G925" s="6" t="s">
        <v>3883</v>
      </c>
      <c r="J925" s="727"/>
      <c r="K925" s="727"/>
      <c r="L925" s="727"/>
      <c r="M925" s="727"/>
      <c r="N925" s="727"/>
      <c r="O925" s="727"/>
    </row>
    <row r="926">
      <c r="A926" s="733">
        <v>46024.0</v>
      </c>
      <c r="B926" s="6" t="s">
        <v>12283</v>
      </c>
      <c r="D926" s="729">
        <v>500000.0</v>
      </c>
      <c r="E926" s="727"/>
      <c r="F926" s="727">
        <f t="shared" si="19"/>
        <v>548239</v>
      </c>
      <c r="G926" s="6" t="s">
        <v>3883</v>
      </c>
      <c r="J926" s="727"/>
      <c r="K926" s="727"/>
      <c r="L926" s="727"/>
      <c r="M926" s="727"/>
      <c r="N926" s="727"/>
      <c r="O926" s="727"/>
    </row>
    <row r="927">
      <c r="A927" s="733">
        <v>46025.0</v>
      </c>
      <c r="B927" s="6" t="s">
        <v>12383</v>
      </c>
      <c r="D927" s="727"/>
      <c r="E927" s="729">
        <v>13200.0</v>
      </c>
      <c r="F927" s="727">
        <f t="shared" si="19"/>
        <v>535039</v>
      </c>
      <c r="G927" s="6" t="s">
        <v>3883</v>
      </c>
      <c r="J927" s="727"/>
      <c r="K927" s="727"/>
      <c r="L927" s="727"/>
      <c r="M927" s="727"/>
      <c r="N927" s="727"/>
      <c r="O927" s="727"/>
    </row>
    <row r="928">
      <c r="A928" s="733">
        <v>46027.0</v>
      </c>
      <c r="B928" s="6" t="s">
        <v>12684</v>
      </c>
      <c r="C928" s="6" t="s">
        <v>12737</v>
      </c>
      <c r="D928" s="727"/>
      <c r="E928" s="729">
        <v>5000.0</v>
      </c>
      <c r="F928" s="727">
        <f t="shared" si="19"/>
        <v>530039</v>
      </c>
      <c r="G928" s="6" t="s">
        <v>3883</v>
      </c>
      <c r="J928" s="727"/>
      <c r="K928" s="727"/>
      <c r="L928" s="727"/>
      <c r="M928" s="727"/>
      <c r="N928" s="727"/>
      <c r="O928" s="727"/>
    </row>
    <row r="929">
      <c r="A929" s="733">
        <v>46027.0</v>
      </c>
      <c r="B929" s="6" t="s">
        <v>12684</v>
      </c>
      <c r="C929" s="6" t="s">
        <v>12738</v>
      </c>
      <c r="D929" s="727"/>
      <c r="E929" s="729">
        <v>5000.0</v>
      </c>
      <c r="F929" s="727">
        <f t="shared" si="19"/>
        <v>525039</v>
      </c>
      <c r="G929" s="6" t="s">
        <v>3883</v>
      </c>
      <c r="J929" s="727"/>
      <c r="K929" s="727"/>
      <c r="L929" s="727"/>
      <c r="M929" s="727"/>
      <c r="N929" s="727"/>
      <c r="O929" s="727"/>
    </row>
    <row r="930">
      <c r="A930" s="733">
        <v>46027.0</v>
      </c>
      <c r="B930" s="6" t="s">
        <v>12684</v>
      </c>
      <c r="C930" s="6" t="s">
        <v>12739</v>
      </c>
      <c r="D930" s="727"/>
      <c r="E930" s="729">
        <v>5000.0</v>
      </c>
      <c r="F930" s="727">
        <f t="shared" si="19"/>
        <v>520039</v>
      </c>
      <c r="G930" s="6" t="s">
        <v>3883</v>
      </c>
      <c r="J930" s="727"/>
      <c r="K930" s="727"/>
      <c r="L930" s="727"/>
      <c r="M930" s="727"/>
      <c r="N930" s="727"/>
      <c r="O930" s="727"/>
    </row>
    <row r="931">
      <c r="A931" s="733">
        <v>46027.0</v>
      </c>
      <c r="B931" s="6" t="s">
        <v>12740</v>
      </c>
      <c r="C931" s="6" t="s">
        <v>12741</v>
      </c>
      <c r="D931" s="727"/>
      <c r="E931" s="729">
        <v>48000.0</v>
      </c>
      <c r="F931" s="727">
        <f t="shared" si="19"/>
        <v>472039</v>
      </c>
      <c r="G931" s="6" t="s">
        <v>3883</v>
      </c>
      <c r="J931" s="727"/>
      <c r="K931" s="727"/>
      <c r="L931" s="727"/>
      <c r="M931" s="727"/>
      <c r="N931" s="727"/>
      <c r="O931" s="727"/>
    </row>
    <row r="932">
      <c r="A932" s="733">
        <v>46028.0</v>
      </c>
      <c r="B932" s="6" t="s">
        <v>12417</v>
      </c>
      <c r="C932" s="6" t="s">
        <v>12391</v>
      </c>
      <c r="D932" s="727"/>
      <c r="E932" s="729">
        <v>288000.0</v>
      </c>
      <c r="F932" s="727">
        <f t="shared" si="19"/>
        <v>184039</v>
      </c>
      <c r="G932" s="6" t="s">
        <v>3883</v>
      </c>
      <c r="J932" s="727"/>
      <c r="K932" s="727"/>
      <c r="L932" s="727"/>
      <c r="M932" s="727"/>
      <c r="N932" s="727"/>
      <c r="O932" s="727"/>
    </row>
    <row r="933">
      <c r="A933" s="733">
        <v>46028.0</v>
      </c>
      <c r="B933" s="6" t="s">
        <v>12684</v>
      </c>
      <c r="C933" s="6" t="s">
        <v>12427</v>
      </c>
      <c r="D933" s="727"/>
      <c r="E933" s="729">
        <v>5000.0</v>
      </c>
      <c r="F933" s="727">
        <f t="shared" si="19"/>
        <v>179039</v>
      </c>
      <c r="G933" s="6" t="s">
        <v>3883</v>
      </c>
      <c r="J933" s="727"/>
      <c r="K933" s="727"/>
      <c r="L933" s="727"/>
      <c r="M933" s="727"/>
      <c r="N933" s="727"/>
      <c r="O933" s="727"/>
    </row>
    <row r="934">
      <c r="A934" s="733">
        <v>46028.0</v>
      </c>
      <c r="B934" s="6" t="s">
        <v>12684</v>
      </c>
      <c r="C934" s="6" t="s">
        <v>12427</v>
      </c>
      <c r="D934" s="727"/>
      <c r="E934" s="729">
        <v>5000.0</v>
      </c>
      <c r="F934" s="727">
        <f t="shared" si="19"/>
        <v>174039</v>
      </c>
      <c r="G934" s="6" t="s">
        <v>3883</v>
      </c>
      <c r="J934" s="727"/>
      <c r="K934" s="727"/>
      <c r="L934" s="727"/>
      <c r="M934" s="727"/>
      <c r="N934" s="727"/>
      <c r="O934" s="727"/>
    </row>
    <row r="935">
      <c r="A935" s="733">
        <v>46028.0</v>
      </c>
      <c r="B935" s="6" t="s">
        <v>12684</v>
      </c>
      <c r="C935" s="6" t="s">
        <v>12427</v>
      </c>
      <c r="D935" s="727"/>
      <c r="E935" s="729">
        <v>5000.0</v>
      </c>
      <c r="F935" s="727">
        <f t="shared" si="19"/>
        <v>169039</v>
      </c>
      <c r="G935" s="6" t="s">
        <v>3883</v>
      </c>
      <c r="J935" s="727"/>
      <c r="K935" s="727"/>
      <c r="L935" s="727"/>
      <c r="M935" s="727"/>
      <c r="N935" s="727"/>
      <c r="O935" s="727"/>
    </row>
    <row r="936">
      <c r="A936" s="733">
        <v>46029.0</v>
      </c>
      <c r="B936" s="6" t="s">
        <v>12184</v>
      </c>
      <c r="C936" s="6" t="s">
        <v>12443</v>
      </c>
      <c r="D936" s="727"/>
      <c r="E936" s="729">
        <v>36000.0</v>
      </c>
      <c r="F936" s="727">
        <f t="shared" si="19"/>
        <v>133039</v>
      </c>
      <c r="G936" s="6" t="s">
        <v>3883</v>
      </c>
      <c r="J936" s="727"/>
      <c r="K936" s="727"/>
      <c r="L936" s="727"/>
      <c r="M936" s="727"/>
      <c r="N936" s="727"/>
      <c r="O936" s="727"/>
    </row>
    <row r="937">
      <c r="A937" s="733">
        <v>46029.0</v>
      </c>
      <c r="B937" s="6" t="s">
        <v>12283</v>
      </c>
      <c r="D937" s="729">
        <v>100000.0</v>
      </c>
      <c r="E937" s="727"/>
      <c r="F937" s="727">
        <f t="shared" si="19"/>
        <v>233039</v>
      </c>
      <c r="G937" s="6" t="s">
        <v>3883</v>
      </c>
      <c r="J937" s="727"/>
      <c r="K937" s="727"/>
      <c r="L937" s="727"/>
      <c r="M937" s="727"/>
      <c r="N937" s="727"/>
      <c r="O937" s="727"/>
    </row>
    <row r="938">
      <c r="A938" s="733">
        <v>46030.0</v>
      </c>
      <c r="B938" s="6" t="s">
        <v>12742</v>
      </c>
      <c r="D938" s="727"/>
      <c r="E938" s="729">
        <v>30000.0</v>
      </c>
      <c r="F938" s="727">
        <f t="shared" si="19"/>
        <v>203039</v>
      </c>
      <c r="G938" s="6" t="s">
        <v>3883</v>
      </c>
      <c r="J938" s="727"/>
      <c r="K938" s="727"/>
      <c r="L938" s="727"/>
      <c r="M938" s="727"/>
      <c r="N938" s="727"/>
      <c r="O938" s="727"/>
    </row>
    <row r="939">
      <c r="A939" s="733">
        <v>46033.0</v>
      </c>
      <c r="B939" s="6" t="s">
        <v>12283</v>
      </c>
      <c r="D939" s="729">
        <v>50000.0</v>
      </c>
      <c r="E939" s="727"/>
      <c r="F939" s="727">
        <f t="shared" si="19"/>
        <v>253039</v>
      </c>
      <c r="G939" s="6" t="s">
        <v>3883</v>
      </c>
      <c r="J939" s="727"/>
      <c r="K939" s="727"/>
      <c r="L939" s="727"/>
      <c r="M939" s="727"/>
      <c r="N939" s="727"/>
      <c r="O939" s="727"/>
    </row>
    <row r="940">
      <c r="A940" s="733">
        <v>46035.0</v>
      </c>
      <c r="B940" s="6" t="s">
        <v>12417</v>
      </c>
      <c r="C940" s="6" t="s">
        <v>12391</v>
      </c>
      <c r="D940" s="727"/>
      <c r="E940" s="729">
        <v>200000.0</v>
      </c>
      <c r="F940" s="727">
        <f t="shared" si="19"/>
        <v>53039</v>
      </c>
      <c r="G940" s="6" t="s">
        <v>3883</v>
      </c>
      <c r="J940" s="727"/>
      <c r="K940" s="727"/>
      <c r="L940" s="727"/>
      <c r="M940" s="727"/>
      <c r="N940" s="727"/>
      <c r="O940" s="727"/>
    </row>
    <row r="941">
      <c r="A941" s="733">
        <v>46037.0</v>
      </c>
      <c r="B941" s="6" t="s">
        <v>12283</v>
      </c>
      <c r="D941" s="729">
        <v>500000.0</v>
      </c>
      <c r="E941" s="727"/>
      <c r="F941" s="727">
        <f t="shared" si="19"/>
        <v>553039</v>
      </c>
      <c r="G941" s="6" t="s">
        <v>3883</v>
      </c>
      <c r="J941" s="727"/>
      <c r="K941" s="727"/>
      <c r="L941" s="727"/>
      <c r="M941" s="727"/>
      <c r="N941" s="727"/>
      <c r="O941" s="727"/>
    </row>
    <row r="942">
      <c r="A942" s="733">
        <v>46037.0</v>
      </c>
      <c r="B942" s="6" t="s">
        <v>12684</v>
      </c>
      <c r="C942" s="6" t="s">
        <v>12743</v>
      </c>
      <c r="D942" s="727"/>
      <c r="E942" s="729">
        <v>20000.0</v>
      </c>
      <c r="F942" s="727">
        <f t="shared" si="19"/>
        <v>533039</v>
      </c>
      <c r="G942" s="6" t="s">
        <v>3883</v>
      </c>
      <c r="J942" s="727"/>
      <c r="K942" s="727"/>
      <c r="L942" s="727"/>
      <c r="M942" s="727"/>
      <c r="N942" s="727"/>
      <c r="O942" s="727"/>
    </row>
    <row r="943">
      <c r="A943" s="733">
        <v>46037.0</v>
      </c>
      <c r="B943" s="6" t="s">
        <v>12744</v>
      </c>
      <c r="D943" s="727"/>
      <c r="E943" s="729">
        <v>15000.0</v>
      </c>
      <c r="F943" s="727">
        <f t="shared" si="19"/>
        <v>518039</v>
      </c>
      <c r="G943" s="6" t="s">
        <v>3883</v>
      </c>
      <c r="J943" s="727"/>
      <c r="K943" s="727"/>
      <c r="L943" s="727"/>
      <c r="M943" s="727"/>
      <c r="N943" s="727"/>
      <c r="O943" s="727"/>
    </row>
    <row r="944">
      <c r="A944" s="733">
        <v>46037.0</v>
      </c>
      <c r="B944" s="6" t="s">
        <v>12745</v>
      </c>
      <c r="D944" s="727"/>
      <c r="E944" s="729">
        <v>100000.0</v>
      </c>
      <c r="F944" s="727">
        <f t="shared" si="19"/>
        <v>418039</v>
      </c>
      <c r="G944" s="6" t="s">
        <v>3883</v>
      </c>
      <c r="J944" s="727"/>
      <c r="K944" s="727"/>
      <c r="L944" s="727"/>
      <c r="M944" s="727"/>
      <c r="N944" s="727"/>
      <c r="O944" s="727"/>
    </row>
    <row r="945">
      <c r="A945" s="733">
        <v>46039.0</v>
      </c>
      <c r="B945" s="6" t="s">
        <v>12746</v>
      </c>
      <c r="D945" s="727"/>
      <c r="E945" s="729">
        <v>100000.0</v>
      </c>
      <c r="F945" s="727">
        <f t="shared" si="19"/>
        <v>318039</v>
      </c>
      <c r="G945" s="6" t="s">
        <v>3883</v>
      </c>
      <c r="J945" s="727"/>
      <c r="K945" s="727"/>
      <c r="L945" s="727"/>
      <c r="M945" s="727"/>
      <c r="N945" s="727"/>
      <c r="O945" s="727"/>
    </row>
    <row r="946">
      <c r="A946" s="733">
        <v>46039.0</v>
      </c>
      <c r="B946" s="6" t="s">
        <v>12417</v>
      </c>
      <c r="C946" s="6" t="s">
        <v>12391</v>
      </c>
      <c r="D946" s="727"/>
      <c r="E946" s="729">
        <v>250000.0</v>
      </c>
      <c r="F946" s="727">
        <f t="shared" si="19"/>
        <v>68039</v>
      </c>
      <c r="G946" s="6" t="s">
        <v>3883</v>
      </c>
      <c r="J946" s="727"/>
      <c r="K946" s="727"/>
      <c r="L946" s="727"/>
      <c r="M946" s="727"/>
      <c r="N946" s="727"/>
      <c r="O946" s="727"/>
    </row>
    <row r="947">
      <c r="A947" s="733">
        <v>46041.0</v>
      </c>
      <c r="B947" s="6" t="s">
        <v>12184</v>
      </c>
      <c r="C947" s="6" t="s">
        <v>12443</v>
      </c>
      <c r="D947" s="727"/>
      <c r="E947" s="729">
        <v>36000.0</v>
      </c>
      <c r="F947" s="727">
        <f t="shared" si="19"/>
        <v>32039</v>
      </c>
      <c r="G947" s="6" t="s">
        <v>3883</v>
      </c>
      <c r="J947" s="727"/>
      <c r="K947" s="727"/>
      <c r="L947" s="727"/>
      <c r="M947" s="727"/>
      <c r="N947" s="727"/>
      <c r="O947" s="727"/>
    </row>
    <row r="948">
      <c r="A948" s="733">
        <v>46041.0</v>
      </c>
      <c r="B948" s="6" t="s">
        <v>12283</v>
      </c>
      <c r="D948" s="729">
        <v>500000.0</v>
      </c>
      <c r="E948" s="727"/>
      <c r="F948" s="727">
        <f t="shared" si="19"/>
        <v>532039</v>
      </c>
      <c r="G948" s="6" t="s">
        <v>3883</v>
      </c>
      <c r="J948" s="727"/>
      <c r="K948" s="727"/>
      <c r="L948" s="727"/>
      <c r="M948" s="727"/>
      <c r="N948" s="727"/>
      <c r="O948" s="727"/>
    </row>
    <row r="949">
      <c r="A949" s="733">
        <v>46042.0</v>
      </c>
      <c r="B949" s="6" t="s">
        <v>12747</v>
      </c>
      <c r="D949" s="727"/>
      <c r="E949" s="729">
        <v>20000.0</v>
      </c>
      <c r="F949" s="727">
        <f t="shared" si="19"/>
        <v>512039</v>
      </c>
      <c r="G949" s="6" t="s">
        <v>3883</v>
      </c>
      <c r="J949" s="727"/>
      <c r="K949" s="727"/>
      <c r="L949" s="727"/>
      <c r="M949" s="727"/>
      <c r="N949" s="727"/>
      <c r="O949" s="727"/>
    </row>
    <row r="950">
      <c r="A950" s="733">
        <v>46043.0</v>
      </c>
      <c r="B950" s="6" t="s">
        <v>12748</v>
      </c>
      <c r="C950" s="6" t="s">
        <v>12749</v>
      </c>
      <c r="D950" s="727"/>
      <c r="E950" s="729">
        <v>25000.0</v>
      </c>
      <c r="F950" s="727">
        <f t="shared" si="19"/>
        <v>487039</v>
      </c>
      <c r="G950" s="6" t="s">
        <v>3883</v>
      </c>
      <c r="J950" s="727"/>
      <c r="K950" s="727"/>
      <c r="L950" s="727"/>
      <c r="M950" s="727"/>
      <c r="N950" s="727"/>
      <c r="O950" s="727"/>
    </row>
    <row r="951">
      <c r="A951" s="733">
        <v>46043.0</v>
      </c>
      <c r="B951" s="6" t="s">
        <v>12750</v>
      </c>
      <c r="C951" s="6" t="s">
        <v>12751</v>
      </c>
      <c r="D951" s="727"/>
      <c r="E951" s="729">
        <v>24000.0</v>
      </c>
      <c r="F951" s="727">
        <f t="shared" si="19"/>
        <v>463039</v>
      </c>
      <c r="G951" s="6" t="s">
        <v>3883</v>
      </c>
      <c r="J951" s="727"/>
      <c r="K951" s="727"/>
      <c r="L951" s="727"/>
      <c r="M951" s="727"/>
      <c r="N951" s="727"/>
      <c r="O951" s="727"/>
    </row>
    <row r="952">
      <c r="A952" s="733">
        <v>46045.0</v>
      </c>
      <c r="B952" s="6" t="s">
        <v>12417</v>
      </c>
      <c r="C952" s="6" t="s">
        <v>12391</v>
      </c>
      <c r="D952" s="727"/>
      <c r="E952" s="729">
        <v>300000.0</v>
      </c>
      <c r="F952" s="727">
        <f t="shared" si="19"/>
        <v>163039</v>
      </c>
      <c r="G952" s="6" t="s">
        <v>3883</v>
      </c>
      <c r="J952" s="727"/>
      <c r="K952" s="727"/>
      <c r="L952" s="727"/>
      <c r="M952" s="727"/>
      <c r="N952" s="727"/>
      <c r="O952" s="727"/>
    </row>
    <row r="953">
      <c r="A953" s="733">
        <v>46046.0</v>
      </c>
      <c r="B953" s="6" t="s">
        <v>12752</v>
      </c>
      <c r="C953" s="6" t="s">
        <v>12753</v>
      </c>
      <c r="D953" s="727"/>
      <c r="E953" s="729">
        <v>70000.0</v>
      </c>
      <c r="F953" s="727">
        <f t="shared" si="19"/>
        <v>93039</v>
      </c>
      <c r="G953" s="6" t="s">
        <v>3883</v>
      </c>
      <c r="J953" s="727"/>
      <c r="K953" s="727"/>
      <c r="L953" s="727"/>
      <c r="M953" s="727"/>
      <c r="N953" s="727"/>
      <c r="O953" s="727"/>
    </row>
    <row r="954">
      <c r="A954" s="733">
        <v>46046.0</v>
      </c>
      <c r="B954" s="6" t="s">
        <v>12283</v>
      </c>
      <c r="D954" s="729">
        <v>500000.0</v>
      </c>
      <c r="E954" s="727"/>
      <c r="F954" s="727">
        <f t="shared" si="19"/>
        <v>593039</v>
      </c>
      <c r="G954" s="6" t="s">
        <v>3883</v>
      </c>
      <c r="J954" s="727"/>
      <c r="K954" s="727"/>
      <c r="L954" s="727"/>
      <c r="M954" s="727"/>
      <c r="N954" s="727"/>
      <c r="O954" s="727"/>
    </row>
    <row r="955">
      <c r="A955" s="733">
        <v>46046.0</v>
      </c>
      <c r="B955" s="6" t="s">
        <v>12754</v>
      </c>
      <c r="C955" s="6" t="s">
        <v>12755</v>
      </c>
      <c r="D955" s="727"/>
      <c r="E955" s="729">
        <v>40000.0</v>
      </c>
      <c r="F955" s="727">
        <f t="shared" si="19"/>
        <v>553039</v>
      </c>
      <c r="G955" s="6" t="s">
        <v>3883</v>
      </c>
      <c r="H955" s="6" t="s">
        <v>12756</v>
      </c>
      <c r="J955" s="727"/>
      <c r="K955" s="727"/>
      <c r="L955" s="727"/>
      <c r="M955" s="727"/>
      <c r="N955" s="727"/>
      <c r="O955" s="727"/>
    </row>
    <row r="956">
      <c r="A956" s="733">
        <v>46048.0</v>
      </c>
      <c r="B956" s="6" t="s">
        <v>12477</v>
      </c>
      <c r="D956" s="727"/>
      <c r="E956" s="729">
        <v>200000.0</v>
      </c>
      <c r="F956" s="727">
        <f t="shared" si="19"/>
        <v>353039</v>
      </c>
      <c r="G956" s="6" t="s">
        <v>3883</v>
      </c>
      <c r="H956" s="6" t="s">
        <v>12590</v>
      </c>
      <c r="J956" s="727"/>
      <c r="K956" s="727"/>
      <c r="L956" s="727"/>
      <c r="M956" s="727"/>
      <c r="N956" s="727"/>
      <c r="O956" s="727"/>
    </row>
    <row r="957">
      <c r="A957" s="733">
        <v>46049.0</v>
      </c>
      <c r="B957" s="6" t="s">
        <v>12283</v>
      </c>
      <c r="D957" s="729">
        <v>500000.0</v>
      </c>
      <c r="E957" s="727"/>
      <c r="F957" s="727">
        <f t="shared" si="19"/>
        <v>853039</v>
      </c>
      <c r="G957" s="6" t="s">
        <v>3883</v>
      </c>
      <c r="H957" s="6" t="s">
        <v>4262</v>
      </c>
      <c r="J957" s="727"/>
      <c r="K957" s="727"/>
      <c r="L957" s="727"/>
      <c r="M957" s="727"/>
      <c r="N957" s="727"/>
      <c r="O957" s="727"/>
    </row>
    <row r="958">
      <c r="A958" s="733">
        <v>46049.0</v>
      </c>
      <c r="B958" s="6" t="s">
        <v>12540</v>
      </c>
      <c r="D958" s="727"/>
      <c r="E958" s="729">
        <v>540600.0</v>
      </c>
      <c r="F958" s="727">
        <f t="shared" si="19"/>
        <v>312439</v>
      </c>
      <c r="G958" s="6" t="s">
        <v>3883</v>
      </c>
      <c r="H958" s="6" t="s">
        <v>12540</v>
      </c>
      <c r="J958" s="727"/>
      <c r="K958" s="727"/>
      <c r="L958" s="727"/>
      <c r="M958" s="727"/>
      <c r="N958" s="727"/>
      <c r="O958" s="727"/>
    </row>
    <row r="959">
      <c r="A959" s="733">
        <v>46055.0</v>
      </c>
      <c r="B959" s="6" t="s">
        <v>12184</v>
      </c>
      <c r="C959" s="6" t="s">
        <v>12443</v>
      </c>
      <c r="D959" s="727"/>
      <c r="E959" s="729">
        <v>36000.0</v>
      </c>
      <c r="F959" s="727">
        <f t="shared" si="19"/>
        <v>276439</v>
      </c>
      <c r="G959" s="6" t="s">
        <v>3883</v>
      </c>
      <c r="H959" s="6" t="s">
        <v>12461</v>
      </c>
      <c r="J959" s="727"/>
      <c r="K959" s="727"/>
      <c r="L959" s="727"/>
      <c r="M959" s="727"/>
      <c r="N959" s="727"/>
      <c r="O959" s="727"/>
    </row>
    <row r="960">
      <c r="A960" s="733">
        <v>46056.0</v>
      </c>
      <c r="B960" s="6" t="s">
        <v>12684</v>
      </c>
      <c r="C960" s="6" t="s">
        <v>12427</v>
      </c>
      <c r="D960" s="727"/>
      <c r="E960" s="729">
        <v>5000.0</v>
      </c>
      <c r="F960" s="727">
        <f t="shared" si="19"/>
        <v>271439</v>
      </c>
      <c r="G960" s="6" t="s">
        <v>3883</v>
      </c>
      <c r="H960" s="6" t="s">
        <v>12271</v>
      </c>
      <c r="J960" s="727"/>
      <c r="K960" s="727"/>
      <c r="L960" s="727"/>
      <c r="M960" s="727"/>
      <c r="N960" s="727"/>
      <c r="O960" s="727"/>
    </row>
    <row r="961">
      <c r="A961" s="733">
        <v>46057.0</v>
      </c>
      <c r="B961" s="6" t="s">
        <v>12757</v>
      </c>
      <c r="C961" s="6" t="s">
        <v>12758</v>
      </c>
      <c r="D961" s="727"/>
      <c r="E961" s="729">
        <v>100000.0</v>
      </c>
      <c r="F961" s="727">
        <f t="shared" si="19"/>
        <v>171439</v>
      </c>
      <c r="G961" s="6" t="s">
        <v>3883</v>
      </c>
      <c r="H961" s="6" t="s">
        <v>12759</v>
      </c>
      <c r="J961" s="727"/>
      <c r="K961" s="727"/>
      <c r="L961" s="727"/>
      <c r="M961" s="727"/>
      <c r="N961" s="727"/>
      <c r="O961" s="727"/>
    </row>
    <row r="962">
      <c r="A962" s="733">
        <v>46063.0</v>
      </c>
      <c r="B962" s="6" t="s">
        <v>12745</v>
      </c>
      <c r="C962" s="6" t="s">
        <v>12760</v>
      </c>
      <c r="D962" s="727"/>
      <c r="E962" s="729">
        <v>100000.0</v>
      </c>
      <c r="F962" s="727">
        <f t="shared" si="19"/>
        <v>71439</v>
      </c>
      <c r="G962" s="6" t="s">
        <v>3883</v>
      </c>
      <c r="H962" s="6" t="s">
        <v>12761</v>
      </c>
      <c r="J962" s="727"/>
      <c r="K962" s="727"/>
      <c r="L962" s="727"/>
      <c r="M962" s="727"/>
      <c r="N962" s="727"/>
      <c r="O962" s="727"/>
    </row>
    <row r="963">
      <c r="A963" s="733">
        <v>46064.0</v>
      </c>
      <c r="B963" s="6" t="s">
        <v>12733</v>
      </c>
      <c r="D963" s="727"/>
      <c r="E963" s="729">
        <v>30000.0</v>
      </c>
      <c r="F963" s="727">
        <f t="shared" si="19"/>
        <v>41439</v>
      </c>
      <c r="G963" s="6" t="s">
        <v>3883</v>
      </c>
      <c r="H963" s="6" t="s">
        <v>12196</v>
      </c>
      <c r="J963" s="727"/>
      <c r="K963" s="727"/>
      <c r="L963" s="727"/>
      <c r="M963" s="727"/>
      <c r="N963" s="727"/>
      <c r="O963" s="727"/>
    </row>
    <row r="964">
      <c r="A964" s="733">
        <v>46066.0</v>
      </c>
      <c r="B964" s="6" t="s">
        <v>12184</v>
      </c>
      <c r="C964" s="6" t="s">
        <v>12443</v>
      </c>
      <c r="D964" s="727"/>
      <c r="E964" s="729">
        <v>36000.0</v>
      </c>
      <c r="F964" s="727">
        <f t="shared" si="19"/>
        <v>5439</v>
      </c>
      <c r="G964" s="6" t="s">
        <v>3883</v>
      </c>
      <c r="H964" s="6" t="s">
        <v>12196</v>
      </c>
      <c r="J964" s="727"/>
      <c r="K964" s="727"/>
      <c r="L964" s="727"/>
      <c r="M964" s="727"/>
      <c r="N964" s="727"/>
      <c r="O964" s="727"/>
    </row>
    <row r="965">
      <c r="A965" s="733">
        <v>46071.0</v>
      </c>
      <c r="B965" s="6" t="s">
        <v>12283</v>
      </c>
      <c r="D965" s="729">
        <v>500000.0</v>
      </c>
      <c r="E965" s="727"/>
      <c r="F965" s="727">
        <f t="shared" si="19"/>
        <v>505439</v>
      </c>
      <c r="G965" s="6" t="s">
        <v>3883</v>
      </c>
      <c r="H965" s="6" t="s">
        <v>3883</v>
      </c>
      <c r="J965" s="727"/>
      <c r="K965" s="727"/>
      <c r="L965" s="727"/>
      <c r="M965" s="727"/>
      <c r="N965" s="727"/>
      <c r="O965" s="727"/>
    </row>
    <row r="966">
      <c r="A966" s="733">
        <v>46071.0</v>
      </c>
      <c r="B966" s="6" t="s">
        <v>12417</v>
      </c>
      <c r="C966" s="6" t="s">
        <v>12391</v>
      </c>
      <c r="D966" s="727"/>
      <c r="E966" s="729">
        <v>300000.0</v>
      </c>
      <c r="F966" s="727">
        <f t="shared" si="19"/>
        <v>205439</v>
      </c>
      <c r="G966" s="6" t="s">
        <v>3883</v>
      </c>
      <c r="H966" s="6" t="s">
        <v>12196</v>
      </c>
      <c r="J966" s="727"/>
      <c r="K966" s="727"/>
      <c r="L966" s="727"/>
      <c r="M966" s="727"/>
      <c r="N966" s="727"/>
      <c r="O966" s="727"/>
    </row>
    <row r="967">
      <c r="A967" s="733">
        <v>46072.0</v>
      </c>
      <c r="B967" s="6" t="s">
        <v>12684</v>
      </c>
      <c r="C967" s="6" t="s">
        <v>12427</v>
      </c>
      <c r="D967" s="727"/>
      <c r="E967" s="729">
        <v>5000.0</v>
      </c>
      <c r="F967" s="727">
        <f t="shared" si="19"/>
        <v>200439</v>
      </c>
      <c r="G967" s="6" t="s">
        <v>3883</v>
      </c>
      <c r="H967" s="6" t="s">
        <v>12196</v>
      </c>
      <c r="J967" s="727"/>
      <c r="K967" s="727"/>
      <c r="L967" s="727"/>
      <c r="M967" s="727"/>
      <c r="N967" s="727"/>
      <c r="O967" s="727"/>
    </row>
    <row r="968">
      <c r="A968" s="733">
        <v>46073.0</v>
      </c>
      <c r="B968" s="6" t="s">
        <v>12684</v>
      </c>
      <c r="C968" s="6" t="s">
        <v>12427</v>
      </c>
      <c r="D968" s="727"/>
      <c r="E968" s="729">
        <v>5000.0</v>
      </c>
      <c r="F968" s="727">
        <f t="shared" si="19"/>
        <v>195439</v>
      </c>
      <c r="G968" s="6" t="s">
        <v>3883</v>
      </c>
      <c r="H968" s="6" t="s">
        <v>12461</v>
      </c>
      <c r="J968" s="727"/>
      <c r="K968" s="727"/>
      <c r="L968" s="727"/>
      <c r="M968" s="727"/>
      <c r="N968" s="727"/>
      <c r="O968" s="727"/>
    </row>
    <row r="969">
      <c r="A969" s="733">
        <v>46073.0</v>
      </c>
      <c r="B969" s="6" t="s">
        <v>12684</v>
      </c>
      <c r="C969" s="6" t="s">
        <v>12427</v>
      </c>
      <c r="D969" s="727"/>
      <c r="E969" s="729">
        <v>5000.0</v>
      </c>
      <c r="F969" s="727">
        <f t="shared" si="19"/>
        <v>190439</v>
      </c>
      <c r="G969" s="6" t="s">
        <v>3883</v>
      </c>
      <c r="H969" s="6" t="s">
        <v>12461</v>
      </c>
      <c r="J969" s="727"/>
      <c r="K969" s="727"/>
      <c r="L969" s="727"/>
      <c r="M969" s="727"/>
      <c r="N969" s="727"/>
      <c r="O969" s="727"/>
    </row>
    <row r="970">
      <c r="A970" s="733">
        <v>46074.0</v>
      </c>
      <c r="B970" s="6" t="s">
        <v>12626</v>
      </c>
      <c r="D970" s="727"/>
      <c r="E970" s="729">
        <v>65000.0</v>
      </c>
      <c r="F970" s="727">
        <f t="shared" si="19"/>
        <v>125439</v>
      </c>
      <c r="G970" s="6" t="s">
        <v>3883</v>
      </c>
      <c r="H970" s="6" t="s">
        <v>12516</v>
      </c>
      <c r="J970" s="727"/>
      <c r="K970" s="727"/>
      <c r="L970" s="727"/>
      <c r="M970" s="727"/>
      <c r="N970" s="727"/>
      <c r="O970" s="727"/>
    </row>
    <row r="971">
      <c r="A971" s="733">
        <v>46076.0</v>
      </c>
      <c r="B971" s="6" t="s">
        <v>12684</v>
      </c>
      <c r="C971" s="6" t="s">
        <v>12427</v>
      </c>
      <c r="D971" s="727"/>
      <c r="E971" s="729">
        <v>5000.0</v>
      </c>
      <c r="F971" s="727">
        <f t="shared" si="19"/>
        <v>120439</v>
      </c>
      <c r="G971" s="6" t="s">
        <v>3883</v>
      </c>
      <c r="H971" s="6" t="s">
        <v>12461</v>
      </c>
      <c r="J971" s="727"/>
      <c r="K971" s="727"/>
      <c r="L971" s="727"/>
      <c r="M971" s="727"/>
      <c r="N971" s="727"/>
      <c r="O971" s="727"/>
    </row>
    <row r="972">
      <c r="A972" s="733">
        <v>46076.0</v>
      </c>
      <c r="B972" s="6" t="s">
        <v>12762</v>
      </c>
      <c r="C972" s="6" t="s">
        <v>12763</v>
      </c>
      <c r="D972" s="727"/>
      <c r="E972" s="729">
        <v>14000.0</v>
      </c>
      <c r="F972" s="727">
        <f t="shared" si="19"/>
        <v>106439</v>
      </c>
      <c r="G972" s="6" t="s">
        <v>3883</v>
      </c>
      <c r="H972" s="6" t="s">
        <v>12196</v>
      </c>
      <c r="J972" s="727"/>
      <c r="K972" s="727"/>
      <c r="L972" s="727"/>
      <c r="M972" s="727"/>
      <c r="N972" s="727"/>
      <c r="O972" s="727"/>
    </row>
    <row r="973">
      <c r="A973" s="733">
        <v>46077.0</v>
      </c>
      <c r="B973" s="6" t="s">
        <v>12283</v>
      </c>
      <c r="D973" s="729">
        <v>500000.0</v>
      </c>
      <c r="E973" s="727"/>
      <c r="F973" s="727">
        <f t="shared" si="19"/>
        <v>606439</v>
      </c>
      <c r="G973" s="6" t="s">
        <v>3883</v>
      </c>
      <c r="J973" s="727"/>
      <c r="K973" s="727"/>
      <c r="L973" s="727"/>
      <c r="M973" s="727"/>
      <c r="N973" s="727"/>
      <c r="O973" s="727"/>
    </row>
    <row r="974">
      <c r="A974" s="733">
        <v>46078.0</v>
      </c>
      <c r="B974" s="6" t="s">
        <v>12417</v>
      </c>
      <c r="C974" s="6" t="s">
        <v>12391</v>
      </c>
      <c r="D974" s="727"/>
      <c r="E974" s="729">
        <v>300000.0</v>
      </c>
      <c r="F974" s="727">
        <f t="shared" si="19"/>
        <v>306439</v>
      </c>
      <c r="G974" s="6" t="s">
        <v>3883</v>
      </c>
      <c r="H974" s="6" t="s">
        <v>12196</v>
      </c>
      <c r="J974" s="727"/>
      <c r="K974" s="727"/>
      <c r="L974" s="727"/>
      <c r="M974" s="727"/>
      <c r="N974" s="727"/>
      <c r="O974" s="727"/>
    </row>
    <row r="975">
      <c r="A975" s="733">
        <v>46080.0</v>
      </c>
      <c r="B975" s="6" t="s">
        <v>12764</v>
      </c>
      <c r="C975" s="6" t="s">
        <v>12765</v>
      </c>
      <c r="D975" s="727"/>
      <c r="E975" s="729">
        <v>50000.0</v>
      </c>
      <c r="F975" s="727">
        <f t="shared" si="19"/>
        <v>256439</v>
      </c>
      <c r="G975" s="6" t="s">
        <v>3883</v>
      </c>
      <c r="H975" s="6" t="s">
        <v>12196</v>
      </c>
      <c r="J975" s="727"/>
      <c r="K975" s="727"/>
      <c r="L975" s="727"/>
      <c r="M975" s="727"/>
      <c r="N975" s="727"/>
      <c r="O975" s="727"/>
    </row>
    <row r="976">
      <c r="A976" s="733">
        <v>46081.0</v>
      </c>
      <c r="B976" s="6" t="s">
        <v>12540</v>
      </c>
      <c r="D976" s="727"/>
      <c r="E976" s="729">
        <v>246409.0</v>
      </c>
      <c r="F976" s="727">
        <f t="shared" si="19"/>
        <v>10030</v>
      </c>
      <c r="G976" s="6" t="s">
        <v>3883</v>
      </c>
      <c r="H976" s="6" t="s">
        <v>12540</v>
      </c>
      <c r="J976" s="727"/>
      <c r="K976" s="727"/>
      <c r="L976" s="727"/>
      <c r="M976" s="727"/>
      <c r="N976" s="727"/>
      <c r="O976" s="727"/>
    </row>
    <row r="977">
      <c r="A977" s="733">
        <v>46083.0</v>
      </c>
      <c r="B977" s="6" t="s">
        <v>12283</v>
      </c>
      <c r="D977" s="729">
        <v>500000.0</v>
      </c>
      <c r="E977" s="727"/>
      <c r="F977" s="727">
        <f t="shared" si="19"/>
        <v>510030</v>
      </c>
      <c r="G977" s="6" t="s">
        <v>3883</v>
      </c>
      <c r="H977" s="6" t="s">
        <v>3883</v>
      </c>
      <c r="J977" s="727"/>
      <c r="K977" s="727"/>
      <c r="L977" s="727"/>
      <c r="M977" s="727"/>
      <c r="N977" s="727"/>
      <c r="O977" s="727"/>
    </row>
    <row r="978">
      <c r="A978" s="733">
        <v>46083.0</v>
      </c>
      <c r="B978" s="6" t="s">
        <v>12283</v>
      </c>
      <c r="C978" s="6" t="s">
        <v>12766</v>
      </c>
      <c r="D978" s="729">
        <v>50000.0</v>
      </c>
      <c r="E978" s="727"/>
      <c r="F978" s="727">
        <f t="shared" si="19"/>
        <v>560030</v>
      </c>
      <c r="G978" s="6" t="s">
        <v>3883</v>
      </c>
      <c r="H978" s="6" t="s">
        <v>3883</v>
      </c>
      <c r="J978" s="727"/>
      <c r="K978" s="727"/>
      <c r="L978" s="727"/>
      <c r="M978" s="727"/>
      <c r="N978" s="727"/>
      <c r="O978" s="727"/>
    </row>
    <row r="979">
      <c r="A979" s="733">
        <v>46083.0</v>
      </c>
      <c r="B979" s="6" t="s">
        <v>12184</v>
      </c>
      <c r="C979" s="6" t="s">
        <v>12443</v>
      </c>
      <c r="D979" s="727"/>
      <c r="E979" s="729">
        <v>36000.0</v>
      </c>
      <c r="F979" s="727">
        <f t="shared" si="19"/>
        <v>524030</v>
      </c>
      <c r="G979" s="6" t="s">
        <v>3883</v>
      </c>
      <c r="H979" s="6" t="s">
        <v>12196</v>
      </c>
      <c r="J979" s="727"/>
      <c r="K979" s="727"/>
      <c r="L979" s="727"/>
      <c r="M979" s="727"/>
      <c r="N979" s="727"/>
      <c r="O979" s="727"/>
    </row>
    <row r="980">
      <c r="A980" s="733">
        <v>46083.0</v>
      </c>
      <c r="B980" s="6" t="s">
        <v>12744</v>
      </c>
      <c r="D980" s="727"/>
      <c r="E980" s="729">
        <v>15000.0</v>
      </c>
      <c r="F980" s="727">
        <f t="shared" si="19"/>
        <v>509030</v>
      </c>
      <c r="G980" s="6" t="s">
        <v>3883</v>
      </c>
      <c r="H980" s="6" t="s">
        <v>12196</v>
      </c>
      <c r="J980" s="727"/>
      <c r="K980" s="727"/>
      <c r="L980" s="727"/>
      <c r="M980" s="727"/>
      <c r="N980" s="727"/>
      <c r="O980" s="727"/>
    </row>
    <row r="981">
      <c r="A981" s="733">
        <v>46083.0</v>
      </c>
      <c r="B981" s="6" t="s">
        <v>12684</v>
      </c>
      <c r="C981" s="6" t="s">
        <v>12427</v>
      </c>
      <c r="D981" s="727"/>
      <c r="E981" s="729">
        <v>5000.0</v>
      </c>
      <c r="F981" s="727">
        <f t="shared" si="19"/>
        <v>504030</v>
      </c>
      <c r="G981" s="6" t="s">
        <v>3883</v>
      </c>
      <c r="H981" s="6" t="s">
        <v>12196</v>
      </c>
      <c r="J981" s="727"/>
      <c r="K981" s="727"/>
      <c r="L981" s="727"/>
      <c r="M981" s="727"/>
      <c r="N981" s="727"/>
      <c r="O981" s="727"/>
    </row>
    <row r="982">
      <c r="A982" s="733">
        <v>46085.0</v>
      </c>
      <c r="B982" s="6" t="s">
        <v>12757</v>
      </c>
      <c r="C982" s="6" t="s">
        <v>12758</v>
      </c>
      <c r="D982" s="727"/>
      <c r="E982" s="729">
        <v>100000.0</v>
      </c>
      <c r="F982" s="727">
        <f t="shared" si="19"/>
        <v>404030</v>
      </c>
      <c r="G982" s="6" t="s">
        <v>3883</v>
      </c>
      <c r="J982" s="727"/>
      <c r="K982" s="727"/>
      <c r="L982" s="727"/>
      <c r="M982" s="727"/>
      <c r="N982" s="727"/>
      <c r="O982" s="727"/>
    </row>
    <row r="983">
      <c r="A983" s="733">
        <v>46085.0</v>
      </c>
      <c r="B983" s="6" t="s">
        <v>12745</v>
      </c>
      <c r="C983" s="6" t="s">
        <v>12767</v>
      </c>
      <c r="D983" s="727"/>
      <c r="E983" s="729">
        <v>100000.0</v>
      </c>
      <c r="F983" s="727">
        <f t="shared" si="19"/>
        <v>304030</v>
      </c>
      <c r="G983" s="6" t="s">
        <v>3883</v>
      </c>
      <c r="J983" s="727"/>
      <c r="K983" s="727"/>
      <c r="L983" s="727"/>
      <c r="M983" s="727"/>
      <c r="N983" s="727"/>
      <c r="O983" s="727"/>
    </row>
    <row r="984">
      <c r="A984" s="733">
        <v>46086.0</v>
      </c>
      <c r="B984" s="6" t="s">
        <v>12417</v>
      </c>
      <c r="C984" s="6" t="s">
        <v>12391</v>
      </c>
      <c r="D984" s="727"/>
      <c r="E984" s="729">
        <v>300000.0</v>
      </c>
      <c r="F984" s="727">
        <f t="shared" si="19"/>
        <v>4030</v>
      </c>
      <c r="G984" s="6" t="s">
        <v>3883</v>
      </c>
      <c r="J984" s="727"/>
      <c r="K984" s="727"/>
      <c r="L984" s="727"/>
      <c r="M984" s="727"/>
      <c r="N984" s="727"/>
      <c r="O984" s="727"/>
    </row>
    <row r="985">
      <c r="A985" s="733">
        <v>46088.0</v>
      </c>
      <c r="B985" s="6" t="s">
        <v>12283</v>
      </c>
      <c r="C985" s="6" t="s">
        <v>12766</v>
      </c>
      <c r="D985" s="729">
        <v>100000.0</v>
      </c>
      <c r="E985" s="727"/>
      <c r="F985" s="727">
        <f t="shared" si="19"/>
        <v>104030</v>
      </c>
      <c r="G985" s="6" t="s">
        <v>3883</v>
      </c>
      <c r="J985" s="727"/>
      <c r="K985" s="727"/>
      <c r="L985" s="727"/>
      <c r="M985" s="727"/>
      <c r="N985" s="727"/>
      <c r="O985" s="727"/>
    </row>
    <row r="986">
      <c r="A986" s="733">
        <v>46088.0</v>
      </c>
      <c r="B986" s="6" t="s">
        <v>12623</v>
      </c>
      <c r="C986" s="6" t="s">
        <v>12768</v>
      </c>
      <c r="D986" s="727"/>
      <c r="E986" s="729">
        <v>95000.0</v>
      </c>
      <c r="F986" s="727">
        <f t="shared" si="19"/>
        <v>9030</v>
      </c>
      <c r="G986" s="6" t="s">
        <v>3883</v>
      </c>
      <c r="J986" s="727"/>
      <c r="K986" s="727"/>
      <c r="L986" s="727"/>
      <c r="M986" s="727"/>
      <c r="N986" s="727"/>
      <c r="O986" s="727"/>
    </row>
    <row r="987">
      <c r="A987" s="733">
        <v>46088.0</v>
      </c>
      <c r="B987" s="6" t="s">
        <v>12283</v>
      </c>
      <c r="D987" s="729">
        <v>500000.0</v>
      </c>
      <c r="E987" s="727"/>
      <c r="F987" s="727">
        <f t="shared" si="19"/>
        <v>509030</v>
      </c>
      <c r="G987" s="6" t="s">
        <v>3883</v>
      </c>
      <c r="J987" s="727"/>
      <c r="K987" s="727"/>
      <c r="L987" s="727"/>
      <c r="M987" s="727"/>
      <c r="N987" s="727"/>
      <c r="O987" s="727"/>
    </row>
    <row r="988">
      <c r="A988" s="733">
        <v>46088.0</v>
      </c>
      <c r="B988" s="6" t="s">
        <v>12684</v>
      </c>
      <c r="C988" s="6" t="s">
        <v>12427</v>
      </c>
      <c r="D988" s="727"/>
      <c r="E988" s="729">
        <v>5000.0</v>
      </c>
      <c r="F988" s="727">
        <f t="shared" si="19"/>
        <v>504030</v>
      </c>
      <c r="G988" s="6" t="s">
        <v>3883</v>
      </c>
      <c r="J988" s="727"/>
      <c r="K988" s="727"/>
      <c r="L988" s="727"/>
      <c r="M988" s="727"/>
      <c r="N988" s="727"/>
      <c r="O988" s="727"/>
    </row>
    <row r="989">
      <c r="A989" s="733">
        <v>46088.0</v>
      </c>
      <c r="B989" s="6" t="s">
        <v>12684</v>
      </c>
      <c r="C989" s="6" t="s">
        <v>12427</v>
      </c>
      <c r="D989" s="727"/>
      <c r="E989" s="729">
        <v>5000.0</v>
      </c>
      <c r="F989" s="727">
        <f t="shared" si="19"/>
        <v>499030</v>
      </c>
      <c r="G989" s="6" t="s">
        <v>3883</v>
      </c>
      <c r="J989" s="727"/>
      <c r="K989" s="727"/>
      <c r="L989" s="727"/>
      <c r="M989" s="727"/>
      <c r="N989" s="727"/>
      <c r="O989" s="727"/>
    </row>
    <row r="990">
      <c r="A990" s="733">
        <v>46090.0</v>
      </c>
      <c r="B990" s="6" t="s">
        <v>12417</v>
      </c>
      <c r="C990" s="6" t="s">
        <v>12391</v>
      </c>
      <c r="D990" s="727"/>
      <c r="E990" s="729">
        <v>200000.0</v>
      </c>
      <c r="F990" s="727">
        <f t="shared" si="19"/>
        <v>299030</v>
      </c>
      <c r="G990" s="6" t="s">
        <v>3883</v>
      </c>
      <c r="J990" s="727"/>
      <c r="K990" s="727"/>
      <c r="L990" s="727"/>
      <c r="M990" s="727"/>
      <c r="N990" s="727"/>
      <c r="O990" s="727"/>
    </row>
    <row r="991">
      <c r="A991" s="733">
        <v>46091.0</v>
      </c>
      <c r="B991" s="6" t="s">
        <v>12283</v>
      </c>
      <c r="D991" s="729">
        <v>500000.0</v>
      </c>
      <c r="E991" s="727"/>
      <c r="F991" s="727">
        <f t="shared" si="19"/>
        <v>799030</v>
      </c>
      <c r="G991" s="6" t="s">
        <v>3883</v>
      </c>
      <c r="J991" s="727"/>
      <c r="K991" s="727"/>
      <c r="L991" s="727"/>
      <c r="M991" s="727"/>
      <c r="N991" s="727"/>
      <c r="O991" s="727"/>
    </row>
    <row r="992">
      <c r="A992" s="733">
        <v>46091.0</v>
      </c>
      <c r="B992" s="6" t="s">
        <v>12417</v>
      </c>
      <c r="C992" s="6" t="s">
        <v>12391</v>
      </c>
      <c r="D992" s="727"/>
      <c r="E992" s="729">
        <v>300000.0</v>
      </c>
      <c r="F992" s="727">
        <f t="shared" si="19"/>
        <v>499030</v>
      </c>
      <c r="G992" s="6" t="s">
        <v>3883</v>
      </c>
      <c r="J992" s="727"/>
      <c r="K992" s="727"/>
      <c r="L992" s="727"/>
      <c r="M992" s="727"/>
      <c r="N992" s="727"/>
      <c r="O992" s="727"/>
    </row>
    <row r="993">
      <c r="A993" s="733">
        <v>46092.0</v>
      </c>
      <c r="B993" s="6" t="s">
        <v>12540</v>
      </c>
      <c r="C993" s="6" t="s">
        <v>12769</v>
      </c>
      <c r="D993" s="727"/>
      <c r="E993" s="729">
        <v>295948.0</v>
      </c>
      <c r="F993" s="727">
        <f t="shared" si="19"/>
        <v>203082</v>
      </c>
      <c r="G993" s="6" t="s">
        <v>3883</v>
      </c>
      <c r="J993" s="727"/>
      <c r="K993" s="727"/>
      <c r="L993" s="727"/>
      <c r="M993" s="727"/>
      <c r="N993" s="727"/>
      <c r="O993" s="727"/>
    </row>
    <row r="994">
      <c r="A994" s="733">
        <v>46093.0</v>
      </c>
      <c r="B994" s="6" t="s">
        <v>12684</v>
      </c>
      <c r="C994" s="6" t="s">
        <v>12427</v>
      </c>
      <c r="D994" s="727"/>
      <c r="E994" s="729">
        <v>5000.0</v>
      </c>
      <c r="F994" s="727">
        <f t="shared" si="19"/>
        <v>198082</v>
      </c>
      <c r="J994" s="727"/>
      <c r="K994" s="727"/>
      <c r="L994" s="727"/>
      <c r="M994" s="727"/>
      <c r="N994" s="727"/>
      <c r="O994" s="727"/>
    </row>
    <row r="995">
      <c r="A995" s="733">
        <v>46093.0</v>
      </c>
      <c r="B995" s="6" t="s">
        <v>12684</v>
      </c>
      <c r="C995" s="6" t="s">
        <v>12427</v>
      </c>
      <c r="D995" s="727"/>
      <c r="E995" s="729">
        <v>5000.0</v>
      </c>
      <c r="F995" s="727">
        <f t="shared" si="19"/>
        <v>193082</v>
      </c>
      <c r="J995" s="727"/>
      <c r="K995" s="727"/>
      <c r="L995" s="727"/>
      <c r="M995" s="727"/>
      <c r="N995" s="727"/>
      <c r="O995" s="727"/>
    </row>
    <row r="996">
      <c r="A996" s="733">
        <v>46094.0</v>
      </c>
      <c r="B996" s="6" t="s">
        <v>12684</v>
      </c>
      <c r="C996" s="6" t="s">
        <v>12427</v>
      </c>
      <c r="D996" s="727"/>
      <c r="E996" s="729">
        <v>5000.0</v>
      </c>
      <c r="F996" s="727">
        <f t="shared" si="19"/>
        <v>188082</v>
      </c>
      <c r="J996" s="727"/>
      <c r="K996" s="727"/>
      <c r="L996" s="727"/>
      <c r="M996" s="727"/>
      <c r="N996" s="727"/>
      <c r="O996" s="727"/>
    </row>
    <row r="997">
      <c r="A997" s="733">
        <v>46094.0</v>
      </c>
      <c r="B997" s="6" t="s">
        <v>12684</v>
      </c>
      <c r="C997" s="6" t="s">
        <v>12427</v>
      </c>
      <c r="D997" s="727"/>
      <c r="E997" s="729">
        <v>5000.0</v>
      </c>
      <c r="F997" s="727">
        <f t="shared" si="19"/>
        <v>183082</v>
      </c>
      <c r="J997" s="727"/>
      <c r="K997" s="727"/>
      <c r="L997" s="727"/>
      <c r="M997" s="727"/>
      <c r="N997" s="727"/>
      <c r="O997" s="727"/>
    </row>
    <row r="998">
      <c r="A998" s="733">
        <v>46094.0</v>
      </c>
      <c r="B998" s="6" t="s">
        <v>12184</v>
      </c>
      <c r="C998" s="6" t="s">
        <v>12443</v>
      </c>
      <c r="D998" s="727"/>
      <c r="E998" s="729">
        <v>36000.0</v>
      </c>
      <c r="F998" s="727">
        <f t="shared" si="19"/>
        <v>147082</v>
      </c>
      <c r="J998" s="727"/>
      <c r="K998" s="727"/>
      <c r="L998" s="727"/>
      <c r="M998" s="727"/>
      <c r="N998" s="727"/>
      <c r="O998" s="727"/>
    </row>
    <row r="999">
      <c r="A999" s="733">
        <v>46097.0</v>
      </c>
      <c r="B999" s="6" t="s">
        <v>12477</v>
      </c>
      <c r="D999" s="727"/>
      <c r="E999" s="729">
        <v>100000.0</v>
      </c>
      <c r="F999" s="727">
        <f t="shared" si="19"/>
        <v>47082</v>
      </c>
      <c r="J999" s="727"/>
      <c r="K999" s="727"/>
      <c r="L999" s="727"/>
      <c r="M999" s="727"/>
      <c r="N999" s="727"/>
      <c r="O999" s="727"/>
    </row>
    <row r="1000">
      <c r="A1000" s="733">
        <v>46097.0</v>
      </c>
      <c r="B1000" s="6" t="s">
        <v>12684</v>
      </c>
      <c r="C1000" s="6" t="s">
        <v>12770</v>
      </c>
      <c r="D1000" s="727"/>
      <c r="E1000" s="729">
        <v>5000.0</v>
      </c>
      <c r="F1000" s="727">
        <f t="shared" si="19"/>
        <v>42082</v>
      </c>
      <c r="J1000" s="727"/>
      <c r="K1000" s="727"/>
      <c r="L1000" s="727"/>
      <c r="M1000" s="727"/>
      <c r="N1000" s="727"/>
      <c r="O1000" s="727"/>
    </row>
    <row r="1001">
      <c r="A1001" s="733">
        <v>46097.0</v>
      </c>
      <c r="B1001" s="6" t="s">
        <v>12283</v>
      </c>
      <c r="D1001" s="729">
        <v>500000.0</v>
      </c>
      <c r="E1001" s="727"/>
      <c r="F1001" s="727">
        <f t="shared" si="19"/>
        <v>542082</v>
      </c>
      <c r="J1001" s="727"/>
      <c r="K1001" s="727"/>
      <c r="L1001" s="727"/>
      <c r="M1001" s="727"/>
      <c r="N1001" s="727"/>
      <c r="O1001" s="727"/>
    </row>
    <row r="1002">
      <c r="A1002" s="733">
        <v>46097.0</v>
      </c>
      <c r="B1002" s="6" t="s">
        <v>12417</v>
      </c>
      <c r="C1002" s="6" t="s">
        <v>12391</v>
      </c>
      <c r="D1002" s="727"/>
      <c r="E1002" s="729">
        <v>300000.0</v>
      </c>
      <c r="F1002" s="727">
        <f t="shared" si="19"/>
        <v>242082</v>
      </c>
      <c r="J1002" s="727"/>
      <c r="K1002" s="727"/>
      <c r="L1002" s="727"/>
      <c r="M1002" s="727"/>
      <c r="N1002" s="727"/>
      <c r="O1002" s="727"/>
    </row>
    <row r="1003">
      <c r="A1003" s="733">
        <v>46098.0</v>
      </c>
      <c r="B1003" s="6" t="s">
        <v>12684</v>
      </c>
      <c r="C1003" s="6" t="s">
        <v>12427</v>
      </c>
      <c r="D1003" s="727"/>
      <c r="E1003" s="729">
        <v>5000.0</v>
      </c>
      <c r="F1003" s="727">
        <f t="shared" si="19"/>
        <v>237082</v>
      </c>
      <c r="J1003" s="727"/>
      <c r="K1003" s="727"/>
      <c r="L1003" s="727"/>
      <c r="M1003" s="727"/>
      <c r="N1003" s="727"/>
      <c r="O1003" s="727"/>
    </row>
    <row r="1004">
      <c r="A1004" s="733">
        <v>46098.0</v>
      </c>
      <c r="B1004" s="6" t="s">
        <v>12684</v>
      </c>
      <c r="C1004" s="6" t="s">
        <v>12427</v>
      </c>
      <c r="D1004" s="727"/>
      <c r="E1004" s="729">
        <v>5000.0</v>
      </c>
      <c r="F1004" s="727">
        <f t="shared" si="19"/>
        <v>232082</v>
      </c>
      <c r="J1004" s="727"/>
      <c r="K1004" s="727"/>
      <c r="L1004" s="727"/>
      <c r="M1004" s="727"/>
      <c r="N1004" s="727"/>
      <c r="O1004" s="727"/>
    </row>
    <row r="1005">
      <c r="A1005" s="733">
        <v>46098.0</v>
      </c>
      <c r="B1005" s="6" t="s">
        <v>12771</v>
      </c>
      <c r="C1005" s="6" t="s">
        <v>12772</v>
      </c>
      <c r="D1005" s="727"/>
      <c r="E1005" s="729">
        <v>10000.0</v>
      </c>
      <c r="F1005" s="727">
        <f t="shared" si="19"/>
        <v>222082</v>
      </c>
      <c r="J1005" s="727"/>
      <c r="K1005" s="727"/>
      <c r="L1005" s="727"/>
      <c r="M1005" s="727"/>
      <c r="N1005" s="727"/>
      <c r="O1005" s="727"/>
    </row>
    <row r="1006">
      <c r="A1006" s="733">
        <v>46098.0</v>
      </c>
      <c r="B1006" s="6" t="s">
        <v>12623</v>
      </c>
      <c r="C1006" s="6" t="s">
        <v>12768</v>
      </c>
      <c r="D1006" s="727"/>
      <c r="E1006" s="729">
        <v>95000.0</v>
      </c>
      <c r="F1006" s="727">
        <f t="shared" si="19"/>
        <v>127082</v>
      </c>
      <c r="J1006" s="727"/>
      <c r="K1006" s="727"/>
      <c r="L1006" s="727"/>
      <c r="M1006" s="727"/>
      <c r="N1006" s="727"/>
      <c r="O1006" s="727"/>
    </row>
    <row r="1007">
      <c r="A1007" s="733">
        <v>46107.0</v>
      </c>
      <c r="B1007" s="6" t="s">
        <v>12773</v>
      </c>
      <c r="C1007" s="6" t="s">
        <v>12774</v>
      </c>
      <c r="D1007" s="727"/>
      <c r="E1007" s="729">
        <v>13700.0</v>
      </c>
      <c r="F1007" s="727">
        <f t="shared" si="19"/>
        <v>113382</v>
      </c>
      <c r="J1007" s="727"/>
      <c r="K1007" s="727"/>
      <c r="L1007" s="727"/>
      <c r="M1007" s="727"/>
      <c r="N1007" s="727"/>
      <c r="O1007" s="727"/>
    </row>
    <row r="1008">
      <c r="A1008" s="733">
        <v>46107.0</v>
      </c>
      <c r="B1008" s="6" t="s">
        <v>12684</v>
      </c>
      <c r="C1008" s="6" t="s">
        <v>12427</v>
      </c>
      <c r="D1008" s="727"/>
      <c r="E1008" s="729">
        <v>5000.0</v>
      </c>
      <c r="F1008" s="727">
        <f t="shared" si="19"/>
        <v>108382</v>
      </c>
      <c r="J1008" s="727"/>
      <c r="K1008" s="727"/>
      <c r="L1008" s="727"/>
      <c r="M1008" s="727"/>
      <c r="N1008" s="727"/>
      <c r="O1008" s="727"/>
    </row>
    <row r="1009">
      <c r="A1009" s="733">
        <v>46107.0</v>
      </c>
      <c r="B1009" s="6" t="s">
        <v>12775</v>
      </c>
      <c r="C1009" s="6" t="s">
        <v>12776</v>
      </c>
      <c r="D1009" s="727"/>
      <c r="E1009" s="729">
        <v>50000.0</v>
      </c>
      <c r="F1009" s="727">
        <f t="shared" si="19"/>
        <v>58382</v>
      </c>
      <c r="J1009" s="727"/>
      <c r="K1009" s="727"/>
      <c r="L1009" s="727"/>
      <c r="M1009" s="727"/>
      <c r="N1009" s="727"/>
      <c r="O1009" s="727"/>
    </row>
    <row r="1010">
      <c r="A1010" s="733">
        <v>46109.0</v>
      </c>
      <c r="B1010" s="6" t="s">
        <v>12283</v>
      </c>
      <c r="D1010" s="729">
        <v>500000.0</v>
      </c>
      <c r="E1010" s="727"/>
      <c r="F1010" s="727">
        <f t="shared" si="19"/>
        <v>558382</v>
      </c>
      <c r="J1010" s="727"/>
      <c r="K1010" s="727"/>
      <c r="L1010" s="727"/>
      <c r="M1010" s="727"/>
      <c r="N1010" s="727"/>
      <c r="O1010" s="727"/>
    </row>
    <row r="1011">
      <c r="A1011" s="733">
        <v>46112.0</v>
      </c>
      <c r="B1011" s="6" t="s">
        <v>12684</v>
      </c>
      <c r="C1011" s="6" t="s">
        <v>12427</v>
      </c>
      <c r="D1011" s="727"/>
      <c r="E1011" s="729">
        <v>5000.0</v>
      </c>
      <c r="F1011" s="727">
        <f t="shared" si="19"/>
        <v>553382</v>
      </c>
      <c r="J1011" s="727"/>
      <c r="K1011" s="727"/>
      <c r="L1011" s="727"/>
      <c r="M1011" s="727"/>
      <c r="N1011" s="727"/>
      <c r="O1011" s="727"/>
    </row>
    <row r="1012">
      <c r="A1012" s="733">
        <v>46112.0</v>
      </c>
      <c r="B1012" s="6" t="s">
        <v>12777</v>
      </c>
      <c r="C1012" s="6" t="s">
        <v>12778</v>
      </c>
      <c r="D1012" s="727"/>
      <c r="E1012" s="729">
        <v>10000.0</v>
      </c>
      <c r="F1012" s="727">
        <f t="shared" si="19"/>
        <v>543382</v>
      </c>
      <c r="J1012" s="727"/>
      <c r="K1012" s="727"/>
      <c r="L1012" s="727"/>
      <c r="M1012" s="727"/>
      <c r="N1012" s="727"/>
      <c r="O1012" s="727"/>
    </row>
    <row r="1013">
      <c r="A1013" s="733">
        <v>46114.0</v>
      </c>
      <c r="B1013" s="6" t="s">
        <v>12184</v>
      </c>
      <c r="C1013" s="6" t="s">
        <v>12443</v>
      </c>
      <c r="D1013" s="727"/>
      <c r="E1013" s="729">
        <v>36000.0</v>
      </c>
      <c r="F1013" s="727">
        <f t="shared" si="19"/>
        <v>507382</v>
      </c>
      <c r="J1013" s="727"/>
      <c r="K1013" s="727"/>
      <c r="L1013" s="727"/>
      <c r="M1013" s="727"/>
      <c r="N1013" s="727"/>
      <c r="O1013" s="727"/>
    </row>
    <row r="1014">
      <c r="A1014" s="733">
        <v>46114.0</v>
      </c>
      <c r="B1014" s="6" t="s">
        <v>12417</v>
      </c>
      <c r="C1014" s="6" t="s">
        <v>12391</v>
      </c>
      <c r="D1014" s="727"/>
      <c r="E1014" s="729">
        <v>300000.0</v>
      </c>
      <c r="F1014" s="727">
        <f t="shared" si="19"/>
        <v>207382</v>
      </c>
      <c r="J1014" s="727"/>
      <c r="K1014" s="727"/>
      <c r="L1014" s="727"/>
      <c r="M1014" s="727"/>
      <c r="N1014" s="727"/>
      <c r="O1014" s="727"/>
    </row>
    <row r="1015">
      <c r="A1015" s="733">
        <v>46116.0</v>
      </c>
      <c r="B1015" s="6" t="s">
        <v>12779</v>
      </c>
      <c r="C1015" s="6" t="s">
        <v>12780</v>
      </c>
      <c r="D1015" s="727"/>
      <c r="E1015" s="729">
        <v>22600.0</v>
      </c>
      <c r="F1015" s="727">
        <f t="shared" si="19"/>
        <v>184782</v>
      </c>
      <c r="J1015" s="727"/>
      <c r="K1015" s="727"/>
      <c r="L1015" s="727"/>
      <c r="M1015" s="727"/>
      <c r="N1015" s="727"/>
      <c r="O1015" s="727"/>
    </row>
    <row r="1016">
      <c r="A1016" s="733">
        <v>46116.0</v>
      </c>
      <c r="B1016" s="6" t="s">
        <v>12781</v>
      </c>
      <c r="C1016" s="6" t="s">
        <v>12782</v>
      </c>
      <c r="D1016" s="727"/>
      <c r="E1016" s="729">
        <v>24000.0</v>
      </c>
      <c r="F1016" s="727">
        <f t="shared" si="19"/>
        <v>160782</v>
      </c>
      <c r="J1016" s="727"/>
      <c r="K1016" s="727"/>
      <c r="L1016" s="727"/>
      <c r="M1016" s="727"/>
      <c r="N1016" s="727"/>
      <c r="O1016" s="727"/>
    </row>
    <row r="1017">
      <c r="A1017" s="733">
        <v>46118.0</v>
      </c>
      <c r="B1017" s="6" t="s">
        <v>12399</v>
      </c>
      <c r="D1017" s="727"/>
      <c r="E1017" s="729">
        <v>120000.0</v>
      </c>
      <c r="F1017" s="727">
        <f t="shared" si="19"/>
        <v>40782</v>
      </c>
      <c r="J1017" s="727"/>
      <c r="K1017" s="727"/>
      <c r="L1017" s="727"/>
      <c r="M1017" s="727"/>
      <c r="N1017" s="727"/>
      <c r="O1017" s="727"/>
    </row>
    <row r="1018">
      <c r="A1018" s="733">
        <v>46118.0</v>
      </c>
      <c r="B1018" s="6" t="s">
        <v>12283</v>
      </c>
      <c r="D1018" s="729">
        <v>500000.0</v>
      </c>
      <c r="E1018" s="727"/>
      <c r="F1018" s="727">
        <f t="shared" si="19"/>
        <v>540782</v>
      </c>
      <c r="J1018" s="727"/>
      <c r="K1018" s="727"/>
      <c r="L1018" s="727"/>
      <c r="M1018" s="727"/>
      <c r="N1018" s="727"/>
      <c r="O1018" s="727"/>
    </row>
    <row r="1019">
      <c r="A1019" s="733">
        <v>46118.0</v>
      </c>
      <c r="B1019" s="6" t="s">
        <v>12745</v>
      </c>
      <c r="C1019" s="6" t="s">
        <v>12767</v>
      </c>
      <c r="D1019" s="727"/>
      <c r="E1019" s="729">
        <v>100000.0</v>
      </c>
      <c r="F1019" s="727">
        <f t="shared" si="19"/>
        <v>440782</v>
      </c>
      <c r="J1019" s="727"/>
      <c r="K1019" s="727"/>
      <c r="L1019" s="727"/>
      <c r="M1019" s="727"/>
      <c r="N1019" s="727"/>
      <c r="O1019" s="727"/>
    </row>
    <row r="1020">
      <c r="A1020" s="733">
        <v>46120.0</v>
      </c>
      <c r="B1020" s="6" t="s">
        <v>12783</v>
      </c>
      <c r="D1020" s="727"/>
      <c r="E1020" s="729">
        <v>20000.0</v>
      </c>
      <c r="F1020" s="727">
        <f t="shared" si="19"/>
        <v>420782</v>
      </c>
      <c r="J1020" s="727"/>
      <c r="K1020" s="727"/>
      <c r="L1020" s="727"/>
      <c r="M1020" s="727"/>
      <c r="N1020" s="727"/>
      <c r="O1020" s="727"/>
    </row>
    <row r="1021">
      <c r="A1021" s="733">
        <v>46120.0</v>
      </c>
      <c r="B1021" s="6" t="s">
        <v>12784</v>
      </c>
      <c r="D1021" s="727"/>
      <c r="E1021" s="729">
        <v>10000.0</v>
      </c>
      <c r="F1021" s="727">
        <f t="shared" si="19"/>
        <v>410782</v>
      </c>
      <c r="J1021" s="727"/>
      <c r="K1021" s="727"/>
      <c r="L1021" s="727"/>
      <c r="M1021" s="727"/>
      <c r="N1021" s="727"/>
      <c r="O1021" s="727"/>
    </row>
    <row r="1022">
      <c r="A1022" s="733">
        <v>46120.0</v>
      </c>
      <c r="B1022" s="6" t="s">
        <v>12785</v>
      </c>
      <c r="C1022" s="6" t="s">
        <v>12772</v>
      </c>
      <c r="D1022" s="727"/>
      <c r="E1022" s="729">
        <v>10000.0</v>
      </c>
      <c r="F1022" s="727">
        <f t="shared" si="19"/>
        <v>400782</v>
      </c>
      <c r="J1022" s="727"/>
      <c r="K1022" s="727"/>
      <c r="L1022" s="727"/>
      <c r="M1022" s="727"/>
      <c r="N1022" s="727"/>
      <c r="O1022" s="727"/>
    </row>
    <row r="1023">
      <c r="A1023" s="733">
        <v>46122.0</v>
      </c>
      <c r="B1023" s="6" t="s">
        <v>12417</v>
      </c>
      <c r="C1023" s="6" t="s">
        <v>12391</v>
      </c>
      <c r="D1023" s="727"/>
      <c r="E1023" s="729">
        <v>250000.0</v>
      </c>
      <c r="F1023" s="727">
        <f t="shared" si="19"/>
        <v>150782</v>
      </c>
      <c r="J1023" s="727"/>
      <c r="K1023" s="727"/>
      <c r="L1023" s="727"/>
      <c r="M1023" s="727"/>
      <c r="N1023" s="727"/>
      <c r="O1023" s="727"/>
    </row>
    <row r="1024">
      <c r="A1024" s="733">
        <v>46122.0</v>
      </c>
      <c r="B1024" s="6" t="s">
        <v>12283</v>
      </c>
      <c r="D1024" s="729">
        <v>650000.0</v>
      </c>
      <c r="E1024" s="727"/>
      <c r="F1024" s="727">
        <f t="shared" si="19"/>
        <v>800782</v>
      </c>
      <c r="J1024" s="727"/>
      <c r="K1024" s="727"/>
      <c r="L1024" s="727"/>
      <c r="M1024" s="727"/>
      <c r="N1024" s="727"/>
      <c r="O1024" s="727"/>
    </row>
    <row r="1025">
      <c r="A1025" s="733">
        <v>46123.0</v>
      </c>
      <c r="B1025" s="6" t="s">
        <v>12540</v>
      </c>
      <c r="D1025" s="727"/>
      <c r="E1025" s="729">
        <v>391993.0</v>
      </c>
      <c r="F1025" s="727">
        <f t="shared" si="19"/>
        <v>408789</v>
      </c>
      <c r="J1025" s="727"/>
      <c r="K1025" s="727"/>
      <c r="L1025" s="727"/>
      <c r="M1025" s="727"/>
      <c r="N1025" s="727"/>
      <c r="O1025" s="727"/>
    </row>
    <row r="1026">
      <c r="A1026" s="733">
        <v>46125.0</v>
      </c>
      <c r="B1026" s="6" t="s">
        <v>12283</v>
      </c>
      <c r="D1026" s="729">
        <v>500000.0</v>
      </c>
      <c r="E1026" s="729"/>
      <c r="F1026" s="727">
        <f t="shared" si="19"/>
        <v>908789</v>
      </c>
      <c r="J1026" s="727"/>
      <c r="K1026" s="727"/>
      <c r="L1026" s="727"/>
      <c r="M1026" s="727"/>
      <c r="N1026" s="727"/>
      <c r="O1026" s="727"/>
    </row>
    <row r="1027">
      <c r="A1027" s="733">
        <v>46125.0</v>
      </c>
      <c r="B1027" s="6" t="s">
        <v>12786</v>
      </c>
      <c r="C1027" s="6" t="s">
        <v>12787</v>
      </c>
      <c r="D1027" s="727"/>
      <c r="E1027" s="729">
        <v>648457.0</v>
      </c>
      <c r="F1027" s="727">
        <f t="shared" si="19"/>
        <v>260332</v>
      </c>
      <c r="J1027" s="727"/>
      <c r="K1027" s="727"/>
      <c r="L1027" s="727"/>
      <c r="M1027" s="727"/>
      <c r="N1027" s="727"/>
      <c r="O1027" s="727"/>
    </row>
    <row r="1028">
      <c r="A1028" s="733">
        <v>46125.0</v>
      </c>
      <c r="B1028" s="6" t="s">
        <v>12697</v>
      </c>
      <c r="C1028" s="6" t="s">
        <v>12788</v>
      </c>
      <c r="D1028" s="727"/>
      <c r="E1028" s="729">
        <v>10000.0</v>
      </c>
      <c r="F1028" s="727">
        <f t="shared" si="19"/>
        <v>250332</v>
      </c>
      <c r="J1028" s="727"/>
      <c r="K1028" s="727"/>
      <c r="L1028" s="727"/>
      <c r="M1028" s="727"/>
      <c r="N1028" s="727"/>
      <c r="O1028" s="727"/>
    </row>
    <row r="1029">
      <c r="A1029" s="733">
        <v>46126.0</v>
      </c>
      <c r="B1029" s="6" t="s">
        <v>12623</v>
      </c>
      <c r="D1029" s="727"/>
      <c r="E1029" s="729">
        <v>130000.0</v>
      </c>
      <c r="F1029" s="727">
        <f t="shared" si="19"/>
        <v>120332</v>
      </c>
      <c r="J1029" s="727"/>
      <c r="K1029" s="727"/>
      <c r="L1029" s="727"/>
      <c r="M1029" s="727"/>
      <c r="N1029" s="727"/>
      <c r="O1029" s="727"/>
    </row>
    <row r="1030">
      <c r="A1030" s="733">
        <v>46127.0</v>
      </c>
      <c r="B1030" s="6" t="s">
        <v>12684</v>
      </c>
      <c r="C1030" s="6" t="s">
        <v>12427</v>
      </c>
      <c r="D1030" s="727"/>
      <c r="E1030" s="729">
        <v>5000.0</v>
      </c>
      <c r="F1030" s="727">
        <f t="shared" si="19"/>
        <v>115332</v>
      </c>
      <c r="J1030" s="727"/>
      <c r="K1030" s="727"/>
      <c r="L1030" s="727"/>
      <c r="M1030" s="727"/>
      <c r="N1030" s="727"/>
      <c r="O1030" s="727"/>
    </row>
    <row r="1031">
      <c r="A1031" s="733">
        <v>46127.0</v>
      </c>
      <c r="B1031" s="6" t="s">
        <v>12684</v>
      </c>
      <c r="C1031" s="6" t="s">
        <v>12427</v>
      </c>
      <c r="D1031" s="727"/>
      <c r="E1031" s="729">
        <v>5000.0</v>
      </c>
      <c r="F1031" s="727">
        <f t="shared" si="19"/>
        <v>110332</v>
      </c>
      <c r="J1031" s="727"/>
      <c r="K1031" s="727"/>
      <c r="L1031" s="727"/>
      <c r="M1031" s="727"/>
      <c r="N1031" s="727"/>
      <c r="O1031" s="727"/>
    </row>
    <row r="1032">
      <c r="A1032" s="733">
        <v>46127.0</v>
      </c>
      <c r="B1032" s="6" t="s">
        <v>12283</v>
      </c>
      <c r="D1032" s="729">
        <v>500000.0</v>
      </c>
      <c r="E1032" s="729"/>
      <c r="F1032" s="727">
        <f t="shared" si="19"/>
        <v>610332</v>
      </c>
      <c r="J1032" s="727"/>
      <c r="K1032" s="727"/>
      <c r="L1032" s="727"/>
      <c r="M1032" s="727"/>
      <c r="N1032" s="727"/>
      <c r="O1032" s="727"/>
    </row>
    <row r="1033">
      <c r="A1033" s="733">
        <v>46128.0</v>
      </c>
      <c r="B1033" s="6" t="s">
        <v>12757</v>
      </c>
      <c r="C1033" s="6" t="s">
        <v>12758</v>
      </c>
      <c r="D1033" s="727"/>
      <c r="E1033" s="729">
        <v>100000.0</v>
      </c>
      <c r="F1033" s="727">
        <f t="shared" si="19"/>
        <v>510332</v>
      </c>
      <c r="J1033" s="727"/>
      <c r="K1033" s="727"/>
      <c r="L1033" s="727"/>
      <c r="M1033" s="727"/>
      <c r="N1033" s="727"/>
      <c r="O1033" s="727"/>
    </row>
    <row r="1034">
      <c r="A1034" s="733">
        <v>46130.0</v>
      </c>
      <c r="B1034" s="6" t="s">
        <v>12184</v>
      </c>
      <c r="C1034" s="6" t="s">
        <v>12443</v>
      </c>
      <c r="D1034" s="727"/>
      <c r="E1034" s="729">
        <v>36000.0</v>
      </c>
      <c r="F1034" s="727">
        <f t="shared" si="19"/>
        <v>474332</v>
      </c>
      <c r="J1034" s="727"/>
      <c r="K1034" s="727"/>
      <c r="L1034" s="727"/>
      <c r="M1034" s="727"/>
      <c r="N1034" s="727"/>
      <c r="O1034" s="727"/>
    </row>
    <row r="1035">
      <c r="A1035" s="733">
        <v>46130.0</v>
      </c>
      <c r="B1035" s="6" t="s">
        <v>12684</v>
      </c>
      <c r="C1035" s="6" t="s">
        <v>12427</v>
      </c>
      <c r="D1035" s="727"/>
      <c r="E1035" s="729">
        <v>5000.0</v>
      </c>
      <c r="F1035" s="727">
        <f t="shared" si="19"/>
        <v>469332</v>
      </c>
      <c r="J1035" s="727"/>
      <c r="K1035" s="727"/>
      <c r="L1035" s="727"/>
      <c r="M1035" s="727"/>
      <c r="N1035" s="727"/>
      <c r="O1035" s="727"/>
    </row>
    <row r="1036">
      <c r="A1036" s="733">
        <v>46132.0</v>
      </c>
      <c r="B1036" s="6" t="s">
        <v>12774</v>
      </c>
      <c r="D1036" s="727"/>
      <c r="E1036" s="729">
        <v>13700.0</v>
      </c>
      <c r="F1036" s="727">
        <f t="shared" si="19"/>
        <v>455632</v>
      </c>
      <c r="J1036" s="727"/>
      <c r="K1036" s="727"/>
      <c r="L1036" s="727"/>
      <c r="M1036" s="727"/>
      <c r="N1036" s="727"/>
      <c r="O1036" s="727"/>
    </row>
    <row r="1037">
      <c r="A1037" s="733">
        <v>46132.0</v>
      </c>
      <c r="B1037" s="6" t="s">
        <v>12417</v>
      </c>
      <c r="C1037" s="6" t="s">
        <v>12391</v>
      </c>
      <c r="D1037" s="727"/>
      <c r="E1037" s="729">
        <v>300000.0</v>
      </c>
      <c r="F1037" s="727">
        <f t="shared" si="19"/>
        <v>155632</v>
      </c>
      <c r="J1037" s="727"/>
      <c r="K1037" s="727"/>
      <c r="L1037" s="727"/>
      <c r="M1037" s="727"/>
      <c r="N1037" s="727"/>
      <c r="O1037" s="727"/>
    </row>
    <row r="1038">
      <c r="A1038" s="733">
        <v>46132.0</v>
      </c>
      <c r="B1038" s="6" t="s">
        <v>12684</v>
      </c>
      <c r="C1038" s="6" t="s">
        <v>12427</v>
      </c>
      <c r="D1038" s="727"/>
      <c r="E1038" s="729">
        <v>5000.0</v>
      </c>
      <c r="F1038" s="727">
        <f t="shared" si="19"/>
        <v>150632</v>
      </c>
      <c r="J1038" s="727"/>
      <c r="K1038" s="727"/>
      <c r="L1038" s="727"/>
      <c r="M1038" s="727"/>
      <c r="N1038" s="727"/>
      <c r="O1038" s="727"/>
    </row>
    <row r="1039">
      <c r="A1039" s="733">
        <v>46134.0</v>
      </c>
      <c r="B1039" s="6" t="s">
        <v>12789</v>
      </c>
      <c r="D1039" s="727"/>
      <c r="E1039" s="729">
        <v>17200.0</v>
      </c>
      <c r="F1039" s="727">
        <f t="shared" si="19"/>
        <v>133432</v>
      </c>
      <c r="J1039" s="727"/>
      <c r="K1039" s="727"/>
      <c r="L1039" s="727"/>
      <c r="M1039" s="727"/>
      <c r="N1039" s="727"/>
      <c r="O1039" s="727"/>
    </row>
    <row r="1040">
      <c r="A1040" s="733">
        <v>46135.0</v>
      </c>
      <c r="B1040" s="6" t="s">
        <v>12283</v>
      </c>
      <c r="D1040" s="729">
        <v>650000.0</v>
      </c>
      <c r="E1040" s="729"/>
      <c r="F1040" s="727">
        <f t="shared" si="19"/>
        <v>783432</v>
      </c>
      <c r="J1040" s="727"/>
      <c r="K1040" s="727"/>
      <c r="L1040" s="727"/>
      <c r="M1040" s="727"/>
      <c r="N1040" s="727"/>
      <c r="O1040" s="727"/>
    </row>
    <row r="1041">
      <c r="A1041" s="733">
        <v>46135.0</v>
      </c>
      <c r="B1041" s="6" t="s">
        <v>12702</v>
      </c>
      <c r="D1041" s="727"/>
      <c r="E1041" s="729">
        <v>38500.0</v>
      </c>
      <c r="F1041" s="727">
        <f t="shared" si="19"/>
        <v>744932</v>
      </c>
      <c r="J1041" s="727"/>
      <c r="K1041" s="727"/>
      <c r="L1041" s="727"/>
      <c r="M1041" s="727"/>
      <c r="N1041" s="727"/>
      <c r="O1041" s="727"/>
    </row>
    <row r="1042">
      <c r="A1042" s="733">
        <v>46135.0</v>
      </c>
      <c r="B1042" s="6" t="s">
        <v>12184</v>
      </c>
      <c r="C1042" s="6" t="s">
        <v>12790</v>
      </c>
      <c r="D1042" s="727"/>
      <c r="E1042" s="729">
        <v>40000.0</v>
      </c>
      <c r="F1042" s="727">
        <f t="shared" si="19"/>
        <v>704932</v>
      </c>
      <c r="J1042" s="727"/>
      <c r="K1042" s="727"/>
      <c r="L1042" s="727"/>
      <c r="M1042" s="727"/>
      <c r="N1042" s="727"/>
      <c r="O1042" s="727"/>
    </row>
    <row r="1043">
      <c r="A1043" s="733">
        <v>46136.0</v>
      </c>
      <c r="B1043" s="6" t="s">
        <v>12791</v>
      </c>
      <c r="C1043" s="6" t="s">
        <v>12792</v>
      </c>
      <c r="D1043" s="727"/>
      <c r="E1043" s="729">
        <v>50000.0</v>
      </c>
      <c r="F1043" s="727">
        <f t="shared" si="19"/>
        <v>654932</v>
      </c>
      <c r="J1043" s="727"/>
      <c r="K1043" s="727"/>
      <c r="L1043" s="727"/>
      <c r="M1043" s="727"/>
      <c r="N1043" s="727"/>
      <c r="O1043" s="727"/>
    </row>
    <row r="1044">
      <c r="A1044" s="733">
        <v>46136.0</v>
      </c>
      <c r="B1044" s="6" t="s">
        <v>12580</v>
      </c>
      <c r="C1044" s="6" t="s">
        <v>12793</v>
      </c>
      <c r="D1044" s="727"/>
      <c r="E1044" s="729">
        <v>175000.0</v>
      </c>
      <c r="F1044" s="727">
        <f t="shared" si="19"/>
        <v>479932</v>
      </c>
      <c r="J1044" s="727"/>
      <c r="K1044" s="727"/>
      <c r="L1044" s="727"/>
      <c r="M1044" s="727"/>
      <c r="N1044" s="727"/>
      <c r="O1044" s="727"/>
    </row>
    <row r="1045">
      <c r="A1045" s="733"/>
      <c r="D1045" s="727"/>
      <c r="E1045" s="729"/>
      <c r="F1045" s="727">
        <f t="shared" si="19"/>
        <v>479932</v>
      </c>
      <c r="J1045" s="727"/>
      <c r="K1045" s="727"/>
      <c r="L1045" s="729" t="s">
        <v>1484</v>
      </c>
      <c r="M1045" s="727"/>
      <c r="N1045" s="727"/>
      <c r="O1045" s="727"/>
    </row>
    <row r="1046">
      <c r="A1046" s="733"/>
      <c r="B1046" s="6"/>
      <c r="D1046" s="727"/>
      <c r="E1046" s="729"/>
      <c r="F1046" s="727">
        <f t="shared" si="19"/>
        <v>479932</v>
      </c>
      <c r="J1046" s="727"/>
      <c r="K1046" s="727"/>
      <c r="L1046" s="727"/>
      <c r="M1046" s="727"/>
      <c r="N1046" s="727"/>
      <c r="O1046" s="727"/>
    </row>
    <row r="1047">
      <c r="A1047" s="733"/>
      <c r="B1047" s="6"/>
      <c r="D1047" s="727"/>
      <c r="E1047" s="729"/>
      <c r="F1047" s="727">
        <f t="shared" si="19"/>
        <v>479932</v>
      </c>
      <c r="J1047" s="727"/>
      <c r="K1047" s="727"/>
      <c r="L1047" s="727"/>
      <c r="M1047" s="727"/>
      <c r="N1047" s="727"/>
      <c r="O1047" s="727"/>
    </row>
    <row r="1048">
      <c r="A1048" s="733"/>
      <c r="B1048" s="6"/>
      <c r="D1048" s="727"/>
      <c r="E1048" s="729"/>
      <c r="F1048" s="727">
        <f t="shared" si="19"/>
        <v>479932</v>
      </c>
      <c r="J1048" s="727"/>
      <c r="K1048" s="727"/>
      <c r="L1048" s="727"/>
      <c r="M1048" s="727"/>
      <c r="N1048" s="727"/>
      <c r="O1048" s="727"/>
    </row>
    <row r="1049">
      <c r="A1049" s="733"/>
      <c r="B1049" s="6"/>
      <c r="D1049" s="727"/>
      <c r="E1049" s="729"/>
      <c r="F1049" s="727">
        <f t="shared" si="19"/>
        <v>479932</v>
      </c>
      <c r="J1049" s="727"/>
      <c r="K1049" s="727"/>
      <c r="L1049" s="727"/>
      <c r="M1049" s="727"/>
      <c r="N1049" s="727"/>
      <c r="O1049" s="727"/>
    </row>
    <row r="1050">
      <c r="A1050" s="733"/>
      <c r="B1050" s="6"/>
      <c r="D1050" s="727"/>
      <c r="E1050" s="729"/>
      <c r="F1050" s="727">
        <f t="shared" si="19"/>
        <v>479932</v>
      </c>
      <c r="J1050" s="727"/>
      <c r="K1050" s="727"/>
      <c r="L1050" s="727"/>
      <c r="M1050" s="727"/>
      <c r="N1050" s="727"/>
      <c r="O1050" s="727"/>
    </row>
    <row r="1051">
      <c r="A1051" s="733"/>
      <c r="B1051" s="6"/>
      <c r="D1051" s="727"/>
      <c r="E1051" s="729"/>
      <c r="F1051" s="727">
        <f t="shared" si="19"/>
        <v>479932</v>
      </c>
      <c r="J1051" s="727"/>
      <c r="K1051" s="727"/>
      <c r="L1051" s="727"/>
      <c r="M1051" s="727"/>
      <c r="N1051" s="727"/>
      <c r="O1051" s="727"/>
    </row>
    <row r="1052">
      <c r="A1052" s="733"/>
      <c r="B1052" s="6"/>
      <c r="D1052" s="727"/>
      <c r="E1052" s="729"/>
      <c r="F1052" s="727">
        <f t="shared" si="19"/>
        <v>479932</v>
      </c>
      <c r="J1052" s="727"/>
      <c r="K1052" s="727"/>
      <c r="L1052" s="727"/>
      <c r="M1052" s="727"/>
      <c r="N1052" s="727"/>
      <c r="O1052" s="727"/>
    </row>
    <row r="1053">
      <c r="A1053" s="733"/>
      <c r="B1053" s="6"/>
      <c r="D1053" s="727"/>
      <c r="E1053" s="729"/>
      <c r="F1053" s="727">
        <f t="shared" si="19"/>
        <v>479932</v>
      </c>
      <c r="J1053" s="727"/>
      <c r="K1053" s="727"/>
      <c r="L1053" s="727"/>
      <c r="M1053" s="727"/>
      <c r="N1053" s="727"/>
      <c r="O1053" s="727"/>
    </row>
    <row r="1054">
      <c r="A1054" s="733"/>
      <c r="B1054" s="6"/>
      <c r="D1054" s="727"/>
      <c r="E1054" s="729"/>
      <c r="F1054" s="727">
        <f t="shared" si="19"/>
        <v>479932</v>
      </c>
      <c r="J1054" s="727"/>
      <c r="K1054" s="727"/>
      <c r="L1054" s="727"/>
      <c r="M1054" s="727"/>
      <c r="N1054" s="727"/>
      <c r="O1054" s="727"/>
    </row>
    <row r="1055">
      <c r="A1055" s="733"/>
      <c r="B1055" s="6"/>
      <c r="D1055" s="727"/>
      <c r="E1055" s="729"/>
      <c r="F1055" s="727">
        <f t="shared" si="19"/>
        <v>479932</v>
      </c>
      <c r="J1055" s="727"/>
      <c r="K1055" s="727"/>
      <c r="L1055" s="727"/>
      <c r="M1055" s="727"/>
      <c r="N1055" s="727"/>
      <c r="O1055" s="727"/>
    </row>
    <row r="1056">
      <c r="A1056" s="733"/>
      <c r="B1056" s="6"/>
      <c r="D1056" s="727"/>
      <c r="E1056" s="729"/>
      <c r="F1056" s="727">
        <f t="shared" si="19"/>
        <v>479932</v>
      </c>
      <c r="J1056" s="727"/>
      <c r="K1056" s="727"/>
      <c r="L1056" s="727"/>
      <c r="M1056" s="727"/>
      <c r="N1056" s="727"/>
      <c r="O1056" s="727"/>
    </row>
    <row r="1057">
      <c r="A1057" s="733"/>
      <c r="B1057" s="6"/>
      <c r="D1057" s="727"/>
      <c r="E1057" s="729"/>
      <c r="F1057" s="727">
        <f t="shared" si="19"/>
        <v>479932</v>
      </c>
      <c r="J1057" s="727"/>
      <c r="K1057" s="727"/>
      <c r="L1057" s="727"/>
      <c r="M1057" s="727"/>
      <c r="N1057" s="727"/>
      <c r="O1057" s="727"/>
    </row>
    <row r="1058">
      <c r="A1058" s="733"/>
      <c r="B1058" s="6"/>
      <c r="D1058" s="727"/>
      <c r="E1058" s="729"/>
      <c r="F1058" s="727">
        <f t="shared" si="19"/>
        <v>479932</v>
      </c>
      <c r="J1058" s="727"/>
      <c r="K1058" s="727"/>
      <c r="L1058" s="727"/>
      <c r="M1058" s="727"/>
      <c r="N1058" s="727"/>
      <c r="O1058" s="727"/>
    </row>
    <row r="1059">
      <c r="A1059" s="733"/>
      <c r="B1059" s="6"/>
      <c r="D1059" s="727"/>
      <c r="E1059" s="729"/>
      <c r="F1059" s="727">
        <f t="shared" si="19"/>
        <v>479932</v>
      </c>
      <c r="J1059" s="727"/>
      <c r="K1059" s="727"/>
      <c r="L1059" s="727"/>
      <c r="M1059" s="727"/>
      <c r="N1059" s="727"/>
      <c r="O1059" s="727"/>
    </row>
    <row r="1060">
      <c r="A1060" s="733"/>
      <c r="B1060" s="6"/>
      <c r="D1060" s="727"/>
      <c r="E1060" s="729"/>
      <c r="F1060" s="727">
        <f t="shared" si="19"/>
        <v>479932</v>
      </c>
      <c r="J1060" s="727"/>
      <c r="K1060" s="727"/>
      <c r="L1060" s="727"/>
      <c r="M1060" s="727"/>
      <c r="N1060" s="727"/>
      <c r="O1060" s="727"/>
    </row>
    <row r="1061">
      <c r="A1061" s="733"/>
      <c r="B1061" s="6"/>
      <c r="D1061" s="727"/>
      <c r="E1061" s="729"/>
      <c r="F1061" s="727">
        <f t="shared" si="19"/>
        <v>479932</v>
      </c>
      <c r="J1061" s="727"/>
      <c r="K1061" s="727"/>
      <c r="L1061" s="727"/>
      <c r="M1061" s="727"/>
      <c r="N1061" s="727"/>
      <c r="O1061" s="727"/>
    </row>
    <row r="1062">
      <c r="A1062" s="733"/>
      <c r="B1062" s="6"/>
      <c r="D1062" s="727"/>
      <c r="E1062" s="729"/>
      <c r="F1062" s="727">
        <f t="shared" si="19"/>
        <v>479932</v>
      </c>
      <c r="J1062" s="727"/>
      <c r="K1062" s="727"/>
      <c r="L1062" s="727"/>
      <c r="M1062" s="727"/>
      <c r="N1062" s="727"/>
      <c r="O1062" s="727"/>
    </row>
    <row r="1063">
      <c r="A1063" s="733"/>
      <c r="B1063" s="6"/>
      <c r="D1063" s="727"/>
      <c r="E1063" s="729"/>
      <c r="F1063" s="727">
        <f t="shared" si="19"/>
        <v>479932</v>
      </c>
      <c r="J1063" s="727"/>
      <c r="K1063" s="727"/>
      <c r="L1063" s="727"/>
      <c r="M1063" s="727"/>
      <c r="N1063" s="727"/>
      <c r="O1063" s="727"/>
    </row>
    <row r="1064">
      <c r="A1064" s="733"/>
      <c r="B1064" s="6"/>
      <c r="D1064" s="727"/>
      <c r="E1064" s="729"/>
      <c r="F1064" s="727">
        <f t="shared" si="19"/>
        <v>479932</v>
      </c>
      <c r="J1064" s="727"/>
      <c r="K1064" s="727"/>
      <c r="L1064" s="727"/>
      <c r="M1064" s="727"/>
      <c r="N1064" s="727"/>
      <c r="O1064" s="727"/>
    </row>
    <row r="1065">
      <c r="A1065" s="733"/>
      <c r="B1065" s="6"/>
      <c r="D1065" s="727"/>
      <c r="E1065" s="729"/>
      <c r="F1065" s="727">
        <f t="shared" si="19"/>
        <v>479932</v>
      </c>
      <c r="J1065" s="727"/>
      <c r="K1065" s="727"/>
      <c r="L1065" s="727"/>
      <c r="M1065" s="727"/>
      <c r="N1065" s="727"/>
      <c r="O1065" s="727"/>
    </row>
    <row r="1066">
      <c r="A1066" s="733"/>
      <c r="B1066" s="6"/>
      <c r="D1066" s="727"/>
      <c r="E1066" s="729"/>
      <c r="F1066" s="727">
        <f t="shared" si="19"/>
        <v>479932</v>
      </c>
      <c r="J1066" s="727"/>
      <c r="K1066" s="727"/>
      <c r="L1066" s="727"/>
      <c r="M1066" s="727"/>
      <c r="N1066" s="727"/>
      <c r="O1066" s="727"/>
    </row>
    <row r="1067">
      <c r="A1067" s="733"/>
      <c r="B1067" s="6"/>
      <c r="D1067" s="727"/>
      <c r="E1067" s="729"/>
      <c r="F1067" s="727">
        <f t="shared" si="19"/>
        <v>479932</v>
      </c>
      <c r="J1067" s="727"/>
      <c r="K1067" s="727"/>
      <c r="L1067" s="727"/>
      <c r="M1067" s="727"/>
      <c r="N1067" s="727"/>
      <c r="O1067" s="727"/>
    </row>
    <row r="1068">
      <c r="A1068" s="733"/>
      <c r="B1068" s="6"/>
      <c r="D1068" s="727"/>
      <c r="E1068" s="729"/>
      <c r="F1068" s="727">
        <f t="shared" si="19"/>
        <v>479932</v>
      </c>
      <c r="J1068" s="727"/>
      <c r="K1068" s="727"/>
      <c r="L1068" s="727"/>
      <c r="M1068" s="727"/>
      <c r="N1068" s="727"/>
      <c r="O1068" s="727"/>
    </row>
    <row r="1069">
      <c r="A1069" s="733"/>
      <c r="B1069" s="6"/>
      <c r="D1069" s="727"/>
      <c r="E1069" s="729"/>
      <c r="F1069" s="727">
        <f t="shared" si="19"/>
        <v>479932</v>
      </c>
      <c r="J1069" s="727"/>
      <c r="K1069" s="727"/>
      <c r="L1069" s="727"/>
      <c r="M1069" s="727"/>
      <c r="N1069" s="727"/>
      <c r="O1069" s="727"/>
    </row>
    <row r="1070">
      <c r="A1070" s="733"/>
      <c r="B1070" s="6"/>
      <c r="D1070" s="727"/>
      <c r="E1070" s="729"/>
      <c r="F1070" s="727">
        <f t="shared" si="19"/>
        <v>479932</v>
      </c>
      <c r="J1070" s="727"/>
      <c r="K1070" s="727"/>
      <c r="L1070" s="727"/>
      <c r="M1070" s="727"/>
      <c r="N1070" s="727"/>
      <c r="O1070" s="727"/>
    </row>
    <row r="1071">
      <c r="A1071" s="733"/>
      <c r="B1071" s="6"/>
      <c r="D1071" s="727"/>
      <c r="E1071" s="729"/>
      <c r="F1071" s="727">
        <f t="shared" si="19"/>
        <v>479932</v>
      </c>
      <c r="J1071" s="727"/>
      <c r="K1071" s="727"/>
      <c r="L1071" s="727"/>
      <c r="M1071" s="727"/>
      <c r="N1071" s="727"/>
      <c r="O1071" s="727"/>
    </row>
    <row r="1072">
      <c r="A1072" s="733"/>
      <c r="B1072" s="6"/>
      <c r="D1072" s="727"/>
      <c r="E1072" s="729"/>
      <c r="F1072" s="727">
        <f t="shared" si="19"/>
        <v>479932</v>
      </c>
      <c r="J1072" s="727"/>
      <c r="K1072" s="727"/>
      <c r="L1072" s="727"/>
      <c r="M1072" s="727"/>
      <c r="N1072" s="727"/>
      <c r="O1072" s="727"/>
    </row>
    <row r="1073">
      <c r="A1073" s="733"/>
      <c r="B1073" s="6"/>
      <c r="D1073" s="727"/>
      <c r="E1073" s="729"/>
      <c r="F1073" s="727">
        <f t="shared" si="19"/>
        <v>479932</v>
      </c>
      <c r="J1073" s="727"/>
      <c r="K1073" s="727"/>
      <c r="L1073" s="727"/>
      <c r="M1073" s="727"/>
      <c r="N1073" s="727"/>
      <c r="O1073" s="727"/>
    </row>
    <row r="1074">
      <c r="A1074" s="733"/>
      <c r="B1074" s="6"/>
      <c r="D1074" s="727"/>
      <c r="E1074" s="729"/>
      <c r="F1074" s="727">
        <f t="shared" si="19"/>
        <v>479932</v>
      </c>
      <c r="J1074" s="727"/>
      <c r="K1074" s="727"/>
      <c r="L1074" s="727"/>
      <c r="M1074" s="727"/>
      <c r="N1074" s="727"/>
      <c r="O1074" s="727"/>
    </row>
    <row r="1075">
      <c r="A1075" s="733"/>
      <c r="B1075" s="6"/>
      <c r="D1075" s="727"/>
      <c r="E1075" s="729"/>
      <c r="F1075" s="727">
        <f t="shared" si="19"/>
        <v>479932</v>
      </c>
      <c r="J1075" s="727"/>
      <c r="K1075" s="727"/>
      <c r="L1075" s="727"/>
      <c r="M1075" s="727"/>
      <c r="N1075" s="727"/>
      <c r="O1075" s="727"/>
    </row>
    <row r="1076">
      <c r="A1076" s="733"/>
      <c r="B1076" s="6"/>
      <c r="D1076" s="727"/>
      <c r="E1076" s="729"/>
      <c r="F1076" s="727">
        <f t="shared" si="19"/>
        <v>479932</v>
      </c>
      <c r="J1076" s="727"/>
      <c r="K1076" s="727"/>
      <c r="L1076" s="727"/>
      <c r="M1076" s="727"/>
      <c r="N1076" s="727"/>
      <c r="O1076" s="727"/>
    </row>
    <row r="1077">
      <c r="A1077" s="733"/>
      <c r="B1077" s="6"/>
      <c r="D1077" s="727"/>
      <c r="E1077" s="729"/>
      <c r="F1077" s="727">
        <f t="shared" si="19"/>
        <v>479932</v>
      </c>
      <c r="J1077" s="727"/>
      <c r="K1077" s="727"/>
      <c r="L1077" s="727"/>
      <c r="M1077" s="727"/>
      <c r="N1077" s="727"/>
      <c r="O1077" s="727"/>
    </row>
    <row r="1078">
      <c r="A1078" s="733"/>
      <c r="B1078" s="6"/>
      <c r="D1078" s="727"/>
      <c r="E1078" s="729"/>
      <c r="F1078" s="727">
        <f t="shared" si="19"/>
        <v>479932</v>
      </c>
      <c r="J1078" s="727"/>
      <c r="K1078" s="727"/>
      <c r="L1078" s="727"/>
      <c r="M1078" s="727"/>
      <c r="N1078" s="727"/>
      <c r="O1078" s="727"/>
    </row>
    <row r="1079">
      <c r="A1079" s="733"/>
      <c r="B1079" s="6"/>
      <c r="D1079" s="727"/>
      <c r="E1079" s="729"/>
      <c r="F1079" s="727">
        <f t="shared" si="19"/>
        <v>479932</v>
      </c>
      <c r="J1079" s="727"/>
      <c r="K1079" s="727"/>
      <c r="L1079" s="727"/>
      <c r="M1079" s="727"/>
      <c r="N1079" s="727"/>
      <c r="O1079" s="727"/>
    </row>
    <row r="1080">
      <c r="A1080" s="733"/>
      <c r="B1080" s="6"/>
      <c r="D1080" s="727"/>
      <c r="E1080" s="729"/>
      <c r="F1080" s="727">
        <f t="shared" si="19"/>
        <v>479932</v>
      </c>
      <c r="J1080" s="727"/>
      <c r="K1080" s="727"/>
      <c r="L1080" s="727"/>
      <c r="M1080" s="727"/>
      <c r="N1080" s="727"/>
      <c r="O1080" s="727"/>
    </row>
    <row r="1081">
      <c r="A1081" s="733"/>
      <c r="B1081" s="6"/>
      <c r="D1081" s="727"/>
      <c r="E1081" s="729"/>
      <c r="F1081" s="727">
        <f t="shared" si="19"/>
        <v>479932</v>
      </c>
      <c r="J1081" s="727"/>
      <c r="K1081" s="727"/>
      <c r="L1081" s="727"/>
      <c r="M1081" s="727"/>
      <c r="N1081" s="727"/>
      <c r="O1081" s="727"/>
    </row>
    <row r="1082">
      <c r="A1082" s="733"/>
      <c r="B1082" s="6"/>
      <c r="D1082" s="727"/>
      <c r="E1082" s="729"/>
      <c r="F1082" s="727">
        <f t="shared" si="19"/>
        <v>479932</v>
      </c>
      <c r="J1082" s="727"/>
      <c r="K1082" s="727"/>
      <c r="L1082" s="727"/>
      <c r="M1082" s="727"/>
      <c r="N1082" s="727"/>
      <c r="O1082" s="727"/>
    </row>
    <row r="1083">
      <c r="A1083" s="733"/>
      <c r="B1083" s="6"/>
      <c r="D1083" s="727"/>
      <c r="E1083" s="729"/>
      <c r="F1083" s="727">
        <f t="shared" si="19"/>
        <v>479932</v>
      </c>
      <c r="J1083" s="727"/>
      <c r="K1083" s="727"/>
      <c r="L1083" s="727"/>
      <c r="M1083" s="727"/>
      <c r="N1083" s="727"/>
      <c r="O1083" s="727"/>
    </row>
    <row r="1084">
      <c r="A1084" s="733"/>
      <c r="B1084" s="6"/>
      <c r="D1084" s="727"/>
      <c r="E1084" s="729"/>
      <c r="F1084" s="727">
        <f t="shared" si="19"/>
        <v>479932</v>
      </c>
      <c r="J1084" s="727"/>
      <c r="K1084" s="727"/>
      <c r="L1084" s="727"/>
      <c r="M1084" s="727"/>
      <c r="N1084" s="727"/>
      <c r="O1084" s="727"/>
    </row>
    <row r="1085">
      <c r="A1085" s="733"/>
      <c r="B1085" s="6"/>
      <c r="D1085" s="727"/>
      <c r="E1085" s="729"/>
      <c r="F1085" s="727">
        <f t="shared" si="19"/>
        <v>479932</v>
      </c>
      <c r="J1085" s="727"/>
      <c r="K1085" s="727"/>
      <c r="L1085" s="727"/>
      <c r="M1085" s="727"/>
      <c r="N1085" s="727"/>
      <c r="O1085" s="727"/>
    </row>
    <row r="1086">
      <c r="A1086" s="733"/>
      <c r="B1086" s="6"/>
      <c r="D1086" s="727"/>
      <c r="E1086" s="729"/>
      <c r="F1086" s="727">
        <f t="shared" si="19"/>
        <v>479932</v>
      </c>
      <c r="J1086" s="727"/>
      <c r="K1086" s="727"/>
      <c r="L1086" s="727"/>
      <c r="M1086" s="727"/>
      <c r="N1086" s="727"/>
      <c r="O1086" s="727"/>
    </row>
    <row r="1087">
      <c r="A1087" s="733"/>
      <c r="B1087" s="6"/>
      <c r="D1087" s="727"/>
      <c r="E1087" s="729"/>
      <c r="F1087" s="727">
        <f t="shared" si="19"/>
        <v>479932</v>
      </c>
      <c r="J1087" s="727"/>
      <c r="K1087" s="727"/>
      <c r="L1087" s="727"/>
      <c r="M1087" s="727"/>
      <c r="N1087" s="727"/>
      <c r="O1087" s="727"/>
    </row>
    <row r="1088">
      <c r="A1088" s="733"/>
      <c r="B1088" s="6"/>
      <c r="D1088" s="727"/>
      <c r="E1088" s="729"/>
      <c r="F1088" s="727">
        <f t="shared" si="19"/>
        <v>479932</v>
      </c>
      <c r="J1088" s="727"/>
      <c r="K1088" s="727"/>
      <c r="L1088" s="727"/>
      <c r="M1088" s="727"/>
      <c r="N1088" s="727"/>
      <c r="O1088" s="727"/>
    </row>
    <row r="1089">
      <c r="A1089" s="733"/>
      <c r="B1089" s="6"/>
      <c r="D1089" s="727"/>
      <c r="E1089" s="729"/>
      <c r="F1089" s="727">
        <f t="shared" si="19"/>
        <v>479932</v>
      </c>
      <c r="J1089" s="727"/>
      <c r="K1089" s="727"/>
      <c r="L1089" s="727"/>
      <c r="M1089" s="727"/>
      <c r="N1089" s="727"/>
      <c r="O1089" s="727"/>
    </row>
    <row r="1090">
      <c r="A1090" s="733"/>
      <c r="B1090" s="6"/>
      <c r="D1090" s="727"/>
      <c r="E1090" s="729"/>
      <c r="F1090" s="727">
        <f t="shared" si="19"/>
        <v>479932</v>
      </c>
      <c r="J1090" s="727"/>
      <c r="K1090" s="727"/>
      <c r="L1090" s="727"/>
      <c r="M1090" s="727"/>
      <c r="N1090" s="727"/>
      <c r="O1090" s="727"/>
    </row>
    <row r="1091">
      <c r="A1091" s="733"/>
      <c r="B1091" s="6"/>
      <c r="D1091" s="727"/>
      <c r="E1091" s="729"/>
      <c r="F1091" s="727">
        <f t="shared" si="19"/>
        <v>479932</v>
      </c>
      <c r="J1091" s="727"/>
      <c r="K1091" s="727"/>
      <c r="L1091" s="727"/>
      <c r="M1091" s="727"/>
      <c r="N1091" s="727"/>
      <c r="O1091" s="727"/>
    </row>
    <row r="1092">
      <c r="A1092" s="733"/>
      <c r="B1092" s="6"/>
      <c r="D1092" s="727"/>
      <c r="E1092" s="729"/>
      <c r="F1092" s="727">
        <f t="shared" si="19"/>
        <v>479932</v>
      </c>
      <c r="J1092" s="727"/>
      <c r="K1092" s="727"/>
      <c r="L1092" s="727"/>
      <c r="M1092" s="727"/>
      <c r="N1092" s="727"/>
      <c r="O1092" s="727"/>
    </row>
    <row r="1093">
      <c r="A1093" s="733"/>
      <c r="B1093" s="6"/>
      <c r="D1093" s="727"/>
      <c r="E1093" s="729"/>
      <c r="F1093" s="727">
        <f t="shared" si="19"/>
        <v>479932</v>
      </c>
      <c r="J1093" s="727"/>
      <c r="K1093" s="727"/>
      <c r="L1093" s="727"/>
      <c r="M1093" s="727"/>
      <c r="N1093" s="727"/>
      <c r="O1093" s="727"/>
    </row>
    <row r="1094">
      <c r="A1094" s="733"/>
      <c r="B1094" s="6"/>
      <c r="D1094" s="727"/>
      <c r="E1094" s="729"/>
      <c r="F1094" s="727">
        <f t="shared" si="19"/>
        <v>479932</v>
      </c>
      <c r="J1094" s="727"/>
      <c r="K1094" s="727"/>
      <c r="L1094" s="727"/>
      <c r="M1094" s="727"/>
      <c r="N1094" s="727"/>
      <c r="O1094" s="727"/>
    </row>
    <row r="1095">
      <c r="A1095" s="733"/>
      <c r="B1095" s="6"/>
      <c r="D1095" s="727"/>
      <c r="E1095" s="729"/>
      <c r="F1095" s="727">
        <f t="shared" si="19"/>
        <v>479932</v>
      </c>
      <c r="J1095" s="727"/>
      <c r="K1095" s="727"/>
      <c r="L1095" s="727"/>
      <c r="M1095" s="727"/>
      <c r="N1095" s="727"/>
      <c r="O1095" s="727"/>
    </row>
    <row r="1096">
      <c r="A1096" s="733"/>
      <c r="B1096" s="6"/>
      <c r="D1096" s="727"/>
      <c r="E1096" s="729"/>
      <c r="F1096" s="727">
        <f t="shared" si="19"/>
        <v>479932</v>
      </c>
      <c r="J1096" s="727"/>
      <c r="K1096" s="727"/>
      <c r="L1096" s="727"/>
      <c r="M1096" s="727"/>
      <c r="N1096" s="727"/>
      <c r="O1096" s="727"/>
    </row>
    <row r="1097">
      <c r="A1097" s="733"/>
      <c r="B1097" s="6"/>
      <c r="D1097" s="727"/>
      <c r="E1097" s="729"/>
      <c r="F1097" s="727">
        <f t="shared" si="19"/>
        <v>479932</v>
      </c>
      <c r="J1097" s="727"/>
      <c r="K1097" s="727"/>
      <c r="L1097" s="727"/>
      <c r="M1097" s="727"/>
      <c r="N1097" s="727"/>
      <c r="O1097" s="727"/>
    </row>
    <row r="1098">
      <c r="A1098" s="733"/>
      <c r="B1098" s="6"/>
      <c r="D1098" s="727"/>
      <c r="E1098" s="729"/>
      <c r="F1098" s="727">
        <f t="shared" si="19"/>
        <v>479932</v>
      </c>
      <c r="J1098" s="727"/>
      <c r="K1098" s="727"/>
      <c r="L1098" s="727"/>
      <c r="M1098" s="727"/>
      <c r="N1098" s="727"/>
      <c r="O1098" s="727"/>
    </row>
    <row r="1099">
      <c r="A1099" s="733"/>
      <c r="B1099" s="6"/>
      <c r="D1099" s="727"/>
      <c r="E1099" s="729"/>
      <c r="F1099" s="727">
        <f t="shared" si="19"/>
        <v>479932</v>
      </c>
      <c r="J1099" s="727"/>
      <c r="K1099" s="727"/>
      <c r="L1099" s="727"/>
      <c r="M1099" s="727"/>
      <c r="N1099" s="727"/>
      <c r="O1099" s="727"/>
    </row>
    <row r="1100">
      <c r="A1100" s="733"/>
      <c r="B1100" s="6"/>
      <c r="D1100" s="727"/>
      <c r="E1100" s="729"/>
      <c r="F1100" s="727">
        <f t="shared" si="19"/>
        <v>479932</v>
      </c>
      <c r="J1100" s="727"/>
      <c r="K1100" s="727"/>
      <c r="L1100" s="727"/>
      <c r="M1100" s="727"/>
      <c r="N1100" s="727"/>
      <c r="O1100" s="727"/>
    </row>
    <row r="1101">
      <c r="A1101" s="733"/>
      <c r="B1101" s="6"/>
      <c r="D1101" s="727"/>
      <c r="E1101" s="729"/>
      <c r="F1101" s="727">
        <f t="shared" si="19"/>
        <v>479932</v>
      </c>
      <c r="J1101" s="727"/>
      <c r="K1101" s="727"/>
      <c r="L1101" s="727"/>
      <c r="M1101" s="727"/>
      <c r="N1101" s="727"/>
      <c r="O1101" s="727"/>
    </row>
    <row r="1102">
      <c r="A1102" s="733"/>
      <c r="B1102" s="6"/>
      <c r="D1102" s="727"/>
      <c r="E1102" s="729"/>
      <c r="F1102" s="727">
        <f t="shared" si="19"/>
        <v>479932</v>
      </c>
      <c r="J1102" s="727"/>
      <c r="K1102" s="727"/>
      <c r="L1102" s="727"/>
      <c r="M1102" s="727"/>
      <c r="N1102" s="727"/>
      <c r="O1102" s="727"/>
    </row>
    <row r="1103">
      <c r="A1103" s="733"/>
      <c r="B1103" s="6"/>
      <c r="D1103" s="727"/>
      <c r="E1103" s="729"/>
      <c r="F1103" s="727">
        <f t="shared" si="19"/>
        <v>479932</v>
      </c>
      <c r="J1103" s="727"/>
      <c r="K1103" s="727"/>
      <c r="L1103" s="727"/>
      <c r="M1103" s="727"/>
      <c r="N1103" s="727"/>
      <c r="O1103" s="727"/>
    </row>
    <row r="1104">
      <c r="A1104" s="733"/>
      <c r="B1104" s="6"/>
      <c r="D1104" s="727"/>
      <c r="E1104" s="729"/>
      <c r="F1104" s="727">
        <f t="shared" si="19"/>
        <v>479932</v>
      </c>
      <c r="J1104" s="727"/>
      <c r="K1104" s="727"/>
      <c r="L1104" s="727"/>
      <c r="M1104" s="727"/>
      <c r="N1104" s="727"/>
      <c r="O1104" s="727"/>
    </row>
    <row r="1105">
      <c r="A1105" s="733"/>
      <c r="B1105" s="6"/>
      <c r="D1105" s="727"/>
      <c r="E1105" s="729"/>
      <c r="F1105" s="727">
        <f t="shared" si="19"/>
        <v>479932</v>
      </c>
      <c r="J1105" s="727"/>
      <c r="K1105" s="727"/>
      <c r="L1105" s="727"/>
      <c r="M1105" s="727"/>
      <c r="N1105" s="727"/>
      <c r="O1105" s="727"/>
    </row>
    <row r="1106">
      <c r="A1106" s="733"/>
      <c r="B1106" s="6"/>
      <c r="D1106" s="727"/>
      <c r="E1106" s="729"/>
      <c r="F1106" s="727">
        <f t="shared" si="19"/>
        <v>479932</v>
      </c>
      <c r="J1106" s="727"/>
      <c r="K1106" s="727"/>
      <c r="L1106" s="727"/>
      <c r="M1106" s="727"/>
      <c r="N1106" s="727"/>
      <c r="O1106" s="727"/>
    </row>
    <row r="1107">
      <c r="A1107" s="733"/>
      <c r="B1107" s="6"/>
      <c r="D1107" s="727"/>
      <c r="E1107" s="729"/>
      <c r="F1107" s="727">
        <f t="shared" si="19"/>
        <v>479932</v>
      </c>
      <c r="J1107" s="727"/>
      <c r="K1107" s="727"/>
      <c r="L1107" s="727"/>
      <c r="M1107" s="727"/>
      <c r="N1107" s="727"/>
      <c r="O1107" s="727"/>
    </row>
    <row r="1108">
      <c r="A1108" s="733"/>
      <c r="B1108" s="6"/>
      <c r="D1108" s="727"/>
      <c r="E1108" s="729"/>
      <c r="F1108" s="727">
        <f t="shared" si="19"/>
        <v>479932</v>
      </c>
      <c r="J1108" s="727"/>
      <c r="K1108" s="727"/>
      <c r="L1108" s="727"/>
      <c r="M1108" s="727"/>
      <c r="N1108" s="727"/>
      <c r="O1108" s="727"/>
    </row>
    <row r="1109">
      <c r="A1109" s="733"/>
      <c r="B1109" s="6"/>
      <c r="D1109" s="727"/>
      <c r="E1109" s="729"/>
      <c r="F1109" s="727">
        <f t="shared" si="19"/>
        <v>479932</v>
      </c>
      <c r="J1109" s="727"/>
      <c r="K1109" s="727"/>
      <c r="L1109" s="727"/>
      <c r="M1109" s="727"/>
      <c r="N1109" s="727"/>
      <c r="O1109" s="727"/>
    </row>
    <row r="1110">
      <c r="A1110" s="733"/>
      <c r="B1110" s="6"/>
      <c r="D1110" s="727"/>
      <c r="E1110" s="729"/>
      <c r="F1110" s="727">
        <f t="shared" si="19"/>
        <v>479932</v>
      </c>
      <c r="J1110" s="727"/>
      <c r="K1110" s="727"/>
      <c r="L1110" s="727"/>
      <c r="M1110" s="727"/>
      <c r="N1110" s="727"/>
      <c r="O1110" s="727"/>
    </row>
    <row r="1111">
      <c r="A1111" s="733"/>
      <c r="B1111" s="6"/>
      <c r="D1111" s="727"/>
      <c r="E1111" s="729"/>
      <c r="F1111" s="727">
        <f t="shared" si="19"/>
        <v>479932</v>
      </c>
      <c r="J1111" s="727"/>
      <c r="K1111" s="727"/>
      <c r="L1111" s="727"/>
      <c r="M1111" s="727"/>
      <c r="N1111" s="727"/>
      <c r="O1111" s="727"/>
    </row>
    <row r="1112">
      <c r="A1112" s="733"/>
      <c r="B1112" s="6"/>
      <c r="D1112" s="727"/>
      <c r="E1112" s="729"/>
      <c r="F1112" s="727">
        <f t="shared" si="19"/>
        <v>479932</v>
      </c>
      <c r="J1112" s="727"/>
      <c r="K1112" s="727"/>
      <c r="L1112" s="727"/>
      <c r="M1112" s="727"/>
      <c r="N1112" s="727"/>
      <c r="O1112" s="727"/>
    </row>
    <row r="1113">
      <c r="A1113" s="733"/>
      <c r="B1113" s="6"/>
      <c r="D1113" s="727"/>
      <c r="E1113" s="729"/>
      <c r="F1113" s="727">
        <f t="shared" si="19"/>
        <v>479932</v>
      </c>
      <c r="J1113" s="727"/>
      <c r="K1113" s="727"/>
      <c r="L1113" s="727"/>
      <c r="M1113" s="727"/>
      <c r="N1113" s="727"/>
      <c r="O1113" s="727"/>
    </row>
    <row r="1114">
      <c r="A1114" s="733"/>
      <c r="B1114" s="6"/>
      <c r="D1114" s="727"/>
      <c r="E1114" s="729"/>
      <c r="F1114" s="727">
        <f t="shared" si="19"/>
        <v>479932</v>
      </c>
      <c r="J1114" s="727"/>
      <c r="K1114" s="727"/>
      <c r="L1114" s="727"/>
      <c r="M1114" s="727"/>
      <c r="N1114" s="727"/>
      <c r="O1114" s="727"/>
    </row>
    <row r="1115">
      <c r="A1115" s="733"/>
      <c r="B1115" s="6"/>
      <c r="D1115" s="727"/>
      <c r="E1115" s="729"/>
      <c r="F1115" s="727">
        <f t="shared" si="19"/>
        <v>479932</v>
      </c>
      <c r="J1115" s="727"/>
      <c r="K1115" s="727"/>
      <c r="L1115" s="727"/>
      <c r="M1115" s="727"/>
      <c r="N1115" s="727"/>
      <c r="O1115" s="727"/>
    </row>
    <row r="1116">
      <c r="A1116" s="733"/>
      <c r="B1116" s="6"/>
      <c r="D1116" s="727"/>
      <c r="E1116" s="729"/>
      <c r="F1116" s="727">
        <f t="shared" si="19"/>
        <v>479932</v>
      </c>
      <c r="J1116" s="727"/>
      <c r="K1116" s="727"/>
      <c r="L1116" s="727"/>
      <c r="M1116" s="727"/>
      <c r="N1116" s="727"/>
      <c r="O1116" s="727"/>
    </row>
    <row r="1117">
      <c r="A1117" s="733"/>
      <c r="B1117" s="6"/>
      <c r="D1117" s="727"/>
      <c r="E1117" s="729"/>
      <c r="F1117" s="727">
        <f t="shared" si="19"/>
        <v>479932</v>
      </c>
      <c r="J1117" s="727"/>
      <c r="K1117" s="727"/>
      <c r="L1117" s="727"/>
      <c r="M1117" s="727"/>
      <c r="N1117" s="727"/>
      <c r="O1117" s="727"/>
    </row>
    <row r="1118">
      <c r="A1118" s="733"/>
      <c r="B1118" s="6"/>
      <c r="D1118" s="727"/>
      <c r="E1118" s="729"/>
      <c r="F1118" s="727">
        <f t="shared" si="19"/>
        <v>479932</v>
      </c>
      <c r="J1118" s="727"/>
      <c r="K1118" s="727"/>
      <c r="L1118" s="727"/>
      <c r="M1118" s="727"/>
      <c r="N1118" s="727"/>
      <c r="O1118" s="727"/>
    </row>
    <row r="1119">
      <c r="A1119" s="733"/>
      <c r="B1119" s="6"/>
      <c r="D1119" s="727"/>
      <c r="E1119" s="729"/>
      <c r="F1119" s="727">
        <f t="shared" si="19"/>
        <v>479932</v>
      </c>
      <c r="J1119" s="727"/>
      <c r="K1119" s="727"/>
      <c r="L1119" s="727"/>
      <c r="M1119" s="727"/>
      <c r="N1119" s="727"/>
      <c r="O1119" s="727"/>
    </row>
    <row r="1120">
      <c r="A1120" s="733"/>
      <c r="B1120" s="6"/>
      <c r="D1120" s="727"/>
      <c r="E1120" s="729"/>
      <c r="F1120" s="727">
        <f t="shared" si="19"/>
        <v>479932</v>
      </c>
      <c r="J1120" s="727"/>
      <c r="K1120" s="727"/>
      <c r="L1120" s="727"/>
      <c r="M1120" s="727"/>
      <c r="N1120" s="727"/>
      <c r="O1120" s="727"/>
    </row>
    <row r="1121">
      <c r="A1121" s="733"/>
      <c r="B1121" s="6"/>
      <c r="D1121" s="727"/>
      <c r="E1121" s="729"/>
      <c r="F1121" s="727">
        <f t="shared" si="19"/>
        <v>479932</v>
      </c>
      <c r="J1121" s="727"/>
      <c r="K1121" s="727"/>
      <c r="L1121" s="727"/>
      <c r="M1121" s="727"/>
      <c r="N1121" s="727"/>
      <c r="O1121" s="727"/>
    </row>
    <row r="1122">
      <c r="A1122" s="733"/>
      <c r="B1122" s="6"/>
      <c r="D1122" s="727"/>
      <c r="E1122" s="729"/>
      <c r="F1122" s="727">
        <f t="shared" si="19"/>
        <v>479932</v>
      </c>
      <c r="J1122" s="727"/>
      <c r="K1122" s="727"/>
      <c r="L1122" s="727"/>
      <c r="M1122" s="727"/>
      <c r="N1122" s="727"/>
      <c r="O1122" s="727"/>
    </row>
    <row r="1123">
      <c r="A1123" s="733"/>
      <c r="B1123" s="6"/>
      <c r="D1123" s="727"/>
      <c r="E1123" s="729"/>
      <c r="F1123" s="727">
        <f t="shared" si="19"/>
        <v>479932</v>
      </c>
      <c r="J1123" s="727"/>
      <c r="K1123" s="727"/>
      <c r="L1123" s="727"/>
      <c r="M1123" s="727"/>
      <c r="N1123" s="727"/>
      <c r="O1123" s="727"/>
    </row>
    <row r="1124">
      <c r="A1124" s="733"/>
      <c r="B1124" s="6"/>
      <c r="D1124" s="727"/>
      <c r="E1124" s="729"/>
      <c r="F1124" s="727">
        <f t="shared" si="19"/>
        <v>479932</v>
      </c>
      <c r="J1124" s="727"/>
      <c r="K1124" s="727"/>
      <c r="L1124" s="727"/>
      <c r="M1124" s="727"/>
      <c r="N1124" s="727"/>
      <c r="O1124" s="727"/>
    </row>
    <row r="1125">
      <c r="A1125" s="733"/>
      <c r="B1125" s="6"/>
      <c r="D1125" s="727"/>
      <c r="E1125" s="729"/>
      <c r="F1125" s="727">
        <f t="shared" si="19"/>
        <v>479932</v>
      </c>
      <c r="J1125" s="727"/>
      <c r="K1125" s="727"/>
      <c r="L1125" s="727"/>
      <c r="M1125" s="727"/>
      <c r="N1125" s="727"/>
      <c r="O1125" s="727"/>
    </row>
    <row r="1126">
      <c r="A1126" s="733"/>
      <c r="B1126" s="6"/>
      <c r="D1126" s="727"/>
      <c r="E1126" s="729"/>
      <c r="F1126" s="727">
        <f t="shared" si="19"/>
        <v>479932</v>
      </c>
      <c r="J1126" s="727"/>
      <c r="K1126" s="727"/>
      <c r="L1126" s="727"/>
      <c r="M1126" s="727"/>
      <c r="N1126" s="727"/>
      <c r="O1126" s="727"/>
    </row>
    <row r="1127">
      <c r="A1127" s="733"/>
      <c r="B1127" s="6"/>
      <c r="D1127" s="727"/>
      <c r="E1127" s="729"/>
      <c r="F1127" s="727">
        <f t="shared" si="19"/>
        <v>479932</v>
      </c>
      <c r="J1127" s="727"/>
      <c r="K1127" s="727"/>
      <c r="L1127" s="727"/>
      <c r="M1127" s="727"/>
      <c r="N1127" s="727"/>
      <c r="O1127" s="727"/>
    </row>
    <row r="1128">
      <c r="A1128" s="733"/>
      <c r="B1128" s="6"/>
      <c r="D1128" s="727"/>
      <c r="E1128" s="729"/>
      <c r="F1128" s="727">
        <f t="shared" si="19"/>
        <v>479932</v>
      </c>
      <c r="J1128" s="727"/>
      <c r="K1128" s="727"/>
      <c r="L1128" s="727"/>
      <c r="M1128" s="727"/>
      <c r="N1128" s="727"/>
      <c r="O1128" s="727"/>
    </row>
    <row r="1129">
      <c r="A1129" s="733"/>
      <c r="B1129" s="6"/>
      <c r="D1129" s="727"/>
      <c r="E1129" s="729"/>
      <c r="F1129" s="727">
        <f t="shared" si="19"/>
        <v>479932</v>
      </c>
      <c r="J1129" s="727"/>
      <c r="K1129" s="727"/>
      <c r="L1129" s="727"/>
      <c r="M1129" s="727"/>
      <c r="N1129" s="727"/>
      <c r="O1129" s="727"/>
    </row>
    <row r="1130">
      <c r="A1130" s="733"/>
      <c r="B1130" s="6"/>
      <c r="D1130" s="727"/>
      <c r="E1130" s="729"/>
      <c r="F1130" s="727">
        <f t="shared" si="19"/>
        <v>479932</v>
      </c>
      <c r="J1130" s="727"/>
      <c r="K1130" s="727"/>
      <c r="L1130" s="727"/>
      <c r="M1130" s="727"/>
      <c r="N1130" s="727"/>
      <c r="O1130" s="727"/>
    </row>
    <row r="1131">
      <c r="A1131" s="733"/>
      <c r="B1131" s="6"/>
      <c r="D1131" s="727"/>
      <c r="E1131" s="729"/>
      <c r="F1131" s="727">
        <f t="shared" si="19"/>
        <v>479932</v>
      </c>
      <c r="J1131" s="727"/>
      <c r="K1131" s="727"/>
      <c r="L1131" s="727"/>
      <c r="M1131" s="727"/>
      <c r="N1131" s="727"/>
      <c r="O1131" s="727"/>
    </row>
    <row r="1132">
      <c r="A1132" s="733"/>
      <c r="B1132" s="6"/>
      <c r="D1132" s="727"/>
      <c r="E1132" s="729"/>
      <c r="F1132" s="727">
        <f t="shared" si="19"/>
        <v>479932</v>
      </c>
      <c r="J1132" s="727"/>
      <c r="K1132" s="727"/>
      <c r="L1132" s="727"/>
      <c r="M1132" s="727"/>
      <c r="N1132" s="727"/>
      <c r="O1132" s="727"/>
    </row>
    <row r="1133">
      <c r="A1133" s="733"/>
      <c r="B1133" s="6"/>
      <c r="D1133" s="727"/>
      <c r="E1133" s="729"/>
      <c r="F1133" s="727">
        <f t="shared" si="19"/>
        <v>479932</v>
      </c>
      <c r="J1133" s="727"/>
      <c r="K1133" s="727"/>
      <c r="L1133" s="727"/>
      <c r="M1133" s="727"/>
      <c r="N1133" s="727"/>
      <c r="O1133" s="727"/>
    </row>
    <row r="1134">
      <c r="A1134" s="733"/>
      <c r="B1134" s="6"/>
      <c r="D1134" s="727"/>
      <c r="E1134" s="729"/>
      <c r="F1134" s="727">
        <f t="shared" si="19"/>
        <v>479932</v>
      </c>
      <c r="J1134" s="727"/>
      <c r="K1134" s="727"/>
      <c r="L1134" s="727"/>
      <c r="M1134" s="727"/>
      <c r="N1134" s="727"/>
      <c r="O1134" s="727"/>
    </row>
    <row r="1135">
      <c r="A1135" s="733"/>
      <c r="B1135" s="6"/>
      <c r="D1135" s="727"/>
      <c r="E1135" s="729"/>
      <c r="F1135" s="727">
        <f t="shared" si="19"/>
        <v>479932</v>
      </c>
      <c r="J1135" s="727"/>
      <c r="K1135" s="727"/>
      <c r="L1135" s="727"/>
      <c r="M1135" s="727"/>
      <c r="N1135" s="727"/>
      <c r="O1135" s="727"/>
    </row>
    <row r="1136">
      <c r="A1136" s="733"/>
      <c r="B1136" s="6"/>
      <c r="D1136" s="727"/>
      <c r="E1136" s="729"/>
      <c r="F1136" s="727">
        <f t="shared" si="19"/>
        <v>479932</v>
      </c>
      <c r="J1136" s="727"/>
      <c r="K1136" s="727"/>
      <c r="L1136" s="727"/>
      <c r="M1136" s="727"/>
      <c r="N1136" s="727"/>
      <c r="O1136" s="727"/>
    </row>
    <row r="1137">
      <c r="A1137" s="733"/>
      <c r="B1137" s="6"/>
      <c r="D1137" s="727"/>
      <c r="E1137" s="729"/>
      <c r="F1137" s="727">
        <f t="shared" si="19"/>
        <v>479932</v>
      </c>
      <c r="J1137" s="727"/>
      <c r="K1137" s="727"/>
      <c r="L1137" s="727"/>
      <c r="M1137" s="727"/>
      <c r="N1137" s="727"/>
      <c r="O1137" s="727"/>
    </row>
    <row r="1138">
      <c r="A1138" s="733"/>
      <c r="B1138" s="6"/>
      <c r="D1138" s="727"/>
      <c r="E1138" s="729"/>
      <c r="F1138" s="727">
        <f t="shared" si="19"/>
        <v>479932</v>
      </c>
      <c r="J1138" s="727"/>
      <c r="K1138" s="727"/>
      <c r="L1138" s="727"/>
      <c r="M1138" s="727"/>
      <c r="N1138" s="727"/>
      <c r="O1138" s="727"/>
    </row>
    <row r="1139">
      <c r="A1139" s="733"/>
      <c r="B1139" s="6"/>
      <c r="D1139" s="727"/>
      <c r="E1139" s="729"/>
      <c r="F1139" s="727">
        <f t="shared" si="19"/>
        <v>479932</v>
      </c>
      <c r="J1139" s="727"/>
      <c r="K1139" s="727"/>
      <c r="L1139" s="727"/>
      <c r="M1139" s="727"/>
      <c r="N1139" s="727"/>
      <c r="O1139" s="727"/>
    </row>
    <row r="1140">
      <c r="A1140" s="733"/>
      <c r="B1140" s="6"/>
      <c r="D1140" s="727"/>
      <c r="E1140" s="729"/>
      <c r="F1140" s="727">
        <f t="shared" si="19"/>
        <v>479932</v>
      </c>
      <c r="J1140" s="727"/>
      <c r="K1140" s="727"/>
      <c r="L1140" s="727"/>
      <c r="M1140" s="727"/>
      <c r="N1140" s="727"/>
      <c r="O1140" s="727"/>
    </row>
    <row r="1141">
      <c r="A1141" s="733"/>
      <c r="B1141" s="6"/>
      <c r="D1141" s="727"/>
      <c r="E1141" s="729"/>
      <c r="F1141" s="727">
        <f t="shared" si="19"/>
        <v>479932</v>
      </c>
      <c r="J1141" s="727"/>
      <c r="K1141" s="727"/>
      <c r="L1141" s="727"/>
      <c r="M1141" s="727"/>
      <c r="N1141" s="727"/>
      <c r="O1141" s="727"/>
    </row>
    <row r="1142">
      <c r="A1142" s="733"/>
      <c r="B1142" s="6"/>
      <c r="D1142" s="727"/>
      <c r="E1142" s="729"/>
      <c r="F1142" s="727">
        <f t="shared" si="19"/>
        <v>479932</v>
      </c>
      <c r="J1142" s="727"/>
      <c r="K1142" s="727"/>
      <c r="L1142" s="727"/>
      <c r="M1142" s="727"/>
      <c r="N1142" s="727"/>
      <c r="O1142" s="727"/>
    </row>
    <row r="1143">
      <c r="A1143" s="733"/>
      <c r="B1143" s="6"/>
      <c r="D1143" s="727"/>
      <c r="E1143" s="729"/>
      <c r="F1143" s="727">
        <f t="shared" si="19"/>
        <v>479932</v>
      </c>
      <c r="J1143" s="727"/>
      <c r="K1143" s="727"/>
      <c r="L1143" s="727"/>
      <c r="M1143" s="727"/>
      <c r="N1143" s="727"/>
      <c r="O1143" s="727"/>
    </row>
    <row r="1144">
      <c r="A1144" s="733"/>
      <c r="B1144" s="6"/>
      <c r="D1144" s="727"/>
      <c r="E1144" s="729"/>
      <c r="F1144" s="727">
        <f t="shared" si="19"/>
        <v>479932</v>
      </c>
      <c r="J1144" s="727"/>
      <c r="K1144" s="727"/>
      <c r="L1144" s="727"/>
      <c r="M1144" s="727"/>
      <c r="N1144" s="727"/>
      <c r="O1144" s="727"/>
    </row>
    <row r="1145">
      <c r="A1145" s="733"/>
      <c r="B1145" s="6"/>
      <c r="D1145" s="727"/>
      <c r="E1145" s="729"/>
      <c r="F1145" s="727">
        <f t="shared" si="19"/>
        <v>479932</v>
      </c>
      <c r="J1145" s="727"/>
      <c r="K1145" s="727"/>
      <c r="L1145" s="727"/>
      <c r="M1145" s="727"/>
      <c r="N1145" s="727"/>
      <c r="O1145" s="727"/>
    </row>
    <row r="1146">
      <c r="A1146" s="733"/>
      <c r="B1146" s="6"/>
      <c r="D1146" s="727"/>
      <c r="E1146" s="729"/>
      <c r="F1146" s="727">
        <f t="shared" si="19"/>
        <v>479932</v>
      </c>
      <c r="J1146" s="727"/>
      <c r="K1146" s="727"/>
      <c r="L1146" s="727"/>
      <c r="M1146" s="727"/>
      <c r="N1146" s="727"/>
      <c r="O1146" s="727"/>
    </row>
    <row r="1147">
      <c r="A1147" s="733"/>
      <c r="B1147" s="6"/>
      <c r="D1147" s="727"/>
      <c r="E1147" s="729"/>
      <c r="F1147" s="727">
        <f t="shared" si="19"/>
        <v>479932</v>
      </c>
      <c r="J1147" s="727"/>
      <c r="K1147" s="727"/>
      <c r="L1147" s="727"/>
      <c r="M1147" s="727"/>
      <c r="N1147" s="727"/>
      <c r="O1147" s="727"/>
    </row>
    <row r="1148">
      <c r="A1148" s="733"/>
      <c r="B1148" s="6"/>
      <c r="D1148" s="727"/>
      <c r="E1148" s="729"/>
      <c r="F1148" s="727">
        <f t="shared" si="19"/>
        <v>479932</v>
      </c>
      <c r="J1148" s="727"/>
      <c r="K1148" s="727"/>
      <c r="L1148" s="727"/>
      <c r="M1148" s="727"/>
      <c r="N1148" s="727"/>
      <c r="O1148" s="727"/>
    </row>
    <row r="1149">
      <c r="A1149" s="733"/>
      <c r="B1149" s="6"/>
      <c r="D1149" s="727"/>
      <c r="E1149" s="729"/>
      <c r="F1149" s="727">
        <f t="shared" si="19"/>
        <v>479932</v>
      </c>
      <c r="J1149" s="727"/>
      <c r="K1149" s="727"/>
      <c r="L1149" s="727"/>
      <c r="M1149" s="727"/>
      <c r="N1149" s="727"/>
      <c r="O1149" s="727"/>
    </row>
    <row r="1150">
      <c r="A1150" s="733"/>
      <c r="B1150" s="6"/>
      <c r="D1150" s="727"/>
      <c r="E1150" s="729"/>
      <c r="F1150" s="727">
        <f t="shared" si="19"/>
        <v>479932</v>
      </c>
      <c r="J1150" s="727"/>
      <c r="K1150" s="727"/>
      <c r="L1150" s="727"/>
      <c r="M1150" s="727"/>
      <c r="N1150" s="727"/>
      <c r="O1150" s="727"/>
    </row>
    <row r="1151">
      <c r="A1151" s="733"/>
      <c r="B1151" s="6"/>
      <c r="D1151" s="727"/>
      <c r="E1151" s="729"/>
      <c r="F1151" s="727">
        <f t="shared" si="19"/>
        <v>479932</v>
      </c>
      <c r="J1151" s="727"/>
      <c r="K1151" s="727"/>
      <c r="L1151" s="727"/>
      <c r="M1151" s="727"/>
      <c r="N1151" s="727"/>
      <c r="O1151" s="727"/>
    </row>
    <row r="1152">
      <c r="A1152" s="733"/>
      <c r="B1152" s="6"/>
      <c r="D1152" s="727"/>
      <c r="E1152" s="729"/>
      <c r="F1152" s="727">
        <f t="shared" si="19"/>
        <v>479932</v>
      </c>
      <c r="J1152" s="727"/>
      <c r="K1152" s="727"/>
      <c r="L1152" s="727"/>
      <c r="M1152" s="727"/>
      <c r="N1152" s="727"/>
      <c r="O1152" s="727"/>
    </row>
    <row r="1153">
      <c r="A1153" s="733"/>
      <c r="B1153" s="6"/>
      <c r="D1153" s="727"/>
      <c r="E1153" s="729"/>
      <c r="F1153" s="727">
        <f t="shared" si="19"/>
        <v>479932</v>
      </c>
      <c r="J1153" s="727"/>
      <c r="K1153" s="727"/>
      <c r="L1153" s="727"/>
      <c r="M1153" s="727"/>
      <c r="N1153" s="727"/>
      <c r="O1153" s="727"/>
    </row>
    <row r="1154">
      <c r="A1154" s="733"/>
      <c r="B1154" s="6"/>
      <c r="D1154" s="727"/>
      <c r="E1154" s="729"/>
      <c r="F1154" s="727">
        <f t="shared" si="19"/>
        <v>479932</v>
      </c>
      <c r="J1154" s="727"/>
      <c r="K1154" s="727"/>
      <c r="L1154" s="727"/>
      <c r="M1154" s="727"/>
      <c r="N1154" s="727"/>
      <c r="O1154" s="727"/>
    </row>
    <row r="1155">
      <c r="A1155" s="733"/>
      <c r="B1155" s="6"/>
      <c r="D1155" s="727"/>
      <c r="E1155" s="729"/>
      <c r="F1155" s="727">
        <f t="shared" si="19"/>
        <v>479932</v>
      </c>
      <c r="J1155" s="727"/>
      <c r="K1155" s="727"/>
      <c r="L1155" s="727"/>
      <c r="M1155" s="727"/>
      <c r="N1155" s="727"/>
      <c r="O1155" s="727"/>
    </row>
    <row r="1156">
      <c r="A1156" s="733"/>
      <c r="B1156" s="6"/>
      <c r="D1156" s="727"/>
      <c r="E1156" s="729"/>
      <c r="F1156" s="727">
        <f t="shared" si="19"/>
        <v>479932</v>
      </c>
      <c r="J1156" s="727"/>
      <c r="K1156" s="727"/>
      <c r="L1156" s="727"/>
      <c r="M1156" s="727"/>
      <c r="N1156" s="727"/>
      <c r="O1156" s="727"/>
    </row>
    <row r="1157">
      <c r="A1157" s="733"/>
      <c r="B1157" s="6"/>
      <c r="D1157" s="727"/>
      <c r="E1157" s="729"/>
      <c r="F1157" s="727">
        <f t="shared" si="19"/>
        <v>479932</v>
      </c>
      <c r="J1157" s="727"/>
      <c r="K1157" s="727"/>
      <c r="L1157" s="727"/>
      <c r="M1157" s="727"/>
      <c r="N1157" s="727"/>
      <c r="O1157" s="727"/>
    </row>
    <row r="1158">
      <c r="A1158" s="733"/>
      <c r="B1158" s="6"/>
      <c r="D1158" s="727"/>
      <c r="E1158" s="729"/>
      <c r="F1158" s="727">
        <f t="shared" si="19"/>
        <v>479932</v>
      </c>
      <c r="J1158" s="727"/>
      <c r="K1158" s="727"/>
      <c r="L1158" s="727"/>
      <c r="M1158" s="727"/>
      <c r="N1158" s="727"/>
      <c r="O1158" s="727"/>
    </row>
    <row r="1159">
      <c r="A1159" s="733"/>
      <c r="B1159" s="6"/>
      <c r="D1159" s="727"/>
      <c r="E1159" s="729"/>
      <c r="F1159" s="727">
        <f t="shared" si="19"/>
        <v>479932</v>
      </c>
      <c r="J1159" s="727"/>
      <c r="K1159" s="727"/>
      <c r="L1159" s="727"/>
      <c r="M1159" s="727"/>
      <c r="N1159" s="727"/>
      <c r="O1159" s="727"/>
    </row>
    <row r="1160">
      <c r="A1160" s="733"/>
      <c r="B1160" s="6"/>
      <c r="D1160" s="727"/>
      <c r="E1160" s="729"/>
      <c r="F1160" s="727">
        <f t="shared" si="19"/>
        <v>479932</v>
      </c>
      <c r="J1160" s="727"/>
      <c r="K1160" s="727"/>
      <c r="L1160" s="727"/>
      <c r="M1160" s="727"/>
      <c r="N1160" s="727"/>
      <c r="O1160" s="727"/>
    </row>
    <row r="1161">
      <c r="A1161" s="733"/>
      <c r="B1161" s="6"/>
      <c r="D1161" s="727"/>
      <c r="E1161" s="729"/>
      <c r="F1161" s="727">
        <f t="shared" si="19"/>
        <v>479932</v>
      </c>
      <c r="J1161" s="727"/>
      <c r="K1161" s="727"/>
      <c r="L1161" s="727"/>
      <c r="M1161" s="727"/>
      <c r="N1161" s="727"/>
      <c r="O1161" s="727"/>
    </row>
    <row r="1162">
      <c r="A1162" s="733"/>
      <c r="B1162" s="6"/>
      <c r="D1162" s="727"/>
      <c r="E1162" s="729"/>
      <c r="F1162" s="727">
        <f t="shared" si="19"/>
        <v>479932</v>
      </c>
      <c r="J1162" s="727"/>
      <c r="K1162" s="727"/>
      <c r="L1162" s="727"/>
      <c r="M1162" s="727"/>
      <c r="N1162" s="727"/>
      <c r="O1162" s="727"/>
    </row>
    <row r="1163">
      <c r="A1163" s="733"/>
      <c r="B1163" s="6"/>
      <c r="D1163" s="727"/>
      <c r="E1163" s="729"/>
      <c r="F1163" s="727">
        <f t="shared" si="19"/>
        <v>479932</v>
      </c>
      <c r="J1163" s="727"/>
      <c r="K1163" s="727"/>
      <c r="L1163" s="727"/>
      <c r="M1163" s="727"/>
      <c r="N1163" s="727"/>
      <c r="O1163" s="727"/>
    </row>
    <row r="1164">
      <c r="A1164" s="733"/>
      <c r="B1164" s="6"/>
      <c r="D1164" s="727"/>
      <c r="E1164" s="729"/>
      <c r="F1164" s="727">
        <f t="shared" si="19"/>
        <v>479932</v>
      </c>
      <c r="J1164" s="727"/>
      <c r="K1164" s="727"/>
      <c r="L1164" s="727"/>
      <c r="M1164" s="727"/>
      <c r="N1164" s="727"/>
      <c r="O1164" s="727"/>
    </row>
    <row r="1165">
      <c r="A1165" s="733"/>
      <c r="B1165" s="6"/>
      <c r="D1165" s="727"/>
      <c r="E1165" s="729"/>
      <c r="F1165" s="727">
        <f t="shared" si="19"/>
        <v>479932</v>
      </c>
      <c r="J1165" s="727"/>
      <c r="K1165" s="727"/>
      <c r="L1165" s="727"/>
      <c r="M1165" s="727"/>
      <c r="N1165" s="727"/>
      <c r="O1165" s="727"/>
    </row>
    <row r="1166">
      <c r="A1166" s="733"/>
      <c r="B1166" s="6"/>
      <c r="D1166" s="727"/>
      <c r="E1166" s="729"/>
      <c r="F1166" s="727">
        <f t="shared" si="19"/>
        <v>479932</v>
      </c>
      <c r="J1166" s="727"/>
      <c r="K1166" s="727"/>
      <c r="L1166" s="727"/>
      <c r="M1166" s="727"/>
      <c r="N1166" s="727"/>
      <c r="O1166" s="727"/>
    </row>
    <row r="1167">
      <c r="A1167" s="733"/>
      <c r="B1167" s="6"/>
      <c r="D1167" s="727"/>
      <c r="E1167" s="729"/>
      <c r="F1167" s="727">
        <f t="shared" si="19"/>
        <v>479932</v>
      </c>
      <c r="J1167" s="727"/>
      <c r="K1167" s="727"/>
      <c r="L1167" s="727"/>
      <c r="M1167" s="727"/>
      <c r="N1167" s="727"/>
      <c r="O1167" s="727"/>
    </row>
    <row r="1168">
      <c r="A1168" s="733"/>
      <c r="B1168" s="6"/>
      <c r="D1168" s="727"/>
      <c r="E1168" s="729"/>
      <c r="F1168" s="727">
        <f t="shared" si="19"/>
        <v>479932</v>
      </c>
      <c r="J1168" s="727"/>
      <c r="K1168" s="727"/>
      <c r="L1168" s="727"/>
      <c r="M1168" s="727"/>
      <c r="N1168" s="727"/>
      <c r="O1168" s="727"/>
    </row>
    <row r="1169">
      <c r="A1169" s="733"/>
      <c r="B1169" s="6"/>
      <c r="D1169" s="727"/>
      <c r="E1169" s="729"/>
      <c r="F1169" s="727">
        <f t="shared" si="19"/>
        <v>479932</v>
      </c>
      <c r="J1169" s="727"/>
      <c r="K1169" s="727"/>
      <c r="L1169" s="727"/>
      <c r="M1169" s="727"/>
      <c r="N1169" s="727"/>
      <c r="O1169" s="727"/>
    </row>
    <row r="1170">
      <c r="A1170" s="733"/>
      <c r="B1170" s="6"/>
      <c r="D1170" s="727"/>
      <c r="E1170" s="729"/>
      <c r="F1170" s="727">
        <f t="shared" si="19"/>
        <v>479932</v>
      </c>
      <c r="J1170" s="727"/>
      <c r="K1170" s="727"/>
      <c r="L1170" s="727"/>
      <c r="M1170" s="727"/>
      <c r="N1170" s="727"/>
      <c r="O1170" s="727"/>
    </row>
    <row r="1171">
      <c r="A1171" s="733"/>
      <c r="B1171" s="6"/>
      <c r="D1171" s="727"/>
      <c r="E1171" s="729"/>
      <c r="F1171" s="727">
        <f t="shared" si="19"/>
        <v>479932</v>
      </c>
      <c r="J1171" s="727"/>
      <c r="K1171" s="727"/>
      <c r="L1171" s="727"/>
      <c r="M1171" s="727"/>
      <c r="N1171" s="727"/>
      <c r="O1171" s="727"/>
    </row>
    <row r="1172">
      <c r="A1172" s="733"/>
      <c r="B1172" s="6"/>
      <c r="D1172" s="727"/>
      <c r="E1172" s="729"/>
      <c r="F1172" s="727">
        <f t="shared" si="19"/>
        <v>479932</v>
      </c>
      <c r="J1172" s="727"/>
      <c r="K1172" s="727"/>
      <c r="L1172" s="727"/>
      <c r="M1172" s="727"/>
      <c r="N1172" s="727"/>
      <c r="O1172" s="727"/>
    </row>
    <row r="1173">
      <c r="A1173" s="733"/>
      <c r="B1173" s="6"/>
      <c r="D1173" s="727"/>
      <c r="E1173" s="729"/>
      <c r="F1173" s="727">
        <f t="shared" si="19"/>
        <v>479932</v>
      </c>
      <c r="J1173" s="727"/>
      <c r="K1173" s="727"/>
      <c r="L1173" s="727"/>
      <c r="M1173" s="727"/>
      <c r="N1173" s="727"/>
      <c r="O1173" s="727"/>
    </row>
    <row r="1174">
      <c r="A1174" s="733"/>
      <c r="B1174" s="6"/>
      <c r="D1174" s="727"/>
      <c r="E1174" s="729"/>
      <c r="F1174" s="727">
        <f t="shared" si="19"/>
        <v>479932</v>
      </c>
      <c r="J1174" s="727"/>
      <c r="K1174" s="727"/>
      <c r="L1174" s="727"/>
      <c r="M1174" s="727"/>
      <c r="N1174" s="727"/>
      <c r="O1174" s="727"/>
    </row>
    <row r="1175">
      <c r="A1175" s="733"/>
      <c r="B1175" s="6"/>
      <c r="D1175" s="727"/>
      <c r="E1175" s="729"/>
      <c r="F1175" s="727">
        <f t="shared" si="19"/>
        <v>479932</v>
      </c>
      <c r="J1175" s="727"/>
      <c r="K1175" s="727"/>
      <c r="L1175" s="727"/>
      <c r="M1175" s="727"/>
      <c r="N1175" s="727"/>
      <c r="O1175" s="727"/>
    </row>
    <row r="1176">
      <c r="A1176" s="733"/>
      <c r="B1176" s="6"/>
      <c r="D1176" s="727"/>
      <c r="E1176" s="729"/>
      <c r="F1176" s="727">
        <f t="shared" si="19"/>
        <v>479932</v>
      </c>
      <c r="J1176" s="727"/>
      <c r="K1176" s="727"/>
      <c r="L1176" s="727"/>
      <c r="M1176" s="727"/>
      <c r="N1176" s="727"/>
      <c r="O1176" s="727"/>
    </row>
    <row r="1177">
      <c r="A1177" s="733"/>
      <c r="B1177" s="6"/>
      <c r="D1177" s="727"/>
      <c r="E1177" s="729"/>
      <c r="F1177" s="727">
        <f t="shared" si="19"/>
        <v>479932</v>
      </c>
      <c r="J1177" s="727"/>
      <c r="K1177" s="727"/>
      <c r="L1177" s="727"/>
      <c r="M1177" s="727"/>
      <c r="N1177" s="727"/>
      <c r="O1177" s="727"/>
    </row>
    <row r="1178">
      <c r="A1178" s="733"/>
      <c r="B1178" s="6"/>
      <c r="D1178" s="727"/>
      <c r="E1178" s="729"/>
      <c r="F1178" s="727">
        <f t="shared" si="19"/>
        <v>479932</v>
      </c>
      <c r="J1178" s="727"/>
      <c r="K1178" s="727"/>
      <c r="L1178" s="727"/>
      <c r="M1178" s="727"/>
      <c r="N1178" s="727"/>
      <c r="O1178" s="727"/>
    </row>
    <row r="1179">
      <c r="A1179" s="733"/>
      <c r="B1179" s="6"/>
      <c r="D1179" s="727"/>
      <c r="E1179" s="729"/>
      <c r="F1179" s="727">
        <f t="shared" si="19"/>
        <v>479932</v>
      </c>
      <c r="J1179" s="727"/>
      <c r="K1179" s="727"/>
      <c r="L1179" s="727"/>
      <c r="M1179" s="727"/>
      <c r="N1179" s="727"/>
      <c r="O1179" s="727"/>
    </row>
    <row r="1180">
      <c r="A1180" s="733"/>
      <c r="B1180" s="6"/>
      <c r="D1180" s="727"/>
      <c r="E1180" s="729"/>
      <c r="F1180" s="727">
        <f t="shared" si="19"/>
        <v>479932</v>
      </c>
      <c r="J1180" s="727"/>
      <c r="K1180" s="727"/>
      <c r="L1180" s="727"/>
      <c r="M1180" s="727"/>
      <c r="N1180" s="727"/>
      <c r="O1180" s="727"/>
    </row>
    <row r="1181">
      <c r="A1181" s="733"/>
      <c r="B1181" s="6"/>
      <c r="D1181" s="727"/>
      <c r="E1181" s="729"/>
      <c r="F1181" s="727">
        <f t="shared" si="19"/>
        <v>479932</v>
      </c>
      <c r="J1181" s="727"/>
      <c r="K1181" s="727"/>
      <c r="L1181" s="727"/>
      <c r="M1181" s="727"/>
      <c r="N1181" s="727"/>
      <c r="O1181" s="727"/>
    </row>
    <row r="1182">
      <c r="A1182" s="733"/>
      <c r="B1182" s="6"/>
      <c r="D1182" s="727"/>
      <c r="E1182" s="729"/>
      <c r="F1182" s="727">
        <f t="shared" si="19"/>
        <v>479932</v>
      </c>
      <c r="J1182" s="727"/>
      <c r="K1182" s="727"/>
      <c r="L1182" s="727"/>
      <c r="M1182" s="727"/>
      <c r="N1182" s="727"/>
      <c r="O1182" s="727"/>
    </row>
    <row r="1183">
      <c r="A1183" s="733"/>
      <c r="B1183" s="6"/>
      <c r="D1183" s="727"/>
      <c r="E1183" s="729"/>
      <c r="F1183" s="727">
        <f t="shared" si="19"/>
        <v>479932</v>
      </c>
      <c r="J1183" s="727"/>
      <c r="K1183" s="727"/>
      <c r="L1183" s="727"/>
      <c r="M1183" s="727"/>
      <c r="N1183" s="727"/>
      <c r="O1183" s="727"/>
    </row>
    <row r="1184">
      <c r="A1184" s="733"/>
      <c r="B1184" s="6"/>
      <c r="D1184" s="727"/>
      <c r="E1184" s="729"/>
      <c r="F1184" s="727">
        <f t="shared" si="19"/>
        <v>479932</v>
      </c>
      <c r="J1184" s="727"/>
      <c r="K1184" s="727"/>
      <c r="L1184" s="727"/>
      <c r="M1184" s="727"/>
      <c r="N1184" s="727"/>
      <c r="O1184" s="727"/>
    </row>
    <row r="1185">
      <c r="A1185" s="733"/>
      <c r="B1185" s="6"/>
      <c r="D1185" s="727"/>
      <c r="E1185" s="729"/>
      <c r="F1185" s="727">
        <f t="shared" si="19"/>
        <v>479932</v>
      </c>
      <c r="J1185" s="727"/>
      <c r="K1185" s="727"/>
      <c r="L1185" s="727"/>
      <c r="M1185" s="727"/>
      <c r="N1185" s="727"/>
      <c r="O1185" s="727"/>
    </row>
    <row r="1186">
      <c r="A1186" s="733"/>
      <c r="B1186" s="6"/>
      <c r="D1186" s="727"/>
      <c r="E1186" s="729"/>
      <c r="F1186" s="727">
        <f t="shared" si="19"/>
        <v>479932</v>
      </c>
      <c r="J1186" s="727"/>
      <c r="K1186" s="727"/>
      <c r="L1186" s="727"/>
      <c r="M1186" s="727"/>
      <c r="N1186" s="727"/>
      <c r="O1186" s="727"/>
    </row>
    <row r="1187">
      <c r="A1187" s="733"/>
      <c r="B1187" s="6"/>
      <c r="D1187" s="727"/>
      <c r="E1187" s="729"/>
      <c r="F1187" s="727">
        <f t="shared" si="19"/>
        <v>479932</v>
      </c>
      <c r="J1187" s="727"/>
      <c r="K1187" s="727"/>
      <c r="L1187" s="727"/>
      <c r="M1187" s="727"/>
      <c r="N1187" s="727"/>
      <c r="O1187" s="727"/>
    </row>
    <row r="1188">
      <c r="A1188" s="733"/>
      <c r="B1188" s="6"/>
      <c r="D1188" s="727"/>
      <c r="E1188" s="729"/>
      <c r="F1188" s="727">
        <f t="shared" si="19"/>
        <v>479932</v>
      </c>
      <c r="J1188" s="727"/>
      <c r="K1188" s="727"/>
      <c r="L1188" s="727"/>
      <c r="M1188" s="727"/>
      <c r="N1188" s="727"/>
      <c r="O1188" s="727"/>
    </row>
    <row r="1189">
      <c r="A1189" s="733"/>
      <c r="B1189" s="6"/>
      <c r="D1189" s="727"/>
      <c r="E1189" s="729"/>
      <c r="F1189" s="727">
        <f t="shared" si="19"/>
        <v>479932</v>
      </c>
      <c r="J1189" s="727"/>
      <c r="K1189" s="727"/>
      <c r="L1189" s="727"/>
      <c r="M1189" s="727"/>
      <c r="N1189" s="727"/>
      <c r="O1189" s="727"/>
    </row>
    <row r="1190">
      <c r="A1190" s="733"/>
      <c r="B1190" s="6"/>
      <c r="D1190" s="727"/>
      <c r="E1190" s="729"/>
      <c r="F1190" s="727">
        <f t="shared" si="19"/>
        <v>479932</v>
      </c>
      <c r="J1190" s="727"/>
      <c r="K1190" s="727"/>
      <c r="L1190" s="727"/>
      <c r="M1190" s="727"/>
      <c r="N1190" s="727"/>
      <c r="O1190" s="727"/>
    </row>
    <row r="1191">
      <c r="A1191" s="733"/>
      <c r="B1191" s="6"/>
      <c r="D1191" s="727"/>
      <c r="E1191" s="729"/>
      <c r="F1191" s="727">
        <f t="shared" si="19"/>
        <v>479932</v>
      </c>
      <c r="J1191" s="727"/>
      <c r="K1191" s="727"/>
      <c r="L1191" s="727"/>
      <c r="M1191" s="727"/>
      <c r="N1191" s="727"/>
      <c r="O1191" s="727"/>
    </row>
    <row r="1192">
      <c r="A1192" s="733"/>
      <c r="B1192" s="6"/>
      <c r="D1192" s="727"/>
      <c r="E1192" s="729"/>
      <c r="F1192" s="727">
        <f t="shared" si="19"/>
        <v>479932</v>
      </c>
      <c r="J1192" s="727"/>
      <c r="K1192" s="727"/>
      <c r="L1192" s="727"/>
      <c r="M1192" s="727"/>
      <c r="N1192" s="727"/>
      <c r="O1192" s="727"/>
    </row>
    <row r="1193">
      <c r="A1193" s="733"/>
      <c r="B1193" s="6"/>
      <c r="D1193" s="727"/>
      <c r="E1193" s="729"/>
      <c r="F1193" s="727">
        <f t="shared" si="19"/>
        <v>479932</v>
      </c>
      <c r="J1193" s="727"/>
      <c r="K1193" s="727"/>
      <c r="L1193" s="727"/>
      <c r="M1193" s="727"/>
      <c r="N1193" s="727"/>
      <c r="O1193" s="727"/>
    </row>
    <row r="1194">
      <c r="A1194" s="733"/>
      <c r="B1194" s="6"/>
      <c r="D1194" s="727"/>
      <c r="E1194" s="729"/>
      <c r="F1194" s="727">
        <f t="shared" si="19"/>
        <v>479932</v>
      </c>
      <c r="J1194" s="727"/>
      <c r="K1194" s="727"/>
      <c r="L1194" s="727"/>
      <c r="M1194" s="727"/>
      <c r="N1194" s="727"/>
      <c r="O1194" s="727"/>
    </row>
    <row r="1195">
      <c r="A1195" s="733"/>
      <c r="B1195" s="6"/>
      <c r="D1195" s="727"/>
      <c r="E1195" s="729"/>
      <c r="F1195" s="727">
        <f t="shared" si="19"/>
        <v>479932</v>
      </c>
      <c r="J1195" s="727"/>
      <c r="K1195" s="727"/>
      <c r="L1195" s="727"/>
      <c r="M1195" s="727"/>
      <c r="N1195" s="727"/>
      <c r="O1195" s="727"/>
    </row>
    <row r="1196">
      <c r="A1196" s="733"/>
      <c r="B1196" s="6"/>
      <c r="D1196" s="727"/>
      <c r="E1196" s="729"/>
      <c r="F1196" s="727">
        <f t="shared" si="19"/>
        <v>479932</v>
      </c>
      <c r="J1196" s="727"/>
      <c r="K1196" s="727"/>
      <c r="L1196" s="727"/>
      <c r="M1196" s="727"/>
      <c r="N1196" s="727"/>
      <c r="O1196" s="727"/>
    </row>
    <row r="1197">
      <c r="A1197" s="733"/>
      <c r="B1197" s="6"/>
      <c r="D1197" s="727"/>
      <c r="E1197" s="729"/>
      <c r="F1197" s="727">
        <f t="shared" si="19"/>
        <v>479932</v>
      </c>
      <c r="J1197" s="727"/>
      <c r="K1197" s="727"/>
      <c r="L1197" s="727"/>
      <c r="M1197" s="727"/>
      <c r="N1197" s="727"/>
      <c r="O1197" s="727"/>
    </row>
    <row r="1198">
      <c r="A1198" s="733"/>
      <c r="B1198" s="6"/>
      <c r="D1198" s="727"/>
      <c r="E1198" s="729"/>
      <c r="F1198" s="727">
        <f t="shared" si="19"/>
        <v>479932</v>
      </c>
      <c r="J1198" s="727"/>
      <c r="K1198" s="727"/>
      <c r="L1198" s="727"/>
      <c r="M1198" s="727"/>
      <c r="N1198" s="727"/>
      <c r="O1198" s="727"/>
    </row>
    <row r="1199">
      <c r="A1199" s="733"/>
      <c r="B1199" s="6"/>
      <c r="D1199" s="727"/>
      <c r="E1199" s="729"/>
      <c r="F1199" s="727">
        <f t="shared" si="19"/>
        <v>479932</v>
      </c>
      <c r="J1199" s="727"/>
      <c r="K1199" s="727"/>
      <c r="L1199" s="727"/>
      <c r="M1199" s="727"/>
      <c r="N1199" s="727"/>
      <c r="O1199" s="727"/>
    </row>
    <row r="1200">
      <c r="A1200" s="733"/>
      <c r="B1200" s="6"/>
      <c r="D1200" s="727"/>
      <c r="E1200" s="729"/>
      <c r="F1200" s="727">
        <f t="shared" si="19"/>
        <v>479932</v>
      </c>
      <c r="J1200" s="727"/>
      <c r="K1200" s="727"/>
      <c r="L1200" s="727"/>
      <c r="M1200" s="727"/>
      <c r="N1200" s="727"/>
      <c r="O1200" s="727"/>
    </row>
    <row r="1201">
      <c r="A1201" s="733"/>
      <c r="B1201" s="6"/>
      <c r="D1201" s="727"/>
      <c r="E1201" s="729"/>
      <c r="F1201" s="727">
        <f t="shared" si="19"/>
        <v>479932</v>
      </c>
      <c r="J1201" s="727"/>
      <c r="K1201" s="727"/>
      <c r="L1201" s="727"/>
      <c r="M1201" s="727"/>
      <c r="N1201" s="727"/>
      <c r="O1201" s="727"/>
    </row>
    <row r="1202">
      <c r="A1202" s="733"/>
      <c r="B1202" s="6"/>
      <c r="D1202" s="727"/>
      <c r="E1202" s="729"/>
      <c r="F1202" s="727">
        <f t="shared" si="19"/>
        <v>479932</v>
      </c>
      <c r="J1202" s="727"/>
      <c r="K1202" s="727"/>
      <c r="L1202" s="727"/>
      <c r="M1202" s="727"/>
      <c r="N1202" s="727"/>
      <c r="O1202" s="727"/>
    </row>
    <row r="1203">
      <c r="A1203" s="733"/>
      <c r="B1203" s="6"/>
      <c r="D1203" s="727"/>
      <c r="E1203" s="729"/>
      <c r="F1203" s="727">
        <f t="shared" si="19"/>
        <v>479932</v>
      </c>
      <c r="J1203" s="727"/>
      <c r="K1203" s="727"/>
      <c r="L1203" s="727"/>
      <c r="M1203" s="727"/>
      <c r="N1203" s="727"/>
      <c r="O1203" s="727"/>
    </row>
    <row r="1204">
      <c r="A1204" s="733"/>
      <c r="B1204" s="6"/>
      <c r="D1204" s="727"/>
      <c r="E1204" s="729"/>
      <c r="F1204" s="727">
        <f t="shared" si="19"/>
        <v>479932</v>
      </c>
      <c r="J1204" s="727"/>
      <c r="K1204" s="727"/>
      <c r="L1204" s="727"/>
      <c r="M1204" s="727"/>
      <c r="N1204" s="727"/>
      <c r="O1204" s="727"/>
    </row>
    <row r="1205">
      <c r="A1205" s="733"/>
      <c r="B1205" s="6"/>
      <c r="D1205" s="727"/>
      <c r="E1205" s="729"/>
      <c r="F1205" s="727">
        <f t="shared" si="19"/>
        <v>479932</v>
      </c>
      <c r="J1205" s="727"/>
      <c r="K1205" s="727"/>
      <c r="L1205" s="727"/>
      <c r="M1205" s="727"/>
      <c r="N1205" s="727"/>
      <c r="O1205" s="727"/>
    </row>
    <row r="1206">
      <c r="A1206" s="733"/>
      <c r="B1206" s="6"/>
      <c r="D1206" s="727"/>
      <c r="E1206" s="729"/>
      <c r="F1206" s="727">
        <f t="shared" si="19"/>
        <v>479932</v>
      </c>
      <c r="J1206" s="727"/>
      <c r="K1206" s="727"/>
      <c r="L1206" s="727"/>
      <c r="M1206" s="727"/>
      <c r="N1206" s="727"/>
      <c r="O1206" s="727"/>
    </row>
    <row r="1207">
      <c r="A1207" s="733"/>
      <c r="B1207" s="6"/>
      <c r="D1207" s="727"/>
      <c r="E1207" s="729"/>
      <c r="F1207" s="727">
        <f t="shared" si="19"/>
        <v>479932</v>
      </c>
      <c r="J1207" s="727"/>
      <c r="K1207" s="727"/>
      <c r="L1207" s="727"/>
      <c r="M1207" s="727"/>
      <c r="N1207" s="727"/>
      <c r="O1207" s="727"/>
    </row>
    <row r="1208">
      <c r="A1208" s="733"/>
      <c r="B1208" s="6"/>
      <c r="D1208" s="727"/>
      <c r="E1208" s="729"/>
      <c r="F1208" s="727">
        <f t="shared" si="19"/>
        <v>479932</v>
      </c>
      <c r="J1208" s="727"/>
      <c r="K1208" s="727"/>
      <c r="L1208" s="727"/>
      <c r="M1208" s="727"/>
      <c r="N1208" s="727"/>
      <c r="O1208" s="727"/>
    </row>
    <row r="1209">
      <c r="A1209" s="733"/>
      <c r="B1209" s="6"/>
      <c r="D1209" s="727"/>
      <c r="E1209" s="729"/>
      <c r="F1209" s="727">
        <f t="shared" si="19"/>
        <v>479932</v>
      </c>
      <c r="J1209" s="727"/>
      <c r="K1209" s="727"/>
      <c r="L1209" s="727"/>
      <c r="M1209" s="727"/>
      <c r="N1209" s="727"/>
      <c r="O1209" s="727"/>
    </row>
    <row r="1210">
      <c r="A1210" s="733"/>
      <c r="B1210" s="6"/>
      <c r="D1210" s="727"/>
      <c r="E1210" s="729"/>
      <c r="F1210" s="727">
        <f t="shared" si="19"/>
        <v>479932</v>
      </c>
      <c r="J1210" s="727"/>
      <c r="K1210" s="727"/>
      <c r="L1210" s="727"/>
      <c r="M1210" s="727"/>
      <c r="N1210" s="727"/>
      <c r="O1210" s="727"/>
    </row>
    <row r="1211">
      <c r="A1211" s="733"/>
      <c r="B1211" s="6"/>
      <c r="D1211" s="727"/>
      <c r="E1211" s="729"/>
      <c r="F1211" s="727">
        <f t="shared" si="19"/>
        <v>479932</v>
      </c>
      <c r="J1211" s="727"/>
      <c r="K1211" s="727"/>
      <c r="L1211" s="727"/>
      <c r="M1211" s="727"/>
      <c r="N1211" s="727"/>
      <c r="O1211" s="727"/>
    </row>
    <row r="1212">
      <c r="A1212" s="733"/>
      <c r="B1212" s="6"/>
      <c r="D1212" s="727"/>
      <c r="E1212" s="729"/>
      <c r="F1212" s="727">
        <f t="shared" si="19"/>
        <v>479932</v>
      </c>
      <c r="J1212" s="727"/>
      <c r="K1212" s="727"/>
      <c r="L1212" s="727"/>
      <c r="M1212" s="727"/>
      <c r="N1212" s="727"/>
      <c r="O1212" s="727"/>
    </row>
    <row r="1213">
      <c r="A1213" s="733"/>
      <c r="B1213" s="6"/>
      <c r="D1213" s="727"/>
      <c r="E1213" s="729"/>
      <c r="F1213" s="727">
        <f t="shared" si="19"/>
        <v>479932</v>
      </c>
      <c r="J1213" s="727"/>
      <c r="K1213" s="727"/>
      <c r="L1213" s="727"/>
      <c r="M1213" s="727"/>
      <c r="N1213" s="727"/>
      <c r="O1213" s="727"/>
    </row>
    <row r="1214">
      <c r="A1214" s="733"/>
      <c r="B1214" s="6"/>
      <c r="D1214" s="727"/>
      <c r="E1214" s="729"/>
      <c r="F1214" s="727">
        <f t="shared" si="19"/>
        <v>479932</v>
      </c>
      <c r="J1214" s="727"/>
      <c r="K1214" s="727"/>
      <c r="L1214" s="727"/>
      <c r="M1214" s="727"/>
      <c r="N1214" s="727"/>
      <c r="O1214" s="727"/>
    </row>
    <row r="1215">
      <c r="A1215" s="733"/>
      <c r="B1215" s="6"/>
      <c r="D1215" s="727"/>
      <c r="E1215" s="729"/>
      <c r="F1215" s="727">
        <f t="shared" si="19"/>
        <v>479932</v>
      </c>
      <c r="J1215" s="727"/>
      <c r="K1215" s="727"/>
      <c r="L1215" s="727"/>
      <c r="M1215" s="727"/>
      <c r="N1215" s="727"/>
      <c r="O1215" s="727"/>
    </row>
    <row r="1216">
      <c r="A1216" s="733"/>
      <c r="B1216" s="6"/>
      <c r="D1216" s="727"/>
      <c r="E1216" s="729"/>
      <c r="F1216" s="727">
        <f t="shared" si="19"/>
        <v>479932</v>
      </c>
      <c r="J1216" s="727"/>
      <c r="K1216" s="727"/>
      <c r="L1216" s="727"/>
      <c r="M1216" s="727"/>
      <c r="N1216" s="727"/>
      <c r="O1216" s="727"/>
    </row>
    <row r="1217">
      <c r="A1217" s="733"/>
      <c r="B1217" s="6"/>
      <c r="D1217" s="727"/>
      <c r="E1217" s="729"/>
      <c r="F1217" s="727">
        <f t="shared" si="19"/>
        <v>479932</v>
      </c>
      <c r="J1217" s="727"/>
      <c r="K1217" s="727"/>
      <c r="L1217" s="727"/>
      <c r="M1217" s="727"/>
      <c r="N1217" s="727"/>
      <c r="O1217" s="727"/>
    </row>
    <row r="1218">
      <c r="A1218" s="733"/>
      <c r="B1218" s="6"/>
      <c r="D1218" s="727"/>
      <c r="E1218" s="729"/>
      <c r="F1218" s="727">
        <f t="shared" si="19"/>
        <v>479932</v>
      </c>
      <c r="J1218" s="727"/>
      <c r="K1218" s="727"/>
      <c r="L1218" s="727"/>
      <c r="M1218" s="727"/>
      <c r="N1218" s="727"/>
      <c r="O1218" s="727"/>
    </row>
    <row r="1219">
      <c r="A1219" s="733"/>
      <c r="B1219" s="6"/>
      <c r="D1219" s="727"/>
      <c r="E1219" s="729"/>
      <c r="F1219" s="727">
        <f t="shared" si="19"/>
        <v>479932</v>
      </c>
      <c r="J1219" s="727"/>
      <c r="K1219" s="727"/>
      <c r="L1219" s="727"/>
      <c r="M1219" s="727"/>
      <c r="N1219" s="727"/>
      <c r="O1219" s="727"/>
    </row>
    <row r="1220">
      <c r="A1220" s="733"/>
      <c r="B1220" s="6"/>
      <c r="D1220" s="727"/>
      <c r="E1220" s="729"/>
      <c r="F1220" s="727">
        <f t="shared" si="19"/>
        <v>479932</v>
      </c>
      <c r="J1220" s="727"/>
      <c r="K1220" s="727"/>
      <c r="L1220" s="727"/>
      <c r="M1220" s="727"/>
      <c r="N1220" s="727"/>
      <c r="O1220" s="727"/>
    </row>
    <row r="1221">
      <c r="A1221" s="733"/>
      <c r="B1221" s="6"/>
      <c r="D1221" s="727"/>
      <c r="E1221" s="729"/>
      <c r="F1221" s="727">
        <f t="shared" si="19"/>
        <v>479932</v>
      </c>
      <c r="J1221" s="727"/>
      <c r="K1221" s="727"/>
      <c r="L1221" s="727"/>
      <c r="M1221" s="727"/>
      <c r="N1221" s="727"/>
      <c r="O1221" s="727"/>
    </row>
    <row r="1222">
      <c r="A1222" s="733"/>
      <c r="B1222" s="6"/>
      <c r="D1222" s="727"/>
      <c r="E1222" s="729"/>
      <c r="F1222" s="727">
        <f t="shared" si="19"/>
        <v>479932</v>
      </c>
      <c r="J1222" s="727"/>
      <c r="K1222" s="727"/>
      <c r="L1222" s="727"/>
      <c r="M1222" s="727"/>
      <c r="N1222" s="727"/>
      <c r="O1222" s="727"/>
    </row>
    <row r="1223">
      <c r="A1223" s="733"/>
      <c r="B1223" s="6"/>
      <c r="D1223" s="727"/>
      <c r="E1223" s="729"/>
      <c r="F1223" s="727">
        <f t="shared" si="19"/>
        <v>479932</v>
      </c>
      <c r="J1223" s="727"/>
      <c r="K1223" s="727"/>
      <c r="L1223" s="727"/>
      <c r="M1223" s="727"/>
      <c r="N1223" s="727"/>
      <c r="O1223" s="727"/>
    </row>
    <row r="1224">
      <c r="A1224" s="733"/>
      <c r="B1224" s="6"/>
      <c r="D1224" s="727"/>
      <c r="E1224" s="729"/>
      <c r="F1224" s="727">
        <f t="shared" si="19"/>
        <v>479932</v>
      </c>
      <c r="J1224" s="727"/>
      <c r="K1224" s="727"/>
      <c r="L1224" s="727"/>
      <c r="M1224" s="727"/>
      <c r="N1224" s="727"/>
      <c r="O1224" s="727"/>
    </row>
    <row r="1225">
      <c r="A1225" s="733"/>
      <c r="B1225" s="6"/>
      <c r="D1225" s="727"/>
      <c r="E1225" s="729"/>
      <c r="F1225" s="727">
        <f t="shared" si="19"/>
        <v>479932</v>
      </c>
      <c r="J1225" s="727"/>
      <c r="K1225" s="727"/>
      <c r="L1225" s="727"/>
      <c r="M1225" s="727"/>
      <c r="N1225" s="727"/>
      <c r="O1225" s="727"/>
    </row>
    <row r="1226">
      <c r="A1226" s="733"/>
      <c r="B1226" s="6"/>
      <c r="D1226" s="727"/>
      <c r="E1226" s="729"/>
      <c r="F1226" s="727">
        <f t="shared" si="19"/>
        <v>479932</v>
      </c>
      <c r="J1226" s="727"/>
      <c r="K1226" s="727"/>
      <c r="L1226" s="727"/>
      <c r="M1226" s="727"/>
      <c r="N1226" s="727"/>
      <c r="O1226" s="727"/>
    </row>
    <row r="1227">
      <c r="A1227" s="733"/>
      <c r="B1227" s="6"/>
      <c r="D1227" s="727"/>
      <c r="E1227" s="729"/>
      <c r="F1227" s="727">
        <f t="shared" si="19"/>
        <v>479932</v>
      </c>
      <c r="J1227" s="727"/>
      <c r="K1227" s="727"/>
      <c r="L1227" s="727"/>
      <c r="M1227" s="727"/>
      <c r="N1227" s="727"/>
      <c r="O1227" s="727"/>
    </row>
    <row r="1228">
      <c r="A1228" s="733"/>
      <c r="B1228" s="6"/>
      <c r="D1228" s="727"/>
      <c r="E1228" s="729"/>
      <c r="F1228" s="727">
        <f t="shared" si="19"/>
        <v>479932</v>
      </c>
      <c r="J1228" s="727"/>
      <c r="K1228" s="727"/>
      <c r="L1228" s="727"/>
      <c r="M1228" s="727"/>
      <c r="N1228" s="727"/>
      <c r="O1228" s="727"/>
    </row>
    <row r="1229">
      <c r="A1229" s="733"/>
      <c r="B1229" s="6"/>
      <c r="D1229" s="727"/>
      <c r="E1229" s="729"/>
      <c r="F1229" s="727">
        <f t="shared" si="19"/>
        <v>479932</v>
      </c>
      <c r="J1229" s="727"/>
      <c r="K1229" s="727"/>
      <c r="L1229" s="727"/>
      <c r="M1229" s="727"/>
      <c r="N1229" s="727"/>
      <c r="O1229" s="727"/>
    </row>
    <row r="1230">
      <c r="A1230" s="733"/>
      <c r="B1230" s="6"/>
      <c r="D1230" s="727"/>
      <c r="E1230" s="729"/>
      <c r="F1230" s="727">
        <f t="shared" si="19"/>
        <v>479932</v>
      </c>
      <c r="J1230" s="727"/>
      <c r="K1230" s="727"/>
      <c r="L1230" s="727"/>
      <c r="M1230" s="727"/>
      <c r="N1230" s="727"/>
      <c r="O1230" s="727"/>
    </row>
    <row r="1231">
      <c r="A1231" s="733"/>
      <c r="B1231" s="6"/>
      <c r="D1231" s="727"/>
      <c r="E1231" s="729"/>
      <c r="F1231" s="727">
        <f t="shared" si="19"/>
        <v>479932</v>
      </c>
      <c r="J1231" s="727"/>
      <c r="K1231" s="727"/>
      <c r="L1231" s="727"/>
      <c r="M1231" s="727"/>
      <c r="N1231" s="727"/>
      <c r="O1231" s="727"/>
    </row>
    <row r="1232">
      <c r="A1232" s="733"/>
      <c r="B1232" s="6"/>
      <c r="D1232" s="727"/>
      <c r="E1232" s="729"/>
      <c r="F1232" s="727">
        <f t="shared" si="19"/>
        <v>479932</v>
      </c>
      <c r="J1232" s="727"/>
      <c r="K1232" s="727"/>
      <c r="L1232" s="727"/>
      <c r="M1232" s="727"/>
      <c r="N1232" s="727"/>
      <c r="O1232" s="727"/>
    </row>
    <row r="1233">
      <c r="A1233" s="733"/>
      <c r="B1233" s="6"/>
      <c r="D1233" s="727"/>
      <c r="E1233" s="729"/>
      <c r="F1233" s="727">
        <f t="shared" si="19"/>
        <v>479932</v>
      </c>
      <c r="J1233" s="727"/>
      <c r="K1233" s="727"/>
      <c r="L1233" s="727"/>
      <c r="M1233" s="727"/>
      <c r="N1233" s="727"/>
      <c r="O1233" s="727"/>
    </row>
    <row r="1234">
      <c r="A1234" s="733"/>
      <c r="B1234" s="6"/>
      <c r="D1234" s="727"/>
      <c r="E1234" s="729"/>
      <c r="F1234" s="727">
        <f t="shared" si="19"/>
        <v>479932</v>
      </c>
      <c r="J1234" s="727"/>
      <c r="K1234" s="727"/>
      <c r="L1234" s="727"/>
      <c r="M1234" s="727"/>
      <c r="N1234" s="727"/>
      <c r="O1234" s="727"/>
    </row>
    <row r="1235">
      <c r="A1235" s="733"/>
      <c r="B1235" s="6"/>
      <c r="D1235" s="727"/>
      <c r="E1235" s="729"/>
      <c r="F1235" s="727">
        <f t="shared" si="19"/>
        <v>479932</v>
      </c>
      <c r="J1235" s="727"/>
      <c r="K1235" s="727"/>
      <c r="L1235" s="727"/>
      <c r="M1235" s="727"/>
      <c r="N1235" s="727"/>
      <c r="O1235" s="727"/>
    </row>
    <row r="1236">
      <c r="A1236" s="733"/>
      <c r="B1236" s="6"/>
      <c r="D1236" s="727"/>
      <c r="E1236" s="729"/>
      <c r="F1236" s="727">
        <f t="shared" si="19"/>
        <v>479932</v>
      </c>
      <c r="J1236" s="727"/>
      <c r="K1236" s="727"/>
      <c r="L1236" s="727"/>
      <c r="M1236" s="727"/>
      <c r="N1236" s="727"/>
      <c r="O1236" s="727"/>
    </row>
    <row r="1237">
      <c r="A1237" s="733"/>
      <c r="B1237" s="6"/>
      <c r="D1237" s="727"/>
      <c r="E1237" s="729"/>
      <c r="F1237" s="727">
        <f t="shared" si="19"/>
        <v>479932</v>
      </c>
      <c r="J1237" s="727"/>
      <c r="K1237" s="727"/>
      <c r="L1237" s="727"/>
      <c r="M1237" s="727"/>
      <c r="N1237" s="727"/>
      <c r="O1237" s="727"/>
    </row>
    <row r="1238">
      <c r="A1238" s="733"/>
      <c r="B1238" s="6"/>
      <c r="D1238" s="727"/>
      <c r="E1238" s="729"/>
      <c r="F1238" s="727">
        <f t="shared" si="19"/>
        <v>479932</v>
      </c>
      <c r="J1238" s="727"/>
      <c r="K1238" s="727"/>
      <c r="L1238" s="727"/>
      <c r="M1238" s="727"/>
      <c r="N1238" s="727"/>
      <c r="O1238" s="727"/>
    </row>
    <row r="1239">
      <c r="A1239" s="733"/>
      <c r="B1239" s="6"/>
      <c r="D1239" s="727"/>
      <c r="E1239" s="729"/>
      <c r="F1239" s="727">
        <f t="shared" si="19"/>
        <v>479932</v>
      </c>
      <c r="J1239" s="727"/>
      <c r="K1239" s="727"/>
      <c r="L1239" s="727"/>
      <c r="M1239" s="727"/>
      <c r="N1239" s="727"/>
      <c r="O1239" s="727"/>
    </row>
    <row r="1240">
      <c r="A1240" s="733"/>
      <c r="B1240" s="6"/>
      <c r="D1240" s="727"/>
      <c r="E1240" s="729"/>
      <c r="F1240" s="727">
        <f t="shared" si="19"/>
        <v>479932</v>
      </c>
      <c r="J1240" s="727"/>
      <c r="K1240" s="727"/>
      <c r="L1240" s="727"/>
      <c r="M1240" s="727"/>
      <c r="N1240" s="727"/>
      <c r="O1240" s="727"/>
    </row>
    <row r="1241">
      <c r="A1241" s="733"/>
      <c r="B1241" s="6"/>
      <c r="D1241" s="727"/>
      <c r="E1241" s="729"/>
      <c r="F1241" s="727">
        <f t="shared" si="19"/>
        <v>479932</v>
      </c>
      <c r="J1241" s="727"/>
      <c r="K1241" s="727"/>
      <c r="L1241" s="727"/>
      <c r="M1241" s="727"/>
      <c r="N1241" s="727"/>
      <c r="O1241" s="727"/>
    </row>
    <row r="1242">
      <c r="A1242" s="733"/>
      <c r="B1242" s="6"/>
      <c r="D1242" s="727"/>
      <c r="E1242" s="729"/>
      <c r="F1242" s="727">
        <f t="shared" si="19"/>
        <v>479932</v>
      </c>
      <c r="J1242" s="727"/>
      <c r="K1242" s="727"/>
      <c r="L1242" s="727"/>
      <c r="M1242" s="727"/>
      <c r="N1242" s="727"/>
      <c r="O1242" s="727"/>
    </row>
    <row r="1243">
      <c r="A1243" s="733"/>
      <c r="B1243" s="6"/>
      <c r="D1243" s="727"/>
      <c r="E1243" s="729"/>
      <c r="F1243" s="727">
        <f t="shared" si="19"/>
        <v>479932</v>
      </c>
      <c r="J1243" s="727"/>
      <c r="K1243" s="727"/>
      <c r="L1243" s="727"/>
      <c r="M1243" s="727"/>
      <c r="N1243" s="727"/>
      <c r="O1243" s="727"/>
    </row>
    <row r="1244">
      <c r="A1244" s="733"/>
      <c r="B1244" s="6"/>
      <c r="D1244" s="727"/>
      <c r="E1244" s="729"/>
      <c r="F1244" s="727">
        <f t="shared" si="19"/>
        <v>479932</v>
      </c>
      <c r="J1244" s="727"/>
      <c r="K1244" s="727"/>
      <c r="L1244" s="727"/>
      <c r="M1244" s="727"/>
      <c r="N1244" s="727"/>
      <c r="O1244" s="727"/>
    </row>
    <row r="1245">
      <c r="A1245" s="733"/>
      <c r="B1245" s="6"/>
      <c r="D1245" s="727"/>
      <c r="E1245" s="729"/>
      <c r="F1245" s="727">
        <f t="shared" si="19"/>
        <v>479932</v>
      </c>
      <c r="J1245" s="727"/>
      <c r="K1245" s="727"/>
      <c r="L1245" s="727"/>
      <c r="M1245" s="727"/>
      <c r="N1245" s="727"/>
      <c r="O1245" s="727"/>
    </row>
    <row r="1246">
      <c r="A1246" s="733"/>
      <c r="B1246" s="6"/>
      <c r="D1246" s="727"/>
      <c r="E1246" s="729"/>
      <c r="F1246" s="727">
        <f t="shared" si="19"/>
        <v>479932</v>
      </c>
      <c r="J1246" s="727"/>
      <c r="K1246" s="727"/>
      <c r="L1246" s="727"/>
      <c r="M1246" s="727"/>
      <c r="N1246" s="727"/>
      <c r="O1246" s="727"/>
    </row>
    <row r="1247">
      <c r="A1247" s="733"/>
      <c r="B1247" s="6"/>
      <c r="D1247" s="727"/>
      <c r="E1247" s="729"/>
      <c r="F1247" s="727">
        <f t="shared" si="19"/>
        <v>479932</v>
      </c>
      <c r="J1247" s="727"/>
      <c r="K1247" s="727"/>
      <c r="L1247" s="727"/>
      <c r="M1247" s="727"/>
      <c r="N1247" s="727"/>
      <c r="O1247" s="727"/>
    </row>
    <row r="1248">
      <c r="A1248" s="733"/>
      <c r="B1248" s="6"/>
      <c r="D1248" s="727"/>
      <c r="E1248" s="729"/>
      <c r="F1248" s="727">
        <f t="shared" si="19"/>
        <v>479932</v>
      </c>
      <c r="J1248" s="727"/>
      <c r="K1248" s="727"/>
      <c r="L1248" s="727"/>
      <c r="M1248" s="727"/>
      <c r="N1248" s="727"/>
      <c r="O1248" s="727"/>
    </row>
    <row r="1249">
      <c r="A1249" s="733"/>
      <c r="B1249" s="6"/>
      <c r="D1249" s="727"/>
      <c r="E1249" s="729"/>
      <c r="F1249" s="727">
        <f t="shared" si="19"/>
        <v>479932</v>
      </c>
      <c r="J1249" s="727"/>
      <c r="K1249" s="727"/>
      <c r="L1249" s="727"/>
      <c r="M1249" s="727"/>
      <c r="N1249" s="727"/>
      <c r="O1249" s="727"/>
    </row>
    <row r="1250">
      <c r="A1250" s="733"/>
      <c r="B1250" s="6"/>
      <c r="D1250" s="727"/>
      <c r="E1250" s="729"/>
      <c r="F1250" s="727">
        <f t="shared" si="19"/>
        <v>479932</v>
      </c>
      <c r="J1250" s="727"/>
      <c r="K1250" s="727"/>
      <c r="L1250" s="727"/>
      <c r="M1250" s="727"/>
      <c r="N1250" s="727"/>
      <c r="O1250" s="727"/>
    </row>
    <row r="1251">
      <c r="A1251" s="733"/>
      <c r="B1251" s="6"/>
      <c r="D1251" s="727"/>
      <c r="E1251" s="729"/>
      <c r="F1251" s="727">
        <f t="shared" si="19"/>
        <v>479932</v>
      </c>
      <c r="J1251" s="727"/>
      <c r="K1251" s="727"/>
      <c r="L1251" s="727"/>
      <c r="M1251" s="727"/>
      <c r="N1251" s="727"/>
      <c r="O1251" s="727"/>
    </row>
    <row r="1252">
      <c r="A1252" s="733"/>
      <c r="B1252" s="6"/>
      <c r="D1252" s="727"/>
      <c r="E1252" s="729"/>
      <c r="F1252" s="727">
        <f t="shared" si="19"/>
        <v>479932</v>
      </c>
      <c r="J1252" s="727"/>
      <c r="K1252" s="727"/>
      <c r="L1252" s="727"/>
      <c r="M1252" s="727"/>
      <c r="N1252" s="727"/>
      <c r="O1252" s="727"/>
    </row>
    <row r="1253">
      <c r="A1253" s="733"/>
      <c r="B1253" s="6"/>
      <c r="D1253" s="727"/>
      <c r="E1253" s="729"/>
      <c r="F1253" s="727">
        <f t="shared" si="19"/>
        <v>479932</v>
      </c>
      <c r="J1253" s="727"/>
      <c r="K1253" s="727"/>
      <c r="L1253" s="727"/>
      <c r="M1253" s="727"/>
      <c r="N1253" s="727"/>
      <c r="O1253" s="727"/>
    </row>
    <row r="1254">
      <c r="A1254" s="733"/>
      <c r="B1254" s="6"/>
      <c r="D1254" s="727"/>
      <c r="E1254" s="729"/>
      <c r="F1254" s="727">
        <f t="shared" si="19"/>
        <v>479932</v>
      </c>
      <c r="J1254" s="727"/>
      <c r="K1254" s="727"/>
      <c r="L1254" s="727"/>
      <c r="M1254" s="727"/>
      <c r="N1254" s="727"/>
      <c r="O1254" s="727"/>
    </row>
    <row r="1255">
      <c r="A1255" s="733"/>
      <c r="B1255" s="6"/>
      <c r="D1255" s="727"/>
      <c r="E1255" s="729"/>
      <c r="F1255" s="727">
        <f t="shared" si="19"/>
        <v>479932</v>
      </c>
      <c r="J1255" s="727"/>
      <c r="K1255" s="727"/>
      <c r="L1255" s="727"/>
      <c r="M1255" s="727"/>
      <c r="N1255" s="727"/>
      <c r="O1255" s="727"/>
    </row>
    <row r="1256">
      <c r="A1256" s="733"/>
      <c r="B1256" s="6"/>
      <c r="D1256" s="727"/>
      <c r="E1256" s="729"/>
      <c r="F1256" s="727">
        <f t="shared" si="19"/>
        <v>479932</v>
      </c>
      <c r="J1256" s="727"/>
      <c r="K1256" s="727"/>
      <c r="L1256" s="727"/>
      <c r="M1256" s="727"/>
      <c r="N1256" s="727"/>
      <c r="O1256" s="727"/>
    </row>
    <row r="1257">
      <c r="A1257" s="733"/>
      <c r="B1257" s="6"/>
      <c r="D1257" s="727"/>
      <c r="E1257" s="729"/>
      <c r="F1257" s="727">
        <f t="shared" si="19"/>
        <v>479932</v>
      </c>
      <c r="J1257" s="727"/>
      <c r="K1257" s="727"/>
      <c r="L1257" s="727"/>
      <c r="M1257" s="727"/>
      <c r="N1257" s="727"/>
      <c r="O1257" s="727"/>
    </row>
    <row r="1258">
      <c r="A1258" s="733"/>
      <c r="B1258" s="6"/>
      <c r="D1258" s="727"/>
      <c r="E1258" s="729"/>
      <c r="F1258" s="727">
        <f t="shared" si="19"/>
        <v>479932</v>
      </c>
      <c r="J1258" s="727"/>
      <c r="K1258" s="727"/>
      <c r="L1258" s="727"/>
      <c r="M1258" s="727"/>
      <c r="N1258" s="727"/>
      <c r="O1258" s="727"/>
    </row>
    <row r="1259">
      <c r="A1259" s="733"/>
      <c r="B1259" s="6"/>
      <c r="D1259" s="727"/>
      <c r="E1259" s="729"/>
      <c r="F1259" s="727">
        <f t="shared" si="19"/>
        <v>479932</v>
      </c>
      <c r="J1259" s="727"/>
      <c r="K1259" s="727"/>
      <c r="L1259" s="727"/>
      <c r="M1259" s="727"/>
      <c r="N1259" s="727"/>
      <c r="O1259" s="727"/>
    </row>
    <row r="1260">
      <c r="A1260" s="733"/>
      <c r="B1260" s="6"/>
      <c r="D1260" s="727"/>
      <c r="E1260" s="729"/>
      <c r="F1260" s="727">
        <f t="shared" si="19"/>
        <v>479932</v>
      </c>
      <c r="J1260" s="727"/>
      <c r="K1260" s="727"/>
      <c r="L1260" s="727"/>
      <c r="M1260" s="727"/>
      <c r="N1260" s="727"/>
      <c r="O1260" s="727"/>
    </row>
    <row r="1261">
      <c r="A1261" s="733"/>
      <c r="B1261" s="6"/>
      <c r="D1261" s="727"/>
      <c r="E1261" s="729"/>
      <c r="F1261" s="727">
        <f t="shared" si="19"/>
        <v>479932</v>
      </c>
      <c r="J1261" s="727"/>
      <c r="K1261" s="727"/>
      <c r="L1261" s="727"/>
      <c r="M1261" s="727"/>
      <c r="N1261" s="727"/>
      <c r="O1261" s="727"/>
    </row>
    <row r="1262">
      <c r="A1262" s="733"/>
      <c r="B1262" s="6"/>
      <c r="D1262" s="727"/>
      <c r="E1262" s="729"/>
      <c r="F1262" s="727">
        <f t="shared" si="19"/>
        <v>479932</v>
      </c>
      <c r="J1262" s="727"/>
      <c r="K1262" s="727"/>
      <c r="L1262" s="727"/>
      <c r="M1262" s="727"/>
      <c r="N1262" s="727"/>
      <c r="O1262" s="727"/>
    </row>
    <row r="1263">
      <c r="A1263" s="733"/>
      <c r="B1263" s="6"/>
      <c r="D1263" s="727"/>
      <c r="E1263" s="729"/>
      <c r="F1263" s="727">
        <f t="shared" si="19"/>
        <v>479932</v>
      </c>
      <c r="J1263" s="727"/>
      <c r="K1263" s="727"/>
      <c r="L1263" s="727"/>
      <c r="M1263" s="727"/>
      <c r="N1263" s="727"/>
      <c r="O1263" s="727"/>
    </row>
    <row r="1264">
      <c r="A1264" s="733"/>
      <c r="B1264" s="6"/>
      <c r="D1264" s="727"/>
      <c r="E1264" s="729"/>
      <c r="F1264" s="727">
        <f t="shared" si="19"/>
        <v>479932</v>
      </c>
      <c r="J1264" s="727"/>
      <c r="K1264" s="727"/>
      <c r="L1264" s="727"/>
      <c r="M1264" s="727"/>
      <c r="N1264" s="727"/>
      <c r="O1264" s="727"/>
    </row>
    <row r="1265">
      <c r="A1265" s="733"/>
      <c r="B1265" s="6"/>
      <c r="D1265" s="727"/>
      <c r="E1265" s="729"/>
      <c r="F1265" s="727">
        <f t="shared" si="19"/>
        <v>479932</v>
      </c>
      <c r="J1265" s="727"/>
      <c r="K1265" s="727"/>
      <c r="L1265" s="727"/>
      <c r="M1265" s="727"/>
      <c r="N1265" s="727"/>
      <c r="O1265" s="727"/>
    </row>
    <row r="1266">
      <c r="A1266" s="733"/>
      <c r="B1266" s="6"/>
      <c r="D1266" s="727"/>
      <c r="E1266" s="729"/>
      <c r="F1266" s="727">
        <f t="shared" si="19"/>
        <v>479932</v>
      </c>
      <c r="J1266" s="727"/>
      <c r="K1266" s="727"/>
      <c r="L1266" s="727"/>
      <c r="M1266" s="727"/>
      <c r="N1266" s="727"/>
      <c r="O1266" s="727"/>
    </row>
    <row r="1267">
      <c r="A1267" s="733"/>
      <c r="B1267" s="6"/>
      <c r="D1267" s="727"/>
      <c r="E1267" s="729"/>
      <c r="F1267" s="727">
        <f t="shared" si="19"/>
        <v>479932</v>
      </c>
      <c r="J1267" s="727"/>
      <c r="K1267" s="727"/>
      <c r="L1267" s="727"/>
      <c r="M1267" s="727"/>
      <c r="N1267" s="727"/>
      <c r="O1267" s="727"/>
    </row>
    <row r="1268">
      <c r="A1268" s="733"/>
      <c r="B1268" s="6"/>
      <c r="D1268" s="727"/>
      <c r="E1268" s="729"/>
      <c r="F1268" s="727">
        <f t="shared" si="19"/>
        <v>479932</v>
      </c>
      <c r="J1268" s="727"/>
      <c r="K1268" s="727"/>
      <c r="L1268" s="727"/>
      <c r="M1268" s="727"/>
      <c r="N1268" s="727"/>
      <c r="O1268" s="727"/>
    </row>
    <row r="1269">
      <c r="A1269" s="733"/>
      <c r="B1269" s="6"/>
      <c r="D1269" s="727"/>
      <c r="E1269" s="729"/>
      <c r="F1269" s="727">
        <f t="shared" si="19"/>
        <v>479932</v>
      </c>
      <c r="J1269" s="727"/>
      <c r="K1269" s="727"/>
      <c r="L1269" s="727"/>
      <c r="M1269" s="727"/>
      <c r="N1269" s="727"/>
      <c r="O1269" s="727"/>
    </row>
    <row r="1270">
      <c r="A1270" s="733"/>
      <c r="B1270" s="6"/>
      <c r="D1270" s="727"/>
      <c r="E1270" s="729"/>
      <c r="F1270" s="727">
        <f t="shared" si="19"/>
        <v>479932</v>
      </c>
      <c r="J1270" s="727"/>
      <c r="K1270" s="727"/>
      <c r="L1270" s="727"/>
      <c r="M1270" s="727"/>
      <c r="N1270" s="727"/>
      <c r="O1270" s="727"/>
    </row>
    <row r="1271">
      <c r="A1271" s="733"/>
      <c r="B1271" s="6"/>
      <c r="D1271" s="727"/>
      <c r="E1271" s="729"/>
      <c r="F1271" s="727">
        <f t="shared" si="19"/>
        <v>479932</v>
      </c>
      <c r="J1271" s="727"/>
      <c r="K1271" s="727"/>
      <c r="L1271" s="727"/>
      <c r="M1271" s="727"/>
      <c r="N1271" s="727"/>
      <c r="O1271" s="727"/>
    </row>
    <row r="1272">
      <c r="A1272" s="733"/>
      <c r="B1272" s="6"/>
      <c r="D1272" s="727"/>
      <c r="E1272" s="729"/>
      <c r="F1272" s="727">
        <f t="shared" si="19"/>
        <v>479932</v>
      </c>
      <c r="J1272" s="727"/>
      <c r="K1272" s="727"/>
      <c r="L1272" s="727"/>
      <c r="M1272" s="727"/>
      <c r="N1272" s="727"/>
      <c r="O1272" s="727"/>
    </row>
    <row r="1273">
      <c r="A1273" s="733"/>
      <c r="B1273" s="6"/>
      <c r="D1273" s="727"/>
      <c r="E1273" s="729"/>
      <c r="F1273" s="727">
        <f t="shared" si="19"/>
        <v>479932</v>
      </c>
      <c r="J1273" s="727"/>
      <c r="K1273" s="727"/>
      <c r="L1273" s="727"/>
      <c r="M1273" s="727"/>
      <c r="N1273" s="727"/>
      <c r="O1273" s="727"/>
    </row>
    <row r="1274">
      <c r="A1274" s="733"/>
      <c r="B1274" s="6"/>
      <c r="D1274" s="727"/>
      <c r="E1274" s="729"/>
      <c r="F1274" s="727">
        <f t="shared" si="19"/>
        <v>479932</v>
      </c>
      <c r="J1274" s="727"/>
      <c r="K1274" s="727"/>
      <c r="L1274" s="727"/>
      <c r="M1274" s="727"/>
      <c r="N1274" s="727"/>
      <c r="O1274" s="727"/>
    </row>
    <row r="1275">
      <c r="A1275" s="733"/>
      <c r="B1275" s="6"/>
      <c r="D1275" s="727"/>
      <c r="E1275" s="729"/>
      <c r="F1275" s="727">
        <f t="shared" si="19"/>
        <v>479932</v>
      </c>
      <c r="J1275" s="727"/>
      <c r="K1275" s="727"/>
      <c r="L1275" s="727"/>
      <c r="M1275" s="727"/>
      <c r="N1275" s="727"/>
      <c r="O1275" s="727"/>
    </row>
    <row r="1276">
      <c r="A1276" s="733"/>
      <c r="B1276" s="6"/>
      <c r="D1276" s="727"/>
      <c r="E1276" s="729"/>
      <c r="F1276" s="727">
        <f t="shared" si="19"/>
        <v>479932</v>
      </c>
      <c r="J1276" s="727"/>
      <c r="K1276" s="727"/>
      <c r="L1276" s="727"/>
      <c r="M1276" s="727"/>
      <c r="N1276" s="727"/>
      <c r="O1276" s="727"/>
    </row>
    <row r="1277">
      <c r="A1277" s="733"/>
      <c r="B1277" s="6"/>
      <c r="D1277" s="727"/>
      <c r="E1277" s="729"/>
      <c r="F1277" s="727">
        <f t="shared" si="19"/>
        <v>479932</v>
      </c>
      <c r="J1277" s="727"/>
      <c r="K1277" s="727"/>
      <c r="L1277" s="727"/>
      <c r="M1277" s="727"/>
      <c r="N1277" s="727"/>
      <c r="O1277" s="727"/>
    </row>
    <row r="1278">
      <c r="A1278" s="733"/>
      <c r="B1278" s="6"/>
      <c r="D1278" s="727"/>
      <c r="E1278" s="729"/>
      <c r="F1278" s="727">
        <f t="shared" si="19"/>
        <v>479932</v>
      </c>
      <c r="J1278" s="727"/>
      <c r="K1278" s="727"/>
      <c r="L1278" s="727"/>
      <c r="M1278" s="727"/>
      <c r="N1278" s="727"/>
      <c r="O1278" s="727"/>
    </row>
    <row r="1279">
      <c r="A1279" s="733"/>
      <c r="B1279" s="6"/>
      <c r="D1279" s="727"/>
      <c r="E1279" s="729"/>
      <c r="F1279" s="727">
        <f t="shared" si="19"/>
        <v>479932</v>
      </c>
      <c r="J1279" s="727"/>
      <c r="K1279" s="727"/>
      <c r="L1279" s="727"/>
      <c r="M1279" s="727"/>
      <c r="N1279" s="727"/>
      <c r="O1279" s="727"/>
    </row>
    <row r="1280">
      <c r="A1280" s="733"/>
      <c r="B1280" s="6"/>
      <c r="D1280" s="727"/>
      <c r="E1280" s="729"/>
      <c r="F1280" s="727">
        <f t="shared" si="19"/>
        <v>479932</v>
      </c>
      <c r="J1280" s="727"/>
      <c r="K1280" s="727"/>
      <c r="L1280" s="727"/>
      <c r="M1280" s="727"/>
      <c r="N1280" s="727"/>
      <c r="O1280" s="727"/>
    </row>
    <row r="1281">
      <c r="A1281" s="733"/>
      <c r="B1281" s="6"/>
      <c r="D1281" s="727"/>
      <c r="E1281" s="729"/>
      <c r="F1281" s="727">
        <f t="shared" si="19"/>
        <v>479932</v>
      </c>
      <c r="J1281" s="727"/>
      <c r="K1281" s="727"/>
      <c r="L1281" s="727"/>
      <c r="M1281" s="727"/>
      <c r="N1281" s="727"/>
      <c r="O1281" s="727"/>
    </row>
    <row r="1282">
      <c r="A1282" s="733"/>
      <c r="B1282" s="6"/>
      <c r="D1282" s="727"/>
      <c r="E1282" s="729"/>
      <c r="F1282" s="727">
        <f t="shared" si="19"/>
        <v>479932</v>
      </c>
      <c r="J1282" s="727"/>
      <c r="K1282" s="727"/>
      <c r="L1282" s="727"/>
      <c r="M1282" s="727"/>
      <c r="N1282" s="727"/>
      <c r="O1282" s="727"/>
    </row>
    <row r="1283">
      <c r="A1283" s="733"/>
      <c r="B1283" s="6"/>
      <c r="D1283" s="727"/>
      <c r="E1283" s="729"/>
      <c r="F1283" s="727">
        <f t="shared" si="19"/>
        <v>479932</v>
      </c>
      <c r="J1283" s="727"/>
      <c r="K1283" s="727"/>
      <c r="L1283" s="727"/>
      <c r="M1283" s="727"/>
      <c r="N1283" s="727"/>
      <c r="O1283" s="727"/>
    </row>
    <row r="1284">
      <c r="A1284" s="733"/>
      <c r="B1284" s="6"/>
      <c r="D1284" s="727"/>
      <c r="E1284" s="729"/>
      <c r="F1284" s="727">
        <f t="shared" si="19"/>
        <v>479932</v>
      </c>
      <c r="J1284" s="727"/>
      <c r="K1284" s="727"/>
      <c r="L1284" s="727"/>
      <c r="M1284" s="727"/>
      <c r="N1284" s="727"/>
      <c r="O1284" s="727"/>
    </row>
    <row r="1285">
      <c r="A1285" s="733"/>
      <c r="B1285" s="6"/>
      <c r="D1285" s="727"/>
      <c r="E1285" s="729"/>
      <c r="F1285" s="727">
        <f t="shared" si="19"/>
        <v>479932</v>
      </c>
      <c r="J1285" s="727"/>
      <c r="K1285" s="727"/>
      <c r="L1285" s="727"/>
      <c r="M1285" s="727"/>
      <c r="N1285" s="727"/>
      <c r="O1285" s="727"/>
    </row>
    <row r="1286">
      <c r="A1286" s="733"/>
      <c r="B1286" s="6"/>
      <c r="D1286" s="727"/>
      <c r="E1286" s="729"/>
      <c r="F1286" s="727">
        <f t="shared" si="19"/>
        <v>479932</v>
      </c>
      <c r="J1286" s="727"/>
      <c r="K1286" s="727"/>
      <c r="L1286" s="727"/>
      <c r="M1286" s="727"/>
      <c r="N1286" s="727"/>
      <c r="O1286" s="727"/>
    </row>
    <row r="1287">
      <c r="A1287" s="733"/>
      <c r="B1287" s="6"/>
      <c r="D1287" s="727"/>
      <c r="E1287" s="729"/>
      <c r="F1287" s="727">
        <f t="shared" si="19"/>
        <v>479932</v>
      </c>
      <c r="J1287" s="727"/>
      <c r="K1287" s="727"/>
      <c r="L1287" s="727"/>
      <c r="M1287" s="727"/>
      <c r="N1287" s="727"/>
      <c r="O1287" s="727"/>
    </row>
    <row r="1288">
      <c r="A1288" s="733"/>
      <c r="B1288" s="6"/>
      <c r="D1288" s="727"/>
      <c r="E1288" s="729"/>
      <c r="F1288" s="727">
        <f t="shared" si="19"/>
        <v>479932</v>
      </c>
      <c r="J1288" s="727"/>
      <c r="K1288" s="727"/>
      <c r="L1288" s="727"/>
      <c r="M1288" s="727"/>
      <c r="N1288" s="727"/>
      <c r="O1288" s="727"/>
    </row>
    <row r="1289">
      <c r="A1289" s="733"/>
      <c r="B1289" s="6"/>
      <c r="D1289" s="727"/>
      <c r="E1289" s="729"/>
      <c r="F1289" s="727">
        <f t="shared" si="19"/>
        <v>479932</v>
      </c>
      <c r="J1289" s="727"/>
      <c r="K1289" s="727"/>
      <c r="L1289" s="727"/>
      <c r="M1289" s="727"/>
      <c r="N1289" s="727"/>
      <c r="O1289" s="727"/>
    </row>
    <row r="1290">
      <c r="A1290" s="733"/>
      <c r="B1290" s="6"/>
      <c r="D1290" s="727"/>
      <c r="E1290" s="729"/>
      <c r="F1290" s="727">
        <f t="shared" si="19"/>
        <v>479932</v>
      </c>
      <c r="J1290" s="727"/>
      <c r="K1290" s="727"/>
      <c r="L1290" s="727"/>
      <c r="M1290" s="727"/>
      <c r="N1290" s="727"/>
      <c r="O1290" s="727"/>
    </row>
    <row r="1291">
      <c r="A1291" s="733"/>
      <c r="B1291" s="6"/>
      <c r="D1291" s="727"/>
      <c r="E1291" s="729"/>
      <c r="F1291" s="727">
        <f t="shared" si="19"/>
        <v>479932</v>
      </c>
      <c r="J1291" s="727"/>
      <c r="K1291" s="727"/>
      <c r="L1291" s="727"/>
      <c r="M1291" s="727"/>
      <c r="N1291" s="727"/>
      <c r="O1291" s="727"/>
    </row>
    <row r="1292">
      <c r="A1292" s="733"/>
      <c r="B1292" s="6"/>
      <c r="D1292" s="727"/>
      <c r="E1292" s="729"/>
      <c r="F1292" s="727">
        <f t="shared" si="19"/>
        <v>479932</v>
      </c>
      <c r="J1292" s="727"/>
      <c r="K1292" s="727"/>
      <c r="L1292" s="727"/>
      <c r="M1292" s="727"/>
      <c r="N1292" s="727"/>
      <c r="O1292" s="727"/>
    </row>
    <row r="1293">
      <c r="A1293" s="733"/>
      <c r="B1293" s="6"/>
      <c r="D1293" s="727"/>
      <c r="E1293" s="729"/>
      <c r="F1293" s="727">
        <f t="shared" si="19"/>
        <v>479932</v>
      </c>
      <c r="J1293" s="727"/>
      <c r="K1293" s="727"/>
      <c r="L1293" s="727"/>
      <c r="M1293" s="727"/>
      <c r="N1293" s="727"/>
      <c r="O1293" s="727"/>
    </row>
    <row r="1294">
      <c r="A1294" s="733"/>
      <c r="B1294" s="6"/>
      <c r="D1294" s="727"/>
      <c r="E1294" s="729"/>
      <c r="F1294" s="727">
        <f t="shared" si="19"/>
        <v>479932</v>
      </c>
      <c r="J1294" s="727"/>
      <c r="K1294" s="727"/>
      <c r="L1294" s="727"/>
      <c r="M1294" s="727"/>
      <c r="N1294" s="727"/>
      <c r="O1294" s="727"/>
    </row>
    <row r="1295">
      <c r="A1295" s="733"/>
      <c r="B1295" s="6"/>
      <c r="D1295" s="727"/>
      <c r="E1295" s="729"/>
      <c r="F1295" s="727">
        <f t="shared" si="19"/>
        <v>479932</v>
      </c>
      <c r="J1295" s="727"/>
      <c r="K1295" s="727"/>
      <c r="L1295" s="727"/>
      <c r="M1295" s="727"/>
      <c r="N1295" s="727"/>
      <c r="O1295" s="727"/>
    </row>
    <row r="1296">
      <c r="A1296" s="733"/>
      <c r="B1296" s="6"/>
      <c r="D1296" s="727"/>
      <c r="E1296" s="729"/>
      <c r="F1296" s="727">
        <f t="shared" si="19"/>
        <v>479932</v>
      </c>
      <c r="J1296" s="727"/>
      <c r="K1296" s="727"/>
      <c r="L1296" s="727"/>
      <c r="M1296" s="727"/>
      <c r="N1296" s="727"/>
      <c r="O1296" s="727"/>
    </row>
    <row r="1297">
      <c r="A1297" s="733"/>
      <c r="B1297" s="6"/>
      <c r="D1297" s="727"/>
      <c r="E1297" s="729"/>
      <c r="F1297" s="727">
        <f t="shared" si="19"/>
        <v>479932</v>
      </c>
      <c r="J1297" s="727"/>
      <c r="K1297" s="727"/>
      <c r="L1297" s="727"/>
      <c r="M1297" s="727"/>
      <c r="N1297" s="727"/>
      <c r="O1297" s="727"/>
    </row>
    <row r="1298">
      <c r="A1298" s="733"/>
      <c r="B1298" s="6"/>
      <c r="D1298" s="727"/>
      <c r="E1298" s="729"/>
      <c r="F1298" s="727">
        <f t="shared" si="19"/>
        <v>479932</v>
      </c>
      <c r="J1298" s="727"/>
      <c r="K1298" s="727"/>
      <c r="L1298" s="727"/>
      <c r="M1298" s="727"/>
      <c r="N1298" s="727"/>
      <c r="O1298" s="727"/>
    </row>
    <row r="1299">
      <c r="A1299" s="733"/>
      <c r="B1299" s="6"/>
      <c r="D1299" s="727"/>
      <c r="E1299" s="729"/>
      <c r="F1299" s="727">
        <f t="shared" si="19"/>
        <v>479932</v>
      </c>
      <c r="J1299" s="727"/>
      <c r="K1299" s="727"/>
      <c r="L1299" s="727"/>
      <c r="M1299" s="727"/>
      <c r="N1299" s="727"/>
      <c r="O1299" s="727"/>
    </row>
    <row r="1300">
      <c r="A1300" s="733"/>
      <c r="B1300" s="6"/>
      <c r="D1300" s="727"/>
      <c r="E1300" s="729"/>
      <c r="F1300" s="727">
        <f t="shared" si="19"/>
        <v>479932</v>
      </c>
      <c r="J1300" s="727"/>
      <c r="K1300" s="727"/>
      <c r="L1300" s="727"/>
      <c r="M1300" s="727"/>
      <c r="N1300" s="727"/>
      <c r="O1300" s="727"/>
    </row>
    <row r="1301">
      <c r="A1301" s="733"/>
      <c r="B1301" s="6"/>
      <c r="D1301" s="727"/>
      <c r="E1301" s="729"/>
      <c r="F1301" s="727">
        <f t="shared" si="19"/>
        <v>479932</v>
      </c>
      <c r="J1301" s="727"/>
      <c r="K1301" s="727"/>
      <c r="L1301" s="727"/>
      <c r="M1301" s="727"/>
      <c r="N1301" s="727"/>
      <c r="O1301" s="727"/>
    </row>
    <row r="1302">
      <c r="A1302" s="733"/>
      <c r="B1302" s="6"/>
      <c r="D1302" s="727"/>
      <c r="E1302" s="729"/>
      <c r="F1302" s="727">
        <f t="shared" si="19"/>
        <v>479932</v>
      </c>
      <c r="J1302" s="727"/>
      <c r="K1302" s="727"/>
      <c r="L1302" s="727"/>
      <c r="M1302" s="727"/>
      <c r="N1302" s="727"/>
      <c r="O1302" s="727"/>
    </row>
    <row r="1303">
      <c r="A1303" s="733"/>
      <c r="B1303" s="6"/>
      <c r="D1303" s="727"/>
      <c r="E1303" s="729"/>
      <c r="F1303" s="727">
        <f t="shared" si="19"/>
        <v>479932</v>
      </c>
      <c r="J1303" s="727"/>
      <c r="K1303" s="727"/>
      <c r="L1303" s="727"/>
      <c r="M1303" s="727"/>
      <c r="N1303" s="727"/>
      <c r="O1303" s="727"/>
    </row>
    <row r="1304">
      <c r="A1304" s="733"/>
      <c r="B1304" s="6"/>
      <c r="D1304" s="727"/>
      <c r="E1304" s="729"/>
      <c r="F1304" s="727">
        <f t="shared" si="19"/>
        <v>479932</v>
      </c>
      <c r="J1304" s="727"/>
      <c r="K1304" s="727"/>
      <c r="L1304" s="727"/>
      <c r="M1304" s="727"/>
      <c r="N1304" s="727"/>
      <c r="O1304" s="727"/>
    </row>
    <row r="1305">
      <c r="A1305" s="733"/>
      <c r="B1305" s="6"/>
      <c r="D1305" s="727"/>
      <c r="E1305" s="729"/>
      <c r="F1305" s="727">
        <f t="shared" si="19"/>
        <v>479932</v>
      </c>
      <c r="J1305" s="727"/>
      <c r="K1305" s="727"/>
      <c r="L1305" s="727"/>
      <c r="M1305" s="727"/>
      <c r="N1305" s="727"/>
      <c r="O1305" s="727"/>
    </row>
    <row r="1306">
      <c r="A1306" s="733"/>
      <c r="B1306" s="6"/>
      <c r="D1306" s="727"/>
      <c r="E1306" s="729"/>
      <c r="F1306" s="727">
        <f t="shared" si="19"/>
        <v>479932</v>
      </c>
      <c r="J1306" s="727"/>
      <c r="K1306" s="727"/>
      <c r="L1306" s="727"/>
      <c r="M1306" s="727"/>
      <c r="N1306" s="727"/>
      <c r="O1306" s="727"/>
    </row>
    <row r="1307">
      <c r="A1307" s="733"/>
      <c r="B1307" s="6"/>
      <c r="D1307" s="727"/>
      <c r="E1307" s="729"/>
      <c r="F1307" s="727">
        <f t="shared" si="19"/>
        <v>479932</v>
      </c>
      <c r="J1307" s="727"/>
      <c r="K1307" s="727"/>
      <c r="L1307" s="727"/>
      <c r="M1307" s="727"/>
      <c r="N1307" s="727"/>
      <c r="O1307" s="727"/>
    </row>
    <row r="1308">
      <c r="A1308" s="733"/>
      <c r="B1308" s="6"/>
      <c r="D1308" s="727"/>
      <c r="E1308" s="729"/>
      <c r="F1308" s="727">
        <f t="shared" si="19"/>
        <v>479932</v>
      </c>
      <c r="J1308" s="727"/>
      <c r="K1308" s="727"/>
      <c r="L1308" s="727"/>
      <c r="M1308" s="727"/>
      <c r="N1308" s="727"/>
      <c r="O1308" s="727"/>
    </row>
    <row r="1309">
      <c r="A1309" s="733"/>
      <c r="B1309" s="6"/>
      <c r="D1309" s="727"/>
      <c r="E1309" s="729"/>
      <c r="F1309" s="727">
        <f t="shared" si="19"/>
        <v>479932</v>
      </c>
      <c r="J1309" s="727"/>
      <c r="K1309" s="727"/>
      <c r="L1309" s="727"/>
      <c r="M1309" s="727"/>
      <c r="N1309" s="727"/>
      <c r="O1309" s="727"/>
    </row>
    <row r="1310">
      <c r="A1310" s="733"/>
      <c r="B1310" s="6"/>
      <c r="D1310" s="727"/>
      <c r="E1310" s="729"/>
      <c r="F1310" s="727">
        <f t="shared" si="19"/>
        <v>479932</v>
      </c>
      <c r="J1310" s="727"/>
      <c r="K1310" s="727"/>
      <c r="L1310" s="727"/>
      <c r="M1310" s="727"/>
      <c r="N1310" s="727"/>
      <c r="O1310" s="727"/>
    </row>
    <row r="1311">
      <c r="A1311" s="733"/>
      <c r="B1311" s="6"/>
      <c r="D1311" s="727"/>
      <c r="E1311" s="729"/>
      <c r="F1311" s="727">
        <f t="shared" si="19"/>
        <v>479932</v>
      </c>
      <c r="J1311" s="727"/>
      <c r="K1311" s="727"/>
      <c r="L1311" s="727"/>
      <c r="M1311" s="727"/>
      <c r="N1311" s="727"/>
      <c r="O1311" s="727"/>
    </row>
    <row r="1312">
      <c r="A1312" s="733"/>
      <c r="B1312" s="6"/>
      <c r="D1312" s="727"/>
      <c r="E1312" s="729"/>
      <c r="F1312" s="727">
        <f t="shared" si="19"/>
        <v>479932</v>
      </c>
      <c r="J1312" s="727"/>
      <c r="K1312" s="727"/>
      <c r="L1312" s="727"/>
      <c r="M1312" s="727"/>
      <c r="N1312" s="727"/>
      <c r="O1312" s="727"/>
    </row>
    <row r="1313">
      <c r="A1313" s="733"/>
      <c r="B1313" s="6"/>
      <c r="D1313" s="727"/>
      <c r="E1313" s="729"/>
      <c r="F1313" s="727"/>
      <c r="J1313" s="727"/>
      <c r="K1313" s="727"/>
      <c r="L1313" s="727"/>
      <c r="M1313" s="727"/>
      <c r="N1313" s="727"/>
      <c r="O1313" s="727"/>
    </row>
    <row r="1314">
      <c r="A1314" s="733"/>
      <c r="B1314" s="6"/>
      <c r="D1314" s="727"/>
      <c r="E1314" s="729"/>
      <c r="F1314" s="727"/>
      <c r="J1314" s="727"/>
      <c r="K1314" s="727"/>
      <c r="L1314" s="727"/>
      <c r="M1314" s="727"/>
      <c r="N1314" s="727"/>
      <c r="O1314" s="727"/>
    </row>
    <row r="1315">
      <c r="A1315" s="733"/>
      <c r="B1315" s="6"/>
      <c r="D1315" s="727"/>
      <c r="E1315" s="729"/>
      <c r="F1315" s="727"/>
      <c r="J1315" s="727"/>
      <c r="K1315" s="727"/>
      <c r="L1315" s="727"/>
      <c r="M1315" s="727"/>
      <c r="N1315" s="727"/>
      <c r="O1315" s="727"/>
    </row>
    <row r="1316">
      <c r="A1316" s="733"/>
      <c r="B1316" s="6"/>
      <c r="D1316" s="727"/>
      <c r="E1316" s="729"/>
      <c r="F1316" s="727"/>
      <c r="J1316" s="727"/>
      <c r="K1316" s="727"/>
      <c r="L1316" s="727"/>
      <c r="M1316" s="727"/>
      <c r="N1316" s="727"/>
      <c r="O1316" s="727"/>
    </row>
    <row r="1317">
      <c r="A1317" s="733"/>
      <c r="B1317" s="6"/>
      <c r="D1317" s="727"/>
      <c r="E1317" s="729"/>
      <c r="F1317" s="727"/>
      <c r="J1317" s="727"/>
      <c r="K1317" s="727"/>
      <c r="L1317" s="727"/>
      <c r="M1317" s="727"/>
      <c r="N1317" s="727"/>
      <c r="O1317" s="727"/>
    </row>
    <row r="1318">
      <c r="A1318" s="733"/>
      <c r="B1318" s="6"/>
      <c r="D1318" s="727"/>
      <c r="E1318" s="729"/>
      <c r="F1318" s="727"/>
      <c r="J1318" s="727"/>
      <c r="K1318" s="727"/>
      <c r="L1318" s="727"/>
      <c r="M1318" s="727"/>
      <c r="N1318" s="727"/>
      <c r="O1318" s="727"/>
    </row>
    <row r="1319">
      <c r="A1319" s="733"/>
      <c r="B1319" s="6"/>
      <c r="D1319" s="727"/>
      <c r="E1319" s="729"/>
      <c r="F1319" s="727"/>
      <c r="J1319" s="727"/>
      <c r="K1319" s="727"/>
      <c r="L1319" s="727"/>
      <c r="M1319" s="727"/>
      <c r="N1319" s="727"/>
      <c r="O1319" s="727"/>
    </row>
    <row r="1320">
      <c r="A1320" s="733"/>
      <c r="B1320" s="6"/>
      <c r="D1320" s="727"/>
      <c r="E1320" s="729"/>
      <c r="F1320" s="727"/>
      <c r="J1320" s="727"/>
      <c r="K1320" s="727"/>
      <c r="L1320" s="727"/>
      <c r="M1320" s="727"/>
      <c r="N1320" s="727"/>
      <c r="O1320" s="727"/>
    </row>
    <row r="1321">
      <c r="A1321" s="733"/>
      <c r="B1321" s="6"/>
      <c r="D1321" s="727"/>
      <c r="E1321" s="729"/>
      <c r="F1321" s="727"/>
      <c r="J1321" s="727"/>
      <c r="K1321" s="727"/>
      <c r="L1321" s="727"/>
      <c r="M1321" s="727"/>
      <c r="N1321" s="727"/>
      <c r="O1321" s="727"/>
    </row>
    <row r="1322">
      <c r="A1322" s="733"/>
      <c r="B1322" s="6"/>
      <c r="D1322" s="727"/>
      <c r="E1322" s="729"/>
      <c r="F1322" s="727"/>
      <c r="J1322" s="727"/>
      <c r="K1322" s="727"/>
      <c r="L1322" s="727"/>
      <c r="M1322" s="727"/>
      <c r="N1322" s="727"/>
      <c r="O1322" s="727"/>
    </row>
    <row r="1323">
      <c r="A1323" s="733"/>
      <c r="B1323" s="6"/>
      <c r="D1323" s="727"/>
      <c r="E1323" s="729"/>
      <c r="F1323" s="727"/>
      <c r="J1323" s="727"/>
      <c r="K1323" s="727"/>
      <c r="L1323" s="727"/>
      <c r="M1323" s="727"/>
      <c r="N1323" s="727"/>
      <c r="O1323" s="727"/>
    </row>
    <row r="1324">
      <c r="A1324" s="733"/>
      <c r="B1324" s="6"/>
      <c r="D1324" s="727"/>
      <c r="E1324" s="729"/>
      <c r="F1324" s="727"/>
      <c r="J1324" s="727"/>
      <c r="K1324" s="727"/>
      <c r="L1324" s="727"/>
      <c r="M1324" s="727"/>
      <c r="N1324" s="727"/>
      <c r="O1324" s="727"/>
    </row>
    <row r="1325">
      <c r="A1325" s="733"/>
      <c r="B1325" s="6"/>
      <c r="D1325" s="727"/>
      <c r="E1325" s="729"/>
      <c r="F1325" s="727"/>
      <c r="J1325" s="727"/>
      <c r="K1325" s="727"/>
      <c r="L1325" s="727"/>
      <c r="M1325" s="727"/>
      <c r="N1325" s="727"/>
      <c r="O1325" s="727"/>
    </row>
    <row r="1326">
      <c r="A1326" s="733"/>
      <c r="B1326" s="6"/>
      <c r="D1326" s="727"/>
      <c r="E1326" s="729"/>
      <c r="F1326" s="727"/>
      <c r="J1326" s="727"/>
      <c r="K1326" s="727"/>
      <c r="L1326" s="727"/>
      <c r="M1326" s="727"/>
      <c r="N1326" s="727"/>
      <c r="O1326" s="727"/>
    </row>
    <row r="1327">
      <c r="A1327" s="733"/>
      <c r="B1327" s="6"/>
      <c r="D1327" s="727"/>
      <c r="E1327" s="729"/>
      <c r="F1327" s="727"/>
      <c r="J1327" s="727"/>
      <c r="K1327" s="727"/>
      <c r="L1327" s="727"/>
      <c r="M1327" s="727"/>
      <c r="N1327" s="727"/>
      <c r="O1327" s="727"/>
    </row>
    <row r="1328">
      <c r="A1328" s="733"/>
      <c r="B1328" s="6"/>
      <c r="D1328" s="727"/>
      <c r="E1328" s="729"/>
      <c r="F1328" s="727"/>
      <c r="J1328" s="727"/>
      <c r="K1328" s="727"/>
      <c r="L1328" s="727"/>
      <c r="M1328" s="727"/>
      <c r="N1328" s="727"/>
      <c r="O1328" s="727"/>
    </row>
    <row r="1329">
      <c r="A1329" s="733"/>
      <c r="B1329" s="6"/>
      <c r="D1329" s="727"/>
      <c r="E1329" s="729"/>
      <c r="F1329" s="727"/>
      <c r="J1329" s="727"/>
      <c r="K1329" s="727"/>
      <c r="L1329" s="727"/>
      <c r="M1329" s="727"/>
      <c r="N1329" s="727"/>
      <c r="O1329" s="727"/>
    </row>
    <row r="1330">
      <c r="A1330" s="733"/>
      <c r="B1330" s="6"/>
      <c r="D1330" s="727"/>
      <c r="E1330" s="729"/>
      <c r="F1330" s="727"/>
      <c r="J1330" s="727"/>
      <c r="K1330" s="727"/>
      <c r="L1330" s="727"/>
      <c r="M1330" s="727"/>
      <c r="N1330" s="727"/>
      <c r="O1330" s="727"/>
    </row>
    <row r="1331">
      <c r="A1331" s="733"/>
      <c r="B1331" s="6"/>
      <c r="D1331" s="727"/>
      <c r="E1331" s="729"/>
      <c r="F1331" s="727"/>
      <c r="J1331" s="727"/>
      <c r="K1331" s="727"/>
      <c r="L1331" s="727"/>
      <c r="M1331" s="727"/>
      <c r="N1331" s="727"/>
      <c r="O1331" s="727"/>
    </row>
    <row r="1332">
      <c r="A1332" s="733"/>
      <c r="B1332" s="6"/>
      <c r="D1332" s="727"/>
      <c r="E1332" s="729"/>
      <c r="F1332" s="727"/>
      <c r="J1332" s="727"/>
      <c r="K1332" s="727"/>
      <c r="L1332" s="727"/>
      <c r="M1332" s="727"/>
      <c r="N1332" s="727"/>
      <c r="O1332" s="727"/>
    </row>
    <row r="1333">
      <c r="A1333" s="733"/>
      <c r="B1333" s="6"/>
      <c r="D1333" s="727"/>
      <c r="E1333" s="729"/>
      <c r="F1333" s="727"/>
      <c r="J1333" s="727"/>
      <c r="K1333" s="727"/>
      <c r="L1333" s="727"/>
      <c r="M1333" s="727"/>
      <c r="N1333" s="727"/>
      <c r="O1333" s="727"/>
    </row>
    <row r="1334">
      <c r="A1334" s="733"/>
      <c r="B1334" s="6"/>
      <c r="D1334" s="727"/>
      <c r="E1334" s="729"/>
      <c r="F1334" s="727"/>
      <c r="J1334" s="727"/>
      <c r="K1334" s="727"/>
      <c r="L1334" s="727"/>
      <c r="M1334" s="727"/>
      <c r="N1334" s="727"/>
      <c r="O1334" s="727"/>
    </row>
    <row r="1335">
      <c r="A1335" s="733"/>
      <c r="B1335" s="6"/>
      <c r="D1335" s="727"/>
      <c r="E1335" s="729"/>
      <c r="F1335" s="727"/>
      <c r="J1335" s="727"/>
      <c r="K1335" s="727"/>
      <c r="L1335" s="727"/>
      <c r="M1335" s="727"/>
      <c r="N1335" s="727"/>
      <c r="O1335" s="727"/>
    </row>
    <row r="1336">
      <c r="A1336" s="733"/>
      <c r="B1336" s="6"/>
      <c r="D1336" s="727"/>
      <c r="E1336" s="729"/>
      <c r="F1336" s="727"/>
      <c r="J1336" s="727"/>
      <c r="K1336" s="727"/>
      <c r="L1336" s="727"/>
      <c r="M1336" s="727"/>
      <c r="N1336" s="727"/>
      <c r="O1336" s="727"/>
    </row>
    <row r="1337">
      <c r="A1337" s="733"/>
      <c r="B1337" s="6"/>
      <c r="D1337" s="727"/>
      <c r="E1337" s="729"/>
      <c r="F1337" s="727"/>
      <c r="J1337" s="727"/>
      <c r="K1337" s="727"/>
      <c r="L1337" s="727"/>
      <c r="M1337" s="727"/>
      <c r="N1337" s="727"/>
      <c r="O1337" s="727"/>
    </row>
    <row r="1338">
      <c r="A1338" s="733"/>
      <c r="B1338" s="6"/>
      <c r="D1338" s="727"/>
      <c r="E1338" s="729"/>
      <c r="F1338" s="727"/>
      <c r="J1338" s="727"/>
      <c r="K1338" s="727"/>
      <c r="L1338" s="727"/>
      <c r="M1338" s="727"/>
      <c r="N1338" s="727"/>
      <c r="O1338" s="727"/>
    </row>
    <row r="1339">
      <c r="A1339" s="733"/>
      <c r="B1339" s="6"/>
      <c r="D1339" s="727"/>
      <c r="E1339" s="729"/>
      <c r="F1339" s="727"/>
      <c r="J1339" s="727"/>
      <c r="K1339" s="727"/>
      <c r="L1339" s="727"/>
      <c r="M1339" s="727"/>
      <c r="N1339" s="727"/>
      <c r="O1339" s="727"/>
    </row>
    <row r="1340">
      <c r="A1340" s="733"/>
      <c r="B1340" s="6"/>
      <c r="D1340" s="727"/>
      <c r="E1340" s="729"/>
      <c r="F1340" s="727"/>
      <c r="J1340" s="727"/>
      <c r="K1340" s="727"/>
      <c r="L1340" s="727"/>
      <c r="M1340" s="727"/>
      <c r="N1340" s="727"/>
      <c r="O1340" s="727"/>
    </row>
    <row r="1341">
      <c r="A1341" s="733"/>
      <c r="B1341" s="6"/>
      <c r="D1341" s="727"/>
      <c r="E1341" s="729"/>
      <c r="F1341" s="727"/>
      <c r="J1341" s="727"/>
      <c r="K1341" s="727"/>
      <c r="L1341" s="727"/>
      <c r="M1341" s="727"/>
      <c r="N1341" s="727"/>
      <c r="O1341" s="727"/>
    </row>
    <row r="1342">
      <c r="A1342" s="733"/>
      <c r="B1342" s="6"/>
      <c r="D1342" s="727"/>
      <c r="E1342" s="729"/>
      <c r="F1342" s="727"/>
      <c r="J1342" s="727"/>
      <c r="K1342" s="727"/>
      <c r="L1342" s="727"/>
      <c r="M1342" s="727"/>
      <c r="N1342" s="727"/>
      <c r="O1342" s="727"/>
    </row>
    <row r="1343">
      <c r="A1343" s="733"/>
      <c r="B1343" s="6"/>
      <c r="D1343" s="727"/>
      <c r="E1343" s="729"/>
      <c r="F1343" s="727"/>
      <c r="J1343" s="727"/>
      <c r="K1343" s="727"/>
      <c r="L1343" s="727"/>
      <c r="M1343" s="727"/>
      <c r="N1343" s="727"/>
      <c r="O1343" s="727"/>
    </row>
    <row r="1344">
      <c r="A1344" s="733"/>
      <c r="B1344" s="6"/>
      <c r="D1344" s="727"/>
      <c r="E1344" s="729"/>
      <c r="F1344" s="727"/>
      <c r="J1344" s="727"/>
      <c r="K1344" s="727"/>
      <c r="L1344" s="727"/>
      <c r="M1344" s="727"/>
      <c r="N1344" s="727"/>
      <c r="O1344" s="727"/>
    </row>
    <row r="1345">
      <c r="A1345" s="733"/>
      <c r="B1345" s="6"/>
      <c r="D1345" s="727"/>
      <c r="E1345" s="729"/>
      <c r="F1345" s="727"/>
      <c r="J1345" s="727"/>
      <c r="K1345" s="727"/>
      <c r="L1345" s="727"/>
      <c r="M1345" s="727"/>
      <c r="N1345" s="727"/>
      <c r="O1345" s="727"/>
    </row>
    <row r="1346">
      <c r="A1346" s="733"/>
      <c r="B1346" s="6"/>
      <c r="D1346" s="727"/>
      <c r="E1346" s="729"/>
      <c r="F1346" s="727"/>
      <c r="J1346" s="727"/>
      <c r="K1346" s="727"/>
      <c r="L1346" s="727"/>
      <c r="M1346" s="727"/>
      <c r="N1346" s="727"/>
      <c r="O1346" s="727"/>
    </row>
    <row r="1347">
      <c r="A1347" s="733"/>
      <c r="B1347" s="6"/>
      <c r="D1347" s="727"/>
      <c r="E1347" s="729"/>
      <c r="F1347" s="727"/>
      <c r="J1347" s="727"/>
      <c r="K1347" s="727"/>
      <c r="L1347" s="727"/>
      <c r="M1347" s="727"/>
      <c r="N1347" s="727"/>
      <c r="O1347" s="727"/>
    </row>
    <row r="1348">
      <c r="A1348" s="733"/>
      <c r="B1348" s="6"/>
      <c r="D1348" s="727"/>
      <c r="E1348" s="729"/>
      <c r="F1348" s="727"/>
      <c r="J1348" s="727"/>
      <c r="K1348" s="727"/>
      <c r="L1348" s="727"/>
      <c r="M1348" s="727"/>
      <c r="N1348" s="727"/>
      <c r="O1348" s="727"/>
    </row>
    <row r="1349">
      <c r="A1349" s="733"/>
      <c r="B1349" s="6"/>
      <c r="D1349" s="727"/>
      <c r="E1349" s="729"/>
      <c r="F1349" s="727"/>
      <c r="J1349" s="727"/>
      <c r="K1349" s="727"/>
      <c r="L1349" s="727"/>
      <c r="M1349" s="727"/>
      <c r="N1349" s="727"/>
      <c r="O1349" s="727"/>
    </row>
    <row r="1350">
      <c r="A1350" s="733"/>
      <c r="B1350" s="6"/>
      <c r="D1350" s="727"/>
      <c r="E1350" s="729"/>
      <c r="F1350" s="727"/>
      <c r="J1350" s="727"/>
      <c r="K1350" s="727"/>
      <c r="L1350" s="727"/>
      <c r="M1350" s="727"/>
      <c r="N1350" s="727"/>
      <c r="O1350" s="727"/>
    </row>
    <row r="1351">
      <c r="A1351" s="733"/>
      <c r="B1351" s="6"/>
      <c r="D1351" s="727"/>
      <c r="E1351" s="729"/>
      <c r="F1351" s="727"/>
      <c r="J1351" s="727"/>
      <c r="K1351" s="727"/>
      <c r="L1351" s="727"/>
      <c r="M1351" s="727"/>
      <c r="N1351" s="727"/>
      <c r="O1351" s="727"/>
    </row>
    <row r="1352">
      <c r="A1352" s="733"/>
      <c r="B1352" s="6"/>
      <c r="D1352" s="727"/>
      <c r="E1352" s="729"/>
      <c r="F1352" s="727"/>
      <c r="J1352" s="727"/>
      <c r="K1352" s="727"/>
      <c r="L1352" s="727"/>
      <c r="M1352" s="727"/>
      <c r="N1352" s="727"/>
      <c r="O1352" s="727"/>
    </row>
    <row r="1353">
      <c r="A1353" s="733"/>
      <c r="B1353" s="6"/>
      <c r="D1353" s="727"/>
      <c r="E1353" s="729"/>
      <c r="F1353" s="727"/>
      <c r="J1353" s="727"/>
      <c r="K1353" s="727"/>
      <c r="L1353" s="727"/>
      <c r="M1353" s="727"/>
      <c r="N1353" s="727"/>
      <c r="O1353" s="727"/>
    </row>
    <row r="1354">
      <c r="A1354" s="733"/>
      <c r="B1354" s="6"/>
      <c r="D1354" s="727"/>
      <c r="E1354" s="729"/>
      <c r="F1354" s="727"/>
      <c r="J1354" s="727"/>
      <c r="K1354" s="727"/>
      <c r="L1354" s="727"/>
      <c r="M1354" s="727"/>
      <c r="N1354" s="727"/>
      <c r="O1354" s="727"/>
    </row>
    <row r="1355">
      <c r="A1355" s="733"/>
      <c r="B1355" s="6"/>
      <c r="D1355" s="727"/>
      <c r="E1355" s="729"/>
      <c r="F1355" s="727"/>
      <c r="J1355" s="727"/>
      <c r="K1355" s="727"/>
      <c r="L1355" s="727"/>
      <c r="M1355" s="727"/>
      <c r="N1355" s="727"/>
      <c r="O1355" s="727"/>
    </row>
    <row r="1356">
      <c r="A1356" s="733"/>
      <c r="B1356" s="6"/>
      <c r="D1356" s="727"/>
      <c r="E1356" s="729"/>
      <c r="F1356" s="727"/>
      <c r="J1356" s="727"/>
      <c r="K1356" s="727"/>
      <c r="L1356" s="727"/>
      <c r="M1356" s="727"/>
      <c r="N1356" s="727"/>
      <c r="O1356" s="727"/>
    </row>
    <row r="1357">
      <c r="A1357" s="733"/>
      <c r="B1357" s="6"/>
      <c r="D1357" s="727"/>
      <c r="E1357" s="729"/>
      <c r="F1357" s="727"/>
      <c r="J1357" s="727"/>
      <c r="K1357" s="727"/>
      <c r="L1357" s="727"/>
      <c r="M1357" s="727"/>
      <c r="N1357" s="727"/>
      <c r="O1357" s="727"/>
    </row>
    <row r="1358">
      <c r="A1358" s="733"/>
      <c r="B1358" s="6"/>
      <c r="D1358" s="727"/>
      <c r="E1358" s="729"/>
      <c r="F1358" s="727"/>
      <c r="J1358" s="727"/>
      <c r="K1358" s="727"/>
      <c r="L1358" s="727"/>
      <c r="M1358" s="727"/>
      <c r="N1358" s="727"/>
      <c r="O1358" s="727"/>
    </row>
    <row r="1359">
      <c r="A1359" s="733"/>
      <c r="B1359" s="6"/>
      <c r="D1359" s="727"/>
      <c r="E1359" s="729"/>
      <c r="F1359" s="727"/>
      <c r="J1359" s="727"/>
      <c r="K1359" s="727"/>
      <c r="L1359" s="727"/>
      <c r="M1359" s="727"/>
      <c r="N1359" s="727"/>
      <c r="O1359" s="727"/>
    </row>
    <row r="1360">
      <c r="A1360" s="733"/>
      <c r="B1360" s="6"/>
      <c r="D1360" s="727"/>
      <c r="E1360" s="729"/>
      <c r="F1360" s="727"/>
      <c r="J1360" s="727"/>
      <c r="K1360" s="727"/>
      <c r="L1360" s="727"/>
      <c r="M1360" s="727"/>
      <c r="N1360" s="727"/>
      <c r="O1360" s="727"/>
    </row>
    <row r="1361">
      <c r="A1361" s="733"/>
      <c r="B1361" s="6"/>
      <c r="D1361" s="727"/>
      <c r="E1361" s="729"/>
      <c r="F1361" s="727"/>
      <c r="J1361" s="727"/>
      <c r="K1361" s="727"/>
      <c r="L1361" s="727"/>
      <c r="M1361" s="727"/>
      <c r="N1361" s="727"/>
      <c r="O1361" s="727"/>
    </row>
    <row r="1362">
      <c r="A1362" s="733"/>
      <c r="B1362" s="6"/>
      <c r="D1362" s="727"/>
      <c r="E1362" s="729"/>
      <c r="F1362" s="727"/>
      <c r="J1362" s="727"/>
      <c r="K1362" s="727"/>
      <c r="L1362" s="727"/>
      <c r="M1362" s="727"/>
      <c r="N1362" s="727"/>
      <c r="O1362" s="727"/>
    </row>
    <row r="1363">
      <c r="A1363" s="733"/>
      <c r="B1363" s="6"/>
      <c r="D1363" s="727"/>
      <c r="E1363" s="729"/>
      <c r="F1363" s="727"/>
      <c r="J1363" s="727"/>
      <c r="K1363" s="727"/>
      <c r="L1363" s="727"/>
      <c r="M1363" s="727"/>
      <c r="N1363" s="727"/>
      <c r="O1363" s="727"/>
    </row>
    <row r="1364">
      <c r="A1364" s="733"/>
      <c r="B1364" s="6"/>
      <c r="D1364" s="727"/>
      <c r="E1364" s="729"/>
      <c r="F1364" s="727"/>
      <c r="J1364" s="727"/>
      <c r="K1364" s="727"/>
      <c r="L1364" s="727"/>
      <c r="M1364" s="727"/>
      <c r="N1364" s="727"/>
      <c r="O1364" s="727"/>
    </row>
    <row r="1365">
      <c r="A1365" s="733"/>
      <c r="B1365" s="6"/>
      <c r="D1365" s="727"/>
      <c r="E1365" s="729"/>
      <c r="F1365" s="727"/>
      <c r="J1365" s="727"/>
      <c r="K1365" s="727"/>
      <c r="L1365" s="727"/>
      <c r="M1365" s="727"/>
      <c r="N1365" s="727"/>
      <c r="O1365" s="727"/>
    </row>
    <row r="1366">
      <c r="A1366" s="733"/>
      <c r="B1366" s="6"/>
      <c r="D1366" s="727"/>
      <c r="E1366" s="729"/>
      <c r="F1366" s="727"/>
      <c r="J1366" s="727"/>
      <c r="K1366" s="727"/>
      <c r="L1366" s="727"/>
      <c r="M1366" s="727"/>
      <c r="N1366" s="727"/>
      <c r="O1366" s="727"/>
    </row>
    <row r="1367">
      <c r="A1367" s="733"/>
      <c r="B1367" s="6"/>
      <c r="D1367" s="727"/>
      <c r="E1367" s="729"/>
      <c r="F1367" s="727"/>
      <c r="J1367" s="727"/>
      <c r="K1367" s="727"/>
      <c r="L1367" s="727"/>
      <c r="M1367" s="727"/>
      <c r="N1367" s="727"/>
      <c r="O1367" s="727"/>
    </row>
    <row r="1368">
      <c r="A1368" s="733"/>
      <c r="B1368" s="6"/>
      <c r="D1368" s="727"/>
      <c r="E1368" s="729"/>
      <c r="F1368" s="727"/>
      <c r="J1368" s="727"/>
      <c r="K1368" s="727"/>
      <c r="L1368" s="727"/>
      <c r="M1368" s="727"/>
      <c r="N1368" s="727"/>
      <c r="O1368" s="727"/>
    </row>
    <row r="1369">
      <c r="A1369" s="733"/>
      <c r="B1369" s="6"/>
      <c r="D1369" s="727"/>
      <c r="E1369" s="729"/>
      <c r="F1369" s="727"/>
      <c r="J1369" s="727"/>
      <c r="K1369" s="727"/>
      <c r="L1369" s="727"/>
      <c r="M1369" s="727"/>
      <c r="N1369" s="727"/>
      <c r="O1369" s="727"/>
    </row>
    <row r="1370">
      <c r="A1370" s="733"/>
      <c r="B1370" s="6"/>
      <c r="D1370" s="727"/>
      <c r="E1370" s="729"/>
      <c r="F1370" s="727"/>
      <c r="J1370" s="727"/>
      <c r="K1370" s="727"/>
      <c r="L1370" s="727"/>
      <c r="M1370" s="727"/>
      <c r="N1370" s="727"/>
      <c r="O1370" s="727"/>
    </row>
    <row r="1371">
      <c r="A1371" s="733"/>
      <c r="B1371" s="6"/>
      <c r="D1371" s="727"/>
      <c r="E1371" s="729"/>
      <c r="F1371" s="727"/>
      <c r="J1371" s="727"/>
      <c r="K1371" s="727"/>
      <c r="L1371" s="727"/>
      <c r="M1371" s="727"/>
      <c r="N1371" s="727"/>
      <c r="O1371" s="727"/>
    </row>
    <row r="1372">
      <c r="A1372" s="733"/>
      <c r="B1372" s="6"/>
      <c r="D1372" s="727"/>
      <c r="E1372" s="729"/>
      <c r="F1372" s="727"/>
      <c r="J1372" s="727"/>
      <c r="K1372" s="727"/>
      <c r="L1372" s="727"/>
      <c r="M1372" s="727"/>
      <c r="N1372" s="727"/>
      <c r="O1372" s="727"/>
    </row>
    <row r="1373">
      <c r="A1373" s="733"/>
      <c r="B1373" s="6"/>
      <c r="D1373" s="727"/>
      <c r="E1373" s="729"/>
      <c r="F1373" s="727"/>
      <c r="J1373" s="727"/>
      <c r="K1373" s="727"/>
      <c r="L1373" s="727"/>
      <c r="M1373" s="727"/>
      <c r="N1373" s="727"/>
      <c r="O1373" s="727"/>
    </row>
    <row r="1374">
      <c r="A1374" s="733"/>
      <c r="B1374" s="6"/>
      <c r="D1374" s="727"/>
      <c r="E1374" s="729"/>
      <c r="F1374" s="727"/>
      <c r="J1374" s="727"/>
      <c r="K1374" s="727"/>
      <c r="L1374" s="727"/>
      <c r="M1374" s="727"/>
      <c r="N1374" s="727"/>
      <c r="O1374" s="727"/>
    </row>
    <row r="1375">
      <c r="A1375" s="733"/>
      <c r="B1375" s="6"/>
      <c r="D1375" s="727"/>
      <c r="E1375" s="729"/>
      <c r="F1375" s="727"/>
      <c r="J1375" s="727"/>
      <c r="K1375" s="727"/>
      <c r="L1375" s="727"/>
      <c r="M1375" s="727"/>
      <c r="N1375" s="727"/>
      <c r="O1375" s="727"/>
    </row>
    <row r="1376">
      <c r="A1376" s="733"/>
      <c r="B1376" s="6"/>
      <c r="D1376" s="727"/>
      <c r="E1376" s="729"/>
      <c r="F1376" s="727"/>
      <c r="J1376" s="727"/>
      <c r="K1376" s="727"/>
      <c r="L1376" s="727"/>
      <c r="M1376" s="727"/>
      <c r="N1376" s="727"/>
      <c r="O1376" s="727"/>
    </row>
    <row r="1377">
      <c r="A1377" s="733"/>
      <c r="B1377" s="6"/>
      <c r="D1377" s="727"/>
      <c r="E1377" s="729"/>
      <c r="F1377" s="727"/>
      <c r="J1377" s="727"/>
      <c r="K1377" s="727"/>
      <c r="L1377" s="727"/>
      <c r="M1377" s="727"/>
      <c r="N1377" s="727"/>
      <c r="O1377" s="727"/>
    </row>
    <row r="1378">
      <c r="A1378" s="733"/>
      <c r="B1378" s="6"/>
      <c r="D1378" s="727"/>
      <c r="E1378" s="729"/>
      <c r="F1378" s="727"/>
      <c r="J1378" s="727"/>
      <c r="K1378" s="727"/>
      <c r="L1378" s="727"/>
      <c r="M1378" s="727"/>
      <c r="N1378" s="727"/>
      <c r="O1378" s="727"/>
    </row>
    <row r="1379">
      <c r="A1379" s="733"/>
      <c r="B1379" s="6"/>
      <c r="D1379" s="727"/>
      <c r="E1379" s="729"/>
      <c r="F1379" s="727"/>
      <c r="J1379" s="727"/>
      <c r="K1379" s="727"/>
      <c r="L1379" s="727"/>
      <c r="M1379" s="727"/>
      <c r="N1379" s="727"/>
      <c r="O1379" s="727"/>
    </row>
    <row r="1380">
      <c r="A1380" s="733"/>
      <c r="B1380" s="6"/>
      <c r="D1380" s="727"/>
      <c r="E1380" s="729"/>
      <c r="F1380" s="727"/>
      <c r="J1380" s="727"/>
      <c r="K1380" s="727"/>
      <c r="L1380" s="727"/>
      <c r="M1380" s="727"/>
      <c r="N1380" s="727"/>
      <c r="O1380" s="727"/>
    </row>
    <row r="1381">
      <c r="A1381" s="733"/>
      <c r="B1381" s="6"/>
      <c r="D1381" s="727"/>
      <c r="E1381" s="729"/>
      <c r="F1381" s="727"/>
      <c r="J1381" s="727"/>
      <c r="K1381" s="727"/>
      <c r="L1381" s="727"/>
      <c r="M1381" s="727"/>
      <c r="N1381" s="727"/>
      <c r="O1381" s="727"/>
    </row>
    <row r="1382">
      <c r="A1382" s="733"/>
      <c r="B1382" s="6"/>
      <c r="D1382" s="727"/>
      <c r="E1382" s="729"/>
      <c r="F1382" s="727"/>
      <c r="J1382" s="727"/>
      <c r="K1382" s="727"/>
      <c r="L1382" s="727"/>
      <c r="M1382" s="727"/>
      <c r="N1382" s="727"/>
      <c r="O1382" s="727"/>
    </row>
    <row r="1383">
      <c r="A1383" s="733"/>
      <c r="B1383" s="6"/>
      <c r="D1383" s="727"/>
      <c r="E1383" s="729"/>
      <c r="F1383" s="727"/>
      <c r="J1383" s="727"/>
      <c r="K1383" s="727"/>
      <c r="L1383" s="727"/>
      <c r="M1383" s="727"/>
      <c r="N1383" s="727"/>
      <c r="O1383" s="727"/>
    </row>
    <row r="1384">
      <c r="A1384" s="733"/>
      <c r="B1384" s="6"/>
      <c r="D1384" s="727"/>
      <c r="E1384" s="729"/>
      <c r="F1384" s="727"/>
      <c r="J1384" s="727"/>
      <c r="K1384" s="727"/>
      <c r="L1384" s="727"/>
      <c r="M1384" s="727"/>
      <c r="N1384" s="727"/>
      <c r="O1384" s="727"/>
    </row>
    <row r="1385">
      <c r="A1385" s="733"/>
      <c r="B1385" s="6"/>
      <c r="D1385" s="727"/>
      <c r="E1385" s="729"/>
      <c r="F1385" s="727"/>
      <c r="J1385" s="727"/>
      <c r="K1385" s="727"/>
      <c r="L1385" s="727"/>
      <c r="M1385" s="727"/>
      <c r="N1385" s="727"/>
      <c r="O1385" s="727"/>
    </row>
    <row r="1386">
      <c r="A1386" s="733"/>
      <c r="B1386" s="6"/>
      <c r="D1386" s="727"/>
      <c r="E1386" s="729"/>
      <c r="F1386" s="727"/>
      <c r="J1386" s="727"/>
      <c r="K1386" s="727"/>
      <c r="L1386" s="727"/>
      <c r="M1386" s="727"/>
      <c r="N1386" s="727"/>
      <c r="O1386" s="727"/>
    </row>
    <row r="1387">
      <c r="A1387" s="733"/>
      <c r="B1387" s="6"/>
      <c r="D1387" s="727"/>
      <c r="E1387" s="729"/>
      <c r="F1387" s="727"/>
      <c r="J1387" s="727"/>
      <c r="K1387" s="727"/>
      <c r="L1387" s="727"/>
      <c r="M1387" s="727"/>
      <c r="N1387" s="727"/>
      <c r="O1387" s="727"/>
    </row>
    <row r="1388">
      <c r="A1388" s="733"/>
      <c r="B1388" s="6"/>
      <c r="D1388" s="727"/>
      <c r="E1388" s="729"/>
      <c r="F1388" s="727"/>
      <c r="J1388" s="727"/>
      <c r="K1388" s="727"/>
      <c r="L1388" s="727"/>
      <c r="M1388" s="727"/>
      <c r="N1388" s="727"/>
      <c r="O1388" s="727"/>
    </row>
    <row r="1389">
      <c r="A1389" s="733"/>
      <c r="B1389" s="6"/>
      <c r="D1389" s="727"/>
      <c r="E1389" s="729"/>
      <c r="F1389" s="727"/>
      <c r="J1389" s="727"/>
      <c r="K1389" s="727"/>
      <c r="L1389" s="727"/>
      <c r="M1389" s="727"/>
      <c r="N1389" s="727"/>
      <c r="O1389" s="727"/>
    </row>
    <row r="1390">
      <c r="A1390" s="733"/>
      <c r="B1390" s="6"/>
      <c r="D1390" s="727"/>
      <c r="E1390" s="729"/>
      <c r="F1390" s="727"/>
      <c r="J1390" s="727"/>
      <c r="K1390" s="727"/>
      <c r="L1390" s="727"/>
      <c r="M1390" s="727"/>
      <c r="N1390" s="727"/>
      <c r="O1390" s="727"/>
    </row>
    <row r="1391">
      <c r="A1391" s="733"/>
      <c r="B1391" s="6"/>
      <c r="D1391" s="727"/>
      <c r="E1391" s="729"/>
      <c r="F1391" s="727"/>
      <c r="J1391" s="727"/>
      <c r="K1391" s="727"/>
      <c r="L1391" s="727"/>
      <c r="M1391" s="727"/>
      <c r="N1391" s="727"/>
      <c r="O1391" s="727"/>
    </row>
    <row r="1392">
      <c r="A1392" s="733"/>
      <c r="B1392" s="6"/>
      <c r="D1392" s="727"/>
      <c r="E1392" s="729"/>
      <c r="F1392" s="727"/>
      <c r="J1392" s="727"/>
      <c r="K1392" s="727"/>
      <c r="L1392" s="727"/>
      <c r="M1392" s="727"/>
      <c r="N1392" s="727"/>
      <c r="O1392" s="727"/>
    </row>
    <row r="1393">
      <c r="A1393" s="733"/>
      <c r="B1393" s="6"/>
      <c r="D1393" s="727"/>
      <c r="E1393" s="729"/>
      <c r="F1393" s="727"/>
      <c r="J1393" s="727"/>
      <c r="K1393" s="727"/>
      <c r="L1393" s="727"/>
      <c r="M1393" s="727"/>
      <c r="N1393" s="727"/>
      <c r="O1393" s="727"/>
    </row>
    <row r="1394">
      <c r="A1394" s="733"/>
      <c r="B1394" s="6"/>
      <c r="D1394" s="727"/>
      <c r="E1394" s="729"/>
      <c r="F1394" s="727"/>
      <c r="J1394" s="727"/>
      <c r="K1394" s="727"/>
      <c r="L1394" s="727"/>
      <c r="M1394" s="727"/>
      <c r="N1394" s="727"/>
      <c r="O1394" s="727"/>
    </row>
    <row r="1395">
      <c r="A1395" s="733"/>
      <c r="B1395" s="6"/>
      <c r="D1395" s="727"/>
      <c r="E1395" s="729"/>
      <c r="F1395" s="727"/>
      <c r="J1395" s="727"/>
      <c r="K1395" s="727"/>
      <c r="L1395" s="727"/>
      <c r="M1395" s="727"/>
      <c r="N1395" s="727"/>
      <c r="O1395" s="727"/>
    </row>
    <row r="1396">
      <c r="A1396" s="733"/>
      <c r="B1396" s="6"/>
      <c r="D1396" s="727"/>
      <c r="E1396" s="729"/>
      <c r="F1396" s="727"/>
      <c r="J1396" s="727"/>
      <c r="K1396" s="727"/>
      <c r="L1396" s="727"/>
      <c r="M1396" s="727"/>
      <c r="N1396" s="727"/>
      <c r="O1396" s="727"/>
    </row>
    <row r="1397">
      <c r="A1397" s="733"/>
      <c r="B1397" s="6"/>
      <c r="D1397" s="727"/>
      <c r="E1397" s="729"/>
      <c r="F1397" s="727"/>
      <c r="J1397" s="727"/>
      <c r="K1397" s="727"/>
      <c r="L1397" s="727"/>
      <c r="M1397" s="727"/>
      <c r="N1397" s="727"/>
      <c r="O1397" s="727"/>
    </row>
    <row r="1398">
      <c r="A1398" s="733"/>
      <c r="B1398" s="6"/>
      <c r="D1398" s="727"/>
      <c r="E1398" s="729"/>
      <c r="F1398" s="727"/>
      <c r="J1398" s="727"/>
      <c r="K1398" s="727"/>
      <c r="L1398" s="727"/>
      <c r="M1398" s="727"/>
      <c r="N1398" s="727"/>
      <c r="O1398" s="727"/>
    </row>
    <row r="1399">
      <c r="A1399" s="733"/>
      <c r="B1399" s="6"/>
      <c r="D1399" s="727"/>
      <c r="E1399" s="729"/>
      <c r="F1399" s="727"/>
      <c r="J1399" s="727"/>
      <c r="K1399" s="727"/>
      <c r="L1399" s="727"/>
      <c r="M1399" s="727"/>
      <c r="N1399" s="727"/>
      <c r="O1399" s="727"/>
    </row>
    <row r="1400">
      <c r="A1400" s="733"/>
      <c r="B1400" s="6"/>
      <c r="D1400" s="727"/>
      <c r="E1400" s="729"/>
      <c r="F1400" s="727"/>
      <c r="J1400" s="727"/>
      <c r="K1400" s="727"/>
      <c r="L1400" s="727"/>
      <c r="M1400" s="727"/>
      <c r="N1400" s="727"/>
      <c r="O1400" s="727"/>
    </row>
    <row r="1401">
      <c r="A1401" s="733"/>
      <c r="B1401" s="6"/>
      <c r="D1401" s="727"/>
      <c r="E1401" s="729"/>
      <c r="F1401" s="727"/>
      <c r="J1401" s="727"/>
      <c r="K1401" s="727"/>
      <c r="L1401" s="727"/>
      <c r="M1401" s="727"/>
      <c r="N1401" s="727"/>
      <c r="O1401" s="727"/>
    </row>
    <row r="1402">
      <c r="A1402" s="733"/>
      <c r="B1402" s="6"/>
      <c r="D1402" s="727"/>
      <c r="E1402" s="729"/>
      <c r="F1402" s="727"/>
      <c r="J1402" s="727"/>
      <c r="K1402" s="727"/>
      <c r="L1402" s="727"/>
      <c r="M1402" s="727"/>
      <c r="N1402" s="727"/>
      <c r="O1402" s="727"/>
    </row>
    <row r="1403">
      <c r="A1403" s="733"/>
      <c r="B1403" s="6"/>
      <c r="D1403" s="727"/>
      <c r="E1403" s="729"/>
      <c r="F1403" s="727"/>
      <c r="J1403" s="727"/>
      <c r="K1403" s="727"/>
      <c r="L1403" s="727"/>
      <c r="M1403" s="727"/>
      <c r="N1403" s="727"/>
      <c r="O1403" s="727"/>
    </row>
    <row r="1404">
      <c r="A1404" s="733"/>
      <c r="B1404" s="6"/>
      <c r="D1404" s="727"/>
      <c r="E1404" s="729"/>
      <c r="F1404" s="727"/>
      <c r="J1404" s="727"/>
      <c r="K1404" s="727"/>
      <c r="L1404" s="727"/>
      <c r="M1404" s="727"/>
      <c r="N1404" s="727"/>
      <c r="O1404" s="727"/>
    </row>
    <row r="1405">
      <c r="A1405" s="733"/>
      <c r="B1405" s="6"/>
      <c r="D1405" s="727"/>
      <c r="E1405" s="729"/>
      <c r="F1405" s="727"/>
      <c r="J1405" s="727"/>
      <c r="K1405" s="727"/>
      <c r="L1405" s="727"/>
      <c r="M1405" s="727"/>
      <c r="N1405" s="727"/>
      <c r="O1405" s="727"/>
    </row>
    <row r="1406">
      <c r="A1406" s="733"/>
      <c r="B1406" s="6"/>
      <c r="D1406" s="727"/>
      <c r="E1406" s="729"/>
      <c r="F1406" s="727"/>
      <c r="J1406" s="727"/>
      <c r="K1406" s="727"/>
      <c r="L1406" s="727"/>
      <c r="M1406" s="727"/>
      <c r="N1406" s="727"/>
      <c r="O1406" s="727"/>
    </row>
    <row r="1407">
      <c r="A1407" s="733"/>
      <c r="B1407" s="6"/>
      <c r="D1407" s="727"/>
      <c r="E1407" s="729"/>
      <c r="F1407" s="727"/>
      <c r="J1407" s="727"/>
      <c r="K1407" s="727"/>
      <c r="L1407" s="727"/>
      <c r="M1407" s="727"/>
      <c r="N1407" s="727"/>
      <c r="O1407" s="727"/>
    </row>
    <row r="1408">
      <c r="A1408" s="733"/>
      <c r="B1408" s="6"/>
      <c r="D1408" s="727"/>
      <c r="E1408" s="729"/>
      <c r="F1408" s="727"/>
      <c r="J1408" s="727"/>
      <c r="K1408" s="727"/>
      <c r="L1408" s="727"/>
      <c r="M1408" s="727"/>
      <c r="N1408" s="727"/>
      <c r="O1408" s="727"/>
    </row>
    <row r="1409">
      <c r="A1409" s="733"/>
      <c r="B1409" s="6"/>
      <c r="D1409" s="727"/>
      <c r="E1409" s="729"/>
      <c r="F1409" s="727"/>
      <c r="J1409" s="727"/>
      <c r="K1409" s="727"/>
      <c r="L1409" s="727"/>
      <c r="M1409" s="727"/>
      <c r="N1409" s="727"/>
      <c r="O1409" s="727"/>
    </row>
    <row r="1410">
      <c r="A1410" s="733"/>
      <c r="B1410" s="6"/>
      <c r="D1410" s="727"/>
      <c r="E1410" s="729"/>
      <c r="F1410" s="727"/>
      <c r="J1410" s="727"/>
      <c r="K1410" s="727"/>
      <c r="L1410" s="727"/>
      <c r="M1410" s="727"/>
      <c r="N1410" s="727"/>
      <c r="O1410" s="727"/>
    </row>
    <row r="1411">
      <c r="A1411" s="733"/>
      <c r="B1411" s="6"/>
      <c r="D1411" s="727"/>
      <c r="E1411" s="729"/>
      <c r="F1411" s="727"/>
      <c r="J1411" s="727"/>
      <c r="K1411" s="727"/>
      <c r="L1411" s="727"/>
      <c r="M1411" s="727"/>
      <c r="N1411" s="727"/>
      <c r="O1411" s="727"/>
    </row>
    <row r="1412">
      <c r="A1412" s="733"/>
      <c r="B1412" s="6"/>
      <c r="D1412" s="727"/>
      <c r="E1412" s="729"/>
      <c r="F1412" s="727"/>
      <c r="J1412" s="727"/>
      <c r="K1412" s="727"/>
      <c r="L1412" s="727"/>
      <c r="M1412" s="727"/>
      <c r="N1412" s="727"/>
      <c r="O1412" s="727"/>
    </row>
    <row r="1413">
      <c r="A1413" s="733"/>
      <c r="B1413" s="6"/>
      <c r="D1413" s="727"/>
      <c r="E1413" s="729"/>
      <c r="F1413" s="727"/>
      <c r="J1413" s="727"/>
      <c r="K1413" s="727"/>
      <c r="L1413" s="727"/>
      <c r="M1413" s="727"/>
      <c r="N1413" s="727"/>
      <c r="O1413" s="727"/>
    </row>
    <row r="1414">
      <c r="A1414" s="733"/>
      <c r="B1414" s="6"/>
      <c r="D1414" s="727"/>
      <c r="E1414" s="729"/>
      <c r="F1414" s="727"/>
      <c r="J1414" s="727"/>
      <c r="K1414" s="727"/>
      <c r="L1414" s="727"/>
      <c r="M1414" s="727"/>
      <c r="N1414" s="727"/>
      <c r="O1414" s="727"/>
    </row>
    <row r="1415">
      <c r="A1415" s="733"/>
      <c r="B1415" s="6"/>
      <c r="D1415" s="727"/>
      <c r="E1415" s="729"/>
      <c r="F1415" s="727"/>
      <c r="J1415" s="727"/>
      <c r="K1415" s="727"/>
      <c r="L1415" s="727"/>
      <c r="M1415" s="727"/>
      <c r="N1415" s="727"/>
      <c r="O1415" s="727"/>
    </row>
    <row r="1416">
      <c r="A1416" s="733"/>
      <c r="B1416" s="6"/>
      <c r="D1416" s="727"/>
      <c r="E1416" s="729"/>
      <c r="F1416" s="727"/>
      <c r="J1416" s="727"/>
      <c r="K1416" s="727"/>
      <c r="L1416" s="727"/>
      <c r="M1416" s="727"/>
      <c r="N1416" s="727"/>
      <c r="O1416" s="727"/>
    </row>
    <row r="1417">
      <c r="A1417" s="733"/>
      <c r="B1417" s="6"/>
      <c r="D1417" s="727"/>
      <c r="E1417" s="729"/>
      <c r="F1417" s="727"/>
      <c r="J1417" s="727"/>
      <c r="K1417" s="727"/>
      <c r="L1417" s="727"/>
      <c r="M1417" s="727"/>
      <c r="N1417" s="727"/>
      <c r="O1417" s="727"/>
    </row>
    <row r="1418">
      <c r="A1418" s="733"/>
      <c r="B1418" s="6"/>
      <c r="D1418" s="727"/>
      <c r="E1418" s="729"/>
      <c r="F1418" s="727"/>
      <c r="J1418" s="727"/>
      <c r="K1418" s="727"/>
      <c r="L1418" s="727"/>
      <c r="M1418" s="727"/>
      <c r="N1418" s="727"/>
      <c r="O1418" s="727"/>
    </row>
    <row r="1419">
      <c r="A1419" s="733"/>
      <c r="B1419" s="6"/>
      <c r="D1419" s="727"/>
      <c r="E1419" s="729"/>
      <c r="F1419" s="727"/>
      <c r="J1419" s="727"/>
      <c r="K1419" s="727"/>
      <c r="L1419" s="727"/>
      <c r="M1419" s="727"/>
      <c r="N1419" s="727"/>
      <c r="O1419" s="727"/>
    </row>
    <row r="1420">
      <c r="A1420" s="733"/>
      <c r="B1420" s="6"/>
      <c r="D1420" s="727"/>
      <c r="E1420" s="729"/>
      <c r="F1420" s="727"/>
      <c r="J1420" s="727"/>
      <c r="K1420" s="727"/>
      <c r="L1420" s="727"/>
      <c r="M1420" s="727"/>
      <c r="N1420" s="727"/>
      <c r="O1420" s="727"/>
    </row>
    <row r="1421">
      <c r="A1421" s="733"/>
      <c r="B1421" s="6"/>
      <c r="D1421" s="727"/>
      <c r="E1421" s="729"/>
      <c r="F1421" s="727"/>
      <c r="J1421" s="727"/>
      <c r="K1421" s="727"/>
      <c r="L1421" s="727"/>
      <c r="M1421" s="727"/>
      <c r="N1421" s="727"/>
      <c r="O1421" s="727"/>
    </row>
    <row r="1422">
      <c r="A1422" s="733"/>
      <c r="B1422" s="6"/>
      <c r="D1422" s="727"/>
      <c r="E1422" s="729"/>
      <c r="F1422" s="727"/>
      <c r="J1422" s="727"/>
      <c r="K1422" s="727"/>
      <c r="L1422" s="727"/>
      <c r="M1422" s="727"/>
      <c r="N1422" s="727"/>
      <c r="O1422" s="727"/>
    </row>
    <row r="1423">
      <c r="A1423" s="733"/>
      <c r="B1423" s="6"/>
      <c r="D1423" s="727"/>
      <c r="E1423" s="729"/>
      <c r="F1423" s="727"/>
      <c r="J1423" s="727"/>
      <c r="K1423" s="727"/>
      <c r="L1423" s="727"/>
      <c r="M1423" s="727"/>
      <c r="N1423" s="727"/>
      <c r="O1423" s="727"/>
    </row>
    <row r="1424">
      <c r="A1424" s="733"/>
      <c r="B1424" s="6"/>
      <c r="D1424" s="727"/>
      <c r="E1424" s="729"/>
      <c r="F1424" s="727"/>
      <c r="J1424" s="727"/>
      <c r="K1424" s="727"/>
      <c r="L1424" s="727"/>
      <c r="M1424" s="727"/>
      <c r="N1424" s="727"/>
      <c r="O1424" s="727"/>
    </row>
    <row r="1425">
      <c r="A1425" s="733"/>
      <c r="B1425" s="6"/>
      <c r="D1425" s="727"/>
      <c r="E1425" s="729"/>
      <c r="F1425" s="727"/>
      <c r="J1425" s="727"/>
      <c r="K1425" s="727"/>
      <c r="L1425" s="727"/>
      <c r="M1425" s="727"/>
      <c r="N1425" s="727"/>
      <c r="O1425" s="727"/>
    </row>
    <row r="1426">
      <c r="A1426" s="733"/>
      <c r="B1426" s="6"/>
      <c r="D1426" s="727"/>
      <c r="E1426" s="729"/>
      <c r="F1426" s="727"/>
      <c r="J1426" s="727"/>
      <c r="K1426" s="727"/>
      <c r="L1426" s="727"/>
      <c r="M1426" s="727"/>
      <c r="N1426" s="727"/>
      <c r="O1426" s="727"/>
    </row>
    <row r="1427">
      <c r="A1427" s="733"/>
      <c r="B1427" s="6"/>
      <c r="D1427" s="727"/>
      <c r="E1427" s="729"/>
      <c r="F1427" s="727"/>
      <c r="J1427" s="727"/>
      <c r="K1427" s="727"/>
      <c r="L1427" s="727"/>
      <c r="M1427" s="727"/>
      <c r="N1427" s="727"/>
      <c r="O1427" s="727"/>
    </row>
    <row r="1428">
      <c r="A1428" s="733"/>
      <c r="B1428" s="6"/>
      <c r="D1428" s="727"/>
      <c r="E1428" s="729"/>
      <c r="F1428" s="727"/>
      <c r="J1428" s="727"/>
      <c r="K1428" s="727"/>
      <c r="L1428" s="727"/>
      <c r="M1428" s="727"/>
      <c r="N1428" s="727"/>
      <c r="O1428" s="727"/>
    </row>
    <row r="1429">
      <c r="A1429" s="733"/>
      <c r="B1429" s="6"/>
      <c r="D1429" s="727"/>
      <c r="E1429" s="729"/>
      <c r="F1429" s="727"/>
      <c r="J1429" s="727"/>
      <c r="K1429" s="727"/>
      <c r="L1429" s="727"/>
      <c r="M1429" s="727"/>
      <c r="N1429" s="727"/>
      <c r="O1429" s="727"/>
    </row>
    <row r="1430">
      <c r="A1430" s="733"/>
      <c r="B1430" s="6"/>
      <c r="D1430" s="727"/>
      <c r="E1430" s="729"/>
      <c r="F1430" s="727"/>
      <c r="J1430" s="727"/>
      <c r="K1430" s="727"/>
      <c r="L1430" s="727"/>
      <c r="M1430" s="727"/>
      <c r="N1430" s="727"/>
      <c r="O1430" s="727"/>
    </row>
    <row r="1431">
      <c r="A1431" s="733"/>
      <c r="B1431" s="6"/>
      <c r="D1431" s="727"/>
      <c r="E1431" s="729"/>
      <c r="F1431" s="727"/>
      <c r="J1431" s="727"/>
      <c r="K1431" s="727"/>
      <c r="L1431" s="727"/>
      <c r="M1431" s="727"/>
      <c r="N1431" s="727"/>
      <c r="O1431" s="727"/>
    </row>
    <row r="1432">
      <c r="A1432" s="733"/>
      <c r="B1432" s="6"/>
      <c r="D1432" s="727"/>
      <c r="E1432" s="729"/>
      <c r="F1432" s="727"/>
      <c r="J1432" s="727"/>
      <c r="K1432" s="727"/>
      <c r="L1432" s="727"/>
      <c r="M1432" s="727"/>
      <c r="N1432" s="727"/>
      <c r="O1432" s="727"/>
    </row>
    <row r="1433">
      <c r="A1433" s="733"/>
      <c r="B1433" s="6"/>
      <c r="D1433" s="727"/>
      <c r="E1433" s="729"/>
      <c r="F1433" s="727"/>
      <c r="J1433" s="727"/>
      <c r="K1433" s="727"/>
      <c r="L1433" s="727"/>
      <c r="M1433" s="727"/>
      <c r="N1433" s="727"/>
      <c r="O1433" s="727"/>
    </row>
    <row r="1434">
      <c r="A1434" s="733"/>
      <c r="B1434" s="6"/>
      <c r="D1434" s="727"/>
      <c r="E1434" s="729"/>
      <c r="F1434" s="727"/>
      <c r="J1434" s="727"/>
      <c r="K1434" s="727"/>
      <c r="L1434" s="727"/>
      <c r="M1434" s="727"/>
      <c r="N1434" s="727"/>
      <c r="O1434" s="727"/>
    </row>
    <row r="1435">
      <c r="A1435" s="733"/>
      <c r="B1435" s="6"/>
      <c r="D1435" s="727"/>
      <c r="E1435" s="729"/>
      <c r="F1435" s="727"/>
      <c r="J1435" s="727"/>
      <c r="K1435" s="727"/>
      <c r="L1435" s="727"/>
      <c r="M1435" s="727"/>
      <c r="N1435" s="727"/>
      <c r="O1435" s="727"/>
    </row>
    <row r="1436">
      <c r="A1436" s="733"/>
      <c r="B1436" s="6"/>
      <c r="D1436" s="727"/>
      <c r="E1436" s="729"/>
      <c r="F1436" s="727"/>
      <c r="J1436" s="727"/>
      <c r="K1436" s="727"/>
      <c r="L1436" s="727"/>
      <c r="M1436" s="727"/>
      <c r="N1436" s="727"/>
      <c r="O1436" s="727"/>
    </row>
    <row r="1437">
      <c r="A1437" s="733"/>
      <c r="B1437" s="6"/>
      <c r="D1437" s="727"/>
      <c r="E1437" s="729"/>
      <c r="F1437" s="727"/>
      <c r="J1437" s="727"/>
      <c r="K1437" s="727"/>
      <c r="L1437" s="727"/>
      <c r="M1437" s="727"/>
      <c r="N1437" s="727"/>
      <c r="O1437" s="727"/>
    </row>
    <row r="1438">
      <c r="A1438" s="733"/>
      <c r="B1438" s="6"/>
      <c r="D1438" s="727"/>
      <c r="E1438" s="729"/>
      <c r="F1438" s="727"/>
      <c r="J1438" s="727"/>
      <c r="K1438" s="727"/>
      <c r="L1438" s="727"/>
      <c r="M1438" s="727"/>
      <c r="N1438" s="727"/>
      <c r="O1438" s="727"/>
    </row>
    <row r="1439">
      <c r="A1439" s="733"/>
      <c r="B1439" s="6"/>
      <c r="D1439" s="727"/>
      <c r="E1439" s="729"/>
      <c r="F1439" s="727"/>
      <c r="J1439" s="727"/>
      <c r="K1439" s="727"/>
      <c r="L1439" s="727"/>
      <c r="M1439" s="727"/>
      <c r="N1439" s="727"/>
      <c r="O1439" s="727"/>
    </row>
    <row r="1440">
      <c r="A1440" s="733"/>
      <c r="B1440" s="6"/>
      <c r="D1440" s="727"/>
      <c r="E1440" s="729"/>
      <c r="F1440" s="727"/>
      <c r="J1440" s="727"/>
      <c r="K1440" s="727"/>
      <c r="L1440" s="727"/>
      <c r="M1440" s="727"/>
      <c r="N1440" s="727"/>
      <c r="O1440" s="727"/>
    </row>
    <row r="1441">
      <c r="A1441" s="733"/>
      <c r="B1441" s="6"/>
      <c r="D1441" s="727"/>
      <c r="E1441" s="729"/>
      <c r="F1441" s="727"/>
      <c r="J1441" s="727"/>
      <c r="K1441" s="727"/>
      <c r="L1441" s="727"/>
      <c r="M1441" s="727"/>
      <c r="N1441" s="727"/>
      <c r="O1441" s="727"/>
    </row>
    <row r="1442">
      <c r="A1442" s="733"/>
      <c r="B1442" s="6"/>
      <c r="D1442" s="727"/>
      <c r="E1442" s="729"/>
      <c r="F1442" s="727"/>
      <c r="J1442" s="727"/>
      <c r="K1442" s="727"/>
      <c r="L1442" s="727"/>
      <c r="M1442" s="727"/>
      <c r="N1442" s="727"/>
      <c r="O1442" s="727"/>
    </row>
    <row r="1443">
      <c r="A1443" s="733"/>
      <c r="B1443" s="6"/>
      <c r="D1443" s="727"/>
      <c r="E1443" s="729"/>
      <c r="F1443" s="727"/>
      <c r="J1443" s="727"/>
      <c r="K1443" s="727"/>
      <c r="L1443" s="727"/>
      <c r="M1443" s="727"/>
      <c r="N1443" s="727"/>
      <c r="O1443" s="727"/>
    </row>
    <row r="1444">
      <c r="A1444" s="733"/>
      <c r="B1444" s="6"/>
      <c r="D1444" s="727"/>
      <c r="E1444" s="729"/>
      <c r="F1444" s="727"/>
      <c r="J1444" s="727"/>
      <c r="K1444" s="727"/>
      <c r="L1444" s="727"/>
      <c r="M1444" s="727"/>
      <c r="N1444" s="727"/>
      <c r="O1444" s="727"/>
    </row>
    <row r="1445">
      <c r="A1445" s="733"/>
      <c r="B1445" s="6"/>
      <c r="D1445" s="727"/>
      <c r="E1445" s="729"/>
      <c r="F1445" s="727"/>
      <c r="J1445" s="727"/>
      <c r="K1445" s="727"/>
      <c r="L1445" s="727"/>
      <c r="M1445" s="727"/>
      <c r="N1445" s="727"/>
      <c r="O1445" s="727"/>
    </row>
    <row r="1446">
      <c r="A1446" s="733"/>
      <c r="B1446" s="6"/>
      <c r="D1446" s="727"/>
      <c r="E1446" s="729"/>
      <c r="F1446" s="727"/>
      <c r="J1446" s="727"/>
      <c r="K1446" s="727"/>
      <c r="L1446" s="727"/>
      <c r="M1446" s="727"/>
      <c r="N1446" s="727"/>
      <c r="O1446" s="727"/>
    </row>
    <row r="1447">
      <c r="A1447" s="733"/>
      <c r="B1447" s="6"/>
      <c r="D1447" s="727"/>
      <c r="E1447" s="729"/>
      <c r="F1447" s="727"/>
      <c r="J1447" s="727"/>
      <c r="K1447" s="727"/>
      <c r="L1447" s="727"/>
      <c r="M1447" s="727"/>
      <c r="N1447" s="727"/>
      <c r="O1447" s="727"/>
    </row>
    <row r="1448">
      <c r="A1448" s="733"/>
      <c r="B1448" s="6"/>
      <c r="D1448" s="727"/>
      <c r="E1448" s="729"/>
      <c r="F1448" s="727"/>
      <c r="J1448" s="727"/>
      <c r="K1448" s="727"/>
      <c r="L1448" s="727"/>
      <c r="M1448" s="727"/>
      <c r="N1448" s="727"/>
      <c r="O1448" s="727"/>
    </row>
    <row r="1449">
      <c r="A1449" s="733"/>
      <c r="B1449" s="6"/>
      <c r="D1449" s="727"/>
      <c r="E1449" s="729"/>
      <c r="F1449" s="727"/>
      <c r="J1449" s="727"/>
      <c r="K1449" s="727"/>
      <c r="L1449" s="727"/>
      <c r="M1449" s="727"/>
      <c r="N1449" s="727"/>
      <c r="O1449" s="727"/>
    </row>
    <row r="1450">
      <c r="A1450" s="733"/>
      <c r="B1450" s="6"/>
      <c r="D1450" s="727"/>
      <c r="E1450" s="729"/>
      <c r="F1450" s="727"/>
      <c r="J1450" s="727"/>
      <c r="K1450" s="727"/>
      <c r="L1450" s="727"/>
      <c r="M1450" s="727"/>
      <c r="N1450" s="727"/>
      <c r="O1450" s="727"/>
    </row>
    <row r="1451">
      <c r="A1451" s="733"/>
      <c r="B1451" s="6"/>
      <c r="D1451" s="727"/>
      <c r="E1451" s="729"/>
      <c r="F1451" s="727"/>
      <c r="J1451" s="727"/>
      <c r="K1451" s="727"/>
      <c r="L1451" s="727"/>
      <c r="M1451" s="727"/>
      <c r="N1451" s="727"/>
      <c r="O1451" s="727"/>
    </row>
    <row r="1452">
      <c r="A1452" s="733"/>
      <c r="B1452" s="6"/>
      <c r="D1452" s="727"/>
      <c r="E1452" s="729"/>
      <c r="F1452" s="727"/>
      <c r="J1452" s="727"/>
      <c r="K1452" s="727"/>
      <c r="L1452" s="727"/>
      <c r="M1452" s="727"/>
      <c r="N1452" s="727"/>
      <c r="O1452" s="727"/>
    </row>
    <row r="1453">
      <c r="A1453" s="733"/>
      <c r="B1453" s="6"/>
      <c r="D1453" s="727"/>
      <c r="E1453" s="729"/>
      <c r="F1453" s="727"/>
      <c r="J1453" s="727"/>
      <c r="K1453" s="727"/>
      <c r="L1453" s="727"/>
      <c r="M1453" s="727"/>
      <c r="N1453" s="727"/>
      <c r="O1453" s="727"/>
    </row>
    <row r="1454">
      <c r="A1454" s="733"/>
      <c r="B1454" s="6"/>
      <c r="D1454" s="727"/>
      <c r="E1454" s="729"/>
      <c r="F1454" s="727"/>
      <c r="J1454" s="727"/>
      <c r="K1454" s="727"/>
      <c r="L1454" s="727"/>
      <c r="M1454" s="727"/>
      <c r="N1454" s="727"/>
      <c r="O1454" s="727"/>
    </row>
    <row r="1455">
      <c r="A1455" s="733"/>
      <c r="B1455" s="6"/>
      <c r="D1455" s="727"/>
      <c r="E1455" s="729"/>
      <c r="F1455" s="727"/>
      <c r="J1455" s="727"/>
      <c r="K1455" s="727"/>
      <c r="L1455" s="727"/>
      <c r="M1455" s="727"/>
      <c r="N1455" s="727"/>
      <c r="O1455" s="727"/>
    </row>
    <row r="1456">
      <c r="A1456" s="733"/>
      <c r="B1456" s="6"/>
      <c r="D1456" s="727"/>
      <c r="E1456" s="729"/>
      <c r="F1456" s="727"/>
      <c r="J1456" s="727"/>
      <c r="K1456" s="727"/>
      <c r="L1456" s="727"/>
      <c r="M1456" s="727"/>
      <c r="N1456" s="727"/>
      <c r="O1456" s="727"/>
    </row>
    <row r="1457">
      <c r="A1457" s="733"/>
      <c r="B1457" s="6"/>
      <c r="D1457" s="727"/>
      <c r="E1457" s="729"/>
      <c r="F1457" s="727"/>
      <c r="J1457" s="727"/>
      <c r="K1457" s="727"/>
      <c r="L1457" s="727"/>
      <c r="M1457" s="727"/>
      <c r="N1457" s="727"/>
      <c r="O1457" s="727"/>
    </row>
    <row r="1458">
      <c r="A1458" s="733"/>
      <c r="B1458" s="6"/>
      <c r="D1458" s="727"/>
      <c r="E1458" s="729"/>
      <c r="F1458" s="727"/>
      <c r="J1458" s="727"/>
      <c r="K1458" s="727"/>
      <c r="L1458" s="727"/>
      <c r="M1458" s="727"/>
      <c r="N1458" s="727"/>
      <c r="O1458" s="727"/>
    </row>
    <row r="1459">
      <c r="A1459" s="733"/>
      <c r="B1459" s="6"/>
      <c r="D1459" s="727"/>
      <c r="E1459" s="729"/>
      <c r="F1459" s="727"/>
      <c r="J1459" s="727"/>
      <c r="K1459" s="727"/>
      <c r="L1459" s="727"/>
      <c r="M1459" s="727"/>
      <c r="N1459" s="727"/>
      <c r="O1459" s="727"/>
    </row>
    <row r="1460">
      <c r="A1460" s="733"/>
      <c r="B1460" s="6"/>
      <c r="D1460" s="727"/>
      <c r="E1460" s="729"/>
      <c r="F1460" s="727"/>
      <c r="J1460" s="727"/>
      <c r="K1460" s="727"/>
      <c r="L1460" s="727"/>
      <c r="M1460" s="727"/>
      <c r="N1460" s="727"/>
      <c r="O1460" s="727"/>
    </row>
    <row r="1461">
      <c r="A1461" s="733"/>
      <c r="B1461" s="6"/>
      <c r="D1461" s="727"/>
      <c r="E1461" s="729"/>
      <c r="F1461" s="727"/>
      <c r="J1461" s="727"/>
      <c r="K1461" s="727"/>
      <c r="L1461" s="727"/>
      <c r="M1461" s="727"/>
      <c r="N1461" s="727"/>
      <c r="O1461" s="727"/>
    </row>
    <row r="1462">
      <c r="A1462" s="733"/>
      <c r="B1462" s="6"/>
      <c r="D1462" s="727"/>
      <c r="E1462" s="729"/>
      <c r="F1462" s="727"/>
      <c r="J1462" s="727"/>
      <c r="K1462" s="727"/>
      <c r="L1462" s="727"/>
      <c r="M1462" s="727"/>
      <c r="N1462" s="727"/>
      <c r="O1462" s="727"/>
    </row>
    <row r="1463">
      <c r="A1463" s="733"/>
      <c r="B1463" s="6"/>
      <c r="D1463" s="727"/>
      <c r="E1463" s="729"/>
      <c r="F1463" s="727"/>
      <c r="J1463" s="727"/>
      <c r="K1463" s="727"/>
      <c r="L1463" s="727"/>
      <c r="M1463" s="727"/>
      <c r="N1463" s="727"/>
      <c r="O1463" s="727"/>
    </row>
    <row r="1464">
      <c r="A1464" s="733"/>
      <c r="B1464" s="6"/>
      <c r="D1464" s="727"/>
      <c r="E1464" s="729"/>
      <c r="F1464" s="727"/>
      <c r="J1464" s="727"/>
      <c r="K1464" s="727"/>
      <c r="L1464" s="727"/>
      <c r="M1464" s="727"/>
      <c r="N1464" s="727"/>
      <c r="O1464" s="727"/>
    </row>
    <row r="1465">
      <c r="A1465" s="733"/>
      <c r="B1465" s="6"/>
      <c r="D1465" s="727"/>
      <c r="E1465" s="729"/>
      <c r="F1465" s="727"/>
      <c r="J1465" s="727"/>
      <c r="K1465" s="727"/>
      <c r="L1465" s="727"/>
      <c r="M1465" s="727"/>
      <c r="N1465" s="727"/>
      <c r="O1465" s="727"/>
    </row>
    <row r="1466">
      <c r="A1466" s="733"/>
      <c r="B1466" s="6"/>
      <c r="D1466" s="727"/>
      <c r="E1466" s="729"/>
      <c r="F1466" s="727"/>
      <c r="J1466" s="727"/>
      <c r="K1466" s="727"/>
      <c r="L1466" s="727"/>
      <c r="M1466" s="727"/>
      <c r="N1466" s="727"/>
      <c r="O1466" s="727"/>
    </row>
    <row r="1467">
      <c r="A1467" s="733"/>
      <c r="B1467" s="6"/>
      <c r="D1467" s="727"/>
      <c r="E1467" s="729"/>
      <c r="F1467" s="727"/>
      <c r="J1467" s="727"/>
      <c r="K1467" s="727"/>
      <c r="L1467" s="727"/>
      <c r="M1467" s="727"/>
      <c r="N1467" s="727"/>
      <c r="O1467" s="727"/>
    </row>
    <row r="1468">
      <c r="A1468" s="733"/>
      <c r="B1468" s="6"/>
      <c r="D1468" s="727"/>
      <c r="E1468" s="729"/>
      <c r="F1468" s="727"/>
      <c r="J1468" s="727"/>
      <c r="K1468" s="727"/>
      <c r="L1468" s="727"/>
      <c r="M1468" s="727"/>
      <c r="N1468" s="727"/>
      <c r="O1468" s="727"/>
    </row>
    <row r="1469">
      <c r="A1469" s="733"/>
      <c r="B1469" s="6"/>
      <c r="D1469" s="727"/>
      <c r="E1469" s="729"/>
      <c r="F1469" s="727"/>
      <c r="J1469" s="727"/>
      <c r="K1469" s="727"/>
      <c r="L1469" s="727"/>
      <c r="M1469" s="727"/>
      <c r="N1469" s="727"/>
      <c r="O1469" s="727"/>
    </row>
    <row r="1470">
      <c r="A1470" s="733"/>
      <c r="B1470" s="6"/>
      <c r="D1470" s="727"/>
      <c r="E1470" s="729"/>
      <c r="F1470" s="727"/>
      <c r="J1470" s="727"/>
      <c r="K1470" s="727"/>
      <c r="L1470" s="727"/>
      <c r="M1470" s="727"/>
      <c r="N1470" s="727"/>
      <c r="O1470" s="727"/>
    </row>
    <row r="1471">
      <c r="A1471" s="733"/>
      <c r="B1471" s="6"/>
      <c r="D1471" s="727"/>
      <c r="E1471" s="729"/>
      <c r="F1471" s="727"/>
      <c r="J1471" s="727"/>
      <c r="K1471" s="727"/>
      <c r="L1471" s="727"/>
      <c r="M1471" s="727"/>
      <c r="N1471" s="727"/>
      <c r="O1471" s="727"/>
    </row>
    <row r="1472">
      <c r="A1472" s="733"/>
      <c r="B1472" s="6"/>
      <c r="D1472" s="727"/>
      <c r="E1472" s="729"/>
      <c r="F1472" s="727"/>
      <c r="J1472" s="727"/>
      <c r="K1472" s="727"/>
      <c r="L1472" s="727"/>
      <c r="M1472" s="727"/>
      <c r="N1472" s="727"/>
      <c r="O1472" s="727"/>
    </row>
    <row r="1473">
      <c r="A1473" s="733"/>
      <c r="B1473" s="6"/>
      <c r="D1473" s="727"/>
      <c r="E1473" s="729"/>
      <c r="F1473" s="727"/>
      <c r="J1473" s="727"/>
      <c r="K1473" s="727"/>
      <c r="L1473" s="727"/>
      <c r="M1473" s="727"/>
      <c r="N1473" s="727"/>
      <c r="O1473" s="727"/>
    </row>
    <row r="1474">
      <c r="A1474" s="733"/>
      <c r="B1474" s="6"/>
      <c r="D1474" s="727"/>
      <c r="E1474" s="729"/>
      <c r="F1474" s="727"/>
      <c r="J1474" s="727"/>
      <c r="K1474" s="727"/>
      <c r="L1474" s="727"/>
      <c r="M1474" s="727"/>
      <c r="N1474" s="727"/>
      <c r="O1474" s="727"/>
    </row>
    <row r="1475">
      <c r="A1475" s="733"/>
      <c r="B1475" s="6"/>
      <c r="D1475" s="727"/>
      <c r="E1475" s="729"/>
      <c r="F1475" s="727"/>
      <c r="J1475" s="727"/>
      <c r="K1475" s="727"/>
      <c r="L1475" s="727"/>
      <c r="M1475" s="727"/>
      <c r="N1475" s="727"/>
      <c r="O1475" s="727"/>
    </row>
    <row r="1476">
      <c r="A1476" s="733"/>
      <c r="B1476" s="6"/>
      <c r="D1476" s="727"/>
      <c r="E1476" s="729"/>
      <c r="F1476" s="727"/>
      <c r="J1476" s="727"/>
      <c r="K1476" s="727"/>
      <c r="L1476" s="727"/>
      <c r="M1476" s="727"/>
      <c r="N1476" s="727"/>
      <c r="O1476" s="727"/>
    </row>
    <row r="1477">
      <c r="A1477" s="733"/>
      <c r="B1477" s="6"/>
      <c r="D1477" s="727"/>
      <c r="E1477" s="729"/>
      <c r="F1477" s="727"/>
      <c r="J1477" s="727"/>
      <c r="K1477" s="727"/>
      <c r="L1477" s="727"/>
      <c r="M1477" s="727"/>
      <c r="N1477" s="727"/>
      <c r="O1477" s="727"/>
    </row>
    <row r="1478">
      <c r="A1478" s="733"/>
      <c r="B1478" s="6"/>
      <c r="D1478" s="727"/>
      <c r="E1478" s="729"/>
      <c r="F1478" s="727"/>
      <c r="J1478" s="727"/>
      <c r="K1478" s="727"/>
      <c r="L1478" s="727"/>
      <c r="M1478" s="727"/>
      <c r="N1478" s="727"/>
      <c r="O1478" s="727"/>
    </row>
    <row r="1479">
      <c r="A1479" s="733"/>
      <c r="B1479" s="6"/>
      <c r="D1479" s="727"/>
      <c r="E1479" s="729"/>
      <c r="F1479" s="727"/>
      <c r="J1479" s="727"/>
      <c r="K1479" s="727"/>
      <c r="L1479" s="727"/>
      <c r="M1479" s="727"/>
      <c r="N1479" s="727"/>
      <c r="O1479" s="727"/>
    </row>
    <row r="1480">
      <c r="A1480" s="733"/>
      <c r="B1480" s="6"/>
      <c r="D1480" s="727"/>
      <c r="E1480" s="729"/>
      <c r="F1480" s="727"/>
      <c r="J1480" s="727"/>
      <c r="K1480" s="727"/>
      <c r="L1480" s="727"/>
      <c r="M1480" s="727"/>
      <c r="N1480" s="727"/>
      <c r="O1480" s="727"/>
    </row>
    <row r="1481">
      <c r="A1481" s="733"/>
      <c r="B1481" s="6"/>
      <c r="D1481" s="727"/>
      <c r="E1481" s="729"/>
      <c r="F1481" s="727"/>
      <c r="J1481" s="727"/>
      <c r="K1481" s="727"/>
      <c r="L1481" s="727"/>
      <c r="M1481" s="727"/>
      <c r="N1481" s="727"/>
      <c r="O1481" s="727"/>
    </row>
    <row r="1482">
      <c r="A1482" s="733"/>
      <c r="B1482" s="6"/>
      <c r="D1482" s="727"/>
      <c r="E1482" s="729"/>
      <c r="F1482" s="727"/>
      <c r="J1482" s="727"/>
      <c r="K1482" s="727"/>
      <c r="L1482" s="727"/>
      <c r="M1482" s="727"/>
      <c r="N1482" s="727"/>
      <c r="O1482" s="727"/>
    </row>
    <row r="1483">
      <c r="A1483" s="733"/>
      <c r="B1483" s="6"/>
      <c r="D1483" s="727"/>
      <c r="E1483" s="729"/>
      <c r="F1483" s="727"/>
      <c r="J1483" s="727"/>
      <c r="K1483" s="727"/>
      <c r="L1483" s="727"/>
      <c r="M1483" s="727"/>
      <c r="N1483" s="727"/>
      <c r="O1483" s="727"/>
    </row>
    <row r="1484">
      <c r="A1484" s="733"/>
      <c r="B1484" s="6"/>
      <c r="D1484" s="727"/>
      <c r="E1484" s="729"/>
      <c r="F1484" s="727"/>
      <c r="J1484" s="727"/>
      <c r="K1484" s="727"/>
      <c r="L1484" s="727"/>
      <c r="M1484" s="727"/>
      <c r="N1484" s="727"/>
      <c r="O1484" s="727"/>
    </row>
    <row r="1485">
      <c r="A1485" s="733"/>
      <c r="B1485" s="6"/>
      <c r="D1485" s="727"/>
      <c r="E1485" s="729"/>
      <c r="F1485" s="727"/>
      <c r="J1485" s="727"/>
      <c r="K1485" s="727"/>
      <c r="L1485" s="727"/>
      <c r="M1485" s="727"/>
      <c r="N1485" s="727"/>
      <c r="O1485" s="727"/>
    </row>
    <row r="1486">
      <c r="A1486" s="733"/>
      <c r="B1486" s="6"/>
      <c r="D1486" s="727"/>
      <c r="E1486" s="729"/>
      <c r="F1486" s="727"/>
      <c r="J1486" s="727"/>
      <c r="K1486" s="727"/>
      <c r="L1486" s="727"/>
      <c r="M1486" s="727"/>
      <c r="N1486" s="727"/>
      <c r="O1486" s="727"/>
    </row>
    <row r="1487">
      <c r="A1487" s="733"/>
      <c r="B1487" s="6"/>
      <c r="D1487" s="727"/>
      <c r="E1487" s="729"/>
      <c r="F1487" s="727"/>
      <c r="J1487" s="727"/>
      <c r="K1487" s="727"/>
      <c r="L1487" s="727"/>
      <c r="M1487" s="727"/>
      <c r="N1487" s="727"/>
      <c r="O1487" s="727"/>
    </row>
    <row r="1488">
      <c r="A1488" s="733"/>
      <c r="B1488" s="6"/>
      <c r="D1488" s="727"/>
      <c r="E1488" s="729"/>
      <c r="F1488" s="727"/>
      <c r="J1488" s="727"/>
      <c r="K1488" s="727"/>
      <c r="L1488" s="727"/>
      <c r="M1488" s="727"/>
      <c r="N1488" s="727"/>
      <c r="O1488" s="727"/>
    </row>
    <row r="1489">
      <c r="A1489" s="733"/>
      <c r="B1489" s="6"/>
      <c r="D1489" s="727"/>
      <c r="E1489" s="729"/>
      <c r="F1489" s="727"/>
      <c r="J1489" s="727"/>
      <c r="K1489" s="727"/>
      <c r="L1489" s="727"/>
      <c r="M1489" s="727"/>
      <c r="N1489" s="727"/>
      <c r="O1489" s="727"/>
    </row>
    <row r="1490">
      <c r="A1490" s="733"/>
      <c r="B1490" s="6"/>
      <c r="D1490" s="727"/>
      <c r="E1490" s="729"/>
      <c r="F1490" s="727"/>
      <c r="J1490" s="727"/>
      <c r="K1490" s="727"/>
      <c r="L1490" s="727"/>
      <c r="M1490" s="727"/>
      <c r="N1490" s="727"/>
      <c r="O1490" s="727"/>
    </row>
    <row r="1491">
      <c r="A1491" s="733"/>
      <c r="B1491" s="6"/>
      <c r="D1491" s="727"/>
      <c r="E1491" s="729"/>
      <c r="F1491" s="727"/>
      <c r="J1491" s="727"/>
      <c r="K1491" s="727"/>
      <c r="L1491" s="727"/>
      <c r="M1491" s="727"/>
      <c r="N1491" s="727"/>
      <c r="O1491" s="727"/>
    </row>
    <row r="1492">
      <c r="A1492" s="733"/>
      <c r="B1492" s="6"/>
      <c r="D1492" s="727"/>
      <c r="E1492" s="729"/>
      <c r="F1492" s="727"/>
      <c r="J1492" s="727"/>
      <c r="K1492" s="727"/>
      <c r="L1492" s="727"/>
      <c r="M1492" s="727"/>
      <c r="N1492" s="727"/>
      <c r="O1492" s="727"/>
    </row>
    <row r="1493">
      <c r="A1493" s="733"/>
      <c r="B1493" s="6"/>
      <c r="D1493" s="727"/>
      <c r="E1493" s="729"/>
      <c r="F1493" s="727"/>
      <c r="J1493" s="727"/>
      <c r="K1493" s="727"/>
      <c r="L1493" s="727"/>
      <c r="M1493" s="727"/>
      <c r="N1493" s="727"/>
      <c r="O1493" s="727"/>
    </row>
    <row r="1494">
      <c r="A1494" s="733"/>
      <c r="B1494" s="6"/>
      <c r="D1494" s="727"/>
      <c r="E1494" s="729"/>
      <c r="F1494" s="727"/>
      <c r="J1494" s="727"/>
      <c r="K1494" s="727"/>
      <c r="L1494" s="727"/>
      <c r="M1494" s="727"/>
      <c r="N1494" s="727"/>
      <c r="O1494" s="727"/>
    </row>
    <row r="1495">
      <c r="A1495" s="733"/>
      <c r="B1495" s="6"/>
      <c r="D1495" s="727"/>
      <c r="E1495" s="729"/>
      <c r="F1495" s="727"/>
      <c r="J1495" s="727"/>
      <c r="K1495" s="727"/>
      <c r="L1495" s="727"/>
      <c r="M1495" s="727"/>
      <c r="N1495" s="727"/>
      <c r="O1495" s="727"/>
    </row>
    <row r="1496">
      <c r="A1496" s="733"/>
      <c r="B1496" s="6"/>
      <c r="D1496" s="727"/>
      <c r="E1496" s="729"/>
      <c r="F1496" s="727"/>
      <c r="J1496" s="727"/>
      <c r="K1496" s="727"/>
      <c r="L1496" s="727"/>
      <c r="M1496" s="727"/>
      <c r="N1496" s="727"/>
      <c r="O1496" s="727"/>
    </row>
    <row r="1497">
      <c r="A1497" s="733"/>
      <c r="B1497" s="6"/>
      <c r="D1497" s="727"/>
      <c r="E1497" s="729"/>
      <c r="F1497" s="727"/>
      <c r="J1497" s="727"/>
      <c r="K1497" s="727"/>
      <c r="L1497" s="727"/>
      <c r="M1497" s="727"/>
      <c r="N1497" s="727"/>
      <c r="O1497" s="727"/>
    </row>
    <row r="1498">
      <c r="A1498" s="733"/>
      <c r="B1498" s="6"/>
      <c r="D1498" s="727"/>
      <c r="E1498" s="729"/>
      <c r="F1498" s="727"/>
      <c r="J1498" s="727"/>
      <c r="K1498" s="727"/>
      <c r="L1498" s="727"/>
      <c r="M1498" s="727"/>
      <c r="N1498" s="727"/>
      <c r="O1498" s="727"/>
    </row>
    <row r="1499">
      <c r="A1499" s="733"/>
      <c r="B1499" s="6"/>
      <c r="D1499" s="727"/>
      <c r="E1499" s="729"/>
      <c r="F1499" s="727"/>
      <c r="J1499" s="727"/>
      <c r="K1499" s="727"/>
      <c r="L1499" s="727"/>
      <c r="M1499" s="727"/>
      <c r="N1499" s="727"/>
      <c r="O1499" s="727"/>
    </row>
    <row r="1500">
      <c r="A1500" s="733"/>
      <c r="B1500" s="6"/>
      <c r="D1500" s="727"/>
      <c r="E1500" s="729"/>
      <c r="F1500" s="727"/>
      <c r="J1500" s="727"/>
      <c r="K1500" s="727"/>
      <c r="L1500" s="727"/>
      <c r="M1500" s="727"/>
      <c r="N1500" s="727"/>
      <c r="O1500" s="727"/>
    </row>
    <row r="1501">
      <c r="A1501" s="733"/>
      <c r="B1501" s="6"/>
      <c r="D1501" s="727"/>
      <c r="E1501" s="729"/>
      <c r="F1501" s="727"/>
      <c r="J1501" s="727"/>
      <c r="K1501" s="727"/>
      <c r="L1501" s="727"/>
      <c r="M1501" s="727"/>
      <c r="N1501" s="727"/>
      <c r="O1501" s="727"/>
    </row>
    <row r="1502">
      <c r="A1502" s="733"/>
      <c r="B1502" s="6"/>
      <c r="D1502" s="727"/>
      <c r="E1502" s="729"/>
      <c r="F1502" s="727"/>
      <c r="J1502" s="727"/>
      <c r="K1502" s="727"/>
      <c r="L1502" s="727"/>
      <c r="M1502" s="727"/>
      <c r="N1502" s="727"/>
      <c r="O1502" s="727"/>
    </row>
    <row r="1503">
      <c r="A1503" s="733"/>
      <c r="B1503" s="6"/>
      <c r="D1503" s="727"/>
      <c r="E1503" s="729"/>
      <c r="F1503" s="727"/>
      <c r="J1503" s="727"/>
      <c r="K1503" s="727"/>
      <c r="L1503" s="727"/>
      <c r="M1503" s="727"/>
      <c r="N1503" s="727"/>
      <c r="O1503" s="727"/>
    </row>
    <row r="1504">
      <c r="A1504" s="733"/>
      <c r="B1504" s="6"/>
      <c r="D1504" s="727"/>
      <c r="E1504" s="729"/>
      <c r="F1504" s="727"/>
      <c r="J1504" s="727"/>
      <c r="K1504" s="727"/>
      <c r="L1504" s="727"/>
      <c r="M1504" s="727"/>
      <c r="N1504" s="727"/>
      <c r="O1504" s="727"/>
    </row>
    <row r="1505">
      <c r="A1505" s="733"/>
      <c r="B1505" s="6"/>
      <c r="D1505" s="727"/>
      <c r="E1505" s="729"/>
      <c r="F1505" s="727"/>
      <c r="J1505" s="727"/>
      <c r="K1505" s="727"/>
      <c r="L1505" s="727"/>
      <c r="M1505" s="727"/>
      <c r="N1505" s="727"/>
      <c r="O1505" s="727"/>
    </row>
    <row r="1506">
      <c r="A1506" s="733"/>
      <c r="B1506" s="6"/>
      <c r="D1506" s="727"/>
      <c r="E1506" s="729"/>
      <c r="F1506" s="727"/>
      <c r="J1506" s="727"/>
      <c r="K1506" s="727"/>
      <c r="L1506" s="727"/>
      <c r="M1506" s="727"/>
      <c r="N1506" s="727"/>
      <c r="O1506" s="727"/>
    </row>
    <row r="1507">
      <c r="A1507" s="733"/>
      <c r="B1507" s="6"/>
      <c r="D1507" s="727"/>
      <c r="E1507" s="729"/>
      <c r="F1507" s="727"/>
      <c r="J1507" s="727"/>
      <c r="K1507" s="727"/>
      <c r="L1507" s="727"/>
      <c r="M1507" s="727"/>
      <c r="N1507" s="727"/>
      <c r="O1507" s="727"/>
    </row>
    <row r="1508">
      <c r="A1508" s="733"/>
      <c r="B1508" s="6"/>
      <c r="D1508" s="727"/>
      <c r="E1508" s="729"/>
      <c r="F1508" s="727"/>
      <c r="J1508" s="727"/>
      <c r="K1508" s="727"/>
      <c r="L1508" s="727"/>
      <c r="M1508" s="727"/>
      <c r="N1508" s="727"/>
      <c r="O1508" s="727"/>
    </row>
    <row r="1509">
      <c r="A1509" s="733"/>
      <c r="B1509" s="6"/>
      <c r="D1509" s="727"/>
      <c r="E1509" s="729"/>
      <c r="F1509" s="727"/>
      <c r="J1509" s="727"/>
      <c r="K1509" s="727"/>
      <c r="L1509" s="727"/>
      <c r="M1509" s="727"/>
      <c r="N1509" s="727"/>
      <c r="O1509" s="727"/>
    </row>
    <row r="1510">
      <c r="A1510" s="733"/>
      <c r="B1510" s="6"/>
      <c r="D1510" s="727"/>
      <c r="E1510" s="729"/>
      <c r="F1510" s="727"/>
      <c r="J1510" s="727"/>
      <c r="K1510" s="727"/>
      <c r="L1510" s="727"/>
      <c r="M1510" s="727"/>
      <c r="N1510" s="727"/>
      <c r="O1510" s="727"/>
    </row>
    <row r="1511">
      <c r="A1511" s="733"/>
      <c r="B1511" s="6"/>
      <c r="D1511" s="727"/>
      <c r="E1511" s="729"/>
      <c r="F1511" s="727"/>
      <c r="J1511" s="727"/>
      <c r="K1511" s="727"/>
      <c r="L1511" s="727"/>
      <c r="M1511" s="727"/>
      <c r="N1511" s="727"/>
      <c r="O1511" s="727"/>
    </row>
    <row r="1512">
      <c r="A1512" s="733"/>
      <c r="B1512" s="6"/>
      <c r="D1512" s="727"/>
      <c r="E1512" s="729"/>
      <c r="F1512" s="727"/>
      <c r="J1512" s="727"/>
      <c r="K1512" s="727"/>
      <c r="L1512" s="727"/>
      <c r="M1512" s="727"/>
      <c r="N1512" s="727"/>
      <c r="O1512" s="727"/>
    </row>
    <row r="1513">
      <c r="A1513" s="733"/>
      <c r="B1513" s="6"/>
      <c r="D1513" s="727"/>
      <c r="E1513" s="729"/>
      <c r="F1513" s="727"/>
      <c r="J1513" s="727"/>
      <c r="K1513" s="727"/>
      <c r="L1513" s="727"/>
      <c r="M1513" s="727"/>
      <c r="N1513" s="727"/>
      <c r="O1513" s="727"/>
    </row>
    <row r="1514">
      <c r="A1514" s="733"/>
      <c r="B1514" s="6"/>
      <c r="D1514" s="727"/>
      <c r="E1514" s="729"/>
      <c r="F1514" s="727"/>
      <c r="J1514" s="727"/>
      <c r="K1514" s="727"/>
      <c r="L1514" s="727"/>
      <c r="M1514" s="727"/>
      <c r="N1514" s="727"/>
      <c r="O1514" s="727"/>
    </row>
    <row r="1515">
      <c r="A1515" s="733"/>
      <c r="B1515" s="6"/>
      <c r="D1515" s="727"/>
      <c r="E1515" s="729"/>
      <c r="F1515" s="727"/>
      <c r="J1515" s="727"/>
      <c r="K1515" s="727"/>
      <c r="L1515" s="727"/>
      <c r="M1515" s="727"/>
      <c r="N1515" s="727"/>
      <c r="O1515" s="727"/>
    </row>
    <row r="1516">
      <c r="A1516" s="733"/>
      <c r="B1516" s="6"/>
      <c r="D1516" s="727"/>
      <c r="E1516" s="729"/>
      <c r="F1516" s="727"/>
      <c r="J1516" s="727"/>
      <c r="K1516" s="727"/>
      <c r="L1516" s="727"/>
      <c r="M1516" s="727"/>
      <c r="N1516" s="727"/>
      <c r="O1516" s="727"/>
    </row>
    <row r="1517">
      <c r="A1517" s="733"/>
      <c r="B1517" s="6"/>
      <c r="D1517" s="727"/>
      <c r="E1517" s="729"/>
      <c r="F1517" s="727"/>
      <c r="J1517" s="727"/>
      <c r="K1517" s="727"/>
      <c r="L1517" s="727"/>
      <c r="M1517" s="727"/>
      <c r="N1517" s="727"/>
      <c r="O1517" s="727"/>
    </row>
    <row r="1518">
      <c r="A1518" s="733"/>
      <c r="B1518" s="6"/>
      <c r="D1518" s="727"/>
      <c r="E1518" s="729"/>
      <c r="F1518" s="727"/>
      <c r="J1518" s="727"/>
      <c r="K1518" s="727"/>
      <c r="L1518" s="727"/>
      <c r="M1518" s="727"/>
      <c r="N1518" s="727"/>
      <c r="O1518" s="727"/>
    </row>
    <row r="1519">
      <c r="A1519" s="733"/>
      <c r="B1519" s="6"/>
      <c r="D1519" s="727"/>
      <c r="E1519" s="729"/>
      <c r="F1519" s="727"/>
      <c r="J1519" s="727"/>
      <c r="K1519" s="727"/>
      <c r="L1519" s="727"/>
      <c r="M1519" s="727"/>
      <c r="N1519" s="727"/>
      <c r="O1519" s="727"/>
    </row>
    <row r="1520">
      <c r="A1520" s="733"/>
      <c r="B1520" s="6"/>
      <c r="D1520" s="727"/>
      <c r="E1520" s="729"/>
      <c r="F1520" s="727"/>
      <c r="J1520" s="727"/>
      <c r="K1520" s="727"/>
      <c r="L1520" s="727"/>
      <c r="M1520" s="727"/>
      <c r="N1520" s="727"/>
      <c r="O1520" s="727"/>
    </row>
    <row r="1521">
      <c r="A1521" s="733"/>
      <c r="B1521" s="6"/>
      <c r="D1521" s="727"/>
      <c r="E1521" s="729"/>
      <c r="F1521" s="727"/>
      <c r="J1521" s="727"/>
      <c r="K1521" s="727"/>
      <c r="L1521" s="727"/>
      <c r="M1521" s="727"/>
      <c r="N1521" s="727"/>
      <c r="O1521" s="727"/>
    </row>
    <row r="1522">
      <c r="A1522" s="733"/>
      <c r="B1522" s="6"/>
      <c r="D1522" s="727"/>
      <c r="E1522" s="729"/>
      <c r="F1522" s="727"/>
      <c r="J1522" s="727"/>
      <c r="K1522" s="727"/>
      <c r="L1522" s="727"/>
      <c r="M1522" s="727"/>
      <c r="N1522" s="727"/>
      <c r="O1522" s="727"/>
    </row>
    <row r="1523">
      <c r="A1523" s="733"/>
      <c r="B1523" s="6"/>
      <c r="D1523" s="727"/>
      <c r="E1523" s="729"/>
      <c r="F1523" s="727"/>
      <c r="J1523" s="727"/>
      <c r="K1523" s="727"/>
      <c r="L1523" s="727"/>
      <c r="M1523" s="727"/>
      <c r="N1523" s="727"/>
      <c r="O1523" s="727"/>
    </row>
    <row r="1524">
      <c r="A1524" s="733"/>
      <c r="B1524" s="6"/>
      <c r="D1524" s="727"/>
      <c r="E1524" s="729"/>
      <c r="F1524" s="727"/>
      <c r="J1524" s="727"/>
      <c r="K1524" s="727"/>
      <c r="L1524" s="727"/>
      <c r="M1524" s="727"/>
      <c r="N1524" s="727"/>
      <c r="O1524" s="727"/>
    </row>
    <row r="1525">
      <c r="A1525" s="733"/>
      <c r="B1525" s="6"/>
      <c r="D1525" s="727"/>
      <c r="E1525" s="729"/>
      <c r="F1525" s="727"/>
      <c r="J1525" s="727"/>
      <c r="K1525" s="727"/>
      <c r="L1525" s="727"/>
      <c r="M1525" s="727"/>
      <c r="N1525" s="727"/>
      <c r="O1525" s="727"/>
    </row>
    <row r="1526">
      <c r="A1526" s="733"/>
      <c r="B1526" s="6"/>
      <c r="D1526" s="727"/>
      <c r="E1526" s="729"/>
      <c r="F1526" s="727"/>
      <c r="J1526" s="727"/>
      <c r="K1526" s="727"/>
      <c r="L1526" s="727"/>
      <c r="M1526" s="727"/>
      <c r="N1526" s="727"/>
      <c r="O1526" s="727"/>
    </row>
    <row r="1527">
      <c r="A1527" s="733"/>
      <c r="B1527" s="6"/>
      <c r="D1527" s="727"/>
      <c r="E1527" s="729"/>
      <c r="F1527" s="727"/>
      <c r="J1527" s="727"/>
      <c r="K1527" s="727"/>
      <c r="L1527" s="727"/>
      <c r="M1527" s="727"/>
      <c r="N1527" s="727"/>
      <c r="O1527" s="727"/>
    </row>
    <row r="1528">
      <c r="A1528" s="733"/>
      <c r="B1528" s="6"/>
      <c r="D1528" s="727"/>
      <c r="E1528" s="729"/>
      <c r="F1528" s="727"/>
      <c r="J1528" s="727"/>
      <c r="K1528" s="727"/>
      <c r="L1528" s="727"/>
      <c r="M1528" s="727"/>
      <c r="N1528" s="727"/>
      <c r="O1528" s="727"/>
    </row>
    <row r="1529">
      <c r="A1529" s="733"/>
      <c r="B1529" s="6"/>
      <c r="D1529" s="727"/>
      <c r="E1529" s="729"/>
      <c r="F1529" s="727"/>
      <c r="J1529" s="727"/>
      <c r="K1529" s="727"/>
      <c r="L1529" s="727"/>
      <c r="M1529" s="727"/>
      <c r="N1529" s="727"/>
      <c r="O1529" s="727"/>
    </row>
    <row r="1530">
      <c r="A1530" s="733"/>
      <c r="B1530" s="6"/>
      <c r="D1530" s="727"/>
      <c r="E1530" s="729"/>
      <c r="F1530" s="727"/>
      <c r="J1530" s="727"/>
      <c r="K1530" s="727"/>
      <c r="L1530" s="727"/>
      <c r="M1530" s="727"/>
      <c r="N1530" s="727"/>
      <c r="O1530" s="727"/>
    </row>
    <row r="1531">
      <c r="A1531" s="733"/>
      <c r="B1531" s="6"/>
      <c r="D1531" s="727"/>
      <c r="E1531" s="729"/>
      <c r="F1531" s="727"/>
      <c r="J1531" s="727"/>
      <c r="K1531" s="727"/>
      <c r="L1531" s="727"/>
      <c r="M1531" s="727"/>
      <c r="N1531" s="727"/>
      <c r="O1531" s="727"/>
    </row>
    <row r="1532">
      <c r="A1532" s="733"/>
      <c r="B1532" s="6"/>
      <c r="D1532" s="727"/>
      <c r="E1532" s="729"/>
      <c r="F1532" s="727"/>
      <c r="J1532" s="727"/>
      <c r="K1532" s="727"/>
      <c r="L1532" s="727"/>
      <c r="M1532" s="727"/>
      <c r="N1532" s="727"/>
      <c r="O1532" s="727"/>
    </row>
    <row r="1533">
      <c r="A1533" s="733"/>
      <c r="B1533" s="6"/>
      <c r="D1533" s="727"/>
      <c r="E1533" s="729"/>
      <c r="F1533" s="727"/>
      <c r="J1533" s="727"/>
      <c r="K1533" s="727"/>
      <c r="L1533" s="727"/>
      <c r="M1533" s="727"/>
      <c r="N1533" s="727"/>
      <c r="O1533" s="727"/>
    </row>
    <row r="1534">
      <c r="A1534" s="733"/>
      <c r="B1534" s="6"/>
      <c r="D1534" s="727"/>
      <c r="E1534" s="729"/>
      <c r="F1534" s="727"/>
      <c r="J1534" s="727"/>
      <c r="K1534" s="727"/>
      <c r="L1534" s="727"/>
      <c r="M1534" s="727"/>
      <c r="N1534" s="727"/>
      <c r="O1534" s="727"/>
    </row>
    <row r="1535">
      <c r="A1535" s="733"/>
      <c r="B1535" s="6"/>
      <c r="D1535" s="727"/>
      <c r="E1535" s="729"/>
      <c r="F1535" s="727"/>
      <c r="J1535" s="727"/>
      <c r="K1535" s="727"/>
      <c r="L1535" s="727"/>
      <c r="M1535" s="727"/>
      <c r="N1535" s="727"/>
      <c r="O1535" s="727"/>
    </row>
    <row r="1536">
      <c r="A1536" s="733"/>
      <c r="B1536" s="6"/>
      <c r="D1536" s="727"/>
      <c r="E1536" s="729"/>
      <c r="F1536" s="727"/>
      <c r="J1536" s="727"/>
      <c r="K1536" s="727"/>
      <c r="L1536" s="727"/>
      <c r="M1536" s="727"/>
      <c r="N1536" s="727"/>
      <c r="O1536" s="727"/>
    </row>
    <row r="1537">
      <c r="A1537" s="733"/>
      <c r="B1537" s="6"/>
      <c r="D1537" s="727"/>
      <c r="E1537" s="729"/>
      <c r="F1537" s="727"/>
      <c r="J1537" s="727"/>
      <c r="K1537" s="727"/>
      <c r="L1537" s="727"/>
      <c r="M1537" s="727"/>
      <c r="N1537" s="727"/>
      <c r="O1537" s="727"/>
    </row>
    <row r="1538">
      <c r="A1538" s="733"/>
      <c r="B1538" s="6"/>
      <c r="D1538" s="727"/>
      <c r="E1538" s="729"/>
      <c r="F1538" s="727"/>
      <c r="J1538" s="727"/>
      <c r="K1538" s="727"/>
      <c r="L1538" s="727"/>
      <c r="M1538" s="727"/>
      <c r="N1538" s="727"/>
      <c r="O1538" s="727"/>
    </row>
    <row r="1539">
      <c r="A1539" s="733"/>
      <c r="B1539" s="6"/>
      <c r="D1539" s="727"/>
      <c r="E1539" s="729"/>
      <c r="F1539" s="727"/>
      <c r="J1539" s="727"/>
      <c r="K1539" s="727"/>
      <c r="L1539" s="727"/>
      <c r="M1539" s="727"/>
      <c r="N1539" s="727"/>
      <c r="O1539" s="727"/>
    </row>
    <row r="1540">
      <c r="A1540" s="733"/>
      <c r="B1540" s="6"/>
      <c r="D1540" s="727"/>
      <c r="E1540" s="729"/>
      <c r="F1540" s="727"/>
      <c r="J1540" s="727"/>
      <c r="K1540" s="727"/>
      <c r="L1540" s="727"/>
      <c r="M1540" s="727"/>
      <c r="N1540" s="727"/>
      <c r="O1540" s="727"/>
    </row>
    <row r="1541">
      <c r="A1541" s="733"/>
      <c r="B1541" s="6"/>
      <c r="D1541" s="727"/>
      <c r="E1541" s="729"/>
      <c r="F1541" s="727"/>
      <c r="J1541" s="727"/>
      <c r="K1541" s="727"/>
      <c r="L1541" s="727"/>
      <c r="M1541" s="727"/>
      <c r="N1541" s="727"/>
      <c r="O1541" s="727"/>
    </row>
    <row r="1542">
      <c r="A1542" s="733"/>
      <c r="B1542" s="6"/>
      <c r="D1542" s="727"/>
      <c r="E1542" s="729"/>
      <c r="F1542" s="727"/>
      <c r="J1542" s="727"/>
      <c r="K1542" s="727"/>
      <c r="L1542" s="727"/>
      <c r="M1542" s="727"/>
      <c r="N1542" s="727"/>
      <c r="O1542" s="727"/>
    </row>
    <row r="1543">
      <c r="A1543" s="733"/>
      <c r="B1543" s="6"/>
      <c r="D1543" s="727"/>
      <c r="E1543" s="729"/>
      <c r="F1543" s="727"/>
      <c r="J1543" s="727"/>
      <c r="K1543" s="727"/>
      <c r="L1543" s="727"/>
      <c r="M1543" s="727"/>
      <c r="N1543" s="727"/>
      <c r="O1543" s="727"/>
    </row>
    <row r="1544">
      <c r="A1544" s="733"/>
      <c r="B1544" s="6"/>
      <c r="D1544" s="727"/>
      <c r="E1544" s="729"/>
      <c r="F1544" s="727"/>
      <c r="J1544" s="727"/>
      <c r="K1544" s="727"/>
      <c r="L1544" s="727"/>
      <c r="M1544" s="727"/>
      <c r="N1544" s="727"/>
      <c r="O1544" s="727"/>
    </row>
    <row r="1545">
      <c r="A1545" s="733"/>
      <c r="B1545" s="6"/>
      <c r="D1545" s="727"/>
      <c r="E1545" s="729"/>
      <c r="F1545" s="727"/>
      <c r="J1545" s="727"/>
      <c r="K1545" s="727"/>
      <c r="L1545" s="727"/>
      <c r="M1545" s="727"/>
      <c r="N1545" s="727"/>
      <c r="O1545" s="727"/>
    </row>
    <row r="1546">
      <c r="A1546" s="733"/>
      <c r="B1546" s="6"/>
      <c r="D1546" s="727"/>
      <c r="E1546" s="729"/>
      <c r="F1546" s="727"/>
      <c r="J1546" s="727"/>
      <c r="K1546" s="727"/>
      <c r="L1546" s="727"/>
      <c r="M1546" s="727"/>
      <c r="N1546" s="727"/>
      <c r="O1546" s="727"/>
    </row>
    <row r="1547">
      <c r="A1547" s="733"/>
      <c r="B1547" s="6"/>
      <c r="D1547" s="727"/>
      <c r="E1547" s="729"/>
      <c r="F1547" s="727"/>
      <c r="J1547" s="727"/>
      <c r="K1547" s="727"/>
      <c r="L1547" s="727"/>
      <c r="M1547" s="727"/>
      <c r="N1547" s="727"/>
      <c r="O1547" s="727"/>
    </row>
    <row r="1548">
      <c r="A1548" s="733"/>
      <c r="B1548" s="6"/>
      <c r="D1548" s="727"/>
      <c r="E1548" s="729"/>
      <c r="F1548" s="727"/>
      <c r="J1548" s="727"/>
      <c r="K1548" s="727"/>
      <c r="L1548" s="727"/>
      <c r="M1548" s="727"/>
      <c r="N1548" s="727"/>
      <c r="O1548" s="727"/>
    </row>
    <row r="1549">
      <c r="A1549" s="733"/>
      <c r="B1549" s="6"/>
      <c r="D1549" s="727"/>
      <c r="E1549" s="729"/>
      <c r="F1549" s="727"/>
      <c r="J1549" s="727"/>
      <c r="K1549" s="727"/>
      <c r="L1549" s="727"/>
      <c r="M1549" s="727"/>
      <c r="N1549" s="727"/>
      <c r="O1549" s="727"/>
    </row>
    <row r="1550">
      <c r="A1550" s="733"/>
      <c r="B1550" s="6"/>
      <c r="D1550" s="727"/>
      <c r="E1550" s="729"/>
      <c r="F1550" s="727"/>
      <c r="J1550" s="727"/>
      <c r="K1550" s="727"/>
      <c r="L1550" s="727"/>
      <c r="M1550" s="727"/>
      <c r="N1550" s="727"/>
      <c r="O1550" s="727"/>
    </row>
    <row r="1551">
      <c r="A1551" s="733"/>
      <c r="B1551" s="6"/>
      <c r="D1551" s="727"/>
      <c r="E1551" s="729"/>
      <c r="F1551" s="727"/>
      <c r="J1551" s="727"/>
      <c r="K1551" s="727"/>
      <c r="L1551" s="727"/>
      <c r="M1551" s="727"/>
      <c r="N1551" s="727"/>
      <c r="O1551" s="727"/>
    </row>
    <row r="1552">
      <c r="A1552" s="733"/>
      <c r="B1552" s="6"/>
      <c r="D1552" s="727"/>
      <c r="E1552" s="729"/>
      <c r="F1552" s="727"/>
      <c r="J1552" s="727"/>
      <c r="K1552" s="727"/>
      <c r="L1552" s="727"/>
      <c r="M1552" s="727"/>
      <c r="N1552" s="727"/>
      <c r="O1552" s="727"/>
    </row>
    <row r="1553">
      <c r="A1553" s="733"/>
      <c r="B1553" s="6"/>
      <c r="D1553" s="727"/>
      <c r="E1553" s="729"/>
      <c r="F1553" s="727"/>
      <c r="J1553" s="727"/>
      <c r="K1553" s="727"/>
      <c r="L1553" s="727"/>
      <c r="M1553" s="727"/>
      <c r="N1553" s="727"/>
      <c r="O1553" s="727"/>
    </row>
    <row r="1554">
      <c r="A1554" s="733"/>
      <c r="B1554" s="6"/>
      <c r="D1554" s="727"/>
      <c r="E1554" s="729"/>
      <c r="F1554" s="727"/>
      <c r="J1554" s="727"/>
      <c r="K1554" s="727"/>
      <c r="L1554" s="727"/>
      <c r="M1554" s="727"/>
      <c r="N1554" s="727"/>
      <c r="O1554" s="727"/>
    </row>
    <row r="1555">
      <c r="A1555" s="733"/>
      <c r="B1555" s="6"/>
      <c r="D1555" s="727"/>
      <c r="E1555" s="729"/>
      <c r="F1555" s="727"/>
      <c r="J1555" s="727"/>
      <c r="K1555" s="727"/>
      <c r="L1555" s="727"/>
      <c r="M1555" s="727"/>
      <c r="N1555" s="727"/>
      <c r="O1555" s="727"/>
    </row>
    <row r="1556">
      <c r="A1556" s="733"/>
      <c r="B1556" s="6"/>
      <c r="D1556" s="727"/>
      <c r="E1556" s="729"/>
      <c r="F1556" s="727"/>
      <c r="J1556" s="727"/>
      <c r="K1556" s="727"/>
      <c r="L1556" s="727"/>
      <c r="M1556" s="727"/>
      <c r="N1556" s="727"/>
      <c r="O1556" s="727"/>
    </row>
    <row r="1557">
      <c r="A1557" s="733"/>
      <c r="B1557" s="6"/>
      <c r="D1557" s="727"/>
      <c r="E1557" s="729"/>
      <c r="F1557" s="727"/>
      <c r="J1557" s="727"/>
      <c r="K1557" s="727"/>
      <c r="L1557" s="727"/>
      <c r="M1557" s="727"/>
      <c r="N1557" s="727"/>
      <c r="O1557" s="727"/>
    </row>
    <row r="1558">
      <c r="A1558" s="733"/>
      <c r="B1558" s="6"/>
      <c r="D1558" s="727"/>
      <c r="E1558" s="729"/>
      <c r="F1558" s="727"/>
      <c r="J1558" s="727"/>
      <c r="K1558" s="727"/>
      <c r="L1558" s="727"/>
      <c r="M1558" s="727"/>
      <c r="N1558" s="727"/>
      <c r="O1558" s="727"/>
    </row>
    <row r="1559">
      <c r="A1559" s="733"/>
      <c r="B1559" s="6"/>
      <c r="D1559" s="727"/>
      <c r="E1559" s="729"/>
      <c r="F1559" s="727"/>
      <c r="J1559" s="727"/>
      <c r="K1559" s="727"/>
      <c r="L1559" s="727"/>
      <c r="M1559" s="727"/>
      <c r="N1559" s="727"/>
      <c r="O1559" s="727"/>
    </row>
    <row r="1560">
      <c r="A1560" s="733"/>
      <c r="B1560" s="6"/>
      <c r="D1560" s="727"/>
      <c r="E1560" s="729"/>
      <c r="F1560" s="727"/>
      <c r="J1560" s="727"/>
      <c r="K1560" s="727"/>
      <c r="L1560" s="727"/>
      <c r="M1560" s="727"/>
      <c r="N1560" s="727"/>
      <c r="O1560" s="727"/>
    </row>
    <row r="1561">
      <c r="A1561" s="733"/>
      <c r="B1561" s="6"/>
      <c r="D1561" s="727"/>
      <c r="E1561" s="729"/>
      <c r="F1561" s="727"/>
      <c r="J1561" s="727"/>
      <c r="K1561" s="727"/>
      <c r="L1561" s="727"/>
      <c r="M1561" s="727"/>
      <c r="N1561" s="727"/>
      <c r="O1561" s="727"/>
    </row>
    <row r="1562">
      <c r="A1562" s="733"/>
      <c r="B1562" s="6"/>
      <c r="D1562" s="727"/>
      <c r="E1562" s="729"/>
      <c r="F1562" s="727"/>
      <c r="J1562" s="727"/>
      <c r="K1562" s="727"/>
      <c r="L1562" s="727"/>
      <c r="M1562" s="727"/>
      <c r="N1562" s="727"/>
      <c r="O1562" s="727"/>
    </row>
    <row r="1563">
      <c r="A1563" s="733"/>
      <c r="B1563" s="6"/>
      <c r="D1563" s="727"/>
      <c r="E1563" s="729"/>
      <c r="F1563" s="727"/>
      <c r="J1563" s="727"/>
      <c r="K1563" s="727"/>
      <c r="L1563" s="727"/>
      <c r="M1563" s="727"/>
      <c r="N1563" s="727"/>
      <c r="O1563" s="727"/>
    </row>
    <row r="1564">
      <c r="A1564" s="733"/>
      <c r="B1564" s="6"/>
      <c r="D1564" s="727"/>
      <c r="E1564" s="729"/>
      <c r="F1564" s="727"/>
      <c r="J1564" s="727"/>
      <c r="K1564" s="727"/>
      <c r="L1564" s="727"/>
      <c r="M1564" s="727"/>
      <c r="N1564" s="727"/>
      <c r="O1564" s="727"/>
    </row>
    <row r="1565">
      <c r="A1565" s="733"/>
      <c r="B1565" s="6"/>
      <c r="D1565" s="727"/>
      <c r="E1565" s="729"/>
      <c r="F1565" s="727"/>
      <c r="J1565" s="727"/>
      <c r="K1565" s="727"/>
      <c r="L1565" s="727"/>
      <c r="M1565" s="727"/>
      <c r="N1565" s="727"/>
      <c r="O1565" s="727"/>
    </row>
    <row r="1566">
      <c r="A1566" s="733"/>
      <c r="B1566" s="6"/>
      <c r="D1566" s="727"/>
      <c r="E1566" s="729"/>
      <c r="F1566" s="727"/>
      <c r="J1566" s="727"/>
      <c r="K1566" s="727"/>
      <c r="L1566" s="727"/>
      <c r="M1566" s="727"/>
      <c r="N1566" s="727"/>
      <c r="O1566" s="727"/>
    </row>
    <row r="1567">
      <c r="A1567" s="733"/>
      <c r="B1567" s="6"/>
      <c r="D1567" s="727"/>
      <c r="E1567" s="729"/>
      <c r="F1567" s="727"/>
      <c r="J1567" s="727"/>
      <c r="K1567" s="727"/>
      <c r="L1567" s="727"/>
      <c r="M1567" s="727"/>
      <c r="N1567" s="727"/>
      <c r="O1567" s="727"/>
    </row>
    <row r="1568">
      <c r="A1568" s="733"/>
      <c r="B1568" s="6"/>
      <c r="D1568" s="727"/>
      <c r="E1568" s="729"/>
      <c r="F1568" s="727"/>
      <c r="J1568" s="727"/>
      <c r="K1568" s="727"/>
      <c r="L1568" s="727"/>
      <c r="M1568" s="727"/>
      <c r="N1568" s="727"/>
      <c r="O1568" s="727"/>
    </row>
    <row r="1569">
      <c r="A1569" s="733"/>
      <c r="B1569" s="6"/>
      <c r="D1569" s="727"/>
      <c r="E1569" s="729"/>
      <c r="F1569" s="727"/>
      <c r="J1569" s="727"/>
      <c r="K1569" s="727"/>
      <c r="L1569" s="727"/>
      <c r="M1569" s="727"/>
      <c r="N1569" s="727"/>
      <c r="O1569" s="727"/>
    </row>
    <row r="1570">
      <c r="A1570" s="733"/>
      <c r="B1570" s="6"/>
      <c r="D1570" s="727"/>
      <c r="E1570" s="729"/>
      <c r="F1570" s="727"/>
      <c r="J1570" s="727"/>
      <c r="K1570" s="727"/>
      <c r="L1570" s="727"/>
      <c r="M1570" s="727"/>
      <c r="N1570" s="727"/>
      <c r="O1570" s="727"/>
    </row>
    <row r="1571">
      <c r="A1571" s="733"/>
      <c r="B1571" s="6"/>
      <c r="D1571" s="727"/>
      <c r="E1571" s="729"/>
      <c r="F1571" s="727"/>
      <c r="J1571" s="727"/>
      <c r="K1571" s="727"/>
      <c r="L1571" s="727"/>
      <c r="M1571" s="727"/>
      <c r="N1571" s="727"/>
      <c r="O1571" s="727"/>
    </row>
    <row r="1572">
      <c r="A1572" s="733"/>
      <c r="B1572" s="6"/>
      <c r="D1572" s="727"/>
      <c r="E1572" s="729"/>
      <c r="F1572" s="727"/>
      <c r="J1572" s="727"/>
      <c r="K1572" s="727"/>
      <c r="L1572" s="727"/>
      <c r="M1572" s="727"/>
      <c r="N1572" s="727"/>
      <c r="O1572" s="727"/>
    </row>
    <row r="1573">
      <c r="A1573" s="733"/>
      <c r="B1573" s="6"/>
      <c r="D1573" s="727"/>
      <c r="E1573" s="729"/>
      <c r="F1573" s="727"/>
      <c r="J1573" s="727"/>
      <c r="K1573" s="727"/>
      <c r="L1573" s="727"/>
      <c r="M1573" s="727"/>
      <c r="N1573" s="727"/>
      <c r="O1573" s="727"/>
    </row>
    <row r="1574">
      <c r="A1574" s="733"/>
      <c r="B1574" s="6"/>
      <c r="D1574" s="727"/>
      <c r="E1574" s="729"/>
      <c r="F1574" s="727"/>
      <c r="J1574" s="727"/>
      <c r="K1574" s="727"/>
      <c r="L1574" s="727"/>
      <c r="M1574" s="727"/>
      <c r="N1574" s="727"/>
      <c r="O1574" s="727"/>
    </row>
    <row r="1575">
      <c r="A1575" s="733"/>
      <c r="B1575" s="6"/>
      <c r="D1575" s="727"/>
      <c r="E1575" s="729"/>
      <c r="F1575" s="727"/>
      <c r="J1575" s="727"/>
      <c r="K1575" s="727"/>
      <c r="L1575" s="727"/>
      <c r="M1575" s="727"/>
      <c r="N1575" s="727"/>
      <c r="O1575" s="727"/>
    </row>
    <row r="1576">
      <c r="A1576" s="733"/>
      <c r="B1576" s="6"/>
      <c r="D1576" s="727"/>
      <c r="E1576" s="729"/>
      <c r="F1576" s="727"/>
      <c r="J1576" s="727"/>
      <c r="K1576" s="727"/>
      <c r="L1576" s="727"/>
      <c r="M1576" s="727"/>
      <c r="N1576" s="727"/>
      <c r="O1576" s="727"/>
    </row>
    <row r="1577">
      <c r="A1577" s="733"/>
      <c r="B1577" s="6"/>
      <c r="D1577" s="727"/>
      <c r="E1577" s="729"/>
      <c r="F1577" s="727"/>
      <c r="J1577" s="727"/>
      <c r="K1577" s="727"/>
      <c r="L1577" s="727"/>
      <c r="M1577" s="727"/>
      <c r="N1577" s="727"/>
      <c r="O1577" s="727"/>
    </row>
    <row r="1578">
      <c r="A1578" s="733"/>
      <c r="B1578" s="6"/>
      <c r="D1578" s="727"/>
      <c r="E1578" s="729"/>
      <c r="F1578" s="727"/>
      <c r="J1578" s="727"/>
      <c r="K1578" s="727"/>
      <c r="L1578" s="727"/>
      <c r="M1578" s="727"/>
      <c r="N1578" s="727"/>
      <c r="O1578" s="727"/>
    </row>
    <row r="1579">
      <c r="A1579" s="733"/>
      <c r="B1579" s="6"/>
      <c r="D1579" s="727"/>
      <c r="E1579" s="729"/>
      <c r="F1579" s="727"/>
      <c r="J1579" s="727"/>
      <c r="K1579" s="727"/>
      <c r="L1579" s="727"/>
      <c r="M1579" s="727"/>
      <c r="N1579" s="727"/>
      <c r="O1579" s="727"/>
    </row>
    <row r="1580">
      <c r="A1580" s="733"/>
      <c r="B1580" s="6"/>
      <c r="D1580" s="727"/>
      <c r="E1580" s="729"/>
      <c r="F1580" s="727"/>
      <c r="J1580" s="727"/>
      <c r="K1580" s="727"/>
      <c r="L1580" s="727"/>
      <c r="M1580" s="727"/>
      <c r="N1580" s="727"/>
      <c r="O1580" s="727"/>
    </row>
    <row r="1581">
      <c r="A1581" s="733"/>
      <c r="B1581" s="6"/>
      <c r="D1581" s="727"/>
      <c r="E1581" s="729"/>
      <c r="F1581" s="727"/>
      <c r="J1581" s="727"/>
      <c r="K1581" s="727"/>
      <c r="L1581" s="727"/>
      <c r="M1581" s="727"/>
      <c r="N1581" s="727"/>
      <c r="O1581" s="727"/>
    </row>
    <row r="1582">
      <c r="A1582" s="733"/>
      <c r="B1582" s="6"/>
      <c r="D1582" s="727"/>
      <c r="E1582" s="729"/>
      <c r="F1582" s="727"/>
      <c r="J1582" s="727"/>
      <c r="K1582" s="727"/>
      <c r="L1582" s="727"/>
      <c r="M1582" s="727"/>
      <c r="N1582" s="727"/>
      <c r="O1582" s="727"/>
    </row>
    <row r="1583">
      <c r="A1583" s="733"/>
      <c r="B1583" s="6"/>
      <c r="D1583" s="727"/>
      <c r="E1583" s="729"/>
      <c r="F1583" s="727"/>
      <c r="J1583" s="727"/>
      <c r="K1583" s="727"/>
      <c r="L1583" s="727"/>
      <c r="M1583" s="727"/>
      <c r="N1583" s="727"/>
      <c r="O1583" s="727"/>
    </row>
    <row r="1584">
      <c r="A1584" s="733"/>
      <c r="B1584" s="6"/>
      <c r="D1584" s="727"/>
      <c r="E1584" s="729"/>
      <c r="F1584" s="727"/>
      <c r="J1584" s="727"/>
      <c r="K1584" s="727"/>
      <c r="L1584" s="727"/>
      <c r="M1584" s="727"/>
      <c r="N1584" s="727"/>
      <c r="O1584" s="727"/>
    </row>
    <row r="1585">
      <c r="A1585" s="733"/>
      <c r="B1585" s="6"/>
      <c r="D1585" s="727"/>
      <c r="E1585" s="729"/>
      <c r="F1585" s="727"/>
      <c r="J1585" s="727"/>
      <c r="K1585" s="727"/>
      <c r="L1585" s="727"/>
      <c r="M1585" s="727"/>
      <c r="N1585" s="727"/>
      <c r="O1585" s="727"/>
    </row>
    <row r="1586">
      <c r="A1586" s="733"/>
      <c r="B1586" s="6"/>
      <c r="D1586" s="727"/>
      <c r="E1586" s="729"/>
      <c r="F1586" s="727"/>
      <c r="J1586" s="727"/>
      <c r="K1586" s="727"/>
      <c r="L1586" s="727"/>
      <c r="M1586" s="727"/>
      <c r="N1586" s="727"/>
      <c r="O1586" s="727"/>
    </row>
    <row r="1587">
      <c r="A1587" s="733"/>
      <c r="B1587" s="6"/>
      <c r="D1587" s="727"/>
      <c r="E1587" s="729"/>
      <c r="F1587" s="727"/>
      <c r="J1587" s="727"/>
      <c r="K1587" s="727"/>
      <c r="L1587" s="727"/>
      <c r="M1587" s="727"/>
      <c r="N1587" s="727"/>
      <c r="O1587" s="727"/>
    </row>
    <row r="1588">
      <c r="A1588" s="733"/>
      <c r="B1588" s="6"/>
      <c r="D1588" s="727"/>
      <c r="E1588" s="729"/>
      <c r="F1588" s="727"/>
      <c r="J1588" s="727"/>
      <c r="K1588" s="727"/>
      <c r="L1588" s="727"/>
      <c r="M1588" s="727"/>
      <c r="N1588" s="727"/>
      <c r="O1588" s="727"/>
    </row>
    <row r="1589">
      <c r="A1589" s="733"/>
      <c r="B1589" s="6"/>
      <c r="D1589" s="727"/>
      <c r="E1589" s="729"/>
      <c r="F1589" s="727"/>
      <c r="J1589" s="727"/>
      <c r="K1589" s="727"/>
      <c r="L1589" s="727"/>
      <c r="M1589" s="727"/>
      <c r="N1589" s="727"/>
      <c r="O1589" s="727"/>
    </row>
    <row r="1590">
      <c r="A1590" s="733"/>
      <c r="B1590" s="6"/>
      <c r="D1590" s="727"/>
      <c r="E1590" s="729"/>
      <c r="F1590" s="727"/>
      <c r="J1590" s="727"/>
      <c r="K1590" s="727"/>
      <c r="L1590" s="727"/>
      <c r="M1590" s="727"/>
      <c r="N1590" s="727"/>
      <c r="O1590" s="727"/>
    </row>
    <row r="1591">
      <c r="A1591" s="733"/>
      <c r="B1591" s="6"/>
      <c r="D1591" s="727"/>
      <c r="E1591" s="729"/>
      <c r="F1591" s="727"/>
      <c r="J1591" s="727"/>
      <c r="K1591" s="727"/>
      <c r="L1591" s="727"/>
      <c r="M1591" s="727"/>
      <c r="N1591" s="727"/>
      <c r="O1591" s="727"/>
    </row>
    <row r="1592">
      <c r="A1592" s="733"/>
      <c r="B1592" s="6"/>
      <c r="D1592" s="727"/>
      <c r="E1592" s="729"/>
      <c r="F1592" s="727"/>
      <c r="J1592" s="727"/>
      <c r="K1592" s="727"/>
      <c r="L1592" s="727"/>
      <c r="M1592" s="727"/>
      <c r="N1592" s="727"/>
      <c r="O1592" s="727"/>
    </row>
    <row r="1593">
      <c r="A1593" s="733"/>
      <c r="B1593" s="6"/>
      <c r="D1593" s="727"/>
      <c r="E1593" s="729"/>
      <c r="F1593" s="727"/>
      <c r="J1593" s="727"/>
      <c r="K1593" s="727"/>
      <c r="L1593" s="727"/>
      <c r="M1593" s="727"/>
      <c r="N1593" s="727"/>
      <c r="O1593" s="727"/>
    </row>
    <row r="1594">
      <c r="A1594" s="733"/>
      <c r="B1594" s="6"/>
      <c r="D1594" s="727"/>
      <c r="E1594" s="729"/>
      <c r="F1594" s="727"/>
      <c r="J1594" s="727"/>
      <c r="K1594" s="727"/>
      <c r="L1594" s="727"/>
      <c r="M1594" s="727"/>
      <c r="N1594" s="727"/>
      <c r="O1594" s="727"/>
    </row>
    <row r="1595">
      <c r="A1595" s="733"/>
      <c r="B1595" s="6"/>
      <c r="D1595" s="727"/>
      <c r="E1595" s="729"/>
      <c r="F1595" s="727"/>
      <c r="J1595" s="727"/>
      <c r="K1595" s="727"/>
      <c r="L1595" s="727"/>
      <c r="M1595" s="727"/>
      <c r="N1595" s="727"/>
      <c r="O1595" s="727"/>
    </row>
    <row r="1596">
      <c r="A1596" s="733"/>
      <c r="B1596" s="6"/>
      <c r="D1596" s="727"/>
      <c r="E1596" s="729"/>
      <c r="F1596" s="727"/>
      <c r="J1596" s="727"/>
      <c r="K1596" s="727"/>
      <c r="L1596" s="727"/>
      <c r="M1596" s="727"/>
      <c r="N1596" s="727"/>
      <c r="O1596" s="727"/>
    </row>
    <row r="1597">
      <c r="A1597" s="733"/>
      <c r="B1597" s="6"/>
      <c r="D1597" s="727"/>
      <c r="E1597" s="729"/>
      <c r="F1597" s="727"/>
      <c r="J1597" s="727"/>
      <c r="K1597" s="727"/>
      <c r="L1597" s="727"/>
      <c r="M1597" s="727"/>
      <c r="N1597" s="727"/>
      <c r="O1597" s="727"/>
    </row>
    <row r="1598">
      <c r="A1598" s="733"/>
      <c r="B1598" s="6"/>
      <c r="D1598" s="727"/>
      <c r="E1598" s="729"/>
      <c r="F1598" s="727"/>
      <c r="J1598" s="727"/>
      <c r="K1598" s="727"/>
      <c r="L1598" s="727"/>
      <c r="M1598" s="727"/>
      <c r="N1598" s="727"/>
      <c r="O1598" s="727"/>
    </row>
    <row r="1599">
      <c r="A1599" s="733"/>
      <c r="B1599" s="6"/>
      <c r="D1599" s="727"/>
      <c r="E1599" s="729"/>
      <c r="F1599" s="727"/>
      <c r="J1599" s="727"/>
      <c r="K1599" s="727"/>
      <c r="L1599" s="727"/>
      <c r="M1599" s="727"/>
      <c r="N1599" s="727"/>
      <c r="O1599" s="727"/>
    </row>
    <row r="1600">
      <c r="A1600" s="733"/>
      <c r="B1600" s="6"/>
      <c r="D1600" s="727"/>
      <c r="E1600" s="729"/>
      <c r="F1600" s="727"/>
      <c r="J1600" s="727"/>
      <c r="K1600" s="727"/>
      <c r="L1600" s="727"/>
      <c r="M1600" s="727"/>
      <c r="N1600" s="727"/>
      <c r="O1600" s="727"/>
    </row>
    <row r="1601">
      <c r="A1601" s="733"/>
      <c r="B1601" s="6"/>
      <c r="D1601" s="727"/>
      <c r="E1601" s="729"/>
      <c r="F1601" s="727"/>
      <c r="J1601" s="727"/>
      <c r="K1601" s="727"/>
      <c r="L1601" s="727"/>
      <c r="M1601" s="727"/>
      <c r="N1601" s="727"/>
      <c r="O1601" s="727"/>
    </row>
    <row r="1602">
      <c r="A1602" s="733"/>
      <c r="B1602" s="6"/>
      <c r="D1602" s="727"/>
      <c r="E1602" s="729"/>
      <c r="F1602" s="727"/>
      <c r="J1602" s="727"/>
      <c r="K1602" s="727"/>
      <c r="L1602" s="727"/>
      <c r="M1602" s="727"/>
      <c r="N1602" s="727"/>
      <c r="O1602" s="727"/>
    </row>
    <row r="1603">
      <c r="A1603" s="733"/>
      <c r="B1603" s="6"/>
      <c r="D1603" s="727"/>
      <c r="E1603" s="729"/>
      <c r="F1603" s="727"/>
      <c r="J1603" s="727"/>
      <c r="K1603" s="727"/>
      <c r="L1603" s="727"/>
      <c r="M1603" s="727"/>
      <c r="N1603" s="727"/>
      <c r="O1603" s="727"/>
    </row>
    <row r="1604">
      <c r="A1604" s="733"/>
      <c r="B1604" s="6"/>
      <c r="D1604" s="727"/>
      <c r="E1604" s="729"/>
      <c r="F1604" s="727"/>
      <c r="J1604" s="727"/>
      <c r="K1604" s="727"/>
      <c r="L1604" s="727"/>
      <c r="M1604" s="727"/>
      <c r="N1604" s="727"/>
      <c r="O1604" s="727"/>
    </row>
    <row r="1605">
      <c r="A1605" s="733"/>
      <c r="B1605" s="6"/>
      <c r="D1605" s="727"/>
      <c r="E1605" s="729"/>
      <c r="F1605" s="727"/>
      <c r="J1605" s="727"/>
      <c r="K1605" s="727"/>
      <c r="L1605" s="727"/>
      <c r="M1605" s="727"/>
      <c r="N1605" s="727"/>
      <c r="O1605" s="727"/>
    </row>
    <row r="1606">
      <c r="A1606" s="733"/>
      <c r="B1606" s="6"/>
      <c r="D1606" s="727"/>
      <c r="E1606" s="729"/>
      <c r="F1606" s="727"/>
      <c r="J1606" s="727"/>
      <c r="K1606" s="727"/>
      <c r="L1606" s="727"/>
      <c r="M1606" s="727"/>
      <c r="N1606" s="727"/>
      <c r="O1606" s="727"/>
    </row>
    <row r="1607">
      <c r="A1607" s="733"/>
      <c r="B1607" s="6"/>
      <c r="D1607" s="727"/>
      <c r="E1607" s="729"/>
      <c r="F1607" s="727"/>
      <c r="J1607" s="727"/>
      <c r="K1607" s="727"/>
      <c r="L1607" s="727"/>
      <c r="M1607" s="727"/>
      <c r="N1607" s="727"/>
      <c r="O1607" s="727"/>
    </row>
    <row r="1608">
      <c r="A1608" s="733"/>
      <c r="B1608" s="6"/>
      <c r="D1608" s="727"/>
      <c r="E1608" s="729"/>
      <c r="F1608" s="727"/>
      <c r="J1608" s="727"/>
      <c r="K1608" s="727"/>
      <c r="L1608" s="727"/>
      <c r="M1608" s="727"/>
      <c r="N1608" s="727"/>
      <c r="O1608" s="727"/>
    </row>
    <row r="1609">
      <c r="A1609" s="733"/>
      <c r="B1609" s="6"/>
      <c r="D1609" s="727"/>
      <c r="E1609" s="729"/>
      <c r="F1609" s="727"/>
      <c r="J1609" s="727"/>
      <c r="K1609" s="727"/>
      <c r="L1609" s="727"/>
      <c r="M1609" s="727"/>
      <c r="N1609" s="727"/>
      <c r="O1609" s="727"/>
    </row>
    <row r="1610">
      <c r="A1610" s="733"/>
      <c r="B1610" s="6"/>
      <c r="D1610" s="727"/>
      <c r="E1610" s="729"/>
      <c r="F1610" s="727"/>
      <c r="J1610" s="727"/>
      <c r="K1610" s="727"/>
      <c r="L1610" s="727"/>
      <c r="M1610" s="727"/>
      <c r="N1610" s="727"/>
      <c r="O1610" s="727"/>
    </row>
    <row r="1611">
      <c r="A1611" s="733"/>
      <c r="B1611" s="6"/>
      <c r="D1611" s="727"/>
      <c r="E1611" s="729"/>
      <c r="F1611" s="727"/>
      <c r="J1611" s="727"/>
      <c r="K1611" s="727"/>
      <c r="L1611" s="727"/>
      <c r="M1611" s="727"/>
      <c r="N1611" s="727"/>
      <c r="O1611" s="727"/>
    </row>
    <row r="1612">
      <c r="A1612" s="733"/>
      <c r="B1612" s="6"/>
      <c r="D1612" s="727"/>
      <c r="E1612" s="729"/>
      <c r="F1612" s="727"/>
      <c r="J1612" s="727"/>
      <c r="K1612" s="727"/>
      <c r="L1612" s="727"/>
      <c r="M1612" s="727"/>
      <c r="N1612" s="727"/>
      <c r="O1612" s="727"/>
    </row>
    <row r="1613">
      <c r="A1613" s="733"/>
      <c r="B1613" s="6"/>
      <c r="D1613" s="727"/>
      <c r="E1613" s="729"/>
      <c r="F1613" s="727"/>
      <c r="J1613" s="727"/>
      <c r="K1613" s="727"/>
      <c r="L1613" s="727"/>
      <c r="M1613" s="727"/>
      <c r="N1613" s="727"/>
      <c r="O1613" s="727"/>
    </row>
    <row r="1614">
      <c r="A1614" s="733"/>
      <c r="B1614" s="6"/>
      <c r="D1614" s="727"/>
      <c r="E1614" s="729"/>
      <c r="F1614" s="727"/>
      <c r="J1614" s="727"/>
      <c r="K1614" s="727"/>
      <c r="L1614" s="727"/>
      <c r="M1614" s="727"/>
      <c r="N1614" s="727"/>
      <c r="O1614" s="727"/>
    </row>
    <row r="1615">
      <c r="A1615" s="733"/>
      <c r="B1615" s="6"/>
      <c r="D1615" s="727"/>
      <c r="E1615" s="729"/>
      <c r="F1615" s="727"/>
      <c r="J1615" s="727"/>
      <c r="K1615" s="727"/>
      <c r="L1615" s="727"/>
      <c r="M1615" s="727"/>
      <c r="N1615" s="727"/>
      <c r="O1615" s="727"/>
    </row>
    <row r="1616">
      <c r="A1616" s="733"/>
      <c r="B1616" s="6"/>
      <c r="D1616" s="727"/>
      <c r="E1616" s="729"/>
      <c r="F1616" s="727"/>
      <c r="J1616" s="727"/>
      <c r="K1616" s="727"/>
      <c r="L1616" s="727"/>
      <c r="M1616" s="727"/>
      <c r="N1616" s="727"/>
      <c r="O1616" s="727"/>
    </row>
    <row r="1617">
      <c r="A1617" s="733"/>
      <c r="B1617" s="6"/>
      <c r="D1617" s="727"/>
      <c r="E1617" s="729"/>
      <c r="F1617" s="727"/>
      <c r="J1617" s="727"/>
      <c r="K1617" s="727"/>
      <c r="L1617" s="727"/>
      <c r="M1617" s="727"/>
      <c r="N1617" s="727"/>
      <c r="O1617" s="727"/>
    </row>
    <row r="1618">
      <c r="A1618" s="733"/>
      <c r="B1618" s="6"/>
      <c r="D1618" s="727"/>
      <c r="E1618" s="729"/>
      <c r="F1618" s="727"/>
      <c r="J1618" s="727"/>
      <c r="K1618" s="727"/>
      <c r="L1618" s="727"/>
      <c r="M1618" s="727"/>
      <c r="N1618" s="727"/>
      <c r="O1618" s="727"/>
    </row>
    <row r="1619">
      <c r="A1619" s="733"/>
      <c r="B1619" s="6"/>
      <c r="D1619" s="727"/>
      <c r="E1619" s="729"/>
      <c r="F1619" s="727"/>
      <c r="J1619" s="727"/>
      <c r="K1619" s="727"/>
      <c r="L1619" s="727"/>
      <c r="M1619" s="727"/>
      <c r="N1619" s="727"/>
      <c r="O1619" s="727"/>
    </row>
    <row r="1620">
      <c r="A1620" s="733"/>
      <c r="B1620" s="6"/>
      <c r="D1620" s="727"/>
      <c r="E1620" s="729"/>
      <c r="F1620" s="727"/>
      <c r="J1620" s="727"/>
      <c r="K1620" s="727"/>
      <c r="L1620" s="727"/>
      <c r="M1620" s="727"/>
      <c r="N1620" s="727"/>
      <c r="O1620" s="727"/>
    </row>
    <row r="1621">
      <c r="A1621" s="733"/>
      <c r="B1621" s="6"/>
      <c r="D1621" s="727"/>
      <c r="E1621" s="729"/>
      <c r="F1621" s="727"/>
      <c r="J1621" s="727"/>
      <c r="K1621" s="727"/>
      <c r="L1621" s="727"/>
      <c r="M1621" s="727"/>
      <c r="N1621" s="727"/>
      <c r="O1621" s="727"/>
    </row>
    <row r="1622">
      <c r="A1622" s="733"/>
      <c r="B1622" s="6"/>
      <c r="D1622" s="727"/>
      <c r="E1622" s="729"/>
      <c r="F1622" s="727"/>
      <c r="J1622" s="727"/>
      <c r="K1622" s="727"/>
      <c r="L1622" s="727"/>
      <c r="M1622" s="727"/>
      <c r="N1622" s="727"/>
      <c r="O1622" s="727"/>
    </row>
    <row r="1623">
      <c r="A1623" s="733"/>
      <c r="B1623" s="6"/>
      <c r="D1623" s="727"/>
      <c r="E1623" s="729"/>
      <c r="F1623" s="727"/>
      <c r="J1623" s="727"/>
      <c r="K1623" s="727"/>
      <c r="L1623" s="727"/>
      <c r="M1623" s="727"/>
      <c r="N1623" s="727"/>
      <c r="O1623" s="727"/>
    </row>
    <row r="1624">
      <c r="A1624" s="733"/>
      <c r="B1624" s="6"/>
      <c r="D1624" s="727"/>
      <c r="E1624" s="729"/>
      <c r="F1624" s="727"/>
      <c r="J1624" s="727"/>
      <c r="K1624" s="727"/>
      <c r="L1624" s="727"/>
      <c r="M1624" s="727"/>
      <c r="N1624" s="727"/>
      <c r="O1624" s="727"/>
    </row>
    <row r="1625">
      <c r="A1625" s="733"/>
      <c r="B1625" s="6"/>
      <c r="D1625" s="727"/>
      <c r="E1625" s="729"/>
      <c r="F1625" s="727"/>
      <c r="J1625" s="727"/>
      <c r="K1625" s="727"/>
      <c r="L1625" s="727"/>
      <c r="M1625" s="727"/>
      <c r="N1625" s="727"/>
      <c r="O1625" s="727"/>
    </row>
    <row r="1626">
      <c r="A1626" s="733"/>
      <c r="B1626" s="6"/>
      <c r="D1626" s="727"/>
      <c r="E1626" s="729"/>
      <c r="F1626" s="727"/>
      <c r="J1626" s="727"/>
      <c r="K1626" s="727"/>
      <c r="L1626" s="727"/>
      <c r="M1626" s="727"/>
      <c r="N1626" s="727"/>
      <c r="O1626" s="727"/>
    </row>
    <row r="1627">
      <c r="A1627" s="733"/>
      <c r="B1627" s="6"/>
      <c r="D1627" s="727"/>
      <c r="E1627" s="729"/>
      <c r="F1627" s="727"/>
      <c r="J1627" s="727"/>
      <c r="K1627" s="727"/>
      <c r="L1627" s="727"/>
      <c r="M1627" s="727"/>
      <c r="N1627" s="727"/>
      <c r="O1627" s="727"/>
    </row>
    <row r="1628">
      <c r="A1628" s="733"/>
      <c r="B1628" s="6"/>
      <c r="D1628" s="727"/>
      <c r="E1628" s="729"/>
      <c r="F1628" s="727"/>
      <c r="J1628" s="727"/>
      <c r="K1628" s="727"/>
      <c r="L1628" s="727"/>
      <c r="M1628" s="727"/>
      <c r="N1628" s="727"/>
      <c r="O1628" s="727"/>
    </row>
    <row r="1629">
      <c r="A1629" s="733"/>
      <c r="B1629" s="6"/>
      <c r="D1629" s="727"/>
      <c r="E1629" s="729"/>
      <c r="F1629" s="727"/>
      <c r="J1629" s="727"/>
      <c r="K1629" s="727"/>
      <c r="L1629" s="727"/>
      <c r="M1629" s="727"/>
      <c r="N1629" s="727"/>
      <c r="O1629" s="727"/>
    </row>
    <row r="1630">
      <c r="A1630" s="733"/>
      <c r="B1630" s="6"/>
      <c r="D1630" s="727"/>
      <c r="E1630" s="729"/>
      <c r="F1630" s="727"/>
      <c r="J1630" s="727"/>
      <c r="K1630" s="727"/>
      <c r="L1630" s="727"/>
      <c r="M1630" s="727"/>
      <c r="N1630" s="727"/>
      <c r="O1630" s="727"/>
    </row>
    <row r="1631">
      <c r="A1631" s="733"/>
      <c r="B1631" s="6"/>
      <c r="D1631" s="727"/>
      <c r="E1631" s="729"/>
      <c r="F1631" s="727"/>
      <c r="J1631" s="727"/>
      <c r="K1631" s="727"/>
      <c r="L1631" s="727"/>
      <c r="M1631" s="727"/>
      <c r="N1631" s="727"/>
      <c r="O1631" s="727"/>
    </row>
    <row r="1632">
      <c r="A1632" s="733"/>
      <c r="B1632" s="6"/>
      <c r="D1632" s="727"/>
      <c r="E1632" s="729"/>
      <c r="F1632" s="727"/>
      <c r="J1632" s="727"/>
      <c r="K1632" s="727"/>
      <c r="L1632" s="727"/>
      <c r="M1632" s="727"/>
      <c r="N1632" s="727"/>
      <c r="O1632" s="727"/>
    </row>
    <row r="1633">
      <c r="A1633" s="733"/>
      <c r="B1633" s="6"/>
      <c r="D1633" s="727"/>
      <c r="E1633" s="729"/>
      <c r="F1633" s="727"/>
      <c r="J1633" s="727"/>
      <c r="K1633" s="727"/>
      <c r="L1633" s="727"/>
      <c r="M1633" s="727"/>
      <c r="N1633" s="727"/>
      <c r="O1633" s="727"/>
    </row>
    <row r="1634">
      <c r="A1634" s="733"/>
      <c r="B1634" s="6"/>
      <c r="D1634" s="727"/>
      <c r="E1634" s="729"/>
      <c r="F1634" s="727"/>
      <c r="J1634" s="727"/>
      <c r="K1634" s="727"/>
      <c r="L1634" s="727"/>
      <c r="M1634" s="727"/>
      <c r="N1634" s="727"/>
      <c r="O1634" s="727"/>
    </row>
    <row r="1635">
      <c r="A1635" s="733"/>
      <c r="B1635" s="6"/>
      <c r="D1635" s="727"/>
      <c r="E1635" s="729"/>
      <c r="F1635" s="727"/>
      <c r="J1635" s="727"/>
      <c r="K1635" s="727"/>
      <c r="L1635" s="727"/>
      <c r="M1635" s="727"/>
      <c r="N1635" s="727"/>
      <c r="O1635" s="727"/>
    </row>
    <row r="1636">
      <c r="A1636" s="733"/>
      <c r="B1636" s="6"/>
      <c r="D1636" s="727"/>
      <c r="E1636" s="729"/>
      <c r="F1636" s="727"/>
      <c r="J1636" s="727"/>
      <c r="K1636" s="727"/>
      <c r="L1636" s="727"/>
      <c r="M1636" s="727"/>
      <c r="N1636" s="727"/>
      <c r="O1636" s="727"/>
    </row>
    <row r="1637">
      <c r="A1637" s="733"/>
      <c r="B1637" s="6"/>
      <c r="D1637" s="727"/>
      <c r="E1637" s="729"/>
      <c r="F1637" s="727"/>
      <c r="J1637" s="727"/>
      <c r="K1637" s="727"/>
      <c r="L1637" s="727"/>
      <c r="M1637" s="727"/>
      <c r="N1637" s="727"/>
      <c r="O1637" s="727"/>
    </row>
    <row r="1638">
      <c r="A1638" s="733"/>
      <c r="B1638" s="6"/>
      <c r="D1638" s="727"/>
      <c r="E1638" s="729"/>
      <c r="F1638" s="727"/>
      <c r="J1638" s="727"/>
      <c r="K1638" s="727"/>
      <c r="L1638" s="727"/>
      <c r="M1638" s="727"/>
      <c r="N1638" s="727"/>
      <c r="O1638" s="727"/>
    </row>
    <row r="1639">
      <c r="A1639" s="733"/>
      <c r="B1639" s="6"/>
      <c r="D1639" s="727"/>
      <c r="E1639" s="729"/>
      <c r="F1639" s="727"/>
      <c r="J1639" s="727"/>
      <c r="K1639" s="727"/>
      <c r="L1639" s="727"/>
      <c r="M1639" s="727"/>
      <c r="N1639" s="727"/>
      <c r="O1639" s="727"/>
    </row>
    <row r="1640">
      <c r="A1640" s="733"/>
      <c r="B1640" s="6"/>
      <c r="D1640" s="727"/>
      <c r="E1640" s="729"/>
      <c r="F1640" s="727"/>
      <c r="J1640" s="727"/>
      <c r="K1640" s="727"/>
      <c r="L1640" s="727"/>
      <c r="M1640" s="727"/>
      <c r="N1640" s="727"/>
      <c r="O1640" s="727"/>
    </row>
    <row r="1641">
      <c r="A1641" s="733"/>
      <c r="B1641" s="6"/>
      <c r="D1641" s="727"/>
      <c r="E1641" s="729"/>
      <c r="F1641" s="727"/>
      <c r="J1641" s="727"/>
      <c r="K1641" s="727"/>
      <c r="L1641" s="727"/>
      <c r="M1641" s="727"/>
      <c r="N1641" s="727"/>
      <c r="O1641" s="727"/>
    </row>
    <row r="1642">
      <c r="A1642" s="733"/>
      <c r="B1642" s="6"/>
      <c r="D1642" s="727"/>
      <c r="E1642" s="729"/>
      <c r="F1642" s="727"/>
      <c r="J1642" s="727"/>
      <c r="K1642" s="727"/>
      <c r="L1642" s="727"/>
      <c r="M1642" s="727"/>
      <c r="N1642" s="727"/>
      <c r="O1642" s="727"/>
    </row>
    <row r="1643">
      <c r="A1643" s="733"/>
      <c r="B1643" s="6"/>
      <c r="D1643" s="727"/>
      <c r="E1643" s="729"/>
      <c r="F1643" s="727"/>
      <c r="J1643" s="727"/>
      <c r="K1643" s="727"/>
      <c r="L1643" s="727"/>
      <c r="M1643" s="727"/>
      <c r="N1643" s="727"/>
      <c r="O1643" s="727"/>
    </row>
    <row r="1644">
      <c r="A1644" s="733"/>
      <c r="B1644" s="6"/>
      <c r="D1644" s="727"/>
      <c r="E1644" s="729"/>
      <c r="F1644" s="727"/>
      <c r="J1644" s="727"/>
      <c r="K1644" s="727"/>
      <c r="L1644" s="727"/>
      <c r="M1644" s="727"/>
      <c r="N1644" s="727"/>
      <c r="O1644" s="727"/>
    </row>
    <row r="1645">
      <c r="A1645" s="733"/>
      <c r="B1645" s="6"/>
      <c r="D1645" s="727"/>
      <c r="E1645" s="729"/>
      <c r="F1645" s="727"/>
      <c r="J1645" s="727"/>
      <c r="K1645" s="727"/>
      <c r="L1645" s="727"/>
      <c r="M1645" s="727"/>
      <c r="N1645" s="727"/>
      <c r="O1645" s="727"/>
    </row>
    <row r="1646">
      <c r="A1646" s="733"/>
      <c r="B1646" s="6"/>
      <c r="D1646" s="727"/>
      <c r="E1646" s="729"/>
      <c r="F1646" s="727"/>
      <c r="J1646" s="727"/>
      <c r="K1646" s="727"/>
      <c r="L1646" s="727"/>
      <c r="M1646" s="727"/>
      <c r="N1646" s="727"/>
      <c r="O1646" s="727"/>
    </row>
    <row r="1647">
      <c r="A1647" s="733"/>
      <c r="B1647" s="6"/>
      <c r="D1647" s="727"/>
      <c r="E1647" s="729"/>
      <c r="F1647" s="727"/>
      <c r="J1647" s="727"/>
      <c r="K1647" s="727"/>
      <c r="L1647" s="727"/>
      <c r="M1647" s="727"/>
      <c r="N1647" s="727"/>
      <c r="O1647" s="727"/>
    </row>
    <row r="1648">
      <c r="A1648" s="733"/>
      <c r="B1648" s="6"/>
      <c r="D1648" s="727"/>
      <c r="E1648" s="729"/>
      <c r="F1648" s="727"/>
      <c r="J1648" s="727"/>
      <c r="K1648" s="727"/>
      <c r="L1648" s="727"/>
      <c r="M1648" s="727"/>
      <c r="N1648" s="727"/>
      <c r="O1648" s="727"/>
    </row>
    <row r="1649">
      <c r="A1649" s="733"/>
      <c r="B1649" s="6"/>
      <c r="D1649" s="727"/>
      <c r="E1649" s="729"/>
      <c r="F1649" s="727"/>
      <c r="J1649" s="727"/>
      <c r="K1649" s="727"/>
      <c r="L1649" s="727"/>
      <c r="M1649" s="727"/>
      <c r="N1649" s="727"/>
      <c r="O1649" s="727"/>
    </row>
    <row r="1650">
      <c r="A1650" s="733"/>
      <c r="B1650" s="6"/>
      <c r="D1650" s="727"/>
      <c r="E1650" s="729"/>
      <c r="F1650" s="727"/>
      <c r="J1650" s="727"/>
      <c r="K1650" s="727"/>
      <c r="L1650" s="727"/>
      <c r="M1650" s="727"/>
      <c r="N1650" s="727"/>
      <c r="O1650" s="727"/>
    </row>
    <row r="1651">
      <c r="A1651" s="733"/>
      <c r="B1651" s="6"/>
      <c r="D1651" s="727"/>
      <c r="E1651" s="729"/>
      <c r="F1651" s="727"/>
      <c r="J1651" s="727"/>
      <c r="K1651" s="727"/>
      <c r="L1651" s="727"/>
      <c r="M1651" s="727"/>
      <c r="N1651" s="727"/>
      <c r="O1651" s="727"/>
    </row>
    <row r="1652">
      <c r="A1652" s="733"/>
      <c r="B1652" s="6"/>
      <c r="D1652" s="727"/>
      <c r="E1652" s="729"/>
      <c r="F1652" s="727"/>
      <c r="J1652" s="727"/>
      <c r="K1652" s="727"/>
      <c r="L1652" s="727"/>
      <c r="M1652" s="727"/>
      <c r="N1652" s="727"/>
      <c r="O1652" s="727"/>
    </row>
    <row r="1653">
      <c r="A1653" s="733"/>
      <c r="B1653" s="6"/>
      <c r="D1653" s="727"/>
      <c r="E1653" s="729"/>
      <c r="F1653" s="727"/>
      <c r="J1653" s="727"/>
      <c r="K1653" s="727"/>
      <c r="L1653" s="727"/>
      <c r="M1653" s="727"/>
      <c r="N1653" s="727"/>
      <c r="O1653" s="727"/>
    </row>
    <row r="1654">
      <c r="A1654" s="733"/>
      <c r="B1654" s="6"/>
      <c r="D1654" s="727"/>
      <c r="E1654" s="729"/>
      <c r="F1654" s="727"/>
      <c r="J1654" s="727"/>
      <c r="K1654" s="727"/>
      <c r="L1654" s="727"/>
      <c r="M1654" s="727"/>
      <c r="N1654" s="727"/>
      <c r="O1654" s="727"/>
    </row>
    <row r="1655">
      <c r="A1655" s="733"/>
      <c r="B1655" s="6"/>
      <c r="D1655" s="727"/>
      <c r="E1655" s="729"/>
      <c r="F1655" s="727"/>
      <c r="J1655" s="727"/>
      <c r="K1655" s="727"/>
      <c r="L1655" s="727"/>
      <c r="M1655" s="727"/>
      <c r="N1655" s="727"/>
      <c r="O1655" s="727"/>
    </row>
    <row r="1656">
      <c r="A1656" s="733"/>
      <c r="B1656" s="6"/>
      <c r="D1656" s="727"/>
      <c r="E1656" s="729"/>
      <c r="F1656" s="727"/>
      <c r="J1656" s="727"/>
      <c r="K1656" s="727"/>
      <c r="L1656" s="727"/>
      <c r="M1656" s="727"/>
      <c r="N1656" s="727"/>
      <c r="O1656" s="727"/>
    </row>
    <row r="1657">
      <c r="A1657" s="733"/>
      <c r="B1657" s="6"/>
      <c r="D1657" s="727"/>
      <c r="E1657" s="729"/>
      <c r="F1657" s="727"/>
      <c r="J1657" s="727"/>
      <c r="K1657" s="727"/>
      <c r="L1657" s="727"/>
      <c r="M1657" s="727"/>
      <c r="N1657" s="727"/>
      <c r="O1657" s="727"/>
    </row>
    <row r="1658">
      <c r="A1658" s="733"/>
      <c r="B1658" s="6"/>
      <c r="D1658" s="727"/>
      <c r="E1658" s="729"/>
      <c r="F1658" s="727"/>
      <c r="J1658" s="727"/>
      <c r="K1658" s="727"/>
      <c r="L1658" s="727"/>
      <c r="M1658" s="727"/>
      <c r="N1658" s="727"/>
      <c r="O1658" s="727"/>
    </row>
    <row r="1659">
      <c r="A1659" s="733"/>
      <c r="B1659" s="6"/>
      <c r="D1659" s="727"/>
      <c r="E1659" s="729"/>
      <c r="F1659" s="727"/>
      <c r="J1659" s="727"/>
      <c r="K1659" s="727"/>
      <c r="L1659" s="727"/>
      <c r="M1659" s="727"/>
      <c r="N1659" s="727"/>
      <c r="O1659" s="727"/>
    </row>
    <row r="1660">
      <c r="A1660" s="733"/>
      <c r="B1660" s="6"/>
      <c r="D1660" s="727"/>
      <c r="E1660" s="729"/>
      <c r="F1660" s="727"/>
      <c r="J1660" s="727"/>
      <c r="K1660" s="727"/>
      <c r="L1660" s="727"/>
      <c r="M1660" s="727"/>
      <c r="N1660" s="727"/>
      <c r="O1660" s="727"/>
    </row>
    <row r="1661">
      <c r="A1661" s="733"/>
      <c r="B1661" s="6"/>
      <c r="D1661" s="727"/>
      <c r="E1661" s="729"/>
      <c r="F1661" s="727"/>
      <c r="J1661" s="727"/>
      <c r="K1661" s="727"/>
      <c r="L1661" s="727"/>
      <c r="M1661" s="727"/>
      <c r="N1661" s="727"/>
      <c r="O1661" s="727"/>
    </row>
    <row r="1662">
      <c r="A1662" s="733"/>
      <c r="B1662" s="6"/>
      <c r="D1662" s="727"/>
      <c r="E1662" s="729"/>
      <c r="F1662" s="727"/>
      <c r="J1662" s="727"/>
      <c r="K1662" s="727"/>
      <c r="L1662" s="727"/>
      <c r="M1662" s="727"/>
      <c r="N1662" s="727"/>
      <c r="O1662" s="727"/>
    </row>
    <row r="1663">
      <c r="A1663" s="733"/>
      <c r="B1663" s="6"/>
      <c r="D1663" s="727"/>
      <c r="E1663" s="729"/>
      <c r="F1663" s="727"/>
      <c r="J1663" s="727"/>
      <c r="K1663" s="727"/>
      <c r="L1663" s="727"/>
      <c r="M1663" s="727"/>
      <c r="N1663" s="727"/>
      <c r="O1663" s="727"/>
    </row>
    <row r="1664">
      <c r="A1664" s="733"/>
      <c r="B1664" s="6"/>
      <c r="D1664" s="727"/>
      <c r="E1664" s="729"/>
      <c r="F1664" s="727"/>
      <c r="J1664" s="727"/>
      <c r="K1664" s="727"/>
      <c r="L1664" s="727"/>
      <c r="M1664" s="727"/>
      <c r="N1664" s="727"/>
      <c r="O1664" s="727"/>
    </row>
    <row r="1665">
      <c r="A1665" s="733"/>
      <c r="B1665" s="6"/>
      <c r="D1665" s="727"/>
      <c r="E1665" s="729"/>
      <c r="F1665" s="727"/>
      <c r="J1665" s="727"/>
      <c r="K1665" s="727"/>
      <c r="L1665" s="727"/>
      <c r="M1665" s="727"/>
      <c r="N1665" s="727"/>
      <c r="O1665" s="727"/>
    </row>
    <row r="1666">
      <c r="A1666" s="733"/>
      <c r="B1666" s="6"/>
      <c r="D1666" s="727"/>
      <c r="E1666" s="729"/>
      <c r="F1666" s="727"/>
      <c r="J1666" s="727"/>
      <c r="K1666" s="727"/>
      <c r="L1666" s="727"/>
      <c r="M1666" s="727"/>
      <c r="N1666" s="727"/>
      <c r="O1666" s="727"/>
    </row>
    <row r="1667">
      <c r="A1667" s="733"/>
      <c r="B1667" s="6"/>
      <c r="D1667" s="727"/>
      <c r="E1667" s="729"/>
      <c r="F1667" s="727"/>
      <c r="J1667" s="727"/>
      <c r="K1667" s="727"/>
      <c r="L1667" s="727"/>
      <c r="M1667" s="727"/>
      <c r="N1667" s="727"/>
      <c r="O1667" s="727"/>
    </row>
    <row r="1668">
      <c r="A1668" s="733"/>
      <c r="B1668" s="6"/>
      <c r="D1668" s="727"/>
      <c r="E1668" s="729"/>
      <c r="F1668" s="727"/>
      <c r="J1668" s="727"/>
      <c r="K1668" s="727"/>
      <c r="L1668" s="727"/>
      <c r="M1668" s="727"/>
      <c r="N1668" s="727"/>
      <c r="O1668" s="727"/>
    </row>
    <row r="1669">
      <c r="A1669" s="733"/>
      <c r="B1669" s="6"/>
      <c r="D1669" s="727"/>
      <c r="E1669" s="729"/>
      <c r="F1669" s="727"/>
      <c r="J1669" s="727"/>
      <c r="K1669" s="727"/>
      <c r="L1669" s="727"/>
      <c r="M1669" s="727"/>
      <c r="N1669" s="727"/>
      <c r="O1669" s="727"/>
    </row>
    <row r="1670">
      <c r="A1670" s="733"/>
      <c r="B1670" s="6"/>
      <c r="D1670" s="727"/>
      <c r="E1670" s="729"/>
      <c r="F1670" s="727"/>
      <c r="J1670" s="727"/>
      <c r="K1670" s="727"/>
      <c r="L1670" s="727"/>
      <c r="M1670" s="727"/>
      <c r="N1670" s="727"/>
      <c r="O1670" s="727"/>
    </row>
    <row r="1671">
      <c r="A1671" s="733"/>
      <c r="B1671" s="6"/>
      <c r="D1671" s="727"/>
      <c r="E1671" s="729"/>
      <c r="F1671" s="727"/>
      <c r="J1671" s="727"/>
      <c r="K1671" s="727"/>
      <c r="L1671" s="727"/>
      <c r="M1671" s="727"/>
      <c r="N1671" s="727"/>
      <c r="O1671" s="727"/>
    </row>
    <row r="1672">
      <c r="A1672" s="733"/>
      <c r="B1672" s="6"/>
      <c r="D1672" s="727"/>
      <c r="E1672" s="729"/>
      <c r="F1672" s="727"/>
      <c r="J1672" s="727"/>
      <c r="K1672" s="727"/>
      <c r="L1672" s="727"/>
      <c r="M1672" s="727"/>
      <c r="N1672" s="727"/>
      <c r="O1672" s="727"/>
    </row>
    <row r="1673">
      <c r="A1673" s="733"/>
      <c r="B1673" s="6"/>
      <c r="D1673" s="727"/>
      <c r="E1673" s="729"/>
      <c r="F1673" s="727"/>
      <c r="J1673" s="727"/>
      <c r="K1673" s="727"/>
      <c r="L1673" s="727"/>
      <c r="M1673" s="727"/>
      <c r="N1673" s="727"/>
      <c r="O1673" s="727"/>
    </row>
    <row r="1674">
      <c r="A1674" s="733"/>
      <c r="B1674" s="6"/>
      <c r="D1674" s="727"/>
      <c r="E1674" s="729"/>
      <c r="F1674" s="727"/>
      <c r="J1674" s="727"/>
      <c r="K1674" s="727"/>
      <c r="L1674" s="727"/>
      <c r="M1674" s="727"/>
      <c r="N1674" s="727"/>
      <c r="O1674" s="727"/>
    </row>
    <row r="1675">
      <c r="A1675" s="733"/>
      <c r="B1675" s="6"/>
      <c r="D1675" s="727"/>
      <c r="E1675" s="729"/>
      <c r="F1675" s="727"/>
      <c r="J1675" s="727"/>
      <c r="K1675" s="727"/>
      <c r="L1675" s="727"/>
      <c r="M1675" s="727"/>
      <c r="N1675" s="727"/>
      <c r="O1675" s="727"/>
    </row>
    <row r="1676">
      <c r="A1676" s="733"/>
      <c r="B1676" s="6"/>
      <c r="D1676" s="727"/>
      <c r="E1676" s="729"/>
      <c r="F1676" s="727"/>
      <c r="J1676" s="727"/>
      <c r="K1676" s="727"/>
      <c r="L1676" s="727"/>
      <c r="M1676" s="727"/>
      <c r="N1676" s="727"/>
      <c r="O1676" s="727"/>
    </row>
    <row r="1677">
      <c r="A1677" s="733"/>
      <c r="B1677" s="6"/>
      <c r="D1677" s="727"/>
      <c r="E1677" s="729"/>
      <c r="F1677" s="727"/>
      <c r="J1677" s="727"/>
      <c r="K1677" s="727"/>
      <c r="L1677" s="727"/>
      <c r="M1677" s="727"/>
      <c r="N1677" s="727"/>
      <c r="O1677" s="727"/>
    </row>
    <row r="1678">
      <c r="A1678" s="733"/>
      <c r="B1678" s="6"/>
      <c r="D1678" s="727"/>
      <c r="E1678" s="729"/>
      <c r="F1678" s="727"/>
      <c r="J1678" s="727"/>
      <c r="K1678" s="727"/>
      <c r="L1678" s="727"/>
      <c r="M1678" s="727"/>
      <c r="N1678" s="727"/>
      <c r="O1678" s="727"/>
    </row>
    <row r="1679">
      <c r="A1679" s="733"/>
      <c r="B1679" s="6"/>
      <c r="D1679" s="727"/>
      <c r="E1679" s="729"/>
      <c r="F1679" s="727"/>
      <c r="J1679" s="727"/>
      <c r="K1679" s="727"/>
      <c r="L1679" s="727"/>
      <c r="M1679" s="727"/>
      <c r="N1679" s="727"/>
      <c r="O1679" s="727"/>
    </row>
    <row r="1680">
      <c r="A1680" s="733"/>
      <c r="B1680" s="6"/>
      <c r="D1680" s="727"/>
      <c r="E1680" s="729"/>
      <c r="F1680" s="727"/>
      <c r="J1680" s="727"/>
      <c r="K1680" s="727"/>
      <c r="L1680" s="727"/>
      <c r="M1680" s="727"/>
      <c r="N1680" s="727"/>
      <c r="O1680" s="727"/>
    </row>
    <row r="1681">
      <c r="A1681" s="733"/>
      <c r="B1681" s="6"/>
      <c r="D1681" s="727"/>
      <c r="E1681" s="729"/>
      <c r="F1681" s="727"/>
      <c r="J1681" s="727"/>
      <c r="K1681" s="727"/>
      <c r="L1681" s="727"/>
      <c r="M1681" s="727"/>
      <c r="N1681" s="727"/>
      <c r="O1681" s="727"/>
    </row>
    <row r="1682">
      <c r="A1682" s="733"/>
      <c r="B1682" s="6"/>
      <c r="D1682" s="727"/>
      <c r="E1682" s="729"/>
      <c r="F1682" s="727"/>
      <c r="J1682" s="727"/>
      <c r="K1682" s="727"/>
      <c r="L1682" s="727"/>
      <c r="M1682" s="727"/>
      <c r="N1682" s="727"/>
      <c r="O1682" s="727"/>
    </row>
    <row r="1683">
      <c r="A1683" s="733"/>
      <c r="B1683" s="6"/>
      <c r="D1683" s="727"/>
      <c r="E1683" s="729"/>
      <c r="F1683" s="727"/>
      <c r="J1683" s="727"/>
      <c r="K1683" s="727"/>
      <c r="L1683" s="727"/>
      <c r="M1683" s="727"/>
      <c r="N1683" s="727"/>
      <c r="O1683" s="727"/>
    </row>
    <row r="1684">
      <c r="A1684" s="733"/>
      <c r="B1684" s="6"/>
      <c r="D1684" s="727"/>
      <c r="E1684" s="729"/>
      <c r="F1684" s="727"/>
      <c r="J1684" s="727"/>
      <c r="K1684" s="727"/>
      <c r="L1684" s="727"/>
      <c r="M1684" s="727"/>
      <c r="N1684" s="727"/>
      <c r="O1684" s="727"/>
    </row>
    <row r="1685">
      <c r="A1685" s="733"/>
      <c r="B1685" s="6"/>
      <c r="D1685" s="727"/>
      <c r="E1685" s="729"/>
      <c r="F1685" s="727"/>
      <c r="J1685" s="727"/>
      <c r="K1685" s="727"/>
      <c r="L1685" s="727"/>
      <c r="M1685" s="727"/>
      <c r="N1685" s="727"/>
      <c r="O1685" s="727"/>
    </row>
    <row r="1686">
      <c r="A1686" s="733"/>
      <c r="B1686" s="6"/>
      <c r="D1686" s="727"/>
      <c r="E1686" s="729"/>
      <c r="F1686" s="727"/>
      <c r="J1686" s="727"/>
      <c r="K1686" s="727"/>
      <c r="L1686" s="727"/>
      <c r="M1686" s="727"/>
      <c r="N1686" s="727"/>
      <c r="O1686" s="727"/>
    </row>
    <row r="1687">
      <c r="A1687" s="733"/>
      <c r="B1687" s="6"/>
      <c r="D1687" s="727"/>
      <c r="E1687" s="729"/>
      <c r="F1687" s="727"/>
      <c r="J1687" s="727"/>
      <c r="K1687" s="727"/>
      <c r="L1687" s="727"/>
      <c r="M1687" s="727"/>
      <c r="N1687" s="727"/>
      <c r="O1687" s="727"/>
    </row>
    <row r="1688">
      <c r="A1688" s="733"/>
      <c r="B1688" s="6"/>
      <c r="D1688" s="727"/>
      <c r="E1688" s="729"/>
      <c r="F1688" s="727"/>
      <c r="J1688" s="727"/>
      <c r="K1688" s="727"/>
      <c r="L1688" s="727"/>
      <c r="M1688" s="727"/>
      <c r="N1688" s="727"/>
      <c r="O1688" s="727"/>
    </row>
    <row r="1689">
      <c r="A1689" s="733"/>
      <c r="B1689" s="6"/>
      <c r="D1689" s="727"/>
      <c r="E1689" s="729"/>
      <c r="F1689" s="727"/>
      <c r="J1689" s="727"/>
      <c r="K1689" s="727"/>
      <c r="L1689" s="727"/>
      <c r="M1689" s="727"/>
      <c r="N1689" s="727"/>
      <c r="O1689" s="727"/>
    </row>
    <row r="1690">
      <c r="A1690" s="733"/>
      <c r="B1690" s="6"/>
      <c r="D1690" s="727"/>
      <c r="E1690" s="729"/>
      <c r="F1690" s="727"/>
      <c r="J1690" s="727"/>
      <c r="K1690" s="727"/>
      <c r="L1690" s="727"/>
      <c r="M1690" s="727"/>
      <c r="N1690" s="727"/>
      <c r="O1690" s="727"/>
    </row>
    <row r="1691">
      <c r="A1691" s="733"/>
      <c r="B1691" s="6"/>
      <c r="D1691" s="727"/>
      <c r="E1691" s="729"/>
      <c r="F1691" s="727"/>
      <c r="J1691" s="727"/>
      <c r="K1691" s="727"/>
      <c r="L1691" s="727"/>
      <c r="M1691" s="727"/>
      <c r="N1691" s="727"/>
      <c r="O1691" s="727"/>
    </row>
    <row r="1692">
      <c r="A1692" s="733"/>
      <c r="B1692" s="6"/>
      <c r="D1692" s="727"/>
      <c r="E1692" s="729"/>
      <c r="F1692" s="727"/>
      <c r="J1692" s="727"/>
      <c r="K1692" s="727"/>
      <c r="L1692" s="727"/>
      <c r="M1692" s="727"/>
      <c r="N1692" s="727"/>
      <c r="O1692" s="727"/>
    </row>
    <row r="1693">
      <c r="A1693" s="733"/>
      <c r="B1693" s="6"/>
      <c r="D1693" s="727"/>
      <c r="E1693" s="729"/>
      <c r="F1693" s="727"/>
      <c r="J1693" s="727"/>
      <c r="K1693" s="727"/>
      <c r="L1693" s="727"/>
      <c r="M1693" s="727"/>
      <c r="N1693" s="727"/>
      <c r="O1693" s="727"/>
    </row>
    <row r="1694">
      <c r="A1694" s="733"/>
      <c r="B1694" s="6"/>
      <c r="D1694" s="727"/>
      <c r="E1694" s="729"/>
      <c r="F1694" s="727"/>
      <c r="J1694" s="727"/>
      <c r="K1694" s="727"/>
      <c r="L1694" s="727"/>
      <c r="M1694" s="727"/>
      <c r="N1694" s="727"/>
      <c r="O1694" s="727"/>
    </row>
    <row r="1695">
      <c r="A1695" s="733"/>
      <c r="B1695" s="6"/>
      <c r="D1695" s="727"/>
      <c r="E1695" s="729"/>
      <c r="F1695" s="727"/>
      <c r="J1695" s="727"/>
      <c r="K1695" s="727"/>
      <c r="L1695" s="727"/>
      <c r="M1695" s="727"/>
      <c r="N1695" s="727"/>
      <c r="O1695" s="727"/>
    </row>
    <row r="1696">
      <c r="A1696" s="733"/>
      <c r="B1696" s="6"/>
      <c r="D1696" s="727"/>
      <c r="E1696" s="729"/>
      <c r="F1696" s="727"/>
      <c r="J1696" s="727"/>
      <c r="K1696" s="727"/>
      <c r="L1696" s="727"/>
      <c r="M1696" s="727"/>
      <c r="N1696" s="727"/>
      <c r="O1696" s="727"/>
    </row>
    <row r="1697">
      <c r="A1697" s="733"/>
      <c r="B1697" s="6"/>
      <c r="D1697" s="727"/>
      <c r="E1697" s="729"/>
      <c r="F1697" s="727"/>
      <c r="J1697" s="727"/>
      <c r="K1697" s="727"/>
      <c r="L1697" s="727"/>
      <c r="M1697" s="727"/>
      <c r="N1697" s="727"/>
      <c r="O1697" s="727"/>
    </row>
    <row r="1698">
      <c r="A1698" s="733"/>
      <c r="B1698" s="6"/>
      <c r="D1698" s="727"/>
      <c r="E1698" s="729"/>
      <c r="F1698" s="727"/>
      <c r="J1698" s="727"/>
      <c r="K1698" s="727"/>
      <c r="L1698" s="727"/>
      <c r="M1698" s="727"/>
      <c r="N1698" s="727"/>
      <c r="O1698" s="727"/>
    </row>
    <row r="1699">
      <c r="A1699" s="733"/>
      <c r="B1699" s="6"/>
      <c r="D1699" s="727"/>
      <c r="E1699" s="729"/>
      <c r="F1699" s="727"/>
      <c r="J1699" s="727"/>
      <c r="K1699" s="727"/>
      <c r="L1699" s="727"/>
      <c r="M1699" s="727"/>
      <c r="N1699" s="727"/>
      <c r="O1699" s="727"/>
    </row>
    <row r="1700">
      <c r="A1700" s="733"/>
      <c r="B1700" s="6"/>
      <c r="D1700" s="727"/>
      <c r="E1700" s="729"/>
      <c r="F1700" s="727"/>
      <c r="J1700" s="727"/>
      <c r="K1700" s="727"/>
      <c r="L1700" s="727"/>
      <c r="M1700" s="727"/>
      <c r="N1700" s="727"/>
      <c r="O1700" s="727"/>
    </row>
    <row r="1701">
      <c r="A1701" s="733"/>
      <c r="B1701" s="6"/>
      <c r="D1701" s="727"/>
      <c r="E1701" s="729"/>
      <c r="F1701" s="727"/>
      <c r="J1701" s="727"/>
      <c r="K1701" s="727"/>
      <c r="L1701" s="727"/>
      <c r="M1701" s="727"/>
      <c r="N1701" s="727"/>
      <c r="O1701" s="727"/>
    </row>
    <row r="1702">
      <c r="A1702" s="733"/>
      <c r="B1702" s="6"/>
      <c r="D1702" s="727"/>
      <c r="E1702" s="729"/>
      <c r="F1702" s="727"/>
      <c r="J1702" s="727"/>
      <c r="K1702" s="727"/>
      <c r="L1702" s="727"/>
      <c r="M1702" s="727"/>
      <c r="N1702" s="727"/>
      <c r="O1702" s="727"/>
    </row>
    <row r="1703">
      <c r="A1703" s="733"/>
      <c r="B1703" s="6"/>
      <c r="D1703" s="727"/>
      <c r="E1703" s="729"/>
      <c r="F1703" s="727"/>
      <c r="J1703" s="727"/>
      <c r="K1703" s="727"/>
      <c r="L1703" s="727"/>
      <c r="M1703" s="727"/>
      <c r="N1703" s="727"/>
      <c r="O1703" s="727"/>
    </row>
    <row r="1704">
      <c r="A1704" s="733"/>
      <c r="B1704" s="6"/>
      <c r="D1704" s="727"/>
      <c r="E1704" s="729"/>
      <c r="F1704" s="727"/>
      <c r="J1704" s="727"/>
      <c r="K1704" s="727"/>
      <c r="L1704" s="727"/>
      <c r="M1704" s="727"/>
      <c r="N1704" s="727"/>
      <c r="O1704" s="727"/>
    </row>
    <row r="1705">
      <c r="A1705" s="733"/>
      <c r="B1705" s="6"/>
      <c r="D1705" s="727"/>
      <c r="E1705" s="729"/>
      <c r="F1705" s="727"/>
      <c r="J1705" s="727"/>
      <c r="K1705" s="727"/>
      <c r="L1705" s="727"/>
      <c r="M1705" s="727"/>
      <c r="N1705" s="727"/>
      <c r="O1705" s="727"/>
    </row>
    <row r="1706">
      <c r="A1706" s="733"/>
      <c r="B1706" s="6"/>
      <c r="D1706" s="727"/>
      <c r="E1706" s="729"/>
      <c r="F1706" s="727"/>
      <c r="J1706" s="727"/>
      <c r="K1706" s="727"/>
      <c r="L1706" s="727"/>
      <c r="M1706" s="727"/>
      <c r="N1706" s="727"/>
      <c r="O1706" s="727"/>
    </row>
    <row r="1707">
      <c r="A1707" s="733"/>
      <c r="B1707" s="6"/>
      <c r="D1707" s="727"/>
      <c r="E1707" s="729"/>
      <c r="F1707" s="727"/>
      <c r="J1707" s="727"/>
      <c r="K1707" s="727"/>
      <c r="L1707" s="727"/>
      <c r="M1707" s="727"/>
      <c r="N1707" s="727"/>
      <c r="O1707" s="727"/>
    </row>
    <row r="1708">
      <c r="A1708" s="733"/>
      <c r="B1708" s="6"/>
      <c r="D1708" s="727"/>
      <c r="E1708" s="729"/>
      <c r="F1708" s="727"/>
      <c r="J1708" s="727"/>
      <c r="K1708" s="727"/>
      <c r="L1708" s="727"/>
      <c r="M1708" s="727"/>
      <c r="N1708" s="727"/>
      <c r="O1708" s="727"/>
    </row>
    <row r="1709">
      <c r="A1709" s="733"/>
      <c r="B1709" s="6"/>
      <c r="D1709" s="727"/>
      <c r="E1709" s="729"/>
      <c r="F1709" s="727"/>
      <c r="J1709" s="727"/>
      <c r="K1709" s="727"/>
      <c r="L1709" s="727"/>
      <c r="M1709" s="727"/>
      <c r="N1709" s="727"/>
      <c r="O1709" s="727"/>
    </row>
    <row r="1710">
      <c r="A1710" s="733"/>
      <c r="B1710" s="6"/>
      <c r="D1710" s="727"/>
      <c r="E1710" s="729"/>
      <c r="F1710" s="727"/>
      <c r="J1710" s="727"/>
      <c r="K1710" s="727"/>
      <c r="L1710" s="727"/>
      <c r="M1710" s="727"/>
      <c r="N1710" s="727"/>
      <c r="O1710" s="727"/>
    </row>
    <row r="1711">
      <c r="A1711" s="733"/>
      <c r="B1711" s="6"/>
      <c r="D1711" s="727"/>
      <c r="E1711" s="729"/>
      <c r="F1711" s="727"/>
      <c r="J1711" s="727"/>
      <c r="K1711" s="727"/>
      <c r="L1711" s="727"/>
      <c r="M1711" s="727"/>
      <c r="N1711" s="727"/>
      <c r="O1711" s="727"/>
    </row>
    <row r="1712">
      <c r="A1712" s="733"/>
      <c r="B1712" s="6"/>
      <c r="D1712" s="727"/>
      <c r="E1712" s="729"/>
      <c r="F1712" s="727"/>
      <c r="J1712" s="727"/>
      <c r="K1712" s="727"/>
      <c r="L1712" s="727"/>
      <c r="M1712" s="727"/>
      <c r="N1712" s="727"/>
      <c r="O1712" s="727"/>
    </row>
    <row r="1713">
      <c r="A1713" s="733"/>
      <c r="B1713" s="6"/>
      <c r="D1713" s="727"/>
      <c r="E1713" s="729"/>
      <c r="F1713" s="727"/>
      <c r="J1713" s="727"/>
      <c r="K1713" s="727"/>
      <c r="L1713" s="727"/>
      <c r="M1713" s="727"/>
      <c r="N1713" s="727"/>
      <c r="O1713" s="727"/>
    </row>
    <row r="1714">
      <c r="A1714" s="733"/>
      <c r="B1714" s="6"/>
      <c r="D1714" s="727"/>
      <c r="E1714" s="729"/>
      <c r="F1714" s="727"/>
      <c r="J1714" s="727"/>
      <c r="K1714" s="727"/>
      <c r="L1714" s="727"/>
      <c r="M1714" s="727"/>
      <c r="N1714" s="727"/>
      <c r="O1714" s="727"/>
    </row>
    <row r="1715">
      <c r="A1715" s="733"/>
      <c r="B1715" s="6"/>
      <c r="D1715" s="727"/>
      <c r="E1715" s="729"/>
      <c r="F1715" s="727"/>
      <c r="J1715" s="727"/>
      <c r="K1715" s="727"/>
      <c r="L1715" s="727"/>
      <c r="M1715" s="727"/>
      <c r="N1715" s="727"/>
      <c r="O1715" s="727"/>
    </row>
    <row r="1716">
      <c r="A1716" s="733"/>
      <c r="B1716" s="6"/>
      <c r="D1716" s="727"/>
      <c r="E1716" s="729"/>
      <c r="F1716" s="727"/>
      <c r="J1716" s="727"/>
      <c r="K1716" s="727"/>
      <c r="L1716" s="727"/>
      <c r="M1716" s="727"/>
      <c r="N1716" s="727"/>
      <c r="O1716" s="727"/>
    </row>
    <row r="1717">
      <c r="A1717" s="733"/>
      <c r="B1717" s="6"/>
      <c r="D1717" s="727"/>
      <c r="E1717" s="729"/>
      <c r="F1717" s="727"/>
      <c r="J1717" s="727"/>
      <c r="K1717" s="727"/>
      <c r="L1717" s="727"/>
      <c r="M1717" s="727"/>
      <c r="N1717" s="727"/>
      <c r="O1717" s="727"/>
    </row>
    <row r="1718">
      <c r="A1718" s="733"/>
      <c r="B1718" s="6"/>
      <c r="D1718" s="727"/>
      <c r="E1718" s="729"/>
      <c r="F1718" s="727"/>
      <c r="J1718" s="727"/>
      <c r="K1718" s="727"/>
      <c r="L1718" s="727"/>
      <c r="M1718" s="727"/>
      <c r="N1718" s="727"/>
      <c r="O1718" s="727"/>
    </row>
    <row r="1719">
      <c r="A1719" s="733"/>
      <c r="B1719" s="6"/>
      <c r="D1719" s="727"/>
      <c r="E1719" s="729"/>
      <c r="F1719" s="727"/>
      <c r="J1719" s="727"/>
      <c r="K1719" s="727"/>
      <c r="L1719" s="727"/>
      <c r="M1719" s="727"/>
      <c r="N1719" s="727"/>
      <c r="O1719" s="727"/>
    </row>
    <row r="1720">
      <c r="A1720" s="733"/>
      <c r="B1720" s="6"/>
      <c r="D1720" s="727"/>
      <c r="E1720" s="729"/>
      <c r="F1720" s="727"/>
      <c r="J1720" s="727"/>
      <c r="K1720" s="727"/>
      <c r="L1720" s="727"/>
      <c r="M1720" s="727"/>
      <c r="N1720" s="727"/>
      <c r="O1720" s="727"/>
    </row>
    <row r="1721">
      <c r="A1721" s="733"/>
      <c r="B1721" s="6"/>
      <c r="D1721" s="727"/>
      <c r="E1721" s="729"/>
      <c r="F1721" s="727"/>
      <c r="J1721" s="727"/>
      <c r="K1721" s="727"/>
      <c r="L1721" s="727"/>
      <c r="M1721" s="727"/>
      <c r="N1721" s="727"/>
      <c r="O1721" s="727"/>
    </row>
    <row r="1722">
      <c r="A1722" s="733"/>
      <c r="B1722" s="6"/>
      <c r="D1722" s="727"/>
      <c r="E1722" s="729"/>
      <c r="F1722" s="727"/>
      <c r="J1722" s="727"/>
      <c r="K1722" s="727"/>
      <c r="L1722" s="727"/>
      <c r="M1722" s="727"/>
      <c r="N1722" s="727"/>
      <c r="O1722" s="727"/>
    </row>
    <row r="1723">
      <c r="A1723" s="733"/>
      <c r="B1723" s="6"/>
      <c r="D1723" s="727"/>
      <c r="E1723" s="729"/>
      <c r="F1723" s="727"/>
      <c r="J1723" s="727"/>
      <c r="K1723" s="727"/>
      <c r="L1723" s="727"/>
      <c r="M1723" s="727"/>
      <c r="N1723" s="727"/>
      <c r="O1723" s="727"/>
    </row>
    <row r="1724">
      <c r="A1724" s="733"/>
      <c r="B1724" s="6"/>
      <c r="D1724" s="727"/>
      <c r="E1724" s="729"/>
      <c r="F1724" s="727"/>
      <c r="J1724" s="727"/>
      <c r="K1724" s="727"/>
      <c r="L1724" s="727"/>
      <c r="M1724" s="727"/>
      <c r="N1724" s="727"/>
      <c r="O1724" s="727"/>
    </row>
    <row r="1725">
      <c r="A1725" s="733"/>
      <c r="B1725" s="6"/>
      <c r="D1725" s="727"/>
      <c r="E1725" s="729"/>
      <c r="F1725" s="727"/>
      <c r="J1725" s="727"/>
      <c r="K1725" s="727"/>
      <c r="L1725" s="727"/>
      <c r="M1725" s="727"/>
      <c r="N1725" s="727"/>
      <c r="O1725" s="727"/>
    </row>
    <row r="1726">
      <c r="A1726" s="733"/>
      <c r="B1726" s="6"/>
      <c r="D1726" s="727"/>
      <c r="E1726" s="729"/>
      <c r="F1726" s="727"/>
      <c r="J1726" s="727"/>
      <c r="K1726" s="727"/>
      <c r="L1726" s="727"/>
      <c r="M1726" s="727"/>
      <c r="N1726" s="727"/>
      <c r="O1726" s="727"/>
    </row>
    <row r="1727">
      <c r="A1727" s="733"/>
      <c r="B1727" s="6"/>
      <c r="D1727" s="727"/>
      <c r="E1727" s="729"/>
      <c r="F1727" s="727"/>
      <c r="J1727" s="727"/>
      <c r="K1727" s="727"/>
      <c r="L1727" s="727"/>
      <c r="M1727" s="727"/>
      <c r="N1727" s="727"/>
      <c r="O1727" s="727"/>
    </row>
    <row r="1728">
      <c r="A1728" s="733"/>
      <c r="B1728" s="6"/>
      <c r="D1728" s="727"/>
      <c r="E1728" s="729"/>
      <c r="F1728" s="727"/>
      <c r="J1728" s="727"/>
      <c r="K1728" s="727"/>
      <c r="L1728" s="727"/>
      <c r="M1728" s="727"/>
      <c r="N1728" s="727"/>
      <c r="O1728" s="727"/>
    </row>
    <row r="1729">
      <c r="A1729" s="733"/>
      <c r="B1729" s="6"/>
      <c r="D1729" s="727"/>
      <c r="E1729" s="729"/>
      <c r="F1729" s="727"/>
      <c r="J1729" s="727"/>
      <c r="K1729" s="727"/>
      <c r="L1729" s="727"/>
      <c r="M1729" s="727"/>
      <c r="N1729" s="727"/>
      <c r="O1729" s="727"/>
    </row>
    <row r="1730">
      <c r="A1730" s="733"/>
      <c r="B1730" s="6"/>
      <c r="D1730" s="727"/>
      <c r="E1730" s="729"/>
      <c r="F1730" s="727"/>
      <c r="J1730" s="727"/>
      <c r="K1730" s="727"/>
      <c r="L1730" s="727"/>
      <c r="M1730" s="727"/>
      <c r="N1730" s="727"/>
      <c r="O1730" s="727"/>
    </row>
    <row r="1731">
      <c r="A1731" s="733"/>
      <c r="B1731" s="6"/>
      <c r="D1731" s="727"/>
      <c r="E1731" s="729"/>
      <c r="F1731" s="727"/>
      <c r="J1731" s="727"/>
      <c r="K1731" s="727"/>
      <c r="L1731" s="727"/>
      <c r="M1731" s="727"/>
      <c r="N1731" s="727"/>
      <c r="O1731" s="727"/>
    </row>
    <row r="1732">
      <c r="A1732" s="733"/>
      <c r="B1732" s="6"/>
      <c r="D1732" s="727"/>
      <c r="E1732" s="729"/>
      <c r="F1732" s="727"/>
      <c r="J1732" s="727"/>
      <c r="K1732" s="727"/>
      <c r="L1732" s="727"/>
      <c r="M1732" s="727"/>
      <c r="N1732" s="727"/>
      <c r="O1732" s="727"/>
    </row>
    <row r="1733">
      <c r="A1733" s="733"/>
      <c r="B1733" s="6"/>
      <c r="D1733" s="727"/>
      <c r="E1733" s="729"/>
      <c r="F1733" s="727"/>
      <c r="J1733" s="727"/>
      <c r="K1733" s="727"/>
      <c r="L1733" s="727"/>
      <c r="M1733" s="727"/>
      <c r="N1733" s="727"/>
      <c r="O1733" s="727"/>
    </row>
    <row r="1734">
      <c r="A1734" s="733"/>
      <c r="B1734" s="6"/>
      <c r="D1734" s="727"/>
      <c r="E1734" s="729"/>
      <c r="F1734" s="727"/>
      <c r="J1734" s="727"/>
      <c r="K1734" s="727"/>
      <c r="L1734" s="727"/>
      <c r="M1734" s="727"/>
      <c r="N1734" s="727"/>
      <c r="O1734" s="727"/>
    </row>
    <row r="1735">
      <c r="A1735" s="733"/>
      <c r="B1735" s="6"/>
      <c r="D1735" s="727"/>
      <c r="E1735" s="729"/>
      <c r="F1735" s="727"/>
      <c r="J1735" s="727"/>
      <c r="K1735" s="727"/>
      <c r="L1735" s="727"/>
      <c r="M1735" s="727"/>
      <c r="N1735" s="727"/>
      <c r="O1735" s="727"/>
    </row>
    <row r="1736">
      <c r="A1736" s="733"/>
      <c r="B1736" s="6"/>
      <c r="D1736" s="727"/>
      <c r="E1736" s="729"/>
      <c r="F1736" s="727"/>
      <c r="J1736" s="727"/>
      <c r="K1736" s="727"/>
      <c r="L1736" s="727"/>
      <c r="M1736" s="727"/>
      <c r="N1736" s="727"/>
      <c r="O1736" s="727"/>
    </row>
    <row r="1737">
      <c r="A1737" s="733"/>
      <c r="B1737" s="6"/>
      <c r="D1737" s="727"/>
      <c r="E1737" s="729"/>
      <c r="F1737" s="727"/>
      <c r="J1737" s="727"/>
      <c r="K1737" s="727"/>
      <c r="L1737" s="727"/>
      <c r="M1737" s="727"/>
      <c r="N1737" s="727"/>
      <c r="O1737" s="727"/>
    </row>
    <row r="1738">
      <c r="A1738" s="733"/>
      <c r="B1738" s="6"/>
      <c r="D1738" s="727"/>
      <c r="E1738" s="729"/>
      <c r="F1738" s="727"/>
      <c r="J1738" s="727"/>
      <c r="K1738" s="727"/>
      <c r="L1738" s="727"/>
      <c r="M1738" s="727"/>
      <c r="N1738" s="727"/>
      <c r="O1738" s="727"/>
    </row>
    <row r="1739">
      <c r="A1739" s="733"/>
      <c r="B1739" s="6"/>
      <c r="D1739" s="727"/>
      <c r="E1739" s="729"/>
      <c r="F1739" s="727"/>
      <c r="J1739" s="727"/>
      <c r="K1739" s="727"/>
      <c r="L1739" s="727"/>
      <c r="M1739" s="727"/>
      <c r="N1739" s="727"/>
      <c r="O1739" s="727"/>
    </row>
    <row r="1740">
      <c r="A1740" s="733"/>
      <c r="B1740" s="6"/>
      <c r="D1740" s="727"/>
      <c r="E1740" s="729"/>
      <c r="F1740" s="727"/>
      <c r="J1740" s="727"/>
      <c r="K1740" s="727"/>
      <c r="L1740" s="727"/>
      <c r="M1740" s="727"/>
      <c r="N1740" s="727"/>
      <c r="O1740" s="727"/>
    </row>
    <row r="1741">
      <c r="A1741" s="733"/>
      <c r="B1741" s="6"/>
      <c r="D1741" s="727"/>
      <c r="E1741" s="729"/>
      <c r="F1741" s="727"/>
      <c r="J1741" s="727"/>
      <c r="K1741" s="727"/>
      <c r="L1741" s="727"/>
      <c r="M1741" s="727"/>
      <c r="N1741" s="727"/>
      <c r="O1741" s="727"/>
    </row>
    <row r="1742">
      <c r="A1742" s="733"/>
      <c r="B1742" s="6"/>
      <c r="D1742" s="727"/>
      <c r="E1742" s="729"/>
      <c r="F1742" s="727"/>
      <c r="J1742" s="727"/>
      <c r="K1742" s="727"/>
      <c r="L1742" s="727"/>
      <c r="M1742" s="727"/>
      <c r="N1742" s="727"/>
      <c r="O1742" s="727"/>
    </row>
    <row r="1743">
      <c r="A1743" s="733"/>
      <c r="B1743" s="6"/>
      <c r="D1743" s="727"/>
      <c r="E1743" s="729"/>
      <c r="F1743" s="727"/>
      <c r="J1743" s="727"/>
      <c r="K1743" s="727"/>
      <c r="L1743" s="727"/>
      <c r="M1743" s="727"/>
      <c r="N1743" s="727"/>
      <c r="O1743" s="727"/>
    </row>
    <row r="1744">
      <c r="A1744" s="733"/>
      <c r="B1744" s="6"/>
      <c r="D1744" s="727"/>
      <c r="E1744" s="729"/>
      <c r="F1744" s="727"/>
      <c r="J1744" s="727"/>
      <c r="K1744" s="727"/>
      <c r="L1744" s="727"/>
      <c r="M1744" s="727"/>
      <c r="N1744" s="727"/>
      <c r="O1744" s="727"/>
    </row>
    <row r="1745">
      <c r="A1745" s="733"/>
      <c r="B1745" s="6"/>
      <c r="D1745" s="727"/>
      <c r="E1745" s="729"/>
      <c r="F1745" s="727"/>
      <c r="J1745" s="727"/>
      <c r="K1745" s="727"/>
      <c r="L1745" s="727"/>
      <c r="M1745" s="727"/>
      <c r="N1745" s="727"/>
      <c r="O1745" s="727"/>
    </row>
    <row r="1746">
      <c r="A1746" s="733"/>
      <c r="B1746" s="6"/>
      <c r="D1746" s="727"/>
      <c r="E1746" s="729"/>
      <c r="F1746" s="727"/>
      <c r="J1746" s="727"/>
      <c r="K1746" s="727"/>
      <c r="L1746" s="727"/>
      <c r="M1746" s="727"/>
      <c r="N1746" s="727"/>
      <c r="O1746" s="727"/>
    </row>
    <row r="1747">
      <c r="A1747" s="733"/>
      <c r="B1747" s="6"/>
      <c r="D1747" s="727"/>
      <c r="E1747" s="729"/>
      <c r="F1747" s="727"/>
      <c r="J1747" s="727"/>
      <c r="K1747" s="727"/>
      <c r="L1747" s="727"/>
      <c r="M1747" s="727"/>
      <c r="N1747" s="727"/>
      <c r="O1747" s="727"/>
    </row>
    <row r="1748">
      <c r="A1748" s="733"/>
      <c r="B1748" s="6"/>
      <c r="D1748" s="727"/>
      <c r="E1748" s="729"/>
      <c r="F1748" s="727"/>
      <c r="J1748" s="727"/>
      <c r="K1748" s="727"/>
      <c r="L1748" s="727"/>
      <c r="M1748" s="727"/>
      <c r="N1748" s="727"/>
      <c r="O1748" s="727"/>
    </row>
    <row r="1749">
      <c r="A1749" s="733"/>
      <c r="B1749" s="6"/>
      <c r="D1749" s="727"/>
      <c r="E1749" s="729"/>
      <c r="F1749" s="727"/>
      <c r="J1749" s="727"/>
      <c r="K1749" s="727"/>
      <c r="L1749" s="727"/>
      <c r="M1749" s="727"/>
      <c r="N1749" s="727"/>
      <c r="O1749" s="727"/>
    </row>
    <row r="1750">
      <c r="A1750" s="733"/>
      <c r="B1750" s="6"/>
      <c r="D1750" s="727"/>
      <c r="E1750" s="729"/>
      <c r="F1750" s="727"/>
      <c r="J1750" s="727"/>
      <c r="K1750" s="727"/>
      <c r="L1750" s="727"/>
      <c r="M1750" s="727"/>
      <c r="N1750" s="727"/>
      <c r="O1750" s="727"/>
    </row>
    <row r="1751">
      <c r="A1751" s="733"/>
      <c r="B1751" s="6"/>
      <c r="D1751" s="727"/>
      <c r="E1751" s="729"/>
      <c r="F1751" s="727"/>
      <c r="J1751" s="727"/>
      <c r="K1751" s="727"/>
      <c r="L1751" s="727"/>
      <c r="M1751" s="727"/>
      <c r="N1751" s="727"/>
      <c r="O1751" s="727"/>
    </row>
    <row r="1752">
      <c r="A1752" s="733"/>
      <c r="B1752" s="6"/>
      <c r="D1752" s="727"/>
      <c r="E1752" s="729"/>
      <c r="F1752" s="727"/>
      <c r="J1752" s="727"/>
      <c r="K1752" s="727"/>
      <c r="L1752" s="727"/>
      <c r="M1752" s="727"/>
      <c r="N1752" s="727"/>
      <c r="O1752" s="727"/>
    </row>
    <row r="1753">
      <c r="A1753" s="733"/>
      <c r="B1753" s="6"/>
      <c r="D1753" s="727"/>
      <c r="E1753" s="729"/>
      <c r="F1753" s="727"/>
      <c r="J1753" s="727"/>
      <c r="K1753" s="727"/>
      <c r="L1753" s="727"/>
      <c r="M1753" s="727"/>
      <c r="N1753" s="727"/>
      <c r="O1753" s="727"/>
    </row>
    <row r="1754">
      <c r="A1754" s="733"/>
      <c r="B1754" s="6"/>
      <c r="D1754" s="727"/>
      <c r="E1754" s="729"/>
      <c r="F1754" s="727"/>
      <c r="J1754" s="727"/>
      <c r="K1754" s="727"/>
      <c r="L1754" s="727"/>
      <c r="M1754" s="727"/>
      <c r="N1754" s="727"/>
      <c r="O1754" s="727"/>
    </row>
    <row r="1755">
      <c r="A1755" s="733"/>
      <c r="B1755" s="6"/>
      <c r="D1755" s="727"/>
      <c r="E1755" s="729"/>
      <c r="F1755" s="727"/>
      <c r="J1755" s="727"/>
      <c r="K1755" s="727"/>
      <c r="L1755" s="727"/>
      <c r="M1755" s="727"/>
      <c r="N1755" s="727"/>
      <c r="O1755" s="727"/>
    </row>
    <row r="1756">
      <c r="A1756" s="733"/>
      <c r="B1756" s="6"/>
      <c r="D1756" s="727"/>
      <c r="E1756" s="729"/>
      <c r="F1756" s="727"/>
      <c r="J1756" s="727"/>
      <c r="K1756" s="727"/>
      <c r="L1756" s="727"/>
      <c r="M1756" s="727"/>
      <c r="N1756" s="727"/>
      <c r="O1756" s="727"/>
    </row>
    <row r="1757">
      <c r="A1757" s="733"/>
      <c r="B1757" s="6"/>
      <c r="D1757" s="727"/>
      <c r="E1757" s="729"/>
      <c r="F1757" s="727"/>
      <c r="J1757" s="727"/>
      <c r="K1757" s="727"/>
      <c r="L1757" s="727"/>
      <c r="M1757" s="727"/>
      <c r="N1757" s="727"/>
      <c r="O1757" s="727"/>
    </row>
    <row r="1758">
      <c r="A1758" s="733"/>
      <c r="B1758" s="6"/>
      <c r="D1758" s="727"/>
      <c r="E1758" s="729"/>
      <c r="F1758" s="727"/>
      <c r="J1758" s="727"/>
      <c r="K1758" s="727"/>
      <c r="L1758" s="727"/>
      <c r="M1758" s="727"/>
      <c r="N1758" s="727"/>
      <c r="O1758" s="727"/>
    </row>
    <row r="1759">
      <c r="A1759" s="733"/>
      <c r="B1759" s="6"/>
      <c r="D1759" s="727"/>
      <c r="E1759" s="729"/>
      <c r="F1759" s="727"/>
      <c r="J1759" s="727"/>
      <c r="K1759" s="727"/>
      <c r="L1759" s="727"/>
      <c r="M1759" s="727"/>
      <c r="N1759" s="727"/>
      <c r="O1759" s="727"/>
    </row>
    <row r="1760">
      <c r="A1760" s="733"/>
      <c r="B1760" s="6"/>
      <c r="D1760" s="727"/>
      <c r="E1760" s="729"/>
      <c r="F1760" s="727"/>
      <c r="J1760" s="727"/>
      <c r="K1760" s="727"/>
      <c r="L1760" s="727"/>
      <c r="M1760" s="727"/>
      <c r="N1760" s="727"/>
      <c r="O1760" s="727"/>
    </row>
    <row r="1761">
      <c r="A1761" s="733"/>
      <c r="B1761" s="6"/>
      <c r="D1761" s="727"/>
      <c r="E1761" s="729"/>
      <c r="F1761" s="727"/>
      <c r="J1761" s="727"/>
      <c r="K1761" s="727"/>
      <c r="L1761" s="727"/>
      <c r="M1761" s="727"/>
      <c r="N1761" s="727"/>
      <c r="O1761" s="727"/>
    </row>
    <row r="1762">
      <c r="A1762" s="733"/>
      <c r="B1762" s="6"/>
      <c r="D1762" s="727"/>
      <c r="E1762" s="729"/>
      <c r="F1762" s="727"/>
      <c r="J1762" s="727"/>
      <c r="K1762" s="727"/>
      <c r="L1762" s="727"/>
      <c r="M1762" s="727"/>
      <c r="N1762" s="727"/>
      <c r="O1762" s="727"/>
    </row>
    <row r="1763">
      <c r="A1763" s="733"/>
      <c r="B1763" s="6"/>
      <c r="D1763" s="727"/>
      <c r="E1763" s="729"/>
      <c r="F1763" s="727"/>
      <c r="J1763" s="727"/>
      <c r="K1763" s="727"/>
      <c r="L1763" s="727"/>
      <c r="M1763" s="727"/>
      <c r="N1763" s="727"/>
      <c r="O1763" s="727"/>
    </row>
    <row r="1764">
      <c r="A1764" s="733"/>
      <c r="B1764" s="6"/>
      <c r="D1764" s="727"/>
      <c r="E1764" s="729"/>
      <c r="F1764" s="727"/>
      <c r="J1764" s="727"/>
      <c r="K1764" s="727"/>
      <c r="L1764" s="727"/>
      <c r="M1764" s="727"/>
      <c r="N1764" s="727"/>
      <c r="O1764" s="727"/>
    </row>
    <row r="1765">
      <c r="A1765" s="733"/>
      <c r="B1765" s="6"/>
      <c r="D1765" s="727"/>
      <c r="E1765" s="729"/>
      <c r="F1765" s="727"/>
      <c r="J1765" s="727"/>
      <c r="K1765" s="727"/>
      <c r="L1765" s="727"/>
      <c r="M1765" s="727"/>
      <c r="N1765" s="727"/>
      <c r="O1765" s="727"/>
    </row>
    <row r="1766">
      <c r="A1766" s="733"/>
      <c r="B1766" s="6"/>
      <c r="D1766" s="727"/>
      <c r="E1766" s="729"/>
      <c r="F1766" s="727"/>
      <c r="J1766" s="727"/>
      <c r="K1766" s="727"/>
      <c r="L1766" s="727"/>
      <c r="M1766" s="727"/>
      <c r="N1766" s="727"/>
      <c r="O1766" s="727"/>
    </row>
    <row r="1767">
      <c r="A1767" s="733"/>
      <c r="B1767" s="6"/>
      <c r="D1767" s="727"/>
      <c r="E1767" s="729"/>
      <c r="F1767" s="727"/>
      <c r="J1767" s="727"/>
      <c r="K1767" s="727"/>
      <c r="L1767" s="727"/>
      <c r="M1767" s="727"/>
      <c r="N1767" s="727"/>
      <c r="O1767" s="727"/>
    </row>
    <row r="1768">
      <c r="A1768" s="733"/>
      <c r="B1768" s="6"/>
      <c r="D1768" s="727"/>
      <c r="E1768" s="729"/>
      <c r="F1768" s="727"/>
      <c r="J1768" s="727"/>
      <c r="K1768" s="727"/>
      <c r="L1768" s="727"/>
      <c r="M1768" s="727"/>
      <c r="N1768" s="727"/>
      <c r="O1768" s="727"/>
    </row>
    <row r="1769">
      <c r="A1769" s="733"/>
      <c r="B1769" s="6"/>
      <c r="D1769" s="727"/>
      <c r="E1769" s="729"/>
      <c r="F1769" s="727"/>
      <c r="J1769" s="727"/>
      <c r="K1769" s="727"/>
      <c r="L1769" s="727"/>
      <c r="M1769" s="727"/>
      <c r="N1769" s="727"/>
      <c r="O1769" s="727"/>
    </row>
    <row r="1770">
      <c r="A1770" s="733"/>
      <c r="B1770" s="6"/>
      <c r="D1770" s="727"/>
      <c r="E1770" s="729"/>
      <c r="F1770" s="727"/>
      <c r="J1770" s="727"/>
      <c r="K1770" s="727"/>
      <c r="L1770" s="727"/>
      <c r="M1770" s="727"/>
      <c r="N1770" s="727"/>
      <c r="O1770" s="727"/>
    </row>
    <row r="1771">
      <c r="A1771" s="733"/>
      <c r="B1771" s="6"/>
      <c r="D1771" s="727"/>
      <c r="E1771" s="729"/>
      <c r="F1771" s="727"/>
      <c r="J1771" s="727"/>
      <c r="K1771" s="727"/>
      <c r="L1771" s="727"/>
      <c r="M1771" s="727"/>
      <c r="N1771" s="727"/>
      <c r="O1771" s="727"/>
    </row>
    <row r="1772">
      <c r="A1772" s="733"/>
      <c r="B1772" s="6"/>
      <c r="D1772" s="727"/>
      <c r="E1772" s="729"/>
      <c r="F1772" s="727"/>
      <c r="J1772" s="727"/>
      <c r="K1772" s="727"/>
      <c r="L1772" s="727"/>
      <c r="M1772" s="727"/>
      <c r="N1772" s="727"/>
      <c r="O1772" s="727"/>
    </row>
    <row r="1773">
      <c r="A1773" s="733"/>
      <c r="B1773" s="6"/>
      <c r="D1773" s="727"/>
      <c r="E1773" s="729"/>
      <c r="F1773" s="727"/>
      <c r="J1773" s="727"/>
      <c r="K1773" s="727"/>
      <c r="L1773" s="727"/>
      <c r="M1773" s="727"/>
      <c r="N1773" s="727"/>
      <c r="O1773" s="727"/>
    </row>
    <row r="1774">
      <c r="A1774" s="733"/>
      <c r="B1774" s="6"/>
      <c r="D1774" s="727"/>
      <c r="E1774" s="729"/>
      <c r="F1774" s="727"/>
      <c r="J1774" s="727"/>
      <c r="K1774" s="727"/>
      <c r="L1774" s="727"/>
      <c r="M1774" s="727"/>
      <c r="N1774" s="727"/>
      <c r="O1774" s="727"/>
    </row>
    <row r="1775">
      <c r="A1775" s="733"/>
      <c r="B1775" s="6"/>
      <c r="D1775" s="727"/>
      <c r="E1775" s="729"/>
      <c r="F1775" s="727"/>
      <c r="J1775" s="727"/>
      <c r="K1775" s="727"/>
      <c r="L1775" s="727"/>
      <c r="M1775" s="727"/>
      <c r="N1775" s="727"/>
      <c r="O1775" s="727"/>
    </row>
    <row r="1776">
      <c r="A1776" s="733"/>
      <c r="B1776" s="6"/>
      <c r="D1776" s="727"/>
      <c r="E1776" s="729"/>
      <c r="F1776" s="727"/>
      <c r="J1776" s="727"/>
      <c r="K1776" s="727"/>
      <c r="L1776" s="727"/>
      <c r="M1776" s="727"/>
      <c r="N1776" s="727"/>
      <c r="O1776" s="727"/>
    </row>
    <row r="1777">
      <c r="A1777" s="733"/>
      <c r="B1777" s="6"/>
      <c r="D1777" s="727"/>
      <c r="E1777" s="729"/>
      <c r="F1777" s="727"/>
      <c r="J1777" s="727"/>
      <c r="K1777" s="727"/>
      <c r="L1777" s="727"/>
      <c r="M1777" s="727"/>
      <c r="N1777" s="727"/>
      <c r="O1777" s="727"/>
    </row>
    <row r="1778">
      <c r="A1778" s="733"/>
      <c r="B1778" s="6"/>
      <c r="D1778" s="727"/>
      <c r="E1778" s="729"/>
      <c r="F1778" s="727"/>
      <c r="J1778" s="727"/>
      <c r="K1778" s="727"/>
      <c r="L1778" s="727"/>
      <c r="M1778" s="727"/>
      <c r="N1778" s="727"/>
      <c r="O1778" s="727"/>
    </row>
    <row r="1779">
      <c r="A1779" s="733"/>
      <c r="B1779" s="6"/>
      <c r="D1779" s="727"/>
      <c r="E1779" s="729"/>
      <c r="F1779" s="727"/>
      <c r="J1779" s="727"/>
      <c r="K1779" s="727"/>
      <c r="L1779" s="727"/>
      <c r="M1779" s="727"/>
      <c r="N1779" s="727"/>
      <c r="O1779" s="727"/>
    </row>
    <row r="1780">
      <c r="A1780" s="733"/>
      <c r="B1780" s="6"/>
      <c r="D1780" s="727"/>
      <c r="E1780" s="729"/>
      <c r="F1780" s="727"/>
      <c r="J1780" s="727"/>
      <c r="K1780" s="727"/>
      <c r="L1780" s="727"/>
      <c r="M1780" s="727"/>
      <c r="N1780" s="727"/>
      <c r="O1780" s="727"/>
    </row>
    <row r="1781">
      <c r="A1781" s="733"/>
      <c r="B1781" s="6"/>
      <c r="D1781" s="727"/>
      <c r="E1781" s="729"/>
      <c r="F1781" s="727"/>
      <c r="J1781" s="727"/>
      <c r="K1781" s="727"/>
      <c r="L1781" s="727"/>
      <c r="M1781" s="727"/>
      <c r="N1781" s="727"/>
      <c r="O1781" s="727"/>
    </row>
    <row r="1782">
      <c r="A1782" s="733"/>
      <c r="B1782" s="6"/>
      <c r="D1782" s="727"/>
      <c r="E1782" s="729"/>
      <c r="F1782" s="727"/>
      <c r="J1782" s="727"/>
      <c r="K1782" s="727"/>
      <c r="L1782" s="727"/>
      <c r="M1782" s="727"/>
      <c r="N1782" s="727"/>
      <c r="O1782" s="727"/>
    </row>
    <row r="1783">
      <c r="A1783" s="733"/>
      <c r="B1783" s="6"/>
      <c r="D1783" s="727"/>
      <c r="E1783" s="729"/>
      <c r="F1783" s="727"/>
      <c r="J1783" s="727"/>
      <c r="K1783" s="727"/>
      <c r="L1783" s="727"/>
      <c r="M1783" s="727"/>
      <c r="N1783" s="727"/>
      <c r="O1783" s="727"/>
    </row>
    <row r="1784">
      <c r="A1784" s="733"/>
      <c r="B1784" s="6"/>
      <c r="D1784" s="727"/>
      <c r="E1784" s="729"/>
      <c r="F1784" s="727"/>
      <c r="J1784" s="727"/>
      <c r="K1784" s="727"/>
      <c r="L1784" s="727"/>
      <c r="M1784" s="727"/>
      <c r="N1784" s="727"/>
      <c r="O1784" s="727"/>
    </row>
    <row r="1785">
      <c r="A1785" s="733"/>
      <c r="B1785" s="6"/>
      <c r="D1785" s="727"/>
      <c r="E1785" s="729"/>
      <c r="F1785" s="727"/>
      <c r="J1785" s="727"/>
      <c r="K1785" s="727"/>
      <c r="L1785" s="727"/>
      <c r="M1785" s="727"/>
      <c r="N1785" s="727"/>
      <c r="O1785" s="727"/>
    </row>
    <row r="1786">
      <c r="A1786" s="733"/>
      <c r="B1786" s="6"/>
      <c r="D1786" s="727"/>
      <c r="E1786" s="729"/>
      <c r="F1786" s="727"/>
      <c r="J1786" s="727"/>
      <c r="K1786" s="727"/>
      <c r="L1786" s="727"/>
      <c r="M1786" s="727"/>
      <c r="N1786" s="727"/>
      <c r="O1786" s="727"/>
    </row>
    <row r="1787">
      <c r="A1787" s="733"/>
      <c r="B1787" s="6"/>
      <c r="D1787" s="727"/>
      <c r="E1787" s="729"/>
      <c r="F1787" s="727"/>
      <c r="J1787" s="727"/>
      <c r="K1787" s="727"/>
      <c r="L1787" s="727"/>
      <c r="M1787" s="727"/>
      <c r="N1787" s="727"/>
      <c r="O1787" s="727"/>
    </row>
    <row r="1788">
      <c r="A1788" s="733"/>
      <c r="B1788" s="6"/>
      <c r="D1788" s="727"/>
      <c r="E1788" s="729"/>
      <c r="F1788" s="727"/>
      <c r="J1788" s="727"/>
      <c r="K1788" s="727"/>
      <c r="L1788" s="727"/>
      <c r="M1788" s="727"/>
      <c r="N1788" s="727"/>
      <c r="O1788" s="727"/>
    </row>
    <row r="1789">
      <c r="A1789" s="733"/>
      <c r="B1789" s="6"/>
      <c r="D1789" s="727"/>
      <c r="E1789" s="729"/>
      <c r="F1789" s="727"/>
      <c r="J1789" s="727"/>
      <c r="K1789" s="727"/>
      <c r="L1789" s="727"/>
      <c r="M1789" s="727"/>
      <c r="N1789" s="727"/>
      <c r="O1789" s="727"/>
    </row>
    <row r="1790">
      <c r="A1790" s="733"/>
      <c r="B1790" s="6"/>
      <c r="D1790" s="727"/>
      <c r="E1790" s="729"/>
      <c r="F1790" s="727"/>
      <c r="J1790" s="727"/>
      <c r="K1790" s="727"/>
      <c r="L1790" s="727"/>
      <c r="M1790" s="727"/>
      <c r="N1790" s="727"/>
      <c r="O1790" s="727"/>
    </row>
    <row r="1791">
      <c r="A1791" s="733"/>
      <c r="B1791" s="6"/>
      <c r="D1791" s="727"/>
      <c r="E1791" s="729"/>
      <c r="F1791" s="727"/>
      <c r="J1791" s="727"/>
      <c r="K1791" s="727"/>
      <c r="L1791" s="727"/>
      <c r="M1791" s="727"/>
      <c r="N1791" s="727"/>
      <c r="O1791" s="727"/>
    </row>
    <row r="1792">
      <c r="A1792" s="733"/>
      <c r="B1792" s="6"/>
      <c r="D1792" s="727"/>
      <c r="E1792" s="729"/>
      <c r="F1792" s="727"/>
      <c r="J1792" s="727"/>
      <c r="K1792" s="727"/>
      <c r="L1792" s="727"/>
      <c r="M1792" s="727"/>
      <c r="N1792" s="727"/>
      <c r="O1792" s="727"/>
    </row>
    <row r="1793">
      <c r="A1793" s="733"/>
      <c r="B1793" s="6"/>
      <c r="D1793" s="727"/>
      <c r="E1793" s="729"/>
      <c r="F1793" s="727"/>
      <c r="J1793" s="727"/>
      <c r="K1793" s="727"/>
      <c r="L1793" s="727"/>
      <c r="M1793" s="727"/>
      <c r="N1793" s="727"/>
      <c r="O1793" s="727"/>
    </row>
    <row r="1794">
      <c r="A1794" s="733"/>
      <c r="B1794" s="6"/>
      <c r="D1794" s="727"/>
      <c r="E1794" s="729"/>
      <c r="F1794" s="727"/>
      <c r="J1794" s="727"/>
      <c r="K1794" s="727"/>
      <c r="L1794" s="727"/>
      <c r="M1794" s="727"/>
      <c r="N1794" s="727"/>
      <c r="O1794" s="727"/>
    </row>
    <row r="1795">
      <c r="A1795" s="733"/>
      <c r="B1795" s="6"/>
      <c r="D1795" s="727"/>
      <c r="E1795" s="729"/>
      <c r="F1795" s="727"/>
      <c r="J1795" s="727"/>
      <c r="K1795" s="727"/>
      <c r="L1795" s="727"/>
      <c r="M1795" s="727"/>
      <c r="N1795" s="727"/>
      <c r="O1795" s="727"/>
    </row>
    <row r="1796">
      <c r="A1796" s="733"/>
      <c r="B1796" s="6"/>
      <c r="D1796" s="727"/>
      <c r="E1796" s="729"/>
      <c r="F1796" s="727"/>
      <c r="J1796" s="727"/>
      <c r="K1796" s="727"/>
      <c r="L1796" s="727"/>
      <c r="M1796" s="727"/>
      <c r="N1796" s="727"/>
      <c r="O1796" s="727"/>
    </row>
    <row r="1797">
      <c r="A1797" s="733"/>
      <c r="B1797" s="6"/>
      <c r="D1797" s="727"/>
      <c r="E1797" s="729"/>
      <c r="F1797" s="727"/>
      <c r="J1797" s="727"/>
      <c r="K1797" s="727"/>
      <c r="L1797" s="727"/>
      <c r="M1797" s="727"/>
      <c r="N1797" s="727"/>
      <c r="O1797" s="727"/>
    </row>
    <row r="1798">
      <c r="A1798" s="733"/>
      <c r="B1798" s="6"/>
      <c r="D1798" s="727"/>
      <c r="E1798" s="729"/>
      <c r="F1798" s="727"/>
      <c r="J1798" s="727"/>
      <c r="K1798" s="727"/>
      <c r="L1798" s="727"/>
      <c r="M1798" s="727"/>
      <c r="N1798" s="727"/>
      <c r="O1798" s="727"/>
    </row>
    <row r="1799">
      <c r="A1799" s="733"/>
      <c r="B1799" s="6"/>
      <c r="D1799" s="727"/>
      <c r="E1799" s="729"/>
      <c r="F1799" s="727"/>
      <c r="J1799" s="727"/>
      <c r="K1799" s="727"/>
      <c r="L1799" s="727"/>
      <c r="M1799" s="727"/>
      <c r="N1799" s="727"/>
      <c r="O1799" s="727"/>
    </row>
    <row r="1800">
      <c r="A1800" s="733"/>
      <c r="B1800" s="6"/>
      <c r="D1800" s="727"/>
      <c r="E1800" s="729"/>
      <c r="F1800" s="727"/>
      <c r="J1800" s="727"/>
      <c r="K1800" s="727"/>
      <c r="L1800" s="727"/>
      <c r="M1800" s="727"/>
      <c r="N1800" s="727"/>
      <c r="O1800" s="727"/>
    </row>
    <row r="1801">
      <c r="A1801" s="733"/>
      <c r="B1801" s="6"/>
      <c r="D1801" s="727"/>
      <c r="E1801" s="729"/>
      <c r="F1801" s="727"/>
      <c r="J1801" s="727"/>
      <c r="K1801" s="727"/>
      <c r="L1801" s="727"/>
      <c r="M1801" s="727"/>
      <c r="N1801" s="727"/>
      <c r="O1801" s="727"/>
    </row>
    <row r="1802">
      <c r="A1802" s="733"/>
      <c r="B1802" s="6"/>
      <c r="D1802" s="727"/>
      <c r="E1802" s="729"/>
      <c r="F1802" s="727"/>
      <c r="J1802" s="727"/>
      <c r="K1802" s="727"/>
      <c r="L1802" s="727"/>
      <c r="M1802" s="727"/>
      <c r="N1802" s="727"/>
      <c r="O1802" s="727"/>
    </row>
    <row r="1803">
      <c r="A1803" s="733"/>
      <c r="B1803" s="6"/>
      <c r="D1803" s="727"/>
      <c r="E1803" s="729"/>
      <c r="F1803" s="727"/>
      <c r="J1803" s="727"/>
      <c r="K1803" s="727"/>
      <c r="L1803" s="727"/>
      <c r="M1803" s="727"/>
      <c r="N1803" s="727"/>
      <c r="O1803" s="727"/>
    </row>
    <row r="1804">
      <c r="A1804" s="733"/>
      <c r="B1804" s="6"/>
      <c r="D1804" s="727"/>
      <c r="E1804" s="729"/>
      <c r="F1804" s="727"/>
      <c r="J1804" s="727"/>
      <c r="K1804" s="727"/>
      <c r="L1804" s="727"/>
      <c r="M1804" s="727"/>
      <c r="N1804" s="727"/>
      <c r="O1804" s="727"/>
    </row>
    <row r="1805">
      <c r="A1805" s="733"/>
      <c r="B1805" s="6"/>
      <c r="D1805" s="727"/>
      <c r="E1805" s="729"/>
      <c r="F1805" s="727"/>
      <c r="J1805" s="727"/>
      <c r="K1805" s="727"/>
      <c r="L1805" s="727"/>
      <c r="M1805" s="727"/>
      <c r="N1805" s="727"/>
      <c r="O1805" s="727"/>
    </row>
    <row r="1806">
      <c r="A1806" s="733"/>
      <c r="B1806" s="6"/>
      <c r="D1806" s="727"/>
      <c r="E1806" s="729"/>
      <c r="F1806" s="727"/>
      <c r="J1806" s="727"/>
      <c r="K1806" s="727"/>
      <c r="L1806" s="727"/>
      <c r="M1806" s="727"/>
      <c r="N1806" s="727"/>
      <c r="O1806" s="727"/>
    </row>
    <row r="1807">
      <c r="A1807" s="733"/>
      <c r="B1807" s="6"/>
      <c r="D1807" s="727"/>
      <c r="E1807" s="729"/>
      <c r="F1807" s="727"/>
      <c r="J1807" s="727"/>
      <c r="K1807" s="727"/>
      <c r="L1807" s="727"/>
      <c r="M1807" s="727"/>
      <c r="N1807" s="727"/>
      <c r="O1807" s="727"/>
    </row>
    <row r="1808">
      <c r="A1808" s="733"/>
      <c r="B1808" s="6"/>
      <c r="D1808" s="727"/>
      <c r="E1808" s="729"/>
      <c r="F1808" s="727"/>
      <c r="J1808" s="727"/>
      <c r="K1808" s="727"/>
      <c r="L1808" s="727"/>
      <c r="M1808" s="727"/>
      <c r="N1808" s="727"/>
      <c r="O1808" s="727"/>
    </row>
    <row r="1809">
      <c r="A1809" s="733"/>
      <c r="B1809" s="6"/>
      <c r="D1809" s="727"/>
      <c r="E1809" s="729"/>
      <c r="F1809" s="727"/>
      <c r="J1809" s="727"/>
      <c r="K1809" s="727"/>
      <c r="L1809" s="727"/>
      <c r="M1809" s="727"/>
      <c r="N1809" s="727"/>
      <c r="O1809" s="727"/>
    </row>
    <row r="1810">
      <c r="A1810" s="733"/>
      <c r="B1810" s="6"/>
      <c r="D1810" s="727"/>
      <c r="E1810" s="729"/>
      <c r="F1810" s="727"/>
      <c r="J1810" s="727"/>
      <c r="K1810" s="727"/>
      <c r="L1810" s="727"/>
      <c r="M1810" s="727"/>
      <c r="N1810" s="727"/>
      <c r="O1810" s="727"/>
    </row>
    <row r="1811">
      <c r="A1811" s="733"/>
      <c r="B1811" s="6"/>
      <c r="D1811" s="727"/>
      <c r="E1811" s="729"/>
      <c r="F1811" s="727"/>
      <c r="J1811" s="727"/>
      <c r="K1811" s="727"/>
      <c r="L1811" s="727"/>
      <c r="M1811" s="727"/>
      <c r="N1811" s="727"/>
      <c r="O1811" s="727"/>
    </row>
    <row r="1812">
      <c r="A1812" s="733"/>
      <c r="B1812" s="6"/>
      <c r="D1812" s="727"/>
      <c r="E1812" s="729"/>
      <c r="F1812" s="727"/>
      <c r="J1812" s="727"/>
      <c r="K1812" s="727"/>
      <c r="L1812" s="727"/>
      <c r="M1812" s="727"/>
      <c r="N1812" s="727"/>
      <c r="O1812" s="727"/>
    </row>
    <row r="1813">
      <c r="A1813" s="733"/>
      <c r="B1813" s="6"/>
      <c r="D1813" s="727"/>
      <c r="E1813" s="729"/>
      <c r="F1813" s="727"/>
      <c r="J1813" s="727"/>
      <c r="K1813" s="727"/>
      <c r="L1813" s="727"/>
      <c r="M1813" s="727"/>
      <c r="N1813" s="727"/>
      <c r="O1813" s="727"/>
    </row>
    <row r="1814">
      <c r="A1814" s="733"/>
      <c r="B1814" s="6"/>
      <c r="D1814" s="727"/>
      <c r="E1814" s="729"/>
      <c r="F1814" s="727"/>
      <c r="J1814" s="727"/>
      <c r="K1814" s="727"/>
      <c r="L1814" s="727"/>
      <c r="M1814" s="727"/>
      <c r="N1814" s="727"/>
      <c r="O1814" s="727"/>
    </row>
    <row r="1815">
      <c r="A1815" s="733"/>
      <c r="B1815" s="6"/>
      <c r="D1815" s="727"/>
      <c r="E1815" s="729"/>
      <c r="F1815" s="727"/>
      <c r="J1815" s="727"/>
      <c r="K1815" s="727"/>
      <c r="L1815" s="727"/>
      <c r="M1815" s="727"/>
      <c r="N1815" s="727"/>
      <c r="O1815" s="727"/>
    </row>
    <row r="1816">
      <c r="A1816" s="733"/>
      <c r="B1816" s="6"/>
      <c r="D1816" s="727"/>
      <c r="E1816" s="729"/>
      <c r="F1816" s="727"/>
      <c r="J1816" s="727"/>
      <c r="K1816" s="727"/>
      <c r="L1816" s="727"/>
      <c r="M1816" s="727"/>
      <c r="N1816" s="727"/>
      <c r="O1816" s="727"/>
    </row>
    <row r="1817">
      <c r="A1817" s="733"/>
      <c r="B1817" s="6"/>
      <c r="D1817" s="727"/>
      <c r="E1817" s="729"/>
      <c r="F1817" s="727"/>
      <c r="J1817" s="727"/>
      <c r="K1817" s="727"/>
      <c r="L1817" s="727"/>
      <c r="M1817" s="727"/>
      <c r="N1817" s="727"/>
      <c r="O1817" s="727"/>
    </row>
    <row r="1818">
      <c r="A1818" s="733"/>
      <c r="B1818" s="6"/>
      <c r="D1818" s="727"/>
      <c r="E1818" s="729"/>
      <c r="F1818" s="727"/>
      <c r="J1818" s="727"/>
      <c r="K1818" s="727"/>
      <c r="L1818" s="727"/>
      <c r="M1818" s="727"/>
      <c r="N1818" s="727"/>
      <c r="O1818" s="727"/>
    </row>
    <row r="1819">
      <c r="A1819" s="733"/>
      <c r="B1819" s="6"/>
      <c r="D1819" s="727"/>
      <c r="E1819" s="729"/>
      <c r="F1819" s="727"/>
      <c r="J1819" s="727"/>
      <c r="K1819" s="727"/>
      <c r="L1819" s="727"/>
      <c r="M1819" s="727"/>
      <c r="N1819" s="727"/>
      <c r="O1819" s="727"/>
    </row>
    <row r="1820">
      <c r="A1820" s="733"/>
      <c r="B1820" s="6"/>
      <c r="D1820" s="727"/>
      <c r="E1820" s="729"/>
      <c r="F1820" s="727"/>
      <c r="J1820" s="727"/>
      <c r="K1820" s="727"/>
      <c r="L1820" s="727"/>
      <c r="M1820" s="727"/>
      <c r="N1820" s="727"/>
      <c r="O1820" s="727"/>
    </row>
    <row r="1821">
      <c r="A1821" s="733"/>
      <c r="B1821" s="6"/>
      <c r="D1821" s="727"/>
      <c r="E1821" s="729"/>
      <c r="F1821" s="727"/>
      <c r="J1821" s="727"/>
      <c r="K1821" s="727"/>
      <c r="L1821" s="727"/>
      <c r="M1821" s="727"/>
      <c r="N1821" s="727"/>
      <c r="O1821" s="727"/>
    </row>
    <row r="1822">
      <c r="A1822" s="733"/>
      <c r="B1822" s="6"/>
      <c r="D1822" s="727"/>
      <c r="E1822" s="729"/>
      <c r="F1822" s="727"/>
      <c r="J1822" s="727"/>
      <c r="K1822" s="727"/>
      <c r="L1822" s="727"/>
      <c r="M1822" s="727"/>
      <c r="N1822" s="727"/>
      <c r="O1822" s="727"/>
    </row>
    <row r="1823">
      <c r="A1823" s="733"/>
      <c r="B1823" s="6"/>
      <c r="D1823" s="727"/>
      <c r="E1823" s="729"/>
      <c r="F1823" s="727"/>
      <c r="J1823" s="727"/>
      <c r="K1823" s="727"/>
      <c r="L1823" s="727"/>
      <c r="M1823" s="727"/>
      <c r="N1823" s="727"/>
      <c r="O1823" s="727"/>
    </row>
    <row r="1824">
      <c r="A1824" s="733"/>
      <c r="B1824" s="6"/>
      <c r="D1824" s="727"/>
      <c r="E1824" s="729"/>
      <c r="F1824" s="727"/>
      <c r="J1824" s="727"/>
      <c r="K1824" s="727"/>
      <c r="L1824" s="727"/>
      <c r="M1824" s="727"/>
      <c r="N1824" s="727"/>
      <c r="O1824" s="727"/>
    </row>
    <row r="1825">
      <c r="A1825" s="733"/>
      <c r="B1825" s="6"/>
      <c r="D1825" s="727"/>
      <c r="E1825" s="729"/>
      <c r="F1825" s="727"/>
      <c r="J1825" s="727"/>
      <c r="K1825" s="727"/>
      <c r="L1825" s="727"/>
      <c r="M1825" s="727"/>
      <c r="N1825" s="727"/>
      <c r="O1825" s="727"/>
    </row>
    <row r="1826">
      <c r="A1826" s="733"/>
      <c r="B1826" s="6"/>
      <c r="D1826" s="727"/>
      <c r="E1826" s="729"/>
      <c r="F1826" s="727"/>
      <c r="J1826" s="727"/>
      <c r="K1826" s="727"/>
      <c r="L1826" s="727"/>
      <c r="M1826" s="727"/>
      <c r="N1826" s="727"/>
      <c r="O1826" s="727"/>
    </row>
    <row r="1827">
      <c r="A1827" s="733"/>
      <c r="B1827" s="6"/>
      <c r="D1827" s="727"/>
      <c r="E1827" s="729"/>
      <c r="F1827" s="727"/>
      <c r="J1827" s="727"/>
      <c r="K1827" s="727"/>
      <c r="L1827" s="727"/>
      <c r="M1827" s="727"/>
      <c r="N1827" s="727"/>
      <c r="O1827" s="727"/>
    </row>
    <row r="1828">
      <c r="A1828" s="733"/>
      <c r="B1828" s="6"/>
      <c r="D1828" s="727"/>
      <c r="E1828" s="729"/>
      <c r="F1828" s="727"/>
      <c r="J1828" s="727"/>
      <c r="K1828" s="727"/>
      <c r="L1828" s="727"/>
      <c r="M1828" s="727"/>
      <c r="N1828" s="727"/>
      <c r="O1828" s="727"/>
    </row>
    <row r="1829">
      <c r="A1829" s="733"/>
      <c r="B1829" s="6"/>
      <c r="D1829" s="727"/>
      <c r="E1829" s="729"/>
      <c r="F1829" s="727"/>
      <c r="J1829" s="727"/>
      <c r="K1829" s="727"/>
      <c r="L1829" s="727"/>
      <c r="M1829" s="727"/>
      <c r="N1829" s="727"/>
      <c r="O1829" s="727"/>
    </row>
    <row r="1830">
      <c r="A1830" s="733"/>
      <c r="B1830" s="6"/>
      <c r="D1830" s="727"/>
      <c r="E1830" s="729"/>
      <c r="F1830" s="727"/>
      <c r="J1830" s="727"/>
      <c r="K1830" s="727"/>
      <c r="L1830" s="727"/>
      <c r="M1830" s="727"/>
      <c r="N1830" s="727"/>
      <c r="O1830" s="727"/>
    </row>
    <row r="1831">
      <c r="A1831" s="733"/>
      <c r="B1831" s="6"/>
      <c r="D1831" s="727"/>
      <c r="E1831" s="729"/>
      <c r="F1831" s="727"/>
      <c r="J1831" s="727"/>
      <c r="K1831" s="727"/>
      <c r="L1831" s="727"/>
      <c r="M1831" s="727"/>
      <c r="N1831" s="727"/>
      <c r="O1831" s="727"/>
    </row>
    <row r="1832">
      <c r="A1832" s="733"/>
      <c r="B1832" s="6"/>
      <c r="D1832" s="727"/>
      <c r="E1832" s="729"/>
      <c r="F1832" s="727"/>
      <c r="J1832" s="727"/>
      <c r="K1832" s="727"/>
      <c r="L1832" s="727"/>
      <c r="M1832" s="727"/>
      <c r="N1832" s="727"/>
      <c r="O1832" s="727"/>
    </row>
    <row r="1833">
      <c r="A1833" s="733"/>
      <c r="B1833" s="6"/>
      <c r="D1833" s="727"/>
      <c r="E1833" s="729"/>
      <c r="F1833" s="727"/>
      <c r="J1833" s="727"/>
      <c r="K1833" s="727"/>
      <c r="L1833" s="727"/>
      <c r="M1833" s="727"/>
      <c r="N1833" s="727"/>
      <c r="O1833" s="727"/>
    </row>
    <row r="1834">
      <c r="A1834" s="733"/>
      <c r="B1834" s="6"/>
      <c r="D1834" s="727"/>
      <c r="E1834" s="729"/>
      <c r="F1834" s="727"/>
      <c r="J1834" s="727"/>
      <c r="K1834" s="727"/>
      <c r="L1834" s="727"/>
      <c r="M1834" s="727"/>
      <c r="N1834" s="727"/>
      <c r="O1834" s="727"/>
    </row>
    <row r="1835">
      <c r="A1835" s="733"/>
      <c r="B1835" s="6"/>
      <c r="D1835" s="727"/>
      <c r="E1835" s="729"/>
      <c r="F1835" s="727"/>
      <c r="J1835" s="727"/>
      <c r="K1835" s="727"/>
      <c r="L1835" s="727"/>
      <c r="M1835" s="727"/>
      <c r="N1835" s="727"/>
      <c r="O1835" s="727"/>
    </row>
    <row r="1836">
      <c r="A1836" s="733"/>
      <c r="B1836" s="6"/>
      <c r="D1836" s="727"/>
      <c r="E1836" s="729"/>
      <c r="F1836" s="727"/>
      <c r="J1836" s="727"/>
      <c r="K1836" s="727"/>
      <c r="L1836" s="727"/>
      <c r="M1836" s="727"/>
      <c r="N1836" s="727"/>
      <c r="O1836" s="727"/>
    </row>
    <row r="1837">
      <c r="A1837" s="733"/>
      <c r="B1837" s="6"/>
      <c r="D1837" s="727"/>
      <c r="E1837" s="729"/>
      <c r="F1837" s="727"/>
      <c r="J1837" s="727"/>
      <c r="K1837" s="727"/>
      <c r="L1837" s="727"/>
      <c r="M1837" s="727"/>
      <c r="N1837" s="727"/>
      <c r="O1837" s="727"/>
    </row>
    <row r="1838">
      <c r="A1838" s="733"/>
      <c r="B1838" s="6"/>
      <c r="D1838" s="727"/>
      <c r="E1838" s="729"/>
      <c r="F1838" s="727"/>
      <c r="J1838" s="727"/>
      <c r="K1838" s="727"/>
      <c r="L1838" s="727"/>
      <c r="M1838" s="727"/>
      <c r="N1838" s="727"/>
      <c r="O1838" s="727"/>
    </row>
    <row r="1839">
      <c r="A1839" s="733"/>
      <c r="B1839" s="6"/>
      <c r="D1839" s="727"/>
      <c r="E1839" s="729"/>
      <c r="F1839" s="727"/>
      <c r="J1839" s="727"/>
      <c r="K1839" s="727"/>
      <c r="L1839" s="727"/>
      <c r="M1839" s="727"/>
      <c r="N1839" s="727"/>
      <c r="O1839" s="727"/>
    </row>
    <row r="1840">
      <c r="A1840" s="733"/>
      <c r="B1840" s="6"/>
      <c r="D1840" s="727"/>
      <c r="E1840" s="729"/>
      <c r="F1840" s="727"/>
      <c r="J1840" s="727"/>
      <c r="K1840" s="727"/>
      <c r="L1840" s="727"/>
      <c r="M1840" s="727"/>
      <c r="N1840" s="727"/>
      <c r="O1840" s="727"/>
    </row>
    <row r="1841">
      <c r="A1841" s="733"/>
      <c r="B1841" s="6"/>
      <c r="D1841" s="727"/>
      <c r="E1841" s="729"/>
      <c r="F1841" s="727"/>
      <c r="J1841" s="727"/>
      <c r="K1841" s="727"/>
      <c r="L1841" s="727"/>
      <c r="M1841" s="727"/>
      <c r="N1841" s="727"/>
      <c r="O1841" s="727"/>
    </row>
    <row r="1842">
      <c r="A1842" s="733"/>
      <c r="B1842" s="6"/>
      <c r="D1842" s="727"/>
      <c r="E1842" s="729"/>
      <c r="F1842" s="727"/>
      <c r="J1842" s="727"/>
      <c r="K1842" s="727"/>
      <c r="L1842" s="727"/>
      <c r="M1842" s="727"/>
      <c r="N1842" s="727"/>
      <c r="O1842" s="727"/>
    </row>
    <row r="1843">
      <c r="A1843" s="733"/>
      <c r="B1843" s="6"/>
      <c r="D1843" s="727"/>
      <c r="E1843" s="729"/>
      <c r="F1843" s="727"/>
      <c r="J1843" s="727"/>
      <c r="K1843" s="727"/>
      <c r="L1843" s="727"/>
      <c r="M1843" s="727"/>
      <c r="N1843" s="727"/>
      <c r="O1843" s="727"/>
    </row>
    <row r="1844">
      <c r="A1844" s="733"/>
      <c r="B1844" s="6"/>
      <c r="D1844" s="727"/>
      <c r="E1844" s="729"/>
      <c r="F1844" s="727"/>
      <c r="J1844" s="727"/>
      <c r="K1844" s="727"/>
      <c r="L1844" s="727"/>
      <c r="M1844" s="727"/>
      <c r="N1844" s="727"/>
      <c r="O1844" s="727"/>
    </row>
    <row r="1845">
      <c r="A1845" s="733"/>
      <c r="B1845" s="6"/>
      <c r="D1845" s="727"/>
      <c r="E1845" s="729"/>
      <c r="F1845" s="727"/>
      <c r="J1845" s="727"/>
      <c r="K1845" s="727"/>
      <c r="L1845" s="727"/>
      <c r="M1845" s="727"/>
      <c r="N1845" s="727"/>
      <c r="O1845" s="727"/>
    </row>
    <row r="1846">
      <c r="A1846" s="733"/>
      <c r="B1846" s="6"/>
      <c r="D1846" s="727"/>
      <c r="E1846" s="729"/>
      <c r="F1846" s="727"/>
      <c r="J1846" s="727"/>
      <c r="K1846" s="727"/>
      <c r="L1846" s="727"/>
      <c r="M1846" s="727"/>
      <c r="N1846" s="727"/>
      <c r="O1846" s="727"/>
    </row>
    <row r="1847">
      <c r="A1847" s="733"/>
      <c r="B1847" s="6"/>
      <c r="D1847" s="727"/>
      <c r="E1847" s="729"/>
      <c r="F1847" s="727"/>
      <c r="J1847" s="727"/>
      <c r="K1847" s="727"/>
      <c r="L1847" s="727"/>
      <c r="M1847" s="727"/>
      <c r="N1847" s="727"/>
      <c r="O1847" s="727"/>
    </row>
    <row r="1848">
      <c r="A1848" s="733"/>
      <c r="B1848" s="6"/>
      <c r="D1848" s="727"/>
      <c r="E1848" s="729"/>
      <c r="F1848" s="727"/>
      <c r="J1848" s="727"/>
      <c r="K1848" s="727"/>
      <c r="L1848" s="727"/>
      <c r="M1848" s="727"/>
      <c r="N1848" s="727"/>
      <c r="O1848" s="727"/>
    </row>
    <row r="1849">
      <c r="A1849" s="733"/>
      <c r="B1849" s="6"/>
      <c r="D1849" s="727"/>
      <c r="E1849" s="729"/>
      <c r="F1849" s="727"/>
      <c r="J1849" s="727"/>
      <c r="K1849" s="727"/>
      <c r="L1849" s="727"/>
      <c r="M1849" s="727"/>
      <c r="N1849" s="727"/>
      <c r="O1849" s="727"/>
    </row>
    <row r="1850">
      <c r="A1850" s="733"/>
      <c r="B1850" s="6"/>
      <c r="D1850" s="727"/>
      <c r="E1850" s="729"/>
      <c r="F1850" s="727"/>
      <c r="J1850" s="727"/>
      <c r="K1850" s="727"/>
      <c r="L1850" s="727"/>
      <c r="M1850" s="727"/>
      <c r="N1850" s="727"/>
      <c r="O1850" s="727"/>
    </row>
    <row r="1851">
      <c r="A1851" s="733"/>
      <c r="B1851" s="6"/>
      <c r="D1851" s="727"/>
      <c r="E1851" s="729"/>
      <c r="F1851" s="727"/>
      <c r="J1851" s="727"/>
      <c r="K1851" s="727"/>
      <c r="L1851" s="727"/>
      <c r="M1851" s="727"/>
      <c r="N1851" s="727"/>
      <c r="O1851" s="727"/>
    </row>
    <row r="1852">
      <c r="A1852" s="733"/>
      <c r="B1852" s="6"/>
      <c r="D1852" s="727"/>
      <c r="E1852" s="729"/>
      <c r="F1852" s="727"/>
      <c r="J1852" s="727"/>
      <c r="K1852" s="727"/>
      <c r="L1852" s="727"/>
      <c r="M1852" s="727"/>
      <c r="N1852" s="727"/>
      <c r="O1852" s="727"/>
    </row>
    <row r="1853">
      <c r="A1853" s="733"/>
      <c r="B1853" s="6"/>
      <c r="D1853" s="727"/>
      <c r="E1853" s="729"/>
      <c r="F1853" s="727"/>
      <c r="J1853" s="727"/>
      <c r="K1853" s="727"/>
      <c r="L1853" s="727"/>
      <c r="M1853" s="727"/>
      <c r="N1853" s="727"/>
      <c r="O1853" s="727"/>
    </row>
    <row r="1854">
      <c r="A1854" s="733"/>
      <c r="B1854" s="6"/>
      <c r="D1854" s="727"/>
      <c r="E1854" s="729"/>
      <c r="F1854" s="727"/>
      <c r="J1854" s="727"/>
      <c r="K1854" s="727"/>
      <c r="L1854" s="727"/>
      <c r="M1854" s="727"/>
      <c r="N1854" s="727"/>
      <c r="O1854" s="727"/>
    </row>
    <row r="1855">
      <c r="A1855" s="733"/>
      <c r="B1855" s="6"/>
      <c r="D1855" s="727"/>
      <c r="E1855" s="729"/>
      <c r="F1855" s="727"/>
      <c r="J1855" s="727"/>
      <c r="K1855" s="727"/>
      <c r="L1855" s="727"/>
      <c r="M1855" s="727"/>
      <c r="N1855" s="727"/>
      <c r="O1855" s="727"/>
    </row>
    <row r="1856">
      <c r="A1856" s="733"/>
      <c r="B1856" s="6"/>
      <c r="D1856" s="727"/>
      <c r="E1856" s="729"/>
      <c r="F1856" s="727"/>
      <c r="J1856" s="727"/>
      <c r="K1856" s="727"/>
      <c r="L1856" s="727"/>
      <c r="M1856" s="727"/>
      <c r="N1856" s="727"/>
      <c r="O1856" s="727"/>
    </row>
    <row r="1857">
      <c r="A1857" s="733"/>
      <c r="B1857" s="6"/>
      <c r="D1857" s="727"/>
      <c r="E1857" s="729"/>
      <c r="F1857" s="727"/>
      <c r="J1857" s="727"/>
      <c r="K1857" s="727"/>
      <c r="L1857" s="727"/>
      <c r="M1857" s="727"/>
      <c r="N1857" s="727"/>
      <c r="O1857" s="727"/>
    </row>
    <row r="1858">
      <c r="A1858" s="733"/>
      <c r="B1858" s="6"/>
      <c r="D1858" s="727"/>
      <c r="E1858" s="729"/>
      <c r="F1858" s="727"/>
      <c r="J1858" s="727"/>
      <c r="K1858" s="727"/>
      <c r="L1858" s="727"/>
      <c r="M1858" s="727"/>
      <c r="N1858" s="727"/>
      <c r="O1858" s="727"/>
    </row>
    <row r="1859">
      <c r="A1859" s="733"/>
      <c r="B1859" s="6"/>
      <c r="D1859" s="727"/>
      <c r="E1859" s="729"/>
      <c r="F1859" s="727"/>
      <c r="J1859" s="727"/>
      <c r="K1859" s="727"/>
      <c r="L1859" s="727"/>
      <c r="M1859" s="727"/>
      <c r="N1859" s="727"/>
      <c r="O1859" s="727"/>
    </row>
    <row r="1860">
      <c r="A1860" s="733"/>
      <c r="B1860" s="6"/>
      <c r="D1860" s="727"/>
      <c r="E1860" s="729"/>
      <c r="F1860" s="727"/>
      <c r="J1860" s="727"/>
      <c r="K1860" s="727"/>
      <c r="L1860" s="727"/>
      <c r="M1860" s="727"/>
      <c r="N1860" s="727"/>
      <c r="O1860" s="727"/>
    </row>
    <row r="1861">
      <c r="A1861" s="733"/>
      <c r="B1861" s="6"/>
      <c r="D1861" s="727"/>
      <c r="E1861" s="729"/>
      <c r="F1861" s="727"/>
      <c r="J1861" s="727"/>
      <c r="K1861" s="727"/>
      <c r="L1861" s="727"/>
      <c r="M1861" s="727"/>
      <c r="N1861" s="727"/>
      <c r="O1861" s="727"/>
    </row>
    <row r="1862">
      <c r="A1862" s="733"/>
      <c r="B1862" s="6"/>
      <c r="D1862" s="727"/>
      <c r="E1862" s="729"/>
      <c r="F1862" s="727"/>
      <c r="J1862" s="727"/>
      <c r="K1862" s="727"/>
      <c r="L1862" s="727"/>
      <c r="M1862" s="727"/>
      <c r="N1862" s="727"/>
      <c r="O1862" s="727"/>
    </row>
    <row r="1863">
      <c r="A1863" s="733"/>
      <c r="B1863" s="6"/>
      <c r="D1863" s="727"/>
      <c r="E1863" s="729"/>
      <c r="F1863" s="727"/>
      <c r="J1863" s="727"/>
      <c r="K1863" s="727"/>
      <c r="L1863" s="727"/>
      <c r="M1863" s="727"/>
      <c r="N1863" s="727"/>
      <c r="O1863" s="727"/>
    </row>
    <row r="1864">
      <c r="A1864" s="733"/>
      <c r="B1864" s="6"/>
      <c r="D1864" s="727"/>
      <c r="E1864" s="729"/>
      <c r="F1864" s="727"/>
      <c r="J1864" s="727"/>
      <c r="K1864" s="727"/>
      <c r="L1864" s="727"/>
      <c r="M1864" s="727"/>
      <c r="N1864" s="727"/>
      <c r="O1864" s="727"/>
    </row>
    <row r="1865">
      <c r="A1865" s="733"/>
      <c r="B1865" s="6"/>
      <c r="D1865" s="727"/>
      <c r="E1865" s="729"/>
      <c r="F1865" s="727"/>
      <c r="J1865" s="727"/>
      <c r="K1865" s="727"/>
      <c r="L1865" s="727"/>
      <c r="M1865" s="727"/>
      <c r="N1865" s="727"/>
      <c r="O1865" s="727"/>
    </row>
    <row r="1866">
      <c r="A1866" s="733"/>
      <c r="B1866" s="6"/>
      <c r="D1866" s="727"/>
      <c r="E1866" s="729"/>
      <c r="F1866" s="727"/>
      <c r="J1866" s="727"/>
      <c r="K1866" s="727"/>
      <c r="L1866" s="727"/>
      <c r="M1866" s="727"/>
      <c r="N1866" s="727"/>
      <c r="O1866" s="727"/>
    </row>
    <row r="1867">
      <c r="A1867" s="733"/>
      <c r="B1867" s="6"/>
      <c r="D1867" s="727"/>
      <c r="E1867" s="729"/>
      <c r="F1867" s="727"/>
      <c r="J1867" s="727"/>
      <c r="K1867" s="727"/>
      <c r="L1867" s="727"/>
      <c r="M1867" s="727"/>
      <c r="N1867" s="727"/>
      <c r="O1867" s="727"/>
    </row>
    <row r="1868">
      <c r="A1868" s="733"/>
      <c r="B1868" s="6"/>
      <c r="D1868" s="727"/>
      <c r="E1868" s="729"/>
      <c r="F1868" s="727"/>
      <c r="J1868" s="727"/>
      <c r="K1868" s="727"/>
      <c r="L1868" s="727"/>
      <c r="M1868" s="727"/>
      <c r="N1868" s="727"/>
      <c r="O1868" s="727"/>
    </row>
    <row r="1869">
      <c r="A1869" s="733"/>
      <c r="B1869" s="6"/>
      <c r="D1869" s="727"/>
      <c r="E1869" s="729"/>
      <c r="F1869" s="727"/>
      <c r="J1869" s="727"/>
      <c r="K1869" s="727"/>
      <c r="L1869" s="727"/>
      <c r="M1869" s="727"/>
      <c r="N1869" s="727"/>
      <c r="O1869" s="727"/>
    </row>
    <row r="1870">
      <c r="A1870" s="733"/>
      <c r="B1870" s="6"/>
      <c r="D1870" s="727"/>
      <c r="E1870" s="729"/>
      <c r="F1870" s="727"/>
      <c r="J1870" s="727"/>
      <c r="K1870" s="727"/>
      <c r="L1870" s="727"/>
      <c r="M1870" s="727"/>
      <c r="N1870" s="727"/>
      <c r="O1870" s="727"/>
    </row>
    <row r="1871">
      <c r="A1871" s="733"/>
      <c r="B1871" s="6"/>
      <c r="D1871" s="727"/>
      <c r="E1871" s="729"/>
      <c r="F1871" s="727"/>
      <c r="J1871" s="727"/>
      <c r="K1871" s="727"/>
      <c r="L1871" s="727"/>
      <c r="M1871" s="727"/>
      <c r="N1871" s="727"/>
      <c r="O1871" s="727"/>
    </row>
    <row r="1872">
      <c r="A1872" s="733"/>
      <c r="B1872" s="6"/>
      <c r="D1872" s="727"/>
      <c r="E1872" s="729"/>
      <c r="F1872" s="727"/>
      <c r="J1872" s="727"/>
      <c r="K1872" s="727"/>
      <c r="L1872" s="727"/>
      <c r="M1872" s="727"/>
      <c r="N1872" s="727"/>
      <c r="O1872" s="727"/>
    </row>
    <row r="1873">
      <c r="A1873" s="733"/>
      <c r="B1873" s="6"/>
      <c r="D1873" s="727"/>
      <c r="E1873" s="729"/>
      <c r="F1873" s="727"/>
      <c r="J1873" s="727"/>
      <c r="K1873" s="727"/>
      <c r="L1873" s="727"/>
      <c r="M1873" s="727"/>
      <c r="N1873" s="727"/>
      <c r="O1873" s="727"/>
    </row>
    <row r="1874">
      <c r="A1874" s="733"/>
      <c r="B1874" s="6"/>
      <c r="D1874" s="727"/>
      <c r="E1874" s="729"/>
      <c r="F1874" s="727"/>
      <c r="J1874" s="727"/>
      <c r="K1874" s="727"/>
      <c r="L1874" s="727"/>
      <c r="M1874" s="727"/>
      <c r="N1874" s="727"/>
      <c r="O1874" s="727"/>
    </row>
    <row r="1875">
      <c r="A1875" s="733"/>
      <c r="B1875" s="6"/>
      <c r="D1875" s="727"/>
      <c r="E1875" s="729"/>
      <c r="F1875" s="727"/>
      <c r="J1875" s="727"/>
      <c r="K1875" s="727"/>
      <c r="L1875" s="727"/>
      <c r="M1875" s="727"/>
      <c r="N1875" s="727"/>
      <c r="O1875" s="727"/>
    </row>
    <row r="1876">
      <c r="A1876" s="733"/>
      <c r="B1876" s="6"/>
      <c r="D1876" s="727"/>
      <c r="E1876" s="729"/>
      <c r="F1876" s="727"/>
      <c r="J1876" s="727"/>
      <c r="K1876" s="727"/>
      <c r="L1876" s="727"/>
      <c r="M1876" s="727"/>
      <c r="N1876" s="727"/>
      <c r="O1876" s="727"/>
    </row>
    <row r="1877">
      <c r="A1877" s="733"/>
      <c r="B1877" s="6"/>
      <c r="D1877" s="727"/>
      <c r="E1877" s="729"/>
      <c r="F1877" s="727"/>
      <c r="J1877" s="727"/>
      <c r="K1877" s="727"/>
      <c r="L1877" s="727"/>
      <c r="M1877" s="727"/>
      <c r="N1877" s="727"/>
      <c r="O1877" s="727"/>
    </row>
    <row r="1878">
      <c r="A1878" s="733"/>
      <c r="B1878" s="6"/>
      <c r="D1878" s="727"/>
      <c r="E1878" s="729"/>
      <c r="F1878" s="727"/>
      <c r="J1878" s="727"/>
      <c r="K1878" s="727"/>
      <c r="L1878" s="727"/>
      <c r="M1878" s="727"/>
      <c r="N1878" s="727"/>
      <c r="O1878" s="727"/>
    </row>
    <row r="1879">
      <c r="A1879" s="733"/>
      <c r="B1879" s="6"/>
      <c r="D1879" s="727"/>
      <c r="E1879" s="729"/>
      <c r="F1879" s="727"/>
      <c r="J1879" s="727"/>
      <c r="K1879" s="727"/>
      <c r="L1879" s="727"/>
      <c r="M1879" s="727"/>
      <c r="N1879" s="727"/>
      <c r="O1879" s="727"/>
    </row>
    <row r="1880">
      <c r="A1880" s="733"/>
      <c r="B1880" s="6"/>
      <c r="D1880" s="727"/>
      <c r="E1880" s="729"/>
      <c r="F1880" s="727"/>
      <c r="J1880" s="727"/>
      <c r="K1880" s="727"/>
      <c r="L1880" s="727"/>
      <c r="M1880" s="727"/>
      <c r="N1880" s="727"/>
      <c r="O1880" s="727"/>
    </row>
    <row r="1881">
      <c r="A1881" s="733"/>
      <c r="B1881" s="6"/>
      <c r="D1881" s="727"/>
      <c r="E1881" s="729"/>
      <c r="F1881" s="727"/>
      <c r="J1881" s="727"/>
      <c r="K1881" s="727"/>
      <c r="L1881" s="727"/>
      <c r="M1881" s="727"/>
      <c r="N1881" s="727"/>
      <c r="O1881" s="727"/>
    </row>
    <row r="1882">
      <c r="A1882" s="733"/>
      <c r="B1882" s="6"/>
      <c r="D1882" s="727"/>
      <c r="E1882" s="729"/>
      <c r="F1882" s="727"/>
      <c r="J1882" s="727"/>
      <c r="K1882" s="727"/>
      <c r="L1882" s="727"/>
      <c r="M1882" s="727"/>
      <c r="N1882" s="727"/>
      <c r="O1882" s="727"/>
    </row>
    <row r="1883">
      <c r="A1883" s="733"/>
      <c r="B1883" s="6"/>
      <c r="D1883" s="727"/>
      <c r="E1883" s="729"/>
      <c r="F1883" s="727"/>
      <c r="J1883" s="727"/>
      <c r="K1883" s="727"/>
      <c r="L1883" s="727"/>
      <c r="M1883" s="727"/>
      <c r="N1883" s="727"/>
      <c r="O1883" s="727"/>
    </row>
    <row r="1884">
      <c r="A1884" s="733"/>
      <c r="B1884" s="6"/>
      <c r="D1884" s="727"/>
      <c r="E1884" s="729"/>
      <c r="F1884" s="727"/>
      <c r="J1884" s="727"/>
      <c r="K1884" s="727"/>
      <c r="L1884" s="727"/>
      <c r="M1884" s="727"/>
      <c r="N1884" s="727"/>
      <c r="O1884" s="727"/>
    </row>
    <row r="1885">
      <c r="A1885" s="733"/>
      <c r="B1885" s="6"/>
      <c r="D1885" s="727"/>
      <c r="E1885" s="729"/>
      <c r="F1885" s="727"/>
      <c r="J1885" s="727"/>
      <c r="K1885" s="727"/>
      <c r="L1885" s="727"/>
      <c r="M1885" s="727"/>
      <c r="N1885" s="727"/>
      <c r="O1885" s="727"/>
    </row>
    <row r="1886">
      <c r="A1886" s="733"/>
      <c r="B1886" s="6"/>
      <c r="D1886" s="727"/>
      <c r="E1886" s="729"/>
      <c r="F1886" s="727"/>
      <c r="J1886" s="727"/>
      <c r="K1886" s="727"/>
      <c r="L1886" s="727"/>
      <c r="M1886" s="727"/>
      <c r="N1886" s="727"/>
      <c r="O1886" s="727"/>
    </row>
    <row r="1887">
      <c r="A1887" s="733"/>
      <c r="B1887" s="6"/>
      <c r="D1887" s="727"/>
      <c r="E1887" s="729"/>
      <c r="F1887" s="727"/>
      <c r="J1887" s="727"/>
      <c r="K1887" s="727"/>
      <c r="L1887" s="727"/>
      <c r="M1887" s="727"/>
      <c r="N1887" s="727"/>
      <c r="O1887" s="727"/>
    </row>
    <row r="1888">
      <c r="A1888" s="733"/>
      <c r="B1888" s="6"/>
      <c r="D1888" s="727"/>
      <c r="E1888" s="729"/>
      <c r="F1888" s="727"/>
      <c r="J1888" s="727"/>
      <c r="K1888" s="727"/>
      <c r="L1888" s="727"/>
      <c r="M1888" s="727"/>
      <c r="N1888" s="727"/>
      <c r="O1888" s="727"/>
    </row>
    <row r="1889">
      <c r="A1889" s="733"/>
      <c r="B1889" s="6"/>
      <c r="D1889" s="727"/>
      <c r="E1889" s="729"/>
      <c r="F1889" s="727"/>
      <c r="J1889" s="727"/>
      <c r="K1889" s="727"/>
      <c r="L1889" s="727"/>
      <c r="M1889" s="727"/>
      <c r="N1889" s="727"/>
      <c r="O1889" s="727"/>
    </row>
    <row r="1890">
      <c r="A1890" s="733"/>
      <c r="B1890" s="6"/>
      <c r="D1890" s="727"/>
      <c r="E1890" s="729"/>
      <c r="F1890" s="727"/>
      <c r="J1890" s="727"/>
      <c r="K1890" s="727"/>
      <c r="L1890" s="727"/>
      <c r="M1890" s="727"/>
      <c r="N1890" s="727"/>
      <c r="O1890" s="727"/>
    </row>
    <row r="1891">
      <c r="A1891" s="733"/>
      <c r="B1891" s="6"/>
      <c r="D1891" s="727"/>
      <c r="E1891" s="729"/>
      <c r="F1891" s="727"/>
      <c r="J1891" s="727"/>
      <c r="K1891" s="727"/>
      <c r="L1891" s="727"/>
      <c r="M1891" s="727"/>
      <c r="N1891" s="727"/>
      <c r="O1891" s="727"/>
    </row>
    <row r="1892">
      <c r="A1892" s="733"/>
      <c r="B1892" s="6"/>
      <c r="D1892" s="727"/>
      <c r="E1892" s="729"/>
      <c r="F1892" s="727"/>
      <c r="J1892" s="727"/>
      <c r="K1892" s="727"/>
      <c r="L1892" s="727"/>
      <c r="M1892" s="727"/>
      <c r="N1892" s="727"/>
      <c r="O1892" s="727"/>
    </row>
    <row r="1893">
      <c r="A1893" s="733"/>
      <c r="B1893" s="6"/>
      <c r="D1893" s="727"/>
      <c r="E1893" s="729"/>
      <c r="F1893" s="727"/>
      <c r="J1893" s="727"/>
      <c r="K1893" s="727"/>
      <c r="L1893" s="727"/>
      <c r="M1893" s="727"/>
      <c r="N1893" s="727"/>
      <c r="O1893" s="727"/>
    </row>
    <row r="1894">
      <c r="A1894" s="733"/>
      <c r="B1894" s="6"/>
      <c r="D1894" s="727"/>
      <c r="E1894" s="729"/>
      <c r="F1894" s="727"/>
      <c r="J1894" s="727"/>
      <c r="K1894" s="727"/>
      <c r="L1894" s="727"/>
      <c r="M1894" s="727"/>
      <c r="N1894" s="727"/>
      <c r="O1894" s="727"/>
    </row>
    <row r="1895">
      <c r="A1895" s="733"/>
      <c r="B1895" s="6"/>
      <c r="D1895" s="727"/>
      <c r="E1895" s="729"/>
      <c r="F1895" s="727"/>
      <c r="J1895" s="727"/>
      <c r="K1895" s="727"/>
      <c r="L1895" s="727"/>
      <c r="M1895" s="727"/>
      <c r="N1895" s="727"/>
      <c r="O1895" s="727"/>
    </row>
    <row r="1896">
      <c r="A1896" s="733"/>
      <c r="B1896" s="6"/>
      <c r="D1896" s="727"/>
      <c r="E1896" s="729"/>
      <c r="F1896" s="727"/>
      <c r="J1896" s="727"/>
      <c r="K1896" s="727"/>
      <c r="L1896" s="727"/>
      <c r="M1896" s="727"/>
      <c r="N1896" s="727"/>
      <c r="O1896" s="727"/>
    </row>
    <row r="1897">
      <c r="A1897" s="733"/>
      <c r="B1897" s="6"/>
      <c r="D1897" s="727"/>
      <c r="E1897" s="729"/>
      <c r="F1897" s="727"/>
      <c r="J1897" s="727"/>
      <c r="K1897" s="727"/>
      <c r="L1897" s="727"/>
      <c r="M1897" s="727"/>
      <c r="N1897" s="727"/>
      <c r="O1897" s="727"/>
    </row>
    <row r="1898">
      <c r="A1898" s="733"/>
      <c r="B1898" s="6"/>
      <c r="D1898" s="727"/>
      <c r="E1898" s="729"/>
      <c r="F1898" s="727"/>
      <c r="J1898" s="727"/>
      <c r="K1898" s="727"/>
      <c r="L1898" s="727"/>
      <c r="M1898" s="727"/>
      <c r="N1898" s="727"/>
      <c r="O1898" s="727"/>
    </row>
    <row r="1899">
      <c r="A1899" s="733"/>
      <c r="B1899" s="6"/>
      <c r="D1899" s="727"/>
      <c r="E1899" s="729"/>
      <c r="F1899" s="727"/>
      <c r="J1899" s="727"/>
      <c r="K1899" s="727"/>
      <c r="L1899" s="727"/>
      <c r="M1899" s="727"/>
      <c r="N1899" s="727"/>
      <c r="O1899" s="727"/>
    </row>
    <row r="1900">
      <c r="A1900" s="733"/>
      <c r="B1900" s="6"/>
      <c r="D1900" s="727"/>
      <c r="E1900" s="729"/>
      <c r="F1900" s="727"/>
      <c r="J1900" s="727"/>
      <c r="K1900" s="727"/>
      <c r="L1900" s="727"/>
      <c r="M1900" s="727"/>
      <c r="N1900" s="727"/>
      <c r="O1900" s="727"/>
    </row>
    <row r="1901">
      <c r="A1901" s="733"/>
      <c r="B1901" s="6"/>
      <c r="D1901" s="727"/>
      <c r="E1901" s="729"/>
      <c r="F1901" s="727"/>
      <c r="J1901" s="727"/>
      <c r="K1901" s="727"/>
      <c r="L1901" s="727"/>
      <c r="M1901" s="727"/>
      <c r="N1901" s="727"/>
      <c r="O1901" s="727"/>
    </row>
    <row r="1902">
      <c r="A1902" s="733"/>
      <c r="B1902" s="6"/>
      <c r="D1902" s="727"/>
      <c r="E1902" s="729"/>
      <c r="F1902" s="727"/>
      <c r="J1902" s="727"/>
      <c r="K1902" s="727"/>
      <c r="L1902" s="727"/>
      <c r="M1902" s="727"/>
      <c r="N1902" s="727"/>
      <c r="O1902" s="727"/>
    </row>
    <row r="1903">
      <c r="A1903" s="733"/>
      <c r="B1903" s="6"/>
      <c r="D1903" s="727"/>
      <c r="E1903" s="729"/>
      <c r="F1903" s="727"/>
      <c r="J1903" s="727"/>
      <c r="K1903" s="727"/>
      <c r="L1903" s="727"/>
      <c r="M1903" s="727"/>
      <c r="N1903" s="727"/>
      <c r="O1903" s="727"/>
    </row>
    <row r="1904">
      <c r="A1904" s="733"/>
      <c r="B1904" s="6"/>
      <c r="D1904" s="727"/>
      <c r="E1904" s="729"/>
      <c r="F1904" s="727"/>
      <c r="J1904" s="727"/>
      <c r="K1904" s="727"/>
      <c r="L1904" s="727"/>
      <c r="M1904" s="727"/>
      <c r="N1904" s="727"/>
      <c r="O1904" s="727"/>
    </row>
    <row r="1905">
      <c r="A1905" s="733"/>
      <c r="B1905" s="6"/>
      <c r="D1905" s="727"/>
      <c r="E1905" s="729"/>
      <c r="F1905" s="727"/>
      <c r="J1905" s="727"/>
      <c r="K1905" s="727"/>
      <c r="L1905" s="727"/>
      <c r="M1905" s="727"/>
      <c r="N1905" s="727"/>
      <c r="O1905" s="727"/>
    </row>
    <row r="1906">
      <c r="A1906" s="733"/>
      <c r="B1906" s="6"/>
      <c r="D1906" s="727"/>
      <c r="E1906" s="729"/>
      <c r="F1906" s="727"/>
      <c r="J1906" s="727"/>
      <c r="K1906" s="727"/>
      <c r="L1906" s="727"/>
      <c r="M1906" s="727"/>
      <c r="N1906" s="727"/>
      <c r="O1906" s="727"/>
    </row>
    <row r="1907">
      <c r="A1907" s="733"/>
      <c r="B1907" s="6"/>
      <c r="D1907" s="727"/>
      <c r="E1907" s="729"/>
      <c r="F1907" s="727"/>
      <c r="J1907" s="727"/>
      <c r="K1907" s="727"/>
      <c r="L1907" s="727"/>
      <c r="M1907" s="727"/>
      <c r="N1907" s="727"/>
      <c r="O1907" s="727"/>
    </row>
    <row r="1908">
      <c r="A1908" s="733"/>
      <c r="B1908" s="6"/>
      <c r="D1908" s="727"/>
      <c r="E1908" s="729"/>
      <c r="F1908" s="727"/>
      <c r="J1908" s="727"/>
      <c r="K1908" s="727"/>
      <c r="L1908" s="727"/>
      <c r="M1908" s="727"/>
      <c r="N1908" s="727"/>
      <c r="O1908" s="727"/>
    </row>
    <row r="1909">
      <c r="A1909" s="733"/>
      <c r="B1909" s="6"/>
      <c r="D1909" s="727"/>
      <c r="E1909" s="729"/>
      <c r="F1909" s="727"/>
      <c r="J1909" s="727"/>
      <c r="K1909" s="727"/>
      <c r="L1909" s="727"/>
      <c r="M1909" s="727"/>
      <c r="N1909" s="727"/>
      <c r="O1909" s="727"/>
    </row>
    <row r="1910">
      <c r="A1910" s="733"/>
      <c r="B1910" s="6"/>
      <c r="D1910" s="727"/>
      <c r="E1910" s="729"/>
      <c r="F1910" s="727"/>
      <c r="J1910" s="727"/>
      <c r="K1910" s="727"/>
      <c r="L1910" s="727"/>
      <c r="M1910" s="727"/>
      <c r="N1910" s="727"/>
      <c r="O1910" s="727"/>
    </row>
    <row r="1911">
      <c r="A1911" s="733"/>
      <c r="B1911" s="6"/>
      <c r="D1911" s="727"/>
      <c r="E1911" s="729"/>
      <c r="F1911" s="727"/>
      <c r="J1911" s="727"/>
      <c r="K1911" s="727"/>
      <c r="L1911" s="727"/>
      <c r="M1911" s="727"/>
      <c r="N1911" s="727"/>
      <c r="O1911" s="727"/>
    </row>
    <row r="1912">
      <c r="A1912" s="733"/>
      <c r="B1912" s="6"/>
      <c r="D1912" s="727"/>
      <c r="E1912" s="729"/>
      <c r="F1912" s="727"/>
      <c r="J1912" s="727"/>
      <c r="K1912" s="727"/>
      <c r="L1912" s="727"/>
      <c r="M1912" s="727"/>
      <c r="N1912" s="727"/>
      <c r="O1912" s="727"/>
    </row>
    <row r="1913">
      <c r="A1913" s="733"/>
      <c r="B1913" s="6"/>
      <c r="D1913" s="727"/>
      <c r="E1913" s="729"/>
      <c r="F1913" s="727"/>
      <c r="J1913" s="727"/>
      <c r="K1913" s="727"/>
      <c r="L1913" s="727"/>
      <c r="M1913" s="727"/>
      <c r="N1913" s="727"/>
      <c r="O1913" s="727"/>
    </row>
    <row r="1914">
      <c r="A1914" s="733"/>
      <c r="B1914" s="6"/>
      <c r="D1914" s="727"/>
      <c r="E1914" s="729"/>
      <c r="F1914" s="727"/>
      <c r="J1914" s="727"/>
      <c r="K1914" s="727"/>
      <c r="L1914" s="727"/>
      <c r="M1914" s="727"/>
      <c r="N1914" s="727"/>
      <c r="O1914" s="727"/>
    </row>
    <row r="1915">
      <c r="A1915" s="733"/>
      <c r="B1915" s="6"/>
      <c r="D1915" s="727"/>
      <c r="E1915" s="729"/>
      <c r="F1915" s="727"/>
      <c r="J1915" s="727"/>
      <c r="K1915" s="727"/>
      <c r="L1915" s="727"/>
      <c r="M1915" s="727"/>
      <c r="N1915" s="727"/>
      <c r="O1915" s="727"/>
    </row>
    <row r="1916">
      <c r="A1916" s="733"/>
      <c r="B1916" s="6"/>
      <c r="D1916" s="727"/>
      <c r="E1916" s="729"/>
      <c r="F1916" s="727"/>
      <c r="J1916" s="727"/>
      <c r="K1916" s="727"/>
      <c r="L1916" s="727"/>
      <c r="M1916" s="727"/>
      <c r="N1916" s="727"/>
      <c r="O1916" s="727"/>
    </row>
    <row r="1917">
      <c r="A1917" s="733"/>
      <c r="B1917" s="6"/>
      <c r="D1917" s="727"/>
      <c r="E1917" s="729"/>
      <c r="F1917" s="727"/>
      <c r="J1917" s="727"/>
      <c r="K1917" s="727"/>
      <c r="L1917" s="727"/>
      <c r="M1917" s="727"/>
      <c r="N1917" s="727"/>
      <c r="O1917" s="727"/>
    </row>
    <row r="1918">
      <c r="A1918" s="733"/>
      <c r="B1918" s="6"/>
      <c r="D1918" s="727"/>
      <c r="E1918" s="729"/>
      <c r="F1918" s="727"/>
      <c r="J1918" s="727"/>
      <c r="K1918" s="727"/>
      <c r="L1918" s="727"/>
      <c r="M1918" s="727"/>
      <c r="N1918" s="727"/>
      <c r="O1918" s="727"/>
    </row>
    <row r="1919">
      <c r="A1919" s="733"/>
      <c r="B1919" s="6"/>
      <c r="D1919" s="727"/>
      <c r="E1919" s="729"/>
      <c r="F1919" s="727"/>
      <c r="J1919" s="727"/>
      <c r="K1919" s="727"/>
      <c r="L1919" s="727"/>
      <c r="M1919" s="727"/>
      <c r="N1919" s="727"/>
      <c r="O1919" s="727"/>
    </row>
    <row r="1920">
      <c r="A1920" s="733"/>
      <c r="B1920" s="6"/>
      <c r="D1920" s="727"/>
      <c r="E1920" s="729"/>
      <c r="F1920" s="727"/>
      <c r="J1920" s="727"/>
      <c r="K1920" s="727"/>
      <c r="L1920" s="727"/>
      <c r="M1920" s="727"/>
      <c r="N1920" s="727"/>
      <c r="O1920" s="727"/>
    </row>
    <row r="1921">
      <c r="A1921" s="733"/>
      <c r="B1921" s="6"/>
      <c r="D1921" s="727"/>
      <c r="E1921" s="729"/>
      <c r="F1921" s="727"/>
      <c r="J1921" s="727"/>
      <c r="K1921" s="727"/>
      <c r="L1921" s="727"/>
      <c r="M1921" s="727"/>
      <c r="N1921" s="727"/>
      <c r="O1921" s="727"/>
    </row>
    <row r="1922">
      <c r="A1922" s="733"/>
      <c r="B1922" s="6"/>
      <c r="D1922" s="727"/>
      <c r="E1922" s="729"/>
      <c r="F1922" s="727"/>
      <c r="J1922" s="727"/>
      <c r="K1922" s="727"/>
      <c r="L1922" s="727"/>
      <c r="M1922" s="727"/>
      <c r="N1922" s="727"/>
      <c r="O1922" s="727"/>
    </row>
    <row r="1923">
      <c r="A1923" s="733"/>
      <c r="B1923" s="6"/>
      <c r="D1923" s="727"/>
      <c r="E1923" s="729"/>
      <c r="F1923" s="727"/>
      <c r="J1923" s="727"/>
      <c r="K1923" s="727"/>
      <c r="L1923" s="727"/>
      <c r="M1923" s="727"/>
      <c r="N1923" s="727"/>
      <c r="O1923" s="727"/>
    </row>
    <row r="1924">
      <c r="A1924" s="733"/>
      <c r="B1924" s="6"/>
      <c r="D1924" s="727"/>
      <c r="E1924" s="729"/>
      <c r="F1924" s="727"/>
      <c r="J1924" s="727"/>
      <c r="K1924" s="727"/>
      <c r="L1924" s="727"/>
      <c r="M1924" s="727"/>
      <c r="N1924" s="727"/>
      <c r="O1924" s="727"/>
    </row>
    <row r="1925">
      <c r="A1925" s="733"/>
      <c r="B1925" s="6"/>
      <c r="D1925" s="727"/>
      <c r="E1925" s="729"/>
      <c r="F1925" s="727"/>
      <c r="J1925" s="727"/>
      <c r="K1925" s="727"/>
      <c r="L1925" s="727"/>
      <c r="M1925" s="727"/>
      <c r="N1925" s="727"/>
      <c r="O1925" s="727"/>
    </row>
    <row r="1926">
      <c r="A1926" s="733"/>
      <c r="B1926" s="6"/>
      <c r="D1926" s="727"/>
      <c r="E1926" s="729"/>
      <c r="F1926" s="727"/>
      <c r="J1926" s="727"/>
      <c r="K1926" s="727"/>
      <c r="L1926" s="727"/>
      <c r="M1926" s="727"/>
      <c r="N1926" s="727"/>
      <c r="O1926" s="727"/>
    </row>
    <row r="1927">
      <c r="A1927" s="733"/>
      <c r="B1927" s="6"/>
      <c r="D1927" s="727"/>
      <c r="E1927" s="729"/>
      <c r="F1927" s="727"/>
      <c r="J1927" s="727"/>
      <c r="K1927" s="727"/>
      <c r="L1927" s="727"/>
      <c r="M1927" s="727"/>
      <c r="N1927" s="727"/>
      <c r="O1927" s="727"/>
    </row>
    <row r="1928">
      <c r="A1928" s="733"/>
      <c r="B1928" s="6"/>
      <c r="D1928" s="727"/>
      <c r="E1928" s="729"/>
      <c r="F1928" s="727"/>
      <c r="J1928" s="727"/>
      <c r="K1928" s="727"/>
      <c r="L1928" s="727"/>
      <c r="M1928" s="727"/>
      <c r="N1928" s="727"/>
      <c r="O1928" s="727"/>
    </row>
    <row r="1929">
      <c r="A1929" s="733"/>
      <c r="B1929" s="6"/>
      <c r="D1929" s="727"/>
      <c r="E1929" s="729"/>
      <c r="F1929" s="727"/>
      <c r="J1929" s="727"/>
      <c r="K1929" s="727"/>
      <c r="L1929" s="727"/>
      <c r="M1929" s="727"/>
      <c r="N1929" s="727"/>
      <c r="O1929" s="727"/>
    </row>
    <row r="1930">
      <c r="A1930" s="733"/>
      <c r="B1930" s="6"/>
      <c r="D1930" s="727"/>
      <c r="E1930" s="729"/>
      <c r="F1930" s="727"/>
      <c r="J1930" s="727"/>
      <c r="K1930" s="727"/>
      <c r="L1930" s="727"/>
      <c r="M1930" s="727"/>
      <c r="N1930" s="727"/>
      <c r="O1930" s="727"/>
    </row>
    <row r="1931">
      <c r="A1931" s="733"/>
      <c r="B1931" s="6"/>
      <c r="D1931" s="727"/>
      <c r="E1931" s="729"/>
      <c r="F1931" s="727"/>
      <c r="J1931" s="727"/>
      <c r="K1931" s="727"/>
      <c r="L1931" s="727"/>
      <c r="M1931" s="727"/>
      <c r="N1931" s="727"/>
      <c r="O1931" s="727"/>
    </row>
    <row r="1932">
      <c r="A1932" s="733"/>
      <c r="B1932" s="6"/>
      <c r="D1932" s="727"/>
      <c r="E1932" s="729"/>
      <c r="F1932" s="727"/>
      <c r="J1932" s="727"/>
      <c r="K1932" s="727"/>
      <c r="L1932" s="727"/>
      <c r="M1932" s="727"/>
      <c r="N1932" s="727"/>
      <c r="O1932" s="727"/>
    </row>
    <row r="1933">
      <c r="A1933" s="733"/>
      <c r="B1933" s="6"/>
      <c r="D1933" s="727"/>
      <c r="E1933" s="729"/>
      <c r="F1933" s="727"/>
      <c r="J1933" s="727"/>
      <c r="K1933" s="727"/>
      <c r="L1933" s="727"/>
      <c r="M1933" s="727"/>
      <c r="N1933" s="727"/>
      <c r="O1933" s="727"/>
    </row>
    <row r="1934">
      <c r="A1934" s="733"/>
      <c r="B1934" s="6"/>
      <c r="D1934" s="727"/>
      <c r="E1934" s="729"/>
      <c r="F1934" s="727"/>
      <c r="J1934" s="727"/>
      <c r="K1934" s="727"/>
      <c r="L1934" s="727"/>
      <c r="M1934" s="727"/>
      <c r="N1934" s="727"/>
      <c r="O1934" s="727"/>
    </row>
    <row r="1935">
      <c r="A1935" s="733"/>
      <c r="B1935" s="6"/>
      <c r="D1935" s="727"/>
      <c r="E1935" s="729"/>
      <c r="F1935" s="727"/>
      <c r="J1935" s="727"/>
      <c r="K1935" s="727"/>
      <c r="L1935" s="727"/>
      <c r="M1935" s="727"/>
      <c r="N1935" s="727"/>
      <c r="O1935" s="727"/>
    </row>
    <row r="1936">
      <c r="A1936" s="733"/>
      <c r="B1936" s="6"/>
      <c r="D1936" s="727"/>
      <c r="E1936" s="729"/>
      <c r="F1936" s="727"/>
      <c r="J1936" s="727"/>
      <c r="K1936" s="727"/>
      <c r="L1936" s="727"/>
      <c r="M1936" s="727"/>
      <c r="N1936" s="727"/>
      <c r="O1936" s="727"/>
    </row>
    <row r="1937">
      <c r="A1937" s="733"/>
      <c r="B1937" s="6"/>
      <c r="D1937" s="727"/>
      <c r="E1937" s="729"/>
      <c r="F1937" s="727"/>
      <c r="J1937" s="727"/>
      <c r="K1937" s="727"/>
      <c r="L1937" s="727"/>
      <c r="M1937" s="727"/>
      <c r="N1937" s="727"/>
      <c r="O1937" s="727"/>
    </row>
    <row r="1938">
      <c r="A1938" s="733"/>
      <c r="B1938" s="6"/>
      <c r="D1938" s="727"/>
      <c r="E1938" s="729"/>
      <c r="F1938" s="727"/>
      <c r="J1938" s="727"/>
      <c r="K1938" s="727"/>
      <c r="L1938" s="727"/>
      <c r="M1938" s="727"/>
      <c r="N1938" s="727"/>
      <c r="O1938" s="727"/>
    </row>
    <row r="1939">
      <c r="A1939" s="733"/>
      <c r="B1939" s="6"/>
      <c r="D1939" s="727"/>
      <c r="E1939" s="729"/>
      <c r="F1939" s="727"/>
      <c r="J1939" s="727"/>
      <c r="K1939" s="727"/>
      <c r="L1939" s="727"/>
      <c r="M1939" s="727"/>
      <c r="N1939" s="727"/>
      <c r="O1939" s="727"/>
    </row>
    <row r="1940">
      <c r="A1940" s="733"/>
      <c r="B1940" s="6"/>
      <c r="D1940" s="727"/>
      <c r="E1940" s="729"/>
      <c r="F1940" s="727"/>
      <c r="J1940" s="727"/>
      <c r="K1940" s="727"/>
      <c r="L1940" s="727"/>
      <c r="M1940" s="727"/>
      <c r="N1940" s="727"/>
      <c r="O1940" s="727"/>
    </row>
    <row r="1941">
      <c r="A1941" s="733"/>
      <c r="B1941" s="6"/>
      <c r="D1941" s="727"/>
      <c r="E1941" s="729"/>
      <c r="F1941" s="727"/>
      <c r="J1941" s="727"/>
      <c r="K1941" s="727"/>
      <c r="L1941" s="727"/>
      <c r="M1941" s="727"/>
      <c r="N1941" s="727"/>
      <c r="O1941" s="727"/>
    </row>
    <row r="1942">
      <c r="A1942" s="733"/>
      <c r="B1942" s="6"/>
      <c r="D1942" s="727"/>
      <c r="E1942" s="729"/>
      <c r="F1942" s="727"/>
      <c r="J1942" s="727"/>
      <c r="K1942" s="727"/>
      <c r="L1942" s="727"/>
      <c r="M1942" s="727"/>
      <c r="N1942" s="727"/>
      <c r="O1942" s="727"/>
    </row>
    <row r="1943">
      <c r="A1943" s="733"/>
      <c r="B1943" s="6"/>
      <c r="D1943" s="727"/>
      <c r="E1943" s="729"/>
      <c r="F1943" s="727"/>
      <c r="J1943" s="727"/>
      <c r="K1943" s="727"/>
      <c r="L1943" s="727"/>
      <c r="M1943" s="727"/>
      <c r="N1943" s="727"/>
      <c r="O1943" s="727"/>
    </row>
    <row r="1944">
      <c r="A1944" s="733"/>
      <c r="B1944" s="6"/>
      <c r="D1944" s="727"/>
      <c r="E1944" s="729"/>
      <c r="F1944" s="727"/>
      <c r="J1944" s="727"/>
      <c r="K1944" s="727"/>
      <c r="L1944" s="727"/>
      <c r="M1944" s="727"/>
      <c r="N1944" s="727"/>
      <c r="O1944" s="727"/>
    </row>
    <row r="1945">
      <c r="A1945" s="733"/>
      <c r="B1945" s="6"/>
      <c r="D1945" s="727"/>
      <c r="E1945" s="729"/>
      <c r="F1945" s="727"/>
      <c r="J1945" s="727"/>
      <c r="K1945" s="727"/>
      <c r="L1945" s="727"/>
      <c r="M1945" s="727"/>
      <c r="N1945" s="727"/>
      <c r="O1945" s="727"/>
    </row>
    <row r="1946">
      <c r="A1946" s="733"/>
      <c r="B1946" s="6"/>
      <c r="D1946" s="727"/>
      <c r="E1946" s="729"/>
      <c r="F1946" s="727"/>
      <c r="J1946" s="727"/>
      <c r="K1946" s="727"/>
      <c r="L1946" s="727"/>
      <c r="M1946" s="727"/>
      <c r="N1946" s="727"/>
      <c r="O1946" s="727"/>
    </row>
    <row r="1947">
      <c r="A1947" s="733"/>
      <c r="B1947" s="6"/>
      <c r="D1947" s="727"/>
      <c r="E1947" s="729"/>
      <c r="F1947" s="727"/>
      <c r="J1947" s="727"/>
      <c r="K1947" s="727"/>
      <c r="L1947" s="727"/>
      <c r="M1947" s="727"/>
      <c r="N1947" s="727"/>
      <c r="O1947" s="727"/>
    </row>
    <row r="1948">
      <c r="A1948" s="733"/>
      <c r="B1948" s="6"/>
      <c r="D1948" s="727"/>
      <c r="E1948" s="729"/>
      <c r="F1948" s="727"/>
      <c r="J1948" s="727"/>
      <c r="K1948" s="727"/>
      <c r="L1948" s="727"/>
      <c r="M1948" s="727"/>
      <c r="N1948" s="727"/>
      <c r="O1948" s="727"/>
    </row>
    <row r="1949">
      <c r="A1949" s="733"/>
      <c r="B1949" s="6"/>
      <c r="D1949" s="727"/>
      <c r="E1949" s="729"/>
      <c r="F1949" s="727"/>
      <c r="J1949" s="727"/>
      <c r="K1949" s="727"/>
      <c r="L1949" s="727"/>
      <c r="M1949" s="727"/>
      <c r="N1949" s="727"/>
      <c r="O1949" s="727"/>
    </row>
    <row r="1950">
      <c r="A1950" s="733"/>
      <c r="B1950" s="6"/>
      <c r="D1950" s="727"/>
      <c r="E1950" s="729"/>
      <c r="F1950" s="727"/>
      <c r="J1950" s="727"/>
      <c r="K1950" s="727"/>
      <c r="L1950" s="727"/>
      <c r="M1950" s="727"/>
      <c r="N1950" s="727"/>
      <c r="O1950" s="727"/>
    </row>
    <row r="1951">
      <c r="A1951" s="733"/>
      <c r="B1951" s="6"/>
      <c r="D1951" s="727"/>
      <c r="E1951" s="729"/>
      <c r="F1951" s="727"/>
      <c r="J1951" s="727"/>
      <c r="K1951" s="727"/>
      <c r="L1951" s="727"/>
      <c r="M1951" s="727"/>
      <c r="N1951" s="727"/>
      <c r="O1951" s="727"/>
    </row>
    <row r="1952">
      <c r="A1952" s="733"/>
      <c r="B1952" s="6"/>
      <c r="D1952" s="727"/>
      <c r="E1952" s="729"/>
      <c r="F1952" s="727"/>
      <c r="J1952" s="727"/>
      <c r="K1952" s="727"/>
      <c r="L1952" s="727"/>
      <c r="M1952" s="727"/>
      <c r="N1952" s="727"/>
      <c r="O1952" s="727"/>
    </row>
    <row r="1953">
      <c r="A1953" s="733"/>
      <c r="B1953" s="6"/>
      <c r="D1953" s="727"/>
      <c r="E1953" s="729"/>
      <c r="F1953" s="727"/>
      <c r="J1953" s="727"/>
      <c r="K1953" s="727"/>
      <c r="L1953" s="727"/>
      <c r="M1953" s="727"/>
      <c r="N1953" s="727"/>
      <c r="O1953" s="727"/>
    </row>
    <row r="1954">
      <c r="A1954" s="733"/>
      <c r="B1954" s="6"/>
      <c r="D1954" s="727"/>
      <c r="E1954" s="729"/>
      <c r="F1954" s="727"/>
      <c r="J1954" s="727"/>
      <c r="K1954" s="727"/>
      <c r="L1954" s="727"/>
      <c r="M1954" s="727"/>
      <c r="N1954" s="727"/>
      <c r="O1954" s="727"/>
    </row>
    <row r="1955">
      <c r="A1955" s="733"/>
      <c r="B1955" s="6"/>
      <c r="D1955" s="727"/>
      <c r="E1955" s="729"/>
      <c r="F1955" s="727"/>
      <c r="J1955" s="727"/>
      <c r="K1955" s="727"/>
      <c r="L1955" s="727"/>
      <c r="M1955" s="727"/>
      <c r="N1955" s="727"/>
      <c r="O1955" s="727"/>
    </row>
    <row r="1956">
      <c r="A1956" s="733"/>
      <c r="B1956" s="6"/>
      <c r="D1956" s="727"/>
      <c r="E1956" s="729"/>
      <c r="F1956" s="727"/>
      <c r="J1956" s="727"/>
      <c r="K1956" s="727"/>
      <c r="L1956" s="727"/>
      <c r="M1956" s="727"/>
      <c r="N1956" s="727"/>
      <c r="O1956" s="727"/>
    </row>
    <row r="1957">
      <c r="A1957" s="733"/>
      <c r="B1957" s="6"/>
      <c r="D1957" s="727"/>
      <c r="E1957" s="729"/>
      <c r="F1957" s="727"/>
      <c r="J1957" s="727"/>
      <c r="K1957" s="727"/>
      <c r="L1957" s="727"/>
      <c r="M1957" s="727"/>
      <c r="N1957" s="727"/>
      <c r="O1957" s="727"/>
    </row>
    <row r="1958">
      <c r="A1958" s="733"/>
      <c r="B1958" s="6"/>
      <c r="D1958" s="727"/>
      <c r="E1958" s="729"/>
      <c r="F1958" s="727"/>
      <c r="J1958" s="727"/>
      <c r="K1958" s="727"/>
      <c r="L1958" s="727"/>
      <c r="M1958" s="727"/>
      <c r="N1958" s="727"/>
      <c r="O1958" s="727"/>
    </row>
    <row r="1959">
      <c r="A1959" s="733"/>
      <c r="B1959" s="6"/>
      <c r="D1959" s="727"/>
      <c r="E1959" s="729"/>
      <c r="F1959" s="727"/>
      <c r="J1959" s="727"/>
      <c r="K1959" s="727"/>
      <c r="L1959" s="727"/>
      <c r="M1959" s="727"/>
      <c r="N1959" s="727"/>
      <c r="O1959" s="727"/>
    </row>
    <row r="1960">
      <c r="A1960" s="733"/>
      <c r="B1960" s="6"/>
      <c r="D1960" s="727"/>
      <c r="E1960" s="729"/>
      <c r="F1960" s="727"/>
      <c r="J1960" s="727"/>
      <c r="K1960" s="727"/>
      <c r="L1960" s="727"/>
      <c r="M1960" s="727"/>
      <c r="N1960" s="727"/>
      <c r="O1960" s="727"/>
    </row>
    <row r="1961">
      <c r="A1961" s="733"/>
      <c r="B1961" s="6"/>
      <c r="D1961" s="727"/>
      <c r="E1961" s="729"/>
      <c r="F1961" s="727"/>
      <c r="J1961" s="727"/>
      <c r="K1961" s="727"/>
      <c r="L1961" s="727"/>
      <c r="M1961" s="727"/>
      <c r="N1961" s="727"/>
      <c r="O1961" s="727"/>
    </row>
    <row r="1962">
      <c r="A1962" s="733"/>
      <c r="B1962" s="6"/>
      <c r="D1962" s="727"/>
      <c r="E1962" s="729"/>
      <c r="F1962" s="727"/>
      <c r="J1962" s="727"/>
      <c r="K1962" s="727"/>
      <c r="L1962" s="727"/>
      <c r="M1962" s="727"/>
      <c r="N1962" s="727"/>
      <c r="O1962" s="727"/>
    </row>
    <row r="1963">
      <c r="A1963" s="733"/>
      <c r="B1963" s="6"/>
      <c r="D1963" s="727"/>
      <c r="E1963" s="729"/>
      <c r="F1963" s="727"/>
      <c r="J1963" s="727"/>
      <c r="K1963" s="727"/>
      <c r="L1963" s="727"/>
      <c r="M1963" s="727"/>
      <c r="N1963" s="727"/>
      <c r="O1963" s="727"/>
    </row>
    <row r="1964">
      <c r="A1964" s="733"/>
      <c r="B1964" s="6"/>
      <c r="D1964" s="727"/>
      <c r="E1964" s="729"/>
      <c r="F1964" s="727"/>
      <c r="J1964" s="727"/>
      <c r="K1964" s="727"/>
      <c r="L1964" s="727"/>
      <c r="M1964" s="727"/>
      <c r="N1964" s="727"/>
      <c r="O1964" s="727"/>
    </row>
    <row r="1965">
      <c r="A1965" s="733"/>
      <c r="B1965" s="6"/>
      <c r="D1965" s="727"/>
      <c r="E1965" s="729"/>
      <c r="F1965" s="727"/>
      <c r="J1965" s="727"/>
      <c r="K1965" s="727"/>
      <c r="L1965" s="727"/>
      <c r="M1965" s="727"/>
      <c r="N1965" s="727"/>
      <c r="O1965" s="727"/>
    </row>
    <row r="1966">
      <c r="A1966" s="733"/>
      <c r="B1966" s="6"/>
      <c r="D1966" s="727"/>
      <c r="E1966" s="729"/>
      <c r="F1966" s="727"/>
      <c r="J1966" s="727"/>
      <c r="K1966" s="727"/>
      <c r="L1966" s="727"/>
      <c r="M1966" s="727"/>
      <c r="N1966" s="727"/>
      <c r="O1966" s="727"/>
    </row>
    <row r="1967">
      <c r="A1967" s="733"/>
      <c r="B1967" s="6"/>
      <c r="D1967" s="727"/>
      <c r="E1967" s="729"/>
      <c r="F1967" s="727"/>
      <c r="J1967" s="727"/>
      <c r="K1967" s="727"/>
      <c r="L1967" s="727"/>
      <c r="M1967" s="727"/>
      <c r="N1967" s="727"/>
      <c r="O1967" s="727"/>
    </row>
    <row r="1968">
      <c r="A1968" s="733"/>
      <c r="B1968" s="6"/>
      <c r="D1968" s="727"/>
      <c r="E1968" s="729"/>
      <c r="F1968" s="727"/>
      <c r="J1968" s="727"/>
      <c r="K1968" s="727"/>
      <c r="L1968" s="727"/>
      <c r="M1968" s="727"/>
      <c r="N1968" s="727"/>
      <c r="O1968" s="727"/>
    </row>
    <row r="1969">
      <c r="A1969" s="733"/>
      <c r="B1969" s="6"/>
      <c r="D1969" s="727"/>
      <c r="E1969" s="729"/>
      <c r="F1969" s="727"/>
      <c r="J1969" s="727"/>
      <c r="K1969" s="727"/>
      <c r="L1969" s="727"/>
      <c r="M1969" s="727"/>
      <c r="N1969" s="727"/>
      <c r="O1969" s="727"/>
    </row>
    <row r="1970">
      <c r="A1970" s="733"/>
      <c r="B1970" s="6"/>
      <c r="D1970" s="727"/>
      <c r="E1970" s="729"/>
      <c r="F1970" s="727"/>
      <c r="J1970" s="727"/>
      <c r="K1970" s="727"/>
      <c r="L1970" s="727"/>
      <c r="M1970" s="727"/>
      <c r="N1970" s="727"/>
      <c r="O1970" s="727"/>
    </row>
    <row r="1971">
      <c r="A1971" s="733"/>
      <c r="B1971" s="6"/>
      <c r="D1971" s="727"/>
      <c r="E1971" s="729"/>
      <c r="F1971" s="727"/>
      <c r="J1971" s="727"/>
      <c r="K1971" s="727"/>
      <c r="L1971" s="727"/>
      <c r="M1971" s="727"/>
      <c r="N1971" s="727"/>
      <c r="O1971" s="727"/>
    </row>
    <row r="1972">
      <c r="A1972" s="733"/>
      <c r="B1972" s="6"/>
      <c r="D1972" s="727"/>
      <c r="E1972" s="729"/>
      <c r="F1972" s="727"/>
      <c r="J1972" s="727"/>
      <c r="K1972" s="727"/>
      <c r="L1972" s="727"/>
      <c r="M1972" s="727"/>
      <c r="N1972" s="727"/>
      <c r="O1972" s="727"/>
    </row>
    <row r="1973">
      <c r="A1973" s="733"/>
      <c r="B1973" s="6"/>
      <c r="D1973" s="727"/>
      <c r="E1973" s="729"/>
      <c r="F1973" s="727"/>
      <c r="J1973" s="727"/>
      <c r="K1973" s="727"/>
      <c r="L1973" s="727"/>
      <c r="M1973" s="727"/>
      <c r="N1973" s="727"/>
      <c r="O1973" s="727"/>
    </row>
    <row r="1974">
      <c r="A1974" s="733"/>
      <c r="B1974" s="6"/>
      <c r="D1974" s="727"/>
      <c r="E1974" s="729"/>
      <c r="F1974" s="727"/>
      <c r="J1974" s="727"/>
      <c r="K1974" s="727"/>
      <c r="L1974" s="727"/>
      <c r="M1974" s="727"/>
      <c r="N1974" s="727"/>
      <c r="O1974" s="727"/>
    </row>
    <row r="1975">
      <c r="A1975" s="733"/>
      <c r="B1975" s="6"/>
      <c r="D1975" s="727"/>
      <c r="E1975" s="729"/>
      <c r="F1975" s="727"/>
      <c r="J1975" s="727"/>
      <c r="K1975" s="727"/>
      <c r="L1975" s="727"/>
      <c r="M1975" s="727"/>
      <c r="N1975" s="727"/>
      <c r="O1975" s="727"/>
    </row>
    <row r="1976">
      <c r="A1976" s="733"/>
      <c r="B1976" s="6"/>
      <c r="D1976" s="727"/>
      <c r="E1976" s="729"/>
      <c r="F1976" s="727"/>
      <c r="J1976" s="727"/>
      <c r="K1976" s="727"/>
      <c r="L1976" s="727"/>
      <c r="M1976" s="727"/>
      <c r="N1976" s="727"/>
      <c r="O1976" s="727"/>
    </row>
    <row r="1977">
      <c r="A1977" s="733"/>
      <c r="B1977" s="6"/>
      <c r="D1977" s="727"/>
      <c r="E1977" s="729"/>
      <c r="F1977" s="727"/>
      <c r="J1977" s="727"/>
      <c r="K1977" s="727"/>
      <c r="L1977" s="727"/>
      <c r="M1977" s="727"/>
      <c r="N1977" s="727"/>
      <c r="O1977" s="727"/>
    </row>
    <row r="1978">
      <c r="A1978" s="733"/>
      <c r="B1978" s="6"/>
      <c r="D1978" s="727"/>
      <c r="E1978" s="729"/>
      <c r="F1978" s="727"/>
      <c r="J1978" s="727"/>
      <c r="K1978" s="727"/>
      <c r="L1978" s="727"/>
      <c r="M1978" s="727"/>
      <c r="N1978" s="727"/>
      <c r="O1978" s="727"/>
    </row>
    <row r="1979">
      <c r="A1979" s="733"/>
      <c r="B1979" s="6"/>
      <c r="D1979" s="727"/>
      <c r="E1979" s="729"/>
      <c r="F1979" s="727"/>
      <c r="J1979" s="727"/>
      <c r="K1979" s="727"/>
      <c r="L1979" s="727"/>
      <c r="M1979" s="727"/>
      <c r="N1979" s="727"/>
      <c r="O1979" s="727"/>
    </row>
    <row r="1980">
      <c r="A1980" s="733"/>
      <c r="B1980" s="6"/>
      <c r="D1980" s="727"/>
      <c r="E1980" s="729"/>
      <c r="F1980" s="727"/>
      <c r="J1980" s="727"/>
      <c r="K1980" s="727"/>
      <c r="L1980" s="727"/>
      <c r="M1980" s="727"/>
      <c r="N1980" s="727"/>
      <c r="O1980" s="727"/>
    </row>
    <row r="1981">
      <c r="A1981" s="733"/>
      <c r="B1981" s="6"/>
      <c r="D1981" s="727"/>
      <c r="E1981" s="729"/>
      <c r="F1981" s="727"/>
      <c r="J1981" s="727"/>
      <c r="K1981" s="727"/>
      <c r="L1981" s="727"/>
      <c r="M1981" s="727"/>
      <c r="N1981" s="727"/>
      <c r="O1981" s="727"/>
    </row>
    <row r="1982">
      <c r="A1982" s="733"/>
      <c r="B1982" s="6"/>
      <c r="D1982" s="727"/>
      <c r="E1982" s="729"/>
      <c r="F1982" s="727"/>
      <c r="J1982" s="727"/>
      <c r="K1982" s="727"/>
      <c r="L1982" s="727"/>
      <c r="M1982" s="727"/>
      <c r="N1982" s="727"/>
      <c r="O1982" s="727"/>
    </row>
    <row r="1983">
      <c r="A1983" s="733"/>
      <c r="B1983" s="6"/>
      <c r="D1983" s="727"/>
      <c r="E1983" s="729"/>
      <c r="F1983" s="727"/>
      <c r="J1983" s="727"/>
      <c r="K1983" s="727"/>
      <c r="L1983" s="727"/>
      <c r="M1983" s="727"/>
      <c r="N1983" s="727"/>
      <c r="O1983" s="727"/>
    </row>
    <row r="1984">
      <c r="A1984" s="733"/>
      <c r="B1984" s="6"/>
      <c r="D1984" s="727"/>
      <c r="E1984" s="729"/>
      <c r="F1984" s="727"/>
      <c r="J1984" s="727"/>
      <c r="K1984" s="727"/>
      <c r="L1984" s="727"/>
      <c r="M1984" s="727"/>
      <c r="N1984" s="727"/>
      <c r="O1984" s="727"/>
    </row>
    <row r="1985">
      <c r="A1985" s="733"/>
      <c r="B1985" s="6"/>
      <c r="D1985" s="727"/>
      <c r="E1985" s="729"/>
      <c r="F1985" s="727"/>
      <c r="J1985" s="727"/>
      <c r="K1985" s="727"/>
      <c r="L1985" s="727"/>
      <c r="M1985" s="727"/>
      <c r="N1985" s="727"/>
      <c r="O1985" s="727"/>
    </row>
    <row r="1986">
      <c r="A1986" s="733"/>
      <c r="B1986" s="6"/>
      <c r="D1986" s="727"/>
      <c r="E1986" s="729"/>
      <c r="F1986" s="727"/>
      <c r="J1986" s="727"/>
      <c r="K1986" s="727"/>
      <c r="L1986" s="727"/>
      <c r="M1986" s="727"/>
      <c r="N1986" s="727"/>
      <c r="O1986" s="727"/>
    </row>
    <row r="1987">
      <c r="A1987" s="733"/>
      <c r="B1987" s="6"/>
      <c r="D1987" s="727"/>
      <c r="E1987" s="729"/>
      <c r="F1987" s="727"/>
      <c r="J1987" s="727"/>
      <c r="K1987" s="727"/>
      <c r="L1987" s="727"/>
      <c r="M1987" s="727"/>
      <c r="N1987" s="727"/>
      <c r="O1987" s="727"/>
    </row>
    <row r="1988">
      <c r="A1988" s="733"/>
      <c r="B1988" s="6"/>
      <c r="D1988" s="727"/>
      <c r="E1988" s="729"/>
      <c r="F1988" s="727"/>
      <c r="J1988" s="727"/>
      <c r="K1988" s="727"/>
      <c r="L1988" s="727"/>
      <c r="M1988" s="727"/>
      <c r="N1988" s="727"/>
      <c r="O1988" s="727"/>
    </row>
    <row r="1989">
      <c r="A1989" s="733"/>
      <c r="B1989" s="6"/>
      <c r="D1989" s="727"/>
      <c r="E1989" s="729"/>
      <c r="F1989" s="727"/>
      <c r="J1989" s="727"/>
      <c r="K1989" s="727"/>
      <c r="L1989" s="727"/>
      <c r="M1989" s="727"/>
      <c r="N1989" s="727"/>
      <c r="O1989" s="727"/>
    </row>
    <row r="1990">
      <c r="A1990" s="733"/>
      <c r="B1990" s="6"/>
      <c r="D1990" s="727"/>
      <c r="E1990" s="729"/>
      <c r="F1990" s="727"/>
      <c r="J1990" s="727"/>
      <c r="K1990" s="727"/>
      <c r="L1990" s="727"/>
      <c r="M1990" s="727"/>
      <c r="N1990" s="727"/>
      <c r="O1990" s="727"/>
    </row>
    <row r="1991">
      <c r="A1991" s="733"/>
      <c r="B1991" s="6"/>
      <c r="D1991" s="727"/>
      <c r="E1991" s="729"/>
      <c r="F1991" s="727"/>
      <c r="J1991" s="727"/>
      <c r="K1991" s="727"/>
      <c r="L1991" s="727"/>
      <c r="M1991" s="727"/>
      <c r="N1991" s="727"/>
      <c r="O1991" s="727"/>
    </row>
    <row r="1992">
      <c r="A1992" s="733"/>
      <c r="B1992" s="6"/>
      <c r="D1992" s="727"/>
      <c r="E1992" s="729"/>
      <c r="F1992" s="727"/>
      <c r="J1992" s="727"/>
      <c r="K1992" s="727"/>
      <c r="L1992" s="727"/>
      <c r="M1992" s="727"/>
      <c r="N1992" s="727"/>
      <c r="O1992" s="727"/>
    </row>
    <row r="1993">
      <c r="A1993" s="733"/>
      <c r="B1993" s="6"/>
      <c r="D1993" s="727"/>
      <c r="E1993" s="729"/>
      <c r="F1993" s="727"/>
      <c r="J1993" s="727"/>
      <c r="K1993" s="727"/>
      <c r="L1993" s="727"/>
      <c r="M1993" s="727"/>
      <c r="N1993" s="727"/>
      <c r="O1993" s="727"/>
    </row>
    <row r="1994">
      <c r="A1994" s="733"/>
      <c r="B1994" s="6"/>
      <c r="D1994" s="727"/>
      <c r="E1994" s="729"/>
      <c r="F1994" s="727"/>
      <c r="J1994" s="727"/>
      <c r="K1994" s="727"/>
      <c r="L1994" s="727"/>
      <c r="M1994" s="727"/>
      <c r="N1994" s="727"/>
      <c r="O1994" s="727"/>
    </row>
    <row r="1995">
      <c r="A1995" s="733"/>
      <c r="B1995" s="6"/>
      <c r="D1995" s="727"/>
      <c r="E1995" s="729"/>
      <c r="F1995" s="727"/>
      <c r="J1995" s="727"/>
      <c r="K1995" s="727"/>
      <c r="L1995" s="727"/>
      <c r="M1995" s="727"/>
      <c r="N1995" s="727"/>
      <c r="O1995" s="727"/>
    </row>
    <row r="1996">
      <c r="A1996" s="733"/>
      <c r="B1996" s="6"/>
      <c r="D1996" s="727"/>
      <c r="E1996" s="729"/>
      <c r="F1996" s="727"/>
      <c r="J1996" s="727"/>
      <c r="K1996" s="727"/>
      <c r="L1996" s="727"/>
      <c r="M1996" s="727"/>
      <c r="N1996" s="727"/>
      <c r="O1996" s="727"/>
    </row>
    <row r="1997">
      <c r="A1997" s="733"/>
      <c r="B1997" s="6"/>
      <c r="D1997" s="727"/>
      <c r="E1997" s="729"/>
      <c r="F1997" s="727"/>
      <c r="J1997" s="727"/>
      <c r="K1997" s="727"/>
      <c r="L1997" s="727"/>
      <c r="M1997" s="727"/>
      <c r="N1997" s="727"/>
      <c r="O1997" s="727"/>
    </row>
    <row r="1998">
      <c r="A1998" s="733"/>
      <c r="B1998" s="6"/>
      <c r="D1998" s="727"/>
      <c r="E1998" s="729"/>
      <c r="F1998" s="727"/>
      <c r="J1998" s="727"/>
      <c r="K1998" s="727"/>
      <c r="L1998" s="727"/>
      <c r="M1998" s="727"/>
      <c r="N1998" s="727"/>
      <c r="O1998" s="727"/>
    </row>
    <row r="1999">
      <c r="A1999" s="733"/>
      <c r="B1999" s="6"/>
      <c r="D1999" s="727"/>
      <c r="E1999" s="729"/>
      <c r="F1999" s="727"/>
      <c r="J1999" s="727"/>
      <c r="K1999" s="727"/>
      <c r="L1999" s="727"/>
      <c r="M1999" s="727"/>
      <c r="N1999" s="727"/>
      <c r="O1999" s="727"/>
    </row>
    <row r="2000">
      <c r="A2000" s="733"/>
      <c r="B2000" s="6"/>
      <c r="D2000" s="727"/>
      <c r="E2000" s="729"/>
      <c r="F2000" s="727"/>
      <c r="J2000" s="727"/>
      <c r="K2000" s="727"/>
      <c r="L2000" s="727"/>
      <c r="M2000" s="727"/>
      <c r="N2000" s="727"/>
      <c r="O2000" s="727"/>
    </row>
    <row r="2001">
      <c r="A2001" s="733"/>
      <c r="B2001" s="6"/>
      <c r="D2001" s="727"/>
      <c r="E2001" s="729"/>
      <c r="F2001" s="727"/>
      <c r="J2001" s="727"/>
      <c r="K2001" s="727"/>
      <c r="L2001" s="727"/>
      <c r="M2001" s="727"/>
      <c r="N2001" s="727"/>
      <c r="O2001" s="727"/>
    </row>
    <row r="2002">
      <c r="A2002" s="733"/>
      <c r="B2002" s="6"/>
      <c r="D2002" s="727"/>
      <c r="E2002" s="729"/>
      <c r="F2002" s="727"/>
      <c r="J2002" s="727"/>
      <c r="K2002" s="727"/>
      <c r="L2002" s="727"/>
      <c r="M2002" s="727"/>
      <c r="N2002" s="727"/>
      <c r="O2002" s="727"/>
    </row>
    <row r="2003">
      <c r="A2003" s="733"/>
      <c r="B2003" s="6"/>
      <c r="D2003" s="727"/>
      <c r="E2003" s="729"/>
      <c r="F2003" s="727"/>
      <c r="J2003" s="727"/>
      <c r="K2003" s="727"/>
      <c r="L2003" s="727"/>
      <c r="M2003" s="727"/>
      <c r="N2003" s="727"/>
      <c r="O2003" s="727"/>
    </row>
    <row r="2004">
      <c r="A2004" s="733"/>
      <c r="B2004" s="6"/>
      <c r="D2004" s="727"/>
      <c r="E2004" s="729"/>
      <c r="F2004" s="727"/>
      <c r="J2004" s="727"/>
      <c r="K2004" s="727"/>
      <c r="L2004" s="727"/>
      <c r="M2004" s="727"/>
      <c r="N2004" s="727"/>
      <c r="O2004" s="727"/>
    </row>
    <row r="2005">
      <c r="A2005" s="733"/>
      <c r="B2005" s="6"/>
      <c r="D2005" s="727"/>
      <c r="E2005" s="729"/>
      <c r="F2005" s="727"/>
      <c r="J2005" s="727"/>
      <c r="K2005" s="727"/>
      <c r="L2005" s="727"/>
      <c r="M2005" s="727"/>
      <c r="N2005" s="727"/>
      <c r="O2005" s="727"/>
    </row>
    <row r="2006">
      <c r="A2006" s="733"/>
      <c r="B2006" s="6"/>
      <c r="D2006" s="727"/>
      <c r="E2006" s="729"/>
      <c r="F2006" s="727"/>
      <c r="J2006" s="727"/>
      <c r="K2006" s="727"/>
      <c r="L2006" s="727"/>
      <c r="M2006" s="727"/>
      <c r="N2006" s="727"/>
      <c r="O2006" s="727"/>
    </row>
    <row r="2007">
      <c r="A2007" s="733"/>
      <c r="B2007" s="6"/>
      <c r="D2007" s="727"/>
      <c r="E2007" s="729"/>
      <c r="F2007" s="727"/>
      <c r="J2007" s="727"/>
      <c r="K2007" s="727"/>
      <c r="L2007" s="727"/>
      <c r="M2007" s="727"/>
      <c r="N2007" s="727"/>
      <c r="O2007" s="727"/>
    </row>
    <row r="2008">
      <c r="A2008" s="733"/>
      <c r="B2008" s="6"/>
      <c r="D2008" s="727"/>
      <c r="E2008" s="729"/>
      <c r="F2008" s="727"/>
      <c r="J2008" s="727"/>
      <c r="K2008" s="727"/>
      <c r="L2008" s="727"/>
      <c r="M2008" s="727"/>
      <c r="N2008" s="727"/>
      <c r="O2008" s="727"/>
    </row>
    <row r="2009">
      <c r="A2009" s="733"/>
      <c r="B2009" s="6"/>
      <c r="D2009" s="727"/>
      <c r="E2009" s="729"/>
      <c r="F2009" s="727"/>
      <c r="J2009" s="727"/>
      <c r="K2009" s="727"/>
      <c r="L2009" s="727"/>
      <c r="M2009" s="727"/>
      <c r="N2009" s="727"/>
      <c r="O2009" s="727"/>
    </row>
    <row r="2010">
      <c r="A2010" s="733"/>
      <c r="B2010" s="6"/>
      <c r="D2010" s="727"/>
      <c r="E2010" s="729"/>
      <c r="F2010" s="727"/>
      <c r="J2010" s="727"/>
      <c r="K2010" s="727"/>
      <c r="L2010" s="727"/>
      <c r="M2010" s="727"/>
      <c r="N2010" s="727"/>
      <c r="O2010" s="727"/>
    </row>
    <row r="2011">
      <c r="A2011" s="733"/>
      <c r="B2011" s="6"/>
      <c r="D2011" s="727"/>
      <c r="E2011" s="729"/>
      <c r="F2011" s="727"/>
      <c r="J2011" s="727"/>
      <c r="K2011" s="727"/>
      <c r="L2011" s="727"/>
      <c r="M2011" s="727"/>
      <c r="N2011" s="727"/>
      <c r="O2011" s="727"/>
    </row>
    <row r="2012">
      <c r="A2012" s="733"/>
      <c r="B2012" s="6"/>
      <c r="D2012" s="727"/>
      <c r="E2012" s="729"/>
      <c r="F2012" s="727"/>
      <c r="J2012" s="727"/>
      <c r="K2012" s="727"/>
      <c r="L2012" s="727"/>
      <c r="M2012" s="727"/>
      <c r="N2012" s="727"/>
      <c r="O2012" s="727"/>
    </row>
    <row r="2013">
      <c r="A2013" s="733"/>
      <c r="B2013" s="6"/>
      <c r="D2013" s="727"/>
      <c r="E2013" s="729"/>
      <c r="F2013" s="727"/>
      <c r="J2013" s="727"/>
      <c r="K2013" s="727"/>
      <c r="L2013" s="727"/>
      <c r="M2013" s="727"/>
      <c r="N2013" s="727"/>
      <c r="O2013" s="727"/>
    </row>
    <row r="2014">
      <c r="A2014" s="733"/>
      <c r="B2014" s="6"/>
      <c r="D2014" s="727"/>
      <c r="E2014" s="729"/>
      <c r="F2014" s="727"/>
      <c r="J2014" s="727"/>
      <c r="K2014" s="727"/>
      <c r="L2014" s="727"/>
      <c r="M2014" s="727"/>
      <c r="N2014" s="727"/>
      <c r="O2014" s="727"/>
    </row>
    <row r="2015">
      <c r="A2015" s="733"/>
      <c r="B2015" s="6"/>
      <c r="D2015" s="727"/>
      <c r="E2015" s="729"/>
      <c r="F2015" s="727"/>
      <c r="J2015" s="727"/>
      <c r="K2015" s="727"/>
      <c r="L2015" s="727"/>
      <c r="M2015" s="727"/>
      <c r="N2015" s="727"/>
      <c r="O2015" s="727"/>
    </row>
    <row r="2016">
      <c r="A2016" s="733"/>
      <c r="B2016" s="6"/>
      <c r="D2016" s="727"/>
      <c r="E2016" s="729"/>
      <c r="F2016" s="727"/>
      <c r="J2016" s="727"/>
      <c r="K2016" s="727"/>
      <c r="L2016" s="727"/>
      <c r="M2016" s="727"/>
      <c r="N2016" s="727"/>
      <c r="O2016" s="727"/>
    </row>
    <row r="2017">
      <c r="A2017" s="733"/>
      <c r="B2017" s="6"/>
      <c r="D2017" s="727"/>
      <c r="E2017" s="729"/>
      <c r="F2017" s="727"/>
      <c r="J2017" s="727"/>
      <c r="K2017" s="727"/>
      <c r="L2017" s="727"/>
      <c r="M2017" s="727"/>
      <c r="N2017" s="727"/>
      <c r="O2017" s="727"/>
    </row>
    <row r="2018">
      <c r="A2018" s="733"/>
      <c r="B2018" s="6"/>
      <c r="D2018" s="727"/>
      <c r="E2018" s="729"/>
      <c r="F2018" s="727"/>
      <c r="J2018" s="727"/>
      <c r="K2018" s="727"/>
      <c r="L2018" s="727"/>
      <c r="M2018" s="727"/>
      <c r="N2018" s="727"/>
      <c r="O2018" s="727"/>
    </row>
    <row r="2019">
      <c r="A2019" s="733"/>
      <c r="B2019" s="6"/>
      <c r="D2019" s="727"/>
      <c r="E2019" s="729"/>
      <c r="F2019" s="727"/>
      <c r="J2019" s="727"/>
      <c r="K2019" s="727"/>
      <c r="L2019" s="727"/>
      <c r="M2019" s="727"/>
      <c r="N2019" s="727"/>
      <c r="O2019" s="727"/>
    </row>
    <row r="2020">
      <c r="A2020" s="733"/>
      <c r="B2020" s="6"/>
      <c r="D2020" s="727"/>
      <c r="E2020" s="729"/>
      <c r="F2020" s="727"/>
      <c r="J2020" s="727"/>
      <c r="K2020" s="727"/>
      <c r="L2020" s="727"/>
      <c r="M2020" s="727"/>
      <c r="N2020" s="727"/>
      <c r="O2020" s="727"/>
    </row>
    <row r="2021">
      <c r="A2021" s="733"/>
      <c r="B2021" s="6"/>
      <c r="D2021" s="727"/>
      <c r="E2021" s="729"/>
      <c r="F2021" s="727"/>
      <c r="J2021" s="727"/>
      <c r="K2021" s="727"/>
      <c r="L2021" s="727"/>
      <c r="M2021" s="727"/>
      <c r="N2021" s="727"/>
      <c r="O2021" s="727"/>
    </row>
    <row r="2022">
      <c r="A2022" s="733"/>
      <c r="B2022" s="6"/>
      <c r="D2022" s="727"/>
      <c r="E2022" s="729"/>
      <c r="F2022" s="727"/>
      <c r="J2022" s="727"/>
      <c r="K2022" s="727"/>
      <c r="L2022" s="727"/>
      <c r="M2022" s="727"/>
      <c r="N2022" s="727"/>
      <c r="O2022" s="727"/>
    </row>
    <row r="2023">
      <c r="A2023" s="733"/>
      <c r="B2023" s="6"/>
      <c r="D2023" s="727"/>
      <c r="E2023" s="729"/>
      <c r="F2023" s="727"/>
      <c r="J2023" s="727"/>
      <c r="K2023" s="727"/>
      <c r="L2023" s="727"/>
      <c r="M2023" s="727"/>
      <c r="N2023" s="727"/>
      <c r="O2023" s="727"/>
    </row>
    <row r="2024">
      <c r="A2024" s="733"/>
      <c r="B2024" s="6"/>
      <c r="D2024" s="727"/>
      <c r="E2024" s="729"/>
      <c r="F2024" s="727"/>
      <c r="J2024" s="727"/>
      <c r="K2024" s="727"/>
      <c r="L2024" s="727"/>
      <c r="M2024" s="727"/>
      <c r="N2024" s="727"/>
      <c r="O2024" s="727"/>
    </row>
    <row r="2025">
      <c r="A2025" s="733"/>
      <c r="B2025" s="6"/>
      <c r="D2025" s="727"/>
      <c r="E2025" s="729"/>
      <c r="F2025" s="727"/>
      <c r="J2025" s="727"/>
      <c r="K2025" s="727"/>
      <c r="L2025" s="727"/>
      <c r="M2025" s="727"/>
      <c r="N2025" s="727"/>
      <c r="O2025" s="727"/>
    </row>
  </sheetData>
  <mergeCells count="22">
    <mergeCell ref="A1:H1"/>
    <mergeCell ref="I1:I2"/>
    <mergeCell ref="J1:O1"/>
    <mergeCell ref="A3:I3"/>
    <mergeCell ref="A39:I39"/>
    <mergeCell ref="A84:I84"/>
    <mergeCell ref="A156:I156"/>
    <mergeCell ref="A480:I480"/>
    <mergeCell ref="A537:I537"/>
    <mergeCell ref="A560:I560"/>
    <mergeCell ref="A600:I600"/>
    <mergeCell ref="A655:I655"/>
    <mergeCell ref="A690:I690"/>
    <mergeCell ref="A717:I717"/>
    <mergeCell ref="A784:I784"/>
    <mergeCell ref="A200:I200"/>
    <mergeCell ref="A262:I262"/>
    <mergeCell ref="A290:I290"/>
    <mergeCell ref="A335:I335"/>
    <mergeCell ref="A336:I336"/>
    <mergeCell ref="A392:I392"/>
    <mergeCell ref="A433:I433"/>
  </mergeCells>
  <hyperlinks>
    <hyperlink r:id="rId2" ref="B201"/>
  </hyperlinks>
  <drawing r:id="rId3"/>
  <legacyDrawing r:id="rId4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2.71"/>
    <col customWidth="1" min="3" max="3" width="15.14"/>
    <col customWidth="1" min="4" max="4" width="29.86"/>
    <col customWidth="1" min="5" max="5" width="49.0"/>
    <col customWidth="1" min="6" max="6" width="4.29"/>
    <col customWidth="1" min="7" max="9" width="12.29"/>
    <col customWidth="1" min="10" max="10" width="11.57"/>
    <col customWidth="1" min="11" max="11" width="9.71"/>
    <col customWidth="1" min="12" max="12" width="8.71"/>
    <col customWidth="1" min="13" max="13" width="9.71"/>
    <col customWidth="1" min="14" max="14" width="14.0"/>
    <col customWidth="1" min="15" max="15" width="11.57"/>
  </cols>
  <sheetData>
    <row r="1" ht="14.25" customHeight="1">
      <c r="A1" s="747" t="s">
        <v>12794</v>
      </c>
      <c r="B1" s="748">
        <f>SUM(H735+H736+H737+H741+H745+H747+H748+H749+H768+H769+H770+H771+H772+H773+H774+H775+H776+H777+H778+H779+H780+H781+H783+H784+H785+H786+H787+H788+H789,H795)</f>
        <v>52937229.02</v>
      </c>
      <c r="C1" s="749" t="s">
        <v>11453</v>
      </c>
      <c r="D1" s="750">
        <f>SUM(B1:B2)</f>
        <v>79405478.22</v>
      </c>
      <c r="E1" s="751"/>
      <c r="F1" s="751"/>
      <c r="G1" s="751"/>
      <c r="H1" s="751"/>
      <c r="I1" s="751"/>
      <c r="J1" s="751"/>
      <c r="K1" s="752"/>
      <c r="L1" s="752"/>
      <c r="M1" s="752"/>
      <c r="N1" s="752"/>
      <c r="O1" s="752"/>
    </row>
    <row r="2" ht="14.25" customHeight="1">
      <c r="A2" s="753" t="s">
        <v>12795</v>
      </c>
      <c r="B2" s="754">
        <f>SUM(H790:H793)+H796+SUM(H798:H803)</f>
        <v>26468249.2</v>
      </c>
      <c r="C2" s="755"/>
      <c r="D2" s="756"/>
      <c r="E2" s="756"/>
      <c r="F2" s="755"/>
      <c r="G2" s="757"/>
      <c r="H2" s="758"/>
      <c r="I2" s="758"/>
      <c r="J2" s="759"/>
      <c r="K2" s="760"/>
      <c r="L2" s="760"/>
      <c r="M2" s="760"/>
      <c r="N2" s="760"/>
      <c r="O2" s="760"/>
    </row>
    <row r="3" ht="14.25" customHeight="1">
      <c r="A3" s="761" t="s">
        <v>2891</v>
      </c>
      <c r="B3" s="761" t="s">
        <v>2892</v>
      </c>
      <c r="C3" s="761" t="s">
        <v>12796</v>
      </c>
      <c r="D3" s="762" t="s">
        <v>2902</v>
      </c>
      <c r="E3" s="763" t="s">
        <v>2903</v>
      </c>
      <c r="F3" s="761" t="s">
        <v>2894</v>
      </c>
      <c r="G3" s="764" t="s">
        <v>12797</v>
      </c>
      <c r="H3" s="765" t="s">
        <v>12798</v>
      </c>
      <c r="I3" s="765" t="s">
        <v>12799</v>
      </c>
      <c r="J3" s="766" t="s">
        <v>12800</v>
      </c>
      <c r="K3" s="767" t="s">
        <v>2899</v>
      </c>
      <c r="L3" s="768" t="s">
        <v>12801</v>
      </c>
      <c r="M3" s="769" t="s">
        <v>12802</v>
      </c>
      <c r="N3" s="769" t="s">
        <v>2867</v>
      </c>
      <c r="O3" s="769" t="s">
        <v>12803</v>
      </c>
    </row>
    <row r="4" ht="14.25" customHeight="1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</row>
    <row r="5" ht="14.25" customHeight="1">
      <c r="A5" s="770">
        <v>45348.0</v>
      </c>
      <c r="B5" s="771" t="s">
        <v>12804</v>
      </c>
      <c r="C5" s="63" t="s">
        <v>3076</v>
      </c>
      <c r="D5" s="63" t="s">
        <v>2562</v>
      </c>
      <c r="E5" s="772" t="str">
        <f>IFERROR(VLOOKUP(D5,Stock,3,FALSE),"")</f>
        <v>Toyota Avanza / Xenia 15-21 3rd Gen</v>
      </c>
      <c r="F5" s="63">
        <v>10.0</v>
      </c>
      <c r="G5" s="773">
        <v>396825.0</v>
      </c>
      <c r="H5" s="774">
        <f t="shared" ref="H5:H39" si="1">F5*G5</f>
        <v>3968250</v>
      </c>
      <c r="I5" s="775"/>
      <c r="J5" s="776"/>
      <c r="K5" s="772"/>
      <c r="L5" s="772"/>
      <c r="M5" s="777"/>
      <c r="N5" s="777"/>
      <c r="O5" s="778" t="s">
        <v>12805</v>
      </c>
    </row>
    <row r="6" ht="14.25" customHeight="1">
      <c r="A6" s="770">
        <v>45348.0</v>
      </c>
      <c r="B6" s="771" t="s">
        <v>12804</v>
      </c>
      <c r="C6" s="63" t="s">
        <v>3076</v>
      </c>
      <c r="D6" s="63" t="s">
        <v>3099</v>
      </c>
      <c r="E6" s="772" t="str">
        <f>IFERROR(VLOOKUP(D6,Stock,3,FALSE),"")</f>
        <v>Toyota Calya / Sigra 16-</v>
      </c>
      <c r="F6" s="63">
        <v>10.0</v>
      </c>
      <c r="G6" s="773">
        <v>449328.0</v>
      </c>
      <c r="H6" s="774">
        <f t="shared" si="1"/>
        <v>4493280</v>
      </c>
      <c r="I6" s="775"/>
      <c r="J6" s="776"/>
      <c r="K6" s="772"/>
      <c r="L6" s="772"/>
      <c r="M6" s="777"/>
      <c r="N6" s="777"/>
      <c r="O6" s="778" t="s">
        <v>12805</v>
      </c>
    </row>
    <row r="7" ht="14.25" customHeight="1">
      <c r="A7" s="770">
        <v>45348.0</v>
      </c>
      <c r="B7" s="771" t="s">
        <v>12804</v>
      </c>
      <c r="C7" s="63" t="s">
        <v>3076</v>
      </c>
      <c r="D7" s="63" t="s">
        <v>2565</v>
      </c>
      <c r="E7" s="772" t="str">
        <f>IFERROR(VLOOKUP(D7,Stock,3,FALSE),"")</f>
        <v>Toyota Avanza / Xenia 03-11 1st Gen</v>
      </c>
      <c r="F7" s="63">
        <v>10.0</v>
      </c>
      <c r="G7" s="773">
        <v>396825.0</v>
      </c>
      <c r="H7" s="774">
        <f t="shared" si="1"/>
        <v>3968250</v>
      </c>
      <c r="I7" s="775"/>
      <c r="J7" s="776"/>
      <c r="K7" s="772"/>
      <c r="L7" s="772"/>
      <c r="M7" s="777"/>
      <c r="N7" s="777"/>
      <c r="O7" s="778" t="s">
        <v>12805</v>
      </c>
    </row>
    <row r="8" ht="14.25" customHeight="1">
      <c r="A8" s="770">
        <v>45348.0</v>
      </c>
      <c r="B8" s="771" t="s">
        <v>12804</v>
      </c>
      <c r="C8" s="63" t="s">
        <v>3076</v>
      </c>
      <c r="D8" s="63" t="s">
        <v>3817</v>
      </c>
      <c r="E8" s="772" t="str">
        <f>IFERROR(VLOOKUP(D8,Stock,3,FALSE),"")</f>
        <v>Suzuki APV 03- Pickup/ Van (MULIA)</v>
      </c>
      <c r="F8" s="63">
        <v>10.0</v>
      </c>
      <c r="G8" s="773">
        <v>483516.0</v>
      </c>
      <c r="H8" s="774">
        <f t="shared" si="1"/>
        <v>4835160</v>
      </c>
      <c r="I8" s="775"/>
      <c r="J8" s="776"/>
      <c r="K8" s="772"/>
      <c r="L8" s="772"/>
      <c r="M8" s="777"/>
      <c r="N8" s="777"/>
      <c r="O8" s="778" t="s">
        <v>12805</v>
      </c>
    </row>
    <row r="9" ht="14.25" customHeight="1">
      <c r="A9" s="770">
        <v>45348.0</v>
      </c>
      <c r="B9" s="771" t="s">
        <v>12804</v>
      </c>
      <c r="C9" s="63" t="s">
        <v>3076</v>
      </c>
      <c r="D9" s="63" t="s">
        <v>3451</v>
      </c>
      <c r="E9" s="772" t="str">
        <f>IFERROR(VLOOKUP(D9,Stock,3,FALSE),"")</f>
        <v>Toyota Rush / Terios 18-</v>
      </c>
      <c r="F9" s="63">
        <v>10.0</v>
      </c>
      <c r="G9" s="773">
        <v>493284.0</v>
      </c>
      <c r="H9" s="774">
        <f t="shared" si="1"/>
        <v>4932840</v>
      </c>
      <c r="I9" s="775"/>
      <c r="J9" s="776"/>
      <c r="K9" s="772"/>
      <c r="L9" s="772"/>
      <c r="M9" s="777"/>
      <c r="N9" s="777"/>
      <c r="O9" s="778" t="s">
        <v>12805</v>
      </c>
    </row>
    <row r="10" ht="14.25" customHeight="1">
      <c r="A10" s="770">
        <v>45348.0</v>
      </c>
      <c r="B10" s="771" t="s">
        <v>12804</v>
      </c>
      <c r="C10" s="63" t="s">
        <v>3076</v>
      </c>
      <c r="D10" s="63" t="s">
        <v>2549</v>
      </c>
      <c r="E10" s="772" t="str">
        <f>IFERROR(VLOOKUP(D10,Stock,3,FALSE),"")</f>
        <v>Toyota Avanza / Xenia 11-15 2nd Gen</v>
      </c>
      <c r="F10" s="63">
        <v>10.0</v>
      </c>
      <c r="G10" s="773">
        <v>396825.0</v>
      </c>
      <c r="H10" s="774">
        <f t="shared" si="1"/>
        <v>3968250</v>
      </c>
      <c r="I10" s="775">
        <v>0.0</v>
      </c>
      <c r="J10" s="779"/>
      <c r="K10" s="772"/>
      <c r="L10" s="772"/>
      <c r="M10" s="777"/>
      <c r="N10" s="777"/>
      <c r="O10" s="778" t="s">
        <v>12805</v>
      </c>
    </row>
    <row r="11" ht="14.25" customHeight="1">
      <c r="A11" s="770">
        <v>45348.0</v>
      </c>
      <c r="B11" s="771" t="s">
        <v>12804</v>
      </c>
      <c r="C11" s="63" t="s">
        <v>3076</v>
      </c>
      <c r="D11" s="63" t="s">
        <v>2926</v>
      </c>
      <c r="E11" s="772" t="str">
        <f>IFERROR(VLOOKUP(D11,Stock,3,FALSE),"")</f>
        <v>Honda Jazz 01-07 1st Gen</v>
      </c>
      <c r="F11" s="63">
        <v>10.0</v>
      </c>
      <c r="G11" s="773">
        <v>538461.0</v>
      </c>
      <c r="H11" s="774">
        <f t="shared" si="1"/>
        <v>5384610</v>
      </c>
      <c r="I11" s="775"/>
      <c r="J11" s="779"/>
      <c r="K11" s="772"/>
      <c r="L11" s="772"/>
      <c r="M11" s="777"/>
      <c r="N11" s="777"/>
      <c r="O11" s="778" t="s">
        <v>12805</v>
      </c>
    </row>
    <row r="12" ht="14.25" customHeight="1">
      <c r="A12" s="770">
        <v>45348.0</v>
      </c>
      <c r="B12" s="771" t="s">
        <v>12804</v>
      </c>
      <c r="C12" s="63" t="s">
        <v>3076</v>
      </c>
      <c r="D12" s="63" t="s">
        <v>2720</v>
      </c>
      <c r="E12" s="772" t="str">
        <f>IFERROR(VLOOKUP(D12,Stock,3,FALSE),"")</f>
        <v>Mitsubishi Canter FE300 85- (PS100,120,135 kabin kecil)</v>
      </c>
      <c r="F12" s="63">
        <v>10.0</v>
      </c>
      <c r="G12" s="773">
        <v>415140.0</v>
      </c>
      <c r="H12" s="774">
        <f t="shared" si="1"/>
        <v>4151400</v>
      </c>
      <c r="I12" s="775"/>
      <c r="J12" s="779"/>
      <c r="K12" s="772"/>
      <c r="L12" s="772"/>
      <c r="M12" s="777"/>
      <c r="N12" s="777"/>
      <c r="O12" s="778" t="s">
        <v>12805</v>
      </c>
    </row>
    <row r="13" ht="14.25" customHeight="1">
      <c r="A13" s="770">
        <v>45348.0</v>
      </c>
      <c r="B13" s="771" t="s">
        <v>12804</v>
      </c>
      <c r="C13" s="63" t="s">
        <v>3076</v>
      </c>
      <c r="D13" s="63" t="s">
        <v>6734</v>
      </c>
      <c r="E13" s="772" t="str">
        <f>IFERROR(VLOOKUP(D13,Stock,3,FALSE),"")</f>
        <v>Suzuki Katana 84-</v>
      </c>
      <c r="F13" s="63">
        <v>3.0</v>
      </c>
      <c r="G13" s="773">
        <v>273504.0</v>
      </c>
      <c r="H13" s="774">
        <f t="shared" si="1"/>
        <v>820512</v>
      </c>
      <c r="I13" s="775"/>
      <c r="J13" s="779"/>
      <c r="K13" s="772"/>
      <c r="L13" s="772"/>
      <c r="M13" s="777"/>
      <c r="N13" s="777"/>
      <c r="O13" s="778" t="s">
        <v>12805</v>
      </c>
    </row>
    <row r="14" ht="14.25" customHeight="1">
      <c r="A14" s="770">
        <v>45348.0</v>
      </c>
      <c r="B14" s="771" t="s">
        <v>12804</v>
      </c>
      <c r="C14" s="63" t="s">
        <v>3076</v>
      </c>
      <c r="D14" s="63" t="s">
        <v>6735</v>
      </c>
      <c r="E14" s="772" t="str">
        <f>IFERROR(VLOOKUP(D14,Stock,3,FALSE),"")</f>
        <v>Suzuki Katana 84-</v>
      </c>
      <c r="F14" s="63">
        <v>2.0</v>
      </c>
      <c r="G14" s="773">
        <v>273504.0</v>
      </c>
      <c r="H14" s="774">
        <f t="shared" si="1"/>
        <v>547008</v>
      </c>
      <c r="I14" s="775"/>
      <c r="J14" s="779"/>
      <c r="K14" s="772"/>
      <c r="L14" s="772"/>
      <c r="M14" s="777"/>
      <c r="N14" s="777"/>
      <c r="O14" s="778" t="s">
        <v>12805</v>
      </c>
    </row>
    <row r="15" ht="14.25" customHeight="1">
      <c r="A15" s="770">
        <v>45348.0</v>
      </c>
      <c r="B15" s="771" t="s">
        <v>12804</v>
      </c>
      <c r="C15" s="63" t="s">
        <v>3076</v>
      </c>
      <c r="D15" s="63" t="s">
        <v>6043</v>
      </c>
      <c r="E15" s="772" t="str">
        <f>IFERROR(VLOOKUP(D15,Stock,3,FALSE),"")</f>
        <v>Suzuki Vitara 88-97 / Escudo / Sidekick</v>
      </c>
      <c r="F15" s="63">
        <v>5.0</v>
      </c>
      <c r="G15" s="773">
        <v>472527.0</v>
      </c>
      <c r="H15" s="774">
        <f t="shared" si="1"/>
        <v>2362635</v>
      </c>
      <c r="I15" s="775"/>
      <c r="J15" s="779"/>
      <c r="K15" s="772"/>
      <c r="L15" s="772"/>
      <c r="M15" s="777"/>
      <c r="N15" s="777"/>
      <c r="O15" s="778" t="s">
        <v>12805</v>
      </c>
    </row>
    <row r="16" ht="14.25" customHeight="1">
      <c r="A16" s="770">
        <v>45348.0</v>
      </c>
      <c r="B16" s="771" t="s">
        <v>12804</v>
      </c>
      <c r="C16" s="63" t="s">
        <v>3076</v>
      </c>
      <c r="D16" s="63" t="s">
        <v>2637</v>
      </c>
      <c r="E16" s="772" t="str">
        <f>IFERROR(VLOOKUP(D16,Stock,3,FALSE),"")</f>
        <v>Ford Everest 04-15 / Ranger 04-11 / Mazda BT-50</v>
      </c>
      <c r="F16" s="63">
        <v>5.0</v>
      </c>
      <c r="G16" s="773">
        <v>463980.0</v>
      </c>
      <c r="H16" s="774">
        <f t="shared" si="1"/>
        <v>2319900</v>
      </c>
      <c r="I16" s="775"/>
      <c r="J16" s="779"/>
      <c r="K16" s="772"/>
      <c r="L16" s="772"/>
      <c r="M16" s="777"/>
      <c r="N16" s="777"/>
      <c r="O16" s="778" t="s">
        <v>12805</v>
      </c>
    </row>
    <row r="17" ht="14.25" customHeight="1">
      <c r="A17" s="770">
        <v>45348.0</v>
      </c>
      <c r="B17" s="771" t="s">
        <v>12804</v>
      </c>
      <c r="C17" s="63" t="s">
        <v>3076</v>
      </c>
      <c r="D17" s="63" t="s">
        <v>6544</v>
      </c>
      <c r="E17" s="772" t="str">
        <f>IFERROR(VLOOKUP(D17,Stock,3,FALSE),"")</f>
        <v>Daihatsu Taruna</v>
      </c>
      <c r="F17" s="63">
        <v>5.0</v>
      </c>
      <c r="G17" s="773">
        <v>557997.0</v>
      </c>
      <c r="H17" s="774">
        <f t="shared" si="1"/>
        <v>2789985</v>
      </c>
      <c r="I17" s="775"/>
      <c r="J17" s="779"/>
      <c r="K17" s="772"/>
      <c r="L17" s="772"/>
      <c r="M17" s="777"/>
      <c r="N17" s="777"/>
      <c r="O17" s="778" t="s">
        <v>12805</v>
      </c>
    </row>
    <row r="18" ht="14.25" customHeight="1">
      <c r="A18" s="770">
        <v>45348.0</v>
      </c>
      <c r="B18" s="771" t="s">
        <v>12804</v>
      </c>
      <c r="C18" s="63" t="s">
        <v>3076</v>
      </c>
      <c r="D18" s="63" t="s">
        <v>3865</v>
      </c>
      <c r="E18" s="772" t="str">
        <f>IFERROR(VLOOKUP(D18,Stock,3,FALSE),"")</f>
        <v>Mitsubishi Mirage 12-</v>
      </c>
      <c r="F18" s="63">
        <v>5.0</v>
      </c>
      <c r="G18" s="773">
        <v>570207.0</v>
      </c>
      <c r="H18" s="774">
        <f t="shared" si="1"/>
        <v>2851035</v>
      </c>
      <c r="I18" s="775"/>
      <c r="J18" s="779"/>
      <c r="K18" s="772"/>
      <c r="L18" s="772"/>
      <c r="M18" s="777"/>
      <c r="N18" s="777"/>
      <c r="O18" s="778" t="s">
        <v>12805</v>
      </c>
    </row>
    <row r="19" ht="14.25" customHeight="1">
      <c r="A19" s="770">
        <v>45348.0</v>
      </c>
      <c r="B19" s="771" t="s">
        <v>12804</v>
      </c>
      <c r="C19" s="63" t="s">
        <v>3076</v>
      </c>
      <c r="D19" s="63" t="s">
        <v>5546</v>
      </c>
      <c r="E19" s="772" t="str">
        <f>IFERROR(VLOOKUP(D19,Stock,3,FALSE),"")</f>
        <v>Chevrolet Spin 12-</v>
      </c>
      <c r="F19" s="63">
        <v>5.0</v>
      </c>
      <c r="G19" s="773">
        <v>641025.0</v>
      </c>
      <c r="H19" s="774">
        <f t="shared" si="1"/>
        <v>3205125</v>
      </c>
      <c r="I19" s="775"/>
      <c r="J19" s="779"/>
      <c r="K19" s="772"/>
      <c r="L19" s="772"/>
      <c r="M19" s="777"/>
      <c r="N19" s="777"/>
      <c r="O19" s="778" t="s">
        <v>12805</v>
      </c>
    </row>
    <row r="20" ht="14.25" customHeight="1">
      <c r="A20" s="770">
        <v>45348.0</v>
      </c>
      <c r="B20" s="771" t="s">
        <v>12804</v>
      </c>
      <c r="C20" s="63" t="s">
        <v>3076</v>
      </c>
      <c r="D20" s="63" t="s">
        <v>3391</v>
      </c>
      <c r="E20" s="772" t="str">
        <f>IFERROR(VLOOKUP(D20,Stock,3,FALSE),"")</f>
        <v>Toyota Fortuner 05-15 1st Gen</v>
      </c>
      <c r="F20" s="63">
        <v>10.0</v>
      </c>
      <c r="G20" s="773">
        <v>493284.0</v>
      </c>
      <c r="H20" s="774">
        <f t="shared" si="1"/>
        <v>4932840</v>
      </c>
      <c r="I20" s="775"/>
      <c r="J20" s="779"/>
      <c r="K20" s="772"/>
      <c r="L20" s="772"/>
      <c r="M20" s="777"/>
      <c r="N20" s="777"/>
      <c r="O20" s="778" t="s">
        <v>12805</v>
      </c>
    </row>
    <row r="21" ht="14.25" customHeight="1">
      <c r="A21" s="770">
        <v>45348.0</v>
      </c>
      <c r="B21" s="771" t="s">
        <v>12804</v>
      </c>
      <c r="C21" s="63" t="s">
        <v>3076</v>
      </c>
      <c r="D21" s="63" t="s">
        <v>3622</v>
      </c>
      <c r="E21" s="772" t="str">
        <f>IFERROR(VLOOKUP(D21,Stock,3,FALSE),"")</f>
        <v>Mitsubishi Pajero 08-16</v>
      </c>
      <c r="F21" s="63">
        <v>10.0</v>
      </c>
      <c r="G21" s="773">
        <v>456654.0</v>
      </c>
      <c r="H21" s="774">
        <f t="shared" si="1"/>
        <v>4566540</v>
      </c>
      <c r="I21" s="775"/>
      <c r="J21" s="779"/>
      <c r="K21" s="772"/>
      <c r="L21" s="772"/>
      <c r="M21" s="777"/>
      <c r="N21" s="777"/>
      <c r="O21" s="778" t="s">
        <v>12805</v>
      </c>
    </row>
    <row r="22" ht="14.25" customHeight="1">
      <c r="A22" s="770">
        <v>45348.0</v>
      </c>
      <c r="B22" s="771" t="s">
        <v>12804</v>
      </c>
      <c r="C22" s="63" t="s">
        <v>3076</v>
      </c>
      <c r="D22" s="63" t="s">
        <v>3118</v>
      </c>
      <c r="E22" s="772" t="str">
        <f>IFERROR(VLOOKUP(D22,Stock,3,FALSE),"")</f>
        <v>Toyota Hilux Pickup 15- (Revo)</v>
      </c>
      <c r="F22" s="63">
        <v>10.0</v>
      </c>
      <c r="G22" s="773">
        <v>523809.0</v>
      </c>
      <c r="H22" s="774">
        <f t="shared" si="1"/>
        <v>5238090</v>
      </c>
      <c r="I22" s="775"/>
      <c r="J22" s="779"/>
      <c r="K22" s="772"/>
      <c r="L22" s="772"/>
      <c r="M22" s="777"/>
      <c r="N22" s="777"/>
      <c r="O22" s="778" t="s">
        <v>12805</v>
      </c>
    </row>
    <row r="23" ht="14.25" customHeight="1">
      <c r="A23" s="780">
        <v>45353.0</v>
      </c>
      <c r="B23" s="781" t="s">
        <v>12806</v>
      </c>
      <c r="C23" s="782" t="s">
        <v>3091</v>
      </c>
      <c r="D23" s="782" t="s">
        <v>2919</v>
      </c>
      <c r="E23" s="783" t="str">
        <f>IFERROR(VLOOKUP(D23,Stock,3,FALSE),"")</f>
        <v>Toyota Innova 04-15 1st Gen</v>
      </c>
      <c r="F23" s="782">
        <v>1.0</v>
      </c>
      <c r="G23" s="784">
        <v>932000.0</v>
      </c>
      <c r="H23" s="785">
        <f t="shared" si="1"/>
        <v>932000</v>
      </c>
      <c r="I23" s="785"/>
      <c r="J23" s="786"/>
      <c r="K23" s="783"/>
      <c r="L23" s="783"/>
      <c r="M23" s="787"/>
      <c r="N23" s="787"/>
      <c r="O23" s="788" t="s">
        <v>12807</v>
      </c>
    </row>
    <row r="24" ht="14.25" customHeight="1">
      <c r="A24" s="789">
        <v>45355.0</v>
      </c>
      <c r="B24" s="790" t="s">
        <v>12808</v>
      </c>
      <c r="C24" s="791" t="s">
        <v>3091</v>
      </c>
      <c r="D24" s="791" t="s">
        <v>2960</v>
      </c>
      <c r="E24" s="792" t="str">
        <f>IFERROR(VLOOKUP(D24,Stock,3,FALSE),"")</f>
        <v>Toyota Alphard 08-15 ANH20 2nd Gen (Hitam)</v>
      </c>
      <c r="F24" s="791">
        <v>1.0</v>
      </c>
      <c r="G24" s="793">
        <v>558763.8</v>
      </c>
      <c r="H24" s="794">
        <f t="shared" si="1"/>
        <v>558763.8</v>
      </c>
      <c r="I24" s="794"/>
      <c r="J24" s="795"/>
      <c r="K24" s="792"/>
      <c r="L24" s="792"/>
      <c r="M24" s="796" t="s">
        <v>12809</v>
      </c>
      <c r="N24" s="797">
        <v>45416.0</v>
      </c>
      <c r="O24" s="798" t="s">
        <v>12810</v>
      </c>
    </row>
    <row r="25" ht="14.25" customHeight="1">
      <c r="A25" s="789">
        <v>45355.0</v>
      </c>
      <c r="B25" s="790" t="s">
        <v>12808</v>
      </c>
      <c r="C25" s="791" t="s">
        <v>3091</v>
      </c>
      <c r="D25" s="791" t="s">
        <v>12811</v>
      </c>
      <c r="E25" s="792" t="str">
        <f>IFERROR(VLOOKUP(D25,Stock,3,FALSE),"")</f>
        <v>Toyota Alphard 08-15 ANH20 2nd Gen</v>
      </c>
      <c r="F25" s="791">
        <v>1.0</v>
      </c>
      <c r="G25" s="793">
        <v>160477.2</v>
      </c>
      <c r="H25" s="794">
        <f t="shared" si="1"/>
        <v>160477.2</v>
      </c>
      <c r="I25" s="794"/>
      <c r="J25" s="795"/>
      <c r="K25" s="792"/>
      <c r="L25" s="792"/>
      <c r="M25" s="796" t="s">
        <v>12809</v>
      </c>
      <c r="N25" s="797">
        <v>45416.0</v>
      </c>
      <c r="O25" s="798" t="s">
        <v>12810</v>
      </c>
    </row>
    <row r="26" ht="14.25" customHeight="1">
      <c r="A26" s="789">
        <v>45355.0</v>
      </c>
      <c r="B26" s="790" t="s">
        <v>12808</v>
      </c>
      <c r="C26" s="791" t="s">
        <v>3091</v>
      </c>
      <c r="D26" s="791" t="s">
        <v>12812</v>
      </c>
      <c r="E26" s="792" t="str">
        <f>IFERROR(VLOOKUP(D26,Stock,3,FALSE),"")</f>
        <v>Toyota Alphard 08-15 ANH20 2nd Gen</v>
      </c>
      <c r="F26" s="791">
        <v>1.0</v>
      </c>
      <c r="G26" s="793">
        <v>160477.2</v>
      </c>
      <c r="H26" s="794">
        <f t="shared" si="1"/>
        <v>160477.2</v>
      </c>
      <c r="I26" s="794"/>
      <c r="J26" s="795"/>
      <c r="K26" s="792"/>
      <c r="L26" s="792"/>
      <c r="M26" s="796" t="s">
        <v>12809</v>
      </c>
      <c r="N26" s="797">
        <v>45416.0</v>
      </c>
      <c r="O26" s="798" t="s">
        <v>12810</v>
      </c>
    </row>
    <row r="27" ht="14.25" customHeight="1">
      <c r="A27" s="789">
        <v>45355.0</v>
      </c>
      <c r="B27" s="790" t="s">
        <v>12808</v>
      </c>
      <c r="C27" s="791" t="s">
        <v>3091</v>
      </c>
      <c r="D27" s="791" t="s">
        <v>2593</v>
      </c>
      <c r="E27" s="792" t="str">
        <f>IFERROR(VLOOKUP(D27,Stock,3,FALSE),"")</f>
        <v>Toyota Alphard 08-15 ANH20 2nd Gen Sensor</v>
      </c>
      <c r="F27" s="791">
        <v>1.0</v>
      </c>
      <c r="G27" s="793">
        <v>796320.6</v>
      </c>
      <c r="H27" s="794">
        <f t="shared" si="1"/>
        <v>796320.6</v>
      </c>
      <c r="I27" s="794"/>
      <c r="J27" s="795"/>
      <c r="K27" s="792"/>
      <c r="L27" s="792"/>
      <c r="M27" s="796" t="s">
        <v>12809</v>
      </c>
      <c r="N27" s="797">
        <v>45416.0</v>
      </c>
      <c r="O27" s="798" t="s">
        <v>12810</v>
      </c>
    </row>
    <row r="28" ht="14.25" customHeight="1">
      <c r="A28" s="789">
        <v>45355.0</v>
      </c>
      <c r="B28" s="790" t="s">
        <v>12808</v>
      </c>
      <c r="C28" s="791" t="s">
        <v>3091</v>
      </c>
      <c r="D28" s="791" t="s">
        <v>9211</v>
      </c>
      <c r="E28" s="792" t="str">
        <f>IFERROR(VLOOKUP(D28,Stock,3,FALSE),"")</f>
        <v>Toyota Alphard 15-17 ANH30 3rd Gen (Hitam)</v>
      </c>
      <c r="F28" s="791">
        <v>1.0</v>
      </c>
      <c r="G28" s="793">
        <v>570642.0</v>
      </c>
      <c r="H28" s="794">
        <f t="shared" si="1"/>
        <v>570642</v>
      </c>
      <c r="I28" s="794"/>
      <c r="J28" s="795"/>
      <c r="K28" s="792"/>
      <c r="L28" s="792"/>
      <c r="M28" s="796" t="s">
        <v>12809</v>
      </c>
      <c r="N28" s="797">
        <v>45416.0</v>
      </c>
      <c r="O28" s="798" t="s">
        <v>12810</v>
      </c>
    </row>
    <row r="29" ht="14.25" customHeight="1">
      <c r="A29" s="789">
        <v>45355.0</v>
      </c>
      <c r="B29" s="790" t="s">
        <v>12808</v>
      </c>
      <c r="C29" s="791" t="s">
        <v>3091</v>
      </c>
      <c r="D29" s="791" t="s">
        <v>12813</v>
      </c>
      <c r="E29" s="792" t="str">
        <f>IFERROR(VLOOKUP(D29,Stock,3,FALSE),"")</f>
        <v>Toyota Alphard 15- ANH30 3rd Gen</v>
      </c>
      <c r="F29" s="791">
        <v>1.0</v>
      </c>
      <c r="G29" s="793">
        <v>173113.2</v>
      </c>
      <c r="H29" s="794">
        <f t="shared" si="1"/>
        <v>173113.2</v>
      </c>
      <c r="I29" s="794"/>
      <c r="J29" s="795"/>
      <c r="K29" s="792"/>
      <c r="L29" s="792"/>
      <c r="M29" s="796" t="s">
        <v>12809</v>
      </c>
      <c r="N29" s="797">
        <v>45416.0</v>
      </c>
      <c r="O29" s="798" t="s">
        <v>12810</v>
      </c>
    </row>
    <row r="30" ht="14.25" customHeight="1">
      <c r="A30" s="789">
        <v>45355.0</v>
      </c>
      <c r="B30" s="790" t="s">
        <v>12808</v>
      </c>
      <c r="C30" s="791" t="s">
        <v>3091</v>
      </c>
      <c r="D30" s="791" t="s">
        <v>12814</v>
      </c>
      <c r="E30" s="792" t="str">
        <f>IFERROR(VLOOKUP(D30,Stock,3,FALSE),"")</f>
        <v>Toyota Alphard 15- ANH30 3rd Gen</v>
      </c>
      <c r="F30" s="791">
        <v>1.0</v>
      </c>
      <c r="G30" s="793">
        <v>173113.2</v>
      </c>
      <c r="H30" s="794">
        <f t="shared" si="1"/>
        <v>173113.2</v>
      </c>
      <c r="I30" s="794"/>
      <c r="J30" s="795"/>
      <c r="K30" s="792"/>
      <c r="L30" s="792"/>
      <c r="M30" s="796" t="s">
        <v>12809</v>
      </c>
      <c r="N30" s="797">
        <v>45416.0</v>
      </c>
      <c r="O30" s="798" t="s">
        <v>12810</v>
      </c>
    </row>
    <row r="31" ht="14.25" customHeight="1">
      <c r="A31" s="789">
        <v>45355.0</v>
      </c>
      <c r="B31" s="790" t="s">
        <v>12808</v>
      </c>
      <c r="C31" s="791" t="s">
        <v>3091</v>
      </c>
      <c r="D31" s="791" t="s">
        <v>8870</v>
      </c>
      <c r="E31" s="792" t="str">
        <f>IFERROR(VLOOKUP(D31,Stock,3,FALSE),"")</f>
        <v>Toyota Alphard 15-17 ANH30 3rd Gen (Sensor atas keramik)</v>
      </c>
      <c r="F31" s="791">
        <v>1.0</v>
      </c>
      <c r="G31" s="793">
        <v>847370.4</v>
      </c>
      <c r="H31" s="794">
        <f t="shared" si="1"/>
        <v>847370.4</v>
      </c>
      <c r="I31" s="794"/>
      <c r="J31" s="795"/>
      <c r="K31" s="792"/>
      <c r="L31" s="792"/>
      <c r="M31" s="796" t="s">
        <v>12809</v>
      </c>
      <c r="N31" s="797">
        <v>45416.0</v>
      </c>
      <c r="O31" s="798" t="s">
        <v>12810</v>
      </c>
    </row>
    <row r="32" ht="14.25" customHeight="1">
      <c r="A32" s="789">
        <v>45355.0</v>
      </c>
      <c r="B32" s="790" t="s">
        <v>12808</v>
      </c>
      <c r="C32" s="791" t="s">
        <v>3091</v>
      </c>
      <c r="D32" s="791" t="s">
        <v>12815</v>
      </c>
      <c r="E32" s="792" t="str">
        <f>IFERROR(VLOOKUP(D32,Stock,3,FALSE),"")</f>
        <v>Chevrolet Captiva 06-18 1st gen C100</v>
      </c>
      <c r="F32" s="791">
        <v>1.0</v>
      </c>
      <c r="G32" s="793">
        <v>324745.2</v>
      </c>
      <c r="H32" s="794">
        <f t="shared" si="1"/>
        <v>324745.2</v>
      </c>
      <c r="I32" s="794"/>
      <c r="J32" s="795"/>
      <c r="K32" s="792"/>
      <c r="L32" s="792"/>
      <c r="M32" s="796" t="s">
        <v>12809</v>
      </c>
      <c r="N32" s="797">
        <v>45416.0</v>
      </c>
      <c r="O32" s="798" t="s">
        <v>12810</v>
      </c>
    </row>
    <row r="33" ht="14.25" customHeight="1">
      <c r="A33" s="789">
        <v>45355.0</v>
      </c>
      <c r="B33" s="790" t="s">
        <v>12808</v>
      </c>
      <c r="C33" s="791" t="s">
        <v>3091</v>
      </c>
      <c r="D33" s="791" t="s">
        <v>2664</v>
      </c>
      <c r="E33" s="792" t="str">
        <f>IFERROR(VLOOKUP(D33,Stock,3,FALSE),"")</f>
        <v>Chevrolet Captiva 06-18 1st gen C100</v>
      </c>
      <c r="F33" s="791">
        <v>1.0</v>
      </c>
      <c r="G33" s="793">
        <v>602989.8</v>
      </c>
      <c r="H33" s="794">
        <f t="shared" si="1"/>
        <v>602989.8</v>
      </c>
      <c r="I33" s="794"/>
      <c r="J33" s="795"/>
      <c r="K33" s="792"/>
      <c r="L33" s="792"/>
      <c r="M33" s="796" t="s">
        <v>12809</v>
      </c>
      <c r="N33" s="797">
        <v>45416.0</v>
      </c>
      <c r="O33" s="798" t="s">
        <v>12810</v>
      </c>
    </row>
    <row r="34" ht="14.25" customHeight="1">
      <c r="A34" s="789">
        <v>45355.0</v>
      </c>
      <c r="B34" s="790" t="s">
        <v>12808</v>
      </c>
      <c r="C34" s="791" t="s">
        <v>3091</v>
      </c>
      <c r="D34" s="791" t="s">
        <v>5554</v>
      </c>
      <c r="E34" s="792" t="str">
        <f>IFERROR(VLOOKUP(D34,Stock,3,FALSE),"")</f>
        <v>Mers-Benz E-Class  09-16  W212 (2 Sensor/ □Δ) Trapes.</v>
      </c>
      <c r="F34" s="791">
        <v>1.0</v>
      </c>
      <c r="G34" s="793">
        <v>1513287.6</v>
      </c>
      <c r="H34" s="794">
        <f t="shared" si="1"/>
        <v>1513287.6</v>
      </c>
      <c r="I34" s="794"/>
      <c r="J34" s="795"/>
      <c r="K34" s="792"/>
      <c r="L34" s="792"/>
      <c r="M34" s="796" t="s">
        <v>12809</v>
      </c>
      <c r="N34" s="797">
        <v>45416.0</v>
      </c>
      <c r="O34" s="798" t="s">
        <v>12810</v>
      </c>
    </row>
    <row r="35" ht="14.25" customHeight="1">
      <c r="A35" s="789">
        <v>45355.0</v>
      </c>
      <c r="B35" s="790" t="s">
        <v>12808</v>
      </c>
      <c r="C35" s="791" t="s">
        <v>3091</v>
      </c>
      <c r="D35" s="791" t="s">
        <v>9437</v>
      </c>
      <c r="E35" s="792" t="str">
        <f>IFERROR(VLOOKUP(D35,Stock,3,FALSE),"")</f>
        <v>Ford Fiesta 09-17</v>
      </c>
      <c r="F35" s="791">
        <v>1.0</v>
      </c>
      <c r="G35" s="793">
        <v>324745.2</v>
      </c>
      <c r="H35" s="794">
        <f t="shared" si="1"/>
        <v>324745.2</v>
      </c>
      <c r="I35" s="794"/>
      <c r="J35" s="795"/>
      <c r="K35" s="792"/>
      <c r="L35" s="792"/>
      <c r="M35" s="796" t="s">
        <v>12809</v>
      </c>
      <c r="N35" s="797">
        <v>45416.0</v>
      </c>
      <c r="O35" s="798" t="s">
        <v>12810</v>
      </c>
    </row>
    <row r="36" ht="14.25" customHeight="1">
      <c r="A36" s="789">
        <v>45355.0</v>
      </c>
      <c r="B36" s="790" t="s">
        <v>12808</v>
      </c>
      <c r="C36" s="791" t="s">
        <v>3091</v>
      </c>
      <c r="D36" s="791" t="s">
        <v>12816</v>
      </c>
      <c r="E36" s="792" t="str">
        <f>IFERROR(VLOOKUP(D36,Stock,3,FALSE),"")</f>
        <v>Toyota Harrier - 480N</v>
      </c>
      <c r="F36" s="791">
        <v>1.0</v>
      </c>
      <c r="G36" s="793">
        <v>185749.2</v>
      </c>
      <c r="H36" s="794">
        <f t="shared" si="1"/>
        <v>185749.2</v>
      </c>
      <c r="I36" s="794"/>
      <c r="J36" s="795"/>
      <c r="K36" s="792"/>
      <c r="L36" s="792"/>
      <c r="M36" s="796" t="s">
        <v>12809</v>
      </c>
      <c r="N36" s="797">
        <v>45416.0</v>
      </c>
      <c r="O36" s="798" t="s">
        <v>12810</v>
      </c>
    </row>
    <row r="37" ht="14.25" customHeight="1">
      <c r="A37" s="789">
        <v>45355.0</v>
      </c>
      <c r="B37" s="790" t="s">
        <v>12808</v>
      </c>
      <c r="C37" s="791" t="s">
        <v>3091</v>
      </c>
      <c r="D37" s="791" t="s">
        <v>10636</v>
      </c>
      <c r="E37" s="792" t="str">
        <f>IFERROR(VLOOKUP(D37,Stock,3,FALSE),"")</f>
        <v>Toyota Harrier - 480N</v>
      </c>
      <c r="F37" s="791">
        <v>1.0</v>
      </c>
      <c r="G37" s="793">
        <v>185749.2</v>
      </c>
      <c r="H37" s="794">
        <f t="shared" si="1"/>
        <v>185749.2</v>
      </c>
      <c r="I37" s="794"/>
      <c r="J37" s="795"/>
      <c r="K37" s="792"/>
      <c r="L37" s="792"/>
      <c r="M37" s="796" t="s">
        <v>12809</v>
      </c>
      <c r="N37" s="797">
        <v>45416.0</v>
      </c>
      <c r="O37" s="798" t="s">
        <v>12810</v>
      </c>
    </row>
    <row r="38" ht="14.25" customHeight="1">
      <c r="A38" s="789">
        <v>45355.0</v>
      </c>
      <c r="B38" s="790" t="s">
        <v>12808</v>
      </c>
      <c r="C38" s="791" t="s">
        <v>3091</v>
      </c>
      <c r="D38" s="791" t="s">
        <v>12817</v>
      </c>
      <c r="E38" s="792" t="str">
        <f>IFERROR(VLOOKUP(D38,Stock,3,FALSE),"")</f>
        <v>Toyota Harrier - 480N</v>
      </c>
      <c r="F38" s="791">
        <v>1.0</v>
      </c>
      <c r="G38" s="793">
        <v>147841.2</v>
      </c>
      <c r="H38" s="794">
        <f t="shared" si="1"/>
        <v>147841.2</v>
      </c>
      <c r="I38" s="794"/>
      <c r="J38" s="795"/>
      <c r="K38" s="792"/>
      <c r="L38" s="792"/>
      <c r="M38" s="796" t="s">
        <v>12809</v>
      </c>
      <c r="N38" s="797">
        <v>45416.0</v>
      </c>
      <c r="O38" s="798" t="s">
        <v>12810</v>
      </c>
    </row>
    <row r="39" ht="14.25" customHeight="1">
      <c r="A39" s="789">
        <v>45355.0</v>
      </c>
      <c r="B39" s="790" t="s">
        <v>12808</v>
      </c>
      <c r="C39" s="791" t="s">
        <v>3091</v>
      </c>
      <c r="D39" s="791" t="s">
        <v>12818</v>
      </c>
      <c r="E39" s="792" t="str">
        <f>IFERROR(VLOOKUP(D39,Stock,3,FALSE),"")</f>
        <v>Toyota Harrier - 480N</v>
      </c>
      <c r="F39" s="791">
        <v>1.0</v>
      </c>
      <c r="G39" s="793">
        <v>147841.2</v>
      </c>
      <c r="H39" s="794">
        <f t="shared" si="1"/>
        <v>147841.2</v>
      </c>
      <c r="I39" s="794"/>
      <c r="J39" s="795"/>
      <c r="K39" s="792"/>
      <c r="L39" s="792"/>
      <c r="M39" s="796" t="s">
        <v>12809</v>
      </c>
      <c r="N39" s="797">
        <v>45416.0</v>
      </c>
      <c r="O39" s="798" t="s">
        <v>12810</v>
      </c>
    </row>
    <row r="40" ht="14.25" customHeight="1">
      <c r="A40" s="789">
        <v>45355.0</v>
      </c>
      <c r="B40" s="790" t="s">
        <v>12808</v>
      </c>
      <c r="C40" s="791" t="s">
        <v>3091</v>
      </c>
      <c r="D40" s="791" t="s">
        <v>3096</v>
      </c>
      <c r="E40" s="792" t="str">
        <f>IFERROR(VLOOKUP(D40,Stock,3,FALSE),"")</f>
        <v>Toyota Hi-Ace 04-20 Commuter With Frame</v>
      </c>
      <c r="F40" s="791"/>
      <c r="G40" s="793" t="s">
        <v>3092</v>
      </c>
      <c r="H40" s="793">
        <v>0.0</v>
      </c>
      <c r="I40" s="794"/>
      <c r="J40" s="795"/>
      <c r="K40" s="792"/>
      <c r="L40" s="792"/>
      <c r="M40" s="796" t="s">
        <v>12809</v>
      </c>
      <c r="N40" s="797">
        <v>45416.0</v>
      </c>
      <c r="O40" s="798" t="s">
        <v>12810</v>
      </c>
    </row>
    <row r="41" ht="14.25" customHeight="1">
      <c r="A41" s="789">
        <v>45355.0</v>
      </c>
      <c r="B41" s="790" t="s">
        <v>12808</v>
      </c>
      <c r="C41" s="791" t="s">
        <v>3091</v>
      </c>
      <c r="D41" s="791" t="s">
        <v>12819</v>
      </c>
      <c r="E41" s="792" t="str">
        <f>IFERROR(VLOOKUP(D41,Stock,3,FALSE),"")</f>
        <v>Toyota Hi-Ace 04-20 Commuter With Frame (Hitam)</v>
      </c>
      <c r="F41" s="791">
        <v>1.0</v>
      </c>
      <c r="G41" s="793">
        <v>1082905.2</v>
      </c>
      <c r="H41" s="794">
        <f t="shared" ref="H41:H42" si="2">F41*G41</f>
        <v>1082905.2</v>
      </c>
      <c r="I41" s="794"/>
      <c r="J41" s="795"/>
      <c r="K41" s="792"/>
      <c r="L41" s="792"/>
      <c r="M41" s="796" t="s">
        <v>12809</v>
      </c>
      <c r="N41" s="797">
        <v>45416.0</v>
      </c>
      <c r="O41" s="798" t="s">
        <v>12810</v>
      </c>
    </row>
    <row r="42" ht="13.5" customHeight="1">
      <c r="A42" s="789">
        <v>45355.0</v>
      </c>
      <c r="B42" s="790" t="s">
        <v>12808</v>
      </c>
      <c r="C42" s="791" t="s">
        <v>3091</v>
      </c>
      <c r="D42" s="791" t="s">
        <v>12820</v>
      </c>
      <c r="E42" s="792" t="str">
        <f>IFERROR(VLOOKUP(D42,Stock,3,FALSE),"")</f>
        <v>Toyota Hi-Ace 04-20 Commuter With Frame</v>
      </c>
      <c r="F42" s="791">
        <v>1.0</v>
      </c>
      <c r="G42" s="793">
        <v>981817.2</v>
      </c>
      <c r="H42" s="794">
        <f t="shared" si="2"/>
        <v>981817.2</v>
      </c>
      <c r="I42" s="794"/>
      <c r="J42" s="795"/>
      <c r="K42" s="792"/>
      <c r="L42" s="792"/>
      <c r="M42" s="796" t="s">
        <v>12809</v>
      </c>
      <c r="N42" s="797">
        <v>45416.0</v>
      </c>
      <c r="O42" s="798" t="s">
        <v>12810</v>
      </c>
    </row>
    <row r="43" ht="14.25" customHeight="1">
      <c r="A43" s="789">
        <v>45355.0</v>
      </c>
      <c r="B43" s="790" t="s">
        <v>12808</v>
      </c>
      <c r="C43" s="791" t="s">
        <v>3091</v>
      </c>
      <c r="D43" s="791" t="s">
        <v>3097</v>
      </c>
      <c r="E43" s="792" t="str">
        <f>IFERROR(VLOOKUP(D43,Stock,3,FALSE),"")</f>
        <v>Toyota Hi-Ace 04-20 Commuter With Frame (Hitam)</v>
      </c>
      <c r="F43" s="791"/>
      <c r="G43" s="793" t="s">
        <v>3092</v>
      </c>
      <c r="H43" s="793">
        <v>0.0</v>
      </c>
      <c r="I43" s="794"/>
      <c r="J43" s="795"/>
      <c r="K43" s="792"/>
      <c r="L43" s="792"/>
      <c r="M43" s="796" t="s">
        <v>12809</v>
      </c>
      <c r="N43" s="797">
        <v>45416.0</v>
      </c>
      <c r="O43" s="798" t="s">
        <v>12810</v>
      </c>
    </row>
    <row r="44" ht="14.25" customHeight="1">
      <c r="A44" s="789">
        <v>45355.0</v>
      </c>
      <c r="B44" s="790" t="s">
        <v>12808</v>
      </c>
      <c r="C44" s="791" t="s">
        <v>3091</v>
      </c>
      <c r="D44" s="791" t="s">
        <v>2949</v>
      </c>
      <c r="E44" s="792" t="str">
        <f>IFERROR(VLOOKUP(D44,Stock,3,FALSE),"")</f>
        <v>Nissan Juke 11-</v>
      </c>
      <c r="F44" s="791">
        <v>1.0</v>
      </c>
      <c r="G44" s="793">
        <v>524394.0</v>
      </c>
      <c r="H44" s="794">
        <f t="shared" ref="H44:H50" si="3">F44*G44</f>
        <v>524394</v>
      </c>
      <c r="I44" s="794"/>
      <c r="J44" s="795"/>
      <c r="K44" s="792"/>
      <c r="L44" s="792"/>
      <c r="M44" s="796" t="s">
        <v>12809</v>
      </c>
      <c r="N44" s="797">
        <v>45416.0</v>
      </c>
      <c r="O44" s="798" t="s">
        <v>12810</v>
      </c>
    </row>
    <row r="45" ht="14.25" customHeight="1">
      <c r="A45" s="789">
        <v>45355.0</v>
      </c>
      <c r="B45" s="790" t="s">
        <v>12808</v>
      </c>
      <c r="C45" s="791" t="s">
        <v>3091</v>
      </c>
      <c r="D45" s="799" t="s">
        <v>12821</v>
      </c>
      <c r="E45" s="792" t="str">
        <f>IFERROR(VLOOKUP(D45,Stock,3,FALSE),"")</f>
        <v>Lexus RX270/350</v>
      </c>
      <c r="F45" s="791">
        <v>1.0</v>
      </c>
      <c r="G45" s="793">
        <v>399045.0</v>
      </c>
      <c r="H45" s="794">
        <f t="shared" si="3"/>
        <v>399045</v>
      </c>
      <c r="I45" s="794"/>
      <c r="J45" s="795"/>
      <c r="K45" s="792"/>
      <c r="L45" s="792"/>
      <c r="M45" s="796" t="s">
        <v>12809</v>
      </c>
      <c r="N45" s="797">
        <v>45416.0</v>
      </c>
      <c r="O45" s="798" t="s">
        <v>12810</v>
      </c>
    </row>
    <row r="46" ht="14.25" customHeight="1">
      <c r="A46" s="789">
        <v>45355.0</v>
      </c>
      <c r="B46" s="790" t="s">
        <v>12808</v>
      </c>
      <c r="C46" s="791" t="s">
        <v>3091</v>
      </c>
      <c r="D46" s="791" t="s">
        <v>2743</v>
      </c>
      <c r="E46" s="792" t="str">
        <f>IFERROR(VLOOKUP(D46,Stock,3,FALSE),"")</f>
        <v>Toyota Voxy 22- 2nd Gen (Hitam)</v>
      </c>
      <c r="F46" s="791">
        <v>1.0</v>
      </c>
      <c r="G46" s="793">
        <v>636601.8</v>
      </c>
      <c r="H46" s="794">
        <f t="shared" si="3"/>
        <v>636601.8</v>
      </c>
      <c r="I46" s="794"/>
      <c r="J46" s="795"/>
      <c r="K46" s="792"/>
      <c r="L46" s="792"/>
      <c r="M46" s="796" t="s">
        <v>12809</v>
      </c>
      <c r="N46" s="797">
        <v>45416.0</v>
      </c>
      <c r="O46" s="798" t="s">
        <v>12810</v>
      </c>
    </row>
    <row r="47" ht="14.25" customHeight="1">
      <c r="A47" s="789">
        <v>45355.0</v>
      </c>
      <c r="B47" s="790" t="s">
        <v>12808</v>
      </c>
      <c r="C47" s="791" t="s">
        <v>3091</v>
      </c>
      <c r="D47" s="791" t="s">
        <v>2599</v>
      </c>
      <c r="E47" s="792" t="str">
        <f>IFERROR(VLOOKUP(D47,Stock,3,FALSE),"")</f>
        <v>Toyota Voxy 22- 2nd Gen (1 Sensor / /\ )</v>
      </c>
      <c r="F47" s="791">
        <v>1.0</v>
      </c>
      <c r="G47" s="793">
        <v>558511.2</v>
      </c>
      <c r="H47" s="794">
        <f t="shared" si="3"/>
        <v>558511.2</v>
      </c>
      <c r="I47" s="794"/>
      <c r="J47" s="795"/>
      <c r="K47" s="792"/>
      <c r="L47" s="792"/>
      <c r="M47" s="796" t="s">
        <v>12809</v>
      </c>
      <c r="N47" s="797">
        <v>45416.0</v>
      </c>
      <c r="O47" s="798" t="s">
        <v>12810</v>
      </c>
    </row>
    <row r="48" ht="14.25" customHeight="1">
      <c r="A48" s="789">
        <v>45355.0</v>
      </c>
      <c r="B48" s="790" t="s">
        <v>12808</v>
      </c>
      <c r="C48" s="791" t="s">
        <v>3091</v>
      </c>
      <c r="D48" s="791" t="s">
        <v>12822</v>
      </c>
      <c r="E48" s="792" t="str">
        <f>IFERROR(VLOOKUP(D48,Stock,3,FALSE),"")</f>
        <v>Toyota Hi-Ace 19- Premio</v>
      </c>
      <c r="F48" s="791">
        <v>1.0</v>
      </c>
      <c r="G48" s="793">
        <v>185749.2</v>
      </c>
      <c r="H48" s="794">
        <f t="shared" si="3"/>
        <v>185749.2</v>
      </c>
      <c r="I48" s="794"/>
      <c r="J48" s="795"/>
      <c r="K48" s="792"/>
      <c r="L48" s="792"/>
      <c r="M48" s="796" t="s">
        <v>12809</v>
      </c>
      <c r="N48" s="797">
        <v>45416.0</v>
      </c>
      <c r="O48" s="798" t="s">
        <v>12810</v>
      </c>
    </row>
    <row r="49" ht="14.25" customHeight="1">
      <c r="A49" s="789">
        <v>45355.0</v>
      </c>
      <c r="B49" s="790" t="s">
        <v>12808</v>
      </c>
      <c r="C49" s="791" t="s">
        <v>3091</v>
      </c>
      <c r="D49" s="800" t="s">
        <v>12823</v>
      </c>
      <c r="E49" s="792" t="str">
        <f>IFERROR(VLOOKUP(D49,Stock,3,FALSE),"")</f>
        <v>Toyota Hi-Ace 19- Premio</v>
      </c>
      <c r="F49" s="791">
        <v>1.0</v>
      </c>
      <c r="G49" s="793">
        <v>185749.2</v>
      </c>
      <c r="H49" s="794">
        <f t="shared" si="3"/>
        <v>185749.2</v>
      </c>
      <c r="I49" s="794"/>
      <c r="J49" s="795"/>
      <c r="K49" s="792"/>
      <c r="L49" s="792"/>
      <c r="M49" s="796" t="s">
        <v>12809</v>
      </c>
      <c r="N49" s="797">
        <v>45416.0</v>
      </c>
      <c r="O49" s="798" t="s">
        <v>12810</v>
      </c>
    </row>
    <row r="50" ht="14.25" customHeight="1">
      <c r="A50" s="789">
        <v>45355.0</v>
      </c>
      <c r="B50" s="790" t="s">
        <v>12808</v>
      </c>
      <c r="C50" s="791" t="s">
        <v>3091</v>
      </c>
      <c r="D50" s="791" t="s">
        <v>6910</v>
      </c>
      <c r="E50" s="792" t="str">
        <f>IFERROR(VLOOKUP(D50,Stock,3,FALSE),"")</f>
        <v>Toyota Hi-Ace 19- Premio</v>
      </c>
      <c r="F50" s="791">
        <v>1.0</v>
      </c>
      <c r="G50" s="793">
        <v>661873.8</v>
      </c>
      <c r="H50" s="794">
        <f t="shared" si="3"/>
        <v>661873.8</v>
      </c>
      <c r="I50" s="794"/>
      <c r="J50" s="795"/>
      <c r="K50" s="792"/>
      <c r="L50" s="792"/>
      <c r="M50" s="796" t="s">
        <v>12809</v>
      </c>
      <c r="N50" s="797">
        <v>45416.0</v>
      </c>
      <c r="O50" s="798" t="s">
        <v>12810</v>
      </c>
    </row>
    <row r="51" ht="14.25" customHeight="1">
      <c r="A51" s="789">
        <v>45355.0</v>
      </c>
      <c r="B51" s="790" t="s">
        <v>12808</v>
      </c>
      <c r="C51" s="791" t="s">
        <v>3091</v>
      </c>
      <c r="D51" s="791" t="s">
        <v>3093</v>
      </c>
      <c r="E51" s="792" t="str">
        <f>IFERROR(VLOOKUP(D51,Stock,3,FALSE),"")</f>
        <v>Toyota Hi-Ace 19- Premio</v>
      </c>
      <c r="F51" s="791"/>
      <c r="G51" s="793" t="s">
        <v>3092</v>
      </c>
      <c r="H51" s="793">
        <v>0.0</v>
      </c>
      <c r="I51" s="794"/>
      <c r="J51" s="795"/>
      <c r="K51" s="792"/>
      <c r="L51" s="792"/>
      <c r="M51" s="796" t="s">
        <v>12809</v>
      </c>
      <c r="N51" s="797">
        <v>45416.0</v>
      </c>
      <c r="O51" s="798" t="s">
        <v>12810</v>
      </c>
    </row>
    <row r="52" ht="14.25" customHeight="1">
      <c r="A52" s="789">
        <v>45355.0</v>
      </c>
      <c r="B52" s="790" t="s">
        <v>12808</v>
      </c>
      <c r="C52" s="791" t="s">
        <v>3091</v>
      </c>
      <c r="D52" s="791" t="s">
        <v>3090</v>
      </c>
      <c r="E52" s="792" t="str">
        <f>IFERROR(VLOOKUP(D52,Stock,3,FALSE),"")</f>
        <v>Toyota Hi-Ace 19- Premio</v>
      </c>
      <c r="F52" s="791"/>
      <c r="G52" s="793" t="s">
        <v>3092</v>
      </c>
      <c r="H52" s="793">
        <v>0.0</v>
      </c>
      <c r="I52" s="794"/>
      <c r="J52" s="795"/>
      <c r="K52" s="792"/>
      <c r="L52" s="792"/>
      <c r="M52" s="796" t="s">
        <v>12809</v>
      </c>
      <c r="N52" s="797">
        <v>45416.0</v>
      </c>
      <c r="O52" s="798" t="s">
        <v>12810</v>
      </c>
    </row>
    <row r="53" ht="14.25" customHeight="1">
      <c r="A53" s="789">
        <v>45355.0</v>
      </c>
      <c r="B53" s="790" t="s">
        <v>12808</v>
      </c>
      <c r="C53" s="791" t="s">
        <v>3091</v>
      </c>
      <c r="D53" s="791" t="s">
        <v>3095</v>
      </c>
      <c r="E53" s="792" t="str">
        <f>IFERROR(VLOOKUP(D53,Stock,3,FALSE),"")</f>
        <v>Toyota Hi-Ace 19- Premio</v>
      </c>
      <c r="F53" s="791"/>
      <c r="G53" s="793" t="s">
        <v>3092</v>
      </c>
      <c r="H53" s="793">
        <v>0.0</v>
      </c>
      <c r="I53" s="794"/>
      <c r="J53" s="795"/>
      <c r="K53" s="792"/>
      <c r="L53" s="792"/>
      <c r="M53" s="796" t="s">
        <v>12809</v>
      </c>
      <c r="N53" s="797">
        <v>45416.0</v>
      </c>
      <c r="O53" s="798" t="s">
        <v>12810</v>
      </c>
    </row>
    <row r="54" ht="14.25" customHeight="1">
      <c r="A54" s="789">
        <v>45355.0</v>
      </c>
      <c r="B54" s="790" t="s">
        <v>12808</v>
      </c>
      <c r="C54" s="791" t="s">
        <v>3091</v>
      </c>
      <c r="D54" s="791" t="s">
        <v>3094</v>
      </c>
      <c r="E54" s="792" t="str">
        <f>IFERROR(VLOOKUP(D54,Stock,3,FALSE),"")</f>
        <v>Toyota Hi-Ace 19- Premio</v>
      </c>
      <c r="F54" s="791"/>
      <c r="G54" s="793" t="s">
        <v>3092</v>
      </c>
      <c r="H54" s="793">
        <v>0.0</v>
      </c>
      <c r="I54" s="794"/>
      <c r="J54" s="795"/>
      <c r="K54" s="792"/>
      <c r="L54" s="792"/>
      <c r="M54" s="796" t="s">
        <v>12809</v>
      </c>
      <c r="N54" s="797">
        <v>45416.0</v>
      </c>
      <c r="O54" s="798" t="s">
        <v>12810</v>
      </c>
    </row>
    <row r="55" ht="14.25" customHeight="1">
      <c r="A55" s="789">
        <v>45355.0</v>
      </c>
      <c r="B55" s="790" t="s">
        <v>12808</v>
      </c>
      <c r="C55" s="791" t="s">
        <v>3091</v>
      </c>
      <c r="D55" s="791" t="s">
        <v>5465</v>
      </c>
      <c r="E55" s="792" t="str">
        <f>IFERROR(VLOOKUP(D55,Stock,3,FALSE),"")</f>
        <v>Toyota Yaris 05-13 XP90 1st Gen</v>
      </c>
      <c r="F55" s="791">
        <v>1.0</v>
      </c>
      <c r="G55" s="793">
        <v>324745.2</v>
      </c>
      <c r="H55" s="794">
        <f t="shared" ref="H55:H113" si="4">F55*G55</f>
        <v>324745.2</v>
      </c>
      <c r="I55" s="794"/>
      <c r="J55" s="795"/>
      <c r="K55" s="792"/>
      <c r="L55" s="792"/>
      <c r="M55" s="796" t="s">
        <v>12809</v>
      </c>
      <c r="N55" s="797">
        <v>45416.0</v>
      </c>
      <c r="O55" s="798" t="s">
        <v>12810</v>
      </c>
    </row>
    <row r="56" ht="14.25" customHeight="1">
      <c r="A56" s="789">
        <v>45355.0</v>
      </c>
      <c r="B56" s="790" t="s">
        <v>12808</v>
      </c>
      <c r="C56" s="791" t="s">
        <v>3091</v>
      </c>
      <c r="D56" s="791" t="s">
        <v>4765</v>
      </c>
      <c r="E56" s="792" t="str">
        <f>IFERROR(VLOOKUP(D56,Stock,3,FALSE),"")</f>
        <v>Nissan X-Trail 01-07 T30</v>
      </c>
      <c r="F56" s="791">
        <v>1.0</v>
      </c>
      <c r="G56" s="793">
        <v>354060.6</v>
      </c>
      <c r="H56" s="794">
        <f t="shared" si="4"/>
        <v>354060.6</v>
      </c>
      <c r="I56" s="794"/>
      <c r="J56" s="795"/>
      <c r="K56" s="792"/>
      <c r="L56" s="792"/>
      <c r="M56" s="796" t="s">
        <v>12809</v>
      </c>
      <c r="N56" s="797">
        <v>45416.0</v>
      </c>
      <c r="O56" s="798" t="s">
        <v>12810</v>
      </c>
    </row>
    <row r="57" ht="14.25" customHeight="1">
      <c r="A57" s="789">
        <v>45355.0</v>
      </c>
      <c r="B57" s="790" t="s">
        <v>12808</v>
      </c>
      <c r="C57" s="791" t="s">
        <v>3091</v>
      </c>
      <c r="D57" s="791" t="s">
        <v>7168</v>
      </c>
      <c r="E57" s="792" t="str">
        <f>IFERROR(VLOOKUP(D57,Stock,3,FALSE),"")</f>
        <v>Nissan X-Trail 07-13 T31</v>
      </c>
      <c r="F57" s="791">
        <v>1.0</v>
      </c>
      <c r="G57" s="793">
        <v>582267.0</v>
      </c>
      <c r="H57" s="794">
        <f t="shared" si="4"/>
        <v>582267</v>
      </c>
      <c r="I57" s="794"/>
      <c r="J57" s="795"/>
      <c r="K57" s="801"/>
      <c r="L57" s="801"/>
      <c r="M57" s="796" t="s">
        <v>12809</v>
      </c>
      <c r="N57" s="797">
        <v>45416.0</v>
      </c>
      <c r="O57" s="798" t="s">
        <v>12810</v>
      </c>
    </row>
    <row r="58" ht="14.25" customHeight="1">
      <c r="A58" s="802">
        <v>45356.0</v>
      </c>
      <c r="B58" s="803" t="s">
        <v>12824</v>
      </c>
      <c r="C58" s="804" t="s">
        <v>3076</v>
      </c>
      <c r="D58" s="804" t="s">
        <v>3176</v>
      </c>
      <c r="E58" s="772" t="str">
        <f>IFERROR(VLOOKUP(D58,Stock,3,FALSE),"")</f>
        <v>Toyota Avanza / Xenia 11-15 2nd Gen / 15-21 3rd Gen</v>
      </c>
      <c r="F58" s="805">
        <v>20.0</v>
      </c>
      <c r="G58" s="806">
        <v>290598.0</v>
      </c>
      <c r="H58" s="774">
        <f t="shared" si="4"/>
        <v>5811960</v>
      </c>
      <c r="I58" s="807"/>
      <c r="J58" s="808"/>
      <c r="K58" s="772"/>
      <c r="L58" s="772"/>
      <c r="M58" s="777"/>
      <c r="N58" s="777"/>
      <c r="O58" s="778" t="s">
        <v>12825</v>
      </c>
    </row>
    <row r="59" ht="14.25" customHeight="1">
      <c r="A59" s="802">
        <v>45356.0</v>
      </c>
      <c r="B59" s="803" t="s">
        <v>12824</v>
      </c>
      <c r="C59" s="804" t="s">
        <v>3076</v>
      </c>
      <c r="D59" s="804" t="s">
        <v>3127</v>
      </c>
      <c r="E59" s="772" t="str">
        <f>IFERROR(VLOOKUP(D59,Stock,3,FALSE),"")</f>
        <v>Toyota Avanza / Xenia 03-11 1st Gen</v>
      </c>
      <c r="F59" s="805">
        <v>20.0</v>
      </c>
      <c r="G59" s="806">
        <v>289300.0</v>
      </c>
      <c r="H59" s="774">
        <f t="shared" si="4"/>
        <v>5786000</v>
      </c>
      <c r="I59" s="807"/>
      <c r="J59" s="808"/>
      <c r="K59" s="772"/>
      <c r="L59" s="772"/>
      <c r="M59" s="777"/>
      <c r="N59" s="777"/>
      <c r="O59" s="778" t="s">
        <v>12825</v>
      </c>
    </row>
    <row r="60" ht="14.25" customHeight="1">
      <c r="A60" s="802">
        <v>45356.0</v>
      </c>
      <c r="B60" s="803" t="s">
        <v>12824</v>
      </c>
      <c r="C60" s="804" t="s">
        <v>3076</v>
      </c>
      <c r="D60" s="804" t="s">
        <v>4608</v>
      </c>
      <c r="E60" s="772" t="str">
        <f>IFERROR(VLOOKUP(D60,Stock,3,FALSE),"")</f>
        <v>Suzuki APV 03- Van</v>
      </c>
      <c r="F60" s="805">
        <v>5.0</v>
      </c>
      <c r="G60" s="806">
        <v>224664.0</v>
      </c>
      <c r="H60" s="774">
        <f t="shared" si="4"/>
        <v>1123320</v>
      </c>
      <c r="I60" s="807"/>
      <c r="J60" s="808"/>
      <c r="K60" s="772"/>
      <c r="L60" s="772"/>
      <c r="M60" s="777"/>
      <c r="N60" s="777"/>
      <c r="O60" s="778" t="s">
        <v>12825</v>
      </c>
    </row>
    <row r="61" ht="14.25" customHeight="1">
      <c r="A61" s="802">
        <v>45356.0</v>
      </c>
      <c r="B61" s="803" t="s">
        <v>12824</v>
      </c>
      <c r="C61" s="804" t="s">
        <v>3076</v>
      </c>
      <c r="D61" s="804" t="s">
        <v>3543</v>
      </c>
      <c r="E61" s="772" t="str">
        <f>IFERROR(VLOOKUP(D61,Stock,3,FALSE),"")</f>
        <v>Daihatsu Gran Max Minibus/Van</v>
      </c>
      <c r="F61" s="805">
        <v>10.0</v>
      </c>
      <c r="G61" s="806">
        <v>233211.0</v>
      </c>
      <c r="H61" s="774">
        <f t="shared" si="4"/>
        <v>2332110</v>
      </c>
      <c r="I61" s="807"/>
      <c r="J61" s="808"/>
      <c r="K61" s="772"/>
      <c r="L61" s="772"/>
      <c r="M61" s="777"/>
      <c r="N61" s="777"/>
      <c r="O61" s="778" t="s">
        <v>12825</v>
      </c>
    </row>
    <row r="62" ht="14.25" customHeight="1">
      <c r="A62" s="802">
        <v>45356.0</v>
      </c>
      <c r="B62" s="803" t="s">
        <v>12824</v>
      </c>
      <c r="C62" s="804" t="s">
        <v>3076</v>
      </c>
      <c r="D62" s="804" t="s">
        <v>6736</v>
      </c>
      <c r="E62" s="772" t="str">
        <f>IFERROR(VLOOKUP(D62,Stock,3,FALSE),"")</f>
        <v>Toyota Avanza / Xenia 03-11 1st Gen</v>
      </c>
      <c r="F62" s="805">
        <v>5.0</v>
      </c>
      <c r="G62" s="806">
        <v>63492.0</v>
      </c>
      <c r="H62" s="774">
        <f t="shared" si="4"/>
        <v>317460</v>
      </c>
      <c r="I62" s="807"/>
      <c r="J62" s="808"/>
      <c r="K62" s="772"/>
      <c r="L62" s="772"/>
      <c r="M62" s="777"/>
      <c r="N62" s="777"/>
      <c r="O62" s="778" t="s">
        <v>12825</v>
      </c>
    </row>
    <row r="63" ht="14.25" customHeight="1">
      <c r="A63" s="802">
        <v>45356.0</v>
      </c>
      <c r="B63" s="803" t="s">
        <v>12824</v>
      </c>
      <c r="C63" s="804" t="s">
        <v>3076</v>
      </c>
      <c r="D63" s="804" t="s">
        <v>6737</v>
      </c>
      <c r="E63" s="772" t="str">
        <f>IFERROR(VLOOKUP(D63,Stock,3,FALSE),"")</f>
        <v>Toyota Avanza / Xenia 03-11 1st Gen</v>
      </c>
      <c r="F63" s="805">
        <v>5.0</v>
      </c>
      <c r="G63" s="806">
        <v>63492.0</v>
      </c>
      <c r="H63" s="774">
        <f t="shared" si="4"/>
        <v>317460</v>
      </c>
      <c r="I63" s="807"/>
      <c r="J63" s="808"/>
      <c r="K63" s="772"/>
      <c r="L63" s="772"/>
      <c r="M63" s="777"/>
      <c r="N63" s="777"/>
      <c r="O63" s="778" t="s">
        <v>12825</v>
      </c>
    </row>
    <row r="64" ht="14.25" customHeight="1">
      <c r="A64" s="802">
        <v>45356.0</v>
      </c>
      <c r="B64" s="803" t="s">
        <v>12824</v>
      </c>
      <c r="C64" s="804" t="s">
        <v>3076</v>
      </c>
      <c r="D64" s="804" t="s">
        <v>3934</v>
      </c>
      <c r="E64" s="772" t="str">
        <f>IFERROR(VLOOKUP(D64,Stock,3,FALSE),"")</f>
        <v>Toyota Avanza / Xenia 11-15 2nd Gen / 15-21 3rd Gen</v>
      </c>
      <c r="F64" s="805">
        <v>5.0</v>
      </c>
      <c r="G64" s="806">
        <v>84249.0</v>
      </c>
      <c r="H64" s="774">
        <f t="shared" si="4"/>
        <v>421245</v>
      </c>
      <c r="I64" s="807"/>
      <c r="J64" s="808"/>
      <c r="K64" s="772"/>
      <c r="L64" s="772"/>
      <c r="M64" s="777"/>
      <c r="N64" s="777"/>
      <c r="O64" s="778" t="s">
        <v>12825</v>
      </c>
    </row>
    <row r="65" ht="14.25" customHeight="1">
      <c r="A65" s="802">
        <v>45356.0</v>
      </c>
      <c r="B65" s="803" t="s">
        <v>12824</v>
      </c>
      <c r="C65" s="804" t="s">
        <v>3076</v>
      </c>
      <c r="D65" s="804" t="s">
        <v>3382</v>
      </c>
      <c r="E65" s="772" t="str">
        <f>IFERROR(VLOOKUP(D65,Stock,3,FALSE),"")</f>
        <v>Toyota Avanza / Xenia 11-15 2nd Gen / 15-21 3rd Gen</v>
      </c>
      <c r="F65" s="805">
        <v>5.0</v>
      </c>
      <c r="G65" s="806">
        <v>84249.0</v>
      </c>
      <c r="H65" s="774">
        <f t="shared" si="4"/>
        <v>421245</v>
      </c>
      <c r="I65" s="807"/>
      <c r="J65" s="808"/>
      <c r="K65" s="772"/>
      <c r="L65" s="772"/>
      <c r="M65" s="777"/>
      <c r="N65" s="777"/>
      <c r="O65" s="778" t="s">
        <v>12825</v>
      </c>
    </row>
    <row r="66" ht="14.25" customHeight="1">
      <c r="A66" s="802">
        <v>45356.0</v>
      </c>
      <c r="B66" s="803" t="s">
        <v>12824</v>
      </c>
      <c r="C66" s="804" t="s">
        <v>3076</v>
      </c>
      <c r="D66" s="804" t="s">
        <v>2753</v>
      </c>
      <c r="E66" s="772" t="str">
        <f>IFERROR(VLOOKUP(D66,Stock,3,FALSE),"")</f>
        <v>Daihatsu Luxio 07-</v>
      </c>
      <c r="F66" s="805">
        <v>5.0</v>
      </c>
      <c r="G66" s="806">
        <v>302170.0</v>
      </c>
      <c r="H66" s="774">
        <f t="shared" si="4"/>
        <v>1510850</v>
      </c>
      <c r="I66" s="807"/>
      <c r="J66" s="808"/>
      <c r="K66" s="772"/>
      <c r="L66" s="772"/>
      <c r="M66" s="777"/>
      <c r="N66" s="777"/>
      <c r="O66" s="778" t="s">
        <v>12825</v>
      </c>
    </row>
    <row r="67" ht="14.25" customHeight="1">
      <c r="A67" s="802">
        <v>45356.0</v>
      </c>
      <c r="B67" s="803" t="s">
        <v>12824</v>
      </c>
      <c r="C67" s="804" t="s">
        <v>3076</v>
      </c>
      <c r="D67" s="804" t="s">
        <v>4901</v>
      </c>
      <c r="E67" s="772" t="str">
        <f>IFERROR(VLOOKUP(D67,Stock,3,FALSE),"")</f>
        <v>Toyota Rush / Terios 18-</v>
      </c>
      <c r="F67" s="805">
        <v>5.0</v>
      </c>
      <c r="G67" s="806">
        <v>339438.0</v>
      </c>
      <c r="H67" s="774">
        <f t="shared" si="4"/>
        <v>1697190</v>
      </c>
      <c r="I67" s="807"/>
      <c r="J67" s="808"/>
      <c r="K67" s="772"/>
      <c r="L67" s="772"/>
      <c r="M67" s="777"/>
      <c r="N67" s="777"/>
      <c r="O67" s="778" t="s">
        <v>12825</v>
      </c>
    </row>
    <row r="68" ht="14.25" customHeight="1">
      <c r="A68" s="802">
        <v>45356.0</v>
      </c>
      <c r="B68" s="803" t="s">
        <v>12824</v>
      </c>
      <c r="C68" s="804" t="s">
        <v>3076</v>
      </c>
      <c r="D68" s="804" t="s">
        <v>4386</v>
      </c>
      <c r="E68" s="772" t="str">
        <f>IFERROR(VLOOKUP(D68,Stock,3,FALSE),"")</f>
        <v>Toyota Calya / Sigra 16-</v>
      </c>
      <c r="F68" s="805">
        <v>5.0</v>
      </c>
      <c r="G68" s="806">
        <v>63492.0</v>
      </c>
      <c r="H68" s="774">
        <f t="shared" si="4"/>
        <v>317460</v>
      </c>
      <c r="I68" s="807"/>
      <c r="J68" s="808"/>
      <c r="K68" s="772"/>
      <c r="L68" s="772"/>
      <c r="M68" s="777"/>
      <c r="N68" s="777"/>
      <c r="O68" s="778" t="s">
        <v>12825</v>
      </c>
    </row>
    <row r="69" ht="14.25" customHeight="1">
      <c r="A69" s="802">
        <v>45356.0</v>
      </c>
      <c r="B69" s="803" t="s">
        <v>12824</v>
      </c>
      <c r="C69" s="804" t="s">
        <v>3076</v>
      </c>
      <c r="D69" s="804" t="s">
        <v>3564</v>
      </c>
      <c r="E69" s="772" t="str">
        <f>IFERROR(VLOOKUP(D69,Stock,3,FALSE),"")</f>
        <v>Toyota Calya / Sigra 16-</v>
      </c>
      <c r="F69" s="805">
        <v>5.0</v>
      </c>
      <c r="G69" s="806">
        <v>63492.0</v>
      </c>
      <c r="H69" s="774">
        <f t="shared" si="4"/>
        <v>317460</v>
      </c>
      <c r="I69" s="807"/>
      <c r="J69" s="808"/>
      <c r="K69" s="772"/>
      <c r="L69" s="772"/>
      <c r="M69" s="777"/>
      <c r="N69" s="777"/>
      <c r="O69" s="778" t="s">
        <v>12825</v>
      </c>
    </row>
    <row r="70" ht="14.25" customHeight="1">
      <c r="A70" s="802">
        <v>45356.0</v>
      </c>
      <c r="B70" s="803" t="s">
        <v>12824</v>
      </c>
      <c r="C70" s="804" t="s">
        <v>3076</v>
      </c>
      <c r="D70" s="804" t="s">
        <v>2936</v>
      </c>
      <c r="E70" s="772" t="str">
        <f>IFERROR(VLOOKUP(D70,Stock,3,FALSE),"")</f>
        <v>Toyota Calya / Sigra 16-</v>
      </c>
      <c r="F70" s="805">
        <v>20.0</v>
      </c>
      <c r="G70" s="806">
        <v>299145.0</v>
      </c>
      <c r="H70" s="774">
        <f t="shared" si="4"/>
        <v>5982900</v>
      </c>
      <c r="I70" s="807"/>
      <c r="J70" s="808"/>
      <c r="K70" s="772"/>
      <c r="L70" s="772"/>
      <c r="M70" s="777"/>
      <c r="N70" s="777"/>
      <c r="O70" s="778" t="s">
        <v>12825</v>
      </c>
    </row>
    <row r="71" ht="14.25" customHeight="1">
      <c r="A71" s="802">
        <v>45356.0</v>
      </c>
      <c r="B71" s="803" t="s">
        <v>12824</v>
      </c>
      <c r="C71" s="804" t="s">
        <v>3076</v>
      </c>
      <c r="D71" s="804" t="s">
        <v>6797</v>
      </c>
      <c r="E71" s="772" t="str">
        <f>IFERROR(VLOOKUP(D71,Stock,3,FALSE),"")</f>
        <v>Toyota Calya / Sigra 16-</v>
      </c>
      <c r="F71" s="805">
        <v>5.0</v>
      </c>
      <c r="G71" s="806">
        <v>125763.0</v>
      </c>
      <c r="H71" s="774">
        <f t="shared" si="4"/>
        <v>628815</v>
      </c>
      <c r="I71" s="807"/>
      <c r="J71" s="808"/>
      <c r="K71" s="772"/>
      <c r="L71" s="772"/>
      <c r="M71" s="777"/>
      <c r="N71" s="777"/>
      <c r="O71" s="778" t="s">
        <v>12825</v>
      </c>
    </row>
    <row r="72" ht="14.25" customHeight="1">
      <c r="A72" s="802">
        <v>45356.0</v>
      </c>
      <c r="B72" s="803" t="s">
        <v>12824</v>
      </c>
      <c r="C72" s="804" t="s">
        <v>3076</v>
      </c>
      <c r="D72" s="804" t="s">
        <v>6738</v>
      </c>
      <c r="E72" s="772" t="str">
        <f>IFERROR(VLOOKUP(D72,Stock,3,FALSE),"")</f>
        <v>Honda Jazz 13- 3rd Gen</v>
      </c>
      <c r="F72" s="805">
        <v>2.0</v>
      </c>
      <c r="G72" s="806">
        <v>589600.0</v>
      </c>
      <c r="H72" s="774">
        <f t="shared" si="4"/>
        <v>1179200</v>
      </c>
      <c r="I72" s="807"/>
      <c r="J72" s="808"/>
      <c r="K72" s="772"/>
      <c r="L72" s="772"/>
      <c r="M72" s="777"/>
      <c r="N72" s="777"/>
      <c r="O72" s="778" t="s">
        <v>12825</v>
      </c>
    </row>
    <row r="73" ht="14.25" customHeight="1">
      <c r="A73" s="802">
        <v>45356.0</v>
      </c>
      <c r="B73" s="803" t="s">
        <v>12824</v>
      </c>
      <c r="C73" s="804" t="s">
        <v>3076</v>
      </c>
      <c r="D73" s="804" t="s">
        <v>4782</v>
      </c>
      <c r="E73" s="772" t="str">
        <f>IFERROR(VLOOKUP(D73,Stock,3,FALSE),"")</f>
        <v>Mitsubishi Pajero 08-16</v>
      </c>
      <c r="F73" s="805">
        <v>2.0</v>
      </c>
      <c r="G73" s="806">
        <v>531300.0</v>
      </c>
      <c r="H73" s="774">
        <f t="shared" si="4"/>
        <v>1062600</v>
      </c>
      <c r="I73" s="807"/>
      <c r="J73" s="808"/>
      <c r="K73" s="772"/>
      <c r="L73" s="772"/>
      <c r="M73" s="777"/>
      <c r="N73" s="777"/>
      <c r="O73" s="778" t="s">
        <v>12825</v>
      </c>
    </row>
    <row r="74" ht="14.25" customHeight="1">
      <c r="A74" s="802">
        <v>45356.0</v>
      </c>
      <c r="B74" s="803" t="s">
        <v>12824</v>
      </c>
      <c r="C74" s="804" t="s">
        <v>3076</v>
      </c>
      <c r="D74" s="804" t="s">
        <v>4183</v>
      </c>
      <c r="E74" s="772" t="str">
        <f>IFERROR(VLOOKUP(D74,Stock,3,FALSE),"")</f>
        <v>Mitsubishi Xpander 17-21</v>
      </c>
      <c r="F74" s="805">
        <v>2.0</v>
      </c>
      <c r="G74" s="806">
        <v>363000.0</v>
      </c>
      <c r="H74" s="774">
        <f t="shared" si="4"/>
        <v>726000</v>
      </c>
      <c r="I74" s="807"/>
      <c r="J74" s="808"/>
      <c r="K74" s="772"/>
      <c r="L74" s="772"/>
      <c r="M74" s="777"/>
      <c r="N74" s="777"/>
      <c r="O74" s="778" t="s">
        <v>12825</v>
      </c>
    </row>
    <row r="75" ht="14.25" customHeight="1">
      <c r="A75" s="802">
        <v>45356.0</v>
      </c>
      <c r="B75" s="803" t="s">
        <v>12824</v>
      </c>
      <c r="C75" s="804" t="s">
        <v>3076</v>
      </c>
      <c r="D75" s="804" t="s">
        <v>3638</v>
      </c>
      <c r="E75" s="772" t="str">
        <f>IFERROR(VLOOKUP(D75,Stock,3,FALSE),"")</f>
        <v>Mitsubishi Xpander 17-21</v>
      </c>
      <c r="F75" s="805">
        <v>2.0</v>
      </c>
      <c r="G75" s="806">
        <v>321255.0</v>
      </c>
      <c r="H75" s="774">
        <f t="shared" si="4"/>
        <v>642510</v>
      </c>
      <c r="I75" s="807"/>
      <c r="J75" s="808"/>
      <c r="K75" s="772"/>
      <c r="L75" s="772"/>
      <c r="M75" s="777"/>
      <c r="N75" s="777"/>
      <c r="O75" s="778" t="s">
        <v>12825</v>
      </c>
    </row>
    <row r="76" ht="14.25" customHeight="1">
      <c r="A76" s="802">
        <v>45356.0</v>
      </c>
      <c r="B76" s="803" t="s">
        <v>12824</v>
      </c>
      <c r="C76" s="804" t="s">
        <v>3076</v>
      </c>
      <c r="D76" s="804" t="s">
        <v>3877</v>
      </c>
      <c r="E76" s="772" t="str">
        <f>IFERROR(VLOOKUP(D76,Stock,3,FALSE),"")</f>
        <v>Nissan Livina 13-18 L11 (Lubang)</v>
      </c>
      <c r="F76" s="805">
        <v>2.0</v>
      </c>
      <c r="G76" s="806">
        <v>566500.0</v>
      </c>
      <c r="H76" s="774">
        <f t="shared" si="4"/>
        <v>1133000</v>
      </c>
      <c r="I76" s="807"/>
      <c r="J76" s="808"/>
      <c r="K76" s="772"/>
      <c r="L76" s="772"/>
      <c r="M76" s="777"/>
      <c r="N76" s="777"/>
      <c r="O76" s="778" t="s">
        <v>12825</v>
      </c>
    </row>
    <row r="77" ht="14.25" customHeight="1">
      <c r="A77" s="802">
        <v>45356.0</v>
      </c>
      <c r="B77" s="803" t="s">
        <v>12824</v>
      </c>
      <c r="C77" s="804" t="s">
        <v>3076</v>
      </c>
      <c r="D77" s="804" t="s">
        <v>6739</v>
      </c>
      <c r="E77" s="772" t="str">
        <f>IFERROR(VLOOKUP(D77,Stock,3,FALSE),"")</f>
        <v>Daihatsu Sirion 04-10 1st Gen</v>
      </c>
      <c r="F77" s="805">
        <v>2.0</v>
      </c>
      <c r="G77" s="806">
        <v>566500.0</v>
      </c>
      <c r="H77" s="774">
        <f t="shared" si="4"/>
        <v>1133000</v>
      </c>
      <c r="I77" s="807"/>
      <c r="J77" s="808"/>
      <c r="K77" s="772"/>
      <c r="L77" s="772"/>
      <c r="M77" s="777"/>
      <c r="N77" s="777"/>
      <c r="O77" s="778" t="s">
        <v>12825</v>
      </c>
    </row>
    <row r="78" ht="14.25" customHeight="1">
      <c r="A78" s="802">
        <v>45356.0</v>
      </c>
      <c r="B78" s="803" t="s">
        <v>12824</v>
      </c>
      <c r="C78" s="804" t="s">
        <v>3076</v>
      </c>
      <c r="D78" s="804" t="s">
        <v>2744</v>
      </c>
      <c r="E78" s="772" t="str">
        <f>IFERROR(VLOOKUP(D78,Stock,3,FALSE),"")</f>
        <v>Toyota Fortuner 05-15 1st Gen (Hitam)</v>
      </c>
      <c r="F78" s="805">
        <v>2.0</v>
      </c>
      <c r="G78" s="806">
        <v>863500.0</v>
      </c>
      <c r="H78" s="774">
        <f t="shared" si="4"/>
        <v>1727000</v>
      </c>
      <c r="I78" s="807"/>
      <c r="J78" s="808"/>
      <c r="K78" s="772"/>
      <c r="L78" s="772"/>
      <c r="M78" s="777"/>
      <c r="N78" s="777"/>
      <c r="O78" s="778" t="s">
        <v>12825</v>
      </c>
    </row>
    <row r="79" ht="14.25" customHeight="1">
      <c r="A79" s="802">
        <v>45356.0</v>
      </c>
      <c r="B79" s="803" t="s">
        <v>12824</v>
      </c>
      <c r="C79" s="804" t="s">
        <v>3076</v>
      </c>
      <c r="D79" s="804" t="s">
        <v>3031</v>
      </c>
      <c r="E79" s="772" t="str">
        <f>IFERROR(VLOOKUP(D79,Stock,3,FALSE),"")</f>
        <v>Toyota Yaris 18- 3rd Gen (Lampu -) XP151</v>
      </c>
      <c r="F79" s="805">
        <v>2.0</v>
      </c>
      <c r="G79" s="806">
        <v>769560.0</v>
      </c>
      <c r="H79" s="774">
        <f t="shared" si="4"/>
        <v>1539120</v>
      </c>
      <c r="I79" s="807"/>
      <c r="J79" s="808"/>
      <c r="K79" s="772"/>
      <c r="L79" s="772"/>
      <c r="M79" s="777"/>
      <c r="N79" s="777"/>
      <c r="O79" s="778" t="s">
        <v>12825</v>
      </c>
    </row>
    <row r="80" ht="14.25" customHeight="1">
      <c r="A80" s="802">
        <v>45356.0</v>
      </c>
      <c r="B80" s="803" t="s">
        <v>12824</v>
      </c>
      <c r="C80" s="804" t="s">
        <v>3076</v>
      </c>
      <c r="D80" s="804" t="s">
        <v>6740</v>
      </c>
      <c r="E80" s="772" t="str">
        <f>IFERROR(VLOOKUP(D80,Stock,3,FALSE),"")</f>
        <v>Toyota Yaris 13- 2nd Gen (Lampu C) XP150</v>
      </c>
      <c r="F80" s="805">
        <v>2.0</v>
      </c>
      <c r="G80" s="806">
        <v>654500.0</v>
      </c>
      <c r="H80" s="774">
        <f t="shared" si="4"/>
        <v>1309000</v>
      </c>
      <c r="I80" s="807"/>
      <c r="J80" s="808"/>
      <c r="K80" s="772"/>
      <c r="L80" s="772"/>
      <c r="M80" s="777"/>
      <c r="N80" s="777"/>
      <c r="O80" s="778" t="s">
        <v>12825</v>
      </c>
    </row>
    <row r="81" ht="14.25" customHeight="1">
      <c r="A81" s="802">
        <v>45356.0</v>
      </c>
      <c r="B81" s="803" t="s">
        <v>12824</v>
      </c>
      <c r="C81" s="804" t="s">
        <v>3076</v>
      </c>
      <c r="D81" s="804" t="s">
        <v>6319</v>
      </c>
      <c r="E81" s="772" t="str">
        <f>IFERROR(VLOOKUP(D81,Stock,3,FALSE),"")</f>
        <v>Wuling Almaz</v>
      </c>
      <c r="F81" s="805">
        <v>2.0</v>
      </c>
      <c r="G81" s="806">
        <v>676995.0</v>
      </c>
      <c r="H81" s="774">
        <f t="shared" si="4"/>
        <v>1353990</v>
      </c>
      <c r="I81" s="807"/>
      <c r="J81" s="808"/>
      <c r="K81" s="772"/>
      <c r="L81" s="772"/>
      <c r="M81" s="777"/>
      <c r="N81" s="777"/>
      <c r="O81" s="778" t="s">
        <v>12825</v>
      </c>
    </row>
    <row r="82" ht="14.25" customHeight="1">
      <c r="A82" s="802">
        <v>45356.0</v>
      </c>
      <c r="B82" s="803" t="s">
        <v>12824</v>
      </c>
      <c r="C82" s="804" t="s">
        <v>3076</v>
      </c>
      <c r="D82" s="804" t="s">
        <v>5493</v>
      </c>
      <c r="E82" s="772" t="str">
        <f>IFERROR(VLOOKUP(D82,Stock,3,FALSE),"")</f>
        <v>Toyota Calya / Sigra 16-</v>
      </c>
      <c r="F82" s="805">
        <v>5.0</v>
      </c>
      <c r="G82" s="806">
        <v>125763.0</v>
      </c>
      <c r="H82" s="774">
        <f t="shared" si="4"/>
        <v>628815</v>
      </c>
      <c r="I82" s="807"/>
      <c r="J82" s="808"/>
      <c r="K82" s="772"/>
      <c r="L82" s="772"/>
      <c r="M82" s="777"/>
      <c r="N82" s="777"/>
      <c r="O82" s="778" t="s">
        <v>12825</v>
      </c>
    </row>
    <row r="83" ht="14.25" customHeight="1">
      <c r="A83" s="802">
        <v>45356.0</v>
      </c>
      <c r="B83" s="803" t="s">
        <v>12824</v>
      </c>
      <c r="C83" s="804" t="s">
        <v>3076</v>
      </c>
      <c r="D83" s="804" t="s">
        <v>3050</v>
      </c>
      <c r="E83" s="772" t="str">
        <f>IFERROR(VLOOKUP(D83,Stock,3,FALSE),"")</f>
        <v>Toyota Hilux Pickup 05-15</v>
      </c>
      <c r="F83" s="805">
        <v>2.0</v>
      </c>
      <c r="G83" s="806">
        <v>315700.0</v>
      </c>
      <c r="H83" s="774">
        <f t="shared" si="4"/>
        <v>631400</v>
      </c>
      <c r="I83" s="807"/>
      <c r="J83" s="808"/>
      <c r="K83" s="772"/>
      <c r="L83" s="772"/>
      <c r="M83" s="777"/>
      <c r="N83" s="777"/>
      <c r="O83" s="778" t="s">
        <v>12825</v>
      </c>
    </row>
    <row r="84" ht="14.25" customHeight="1">
      <c r="A84" s="802">
        <v>45356.0</v>
      </c>
      <c r="B84" s="803" t="s">
        <v>12824</v>
      </c>
      <c r="C84" s="804" t="s">
        <v>3076</v>
      </c>
      <c r="D84" s="804" t="s">
        <v>5308</v>
      </c>
      <c r="E84" s="772" t="str">
        <f>IFERROR(VLOOKUP(D84,Stock,3,FALSE),"")</f>
        <v>Toyota Hilux Pickup 15- (Revo)</v>
      </c>
      <c r="F84" s="805">
        <v>2.0</v>
      </c>
      <c r="G84" s="806">
        <v>572000.0</v>
      </c>
      <c r="H84" s="774">
        <f t="shared" si="4"/>
        <v>1144000</v>
      </c>
      <c r="I84" s="807"/>
      <c r="J84" s="808"/>
      <c r="K84" s="772"/>
      <c r="L84" s="772"/>
      <c r="M84" s="777"/>
      <c r="N84" s="777"/>
      <c r="O84" s="778" t="s">
        <v>12825</v>
      </c>
    </row>
    <row r="85" ht="14.25" customHeight="1">
      <c r="A85" s="802">
        <v>45356.0</v>
      </c>
      <c r="B85" s="803" t="s">
        <v>12824</v>
      </c>
      <c r="C85" s="804" t="s">
        <v>3076</v>
      </c>
      <c r="D85" s="804" t="s">
        <v>3168</v>
      </c>
      <c r="E85" s="772" t="str">
        <f>IFERROR(VLOOKUP(D85,Stock,3,FALSE),"")</f>
        <v>Toyota Agya/Ayla</v>
      </c>
      <c r="F85" s="805">
        <v>2.0</v>
      </c>
      <c r="G85" s="806">
        <v>420000.0</v>
      </c>
      <c r="H85" s="774">
        <f t="shared" si="4"/>
        <v>840000</v>
      </c>
      <c r="I85" s="807"/>
      <c r="J85" s="808"/>
      <c r="K85" s="772"/>
      <c r="L85" s="772"/>
      <c r="M85" s="777"/>
      <c r="N85" s="777"/>
      <c r="O85" s="778" t="s">
        <v>12825</v>
      </c>
    </row>
    <row r="86" ht="14.25" customHeight="1">
      <c r="A86" s="802">
        <v>45356.0</v>
      </c>
      <c r="B86" s="803" t="s">
        <v>12824</v>
      </c>
      <c r="C86" s="804" t="s">
        <v>3076</v>
      </c>
      <c r="D86" s="804" t="s">
        <v>3426</v>
      </c>
      <c r="E86" s="772" t="str">
        <f>IFERROR(VLOOKUP(D86,Stock,3,FALSE),"")</f>
        <v>Toyota Rush / Terios 06-17</v>
      </c>
      <c r="F86" s="805">
        <v>2.0</v>
      </c>
      <c r="G86" s="806">
        <v>361900.0</v>
      </c>
      <c r="H86" s="774">
        <f t="shared" si="4"/>
        <v>723800</v>
      </c>
      <c r="I86" s="807"/>
      <c r="J86" s="808"/>
      <c r="K86" s="772"/>
      <c r="L86" s="772"/>
      <c r="M86" s="777"/>
      <c r="N86" s="777"/>
      <c r="O86" s="778" t="s">
        <v>12825</v>
      </c>
    </row>
    <row r="87" ht="14.25" customHeight="1">
      <c r="A87" s="802">
        <v>45356.0</v>
      </c>
      <c r="B87" s="803" t="s">
        <v>12824</v>
      </c>
      <c r="C87" s="804" t="s">
        <v>3076</v>
      </c>
      <c r="D87" s="804" t="s">
        <v>3574</v>
      </c>
      <c r="E87" s="772" t="str">
        <f>IFERROR(VLOOKUP(D87,Stock,3,FALSE),"")</f>
        <v>Toyota Rush / Terios 06-17</v>
      </c>
      <c r="F87" s="805">
        <v>2.0</v>
      </c>
      <c r="G87" s="806">
        <v>385000.0</v>
      </c>
      <c r="H87" s="774">
        <f t="shared" si="4"/>
        <v>770000</v>
      </c>
      <c r="I87" s="807"/>
      <c r="J87" s="808"/>
      <c r="K87" s="772"/>
      <c r="L87" s="772"/>
      <c r="M87" s="777"/>
      <c r="N87" s="777"/>
      <c r="O87" s="778" t="s">
        <v>12825</v>
      </c>
    </row>
    <row r="88" ht="14.25" customHeight="1">
      <c r="A88" s="802">
        <v>45356.0</v>
      </c>
      <c r="B88" s="803" t="s">
        <v>12824</v>
      </c>
      <c r="C88" s="804" t="s">
        <v>3076</v>
      </c>
      <c r="D88" s="804" t="s">
        <v>3227</v>
      </c>
      <c r="E88" s="772" t="str">
        <f>IFERROR(VLOOKUP(D88,Stock,3,FALSE),"")</f>
        <v>Mitsubishi Strada Triton 08-15</v>
      </c>
      <c r="F88" s="805">
        <v>2.0</v>
      </c>
      <c r="G88" s="806">
        <v>409200.0</v>
      </c>
      <c r="H88" s="774">
        <f t="shared" si="4"/>
        <v>818400</v>
      </c>
      <c r="I88" s="807"/>
      <c r="J88" s="808"/>
      <c r="K88" s="772"/>
      <c r="L88" s="772"/>
      <c r="M88" s="777"/>
      <c r="N88" s="777"/>
      <c r="O88" s="778" t="s">
        <v>12825</v>
      </c>
    </row>
    <row r="89" ht="14.25" customHeight="1">
      <c r="A89" s="802">
        <v>45356.0</v>
      </c>
      <c r="B89" s="803" t="s">
        <v>12824</v>
      </c>
      <c r="C89" s="804" t="s">
        <v>3076</v>
      </c>
      <c r="D89" s="804" t="s">
        <v>3033</v>
      </c>
      <c r="E89" s="772" t="str">
        <f>IFERROR(VLOOKUP(D89,Stock,3,FALSE),"")</f>
        <v>Toyota Innova 04-15 1st Gen</v>
      </c>
      <c r="F89" s="805">
        <v>2.0</v>
      </c>
      <c r="G89" s="806">
        <v>572000.0</v>
      </c>
      <c r="H89" s="774">
        <f t="shared" si="4"/>
        <v>1144000</v>
      </c>
      <c r="I89" s="807"/>
      <c r="J89" s="808"/>
      <c r="K89" s="772"/>
      <c r="L89" s="772"/>
      <c r="M89" s="777"/>
      <c r="N89" s="777"/>
      <c r="O89" s="778" t="s">
        <v>12825</v>
      </c>
    </row>
    <row r="90" ht="14.25" customHeight="1">
      <c r="A90" s="802">
        <v>45356.0</v>
      </c>
      <c r="B90" s="803" t="s">
        <v>12824</v>
      </c>
      <c r="C90" s="804" t="s">
        <v>3076</v>
      </c>
      <c r="D90" s="804" t="s">
        <v>5241</v>
      </c>
      <c r="E90" s="772" t="str">
        <f>IFERROR(VLOOKUP(D90,Stock,3,FALSE),"")</f>
        <v>Honda Brio 18-</v>
      </c>
      <c r="F90" s="805">
        <v>2.0</v>
      </c>
      <c r="G90" s="806">
        <v>508200.0</v>
      </c>
      <c r="H90" s="774">
        <f t="shared" si="4"/>
        <v>1016400</v>
      </c>
      <c r="I90" s="807"/>
      <c r="J90" s="808"/>
      <c r="K90" s="772"/>
      <c r="L90" s="772"/>
      <c r="M90" s="777"/>
      <c r="N90" s="777"/>
      <c r="O90" s="778" t="s">
        <v>12825</v>
      </c>
    </row>
    <row r="91" ht="14.25" customHeight="1">
      <c r="A91" s="802">
        <v>45356.0</v>
      </c>
      <c r="B91" s="803" t="s">
        <v>12824</v>
      </c>
      <c r="C91" s="804" t="s">
        <v>3076</v>
      </c>
      <c r="D91" s="804" t="s">
        <v>3104</v>
      </c>
      <c r="E91" s="772" t="str">
        <f>IFERROR(VLOOKUP(D91,Stock,3,FALSE),"")</f>
        <v>Toyota Innova 15- 2nd Gen</v>
      </c>
      <c r="F91" s="805">
        <v>2.0</v>
      </c>
      <c r="G91" s="806">
        <v>513700.0</v>
      </c>
      <c r="H91" s="774">
        <f t="shared" si="4"/>
        <v>1027400</v>
      </c>
      <c r="I91" s="807"/>
      <c r="J91" s="808"/>
      <c r="K91" s="772"/>
      <c r="L91" s="772"/>
      <c r="M91" s="777"/>
      <c r="N91" s="777"/>
      <c r="O91" s="778" t="s">
        <v>12825</v>
      </c>
    </row>
    <row r="92" ht="14.25" customHeight="1">
      <c r="A92" s="802">
        <v>45356.0</v>
      </c>
      <c r="B92" s="803" t="s">
        <v>12824</v>
      </c>
      <c r="C92" s="804" t="s">
        <v>3076</v>
      </c>
      <c r="D92" s="804" t="s">
        <v>6741</v>
      </c>
      <c r="E92" s="772" t="str">
        <f>IFERROR(VLOOKUP(D92,Stock,3,FALSE),"")</f>
        <v>Honda Jazz 01-07 1st Gen</v>
      </c>
      <c r="F92" s="805">
        <v>2.0</v>
      </c>
      <c r="G92" s="806">
        <v>554400.0</v>
      </c>
      <c r="H92" s="774">
        <f t="shared" si="4"/>
        <v>1108800</v>
      </c>
      <c r="I92" s="807"/>
      <c r="J92" s="808"/>
      <c r="K92" s="772"/>
      <c r="L92" s="772"/>
      <c r="M92" s="777"/>
      <c r="N92" s="777"/>
      <c r="O92" s="778" t="s">
        <v>12825</v>
      </c>
    </row>
    <row r="93" ht="14.25" customHeight="1">
      <c r="A93" s="802">
        <v>45356.0</v>
      </c>
      <c r="B93" s="803" t="s">
        <v>12824</v>
      </c>
      <c r="C93" s="804" t="s">
        <v>3076</v>
      </c>
      <c r="D93" s="804" t="s">
        <v>4623</v>
      </c>
      <c r="E93" s="772" t="str">
        <f>IFERROR(VLOOKUP(D93,Stock,3,FALSE),"")</f>
        <v>Toyota Innova 15- 2nd Gen</v>
      </c>
      <c r="F93" s="805">
        <v>2.0</v>
      </c>
      <c r="G93" s="806">
        <v>584100.0</v>
      </c>
      <c r="H93" s="774">
        <f t="shared" si="4"/>
        <v>1168200</v>
      </c>
      <c r="I93" s="807"/>
      <c r="J93" s="808"/>
      <c r="K93" s="772"/>
      <c r="L93" s="772"/>
      <c r="M93" s="777"/>
      <c r="N93" s="777"/>
      <c r="O93" s="778" t="s">
        <v>12825</v>
      </c>
    </row>
    <row r="94" ht="14.25" customHeight="1">
      <c r="A94" s="802">
        <v>45356.0</v>
      </c>
      <c r="B94" s="803" t="s">
        <v>12824</v>
      </c>
      <c r="C94" s="804" t="s">
        <v>3076</v>
      </c>
      <c r="D94" s="804" t="s">
        <v>3186</v>
      </c>
      <c r="E94" s="772" t="str">
        <f>IFERROR(VLOOKUP(D94,Stock,3,FALSE),"")</f>
        <v>Daihatsu Gran Max / Luxio 07-</v>
      </c>
      <c r="F94" s="805">
        <v>10.0</v>
      </c>
      <c r="G94" s="806">
        <v>396825.0</v>
      </c>
      <c r="H94" s="774">
        <f t="shared" si="4"/>
        <v>3968250</v>
      </c>
      <c r="I94" s="807"/>
      <c r="J94" s="808"/>
      <c r="K94" s="772"/>
      <c r="L94" s="772"/>
      <c r="M94" s="777"/>
      <c r="N94" s="777"/>
      <c r="O94" s="778" t="s">
        <v>12825</v>
      </c>
    </row>
    <row r="95" ht="14.25" customHeight="1">
      <c r="A95" s="802">
        <v>45356.0</v>
      </c>
      <c r="B95" s="803" t="s">
        <v>12824</v>
      </c>
      <c r="C95" s="804" t="s">
        <v>3076</v>
      </c>
      <c r="D95" s="804" t="s">
        <v>3837</v>
      </c>
      <c r="E95" s="772" t="str">
        <f>IFERROR(VLOOKUP(D95,Stock,3,FALSE),"")</f>
        <v>Toyota Yaris 13- 2nd Gen / Vios 14- 3rd Gen</v>
      </c>
      <c r="F95" s="805">
        <v>10.0</v>
      </c>
      <c r="G95" s="806">
        <v>560439.0</v>
      </c>
      <c r="H95" s="774">
        <f t="shared" si="4"/>
        <v>5604390</v>
      </c>
      <c r="I95" s="807"/>
      <c r="J95" s="808"/>
      <c r="K95" s="772"/>
      <c r="L95" s="772"/>
      <c r="M95" s="777"/>
      <c r="N95" s="777"/>
      <c r="O95" s="778" t="s">
        <v>12825</v>
      </c>
    </row>
    <row r="96" ht="14.25" customHeight="1">
      <c r="A96" s="802">
        <v>45356.0</v>
      </c>
      <c r="B96" s="803" t="s">
        <v>12824</v>
      </c>
      <c r="C96" s="804" t="s">
        <v>3076</v>
      </c>
      <c r="D96" s="804" t="s">
        <v>2643</v>
      </c>
      <c r="E96" s="772" t="str">
        <f>IFERROR(VLOOKUP(D96,Stock,3,FALSE),"")</f>
        <v>Toyota Vios 07-13 XP90 2nd Gen</v>
      </c>
      <c r="F96" s="805">
        <v>10.0</v>
      </c>
      <c r="G96" s="806">
        <v>553113.0</v>
      </c>
      <c r="H96" s="774">
        <f t="shared" si="4"/>
        <v>5531130</v>
      </c>
      <c r="I96" s="807"/>
      <c r="J96" s="808"/>
      <c r="K96" s="772"/>
      <c r="L96" s="772"/>
      <c r="M96" s="777"/>
      <c r="N96" s="777"/>
      <c r="O96" s="778" t="s">
        <v>12825</v>
      </c>
    </row>
    <row r="97" ht="14.25" customHeight="1">
      <c r="A97" s="802">
        <v>45356.0</v>
      </c>
      <c r="B97" s="803" t="s">
        <v>12824</v>
      </c>
      <c r="C97" s="804" t="s">
        <v>3076</v>
      </c>
      <c r="D97" s="804" t="s">
        <v>2721</v>
      </c>
      <c r="E97" s="772" t="str">
        <f>IFERROR(VLOOKUP(D97,Stock,3,FALSE),"")</f>
        <v>Toyota Dyna/Hino Dutro 00-</v>
      </c>
      <c r="F97" s="805">
        <v>10.0</v>
      </c>
      <c r="G97" s="806">
        <v>396825.0</v>
      </c>
      <c r="H97" s="774">
        <f t="shared" si="4"/>
        <v>3968250</v>
      </c>
      <c r="I97" s="807"/>
      <c r="J97" s="808"/>
      <c r="K97" s="772"/>
      <c r="L97" s="772"/>
      <c r="M97" s="777"/>
      <c r="N97" s="777"/>
      <c r="O97" s="778" t="s">
        <v>12825</v>
      </c>
    </row>
    <row r="98" ht="14.25" customHeight="1">
      <c r="A98" s="802">
        <v>45356.0</v>
      </c>
      <c r="B98" s="803" t="s">
        <v>12824</v>
      </c>
      <c r="C98" s="804" t="s">
        <v>3076</v>
      </c>
      <c r="D98" s="804" t="s">
        <v>2692</v>
      </c>
      <c r="E98" s="772" t="str">
        <f>IFERROR(VLOOKUP(D98,Stock,3,FALSE),"")</f>
        <v>Suzuki Ertiga 18- 2nd Gen / XL7</v>
      </c>
      <c r="F98" s="805">
        <v>10.0</v>
      </c>
      <c r="G98" s="806">
        <v>616605.0</v>
      </c>
      <c r="H98" s="774">
        <f t="shared" si="4"/>
        <v>6166050</v>
      </c>
      <c r="I98" s="807"/>
      <c r="J98" s="808"/>
      <c r="K98" s="772"/>
      <c r="L98" s="772"/>
      <c r="M98" s="777"/>
      <c r="N98" s="777"/>
      <c r="O98" s="778" t="s">
        <v>12825</v>
      </c>
    </row>
    <row r="99" ht="14.25" customHeight="1">
      <c r="A99" s="802">
        <v>45356.0</v>
      </c>
      <c r="B99" s="803" t="s">
        <v>12824</v>
      </c>
      <c r="C99" s="804" t="s">
        <v>3076</v>
      </c>
      <c r="D99" s="804" t="s">
        <v>3235</v>
      </c>
      <c r="E99" s="772" t="str">
        <f>IFERROR(VLOOKUP(D99,Stock,3,FALSE),"")</f>
        <v>Toyota Vios 02-07 XP40 1st Gen</v>
      </c>
      <c r="F99" s="805">
        <v>10.0</v>
      </c>
      <c r="G99" s="806">
        <v>531135.0</v>
      </c>
      <c r="H99" s="774">
        <f t="shared" si="4"/>
        <v>5311350</v>
      </c>
      <c r="I99" s="807"/>
      <c r="J99" s="808"/>
      <c r="K99" s="772"/>
      <c r="L99" s="772"/>
      <c r="M99" s="777"/>
      <c r="N99" s="777"/>
      <c r="O99" s="778" t="s">
        <v>12825</v>
      </c>
    </row>
    <row r="100" ht="14.25" customHeight="1">
      <c r="A100" s="802">
        <v>45356.0</v>
      </c>
      <c r="B100" s="803" t="s">
        <v>12824</v>
      </c>
      <c r="C100" s="804" t="s">
        <v>3076</v>
      </c>
      <c r="D100" s="804" t="s">
        <v>2932</v>
      </c>
      <c r="E100" s="772" t="str">
        <f>IFERROR(VLOOKUP(D100,Stock,3,FALSE),"")</f>
        <v>Toyota LandCruiser 74- FJ40 / Jeep Hardtop</v>
      </c>
      <c r="F100" s="805">
        <v>5.0</v>
      </c>
      <c r="G100" s="806">
        <v>365079.0</v>
      </c>
      <c r="H100" s="774">
        <f t="shared" si="4"/>
        <v>1825395</v>
      </c>
      <c r="I100" s="807"/>
      <c r="J100" s="808"/>
      <c r="K100" s="772"/>
      <c r="L100" s="772"/>
      <c r="M100" s="777"/>
      <c r="N100" s="777"/>
      <c r="O100" s="778" t="s">
        <v>12825</v>
      </c>
    </row>
    <row r="101" ht="14.25" customHeight="1">
      <c r="A101" s="802">
        <v>45356.0</v>
      </c>
      <c r="B101" s="803" t="s">
        <v>12824</v>
      </c>
      <c r="C101" s="804" t="s">
        <v>3076</v>
      </c>
      <c r="D101" s="804" t="s">
        <v>3964</v>
      </c>
      <c r="E101" s="772" t="str">
        <f>IFERROR(VLOOKUP(D101,Stock,3,FALSE),"")</f>
        <v>Nissan Terrano 95-06</v>
      </c>
      <c r="F101" s="805">
        <v>5.0</v>
      </c>
      <c r="G101" s="806">
        <v>564102.0</v>
      </c>
      <c r="H101" s="774">
        <f t="shared" si="4"/>
        <v>2820510</v>
      </c>
      <c r="I101" s="807"/>
      <c r="J101" s="808"/>
      <c r="K101" s="772"/>
      <c r="L101" s="772"/>
      <c r="M101" s="777"/>
      <c r="N101" s="777"/>
      <c r="O101" s="778" t="s">
        <v>12825</v>
      </c>
    </row>
    <row r="102" ht="14.25" customHeight="1">
      <c r="A102" s="802">
        <v>45356.0</v>
      </c>
      <c r="B102" s="803" t="s">
        <v>12824</v>
      </c>
      <c r="C102" s="804" t="s">
        <v>3076</v>
      </c>
      <c r="D102" s="804" t="s">
        <v>2944</v>
      </c>
      <c r="E102" s="772" t="str">
        <f>IFERROR(VLOOKUP(D102,Stock,3,FALSE),"")</f>
        <v>Nissan X-Trail 13- T32</v>
      </c>
      <c r="F102" s="805">
        <v>2.0</v>
      </c>
      <c r="G102" s="806">
        <v>1349755.0</v>
      </c>
      <c r="H102" s="774">
        <f t="shared" si="4"/>
        <v>2699510</v>
      </c>
      <c r="I102" s="807"/>
      <c r="J102" s="808"/>
      <c r="K102" s="772"/>
      <c r="L102" s="772"/>
      <c r="M102" s="777"/>
      <c r="N102" s="777"/>
      <c r="O102" s="778" t="s">
        <v>12825</v>
      </c>
    </row>
    <row r="103" ht="14.25" customHeight="1">
      <c r="A103" s="802">
        <v>45356.0</v>
      </c>
      <c r="B103" s="803" t="s">
        <v>12824</v>
      </c>
      <c r="C103" s="804" t="s">
        <v>3076</v>
      </c>
      <c r="D103" s="804" t="s">
        <v>4628</v>
      </c>
      <c r="E103" s="772" t="str">
        <f>IFERROR(VLOOKUP(D103,Stock,3,FALSE),"")</f>
        <v>Mazda 2 09-14 3rd Gen Hatchback</v>
      </c>
      <c r="F103" s="805">
        <v>2.0</v>
      </c>
      <c r="G103" s="806">
        <v>612700.0</v>
      </c>
      <c r="H103" s="774">
        <f t="shared" si="4"/>
        <v>1225400</v>
      </c>
      <c r="I103" s="807"/>
      <c r="J103" s="808"/>
      <c r="K103" s="772"/>
      <c r="L103" s="772"/>
      <c r="M103" s="777"/>
      <c r="N103" s="777"/>
      <c r="O103" s="778" t="s">
        <v>12825</v>
      </c>
    </row>
    <row r="104" ht="14.25" customHeight="1">
      <c r="A104" s="802">
        <v>45356.0</v>
      </c>
      <c r="B104" s="803" t="s">
        <v>12824</v>
      </c>
      <c r="C104" s="804" t="s">
        <v>3076</v>
      </c>
      <c r="D104" s="804" t="s">
        <v>6742</v>
      </c>
      <c r="E104" s="772" t="str">
        <f>IFERROR(VLOOKUP(D104,Stock,3,FALSE),"")</f>
        <v>Suzuki Wagon R 12-</v>
      </c>
      <c r="F104" s="805">
        <v>2.0</v>
      </c>
      <c r="G104" s="806">
        <v>392040.0</v>
      </c>
      <c r="H104" s="774">
        <f t="shared" si="4"/>
        <v>784080</v>
      </c>
      <c r="I104" s="807"/>
      <c r="J104" s="808"/>
      <c r="K104" s="772"/>
      <c r="L104" s="772"/>
      <c r="M104" s="777"/>
      <c r="N104" s="777"/>
      <c r="O104" s="778" t="s">
        <v>12825</v>
      </c>
    </row>
    <row r="105" ht="14.25" customHeight="1">
      <c r="A105" s="802">
        <v>45356.0</v>
      </c>
      <c r="B105" s="803" t="s">
        <v>12824</v>
      </c>
      <c r="C105" s="804" t="s">
        <v>3076</v>
      </c>
      <c r="D105" s="804" t="s">
        <v>2862</v>
      </c>
      <c r="E105" s="772" t="str">
        <f>IFERROR(VLOOKUP(D105,Stock,3,FALSE),"")</f>
        <v>Suzuki Futura Mini Bus</v>
      </c>
      <c r="F105" s="805">
        <v>2.0</v>
      </c>
      <c r="G105" s="806">
        <v>245000.0</v>
      </c>
      <c r="H105" s="774">
        <f t="shared" si="4"/>
        <v>490000</v>
      </c>
      <c r="I105" s="807"/>
      <c r="J105" s="808"/>
      <c r="K105" s="772"/>
      <c r="L105" s="772"/>
      <c r="M105" s="777"/>
      <c r="N105" s="777"/>
      <c r="O105" s="778" t="s">
        <v>12825</v>
      </c>
    </row>
    <row r="106" ht="14.25" customHeight="1">
      <c r="A106" s="802">
        <v>45356.0</v>
      </c>
      <c r="B106" s="803" t="s">
        <v>12824</v>
      </c>
      <c r="C106" s="804" t="s">
        <v>3076</v>
      </c>
      <c r="D106" s="804" t="s">
        <v>6199</v>
      </c>
      <c r="E106" s="772" t="str">
        <f>IFERROR(VLOOKUP(D106,Stock,3,FALSE),"")</f>
        <v>Honda Brio 10-17 [Tanpa Lubang]</v>
      </c>
      <c r="F106" s="805">
        <v>2.0</v>
      </c>
      <c r="G106" s="806">
        <v>577775.0</v>
      </c>
      <c r="H106" s="774">
        <f t="shared" si="4"/>
        <v>1155550</v>
      </c>
      <c r="I106" s="807"/>
      <c r="J106" s="808"/>
      <c r="K106" s="772"/>
      <c r="L106" s="772"/>
      <c r="M106" s="777"/>
      <c r="N106" s="777"/>
      <c r="O106" s="778" t="s">
        <v>12825</v>
      </c>
    </row>
    <row r="107" ht="14.25" customHeight="1">
      <c r="A107" s="802">
        <v>45356.0</v>
      </c>
      <c r="B107" s="803" t="s">
        <v>12824</v>
      </c>
      <c r="C107" s="804" t="s">
        <v>3076</v>
      </c>
      <c r="D107" s="804" t="s">
        <v>2785</v>
      </c>
      <c r="E107" s="772" t="str">
        <f>IFERROR(VLOOKUP(D107,Stock,3,FALSE),"")</f>
        <v>Suzuki Swift 11-17 2nd Gen</v>
      </c>
      <c r="F107" s="805">
        <v>3.0</v>
      </c>
      <c r="G107" s="806">
        <v>600732.0</v>
      </c>
      <c r="H107" s="774">
        <f t="shared" si="4"/>
        <v>1802196</v>
      </c>
      <c r="I107" s="807"/>
      <c r="J107" s="808"/>
      <c r="K107" s="772"/>
      <c r="L107" s="772"/>
      <c r="M107" s="777"/>
      <c r="N107" s="777"/>
      <c r="O107" s="778" t="s">
        <v>12825</v>
      </c>
    </row>
    <row r="108" ht="14.25" customHeight="1">
      <c r="A108" s="802">
        <v>45356.0</v>
      </c>
      <c r="B108" s="803" t="s">
        <v>12824</v>
      </c>
      <c r="C108" s="804" t="s">
        <v>3076</v>
      </c>
      <c r="D108" s="804" t="s">
        <v>5002</v>
      </c>
      <c r="E108" s="772" t="str">
        <f>IFERROR(VLOOKUP(D108,Stock,3,FALSE),"")</f>
        <v>Honda Brio 10-17 [Lubang Wiper]</v>
      </c>
      <c r="F108" s="805">
        <v>2.0</v>
      </c>
      <c r="G108" s="806">
        <v>615890.0</v>
      </c>
      <c r="H108" s="774">
        <f t="shared" si="4"/>
        <v>1231780</v>
      </c>
      <c r="I108" s="807"/>
      <c r="J108" s="808"/>
      <c r="K108" s="772"/>
      <c r="L108" s="772"/>
      <c r="M108" s="777"/>
      <c r="N108" s="777"/>
      <c r="O108" s="778" t="s">
        <v>12825</v>
      </c>
    </row>
    <row r="109" ht="14.25" customHeight="1">
      <c r="A109" s="802">
        <v>45356.0</v>
      </c>
      <c r="B109" s="803" t="s">
        <v>12824</v>
      </c>
      <c r="C109" s="804" t="s">
        <v>3076</v>
      </c>
      <c r="D109" s="804" t="s">
        <v>3059</v>
      </c>
      <c r="E109" s="772" t="str">
        <f>IFERROR(VLOOKUP(D109,Stock,3,FALSE),"")</f>
        <v>Sealant Polyurethane XYG Tube</v>
      </c>
      <c r="F109" s="805">
        <v>20.0</v>
      </c>
      <c r="G109" s="806">
        <v>36300.0</v>
      </c>
      <c r="H109" s="774">
        <f t="shared" si="4"/>
        <v>726000</v>
      </c>
      <c r="I109" s="807"/>
      <c r="J109" s="808"/>
      <c r="K109" s="772"/>
      <c r="L109" s="772"/>
      <c r="M109" s="777"/>
      <c r="N109" s="777"/>
      <c r="O109" s="778" t="s">
        <v>12825</v>
      </c>
    </row>
    <row r="110" ht="14.25" customHeight="1">
      <c r="A110" s="802">
        <v>45356.0</v>
      </c>
      <c r="B110" s="803" t="s">
        <v>12824</v>
      </c>
      <c r="C110" s="804" t="s">
        <v>3076</v>
      </c>
      <c r="D110" s="804" t="s">
        <v>3136</v>
      </c>
      <c r="E110" s="772" t="str">
        <f>IFERROR(VLOOKUP(D110,Stock,3,FALSE),"")</f>
        <v>Mitsubishi Pajero 16-</v>
      </c>
      <c r="F110" s="805">
        <v>2.0</v>
      </c>
      <c r="G110" s="806">
        <v>737000.0</v>
      </c>
      <c r="H110" s="774">
        <f t="shared" si="4"/>
        <v>1474000</v>
      </c>
      <c r="I110" s="807"/>
      <c r="J110" s="808"/>
      <c r="K110" s="772"/>
      <c r="L110" s="772"/>
      <c r="M110" s="777"/>
      <c r="N110" s="777"/>
      <c r="O110" s="778" t="s">
        <v>12825</v>
      </c>
    </row>
    <row r="111" ht="14.25" customHeight="1">
      <c r="A111" s="802">
        <v>45356.0</v>
      </c>
      <c r="B111" s="803" t="s">
        <v>12824</v>
      </c>
      <c r="C111" s="804" t="s">
        <v>3076</v>
      </c>
      <c r="D111" s="804" t="s">
        <v>3068</v>
      </c>
      <c r="E111" s="772" t="str">
        <f>IFERROR(VLOOKUP(D111,Stock,3,FALSE),"")</f>
        <v>Honda Brio 10- / Mobilio 11-</v>
      </c>
      <c r="F111" s="805">
        <v>10.0</v>
      </c>
      <c r="G111" s="806">
        <v>485958.0</v>
      </c>
      <c r="H111" s="774">
        <f t="shared" si="4"/>
        <v>4859580</v>
      </c>
      <c r="I111" s="807"/>
      <c r="J111" s="808"/>
      <c r="K111" s="772"/>
      <c r="L111" s="772"/>
      <c r="M111" s="777"/>
      <c r="N111" s="777"/>
      <c r="O111" s="778" t="s">
        <v>12825</v>
      </c>
    </row>
    <row r="112" ht="14.25" customHeight="1">
      <c r="A112" s="802">
        <v>45356.0</v>
      </c>
      <c r="B112" s="803" t="s">
        <v>12824</v>
      </c>
      <c r="C112" s="804" t="s">
        <v>3076</v>
      </c>
      <c r="D112" s="804" t="s">
        <v>4038</v>
      </c>
      <c r="E112" s="772" t="str">
        <f>IFERROR(VLOOKUP(D112,Stock,3,FALSE),"")</f>
        <v>Suzuki Carry New 19-</v>
      </c>
      <c r="F112" s="805">
        <v>10.0</v>
      </c>
      <c r="G112" s="806">
        <v>493284.0</v>
      </c>
      <c r="H112" s="774">
        <f t="shared" si="4"/>
        <v>4932840</v>
      </c>
      <c r="I112" s="807"/>
      <c r="J112" s="808"/>
      <c r="K112" s="772"/>
      <c r="L112" s="772"/>
      <c r="M112" s="777"/>
      <c r="N112" s="777"/>
      <c r="O112" s="778" t="s">
        <v>12825</v>
      </c>
    </row>
    <row r="113" ht="14.25" customHeight="1">
      <c r="A113" s="789">
        <v>45357.0</v>
      </c>
      <c r="B113" s="790" t="s">
        <v>12826</v>
      </c>
      <c r="C113" s="791" t="s">
        <v>11484</v>
      </c>
      <c r="D113" s="791" t="s">
        <v>3059</v>
      </c>
      <c r="E113" s="792" t="str">
        <f>IFERROR(VLOOKUP(D113,Stock,3,FALSE),"")</f>
        <v>Sealant Polyurethane XYG Tube</v>
      </c>
      <c r="F113" s="791">
        <v>100.0</v>
      </c>
      <c r="G113" s="809">
        <v>33000.0</v>
      </c>
      <c r="H113" s="810">
        <f t="shared" si="4"/>
        <v>3300000</v>
      </c>
      <c r="I113" s="811"/>
      <c r="J113" s="812"/>
      <c r="K113" s="801">
        <v>45357.0</v>
      </c>
      <c r="L113" s="801"/>
      <c r="M113" s="796" t="s">
        <v>12809</v>
      </c>
      <c r="N113" s="796">
        <v>3300000.0</v>
      </c>
      <c r="O113" s="798" t="s">
        <v>12827</v>
      </c>
    </row>
    <row r="114" ht="14.25" customHeight="1">
      <c r="A114" s="789">
        <v>45358.0</v>
      </c>
      <c r="B114" s="790">
        <v>2403216.0</v>
      </c>
      <c r="C114" s="791" t="s">
        <v>11484</v>
      </c>
      <c r="D114" s="791" t="s">
        <v>2611</v>
      </c>
      <c r="E114" s="792" t="str">
        <f>IFERROR(VLOOKUP(D114,Stock,3,FALSE),"")</f>
        <v>Mazda CX-5 .12-14 1st Gen KE Pre - (1 Sensor/ □ )</v>
      </c>
      <c r="F114" s="791">
        <v>1.0</v>
      </c>
      <c r="G114" s="809">
        <v>1664300.0</v>
      </c>
      <c r="H114" s="810">
        <f t="shared" ref="H114:I114" si="5">G114</f>
        <v>1664300</v>
      </c>
      <c r="I114" s="811">
        <f t="shared" si="5"/>
        <v>1664300</v>
      </c>
      <c r="J114" s="813">
        <v>45418.0</v>
      </c>
      <c r="K114" s="792"/>
      <c r="L114" s="792"/>
      <c r="M114" s="796" t="s">
        <v>12809</v>
      </c>
      <c r="N114" s="797">
        <v>45416.0</v>
      </c>
      <c r="O114" s="798" t="s">
        <v>12828</v>
      </c>
    </row>
    <row r="115" ht="14.25" customHeight="1">
      <c r="A115" s="789">
        <v>45358.0</v>
      </c>
      <c r="B115" s="790">
        <v>2403216.0</v>
      </c>
      <c r="C115" s="791" t="s">
        <v>11484</v>
      </c>
      <c r="D115" s="791" t="s">
        <v>2936</v>
      </c>
      <c r="E115" s="792" t="str">
        <f>IFERROR(VLOOKUP(D115,Stock,3,FALSE),"")</f>
        <v>Toyota Calya / Sigra 16-</v>
      </c>
      <c r="F115" s="791">
        <v>1.0</v>
      </c>
      <c r="G115" s="809">
        <v>339900.0</v>
      </c>
      <c r="H115" s="810">
        <f t="shared" ref="H115:I115" si="6">G115</f>
        <v>339900</v>
      </c>
      <c r="I115" s="811">
        <f t="shared" si="6"/>
        <v>339900</v>
      </c>
      <c r="J115" s="813">
        <v>45418.0</v>
      </c>
      <c r="K115" s="792"/>
      <c r="L115" s="792"/>
      <c r="M115" s="796" t="s">
        <v>12809</v>
      </c>
      <c r="N115" s="797">
        <v>45416.0</v>
      </c>
      <c r="O115" s="798" t="s">
        <v>12828</v>
      </c>
    </row>
    <row r="116" ht="14.25" customHeight="1">
      <c r="A116" s="789">
        <v>45363.0</v>
      </c>
      <c r="B116" s="790">
        <v>2403345.0</v>
      </c>
      <c r="C116" s="791" t="s">
        <v>11484</v>
      </c>
      <c r="D116" s="791" t="s">
        <v>2649</v>
      </c>
      <c r="E116" s="792" t="str">
        <f>IFERROR(VLOOKUP(D116,Stock,3,FALSE),"")</f>
        <v>Honda City 96-02 3rdGen (City Z)</v>
      </c>
      <c r="F116" s="791">
        <v>1.0</v>
      </c>
      <c r="G116" s="809">
        <v>654500.0</v>
      </c>
      <c r="H116" s="810">
        <f t="shared" ref="H116:I116" si="7">G116</f>
        <v>654500</v>
      </c>
      <c r="I116" s="811">
        <f t="shared" si="7"/>
        <v>654500</v>
      </c>
      <c r="J116" s="813">
        <v>45423.0</v>
      </c>
      <c r="K116" s="792"/>
      <c r="L116" s="792"/>
      <c r="M116" s="796" t="s">
        <v>12809</v>
      </c>
      <c r="N116" s="797">
        <v>45422.0</v>
      </c>
      <c r="O116" s="798" t="s">
        <v>12829</v>
      </c>
    </row>
    <row r="117" ht="14.25" customHeight="1">
      <c r="A117" s="789">
        <v>45364.0</v>
      </c>
      <c r="B117" s="790">
        <v>2403387.0</v>
      </c>
      <c r="C117" s="791" t="s">
        <v>11484</v>
      </c>
      <c r="D117" s="791" t="s">
        <v>2965</v>
      </c>
      <c r="E117" s="792" t="str">
        <f>IFERROR(VLOOKUP(D117,Stock,3,FALSE),"")</f>
        <v>Suzuki Ertiga 12-18 1st Gen MPV</v>
      </c>
      <c r="F117" s="791">
        <v>2.0</v>
      </c>
      <c r="G117" s="809">
        <v>277000.0</v>
      </c>
      <c r="H117" s="810">
        <f t="shared" ref="H117:H120" si="8">G117*F117</f>
        <v>554000</v>
      </c>
      <c r="I117" s="811">
        <f t="shared" ref="I117:I120" si="9">H117</f>
        <v>554000</v>
      </c>
      <c r="J117" s="813">
        <v>45424.0</v>
      </c>
      <c r="K117" s="792"/>
      <c r="L117" s="792"/>
      <c r="M117" s="796" t="s">
        <v>12809</v>
      </c>
      <c r="N117" s="797">
        <v>45422.0</v>
      </c>
      <c r="O117" s="798" t="s">
        <v>12830</v>
      </c>
    </row>
    <row r="118" ht="14.25" customHeight="1">
      <c r="A118" s="789">
        <v>45364.0</v>
      </c>
      <c r="B118" s="790">
        <v>2403387.0</v>
      </c>
      <c r="C118" s="791" t="s">
        <v>11484</v>
      </c>
      <c r="D118" s="791" t="s">
        <v>7739</v>
      </c>
      <c r="E118" s="792" t="str">
        <f>IFERROR(VLOOKUP(D118,Stock,3,FALSE),"")</f>
        <v>Toyota Avanza / Xenia 03-11 1st Gen</v>
      </c>
      <c r="F118" s="791">
        <v>1.0</v>
      </c>
      <c r="G118" s="809">
        <v>322000.0</v>
      </c>
      <c r="H118" s="810">
        <f t="shared" si="8"/>
        <v>322000</v>
      </c>
      <c r="I118" s="811">
        <f t="shared" si="9"/>
        <v>322000</v>
      </c>
      <c r="J118" s="813">
        <v>45424.0</v>
      </c>
      <c r="K118" s="792"/>
      <c r="L118" s="792"/>
      <c r="M118" s="796" t="s">
        <v>12809</v>
      </c>
      <c r="N118" s="797">
        <v>45422.0</v>
      </c>
      <c r="O118" s="798" t="s">
        <v>12830</v>
      </c>
    </row>
    <row r="119" ht="14.25" customHeight="1">
      <c r="A119" s="789">
        <v>45364.0</v>
      </c>
      <c r="B119" s="790">
        <v>2403387.0</v>
      </c>
      <c r="C119" s="791" t="s">
        <v>11484</v>
      </c>
      <c r="D119" s="791" t="s">
        <v>4775</v>
      </c>
      <c r="E119" s="792" t="str">
        <f>IFERROR(VLOOKUP(D119,Stock,3,FALSE),"")</f>
        <v>Toyota Avanza / Xenia 11-15 2nd Gen / 15-21 3rd Gen</v>
      </c>
      <c r="F119" s="791">
        <v>1.0</v>
      </c>
      <c r="G119" s="809">
        <v>313000.0</v>
      </c>
      <c r="H119" s="810">
        <f t="shared" si="8"/>
        <v>313000</v>
      </c>
      <c r="I119" s="811">
        <f t="shared" si="9"/>
        <v>313000</v>
      </c>
      <c r="J119" s="813">
        <v>45424.0</v>
      </c>
      <c r="K119" s="792"/>
      <c r="L119" s="792"/>
      <c r="M119" s="796" t="s">
        <v>12809</v>
      </c>
      <c r="N119" s="797">
        <v>45422.0</v>
      </c>
      <c r="O119" s="798" t="s">
        <v>12830</v>
      </c>
    </row>
    <row r="120" ht="14.25" customHeight="1">
      <c r="A120" s="789">
        <v>45364.0</v>
      </c>
      <c r="B120" s="790">
        <v>2403387.0</v>
      </c>
      <c r="C120" s="791" t="s">
        <v>11484</v>
      </c>
      <c r="D120" s="791" t="s">
        <v>2973</v>
      </c>
      <c r="E120" s="792" t="str">
        <f>IFERROR(VLOOKUP(D120,Stock,3,FALSE),"")</f>
        <v>Toyota Innova 04-15 1st Gen</v>
      </c>
      <c r="F120" s="791">
        <v>1.0</v>
      </c>
      <c r="G120" s="809">
        <v>613800.0</v>
      </c>
      <c r="H120" s="810">
        <f t="shared" si="8"/>
        <v>613800</v>
      </c>
      <c r="I120" s="811">
        <f t="shared" si="9"/>
        <v>613800</v>
      </c>
      <c r="J120" s="813">
        <v>45424.0</v>
      </c>
      <c r="K120" s="792"/>
      <c r="L120" s="792"/>
      <c r="M120" s="796" t="s">
        <v>12809</v>
      </c>
      <c r="N120" s="797">
        <v>45422.0</v>
      </c>
      <c r="O120" s="798" t="s">
        <v>12830</v>
      </c>
    </row>
    <row r="121" ht="14.25" customHeight="1">
      <c r="A121" s="802">
        <v>45364.0</v>
      </c>
      <c r="B121" s="771" t="s">
        <v>12831</v>
      </c>
      <c r="C121" s="63" t="s">
        <v>3076</v>
      </c>
      <c r="D121" s="804" t="s">
        <v>3025</v>
      </c>
      <c r="E121" s="772" t="str">
        <f>IFERROR(VLOOKUP(D121,Stock,3,FALSE),"")</f>
        <v>Toyota Rush / Terios 06-17</v>
      </c>
      <c r="F121" s="805">
        <v>10.0</v>
      </c>
      <c r="G121" s="806">
        <v>485958.0</v>
      </c>
      <c r="H121" s="774">
        <f t="shared" ref="H121:H375" si="10">F121*G121</f>
        <v>4859580</v>
      </c>
      <c r="I121" s="807"/>
      <c r="J121" s="808"/>
      <c r="K121" s="772"/>
      <c r="L121" s="772"/>
      <c r="M121" s="777"/>
      <c r="N121" s="777"/>
      <c r="O121" s="778" t="s">
        <v>12832</v>
      </c>
    </row>
    <row r="122" ht="14.25" customHeight="1">
      <c r="A122" s="802">
        <v>45364.0</v>
      </c>
      <c r="B122" s="771" t="s">
        <v>12831</v>
      </c>
      <c r="C122" s="63" t="s">
        <v>3076</v>
      </c>
      <c r="D122" s="804" t="s">
        <v>3707</v>
      </c>
      <c r="E122" s="772" t="str">
        <f>IFERROR(VLOOKUP(D122,Stock,3,FALSE),"")</f>
        <v>Mitsubishi Pajero 16-</v>
      </c>
      <c r="F122" s="805">
        <v>10.0</v>
      </c>
      <c r="G122" s="806">
        <v>485958.0</v>
      </c>
      <c r="H122" s="774">
        <f t="shared" si="10"/>
        <v>4859580</v>
      </c>
      <c r="I122" s="807"/>
      <c r="J122" s="808"/>
      <c r="K122" s="772"/>
      <c r="L122" s="772"/>
      <c r="M122" s="777"/>
      <c r="N122" s="777"/>
      <c r="O122" s="778" t="s">
        <v>12832</v>
      </c>
    </row>
    <row r="123" ht="14.25" customHeight="1">
      <c r="A123" s="802">
        <v>45364.0</v>
      </c>
      <c r="B123" s="771" t="s">
        <v>12831</v>
      </c>
      <c r="C123" s="63" t="s">
        <v>3076</v>
      </c>
      <c r="D123" s="804" t="s">
        <v>3223</v>
      </c>
      <c r="E123" s="772" t="str">
        <f>IFERROR(VLOOKUP(D123,Stock,3,FALSE),"")</f>
        <v>Mitsubishi Strada Triton 08-15</v>
      </c>
      <c r="F123" s="805">
        <v>10.0</v>
      </c>
      <c r="G123" s="806">
        <v>456654.0</v>
      </c>
      <c r="H123" s="774">
        <f t="shared" si="10"/>
        <v>4566540</v>
      </c>
      <c r="I123" s="807"/>
      <c r="J123" s="808"/>
      <c r="K123" s="772"/>
      <c r="L123" s="772"/>
      <c r="M123" s="777"/>
      <c r="N123" s="777"/>
      <c r="O123" s="778" t="s">
        <v>12832</v>
      </c>
    </row>
    <row r="124" ht="14.25" customHeight="1">
      <c r="A124" s="802">
        <v>45364.0</v>
      </c>
      <c r="B124" s="771" t="s">
        <v>12831</v>
      </c>
      <c r="C124" s="63" t="s">
        <v>3076</v>
      </c>
      <c r="D124" s="804" t="s">
        <v>2682</v>
      </c>
      <c r="E124" s="772" t="str">
        <f>IFERROR(VLOOKUP(D124,Stock,3,FALSE),"")</f>
        <v>Toyota Yaris 05-13 XP90 1st Gen</v>
      </c>
      <c r="F124" s="805">
        <v>10.0</v>
      </c>
      <c r="G124" s="806">
        <v>568986.0</v>
      </c>
      <c r="H124" s="774">
        <f t="shared" si="10"/>
        <v>5689860</v>
      </c>
      <c r="I124" s="807"/>
      <c r="J124" s="808"/>
      <c r="K124" s="772"/>
      <c r="L124" s="772"/>
      <c r="M124" s="777"/>
      <c r="N124" s="777"/>
      <c r="O124" s="778" t="s">
        <v>12832</v>
      </c>
    </row>
    <row r="125" ht="14.25" customHeight="1">
      <c r="A125" s="802">
        <v>45364.0</v>
      </c>
      <c r="B125" s="771" t="s">
        <v>12831</v>
      </c>
      <c r="C125" s="63" t="s">
        <v>3076</v>
      </c>
      <c r="D125" s="804" t="s">
        <v>3313</v>
      </c>
      <c r="E125" s="772" t="str">
        <f>IFERROR(VLOOKUP(D125,Stock,3,FALSE),"")</f>
        <v>Toyota Avanza / Xenia 21- 4th Gen (Non sensor)</v>
      </c>
      <c r="F125" s="805">
        <v>10.0</v>
      </c>
      <c r="G125" s="806">
        <v>604395.0</v>
      </c>
      <c r="H125" s="774">
        <f t="shared" si="10"/>
        <v>6043950</v>
      </c>
      <c r="I125" s="807"/>
      <c r="J125" s="814"/>
      <c r="K125" s="772"/>
      <c r="L125" s="772"/>
      <c r="M125" s="777"/>
      <c r="N125" s="777"/>
      <c r="O125" s="778" t="s">
        <v>12832</v>
      </c>
    </row>
    <row r="126" ht="14.25" customHeight="1">
      <c r="A126" s="802">
        <v>45364.0</v>
      </c>
      <c r="B126" s="771" t="s">
        <v>12831</v>
      </c>
      <c r="C126" s="63" t="s">
        <v>3076</v>
      </c>
      <c r="D126" s="804" t="s">
        <v>3290</v>
      </c>
      <c r="E126" s="772" t="str">
        <f>IFERROR(VLOOKUP(D126,Stock,3,FALSE),"")</f>
        <v>Toyota Innova 04-15 1st Gen</v>
      </c>
      <c r="F126" s="805">
        <v>10.0</v>
      </c>
      <c r="G126" s="806">
        <v>478632.0</v>
      </c>
      <c r="H126" s="774">
        <f t="shared" si="10"/>
        <v>4786320</v>
      </c>
      <c r="I126" s="807"/>
      <c r="J126" s="814"/>
      <c r="K126" s="772"/>
      <c r="L126" s="772"/>
      <c r="M126" s="777"/>
      <c r="N126" s="777"/>
      <c r="O126" s="778" t="s">
        <v>12832</v>
      </c>
    </row>
    <row r="127" ht="14.25" customHeight="1">
      <c r="A127" s="802">
        <v>45364.0</v>
      </c>
      <c r="B127" s="771" t="s">
        <v>12831</v>
      </c>
      <c r="C127" s="63" t="s">
        <v>3076</v>
      </c>
      <c r="D127" s="804" t="s">
        <v>3360</v>
      </c>
      <c r="E127" s="772" t="str">
        <f>IFERROR(VLOOKUP(D127,Stock,3,FALSE),"")</f>
        <v>Mitsubishi Xpander 17-</v>
      </c>
      <c r="F127" s="805">
        <v>10.0</v>
      </c>
      <c r="G127" s="806">
        <v>672771.0</v>
      </c>
      <c r="H127" s="774">
        <f t="shared" si="10"/>
        <v>6727710</v>
      </c>
      <c r="I127" s="807"/>
      <c r="J127" s="814"/>
      <c r="K127" s="772"/>
      <c r="L127" s="772"/>
      <c r="M127" s="777"/>
      <c r="N127" s="777"/>
      <c r="O127" s="778" t="s">
        <v>12832</v>
      </c>
    </row>
    <row r="128" ht="14.25" customHeight="1">
      <c r="A128" s="802">
        <v>45364.0</v>
      </c>
      <c r="B128" s="771" t="s">
        <v>12831</v>
      </c>
      <c r="C128" s="63" t="s">
        <v>3076</v>
      </c>
      <c r="D128" s="804" t="s">
        <v>2734</v>
      </c>
      <c r="E128" s="772" t="str">
        <f>IFERROR(VLOOKUP(D128,Stock,3,FALSE),"")</f>
        <v>Honda Jazz 07-13 2nd Gen</v>
      </c>
      <c r="F128" s="805">
        <v>10.0</v>
      </c>
      <c r="G128" s="806">
        <v>628815.0</v>
      </c>
      <c r="H128" s="774">
        <f t="shared" si="10"/>
        <v>6288150</v>
      </c>
      <c r="I128" s="807"/>
      <c r="J128" s="814"/>
      <c r="K128" s="772"/>
      <c r="L128" s="772"/>
      <c r="M128" s="777"/>
      <c r="N128" s="777"/>
      <c r="O128" s="778" t="s">
        <v>12832</v>
      </c>
    </row>
    <row r="129" ht="14.25" customHeight="1">
      <c r="A129" s="802">
        <v>45364.0</v>
      </c>
      <c r="B129" s="771" t="s">
        <v>12831</v>
      </c>
      <c r="C129" s="63" t="s">
        <v>3076</v>
      </c>
      <c r="D129" s="804" t="s">
        <v>2722</v>
      </c>
      <c r="E129" s="772" t="str">
        <f>IFERROR(VLOOKUP(D129,Stock,3,FALSE),"")</f>
        <v>Suzuki Carry Futura (1300cc) / Mitsubishi Colt T120</v>
      </c>
      <c r="F129" s="805">
        <v>10.0</v>
      </c>
      <c r="G129" s="806">
        <v>329670.0</v>
      </c>
      <c r="H129" s="774">
        <f t="shared" si="10"/>
        <v>3296700</v>
      </c>
      <c r="I129" s="807"/>
      <c r="J129" s="814"/>
      <c r="K129" s="772"/>
      <c r="L129" s="772"/>
      <c r="M129" s="777"/>
      <c r="N129" s="777"/>
      <c r="O129" s="778" t="s">
        <v>12832</v>
      </c>
    </row>
    <row r="130" ht="14.25" customHeight="1">
      <c r="A130" s="802">
        <v>45364.0</v>
      </c>
      <c r="B130" s="771" t="s">
        <v>12831</v>
      </c>
      <c r="C130" s="63" t="s">
        <v>3076</v>
      </c>
      <c r="D130" s="804" t="s">
        <v>3411</v>
      </c>
      <c r="E130" s="772" t="str">
        <f>IFERROR(VLOOKUP(D130,Stock,3,FALSE),"")</f>
        <v>Toyota Agya/Ayla 13-22 1st Gen</v>
      </c>
      <c r="F130" s="805">
        <v>10.0</v>
      </c>
      <c r="G130" s="806">
        <v>338217.0</v>
      </c>
      <c r="H130" s="774">
        <f t="shared" si="10"/>
        <v>3382170</v>
      </c>
      <c r="I130" s="807"/>
      <c r="J130" s="814"/>
      <c r="K130" s="772"/>
      <c r="L130" s="772"/>
      <c r="M130" s="777"/>
      <c r="N130" s="777"/>
      <c r="O130" s="778" t="s">
        <v>12832</v>
      </c>
    </row>
    <row r="131" ht="14.25" customHeight="1">
      <c r="A131" s="802">
        <v>45364.0</v>
      </c>
      <c r="B131" s="771" t="s">
        <v>12831</v>
      </c>
      <c r="C131" s="63" t="s">
        <v>3076</v>
      </c>
      <c r="D131" s="804" t="s">
        <v>6743</v>
      </c>
      <c r="E131" s="772" t="str">
        <f>IFERROR(VLOOKUP(D131,Stock,3,FALSE),"")</f>
        <v>Nissan X-Trail 07-13 T31</v>
      </c>
      <c r="F131" s="805">
        <v>5.0</v>
      </c>
      <c r="G131" s="806">
        <v>693528.0</v>
      </c>
      <c r="H131" s="774">
        <f t="shared" si="10"/>
        <v>3467640</v>
      </c>
      <c r="I131" s="807"/>
      <c r="J131" s="814"/>
      <c r="K131" s="772"/>
      <c r="L131" s="772"/>
      <c r="M131" s="777"/>
      <c r="N131" s="777"/>
      <c r="O131" s="778" t="s">
        <v>12832</v>
      </c>
    </row>
    <row r="132" ht="14.25" customHeight="1">
      <c r="A132" s="802">
        <v>45364.0</v>
      </c>
      <c r="B132" s="771" t="s">
        <v>12831</v>
      </c>
      <c r="C132" s="63" t="s">
        <v>3076</v>
      </c>
      <c r="D132" s="804" t="s">
        <v>2585</v>
      </c>
      <c r="E132" s="772" t="str">
        <f>IFERROR(VLOOKUP(D132,Stock,3,FALSE),"")</f>
        <v>Ford Ranger 11- T6 /Mazda BT50 Sing/Doub Cabin</v>
      </c>
      <c r="F132" s="805">
        <v>5.0</v>
      </c>
      <c r="G132" s="806">
        <v>660561.0</v>
      </c>
      <c r="H132" s="774">
        <f t="shared" si="10"/>
        <v>3302805</v>
      </c>
      <c r="I132" s="807"/>
      <c r="J132" s="814"/>
      <c r="K132" s="772"/>
      <c r="L132" s="772"/>
      <c r="M132" s="777"/>
      <c r="N132" s="777"/>
      <c r="O132" s="778" t="s">
        <v>12832</v>
      </c>
    </row>
    <row r="133" ht="14.25" customHeight="1">
      <c r="A133" s="802">
        <v>45364.0</v>
      </c>
      <c r="B133" s="771" t="s">
        <v>12831</v>
      </c>
      <c r="C133" s="63" t="s">
        <v>3076</v>
      </c>
      <c r="D133" s="804" t="s">
        <v>6557</v>
      </c>
      <c r="E133" s="772" t="str">
        <f>IFERROR(VLOOKUP(D133,Stock,3,FALSE),"")</f>
        <v>Nissan Serena 99-10 MKII C24</v>
      </c>
      <c r="F133" s="805">
        <v>5.0</v>
      </c>
      <c r="G133" s="806">
        <v>703296.0</v>
      </c>
      <c r="H133" s="774">
        <f t="shared" si="10"/>
        <v>3516480</v>
      </c>
      <c r="I133" s="807"/>
      <c r="J133" s="814"/>
      <c r="K133" s="772"/>
      <c r="L133" s="772"/>
      <c r="M133" s="777"/>
      <c r="N133" s="777"/>
      <c r="O133" s="778" t="s">
        <v>12832</v>
      </c>
    </row>
    <row r="134" ht="14.25" customHeight="1">
      <c r="A134" s="802">
        <v>45364.0</v>
      </c>
      <c r="B134" s="771" t="s">
        <v>12831</v>
      </c>
      <c r="C134" s="63" t="s">
        <v>3076</v>
      </c>
      <c r="D134" s="804" t="s">
        <v>2997</v>
      </c>
      <c r="E134" s="772" t="str">
        <f>IFERROR(VLOOKUP(D134,Stock,3,FALSE),"")</f>
        <v>Honda City 02-08 4th Gen Idsi GD8</v>
      </c>
      <c r="F134" s="805">
        <v>5.0</v>
      </c>
      <c r="G134" s="806">
        <v>605616.0</v>
      </c>
      <c r="H134" s="774">
        <f t="shared" si="10"/>
        <v>3028080</v>
      </c>
      <c r="I134" s="807"/>
      <c r="J134" s="814"/>
      <c r="K134" s="772"/>
      <c r="L134" s="772"/>
      <c r="M134" s="777"/>
      <c r="N134" s="777"/>
      <c r="O134" s="778" t="s">
        <v>12832</v>
      </c>
    </row>
    <row r="135" ht="14.25" customHeight="1">
      <c r="A135" s="789">
        <v>45364.0</v>
      </c>
      <c r="B135" s="790" t="s">
        <v>12833</v>
      </c>
      <c r="C135" s="791" t="s">
        <v>3076</v>
      </c>
      <c r="D135" s="815" t="s">
        <v>2977</v>
      </c>
      <c r="E135" s="792" t="str">
        <f>IFERROR(VLOOKUP(D135,Stock,3,FALSE),"")</f>
        <v>Toyota Alphard 08-15 ANH20 2nd Gen (Hitam)</v>
      </c>
      <c r="F135" s="816">
        <v>1.0</v>
      </c>
      <c r="G135" s="817">
        <v>1324500.0</v>
      </c>
      <c r="H135" s="811">
        <f t="shared" si="10"/>
        <v>1324500</v>
      </c>
      <c r="I135" s="811"/>
      <c r="J135" s="813"/>
      <c r="K135" s="792"/>
      <c r="L135" s="792"/>
      <c r="M135" s="796" t="s">
        <v>12809</v>
      </c>
      <c r="N135" s="796" t="s">
        <v>12834</v>
      </c>
      <c r="O135" s="798" t="s">
        <v>12832</v>
      </c>
    </row>
    <row r="136" ht="14.25" customHeight="1">
      <c r="A136" s="789">
        <v>45365.0</v>
      </c>
      <c r="B136" s="790" t="s">
        <v>12835</v>
      </c>
      <c r="C136" s="791" t="s">
        <v>3091</v>
      </c>
      <c r="D136" s="791" t="s">
        <v>2983</v>
      </c>
      <c r="E136" s="792" t="str">
        <f>IFERROR(VLOOKUP(D136,Stock,3,FALSE),"")</f>
        <v>Kia Picanto 11-16 2nd Gen</v>
      </c>
      <c r="F136" s="791">
        <v>1.0</v>
      </c>
      <c r="G136" s="809">
        <v>960000.0</v>
      </c>
      <c r="H136" s="811">
        <f t="shared" si="10"/>
        <v>960000</v>
      </c>
      <c r="I136" s="811"/>
      <c r="J136" s="813"/>
      <c r="K136" s="792"/>
      <c r="L136" s="792"/>
      <c r="M136" s="818" t="s">
        <v>12836</v>
      </c>
      <c r="N136" s="797">
        <v>45422.0</v>
      </c>
      <c r="O136" s="798" t="s">
        <v>12837</v>
      </c>
    </row>
    <row r="137" ht="14.25" customHeight="1">
      <c r="A137" s="789">
        <v>45366.0</v>
      </c>
      <c r="B137" s="790">
        <v>2403288.0</v>
      </c>
      <c r="C137" s="791" t="s">
        <v>11484</v>
      </c>
      <c r="D137" s="791" t="s">
        <v>2729</v>
      </c>
      <c r="E137" s="792" t="str">
        <f>IFERROR(VLOOKUP(D137,Stock,3,FALSE),"")</f>
        <v>Honda HR-V 14-21 5D SUV</v>
      </c>
      <c r="F137" s="791">
        <v>1.0</v>
      </c>
      <c r="G137" s="809">
        <v>883300.0</v>
      </c>
      <c r="H137" s="810">
        <f t="shared" si="10"/>
        <v>883300</v>
      </c>
      <c r="I137" s="811">
        <f t="shared" ref="I137:I142" si="11">H137</f>
        <v>883300</v>
      </c>
      <c r="J137" s="813">
        <v>45426.0</v>
      </c>
      <c r="K137" s="792"/>
      <c r="L137" s="792"/>
      <c r="M137" s="818" t="s">
        <v>12836</v>
      </c>
      <c r="N137" s="797">
        <v>45425.0</v>
      </c>
      <c r="O137" s="798" t="s">
        <v>12838</v>
      </c>
    </row>
    <row r="138" ht="14.25" customHeight="1">
      <c r="A138" s="789">
        <v>45366.0</v>
      </c>
      <c r="B138" s="790">
        <v>2403288.0</v>
      </c>
      <c r="C138" s="791" t="s">
        <v>11484</v>
      </c>
      <c r="D138" s="791" t="s">
        <v>2986</v>
      </c>
      <c r="E138" s="792" t="str">
        <f>IFERROR(VLOOKUP(D138,Stock,3,FALSE),"")</f>
        <v>Nissan X-Trail 01-07 T30</v>
      </c>
      <c r="F138" s="791">
        <v>1.0</v>
      </c>
      <c r="G138" s="809">
        <v>809050.0</v>
      </c>
      <c r="H138" s="810">
        <f t="shared" si="10"/>
        <v>809050</v>
      </c>
      <c r="I138" s="811">
        <f t="shared" si="11"/>
        <v>809050</v>
      </c>
      <c r="J138" s="813">
        <v>45426.0</v>
      </c>
      <c r="K138" s="792"/>
      <c r="L138" s="792"/>
      <c r="M138" s="818" t="s">
        <v>12836</v>
      </c>
      <c r="N138" s="797">
        <v>45425.0</v>
      </c>
      <c r="O138" s="798" t="s">
        <v>12838</v>
      </c>
    </row>
    <row r="139" ht="14.25" customHeight="1">
      <c r="A139" s="789">
        <v>45369.0</v>
      </c>
      <c r="B139" s="790">
        <v>2403517.0</v>
      </c>
      <c r="C139" s="791" t="s">
        <v>11484</v>
      </c>
      <c r="D139" s="791" t="s">
        <v>2706</v>
      </c>
      <c r="E139" s="792" t="str">
        <f>IFERROR(VLOOKUP(D139,Stock,3,FALSE),"")</f>
        <v>Isuzu Elf 17- New NMR NLR</v>
      </c>
      <c r="F139" s="791">
        <v>3.0</v>
      </c>
      <c r="G139" s="809">
        <v>502700.0</v>
      </c>
      <c r="H139" s="810">
        <f t="shared" si="10"/>
        <v>1508100</v>
      </c>
      <c r="I139" s="811">
        <f t="shared" si="11"/>
        <v>1508100</v>
      </c>
      <c r="J139" s="813">
        <v>45429.0</v>
      </c>
      <c r="K139" s="792"/>
      <c r="L139" s="792"/>
      <c r="M139" s="818" t="s">
        <v>12836</v>
      </c>
      <c r="N139" s="797">
        <v>45422.0</v>
      </c>
      <c r="O139" s="798" t="s">
        <v>12839</v>
      </c>
    </row>
    <row r="140" ht="14.25" customHeight="1">
      <c r="A140" s="789">
        <v>45369.0</v>
      </c>
      <c r="B140" s="790">
        <v>2403517.0</v>
      </c>
      <c r="C140" s="791" t="s">
        <v>11484</v>
      </c>
      <c r="D140" s="791" t="s">
        <v>3013</v>
      </c>
      <c r="E140" s="792" t="str">
        <f>IFERROR(VLOOKUP(D140,Stock,3,FALSE),"")</f>
        <v>Honda BR-V 16-</v>
      </c>
      <c r="F140" s="791">
        <v>3.0</v>
      </c>
      <c r="G140" s="809">
        <v>546000.0</v>
      </c>
      <c r="H140" s="810">
        <f t="shared" si="10"/>
        <v>1638000</v>
      </c>
      <c r="I140" s="811">
        <f t="shared" si="11"/>
        <v>1638000</v>
      </c>
      <c r="J140" s="813">
        <v>45429.0</v>
      </c>
      <c r="K140" s="792"/>
      <c r="L140" s="792"/>
      <c r="M140" s="818" t="s">
        <v>12836</v>
      </c>
      <c r="N140" s="797">
        <v>45422.0</v>
      </c>
      <c r="O140" s="798" t="s">
        <v>12839</v>
      </c>
    </row>
    <row r="141" ht="14.25" customHeight="1">
      <c r="A141" s="789">
        <v>45370.0</v>
      </c>
      <c r="B141" s="790">
        <v>2403586.0</v>
      </c>
      <c r="C141" s="791" t="s">
        <v>11484</v>
      </c>
      <c r="D141" s="791" t="s">
        <v>3020</v>
      </c>
      <c r="E141" s="792" t="str">
        <f>IFERROR(VLOOKUP(D141,Stock,3,FALSE),"")</f>
        <v>Toyota Vios 07-13 XP90 2nd Gen</v>
      </c>
      <c r="F141" s="791">
        <v>2.0</v>
      </c>
      <c r="G141" s="809">
        <v>689000.0</v>
      </c>
      <c r="H141" s="810">
        <f t="shared" si="10"/>
        <v>1378000</v>
      </c>
      <c r="I141" s="811">
        <f t="shared" si="11"/>
        <v>1378000</v>
      </c>
      <c r="J141" s="813">
        <v>45430.0</v>
      </c>
      <c r="K141" s="792"/>
      <c r="L141" s="792"/>
      <c r="M141" s="818" t="s">
        <v>12836</v>
      </c>
      <c r="N141" s="797">
        <v>45428.0</v>
      </c>
      <c r="O141" s="798" t="s">
        <v>12840</v>
      </c>
    </row>
    <row r="142" ht="14.25" customHeight="1">
      <c r="A142" s="789">
        <v>45370.0</v>
      </c>
      <c r="B142" s="790">
        <v>2403586.0</v>
      </c>
      <c r="C142" s="791" t="s">
        <v>11484</v>
      </c>
      <c r="D142" s="791" t="s">
        <v>2611</v>
      </c>
      <c r="E142" s="792" t="str">
        <f>IFERROR(VLOOKUP(D142,Stock,3,FALSE),"")</f>
        <v>Mazda CX-5 .12-14 1st Gen KE Pre - (1 Sensor/ □ )</v>
      </c>
      <c r="F142" s="791">
        <v>2.0</v>
      </c>
      <c r="G142" s="809">
        <v>1664300.0</v>
      </c>
      <c r="H142" s="810">
        <f t="shared" si="10"/>
        <v>3328600</v>
      </c>
      <c r="I142" s="811">
        <f t="shared" si="11"/>
        <v>3328600</v>
      </c>
      <c r="J142" s="813">
        <v>45430.0</v>
      </c>
      <c r="K142" s="819"/>
      <c r="L142" s="819"/>
      <c r="M142" s="818" t="s">
        <v>12836</v>
      </c>
      <c r="N142" s="797">
        <v>45428.0</v>
      </c>
      <c r="O142" s="818" t="s">
        <v>12840</v>
      </c>
    </row>
    <row r="143" ht="14.25" customHeight="1">
      <c r="A143" s="789">
        <v>45374.0</v>
      </c>
      <c r="B143" s="790" t="s">
        <v>12841</v>
      </c>
      <c r="C143" s="791" t="s">
        <v>3091</v>
      </c>
      <c r="D143" s="791" t="s">
        <v>3122</v>
      </c>
      <c r="E143" s="792" t="str">
        <f>IFERROR(VLOOKUP(D143,Stock,3,FALSE),"")</f>
        <v>Toyota Innova 15- 2nd Gen</v>
      </c>
      <c r="F143" s="791">
        <v>1.0</v>
      </c>
      <c r="G143" s="809">
        <v>975000.0</v>
      </c>
      <c r="H143" s="811">
        <f t="shared" si="10"/>
        <v>975000</v>
      </c>
      <c r="I143" s="811"/>
      <c r="J143" s="812"/>
      <c r="K143" s="819"/>
      <c r="L143" s="819"/>
      <c r="M143" s="818" t="s">
        <v>12836</v>
      </c>
      <c r="N143" s="820">
        <v>45434.0</v>
      </c>
      <c r="O143" s="818" t="s">
        <v>12842</v>
      </c>
    </row>
    <row r="144" ht="14.25" customHeight="1">
      <c r="A144" s="789">
        <v>45374.0</v>
      </c>
      <c r="B144" s="790" t="s">
        <v>12841</v>
      </c>
      <c r="C144" s="791" t="s">
        <v>3091</v>
      </c>
      <c r="D144" s="791" t="s">
        <v>3041</v>
      </c>
      <c r="E144" s="792" t="str">
        <f>IFERROR(VLOOKUP(D144,Stock,3,FALSE),"")</f>
        <v>Honda Jazz 13- 3rd Gen (Honda)</v>
      </c>
      <c r="F144" s="791">
        <v>2.0</v>
      </c>
      <c r="G144" s="809">
        <v>1080000.0</v>
      </c>
      <c r="H144" s="811">
        <f t="shared" si="10"/>
        <v>2160000</v>
      </c>
      <c r="I144" s="811"/>
      <c r="J144" s="812"/>
      <c r="K144" s="819"/>
      <c r="L144" s="819"/>
      <c r="M144" s="818" t="s">
        <v>12836</v>
      </c>
      <c r="N144" s="820">
        <v>45434.0</v>
      </c>
      <c r="O144" s="818" t="s">
        <v>12842</v>
      </c>
    </row>
    <row r="145" ht="14.25" customHeight="1">
      <c r="A145" s="789">
        <v>45374.0</v>
      </c>
      <c r="B145" s="790" t="s">
        <v>12841</v>
      </c>
      <c r="C145" s="791" t="s">
        <v>3091</v>
      </c>
      <c r="D145" s="791" t="s">
        <v>2730</v>
      </c>
      <c r="E145" s="792" t="str">
        <f>IFERROR(VLOOKUP(D145,Stock,3,FALSE),"")</f>
        <v>Honda HR-V 14-21 5D SUV (Honda)</v>
      </c>
      <c r="F145" s="791">
        <v>1.0</v>
      </c>
      <c r="G145" s="809">
        <v>1000000.0</v>
      </c>
      <c r="H145" s="811">
        <f t="shared" si="10"/>
        <v>1000000</v>
      </c>
      <c r="I145" s="811"/>
      <c r="J145" s="812"/>
      <c r="K145" s="819"/>
      <c r="L145" s="819"/>
      <c r="M145" s="818" t="s">
        <v>12836</v>
      </c>
      <c r="N145" s="820">
        <v>45434.0</v>
      </c>
      <c r="O145" s="818" t="s">
        <v>12842</v>
      </c>
    </row>
    <row r="146" ht="14.25" customHeight="1">
      <c r="A146" s="802">
        <v>45377.0</v>
      </c>
      <c r="B146" s="771" t="s">
        <v>12843</v>
      </c>
      <c r="C146" s="63" t="s">
        <v>3076</v>
      </c>
      <c r="D146" s="63" t="s">
        <v>2588</v>
      </c>
      <c r="E146" s="772" t="str">
        <f>IFERROR(VLOOKUP(D146,Stock,3,FALSE),"")</f>
        <v>Ford Fiesta 09-17</v>
      </c>
      <c r="F146" s="63">
        <v>10.0</v>
      </c>
      <c r="G146" s="821">
        <v>570207.0</v>
      </c>
      <c r="H146" s="822">
        <f t="shared" si="10"/>
        <v>5702070</v>
      </c>
      <c r="I146" s="807"/>
      <c r="J146" s="808"/>
      <c r="K146" s="82"/>
      <c r="L146" s="82"/>
      <c r="O146" s="6" t="s">
        <v>12844</v>
      </c>
    </row>
    <row r="147" ht="14.25" customHeight="1">
      <c r="A147" s="802">
        <v>45377.0</v>
      </c>
      <c r="B147" s="771" t="s">
        <v>12843</v>
      </c>
      <c r="C147" s="63" t="s">
        <v>3076</v>
      </c>
      <c r="D147" s="63" t="s">
        <v>4936</v>
      </c>
      <c r="E147" s="772" t="str">
        <f>IFERROR(VLOOKUP(D147,Stock,3,FALSE),"")</f>
        <v>Honda HR-V 14-21 5D SUV</v>
      </c>
      <c r="F147" s="63">
        <v>10.0</v>
      </c>
      <c r="G147" s="821">
        <v>822954.0</v>
      </c>
      <c r="H147" s="822">
        <f t="shared" si="10"/>
        <v>8229540</v>
      </c>
      <c r="I147" s="807"/>
      <c r="J147" s="808"/>
      <c r="K147" s="82"/>
      <c r="L147" s="82"/>
      <c r="O147" s="6" t="s">
        <v>12844</v>
      </c>
    </row>
    <row r="148" ht="14.25" customHeight="1">
      <c r="A148" s="802">
        <v>45377.0</v>
      </c>
      <c r="B148" s="771" t="s">
        <v>12843</v>
      </c>
      <c r="C148" s="63" t="s">
        <v>3076</v>
      </c>
      <c r="D148" s="63" t="s">
        <v>3159</v>
      </c>
      <c r="E148" s="772" t="str">
        <f>IFERROR(VLOOKUP(D148,Stock,3,FALSE),"")</f>
        <v>Honda Jazz 13- 3rd Gen</v>
      </c>
      <c r="F148" s="63">
        <v>10.0</v>
      </c>
      <c r="G148" s="821">
        <v>670329.0</v>
      </c>
      <c r="H148" s="822">
        <f t="shared" si="10"/>
        <v>6703290</v>
      </c>
      <c r="I148" s="807"/>
      <c r="J148" s="808"/>
      <c r="K148" s="82"/>
      <c r="L148" s="82"/>
      <c r="O148" s="6" t="s">
        <v>12844</v>
      </c>
    </row>
    <row r="149" ht="14.25" customHeight="1">
      <c r="A149" s="802">
        <v>45377.0</v>
      </c>
      <c r="B149" s="771" t="s">
        <v>12843</v>
      </c>
      <c r="C149" s="63" t="s">
        <v>3076</v>
      </c>
      <c r="D149" s="63" t="s">
        <v>3083</v>
      </c>
      <c r="E149" s="772" t="str">
        <f>IFERROR(VLOOKUP(D149,Stock,3,FALSE),"")</f>
        <v>List Kaca Depan Code 04</v>
      </c>
      <c r="F149" s="63">
        <v>30.0</v>
      </c>
      <c r="G149" s="821">
        <v>50000.0</v>
      </c>
      <c r="H149" s="822">
        <f t="shared" si="10"/>
        <v>1500000</v>
      </c>
      <c r="I149" s="807"/>
      <c r="J149" s="808"/>
      <c r="K149" s="82"/>
      <c r="L149" s="82"/>
      <c r="O149" s="6" t="s">
        <v>12844</v>
      </c>
    </row>
    <row r="150" ht="14.25" customHeight="1">
      <c r="A150" s="802">
        <v>45377.0</v>
      </c>
      <c r="B150" s="771" t="s">
        <v>12843</v>
      </c>
      <c r="C150" s="63" t="s">
        <v>3076</v>
      </c>
      <c r="D150" s="63" t="s">
        <v>3826</v>
      </c>
      <c r="E150" s="772" t="str">
        <f>IFERROR(VLOOKUP(D150,Stock,3,FALSE),"")</f>
        <v>List Kaca Depan Code 11</v>
      </c>
      <c r="F150" s="63">
        <v>10.0</v>
      </c>
      <c r="G150" s="821">
        <v>50000.0</v>
      </c>
      <c r="H150" s="822">
        <f t="shared" si="10"/>
        <v>500000</v>
      </c>
      <c r="I150" s="807"/>
      <c r="J150" s="808"/>
      <c r="K150" s="82"/>
      <c r="L150" s="82"/>
      <c r="O150" s="6" t="s">
        <v>12844</v>
      </c>
    </row>
    <row r="151" ht="14.25" customHeight="1">
      <c r="A151" s="802">
        <v>45377.0</v>
      </c>
      <c r="B151" s="771" t="s">
        <v>12843</v>
      </c>
      <c r="C151" s="63" t="s">
        <v>3076</v>
      </c>
      <c r="D151" s="63" t="s">
        <v>3355</v>
      </c>
      <c r="E151" s="772" t="str">
        <f>IFERROR(VLOOKUP(D151,Stock,3,FALSE),"")</f>
        <v>List Kaca Depan INV</v>
      </c>
      <c r="F151" s="63">
        <v>10.0</v>
      </c>
      <c r="G151" s="821">
        <v>85000.0</v>
      </c>
      <c r="H151" s="822">
        <f t="shared" si="10"/>
        <v>850000</v>
      </c>
      <c r="I151" s="807"/>
      <c r="J151" s="808"/>
      <c r="K151" s="82"/>
      <c r="L151" s="82"/>
      <c r="O151" s="6" t="s">
        <v>12844</v>
      </c>
    </row>
    <row r="152" ht="14.25" customHeight="1">
      <c r="A152" s="789">
        <v>45377.0</v>
      </c>
      <c r="B152" s="790" t="s">
        <v>12845</v>
      </c>
      <c r="C152" s="791" t="s">
        <v>3076</v>
      </c>
      <c r="D152" s="791" t="s">
        <v>3061</v>
      </c>
      <c r="E152" s="792" t="str">
        <f>IFERROR(VLOOKUP(D152,Stock,3,FALSE),"")</f>
        <v>Audi Q5 08-17</v>
      </c>
      <c r="F152" s="791">
        <v>1.0</v>
      </c>
      <c r="G152" s="809">
        <v>4157250.0</v>
      </c>
      <c r="H152" s="811">
        <f t="shared" si="10"/>
        <v>4157250</v>
      </c>
      <c r="I152" s="811"/>
      <c r="J152" s="812"/>
      <c r="K152" s="819"/>
      <c r="L152" s="819"/>
      <c r="M152" s="796" t="s">
        <v>12809</v>
      </c>
      <c r="N152" s="818" t="s">
        <v>12846</v>
      </c>
      <c r="O152" s="818" t="s">
        <v>12847</v>
      </c>
    </row>
    <row r="153" ht="14.25" customHeight="1">
      <c r="A153" s="789" t="s">
        <v>12848</v>
      </c>
      <c r="B153" s="790">
        <v>2403896.0</v>
      </c>
      <c r="C153" s="791" t="s">
        <v>11484</v>
      </c>
      <c r="D153" s="791" t="s">
        <v>3056</v>
      </c>
      <c r="E153" s="792" t="str">
        <f>IFERROR(VLOOKUP(D153,Stock,3,FALSE),"")</f>
        <v>Honda BR-V 16-</v>
      </c>
      <c r="F153" s="791">
        <v>1.0</v>
      </c>
      <c r="G153" s="809">
        <v>650650.0</v>
      </c>
      <c r="H153" s="810">
        <f t="shared" si="10"/>
        <v>650650</v>
      </c>
      <c r="I153" s="811"/>
      <c r="J153" s="812"/>
      <c r="K153" s="819"/>
      <c r="L153" s="819"/>
      <c r="M153" s="796" t="s">
        <v>12809</v>
      </c>
      <c r="N153" s="820">
        <v>45437.0</v>
      </c>
      <c r="O153" s="818" t="s">
        <v>12849</v>
      </c>
    </row>
    <row r="154" ht="14.25" customHeight="1">
      <c r="A154" s="789" t="s">
        <v>12848</v>
      </c>
      <c r="B154" s="790">
        <v>2403896.0</v>
      </c>
      <c r="C154" s="791" t="s">
        <v>11484</v>
      </c>
      <c r="D154" s="791" t="s">
        <v>3072</v>
      </c>
      <c r="E154" s="792" t="str">
        <f>IFERROR(VLOOKUP(D154,Stock,3,FALSE),"")</f>
        <v>Toyota NAV1/Noah 07-17</v>
      </c>
      <c r="F154" s="791">
        <v>1.0</v>
      </c>
      <c r="G154" s="809">
        <v>1502050.0</v>
      </c>
      <c r="H154" s="810">
        <f t="shared" si="10"/>
        <v>1502050</v>
      </c>
      <c r="I154" s="811"/>
      <c r="J154" s="812"/>
      <c r="K154" s="819"/>
      <c r="L154" s="819"/>
      <c r="M154" s="796" t="s">
        <v>12809</v>
      </c>
      <c r="N154" s="820">
        <v>45437.0</v>
      </c>
      <c r="O154" s="818" t="s">
        <v>12849</v>
      </c>
    </row>
    <row r="155" ht="14.25" customHeight="1">
      <c r="A155" s="789">
        <v>45381.0</v>
      </c>
      <c r="B155" s="790" t="s">
        <v>12850</v>
      </c>
      <c r="C155" s="791" t="s">
        <v>12851</v>
      </c>
      <c r="D155" s="791" t="s">
        <v>2703</v>
      </c>
      <c r="E155" s="792" t="str">
        <f>IFERROR(VLOOKUP(D155,Stock,3,FALSE),"")</f>
        <v>Toyota Hi-Ace 04-20 Commuter</v>
      </c>
      <c r="F155" s="791">
        <v>59.0</v>
      </c>
      <c r="G155" s="809">
        <v>500000.0</v>
      </c>
      <c r="H155" s="810">
        <f t="shared" si="10"/>
        <v>29500000</v>
      </c>
      <c r="I155" s="811"/>
      <c r="J155" s="812"/>
      <c r="K155" s="819"/>
      <c r="L155" s="819"/>
      <c r="M155" s="796" t="s">
        <v>12809</v>
      </c>
      <c r="N155" s="820">
        <v>45439.0</v>
      </c>
      <c r="O155" s="818" t="s">
        <v>12852</v>
      </c>
    </row>
    <row r="156" ht="14.25" customHeight="1">
      <c r="A156" s="789">
        <v>45384.0</v>
      </c>
      <c r="B156" s="790">
        <v>2404010.0</v>
      </c>
      <c r="C156" s="791" t="s">
        <v>11484</v>
      </c>
      <c r="D156" s="791" t="s">
        <v>3085</v>
      </c>
      <c r="E156" s="792" t="str">
        <f>IFERROR(VLOOKUP(D156,Stock,3,FALSE),"")</f>
        <v>Honda Jazz 07-13 2nd Gen</v>
      </c>
      <c r="F156" s="791">
        <v>3.0</v>
      </c>
      <c r="G156" s="809">
        <v>525000.0</v>
      </c>
      <c r="H156" s="810">
        <f t="shared" si="10"/>
        <v>1575000</v>
      </c>
      <c r="I156" s="811"/>
      <c r="J156" s="812"/>
      <c r="K156" s="819"/>
      <c r="L156" s="819"/>
      <c r="M156" s="818" t="s">
        <v>12809</v>
      </c>
      <c r="N156" s="820">
        <v>45441.0</v>
      </c>
      <c r="O156" s="818" t="s">
        <v>12853</v>
      </c>
    </row>
    <row r="157" ht="14.25" customHeight="1">
      <c r="A157" s="789">
        <v>45384.0</v>
      </c>
      <c r="B157" s="790">
        <v>2404010.0</v>
      </c>
      <c r="C157" s="791" t="s">
        <v>11484</v>
      </c>
      <c r="D157" s="791" t="s">
        <v>6549</v>
      </c>
      <c r="E157" s="792" t="str">
        <f>IFERROR(VLOOKUP(D157,Stock,3,FALSE),"")</f>
        <v>Honda Mobilio 14-</v>
      </c>
      <c r="F157" s="791">
        <v>2.0</v>
      </c>
      <c r="G157" s="809">
        <v>478000.0</v>
      </c>
      <c r="H157" s="810">
        <f t="shared" si="10"/>
        <v>956000</v>
      </c>
      <c r="I157" s="811"/>
      <c r="J157" s="812"/>
      <c r="K157" s="819"/>
      <c r="L157" s="819"/>
      <c r="M157" s="818" t="s">
        <v>12809</v>
      </c>
      <c r="N157" s="820">
        <v>45441.0</v>
      </c>
      <c r="O157" s="818" t="s">
        <v>12853</v>
      </c>
    </row>
    <row r="158" ht="14.25" customHeight="1">
      <c r="A158" s="789">
        <v>45386.0</v>
      </c>
      <c r="B158" s="790">
        <v>2404171.0</v>
      </c>
      <c r="C158" s="791" t="s">
        <v>11484</v>
      </c>
      <c r="D158" s="791" t="s">
        <v>2707</v>
      </c>
      <c r="E158" s="792" t="str">
        <f>IFERROR(VLOOKUP(D158,Stock,3,FALSE),"")</f>
        <v>Isuzu Elf 93- NKR NHR</v>
      </c>
      <c r="F158" s="791">
        <v>1.0</v>
      </c>
      <c r="G158" s="809">
        <v>502700.0</v>
      </c>
      <c r="H158" s="810">
        <f t="shared" si="10"/>
        <v>502700</v>
      </c>
      <c r="I158" s="811"/>
      <c r="J158" s="812"/>
      <c r="K158" s="819"/>
      <c r="L158" s="819"/>
      <c r="M158" s="818" t="s">
        <v>12809</v>
      </c>
      <c r="N158" s="820">
        <v>45441.0</v>
      </c>
      <c r="O158" s="823"/>
    </row>
    <row r="159" ht="14.25" customHeight="1">
      <c r="A159" s="789">
        <v>45387.0</v>
      </c>
      <c r="B159" s="790">
        <v>2404180.0</v>
      </c>
      <c r="C159" s="791" t="s">
        <v>11484</v>
      </c>
      <c r="D159" s="791" t="s">
        <v>2707</v>
      </c>
      <c r="E159" s="792" t="str">
        <f>IFERROR(VLOOKUP(D159,Stock,3,FALSE),"")</f>
        <v>Isuzu Elf 93- NKR NHR</v>
      </c>
      <c r="F159" s="791">
        <v>2.0</v>
      </c>
      <c r="G159" s="809">
        <v>502700.0</v>
      </c>
      <c r="H159" s="810">
        <f t="shared" si="10"/>
        <v>1005400</v>
      </c>
      <c r="I159" s="811"/>
      <c r="J159" s="812"/>
      <c r="K159" s="819"/>
      <c r="L159" s="819"/>
      <c r="M159" s="818" t="s">
        <v>12809</v>
      </c>
      <c r="N159" s="820">
        <v>45441.0</v>
      </c>
      <c r="O159" s="823"/>
    </row>
    <row r="160" ht="14.25" customHeight="1">
      <c r="A160" s="789">
        <v>45388.0</v>
      </c>
      <c r="B160" s="790" t="s">
        <v>12854</v>
      </c>
      <c r="C160" s="791" t="s">
        <v>12855</v>
      </c>
      <c r="D160" s="791" t="s">
        <v>4540</v>
      </c>
      <c r="E160" s="792" t="str">
        <f>IFERROR(VLOOKUP(D160,Stock,3,FALSE),"")</f>
        <v>Nissan Datsun Go/Go+ 14- (3-Baris)</v>
      </c>
      <c r="F160" s="791">
        <v>1.0</v>
      </c>
      <c r="G160" s="809">
        <v>388000.0</v>
      </c>
      <c r="H160" s="811">
        <f t="shared" si="10"/>
        <v>388000</v>
      </c>
      <c r="I160" s="811"/>
      <c r="J160" s="812"/>
      <c r="K160" s="819"/>
      <c r="L160" s="819"/>
      <c r="M160" s="796" t="s">
        <v>12809</v>
      </c>
      <c r="N160" s="820">
        <v>45562.0</v>
      </c>
      <c r="O160" s="823"/>
    </row>
    <row r="161" ht="14.25" customHeight="1">
      <c r="A161" s="789">
        <v>45398.0</v>
      </c>
      <c r="B161" s="790">
        <v>2404227.0</v>
      </c>
      <c r="C161" s="791" t="s">
        <v>11484</v>
      </c>
      <c r="D161" s="791" t="s">
        <v>3149</v>
      </c>
      <c r="E161" s="792" t="str">
        <f>IFERROR(VLOOKUP(D161,Stock,3,FALSE),"")</f>
        <v>Honda CR-V 12-16 4th Gen [Rata]</v>
      </c>
      <c r="F161" s="791">
        <v>2.0</v>
      </c>
      <c r="G161" s="809">
        <v>595000.0</v>
      </c>
      <c r="H161" s="810">
        <f t="shared" si="10"/>
        <v>1190000</v>
      </c>
      <c r="I161" s="811"/>
      <c r="J161" s="812"/>
      <c r="K161" s="819"/>
      <c r="L161" s="819"/>
      <c r="M161" s="796" t="s">
        <v>12809</v>
      </c>
      <c r="N161" s="820">
        <v>45456.0</v>
      </c>
      <c r="O161" s="823"/>
    </row>
    <row r="162" ht="14.25" customHeight="1">
      <c r="A162" s="789">
        <v>45398.0</v>
      </c>
      <c r="B162" s="790">
        <v>2404227.0</v>
      </c>
      <c r="C162" s="791" t="s">
        <v>11484</v>
      </c>
      <c r="D162" s="791" t="s">
        <v>2641</v>
      </c>
      <c r="E162" s="792" t="str">
        <f>IFERROR(VLOOKUP(D162,Stock,3,FALSE),"")</f>
        <v>Kia Timor 95-98 / Sephia 94-05</v>
      </c>
      <c r="F162" s="791">
        <v>1.0</v>
      </c>
      <c r="G162" s="809">
        <v>632500.0</v>
      </c>
      <c r="H162" s="810">
        <f t="shared" si="10"/>
        <v>632500</v>
      </c>
      <c r="I162" s="811"/>
      <c r="J162" s="812"/>
      <c r="K162" s="819"/>
      <c r="L162" s="819"/>
      <c r="M162" s="796" t="s">
        <v>12809</v>
      </c>
      <c r="N162" s="820">
        <v>45456.0</v>
      </c>
      <c r="O162" s="823"/>
    </row>
    <row r="163" ht="14.25" customHeight="1">
      <c r="A163" s="789">
        <v>45400.0</v>
      </c>
      <c r="B163" s="790" t="s">
        <v>12856</v>
      </c>
      <c r="C163" s="791" t="s">
        <v>3091</v>
      </c>
      <c r="D163" s="791" t="s">
        <v>4313</v>
      </c>
      <c r="E163" s="792" t="str">
        <f>IFERROR(VLOOKUP(D163,Stock,3,FALSE),"")</f>
        <v>Toyota Alphard 02-08 ANH10 1st Gen</v>
      </c>
      <c r="F163" s="791">
        <v>2.0</v>
      </c>
      <c r="G163" s="809">
        <v>1260000.0</v>
      </c>
      <c r="H163" s="811">
        <f t="shared" si="10"/>
        <v>2520000</v>
      </c>
      <c r="I163" s="811"/>
      <c r="J163" s="812"/>
      <c r="K163" s="819"/>
      <c r="L163" s="819"/>
      <c r="M163" s="796" t="s">
        <v>12809</v>
      </c>
      <c r="N163" s="820">
        <v>45456.0</v>
      </c>
      <c r="O163" s="823"/>
    </row>
    <row r="164" ht="14.25" customHeight="1">
      <c r="A164" s="789">
        <v>45400.0</v>
      </c>
      <c r="B164" s="790" t="s">
        <v>12856</v>
      </c>
      <c r="C164" s="791" t="s">
        <v>3091</v>
      </c>
      <c r="D164" s="791" t="s">
        <v>2557</v>
      </c>
      <c r="E164" s="792" t="str">
        <f>IFERROR(VLOOKUP(D164,Stock,3,FALSE),"")</f>
        <v>Toyota Fortuner 05-15 1st Gen (Toyota)</v>
      </c>
      <c r="F164" s="791">
        <v>1.0</v>
      </c>
      <c r="G164" s="809">
        <v>1005000.0</v>
      </c>
      <c r="H164" s="811">
        <f t="shared" si="10"/>
        <v>1005000</v>
      </c>
      <c r="I164" s="811"/>
      <c r="J164" s="812"/>
      <c r="K164" s="819"/>
      <c r="L164" s="819"/>
      <c r="M164" s="796" t="s">
        <v>12809</v>
      </c>
      <c r="N164" s="820">
        <v>45456.0</v>
      </c>
      <c r="O164" s="823"/>
    </row>
    <row r="165" ht="14.25" customHeight="1">
      <c r="A165" s="789">
        <v>45400.0</v>
      </c>
      <c r="B165" s="790" t="s">
        <v>12856</v>
      </c>
      <c r="C165" s="791" t="s">
        <v>3091</v>
      </c>
      <c r="D165" s="791" t="s">
        <v>2919</v>
      </c>
      <c r="E165" s="792" t="str">
        <f>IFERROR(VLOOKUP(D165,Stock,3,FALSE),"")</f>
        <v>Toyota Innova 04-15 1st Gen</v>
      </c>
      <c r="F165" s="791">
        <v>1.0</v>
      </c>
      <c r="G165" s="809">
        <v>932000.0</v>
      </c>
      <c r="H165" s="811">
        <f t="shared" si="10"/>
        <v>932000</v>
      </c>
      <c r="I165" s="809"/>
      <c r="J165" s="812"/>
      <c r="K165" s="819"/>
      <c r="L165" s="819"/>
      <c r="M165" s="796" t="s">
        <v>12809</v>
      </c>
      <c r="N165" s="820">
        <v>45456.0</v>
      </c>
      <c r="O165" s="823"/>
    </row>
    <row r="166" ht="14.25" customHeight="1">
      <c r="A166" s="789">
        <v>45400.0</v>
      </c>
      <c r="B166" s="790" t="s">
        <v>12856</v>
      </c>
      <c r="C166" s="791" t="s">
        <v>3091</v>
      </c>
      <c r="D166" s="791" t="s">
        <v>3122</v>
      </c>
      <c r="E166" s="792" t="str">
        <f>IFERROR(VLOOKUP(D166,Stock,3,FALSE),"")</f>
        <v>Toyota Innova 15- 2nd Gen</v>
      </c>
      <c r="F166" s="791">
        <v>3.0</v>
      </c>
      <c r="G166" s="809">
        <v>975000.0</v>
      </c>
      <c r="H166" s="811">
        <f t="shared" si="10"/>
        <v>2925000</v>
      </c>
      <c r="I166" s="811"/>
      <c r="J166" s="812"/>
      <c r="K166" s="819"/>
      <c r="L166" s="819"/>
      <c r="M166" s="796" t="s">
        <v>12809</v>
      </c>
      <c r="N166" s="820">
        <v>45456.0</v>
      </c>
      <c r="O166" s="823"/>
    </row>
    <row r="167" ht="14.25" customHeight="1">
      <c r="A167" s="789">
        <v>45400.0</v>
      </c>
      <c r="B167" s="790" t="s">
        <v>12856</v>
      </c>
      <c r="C167" s="791" t="s">
        <v>3091</v>
      </c>
      <c r="D167" s="791" t="s">
        <v>3549</v>
      </c>
      <c r="E167" s="792" t="str">
        <f>IFERROR(VLOOKUP(D167,Stock,3,FALSE),"")</f>
        <v>Toyota Fortuner 05-15 1st Gen</v>
      </c>
      <c r="F167" s="791">
        <v>1.0</v>
      </c>
      <c r="G167" s="809">
        <v>1100000.0</v>
      </c>
      <c r="H167" s="811">
        <f t="shared" si="10"/>
        <v>1100000</v>
      </c>
      <c r="I167" s="811"/>
      <c r="J167" s="812"/>
      <c r="K167" s="819"/>
      <c r="L167" s="819"/>
      <c r="M167" s="796" t="s">
        <v>12809</v>
      </c>
      <c r="N167" s="820">
        <v>45456.0</v>
      </c>
      <c r="O167" s="823"/>
    </row>
    <row r="168" ht="14.25" customHeight="1">
      <c r="A168" s="789">
        <v>45400.0</v>
      </c>
      <c r="B168" s="790" t="s">
        <v>12856</v>
      </c>
      <c r="C168" s="791" t="s">
        <v>3091</v>
      </c>
      <c r="D168" s="791" t="s">
        <v>12857</v>
      </c>
      <c r="E168" s="792" t="str">
        <f>IFERROR(VLOOKUP(D168,Stock,3,FALSE),"")</f>
        <v>Honda HR-V 14-21 5D SUV</v>
      </c>
      <c r="F168" s="791">
        <v>1.0</v>
      </c>
      <c r="G168" s="809">
        <v>225000.0</v>
      </c>
      <c r="H168" s="811">
        <f t="shared" si="10"/>
        <v>225000</v>
      </c>
      <c r="I168" s="811"/>
      <c r="J168" s="812"/>
      <c r="K168" s="819"/>
      <c r="L168" s="819"/>
      <c r="M168" s="796" t="s">
        <v>12809</v>
      </c>
      <c r="N168" s="820">
        <v>45456.0</v>
      </c>
      <c r="O168" s="823"/>
    </row>
    <row r="169" ht="14.25" customHeight="1">
      <c r="A169" s="789">
        <v>45400.0</v>
      </c>
      <c r="B169" s="790" t="s">
        <v>12856</v>
      </c>
      <c r="C169" s="791" t="s">
        <v>3091</v>
      </c>
      <c r="D169" s="791" t="s">
        <v>5187</v>
      </c>
      <c r="E169" s="792" t="str">
        <f>IFERROR(VLOOKUP(D169,Stock,3,FALSE),"")</f>
        <v>Honda HR-V 14-21 5D SUV</v>
      </c>
      <c r="F169" s="791">
        <v>1.0</v>
      </c>
      <c r="G169" s="809">
        <v>225000.0</v>
      </c>
      <c r="H169" s="811">
        <f t="shared" si="10"/>
        <v>225000</v>
      </c>
      <c r="I169" s="811"/>
      <c r="J169" s="812"/>
      <c r="K169" s="819"/>
      <c r="L169" s="819"/>
      <c r="M169" s="796" t="s">
        <v>12809</v>
      </c>
      <c r="N169" s="820">
        <v>45456.0</v>
      </c>
      <c r="O169" s="823"/>
    </row>
    <row r="170" ht="14.25" customHeight="1">
      <c r="A170" s="789">
        <v>45400.0</v>
      </c>
      <c r="B170" s="790" t="s">
        <v>12856</v>
      </c>
      <c r="C170" s="791" t="s">
        <v>3091</v>
      </c>
      <c r="D170" s="791" t="s">
        <v>12858</v>
      </c>
      <c r="E170" s="792" t="str">
        <f>IFERROR(VLOOKUP(D170,Stock,3,FALSE),"")</f>
        <v>Honda HR-V 14-21 5D SUV</v>
      </c>
      <c r="F170" s="791">
        <v>1.0</v>
      </c>
      <c r="G170" s="809">
        <v>220000.0</v>
      </c>
      <c r="H170" s="811">
        <f t="shared" si="10"/>
        <v>220000</v>
      </c>
      <c r="I170" s="811"/>
      <c r="J170" s="812"/>
      <c r="K170" s="819"/>
      <c r="L170" s="819"/>
      <c r="M170" s="796" t="s">
        <v>12809</v>
      </c>
      <c r="N170" s="820">
        <v>45456.0</v>
      </c>
      <c r="O170" s="823"/>
    </row>
    <row r="171" ht="14.25" customHeight="1">
      <c r="A171" s="789">
        <v>45400.0</v>
      </c>
      <c r="B171" s="790" t="s">
        <v>12856</v>
      </c>
      <c r="C171" s="791" t="s">
        <v>3091</v>
      </c>
      <c r="D171" s="791" t="s">
        <v>4353</v>
      </c>
      <c r="E171" s="792" t="str">
        <f>IFERROR(VLOOKUP(D171,Stock,3,FALSE),"")</f>
        <v>Toyota Innova 04-15 1st Gen</v>
      </c>
      <c r="F171" s="791">
        <v>2.0</v>
      </c>
      <c r="G171" s="809">
        <v>235000.0</v>
      </c>
      <c r="H171" s="811">
        <f t="shared" si="10"/>
        <v>470000</v>
      </c>
      <c r="I171" s="811"/>
      <c r="J171" s="812"/>
      <c r="K171" s="819"/>
      <c r="L171" s="819"/>
      <c r="M171" s="796" t="s">
        <v>12809</v>
      </c>
      <c r="N171" s="820">
        <v>45456.0</v>
      </c>
      <c r="O171" s="823"/>
    </row>
    <row r="172" ht="14.25" customHeight="1">
      <c r="A172" s="789">
        <v>45400.0</v>
      </c>
      <c r="B172" s="790" t="s">
        <v>12856</v>
      </c>
      <c r="C172" s="791" t="s">
        <v>3091</v>
      </c>
      <c r="D172" s="791" t="s">
        <v>6896</v>
      </c>
      <c r="E172" s="792" t="str">
        <f>IFERROR(VLOOKUP(D172,Stock,3,FALSE),"")</f>
        <v>Toyota Innova 04-15 1st Gen</v>
      </c>
      <c r="F172" s="791">
        <v>2.0</v>
      </c>
      <c r="G172" s="809">
        <v>235000.0</v>
      </c>
      <c r="H172" s="811">
        <f t="shared" si="10"/>
        <v>470000</v>
      </c>
      <c r="I172" s="811"/>
      <c r="J172" s="812"/>
      <c r="K172" s="819"/>
      <c r="L172" s="819"/>
      <c r="M172" s="796" t="s">
        <v>12809</v>
      </c>
      <c r="N172" s="820">
        <v>45456.0</v>
      </c>
      <c r="O172" s="823"/>
    </row>
    <row r="173" ht="14.25" customHeight="1">
      <c r="A173" s="789">
        <v>45400.0</v>
      </c>
      <c r="B173" s="790">
        <v>2404361.0</v>
      </c>
      <c r="C173" s="791" t="s">
        <v>11484</v>
      </c>
      <c r="D173" s="791" t="s">
        <v>3181</v>
      </c>
      <c r="E173" s="792" t="str">
        <f>IFERROR(VLOOKUP(D173,Stock,3,FALSE),"")</f>
        <v>Toyota Corolla Cross 21-</v>
      </c>
      <c r="F173" s="791">
        <v>1.0</v>
      </c>
      <c r="G173" s="809">
        <v>1677500.0</v>
      </c>
      <c r="H173" s="810">
        <f t="shared" si="10"/>
        <v>1677500</v>
      </c>
      <c r="I173" s="811"/>
      <c r="J173" s="812"/>
      <c r="K173" s="819"/>
      <c r="L173" s="819"/>
      <c r="M173" s="796" t="s">
        <v>12809</v>
      </c>
      <c r="N173" s="820">
        <v>45457.0</v>
      </c>
      <c r="O173" s="823"/>
    </row>
    <row r="174" ht="14.25" customHeight="1">
      <c r="A174" s="789">
        <v>45404.0</v>
      </c>
      <c r="B174" s="790">
        <v>2404421.0</v>
      </c>
      <c r="C174" s="791" t="s">
        <v>11484</v>
      </c>
      <c r="D174" s="791" t="s">
        <v>3201</v>
      </c>
      <c r="E174" s="792" t="str">
        <f>IFERROR(VLOOKUP(D174,Stock,3,FALSE),"")</f>
        <v>Honda Freed 08-16 1st gen</v>
      </c>
      <c r="F174" s="791">
        <v>2.0</v>
      </c>
      <c r="G174" s="809">
        <v>779900.0</v>
      </c>
      <c r="H174" s="810">
        <f t="shared" si="10"/>
        <v>1559800</v>
      </c>
      <c r="I174" s="811"/>
      <c r="J174" s="812"/>
      <c r="K174" s="819"/>
      <c r="L174" s="819"/>
      <c r="M174" s="796" t="s">
        <v>12809</v>
      </c>
      <c r="N174" s="820">
        <v>45463.0</v>
      </c>
      <c r="O174" s="823"/>
    </row>
    <row r="175" ht="14.25" customHeight="1">
      <c r="A175" s="789">
        <v>45404.0</v>
      </c>
      <c r="B175" s="790">
        <v>2404421.0</v>
      </c>
      <c r="C175" s="791" t="s">
        <v>11484</v>
      </c>
      <c r="D175" s="791" t="s">
        <v>3243</v>
      </c>
      <c r="E175" s="792" t="str">
        <f>IFERROR(VLOOKUP(D175,Stock,3,FALSE),"")</f>
        <v>Daihatsu Taruna</v>
      </c>
      <c r="F175" s="791">
        <v>2.0</v>
      </c>
      <c r="G175" s="809">
        <v>246950.0</v>
      </c>
      <c r="H175" s="810">
        <f t="shared" si="10"/>
        <v>493900</v>
      </c>
      <c r="I175" s="811">
        <f t="shared" ref="I175:I179" si="12">H175</f>
        <v>493900</v>
      </c>
      <c r="J175" s="812"/>
      <c r="K175" s="819"/>
      <c r="L175" s="819"/>
      <c r="M175" s="796" t="s">
        <v>12809</v>
      </c>
      <c r="N175" s="820">
        <v>45463.0</v>
      </c>
      <c r="O175" s="823"/>
    </row>
    <row r="176" ht="14.25" customHeight="1">
      <c r="A176" s="789">
        <v>45405.0</v>
      </c>
      <c r="B176" s="790">
        <v>2404478.0</v>
      </c>
      <c r="C176" s="791" t="s">
        <v>11484</v>
      </c>
      <c r="D176" s="824" t="s">
        <v>3229</v>
      </c>
      <c r="E176" s="792" t="str">
        <f>IFERROR(VLOOKUP(D176,Stock,3,FALSE),"")</f>
        <v>Nissan Evalia 10- X11M</v>
      </c>
      <c r="F176" s="791">
        <v>3.0</v>
      </c>
      <c r="G176" s="809">
        <v>397100.0</v>
      </c>
      <c r="H176" s="810">
        <f t="shared" si="10"/>
        <v>1191300</v>
      </c>
      <c r="I176" s="811">
        <f t="shared" si="12"/>
        <v>1191300</v>
      </c>
      <c r="J176" s="812"/>
      <c r="K176" s="819"/>
      <c r="L176" s="819"/>
      <c r="M176" s="796" t="s">
        <v>12809</v>
      </c>
      <c r="N176" s="820">
        <v>45463.0</v>
      </c>
      <c r="O176" s="823"/>
    </row>
    <row r="177" ht="14.25" customHeight="1">
      <c r="A177" s="789">
        <v>45405.0</v>
      </c>
      <c r="B177" s="790">
        <v>2404478.0</v>
      </c>
      <c r="C177" s="791" t="s">
        <v>11484</v>
      </c>
      <c r="D177" s="791" t="s">
        <v>5635</v>
      </c>
      <c r="E177" s="792" t="str">
        <f>IFERROR(VLOOKUP(D177,Stock,3,FALSE),"")</f>
        <v>Honda HR-V 14-21 5D SUV</v>
      </c>
      <c r="F177" s="791">
        <v>1.0</v>
      </c>
      <c r="G177" s="809">
        <v>510000.0</v>
      </c>
      <c r="H177" s="810">
        <f t="shared" si="10"/>
        <v>510000</v>
      </c>
      <c r="I177" s="811">
        <f t="shared" si="12"/>
        <v>510000</v>
      </c>
      <c r="J177" s="812"/>
      <c r="K177" s="819"/>
      <c r="L177" s="819"/>
      <c r="M177" s="796" t="s">
        <v>12809</v>
      </c>
      <c r="N177" s="820">
        <v>45463.0</v>
      </c>
      <c r="O177" s="823"/>
    </row>
    <row r="178" ht="14.25" customHeight="1">
      <c r="A178" s="789">
        <v>45408.0</v>
      </c>
      <c r="B178" s="790">
        <v>2404599.0</v>
      </c>
      <c r="C178" s="791" t="s">
        <v>11484</v>
      </c>
      <c r="D178" s="791" t="s">
        <v>10255</v>
      </c>
      <c r="E178" s="792" t="str">
        <f>IFERROR(VLOOKUP(D178,Stock,3,FALSE),"")</f>
        <v>Hyundai Accent Verna / Avega 01-12 Sedan</v>
      </c>
      <c r="F178" s="791">
        <v>1.0</v>
      </c>
      <c r="G178" s="809">
        <v>667150.0</v>
      </c>
      <c r="H178" s="810">
        <f t="shared" si="10"/>
        <v>667150</v>
      </c>
      <c r="I178" s="811">
        <f t="shared" si="12"/>
        <v>667150</v>
      </c>
      <c r="J178" s="812"/>
      <c r="K178" s="819"/>
      <c r="L178" s="819"/>
      <c r="M178" s="796" t="s">
        <v>12809</v>
      </c>
      <c r="N178" s="820">
        <v>45470.0</v>
      </c>
      <c r="O178" s="823"/>
    </row>
    <row r="179" ht="14.25" customHeight="1">
      <c r="A179" s="789">
        <v>45411.0</v>
      </c>
      <c r="B179" s="790">
        <v>2404640.0</v>
      </c>
      <c r="C179" s="791" t="s">
        <v>11484</v>
      </c>
      <c r="D179" s="791" t="s">
        <v>3085</v>
      </c>
      <c r="E179" s="792" t="str">
        <f>IFERROR(VLOOKUP(D179,Stock,3,FALSE),"")</f>
        <v>Honda Jazz 07-13 2nd Gen</v>
      </c>
      <c r="F179" s="791">
        <v>2.0</v>
      </c>
      <c r="G179" s="809">
        <v>525000.0</v>
      </c>
      <c r="H179" s="810">
        <f t="shared" si="10"/>
        <v>1050000</v>
      </c>
      <c r="I179" s="811">
        <f t="shared" si="12"/>
        <v>1050000</v>
      </c>
      <c r="J179" s="812"/>
      <c r="K179" s="819"/>
      <c r="L179" s="819"/>
      <c r="M179" s="796" t="s">
        <v>12809</v>
      </c>
      <c r="N179" s="820">
        <v>45477.0</v>
      </c>
      <c r="O179" s="823"/>
    </row>
    <row r="180" ht="14.25" customHeight="1">
      <c r="A180" s="789">
        <v>45411.0</v>
      </c>
      <c r="B180" s="790">
        <v>2404640.0</v>
      </c>
      <c r="C180" s="791" t="s">
        <v>11484</v>
      </c>
      <c r="D180" s="791" t="s">
        <v>3300</v>
      </c>
      <c r="E180" s="792" t="str">
        <f>IFERROR(VLOOKUP(D180,Stock,3,FALSE),"")</f>
        <v>Honda CR-V 07-11 3rd Gen</v>
      </c>
      <c r="F180" s="791">
        <v>2.0</v>
      </c>
      <c r="G180" s="809">
        <v>826100.0</v>
      </c>
      <c r="H180" s="810">
        <f t="shared" si="10"/>
        <v>1652200</v>
      </c>
      <c r="I180" s="811"/>
      <c r="J180" s="812"/>
      <c r="K180" s="819"/>
      <c r="L180" s="819"/>
      <c r="M180" s="796" t="s">
        <v>12809</v>
      </c>
      <c r="N180" s="820">
        <v>45477.0</v>
      </c>
      <c r="O180" s="823"/>
    </row>
    <row r="181" ht="14.25" customHeight="1">
      <c r="A181" s="789">
        <v>45408.0</v>
      </c>
      <c r="B181" s="790" t="s">
        <v>12859</v>
      </c>
      <c r="C181" s="791" t="s">
        <v>12860</v>
      </c>
      <c r="D181" s="791" t="s">
        <v>12861</v>
      </c>
      <c r="E181" s="792" t="str">
        <f>IFERROR(VLOOKUP(D181,Stock,3,FALSE),"")</f>
        <v>Daihatsu Luxio 07-</v>
      </c>
      <c r="F181" s="791">
        <v>1.0</v>
      </c>
      <c r="G181" s="809">
        <v>107400.0</v>
      </c>
      <c r="H181" s="810">
        <f t="shared" si="10"/>
        <v>107400</v>
      </c>
      <c r="I181" s="811"/>
      <c r="J181" s="812"/>
      <c r="K181" s="819"/>
      <c r="L181" s="819"/>
      <c r="M181" s="796" t="s">
        <v>12809</v>
      </c>
      <c r="N181" s="820">
        <v>45436.0</v>
      </c>
      <c r="O181" s="823"/>
    </row>
    <row r="182" ht="14.25" customHeight="1">
      <c r="A182" s="825"/>
      <c r="B182" s="826"/>
      <c r="C182" s="791" t="s">
        <v>12860</v>
      </c>
      <c r="D182" s="791" t="s">
        <v>12862</v>
      </c>
      <c r="E182" s="792" t="str">
        <f>IFERROR(VLOOKUP(D182,Stock,3,FALSE),"")</f>
        <v>Daihatsu Taruna</v>
      </c>
      <c r="F182" s="791">
        <v>1.0</v>
      </c>
      <c r="G182" s="809">
        <v>106600.0</v>
      </c>
      <c r="H182" s="810">
        <f t="shared" si="10"/>
        <v>106600</v>
      </c>
      <c r="I182" s="811"/>
      <c r="J182" s="812"/>
      <c r="K182" s="819"/>
      <c r="L182" s="819"/>
      <c r="M182" s="796" t="s">
        <v>12809</v>
      </c>
      <c r="N182" s="820">
        <v>45436.0</v>
      </c>
      <c r="O182" s="823"/>
    </row>
    <row r="183" ht="14.25" customHeight="1">
      <c r="A183" s="825"/>
      <c r="B183" s="826"/>
      <c r="C183" s="791" t="s">
        <v>12860</v>
      </c>
      <c r="D183" s="791" t="s">
        <v>12863</v>
      </c>
      <c r="E183" s="792" t="str">
        <f>IFERROR(VLOOKUP(D183,Stock,3,FALSE),"")</f>
        <v>Daihatsu Taruna</v>
      </c>
      <c r="F183" s="791">
        <v>1.0</v>
      </c>
      <c r="G183" s="809">
        <v>106600.0</v>
      </c>
      <c r="H183" s="810">
        <f t="shared" si="10"/>
        <v>106600</v>
      </c>
      <c r="I183" s="811"/>
      <c r="J183" s="812"/>
      <c r="K183" s="819"/>
      <c r="L183" s="819"/>
      <c r="M183" s="796" t="s">
        <v>12809</v>
      </c>
      <c r="N183" s="820">
        <v>45436.0</v>
      </c>
      <c r="O183" s="823"/>
    </row>
    <row r="184" ht="14.25" customHeight="1">
      <c r="A184" s="825"/>
      <c r="B184" s="826"/>
      <c r="C184" s="791" t="s">
        <v>12860</v>
      </c>
      <c r="D184" s="791" t="s">
        <v>9932</v>
      </c>
      <c r="E184" s="792" t="str">
        <f>IFERROR(VLOOKUP(D184,Stock,3,FALSE),"")</f>
        <v>Daihatsu Taruna</v>
      </c>
      <c r="F184" s="791">
        <v>1.0</v>
      </c>
      <c r="G184" s="809">
        <v>78700.0</v>
      </c>
      <c r="H184" s="810">
        <f t="shared" si="10"/>
        <v>78700</v>
      </c>
      <c r="I184" s="811"/>
      <c r="J184" s="812"/>
      <c r="K184" s="819"/>
      <c r="L184" s="819"/>
      <c r="M184" s="796" t="s">
        <v>12809</v>
      </c>
      <c r="N184" s="820">
        <v>45436.0</v>
      </c>
      <c r="O184" s="823"/>
    </row>
    <row r="185" ht="14.25" customHeight="1">
      <c r="A185" s="825"/>
      <c r="B185" s="826"/>
      <c r="C185" s="791" t="s">
        <v>12860</v>
      </c>
      <c r="D185" s="791" t="s">
        <v>12864</v>
      </c>
      <c r="E185" s="792" t="str">
        <f>IFERROR(VLOOKUP(D185,Stock,3,FALSE),"")</f>
        <v>Nissan Datsun Go/Go+ 14- (5-Seater)</v>
      </c>
      <c r="F185" s="791">
        <v>1.0</v>
      </c>
      <c r="G185" s="809">
        <v>101800.0</v>
      </c>
      <c r="H185" s="810">
        <f t="shared" si="10"/>
        <v>101800</v>
      </c>
      <c r="I185" s="811"/>
      <c r="J185" s="812"/>
      <c r="K185" s="819"/>
      <c r="L185" s="819"/>
      <c r="M185" s="796" t="s">
        <v>12809</v>
      </c>
      <c r="N185" s="820">
        <v>45436.0</v>
      </c>
      <c r="O185" s="823"/>
    </row>
    <row r="186" ht="14.25" customHeight="1">
      <c r="A186" s="825"/>
      <c r="B186" s="826"/>
      <c r="C186" s="791" t="s">
        <v>12860</v>
      </c>
      <c r="D186" s="791" t="s">
        <v>2841</v>
      </c>
      <c r="E186" s="792" t="str">
        <f>IFERROR(VLOOKUP(D186,Stock,3,FALSE),"")</f>
        <v>Nissan Datsun Go/Go+ 14- (5-Seater)</v>
      </c>
      <c r="F186" s="791">
        <v>1.0</v>
      </c>
      <c r="G186" s="809">
        <v>101800.0</v>
      </c>
      <c r="H186" s="810">
        <f t="shared" si="10"/>
        <v>101800</v>
      </c>
      <c r="I186" s="811"/>
      <c r="J186" s="812"/>
      <c r="K186" s="819"/>
      <c r="L186" s="819"/>
      <c r="M186" s="796" t="s">
        <v>12809</v>
      </c>
      <c r="N186" s="820">
        <v>45436.0</v>
      </c>
      <c r="O186" s="823"/>
    </row>
    <row r="187" ht="14.25" customHeight="1">
      <c r="A187" s="825"/>
      <c r="B187" s="826"/>
      <c r="C187" s="791" t="s">
        <v>12860</v>
      </c>
      <c r="D187" s="791" t="s">
        <v>12865</v>
      </c>
      <c r="E187" s="792" t="str">
        <f>IFERROR(VLOOKUP(D187,Stock,3,FALSE),"")</f>
        <v>Ford Ranger 02-06 </v>
      </c>
      <c r="F187" s="791">
        <v>1.0</v>
      </c>
      <c r="G187" s="809">
        <v>115500.0</v>
      </c>
      <c r="H187" s="810">
        <f t="shared" si="10"/>
        <v>115500</v>
      </c>
      <c r="I187" s="811"/>
      <c r="J187" s="812"/>
      <c r="K187" s="819"/>
      <c r="L187" s="819"/>
      <c r="M187" s="796" t="s">
        <v>12809</v>
      </c>
      <c r="N187" s="820">
        <v>45436.0</v>
      </c>
      <c r="O187" s="823"/>
    </row>
    <row r="188" ht="14.25" customHeight="1">
      <c r="A188" s="825"/>
      <c r="B188" s="826"/>
      <c r="C188" s="791" t="s">
        <v>12860</v>
      </c>
      <c r="D188" s="791" t="s">
        <v>12866</v>
      </c>
      <c r="E188" s="792" t="str">
        <f>IFERROR(VLOOKUP(D188,Stock,3,FALSE),"")</f>
        <v>Ford Ranger 06-11</v>
      </c>
      <c r="F188" s="791">
        <v>1.0</v>
      </c>
      <c r="G188" s="809">
        <v>157700.0</v>
      </c>
      <c r="H188" s="810">
        <f t="shared" si="10"/>
        <v>157700</v>
      </c>
      <c r="I188" s="811"/>
      <c r="J188" s="812"/>
      <c r="K188" s="819"/>
      <c r="L188" s="819"/>
      <c r="M188" s="796" t="s">
        <v>12809</v>
      </c>
      <c r="N188" s="820">
        <v>45436.0</v>
      </c>
      <c r="O188" s="823"/>
    </row>
    <row r="189" ht="14.25" customHeight="1">
      <c r="A189" s="825"/>
      <c r="B189" s="826"/>
      <c r="C189" s="791" t="s">
        <v>12860</v>
      </c>
      <c r="D189" s="791" t="s">
        <v>12867</v>
      </c>
      <c r="E189" s="792" t="str">
        <f>IFERROR(VLOOKUP(D189,Stock,3,FALSE),"")</f>
        <v>Ford Ranger 11- (DC)</v>
      </c>
      <c r="F189" s="791">
        <v>1.0</v>
      </c>
      <c r="G189" s="809">
        <v>231400.0</v>
      </c>
      <c r="H189" s="810">
        <f t="shared" si="10"/>
        <v>231400</v>
      </c>
      <c r="I189" s="811"/>
      <c r="J189" s="812"/>
      <c r="K189" s="819"/>
      <c r="L189" s="819"/>
      <c r="M189" s="796" t="s">
        <v>12809</v>
      </c>
      <c r="N189" s="820">
        <v>45436.0</v>
      </c>
      <c r="O189" s="823"/>
    </row>
    <row r="190" ht="14.25" customHeight="1">
      <c r="A190" s="825"/>
      <c r="B190" s="826"/>
      <c r="C190" s="791" t="s">
        <v>12860</v>
      </c>
      <c r="D190" s="791" t="s">
        <v>12868</v>
      </c>
      <c r="E190" s="792" t="str">
        <f>IFERROR(VLOOKUP(D190,Stock,3,FALSE),"")</f>
        <v>Honda Brio 10-17</v>
      </c>
      <c r="F190" s="791">
        <v>1.0</v>
      </c>
      <c r="G190" s="809">
        <v>144500.0</v>
      </c>
      <c r="H190" s="810">
        <f t="shared" si="10"/>
        <v>144500</v>
      </c>
      <c r="I190" s="811"/>
      <c r="J190" s="812"/>
      <c r="K190" s="819"/>
      <c r="L190" s="819"/>
      <c r="M190" s="796" t="s">
        <v>12809</v>
      </c>
      <c r="N190" s="820">
        <v>45436.0</v>
      </c>
      <c r="O190" s="823"/>
    </row>
    <row r="191" ht="14.25" customHeight="1">
      <c r="A191" s="825"/>
      <c r="B191" s="826"/>
      <c r="C191" s="791" t="s">
        <v>12860</v>
      </c>
      <c r="D191" s="791" t="s">
        <v>6807</v>
      </c>
      <c r="E191" s="792" t="str">
        <f>IFERROR(VLOOKUP(D191,Stock,3,FALSE),"")</f>
        <v>Honda Mobilio 14- / Honda BR-V 16-21</v>
      </c>
      <c r="F191" s="791">
        <v>2.0</v>
      </c>
      <c r="G191" s="809">
        <v>148900.0</v>
      </c>
      <c r="H191" s="810">
        <f t="shared" si="10"/>
        <v>297800</v>
      </c>
      <c r="I191" s="811"/>
      <c r="J191" s="812"/>
      <c r="K191" s="819"/>
      <c r="L191" s="819"/>
      <c r="M191" s="796" t="s">
        <v>12809</v>
      </c>
      <c r="N191" s="820">
        <v>45436.0</v>
      </c>
      <c r="O191" s="823"/>
    </row>
    <row r="192" ht="14.25" customHeight="1">
      <c r="A192" s="825"/>
      <c r="B192" s="826"/>
      <c r="C192" s="791" t="s">
        <v>12860</v>
      </c>
      <c r="D192" s="791" t="s">
        <v>6810</v>
      </c>
      <c r="E192" s="792" t="str">
        <f>IFERROR(VLOOKUP(D192,Stock,3,FALSE),"")</f>
        <v>Honda Mobilio 14- / Honda BR-V 16-21</v>
      </c>
      <c r="F192" s="791">
        <v>2.0</v>
      </c>
      <c r="G192" s="809">
        <v>148900.0</v>
      </c>
      <c r="H192" s="810">
        <f t="shared" si="10"/>
        <v>297800</v>
      </c>
      <c r="I192" s="811"/>
      <c r="J192" s="812"/>
      <c r="K192" s="819"/>
      <c r="L192" s="819"/>
      <c r="M192" s="796" t="s">
        <v>12809</v>
      </c>
      <c r="N192" s="820">
        <v>45436.0</v>
      </c>
      <c r="O192" s="823"/>
    </row>
    <row r="193" ht="14.25" customHeight="1">
      <c r="A193" s="825"/>
      <c r="B193" s="826"/>
      <c r="C193" s="791" t="s">
        <v>12860</v>
      </c>
      <c r="D193" s="791" t="s">
        <v>6812</v>
      </c>
      <c r="E193" s="792" t="str">
        <f>IFERROR(VLOOKUP(D193,Stock,3,FALSE),"")</f>
        <v>Honda Mobilio 14- / Honda BR-V 16-21</v>
      </c>
      <c r="F193" s="791">
        <v>2.0</v>
      </c>
      <c r="G193" s="809">
        <v>135900.0</v>
      </c>
      <c r="H193" s="810">
        <f t="shared" si="10"/>
        <v>271800</v>
      </c>
      <c r="I193" s="811"/>
      <c r="J193" s="812"/>
      <c r="K193" s="819"/>
      <c r="L193" s="819"/>
      <c r="M193" s="796" t="s">
        <v>12809</v>
      </c>
      <c r="N193" s="820">
        <v>45436.0</v>
      </c>
      <c r="O193" s="823"/>
    </row>
    <row r="194" ht="14.25" customHeight="1">
      <c r="A194" s="825"/>
      <c r="B194" s="826"/>
      <c r="C194" s="791" t="s">
        <v>12860</v>
      </c>
      <c r="D194" s="791" t="s">
        <v>2843</v>
      </c>
      <c r="E194" s="792" t="str">
        <f>IFERROR(VLOOKUP(D194,Stock,3,FALSE),"")</f>
        <v>Honda Mobilio 14- / Honda BR-V 16-21</v>
      </c>
      <c r="F194" s="791">
        <v>2.0</v>
      </c>
      <c r="G194" s="809">
        <v>135900.0</v>
      </c>
      <c r="H194" s="810">
        <f t="shared" si="10"/>
        <v>271800</v>
      </c>
      <c r="I194" s="811"/>
      <c r="J194" s="812"/>
      <c r="K194" s="819"/>
      <c r="L194" s="819"/>
      <c r="M194" s="796" t="s">
        <v>12809</v>
      </c>
      <c r="N194" s="820">
        <v>45436.0</v>
      </c>
      <c r="O194" s="823"/>
    </row>
    <row r="195" ht="14.25" customHeight="1">
      <c r="A195" s="825"/>
      <c r="B195" s="790"/>
      <c r="C195" s="791" t="s">
        <v>12860</v>
      </c>
      <c r="D195" s="791" t="s">
        <v>12869</v>
      </c>
      <c r="E195" s="792" t="str">
        <f>IFERROR(VLOOKUP(D195,Stock,3,FALSE),"")</f>
        <v>Honda CR-V 02-06 2nd Gen</v>
      </c>
      <c r="F195" s="791">
        <v>1.0</v>
      </c>
      <c r="G195" s="809">
        <v>262000.0</v>
      </c>
      <c r="H195" s="810">
        <f t="shared" si="10"/>
        <v>262000</v>
      </c>
      <c r="I195" s="811"/>
      <c r="J195" s="812"/>
      <c r="K195" s="819"/>
      <c r="L195" s="819"/>
      <c r="M195" s="796" t="s">
        <v>12809</v>
      </c>
      <c r="N195" s="820">
        <v>45436.0</v>
      </c>
      <c r="O195" s="823"/>
    </row>
    <row r="196" ht="14.25" customHeight="1">
      <c r="A196" s="825"/>
      <c r="B196" s="790"/>
      <c r="C196" s="791" t="s">
        <v>12860</v>
      </c>
      <c r="D196" s="791" t="s">
        <v>12870</v>
      </c>
      <c r="E196" s="792" t="str">
        <f>IFERROR(VLOOKUP(D196,Stock,3,FALSE),"")</f>
        <v>Honda CR-V 02-06 2nd Gen</v>
      </c>
      <c r="F196" s="791">
        <v>1.0</v>
      </c>
      <c r="G196" s="809">
        <v>262000.0</v>
      </c>
      <c r="H196" s="810">
        <f t="shared" si="10"/>
        <v>262000</v>
      </c>
      <c r="I196" s="811"/>
      <c r="J196" s="812"/>
      <c r="K196" s="819"/>
      <c r="L196" s="819"/>
      <c r="M196" s="796" t="s">
        <v>12809</v>
      </c>
      <c r="N196" s="820">
        <v>45436.0</v>
      </c>
      <c r="O196" s="823"/>
    </row>
    <row r="197" ht="14.25" customHeight="1">
      <c r="A197" s="825"/>
      <c r="B197" s="826"/>
      <c r="C197" s="791" t="s">
        <v>12860</v>
      </c>
      <c r="D197" s="791" t="s">
        <v>2845</v>
      </c>
      <c r="E197" s="792" t="str">
        <f>IFERROR(VLOOKUP(D197,Stock,3,FALSE),"")</f>
        <v>Honda CR-V 02-06 2nd Gen</v>
      </c>
      <c r="F197" s="791">
        <v>1.0</v>
      </c>
      <c r="G197" s="809">
        <v>193300.0</v>
      </c>
      <c r="H197" s="810">
        <f t="shared" si="10"/>
        <v>193300</v>
      </c>
      <c r="I197" s="811"/>
      <c r="J197" s="812"/>
      <c r="K197" s="819"/>
      <c r="L197" s="819"/>
      <c r="M197" s="796" t="s">
        <v>12809</v>
      </c>
      <c r="N197" s="820">
        <v>45436.0</v>
      </c>
      <c r="O197" s="823"/>
    </row>
    <row r="198" ht="14.25" customHeight="1">
      <c r="A198" s="825"/>
      <c r="B198" s="826"/>
      <c r="C198" s="791" t="s">
        <v>12860</v>
      </c>
      <c r="D198" s="791" t="s">
        <v>12871</v>
      </c>
      <c r="E198" s="792" t="str">
        <f>IFERROR(VLOOKUP(D198,Stock,3,FALSE),"")</f>
        <v>Honda CR-V 02-06 2nd Gen</v>
      </c>
      <c r="F198" s="791">
        <v>1.0</v>
      </c>
      <c r="G198" s="809">
        <v>193300.0</v>
      </c>
      <c r="H198" s="810">
        <f t="shared" si="10"/>
        <v>193300</v>
      </c>
      <c r="I198" s="811"/>
      <c r="J198" s="812"/>
      <c r="K198" s="819"/>
      <c r="L198" s="819"/>
      <c r="M198" s="796" t="s">
        <v>12809</v>
      </c>
      <c r="N198" s="820">
        <v>45436.0</v>
      </c>
      <c r="O198" s="823"/>
    </row>
    <row r="199" ht="14.25" customHeight="1">
      <c r="A199" s="825"/>
      <c r="B199" s="826"/>
      <c r="C199" s="791" t="s">
        <v>12860</v>
      </c>
      <c r="D199" s="791" t="s">
        <v>12872</v>
      </c>
      <c r="E199" s="792" t="str">
        <f>IFERROR(VLOOKUP(D199,Stock,3,FALSE),"")</f>
        <v>Honda CR-V 07-11 3rd Gen</v>
      </c>
      <c r="F199" s="791">
        <v>1.0</v>
      </c>
      <c r="G199" s="809">
        <v>195000.0</v>
      </c>
      <c r="H199" s="810">
        <f t="shared" si="10"/>
        <v>195000</v>
      </c>
      <c r="I199" s="811"/>
      <c r="J199" s="812"/>
      <c r="K199" s="819"/>
      <c r="L199" s="819"/>
      <c r="M199" s="796" t="s">
        <v>12809</v>
      </c>
      <c r="N199" s="820">
        <v>45436.0</v>
      </c>
      <c r="O199" s="823"/>
    </row>
    <row r="200" ht="14.25" customHeight="1">
      <c r="A200" s="789">
        <v>45425.0</v>
      </c>
      <c r="B200" s="790" t="s">
        <v>12873</v>
      </c>
      <c r="C200" s="791" t="s">
        <v>12874</v>
      </c>
      <c r="D200" s="791" t="s">
        <v>12872</v>
      </c>
      <c r="E200" s="792" t="str">
        <f>IFERROR(VLOOKUP(D200,Stock,3,FALSE),"")</f>
        <v>Honda CR-V 07-11 3rd Gen</v>
      </c>
      <c r="F200" s="791">
        <v>-1.0</v>
      </c>
      <c r="G200" s="809">
        <v>195000.0</v>
      </c>
      <c r="H200" s="810">
        <f t="shared" si="10"/>
        <v>-195000</v>
      </c>
      <c r="I200" s="811"/>
      <c r="J200" s="812"/>
      <c r="K200" s="819"/>
      <c r="L200" s="819"/>
      <c r="M200" s="796" t="s">
        <v>12809</v>
      </c>
      <c r="N200" s="820">
        <v>45436.0</v>
      </c>
      <c r="O200" s="823"/>
    </row>
    <row r="201" ht="14.25" customHeight="1">
      <c r="A201" s="825"/>
      <c r="B201" s="826"/>
      <c r="C201" s="791" t="s">
        <v>12860</v>
      </c>
      <c r="D201" s="791" t="s">
        <v>12875</v>
      </c>
      <c r="E201" s="792" t="str">
        <f>IFERROR(VLOOKUP(D201,Stock,3,FALSE),"")</f>
        <v>Honda CR-V 07-11 3rd Gen</v>
      </c>
      <c r="F201" s="791">
        <v>1.0</v>
      </c>
      <c r="G201" s="809">
        <v>201800.0</v>
      </c>
      <c r="H201" s="810">
        <f t="shared" si="10"/>
        <v>201800</v>
      </c>
      <c r="I201" s="811"/>
      <c r="J201" s="812"/>
      <c r="K201" s="819"/>
      <c r="L201" s="819"/>
      <c r="M201" s="796" t="s">
        <v>12809</v>
      </c>
      <c r="N201" s="820">
        <v>45436.0</v>
      </c>
      <c r="O201" s="823"/>
    </row>
    <row r="202" ht="14.25" customHeight="1">
      <c r="A202" s="825"/>
      <c r="B202" s="826"/>
      <c r="C202" s="791" t="s">
        <v>12860</v>
      </c>
      <c r="D202" s="791" t="s">
        <v>12876</v>
      </c>
      <c r="E202" s="792" t="str">
        <f>IFERROR(VLOOKUP(D202,Stock,3,FALSE),"")</f>
        <v>Honda CR-V 07-11 3rd Gen</v>
      </c>
      <c r="F202" s="791">
        <v>1.0</v>
      </c>
      <c r="G202" s="809">
        <v>201800.0</v>
      </c>
      <c r="H202" s="810">
        <f t="shared" si="10"/>
        <v>201800</v>
      </c>
      <c r="I202" s="811"/>
      <c r="J202" s="812"/>
      <c r="K202" s="819"/>
      <c r="L202" s="819"/>
      <c r="M202" s="796" t="s">
        <v>12809</v>
      </c>
      <c r="N202" s="820">
        <v>45436.0</v>
      </c>
      <c r="O202" s="823"/>
    </row>
    <row r="203" ht="14.25" customHeight="1">
      <c r="A203" s="789">
        <v>45408.0</v>
      </c>
      <c r="B203" s="790" t="s">
        <v>12877</v>
      </c>
      <c r="C203" s="791" t="s">
        <v>12860</v>
      </c>
      <c r="D203" s="791" t="s">
        <v>12878</v>
      </c>
      <c r="E203" s="792" t="str">
        <f>IFERROR(VLOOKUP(D203,Stock,3,FALSE),"")</f>
        <v>Honda Jazz 13-  3rd Gen</v>
      </c>
      <c r="F203" s="791">
        <v>1.0</v>
      </c>
      <c r="G203" s="809">
        <v>139000.0</v>
      </c>
      <c r="H203" s="810">
        <f t="shared" si="10"/>
        <v>139000</v>
      </c>
      <c r="I203" s="811"/>
      <c r="J203" s="812"/>
      <c r="K203" s="819"/>
      <c r="L203" s="819"/>
      <c r="M203" s="796" t="s">
        <v>12809</v>
      </c>
      <c r="N203" s="820">
        <v>45436.0</v>
      </c>
      <c r="O203" s="823"/>
    </row>
    <row r="204" ht="14.25" customHeight="1">
      <c r="A204" s="825"/>
      <c r="B204" s="826"/>
      <c r="C204" s="791" t="s">
        <v>12860</v>
      </c>
      <c r="D204" s="791" t="s">
        <v>12879</v>
      </c>
      <c r="E204" s="792" t="str">
        <f>IFERROR(VLOOKUP(D204,Stock,3,FALSE),"")</f>
        <v>Isuzu Giga Long (PS240,285) FVR34</v>
      </c>
      <c r="F204" s="791">
        <v>1.0</v>
      </c>
      <c r="G204" s="809">
        <v>137800.0</v>
      </c>
      <c r="H204" s="810">
        <f t="shared" si="10"/>
        <v>137800</v>
      </c>
      <c r="I204" s="811"/>
      <c r="J204" s="812"/>
      <c r="K204" s="819"/>
      <c r="L204" s="819"/>
      <c r="M204" s="796" t="s">
        <v>12809</v>
      </c>
      <c r="N204" s="820">
        <v>45436.0</v>
      </c>
      <c r="O204" s="823"/>
    </row>
    <row r="205" ht="14.25" customHeight="1">
      <c r="A205" s="825"/>
      <c r="B205" s="826"/>
      <c r="C205" s="791" t="s">
        <v>12860</v>
      </c>
      <c r="D205" s="791" t="s">
        <v>11150</v>
      </c>
      <c r="E205" s="792" t="str">
        <f>IFERROR(VLOOKUP(D205,Stock,3,FALSE),"")</f>
        <v>Isuzu Panther 00- 2nd Gen (Karet)</v>
      </c>
      <c r="F205" s="791">
        <v>1.0</v>
      </c>
      <c r="G205" s="809">
        <v>158200.0</v>
      </c>
      <c r="H205" s="810">
        <f t="shared" si="10"/>
        <v>158200</v>
      </c>
      <c r="I205" s="811"/>
      <c r="J205" s="812"/>
      <c r="K205" s="819"/>
      <c r="L205" s="819"/>
      <c r="M205" s="796" t="s">
        <v>12809</v>
      </c>
      <c r="N205" s="820">
        <v>45436.0</v>
      </c>
      <c r="O205" s="823"/>
    </row>
    <row r="206" ht="14.25" customHeight="1">
      <c r="A206" s="825"/>
      <c r="B206" s="826"/>
      <c r="C206" s="791" t="s">
        <v>12860</v>
      </c>
      <c r="D206" s="791" t="s">
        <v>12880</v>
      </c>
      <c r="E206" s="792" t="str">
        <f>IFERROR(VLOOKUP(D206,Stock,3,FALSE),"")</f>
        <v>Mitsubishi Strada Triton 08-15</v>
      </c>
      <c r="F206" s="791">
        <v>1.0</v>
      </c>
      <c r="G206" s="809">
        <v>157300.0</v>
      </c>
      <c r="H206" s="810">
        <f t="shared" si="10"/>
        <v>157300</v>
      </c>
      <c r="I206" s="811"/>
      <c r="J206" s="812"/>
      <c r="K206" s="819"/>
      <c r="L206" s="819"/>
      <c r="M206" s="796" t="s">
        <v>12809</v>
      </c>
      <c r="N206" s="820">
        <v>45436.0</v>
      </c>
      <c r="O206" s="823"/>
    </row>
    <row r="207" ht="14.25" customHeight="1">
      <c r="A207" s="825"/>
      <c r="B207" s="826"/>
      <c r="C207" s="791" t="s">
        <v>12860</v>
      </c>
      <c r="D207" s="791" t="s">
        <v>12881</v>
      </c>
      <c r="E207" s="792" t="str">
        <f>IFERROR(VLOOKUP(D207,Stock,3,FALSE),"")</f>
        <v>Mitsubishi Xpander 17- / Livina 19- 2nd Gen</v>
      </c>
      <c r="F207" s="791">
        <v>1.0</v>
      </c>
      <c r="G207" s="809">
        <v>131800.0</v>
      </c>
      <c r="H207" s="810">
        <f t="shared" si="10"/>
        <v>131800</v>
      </c>
      <c r="I207" s="811"/>
      <c r="J207" s="812"/>
      <c r="K207" s="819"/>
      <c r="L207" s="819"/>
      <c r="M207" s="796" t="s">
        <v>12809</v>
      </c>
      <c r="N207" s="820">
        <v>45436.0</v>
      </c>
      <c r="O207" s="823"/>
    </row>
    <row r="208" ht="14.25" customHeight="1">
      <c r="A208" s="825"/>
      <c r="B208" s="826"/>
      <c r="C208" s="791" t="s">
        <v>12860</v>
      </c>
      <c r="D208" s="791" t="s">
        <v>12882</v>
      </c>
      <c r="E208" s="792" t="str">
        <f>IFERROR(VLOOKUP(D208,Stock,3,FALSE),"")</f>
        <v>Mitsubishi Xpander 17- / Livina 19- 2nd Gen</v>
      </c>
      <c r="F208" s="791">
        <v>1.0</v>
      </c>
      <c r="G208" s="809">
        <v>131800.0</v>
      </c>
      <c r="H208" s="810">
        <f t="shared" si="10"/>
        <v>131800</v>
      </c>
      <c r="I208" s="811"/>
      <c r="J208" s="812"/>
      <c r="K208" s="819"/>
      <c r="L208" s="819"/>
      <c r="M208" s="796" t="s">
        <v>12809</v>
      </c>
      <c r="N208" s="820">
        <v>45436.0</v>
      </c>
      <c r="O208" s="823"/>
    </row>
    <row r="209" ht="14.25" customHeight="1">
      <c r="A209" s="825"/>
      <c r="B209" s="826"/>
      <c r="C209" s="791" t="s">
        <v>12860</v>
      </c>
      <c r="D209" s="791" t="s">
        <v>12883</v>
      </c>
      <c r="E209" s="792" t="str">
        <f>IFERROR(VLOOKUP(D209,Stock,3,FALSE),"")</f>
        <v>Mitsubishi Xpander 17- / Livina 19- 2nd Gen</v>
      </c>
      <c r="F209" s="791">
        <v>1.0</v>
      </c>
      <c r="G209" s="809">
        <v>119800.0</v>
      </c>
      <c r="H209" s="810">
        <f t="shared" si="10"/>
        <v>119800</v>
      </c>
      <c r="I209" s="811"/>
      <c r="J209" s="812"/>
      <c r="K209" s="819"/>
      <c r="L209" s="819"/>
      <c r="M209" s="796" t="s">
        <v>12809</v>
      </c>
      <c r="N209" s="820">
        <v>45436.0</v>
      </c>
      <c r="O209" s="823"/>
    </row>
    <row r="210" ht="14.25" customHeight="1">
      <c r="A210" s="825"/>
      <c r="B210" s="826"/>
      <c r="C210" s="791" t="s">
        <v>12860</v>
      </c>
      <c r="D210" s="791" t="s">
        <v>12884</v>
      </c>
      <c r="E210" s="792" t="str">
        <f>IFERROR(VLOOKUP(D210,Stock,3,FALSE),"")</f>
        <v>Mitsubishi Xpander 17- / Livina 19- 2nd Gen</v>
      </c>
      <c r="F210" s="791">
        <v>1.0</v>
      </c>
      <c r="G210" s="809">
        <v>119800.0</v>
      </c>
      <c r="H210" s="810">
        <f t="shared" si="10"/>
        <v>119800</v>
      </c>
      <c r="I210" s="811"/>
      <c r="J210" s="812"/>
      <c r="K210" s="819"/>
      <c r="L210" s="819"/>
      <c r="M210" s="796" t="s">
        <v>12809</v>
      </c>
      <c r="N210" s="820">
        <v>45436.0</v>
      </c>
      <c r="O210" s="823"/>
    </row>
    <row r="211" ht="14.25" customHeight="1">
      <c r="A211" s="789">
        <v>45425.0</v>
      </c>
      <c r="B211" s="790" t="s">
        <v>12885</v>
      </c>
      <c r="C211" s="791" t="s">
        <v>12874</v>
      </c>
      <c r="D211" s="827" t="s">
        <v>12884</v>
      </c>
      <c r="E211" s="792" t="str">
        <f>IFERROR(VLOOKUP(D211,Stock,3,FALSE),"")</f>
        <v>Mitsubishi Xpander 17- / Livina 19- 2nd Gen</v>
      </c>
      <c r="F211" s="791">
        <v>-1.0</v>
      </c>
      <c r="G211" s="809">
        <v>119800.0</v>
      </c>
      <c r="H211" s="810">
        <f t="shared" si="10"/>
        <v>-119800</v>
      </c>
      <c r="I211" s="811"/>
      <c r="J211" s="812"/>
      <c r="K211" s="792"/>
      <c r="L211" s="792"/>
      <c r="M211" s="796" t="s">
        <v>12809</v>
      </c>
      <c r="N211" s="820">
        <v>45436.0</v>
      </c>
      <c r="O211" s="828"/>
    </row>
    <row r="212" ht="14.25" customHeight="1">
      <c r="A212" s="789">
        <v>45408.0</v>
      </c>
      <c r="B212" s="790" t="s">
        <v>12886</v>
      </c>
      <c r="C212" s="791" t="s">
        <v>12860</v>
      </c>
      <c r="D212" s="791" t="s">
        <v>12887</v>
      </c>
      <c r="E212" s="792" t="str">
        <f>IFERROR(VLOOKUP(D212,Stock,3,FALSE),"")</f>
        <v>Mitsubishi Xpander 17- / Livina 19- 2nd Gen</v>
      </c>
      <c r="F212" s="791">
        <v>1.0</v>
      </c>
      <c r="G212" s="809">
        <v>442600.0</v>
      </c>
      <c r="H212" s="810">
        <f t="shared" si="10"/>
        <v>442600</v>
      </c>
      <c r="I212" s="811"/>
      <c r="J212" s="812"/>
      <c r="K212" s="819"/>
      <c r="L212" s="819"/>
      <c r="M212" s="796" t="s">
        <v>12809</v>
      </c>
      <c r="N212" s="820">
        <v>45436.0</v>
      </c>
      <c r="O212" s="823"/>
    </row>
    <row r="213" ht="14.25" customHeight="1">
      <c r="A213" s="825"/>
      <c r="B213" s="826"/>
      <c r="C213" s="791" t="s">
        <v>12860</v>
      </c>
      <c r="D213" s="791" t="s">
        <v>7994</v>
      </c>
      <c r="E213" s="792" t="str">
        <f>IFERROR(VLOOKUP(D213,Stock,3,FALSE),"")</f>
        <v>Nissan Livina   07-18 L10/L11</v>
      </c>
      <c r="F213" s="791">
        <v>1.0</v>
      </c>
      <c r="G213" s="809">
        <v>232400.0</v>
      </c>
      <c r="H213" s="810">
        <f t="shared" si="10"/>
        <v>232400</v>
      </c>
      <c r="I213" s="811"/>
      <c r="J213" s="812"/>
      <c r="K213" s="819"/>
      <c r="L213" s="819"/>
      <c r="M213" s="796" t="s">
        <v>12809</v>
      </c>
      <c r="N213" s="820">
        <v>45436.0</v>
      </c>
      <c r="O213" s="823"/>
    </row>
    <row r="214" ht="14.25" customHeight="1">
      <c r="A214" s="825"/>
      <c r="B214" s="826"/>
      <c r="C214" s="791" t="s">
        <v>12860</v>
      </c>
      <c r="D214" s="791" t="s">
        <v>12888</v>
      </c>
      <c r="E214" s="792" t="str">
        <f>IFERROR(VLOOKUP(D214,Stock,3,FALSE),"")</f>
        <v>Nissan Livina   07-18 L10/L11</v>
      </c>
      <c r="F214" s="791">
        <v>1.0</v>
      </c>
      <c r="G214" s="809">
        <v>214400.0</v>
      </c>
      <c r="H214" s="810">
        <f t="shared" si="10"/>
        <v>214400</v>
      </c>
      <c r="I214" s="811"/>
      <c r="J214" s="812"/>
      <c r="K214" s="819"/>
      <c r="L214" s="819"/>
      <c r="M214" s="796" t="s">
        <v>12809</v>
      </c>
      <c r="N214" s="820">
        <v>45436.0</v>
      </c>
      <c r="O214" s="823"/>
    </row>
    <row r="215" ht="14.25" customHeight="1">
      <c r="A215" s="825"/>
      <c r="B215" s="826"/>
      <c r="C215" s="791" t="s">
        <v>12860</v>
      </c>
      <c r="D215" s="791" t="s">
        <v>12889</v>
      </c>
      <c r="E215" s="792" t="str">
        <f>IFERROR(VLOOKUP(D215,Stock,3,FALSE),"")</f>
        <v>Nissan Livina   07-18 L10/L11</v>
      </c>
      <c r="F215" s="791">
        <v>1.0</v>
      </c>
      <c r="G215" s="809">
        <v>214400.0</v>
      </c>
      <c r="H215" s="810">
        <f t="shared" si="10"/>
        <v>214400</v>
      </c>
      <c r="I215" s="811"/>
      <c r="J215" s="812"/>
      <c r="K215" s="819"/>
      <c r="L215" s="819"/>
      <c r="M215" s="796" t="s">
        <v>12809</v>
      </c>
      <c r="N215" s="820">
        <v>45436.0</v>
      </c>
      <c r="O215" s="823"/>
    </row>
    <row r="216" ht="14.25" customHeight="1">
      <c r="A216" s="825"/>
      <c r="B216" s="826"/>
      <c r="C216" s="791" t="s">
        <v>12860</v>
      </c>
      <c r="D216" s="791" t="s">
        <v>12890</v>
      </c>
      <c r="E216" s="792" t="str">
        <f>IFERROR(VLOOKUP(D216,Stock,3,FALSE),"")</f>
        <v>Suzuki APV 03- Pickup/ Van</v>
      </c>
      <c r="F216" s="791">
        <v>1.0</v>
      </c>
      <c r="G216" s="809">
        <v>108000.0</v>
      </c>
      <c r="H216" s="810">
        <f t="shared" si="10"/>
        <v>108000</v>
      </c>
      <c r="I216" s="811"/>
      <c r="J216" s="812"/>
      <c r="K216" s="819"/>
      <c r="L216" s="819"/>
      <c r="M216" s="796" t="s">
        <v>12809</v>
      </c>
      <c r="N216" s="820">
        <v>45436.0</v>
      </c>
      <c r="O216" s="823"/>
    </row>
    <row r="217" ht="14.25" customHeight="1">
      <c r="A217" s="825"/>
      <c r="B217" s="826"/>
      <c r="C217" s="791" t="s">
        <v>12860</v>
      </c>
      <c r="D217" s="791" t="s">
        <v>12891</v>
      </c>
      <c r="E217" s="792" t="str">
        <f>IFERROR(VLOOKUP(D217,Stock,3,FALSE),"")</f>
        <v>Suzuki APV 03- Pickup/ Van</v>
      </c>
      <c r="F217" s="791">
        <v>1.0</v>
      </c>
      <c r="G217" s="809">
        <v>107600.0</v>
      </c>
      <c r="H217" s="810">
        <f t="shared" si="10"/>
        <v>107600</v>
      </c>
      <c r="I217" s="811"/>
      <c r="J217" s="812"/>
      <c r="K217" s="819"/>
      <c r="L217" s="819"/>
      <c r="M217" s="796" t="s">
        <v>12809</v>
      </c>
      <c r="N217" s="820">
        <v>45436.0</v>
      </c>
      <c r="O217" s="823"/>
    </row>
    <row r="218" ht="14.25" customHeight="1">
      <c r="A218" s="825"/>
      <c r="B218" s="826"/>
      <c r="C218" s="791" t="s">
        <v>12860</v>
      </c>
      <c r="D218" s="791" t="s">
        <v>12892</v>
      </c>
      <c r="E218" s="792" t="str">
        <f>IFERROR(VLOOKUP(D218,Stock,3,FALSE),"")</f>
        <v>Suzuki Carry New 19-</v>
      </c>
      <c r="F218" s="791">
        <v>1.0</v>
      </c>
      <c r="G218" s="809">
        <v>172700.0</v>
      </c>
      <c r="H218" s="810">
        <f t="shared" si="10"/>
        <v>172700</v>
      </c>
      <c r="I218" s="811"/>
      <c r="J218" s="812"/>
      <c r="K218" s="819"/>
      <c r="L218" s="819"/>
      <c r="M218" s="796" t="s">
        <v>12809</v>
      </c>
      <c r="N218" s="820">
        <v>45436.0</v>
      </c>
      <c r="O218" s="823"/>
    </row>
    <row r="219" ht="14.25" customHeight="1">
      <c r="A219" s="825"/>
      <c r="B219" s="826"/>
      <c r="C219" s="791" t="s">
        <v>12860</v>
      </c>
      <c r="D219" s="791" t="s">
        <v>12893</v>
      </c>
      <c r="E219" s="792" t="str">
        <f>IFERROR(VLOOKUP(D219,Stock,3,FALSE),"")</f>
        <v>Suzuki Carry New 19-</v>
      </c>
      <c r="F219" s="791">
        <v>1.0</v>
      </c>
      <c r="G219" s="809">
        <v>172700.0</v>
      </c>
      <c r="H219" s="810">
        <f t="shared" si="10"/>
        <v>172700</v>
      </c>
      <c r="I219" s="811"/>
      <c r="J219" s="812"/>
      <c r="K219" s="819"/>
      <c r="L219" s="819"/>
      <c r="M219" s="796" t="s">
        <v>12809</v>
      </c>
      <c r="N219" s="820">
        <v>45436.0</v>
      </c>
      <c r="O219" s="823"/>
    </row>
    <row r="220" ht="14.25" customHeight="1">
      <c r="A220" s="825"/>
      <c r="B220" s="826"/>
      <c r="C220" s="791" t="s">
        <v>12860</v>
      </c>
      <c r="D220" s="791" t="s">
        <v>2834</v>
      </c>
      <c r="E220" s="792" t="str">
        <f>IFERROR(VLOOKUP(D220,Stock,3,FALSE),"")</f>
        <v>Suzuki Ertiga 12-18 1st Gen MPV</v>
      </c>
      <c r="F220" s="791">
        <v>1.0</v>
      </c>
      <c r="G220" s="809">
        <v>128900.0</v>
      </c>
      <c r="H220" s="810">
        <f t="shared" si="10"/>
        <v>128900</v>
      </c>
      <c r="I220" s="811"/>
      <c r="J220" s="812"/>
      <c r="K220" s="819"/>
      <c r="L220" s="819"/>
      <c r="M220" s="796" t="s">
        <v>12809</v>
      </c>
      <c r="N220" s="820">
        <v>45436.0</v>
      </c>
      <c r="O220" s="823"/>
    </row>
    <row r="221" ht="14.25" customHeight="1">
      <c r="A221" s="789">
        <v>45425.0</v>
      </c>
      <c r="B221" s="790" t="s">
        <v>12894</v>
      </c>
      <c r="C221" s="791" t="s">
        <v>12874</v>
      </c>
      <c r="D221" s="791" t="s">
        <v>2834</v>
      </c>
      <c r="E221" s="792" t="str">
        <f>IFERROR(VLOOKUP(D221,Stock,3,FALSE),"")</f>
        <v>Suzuki Ertiga 12-18 1st Gen MPV</v>
      </c>
      <c r="F221" s="791">
        <v>-1.0</v>
      </c>
      <c r="G221" s="809">
        <v>128900.0</v>
      </c>
      <c r="H221" s="810">
        <f t="shared" si="10"/>
        <v>-128900</v>
      </c>
      <c r="I221" s="811"/>
      <c r="J221" s="812"/>
      <c r="K221" s="819"/>
      <c r="L221" s="819"/>
      <c r="M221" s="796" t="s">
        <v>12809</v>
      </c>
      <c r="N221" s="820">
        <v>45436.0</v>
      </c>
      <c r="O221" s="823"/>
    </row>
    <row r="222" ht="14.25" customHeight="1">
      <c r="A222" s="825"/>
      <c r="B222" s="826"/>
      <c r="C222" s="791" t="s">
        <v>12860</v>
      </c>
      <c r="D222" s="791" t="s">
        <v>12895</v>
      </c>
      <c r="E222" s="792" t="str">
        <f>IFERROR(VLOOKUP(D222,Stock,3,FALSE),"")</f>
        <v>Suzuki Ertiga 12-18 1st Gen MPV</v>
      </c>
      <c r="F222" s="791">
        <v>1.0</v>
      </c>
      <c r="G222" s="809">
        <v>25100.0</v>
      </c>
      <c r="H222" s="810">
        <f t="shared" si="10"/>
        <v>25100</v>
      </c>
      <c r="I222" s="811"/>
      <c r="J222" s="812"/>
      <c r="K222" s="819"/>
      <c r="L222" s="819"/>
      <c r="M222" s="796" t="s">
        <v>12809</v>
      </c>
      <c r="N222" s="820">
        <v>45436.0</v>
      </c>
      <c r="O222" s="823"/>
    </row>
    <row r="223" ht="14.25" customHeight="1">
      <c r="A223" s="825"/>
      <c r="B223" s="826"/>
      <c r="C223" s="791" t="s">
        <v>12860</v>
      </c>
      <c r="D223" s="791" t="s">
        <v>12896</v>
      </c>
      <c r="E223" s="792" t="str">
        <f>IFERROR(VLOOKUP(D223,Stock,3,FALSE),"")</f>
        <v>Suzuki Ertiga 12-18 1st Gen MPV</v>
      </c>
      <c r="F223" s="791">
        <v>1.0</v>
      </c>
      <c r="G223" s="809">
        <v>25100.0</v>
      </c>
      <c r="H223" s="810">
        <f t="shared" si="10"/>
        <v>25100</v>
      </c>
      <c r="I223" s="811"/>
      <c r="J223" s="812"/>
      <c r="K223" s="819"/>
      <c r="L223" s="819"/>
      <c r="M223" s="796" t="s">
        <v>12809</v>
      </c>
      <c r="N223" s="820">
        <v>45436.0</v>
      </c>
      <c r="O223" s="823"/>
    </row>
    <row r="224" ht="14.25" customHeight="1">
      <c r="A224" s="825"/>
      <c r="B224" s="826"/>
      <c r="C224" s="791" t="s">
        <v>12860</v>
      </c>
      <c r="D224" s="791" t="s">
        <v>12897</v>
      </c>
      <c r="E224" s="792" t="str">
        <f>IFERROR(VLOOKUP(D224,Stock,3,FALSE),"")</f>
        <v>Suzuki Ertiga 12-18 1st Gen MPV</v>
      </c>
      <c r="F224" s="791">
        <v>1.0</v>
      </c>
      <c r="G224" s="809">
        <v>83200.0</v>
      </c>
      <c r="H224" s="810">
        <f t="shared" si="10"/>
        <v>83200</v>
      </c>
      <c r="I224" s="811"/>
      <c r="J224" s="812"/>
      <c r="K224" s="819"/>
      <c r="L224" s="819"/>
      <c r="M224" s="796" t="s">
        <v>12809</v>
      </c>
      <c r="N224" s="820">
        <v>45436.0</v>
      </c>
      <c r="O224" s="823"/>
    </row>
    <row r="225" ht="14.25" customHeight="1">
      <c r="A225" s="825"/>
      <c r="B225" s="826"/>
      <c r="C225" s="791" t="s">
        <v>12860</v>
      </c>
      <c r="D225" s="791" t="s">
        <v>5821</v>
      </c>
      <c r="E225" s="792" t="str">
        <f>IFERROR(VLOOKUP(D225,Stock,3,FALSE),"")</f>
        <v>Toyota Agya/Ayla 13-22 1st Gen</v>
      </c>
      <c r="F225" s="791">
        <v>1.0</v>
      </c>
      <c r="G225" s="809">
        <v>29300.0</v>
      </c>
      <c r="H225" s="810">
        <f t="shared" si="10"/>
        <v>29300</v>
      </c>
      <c r="I225" s="811"/>
      <c r="J225" s="812"/>
      <c r="K225" s="819"/>
      <c r="L225" s="819"/>
      <c r="M225" s="796" t="s">
        <v>12809</v>
      </c>
      <c r="N225" s="820">
        <v>45436.0</v>
      </c>
      <c r="O225" s="823"/>
    </row>
    <row r="226" ht="14.25" customHeight="1">
      <c r="A226" s="825"/>
      <c r="B226" s="826"/>
      <c r="C226" s="791" t="s">
        <v>12860</v>
      </c>
      <c r="D226" s="791" t="s">
        <v>12898</v>
      </c>
      <c r="E226" s="792" t="str">
        <f>IFERROR(VLOOKUP(D226,Stock,3,FALSE),"")</f>
        <v>Toyota Agya/Ayla 13-22 1st Gen</v>
      </c>
      <c r="F226" s="791">
        <v>1.0</v>
      </c>
      <c r="G226" s="809">
        <v>29300.0</v>
      </c>
      <c r="H226" s="810">
        <f t="shared" si="10"/>
        <v>29300</v>
      </c>
      <c r="I226" s="811"/>
      <c r="J226" s="812"/>
      <c r="K226" s="819"/>
      <c r="L226" s="819"/>
      <c r="M226" s="796" t="s">
        <v>12809</v>
      </c>
      <c r="N226" s="820">
        <v>45436.0</v>
      </c>
      <c r="O226" s="823"/>
    </row>
    <row r="227" ht="14.25" customHeight="1">
      <c r="A227" s="825"/>
      <c r="B227" s="826"/>
      <c r="C227" s="791" t="s">
        <v>12860</v>
      </c>
      <c r="D227" s="791" t="s">
        <v>12899</v>
      </c>
      <c r="E227" s="792" t="str">
        <f>IFERROR(VLOOKUP(D227,Stock,3,FALSE),"")</f>
        <v>Toyota Fortuner 05-15  1st Gen / Hilux Pickup 05-15</v>
      </c>
      <c r="F227" s="791">
        <v>1.0</v>
      </c>
      <c r="G227" s="809">
        <v>304800.0</v>
      </c>
      <c r="H227" s="810">
        <f t="shared" si="10"/>
        <v>304800</v>
      </c>
      <c r="I227" s="811"/>
      <c r="J227" s="812"/>
      <c r="K227" s="819"/>
      <c r="L227" s="819"/>
      <c r="M227" s="796" t="s">
        <v>12809</v>
      </c>
      <c r="N227" s="820">
        <v>45436.0</v>
      </c>
      <c r="O227" s="823"/>
    </row>
    <row r="228" ht="14.25" customHeight="1">
      <c r="A228" s="825"/>
      <c r="B228" s="790"/>
      <c r="C228" s="791" t="s">
        <v>12860</v>
      </c>
      <c r="D228" s="791" t="s">
        <v>6813</v>
      </c>
      <c r="E228" s="792" t="str">
        <f>IFERROR(VLOOKUP(D228,Stock,3,FALSE),"")</f>
        <v>Toyota Hilux Pickup 05-15</v>
      </c>
      <c r="F228" s="791">
        <v>2.0</v>
      </c>
      <c r="G228" s="809">
        <v>165200.0</v>
      </c>
      <c r="H228" s="810">
        <f t="shared" si="10"/>
        <v>330400</v>
      </c>
      <c r="I228" s="811"/>
      <c r="J228" s="812"/>
      <c r="K228" s="819"/>
      <c r="L228" s="819"/>
      <c r="M228" s="796" t="s">
        <v>12809</v>
      </c>
      <c r="N228" s="820">
        <v>45436.0</v>
      </c>
      <c r="O228" s="823"/>
    </row>
    <row r="229" ht="14.25" customHeight="1">
      <c r="A229" s="825"/>
      <c r="B229" s="826"/>
      <c r="C229" s="791" t="s">
        <v>12860</v>
      </c>
      <c r="D229" s="791" t="s">
        <v>2857</v>
      </c>
      <c r="E229" s="792" t="str">
        <f>IFERROR(VLOOKUP(D229,Stock,3,FALSE),"")</f>
        <v>Toyota Fortuner 15-  2nd Gen / Toyota Hilux Pickup 15- (Revo)</v>
      </c>
      <c r="F229" s="791">
        <v>2.0</v>
      </c>
      <c r="G229" s="809">
        <v>292100.0</v>
      </c>
      <c r="H229" s="810">
        <f t="shared" si="10"/>
        <v>584200</v>
      </c>
      <c r="I229" s="811"/>
      <c r="J229" s="812"/>
      <c r="K229" s="819"/>
      <c r="L229" s="819"/>
      <c r="M229" s="796" t="s">
        <v>12809</v>
      </c>
      <c r="N229" s="820">
        <v>45436.0</v>
      </c>
      <c r="O229" s="823"/>
    </row>
    <row r="230" ht="14.25" customHeight="1">
      <c r="A230" s="825"/>
      <c r="B230" s="826"/>
      <c r="C230" s="791" t="s">
        <v>12860</v>
      </c>
      <c r="D230" s="791" t="s">
        <v>2859</v>
      </c>
      <c r="E230" s="792" t="str">
        <f>IFERROR(VLOOKUP(D230,Stock,3,FALSE),"")</f>
        <v>Toyota Fortuner 15-  2nd Gen</v>
      </c>
      <c r="F230" s="791">
        <v>2.0</v>
      </c>
      <c r="G230" s="809">
        <v>176400.0</v>
      </c>
      <c r="H230" s="810">
        <f t="shared" si="10"/>
        <v>352800</v>
      </c>
      <c r="I230" s="811"/>
      <c r="J230" s="812"/>
      <c r="K230" s="819"/>
      <c r="L230" s="819"/>
      <c r="M230" s="796" t="s">
        <v>12809</v>
      </c>
      <c r="N230" s="820">
        <v>45436.0</v>
      </c>
      <c r="O230" s="823"/>
    </row>
    <row r="231" ht="14.25" customHeight="1">
      <c r="A231" s="825"/>
      <c r="B231" s="826"/>
      <c r="C231" s="791" t="s">
        <v>12860</v>
      </c>
      <c r="D231" s="791" t="s">
        <v>12900</v>
      </c>
      <c r="E231" s="792" t="str">
        <f>IFERROR(VLOOKUP(D231,Stock,3,FALSE),"")</f>
        <v>Toyota Fortuner 15-  2nd Gen</v>
      </c>
      <c r="F231" s="791">
        <v>2.0</v>
      </c>
      <c r="G231" s="809">
        <v>176400.0</v>
      </c>
      <c r="H231" s="810">
        <f t="shared" si="10"/>
        <v>352800</v>
      </c>
      <c r="I231" s="811"/>
      <c r="J231" s="812"/>
      <c r="K231" s="819"/>
      <c r="L231" s="819"/>
      <c r="M231" s="796" t="s">
        <v>12809</v>
      </c>
      <c r="N231" s="820">
        <v>45436.0</v>
      </c>
      <c r="O231" s="823"/>
    </row>
    <row r="232" ht="14.25" customHeight="1">
      <c r="A232" s="789">
        <v>45425.0</v>
      </c>
      <c r="B232" s="790" t="s">
        <v>12894</v>
      </c>
      <c r="C232" s="791" t="s">
        <v>12874</v>
      </c>
      <c r="D232" s="791" t="s">
        <v>12900</v>
      </c>
      <c r="E232" s="792" t="str">
        <f>IFERROR(VLOOKUP(D232,Stock,3,FALSE),"")</f>
        <v>Toyota Fortuner 15-  2nd Gen</v>
      </c>
      <c r="F232" s="791">
        <v>-1.0</v>
      </c>
      <c r="G232" s="809">
        <v>176400.0</v>
      </c>
      <c r="H232" s="810">
        <f t="shared" si="10"/>
        <v>-176400</v>
      </c>
      <c r="I232" s="811"/>
      <c r="J232" s="812"/>
      <c r="K232" s="819"/>
      <c r="L232" s="819"/>
      <c r="M232" s="796" t="s">
        <v>12809</v>
      </c>
      <c r="N232" s="820">
        <v>45436.0</v>
      </c>
      <c r="O232" s="823"/>
    </row>
    <row r="233" ht="14.25" customHeight="1">
      <c r="A233" s="825"/>
      <c r="B233" s="826"/>
      <c r="C233" s="791" t="s">
        <v>12860</v>
      </c>
      <c r="D233" s="791" t="s">
        <v>6814</v>
      </c>
      <c r="E233" s="792" t="str">
        <f>IFERROR(VLOOKUP(D233,Stock,3,FALSE),"")</f>
        <v>Toyota Fortuner 15-  2nd Gen</v>
      </c>
      <c r="F233" s="791">
        <v>2.0</v>
      </c>
      <c r="G233" s="809">
        <v>63200.0</v>
      </c>
      <c r="H233" s="810">
        <f t="shared" si="10"/>
        <v>126400</v>
      </c>
      <c r="I233" s="811"/>
      <c r="J233" s="812"/>
      <c r="K233" s="819"/>
      <c r="L233" s="819"/>
      <c r="M233" s="796" t="s">
        <v>12809</v>
      </c>
      <c r="N233" s="820">
        <v>45436.0</v>
      </c>
      <c r="O233" s="823"/>
    </row>
    <row r="234" ht="14.25" customHeight="1">
      <c r="A234" s="825"/>
      <c r="B234" s="826"/>
      <c r="C234" s="791" t="s">
        <v>12860</v>
      </c>
      <c r="D234" s="791" t="s">
        <v>6815</v>
      </c>
      <c r="E234" s="792" t="str">
        <f>IFERROR(VLOOKUP(D234,Stock,3,FALSE),"")</f>
        <v>Toyota Fortuner 15-  2nd Gen</v>
      </c>
      <c r="F234" s="791">
        <v>2.0</v>
      </c>
      <c r="G234" s="809">
        <v>63200.0</v>
      </c>
      <c r="H234" s="810">
        <f t="shared" si="10"/>
        <v>126400</v>
      </c>
      <c r="I234" s="811"/>
      <c r="J234" s="812"/>
      <c r="K234" s="819"/>
      <c r="L234" s="819"/>
      <c r="M234" s="796" t="s">
        <v>12809</v>
      </c>
      <c r="N234" s="820">
        <v>45436.0</v>
      </c>
      <c r="O234" s="823"/>
    </row>
    <row r="235" ht="14.25" customHeight="1">
      <c r="A235" s="789">
        <v>45408.0</v>
      </c>
      <c r="B235" s="790" t="s">
        <v>12901</v>
      </c>
      <c r="C235" s="791" t="s">
        <v>12860</v>
      </c>
      <c r="D235" s="791" t="s">
        <v>12902</v>
      </c>
      <c r="E235" s="792" t="str">
        <f>IFERROR(VLOOKUP(D235,Stock,3,FALSE),"")</f>
        <v>Honda CR-V 07-11 3rd Gen</v>
      </c>
      <c r="F235" s="791">
        <v>1.0</v>
      </c>
      <c r="G235" s="809">
        <v>276700.0</v>
      </c>
      <c r="H235" s="810">
        <f t="shared" si="10"/>
        <v>276700</v>
      </c>
      <c r="I235" s="811"/>
      <c r="J235" s="812"/>
      <c r="K235" s="819"/>
      <c r="L235" s="819"/>
      <c r="M235" s="796" t="s">
        <v>12809</v>
      </c>
      <c r="N235" s="820">
        <v>45436.0</v>
      </c>
      <c r="O235" s="823"/>
    </row>
    <row r="236" ht="14.25" customHeight="1">
      <c r="A236" s="825"/>
      <c r="B236" s="826"/>
      <c r="C236" s="791" t="s">
        <v>12860</v>
      </c>
      <c r="D236" s="791" t="s">
        <v>12903</v>
      </c>
      <c r="E236" s="792" t="str">
        <f>IFERROR(VLOOKUP(D236,Stock,3,FALSE),"")</f>
        <v>Honda CR-V 12-16 4th Gen</v>
      </c>
      <c r="F236" s="791">
        <v>1.0</v>
      </c>
      <c r="G236" s="809">
        <v>188100.0</v>
      </c>
      <c r="H236" s="810">
        <f t="shared" si="10"/>
        <v>188100</v>
      </c>
      <c r="I236" s="811"/>
      <c r="J236" s="812"/>
      <c r="K236" s="819"/>
      <c r="L236" s="819"/>
      <c r="M236" s="796" t="s">
        <v>12809</v>
      </c>
      <c r="N236" s="820">
        <v>45436.0</v>
      </c>
      <c r="O236" s="823"/>
    </row>
    <row r="237" ht="14.25" customHeight="1">
      <c r="A237" s="825"/>
      <c r="B237" s="826"/>
      <c r="C237" s="791" t="s">
        <v>12860</v>
      </c>
      <c r="D237" s="791" t="s">
        <v>12904</v>
      </c>
      <c r="E237" s="792" t="str">
        <f>IFERROR(VLOOKUP(D237,Stock,3,FALSE),"")</f>
        <v>Honda CR-V 12-16 4th Gen</v>
      </c>
      <c r="F237" s="791">
        <v>1.0</v>
      </c>
      <c r="G237" s="809">
        <v>188100.0</v>
      </c>
      <c r="H237" s="810">
        <f t="shared" si="10"/>
        <v>188100</v>
      </c>
      <c r="I237" s="811"/>
      <c r="J237" s="812"/>
      <c r="K237" s="819"/>
      <c r="L237" s="819"/>
      <c r="M237" s="796" t="s">
        <v>12809</v>
      </c>
      <c r="N237" s="820">
        <v>45436.0</v>
      </c>
      <c r="O237" s="823"/>
    </row>
    <row r="238" ht="14.25" customHeight="1">
      <c r="A238" s="825"/>
      <c r="B238" s="826"/>
      <c r="C238" s="791" t="s">
        <v>12860</v>
      </c>
      <c r="D238" s="791" t="s">
        <v>12905</v>
      </c>
      <c r="E238" s="792" t="str">
        <f>IFERROR(VLOOKUP(D238,Stock,3,FALSE),"")</f>
        <v>Honda CR-V 12-16 4th Gen</v>
      </c>
      <c r="F238" s="791">
        <v>1.0</v>
      </c>
      <c r="G238" s="809">
        <v>244800.0</v>
      </c>
      <c r="H238" s="810">
        <f t="shared" si="10"/>
        <v>244800</v>
      </c>
      <c r="I238" s="811"/>
      <c r="J238" s="812"/>
      <c r="K238" s="819"/>
      <c r="L238" s="819"/>
      <c r="M238" s="796" t="s">
        <v>12809</v>
      </c>
      <c r="N238" s="820">
        <v>45436.0</v>
      </c>
      <c r="O238" s="823"/>
    </row>
    <row r="239" ht="14.25" customHeight="1">
      <c r="A239" s="825"/>
      <c r="B239" s="826"/>
      <c r="C239" s="791" t="s">
        <v>12860</v>
      </c>
      <c r="D239" s="791" t="s">
        <v>2861</v>
      </c>
      <c r="E239" s="792" t="str">
        <f>IFERROR(VLOOKUP(D239,Stock,3,FALSE),"")</f>
        <v>Honda CR-V 12-16 4th Gen</v>
      </c>
      <c r="F239" s="791">
        <v>1.0</v>
      </c>
      <c r="G239" s="809">
        <v>244800.0</v>
      </c>
      <c r="H239" s="810">
        <f t="shared" si="10"/>
        <v>244800</v>
      </c>
      <c r="I239" s="811"/>
      <c r="J239" s="812"/>
      <c r="K239" s="819"/>
      <c r="L239" s="819"/>
      <c r="M239" s="796" t="s">
        <v>12809</v>
      </c>
      <c r="N239" s="820">
        <v>45436.0</v>
      </c>
      <c r="O239" s="823"/>
    </row>
    <row r="240" ht="14.25" customHeight="1">
      <c r="A240" s="825"/>
      <c r="B240" s="826"/>
      <c r="C240" s="791" t="s">
        <v>12860</v>
      </c>
      <c r="D240" s="791" t="s">
        <v>2837</v>
      </c>
      <c r="E240" s="792" t="str">
        <f>IFERROR(VLOOKUP(D240,Stock,3,FALSE),"")</f>
        <v>Honda Freed 08-16 1st gen</v>
      </c>
      <c r="F240" s="791">
        <v>1.0</v>
      </c>
      <c r="G240" s="809">
        <v>212200.0</v>
      </c>
      <c r="H240" s="810">
        <f t="shared" si="10"/>
        <v>212200</v>
      </c>
      <c r="I240" s="811"/>
      <c r="J240" s="812"/>
      <c r="K240" s="819"/>
      <c r="L240" s="819"/>
      <c r="M240" s="796" t="s">
        <v>12809</v>
      </c>
      <c r="N240" s="820">
        <v>45436.0</v>
      </c>
      <c r="O240" s="823"/>
    </row>
    <row r="241" ht="14.25" customHeight="1">
      <c r="A241" s="825"/>
      <c r="B241" s="826"/>
      <c r="C241" s="791" t="s">
        <v>12860</v>
      </c>
      <c r="D241" s="791" t="s">
        <v>12906</v>
      </c>
      <c r="E241" s="792" t="str">
        <f>IFERROR(VLOOKUP(D241,Stock,3,FALSE),"")</f>
        <v>Honda Freed 08-16 1st gen</v>
      </c>
      <c r="F241" s="791">
        <v>1.0</v>
      </c>
      <c r="G241" s="809">
        <v>200400.0</v>
      </c>
      <c r="H241" s="810">
        <f t="shared" si="10"/>
        <v>200400</v>
      </c>
      <c r="I241" s="811"/>
      <c r="J241" s="812"/>
      <c r="K241" s="819"/>
      <c r="L241" s="819"/>
      <c r="M241" s="796" t="s">
        <v>12809</v>
      </c>
      <c r="N241" s="820">
        <v>45436.0</v>
      </c>
      <c r="O241" s="823"/>
    </row>
    <row r="242" ht="14.25" customHeight="1">
      <c r="A242" s="825"/>
      <c r="B242" s="790" t="s">
        <v>12907</v>
      </c>
      <c r="C242" s="791" t="s">
        <v>12874</v>
      </c>
      <c r="D242" s="791" t="s">
        <v>12906</v>
      </c>
      <c r="E242" s="792" t="str">
        <f>IFERROR(VLOOKUP(D242,Stock,3,FALSE),"")</f>
        <v>Honda Freed 08-16 1st gen</v>
      </c>
      <c r="F242" s="791">
        <v>-1.0</v>
      </c>
      <c r="G242" s="809">
        <v>200400.0</v>
      </c>
      <c r="H242" s="810">
        <f t="shared" si="10"/>
        <v>-200400</v>
      </c>
      <c r="I242" s="811"/>
      <c r="J242" s="812"/>
      <c r="K242" s="819"/>
      <c r="L242" s="819"/>
      <c r="M242" s="796" t="s">
        <v>12809</v>
      </c>
      <c r="N242" s="820">
        <v>45436.0</v>
      </c>
      <c r="O242" s="823"/>
    </row>
    <row r="243" ht="14.25" customHeight="1">
      <c r="A243" s="825"/>
      <c r="B243" s="826"/>
      <c r="C243" s="791" t="s">
        <v>12860</v>
      </c>
      <c r="D243" s="791" t="s">
        <v>12908</v>
      </c>
      <c r="E243" s="792" t="str">
        <f>IFERROR(VLOOKUP(D243,Stock,3,FALSE),"")</f>
        <v>Honda Freed 08-16 1st gen</v>
      </c>
      <c r="F243" s="791">
        <v>1.0</v>
      </c>
      <c r="G243" s="809">
        <v>200400.0</v>
      </c>
      <c r="H243" s="810">
        <f t="shared" si="10"/>
        <v>200400</v>
      </c>
      <c r="I243" s="811"/>
      <c r="J243" s="812"/>
      <c r="K243" s="819"/>
      <c r="L243" s="819"/>
      <c r="M243" s="796" t="s">
        <v>12809</v>
      </c>
      <c r="N243" s="820">
        <v>45436.0</v>
      </c>
      <c r="O243" s="823"/>
    </row>
    <row r="244" ht="14.25" customHeight="1">
      <c r="A244" s="825"/>
      <c r="B244" s="826"/>
      <c r="C244" s="791" t="s">
        <v>12860</v>
      </c>
      <c r="D244" s="791" t="s">
        <v>12909</v>
      </c>
      <c r="E244" s="792" t="str">
        <f>IFERROR(VLOOKUP(D244,Stock,3,FALSE),"")</f>
        <v>Honda Freed 08-16 1st gen</v>
      </c>
      <c r="F244" s="791">
        <v>1.0</v>
      </c>
      <c r="G244" s="809">
        <v>220100.0</v>
      </c>
      <c r="H244" s="810">
        <f t="shared" si="10"/>
        <v>220100</v>
      </c>
      <c r="I244" s="811"/>
      <c r="J244" s="812"/>
      <c r="K244" s="819"/>
      <c r="L244" s="819"/>
      <c r="M244" s="796" t="s">
        <v>12809</v>
      </c>
      <c r="N244" s="820">
        <v>45436.0</v>
      </c>
      <c r="O244" s="823"/>
    </row>
    <row r="245" ht="14.25" customHeight="1">
      <c r="A245" s="789">
        <v>45425.0</v>
      </c>
      <c r="B245" s="790" t="s">
        <v>12910</v>
      </c>
      <c r="C245" s="791" t="s">
        <v>12874</v>
      </c>
      <c r="D245" s="791" t="s">
        <v>12909</v>
      </c>
      <c r="E245" s="792" t="str">
        <f>IFERROR(VLOOKUP(D245,Stock,3,FALSE),"")</f>
        <v>Honda Freed 08-16 1st gen</v>
      </c>
      <c r="F245" s="791">
        <v>-1.0</v>
      </c>
      <c r="G245" s="809">
        <v>220100.0</v>
      </c>
      <c r="H245" s="810">
        <f t="shared" si="10"/>
        <v>-220100</v>
      </c>
      <c r="I245" s="811"/>
      <c r="J245" s="812"/>
      <c r="K245" s="819"/>
      <c r="L245" s="819"/>
      <c r="M245" s="796" t="s">
        <v>12809</v>
      </c>
      <c r="N245" s="820">
        <v>45436.0</v>
      </c>
      <c r="O245" s="823"/>
    </row>
    <row r="246" ht="14.25" customHeight="1">
      <c r="A246" s="825"/>
      <c r="B246" s="826"/>
      <c r="C246" s="791" t="s">
        <v>12860</v>
      </c>
      <c r="D246" s="791" t="s">
        <v>12911</v>
      </c>
      <c r="E246" s="792" t="str">
        <f>IFERROR(VLOOKUP(D246,Stock,3,FALSE),"")</f>
        <v>Honda Jazz 01-07 1st Gen</v>
      </c>
      <c r="F246" s="791">
        <v>1.0</v>
      </c>
      <c r="G246" s="809">
        <v>126100.0</v>
      </c>
      <c r="H246" s="810">
        <f t="shared" si="10"/>
        <v>126100</v>
      </c>
      <c r="I246" s="811"/>
      <c r="J246" s="812"/>
      <c r="K246" s="819"/>
      <c r="L246" s="819"/>
      <c r="M246" s="796" t="s">
        <v>12809</v>
      </c>
      <c r="N246" s="820">
        <v>45436.0</v>
      </c>
      <c r="O246" s="823"/>
    </row>
    <row r="247" ht="14.25" customHeight="1">
      <c r="A247" s="825"/>
      <c r="B247" s="826"/>
      <c r="C247" s="791" t="s">
        <v>12860</v>
      </c>
      <c r="D247" s="791" t="s">
        <v>12912</v>
      </c>
      <c r="E247" s="792" t="str">
        <f>IFERROR(VLOOKUP(D247,Stock,3,FALSE),"")</f>
        <v>Honda Jazz 01-07 1st Gen</v>
      </c>
      <c r="F247" s="791">
        <v>1.0</v>
      </c>
      <c r="G247" s="809">
        <v>126100.0</v>
      </c>
      <c r="H247" s="810">
        <f t="shared" si="10"/>
        <v>126100</v>
      </c>
      <c r="I247" s="811"/>
      <c r="J247" s="812"/>
      <c r="K247" s="819"/>
      <c r="L247" s="819"/>
      <c r="M247" s="796" t="s">
        <v>12809</v>
      </c>
      <c r="N247" s="820">
        <v>45436.0</v>
      </c>
      <c r="O247" s="823"/>
    </row>
    <row r="248" ht="14.25" customHeight="1">
      <c r="A248" s="825"/>
      <c r="B248" s="826"/>
      <c r="C248" s="791" t="s">
        <v>12860</v>
      </c>
      <c r="D248" s="791" t="s">
        <v>2817</v>
      </c>
      <c r="E248" s="792" t="str">
        <f>IFERROR(VLOOKUP(D248,Stock,3,FALSE),"")</f>
        <v>Honda Jazz 01-07 1st Gen</v>
      </c>
      <c r="F248" s="791">
        <v>1.0</v>
      </c>
      <c r="G248" s="809">
        <v>269800.0</v>
      </c>
      <c r="H248" s="810">
        <f t="shared" si="10"/>
        <v>269800</v>
      </c>
      <c r="I248" s="811"/>
      <c r="J248" s="812"/>
      <c r="K248" s="819"/>
      <c r="L248" s="819"/>
      <c r="M248" s="796" t="s">
        <v>12809</v>
      </c>
      <c r="N248" s="820">
        <v>45436.0</v>
      </c>
      <c r="O248" s="823"/>
    </row>
    <row r="249" ht="14.25" customHeight="1">
      <c r="A249" s="825"/>
      <c r="B249" s="826"/>
      <c r="C249" s="791" t="s">
        <v>12860</v>
      </c>
      <c r="D249" s="791" t="s">
        <v>12913</v>
      </c>
      <c r="E249" s="792" t="str">
        <f>IFERROR(VLOOKUP(D249,Stock,3,FALSE),"")</f>
        <v>Honda Jazz 07-13 2nd Gen</v>
      </c>
      <c r="F249" s="791">
        <v>1.0</v>
      </c>
      <c r="G249" s="809">
        <v>135800.0</v>
      </c>
      <c r="H249" s="810">
        <f t="shared" si="10"/>
        <v>135800</v>
      </c>
      <c r="I249" s="811"/>
      <c r="J249" s="812"/>
      <c r="K249" s="819"/>
      <c r="L249" s="819"/>
      <c r="M249" s="796" t="s">
        <v>12809</v>
      </c>
      <c r="N249" s="820">
        <v>45436.0</v>
      </c>
      <c r="O249" s="823"/>
    </row>
    <row r="250" ht="14.25" customHeight="1">
      <c r="A250" s="825"/>
      <c r="B250" s="826"/>
      <c r="C250" s="791" t="s">
        <v>12860</v>
      </c>
      <c r="D250" s="791" t="s">
        <v>12914</v>
      </c>
      <c r="E250" s="792" t="str">
        <f>IFERROR(VLOOKUP(D250,Stock,3,FALSE),"")</f>
        <v>Honda Jazz 07-13 2nd Gen</v>
      </c>
      <c r="F250" s="791">
        <v>1.0</v>
      </c>
      <c r="G250" s="809">
        <v>206600.0</v>
      </c>
      <c r="H250" s="810">
        <f t="shared" si="10"/>
        <v>206600</v>
      </c>
      <c r="I250" s="811"/>
      <c r="J250" s="812"/>
      <c r="K250" s="819"/>
      <c r="L250" s="819"/>
      <c r="M250" s="796" t="s">
        <v>12809</v>
      </c>
      <c r="N250" s="820">
        <v>45436.0</v>
      </c>
      <c r="O250" s="823"/>
    </row>
    <row r="251" ht="14.25" customHeight="1">
      <c r="A251" s="825"/>
      <c r="B251" s="826"/>
      <c r="C251" s="791" t="s">
        <v>12860</v>
      </c>
      <c r="D251" s="791" t="s">
        <v>12915</v>
      </c>
      <c r="E251" s="792" t="str">
        <f>IFERROR(VLOOKUP(D251,Stock,3,FALSE),"")</f>
        <v>Honda Jazz 13-  3rd Gen</v>
      </c>
      <c r="F251" s="791">
        <v>1.0</v>
      </c>
      <c r="G251" s="809">
        <v>160200.0</v>
      </c>
      <c r="H251" s="810">
        <f t="shared" si="10"/>
        <v>160200</v>
      </c>
      <c r="I251" s="811"/>
      <c r="J251" s="812"/>
      <c r="K251" s="819"/>
      <c r="L251" s="819"/>
      <c r="M251" s="796" t="s">
        <v>12809</v>
      </c>
      <c r="N251" s="820">
        <v>45436.0</v>
      </c>
      <c r="O251" s="823"/>
    </row>
    <row r="252" ht="14.25" customHeight="1">
      <c r="A252" s="789">
        <v>45408.0</v>
      </c>
      <c r="B252" s="790" t="s">
        <v>12916</v>
      </c>
      <c r="C252" s="791" t="s">
        <v>12860</v>
      </c>
      <c r="D252" s="791" t="s">
        <v>2854</v>
      </c>
      <c r="E252" s="792" t="str">
        <f>IFERROR(VLOOKUP(D252,Stock,3,FALSE),"")</f>
        <v>Toyota Rush / Terios 18-</v>
      </c>
      <c r="F252" s="791">
        <v>1.0</v>
      </c>
      <c r="G252" s="809">
        <v>152400.0</v>
      </c>
      <c r="H252" s="810">
        <f t="shared" si="10"/>
        <v>152400</v>
      </c>
      <c r="I252" s="811"/>
      <c r="J252" s="812"/>
      <c r="K252" s="819"/>
      <c r="L252" s="819"/>
      <c r="M252" s="796" t="s">
        <v>12809</v>
      </c>
      <c r="N252" s="820">
        <v>45436.0</v>
      </c>
      <c r="O252" s="823"/>
    </row>
    <row r="253" ht="14.25" customHeight="1">
      <c r="A253" s="825"/>
      <c r="B253" s="826"/>
      <c r="C253" s="791" t="s">
        <v>12860</v>
      </c>
      <c r="D253" s="791" t="s">
        <v>6817</v>
      </c>
      <c r="E253" s="792" t="str">
        <f>IFERROR(VLOOKUP(D253,Stock,3,FALSE),"")</f>
        <v>Toyota Rush / Terios 18-</v>
      </c>
      <c r="F253" s="791">
        <v>2.0</v>
      </c>
      <c r="G253" s="809">
        <v>141100.0</v>
      </c>
      <c r="H253" s="810">
        <f t="shared" si="10"/>
        <v>282200</v>
      </c>
      <c r="I253" s="811"/>
      <c r="J253" s="812"/>
      <c r="K253" s="819"/>
      <c r="L253" s="819"/>
      <c r="M253" s="796" t="s">
        <v>12809</v>
      </c>
      <c r="N253" s="820">
        <v>45436.0</v>
      </c>
      <c r="O253" s="823"/>
    </row>
    <row r="254" ht="14.25" customHeight="1">
      <c r="A254" s="825"/>
      <c r="B254" s="826"/>
      <c r="C254" s="791" t="s">
        <v>12860</v>
      </c>
      <c r="D254" s="791" t="s">
        <v>6818</v>
      </c>
      <c r="E254" s="792" t="str">
        <f>IFERROR(VLOOKUP(D254,Stock,3,FALSE),"")</f>
        <v>Toyota Rush / Terios 18-</v>
      </c>
      <c r="F254" s="791">
        <v>2.0</v>
      </c>
      <c r="G254" s="809">
        <v>141100.0</v>
      </c>
      <c r="H254" s="810">
        <f t="shared" si="10"/>
        <v>282200</v>
      </c>
      <c r="I254" s="811"/>
      <c r="J254" s="812"/>
      <c r="K254" s="819"/>
      <c r="L254" s="819"/>
      <c r="M254" s="796" t="s">
        <v>12809</v>
      </c>
      <c r="N254" s="820">
        <v>45436.0</v>
      </c>
      <c r="O254" s="823"/>
    </row>
    <row r="255" ht="14.25" customHeight="1">
      <c r="A255" s="825"/>
      <c r="B255" s="826"/>
      <c r="C255" s="791" t="s">
        <v>12860</v>
      </c>
      <c r="D255" s="791" t="s">
        <v>6300</v>
      </c>
      <c r="E255" s="792" t="str">
        <f>IFERROR(VLOOKUP(D255,Stock,3,FALSE),"")</f>
        <v>Toyota Rush / Terios 06-17</v>
      </c>
      <c r="F255" s="791">
        <v>2.0</v>
      </c>
      <c r="G255" s="809">
        <v>152200.0</v>
      </c>
      <c r="H255" s="810">
        <f t="shared" si="10"/>
        <v>304400</v>
      </c>
      <c r="I255" s="811"/>
      <c r="J255" s="812"/>
      <c r="K255" s="819"/>
      <c r="L255" s="819"/>
      <c r="M255" s="796" t="s">
        <v>12809</v>
      </c>
      <c r="N255" s="820">
        <v>45436.0</v>
      </c>
      <c r="O255" s="823"/>
    </row>
    <row r="256" ht="14.25" customHeight="1">
      <c r="A256" s="825"/>
      <c r="B256" s="826"/>
      <c r="C256" s="791" t="s">
        <v>12860</v>
      </c>
      <c r="D256" s="791" t="s">
        <v>9274</v>
      </c>
      <c r="E256" s="792" t="str">
        <f>IFERROR(VLOOKUP(D256,Stock,3,FALSE),"")</f>
        <v>Toyota Rush / Terios 06-17</v>
      </c>
      <c r="F256" s="791">
        <v>1.0</v>
      </c>
      <c r="G256" s="809">
        <v>152200.0</v>
      </c>
      <c r="H256" s="810">
        <f t="shared" si="10"/>
        <v>152200</v>
      </c>
      <c r="I256" s="811"/>
      <c r="J256" s="812"/>
      <c r="K256" s="819"/>
      <c r="L256" s="819"/>
      <c r="M256" s="796" t="s">
        <v>12809</v>
      </c>
      <c r="N256" s="820">
        <v>45436.0</v>
      </c>
      <c r="O256" s="823"/>
    </row>
    <row r="257" ht="14.25" customHeight="1">
      <c r="A257" s="825"/>
      <c r="B257" s="826"/>
      <c r="C257" s="791" t="s">
        <v>12860</v>
      </c>
      <c r="D257" s="791" t="s">
        <v>12917</v>
      </c>
      <c r="E257" s="792" t="str">
        <f>IFERROR(VLOOKUP(D257,Stock,3,FALSE),"")</f>
        <v>Toyota Raize / Daihatsu Rocky 20- </v>
      </c>
      <c r="F257" s="791">
        <v>1.0</v>
      </c>
      <c r="G257" s="809">
        <v>177000.0</v>
      </c>
      <c r="H257" s="810">
        <f t="shared" si="10"/>
        <v>177000</v>
      </c>
      <c r="I257" s="811"/>
      <c r="J257" s="812"/>
      <c r="K257" s="819"/>
      <c r="L257" s="819"/>
      <c r="M257" s="796" t="s">
        <v>12809</v>
      </c>
      <c r="N257" s="820">
        <v>45436.0</v>
      </c>
      <c r="O257" s="823"/>
    </row>
    <row r="258" ht="14.25" customHeight="1">
      <c r="A258" s="825"/>
      <c r="B258" s="826"/>
      <c r="C258" s="791" t="s">
        <v>12860</v>
      </c>
      <c r="D258" s="791" t="s">
        <v>12918</v>
      </c>
      <c r="E258" s="792" t="str">
        <f>IFERROR(VLOOKUP(D258,Stock,3,FALSE),"")</f>
        <v>Toyota Kijang  98- Kapsul Karet (7K)</v>
      </c>
      <c r="F258" s="791">
        <v>1.0</v>
      </c>
      <c r="G258" s="809">
        <v>221900.0</v>
      </c>
      <c r="H258" s="810">
        <f t="shared" si="10"/>
        <v>221900</v>
      </c>
      <c r="I258" s="811"/>
      <c r="J258" s="812"/>
      <c r="K258" s="819"/>
      <c r="L258" s="819"/>
      <c r="M258" s="796" t="s">
        <v>12809</v>
      </c>
      <c r="N258" s="820">
        <v>45436.0</v>
      </c>
      <c r="O258" s="823"/>
    </row>
    <row r="259" ht="14.25" customHeight="1">
      <c r="A259" s="825"/>
      <c r="B259" s="826"/>
      <c r="C259" s="791" t="s">
        <v>12860</v>
      </c>
      <c r="D259" s="791" t="s">
        <v>12919</v>
      </c>
      <c r="E259" s="792" t="str">
        <f>IFERROR(VLOOKUP(D259,Stock,3,FALSE),"")</f>
        <v>Toyota Kijang  98- Kapsul Karet (7K)</v>
      </c>
      <c r="F259" s="791">
        <v>1.0</v>
      </c>
      <c r="G259" s="809">
        <v>143400.0</v>
      </c>
      <c r="H259" s="810">
        <f t="shared" si="10"/>
        <v>143400</v>
      </c>
      <c r="I259" s="811"/>
      <c r="J259" s="812"/>
      <c r="K259" s="819"/>
      <c r="L259" s="819"/>
      <c r="M259" s="796" t="s">
        <v>12809</v>
      </c>
      <c r="N259" s="820">
        <v>45436.0</v>
      </c>
      <c r="O259" s="823"/>
    </row>
    <row r="260" ht="14.25" customHeight="1">
      <c r="A260" s="825"/>
      <c r="B260" s="826"/>
      <c r="C260" s="791" t="s">
        <v>12860</v>
      </c>
      <c r="D260" s="791" t="s">
        <v>12920</v>
      </c>
      <c r="E260" s="792" t="str">
        <f>IFERROR(VLOOKUP(D260,Stock,3,FALSE),"")</f>
        <v>Toyota Kijang  98- Kapsul Karet (7K)</v>
      </c>
      <c r="F260" s="791">
        <v>1.0</v>
      </c>
      <c r="G260" s="809">
        <v>51400.0</v>
      </c>
      <c r="H260" s="810">
        <f t="shared" si="10"/>
        <v>51400</v>
      </c>
      <c r="I260" s="811"/>
      <c r="J260" s="812"/>
      <c r="K260" s="819"/>
      <c r="L260" s="819"/>
      <c r="M260" s="796" t="s">
        <v>12809</v>
      </c>
      <c r="N260" s="820">
        <v>45436.0</v>
      </c>
      <c r="O260" s="823"/>
    </row>
    <row r="261" ht="14.25" customHeight="1">
      <c r="A261" s="825"/>
      <c r="B261" s="826"/>
      <c r="C261" s="791" t="s">
        <v>12860</v>
      </c>
      <c r="D261" s="791" t="s">
        <v>2814</v>
      </c>
      <c r="E261" s="792" t="str">
        <f>IFERROR(VLOOKUP(D261,Stock,3,FALSE),"")</f>
        <v>Toyota Kijang 02-04 Kapsul Lem Efi (7K) Long</v>
      </c>
      <c r="F261" s="791">
        <v>1.0</v>
      </c>
      <c r="G261" s="809">
        <v>201100.0</v>
      </c>
      <c r="H261" s="810">
        <f t="shared" si="10"/>
        <v>201100</v>
      </c>
      <c r="I261" s="811"/>
      <c r="J261" s="812"/>
      <c r="K261" s="819"/>
      <c r="L261" s="819"/>
      <c r="M261" s="796" t="s">
        <v>12809</v>
      </c>
      <c r="N261" s="820">
        <v>45436.0</v>
      </c>
      <c r="O261" s="823"/>
    </row>
    <row r="262" ht="14.25" customHeight="1">
      <c r="A262" s="825"/>
      <c r="B262" s="826"/>
      <c r="C262" s="791" t="s">
        <v>12860</v>
      </c>
      <c r="D262" s="791" t="s">
        <v>12921</v>
      </c>
      <c r="E262" s="792" t="str">
        <f>IFERROR(VLOOKUP(D262,Stock,3,FALSE),"")</f>
        <v>Toyota Kijang Super/Grand K125</v>
      </c>
      <c r="F262" s="791">
        <v>1.0</v>
      </c>
      <c r="G262" s="809">
        <v>57000.0</v>
      </c>
      <c r="H262" s="810">
        <f t="shared" si="10"/>
        <v>57000</v>
      </c>
      <c r="I262" s="811"/>
      <c r="J262" s="812"/>
      <c r="K262" s="819"/>
      <c r="L262" s="819"/>
      <c r="M262" s="796" t="s">
        <v>12809</v>
      </c>
      <c r="N262" s="820">
        <v>45436.0</v>
      </c>
      <c r="O262" s="823"/>
    </row>
    <row r="263" ht="14.25" customHeight="1">
      <c r="A263" s="825"/>
      <c r="B263" s="826"/>
      <c r="C263" s="791" t="s">
        <v>12860</v>
      </c>
      <c r="D263" s="791" t="s">
        <v>2818</v>
      </c>
      <c r="E263" s="792" t="str">
        <f>IFERROR(VLOOKUP(D263,Stock,3,FALSE),"")</f>
        <v>Toyota Kijang Super/Grand K125 Pick Up</v>
      </c>
      <c r="F263" s="791">
        <v>1.0</v>
      </c>
      <c r="G263" s="809">
        <v>63200.0</v>
      </c>
      <c r="H263" s="810">
        <f t="shared" si="10"/>
        <v>63200</v>
      </c>
      <c r="I263" s="811"/>
      <c r="J263" s="812"/>
      <c r="K263" s="819"/>
      <c r="L263" s="819"/>
      <c r="M263" s="796" t="s">
        <v>12809</v>
      </c>
      <c r="N263" s="820">
        <v>45436.0</v>
      </c>
      <c r="O263" s="823"/>
    </row>
    <row r="264" ht="14.25" customHeight="1">
      <c r="A264" s="825"/>
      <c r="B264" s="826"/>
      <c r="C264" s="791" t="s">
        <v>12860</v>
      </c>
      <c r="D264" s="791" t="s">
        <v>6819</v>
      </c>
      <c r="E264" s="792" t="str">
        <f>IFERROR(VLOOKUP(D264,Stock,3,FALSE),"")</f>
        <v>Mitsubishi L300</v>
      </c>
      <c r="F264" s="791">
        <v>2.0</v>
      </c>
      <c r="G264" s="809">
        <v>99600.0</v>
      </c>
      <c r="H264" s="810">
        <f t="shared" si="10"/>
        <v>199200</v>
      </c>
      <c r="I264" s="811"/>
      <c r="J264" s="812"/>
      <c r="K264" s="819"/>
      <c r="L264" s="819"/>
      <c r="M264" s="796" t="s">
        <v>12809</v>
      </c>
      <c r="N264" s="820">
        <v>45436.0</v>
      </c>
      <c r="O264" s="823"/>
    </row>
    <row r="265" ht="14.25" customHeight="1">
      <c r="A265" s="825"/>
      <c r="B265" s="826"/>
      <c r="C265" s="791" t="s">
        <v>12860</v>
      </c>
      <c r="D265" s="791" t="s">
        <v>2828</v>
      </c>
      <c r="E265" s="792" t="str">
        <f>IFERROR(VLOOKUP(D265,Stock,3,FALSE),"")</f>
        <v>Mitsubishi L300</v>
      </c>
      <c r="F265" s="791">
        <v>2.0</v>
      </c>
      <c r="G265" s="809">
        <v>99600.0</v>
      </c>
      <c r="H265" s="810">
        <f t="shared" si="10"/>
        <v>199200</v>
      </c>
      <c r="I265" s="811"/>
      <c r="J265" s="812"/>
      <c r="K265" s="819"/>
      <c r="L265" s="819"/>
      <c r="M265" s="796" t="s">
        <v>12809</v>
      </c>
      <c r="N265" s="820">
        <v>45436.0</v>
      </c>
      <c r="O265" s="823"/>
    </row>
    <row r="266" ht="14.25" customHeight="1">
      <c r="A266" s="825"/>
      <c r="B266" s="826"/>
      <c r="C266" s="791" t="s">
        <v>12860</v>
      </c>
      <c r="D266" s="791" t="s">
        <v>12922</v>
      </c>
      <c r="E266" s="792" t="str">
        <f>IFERROR(VLOOKUP(D266,Stock,3,FALSE),"")</f>
        <v>Mitsubishi L300 Pick Up</v>
      </c>
      <c r="F266" s="791">
        <v>1.0</v>
      </c>
      <c r="G266" s="809">
        <v>73400.0</v>
      </c>
      <c r="H266" s="810">
        <f t="shared" si="10"/>
        <v>73400</v>
      </c>
      <c r="I266" s="811"/>
      <c r="J266" s="812"/>
      <c r="K266" s="819"/>
      <c r="L266" s="819"/>
      <c r="M266" s="796" t="s">
        <v>12809</v>
      </c>
      <c r="N266" s="820">
        <v>45436.0</v>
      </c>
      <c r="O266" s="823"/>
    </row>
    <row r="267" ht="14.25" customHeight="1">
      <c r="A267" s="789">
        <v>45408.0</v>
      </c>
      <c r="B267" s="790" t="s">
        <v>12923</v>
      </c>
      <c r="C267" s="791" t="s">
        <v>12860</v>
      </c>
      <c r="D267" s="791" t="s">
        <v>2832</v>
      </c>
      <c r="E267" s="792" t="str">
        <f>IFERROR(VLOOKUP(D267,Stock,3,FALSE),"")</f>
        <v>Toyota Fortuner 15-  2nd Gen</v>
      </c>
      <c r="F267" s="791">
        <v>2.0</v>
      </c>
      <c r="G267" s="809">
        <v>502100.0</v>
      </c>
      <c r="H267" s="810">
        <f t="shared" si="10"/>
        <v>1004200</v>
      </c>
      <c r="I267" s="811"/>
      <c r="J267" s="812"/>
      <c r="K267" s="819"/>
      <c r="L267" s="819"/>
      <c r="M267" s="796" t="s">
        <v>12809</v>
      </c>
      <c r="N267" s="820">
        <v>45436.0</v>
      </c>
      <c r="O267" s="823"/>
    </row>
    <row r="268" ht="14.25" customHeight="1">
      <c r="A268" s="825"/>
      <c r="B268" s="790"/>
      <c r="C268" s="791" t="s">
        <v>12860</v>
      </c>
      <c r="D268" s="791" t="s">
        <v>12924</v>
      </c>
      <c r="E268" s="792" t="str">
        <f>IFERROR(VLOOKUP(D268,Stock,3,FALSE),"")</f>
        <v>Toyota Innova 04-15 1st Gen</v>
      </c>
      <c r="F268" s="791">
        <v>1.0</v>
      </c>
      <c r="G268" s="809">
        <v>64000.0</v>
      </c>
      <c r="H268" s="810">
        <f t="shared" si="10"/>
        <v>64000</v>
      </c>
      <c r="I268" s="811"/>
      <c r="J268" s="812"/>
      <c r="K268" s="819"/>
      <c r="L268" s="819"/>
      <c r="M268" s="796" t="s">
        <v>12809</v>
      </c>
      <c r="N268" s="820">
        <v>45436.0</v>
      </c>
      <c r="O268" s="823"/>
    </row>
    <row r="269" ht="14.25" customHeight="1">
      <c r="A269" s="825"/>
      <c r="B269" s="790"/>
      <c r="C269" s="791" t="s">
        <v>12860</v>
      </c>
      <c r="D269" s="791" t="s">
        <v>12925</v>
      </c>
      <c r="E269" s="792" t="str">
        <f>IFERROR(VLOOKUP(D269,Stock,3,FALSE),"")</f>
        <v>Toyota Innova 15-22 2nd Gen</v>
      </c>
      <c r="F269" s="791">
        <v>1.0</v>
      </c>
      <c r="G269" s="809">
        <v>208300.0</v>
      </c>
      <c r="H269" s="810">
        <f t="shared" si="10"/>
        <v>208300</v>
      </c>
      <c r="I269" s="811"/>
      <c r="J269" s="812"/>
      <c r="K269" s="819"/>
      <c r="L269" s="819"/>
      <c r="M269" s="796" t="s">
        <v>12809</v>
      </c>
      <c r="N269" s="820">
        <v>45436.0</v>
      </c>
      <c r="O269" s="823"/>
    </row>
    <row r="270" ht="14.25" customHeight="1">
      <c r="A270" s="825"/>
      <c r="B270" s="790"/>
      <c r="C270" s="791" t="s">
        <v>12860</v>
      </c>
      <c r="D270" s="791" t="s">
        <v>12926</v>
      </c>
      <c r="E270" s="792" t="str">
        <f>IFERROR(VLOOKUP(D270,Stock,3,FALSE),"")</f>
        <v>Toyota Innova 15-22 2nd Gen</v>
      </c>
      <c r="F270" s="791">
        <v>1.0</v>
      </c>
      <c r="G270" s="809">
        <v>208300.0</v>
      </c>
      <c r="H270" s="810">
        <f t="shared" si="10"/>
        <v>208300</v>
      </c>
      <c r="I270" s="811"/>
      <c r="J270" s="812"/>
      <c r="K270" s="819"/>
      <c r="L270" s="819"/>
      <c r="M270" s="796" t="s">
        <v>12809</v>
      </c>
      <c r="N270" s="820">
        <v>45436.0</v>
      </c>
      <c r="O270" s="823"/>
    </row>
    <row r="271" ht="14.25" customHeight="1">
      <c r="A271" s="825"/>
      <c r="B271" s="790"/>
      <c r="C271" s="791" t="s">
        <v>12860</v>
      </c>
      <c r="D271" s="791" t="s">
        <v>11266</v>
      </c>
      <c r="E271" s="792" t="str">
        <f>IFERROR(VLOOKUP(D271,Stock,3,FALSE),"")</f>
        <v>Toyota Innova 15-22 2nd Gen</v>
      </c>
      <c r="F271" s="791">
        <v>1.0</v>
      </c>
      <c r="G271" s="809">
        <v>63200.0</v>
      </c>
      <c r="H271" s="810">
        <f t="shared" si="10"/>
        <v>63200</v>
      </c>
      <c r="I271" s="811"/>
      <c r="J271" s="812"/>
      <c r="K271" s="819"/>
      <c r="L271" s="819"/>
      <c r="M271" s="796" t="s">
        <v>12809</v>
      </c>
      <c r="N271" s="820">
        <v>45436.0</v>
      </c>
      <c r="O271" s="823"/>
    </row>
    <row r="272" ht="14.25" customHeight="1">
      <c r="A272" s="825"/>
      <c r="B272" s="790"/>
      <c r="C272" s="791" t="s">
        <v>12860</v>
      </c>
      <c r="D272" s="791" t="s">
        <v>12927</v>
      </c>
      <c r="E272" s="792" t="str">
        <f>IFERROR(VLOOKUP(D272,Stock,3,FALSE),"")</f>
        <v>Toyota Vios 07-13 XP90 2nd Gen</v>
      </c>
      <c r="F272" s="791">
        <v>1.0</v>
      </c>
      <c r="G272" s="809">
        <v>198700.0</v>
      </c>
      <c r="H272" s="810">
        <f t="shared" si="10"/>
        <v>198700</v>
      </c>
      <c r="I272" s="811"/>
      <c r="J272" s="812"/>
      <c r="K272" s="819"/>
      <c r="L272" s="819"/>
      <c r="M272" s="796" t="s">
        <v>12809</v>
      </c>
      <c r="N272" s="820">
        <v>45436.0</v>
      </c>
      <c r="O272" s="823"/>
    </row>
    <row r="273" ht="14.25" customHeight="1">
      <c r="A273" s="825"/>
      <c r="B273" s="790"/>
      <c r="C273" s="791" t="s">
        <v>12860</v>
      </c>
      <c r="D273" s="791" t="s">
        <v>2839</v>
      </c>
      <c r="E273" s="792" t="str">
        <f>IFERROR(VLOOKUP(D273,Stock,3,FALSE),"")</f>
        <v>Toyota Vios 07-13 XP90 2nd Gen</v>
      </c>
      <c r="F273" s="791">
        <v>1.0</v>
      </c>
      <c r="G273" s="809">
        <v>198700.0</v>
      </c>
      <c r="H273" s="810">
        <f t="shared" si="10"/>
        <v>198700</v>
      </c>
      <c r="I273" s="811"/>
      <c r="J273" s="812"/>
      <c r="K273" s="819"/>
      <c r="L273" s="819"/>
      <c r="M273" s="796" t="s">
        <v>12809</v>
      </c>
      <c r="N273" s="820">
        <v>45436.0</v>
      </c>
      <c r="O273" s="823"/>
    </row>
    <row r="274" ht="14.25" customHeight="1">
      <c r="A274" s="825"/>
      <c r="B274" s="790"/>
      <c r="C274" s="791" t="s">
        <v>12860</v>
      </c>
      <c r="D274" s="791" t="s">
        <v>2833</v>
      </c>
      <c r="E274" s="792" t="str">
        <f>IFERROR(VLOOKUP(D274,Stock,3,FALSE),"")</f>
        <v>Toyota Vios 13-17 3rd Gen / Yaris 13- 2nd Gen XP150 / Yaris 18- 3rd Gen XP151</v>
      </c>
      <c r="F274" s="791">
        <v>1.0</v>
      </c>
      <c r="G274" s="809">
        <v>311800.0</v>
      </c>
      <c r="H274" s="810">
        <f t="shared" si="10"/>
        <v>311800</v>
      </c>
      <c r="I274" s="811"/>
      <c r="J274" s="812"/>
      <c r="K274" s="819"/>
      <c r="L274" s="819"/>
      <c r="M274" s="796" t="s">
        <v>12809</v>
      </c>
      <c r="N274" s="820">
        <v>45436.0</v>
      </c>
      <c r="O274" s="823"/>
    </row>
    <row r="275" ht="14.25" customHeight="1">
      <c r="A275" s="825"/>
      <c r="B275" s="790"/>
      <c r="C275" s="791" t="s">
        <v>12860</v>
      </c>
      <c r="D275" s="791" t="s">
        <v>12928</v>
      </c>
      <c r="E275" s="792" t="str">
        <f>IFERROR(VLOOKUP(D275,Stock,3,FALSE),"")</f>
        <v>Toyota Yaris 05-13 XP90 1st Gen</v>
      </c>
      <c r="F275" s="791">
        <v>1.0</v>
      </c>
      <c r="G275" s="809">
        <v>299500.0</v>
      </c>
      <c r="H275" s="810">
        <f t="shared" si="10"/>
        <v>299500</v>
      </c>
      <c r="I275" s="811"/>
      <c r="J275" s="812"/>
      <c r="K275" s="819"/>
      <c r="L275" s="819"/>
      <c r="M275" s="796" t="s">
        <v>12809</v>
      </c>
      <c r="N275" s="820">
        <v>45436.0</v>
      </c>
      <c r="O275" s="823"/>
    </row>
    <row r="276" ht="14.25" customHeight="1">
      <c r="A276" s="825"/>
      <c r="B276" s="790"/>
      <c r="C276" s="791" t="s">
        <v>12860</v>
      </c>
      <c r="D276" s="791" t="s">
        <v>12929</v>
      </c>
      <c r="E276" s="792" t="str">
        <f>IFERROR(VLOOKUP(D276,Stock,3,FALSE),"")</f>
        <v>Toyota Yaris 05-13 XP90 1st Gen</v>
      </c>
      <c r="F276" s="791">
        <v>1.0</v>
      </c>
      <c r="G276" s="809">
        <v>299500.0</v>
      </c>
      <c r="H276" s="810">
        <f t="shared" si="10"/>
        <v>299500</v>
      </c>
      <c r="I276" s="811"/>
      <c r="J276" s="812"/>
      <c r="K276" s="819"/>
      <c r="L276" s="819"/>
      <c r="M276" s="796" t="s">
        <v>12809</v>
      </c>
      <c r="N276" s="820">
        <v>45436.0</v>
      </c>
      <c r="O276" s="823"/>
    </row>
    <row r="277" ht="14.25" customHeight="1">
      <c r="A277" s="825"/>
      <c r="B277" s="790"/>
      <c r="C277" s="791" t="s">
        <v>12860</v>
      </c>
      <c r="D277" s="791" t="s">
        <v>6227</v>
      </c>
      <c r="E277" s="792" t="str">
        <f>IFERROR(VLOOKUP(D277,Stock,3,FALSE),"")</f>
        <v>Toyota Fortuner 15-  2nd Gen</v>
      </c>
      <c r="F277" s="791">
        <v>2.0</v>
      </c>
      <c r="G277" s="809">
        <v>502100.0</v>
      </c>
      <c r="H277" s="810">
        <f t="shared" si="10"/>
        <v>1004200</v>
      </c>
      <c r="I277" s="811"/>
      <c r="J277" s="812"/>
      <c r="K277" s="819"/>
      <c r="L277" s="819"/>
      <c r="M277" s="796" t="s">
        <v>12809</v>
      </c>
      <c r="N277" s="820">
        <v>45436.0</v>
      </c>
      <c r="O277" s="823"/>
    </row>
    <row r="278" ht="14.25" customHeight="1">
      <c r="A278" s="789">
        <v>45408.0</v>
      </c>
      <c r="B278" s="790" t="s">
        <v>12930</v>
      </c>
      <c r="C278" s="791" t="s">
        <v>12860</v>
      </c>
      <c r="D278" s="791" t="s">
        <v>2934</v>
      </c>
      <c r="E278" s="792" t="str">
        <f>IFERROR(VLOOKUP(D278,Stock,3,FALSE),"")</f>
        <v>Peti Kayu</v>
      </c>
      <c r="F278" s="791">
        <v>2.0</v>
      </c>
      <c r="G278" s="809">
        <v>75000.0</v>
      </c>
      <c r="H278" s="810">
        <f t="shared" si="10"/>
        <v>150000</v>
      </c>
      <c r="I278" s="811"/>
      <c r="J278" s="812"/>
      <c r="K278" s="819"/>
      <c r="L278" s="819"/>
      <c r="M278" s="796" t="s">
        <v>12809</v>
      </c>
      <c r="N278" s="820">
        <v>45436.0</v>
      </c>
      <c r="O278" s="823"/>
    </row>
    <row r="279" ht="14.25" customHeight="1">
      <c r="A279" s="789">
        <v>45412.0</v>
      </c>
      <c r="B279" s="829" t="s">
        <v>12931</v>
      </c>
      <c r="C279" s="791" t="s">
        <v>12932</v>
      </c>
      <c r="D279" s="791" t="s">
        <v>2829</v>
      </c>
      <c r="E279" s="792" t="str">
        <f>IFERROR(VLOOKUP(D279,Stock,3,FALSE),"")</f>
        <v>Daihatsu Gran Max / Luxio 07-</v>
      </c>
      <c r="F279" s="791">
        <v>5.0</v>
      </c>
      <c r="G279" s="809">
        <v>132599.49</v>
      </c>
      <c r="H279" s="810">
        <f t="shared" si="10"/>
        <v>662997.45</v>
      </c>
      <c r="I279" s="811"/>
      <c r="J279" s="812"/>
      <c r="K279" s="819"/>
      <c r="L279" s="819"/>
      <c r="M279" s="796" t="s">
        <v>12809</v>
      </c>
      <c r="N279" s="820">
        <v>45442.0</v>
      </c>
      <c r="O279" s="823"/>
    </row>
    <row r="280" ht="14.25" customHeight="1">
      <c r="A280" s="825"/>
      <c r="B280" s="790"/>
      <c r="C280" s="791"/>
      <c r="D280" s="791" t="s">
        <v>2831</v>
      </c>
      <c r="E280" s="792" t="str">
        <f>IFERROR(VLOOKUP(D280,Stock,3,FALSE),"")</f>
        <v>Daihatsu Gran Max / Luxio 07-</v>
      </c>
      <c r="F280" s="791">
        <v>5.0</v>
      </c>
      <c r="G280" s="809">
        <v>132599.49</v>
      </c>
      <c r="H280" s="810">
        <f t="shared" si="10"/>
        <v>662997.45</v>
      </c>
      <c r="I280" s="811"/>
      <c r="J280" s="812"/>
      <c r="K280" s="819"/>
      <c r="L280" s="819"/>
      <c r="M280" s="796" t="s">
        <v>12809</v>
      </c>
      <c r="N280" s="820">
        <v>45442.0</v>
      </c>
      <c r="O280" s="823"/>
    </row>
    <row r="281" ht="14.25" customHeight="1">
      <c r="A281" s="825"/>
      <c r="B281" s="790"/>
      <c r="C281" s="791"/>
      <c r="D281" s="791" t="s">
        <v>6686</v>
      </c>
      <c r="E281" s="792" t="str">
        <f>IFERROR(VLOOKUP(D281,Stock,3,FALSE),"")</f>
        <v>Daihatsu Gran Max / Luxio 07-</v>
      </c>
      <c r="F281" s="791">
        <v>5.0</v>
      </c>
      <c r="G281" s="809">
        <v>112199.91</v>
      </c>
      <c r="H281" s="810">
        <f t="shared" si="10"/>
        <v>560999.55</v>
      </c>
      <c r="I281" s="811"/>
      <c r="J281" s="812"/>
      <c r="K281" s="819"/>
      <c r="L281" s="819"/>
      <c r="M281" s="796" t="s">
        <v>12809</v>
      </c>
      <c r="N281" s="820">
        <v>45442.0</v>
      </c>
      <c r="O281" s="823"/>
    </row>
    <row r="282" ht="14.25" customHeight="1">
      <c r="A282" s="825"/>
      <c r="B282" s="790"/>
      <c r="C282" s="791"/>
      <c r="D282" s="791" t="s">
        <v>6687</v>
      </c>
      <c r="E282" s="792" t="str">
        <f>IFERROR(VLOOKUP(D282,Stock,3,FALSE),"")</f>
        <v>Daihatsu Gran Max / Luxio 07-</v>
      </c>
      <c r="F282" s="791">
        <v>5.0</v>
      </c>
      <c r="G282" s="809">
        <v>112199.91</v>
      </c>
      <c r="H282" s="810">
        <f t="shared" si="10"/>
        <v>560999.55</v>
      </c>
      <c r="I282" s="811"/>
      <c r="J282" s="812"/>
      <c r="K282" s="819"/>
      <c r="L282" s="819"/>
      <c r="M282" s="796" t="s">
        <v>12809</v>
      </c>
      <c r="N282" s="820">
        <v>45442.0</v>
      </c>
      <c r="O282" s="823"/>
    </row>
    <row r="283" ht="14.25" customHeight="1">
      <c r="A283" s="825"/>
      <c r="B283" s="790"/>
      <c r="C283" s="791"/>
      <c r="D283" s="791" t="s">
        <v>3542</v>
      </c>
      <c r="E283" s="792" t="str">
        <f>IFERROR(VLOOKUP(D283,Stock,3,FALSE),"")</f>
        <v>Daihatsu Gran Max</v>
      </c>
      <c r="F283" s="791">
        <v>5.0</v>
      </c>
      <c r="G283" s="809">
        <v>118149.51</v>
      </c>
      <c r="H283" s="810">
        <f t="shared" si="10"/>
        <v>590747.55</v>
      </c>
      <c r="I283" s="811"/>
      <c r="J283" s="812"/>
      <c r="K283" s="819"/>
      <c r="L283" s="819"/>
      <c r="M283" s="796" t="s">
        <v>12809</v>
      </c>
      <c r="N283" s="820">
        <v>45442.0</v>
      </c>
      <c r="O283" s="823"/>
    </row>
    <row r="284" ht="14.25" customHeight="1">
      <c r="A284" s="825"/>
      <c r="B284" s="790"/>
      <c r="C284" s="791"/>
      <c r="D284" s="791" t="s">
        <v>3541</v>
      </c>
      <c r="E284" s="792" t="str">
        <f>IFERROR(VLOOKUP(D284,Stock,3,FALSE),"")</f>
        <v>Daihatsu Gran Max</v>
      </c>
      <c r="F284" s="791">
        <v>5.0</v>
      </c>
      <c r="G284" s="809">
        <v>118149.51</v>
      </c>
      <c r="H284" s="810">
        <f t="shared" si="10"/>
        <v>590747.55</v>
      </c>
      <c r="I284" s="811"/>
      <c r="J284" s="812"/>
      <c r="K284" s="819"/>
      <c r="L284" s="819"/>
      <c r="M284" s="796" t="s">
        <v>12809</v>
      </c>
      <c r="N284" s="820">
        <v>45442.0</v>
      </c>
      <c r="O284" s="823"/>
    </row>
    <row r="285" ht="14.25" customHeight="1">
      <c r="A285" s="825"/>
      <c r="B285" s="790"/>
      <c r="C285" s="791"/>
      <c r="D285" s="791" t="s">
        <v>3347</v>
      </c>
      <c r="E285" s="792" t="str">
        <f>IFERROR(VLOOKUP(D285,Stock,3,FALSE),"")</f>
        <v>Toyota Avanza / Xenia 03-11 1st Gen</v>
      </c>
      <c r="F285" s="791">
        <v>5.0</v>
      </c>
      <c r="G285" s="809">
        <v>122399.7</v>
      </c>
      <c r="H285" s="810">
        <f t="shared" si="10"/>
        <v>611998.5</v>
      </c>
      <c r="I285" s="811"/>
      <c r="J285" s="812"/>
      <c r="K285" s="819"/>
      <c r="L285" s="819"/>
      <c r="M285" s="796" t="s">
        <v>12809</v>
      </c>
      <c r="N285" s="820">
        <v>45442.0</v>
      </c>
      <c r="O285" s="823"/>
    </row>
    <row r="286" ht="14.25" customHeight="1">
      <c r="A286" s="825"/>
      <c r="B286" s="790"/>
      <c r="C286" s="791"/>
      <c r="D286" s="791" t="s">
        <v>6895</v>
      </c>
      <c r="E286" s="792" t="str">
        <f>IFERROR(VLOOKUP(D286,Stock,3,FALSE),"")</f>
        <v>Toyota Avanza / Xenia 03-11 1st Gen</v>
      </c>
      <c r="F286" s="791">
        <v>5.0</v>
      </c>
      <c r="G286" s="809">
        <v>122399.7</v>
      </c>
      <c r="H286" s="810">
        <f t="shared" si="10"/>
        <v>611998.5</v>
      </c>
      <c r="I286" s="811"/>
      <c r="J286" s="812"/>
      <c r="K286" s="819"/>
      <c r="L286" s="819"/>
      <c r="M286" s="796" t="s">
        <v>12809</v>
      </c>
      <c r="N286" s="820">
        <v>45442.0</v>
      </c>
      <c r="O286" s="823"/>
    </row>
    <row r="287" ht="14.25" customHeight="1">
      <c r="A287" s="825"/>
      <c r="B287" s="790"/>
      <c r="C287" s="791"/>
      <c r="D287" s="791" t="s">
        <v>6820</v>
      </c>
      <c r="E287" s="792" t="str">
        <f>IFERROR(VLOOKUP(D287,Stock,3,FALSE),"")</f>
        <v>Toyota Avanza / Xenia 03-11 1st Gen</v>
      </c>
      <c r="F287" s="791">
        <v>5.0</v>
      </c>
      <c r="G287" s="809">
        <v>114749.58</v>
      </c>
      <c r="H287" s="810">
        <f t="shared" si="10"/>
        <v>573747.9</v>
      </c>
      <c r="I287" s="811"/>
      <c r="J287" s="812"/>
      <c r="K287" s="819"/>
      <c r="L287" s="819"/>
      <c r="M287" s="796" t="s">
        <v>12809</v>
      </c>
      <c r="N287" s="820">
        <v>45442.0</v>
      </c>
      <c r="O287" s="823"/>
    </row>
    <row r="288" ht="14.25" customHeight="1">
      <c r="A288" s="825"/>
      <c r="B288" s="790"/>
      <c r="C288" s="791"/>
      <c r="D288" s="791" t="s">
        <v>6821</v>
      </c>
      <c r="E288" s="792" t="str">
        <f>IFERROR(VLOOKUP(D288,Stock,3,FALSE),"")</f>
        <v>Toyota Avanza / Xenia 03-11 1st Gen</v>
      </c>
      <c r="F288" s="791">
        <v>5.0</v>
      </c>
      <c r="G288" s="809">
        <v>114749.58</v>
      </c>
      <c r="H288" s="810">
        <f t="shared" si="10"/>
        <v>573747.9</v>
      </c>
      <c r="I288" s="811"/>
      <c r="J288" s="812"/>
      <c r="K288" s="819"/>
      <c r="L288" s="819"/>
      <c r="M288" s="796" t="s">
        <v>12809</v>
      </c>
      <c r="N288" s="820">
        <v>45442.0</v>
      </c>
      <c r="O288" s="823"/>
    </row>
    <row r="289" ht="14.25" customHeight="1">
      <c r="A289" s="825"/>
      <c r="B289" s="790"/>
      <c r="C289" s="791"/>
      <c r="D289" s="791" t="s">
        <v>5145</v>
      </c>
      <c r="E289" s="792" t="str">
        <f>IFERROR(VLOOKUP(D289,Stock,3,FALSE),"")</f>
        <v>Toyota Avanza / Xenia 11-15 2nd Gen / 15-21 3rd Gen</v>
      </c>
      <c r="F289" s="791">
        <v>5.0</v>
      </c>
      <c r="G289" s="809">
        <v>106250.31</v>
      </c>
      <c r="H289" s="810">
        <f t="shared" si="10"/>
        <v>531251.55</v>
      </c>
      <c r="I289" s="811"/>
      <c r="J289" s="812"/>
      <c r="K289" s="819"/>
      <c r="L289" s="819"/>
      <c r="M289" s="796" t="s">
        <v>12809</v>
      </c>
      <c r="N289" s="820">
        <v>45442.0</v>
      </c>
      <c r="O289" s="823"/>
    </row>
    <row r="290" ht="14.25" customHeight="1">
      <c r="A290" s="825"/>
      <c r="B290" s="790"/>
      <c r="C290" s="791"/>
      <c r="D290" s="791" t="s">
        <v>5598</v>
      </c>
      <c r="E290" s="792" t="str">
        <f>IFERROR(VLOOKUP(D290,Stock,3,FALSE),"")</f>
        <v>Toyota Avanza / Xenia 11-15 2nd Gen / 15-21 3rd Gen</v>
      </c>
      <c r="F290" s="791">
        <v>5.0</v>
      </c>
      <c r="G290" s="809">
        <v>106250.31</v>
      </c>
      <c r="H290" s="810">
        <f t="shared" si="10"/>
        <v>531251.55</v>
      </c>
      <c r="I290" s="811"/>
      <c r="J290" s="812"/>
      <c r="K290" s="819"/>
      <c r="L290" s="819"/>
      <c r="M290" s="796" t="s">
        <v>12809</v>
      </c>
      <c r="N290" s="820">
        <v>45442.0</v>
      </c>
      <c r="O290" s="823"/>
    </row>
    <row r="291" ht="14.25" customHeight="1">
      <c r="A291" s="825"/>
      <c r="B291" s="790"/>
      <c r="C291" s="791"/>
      <c r="D291" s="791" t="s">
        <v>6888</v>
      </c>
      <c r="E291" s="792" t="str">
        <f>IFERROR(VLOOKUP(D291,Stock,3,FALSE),"")</f>
        <v>Toyota Agya/Ayla 13-22 1st Gen</v>
      </c>
      <c r="F291" s="791">
        <v>5.0</v>
      </c>
      <c r="G291" s="809">
        <v>97749.93</v>
      </c>
      <c r="H291" s="810">
        <f t="shared" si="10"/>
        <v>488749.65</v>
      </c>
      <c r="I291" s="811"/>
      <c r="J291" s="812"/>
      <c r="K291" s="819"/>
      <c r="L291" s="819"/>
      <c r="M291" s="796" t="s">
        <v>12809</v>
      </c>
      <c r="N291" s="820">
        <v>45442.0</v>
      </c>
      <c r="O291" s="823"/>
    </row>
    <row r="292" ht="14.25" customHeight="1">
      <c r="A292" s="825"/>
      <c r="B292" s="790"/>
      <c r="C292" s="791"/>
      <c r="D292" s="791" t="s">
        <v>6887</v>
      </c>
      <c r="E292" s="792" t="str">
        <f>IFERROR(VLOOKUP(D292,Stock,3,FALSE),"")</f>
        <v>Toyota Agya/Ayla 13-22 1st Gen</v>
      </c>
      <c r="F292" s="791">
        <v>5.0</v>
      </c>
      <c r="G292" s="809">
        <v>97749.93</v>
      </c>
      <c r="H292" s="810">
        <f t="shared" si="10"/>
        <v>488749.65</v>
      </c>
      <c r="I292" s="811"/>
      <c r="J292" s="812"/>
      <c r="K292" s="819"/>
      <c r="L292" s="819"/>
      <c r="M292" s="796" t="s">
        <v>12809</v>
      </c>
      <c r="N292" s="820">
        <v>45442.0</v>
      </c>
      <c r="O292" s="823"/>
    </row>
    <row r="293" ht="14.25" customHeight="1">
      <c r="A293" s="825"/>
      <c r="B293" s="790"/>
      <c r="C293" s="791"/>
      <c r="D293" s="791" t="s">
        <v>6822</v>
      </c>
      <c r="E293" s="792" t="str">
        <f>IFERROR(VLOOKUP(D293,Stock,3,FALSE),"")</f>
        <v>Toyota Agya/Ayla 13-22 1st Gen</v>
      </c>
      <c r="F293" s="791">
        <v>5.0</v>
      </c>
      <c r="G293" s="809">
        <v>53549.73</v>
      </c>
      <c r="H293" s="810">
        <f t="shared" si="10"/>
        <v>267748.65</v>
      </c>
      <c r="I293" s="811"/>
      <c r="J293" s="812"/>
      <c r="K293" s="819"/>
      <c r="L293" s="819"/>
      <c r="M293" s="796" t="s">
        <v>12809</v>
      </c>
      <c r="N293" s="820">
        <v>45442.0</v>
      </c>
      <c r="O293" s="823"/>
    </row>
    <row r="294" ht="14.25" customHeight="1">
      <c r="A294" s="825"/>
      <c r="B294" s="790"/>
      <c r="C294" s="791"/>
      <c r="D294" s="791" t="s">
        <v>6823</v>
      </c>
      <c r="E294" s="792" t="str">
        <f>IFERROR(VLOOKUP(D294,Stock,3,FALSE),"")</f>
        <v>Toyota Agya/Ayla 13-22 1st Gen</v>
      </c>
      <c r="F294" s="791">
        <v>5.0</v>
      </c>
      <c r="G294" s="809">
        <v>53549.73</v>
      </c>
      <c r="H294" s="810">
        <f t="shared" si="10"/>
        <v>267748.65</v>
      </c>
      <c r="I294" s="811"/>
      <c r="J294" s="812"/>
      <c r="K294" s="819"/>
      <c r="L294" s="819"/>
      <c r="M294" s="796" t="s">
        <v>12809</v>
      </c>
      <c r="N294" s="820">
        <v>45442.0</v>
      </c>
      <c r="O294" s="823"/>
    </row>
    <row r="295" ht="14.25" customHeight="1">
      <c r="A295" s="789">
        <v>45412.0</v>
      </c>
      <c r="B295" s="829" t="s">
        <v>12933</v>
      </c>
      <c r="C295" s="791" t="s">
        <v>12932</v>
      </c>
      <c r="D295" s="791" t="s">
        <v>2855</v>
      </c>
      <c r="E295" s="792" t="str">
        <f>IFERROR(VLOOKUP(D295,Stock,3,FALSE),"")</f>
        <v>Toyota Dyna/Hino Dutro 00-</v>
      </c>
      <c r="F295" s="791">
        <v>5.0</v>
      </c>
      <c r="G295" s="809">
        <v>304299.84</v>
      </c>
      <c r="H295" s="810">
        <f t="shared" si="10"/>
        <v>1521499.2</v>
      </c>
      <c r="I295" s="811"/>
      <c r="J295" s="812"/>
      <c r="K295" s="819"/>
      <c r="L295" s="819"/>
      <c r="M295" s="796" t="s">
        <v>12809</v>
      </c>
      <c r="N295" s="820">
        <v>45442.0</v>
      </c>
      <c r="O295" s="823"/>
    </row>
    <row r="296" ht="14.25" customHeight="1">
      <c r="A296" s="825"/>
      <c r="B296" s="790"/>
      <c r="C296" s="791"/>
      <c r="D296" s="791" t="s">
        <v>2820</v>
      </c>
      <c r="E296" s="792" t="str">
        <f>IFERROR(VLOOKUP(D296,Stock,3,FALSE),"")</f>
        <v>Toyota Dyna/Hino Dutro 00-</v>
      </c>
      <c r="F296" s="791">
        <v>5.0</v>
      </c>
      <c r="G296" s="809">
        <v>304299.84</v>
      </c>
      <c r="H296" s="810">
        <f t="shared" si="10"/>
        <v>1521499.2</v>
      </c>
      <c r="I296" s="811"/>
      <c r="J296" s="812"/>
      <c r="K296" s="819"/>
      <c r="L296" s="819"/>
      <c r="M296" s="796" t="s">
        <v>12809</v>
      </c>
      <c r="N296" s="820">
        <v>45442.0</v>
      </c>
      <c r="O296" s="823"/>
    </row>
    <row r="297" ht="14.25" customHeight="1">
      <c r="A297" s="825"/>
      <c r="B297" s="790"/>
      <c r="C297" s="791"/>
      <c r="D297" s="791" t="s">
        <v>6824</v>
      </c>
      <c r="E297" s="792" t="str">
        <f>IFERROR(VLOOKUP(D297,Stock,3,FALSE),"")</f>
        <v>Toyota Innova 04-15 1st Gen</v>
      </c>
      <c r="F297" s="791">
        <v>5.0</v>
      </c>
      <c r="G297" s="809">
        <v>182750.4</v>
      </c>
      <c r="H297" s="810">
        <f t="shared" si="10"/>
        <v>913752</v>
      </c>
      <c r="I297" s="811"/>
      <c r="J297" s="812"/>
      <c r="K297" s="819"/>
      <c r="L297" s="819"/>
      <c r="M297" s="796" t="s">
        <v>12809</v>
      </c>
      <c r="N297" s="820">
        <v>45442.0</v>
      </c>
      <c r="O297" s="823"/>
    </row>
    <row r="298" ht="14.25" customHeight="1">
      <c r="A298" s="825"/>
      <c r="B298" s="826"/>
      <c r="C298" s="792"/>
      <c r="D298" s="791" t="s">
        <v>4354</v>
      </c>
      <c r="E298" s="792" t="str">
        <f>IFERROR(VLOOKUP(D298,Stock,3,FALSE),"")</f>
        <v>Toyota Innova 04-15 1st Gen</v>
      </c>
      <c r="F298" s="791">
        <v>5.0</v>
      </c>
      <c r="G298" s="809">
        <v>182750.4</v>
      </c>
      <c r="H298" s="810">
        <f t="shared" si="10"/>
        <v>913752</v>
      </c>
      <c r="I298" s="811"/>
      <c r="J298" s="812"/>
      <c r="K298" s="819"/>
      <c r="L298" s="819"/>
      <c r="M298" s="796" t="s">
        <v>12809</v>
      </c>
      <c r="N298" s="820">
        <v>45442.0</v>
      </c>
      <c r="O298" s="823"/>
    </row>
    <row r="299" ht="14.25" customHeight="1">
      <c r="A299" s="825"/>
      <c r="B299" s="826"/>
      <c r="C299" s="792"/>
      <c r="D299" s="791" t="s">
        <v>2822</v>
      </c>
      <c r="E299" s="792" t="str">
        <f>IFERROR(VLOOKUP(D299,Stock,3,FALSE),"")</f>
        <v>Mitsubishi Canter FE700 01- (PS110,125)</v>
      </c>
      <c r="F299" s="791">
        <v>5.0</v>
      </c>
      <c r="G299" s="809">
        <v>170850.09</v>
      </c>
      <c r="H299" s="810">
        <f t="shared" si="10"/>
        <v>854250.45</v>
      </c>
      <c r="I299" s="811"/>
      <c r="J299" s="812"/>
      <c r="K299" s="819"/>
      <c r="L299" s="819"/>
      <c r="M299" s="796" t="s">
        <v>12809</v>
      </c>
      <c r="N299" s="820">
        <v>45442.0</v>
      </c>
      <c r="O299" s="823"/>
    </row>
    <row r="300" ht="14.25" customHeight="1">
      <c r="A300" s="825"/>
      <c r="B300" s="826"/>
      <c r="C300" s="792"/>
      <c r="D300" s="791" t="s">
        <v>6894</v>
      </c>
      <c r="E300" s="792" t="str">
        <f>IFERROR(VLOOKUP(D300,Stock,3,FALSE),"")</f>
        <v>Mitsubishi Canter FE700 01- (PS110,125)</v>
      </c>
      <c r="F300" s="791">
        <v>5.0</v>
      </c>
      <c r="G300" s="809">
        <v>170850.09</v>
      </c>
      <c r="H300" s="810">
        <f t="shared" si="10"/>
        <v>854250.45</v>
      </c>
      <c r="I300" s="811"/>
      <c r="J300" s="812"/>
      <c r="K300" s="819"/>
      <c r="L300" s="819"/>
      <c r="M300" s="796" t="s">
        <v>12809</v>
      </c>
      <c r="N300" s="820">
        <v>45442.0</v>
      </c>
      <c r="O300" s="823"/>
    </row>
    <row r="301" ht="14.25" customHeight="1">
      <c r="A301" s="825"/>
      <c r="B301" s="826"/>
      <c r="C301" s="792"/>
      <c r="D301" s="791" t="s">
        <v>2856</v>
      </c>
      <c r="E301" s="792" t="str">
        <f>IFERROR(VLOOKUP(D301,Stock,3,FALSE),"")</f>
        <v>Isuzu Elf 17- New NMR NLR / Isuzu Giga </v>
      </c>
      <c r="F301" s="791">
        <v>5.0</v>
      </c>
      <c r="G301" s="809">
        <v>215050.29</v>
      </c>
      <c r="H301" s="810">
        <f t="shared" si="10"/>
        <v>1075251.45</v>
      </c>
      <c r="I301" s="811"/>
      <c r="J301" s="812"/>
      <c r="K301" s="819"/>
      <c r="L301" s="819"/>
      <c r="M301" s="796" t="s">
        <v>12809</v>
      </c>
      <c r="N301" s="820">
        <v>45442.0</v>
      </c>
      <c r="O301" s="823"/>
    </row>
    <row r="302" ht="14.25" customHeight="1">
      <c r="A302" s="825"/>
      <c r="B302" s="826"/>
      <c r="C302" s="792"/>
      <c r="D302" s="791" t="s">
        <v>2821</v>
      </c>
      <c r="E302" s="792" t="str">
        <f>IFERROR(VLOOKUP(D302,Stock,3,FALSE),"")</f>
        <v>Isuzu Elf 17- New NMR NLR / Isuzu Giga </v>
      </c>
      <c r="F302" s="791">
        <v>5.0</v>
      </c>
      <c r="G302" s="809">
        <v>215050.29</v>
      </c>
      <c r="H302" s="810">
        <f t="shared" si="10"/>
        <v>1075251.45</v>
      </c>
      <c r="I302" s="811"/>
      <c r="J302" s="812"/>
      <c r="K302" s="819"/>
      <c r="L302" s="819"/>
      <c r="M302" s="796" t="s">
        <v>12809</v>
      </c>
      <c r="N302" s="820">
        <v>45442.0</v>
      </c>
      <c r="O302" s="823"/>
    </row>
    <row r="303" ht="14.25" customHeight="1">
      <c r="A303" s="825"/>
      <c r="B303" s="826"/>
      <c r="C303" s="792"/>
      <c r="D303" s="791" t="s">
        <v>4219</v>
      </c>
      <c r="E303" s="792" t="str">
        <f>IFERROR(VLOOKUP(D303,Stock,3,FALSE),"")</f>
        <v>Mitsubishi Pajero 08-16</v>
      </c>
      <c r="F303" s="791">
        <v>5.0</v>
      </c>
      <c r="G303" s="809">
        <v>273700.47</v>
      </c>
      <c r="H303" s="810">
        <f t="shared" si="10"/>
        <v>1368502.35</v>
      </c>
      <c r="I303" s="811"/>
      <c r="J303" s="812"/>
      <c r="K303" s="819"/>
      <c r="L303" s="819"/>
      <c r="M303" s="796" t="s">
        <v>12809</v>
      </c>
      <c r="N303" s="820">
        <v>45442.0</v>
      </c>
      <c r="O303" s="823"/>
    </row>
    <row r="304" ht="14.25" customHeight="1">
      <c r="A304" s="825"/>
      <c r="B304" s="826"/>
      <c r="C304" s="792"/>
      <c r="D304" s="791" t="s">
        <v>6893</v>
      </c>
      <c r="E304" s="792" t="str">
        <f>IFERROR(VLOOKUP(D304,Stock,3,FALSE),"")</f>
        <v>Toyota Avanza / Xenia 21- 4th Gen</v>
      </c>
      <c r="F304" s="791">
        <v>5.0</v>
      </c>
      <c r="G304" s="809">
        <v>195499.86</v>
      </c>
      <c r="H304" s="810">
        <f t="shared" si="10"/>
        <v>977499.3</v>
      </c>
      <c r="I304" s="811"/>
      <c r="J304" s="812"/>
      <c r="K304" s="819"/>
      <c r="L304" s="819"/>
      <c r="M304" s="796" t="s">
        <v>12809</v>
      </c>
      <c r="N304" s="820">
        <v>45442.0</v>
      </c>
      <c r="O304" s="823"/>
    </row>
    <row r="305" ht="14.25" customHeight="1">
      <c r="A305" s="825"/>
      <c r="B305" s="826"/>
      <c r="C305" s="792"/>
      <c r="D305" s="791" t="s">
        <v>6891</v>
      </c>
      <c r="E305" s="792" t="str">
        <f>IFERROR(VLOOKUP(D305,Stock,3,FALSE),"")</f>
        <v>Toyota Innova 15- 2nd Gen</v>
      </c>
      <c r="F305" s="791">
        <v>5.0</v>
      </c>
      <c r="G305" s="809">
        <v>292399.53</v>
      </c>
      <c r="H305" s="810">
        <f t="shared" si="10"/>
        <v>1461997.65</v>
      </c>
      <c r="I305" s="811"/>
      <c r="J305" s="812"/>
      <c r="K305" s="819"/>
      <c r="L305" s="819"/>
      <c r="M305" s="796" t="s">
        <v>12809</v>
      </c>
      <c r="N305" s="820">
        <v>45442.0</v>
      </c>
      <c r="O305" s="823"/>
    </row>
    <row r="306" ht="14.25" customHeight="1">
      <c r="A306" s="825"/>
      <c r="B306" s="826"/>
      <c r="C306" s="792"/>
      <c r="D306" s="791" t="s">
        <v>6892</v>
      </c>
      <c r="E306" s="792" t="str">
        <f>IFERROR(VLOOKUP(D306,Stock,3,FALSE),"")</f>
        <v>Isuzu Elf  93- NKR NHR </v>
      </c>
      <c r="F306" s="791">
        <v>5.0</v>
      </c>
      <c r="G306" s="809">
        <v>223549.56</v>
      </c>
      <c r="H306" s="810">
        <f t="shared" si="10"/>
        <v>1117747.8</v>
      </c>
      <c r="I306" s="811"/>
      <c r="J306" s="812"/>
      <c r="K306" s="819"/>
      <c r="L306" s="819"/>
      <c r="M306" s="796" t="s">
        <v>12809</v>
      </c>
      <c r="N306" s="820">
        <v>45442.0</v>
      </c>
      <c r="O306" s="823"/>
    </row>
    <row r="307" ht="14.25" customHeight="1">
      <c r="A307" s="789">
        <v>45414.0</v>
      </c>
      <c r="B307" s="790">
        <v>2405052.0</v>
      </c>
      <c r="C307" s="791" t="s">
        <v>11484</v>
      </c>
      <c r="D307" s="791" t="s">
        <v>2965</v>
      </c>
      <c r="E307" s="792" t="str">
        <f>IFERROR(VLOOKUP(D307,Stock,3,FALSE),"")</f>
        <v>Suzuki Ertiga 12-18 1st Gen MPV</v>
      </c>
      <c r="F307" s="791">
        <v>6.0</v>
      </c>
      <c r="G307" s="809">
        <v>258000.0</v>
      </c>
      <c r="H307" s="810">
        <f t="shared" si="10"/>
        <v>1548000</v>
      </c>
      <c r="I307" s="811"/>
      <c r="J307" s="812"/>
      <c r="K307" s="819"/>
      <c r="L307" s="819"/>
      <c r="M307" s="818" t="s">
        <v>12809</v>
      </c>
      <c r="N307" s="820">
        <v>45471.0</v>
      </c>
      <c r="O307" s="823"/>
    </row>
    <row r="308" ht="14.25" customHeight="1">
      <c r="A308" s="789">
        <v>45414.0</v>
      </c>
      <c r="B308" s="790">
        <v>2405052.0</v>
      </c>
      <c r="C308" s="791" t="s">
        <v>11484</v>
      </c>
      <c r="D308" s="791" t="s">
        <v>5360</v>
      </c>
      <c r="E308" s="792" t="str">
        <f>IFERROR(VLOOKUP(D308,Stock,3,FALSE),"")</f>
        <v>Honda CR-V 07-11 3rd Gen</v>
      </c>
      <c r="F308" s="791">
        <v>2.0</v>
      </c>
      <c r="G308" s="809">
        <v>595000.0</v>
      </c>
      <c r="H308" s="810">
        <f t="shared" si="10"/>
        <v>1190000</v>
      </c>
      <c r="I308" s="811"/>
      <c r="J308" s="812"/>
      <c r="K308" s="819"/>
      <c r="L308" s="819"/>
      <c r="M308" s="818" t="s">
        <v>12809</v>
      </c>
      <c r="N308" s="820">
        <v>45471.0</v>
      </c>
      <c r="O308" s="823"/>
    </row>
    <row r="309" ht="14.25" customHeight="1">
      <c r="A309" s="789">
        <v>45418.0</v>
      </c>
      <c r="B309" s="790">
        <v>2405131.0</v>
      </c>
      <c r="C309" s="791" t="s">
        <v>11484</v>
      </c>
      <c r="D309" s="791" t="s">
        <v>2655</v>
      </c>
      <c r="E309" s="792" t="str">
        <f>IFERROR(VLOOKUP(D309,Stock,3,FALSE),"")</f>
        <v>Ford EcoSport 13- B515</v>
      </c>
      <c r="F309" s="791">
        <v>2.0</v>
      </c>
      <c r="G309" s="809">
        <v>1196250.0</v>
      </c>
      <c r="H309" s="810">
        <f t="shared" si="10"/>
        <v>2392500</v>
      </c>
      <c r="I309" s="811"/>
      <c r="J309" s="812"/>
      <c r="K309" s="819"/>
      <c r="L309" s="819"/>
      <c r="M309" s="818" t="s">
        <v>12809</v>
      </c>
      <c r="N309" s="818" t="s">
        <v>12934</v>
      </c>
      <c r="O309" s="823"/>
    </row>
    <row r="310" ht="14.25" customHeight="1">
      <c r="A310" s="789">
        <v>45418.0</v>
      </c>
      <c r="B310" s="790">
        <v>2405144.0</v>
      </c>
      <c r="C310" s="791" t="s">
        <v>11484</v>
      </c>
      <c r="D310" s="791" t="s">
        <v>12935</v>
      </c>
      <c r="E310" s="792" t="str">
        <f>IFERROR(VLOOKUP(D310,Stock,3,FALSE),"")</f>
        <v>Toyota Fortuner 05-15 1st Gen</v>
      </c>
      <c r="F310" s="791">
        <v>2.0</v>
      </c>
      <c r="G310" s="809">
        <v>239800.0</v>
      </c>
      <c r="H310" s="810">
        <f t="shared" si="10"/>
        <v>479600</v>
      </c>
      <c r="I310" s="811"/>
      <c r="J310" s="812"/>
      <c r="K310" s="819"/>
      <c r="L310" s="819"/>
      <c r="M310" s="818" t="s">
        <v>12809</v>
      </c>
      <c r="N310" s="820">
        <v>45477.0</v>
      </c>
      <c r="O310" s="823"/>
    </row>
    <row r="311" ht="14.25" customHeight="1">
      <c r="A311" s="825"/>
      <c r="B311" s="826"/>
      <c r="C311" s="792"/>
      <c r="D311" s="791" t="s">
        <v>12936</v>
      </c>
      <c r="E311" s="792" t="str">
        <f>IFERROR(VLOOKUP(D311,Stock,3,FALSE),"")</f>
        <v>Toyota Fortuner 05-15 1st Gen</v>
      </c>
      <c r="F311" s="791">
        <v>2.0</v>
      </c>
      <c r="G311" s="809">
        <v>239800.0</v>
      </c>
      <c r="H311" s="810">
        <f t="shared" si="10"/>
        <v>479600</v>
      </c>
      <c r="I311" s="811"/>
      <c r="J311" s="812"/>
      <c r="K311" s="819"/>
      <c r="L311" s="819"/>
      <c r="M311" s="818" t="s">
        <v>12809</v>
      </c>
      <c r="N311" s="820">
        <v>45477.0</v>
      </c>
      <c r="O311" s="823"/>
    </row>
    <row r="312" ht="14.25" customHeight="1">
      <c r="A312" s="825"/>
      <c r="B312" s="826"/>
      <c r="C312" s="792"/>
      <c r="D312" s="791" t="s">
        <v>3342</v>
      </c>
      <c r="E312" s="792" t="str">
        <f>IFERROR(VLOOKUP(D312,Stock,3,FALSE),"")</f>
        <v>Toyota Hi-Ace 04-20 Commuter (Hitam)</v>
      </c>
      <c r="F312" s="791">
        <v>2.0</v>
      </c>
      <c r="G312" s="809">
        <v>1272000.0</v>
      </c>
      <c r="H312" s="810">
        <f t="shared" si="10"/>
        <v>2544000</v>
      </c>
      <c r="I312" s="811"/>
      <c r="J312" s="812"/>
      <c r="K312" s="819"/>
      <c r="L312" s="819"/>
      <c r="M312" s="818" t="s">
        <v>12809</v>
      </c>
      <c r="N312" s="820">
        <v>45477.0</v>
      </c>
      <c r="O312" s="823"/>
    </row>
    <row r="313" ht="14.25" customHeight="1">
      <c r="A313" s="825"/>
      <c r="B313" s="826"/>
      <c r="C313" s="792"/>
      <c r="D313" s="791" t="s">
        <v>3493</v>
      </c>
      <c r="E313" s="792" t="str">
        <f>IFERROR(VLOOKUP(D313,Stock,3,FALSE),"")</f>
        <v>Nissan Livina 07-18 L10/L11</v>
      </c>
      <c r="F313" s="791">
        <v>1.0</v>
      </c>
      <c r="G313" s="809">
        <v>600600.0</v>
      </c>
      <c r="H313" s="810">
        <f t="shared" si="10"/>
        <v>600600</v>
      </c>
      <c r="I313" s="811"/>
      <c r="J313" s="812"/>
      <c r="K313" s="819"/>
      <c r="L313" s="819"/>
      <c r="M313" s="818" t="s">
        <v>12809</v>
      </c>
      <c r="N313" s="820">
        <v>45477.0</v>
      </c>
      <c r="O313" s="823"/>
    </row>
    <row r="314" ht="14.25" customHeight="1">
      <c r="A314" s="825"/>
      <c r="B314" s="826"/>
      <c r="C314" s="792"/>
      <c r="D314" s="791" t="s">
        <v>4907</v>
      </c>
      <c r="E314" s="792" t="str">
        <f>IFERROR(VLOOKUP(D314,Stock,3,FALSE),"")</f>
        <v>Nissan Livina 07-12 L10 (Tanpa Lubang)</v>
      </c>
      <c r="F314" s="791">
        <v>2.0</v>
      </c>
      <c r="G314" s="809">
        <v>398000.0</v>
      </c>
      <c r="H314" s="810">
        <f t="shared" si="10"/>
        <v>796000</v>
      </c>
      <c r="I314" s="811"/>
      <c r="J314" s="812"/>
      <c r="K314" s="819"/>
      <c r="L314" s="819"/>
      <c r="M314" s="818" t="s">
        <v>12809</v>
      </c>
      <c r="N314" s="820">
        <v>45477.0</v>
      </c>
      <c r="O314" s="823"/>
    </row>
    <row r="315" ht="14.25" customHeight="1">
      <c r="A315" s="825"/>
      <c r="B315" s="826"/>
      <c r="C315" s="792"/>
      <c r="D315" s="791" t="s">
        <v>2544</v>
      </c>
      <c r="E315" s="792" t="str">
        <f>IFERROR(VLOOKUP(D315,Stock,3,FALSE),"")</f>
        <v>Nissan Juke 11-</v>
      </c>
      <c r="F315" s="791">
        <v>1.0</v>
      </c>
      <c r="G315" s="809">
        <v>925100.0</v>
      </c>
      <c r="H315" s="810">
        <f t="shared" si="10"/>
        <v>925100</v>
      </c>
      <c r="I315" s="811"/>
      <c r="J315" s="812"/>
      <c r="K315" s="819"/>
      <c r="L315" s="819"/>
      <c r="M315" s="818" t="s">
        <v>12809</v>
      </c>
      <c r="N315" s="820">
        <v>45477.0</v>
      </c>
      <c r="O315" s="823"/>
    </row>
    <row r="316" ht="14.25" customHeight="1">
      <c r="A316" s="825"/>
      <c r="B316" s="826"/>
      <c r="C316" s="792"/>
      <c r="D316" s="791" t="s">
        <v>2672</v>
      </c>
      <c r="E316" s="792" t="str">
        <f>IFERROR(VLOOKUP(D316,Stock,3,FALSE),"")</f>
        <v>Nissan March 10- K13</v>
      </c>
      <c r="F316" s="791">
        <v>1.0</v>
      </c>
      <c r="G316" s="809">
        <v>628650.0</v>
      </c>
      <c r="H316" s="810">
        <f t="shared" si="10"/>
        <v>628650</v>
      </c>
      <c r="I316" s="811"/>
      <c r="J316" s="812"/>
      <c r="K316" s="819"/>
      <c r="L316" s="819"/>
      <c r="M316" s="818" t="s">
        <v>12809</v>
      </c>
      <c r="N316" s="820">
        <v>45477.0</v>
      </c>
      <c r="O316" s="823"/>
    </row>
    <row r="317" ht="14.25" customHeight="1">
      <c r="A317" s="825"/>
      <c r="B317" s="826"/>
      <c r="C317" s="792"/>
      <c r="D317" s="791" t="s">
        <v>2718</v>
      </c>
      <c r="E317" s="792" t="str">
        <f>IFERROR(VLOOKUP(D317,Stock,3,FALSE),"")</f>
        <v>Isuzu Traga</v>
      </c>
      <c r="F317" s="791">
        <v>1.0</v>
      </c>
      <c r="G317" s="809">
        <v>561000.0</v>
      </c>
      <c r="H317" s="810">
        <f t="shared" si="10"/>
        <v>561000</v>
      </c>
      <c r="I317" s="811"/>
      <c r="J317" s="812"/>
      <c r="K317" s="819"/>
      <c r="L317" s="819"/>
      <c r="M317" s="818" t="s">
        <v>12809</v>
      </c>
      <c r="N317" s="820">
        <v>45477.0</v>
      </c>
      <c r="O317" s="823"/>
    </row>
    <row r="318" ht="14.25" customHeight="1">
      <c r="A318" s="825"/>
      <c r="B318" s="826"/>
      <c r="C318" s="792"/>
      <c r="D318" s="791" t="s">
        <v>3924</v>
      </c>
      <c r="E318" s="792" t="str">
        <f>IFERROR(VLOOKUP(D318,Stock,3,FALSE),"")</f>
        <v>Nissan X-Trail 07-13 T31</v>
      </c>
      <c r="F318" s="791">
        <v>2.0</v>
      </c>
      <c r="G318" s="809">
        <v>880000.0</v>
      </c>
      <c r="H318" s="810">
        <f t="shared" si="10"/>
        <v>1760000</v>
      </c>
      <c r="I318" s="811"/>
      <c r="J318" s="812"/>
      <c r="K318" s="819"/>
      <c r="L318" s="819"/>
      <c r="M318" s="818" t="s">
        <v>12809</v>
      </c>
      <c r="N318" s="820">
        <v>45477.0</v>
      </c>
      <c r="O318" s="823"/>
    </row>
    <row r="319" ht="14.25" customHeight="1">
      <c r="A319" s="825"/>
      <c r="B319" s="826"/>
      <c r="C319" s="792"/>
      <c r="D319" s="791" t="s">
        <v>2691</v>
      </c>
      <c r="E319" s="792" t="str">
        <f>IFERROR(VLOOKUP(D319,Stock,3,FALSE),"")</f>
        <v>Suzuki Ertiga 12-18 1st Gen MPV</v>
      </c>
      <c r="F319" s="791">
        <v>1.0</v>
      </c>
      <c r="G319" s="809">
        <v>528000.0</v>
      </c>
      <c r="H319" s="810">
        <f t="shared" si="10"/>
        <v>528000</v>
      </c>
      <c r="I319" s="811"/>
      <c r="J319" s="812"/>
      <c r="K319" s="819"/>
      <c r="L319" s="819"/>
      <c r="M319" s="818" t="s">
        <v>12809</v>
      </c>
      <c r="N319" s="820">
        <v>45477.0</v>
      </c>
      <c r="O319" s="823"/>
    </row>
    <row r="320" ht="14.25" customHeight="1">
      <c r="A320" s="789">
        <v>45418.0</v>
      </c>
      <c r="B320" s="790">
        <v>2405158.0</v>
      </c>
      <c r="C320" s="791" t="s">
        <v>11484</v>
      </c>
      <c r="D320" s="791" t="s">
        <v>3376</v>
      </c>
      <c r="E320" s="792" t="str">
        <f>IFERROR(VLOOKUP(D320,Stock,3,FALSE),"")</f>
        <v>Toyota Hi-Ace 04-20 Commuter</v>
      </c>
      <c r="F320" s="791">
        <v>2.0</v>
      </c>
      <c r="G320" s="809">
        <v>449900.0</v>
      </c>
      <c r="H320" s="810">
        <f t="shared" si="10"/>
        <v>899800</v>
      </c>
      <c r="I320" s="811"/>
      <c r="J320" s="812"/>
      <c r="K320" s="819"/>
      <c r="L320" s="819"/>
      <c r="M320" s="818" t="s">
        <v>12809</v>
      </c>
      <c r="N320" s="820">
        <v>45477.0</v>
      </c>
      <c r="O320" s="823"/>
    </row>
    <row r="321" ht="14.25" customHeight="1">
      <c r="A321" s="825"/>
      <c r="B321" s="826"/>
      <c r="C321" s="792"/>
      <c r="D321" s="791" t="s">
        <v>7756</v>
      </c>
      <c r="E321" s="792" t="str">
        <f>IFERROR(VLOOKUP(D321,Stock,3,FALSE),"")</f>
        <v>Toyota Hi-Ace 04-20 Commuter</v>
      </c>
      <c r="F321" s="791">
        <v>2.0</v>
      </c>
      <c r="G321" s="809">
        <v>449900.0</v>
      </c>
      <c r="H321" s="810">
        <f t="shared" si="10"/>
        <v>899800</v>
      </c>
      <c r="I321" s="811"/>
      <c r="J321" s="812"/>
      <c r="K321" s="819"/>
      <c r="L321" s="819"/>
      <c r="M321" s="818" t="s">
        <v>12809</v>
      </c>
      <c r="N321" s="820">
        <v>45477.0</v>
      </c>
      <c r="O321" s="823"/>
    </row>
    <row r="322" ht="14.25" customHeight="1">
      <c r="A322" s="825"/>
      <c r="B322" s="826"/>
      <c r="C322" s="792"/>
      <c r="D322" s="791" t="s">
        <v>2780</v>
      </c>
      <c r="E322" s="792" t="str">
        <f>IFERROR(VLOOKUP(D322,Stock,3,FALSE),"")</f>
        <v>Toyota Hi-Ace 04-20 Commuter With Frame</v>
      </c>
      <c r="F322" s="791">
        <v>1.0</v>
      </c>
      <c r="G322" s="809">
        <v>1427250.0</v>
      </c>
      <c r="H322" s="810">
        <f t="shared" si="10"/>
        <v>1427250</v>
      </c>
      <c r="I322" s="811"/>
      <c r="J322" s="812"/>
      <c r="K322" s="819"/>
      <c r="L322" s="819"/>
      <c r="M322" s="818" t="s">
        <v>12809</v>
      </c>
      <c r="N322" s="820">
        <v>45477.0</v>
      </c>
      <c r="O322" s="823"/>
    </row>
    <row r="323" ht="14.25" customHeight="1">
      <c r="A323" s="825"/>
      <c r="B323" s="826"/>
      <c r="C323" s="792"/>
      <c r="D323" s="791" t="s">
        <v>7757</v>
      </c>
      <c r="E323" s="792" t="str">
        <f>IFERROR(VLOOKUP(D323,Stock,3,FALSE),"")</f>
        <v>Toyota Hi-Ace 04-20 Commuter</v>
      </c>
      <c r="F323" s="791">
        <v>1.0</v>
      </c>
      <c r="G323" s="809">
        <v>583000.0</v>
      </c>
      <c r="H323" s="810">
        <f t="shared" si="10"/>
        <v>583000</v>
      </c>
      <c r="I323" s="811"/>
      <c r="J323" s="812"/>
      <c r="K323" s="819"/>
      <c r="L323" s="819"/>
      <c r="M323" s="818" t="s">
        <v>12809</v>
      </c>
      <c r="N323" s="820">
        <v>45477.0</v>
      </c>
      <c r="O323" s="823"/>
    </row>
    <row r="324" ht="14.25" customHeight="1">
      <c r="A324" s="825"/>
      <c r="B324" s="826"/>
      <c r="C324" s="792"/>
      <c r="D324" s="791" t="s">
        <v>2779</v>
      </c>
      <c r="E324" s="792" t="str">
        <f>IFERROR(VLOOKUP(D324,Stock,3,FALSE),"")</f>
        <v>Toyota Hi-Ace 04-20 Commuter With Frame</v>
      </c>
      <c r="F324" s="791">
        <v>2.0</v>
      </c>
      <c r="G324" s="809">
        <v>1427250.0</v>
      </c>
      <c r="H324" s="810">
        <f t="shared" si="10"/>
        <v>2854500</v>
      </c>
      <c r="I324" s="811"/>
      <c r="J324" s="812"/>
      <c r="K324" s="819"/>
      <c r="L324" s="819"/>
      <c r="M324" s="818" t="s">
        <v>12809</v>
      </c>
      <c r="N324" s="820">
        <v>45477.0</v>
      </c>
      <c r="O324" s="823"/>
    </row>
    <row r="325" ht="14.25" customHeight="1">
      <c r="A325" s="825"/>
      <c r="B325" s="826"/>
      <c r="C325" s="792"/>
      <c r="D325" s="791" t="s">
        <v>3367</v>
      </c>
      <c r="E325" s="792" t="str">
        <f>IFERROR(VLOOKUP(D325,Stock,3,FALSE),"")</f>
        <v>Toyota Hi-Ace 04-20 Commuter</v>
      </c>
      <c r="F325" s="791">
        <v>1.0</v>
      </c>
      <c r="G325" s="809">
        <v>583000.0</v>
      </c>
      <c r="H325" s="810">
        <f t="shared" si="10"/>
        <v>583000</v>
      </c>
      <c r="I325" s="811"/>
      <c r="J325" s="812"/>
      <c r="K325" s="819"/>
      <c r="L325" s="819"/>
      <c r="M325" s="818" t="s">
        <v>12809</v>
      </c>
      <c r="N325" s="820">
        <v>45477.0</v>
      </c>
      <c r="O325" s="823"/>
    </row>
    <row r="326" ht="14.25" customHeight="1">
      <c r="A326" s="825"/>
      <c r="B326" s="826"/>
      <c r="C326" s="792"/>
      <c r="D326" s="791" t="s">
        <v>4526</v>
      </c>
      <c r="E326" s="792" t="str">
        <f>IFERROR(VLOOKUP(D326,Stock,3,FALSE),"")</f>
        <v>Toyota Hi-Ace 04-20 Commuter</v>
      </c>
      <c r="F326" s="791">
        <v>2.0</v>
      </c>
      <c r="G326" s="809">
        <v>583000.0</v>
      </c>
      <c r="H326" s="810">
        <f t="shared" si="10"/>
        <v>1166000</v>
      </c>
      <c r="I326" s="811"/>
      <c r="J326" s="812"/>
      <c r="K326" s="819"/>
      <c r="L326" s="819"/>
      <c r="M326" s="818" t="s">
        <v>12809</v>
      </c>
      <c r="N326" s="820">
        <v>45477.0</v>
      </c>
      <c r="O326" s="823"/>
    </row>
    <row r="327" ht="14.25" customHeight="1">
      <c r="A327" s="825"/>
      <c r="B327" s="826"/>
      <c r="C327" s="792"/>
      <c r="D327" s="791" t="s">
        <v>8904</v>
      </c>
      <c r="E327" s="792" t="str">
        <f>IFERROR(VLOOKUP(D327,Stock,3,FALSE),"")</f>
        <v>Toyota Hi-Ace 04-20 Commuter</v>
      </c>
      <c r="F327" s="791">
        <v>2.0</v>
      </c>
      <c r="G327" s="809">
        <v>240350.0</v>
      </c>
      <c r="H327" s="810">
        <f t="shared" si="10"/>
        <v>480700</v>
      </c>
      <c r="I327" s="811"/>
      <c r="J327" s="812"/>
      <c r="K327" s="819"/>
      <c r="L327" s="819"/>
      <c r="M327" s="818" t="s">
        <v>12809</v>
      </c>
      <c r="N327" s="820">
        <v>45477.0</v>
      </c>
      <c r="O327" s="823"/>
    </row>
    <row r="328" ht="14.25" customHeight="1">
      <c r="A328" s="789">
        <v>45419.0</v>
      </c>
      <c r="B328" s="790">
        <v>2405185.0</v>
      </c>
      <c r="C328" s="791" t="s">
        <v>11484</v>
      </c>
      <c r="D328" s="791" t="s">
        <v>2748</v>
      </c>
      <c r="E328" s="792" t="str">
        <f>IFERROR(VLOOKUP(D328,Stock,3,FALSE),"")</f>
        <v>Mazda CX-7 07-</v>
      </c>
      <c r="F328" s="791">
        <v>2.0</v>
      </c>
      <c r="G328" s="809">
        <v>2044350.0</v>
      </c>
      <c r="H328" s="810">
        <f t="shared" si="10"/>
        <v>4088700</v>
      </c>
      <c r="I328" s="811"/>
      <c r="J328" s="812"/>
      <c r="K328" s="819"/>
      <c r="L328" s="819"/>
      <c r="M328" s="818" t="s">
        <v>12809</v>
      </c>
      <c r="N328" s="820">
        <v>45478.0</v>
      </c>
      <c r="O328" s="823"/>
    </row>
    <row r="329" ht="14.25" customHeight="1">
      <c r="A329" s="789">
        <v>45422.0</v>
      </c>
      <c r="B329" s="790">
        <v>2405271.0</v>
      </c>
      <c r="C329" s="791" t="s">
        <v>11484</v>
      </c>
      <c r="D329" s="791" t="s">
        <v>2576</v>
      </c>
      <c r="E329" s="792" t="str">
        <f>IFERROR(VLOOKUP(D329,Stock,3,FALSE),"")</f>
        <v>Toyota Camry 06-11 XV40 4th Gen</v>
      </c>
      <c r="F329" s="791">
        <v>2.0</v>
      </c>
      <c r="G329" s="809">
        <v>1552650.0</v>
      </c>
      <c r="H329" s="810">
        <f t="shared" si="10"/>
        <v>3105300</v>
      </c>
      <c r="I329" s="811"/>
      <c r="J329" s="812"/>
      <c r="K329" s="819"/>
      <c r="L329" s="819"/>
      <c r="M329" s="818" t="s">
        <v>12809</v>
      </c>
      <c r="N329" s="820">
        <v>45476.0</v>
      </c>
      <c r="O329" s="823"/>
    </row>
    <row r="330" ht="14.25" customHeight="1">
      <c r="A330" s="825"/>
      <c r="B330" s="826"/>
      <c r="C330" s="791" t="s">
        <v>11484</v>
      </c>
      <c r="D330" s="791" t="s">
        <v>2567</v>
      </c>
      <c r="E330" s="792" t="str">
        <f>IFERROR(VLOOKUP(D330,Stock,3,FALSE),"")</f>
        <v>Toyota Camry 02-06 ACV30 3rd Gen</v>
      </c>
      <c r="F330" s="791">
        <v>1.0</v>
      </c>
      <c r="G330" s="809">
        <v>1219900.0</v>
      </c>
      <c r="H330" s="810">
        <f t="shared" si="10"/>
        <v>1219900</v>
      </c>
      <c r="I330" s="811"/>
      <c r="J330" s="812"/>
      <c r="K330" s="819"/>
      <c r="L330" s="819"/>
      <c r="M330" s="818" t="s">
        <v>12809</v>
      </c>
      <c r="N330" s="820">
        <v>45476.0</v>
      </c>
      <c r="O330" s="823"/>
    </row>
    <row r="331" ht="14.25" customHeight="1">
      <c r="A331" s="789">
        <v>45420.0</v>
      </c>
      <c r="B331" s="790" t="s">
        <v>12937</v>
      </c>
      <c r="C331" s="791" t="s">
        <v>12860</v>
      </c>
      <c r="D331" s="791" t="s">
        <v>6818</v>
      </c>
      <c r="E331" s="792" t="str">
        <f>IFERROR(VLOOKUP(D331,Stock,3,FALSE),"")</f>
        <v>Toyota Rush / Terios 18-</v>
      </c>
      <c r="F331" s="791">
        <v>1.0</v>
      </c>
      <c r="G331" s="809">
        <v>141100.0</v>
      </c>
      <c r="H331" s="810">
        <f t="shared" si="10"/>
        <v>141100</v>
      </c>
      <c r="I331" s="811"/>
      <c r="J331" s="812"/>
      <c r="K331" s="819"/>
      <c r="L331" s="819"/>
      <c r="M331" s="818" t="s">
        <v>12809</v>
      </c>
      <c r="N331" s="820">
        <v>45454.0</v>
      </c>
      <c r="O331" s="823"/>
    </row>
    <row r="332" ht="14.25" customHeight="1">
      <c r="A332" s="789"/>
      <c r="B332" s="790"/>
      <c r="C332" s="791"/>
      <c r="D332" s="791" t="s">
        <v>2837</v>
      </c>
      <c r="E332" s="792" t="str">
        <f>IFERROR(VLOOKUP(D332,Stock,3,FALSE),"")</f>
        <v>Honda Freed 08-16 1st gen</v>
      </c>
      <c r="F332" s="791">
        <v>1.0</v>
      </c>
      <c r="G332" s="809">
        <v>212200.0</v>
      </c>
      <c r="H332" s="810">
        <f t="shared" si="10"/>
        <v>212200</v>
      </c>
      <c r="I332" s="811"/>
      <c r="J332" s="812"/>
      <c r="K332" s="819"/>
      <c r="L332" s="819"/>
      <c r="M332" s="818" t="s">
        <v>12809</v>
      </c>
      <c r="N332" s="820">
        <v>45454.0</v>
      </c>
      <c r="O332" s="823"/>
    </row>
    <row r="333" ht="14.25" customHeight="1">
      <c r="A333" s="789">
        <v>45420.0</v>
      </c>
      <c r="B333" s="829" t="s">
        <v>12938</v>
      </c>
      <c r="C333" s="791" t="s">
        <v>12932</v>
      </c>
      <c r="D333" s="791" t="s">
        <v>2819</v>
      </c>
      <c r="E333" s="792" t="str">
        <f>IFERROR(VLOOKUP(D333,Stock,3,FALSE),"")</f>
        <v>Toyota Rush / Terios 06-17</v>
      </c>
      <c r="F333" s="791">
        <v>5.0</v>
      </c>
      <c r="G333" s="809">
        <v>146200.32</v>
      </c>
      <c r="H333" s="810">
        <f t="shared" si="10"/>
        <v>731001.6</v>
      </c>
      <c r="I333" s="811"/>
      <c r="J333" s="812"/>
      <c r="K333" s="819"/>
      <c r="L333" s="819"/>
      <c r="M333" s="818" t="s">
        <v>12809</v>
      </c>
      <c r="N333" s="820">
        <v>45454.0</v>
      </c>
      <c r="O333" s="823"/>
    </row>
    <row r="334" ht="14.25" customHeight="1">
      <c r="A334" s="825"/>
      <c r="B334" s="826"/>
      <c r="C334" s="792"/>
      <c r="D334" s="791" t="s">
        <v>6890</v>
      </c>
      <c r="E334" s="792" t="str">
        <f>IFERROR(VLOOKUP(D334,Stock,3,FALSE),"")</f>
        <v>Toyota Rush / Terios 06-17</v>
      </c>
      <c r="F334" s="791">
        <v>5.0</v>
      </c>
      <c r="G334" s="809">
        <v>146200.32</v>
      </c>
      <c r="H334" s="810">
        <f t="shared" si="10"/>
        <v>731001.6</v>
      </c>
      <c r="I334" s="811"/>
      <c r="J334" s="812"/>
      <c r="K334" s="819"/>
      <c r="L334" s="819"/>
      <c r="M334" s="818" t="s">
        <v>12809</v>
      </c>
      <c r="N334" s="820">
        <v>45454.0</v>
      </c>
      <c r="O334" s="823"/>
    </row>
    <row r="335" ht="14.25" customHeight="1">
      <c r="A335" s="789">
        <v>45420.0</v>
      </c>
      <c r="B335" s="790">
        <v>2405240.0</v>
      </c>
      <c r="C335" s="791" t="s">
        <v>11484</v>
      </c>
      <c r="D335" s="791" t="s">
        <v>2681</v>
      </c>
      <c r="E335" s="792" t="str">
        <f>IFERROR(VLOOKUP(D335,Stock,3,FALSE),"")</f>
        <v>Honda CR-V 04-06 2nd Gen (Spion Biasa)</v>
      </c>
      <c r="F335" s="791">
        <v>2.0</v>
      </c>
      <c r="G335" s="809">
        <v>815100.0</v>
      </c>
      <c r="H335" s="810">
        <f t="shared" si="10"/>
        <v>1630200</v>
      </c>
      <c r="I335" s="811"/>
      <c r="J335" s="812"/>
      <c r="K335" s="819"/>
      <c r="L335" s="819"/>
      <c r="M335" s="818" t="s">
        <v>12809</v>
      </c>
      <c r="N335" s="820">
        <v>45477.0</v>
      </c>
      <c r="O335" s="823"/>
    </row>
    <row r="336" ht="14.25" customHeight="1">
      <c r="A336" s="825"/>
      <c r="B336" s="826"/>
      <c r="C336" s="791" t="s">
        <v>11484</v>
      </c>
      <c r="D336" s="791" t="s">
        <v>2698</v>
      </c>
      <c r="E336" s="792" t="str">
        <f>IFERROR(VLOOKUP(D336,Stock,3,FALSE),"")</f>
        <v>Honda CR-V 17- 5th Gen</v>
      </c>
      <c r="F336" s="791">
        <v>1.0</v>
      </c>
      <c r="G336" s="809">
        <v>853600.0</v>
      </c>
      <c r="H336" s="810">
        <f t="shared" si="10"/>
        <v>853600</v>
      </c>
      <c r="I336" s="811"/>
      <c r="J336" s="812"/>
      <c r="K336" s="819"/>
      <c r="L336" s="819"/>
      <c r="M336" s="818" t="s">
        <v>12809</v>
      </c>
      <c r="N336" s="820">
        <v>45477.0</v>
      </c>
      <c r="O336" s="823"/>
    </row>
    <row r="337" ht="14.25" customHeight="1">
      <c r="A337" s="789">
        <v>45420.0</v>
      </c>
      <c r="B337" s="790">
        <v>2405241.0</v>
      </c>
      <c r="C337" s="791" t="s">
        <v>11484</v>
      </c>
      <c r="D337" s="791" t="s">
        <v>3378</v>
      </c>
      <c r="E337" s="792" t="str">
        <f>IFERROR(VLOOKUP(D337,Stock,3,FALSE),"")</f>
        <v>Isuzu Panther 00- 2nd Gen</v>
      </c>
      <c r="F337" s="791">
        <v>2.0</v>
      </c>
      <c r="G337" s="809">
        <v>515900.0</v>
      </c>
      <c r="H337" s="810">
        <f t="shared" si="10"/>
        <v>1031800</v>
      </c>
      <c r="I337" s="811"/>
      <c r="J337" s="812"/>
      <c r="K337" s="799" t="s">
        <v>12939</v>
      </c>
      <c r="L337" s="819"/>
      <c r="M337" s="818" t="s">
        <v>12809</v>
      </c>
      <c r="N337" s="820">
        <v>45461.0</v>
      </c>
      <c r="O337" s="823"/>
    </row>
    <row r="338" ht="14.25" customHeight="1">
      <c r="A338" s="789">
        <v>45420.0</v>
      </c>
      <c r="B338" s="790">
        <v>2405248.0</v>
      </c>
      <c r="C338" s="791" t="s">
        <v>11484</v>
      </c>
      <c r="D338" s="791" t="s">
        <v>3795</v>
      </c>
      <c r="E338" s="792" t="str">
        <f>IFERROR(VLOOKUP(D338,Stock,3,FALSE),"")</f>
        <v>Toyota Innova 04-15 1st Gen</v>
      </c>
      <c r="F338" s="791">
        <v>2.0</v>
      </c>
      <c r="G338" s="809">
        <v>467000.0</v>
      </c>
      <c r="H338" s="810">
        <f t="shared" si="10"/>
        <v>934000</v>
      </c>
      <c r="I338" s="811"/>
      <c r="J338" s="812"/>
      <c r="K338" s="819"/>
      <c r="L338" s="819"/>
      <c r="M338" s="818" t="s">
        <v>12809</v>
      </c>
      <c r="N338" s="820">
        <v>45477.0</v>
      </c>
      <c r="O338" s="823"/>
    </row>
    <row r="339" ht="14.25" customHeight="1">
      <c r="A339" s="825"/>
      <c r="B339" s="826"/>
      <c r="C339" s="791" t="s">
        <v>11484</v>
      </c>
      <c r="D339" s="791" t="s">
        <v>3033</v>
      </c>
      <c r="E339" s="792" t="str">
        <f>IFERROR(VLOOKUP(D339,Stock,3,FALSE),"")</f>
        <v>Toyota Innova 04-15 1st Gen</v>
      </c>
      <c r="F339" s="791">
        <v>2.0</v>
      </c>
      <c r="G339" s="809">
        <v>520000.0</v>
      </c>
      <c r="H339" s="810">
        <f t="shared" si="10"/>
        <v>1040000</v>
      </c>
      <c r="I339" s="811"/>
      <c r="J339" s="812"/>
      <c r="K339" s="819"/>
      <c r="L339" s="819"/>
      <c r="M339" s="818" t="s">
        <v>12809</v>
      </c>
      <c r="N339" s="820">
        <v>45477.0</v>
      </c>
      <c r="O339" s="823"/>
    </row>
    <row r="340" ht="14.25" customHeight="1">
      <c r="A340" s="789">
        <v>45422.0</v>
      </c>
      <c r="B340" s="790">
        <v>2405300.0</v>
      </c>
      <c r="C340" s="791" t="s">
        <v>11484</v>
      </c>
      <c r="D340" s="791" t="s">
        <v>3421</v>
      </c>
      <c r="E340" s="792" t="str">
        <f>IFERROR(VLOOKUP(D340,Stock,3,FALSE),"")</f>
        <v>Nissan Teana 08-12 J32</v>
      </c>
      <c r="F340" s="791">
        <v>1.0</v>
      </c>
      <c r="G340" s="809">
        <v>1185800.0</v>
      </c>
      <c r="H340" s="810">
        <f t="shared" si="10"/>
        <v>1185800</v>
      </c>
      <c r="I340" s="811"/>
      <c r="J340" s="812"/>
      <c r="K340" s="819"/>
      <c r="L340" s="819"/>
      <c r="M340" s="818" t="s">
        <v>12809</v>
      </c>
      <c r="N340" s="820">
        <v>45513.0</v>
      </c>
      <c r="O340" s="823"/>
    </row>
    <row r="341" ht="14.25" customHeight="1">
      <c r="A341" s="789">
        <v>45422.0</v>
      </c>
      <c r="B341" s="790">
        <v>2405295.0</v>
      </c>
      <c r="C341" s="791" t="s">
        <v>11484</v>
      </c>
      <c r="D341" s="791" t="s">
        <v>3795</v>
      </c>
      <c r="E341" s="792" t="str">
        <f>IFERROR(VLOOKUP(D341,Stock,3,FALSE),"")</f>
        <v>Toyota Innova 04-15 1st Gen</v>
      </c>
      <c r="F341" s="791">
        <v>5.0</v>
      </c>
      <c r="G341" s="809">
        <v>467000.0</v>
      </c>
      <c r="H341" s="810">
        <f t="shared" si="10"/>
        <v>2335000</v>
      </c>
      <c r="I341" s="811"/>
      <c r="J341" s="812"/>
      <c r="K341" s="819"/>
      <c r="L341" s="819"/>
      <c r="M341" s="818" t="s">
        <v>12809</v>
      </c>
      <c r="N341" s="820">
        <v>45481.0</v>
      </c>
      <c r="O341" s="823"/>
    </row>
    <row r="342" ht="14.25" customHeight="1">
      <c r="A342" s="789">
        <v>45425.0</v>
      </c>
      <c r="B342" s="790">
        <v>2405321.0</v>
      </c>
      <c r="C342" s="791" t="s">
        <v>11484</v>
      </c>
      <c r="D342" s="791" t="s">
        <v>3050</v>
      </c>
      <c r="E342" s="792" t="str">
        <f>IFERROR(VLOOKUP(D342,Stock,3,FALSE),"")</f>
        <v>Toyota Hilux Pickup 05-15</v>
      </c>
      <c r="F342" s="791">
        <v>2.0</v>
      </c>
      <c r="G342" s="809">
        <v>287000.0</v>
      </c>
      <c r="H342" s="810">
        <f t="shared" si="10"/>
        <v>574000</v>
      </c>
      <c r="I342" s="811"/>
      <c r="J342" s="812"/>
      <c r="K342" s="819"/>
      <c r="L342" s="819"/>
      <c r="M342" s="818" t="s">
        <v>12809</v>
      </c>
      <c r="N342" s="820">
        <v>45484.0</v>
      </c>
      <c r="O342" s="823"/>
    </row>
    <row r="343" ht="14.25" customHeight="1">
      <c r="A343" s="825"/>
      <c r="B343" s="826"/>
      <c r="C343" s="791" t="s">
        <v>11484</v>
      </c>
      <c r="D343" s="791" t="s">
        <v>3456</v>
      </c>
      <c r="E343" s="792" t="str">
        <f>IFERROR(VLOOKUP(D343,Stock,3,FALSE),"")</f>
        <v>Hyundai Atoz</v>
      </c>
      <c r="F343" s="791">
        <v>1.0</v>
      </c>
      <c r="G343" s="809">
        <v>616000.0</v>
      </c>
      <c r="H343" s="810">
        <f t="shared" si="10"/>
        <v>616000</v>
      </c>
      <c r="I343" s="811"/>
      <c r="J343" s="812"/>
      <c r="K343" s="819"/>
      <c r="L343" s="819"/>
      <c r="M343" s="818" t="s">
        <v>12809</v>
      </c>
      <c r="N343" s="820">
        <v>45484.0</v>
      </c>
      <c r="O343" s="823"/>
    </row>
    <row r="344" ht="14.25" customHeight="1">
      <c r="A344" s="789">
        <v>45426.0</v>
      </c>
      <c r="B344" s="790" t="s">
        <v>12940</v>
      </c>
      <c r="C344" s="791" t="s">
        <v>3091</v>
      </c>
      <c r="D344" s="791" t="s">
        <v>2960</v>
      </c>
      <c r="E344" s="792" t="str">
        <f>IFERROR(VLOOKUP(D344,Stock,3,FALSE),"")</f>
        <v>Toyota Alphard 08-15 ANH20 2nd Gen (Hitam)</v>
      </c>
      <c r="F344" s="791">
        <v>2.0</v>
      </c>
      <c r="G344" s="809">
        <v>558763.6</v>
      </c>
      <c r="H344" s="811">
        <f t="shared" si="10"/>
        <v>1117527.2</v>
      </c>
      <c r="I344" s="811"/>
      <c r="J344" s="812"/>
      <c r="K344" s="819"/>
      <c r="L344" s="819"/>
      <c r="M344" s="818" t="s">
        <v>12809</v>
      </c>
      <c r="N344" s="820">
        <v>45498.0</v>
      </c>
      <c r="O344" s="823"/>
    </row>
    <row r="345" ht="14.25" customHeight="1">
      <c r="A345" s="789">
        <v>45426.0</v>
      </c>
      <c r="B345" s="790" t="s">
        <v>12941</v>
      </c>
      <c r="C345" s="791" t="s">
        <v>12942</v>
      </c>
      <c r="D345" s="791" t="s">
        <v>2617</v>
      </c>
      <c r="E345" s="792" t="str">
        <f>IFERROR(VLOOKUP(D345,Stock,3,FALSE),"")</f>
        <v>Mitsubishi Pajero 16- (Mitsubishi)</v>
      </c>
      <c r="F345" s="791">
        <v>1.0</v>
      </c>
      <c r="G345" s="809">
        <v>1710000.0</v>
      </c>
      <c r="H345" s="811">
        <f t="shared" si="10"/>
        <v>1710000</v>
      </c>
      <c r="I345" s="811"/>
      <c r="J345" s="812"/>
      <c r="K345" s="819"/>
      <c r="L345" s="819"/>
      <c r="M345" s="818" t="s">
        <v>12809</v>
      </c>
      <c r="N345" s="820">
        <v>45562.0</v>
      </c>
      <c r="O345" s="823"/>
    </row>
    <row r="346" ht="14.25" customHeight="1">
      <c r="A346" s="789">
        <v>45427.0</v>
      </c>
      <c r="B346" s="790" t="s">
        <v>12943</v>
      </c>
      <c r="C346" s="791" t="s">
        <v>12944</v>
      </c>
      <c r="D346" s="791" t="s">
        <v>3745</v>
      </c>
      <c r="E346" s="792" t="str">
        <f>IFERROR(VLOOKUP(D346,Stock,3,FALSE),"")</f>
        <v>Honda Brio 10- / Mobilio 11-</v>
      </c>
      <c r="F346" s="791">
        <v>5.0</v>
      </c>
      <c r="G346" s="809">
        <v>738150.0</v>
      </c>
      <c r="H346" s="811">
        <f t="shared" si="10"/>
        <v>3690750</v>
      </c>
      <c r="I346" s="811"/>
      <c r="J346" s="812"/>
      <c r="K346" s="819"/>
      <c r="L346" s="819"/>
      <c r="M346" s="818" t="s">
        <v>12809</v>
      </c>
      <c r="N346" s="818" t="s">
        <v>12945</v>
      </c>
      <c r="O346" s="823"/>
    </row>
    <row r="347" ht="14.25" customHeight="1">
      <c r="A347" s="789">
        <v>45427.0</v>
      </c>
      <c r="B347" s="790" t="s">
        <v>12943</v>
      </c>
      <c r="C347" s="791" t="s">
        <v>12944</v>
      </c>
      <c r="D347" s="791" t="s">
        <v>8066</v>
      </c>
      <c r="E347" s="792" t="str">
        <f>IFERROR(VLOOKUP(D347,Stock,3,FALSE),"")</f>
        <v>Honda Brio 10-</v>
      </c>
      <c r="F347" s="791">
        <v>2.0</v>
      </c>
      <c r="G347" s="809">
        <v>184537.4</v>
      </c>
      <c r="H347" s="811">
        <f t="shared" si="10"/>
        <v>369074.8</v>
      </c>
      <c r="I347" s="811"/>
      <c r="J347" s="812"/>
      <c r="K347" s="819"/>
      <c r="L347" s="819"/>
      <c r="M347" s="818" t="s">
        <v>12809</v>
      </c>
      <c r="N347" s="818" t="s">
        <v>12945</v>
      </c>
      <c r="O347" s="823"/>
    </row>
    <row r="348" ht="14.25" customHeight="1">
      <c r="A348" s="789">
        <v>45427.0</v>
      </c>
      <c r="B348" s="790" t="s">
        <v>12943</v>
      </c>
      <c r="C348" s="791" t="s">
        <v>12944</v>
      </c>
      <c r="D348" s="791" t="s">
        <v>7408</v>
      </c>
      <c r="E348" s="792" t="str">
        <f>IFERROR(VLOOKUP(D348,Stock,3,FALSE),"")</f>
        <v>Honda Brio 10-</v>
      </c>
      <c r="F348" s="791">
        <v>2.0</v>
      </c>
      <c r="G348" s="809">
        <v>184537.4</v>
      </c>
      <c r="H348" s="811">
        <f t="shared" si="10"/>
        <v>369074.8</v>
      </c>
      <c r="I348" s="811"/>
      <c r="J348" s="812"/>
      <c r="K348" s="819"/>
      <c r="L348" s="819"/>
      <c r="M348" s="818" t="s">
        <v>12809</v>
      </c>
      <c r="N348" s="818" t="s">
        <v>12945</v>
      </c>
      <c r="O348" s="823"/>
    </row>
    <row r="349" ht="14.25" customHeight="1">
      <c r="A349" s="789">
        <v>45427.0</v>
      </c>
      <c r="B349" s="790" t="s">
        <v>12943</v>
      </c>
      <c r="C349" s="791" t="s">
        <v>12944</v>
      </c>
      <c r="D349" s="791" t="s">
        <v>12946</v>
      </c>
      <c r="E349" s="792" t="str">
        <f>IFERROR(VLOOKUP(D349,Stock,3,FALSE),"")</f>
        <v>Honda Brio 18-</v>
      </c>
      <c r="F349" s="791">
        <v>2.0</v>
      </c>
      <c r="G349" s="809">
        <v>147630.1</v>
      </c>
      <c r="H349" s="811">
        <f t="shared" si="10"/>
        <v>295260.2</v>
      </c>
      <c r="I349" s="811"/>
      <c r="J349" s="812"/>
      <c r="K349" s="819"/>
      <c r="L349" s="819"/>
      <c r="M349" s="818" t="s">
        <v>12809</v>
      </c>
      <c r="N349" s="818" t="s">
        <v>12945</v>
      </c>
      <c r="O349" s="823"/>
    </row>
    <row r="350" ht="14.25" customHeight="1">
      <c r="A350" s="789">
        <v>45427.0</v>
      </c>
      <c r="B350" s="790" t="s">
        <v>12943</v>
      </c>
      <c r="C350" s="791" t="s">
        <v>12944</v>
      </c>
      <c r="D350" s="791" t="s">
        <v>3988</v>
      </c>
      <c r="E350" s="792" t="str">
        <f>IFERROR(VLOOKUP(D350,Stock,3,FALSE),"")</f>
        <v>Honda Brio 18-</v>
      </c>
      <c r="F350" s="791">
        <v>2.0</v>
      </c>
      <c r="G350" s="809">
        <v>147630.1</v>
      </c>
      <c r="H350" s="811">
        <f t="shared" si="10"/>
        <v>295260.2</v>
      </c>
      <c r="I350" s="811"/>
      <c r="J350" s="812"/>
      <c r="K350" s="819"/>
      <c r="L350" s="819"/>
      <c r="M350" s="818" t="s">
        <v>12809</v>
      </c>
      <c r="N350" s="818" t="s">
        <v>12945</v>
      </c>
      <c r="O350" s="823"/>
    </row>
    <row r="351" ht="14.25" customHeight="1">
      <c r="A351" s="789">
        <v>45427.0</v>
      </c>
      <c r="B351" s="790" t="s">
        <v>12943</v>
      </c>
      <c r="C351" s="791" t="s">
        <v>12944</v>
      </c>
      <c r="D351" s="791" t="s">
        <v>7154</v>
      </c>
      <c r="E351" s="792" t="str">
        <f>IFERROR(VLOOKUP(D351,Stock,3,FALSE),"")</f>
        <v>Honda Mobilio 11-</v>
      </c>
      <c r="F351" s="791">
        <v>2.0</v>
      </c>
      <c r="G351" s="809">
        <v>316350.0</v>
      </c>
      <c r="H351" s="811">
        <f t="shared" si="10"/>
        <v>632700</v>
      </c>
      <c r="I351" s="811"/>
      <c r="J351" s="812"/>
      <c r="K351" s="819"/>
      <c r="L351" s="819"/>
      <c r="M351" s="818" t="s">
        <v>12809</v>
      </c>
      <c r="N351" s="818" t="s">
        <v>12945</v>
      </c>
      <c r="O351" s="823"/>
    </row>
    <row r="352" ht="14.25" customHeight="1">
      <c r="A352" s="789">
        <v>45427.0</v>
      </c>
      <c r="B352" s="790" t="s">
        <v>12943</v>
      </c>
      <c r="C352" s="791" t="s">
        <v>12944</v>
      </c>
      <c r="D352" s="791" t="s">
        <v>7393</v>
      </c>
      <c r="E352" s="792" t="str">
        <f>IFERROR(VLOOKUP(D352,Stock,3,FALSE),"")</f>
        <v>Honda Mobilio 11-</v>
      </c>
      <c r="F352" s="791">
        <v>2.0</v>
      </c>
      <c r="G352" s="809">
        <v>316350.0</v>
      </c>
      <c r="H352" s="811">
        <f t="shared" si="10"/>
        <v>632700</v>
      </c>
      <c r="I352" s="811"/>
      <c r="J352" s="812"/>
      <c r="K352" s="819"/>
      <c r="L352" s="819"/>
      <c r="M352" s="818" t="s">
        <v>12809</v>
      </c>
      <c r="N352" s="818" t="s">
        <v>12945</v>
      </c>
      <c r="O352" s="823"/>
    </row>
    <row r="353" ht="14.25" customHeight="1">
      <c r="A353" s="789">
        <v>45429.0</v>
      </c>
      <c r="B353" s="790">
        <v>2405467.0</v>
      </c>
      <c r="C353" s="791" t="s">
        <v>11484</v>
      </c>
      <c r="D353" s="791" t="s">
        <v>3497</v>
      </c>
      <c r="E353" s="792" t="str">
        <f>IFERROR(VLOOKUP(D353,Stock,3,FALSE),"")</f>
        <v>Honda CR-V 02-04 2nd Gen (Spion Jepit)</v>
      </c>
      <c r="F353" s="791">
        <v>2.0</v>
      </c>
      <c r="G353" s="809">
        <v>815100.0</v>
      </c>
      <c r="H353" s="810">
        <f t="shared" si="10"/>
        <v>1630200</v>
      </c>
      <c r="I353" s="811"/>
      <c r="J353" s="812"/>
      <c r="K353" s="819"/>
      <c r="L353" s="819"/>
      <c r="M353" s="818" t="s">
        <v>12809</v>
      </c>
      <c r="N353" s="820">
        <v>45488.0</v>
      </c>
      <c r="O353" s="823"/>
    </row>
    <row r="354" ht="14.25" customHeight="1">
      <c r="A354" s="789">
        <v>45432.0</v>
      </c>
      <c r="B354" s="790">
        <v>2405516.0</v>
      </c>
      <c r="C354" s="791" t="s">
        <v>11484</v>
      </c>
      <c r="D354" s="791" t="s">
        <v>3366</v>
      </c>
      <c r="E354" s="792" t="str">
        <f>IFERROR(VLOOKUP(D354,Stock,3,FALSE),"")</f>
        <v>Toyota Hi-Ace 04-20 Commuter (Clear)</v>
      </c>
      <c r="F354" s="791">
        <v>1.0</v>
      </c>
      <c r="G354" s="809">
        <v>788000.0</v>
      </c>
      <c r="H354" s="810">
        <f t="shared" si="10"/>
        <v>788000</v>
      </c>
      <c r="I354" s="811"/>
      <c r="J354" s="812"/>
      <c r="K354" s="819"/>
      <c r="L354" s="819"/>
      <c r="M354" s="818" t="s">
        <v>12809</v>
      </c>
      <c r="N354" s="820">
        <v>45490.0</v>
      </c>
      <c r="O354" s="823"/>
    </row>
    <row r="355" ht="14.25" customHeight="1">
      <c r="A355" s="825"/>
      <c r="B355" s="826"/>
      <c r="C355" s="791" t="s">
        <v>11484</v>
      </c>
      <c r="D355" s="791" t="s">
        <v>3050</v>
      </c>
      <c r="E355" s="792" t="str">
        <f>IFERROR(VLOOKUP(D355,Stock,3,FALSE),"")</f>
        <v>Toyota Hilux Pickup 05-15</v>
      </c>
      <c r="F355" s="791">
        <v>2.0</v>
      </c>
      <c r="G355" s="809">
        <v>287000.0</v>
      </c>
      <c r="H355" s="810">
        <f t="shared" si="10"/>
        <v>574000</v>
      </c>
      <c r="I355" s="811"/>
      <c r="J355" s="812"/>
      <c r="K355" s="819"/>
      <c r="L355" s="819"/>
      <c r="M355" s="818" t="s">
        <v>12809</v>
      </c>
      <c r="N355" s="820">
        <v>45490.0</v>
      </c>
      <c r="O355" s="823"/>
    </row>
    <row r="356" ht="14.25" customHeight="1">
      <c r="A356" s="825"/>
      <c r="B356" s="826"/>
      <c r="C356" s="791" t="s">
        <v>11484</v>
      </c>
      <c r="D356" s="791" t="s">
        <v>3522</v>
      </c>
      <c r="E356" s="792" t="str">
        <f>IFERROR(VLOOKUP(D356,Stock,3,FALSE),"")</f>
        <v>Chevrolet Spark 10-15 M300 3rd Gen (1200cc)</v>
      </c>
      <c r="F356" s="791">
        <v>1.0</v>
      </c>
      <c r="G356" s="809">
        <v>872850.0</v>
      </c>
      <c r="H356" s="810">
        <f t="shared" si="10"/>
        <v>872850</v>
      </c>
      <c r="I356" s="811"/>
      <c r="J356" s="812"/>
      <c r="K356" s="819"/>
      <c r="L356" s="819"/>
      <c r="M356" s="818" t="s">
        <v>12809</v>
      </c>
      <c r="N356" s="820">
        <v>45490.0</v>
      </c>
      <c r="O356" s="823"/>
    </row>
    <row r="357" ht="14.25" customHeight="1">
      <c r="A357" s="789">
        <v>45432.0</v>
      </c>
      <c r="B357" s="829" t="s">
        <v>12947</v>
      </c>
      <c r="C357" s="791" t="s">
        <v>12932</v>
      </c>
      <c r="D357" s="791" t="s">
        <v>6827</v>
      </c>
      <c r="E357" s="792" t="str">
        <f>IFERROR(VLOOKUP(D357,Stock,3,FALSE),"")</f>
        <v>Toyota Avanza / Xenia 11-15 2nd Gen</v>
      </c>
      <c r="F357" s="791">
        <v>5.0</v>
      </c>
      <c r="G357" s="809">
        <v>106250.3</v>
      </c>
      <c r="H357" s="810">
        <f t="shared" si="10"/>
        <v>531251.5</v>
      </c>
      <c r="I357" s="811"/>
      <c r="J357" s="812"/>
      <c r="K357" s="819"/>
      <c r="L357" s="819"/>
      <c r="M357" s="818" t="s">
        <v>12809</v>
      </c>
      <c r="N357" s="820">
        <v>45461.0</v>
      </c>
      <c r="O357" s="823"/>
    </row>
    <row r="358" ht="14.25" customHeight="1">
      <c r="A358" s="825"/>
      <c r="B358" s="826"/>
      <c r="C358" s="791" t="s">
        <v>12932</v>
      </c>
      <c r="D358" s="791" t="s">
        <v>4149</v>
      </c>
      <c r="E358" s="792" t="str">
        <f>IFERROR(VLOOKUP(D358,Stock,3,FALSE),"")</f>
        <v>Toyota Avanza / Xenia 11-15 2nd Gen</v>
      </c>
      <c r="F358" s="791">
        <v>5.0</v>
      </c>
      <c r="G358" s="809">
        <v>106250.3</v>
      </c>
      <c r="H358" s="810">
        <f t="shared" si="10"/>
        <v>531251.5</v>
      </c>
      <c r="I358" s="811"/>
      <c r="J358" s="812"/>
      <c r="K358" s="819"/>
      <c r="L358" s="819"/>
      <c r="M358" s="818" t="s">
        <v>12809</v>
      </c>
      <c r="N358" s="820">
        <v>45461.0</v>
      </c>
      <c r="O358" s="823"/>
    </row>
    <row r="359" ht="14.25" customHeight="1">
      <c r="A359" s="789">
        <v>45433.0</v>
      </c>
      <c r="B359" s="790" t="s">
        <v>12948</v>
      </c>
      <c r="C359" s="791" t="s">
        <v>12949</v>
      </c>
      <c r="D359" s="791" t="s">
        <v>3532</v>
      </c>
      <c r="E359" s="792" t="str">
        <f>IFERROR(VLOOKUP(D359,Stock,3,FALSE),"")</f>
        <v>9092 Sealant Application</v>
      </c>
      <c r="F359" s="791">
        <v>20.0</v>
      </c>
      <c r="G359" s="809">
        <v>65000.0</v>
      </c>
      <c r="H359" s="811">
        <f t="shared" si="10"/>
        <v>1300000</v>
      </c>
      <c r="I359" s="811"/>
      <c r="J359" s="812"/>
      <c r="K359" s="819"/>
      <c r="L359" s="819"/>
      <c r="M359" s="818" t="s">
        <v>12809</v>
      </c>
      <c r="N359" s="830">
        <v>45562.0</v>
      </c>
      <c r="O359" s="823"/>
    </row>
    <row r="360" ht="14.25" customHeight="1">
      <c r="A360" s="789">
        <v>45433.0</v>
      </c>
      <c r="B360" s="790" t="s">
        <v>12950</v>
      </c>
      <c r="C360" s="791" t="s">
        <v>3091</v>
      </c>
      <c r="D360" s="791" t="s">
        <v>2983</v>
      </c>
      <c r="E360" s="792" t="str">
        <f>IFERROR(VLOOKUP(D360,Stock,3,FALSE),"")</f>
        <v>Kia Picanto 11-16 2nd Gen</v>
      </c>
      <c r="F360" s="791">
        <v>1.0</v>
      </c>
      <c r="G360" s="809">
        <v>960000.0</v>
      </c>
      <c r="H360" s="811">
        <f t="shared" si="10"/>
        <v>960000</v>
      </c>
      <c r="I360" s="811"/>
      <c r="J360" s="812"/>
      <c r="K360" s="819"/>
      <c r="L360" s="819"/>
      <c r="M360" s="818" t="s">
        <v>12809</v>
      </c>
      <c r="N360" s="820">
        <v>45491.0</v>
      </c>
      <c r="O360" s="823"/>
    </row>
    <row r="361" ht="14.25" customHeight="1">
      <c r="A361" s="789">
        <v>45439.0</v>
      </c>
      <c r="B361" s="790">
        <v>2405672.0</v>
      </c>
      <c r="C361" s="791" t="s">
        <v>11484</v>
      </c>
      <c r="D361" s="791" t="s">
        <v>3582</v>
      </c>
      <c r="E361" s="792" t="str">
        <f>IFERROR(VLOOKUP(D361,Stock,3,FALSE),"")</f>
        <v>Honda CR-V 12-16 4th Gen</v>
      </c>
      <c r="F361" s="791">
        <v>1.0</v>
      </c>
      <c r="G361" s="809">
        <v>879450.0</v>
      </c>
      <c r="H361" s="810">
        <f t="shared" si="10"/>
        <v>879450</v>
      </c>
      <c r="I361" s="811"/>
      <c r="J361" s="812"/>
      <c r="K361" s="819"/>
      <c r="L361" s="819"/>
      <c r="M361" s="818" t="s">
        <v>12809</v>
      </c>
      <c r="N361" s="820">
        <v>45497.0</v>
      </c>
      <c r="O361" s="823"/>
    </row>
    <row r="362" ht="14.25" customHeight="1">
      <c r="A362" s="825"/>
      <c r="B362" s="826"/>
      <c r="C362" s="791" t="s">
        <v>11484</v>
      </c>
      <c r="D362" s="791" t="s">
        <v>2663</v>
      </c>
      <c r="E362" s="792" t="str">
        <f>IFERROR(VLOOKUP(D362,Stock,3,FALSE),"")</f>
        <v>Chevrolet Captiva 06-18 1st gen C100</v>
      </c>
      <c r="F362" s="791">
        <v>1.0</v>
      </c>
      <c r="G362" s="809">
        <v>997150.0</v>
      </c>
      <c r="H362" s="810">
        <f t="shared" si="10"/>
        <v>997150</v>
      </c>
      <c r="I362" s="811"/>
      <c r="J362" s="812"/>
      <c r="K362" s="819"/>
      <c r="L362" s="819"/>
      <c r="M362" s="818" t="s">
        <v>12809</v>
      </c>
      <c r="N362" s="820">
        <v>45497.0</v>
      </c>
      <c r="O362" s="823"/>
    </row>
    <row r="363" ht="14.25" customHeight="1">
      <c r="A363" s="825"/>
      <c r="B363" s="826"/>
      <c r="C363" s="791" t="s">
        <v>11484</v>
      </c>
      <c r="D363" s="791" t="s">
        <v>2659</v>
      </c>
      <c r="E363" s="792" t="str">
        <f>IFERROR(VLOOKUP(D363,Stock,3,FALSE),"")</f>
        <v>Kia Picanto 04-11 1st Gen (Spion Hitam)</v>
      </c>
      <c r="F363" s="791">
        <v>1.0</v>
      </c>
      <c r="G363" s="809">
        <v>863500.0</v>
      </c>
      <c r="H363" s="810">
        <f t="shared" si="10"/>
        <v>863500</v>
      </c>
      <c r="I363" s="811"/>
      <c r="J363" s="812"/>
      <c r="K363" s="819"/>
      <c r="L363" s="819"/>
      <c r="M363" s="818" t="s">
        <v>12809</v>
      </c>
      <c r="N363" s="820">
        <v>45497.0</v>
      </c>
      <c r="O363" s="823"/>
    </row>
    <row r="364" ht="14.25" customHeight="1">
      <c r="A364" s="789">
        <v>45439.0</v>
      </c>
      <c r="B364" s="790" t="s">
        <v>12951</v>
      </c>
      <c r="C364" s="791" t="s">
        <v>3091</v>
      </c>
      <c r="D364" s="791" t="s">
        <v>2623</v>
      </c>
      <c r="E364" s="792" t="str">
        <f>IFERROR(VLOOKUP(D364,Stock,3,FALSE),"")</f>
        <v>Honda Civic 05-11 8th Gen (Civic Batman FD)</v>
      </c>
      <c r="F364" s="791">
        <v>1.0</v>
      </c>
      <c r="G364" s="809">
        <v>1200000.0</v>
      </c>
      <c r="H364" s="811">
        <f t="shared" si="10"/>
        <v>1200000</v>
      </c>
      <c r="I364" s="811"/>
      <c r="J364" s="812"/>
      <c r="K364" s="819"/>
      <c r="L364" s="819"/>
      <c r="M364" s="818" t="s">
        <v>12809</v>
      </c>
      <c r="N364" s="820">
        <v>45497.0</v>
      </c>
      <c r="O364" s="823"/>
    </row>
    <row r="365" ht="14.25" customHeight="1">
      <c r="A365" s="825"/>
      <c r="B365" s="826"/>
      <c r="C365" s="791" t="s">
        <v>3091</v>
      </c>
      <c r="D365" s="791" t="s">
        <v>3549</v>
      </c>
      <c r="E365" s="792" t="str">
        <f>IFERROR(VLOOKUP(D365,Stock,3,FALSE),"")</f>
        <v>Toyota Fortuner 05-15 1st Gen</v>
      </c>
      <c r="F365" s="791">
        <v>1.0</v>
      </c>
      <c r="G365" s="809">
        <v>1100000.0</v>
      </c>
      <c r="H365" s="811">
        <f t="shared" si="10"/>
        <v>1100000</v>
      </c>
      <c r="I365" s="811"/>
      <c r="J365" s="812"/>
      <c r="K365" s="819"/>
      <c r="L365" s="819"/>
      <c r="M365" s="818" t="s">
        <v>12809</v>
      </c>
      <c r="N365" s="820">
        <v>45497.0</v>
      </c>
      <c r="O365" s="823"/>
    </row>
    <row r="366" ht="14.25" customHeight="1">
      <c r="A366" s="825"/>
      <c r="B366" s="826"/>
      <c r="C366" s="791" t="s">
        <v>3091</v>
      </c>
      <c r="D366" s="791" t="s">
        <v>12952</v>
      </c>
      <c r="E366" s="792" t="str">
        <f>IFERROR(VLOOKUP(D366,Stock,3,FALSE),"")</f>
        <v>Toyota Camry 11-18 XV50 5th Gen</v>
      </c>
      <c r="F366" s="791">
        <v>2.0</v>
      </c>
      <c r="G366" s="809">
        <v>1350000.0</v>
      </c>
      <c r="H366" s="811">
        <f t="shared" si="10"/>
        <v>2700000</v>
      </c>
      <c r="I366" s="811"/>
      <c r="J366" s="812"/>
      <c r="K366" s="819"/>
      <c r="L366" s="819"/>
      <c r="M366" s="818" t="s">
        <v>12809</v>
      </c>
      <c r="N366" s="820">
        <v>45497.0</v>
      </c>
      <c r="O366" s="823"/>
    </row>
    <row r="367" ht="14.25" customHeight="1">
      <c r="A367" s="825"/>
      <c r="B367" s="826"/>
      <c r="C367" s="791" t="s">
        <v>3091</v>
      </c>
      <c r="D367" s="791" t="s">
        <v>2673</v>
      </c>
      <c r="E367" s="792" t="str">
        <f>IFERROR(VLOOKUP(D367,Stock,3,FALSE),"")</f>
        <v>Nissan Frontier Navara 04-15 D40 2nd Gen</v>
      </c>
      <c r="F367" s="791">
        <v>1.0</v>
      </c>
      <c r="G367" s="809">
        <v>1150000.0</v>
      </c>
      <c r="H367" s="811">
        <f t="shared" si="10"/>
        <v>1150000</v>
      </c>
      <c r="I367" s="811"/>
      <c r="J367" s="812"/>
      <c r="K367" s="819"/>
      <c r="L367" s="819"/>
      <c r="M367" s="818" t="s">
        <v>12809</v>
      </c>
      <c r="N367" s="820">
        <v>45497.0</v>
      </c>
      <c r="O367" s="823"/>
    </row>
    <row r="368" ht="14.25" customHeight="1">
      <c r="A368" s="789">
        <v>45427.0</v>
      </c>
      <c r="B368" s="790" t="s">
        <v>12953</v>
      </c>
      <c r="C368" s="791" t="s">
        <v>3076</v>
      </c>
      <c r="D368" s="791" t="s">
        <v>3330</v>
      </c>
      <c r="E368" s="792" t="str">
        <f>IFERROR(VLOOKUP(D368,Stock,3,FALSE),"")</f>
        <v>Mitsubishi L200 02-07 Double Cabin</v>
      </c>
      <c r="F368" s="791">
        <v>1.0</v>
      </c>
      <c r="G368" s="793">
        <v>1017000.0</v>
      </c>
      <c r="H368" s="794">
        <f t="shared" si="10"/>
        <v>1017000</v>
      </c>
      <c r="I368" s="811"/>
      <c r="J368" s="812"/>
      <c r="K368" s="819"/>
      <c r="L368" s="819"/>
      <c r="M368" s="818" t="s">
        <v>12809</v>
      </c>
      <c r="N368" s="820">
        <v>45441.0</v>
      </c>
      <c r="O368" s="823"/>
    </row>
    <row r="369" ht="14.25" customHeight="1">
      <c r="A369" s="825"/>
      <c r="B369" s="826"/>
      <c r="C369" s="791" t="s">
        <v>3076</v>
      </c>
      <c r="D369" s="791" t="s">
        <v>3368</v>
      </c>
      <c r="E369" s="792" t="str">
        <f>IFERROR(VLOOKUP(D369,Stock,3,FALSE),"")</f>
        <v>Toyota Hi-Ace 04-20 Commuter</v>
      </c>
      <c r="F369" s="791">
        <v>1.0</v>
      </c>
      <c r="G369" s="793">
        <v>327750.0</v>
      </c>
      <c r="H369" s="794">
        <f t="shared" si="10"/>
        <v>327750</v>
      </c>
      <c r="I369" s="811"/>
      <c r="J369" s="812"/>
      <c r="K369" s="819"/>
      <c r="L369" s="819"/>
      <c r="M369" s="818" t="s">
        <v>12809</v>
      </c>
      <c r="N369" s="820">
        <v>45441.0</v>
      </c>
      <c r="O369" s="823"/>
    </row>
    <row r="370" ht="14.25" customHeight="1">
      <c r="A370" s="825"/>
      <c r="B370" s="826"/>
      <c r="C370" s="791" t="s">
        <v>3076</v>
      </c>
      <c r="D370" s="791" t="s">
        <v>3186</v>
      </c>
      <c r="E370" s="792" t="str">
        <f>IFERROR(VLOOKUP(D370,Stock,3,FALSE),"")</f>
        <v>Daihatsu Gran Max / Luxio 07-</v>
      </c>
      <c r="F370" s="791">
        <v>20.0</v>
      </c>
      <c r="G370" s="831">
        <v>396825.0</v>
      </c>
      <c r="H370" s="832">
        <f t="shared" si="10"/>
        <v>7936500</v>
      </c>
      <c r="I370" s="811"/>
      <c r="J370" s="812"/>
      <c r="K370" s="819"/>
      <c r="L370" s="819"/>
      <c r="M370" s="818" t="s">
        <v>12809</v>
      </c>
      <c r="N370" s="820">
        <v>45441.0</v>
      </c>
      <c r="O370" s="823"/>
    </row>
    <row r="371" ht="14.25" customHeight="1">
      <c r="A371" s="825"/>
      <c r="B371" s="826"/>
      <c r="C371" s="791" t="s">
        <v>3076</v>
      </c>
      <c r="D371" s="791" t="s">
        <v>3099</v>
      </c>
      <c r="E371" s="792" t="str">
        <f>IFERROR(VLOOKUP(D371,Stock,3,FALSE),"")</f>
        <v>Toyota Calya / Sigra 16-</v>
      </c>
      <c r="F371" s="791">
        <v>5.0</v>
      </c>
      <c r="G371" s="831">
        <v>449328.0</v>
      </c>
      <c r="H371" s="832">
        <f t="shared" si="10"/>
        <v>2246640</v>
      </c>
      <c r="I371" s="811"/>
      <c r="J371" s="812"/>
      <c r="K371" s="819"/>
      <c r="L371" s="819"/>
      <c r="M371" s="818" t="s">
        <v>12809</v>
      </c>
      <c r="N371" s="820">
        <v>45441.0</v>
      </c>
      <c r="O371" s="823"/>
    </row>
    <row r="372" ht="14.25" customHeight="1">
      <c r="A372" s="825"/>
      <c r="B372" s="826"/>
      <c r="C372" s="791" t="s">
        <v>3076</v>
      </c>
      <c r="D372" s="791" t="s">
        <v>2565</v>
      </c>
      <c r="E372" s="792" t="str">
        <f>IFERROR(VLOOKUP(D372,Stock,3,FALSE),"")</f>
        <v>Toyota Avanza / Xenia 03-11 1st Gen</v>
      </c>
      <c r="F372" s="791">
        <v>20.0</v>
      </c>
      <c r="G372" s="831">
        <v>396825.0</v>
      </c>
      <c r="H372" s="832">
        <f t="shared" si="10"/>
        <v>7936500</v>
      </c>
      <c r="I372" s="811"/>
      <c r="J372" s="812"/>
      <c r="K372" s="819"/>
      <c r="L372" s="819"/>
      <c r="M372" s="818" t="s">
        <v>12809</v>
      </c>
      <c r="N372" s="820">
        <v>45441.0</v>
      </c>
      <c r="O372" s="823"/>
    </row>
    <row r="373" ht="14.25" customHeight="1">
      <c r="A373" s="825"/>
      <c r="B373" s="826"/>
      <c r="C373" s="791" t="s">
        <v>3076</v>
      </c>
      <c r="D373" s="791" t="s">
        <v>2549</v>
      </c>
      <c r="E373" s="792" t="str">
        <f>IFERROR(VLOOKUP(D373,Stock,3,FALSE),"")</f>
        <v>Toyota Avanza / Xenia 11-15 2nd Gen</v>
      </c>
      <c r="F373" s="791">
        <v>20.0</v>
      </c>
      <c r="G373" s="831">
        <v>396825.0</v>
      </c>
      <c r="H373" s="832">
        <f t="shared" si="10"/>
        <v>7936500</v>
      </c>
      <c r="I373" s="811"/>
      <c r="J373" s="812"/>
      <c r="K373" s="819"/>
      <c r="L373" s="819"/>
      <c r="M373" s="818" t="s">
        <v>12809</v>
      </c>
      <c r="N373" s="820">
        <v>45441.0</v>
      </c>
      <c r="O373" s="823"/>
    </row>
    <row r="374" ht="14.25" customHeight="1">
      <c r="A374" s="825"/>
      <c r="B374" s="826"/>
      <c r="C374" s="791" t="s">
        <v>3076</v>
      </c>
      <c r="D374" s="791" t="s">
        <v>2562</v>
      </c>
      <c r="E374" s="792" t="str">
        <f>IFERROR(VLOOKUP(D374,Stock,3,FALSE),"")</f>
        <v>Toyota Avanza / Xenia 15-21 3rd Gen</v>
      </c>
      <c r="F374" s="791">
        <v>10.0</v>
      </c>
      <c r="G374" s="831">
        <v>396825.0</v>
      </c>
      <c r="H374" s="832">
        <f t="shared" si="10"/>
        <v>3968250</v>
      </c>
      <c r="I374" s="811"/>
      <c r="J374" s="812"/>
      <c r="K374" s="819"/>
      <c r="L374" s="819"/>
      <c r="M374" s="818" t="s">
        <v>12809</v>
      </c>
      <c r="N374" s="820">
        <v>45441.0</v>
      </c>
      <c r="O374" s="823"/>
    </row>
    <row r="375" ht="14.25" customHeight="1">
      <c r="A375" s="825"/>
      <c r="B375" s="826"/>
      <c r="C375" s="791" t="s">
        <v>3076</v>
      </c>
      <c r="D375" s="791" t="s">
        <v>3469</v>
      </c>
      <c r="E375" s="792" t="str">
        <f>IFERROR(VLOOKUP(D375,Stock,3,FALSE),"")</f>
        <v>Nissan UD Quester</v>
      </c>
      <c r="F375" s="791">
        <v>1.0</v>
      </c>
      <c r="G375" s="831">
        <v>395000.0</v>
      </c>
      <c r="H375" s="832">
        <f t="shared" si="10"/>
        <v>395000</v>
      </c>
      <c r="I375" s="811"/>
      <c r="J375" s="812"/>
      <c r="K375" s="819"/>
      <c r="L375" s="819"/>
      <c r="M375" s="818" t="s">
        <v>12809</v>
      </c>
      <c r="N375" s="820">
        <v>45441.0</v>
      </c>
      <c r="O375" s="823"/>
    </row>
    <row r="376" ht="14.25" customHeight="1">
      <c r="A376" s="789">
        <v>45427.0</v>
      </c>
      <c r="B376" s="790" t="s">
        <v>12954</v>
      </c>
      <c r="C376" s="791" t="s">
        <v>3076</v>
      </c>
      <c r="D376" s="791" t="s">
        <v>3502</v>
      </c>
      <c r="E376" s="792" t="str">
        <f>IFERROR(VLOOKUP(D376,Stock,3,FALSE),"")</f>
        <v>Honda CR-V 02-06 2nd Gen</v>
      </c>
      <c r="F376" s="791">
        <v>1.0</v>
      </c>
      <c r="G376" s="809">
        <v>705000.0</v>
      </c>
      <c r="H376" s="811">
        <f t="shared" ref="H376:H377" si="13">G376</f>
        <v>705000</v>
      </c>
      <c r="I376" s="811"/>
      <c r="J376" s="812"/>
      <c r="K376" s="819"/>
      <c r="L376" s="819"/>
      <c r="M376" s="818" t="s">
        <v>12809</v>
      </c>
      <c r="N376" s="820">
        <v>45441.0</v>
      </c>
      <c r="O376" s="823"/>
    </row>
    <row r="377" ht="14.25" customHeight="1">
      <c r="A377" s="825"/>
      <c r="B377" s="826"/>
      <c r="C377" s="791" t="s">
        <v>3076</v>
      </c>
      <c r="D377" s="791" t="s">
        <v>3503</v>
      </c>
      <c r="E377" s="792" t="str">
        <f>IFERROR(VLOOKUP(D377,Stock,3,FALSE),"")</f>
        <v>Honda CR-V 02-06 2nd Gen</v>
      </c>
      <c r="F377" s="791">
        <v>1.0</v>
      </c>
      <c r="G377" s="809">
        <v>705000.0</v>
      </c>
      <c r="H377" s="811">
        <f t="shared" si="13"/>
        <v>705000</v>
      </c>
      <c r="I377" s="811"/>
      <c r="J377" s="812"/>
      <c r="K377" s="819"/>
      <c r="L377" s="819"/>
      <c r="M377" s="818" t="s">
        <v>12809</v>
      </c>
      <c r="N377" s="820">
        <v>45441.0</v>
      </c>
      <c r="O377" s="823"/>
    </row>
    <row r="378" ht="14.25" customHeight="1">
      <c r="A378" s="825"/>
      <c r="B378" s="826"/>
      <c r="C378" s="791" t="s">
        <v>3076</v>
      </c>
      <c r="D378" s="791" t="s">
        <v>2934</v>
      </c>
      <c r="E378" s="792" t="str">
        <f>IFERROR(VLOOKUP(D378,Stock,3,FALSE),"")</f>
        <v>Peti Kayu</v>
      </c>
      <c r="F378" s="791">
        <v>1.0</v>
      </c>
      <c r="G378" s="809">
        <v>50000.0</v>
      </c>
      <c r="H378" s="811">
        <f t="shared" ref="H378:H482" si="14">G378*F378</f>
        <v>50000</v>
      </c>
      <c r="I378" s="811"/>
      <c r="J378" s="812"/>
      <c r="K378" s="819"/>
      <c r="L378" s="819"/>
      <c r="M378" s="818" t="s">
        <v>12809</v>
      </c>
      <c r="N378" s="820">
        <v>45441.0</v>
      </c>
      <c r="O378" s="823"/>
    </row>
    <row r="379" ht="14.25" customHeight="1">
      <c r="A379" s="789">
        <v>45439.0</v>
      </c>
      <c r="B379" s="790" t="s">
        <v>12955</v>
      </c>
      <c r="C379" s="791" t="s">
        <v>3091</v>
      </c>
      <c r="D379" s="791" t="s">
        <v>2623</v>
      </c>
      <c r="E379" s="792" t="str">
        <f>IFERROR(VLOOKUP(D379,Stock,3,FALSE),"")</f>
        <v>Honda Civic 05-11 8th Gen (Civic Batman FD)</v>
      </c>
      <c r="F379" s="791">
        <v>3.0</v>
      </c>
      <c r="G379" s="809">
        <v>1200000.0</v>
      </c>
      <c r="H379" s="811">
        <f t="shared" si="14"/>
        <v>3600000</v>
      </c>
      <c r="I379" s="811"/>
      <c r="J379" s="812"/>
      <c r="K379" s="819"/>
      <c r="L379" s="819"/>
      <c r="M379" s="818" t="s">
        <v>12809</v>
      </c>
      <c r="N379" s="820">
        <v>45497.0</v>
      </c>
      <c r="O379" s="823"/>
    </row>
    <row r="380" ht="14.25" customHeight="1">
      <c r="A380" s="825"/>
      <c r="B380" s="826"/>
      <c r="C380" s="791" t="s">
        <v>3091</v>
      </c>
      <c r="D380" s="791" t="s">
        <v>2694</v>
      </c>
      <c r="E380" s="792" t="str">
        <f>IFERROR(VLOOKUP(D380,Stock,3,FALSE),"")</f>
        <v>Honda CR-V 17-23 5th Gen</v>
      </c>
      <c r="F380" s="791">
        <v>1.0</v>
      </c>
      <c r="G380" s="809">
        <v>700000.0</v>
      </c>
      <c r="H380" s="811">
        <f t="shared" si="14"/>
        <v>700000</v>
      </c>
      <c r="I380" s="811"/>
      <c r="J380" s="812"/>
      <c r="K380" s="819"/>
      <c r="L380" s="819"/>
      <c r="M380" s="818" t="s">
        <v>12809</v>
      </c>
      <c r="N380" s="820">
        <v>45497.0</v>
      </c>
      <c r="O380" s="823"/>
    </row>
    <row r="381" ht="14.25" customHeight="1">
      <c r="A381" s="825"/>
      <c r="B381" s="826"/>
      <c r="C381" s="791" t="s">
        <v>3091</v>
      </c>
      <c r="D381" s="791" t="s">
        <v>3501</v>
      </c>
      <c r="E381" s="792" t="str">
        <f>IFERROR(VLOOKUP(D381,Stock,3,FALSE),"")</f>
        <v>Honda CR-V 02-06 2nd Gen</v>
      </c>
      <c r="F381" s="791">
        <v>1.0</v>
      </c>
      <c r="G381" s="809">
        <v>800000.0</v>
      </c>
      <c r="H381" s="811">
        <f t="shared" si="14"/>
        <v>800000</v>
      </c>
      <c r="I381" s="811"/>
      <c r="J381" s="812"/>
      <c r="K381" s="819"/>
      <c r="L381" s="819"/>
      <c r="M381" s="818" t="s">
        <v>12809</v>
      </c>
      <c r="N381" s="820">
        <v>45497.0</v>
      </c>
      <c r="O381" s="823"/>
    </row>
    <row r="382" ht="14.25" customHeight="1">
      <c r="A382" s="789">
        <v>45442.0</v>
      </c>
      <c r="B382" s="790">
        <v>2405775.0</v>
      </c>
      <c r="C382" s="791" t="s">
        <v>11484</v>
      </c>
      <c r="D382" s="791" t="s">
        <v>3606</v>
      </c>
      <c r="E382" s="792" t="str">
        <f>IFERROR(VLOOKUP(D382,Stock,3,FALSE),"")</f>
        <v>Wuling Confero (Heater)</v>
      </c>
      <c r="F382" s="791">
        <v>2.0</v>
      </c>
      <c r="G382" s="809">
        <v>551100.0</v>
      </c>
      <c r="H382" s="810">
        <f t="shared" si="14"/>
        <v>1102200</v>
      </c>
      <c r="I382" s="811"/>
      <c r="J382" s="812"/>
      <c r="K382" s="819"/>
      <c r="L382" s="819"/>
      <c r="M382" s="818" t="s">
        <v>12809</v>
      </c>
      <c r="N382" s="820">
        <v>45499.0</v>
      </c>
      <c r="O382" s="823"/>
    </row>
    <row r="383" ht="14.25" customHeight="1">
      <c r="A383" s="825"/>
      <c r="B383" s="826"/>
      <c r="C383" s="791" t="s">
        <v>11484</v>
      </c>
      <c r="D383" s="791" t="s">
        <v>2778</v>
      </c>
      <c r="E383" s="792" t="str">
        <f>IFERROR(VLOOKUP(D383,Stock,3,FALSE),"")</f>
        <v>Mitsubishi Fuso Fighter FK40 82-(PS190,220)</v>
      </c>
      <c r="F383" s="791">
        <v>1.0</v>
      </c>
      <c r="G383" s="809">
        <v>779350.0</v>
      </c>
      <c r="H383" s="810">
        <f t="shared" si="14"/>
        <v>779350</v>
      </c>
      <c r="I383" s="811"/>
      <c r="J383" s="812"/>
      <c r="K383" s="819"/>
      <c r="L383" s="819"/>
      <c r="M383" s="818" t="s">
        <v>12809</v>
      </c>
      <c r="N383" s="820">
        <v>45499.0</v>
      </c>
      <c r="O383" s="823"/>
    </row>
    <row r="384" ht="14.25" customHeight="1">
      <c r="A384" s="789">
        <v>45443.0</v>
      </c>
      <c r="B384" s="790">
        <v>2405806.0</v>
      </c>
      <c r="C384" s="791" t="s">
        <v>11484</v>
      </c>
      <c r="D384" s="791" t="s">
        <v>2580</v>
      </c>
      <c r="E384" s="792" t="str">
        <f>IFERROR(VLOOKUP(D384,Stock,3,FALSE),"")</f>
        <v>Toyota Altis 13-17 E170 11th Gen</v>
      </c>
      <c r="F384" s="791">
        <v>1.0</v>
      </c>
      <c r="G384" s="809">
        <v>1016400.0</v>
      </c>
      <c r="H384" s="810">
        <f t="shared" si="14"/>
        <v>1016400</v>
      </c>
      <c r="I384" s="811"/>
      <c r="J384" s="812"/>
      <c r="K384" s="819"/>
      <c r="L384" s="819"/>
      <c r="M384" s="818" t="s">
        <v>12809</v>
      </c>
      <c r="N384" s="820">
        <v>45502.0</v>
      </c>
      <c r="O384" s="823"/>
    </row>
    <row r="385" ht="14.25" customHeight="1">
      <c r="A385" s="789">
        <v>45446.0</v>
      </c>
      <c r="B385" s="790" t="s">
        <v>12956</v>
      </c>
      <c r="C385" s="791" t="s">
        <v>11484</v>
      </c>
      <c r="D385" s="791" t="s">
        <v>3059</v>
      </c>
      <c r="E385" s="792" t="str">
        <f>IFERROR(VLOOKUP(D385,Stock,3,FALSE),"")</f>
        <v>Sealant Polyurethane XYG Tube</v>
      </c>
      <c r="F385" s="791">
        <v>80.0</v>
      </c>
      <c r="G385" s="809">
        <v>33000.0</v>
      </c>
      <c r="H385" s="810">
        <f t="shared" si="14"/>
        <v>2640000</v>
      </c>
      <c r="I385" s="811"/>
      <c r="J385" s="812"/>
      <c r="K385" s="819"/>
      <c r="L385" s="819"/>
      <c r="M385" s="818" t="s">
        <v>12809</v>
      </c>
      <c r="N385" s="820">
        <v>45446.0</v>
      </c>
      <c r="O385" s="823"/>
    </row>
    <row r="386" ht="14.25" customHeight="1">
      <c r="A386" s="789">
        <v>45446.0</v>
      </c>
      <c r="B386" s="790">
        <v>2406026.0</v>
      </c>
      <c r="C386" s="791" t="s">
        <v>11484</v>
      </c>
      <c r="D386" s="791" t="s">
        <v>3366</v>
      </c>
      <c r="E386" s="792" t="str">
        <f>IFERROR(VLOOKUP(D386,Stock,3,FALSE),"")</f>
        <v>Toyota Hi-Ace 04-20 Commuter (Clear)</v>
      </c>
      <c r="F386" s="791">
        <v>2.0</v>
      </c>
      <c r="G386" s="809">
        <v>788000.0</v>
      </c>
      <c r="H386" s="810">
        <f t="shared" si="14"/>
        <v>1576000</v>
      </c>
      <c r="I386" s="811"/>
      <c r="J386" s="833">
        <v>45506.0</v>
      </c>
      <c r="K386" s="819"/>
      <c r="L386" s="819"/>
      <c r="M386" s="818" t="s">
        <v>12809</v>
      </c>
      <c r="N386" s="820">
        <v>45506.0</v>
      </c>
      <c r="O386" s="823"/>
    </row>
    <row r="387" ht="14.25" customHeight="1">
      <c r="A387" s="825"/>
      <c r="B387" s="826"/>
      <c r="C387" s="791" t="s">
        <v>11484</v>
      </c>
      <c r="D387" s="791" t="s">
        <v>3342</v>
      </c>
      <c r="E387" s="792" t="str">
        <f>IFERROR(VLOOKUP(D387,Stock,3,FALSE),"")</f>
        <v>Toyota Hi-Ace 04-20 Commuter (Hitam)</v>
      </c>
      <c r="F387" s="791">
        <v>2.0</v>
      </c>
      <c r="G387" s="809">
        <v>1272000.0</v>
      </c>
      <c r="H387" s="810">
        <f t="shared" si="14"/>
        <v>2544000</v>
      </c>
      <c r="I387" s="811"/>
      <c r="J387" s="812"/>
      <c r="K387" s="819"/>
      <c r="L387" s="819"/>
      <c r="M387" s="818" t="s">
        <v>12809</v>
      </c>
      <c r="N387" s="820">
        <v>45506.0</v>
      </c>
      <c r="O387" s="823"/>
    </row>
    <row r="388" ht="14.25" customHeight="1">
      <c r="A388" s="789">
        <v>45447.0</v>
      </c>
      <c r="B388" s="790">
        <v>2406070.0</v>
      </c>
      <c r="C388" s="791" t="s">
        <v>11484</v>
      </c>
      <c r="D388" s="791" t="s">
        <v>3666</v>
      </c>
      <c r="E388" s="792" t="str">
        <f>IFERROR(VLOOKUP(D388,Stock,3,FALSE),"")</f>
        <v>Hyundai H1 08- / Mover (Lubang)</v>
      </c>
      <c r="F388" s="791">
        <v>1.0</v>
      </c>
      <c r="G388" s="809">
        <v>1090650.0</v>
      </c>
      <c r="H388" s="810">
        <f t="shared" si="14"/>
        <v>1090650</v>
      </c>
      <c r="I388" s="811"/>
      <c r="J388" s="812"/>
      <c r="K388" s="819"/>
      <c r="L388" s="819"/>
      <c r="M388" s="818" t="s">
        <v>12809</v>
      </c>
      <c r="N388" s="820">
        <v>45506.0</v>
      </c>
      <c r="O388" s="823"/>
    </row>
    <row r="389" ht="14.25" customHeight="1">
      <c r="A389" s="789">
        <v>45448.0</v>
      </c>
      <c r="B389" s="790" t="s">
        <v>12957</v>
      </c>
      <c r="C389" s="791" t="s">
        <v>3076</v>
      </c>
      <c r="D389" s="791" t="s">
        <v>4189</v>
      </c>
      <c r="E389" s="792" t="str">
        <f>IFERROR(VLOOKUP(D389,Stock,3,FALSE),"")</f>
        <v>Toyota Hi-Ace 20- Commuter (Bening)</v>
      </c>
      <c r="F389" s="791">
        <v>1.0</v>
      </c>
      <c r="G389" s="809">
        <v>1677750.0</v>
      </c>
      <c r="H389" s="811">
        <f t="shared" si="14"/>
        <v>1677750</v>
      </c>
      <c r="I389" s="811"/>
      <c r="J389" s="812"/>
      <c r="K389" s="819"/>
      <c r="L389" s="819"/>
      <c r="M389" s="818" t="s">
        <v>12809</v>
      </c>
      <c r="N389" s="820">
        <v>45449.0</v>
      </c>
      <c r="O389" s="823"/>
    </row>
    <row r="390" ht="14.25" customHeight="1">
      <c r="A390" s="789"/>
      <c r="B390" s="790"/>
      <c r="C390" s="791" t="s">
        <v>3076</v>
      </c>
      <c r="D390" s="791" t="s">
        <v>2934</v>
      </c>
      <c r="E390" s="792" t="str">
        <f>IFERROR(VLOOKUP(D390,Stock,3,FALSE),"")</f>
        <v>Peti Kayu</v>
      </c>
      <c r="F390" s="791">
        <v>1.0</v>
      </c>
      <c r="G390" s="809">
        <v>100000.0</v>
      </c>
      <c r="H390" s="811">
        <f t="shared" si="14"/>
        <v>100000</v>
      </c>
      <c r="I390" s="811"/>
      <c r="J390" s="812"/>
      <c r="K390" s="819"/>
      <c r="L390" s="819"/>
      <c r="M390" s="818" t="s">
        <v>12809</v>
      </c>
      <c r="N390" s="820">
        <v>45449.0</v>
      </c>
      <c r="O390" s="823"/>
    </row>
    <row r="391" ht="14.25" customHeight="1">
      <c r="A391" s="789">
        <v>45449.0</v>
      </c>
      <c r="B391" s="790" t="s">
        <v>12958</v>
      </c>
      <c r="C391" s="791" t="s">
        <v>3091</v>
      </c>
      <c r="D391" s="791" t="s">
        <v>2696</v>
      </c>
      <c r="E391" s="792" t="str">
        <f>IFERROR(VLOOKUP(D391,Stock,3,FALSE),"")</f>
        <v>Honda HR-V 22- 5D SUV (Honda)</v>
      </c>
      <c r="F391" s="791">
        <v>2.0</v>
      </c>
      <c r="G391" s="809">
        <v>1875000.0</v>
      </c>
      <c r="H391" s="811">
        <f t="shared" si="14"/>
        <v>3750000</v>
      </c>
      <c r="I391" s="811"/>
      <c r="J391" s="833">
        <v>45509.0</v>
      </c>
      <c r="K391" s="819"/>
      <c r="L391" s="819"/>
      <c r="M391" s="818" t="s">
        <v>12809</v>
      </c>
      <c r="N391" s="820">
        <v>45513.0</v>
      </c>
      <c r="O391" s="823"/>
    </row>
    <row r="392" ht="14.25" customHeight="1">
      <c r="A392" s="789">
        <v>45449.0</v>
      </c>
      <c r="B392" s="790">
        <v>2406148.0</v>
      </c>
      <c r="C392" s="791" t="s">
        <v>11484</v>
      </c>
      <c r="D392" s="791" t="s">
        <v>2570</v>
      </c>
      <c r="E392" s="792" t="str">
        <f>IFERROR(VLOOKUP(D392,Stock,3,FALSE),"")</f>
        <v>Toyota Camry 96-01 XV20 2nd Gen</v>
      </c>
      <c r="F392" s="791">
        <v>1.0</v>
      </c>
      <c r="G392" s="809">
        <v>948750.0</v>
      </c>
      <c r="H392" s="810">
        <f t="shared" si="14"/>
        <v>948750</v>
      </c>
      <c r="I392" s="811"/>
      <c r="J392" s="812"/>
      <c r="K392" s="819"/>
      <c r="L392" s="819"/>
      <c r="M392" s="818" t="s">
        <v>12809</v>
      </c>
      <c r="N392" s="820">
        <v>45506.0</v>
      </c>
      <c r="O392" s="823"/>
    </row>
    <row r="393" ht="14.25" customHeight="1">
      <c r="A393" s="825"/>
      <c r="B393" s="826"/>
      <c r="C393" s="791" t="s">
        <v>11484</v>
      </c>
      <c r="D393" s="791" t="s">
        <v>3811</v>
      </c>
      <c r="E393" s="792" t="str">
        <f>IFERROR(VLOOKUP(D393,Stock,3,FALSE),"")</f>
        <v>Honda Civic 96-00 SO4/SO6 (Ferio)</v>
      </c>
      <c r="F393" s="791">
        <v>1.0</v>
      </c>
      <c r="G393" s="809">
        <v>976800.0</v>
      </c>
      <c r="H393" s="810">
        <f t="shared" si="14"/>
        <v>976800</v>
      </c>
      <c r="I393" s="811"/>
      <c r="J393" s="812"/>
      <c r="K393" s="819"/>
      <c r="L393" s="819"/>
      <c r="M393" s="818" t="s">
        <v>12809</v>
      </c>
      <c r="N393" s="820">
        <v>45506.0</v>
      </c>
      <c r="O393" s="823"/>
    </row>
    <row r="394">
      <c r="A394" s="789">
        <v>45450.0</v>
      </c>
      <c r="B394" s="829" t="s">
        <v>12959</v>
      </c>
      <c r="C394" s="791" t="s">
        <v>12932</v>
      </c>
      <c r="D394" s="791" t="s">
        <v>3698</v>
      </c>
      <c r="E394" s="792" t="str">
        <f>IFERROR(VLOOKUP(D394,Stock,3,FALSE),"")</f>
        <v>Toyota Dyna/Hino Dutro 00-</v>
      </c>
      <c r="F394" s="791">
        <v>5.0</v>
      </c>
      <c r="G394" s="809">
        <v>79900.0</v>
      </c>
      <c r="H394" s="810">
        <f t="shared" si="14"/>
        <v>399500</v>
      </c>
      <c r="I394" s="811"/>
      <c r="J394" s="812"/>
      <c r="K394" s="819"/>
      <c r="L394" s="819"/>
      <c r="M394" s="818" t="s">
        <v>12809</v>
      </c>
      <c r="N394" s="820">
        <v>45477.0</v>
      </c>
      <c r="O394" s="823"/>
    </row>
    <row r="395" ht="14.25" customHeight="1">
      <c r="A395" s="789">
        <v>45451.0</v>
      </c>
      <c r="B395" s="790" t="s">
        <v>12960</v>
      </c>
      <c r="C395" s="791" t="s">
        <v>3091</v>
      </c>
      <c r="D395" s="791" t="s">
        <v>2919</v>
      </c>
      <c r="E395" s="792" t="str">
        <f>IFERROR(VLOOKUP(D395,Stock,3,FALSE),"")</f>
        <v>Toyota Innova 04-15 1st Gen</v>
      </c>
      <c r="F395" s="791">
        <v>2.0</v>
      </c>
      <c r="G395" s="809">
        <v>932000.0</v>
      </c>
      <c r="H395" s="811">
        <f t="shared" si="14"/>
        <v>1864000</v>
      </c>
      <c r="I395" s="811"/>
      <c r="J395" s="833">
        <v>45511.0</v>
      </c>
      <c r="K395" s="819"/>
      <c r="L395" s="819"/>
      <c r="M395" s="818" t="s">
        <v>12809</v>
      </c>
      <c r="N395" s="820">
        <v>45509.0</v>
      </c>
      <c r="O395" s="823"/>
    </row>
    <row r="396" ht="14.25" customHeight="1">
      <c r="A396" s="791" t="s">
        <v>1484</v>
      </c>
      <c r="B396" s="829" t="s">
        <v>12961</v>
      </c>
      <c r="C396" s="791" t="s">
        <v>12932</v>
      </c>
      <c r="D396" s="791" t="s">
        <v>2847</v>
      </c>
      <c r="E396" s="792" t="str">
        <f>IFERROR(VLOOKUP(D396,Stock,3,FALSE),"")</f>
        <v>Honda BR-V 22-</v>
      </c>
      <c r="F396" s="791">
        <v>5.0</v>
      </c>
      <c r="G396" s="809">
        <v>610300.9</v>
      </c>
      <c r="H396" s="810">
        <f t="shared" si="14"/>
        <v>3051504.5</v>
      </c>
      <c r="I396" s="811"/>
      <c r="J396" s="812"/>
      <c r="K396" s="819"/>
      <c r="L396" s="819"/>
      <c r="M396" s="818" t="s">
        <v>12809</v>
      </c>
      <c r="N396" s="820">
        <v>45481.0</v>
      </c>
      <c r="O396" s="823"/>
    </row>
    <row r="397" ht="14.25" customHeight="1">
      <c r="A397" s="825"/>
      <c r="B397" s="826"/>
      <c r="C397" s="791" t="s">
        <v>12932</v>
      </c>
      <c r="D397" s="791" t="s">
        <v>3898</v>
      </c>
      <c r="E397" s="792" t="str">
        <f>IFERROR(VLOOKUP(D397,Stock,3,FALSE),"")</f>
        <v>Suzuki Ertiga 18- 2nd Gen / XL7</v>
      </c>
      <c r="F397" s="791">
        <v>5.0</v>
      </c>
      <c r="G397" s="809">
        <v>257549.97</v>
      </c>
      <c r="H397" s="810">
        <f t="shared" si="14"/>
        <v>1287749.85</v>
      </c>
      <c r="I397" s="811"/>
      <c r="J397" s="812"/>
      <c r="K397" s="819"/>
      <c r="L397" s="819"/>
      <c r="M397" s="818" t="s">
        <v>12809</v>
      </c>
      <c r="N397" s="820">
        <v>45481.0</v>
      </c>
      <c r="O397" s="823"/>
    </row>
    <row r="398" ht="14.25" customHeight="1">
      <c r="A398" s="825"/>
      <c r="B398" s="826"/>
      <c r="C398" s="791" t="s">
        <v>12932</v>
      </c>
      <c r="D398" s="791" t="s">
        <v>6825</v>
      </c>
      <c r="E398" s="792" t="str">
        <f>IFERROR(VLOOKUP(D398,Stock,3,FALSE),"")</f>
        <v>Toyota Calya /  Sigra 16-</v>
      </c>
      <c r="F398" s="791">
        <v>5.0</v>
      </c>
      <c r="G398" s="809">
        <v>34000.0</v>
      </c>
      <c r="H398" s="810">
        <f t="shared" si="14"/>
        <v>170000</v>
      </c>
      <c r="I398" s="811"/>
      <c r="J398" s="812"/>
      <c r="K398" s="819"/>
      <c r="L398" s="819"/>
      <c r="M398" s="818" t="s">
        <v>12809</v>
      </c>
      <c r="N398" s="820">
        <v>45481.0</v>
      </c>
      <c r="O398" s="823"/>
    </row>
    <row r="399" ht="14.25" customHeight="1">
      <c r="A399" s="825"/>
      <c r="B399" s="826"/>
      <c r="C399" s="791" t="s">
        <v>12932</v>
      </c>
      <c r="D399" s="791" t="s">
        <v>6826</v>
      </c>
      <c r="E399" s="792" t="str">
        <f>IFERROR(VLOOKUP(D399,Stock,3,FALSE),"")</f>
        <v>Toyota Calya /  Sigra 16-</v>
      </c>
      <c r="F399" s="791">
        <v>5.0</v>
      </c>
      <c r="G399" s="809">
        <v>34000.0</v>
      </c>
      <c r="H399" s="810">
        <f t="shared" si="14"/>
        <v>170000</v>
      </c>
      <c r="I399" s="811"/>
      <c r="J399" s="812"/>
      <c r="K399" s="819"/>
      <c r="L399" s="819"/>
      <c r="M399" s="818" t="s">
        <v>12809</v>
      </c>
      <c r="N399" s="820">
        <v>45481.0</v>
      </c>
      <c r="O399" s="823"/>
    </row>
    <row r="400" ht="14.25" customHeight="1">
      <c r="A400" s="789">
        <v>45455.0</v>
      </c>
      <c r="B400" s="790" t="s">
        <v>12962</v>
      </c>
      <c r="C400" s="791" t="s">
        <v>12963</v>
      </c>
      <c r="D400" s="791" t="s">
        <v>7811</v>
      </c>
      <c r="E400" s="792" t="str">
        <f>IFERROR(VLOOKUP(D400,Stock,3,FALSE),"")</f>
        <v>List Kaca Depan Ertiga 2012-2018 SGP</v>
      </c>
      <c r="F400" s="791">
        <v>1.0</v>
      </c>
      <c r="G400" s="809">
        <v>90000.0</v>
      </c>
      <c r="H400" s="811">
        <f t="shared" si="14"/>
        <v>90000</v>
      </c>
      <c r="I400" s="811"/>
      <c r="J400" s="812"/>
      <c r="K400" s="819"/>
      <c r="L400" s="819"/>
      <c r="M400" s="818" t="s">
        <v>12809</v>
      </c>
      <c r="N400" s="820">
        <v>45562.0</v>
      </c>
      <c r="O400" s="823"/>
    </row>
    <row r="401" ht="14.25" customHeight="1">
      <c r="A401" s="802">
        <v>45427.0</v>
      </c>
      <c r="B401" s="771" t="s">
        <v>12964</v>
      </c>
      <c r="C401" s="63" t="s">
        <v>3076</v>
      </c>
      <c r="D401" s="63" t="s">
        <v>6744</v>
      </c>
      <c r="E401" s="772" t="str">
        <f>IFERROR(VLOOKUP(D401,Stock,3,FALSE),"")</f>
        <v>Jeep Grand Cherooke 96-99 ZJ</v>
      </c>
      <c r="F401" s="63">
        <v>5.0</v>
      </c>
      <c r="G401" s="821">
        <v>675213.0</v>
      </c>
      <c r="H401" s="822">
        <f t="shared" si="14"/>
        <v>3376065</v>
      </c>
      <c r="I401" s="807"/>
      <c r="J401" s="808"/>
      <c r="K401" s="82"/>
      <c r="L401" s="82"/>
    </row>
    <row r="402" ht="14.25" customHeight="1">
      <c r="A402" s="834"/>
      <c r="B402" s="835"/>
      <c r="C402" s="63" t="s">
        <v>3076</v>
      </c>
      <c r="D402" s="63" t="s">
        <v>6502</v>
      </c>
      <c r="E402" s="772" t="str">
        <f>IFERROR(VLOOKUP(D402,Stock,3,FALSE),"")</f>
        <v>Kia Caren 1 99-04 / Caren 2 04-12</v>
      </c>
      <c r="F402" s="63">
        <v>5.0</v>
      </c>
      <c r="G402" s="821">
        <v>653235.0</v>
      </c>
      <c r="H402" s="822">
        <f t="shared" si="14"/>
        <v>3266175</v>
      </c>
      <c r="I402" s="807"/>
      <c r="J402" s="808"/>
      <c r="K402" s="82"/>
      <c r="L402" s="82"/>
    </row>
    <row r="403" ht="14.25" customHeight="1">
      <c r="A403" s="834"/>
      <c r="B403" s="835"/>
      <c r="C403" s="63" t="s">
        <v>3076</v>
      </c>
      <c r="D403" s="63" t="s">
        <v>6745</v>
      </c>
      <c r="E403" s="772" t="str">
        <f>IFERROR(VLOOKUP(D403,Stock,3,FALSE),"")</f>
        <v>Toyota Corolla AE92/EE90 87-92 6th Gen Twincam</v>
      </c>
      <c r="F403" s="63">
        <v>5.0</v>
      </c>
      <c r="G403" s="821">
        <v>553113.0</v>
      </c>
      <c r="H403" s="822">
        <f t="shared" si="14"/>
        <v>2765565</v>
      </c>
      <c r="I403" s="807"/>
      <c r="J403" s="808"/>
      <c r="K403" s="82"/>
      <c r="L403" s="82"/>
    </row>
    <row r="404" ht="14.25" customHeight="1">
      <c r="A404" s="834"/>
      <c r="B404" s="835"/>
      <c r="C404" s="63" t="s">
        <v>3076</v>
      </c>
      <c r="D404" s="63" t="s">
        <v>6145</v>
      </c>
      <c r="E404" s="772" t="str">
        <f>IFERROR(VLOOKUP(D404,Stock,3,FALSE),"")</f>
        <v>BMW 3 Series 98-06 E46</v>
      </c>
      <c r="F404" s="63">
        <v>5.0</v>
      </c>
      <c r="G404" s="821">
        <v>736263.0</v>
      </c>
      <c r="H404" s="822">
        <f t="shared" si="14"/>
        <v>3681315</v>
      </c>
      <c r="I404" s="807"/>
      <c r="J404" s="808"/>
      <c r="K404" s="82"/>
      <c r="L404" s="82"/>
    </row>
    <row r="405" ht="14.25" customHeight="1">
      <c r="A405" s="834"/>
      <c r="B405" s="835"/>
      <c r="C405" s="63" t="s">
        <v>3076</v>
      </c>
      <c r="D405" s="63" t="s">
        <v>2546</v>
      </c>
      <c r="E405" s="772" t="str">
        <f>IFERROR(VLOOKUP(D405,Stock,3,FALSE),"")</f>
        <v>Wuling Confero (Tanpa Spionnya)</v>
      </c>
      <c r="F405" s="63">
        <v>5.0</v>
      </c>
      <c r="G405" s="821">
        <v>499389.0</v>
      </c>
      <c r="H405" s="822">
        <f t="shared" si="14"/>
        <v>2496945</v>
      </c>
      <c r="I405" s="807"/>
      <c r="J405" s="808"/>
      <c r="K405" s="82"/>
      <c r="L405" s="82"/>
    </row>
    <row r="406" ht="14.25" customHeight="1">
      <c r="A406" s="834"/>
      <c r="B406" s="835"/>
      <c r="C406" s="63" t="s">
        <v>3076</v>
      </c>
      <c r="D406" s="63" t="s">
        <v>5303</v>
      </c>
      <c r="E406" s="772" t="str">
        <f>IFERROR(VLOOKUP(D406,Stock,3,FALSE),"")</f>
        <v>Nissan Juke 11-</v>
      </c>
      <c r="F406" s="63">
        <v>5.0</v>
      </c>
      <c r="G406" s="821">
        <v>611721.0</v>
      </c>
      <c r="H406" s="822">
        <f t="shared" si="14"/>
        <v>3058605</v>
      </c>
      <c r="I406" s="807"/>
      <c r="J406" s="808"/>
      <c r="K406" s="82"/>
      <c r="L406" s="82"/>
    </row>
    <row r="407" ht="14.25" customHeight="1">
      <c r="A407" s="834"/>
      <c r="B407" s="835"/>
      <c r="C407" s="63" t="s">
        <v>3076</v>
      </c>
      <c r="D407" s="63" t="s">
        <v>6689</v>
      </c>
      <c r="E407" s="772" t="str">
        <f>IFERROR(VLOOKUP(D407,Stock,3,FALSE),"")</f>
        <v>Mazda 2 09-14 3rd Gen</v>
      </c>
      <c r="F407" s="63">
        <v>5.0</v>
      </c>
      <c r="G407" s="821">
        <v>605616.0</v>
      </c>
      <c r="H407" s="822">
        <f t="shared" si="14"/>
        <v>3028080</v>
      </c>
      <c r="I407" s="807"/>
      <c r="J407" s="808"/>
      <c r="K407" s="82"/>
      <c r="L407" s="82"/>
    </row>
    <row r="408" ht="14.25" customHeight="1">
      <c r="A408" s="834"/>
      <c r="B408" s="835"/>
      <c r="C408" s="63" t="s">
        <v>3076</v>
      </c>
      <c r="D408" s="63" t="s">
        <v>4323</v>
      </c>
      <c r="E408" s="772" t="str">
        <f>IFERROR(VLOOKUP(D408,Stock,3,FALSE),"")</f>
        <v>Daihatsu Sirion 11-18 2nd Gen</v>
      </c>
      <c r="F408" s="63">
        <v>5.0</v>
      </c>
      <c r="G408" s="821">
        <v>617826.0</v>
      </c>
      <c r="H408" s="822">
        <f t="shared" si="14"/>
        <v>3089130</v>
      </c>
      <c r="I408" s="807"/>
      <c r="J408" s="808"/>
      <c r="K408" s="82"/>
      <c r="L408" s="82"/>
    </row>
    <row r="409" ht="14.25" customHeight="1">
      <c r="A409" s="834"/>
      <c r="B409" s="835"/>
      <c r="C409" s="63" t="s">
        <v>3076</v>
      </c>
      <c r="D409" s="63" t="s">
        <v>6746</v>
      </c>
      <c r="E409" s="772" t="str">
        <f>IFERROR(VLOOKUP(D409,Stock,3,FALSE),"")</f>
        <v>Toyota Kijang Super/Grand K125</v>
      </c>
      <c r="F409" s="63">
        <v>5.0</v>
      </c>
      <c r="G409" s="821">
        <v>503052.0</v>
      </c>
      <c r="H409" s="822">
        <f t="shared" si="14"/>
        <v>2515260</v>
      </c>
      <c r="I409" s="807"/>
      <c r="J409" s="808"/>
      <c r="K409" s="82"/>
      <c r="L409" s="82"/>
    </row>
    <row r="410" ht="14.25" customHeight="1">
      <c r="A410" s="834"/>
      <c r="B410" s="835"/>
      <c r="C410" s="63" t="s">
        <v>3076</v>
      </c>
      <c r="D410" s="63" t="s">
        <v>2669</v>
      </c>
      <c r="E410" s="772" t="str">
        <f>IFERROR(VLOOKUP(D410,Stock,3,FALSE),"")</f>
        <v>Nissan Livina 07-18 L10/L11</v>
      </c>
      <c r="F410" s="63">
        <v>5.0</v>
      </c>
      <c r="G410" s="821">
        <v>553113.0</v>
      </c>
      <c r="H410" s="822">
        <f t="shared" si="14"/>
        <v>2765565</v>
      </c>
      <c r="I410" s="807"/>
      <c r="J410" s="808"/>
      <c r="K410" s="82"/>
      <c r="L410" s="82"/>
    </row>
    <row r="411" ht="14.25" customHeight="1">
      <c r="A411" s="834"/>
      <c r="B411" s="835"/>
      <c r="C411" s="63" t="s">
        <v>3076</v>
      </c>
      <c r="D411" s="63" t="s">
        <v>3712</v>
      </c>
      <c r="E411" s="772" t="str">
        <f>IFERROR(VLOOKUP(D411,Stock,3,FALSE),"")</f>
        <v>Toyota Soluna AL50 00-</v>
      </c>
      <c r="F411" s="63">
        <v>5.0</v>
      </c>
      <c r="G411" s="821">
        <v>509157.0</v>
      </c>
      <c r="H411" s="822">
        <f t="shared" si="14"/>
        <v>2545785</v>
      </c>
      <c r="I411" s="807"/>
      <c r="J411" s="808"/>
      <c r="K411" s="82"/>
      <c r="L411" s="82"/>
    </row>
    <row r="412" ht="14.25" customHeight="1">
      <c r="A412" s="834"/>
      <c r="B412" s="835"/>
      <c r="C412" s="63" t="s">
        <v>3076</v>
      </c>
      <c r="D412" s="63" t="s">
        <v>2677</v>
      </c>
      <c r="E412" s="772" t="str">
        <f>IFERROR(VLOOKUP(D412,Stock,3,FALSE),"")</f>
        <v>Suzuki Grand Escudo 00-05</v>
      </c>
      <c r="F412" s="63">
        <v>5.0</v>
      </c>
      <c r="G412" s="821">
        <v>499389.0</v>
      </c>
      <c r="H412" s="822">
        <f t="shared" si="14"/>
        <v>2496945</v>
      </c>
      <c r="I412" s="807"/>
      <c r="J412" s="808"/>
      <c r="K412" s="82"/>
      <c r="L412" s="82"/>
    </row>
    <row r="413" ht="14.25" customHeight="1">
      <c r="A413" s="834"/>
      <c r="B413" s="835"/>
      <c r="C413" s="63" t="s">
        <v>3076</v>
      </c>
      <c r="D413" s="63" t="s">
        <v>2693</v>
      </c>
      <c r="E413" s="772" t="str">
        <f>IFERROR(VLOOKUP(D413,Stock,3,FALSE),"")</f>
        <v>Nissan X-Trail 01-07 T30</v>
      </c>
      <c r="F413" s="63">
        <v>5.0</v>
      </c>
      <c r="G413" s="821">
        <v>692307.0</v>
      </c>
      <c r="H413" s="822">
        <f t="shared" si="14"/>
        <v>3461535</v>
      </c>
      <c r="I413" s="807"/>
      <c r="J413" s="808"/>
      <c r="K413" s="82"/>
      <c r="L413" s="82"/>
    </row>
    <row r="414" ht="14.25" customHeight="1">
      <c r="A414" s="834"/>
      <c r="B414" s="835"/>
      <c r="C414" s="63" t="s">
        <v>3076</v>
      </c>
      <c r="D414" s="63" t="s">
        <v>3948</v>
      </c>
      <c r="E414" s="772" t="str">
        <f>IFERROR(VLOOKUP(D414,Stock,3,FALSE),"")</f>
        <v>BMW 3 Series 90-99 E36</v>
      </c>
      <c r="F414" s="63">
        <v>10.0</v>
      </c>
      <c r="G414" s="821">
        <v>598290.0</v>
      </c>
      <c r="H414" s="822">
        <f t="shared" si="14"/>
        <v>5982900</v>
      </c>
      <c r="I414" s="807"/>
      <c r="J414" s="808"/>
      <c r="K414" s="82"/>
      <c r="L414" s="82"/>
    </row>
    <row r="415" ht="14.25" customHeight="1">
      <c r="A415" s="834"/>
      <c r="B415" s="835"/>
      <c r="C415" s="63" t="s">
        <v>3076</v>
      </c>
      <c r="D415" s="63" t="s">
        <v>5084</v>
      </c>
      <c r="E415" s="772" t="str">
        <f>IFERROR(VLOOKUP(D415,Stock,3,FALSE),"")</f>
        <v>Ford Lynx/Liata Mazda Lantis/Familia</v>
      </c>
      <c r="F415" s="63">
        <v>3.0</v>
      </c>
      <c r="G415" s="821">
        <v>638583.0</v>
      </c>
      <c r="H415" s="822">
        <f t="shared" si="14"/>
        <v>1915749</v>
      </c>
      <c r="I415" s="807"/>
      <c r="J415" s="808"/>
      <c r="K415" s="82"/>
      <c r="L415" s="82"/>
    </row>
    <row r="416" ht="14.25" customHeight="1">
      <c r="A416" s="834"/>
      <c r="B416" s="835"/>
      <c r="C416" s="63" t="s">
        <v>3076</v>
      </c>
      <c r="D416" s="63" t="s">
        <v>6747</v>
      </c>
      <c r="E416" s="772" t="str">
        <f>IFERROR(VLOOKUP(D416,Stock,3,FALSE),"")</f>
        <v>Hyundai Accent/Excel/Cakra 94-01 Sedan</v>
      </c>
      <c r="F416" s="63">
        <v>1.0</v>
      </c>
      <c r="G416" s="821">
        <v>611721.0</v>
      </c>
      <c r="H416" s="822">
        <f t="shared" si="14"/>
        <v>611721</v>
      </c>
      <c r="I416" s="807"/>
      <c r="J416" s="808"/>
      <c r="K416" s="82"/>
      <c r="L416" s="82"/>
    </row>
    <row r="417" ht="14.25" customHeight="1">
      <c r="A417" s="834"/>
      <c r="B417" s="835"/>
      <c r="C417" s="63" t="s">
        <v>3076</v>
      </c>
      <c r="D417" s="63" t="s">
        <v>6748</v>
      </c>
      <c r="E417" s="772" t="str">
        <f>IFERROR(VLOOKUP(D417,Stock,3,FALSE),"")</f>
        <v>Mitsubishi Strada Triton 16-</v>
      </c>
      <c r="F417" s="63">
        <v>10.0</v>
      </c>
      <c r="G417" s="821">
        <v>485958.0</v>
      </c>
      <c r="H417" s="822">
        <f t="shared" si="14"/>
        <v>4859580</v>
      </c>
      <c r="I417" s="807"/>
      <c r="J417" s="808"/>
      <c r="K417" s="82"/>
      <c r="L417" s="82"/>
    </row>
    <row r="418" ht="14.25" customHeight="1">
      <c r="A418" s="834"/>
      <c r="B418" s="835"/>
      <c r="C418" s="63" t="s">
        <v>3076</v>
      </c>
      <c r="D418" s="63" t="s">
        <v>6749</v>
      </c>
      <c r="E418" s="772" t="str">
        <f>IFERROR(VLOOKUP(D418,Stock,3,FALSE),"")</f>
        <v>Mitsubishi Lancer 91-96 LE41 CB4/5 (Evo3)</v>
      </c>
      <c r="F418" s="63">
        <v>3.0</v>
      </c>
      <c r="G418" s="821">
        <v>620268.0</v>
      </c>
      <c r="H418" s="822">
        <f t="shared" si="14"/>
        <v>1860804</v>
      </c>
      <c r="I418" s="807"/>
      <c r="J418" s="808"/>
      <c r="K418" s="82"/>
      <c r="L418" s="82"/>
    </row>
    <row r="419" ht="14.25" customHeight="1">
      <c r="A419" s="834"/>
      <c r="B419" s="835"/>
      <c r="C419" s="63" t="s">
        <v>3076</v>
      </c>
      <c r="D419" s="63" t="s">
        <v>2781</v>
      </c>
      <c r="E419" s="772" t="str">
        <f>IFERROR(VLOOKUP(D419,Stock,3,FALSE),"")</f>
        <v>Kia Sportage 04-10 JE/KM</v>
      </c>
      <c r="F419" s="63">
        <v>3.0</v>
      </c>
      <c r="G419" s="821">
        <v>783882.0</v>
      </c>
      <c r="H419" s="822">
        <f t="shared" si="14"/>
        <v>2351646</v>
      </c>
      <c r="I419" s="807"/>
      <c r="J419" s="808"/>
      <c r="K419" s="82"/>
      <c r="L419" s="82"/>
    </row>
    <row r="420" ht="14.25" customHeight="1">
      <c r="A420" s="834"/>
      <c r="B420" s="835"/>
      <c r="C420" s="63" t="s">
        <v>3076</v>
      </c>
      <c r="D420" s="63" t="s">
        <v>6750</v>
      </c>
      <c r="E420" s="772" t="str">
        <f>IFERROR(VLOOKUP(D420,Stock,3,FALSE),"")</f>
        <v>Kia Rio 00-05 DC Sedan/Hatchback</v>
      </c>
      <c r="F420" s="63">
        <v>3.0</v>
      </c>
      <c r="G420" s="821">
        <v>611721.0</v>
      </c>
      <c r="H420" s="822">
        <f t="shared" si="14"/>
        <v>1835163</v>
      </c>
      <c r="I420" s="807"/>
      <c r="J420" s="808"/>
      <c r="K420" s="82"/>
      <c r="L420" s="82"/>
    </row>
    <row r="421" ht="14.25" customHeight="1">
      <c r="A421" s="834"/>
      <c r="B421" s="835"/>
      <c r="C421" s="63" t="s">
        <v>3076</v>
      </c>
      <c r="D421" s="63" t="s">
        <v>6751</v>
      </c>
      <c r="E421" s="772" t="str">
        <f>IFERROR(VLOOKUP(D421,Stock,3,FALSE),"")</f>
        <v>Kia Pregio Van 95-</v>
      </c>
      <c r="F421" s="63">
        <v>5.0</v>
      </c>
      <c r="G421" s="821">
        <v>761904.0</v>
      </c>
      <c r="H421" s="822">
        <f t="shared" si="14"/>
        <v>3809520</v>
      </c>
      <c r="I421" s="807"/>
      <c r="J421" s="808"/>
      <c r="K421" s="82"/>
      <c r="L421" s="82"/>
    </row>
    <row r="422" ht="14.25" customHeight="1">
      <c r="A422" s="834"/>
      <c r="B422" s="835"/>
      <c r="C422" s="63" t="s">
        <v>3076</v>
      </c>
      <c r="D422" s="63" t="s">
        <v>2712</v>
      </c>
      <c r="E422" s="772" t="str">
        <f>IFERROR(VLOOKUP(D422,Stock,3,FALSE),"")</f>
        <v>Mitsubishi L300</v>
      </c>
      <c r="F422" s="63">
        <v>5.0</v>
      </c>
      <c r="G422" s="821">
        <v>434676.0</v>
      </c>
      <c r="H422" s="822">
        <f t="shared" si="14"/>
        <v>2173380</v>
      </c>
      <c r="I422" s="807"/>
      <c r="J422" s="808"/>
      <c r="K422" s="82"/>
      <c r="L422" s="82"/>
    </row>
    <row r="423" ht="14.25" customHeight="1">
      <c r="A423" s="834"/>
      <c r="B423" s="835"/>
      <c r="C423" s="63" t="s">
        <v>3076</v>
      </c>
      <c r="D423" s="63" t="s">
        <v>6752</v>
      </c>
      <c r="E423" s="772" t="str">
        <f>IFERROR(VLOOKUP(D423,Stock,3,FALSE),"")</f>
        <v>Ford Telstar 93 / Mazda Cronos 626</v>
      </c>
      <c r="F423" s="63">
        <v>3.0</v>
      </c>
      <c r="G423" s="821">
        <v>663003.0</v>
      </c>
      <c r="H423" s="822">
        <f t="shared" si="14"/>
        <v>1989009</v>
      </c>
      <c r="I423" s="807"/>
      <c r="J423" s="808"/>
      <c r="K423" s="82"/>
      <c r="L423" s="82"/>
    </row>
    <row r="424" ht="14.25" customHeight="1">
      <c r="A424" s="834"/>
      <c r="B424" s="835"/>
      <c r="C424" s="63" t="s">
        <v>3076</v>
      </c>
      <c r="D424" s="63" t="s">
        <v>6753</v>
      </c>
      <c r="E424" s="772" t="str">
        <f>IFERROR(VLOOKUP(D424,Stock,3,FALSE),"")</f>
        <v>Mazda INTERPLAY 1992-97 FHG</v>
      </c>
      <c r="F424" s="63">
        <v>5.0</v>
      </c>
      <c r="G424" s="821">
        <v>587301.0</v>
      </c>
      <c r="H424" s="822">
        <f t="shared" si="14"/>
        <v>2936505</v>
      </c>
      <c r="I424" s="807"/>
      <c r="J424" s="808"/>
      <c r="K424" s="82"/>
      <c r="L424" s="82"/>
    </row>
    <row r="425" ht="14.25" customHeight="1">
      <c r="A425" s="834"/>
      <c r="B425" s="835"/>
      <c r="C425" s="63" t="s">
        <v>3076</v>
      </c>
      <c r="D425" s="63" t="s">
        <v>6754</v>
      </c>
      <c r="E425" s="772" t="str">
        <f>IFERROR(VLOOKUP(D425,Stock,3,FALSE),"")</f>
        <v>Jeep Cherooke 94-99 XJ</v>
      </c>
      <c r="F425" s="63">
        <v>5.0</v>
      </c>
      <c r="G425" s="821">
        <v>474969.0</v>
      </c>
      <c r="H425" s="822">
        <f t="shared" si="14"/>
        <v>2374845</v>
      </c>
      <c r="I425" s="807"/>
      <c r="J425" s="808"/>
      <c r="K425" s="82"/>
      <c r="L425" s="82"/>
    </row>
    <row r="426" ht="14.25" customHeight="1">
      <c r="A426" s="834"/>
      <c r="B426" s="835"/>
      <c r="C426" s="63" t="s">
        <v>3076</v>
      </c>
      <c r="D426" s="63" t="s">
        <v>4964</v>
      </c>
      <c r="E426" s="772" t="str">
        <f>IFERROR(VLOOKUP(D426,Stock,3,FALSE),"")</f>
        <v>Honda Civic 96-00 SO4/SO6 (Ferio)</v>
      </c>
      <c r="F426" s="63">
        <v>5.0</v>
      </c>
      <c r="G426" s="821">
        <v>653235.0</v>
      </c>
      <c r="H426" s="822">
        <f t="shared" si="14"/>
        <v>3266175</v>
      </c>
      <c r="I426" s="807"/>
      <c r="J426" s="808"/>
      <c r="K426" s="82"/>
      <c r="L426" s="82"/>
    </row>
    <row r="427" ht="14.25" customHeight="1">
      <c r="A427" s="834"/>
      <c r="B427" s="835"/>
      <c r="C427" s="63" t="s">
        <v>3076</v>
      </c>
      <c r="D427" s="63" t="s">
        <v>4512</v>
      </c>
      <c r="E427" s="772" t="str">
        <f>IFERROR(VLOOKUP(D427,Stock,3,FALSE),"")</f>
        <v>Suzuki Splash 09-16</v>
      </c>
      <c r="F427" s="63">
        <v>5.0</v>
      </c>
      <c r="G427" s="821">
        <v>634920.0</v>
      </c>
      <c r="H427" s="822">
        <f t="shared" si="14"/>
        <v>3174600</v>
      </c>
      <c r="I427" s="807"/>
      <c r="J427" s="808"/>
      <c r="K427" s="82"/>
      <c r="L427" s="82"/>
    </row>
    <row r="428" ht="14.25" customHeight="1">
      <c r="A428" s="834"/>
      <c r="B428" s="835"/>
      <c r="C428" s="63" t="s">
        <v>3076</v>
      </c>
      <c r="D428" s="63" t="s">
        <v>3594</v>
      </c>
      <c r="E428" s="772" t="str">
        <f>IFERROR(VLOOKUP(D428,Stock,3,FALSE),"")</f>
        <v>Chevrolet Aveo 08-11 T250 Hatch. (Kalos/Lova) (Pendek) Barina</v>
      </c>
      <c r="F428" s="63">
        <v>5.0</v>
      </c>
      <c r="G428" s="821">
        <v>719169.0</v>
      </c>
      <c r="H428" s="822">
        <f t="shared" si="14"/>
        <v>3595845</v>
      </c>
      <c r="I428" s="807"/>
      <c r="J428" s="808"/>
      <c r="K428" s="82"/>
      <c r="L428" s="82"/>
    </row>
    <row r="429" ht="14.25" customHeight="1">
      <c r="A429" s="834"/>
      <c r="B429" s="835"/>
      <c r="C429" s="63" t="s">
        <v>3076</v>
      </c>
      <c r="D429" s="772" t="s">
        <v>12965</v>
      </c>
      <c r="E429" s="772" t="str">
        <f>IFERROR(VLOOKUP(D429,Stock,3,FALSE),"")</f>
        <v>Suzuki Ertiga 18- 2nd Gen (ORI MULIA) / XL7</v>
      </c>
      <c r="F429" s="63">
        <v>3.0</v>
      </c>
      <c r="G429" s="821">
        <v>103785.0</v>
      </c>
      <c r="H429" s="822">
        <f t="shared" si="14"/>
        <v>311355</v>
      </c>
      <c r="I429" s="807"/>
      <c r="J429" s="808"/>
      <c r="K429" s="82"/>
      <c r="L429" s="82"/>
    </row>
    <row r="430" ht="14.25" customHeight="1">
      <c r="A430" s="834"/>
      <c r="B430" s="835"/>
      <c r="C430" s="63" t="s">
        <v>3076</v>
      </c>
      <c r="D430" s="29" t="s">
        <v>12966</v>
      </c>
      <c r="E430" s="772" t="str">
        <f>IFERROR(VLOOKUP(D430,Stock,3,FALSE),"")</f>
        <v>Suzuki Ertiga 18- 2nd Gen (ORI MULIA) / XL7</v>
      </c>
      <c r="F430" s="63">
        <v>5.0</v>
      </c>
      <c r="G430" s="821">
        <v>103785.0</v>
      </c>
      <c r="H430" s="822">
        <f t="shared" si="14"/>
        <v>518925</v>
      </c>
      <c r="I430" s="807"/>
      <c r="J430" s="808"/>
      <c r="K430" s="82"/>
      <c r="L430" s="82"/>
    </row>
    <row r="431" ht="14.25" customHeight="1">
      <c r="A431" s="834"/>
      <c r="B431" s="835"/>
      <c r="C431" s="63" t="s">
        <v>3076</v>
      </c>
      <c r="D431" s="29" t="s">
        <v>12967</v>
      </c>
      <c r="E431" s="772" t="str">
        <f>IFERROR(VLOOKUP(D431,Stock,3,FALSE),"")</f>
        <v>Suzuki Ertiga 18- 2nd Gen (ORI MULIA) / XL7</v>
      </c>
      <c r="F431" s="63">
        <v>3.0</v>
      </c>
      <c r="G431" s="821">
        <v>114774.0</v>
      </c>
      <c r="H431" s="822">
        <f t="shared" si="14"/>
        <v>344322</v>
      </c>
      <c r="I431" s="807"/>
      <c r="J431" s="808"/>
      <c r="K431" s="82"/>
      <c r="L431" s="82"/>
    </row>
    <row r="432" ht="14.25" customHeight="1">
      <c r="A432" s="834"/>
      <c r="B432" s="835"/>
      <c r="C432" s="63" t="s">
        <v>3076</v>
      </c>
      <c r="D432" s="29" t="s">
        <v>12968</v>
      </c>
      <c r="E432" s="772" t="str">
        <f>IFERROR(VLOOKUP(D432,Stock,3,FALSE),"")</f>
        <v>Suzuki Ertiga 18- 2nd Gen (ORI MULIA) / XL7</v>
      </c>
      <c r="F432" s="63">
        <v>3.0</v>
      </c>
      <c r="G432" s="821">
        <v>114774.0</v>
      </c>
      <c r="H432" s="822">
        <f t="shared" si="14"/>
        <v>344322</v>
      </c>
      <c r="I432" s="807"/>
      <c r="J432" s="808"/>
      <c r="K432" s="82"/>
      <c r="L432" s="82"/>
    </row>
    <row r="433" ht="14.25" customHeight="1">
      <c r="A433" s="834"/>
      <c r="B433" s="835"/>
      <c r="C433" s="63" t="s">
        <v>3076</v>
      </c>
      <c r="D433" s="63" t="s">
        <v>2718</v>
      </c>
      <c r="E433" s="772" t="str">
        <f>IFERROR(VLOOKUP(D433,Stock,3,FALSE),"")</f>
        <v>Isuzu Traga</v>
      </c>
      <c r="F433" s="63">
        <v>5.0</v>
      </c>
      <c r="G433" s="821">
        <v>517704.0</v>
      </c>
      <c r="H433" s="822">
        <f t="shared" si="14"/>
        <v>2588520</v>
      </c>
      <c r="I433" s="807"/>
      <c r="J433" s="808"/>
      <c r="K433" s="82"/>
      <c r="L433" s="82"/>
    </row>
    <row r="434" ht="14.25" customHeight="1">
      <c r="A434" s="834"/>
      <c r="B434" s="835"/>
      <c r="C434" s="63" t="s">
        <v>3076</v>
      </c>
      <c r="D434" s="63" t="s">
        <v>4178</v>
      </c>
      <c r="E434" s="772" t="str">
        <f>IFERROR(VLOOKUP(D434,Stock,3,FALSE),"")</f>
        <v>Honda BR-V 16-</v>
      </c>
      <c r="F434" s="63">
        <v>10.0</v>
      </c>
      <c r="G434" s="821">
        <v>575091.0</v>
      </c>
      <c r="H434" s="822">
        <f t="shared" si="14"/>
        <v>5750910</v>
      </c>
      <c r="I434" s="807"/>
      <c r="J434" s="808"/>
      <c r="K434" s="82"/>
      <c r="L434" s="82"/>
    </row>
    <row r="435" ht="14.25" customHeight="1">
      <c r="A435" s="834"/>
      <c r="B435" s="835"/>
      <c r="C435" s="63" t="s">
        <v>3076</v>
      </c>
      <c r="D435" s="63" t="s">
        <v>6755</v>
      </c>
      <c r="E435" s="772" t="str">
        <f>IFERROR(VLOOKUP(D435,Stock,3,FALSE),"")</f>
        <v>Mitsubishi Kuda 99-06</v>
      </c>
      <c r="F435" s="63">
        <v>5.0</v>
      </c>
      <c r="G435" s="821">
        <v>583638.0</v>
      </c>
      <c r="H435" s="822">
        <f t="shared" si="14"/>
        <v>2918190</v>
      </c>
      <c r="I435" s="807"/>
      <c r="J435" s="808"/>
      <c r="K435" s="82"/>
      <c r="L435" s="82"/>
    </row>
    <row r="436" ht="14.25" customHeight="1">
      <c r="A436" s="834"/>
      <c r="B436" s="835"/>
      <c r="C436" s="63" t="s">
        <v>3076</v>
      </c>
      <c r="D436" s="63" t="s">
        <v>6756</v>
      </c>
      <c r="E436" s="772" t="str">
        <f>IFERROR(VLOOKUP(D436,Stock,3,FALSE),"")</f>
        <v>Toyota Raize / Daihatsu Rocky 20-</v>
      </c>
      <c r="F436" s="63">
        <v>5.0</v>
      </c>
      <c r="G436" s="821">
        <v>604395.0</v>
      </c>
      <c r="H436" s="822">
        <f t="shared" si="14"/>
        <v>3021975</v>
      </c>
      <c r="I436" s="807"/>
      <c r="J436" s="808"/>
      <c r="K436" s="82"/>
      <c r="L436" s="82"/>
    </row>
    <row r="437" ht="14.25" customHeight="1">
      <c r="A437" s="834"/>
      <c r="B437" s="835"/>
      <c r="C437" s="63" t="s">
        <v>3076</v>
      </c>
      <c r="D437" s="63" t="s">
        <v>3526</v>
      </c>
      <c r="E437" s="772" t="str">
        <f>IFERROR(VLOOKUP(D437,Stock,3,FALSE),"")</f>
        <v>Toyota Kijang 98- Kapsul Karet</v>
      </c>
      <c r="F437" s="63">
        <v>5.0</v>
      </c>
      <c r="G437" s="821">
        <v>560439.0</v>
      </c>
      <c r="H437" s="822">
        <f t="shared" si="14"/>
        <v>2802195</v>
      </c>
      <c r="I437" s="807"/>
      <c r="J437" s="808"/>
      <c r="K437" s="82"/>
      <c r="L437" s="82"/>
    </row>
    <row r="438" ht="14.25" customHeight="1">
      <c r="A438" s="834"/>
      <c r="B438" s="835"/>
      <c r="C438" s="63" t="s">
        <v>3076</v>
      </c>
      <c r="D438" s="63" t="s">
        <v>5907</v>
      </c>
      <c r="E438" s="772" t="str">
        <f>IFERROR(VLOOKUP(D438,Stock,3,FALSE),"")</f>
        <v>Toyota Kijang 02-04 Kapsul Lem Efi</v>
      </c>
      <c r="F438" s="63">
        <v>5.0</v>
      </c>
      <c r="G438" s="821">
        <v>542124.0</v>
      </c>
      <c r="H438" s="822">
        <f t="shared" si="14"/>
        <v>2710620</v>
      </c>
      <c r="I438" s="807"/>
      <c r="J438" s="808"/>
      <c r="K438" s="82"/>
      <c r="L438" s="82"/>
    </row>
    <row r="439" ht="14.25" customHeight="1">
      <c r="A439" s="834"/>
      <c r="B439" s="835"/>
      <c r="C439" s="63" t="s">
        <v>3076</v>
      </c>
      <c r="D439" s="63" t="s">
        <v>6757</v>
      </c>
      <c r="E439" s="772" t="str">
        <f>IFERROR(VLOOKUP(D439,Stock,3,FALSE),"")</f>
        <v>Toyota Agya/Ayla 23- 2nd Gen</v>
      </c>
      <c r="F439" s="63">
        <v>5.0</v>
      </c>
      <c r="G439" s="821">
        <v>488400.0</v>
      </c>
      <c r="H439" s="822">
        <f t="shared" si="14"/>
        <v>2442000</v>
      </c>
      <c r="I439" s="807"/>
      <c r="J439" s="808"/>
      <c r="K439" s="82"/>
      <c r="L439" s="82"/>
    </row>
    <row r="440" ht="14.25" customHeight="1">
      <c r="A440" s="834"/>
      <c r="B440" s="835"/>
      <c r="C440" s="63" t="s">
        <v>3076</v>
      </c>
      <c r="D440" s="63" t="s">
        <v>2541</v>
      </c>
      <c r="E440" s="772" t="str">
        <f>IFERROR(VLOOKUP(D440,Stock,3,FALSE),"")</f>
        <v>Nissan Datsun Go/Go+ 14- (5-Seater)</v>
      </c>
      <c r="F440" s="63">
        <v>5.0</v>
      </c>
      <c r="G440" s="821">
        <v>534798.0</v>
      </c>
      <c r="H440" s="822">
        <f t="shared" si="14"/>
        <v>2673990</v>
      </c>
      <c r="I440" s="807"/>
      <c r="J440" s="808"/>
      <c r="K440" s="82"/>
      <c r="L440" s="82"/>
    </row>
    <row r="441" ht="14.25" customHeight="1">
      <c r="A441" s="834"/>
      <c r="B441" s="835"/>
      <c r="C441" s="63" t="s">
        <v>3076</v>
      </c>
      <c r="D441" s="63" t="s">
        <v>2651</v>
      </c>
      <c r="E441" s="772" t="str">
        <f>IFERROR(VLOOKUP(D441,Stock,3,FALSE),"")</f>
        <v>Suzuki Wagon R 12-</v>
      </c>
      <c r="F441" s="63">
        <v>5.0</v>
      </c>
      <c r="G441" s="821">
        <v>483516.0</v>
      </c>
      <c r="H441" s="822">
        <f t="shared" si="14"/>
        <v>2417580</v>
      </c>
      <c r="I441" s="807"/>
      <c r="J441" s="808"/>
      <c r="K441" s="82"/>
      <c r="L441" s="82"/>
    </row>
    <row r="442" ht="14.25" customHeight="1">
      <c r="A442" s="789">
        <v>45454.0</v>
      </c>
      <c r="B442" s="790">
        <v>2406226.0</v>
      </c>
      <c r="C442" s="791" t="s">
        <v>11484</v>
      </c>
      <c r="D442" s="791" t="s">
        <v>3871</v>
      </c>
      <c r="E442" s="792" t="str">
        <f>IFERROR(VLOOKUP(D442,Stock,3,FALSE),"")</f>
        <v>Suzuki Swift 04-11 1st Gen</v>
      </c>
      <c r="F442" s="791">
        <v>2.0</v>
      </c>
      <c r="G442" s="809">
        <v>711700.0</v>
      </c>
      <c r="H442" s="810">
        <f t="shared" si="14"/>
        <v>1423400</v>
      </c>
      <c r="I442" s="811"/>
      <c r="J442" s="812"/>
      <c r="K442" s="819"/>
      <c r="L442" s="819"/>
      <c r="M442" s="818" t="s">
        <v>12809</v>
      </c>
      <c r="N442" s="820">
        <v>45510.0</v>
      </c>
      <c r="O442" s="823"/>
    </row>
    <row r="443" ht="14.25" customHeight="1">
      <c r="A443" s="789">
        <v>45454.0</v>
      </c>
      <c r="B443" s="790">
        <v>2406261.0</v>
      </c>
      <c r="C443" s="791" t="s">
        <v>11484</v>
      </c>
      <c r="D443" s="791" t="s">
        <v>2609</v>
      </c>
      <c r="E443" s="792" t="str">
        <f>IFERROR(VLOOKUP(D443,Stock,3,FALSE),"")</f>
        <v>Mazda 2 14- Skyactiv 4th Gen (3 Sensor/ /\8 )</v>
      </c>
      <c r="F443" s="791">
        <v>1.0</v>
      </c>
      <c r="G443" s="809">
        <v>1786950.0</v>
      </c>
      <c r="H443" s="810">
        <f t="shared" si="14"/>
        <v>1786950</v>
      </c>
      <c r="I443" s="811"/>
      <c r="J443" s="812"/>
      <c r="K443" s="819"/>
      <c r="L443" s="819"/>
      <c r="M443" s="818" t="s">
        <v>12809</v>
      </c>
      <c r="N443" s="820">
        <v>45510.0</v>
      </c>
      <c r="O443" s="823"/>
    </row>
    <row r="444" ht="14.25" customHeight="1">
      <c r="A444" s="789">
        <v>45454.0</v>
      </c>
      <c r="B444" s="790">
        <v>2406261.0</v>
      </c>
      <c r="C444" s="791" t="s">
        <v>11484</v>
      </c>
      <c r="D444" s="791" t="s">
        <v>3760</v>
      </c>
      <c r="E444" s="792" t="str">
        <f>IFERROR(VLOOKUP(D444,Stock,3,FALSE),"")</f>
        <v>Nissan Frontier Navara 97-04 D22 1st Gen</v>
      </c>
      <c r="F444" s="791">
        <v>1.0</v>
      </c>
      <c r="G444" s="809">
        <v>759000.0</v>
      </c>
      <c r="H444" s="810">
        <f t="shared" si="14"/>
        <v>759000</v>
      </c>
      <c r="I444" s="811"/>
      <c r="J444" s="812"/>
      <c r="K444" s="819"/>
      <c r="L444" s="819"/>
      <c r="M444" s="818" t="s">
        <v>12809</v>
      </c>
      <c r="N444" s="820">
        <v>45510.0</v>
      </c>
      <c r="O444" s="823"/>
    </row>
    <row r="445" ht="14.25" customHeight="1">
      <c r="A445" s="789">
        <v>45461.0</v>
      </c>
      <c r="B445" s="829" t="s">
        <v>12969</v>
      </c>
      <c r="C445" s="791" t="s">
        <v>12932</v>
      </c>
      <c r="D445" s="791" t="s">
        <v>6829</v>
      </c>
      <c r="E445" s="792" t="str">
        <f>IFERROR(VLOOKUP(D445,Stock,3,FALSE),"")</f>
        <v>Toyota Avanza / Xenia 21- 4th Gen ( Sensor)</v>
      </c>
      <c r="F445" s="791">
        <v>5.0</v>
      </c>
      <c r="G445" s="809">
        <v>787099.8</v>
      </c>
      <c r="H445" s="810">
        <f t="shared" si="14"/>
        <v>3935499</v>
      </c>
      <c r="I445" s="811"/>
      <c r="J445" s="833">
        <v>45491.0</v>
      </c>
      <c r="K445" s="819"/>
      <c r="L445" s="819"/>
      <c r="M445" s="818" t="s">
        <v>12970</v>
      </c>
      <c r="N445" s="820">
        <v>45489.0</v>
      </c>
      <c r="O445" s="823"/>
    </row>
    <row r="446" ht="14.25" customHeight="1">
      <c r="A446" s="789">
        <v>45453.0</v>
      </c>
      <c r="B446" s="790">
        <v>2406212.0</v>
      </c>
      <c r="C446" s="791" t="s">
        <v>11484</v>
      </c>
      <c r="D446" s="791" t="s">
        <v>3726</v>
      </c>
      <c r="E446" s="792" t="str">
        <f>IFERROR(VLOOKUP(D446,Stock,3,FALSE),"")</f>
        <v>Mazda CX-5 .14-17 1st Gen KE Facelift - (3 Sensor/ /\8 )</v>
      </c>
      <c r="F446" s="791">
        <v>1.0</v>
      </c>
      <c r="G446" s="809">
        <v>2341350.0</v>
      </c>
      <c r="H446" s="810">
        <f t="shared" si="14"/>
        <v>2341350</v>
      </c>
      <c r="I446" s="811"/>
      <c r="J446" s="833">
        <v>45513.0</v>
      </c>
      <c r="K446" s="819"/>
      <c r="L446" s="819"/>
      <c r="M446" s="818" t="s">
        <v>12809</v>
      </c>
      <c r="N446" s="820">
        <v>45513.0</v>
      </c>
      <c r="O446" s="823"/>
    </row>
    <row r="447" ht="14.25" customHeight="1">
      <c r="A447" s="789">
        <v>45461.0</v>
      </c>
      <c r="B447" s="790">
        <v>2406425.0</v>
      </c>
      <c r="C447" s="791" t="s">
        <v>11484</v>
      </c>
      <c r="D447" s="791" t="s">
        <v>2639</v>
      </c>
      <c r="E447" s="792" t="str">
        <f>IFERROR(VLOOKUP(D447,Stock,3,FALSE),"")</f>
        <v>Kia Sonet 21-</v>
      </c>
      <c r="F447" s="791">
        <v>1.0</v>
      </c>
      <c r="G447" s="809">
        <v>907500.0</v>
      </c>
      <c r="H447" s="810">
        <f t="shared" si="14"/>
        <v>907500</v>
      </c>
      <c r="I447" s="811"/>
      <c r="J447" s="833">
        <v>45521.0</v>
      </c>
      <c r="K447" s="819"/>
      <c r="L447" s="819"/>
      <c r="M447" s="818" t="s">
        <v>12809</v>
      </c>
      <c r="N447" s="820">
        <v>45518.0</v>
      </c>
      <c r="O447" s="823"/>
    </row>
    <row r="448" ht="14.25" customHeight="1">
      <c r="A448" s="789">
        <v>45461.0</v>
      </c>
      <c r="B448" s="790">
        <v>2406379.0</v>
      </c>
      <c r="C448" s="791" t="s">
        <v>11484</v>
      </c>
      <c r="D448" s="791" t="s">
        <v>2702</v>
      </c>
      <c r="E448" s="792" t="str">
        <f>IFERROR(VLOOKUP(D448,Stock,3,FALSE),"")</f>
        <v>Toyota Sienta 15-</v>
      </c>
      <c r="F448" s="791">
        <v>1.0</v>
      </c>
      <c r="G448" s="809">
        <v>680900.0</v>
      </c>
      <c r="H448" s="810">
        <f t="shared" si="14"/>
        <v>680900</v>
      </c>
      <c r="I448" s="811"/>
      <c r="J448" s="812"/>
      <c r="K448" s="819"/>
      <c r="L448" s="819"/>
      <c r="M448" s="818" t="s">
        <v>12809</v>
      </c>
      <c r="N448" s="820">
        <v>45519.0</v>
      </c>
      <c r="O448" s="823"/>
    </row>
    <row r="449" ht="14.25" customHeight="1">
      <c r="A449" s="789">
        <v>45461.0</v>
      </c>
      <c r="B449" s="790">
        <v>2406379.0</v>
      </c>
      <c r="C449" s="791" t="s">
        <v>11484</v>
      </c>
      <c r="D449" s="791" t="s">
        <v>2746</v>
      </c>
      <c r="E449" s="792" t="str">
        <f>IFERROR(VLOOKUP(D449,Stock,3,FALSE),"")</f>
        <v>Toyota Fortuner 05-15 1st Gen </v>
      </c>
      <c r="F449" s="791">
        <v>3.0</v>
      </c>
      <c r="G449" s="809">
        <v>916850.0</v>
      </c>
      <c r="H449" s="810">
        <f t="shared" si="14"/>
        <v>2750550</v>
      </c>
      <c r="I449" s="811"/>
      <c r="J449" s="812"/>
      <c r="K449" s="819"/>
      <c r="L449" s="819"/>
      <c r="M449" s="818" t="s">
        <v>12809</v>
      </c>
      <c r="N449" s="820">
        <v>45519.0</v>
      </c>
      <c r="O449" s="823"/>
    </row>
    <row r="450" ht="14.25" customHeight="1">
      <c r="A450" s="789">
        <v>45461.0</v>
      </c>
      <c r="B450" s="790">
        <v>2406379.0</v>
      </c>
      <c r="C450" s="791" t="s">
        <v>11484</v>
      </c>
      <c r="D450" s="791" t="s">
        <v>3582</v>
      </c>
      <c r="E450" s="792" t="str">
        <f>IFERROR(VLOOKUP(D450,Stock,3,FALSE),"")</f>
        <v>Honda CR-V 12-16 4th Gen</v>
      </c>
      <c r="F450" s="791">
        <v>2.0</v>
      </c>
      <c r="G450" s="809">
        <v>879450.0</v>
      </c>
      <c r="H450" s="810">
        <f t="shared" si="14"/>
        <v>1758900</v>
      </c>
      <c r="I450" s="811"/>
      <c r="J450" s="812"/>
      <c r="K450" s="819"/>
      <c r="L450" s="819"/>
      <c r="M450" s="818" t="s">
        <v>12809</v>
      </c>
      <c r="N450" s="820">
        <v>45519.0</v>
      </c>
      <c r="O450" s="823"/>
    </row>
    <row r="451" ht="14.25" customHeight="1">
      <c r="A451" s="789">
        <v>45461.0</v>
      </c>
      <c r="B451" s="790">
        <v>2406379.0</v>
      </c>
      <c r="C451" s="791" t="s">
        <v>11484</v>
      </c>
      <c r="D451" s="791" t="s">
        <v>8007</v>
      </c>
      <c r="E451" s="792" t="str">
        <f>IFERROR(VLOOKUP(D451,Stock,3,FALSE),"")</f>
        <v>Honda Accord 03-07 7th Gen CM5,6,7</v>
      </c>
      <c r="F451" s="791">
        <v>1.0</v>
      </c>
      <c r="G451" s="809">
        <v>1035650.0</v>
      </c>
      <c r="H451" s="810">
        <f t="shared" si="14"/>
        <v>1035650</v>
      </c>
      <c r="I451" s="811"/>
      <c r="J451" s="812"/>
      <c r="K451" s="819"/>
      <c r="L451" s="819"/>
      <c r="M451" s="818" t="s">
        <v>12809</v>
      </c>
      <c r="N451" s="820">
        <v>45519.0</v>
      </c>
      <c r="O451" s="823"/>
    </row>
    <row r="452" ht="14.25" customHeight="1">
      <c r="A452" s="789">
        <v>45461.0</v>
      </c>
      <c r="B452" s="790">
        <v>2406379.0</v>
      </c>
      <c r="C452" s="791" t="s">
        <v>11484</v>
      </c>
      <c r="D452" s="791" t="s">
        <v>2627</v>
      </c>
      <c r="E452" s="792" t="str">
        <f>IFERROR(VLOOKUP(D452,Stock,3,FALSE),"")</f>
        <v>Honda Civic 92-95 SR1/SR4 (Genio)</v>
      </c>
      <c r="F452" s="791">
        <v>1.0</v>
      </c>
      <c r="G452" s="809">
        <v>662200.0</v>
      </c>
      <c r="H452" s="810">
        <f t="shared" si="14"/>
        <v>662200</v>
      </c>
      <c r="I452" s="811"/>
      <c r="J452" s="812"/>
      <c r="K452" s="819"/>
      <c r="L452" s="819"/>
      <c r="M452" s="818" t="s">
        <v>12809</v>
      </c>
      <c r="N452" s="820">
        <v>45519.0</v>
      </c>
      <c r="O452" s="823"/>
    </row>
    <row r="453" ht="14.25" customHeight="1">
      <c r="A453" s="789">
        <v>45453.0</v>
      </c>
      <c r="B453" s="790" t="s">
        <v>12971</v>
      </c>
      <c r="C453" s="791" t="s">
        <v>12942</v>
      </c>
      <c r="D453" s="799" t="s">
        <v>12972</v>
      </c>
      <c r="E453" s="792" t="str">
        <f>IFERROR(VLOOKUP(D453,Stock,3,FALSE),"")</f>
        <v>Mitsubishi Pajero 16-</v>
      </c>
      <c r="F453" s="791">
        <v>1.0</v>
      </c>
      <c r="G453" s="809">
        <v>162000.0</v>
      </c>
      <c r="H453" s="811">
        <f t="shared" si="14"/>
        <v>162000</v>
      </c>
      <c r="I453" s="811"/>
      <c r="J453" s="812"/>
      <c r="K453" s="819"/>
      <c r="L453" s="819"/>
      <c r="M453" s="818" t="s">
        <v>12809</v>
      </c>
      <c r="N453" s="820">
        <v>45453.0</v>
      </c>
      <c r="O453" s="823"/>
    </row>
    <row r="454" ht="14.25" customHeight="1">
      <c r="A454" s="789">
        <v>45453.0</v>
      </c>
      <c r="B454" s="790" t="s">
        <v>12971</v>
      </c>
      <c r="C454" s="791" t="s">
        <v>12942</v>
      </c>
      <c r="D454" s="799" t="s">
        <v>12973</v>
      </c>
      <c r="E454" s="792" t="str">
        <f>IFERROR(VLOOKUP(D454,Stock,3,FALSE),"")</f>
        <v>Mitsubishi Pajero 16-</v>
      </c>
      <c r="F454" s="791">
        <v>1.0</v>
      </c>
      <c r="G454" s="809">
        <v>162000.0</v>
      </c>
      <c r="H454" s="811">
        <f t="shared" si="14"/>
        <v>162000</v>
      </c>
      <c r="I454" s="811"/>
      <c r="J454" s="812"/>
      <c r="K454" s="819"/>
      <c r="L454" s="819"/>
      <c r="M454" s="818" t="s">
        <v>12809</v>
      </c>
      <c r="N454" s="820">
        <v>45453.0</v>
      </c>
      <c r="O454" s="823"/>
    </row>
    <row r="455" ht="14.25" customHeight="1">
      <c r="A455" s="789">
        <v>45453.0</v>
      </c>
      <c r="B455" s="790" t="s">
        <v>12971</v>
      </c>
      <c r="C455" s="791" t="s">
        <v>12942</v>
      </c>
      <c r="D455" s="799" t="s">
        <v>8241</v>
      </c>
      <c r="E455" s="792" t="str">
        <f>IFERROR(VLOOKUP(D455,Stock,3,FALSE),"")</f>
        <v>Mitsubishi Pajero 16- / Strada Triton 08-15 (Mitsubishi)</v>
      </c>
      <c r="F455" s="791">
        <v>1.0</v>
      </c>
      <c r="G455" s="809">
        <v>189000.0</v>
      </c>
      <c r="H455" s="811">
        <f t="shared" si="14"/>
        <v>189000</v>
      </c>
      <c r="I455" s="811"/>
      <c r="J455" s="812"/>
      <c r="K455" s="819"/>
      <c r="L455" s="819"/>
      <c r="M455" s="818" t="s">
        <v>12809</v>
      </c>
      <c r="N455" s="820">
        <v>45453.0</v>
      </c>
      <c r="O455" s="823"/>
    </row>
    <row r="456" ht="14.25" customHeight="1">
      <c r="A456" s="789">
        <v>45453.0</v>
      </c>
      <c r="B456" s="790" t="s">
        <v>12971</v>
      </c>
      <c r="C456" s="791" t="s">
        <v>12942</v>
      </c>
      <c r="D456" s="799" t="s">
        <v>3975</v>
      </c>
      <c r="E456" s="792" t="str">
        <f>IFERROR(VLOOKUP(D456,Stock,3,FALSE),"")</f>
        <v>Mitsubishi Xpander 17-21 / Livina 19- 2nd Gen</v>
      </c>
      <c r="F456" s="791">
        <v>1.0</v>
      </c>
      <c r="G456" s="809">
        <v>378000.0</v>
      </c>
      <c r="H456" s="811">
        <f t="shared" si="14"/>
        <v>378000</v>
      </c>
      <c r="I456" s="811"/>
      <c r="J456" s="812"/>
      <c r="K456" s="819"/>
      <c r="L456" s="819"/>
      <c r="M456" s="818" t="s">
        <v>12809</v>
      </c>
      <c r="N456" s="820">
        <v>45453.0</v>
      </c>
      <c r="O456" s="823"/>
    </row>
    <row r="457" ht="14.25" customHeight="1">
      <c r="A457" s="789">
        <v>45453.0</v>
      </c>
      <c r="B457" s="790" t="s">
        <v>12971</v>
      </c>
      <c r="C457" s="791" t="s">
        <v>12942</v>
      </c>
      <c r="D457" s="799" t="s">
        <v>12974</v>
      </c>
      <c r="E457" s="792" t="str">
        <f>IFERROR(VLOOKUP(D457,Stock,3,FALSE),"")</f>
        <v>Mitsubishi Pajero 16-</v>
      </c>
      <c r="F457" s="791">
        <v>1.0</v>
      </c>
      <c r="G457" s="809">
        <v>189000.0</v>
      </c>
      <c r="H457" s="811">
        <f t="shared" si="14"/>
        <v>189000</v>
      </c>
      <c r="I457" s="811"/>
      <c r="J457" s="812"/>
      <c r="K457" s="819"/>
      <c r="L457" s="819"/>
      <c r="M457" s="818" t="s">
        <v>12809</v>
      </c>
      <c r="N457" s="820">
        <v>45453.0</v>
      </c>
      <c r="O457" s="823"/>
    </row>
    <row r="458" ht="14.25" customHeight="1">
      <c r="A458" s="789">
        <v>45453.0</v>
      </c>
      <c r="B458" s="790" t="s">
        <v>12971</v>
      </c>
      <c r="C458" s="791" t="s">
        <v>12942</v>
      </c>
      <c r="D458" s="799" t="s">
        <v>7405</v>
      </c>
      <c r="E458" s="792" t="str">
        <f>IFERROR(VLOOKUP(D458,Stock,3,FALSE),"")</f>
        <v>Mitsubishi Pajero 16-</v>
      </c>
      <c r="F458" s="791">
        <v>1.0</v>
      </c>
      <c r="G458" s="809">
        <v>1080000.0</v>
      </c>
      <c r="H458" s="811">
        <f t="shared" si="14"/>
        <v>1080000</v>
      </c>
      <c r="I458" s="811"/>
      <c r="J458" s="812"/>
      <c r="K458" s="819"/>
      <c r="L458" s="819"/>
      <c r="M458" s="818" t="s">
        <v>12809</v>
      </c>
      <c r="N458" s="820">
        <v>45453.0</v>
      </c>
      <c r="O458" s="823"/>
    </row>
    <row r="459" ht="14.25" customHeight="1">
      <c r="A459" s="789">
        <v>45453.0</v>
      </c>
      <c r="B459" s="790" t="s">
        <v>12971</v>
      </c>
      <c r="C459" s="791" t="s">
        <v>12942</v>
      </c>
      <c r="D459" s="799" t="s">
        <v>7142</v>
      </c>
      <c r="E459" s="792" t="str">
        <f>IFERROR(VLOOKUP(D459,Stock,3,FALSE),"")</f>
        <v>Mitsubishi Xpander 17-21 / Livina 19- 2nd Gen (Mitsubishi)</v>
      </c>
      <c r="F459" s="791">
        <v>1.0</v>
      </c>
      <c r="G459" s="809">
        <v>180000.0</v>
      </c>
      <c r="H459" s="811">
        <f t="shared" si="14"/>
        <v>180000</v>
      </c>
      <c r="I459" s="811"/>
      <c r="J459" s="812"/>
      <c r="K459" s="819"/>
      <c r="L459" s="819"/>
      <c r="M459" s="818" t="s">
        <v>12809</v>
      </c>
      <c r="N459" s="820">
        <v>45453.0</v>
      </c>
      <c r="O459" s="823"/>
    </row>
    <row r="460" ht="14.25" customHeight="1">
      <c r="A460" s="789">
        <v>45453.0</v>
      </c>
      <c r="B460" s="790" t="s">
        <v>12971</v>
      </c>
      <c r="C460" s="791" t="s">
        <v>12942</v>
      </c>
      <c r="D460" s="799" t="s">
        <v>4063</v>
      </c>
      <c r="E460" s="792" t="str">
        <f>IFERROR(VLOOKUP(D460,Stock,3,FALSE),"")</f>
        <v>Mitsubishi Xpander 17-21 / Livina 19- 2nd Gen (Mitsubishi)</v>
      </c>
      <c r="F460" s="791">
        <v>1.0</v>
      </c>
      <c r="G460" s="809">
        <v>423000.0</v>
      </c>
      <c r="H460" s="811">
        <f t="shared" si="14"/>
        <v>423000</v>
      </c>
      <c r="I460" s="811"/>
      <c r="J460" s="812"/>
      <c r="K460" s="819"/>
      <c r="L460" s="819"/>
      <c r="M460" s="818" t="s">
        <v>12809</v>
      </c>
      <c r="N460" s="820">
        <v>45453.0</v>
      </c>
      <c r="O460" s="823"/>
    </row>
    <row r="461" ht="14.25" customHeight="1">
      <c r="A461" s="789">
        <v>45461.0</v>
      </c>
      <c r="B461" s="790" t="s">
        <v>12975</v>
      </c>
      <c r="C461" s="791" t="s">
        <v>3076</v>
      </c>
      <c r="D461" s="799" t="s">
        <v>2784</v>
      </c>
      <c r="E461" s="792" t="str">
        <f>IFERROR(VLOOKUP(D461,Stock,3,FALSE),"")</f>
        <v>Honda City 19- GN</v>
      </c>
      <c r="F461" s="791">
        <v>1.0</v>
      </c>
      <c r="G461" s="809">
        <v>1741500.0</v>
      </c>
      <c r="H461" s="811">
        <f t="shared" si="14"/>
        <v>1741500</v>
      </c>
      <c r="I461" s="811"/>
      <c r="J461" s="812"/>
      <c r="K461" s="819"/>
      <c r="L461" s="819"/>
      <c r="M461" s="818" t="s">
        <v>12809</v>
      </c>
      <c r="N461" s="830">
        <v>45474.0</v>
      </c>
      <c r="O461" s="823"/>
    </row>
    <row r="462" ht="14.25" customHeight="1">
      <c r="A462" s="789">
        <v>45461.0</v>
      </c>
      <c r="B462" s="790" t="s">
        <v>12975</v>
      </c>
      <c r="C462" s="791" t="s">
        <v>3076</v>
      </c>
      <c r="D462" s="799" t="s">
        <v>3849</v>
      </c>
      <c r="E462" s="792" t="str">
        <f>IFERROR(VLOOKUP(D462,Stock,3,FALSE),"")</f>
        <v>Hyundai Palisade 20- 1st Gen (tahun 23-)</v>
      </c>
      <c r="F462" s="791">
        <v>1.0</v>
      </c>
      <c r="G462" s="809">
        <v>2850000.0</v>
      </c>
      <c r="H462" s="811">
        <f t="shared" si="14"/>
        <v>2850000</v>
      </c>
      <c r="I462" s="811"/>
      <c r="J462" s="812"/>
      <c r="K462" s="819"/>
      <c r="L462" s="819"/>
      <c r="M462" s="818" t="s">
        <v>12809</v>
      </c>
      <c r="N462" s="830">
        <v>45474.0</v>
      </c>
      <c r="O462" s="823"/>
    </row>
    <row r="463" ht="14.25" customHeight="1">
      <c r="A463" s="789">
        <v>45461.0</v>
      </c>
      <c r="B463" s="790" t="s">
        <v>12975</v>
      </c>
      <c r="C463" s="791" t="s">
        <v>3076</v>
      </c>
      <c r="D463" s="799" t="s">
        <v>2934</v>
      </c>
      <c r="E463" s="792" t="str">
        <f>IFERROR(VLOOKUP(D463,Stock,3,FALSE),"")</f>
        <v>Peti Kayu</v>
      </c>
      <c r="F463" s="791">
        <v>1.0</v>
      </c>
      <c r="G463" s="809">
        <v>150000.0</v>
      </c>
      <c r="H463" s="811">
        <f t="shared" si="14"/>
        <v>150000</v>
      </c>
      <c r="I463" s="811"/>
      <c r="J463" s="812"/>
      <c r="K463" s="819"/>
      <c r="L463" s="819"/>
      <c r="M463" s="818" t="s">
        <v>12809</v>
      </c>
      <c r="N463" s="830">
        <v>45474.0</v>
      </c>
      <c r="O463" s="823"/>
    </row>
    <row r="464" ht="14.25" customHeight="1">
      <c r="A464" s="789">
        <v>45462.0</v>
      </c>
      <c r="B464" s="790" t="s">
        <v>12976</v>
      </c>
      <c r="C464" s="791" t="s">
        <v>3091</v>
      </c>
      <c r="D464" s="791" t="s">
        <v>2557</v>
      </c>
      <c r="E464" s="792" t="str">
        <f>IFERROR(VLOOKUP(D464,Stock,3,FALSE),"")</f>
        <v>Toyota Fortuner 05-15 1st Gen (Toyota)</v>
      </c>
      <c r="F464" s="791">
        <v>2.0</v>
      </c>
      <c r="G464" s="809">
        <v>1005000.0</v>
      </c>
      <c r="H464" s="811">
        <f t="shared" si="14"/>
        <v>2010000</v>
      </c>
      <c r="I464" s="811"/>
      <c r="J464" s="833">
        <v>45522.0</v>
      </c>
      <c r="K464" s="819"/>
      <c r="L464" s="819"/>
      <c r="M464" s="818" t="s">
        <v>12809</v>
      </c>
      <c r="N464" s="820">
        <v>45517.0</v>
      </c>
      <c r="O464" s="823"/>
    </row>
    <row r="465" ht="14.25" customHeight="1">
      <c r="A465" s="789">
        <v>45462.0</v>
      </c>
      <c r="B465" s="790" t="s">
        <v>12976</v>
      </c>
      <c r="C465" s="791" t="s">
        <v>3091</v>
      </c>
      <c r="D465" s="791" t="s">
        <v>3501</v>
      </c>
      <c r="E465" s="792" t="str">
        <f>IFERROR(VLOOKUP(D465,Stock,3,FALSE),"")</f>
        <v>Honda CR-V 02-06 2nd Gen</v>
      </c>
      <c r="F465" s="791">
        <v>3.0</v>
      </c>
      <c r="G465" s="809">
        <v>700000.0</v>
      </c>
      <c r="H465" s="811">
        <f t="shared" si="14"/>
        <v>2100000</v>
      </c>
      <c r="I465" s="811"/>
      <c r="J465" s="833">
        <v>45522.0</v>
      </c>
      <c r="K465" s="819"/>
      <c r="L465" s="819"/>
      <c r="M465" s="818" t="s">
        <v>12809</v>
      </c>
      <c r="N465" s="820">
        <v>45517.0</v>
      </c>
      <c r="O465" s="823"/>
    </row>
    <row r="466" ht="14.25" customHeight="1">
      <c r="A466" s="789">
        <v>45463.0</v>
      </c>
      <c r="B466" s="790" t="s">
        <v>12977</v>
      </c>
      <c r="C466" s="791" t="s">
        <v>3076</v>
      </c>
      <c r="D466" s="791" t="s">
        <v>2691</v>
      </c>
      <c r="E466" s="792" t="str">
        <f>IFERROR(VLOOKUP(D466,Stock,3,FALSE),"")</f>
        <v>Suzuki Ertiga 12-18 1st Gen MPV</v>
      </c>
      <c r="F466" s="791">
        <v>10.0</v>
      </c>
      <c r="G466" s="809">
        <v>463980.0</v>
      </c>
      <c r="H466" s="811">
        <f t="shared" si="14"/>
        <v>4639800</v>
      </c>
      <c r="I466" s="811"/>
      <c r="J466" s="812"/>
      <c r="K466" s="819"/>
      <c r="L466" s="819"/>
      <c r="M466" s="818" t="s">
        <v>12809</v>
      </c>
      <c r="N466" s="818" t="s">
        <v>12978</v>
      </c>
      <c r="O466" s="823"/>
    </row>
    <row r="467" ht="14.25" customHeight="1">
      <c r="A467" s="789">
        <v>45463.0</v>
      </c>
      <c r="B467" s="790">
        <v>2406461.0</v>
      </c>
      <c r="C467" s="791" t="s">
        <v>11484</v>
      </c>
      <c r="D467" s="791" t="s">
        <v>3889</v>
      </c>
      <c r="E467" s="792" t="str">
        <f>IFERROR(VLOOKUP(D467,Stock,3,FALSE),"")</f>
        <v>Toyota LandCruiser Prado FJ150W 09-</v>
      </c>
      <c r="F467" s="791">
        <v>1.0</v>
      </c>
      <c r="G467" s="809">
        <v>1664300.0</v>
      </c>
      <c r="H467" s="810">
        <f t="shared" si="14"/>
        <v>1664300</v>
      </c>
      <c r="I467" s="809">
        <v>1664300.0</v>
      </c>
      <c r="J467" s="813">
        <v>45523.0</v>
      </c>
      <c r="K467" s="799" t="s">
        <v>4258</v>
      </c>
      <c r="L467" s="799" t="s">
        <v>12235</v>
      </c>
      <c r="M467" s="818" t="s">
        <v>12809</v>
      </c>
      <c r="N467" s="820">
        <v>45519.0</v>
      </c>
      <c r="O467" s="823"/>
    </row>
    <row r="468" ht="14.25" customHeight="1">
      <c r="A468" s="789">
        <v>45463.0</v>
      </c>
      <c r="B468" s="790">
        <v>2406461.0</v>
      </c>
      <c r="C468" s="791" t="s">
        <v>11484</v>
      </c>
      <c r="D468" s="791" t="s">
        <v>2631</v>
      </c>
      <c r="E468" s="792" t="str">
        <f>IFERROR(VLOOKUP(D468,Stock,3,FALSE),"")</f>
        <v>Suzuki Baleno 15-21</v>
      </c>
      <c r="F468" s="791">
        <v>1.0</v>
      </c>
      <c r="G468" s="809">
        <v>614900.0</v>
      </c>
      <c r="H468" s="810">
        <f t="shared" si="14"/>
        <v>614900</v>
      </c>
      <c r="I468" s="809">
        <v>614900.0</v>
      </c>
      <c r="J468" s="813">
        <v>45523.0</v>
      </c>
      <c r="K468" s="799" t="s">
        <v>4258</v>
      </c>
      <c r="L468" s="799" t="s">
        <v>12235</v>
      </c>
      <c r="M468" s="818" t="s">
        <v>12809</v>
      </c>
      <c r="N468" s="820">
        <v>45519.0</v>
      </c>
      <c r="O468" s="823"/>
    </row>
    <row r="469" ht="14.25" customHeight="1">
      <c r="A469" s="789">
        <v>45463.0</v>
      </c>
      <c r="B469" s="790">
        <v>2406461.0</v>
      </c>
      <c r="C469" s="791" t="s">
        <v>11484</v>
      </c>
      <c r="D469" s="791" t="s">
        <v>4154</v>
      </c>
      <c r="E469" s="792" t="str">
        <f>IFERROR(VLOOKUP(D469,Stock,3,FALSE),"")</f>
        <v>Honda CR-V 07-11 3rd Gen</v>
      </c>
      <c r="F469" s="791">
        <v>1.0</v>
      </c>
      <c r="G469" s="809">
        <v>826100.0</v>
      </c>
      <c r="H469" s="810">
        <f t="shared" si="14"/>
        <v>826100</v>
      </c>
      <c r="I469" s="809">
        <v>826100.0</v>
      </c>
      <c r="J469" s="813">
        <v>45523.0</v>
      </c>
      <c r="K469" s="799" t="s">
        <v>4258</v>
      </c>
      <c r="L469" s="799" t="s">
        <v>12235</v>
      </c>
      <c r="M469" s="818" t="s">
        <v>12809</v>
      </c>
      <c r="N469" s="820">
        <v>45519.0</v>
      </c>
      <c r="O469" s="823"/>
    </row>
    <row r="470" ht="14.25" customHeight="1">
      <c r="A470" s="789">
        <v>45464.0</v>
      </c>
      <c r="B470" s="790">
        <v>2406518.0</v>
      </c>
      <c r="C470" s="791" t="s">
        <v>11484</v>
      </c>
      <c r="D470" s="791" t="s">
        <v>2609</v>
      </c>
      <c r="E470" s="792" t="str">
        <f>IFERROR(VLOOKUP(D470,Stock,3,FALSE),"")</f>
        <v>Mazda 2 14- Skyactiv 4th Gen (3 Sensor/ /\8 )</v>
      </c>
      <c r="F470" s="791">
        <v>2.0</v>
      </c>
      <c r="G470" s="836">
        <v>1786950.0</v>
      </c>
      <c r="H470" s="810">
        <f t="shared" si="14"/>
        <v>3573900</v>
      </c>
      <c r="I470" s="809">
        <v>3573900.0</v>
      </c>
      <c r="J470" s="833">
        <v>45524.0</v>
      </c>
      <c r="K470" s="799" t="s">
        <v>4258</v>
      </c>
      <c r="L470" s="799" t="s">
        <v>12235</v>
      </c>
      <c r="M470" s="818" t="s">
        <v>12809</v>
      </c>
      <c r="N470" s="820">
        <v>45520.0</v>
      </c>
      <c r="O470" s="823"/>
    </row>
    <row r="471" ht="14.25" customHeight="1">
      <c r="A471" s="789">
        <v>45467.0</v>
      </c>
      <c r="B471" s="790">
        <v>2406537.0</v>
      </c>
      <c r="C471" s="791" t="s">
        <v>11484</v>
      </c>
      <c r="D471" s="791" t="s">
        <v>3994</v>
      </c>
      <c r="E471" s="792" t="str">
        <f>IFERROR(VLOOKUP(D471,Stock,3,FALSE),"")</f>
        <v>Daihatsu Sirion 11-18 2nd Gen</v>
      </c>
      <c r="F471" s="791">
        <v>2.0</v>
      </c>
      <c r="G471" s="809">
        <v>421000.0</v>
      </c>
      <c r="H471" s="810">
        <f t="shared" si="14"/>
        <v>842000</v>
      </c>
      <c r="I471" s="809">
        <v>842000.0</v>
      </c>
      <c r="J471" s="833">
        <v>45527.0</v>
      </c>
      <c r="K471" s="799" t="s">
        <v>4258</v>
      </c>
      <c r="L471" s="799" t="s">
        <v>12235</v>
      </c>
      <c r="M471" s="818" t="s">
        <v>12809</v>
      </c>
      <c r="N471" s="820">
        <v>45524.0</v>
      </c>
      <c r="O471" s="823"/>
    </row>
    <row r="472" ht="14.25" customHeight="1">
      <c r="A472" s="789">
        <v>45467.0</v>
      </c>
      <c r="B472" s="790">
        <v>2406532.0</v>
      </c>
      <c r="C472" s="791" t="s">
        <v>11484</v>
      </c>
      <c r="D472" s="791" t="s">
        <v>2629</v>
      </c>
      <c r="E472" s="792" t="str">
        <f>IFERROR(VLOOKUP(D472,Stock,3,FALSE),"")</f>
        <v>Suzuki Baleno 08-15 SX4 / Neo Baleno</v>
      </c>
      <c r="F472" s="791">
        <v>2.0</v>
      </c>
      <c r="G472" s="809">
        <v>679800.0</v>
      </c>
      <c r="H472" s="810">
        <f t="shared" si="14"/>
        <v>1359600</v>
      </c>
      <c r="I472" s="809">
        <v>1359600.0</v>
      </c>
      <c r="J472" s="833">
        <v>45527.0</v>
      </c>
      <c r="K472" s="799" t="s">
        <v>4258</v>
      </c>
      <c r="L472" s="799" t="s">
        <v>12235</v>
      </c>
      <c r="M472" s="818" t="s">
        <v>12809</v>
      </c>
      <c r="N472" s="820">
        <v>45524.0</v>
      </c>
      <c r="O472" s="823"/>
    </row>
    <row r="473" ht="14.25" customHeight="1">
      <c r="A473" s="789">
        <v>45467.0</v>
      </c>
      <c r="B473" s="829" t="s">
        <v>12979</v>
      </c>
      <c r="C473" s="791" t="s">
        <v>12932</v>
      </c>
      <c r="D473" s="799" t="s">
        <v>6830</v>
      </c>
      <c r="E473" s="792" t="str">
        <f>IFERROR(VLOOKUP(D473,Stock,3,FALSE),"")</f>
        <v>Daihatsu Gran Max / Zebra 2 (Pick Up)</v>
      </c>
      <c r="F473" s="791">
        <v>5.0</v>
      </c>
      <c r="G473" s="809">
        <v>53549.69</v>
      </c>
      <c r="H473" s="810">
        <f t="shared" si="14"/>
        <v>267748.45</v>
      </c>
      <c r="I473" s="809">
        <v>267748.0</v>
      </c>
      <c r="J473" s="833">
        <v>45497.0</v>
      </c>
      <c r="K473" s="819"/>
      <c r="L473" s="819"/>
      <c r="M473" s="818" t="s">
        <v>12809</v>
      </c>
      <c r="N473" s="820">
        <v>45506.0</v>
      </c>
      <c r="O473" s="823"/>
    </row>
    <row r="474" ht="14.25" customHeight="1">
      <c r="A474" s="789">
        <v>45468.0</v>
      </c>
      <c r="B474" s="790">
        <v>2406578.0</v>
      </c>
      <c r="C474" s="791" t="s">
        <v>11484</v>
      </c>
      <c r="D474" s="791" t="s">
        <v>2659</v>
      </c>
      <c r="E474" s="792" t="str">
        <f>IFERROR(VLOOKUP(D474,Stock,3,FALSE),"")</f>
        <v>Kia Picanto 04-11 1st Gen (Spion Hitam)</v>
      </c>
      <c r="F474" s="791">
        <v>3.0</v>
      </c>
      <c r="G474" s="809">
        <v>863500.0</v>
      </c>
      <c r="H474" s="810">
        <f t="shared" si="14"/>
        <v>2590500</v>
      </c>
      <c r="I474" s="809">
        <v>2590500.0</v>
      </c>
      <c r="J474" s="837">
        <v>45528.0</v>
      </c>
      <c r="K474" s="799" t="s">
        <v>4258</v>
      </c>
      <c r="L474" s="819"/>
      <c r="M474" s="818" t="s">
        <v>12809</v>
      </c>
      <c r="N474" s="820">
        <v>45525.0</v>
      </c>
      <c r="O474" s="823"/>
    </row>
    <row r="475" ht="14.25" customHeight="1">
      <c r="A475" s="789">
        <v>45469.0</v>
      </c>
      <c r="B475" s="790" t="s">
        <v>12980</v>
      </c>
      <c r="C475" s="791" t="s">
        <v>12981</v>
      </c>
      <c r="D475" s="791" t="s">
        <v>4027</v>
      </c>
      <c r="E475" s="792" t="str">
        <f>IFERROR(VLOOKUP(D475,Stock,3,FALSE),"")</f>
        <v>501 Sealant Application</v>
      </c>
      <c r="F475" s="791">
        <v>20.0</v>
      </c>
      <c r="G475" s="809">
        <v>43000.0</v>
      </c>
      <c r="H475" s="811">
        <f t="shared" si="14"/>
        <v>860000</v>
      </c>
      <c r="I475" s="811"/>
      <c r="J475" s="838">
        <v>45469.0</v>
      </c>
      <c r="K475" s="799" t="s">
        <v>4258</v>
      </c>
      <c r="L475" s="799" t="s">
        <v>12235</v>
      </c>
      <c r="M475" s="818" t="s">
        <v>12809</v>
      </c>
      <c r="N475" s="839">
        <v>45562.0</v>
      </c>
      <c r="O475" s="823"/>
    </row>
    <row r="476" ht="14.25" customHeight="1">
      <c r="A476" s="789">
        <v>45469.0</v>
      </c>
      <c r="B476" s="790" t="s">
        <v>12980</v>
      </c>
      <c r="C476" s="791" t="s">
        <v>12981</v>
      </c>
      <c r="D476" s="792"/>
      <c r="E476" s="791" t="s">
        <v>12982</v>
      </c>
      <c r="F476" s="791">
        <v>1.0</v>
      </c>
      <c r="G476" s="809">
        <v>22000.0</v>
      </c>
      <c r="H476" s="811">
        <f t="shared" si="14"/>
        <v>22000</v>
      </c>
      <c r="I476" s="811"/>
      <c r="J476" s="838">
        <v>45469.0</v>
      </c>
      <c r="K476" s="799" t="s">
        <v>4258</v>
      </c>
      <c r="L476" s="799" t="s">
        <v>12235</v>
      </c>
      <c r="M476" s="818" t="s">
        <v>12809</v>
      </c>
      <c r="N476" s="839">
        <v>45562.0</v>
      </c>
      <c r="O476" s="823"/>
    </row>
    <row r="477" ht="14.25" customHeight="1">
      <c r="A477" s="789">
        <v>45469.0</v>
      </c>
      <c r="B477" s="790" t="s">
        <v>12980</v>
      </c>
      <c r="C477" s="791" t="s">
        <v>12981</v>
      </c>
      <c r="D477" s="792"/>
      <c r="E477" s="791" t="s">
        <v>12983</v>
      </c>
      <c r="F477" s="791">
        <v>1.0</v>
      </c>
      <c r="G477" s="809">
        <v>290000.0</v>
      </c>
      <c r="H477" s="811">
        <f t="shared" si="14"/>
        <v>290000</v>
      </c>
      <c r="I477" s="811"/>
      <c r="J477" s="838">
        <v>45469.0</v>
      </c>
      <c r="K477" s="799" t="s">
        <v>4258</v>
      </c>
      <c r="L477" s="799" t="s">
        <v>12235</v>
      </c>
      <c r="M477" s="818" t="s">
        <v>12809</v>
      </c>
      <c r="N477" s="839">
        <v>45562.0</v>
      </c>
      <c r="O477" s="823"/>
    </row>
    <row r="478" ht="14.25" customHeight="1">
      <c r="A478" s="789">
        <v>45469.0</v>
      </c>
      <c r="B478" s="790" t="s">
        <v>12980</v>
      </c>
      <c r="C478" s="791" t="s">
        <v>12981</v>
      </c>
      <c r="D478" s="792"/>
      <c r="E478" s="791" t="s">
        <v>12984</v>
      </c>
      <c r="F478" s="791">
        <v>1.0</v>
      </c>
      <c r="G478" s="809">
        <v>140000.0</v>
      </c>
      <c r="H478" s="811">
        <f t="shared" si="14"/>
        <v>140000</v>
      </c>
      <c r="I478" s="811"/>
      <c r="J478" s="838">
        <v>45469.0</v>
      </c>
      <c r="K478" s="799" t="s">
        <v>4258</v>
      </c>
      <c r="L478" s="799" t="s">
        <v>12235</v>
      </c>
      <c r="M478" s="818" t="s">
        <v>12809</v>
      </c>
      <c r="N478" s="839">
        <v>45562.0</v>
      </c>
      <c r="O478" s="823"/>
    </row>
    <row r="479" ht="14.25" customHeight="1">
      <c r="A479" s="789">
        <v>45470.0</v>
      </c>
      <c r="B479" s="790">
        <v>2406645.0</v>
      </c>
      <c r="C479" s="791" t="s">
        <v>11484</v>
      </c>
      <c r="D479" s="791" t="s">
        <v>3376</v>
      </c>
      <c r="E479" s="792" t="str">
        <f>IFERROR(VLOOKUP(D479,Stock,3,FALSE),"")</f>
        <v>Toyota Hi-Ace 04-20 Commuter</v>
      </c>
      <c r="F479" s="791">
        <v>2.0</v>
      </c>
      <c r="G479" s="809">
        <v>449900.0</v>
      </c>
      <c r="H479" s="810">
        <f t="shared" si="14"/>
        <v>899800</v>
      </c>
      <c r="I479" s="809">
        <v>899800.0</v>
      </c>
      <c r="J479" s="840">
        <v>45530.0</v>
      </c>
      <c r="K479" s="799" t="s">
        <v>4258</v>
      </c>
      <c r="L479" s="799" t="s">
        <v>12235</v>
      </c>
      <c r="M479" s="818" t="s">
        <v>12970</v>
      </c>
      <c r="N479" s="818" t="s">
        <v>12985</v>
      </c>
      <c r="O479" s="823"/>
    </row>
    <row r="480" ht="14.25" customHeight="1">
      <c r="A480" s="789">
        <v>45474.0</v>
      </c>
      <c r="B480" s="790">
        <v>2407016.0</v>
      </c>
      <c r="C480" s="791" t="s">
        <v>11484</v>
      </c>
      <c r="D480" s="791" t="s">
        <v>4005</v>
      </c>
      <c r="E480" s="792" t="str">
        <f>IFERROR(VLOOKUP(D480,Stock,3,FALSE),"")</f>
        <v>Toyota Fortuner 15- 2nd Gen</v>
      </c>
      <c r="F480" s="791">
        <v>1.0</v>
      </c>
      <c r="G480" s="809">
        <v>797500.0</v>
      </c>
      <c r="H480" s="810">
        <f t="shared" si="14"/>
        <v>797500</v>
      </c>
      <c r="I480" s="809">
        <v>797500.0</v>
      </c>
      <c r="J480" s="841">
        <v>45534.0</v>
      </c>
      <c r="K480" s="799" t="s">
        <v>4258</v>
      </c>
      <c r="L480" s="799" t="s">
        <v>12235</v>
      </c>
      <c r="M480" s="818" t="s">
        <v>12970</v>
      </c>
      <c r="N480" s="820">
        <v>45538.0</v>
      </c>
      <c r="O480" s="823"/>
    </row>
    <row r="481" ht="14.25" customHeight="1">
      <c r="A481" s="789">
        <v>45474.0</v>
      </c>
      <c r="B481" s="790">
        <v>2407027.0</v>
      </c>
      <c r="C481" s="791" t="s">
        <v>11484</v>
      </c>
      <c r="D481" s="791" t="s">
        <v>8768</v>
      </c>
      <c r="E481" s="792" t="str">
        <f>IFERROR(VLOOKUP(D481,Stock,3,FALSE),"")</f>
        <v>Mitsubishi Strada Triton 16-</v>
      </c>
      <c r="F481" s="791">
        <v>2.0</v>
      </c>
      <c r="G481" s="809">
        <v>372000.0</v>
      </c>
      <c r="H481" s="810">
        <f t="shared" si="14"/>
        <v>744000</v>
      </c>
      <c r="I481" s="809">
        <v>744000.0</v>
      </c>
      <c r="J481" s="841">
        <v>45534.0</v>
      </c>
      <c r="K481" s="799" t="s">
        <v>4258</v>
      </c>
      <c r="L481" s="799" t="s">
        <v>12235</v>
      </c>
      <c r="M481" s="818" t="s">
        <v>12970</v>
      </c>
      <c r="N481" s="820">
        <v>45538.0</v>
      </c>
      <c r="O481" s="823"/>
    </row>
    <row r="482" ht="14.25" customHeight="1">
      <c r="A482" s="789">
        <v>45475.0</v>
      </c>
      <c r="B482" s="790">
        <v>2407052.0</v>
      </c>
      <c r="C482" s="791" t="s">
        <v>11484</v>
      </c>
      <c r="D482" s="791" t="s">
        <v>3943</v>
      </c>
      <c r="E482" s="792" t="str">
        <f>IFERROR(VLOOKUP(D482,Stock,3,FALSE),"")</f>
        <v>Hyundai Avega 06-12 Sedan</v>
      </c>
      <c r="F482" s="791">
        <v>1.0</v>
      </c>
      <c r="G482" s="809">
        <v>971300.0</v>
      </c>
      <c r="H482" s="810">
        <f t="shared" si="14"/>
        <v>971300</v>
      </c>
      <c r="I482" s="809">
        <v>971300.0</v>
      </c>
      <c r="J482" s="837">
        <v>45535.0</v>
      </c>
      <c r="K482" s="799" t="s">
        <v>4258</v>
      </c>
      <c r="L482" s="799" t="s">
        <v>12235</v>
      </c>
      <c r="M482" s="818" t="s">
        <v>12970</v>
      </c>
      <c r="N482" s="820">
        <v>45538.0</v>
      </c>
      <c r="O482" s="823"/>
    </row>
    <row r="483" ht="14.25" customHeight="1">
      <c r="A483" s="789">
        <v>45474.0</v>
      </c>
      <c r="B483" s="799" t="s">
        <v>12986</v>
      </c>
      <c r="C483" s="791" t="s">
        <v>3076</v>
      </c>
      <c r="D483" s="799" t="s">
        <v>3368</v>
      </c>
      <c r="E483" s="792" t="str">
        <f>IFERROR(VLOOKUP(D483,Stock,3,FALSE),"")</f>
        <v>Toyota Hi-Ace 04-20 Commuter</v>
      </c>
      <c r="F483" s="799">
        <v>1.0</v>
      </c>
      <c r="G483" s="842">
        <v>327750.0</v>
      </c>
      <c r="H483" s="842">
        <v>327750.0</v>
      </c>
      <c r="I483" s="811"/>
      <c r="J483" s="812"/>
      <c r="K483" s="799" t="s">
        <v>4258</v>
      </c>
      <c r="L483" s="799" t="s">
        <v>12235</v>
      </c>
      <c r="M483" s="818" t="s">
        <v>12809</v>
      </c>
      <c r="N483" s="818" t="s">
        <v>12987</v>
      </c>
      <c r="O483" s="823"/>
    </row>
    <row r="484" ht="14.25" customHeight="1">
      <c r="A484" s="789">
        <v>45474.0</v>
      </c>
      <c r="B484" s="799" t="s">
        <v>12986</v>
      </c>
      <c r="C484" s="791" t="s">
        <v>3076</v>
      </c>
      <c r="D484" s="791" t="s">
        <v>2934</v>
      </c>
      <c r="E484" s="792" t="str">
        <f>IFERROR(VLOOKUP(D484,Stock,3,FALSE),"")</f>
        <v>Peti Kayu</v>
      </c>
      <c r="F484" s="799">
        <v>1.0</v>
      </c>
      <c r="G484" s="842">
        <v>50000.0</v>
      </c>
      <c r="H484" s="842">
        <v>50000.0</v>
      </c>
      <c r="I484" s="811"/>
      <c r="J484" s="812"/>
      <c r="K484" s="799" t="s">
        <v>4258</v>
      </c>
      <c r="L484" s="799" t="s">
        <v>12235</v>
      </c>
      <c r="M484" s="818" t="s">
        <v>12809</v>
      </c>
      <c r="N484" s="818" t="s">
        <v>12987</v>
      </c>
      <c r="O484" s="823"/>
    </row>
    <row r="485" ht="14.25" customHeight="1">
      <c r="A485" s="789">
        <v>45476.0</v>
      </c>
      <c r="B485" s="790" t="s">
        <v>12988</v>
      </c>
      <c r="C485" s="791" t="s">
        <v>3076</v>
      </c>
      <c r="D485" s="791" t="s">
        <v>4033</v>
      </c>
      <c r="E485" s="792" t="str">
        <f>IFERROR(VLOOKUP(D485,Stock,3,FALSE),"")</f>
        <v>Mers-Benz A180/200/250 13-18 W176 / GLA 13-19 W156</v>
      </c>
      <c r="F485" s="791">
        <v>1.0</v>
      </c>
      <c r="G485" s="809">
        <v>4032000.0</v>
      </c>
      <c r="H485" s="811">
        <f t="shared" ref="H485:H820" si="15">G485*F485</f>
        <v>4032000</v>
      </c>
      <c r="I485" s="811"/>
      <c r="J485" s="812"/>
      <c r="K485" s="799" t="s">
        <v>4258</v>
      </c>
      <c r="L485" s="799" t="s">
        <v>12235</v>
      </c>
      <c r="M485" s="818" t="s">
        <v>12970</v>
      </c>
      <c r="N485" s="820">
        <v>45479.0</v>
      </c>
      <c r="O485" s="823"/>
    </row>
    <row r="486" ht="14.25" customHeight="1">
      <c r="A486" s="789">
        <v>45476.0</v>
      </c>
      <c r="B486" s="790" t="s">
        <v>12988</v>
      </c>
      <c r="C486" s="791" t="s">
        <v>3076</v>
      </c>
      <c r="D486" s="791" t="s">
        <v>2934</v>
      </c>
      <c r="E486" s="792" t="str">
        <f>IFERROR(VLOOKUP(D486,Stock,3,FALSE),"")</f>
        <v>Peti Kayu</v>
      </c>
      <c r="F486" s="791">
        <v>1.0</v>
      </c>
      <c r="G486" s="809">
        <v>150000.0</v>
      </c>
      <c r="H486" s="811">
        <f t="shared" si="15"/>
        <v>150000</v>
      </c>
      <c r="I486" s="811"/>
      <c r="J486" s="812"/>
      <c r="K486" s="799" t="s">
        <v>4258</v>
      </c>
      <c r="L486" s="799" t="s">
        <v>12235</v>
      </c>
      <c r="M486" s="818" t="s">
        <v>12970</v>
      </c>
      <c r="N486" s="820">
        <v>45479.0</v>
      </c>
      <c r="O486" s="823"/>
    </row>
    <row r="487" ht="14.25" customHeight="1">
      <c r="A487" s="789">
        <v>45477.0</v>
      </c>
      <c r="B487" s="790">
        <v>2407120.0</v>
      </c>
      <c r="C487" s="791" t="s">
        <v>11484</v>
      </c>
      <c r="D487" s="791" t="s">
        <v>2695</v>
      </c>
      <c r="E487" s="792" t="str">
        <f>IFERROR(VLOOKUP(D487,Stock,3,FALSE),"")</f>
        <v>Honda Accord 93-98 SV4 5th Gen (Cielo)</v>
      </c>
      <c r="F487" s="791">
        <v>1.0</v>
      </c>
      <c r="G487" s="809">
        <v>799150.0</v>
      </c>
      <c r="H487" s="810">
        <f t="shared" si="15"/>
        <v>799150</v>
      </c>
      <c r="I487" s="809">
        <v>799150.0</v>
      </c>
      <c r="J487" s="833">
        <v>45537.0</v>
      </c>
      <c r="K487" s="799" t="s">
        <v>4258</v>
      </c>
      <c r="L487" s="799" t="s">
        <v>12235</v>
      </c>
      <c r="M487" s="818" t="s">
        <v>12970</v>
      </c>
      <c r="N487" s="820">
        <v>45538.0</v>
      </c>
      <c r="O487" s="823"/>
    </row>
    <row r="488" ht="14.25" customHeight="1">
      <c r="A488" s="789">
        <v>45481.0</v>
      </c>
      <c r="B488" s="790">
        <v>2407188.0</v>
      </c>
      <c r="C488" s="791" t="s">
        <v>11484</v>
      </c>
      <c r="D488" s="791" t="s">
        <v>3378</v>
      </c>
      <c r="E488" s="792" t="str">
        <f>IFERROR(VLOOKUP(D488,Stock,3,FALSE),"")</f>
        <v>Isuzu Panther 00- 2nd Gen</v>
      </c>
      <c r="F488" s="791">
        <v>2.0</v>
      </c>
      <c r="G488" s="809">
        <v>515900.0</v>
      </c>
      <c r="H488" s="810">
        <f t="shared" si="15"/>
        <v>1031800</v>
      </c>
      <c r="I488" s="809">
        <v>1031800.0</v>
      </c>
      <c r="J488" s="833">
        <v>45541.0</v>
      </c>
      <c r="K488" s="799" t="s">
        <v>4258</v>
      </c>
      <c r="L488" s="799" t="s">
        <v>12235</v>
      </c>
      <c r="M488" s="818" t="s">
        <v>12970</v>
      </c>
      <c r="N488" s="820">
        <v>45538.0</v>
      </c>
      <c r="O488" s="823"/>
    </row>
    <row r="489" ht="14.25" customHeight="1">
      <c r="A489" s="789">
        <v>45481.0</v>
      </c>
      <c r="B489" s="790">
        <v>2407188.0</v>
      </c>
      <c r="C489" s="791" t="s">
        <v>11484</v>
      </c>
      <c r="D489" s="791" t="s">
        <v>3574</v>
      </c>
      <c r="E489" s="792" t="str">
        <f>IFERROR(VLOOKUP(D489,Stock,3,FALSE),"")</f>
        <v>Toyota Rush / Terios 06-17</v>
      </c>
      <c r="F489" s="791">
        <v>2.0</v>
      </c>
      <c r="G489" s="809">
        <v>350000.0</v>
      </c>
      <c r="H489" s="810">
        <f t="shared" si="15"/>
        <v>700000</v>
      </c>
      <c r="I489" s="809">
        <v>700000.0</v>
      </c>
      <c r="J489" s="833">
        <v>45541.0</v>
      </c>
      <c r="K489" s="799" t="s">
        <v>4258</v>
      </c>
      <c r="L489" s="799" t="s">
        <v>12235</v>
      </c>
      <c r="M489" s="818" t="s">
        <v>12970</v>
      </c>
      <c r="N489" s="820">
        <v>45538.0</v>
      </c>
      <c r="O489" s="823"/>
    </row>
    <row r="490" ht="14.25" customHeight="1">
      <c r="A490" s="789">
        <v>45481.0</v>
      </c>
      <c r="B490" s="790">
        <v>2407188.0</v>
      </c>
      <c r="C490" s="791" t="s">
        <v>11484</v>
      </c>
      <c r="D490" s="791" t="s">
        <v>6716</v>
      </c>
      <c r="E490" s="792" t="str">
        <f>IFERROR(VLOOKUP(D490,Stock,3,FALSE),"")</f>
        <v>Toyota Fortuner 15- 2nd Gen</v>
      </c>
      <c r="F490" s="791">
        <v>1.0</v>
      </c>
      <c r="G490" s="809">
        <v>459250.0</v>
      </c>
      <c r="H490" s="810">
        <f t="shared" si="15"/>
        <v>459250</v>
      </c>
      <c r="I490" s="809">
        <v>459250.0</v>
      </c>
      <c r="J490" s="833">
        <v>45541.0</v>
      </c>
      <c r="K490" s="799" t="s">
        <v>4258</v>
      </c>
      <c r="L490" s="799" t="s">
        <v>12235</v>
      </c>
      <c r="M490" s="818" t="s">
        <v>12970</v>
      </c>
      <c r="N490" s="820">
        <v>45538.0</v>
      </c>
      <c r="O490" s="823"/>
    </row>
    <row r="491" ht="14.25" customHeight="1">
      <c r="A491" s="789">
        <v>45484.0</v>
      </c>
      <c r="B491" s="790" t="s">
        <v>12989</v>
      </c>
      <c r="C491" s="791" t="s">
        <v>12932</v>
      </c>
      <c r="D491" s="791" t="s">
        <v>7173</v>
      </c>
      <c r="E491" s="792" t="str">
        <f>IFERROR(VLOOKUP(D491,Stock,3,FALSE),"")</f>
        <v>Toyota Calya / Sigra 16-</v>
      </c>
      <c r="F491" s="791">
        <v>5.0</v>
      </c>
      <c r="G491" s="809">
        <v>50149.8</v>
      </c>
      <c r="H491" s="810">
        <f t="shared" si="15"/>
        <v>250749</v>
      </c>
      <c r="I491" s="811">
        <f t="shared" ref="I491:I493" si="16">H491</f>
        <v>250749</v>
      </c>
      <c r="J491" s="833">
        <v>45514.0</v>
      </c>
      <c r="K491" s="799" t="s">
        <v>4258</v>
      </c>
      <c r="L491" s="799" t="s">
        <v>12235</v>
      </c>
      <c r="M491" s="818" t="s">
        <v>12970</v>
      </c>
      <c r="N491" s="820">
        <v>45506.0</v>
      </c>
      <c r="O491" s="823"/>
    </row>
    <row r="492" ht="14.25" customHeight="1">
      <c r="A492" s="789">
        <v>45484.0</v>
      </c>
      <c r="B492" s="790" t="s">
        <v>12989</v>
      </c>
      <c r="C492" s="791" t="s">
        <v>12932</v>
      </c>
      <c r="D492" s="791" t="s">
        <v>7171</v>
      </c>
      <c r="E492" s="792" t="str">
        <f>IFERROR(VLOOKUP(D492,Stock,3,FALSE),"")</f>
        <v>Toyota Calya / Sigra 16-</v>
      </c>
      <c r="F492" s="791">
        <v>5.0</v>
      </c>
      <c r="G492" s="809">
        <v>50149.8</v>
      </c>
      <c r="H492" s="810">
        <f t="shared" si="15"/>
        <v>250749</v>
      </c>
      <c r="I492" s="811">
        <f t="shared" si="16"/>
        <v>250749</v>
      </c>
      <c r="J492" s="833">
        <v>45514.0</v>
      </c>
      <c r="K492" s="799" t="s">
        <v>4258</v>
      </c>
      <c r="L492" s="799" t="s">
        <v>12235</v>
      </c>
      <c r="M492" s="818" t="s">
        <v>12970</v>
      </c>
      <c r="N492" s="820">
        <v>45506.0</v>
      </c>
      <c r="O492" s="823"/>
    </row>
    <row r="493" ht="14.25" customHeight="1">
      <c r="A493" s="789">
        <v>45485.0</v>
      </c>
      <c r="B493" s="790" t="s">
        <v>12990</v>
      </c>
      <c r="C493" s="791" t="s">
        <v>12932</v>
      </c>
      <c r="D493" s="791" t="s">
        <v>2863</v>
      </c>
      <c r="E493" s="792" t="str">
        <f>IFERROR(VLOOKUP(D493,Stock,3,FALSE),"")</f>
        <v>Mitsubishi Canter FE300 85- (PS100,120,135 kabin kecil)</v>
      </c>
      <c r="F493" s="791">
        <v>5.0</v>
      </c>
      <c r="G493" s="809">
        <v>187849.7</v>
      </c>
      <c r="H493" s="810">
        <f t="shared" si="15"/>
        <v>939248.5</v>
      </c>
      <c r="I493" s="811">
        <f t="shared" si="16"/>
        <v>939248.5</v>
      </c>
      <c r="J493" s="833">
        <v>45515.0</v>
      </c>
      <c r="K493" s="799" t="s">
        <v>4258</v>
      </c>
      <c r="L493" s="799" t="s">
        <v>12235</v>
      </c>
      <c r="M493" s="818" t="s">
        <v>12970</v>
      </c>
      <c r="N493" s="820">
        <v>45512.0</v>
      </c>
      <c r="O493" s="823"/>
    </row>
    <row r="494" ht="14.25" customHeight="1">
      <c r="A494" s="789">
        <v>45484.0</v>
      </c>
      <c r="B494" s="790">
        <v>2407318.0</v>
      </c>
      <c r="C494" s="791" t="s">
        <v>11484</v>
      </c>
      <c r="D494" s="791" t="s">
        <v>4164</v>
      </c>
      <c r="E494" s="792" t="str">
        <f>IFERROR(VLOOKUP(D494,Stock,3,FALSE),"")</f>
        <v>Nissan Frontier Navara 04-15 D40 2nd Gen</v>
      </c>
      <c r="F494" s="791">
        <v>1.0</v>
      </c>
      <c r="G494" s="809">
        <v>707300.0</v>
      </c>
      <c r="H494" s="810">
        <f t="shared" si="15"/>
        <v>707300</v>
      </c>
      <c r="I494" s="809">
        <v>707300.0</v>
      </c>
      <c r="J494" s="833">
        <v>45545.0</v>
      </c>
      <c r="K494" s="799" t="s">
        <v>4258</v>
      </c>
      <c r="L494" s="799" t="s">
        <v>12235</v>
      </c>
      <c r="M494" s="818" t="s">
        <v>12970</v>
      </c>
      <c r="N494" s="820">
        <v>45538.0</v>
      </c>
      <c r="O494" s="823"/>
    </row>
    <row r="495" ht="14.25" customHeight="1">
      <c r="A495" s="789">
        <v>45486.0</v>
      </c>
      <c r="B495" s="843" t="s">
        <v>12991</v>
      </c>
      <c r="C495" s="791" t="s">
        <v>12992</v>
      </c>
      <c r="D495" s="791" t="s">
        <v>2815</v>
      </c>
      <c r="E495" s="792" t="str">
        <f>IFERROR(VLOOKUP(D495,Stock,3,FALSE),"")</f>
        <v>Hino Ranger Louhan 03- / Hino 500 (kecuali tipe FC)</v>
      </c>
      <c r="F495" s="791">
        <v>1.0</v>
      </c>
      <c r="G495" s="809">
        <v>250000.0</v>
      </c>
      <c r="H495" s="811">
        <f t="shared" si="15"/>
        <v>250000</v>
      </c>
      <c r="I495" s="811"/>
      <c r="J495" s="812"/>
      <c r="K495" s="799" t="s">
        <v>4258</v>
      </c>
      <c r="L495" s="799" t="s">
        <v>12235</v>
      </c>
      <c r="M495" s="818" t="s">
        <v>12970</v>
      </c>
      <c r="N495" s="820">
        <v>45541.0</v>
      </c>
      <c r="O495" s="823"/>
    </row>
    <row r="496" ht="14.25" customHeight="1">
      <c r="A496" s="789">
        <v>45488.0</v>
      </c>
      <c r="B496" s="790">
        <v>2407397.0</v>
      </c>
      <c r="C496" s="791" t="s">
        <v>11484</v>
      </c>
      <c r="D496" s="791" t="s">
        <v>3368</v>
      </c>
      <c r="E496" s="792" t="str">
        <f>IFERROR(VLOOKUP(D496,Stock,3,FALSE),"")</f>
        <v>Toyota Hi-Ace 04-20 Commuter</v>
      </c>
      <c r="F496" s="791">
        <v>2.0</v>
      </c>
      <c r="G496" s="809">
        <v>240350.0</v>
      </c>
      <c r="H496" s="810">
        <f t="shared" si="15"/>
        <v>480700</v>
      </c>
      <c r="I496" s="809">
        <v>480700.0</v>
      </c>
      <c r="J496" s="833">
        <v>45548.0</v>
      </c>
      <c r="K496" s="799" t="s">
        <v>4258</v>
      </c>
      <c r="L496" s="799" t="s">
        <v>12235</v>
      </c>
      <c r="M496" s="818" t="s">
        <v>12970</v>
      </c>
      <c r="N496" s="820">
        <v>45544.0</v>
      </c>
      <c r="O496" s="823"/>
    </row>
    <row r="497" ht="14.25" customHeight="1">
      <c r="A497" s="789">
        <v>45488.0</v>
      </c>
      <c r="B497" s="790">
        <v>2407397.0</v>
      </c>
      <c r="C497" s="791" t="s">
        <v>11484</v>
      </c>
      <c r="D497" s="791" t="s">
        <v>4207</v>
      </c>
      <c r="E497" s="792" t="str">
        <f>IFERROR(VLOOKUP(D497,Stock,3,FALSE),"")</f>
        <v>Toyota Hi-Ace 19- Premio (Bening)</v>
      </c>
      <c r="F497" s="791">
        <v>1.0</v>
      </c>
      <c r="G497" s="809">
        <v>1232000.0</v>
      </c>
      <c r="H497" s="810">
        <f t="shared" si="15"/>
        <v>1232000</v>
      </c>
      <c r="I497" s="809">
        <v>1232000.0</v>
      </c>
      <c r="J497" s="833">
        <v>45548.0</v>
      </c>
      <c r="K497" s="799" t="s">
        <v>4258</v>
      </c>
      <c r="L497" s="799" t="s">
        <v>12235</v>
      </c>
      <c r="M497" s="818" t="s">
        <v>12970</v>
      </c>
      <c r="N497" s="820">
        <v>45544.0</v>
      </c>
      <c r="O497" s="823"/>
    </row>
    <row r="498" ht="14.25" customHeight="1">
      <c r="A498" s="789">
        <v>45489.0</v>
      </c>
      <c r="B498" s="790" t="s">
        <v>12993</v>
      </c>
      <c r="C498" s="791" t="s">
        <v>12932</v>
      </c>
      <c r="D498" s="791" t="s">
        <v>5774</v>
      </c>
      <c r="E498" s="792" t="str">
        <f>IFERROR(VLOOKUP(D498,Stock,3,FALSE),"")</f>
        <v>Isuzu Elf  93- NKR NHR </v>
      </c>
      <c r="F498" s="791">
        <v>5.0</v>
      </c>
      <c r="G498" s="809">
        <v>223549.49</v>
      </c>
      <c r="H498" s="810">
        <f t="shared" si="15"/>
        <v>1117747.45</v>
      </c>
      <c r="I498" s="809">
        <v>1117748.0</v>
      </c>
      <c r="J498" s="833">
        <v>45519.0</v>
      </c>
      <c r="K498" s="799" t="s">
        <v>4258</v>
      </c>
      <c r="L498" s="799" t="s">
        <v>12235</v>
      </c>
      <c r="M498" s="818" t="s">
        <v>12970</v>
      </c>
      <c r="N498" s="820">
        <v>45523.0</v>
      </c>
      <c r="O498" s="823"/>
    </row>
    <row r="499" ht="14.25" customHeight="1">
      <c r="A499" s="789">
        <v>45489.0</v>
      </c>
      <c r="B499" s="790" t="s">
        <v>12993</v>
      </c>
      <c r="C499" s="791" t="s">
        <v>12932</v>
      </c>
      <c r="D499" s="791" t="s">
        <v>4213</v>
      </c>
      <c r="E499" s="792" t="str">
        <f>IFERROR(VLOOKUP(D499,Stock,3,FALSE),"")</f>
        <v>Taft GT / Hiline / Feroza</v>
      </c>
      <c r="F499" s="791">
        <v>1.0</v>
      </c>
      <c r="G499" s="809">
        <v>157999.56</v>
      </c>
      <c r="H499" s="810">
        <f t="shared" si="15"/>
        <v>157999.56</v>
      </c>
      <c r="I499" s="809">
        <v>158000.0</v>
      </c>
      <c r="J499" s="833">
        <v>45519.0</v>
      </c>
      <c r="K499" s="799" t="s">
        <v>4258</v>
      </c>
      <c r="L499" s="799" t="s">
        <v>12235</v>
      </c>
      <c r="M499" s="818" t="s">
        <v>12970</v>
      </c>
      <c r="N499" s="820">
        <v>45523.0</v>
      </c>
      <c r="O499" s="823"/>
    </row>
    <row r="500" ht="14.25" customHeight="1">
      <c r="A500" s="789">
        <v>45492.0</v>
      </c>
      <c r="B500" s="790" t="s">
        <v>12994</v>
      </c>
      <c r="C500" s="791" t="s">
        <v>12932</v>
      </c>
      <c r="D500" s="791" t="s">
        <v>2827</v>
      </c>
      <c r="E500" s="792" t="str">
        <f>IFERROR(VLOOKUP(D500,Stock,3,FALSE),"")</f>
        <v>Suzuki Ertiga 12-18 1st Gen MPV</v>
      </c>
      <c r="F500" s="791">
        <v>5.0</v>
      </c>
      <c r="G500" s="809">
        <v>130049.82</v>
      </c>
      <c r="H500" s="810">
        <f t="shared" si="15"/>
        <v>650249.1</v>
      </c>
      <c r="I500" s="809">
        <v>650249.0</v>
      </c>
      <c r="J500" s="833">
        <v>45522.0</v>
      </c>
      <c r="K500" s="799" t="s">
        <v>4258</v>
      </c>
      <c r="L500" s="799" t="s">
        <v>12235</v>
      </c>
      <c r="M500" s="818" t="s">
        <v>12970</v>
      </c>
      <c r="N500" s="820">
        <v>45523.0</v>
      </c>
      <c r="O500" s="823"/>
    </row>
    <row r="501" ht="14.25" customHeight="1">
      <c r="A501" s="789">
        <v>45490.0</v>
      </c>
      <c r="B501" s="790">
        <v>2407487.0</v>
      </c>
      <c r="C501" s="791" t="s">
        <v>11484</v>
      </c>
      <c r="D501" s="791" t="s">
        <v>2685</v>
      </c>
      <c r="E501" s="792" t="str">
        <f>IFERROR(VLOOKUP(D501,Stock,3,FALSE),"")</f>
        <v>Honda Stream 04-06 S7A/RN1 (Spion)</v>
      </c>
      <c r="F501" s="791">
        <v>1.0</v>
      </c>
      <c r="G501" s="809">
        <v>958650.0</v>
      </c>
      <c r="H501" s="810">
        <f t="shared" si="15"/>
        <v>958650</v>
      </c>
      <c r="I501" s="809">
        <v>958650.0</v>
      </c>
      <c r="J501" s="833">
        <v>45550.0</v>
      </c>
      <c r="K501" s="799" t="s">
        <v>4258</v>
      </c>
      <c r="L501" s="799" t="s">
        <v>12235</v>
      </c>
      <c r="M501" s="818" t="s">
        <v>12809</v>
      </c>
      <c r="N501" s="820">
        <v>45546.0</v>
      </c>
      <c r="O501" s="823"/>
    </row>
    <row r="502" ht="14.25" customHeight="1">
      <c r="A502" s="789">
        <v>45491.0</v>
      </c>
      <c r="B502" s="790">
        <v>2407494.0</v>
      </c>
      <c r="C502" s="791" t="s">
        <v>11484</v>
      </c>
      <c r="D502" s="791" t="s">
        <v>2668</v>
      </c>
      <c r="E502" s="792" t="str">
        <f>IFERROR(VLOOKUP(D502,Stock,3,FALSE),"")</f>
        <v>Hyundai Stargazer 22-</v>
      </c>
      <c r="F502" s="791">
        <v>1.0</v>
      </c>
      <c r="G502" s="809">
        <v>1155000.0</v>
      </c>
      <c r="H502" s="810">
        <f t="shared" si="15"/>
        <v>1155000</v>
      </c>
      <c r="I502" s="809">
        <v>1155000.0</v>
      </c>
      <c r="J502" s="833">
        <v>45551.0</v>
      </c>
      <c r="K502" s="799" t="s">
        <v>4258</v>
      </c>
      <c r="L502" s="799" t="s">
        <v>12235</v>
      </c>
      <c r="M502" s="818" t="s">
        <v>12809</v>
      </c>
      <c r="N502" s="820">
        <v>45547.0</v>
      </c>
      <c r="O502" s="823"/>
    </row>
    <row r="503" ht="14.25" customHeight="1">
      <c r="A503" s="789">
        <v>45491.0</v>
      </c>
      <c r="B503" s="790">
        <v>2407428.0</v>
      </c>
      <c r="C503" s="791" t="s">
        <v>11484</v>
      </c>
      <c r="D503" s="791" t="s">
        <v>3227</v>
      </c>
      <c r="E503" s="792" t="str">
        <f>IFERROR(VLOOKUP(D503,Stock,3,FALSE),"")</f>
        <v>Mitsubishi Strada Triton 08-15</v>
      </c>
      <c r="F503" s="791">
        <v>3.0</v>
      </c>
      <c r="G503" s="809">
        <v>372000.0</v>
      </c>
      <c r="H503" s="810">
        <f t="shared" si="15"/>
        <v>1116000</v>
      </c>
      <c r="I503" s="809">
        <v>1116000.0</v>
      </c>
      <c r="J503" s="833">
        <v>45551.0</v>
      </c>
      <c r="K503" s="799" t="s">
        <v>4258</v>
      </c>
      <c r="L503" s="799" t="s">
        <v>12235</v>
      </c>
      <c r="M503" s="818" t="s">
        <v>12809</v>
      </c>
      <c r="N503" s="820">
        <v>45548.0</v>
      </c>
      <c r="O503" s="823"/>
    </row>
    <row r="504" ht="14.25" customHeight="1">
      <c r="A504" s="789">
        <v>45491.0</v>
      </c>
      <c r="B504" s="790">
        <v>2407428.0</v>
      </c>
      <c r="C504" s="791" t="s">
        <v>11484</v>
      </c>
      <c r="D504" s="791" t="s">
        <v>2744</v>
      </c>
      <c r="E504" s="792" t="str">
        <f>IFERROR(VLOOKUP(D504,Stock,3,FALSE),"")</f>
        <v>Toyota Fortuner 05-15 1st Gen (Hitam)</v>
      </c>
      <c r="F504" s="791">
        <v>2.0</v>
      </c>
      <c r="G504" s="842">
        <v>785000.0</v>
      </c>
      <c r="H504" s="810">
        <f t="shared" si="15"/>
        <v>1570000</v>
      </c>
      <c r="I504" s="809">
        <v>1570000.0</v>
      </c>
      <c r="J504" s="844">
        <v>45489.0</v>
      </c>
      <c r="K504" s="799" t="s">
        <v>4258</v>
      </c>
      <c r="L504" s="799" t="s">
        <v>12235</v>
      </c>
      <c r="M504" s="818" t="s">
        <v>12809</v>
      </c>
      <c r="N504" s="820">
        <v>45548.0</v>
      </c>
      <c r="O504" s="823"/>
    </row>
    <row r="505" ht="14.25" customHeight="1">
      <c r="A505" s="789">
        <v>45491.0</v>
      </c>
      <c r="B505" s="790">
        <v>2407545.0</v>
      </c>
      <c r="C505" s="791" t="s">
        <v>11484</v>
      </c>
      <c r="D505" s="791" t="s">
        <v>2742</v>
      </c>
      <c r="E505" s="792" t="str">
        <f>IFERROR(VLOOKUP(D505,Stock,3,FALSE),"")</f>
        <v>Toyota Alphard 02-08 ANH10 1st Gen (Hitam)</v>
      </c>
      <c r="F505" s="791">
        <v>1.0</v>
      </c>
      <c r="G505" s="809">
        <v>1635700.0</v>
      </c>
      <c r="H505" s="810">
        <f t="shared" si="15"/>
        <v>1635700</v>
      </c>
      <c r="I505" s="809">
        <v>1635700.0</v>
      </c>
      <c r="J505" s="833">
        <v>45551.0</v>
      </c>
      <c r="K505" s="799" t="s">
        <v>4258</v>
      </c>
      <c r="L505" s="799" t="s">
        <v>12235</v>
      </c>
      <c r="M505" s="818" t="s">
        <v>12809</v>
      </c>
      <c r="N505" s="820">
        <v>45548.0</v>
      </c>
      <c r="O505" s="823"/>
    </row>
    <row r="506" ht="14.25" customHeight="1">
      <c r="A506" s="789">
        <v>45491.0</v>
      </c>
      <c r="B506" s="790">
        <v>2407545.0</v>
      </c>
      <c r="C506" s="791" t="s">
        <v>11484</v>
      </c>
      <c r="D506" s="791" t="s">
        <v>2671</v>
      </c>
      <c r="E506" s="792" t="str">
        <f>IFERROR(VLOOKUP(D506,Stock,3,FALSE),"")</f>
        <v>Isuzu D-Max 02-12 1st Gen</v>
      </c>
      <c r="F506" s="791">
        <v>1.0</v>
      </c>
      <c r="G506" s="809">
        <v>791450.0</v>
      </c>
      <c r="H506" s="810">
        <f t="shared" si="15"/>
        <v>791450</v>
      </c>
      <c r="I506" s="809">
        <v>791450.0</v>
      </c>
      <c r="J506" s="833">
        <v>45551.0</v>
      </c>
      <c r="K506" s="799" t="s">
        <v>4258</v>
      </c>
      <c r="L506" s="799" t="s">
        <v>12235</v>
      </c>
      <c r="M506" s="818" t="s">
        <v>12809</v>
      </c>
      <c r="N506" s="820">
        <v>45548.0</v>
      </c>
      <c r="O506" s="823"/>
    </row>
    <row r="507" ht="15.0" customHeight="1">
      <c r="A507" s="789">
        <v>45495.0</v>
      </c>
      <c r="B507" s="790">
        <v>2407638.0</v>
      </c>
      <c r="C507" s="791" t="s">
        <v>11484</v>
      </c>
      <c r="D507" s="791" t="s">
        <v>4895</v>
      </c>
      <c r="E507" s="792" t="str">
        <f>IFERROR(VLOOKUP(D507,Stock,3,FALSE),"")</f>
        <v>Toyota Voxy 17-</v>
      </c>
      <c r="F507" s="791">
        <v>2.0</v>
      </c>
      <c r="G507" s="842">
        <v>1829300.0</v>
      </c>
      <c r="H507" s="810">
        <f t="shared" si="15"/>
        <v>3658600</v>
      </c>
      <c r="I507" s="809">
        <v>3658600.0</v>
      </c>
      <c r="J507" s="844">
        <v>45555.0</v>
      </c>
      <c r="K507" s="799" t="s">
        <v>4258</v>
      </c>
      <c r="L507" s="799" t="s">
        <v>12235</v>
      </c>
      <c r="M507" s="818" t="s">
        <v>12809</v>
      </c>
      <c r="N507" s="820">
        <v>45553.0</v>
      </c>
      <c r="O507" s="823"/>
    </row>
    <row r="508" ht="15.0" customHeight="1">
      <c r="A508" s="789">
        <v>45495.0</v>
      </c>
      <c r="B508" s="790">
        <v>2407597.0</v>
      </c>
      <c r="C508" s="791" t="s">
        <v>11484</v>
      </c>
      <c r="D508" s="799" t="s">
        <v>3376</v>
      </c>
      <c r="E508" s="792" t="str">
        <f>IFERROR(VLOOKUP(D508,Stock,3,FALSE),"")</f>
        <v>Toyota Hi-Ace 04-20 Commuter</v>
      </c>
      <c r="F508" s="791">
        <v>3.0</v>
      </c>
      <c r="G508" s="842">
        <v>449900.0</v>
      </c>
      <c r="H508" s="810">
        <f t="shared" si="15"/>
        <v>1349700</v>
      </c>
      <c r="I508" s="809">
        <v>1349700.0</v>
      </c>
      <c r="J508" s="844">
        <v>45555.0</v>
      </c>
      <c r="K508" s="799" t="s">
        <v>4258</v>
      </c>
      <c r="L508" s="799" t="s">
        <v>12235</v>
      </c>
      <c r="M508" s="818" t="s">
        <v>12809</v>
      </c>
      <c r="N508" s="820">
        <v>45553.0</v>
      </c>
      <c r="O508" s="823"/>
    </row>
    <row r="509" ht="15.0" customHeight="1">
      <c r="A509" s="789">
        <v>45496.0</v>
      </c>
      <c r="B509" s="790">
        <v>2407664.0</v>
      </c>
      <c r="C509" s="791" t="s">
        <v>11484</v>
      </c>
      <c r="D509" s="791" t="s">
        <v>3760</v>
      </c>
      <c r="E509" s="792" t="str">
        <f>IFERROR(VLOOKUP(D509,Stock,3,FALSE),"")</f>
        <v>Nissan Frontier Navara 97-04 D22 1st Gen</v>
      </c>
      <c r="F509" s="791">
        <v>1.0</v>
      </c>
      <c r="G509" s="842">
        <v>759000.0</v>
      </c>
      <c r="H509" s="810">
        <f t="shared" si="15"/>
        <v>759000</v>
      </c>
      <c r="I509" s="809">
        <v>759000.0</v>
      </c>
      <c r="J509" s="844">
        <v>45556.0</v>
      </c>
      <c r="K509" s="799" t="s">
        <v>4258</v>
      </c>
      <c r="L509" s="799" t="s">
        <v>12235</v>
      </c>
      <c r="M509" s="818" t="s">
        <v>12809</v>
      </c>
      <c r="N509" s="820">
        <v>45554.0</v>
      </c>
      <c r="O509" s="823"/>
    </row>
    <row r="510" ht="15.0" customHeight="1">
      <c r="A510" s="789">
        <v>45496.0</v>
      </c>
      <c r="B510" s="790">
        <v>2407682.0</v>
      </c>
      <c r="C510" s="791" t="s">
        <v>11484</v>
      </c>
      <c r="D510" s="791" t="s">
        <v>2675</v>
      </c>
      <c r="E510" s="792" t="str">
        <f>IFERROR(VLOOKUP(D510,Stock,3,FALSE),"")</f>
        <v>Nissan X-Trail 13- T32 (1 Sensor)</v>
      </c>
      <c r="F510" s="791">
        <v>1.0</v>
      </c>
      <c r="G510" s="842">
        <v>1170950.0</v>
      </c>
      <c r="H510" s="810">
        <f t="shared" si="15"/>
        <v>1170950</v>
      </c>
      <c r="I510" s="809">
        <v>1170950.0</v>
      </c>
      <c r="J510" s="844">
        <v>45556.0</v>
      </c>
      <c r="K510" s="799" t="s">
        <v>4258</v>
      </c>
      <c r="L510" s="799" t="s">
        <v>12235</v>
      </c>
      <c r="M510" s="818" t="s">
        <v>12809</v>
      </c>
      <c r="N510" s="820">
        <v>45554.0</v>
      </c>
      <c r="O510" s="823"/>
    </row>
    <row r="511" ht="15.0" customHeight="1">
      <c r="A511" s="789">
        <v>45496.0</v>
      </c>
      <c r="B511" s="790">
        <v>2407682.0</v>
      </c>
      <c r="C511" s="791" t="s">
        <v>11484</v>
      </c>
      <c r="D511" s="799" t="s">
        <v>2706</v>
      </c>
      <c r="E511" s="792" t="str">
        <f>IFERROR(VLOOKUP(D511,Stock,3,FALSE),"")</f>
        <v>Isuzu Elf 17- New NMR NLR</v>
      </c>
      <c r="F511" s="791">
        <v>2.0</v>
      </c>
      <c r="G511" s="842">
        <v>502700.0</v>
      </c>
      <c r="H511" s="810">
        <f t="shared" si="15"/>
        <v>1005400</v>
      </c>
      <c r="I511" s="809">
        <v>1005400.0</v>
      </c>
      <c r="J511" s="844">
        <v>45556.0</v>
      </c>
      <c r="K511" s="799" t="s">
        <v>4258</v>
      </c>
      <c r="L511" s="799" t="s">
        <v>12235</v>
      </c>
      <c r="M511" s="818" t="s">
        <v>12809</v>
      </c>
      <c r="N511" s="820">
        <v>45554.0</v>
      </c>
      <c r="O511" s="823"/>
    </row>
    <row r="512" ht="15.0" customHeight="1">
      <c r="A512" s="789">
        <v>45496.0</v>
      </c>
      <c r="B512" s="790">
        <v>2407682.0</v>
      </c>
      <c r="C512" s="791" t="s">
        <v>11484</v>
      </c>
      <c r="D512" s="791" t="s">
        <v>2684</v>
      </c>
      <c r="E512" s="792" t="str">
        <f>IFERROR(VLOOKUP(D512,Stock,3,FALSE),"")</f>
        <v>Honda Stream 00-04 S7A/RN1 (Tanpa Spion)</v>
      </c>
      <c r="F512" s="791">
        <v>1.0</v>
      </c>
      <c r="G512" s="842">
        <v>958650.0</v>
      </c>
      <c r="H512" s="810">
        <f t="shared" si="15"/>
        <v>958650</v>
      </c>
      <c r="I512" s="809">
        <v>958650.0</v>
      </c>
      <c r="J512" s="844">
        <v>45556.0</v>
      </c>
      <c r="K512" s="799" t="s">
        <v>4258</v>
      </c>
      <c r="L512" s="799" t="s">
        <v>12235</v>
      </c>
      <c r="M512" s="818" t="s">
        <v>12809</v>
      </c>
      <c r="N512" s="820">
        <v>45554.0</v>
      </c>
      <c r="O512" s="823"/>
    </row>
    <row r="513" ht="15.0" customHeight="1">
      <c r="A513" s="789">
        <v>45496.0</v>
      </c>
      <c r="B513" s="790">
        <v>2407682.0</v>
      </c>
      <c r="C513" s="791" t="s">
        <v>11484</v>
      </c>
      <c r="D513" s="791" t="s">
        <v>5587</v>
      </c>
      <c r="E513" s="792" t="str">
        <f>IFERROR(VLOOKUP(D513,Stock,3,FALSE),"")</f>
        <v>Honda CR-V 02-04 2nd Gen (Spion Jepit)</v>
      </c>
      <c r="F513" s="791">
        <v>1.0</v>
      </c>
      <c r="G513" s="842">
        <v>815100.0</v>
      </c>
      <c r="H513" s="810">
        <f t="shared" si="15"/>
        <v>815100</v>
      </c>
      <c r="I513" s="809">
        <v>815100.0</v>
      </c>
      <c r="J513" s="844">
        <v>45556.0</v>
      </c>
      <c r="K513" s="799" t="s">
        <v>4258</v>
      </c>
      <c r="L513" s="799" t="s">
        <v>12235</v>
      </c>
      <c r="M513" s="818" t="s">
        <v>12809</v>
      </c>
      <c r="N513" s="820">
        <v>45554.0</v>
      </c>
      <c r="O513" s="823"/>
    </row>
    <row r="514" ht="15.0" customHeight="1">
      <c r="A514" s="789">
        <v>45442.0</v>
      </c>
      <c r="B514" s="790" t="s">
        <v>12995</v>
      </c>
      <c r="C514" s="791" t="s">
        <v>3076</v>
      </c>
      <c r="D514" s="791" t="s">
        <v>2617</v>
      </c>
      <c r="E514" s="792" t="str">
        <f>IFERROR(VLOOKUP(D514,Stock,3,FALSE),"")</f>
        <v>Mitsubishi Pajero 16- (Mitsubishi)</v>
      </c>
      <c r="F514" s="791">
        <v>4.0</v>
      </c>
      <c r="G514" s="842">
        <v>1065600.0</v>
      </c>
      <c r="H514" s="811">
        <f t="shared" si="15"/>
        <v>4262400</v>
      </c>
      <c r="I514" s="809"/>
      <c r="J514" s="819"/>
      <c r="K514" s="799" t="s">
        <v>4258</v>
      </c>
      <c r="L514" s="799" t="s">
        <v>12235</v>
      </c>
      <c r="M514" s="818" t="s">
        <v>12809</v>
      </c>
      <c r="N514" s="820">
        <v>45442.0</v>
      </c>
      <c r="O514" s="823"/>
    </row>
    <row r="515" ht="15.0" customHeight="1">
      <c r="A515" s="789">
        <v>45499.0</v>
      </c>
      <c r="B515" s="790">
        <v>2407820.0</v>
      </c>
      <c r="C515" s="791" t="s">
        <v>11484</v>
      </c>
      <c r="D515" s="799" t="s">
        <v>2635</v>
      </c>
      <c r="E515" s="792" t="str">
        <f>IFERROR(VLOOKUP(D515,Stock,3,FALSE),"")</f>
        <v>Toyota Corolla All New AE111 95-02 8th Gen KE120</v>
      </c>
      <c r="F515" s="791">
        <v>1.0</v>
      </c>
      <c r="G515" s="842">
        <v>791450.0</v>
      </c>
      <c r="H515" s="810">
        <f t="shared" si="15"/>
        <v>791450</v>
      </c>
      <c r="I515" s="809">
        <v>791450.0</v>
      </c>
      <c r="J515" s="844">
        <v>45559.0</v>
      </c>
      <c r="K515" s="799" t="s">
        <v>4258</v>
      </c>
      <c r="L515" s="799" t="s">
        <v>12235</v>
      </c>
      <c r="M515" s="818" t="s">
        <v>12809</v>
      </c>
      <c r="N515" s="820">
        <v>45558.0</v>
      </c>
      <c r="O515" s="823"/>
    </row>
    <row r="516" ht="15.0" customHeight="1">
      <c r="A516" s="789">
        <v>45499.0</v>
      </c>
      <c r="B516" s="790" t="s">
        <v>12996</v>
      </c>
      <c r="C516" s="791" t="s">
        <v>11484</v>
      </c>
      <c r="D516" s="791" t="s">
        <v>3059</v>
      </c>
      <c r="E516" s="792" t="str">
        <f>IFERROR(VLOOKUP(D516,Stock,3,FALSE),"")</f>
        <v>Sealant Polyurethane XYG Tube</v>
      </c>
      <c r="F516" s="791">
        <v>80.0</v>
      </c>
      <c r="G516" s="842">
        <v>33000.0</v>
      </c>
      <c r="H516" s="810">
        <f t="shared" si="15"/>
        <v>2640000</v>
      </c>
      <c r="I516" s="809"/>
      <c r="J516" s="819"/>
      <c r="K516" s="799" t="s">
        <v>4258</v>
      </c>
      <c r="L516" s="819"/>
      <c r="M516" s="818" t="s">
        <v>12809</v>
      </c>
      <c r="N516" s="820">
        <v>45506.0</v>
      </c>
      <c r="O516" s="823"/>
    </row>
    <row r="517" ht="15.0" customHeight="1">
      <c r="A517" s="789">
        <v>45502.0</v>
      </c>
      <c r="B517" s="790">
        <v>2407830.0</v>
      </c>
      <c r="C517" s="791" t="s">
        <v>11484</v>
      </c>
      <c r="D517" s="799" t="s">
        <v>6043</v>
      </c>
      <c r="E517" s="792" t="str">
        <f>IFERROR(VLOOKUP(D517,Stock,3,FALSE),"")</f>
        <v>Suzuki Vitara 88-97 / Escudo / Sidekick</v>
      </c>
      <c r="F517" s="791">
        <v>1.0</v>
      </c>
      <c r="G517" s="842">
        <v>659450.0</v>
      </c>
      <c r="H517" s="810">
        <f t="shared" si="15"/>
        <v>659450</v>
      </c>
      <c r="I517" s="809">
        <v>659450.0</v>
      </c>
      <c r="J517" s="844">
        <v>45562.0</v>
      </c>
      <c r="K517" s="799" t="s">
        <v>4258</v>
      </c>
      <c r="L517" s="799" t="s">
        <v>12235</v>
      </c>
      <c r="M517" s="818" t="s">
        <v>12809</v>
      </c>
      <c r="N517" s="820">
        <v>45561.0</v>
      </c>
      <c r="O517" s="823"/>
    </row>
    <row r="518" ht="15.0" customHeight="1">
      <c r="A518" s="789">
        <v>45503.0</v>
      </c>
      <c r="B518" s="790" t="s">
        <v>12997</v>
      </c>
      <c r="C518" s="791" t="s">
        <v>12932</v>
      </c>
      <c r="D518" s="791" t="s">
        <v>4355</v>
      </c>
      <c r="E518" s="792" t="str">
        <f>IFERROR(VLOOKUP(D518,Stock,3,FALSE),"")</f>
        <v>Toyota Innova 04-15 1st Gen</v>
      </c>
      <c r="F518" s="791">
        <v>5.0</v>
      </c>
      <c r="G518" s="842">
        <v>290700.1</v>
      </c>
      <c r="H518" s="810">
        <f t="shared" si="15"/>
        <v>1453500.5</v>
      </c>
      <c r="I518" s="809">
        <v>1453501.0</v>
      </c>
      <c r="J518" s="844">
        <v>45533.0</v>
      </c>
      <c r="K518" s="799" t="s">
        <v>4258</v>
      </c>
      <c r="L518" s="799" t="s">
        <v>12235</v>
      </c>
      <c r="M518" s="818" t="s">
        <v>12809</v>
      </c>
      <c r="N518" s="820">
        <v>45531.0</v>
      </c>
      <c r="O518" s="823"/>
    </row>
    <row r="519" ht="15.0" customHeight="1">
      <c r="A519" s="789">
        <v>45503.0</v>
      </c>
      <c r="B519" s="790" t="s">
        <v>12997</v>
      </c>
      <c r="C519" s="791" t="s">
        <v>12932</v>
      </c>
      <c r="D519" s="791" t="s">
        <v>4356</v>
      </c>
      <c r="E519" s="792" t="str">
        <f>IFERROR(VLOOKUP(D519,Stock,3,FALSE),"")</f>
        <v>Toyota Innova 04-15 1st Gen</v>
      </c>
      <c r="F519" s="791">
        <v>5.0</v>
      </c>
      <c r="G519" s="842">
        <v>67149.46</v>
      </c>
      <c r="H519" s="810">
        <f t="shared" si="15"/>
        <v>335747.3</v>
      </c>
      <c r="I519" s="809">
        <v>335747.0</v>
      </c>
      <c r="J519" s="844">
        <v>45533.0</v>
      </c>
      <c r="K519" s="799" t="s">
        <v>4258</v>
      </c>
      <c r="L519" s="799" t="s">
        <v>12235</v>
      </c>
      <c r="M519" s="818" t="s">
        <v>12809</v>
      </c>
      <c r="N519" s="820">
        <v>45531.0</v>
      </c>
      <c r="O519" s="823"/>
    </row>
    <row r="520" ht="15.0" customHeight="1">
      <c r="A520" s="789">
        <v>45502.0</v>
      </c>
      <c r="B520" s="790">
        <v>2407821.0</v>
      </c>
      <c r="C520" s="791" t="s">
        <v>11484</v>
      </c>
      <c r="D520" s="799" t="s">
        <v>4266</v>
      </c>
      <c r="E520" s="792" t="str">
        <f>IFERROR(VLOOKUP(D520,Stock,3,FALSE),"")</f>
        <v>Kia Rio 11-17 UB Hatchback</v>
      </c>
      <c r="F520" s="791">
        <v>1.0</v>
      </c>
      <c r="G520" s="842">
        <v>1063700.0</v>
      </c>
      <c r="H520" s="810">
        <f t="shared" si="15"/>
        <v>1063700</v>
      </c>
      <c r="I520" s="809">
        <v>1063700.0</v>
      </c>
      <c r="J520" s="844">
        <v>45562.0</v>
      </c>
      <c r="K520" s="799" t="s">
        <v>4258</v>
      </c>
      <c r="L520" s="799" t="s">
        <v>12235</v>
      </c>
      <c r="M520" s="818" t="s">
        <v>12809</v>
      </c>
      <c r="N520" s="820">
        <v>45560.0</v>
      </c>
      <c r="O520" s="823"/>
    </row>
    <row r="521" ht="15.0" customHeight="1">
      <c r="A521" s="789">
        <v>45502.0</v>
      </c>
      <c r="B521" s="790">
        <v>2407821.0</v>
      </c>
      <c r="C521" s="791" t="s">
        <v>11484</v>
      </c>
      <c r="D521" s="791" t="s">
        <v>4231</v>
      </c>
      <c r="E521" s="792" t="str">
        <f>IFERROR(VLOOKUP(D521,Stock,3,FALSE),"")</f>
        <v>Mers-Benz E-Class 02-09 W211</v>
      </c>
      <c r="F521" s="791">
        <v>1.0</v>
      </c>
      <c r="G521" s="799">
        <v>1664300.0</v>
      </c>
      <c r="H521" s="810">
        <f t="shared" si="15"/>
        <v>1664300</v>
      </c>
      <c r="I521" s="809">
        <v>1664300.0</v>
      </c>
      <c r="J521" s="844">
        <v>45562.0</v>
      </c>
      <c r="K521" s="799" t="s">
        <v>4258</v>
      </c>
      <c r="L521" s="799" t="s">
        <v>12235</v>
      </c>
      <c r="M521" s="818" t="s">
        <v>12809</v>
      </c>
      <c r="N521" s="820">
        <v>45560.0</v>
      </c>
      <c r="O521" s="823"/>
    </row>
    <row r="522" ht="15.0" customHeight="1">
      <c r="A522" s="789">
        <v>45503.0</v>
      </c>
      <c r="B522" s="790" t="s">
        <v>12998</v>
      </c>
      <c r="C522" s="791" t="s">
        <v>12999</v>
      </c>
      <c r="D522" s="791" t="s">
        <v>4365</v>
      </c>
      <c r="E522" s="792" t="str">
        <f>IFERROR(VLOOKUP(D522,Stock,3,FALSE),"")</f>
        <v>Wuling Almaz (Orisinil)</v>
      </c>
      <c r="F522" s="791">
        <v>1.0</v>
      </c>
      <c r="G522" s="845">
        <v>1842000.0</v>
      </c>
      <c r="H522" s="832">
        <f t="shared" si="15"/>
        <v>1842000</v>
      </c>
      <c r="I522" s="831">
        <f>H522</f>
        <v>1842000</v>
      </c>
      <c r="J522" s="819"/>
      <c r="K522" s="799" t="s">
        <v>12269</v>
      </c>
      <c r="L522" s="799" t="s">
        <v>12235</v>
      </c>
      <c r="M522" s="818" t="s">
        <v>12809</v>
      </c>
      <c r="N522" s="820">
        <v>45547.0</v>
      </c>
      <c r="O522" s="823"/>
    </row>
    <row r="523" ht="15.0" customHeight="1">
      <c r="A523" s="789">
        <v>45504.0</v>
      </c>
      <c r="B523" s="790">
        <v>2407916.0</v>
      </c>
      <c r="C523" s="791" t="s">
        <v>11484</v>
      </c>
      <c r="D523" s="791" t="s">
        <v>3099</v>
      </c>
      <c r="E523" s="792" t="str">
        <f>IFERROR(VLOOKUP(D523,Stock,3,FALSE),"")</f>
        <v>Toyota Calya / Sigra 16-</v>
      </c>
      <c r="F523" s="791">
        <v>2.0</v>
      </c>
      <c r="G523" s="842">
        <v>505450.0</v>
      </c>
      <c r="H523" s="810">
        <f t="shared" si="15"/>
        <v>1010900</v>
      </c>
      <c r="I523" s="809">
        <v>1010900.0</v>
      </c>
      <c r="J523" s="844">
        <v>45564.0</v>
      </c>
      <c r="K523" s="799" t="s">
        <v>4258</v>
      </c>
      <c r="L523" s="799" t="s">
        <v>12235</v>
      </c>
      <c r="M523" s="818" t="s">
        <v>12809</v>
      </c>
      <c r="N523" s="820">
        <v>45561.0</v>
      </c>
      <c r="O523" s="823"/>
    </row>
    <row r="524" ht="15.0" customHeight="1">
      <c r="A524" s="789">
        <v>45506.0</v>
      </c>
      <c r="B524" s="790" t="s">
        <v>13000</v>
      </c>
      <c r="C524" s="791" t="s">
        <v>12932</v>
      </c>
      <c r="D524" s="791" t="s">
        <v>4402</v>
      </c>
      <c r="E524" s="792" t="str">
        <f>IFERROR(VLOOKUP(D524,Stock,3,FALSE),"")</f>
        <v>Toyota Innova 15- 2nd Gen</v>
      </c>
      <c r="F524" s="791">
        <v>3.0</v>
      </c>
      <c r="G524" s="842">
        <v>344000.0</v>
      </c>
      <c r="H524" s="810">
        <f t="shared" si="15"/>
        <v>1032000</v>
      </c>
      <c r="I524" s="809">
        <v>1032000.0</v>
      </c>
      <c r="J524" s="844">
        <v>45536.0</v>
      </c>
      <c r="K524" s="799" t="s">
        <v>4258</v>
      </c>
      <c r="L524" s="799" t="s">
        <v>12235</v>
      </c>
      <c r="M524" s="818" t="s">
        <v>12970</v>
      </c>
      <c r="N524" s="820">
        <v>45538.0</v>
      </c>
      <c r="O524" s="823"/>
    </row>
    <row r="525" ht="15.0" customHeight="1">
      <c r="A525" s="789">
        <v>45504.0</v>
      </c>
      <c r="B525" s="790" t="s">
        <v>13001</v>
      </c>
      <c r="C525" s="791" t="s">
        <v>3076</v>
      </c>
      <c r="D525" s="791" t="s">
        <v>3099</v>
      </c>
      <c r="E525" s="792" t="str">
        <f>IFERROR(VLOOKUP(D525,Stock,3,FALSE),"")</f>
        <v>Toyota Calya / Sigra 16-</v>
      </c>
      <c r="F525" s="791">
        <v>20.0</v>
      </c>
      <c r="G525" s="842">
        <v>449328.0</v>
      </c>
      <c r="H525" s="811">
        <f t="shared" si="15"/>
        <v>8986560</v>
      </c>
      <c r="I525" s="809"/>
      <c r="J525" s="819"/>
      <c r="K525" s="799" t="s">
        <v>4258</v>
      </c>
      <c r="L525" s="799" t="s">
        <v>12235</v>
      </c>
      <c r="M525" s="818" t="s">
        <v>12809</v>
      </c>
      <c r="N525" s="818" t="s">
        <v>11475</v>
      </c>
      <c r="O525" s="823"/>
    </row>
    <row r="526" ht="15.0" customHeight="1">
      <c r="A526" s="789">
        <v>45506.0</v>
      </c>
      <c r="B526" s="790">
        <v>2408088.0</v>
      </c>
      <c r="C526" s="791" t="s">
        <v>11484</v>
      </c>
      <c r="D526" s="791" t="s">
        <v>4207</v>
      </c>
      <c r="E526" s="792" t="str">
        <f>IFERROR(VLOOKUP(D526,Stock,3,FALSE),"")</f>
        <v>Toyota Hi-Ace 19- Premio (Bening)</v>
      </c>
      <c r="F526" s="791">
        <v>2.0</v>
      </c>
      <c r="G526" s="842">
        <v>1232000.0</v>
      </c>
      <c r="H526" s="810">
        <f t="shared" si="15"/>
        <v>2464000</v>
      </c>
      <c r="I526" s="809">
        <v>2464000.0</v>
      </c>
      <c r="J526" s="844">
        <v>45566.0</v>
      </c>
      <c r="K526" s="799" t="s">
        <v>4258</v>
      </c>
      <c r="L526" s="799" t="s">
        <v>12235</v>
      </c>
      <c r="M526" s="818" t="s">
        <v>12809</v>
      </c>
      <c r="N526" s="820">
        <v>45562.0</v>
      </c>
      <c r="O526" s="823"/>
    </row>
    <row r="527" ht="15.0" customHeight="1">
      <c r="A527" s="789">
        <v>45509.0</v>
      </c>
      <c r="B527" s="790">
        <v>2408102.0</v>
      </c>
      <c r="C527" s="791" t="s">
        <v>11484</v>
      </c>
      <c r="D527" s="791" t="s">
        <v>4437</v>
      </c>
      <c r="E527" s="792" t="str">
        <f>IFERROR(VLOOKUP(D527,Stock,3,FALSE),"")</f>
        <v>Chery QQ 03-15 S11 5D / Spark 98-05</v>
      </c>
      <c r="F527" s="791">
        <v>1.0</v>
      </c>
      <c r="G527" s="842">
        <v>737000.0</v>
      </c>
      <c r="H527" s="810">
        <f t="shared" si="15"/>
        <v>737000</v>
      </c>
      <c r="I527" s="809">
        <v>737000.0</v>
      </c>
      <c r="J527" s="844">
        <v>45569.0</v>
      </c>
      <c r="K527" s="799" t="s">
        <v>4258</v>
      </c>
      <c r="L527" s="799" t="s">
        <v>12235</v>
      </c>
      <c r="M527" s="818" t="s">
        <v>12809</v>
      </c>
      <c r="N527" s="820">
        <v>45566.0</v>
      </c>
      <c r="O527" s="823"/>
    </row>
    <row r="528" ht="15.0" customHeight="1">
      <c r="A528" s="789">
        <v>45511.0</v>
      </c>
      <c r="B528" s="790" t="s">
        <v>13002</v>
      </c>
      <c r="C528" s="791" t="s">
        <v>12963</v>
      </c>
      <c r="D528" s="791" t="s">
        <v>4464</v>
      </c>
      <c r="E528" s="792" t="str">
        <f>IFERROR(VLOOKUP(D528,Stock,3,FALSE),"")</f>
        <v>Suzuki Swift 04-11 1st Gen</v>
      </c>
      <c r="F528" s="791">
        <v>1.0</v>
      </c>
      <c r="G528" s="842">
        <v>350000.0</v>
      </c>
      <c r="H528" s="811">
        <f t="shared" si="15"/>
        <v>350000</v>
      </c>
      <c r="I528" s="809"/>
      <c r="J528" s="819"/>
      <c r="K528" s="799" t="s">
        <v>4258</v>
      </c>
      <c r="L528" s="799" t="s">
        <v>12235</v>
      </c>
      <c r="M528" s="818" t="s">
        <v>12809</v>
      </c>
      <c r="N528" s="820">
        <v>45531.0</v>
      </c>
      <c r="O528" s="823"/>
    </row>
    <row r="529" ht="15.0" customHeight="1">
      <c r="A529" s="789">
        <v>45476.0</v>
      </c>
      <c r="B529" s="790" t="s">
        <v>13003</v>
      </c>
      <c r="C529" s="791" t="s">
        <v>12963</v>
      </c>
      <c r="D529" s="791" t="s">
        <v>4041</v>
      </c>
      <c r="E529" s="792" t="str">
        <f>IFERROR(VLOOKUP(D529,Stock,3,FALSE),"")</f>
        <v>Suzuki Carry New 19- (Pick Up)</v>
      </c>
      <c r="F529" s="791">
        <v>1.0</v>
      </c>
      <c r="G529" s="842">
        <v>90000.0</v>
      </c>
      <c r="H529" s="811">
        <f t="shared" si="15"/>
        <v>90000</v>
      </c>
      <c r="I529" s="809"/>
      <c r="J529" s="819"/>
      <c r="K529" s="799" t="s">
        <v>4258</v>
      </c>
      <c r="L529" s="799" t="s">
        <v>12235</v>
      </c>
      <c r="M529" s="818" t="s">
        <v>12809</v>
      </c>
      <c r="N529" s="820">
        <v>45531.0</v>
      </c>
      <c r="O529" s="823"/>
    </row>
    <row r="530" ht="15.0" customHeight="1">
      <c r="A530" s="789">
        <v>45512.0</v>
      </c>
      <c r="B530" s="790">
        <v>2408262.0</v>
      </c>
      <c r="C530" s="791" t="s">
        <v>11484</v>
      </c>
      <c r="D530" s="791" t="s">
        <v>2702</v>
      </c>
      <c r="E530" s="792" t="str">
        <f>IFERROR(VLOOKUP(D530,Stock,3,FALSE),"")</f>
        <v>Toyota Sienta 15-</v>
      </c>
      <c r="F530" s="791">
        <v>1.0</v>
      </c>
      <c r="G530" s="842">
        <v>680900.0</v>
      </c>
      <c r="H530" s="810">
        <f t="shared" si="15"/>
        <v>680900</v>
      </c>
      <c r="I530" s="809">
        <v>680900.0</v>
      </c>
      <c r="J530" s="844">
        <v>45572.0</v>
      </c>
      <c r="K530" s="799" t="s">
        <v>4258</v>
      </c>
      <c r="L530" s="799" t="s">
        <v>12235</v>
      </c>
      <c r="M530" s="818" t="s">
        <v>12809</v>
      </c>
      <c r="N530" s="820">
        <v>45569.0</v>
      </c>
      <c r="O530" s="823"/>
    </row>
    <row r="531" ht="15.0" customHeight="1">
      <c r="A531" s="789">
        <v>45513.0</v>
      </c>
      <c r="B531" s="790" t="s">
        <v>13004</v>
      </c>
      <c r="C531" s="791" t="s">
        <v>3091</v>
      </c>
      <c r="D531" s="791" t="s">
        <v>2593</v>
      </c>
      <c r="E531" s="792" t="str">
        <f>IFERROR(VLOOKUP(D531,Stock,3,FALSE),"")</f>
        <v>Toyota Alphard 08-15 ANH20 2nd Gen Sensor</v>
      </c>
      <c r="F531" s="791">
        <v>3.0</v>
      </c>
      <c r="G531" s="842">
        <v>875952.6</v>
      </c>
      <c r="H531" s="811">
        <f t="shared" si="15"/>
        <v>2627857.8</v>
      </c>
      <c r="I531" s="809">
        <v>2627858.0</v>
      </c>
      <c r="J531" s="844">
        <v>45573.0</v>
      </c>
      <c r="K531" s="799" t="s">
        <v>4258</v>
      </c>
      <c r="L531" s="799" t="s">
        <v>12235</v>
      </c>
      <c r="M531" s="818" t="s">
        <v>12809</v>
      </c>
      <c r="N531" s="820">
        <v>45569.0</v>
      </c>
      <c r="O531" s="823"/>
    </row>
    <row r="532" ht="15.0" customHeight="1">
      <c r="A532" s="789">
        <v>45513.0</v>
      </c>
      <c r="B532" s="790" t="s">
        <v>13004</v>
      </c>
      <c r="C532" s="791" t="s">
        <v>3091</v>
      </c>
      <c r="D532" s="791" t="s">
        <v>3041</v>
      </c>
      <c r="E532" s="792" t="str">
        <f>IFERROR(VLOOKUP(D532,Stock,3,FALSE),"")</f>
        <v>Honda Jazz 13- 3rd Gen (Honda)</v>
      </c>
      <c r="F532" s="791">
        <v>3.0</v>
      </c>
      <c r="G532" s="842">
        <v>1080000.0</v>
      </c>
      <c r="H532" s="811">
        <f t="shared" si="15"/>
        <v>3240000</v>
      </c>
      <c r="I532" s="809">
        <v>3240000.0</v>
      </c>
      <c r="J532" s="844">
        <v>45573.0</v>
      </c>
      <c r="K532" s="799" t="s">
        <v>4258</v>
      </c>
      <c r="L532" s="799" t="s">
        <v>12235</v>
      </c>
      <c r="M532" s="818" t="s">
        <v>12809</v>
      </c>
      <c r="N532" s="820">
        <v>45569.0</v>
      </c>
      <c r="O532" s="823"/>
    </row>
    <row r="533" ht="15.0" customHeight="1">
      <c r="A533" s="789">
        <v>45514.0</v>
      </c>
      <c r="B533" s="790" t="s">
        <v>13005</v>
      </c>
      <c r="C533" s="791" t="s">
        <v>12981</v>
      </c>
      <c r="D533" s="791" t="s">
        <v>4027</v>
      </c>
      <c r="E533" s="792" t="str">
        <f>IFERROR(VLOOKUP(D533,Stock,3,FALSE),"")</f>
        <v>501 Sealant Application</v>
      </c>
      <c r="F533" s="791">
        <v>60.0</v>
      </c>
      <c r="G533" s="842">
        <v>38000.0</v>
      </c>
      <c r="H533" s="811">
        <f t="shared" si="15"/>
        <v>2280000</v>
      </c>
      <c r="I533" s="809"/>
      <c r="J533" s="819"/>
      <c r="K533" s="819"/>
      <c r="L533" s="819"/>
      <c r="M533" s="818" t="s">
        <v>12809</v>
      </c>
      <c r="N533" s="820">
        <v>45535.0</v>
      </c>
      <c r="O533" s="823"/>
    </row>
    <row r="534" ht="15.0" customHeight="1">
      <c r="A534" s="789">
        <v>45514.0</v>
      </c>
      <c r="B534" s="790" t="s">
        <v>13005</v>
      </c>
      <c r="C534" s="791" t="s">
        <v>12981</v>
      </c>
      <c r="D534" s="791" t="s">
        <v>13006</v>
      </c>
      <c r="E534" s="791"/>
      <c r="F534" s="791">
        <v>2.0</v>
      </c>
      <c r="G534" s="842">
        <v>75000.0</v>
      </c>
      <c r="H534" s="811">
        <f t="shared" si="15"/>
        <v>150000</v>
      </c>
      <c r="I534" s="809"/>
      <c r="J534" s="819"/>
      <c r="K534" s="819"/>
      <c r="L534" s="819"/>
      <c r="M534" s="818" t="s">
        <v>12809</v>
      </c>
      <c r="N534" s="820">
        <v>45535.0</v>
      </c>
      <c r="O534" s="823"/>
    </row>
    <row r="535" ht="15.0" customHeight="1">
      <c r="A535" s="789">
        <v>45517.0</v>
      </c>
      <c r="B535" s="790">
        <v>34141.0</v>
      </c>
      <c r="C535" s="791" t="s">
        <v>13007</v>
      </c>
      <c r="D535" s="791" t="s">
        <v>4540</v>
      </c>
      <c r="E535" s="792" t="str">
        <f>IFERROR(VLOOKUP(D535,Stock,3,FALSE),"")</f>
        <v>Nissan Datsun Go/Go+ 14- (3-Baris)</v>
      </c>
      <c r="F535" s="791">
        <v>1.0</v>
      </c>
      <c r="G535" s="842">
        <v>388000.0</v>
      </c>
      <c r="H535" s="811">
        <f t="shared" si="15"/>
        <v>388000</v>
      </c>
      <c r="I535" s="809"/>
      <c r="J535" s="819"/>
      <c r="K535" s="799" t="s">
        <v>4258</v>
      </c>
      <c r="L535" s="799" t="s">
        <v>12235</v>
      </c>
      <c r="M535" s="846" t="s">
        <v>12809</v>
      </c>
      <c r="N535" s="847">
        <v>45535.0</v>
      </c>
      <c r="O535" s="823"/>
    </row>
    <row r="536" ht="15.0" customHeight="1">
      <c r="A536" s="789">
        <v>45516.0</v>
      </c>
      <c r="B536" s="790">
        <v>2408341.0</v>
      </c>
      <c r="C536" s="791" t="s">
        <v>11484</v>
      </c>
      <c r="D536" s="791" t="s">
        <v>4391</v>
      </c>
      <c r="E536" s="792" t="str">
        <f>IFERROR(VLOOKUP(D536,Stock,3,FALSE),"")</f>
        <v>Toyota NAV1/Noah 07-17</v>
      </c>
      <c r="F536" s="791">
        <v>1.0</v>
      </c>
      <c r="G536" s="842">
        <v>1478950.0</v>
      </c>
      <c r="H536" s="810">
        <f t="shared" si="15"/>
        <v>1478950</v>
      </c>
      <c r="I536" s="809">
        <v>1478950.0</v>
      </c>
      <c r="J536" s="848">
        <v>45576.0</v>
      </c>
      <c r="K536" s="799" t="s">
        <v>4258</v>
      </c>
      <c r="L536" s="799" t="s">
        <v>12235</v>
      </c>
      <c r="M536" s="846" t="s">
        <v>12809</v>
      </c>
      <c r="N536" s="820">
        <v>45573.0</v>
      </c>
      <c r="O536" s="823"/>
    </row>
    <row r="537" ht="15.0" customHeight="1">
      <c r="A537" s="789">
        <v>45517.0</v>
      </c>
      <c r="B537" s="790">
        <v>2408400.0</v>
      </c>
      <c r="C537" s="791" t="s">
        <v>11484</v>
      </c>
      <c r="D537" s="791" t="s">
        <v>3149</v>
      </c>
      <c r="E537" s="792" t="str">
        <f>IFERROR(VLOOKUP(D537,Stock,3,FALSE),"")</f>
        <v>Honda CR-V 12-16 4th Gen [Rata]</v>
      </c>
      <c r="F537" s="791">
        <v>1.0</v>
      </c>
      <c r="G537" s="842">
        <v>595000.0</v>
      </c>
      <c r="H537" s="810">
        <f t="shared" si="15"/>
        <v>595000</v>
      </c>
      <c r="I537" s="809">
        <v>595000.0</v>
      </c>
      <c r="J537" s="848">
        <v>45577.0</v>
      </c>
      <c r="K537" s="799" t="s">
        <v>4258</v>
      </c>
      <c r="L537" s="799" t="s">
        <v>12235</v>
      </c>
      <c r="M537" s="818" t="s">
        <v>12809</v>
      </c>
      <c r="N537" s="820">
        <v>45574.0</v>
      </c>
      <c r="O537" s="823"/>
    </row>
    <row r="538" ht="15.0" customHeight="1">
      <c r="A538" s="789">
        <v>45517.0</v>
      </c>
      <c r="B538" s="790">
        <v>2408400.0</v>
      </c>
      <c r="C538" s="791" t="s">
        <v>11484</v>
      </c>
      <c r="D538" s="791" t="s">
        <v>3638</v>
      </c>
      <c r="E538" s="792" t="str">
        <f>IFERROR(VLOOKUP(D538,Stock,3,FALSE),"")</f>
        <v>Mitsubishi Xpander 17-21</v>
      </c>
      <c r="F538" s="791">
        <v>2.0</v>
      </c>
      <c r="G538" s="842">
        <v>292000.0</v>
      </c>
      <c r="H538" s="810">
        <f t="shared" si="15"/>
        <v>584000</v>
      </c>
      <c r="I538" s="809">
        <v>584000.0</v>
      </c>
      <c r="J538" s="848">
        <v>45577.0</v>
      </c>
      <c r="K538" s="799" t="s">
        <v>4258</v>
      </c>
      <c r="L538" s="799" t="s">
        <v>12235</v>
      </c>
      <c r="M538" s="818" t="s">
        <v>12809</v>
      </c>
      <c r="N538" s="820">
        <v>45574.0</v>
      </c>
      <c r="O538" s="823"/>
    </row>
    <row r="539" ht="15.0" customHeight="1">
      <c r="A539" s="789">
        <v>45517.0</v>
      </c>
      <c r="B539" s="790">
        <v>2408400.0</v>
      </c>
      <c r="C539" s="791" t="s">
        <v>11484</v>
      </c>
      <c r="D539" s="791" t="s">
        <v>3085</v>
      </c>
      <c r="E539" s="792" t="str">
        <f>IFERROR(VLOOKUP(D539,Stock,3,FALSE),"")</f>
        <v>Honda Jazz 07-13 2nd Gen</v>
      </c>
      <c r="F539" s="791">
        <v>2.0</v>
      </c>
      <c r="G539" s="842">
        <v>525000.0</v>
      </c>
      <c r="H539" s="810">
        <f t="shared" si="15"/>
        <v>1050000</v>
      </c>
      <c r="I539" s="809">
        <v>1050000.0</v>
      </c>
      <c r="J539" s="848">
        <v>45577.0</v>
      </c>
      <c r="K539" s="799" t="s">
        <v>4258</v>
      </c>
      <c r="L539" s="799" t="s">
        <v>12235</v>
      </c>
      <c r="M539" s="818" t="s">
        <v>12809</v>
      </c>
      <c r="N539" s="820">
        <v>45574.0</v>
      </c>
      <c r="O539" s="823"/>
    </row>
    <row r="540" ht="15.0" customHeight="1">
      <c r="A540" s="789">
        <v>45517.0</v>
      </c>
      <c r="B540" s="790">
        <v>2408400.0</v>
      </c>
      <c r="C540" s="791" t="s">
        <v>11484</v>
      </c>
      <c r="D540" s="791" t="s">
        <v>6918</v>
      </c>
      <c r="E540" s="792" t="str">
        <f>IFERROR(VLOOKUP(D540,Stock,3,FALSE),"")</f>
        <v>Wuling Almaz</v>
      </c>
      <c r="F540" s="791">
        <v>2.0</v>
      </c>
      <c r="G540" s="842">
        <v>1016400.0</v>
      </c>
      <c r="H540" s="810">
        <f t="shared" si="15"/>
        <v>2032800</v>
      </c>
      <c r="I540" s="809">
        <v>2032800.0</v>
      </c>
      <c r="J540" s="848">
        <v>45577.0</v>
      </c>
      <c r="K540" s="799" t="s">
        <v>4258</v>
      </c>
      <c r="L540" s="799" t="s">
        <v>12235</v>
      </c>
      <c r="M540" s="818" t="s">
        <v>12809</v>
      </c>
      <c r="N540" s="820">
        <v>45574.0</v>
      </c>
      <c r="O540" s="823"/>
    </row>
    <row r="541" ht="15.0" customHeight="1">
      <c r="A541" s="789">
        <v>45517.0</v>
      </c>
      <c r="B541" s="790">
        <v>2408400.0</v>
      </c>
      <c r="C541" s="791" t="s">
        <v>11484</v>
      </c>
      <c r="D541" s="791" t="s">
        <v>3201</v>
      </c>
      <c r="E541" s="792" t="str">
        <f>IFERROR(VLOOKUP(D541,Stock,3,FALSE),"")</f>
        <v>Honda Freed 08-16 1st gen</v>
      </c>
      <c r="F541" s="791">
        <v>2.0</v>
      </c>
      <c r="G541" s="842">
        <v>779900.0</v>
      </c>
      <c r="H541" s="810">
        <f t="shared" si="15"/>
        <v>1559800</v>
      </c>
      <c r="I541" s="809">
        <v>1559800.0</v>
      </c>
      <c r="J541" s="848">
        <v>45577.0</v>
      </c>
      <c r="K541" s="799" t="s">
        <v>4258</v>
      </c>
      <c r="L541" s="799" t="s">
        <v>12235</v>
      </c>
      <c r="M541" s="818" t="s">
        <v>12809</v>
      </c>
      <c r="N541" s="820">
        <v>45574.0</v>
      </c>
      <c r="O541" s="823"/>
    </row>
    <row r="542" ht="15.0" customHeight="1">
      <c r="A542" s="789">
        <v>45517.0</v>
      </c>
      <c r="B542" s="790">
        <v>2408400.0</v>
      </c>
      <c r="C542" s="791" t="s">
        <v>11484</v>
      </c>
      <c r="D542" s="791" t="s">
        <v>3020</v>
      </c>
      <c r="E542" s="792" t="str">
        <f>IFERROR(VLOOKUP(D542,Stock,3,FALSE),"")</f>
        <v>Toyota Vios 07-13 XP90 2nd Gen</v>
      </c>
      <c r="F542" s="791">
        <v>1.0</v>
      </c>
      <c r="G542" s="842">
        <v>689000.0</v>
      </c>
      <c r="H542" s="810">
        <f t="shared" si="15"/>
        <v>689000</v>
      </c>
      <c r="I542" s="809">
        <v>689000.0</v>
      </c>
      <c r="J542" s="848">
        <v>45577.0</v>
      </c>
      <c r="K542" s="799" t="s">
        <v>4258</v>
      </c>
      <c r="L542" s="799" t="s">
        <v>12235</v>
      </c>
      <c r="M542" s="818" t="s">
        <v>12809</v>
      </c>
      <c r="N542" s="820">
        <v>45574.0</v>
      </c>
      <c r="O542" s="823"/>
    </row>
    <row r="543" ht="15.0" customHeight="1">
      <c r="A543" s="789">
        <v>45517.0</v>
      </c>
      <c r="B543" s="790">
        <v>2408400.0</v>
      </c>
      <c r="C543" s="791" t="s">
        <v>11484</v>
      </c>
      <c r="D543" s="791" t="s">
        <v>2751</v>
      </c>
      <c r="E543" s="792" t="str">
        <f>IFERROR(VLOOKUP(D543,Stock,3,FALSE),"")</f>
        <v>Wuling Cortez</v>
      </c>
      <c r="F543" s="791">
        <v>3.0</v>
      </c>
      <c r="G543" s="842">
        <v>628650.0</v>
      </c>
      <c r="H543" s="810">
        <f t="shared" si="15"/>
        <v>1885950</v>
      </c>
      <c r="I543" s="809">
        <v>1885950.0</v>
      </c>
      <c r="J543" s="848">
        <v>45577.0</v>
      </c>
      <c r="K543" s="799" t="s">
        <v>4258</v>
      </c>
      <c r="L543" s="799" t="s">
        <v>12235</v>
      </c>
      <c r="M543" s="818" t="s">
        <v>12809</v>
      </c>
      <c r="N543" s="820">
        <v>45574.0</v>
      </c>
      <c r="O543" s="823"/>
    </row>
    <row r="544" ht="15.0" customHeight="1">
      <c r="A544" s="789">
        <v>45517.0</v>
      </c>
      <c r="B544" s="790">
        <v>2408408.0</v>
      </c>
      <c r="C544" s="791" t="s">
        <v>11484</v>
      </c>
      <c r="D544" s="791" t="s">
        <v>3574</v>
      </c>
      <c r="E544" s="792" t="str">
        <f>IFERROR(VLOOKUP(D544,Stock,3,FALSE),"")</f>
        <v>Toyota Rush / Terios 06-17</v>
      </c>
      <c r="F544" s="791">
        <v>3.0</v>
      </c>
      <c r="G544" s="842">
        <v>350000.0</v>
      </c>
      <c r="H544" s="811">
        <f t="shared" si="15"/>
        <v>1050000</v>
      </c>
      <c r="I544" s="809">
        <v>1050000.0</v>
      </c>
      <c r="J544" s="848">
        <v>45577.0</v>
      </c>
      <c r="K544" s="799" t="s">
        <v>4258</v>
      </c>
      <c r="L544" s="799" t="s">
        <v>12235</v>
      </c>
      <c r="M544" s="818" t="s">
        <v>12809</v>
      </c>
      <c r="N544" s="820">
        <v>45574.0</v>
      </c>
      <c r="O544" s="823"/>
    </row>
    <row r="545" ht="15.0" customHeight="1">
      <c r="A545" s="789">
        <v>45517.0</v>
      </c>
      <c r="B545" s="790">
        <v>2408408.0</v>
      </c>
      <c r="C545" s="791" t="s">
        <v>11484</v>
      </c>
      <c r="D545" s="791" t="s">
        <v>2647</v>
      </c>
      <c r="E545" s="792" t="str">
        <f>IFERROR(VLOOKUP(D545,Stock,3,FALSE),"")</f>
        <v>Honda City 96-02 3rdGen (City Z)</v>
      </c>
      <c r="F545" s="791">
        <v>1.0</v>
      </c>
      <c r="G545" s="842">
        <v>654500.0</v>
      </c>
      <c r="H545" s="811">
        <f t="shared" si="15"/>
        <v>654500</v>
      </c>
      <c r="I545" s="809">
        <v>654500.0</v>
      </c>
      <c r="J545" s="848">
        <v>45577.0</v>
      </c>
      <c r="K545" s="799" t="s">
        <v>4258</v>
      </c>
      <c r="L545" s="799" t="s">
        <v>12235</v>
      </c>
      <c r="M545" s="818" t="s">
        <v>12809</v>
      </c>
      <c r="N545" s="820">
        <v>45574.0</v>
      </c>
      <c r="O545" s="823"/>
    </row>
    <row r="546" ht="15.0" customHeight="1">
      <c r="A546" s="789">
        <v>45517.0</v>
      </c>
      <c r="B546" s="790">
        <v>2408444.0</v>
      </c>
      <c r="C546" s="791" t="s">
        <v>11484</v>
      </c>
      <c r="D546" s="791" t="s">
        <v>4545</v>
      </c>
      <c r="E546" s="792" t="str">
        <f>IFERROR(VLOOKUP(D546,Stock,3,FALSE),"")</f>
        <v>Toyota Hilux Pickup 15- (Revo)</v>
      </c>
      <c r="F546" s="791">
        <v>2.0</v>
      </c>
      <c r="G546" s="842">
        <v>255200.0</v>
      </c>
      <c r="H546" s="811">
        <f t="shared" si="15"/>
        <v>510400</v>
      </c>
      <c r="I546" s="809">
        <v>510400.0</v>
      </c>
      <c r="J546" s="848">
        <v>45577.0</v>
      </c>
      <c r="K546" s="799" t="s">
        <v>4258</v>
      </c>
      <c r="L546" s="799" t="s">
        <v>12235</v>
      </c>
      <c r="M546" s="818" t="s">
        <v>12809</v>
      </c>
      <c r="N546" s="820">
        <v>45574.0</v>
      </c>
      <c r="O546" s="823"/>
    </row>
    <row r="547" ht="15.0" customHeight="1">
      <c r="A547" s="789">
        <v>45517.0</v>
      </c>
      <c r="B547" s="790">
        <v>2408444.0</v>
      </c>
      <c r="C547" s="791" t="s">
        <v>11484</v>
      </c>
      <c r="D547" s="791" t="s">
        <v>4546</v>
      </c>
      <c r="E547" s="792" t="str">
        <f>IFERROR(VLOOKUP(D547,Stock,3,FALSE),"")</f>
        <v>Toyota Hilux Pickup 15- (Revo)</v>
      </c>
      <c r="F547" s="791">
        <v>2.0</v>
      </c>
      <c r="G547" s="842">
        <v>255200.0</v>
      </c>
      <c r="H547" s="811">
        <f t="shared" si="15"/>
        <v>510400</v>
      </c>
      <c r="I547" s="809">
        <v>510400.0</v>
      </c>
      <c r="J547" s="848">
        <v>45577.0</v>
      </c>
      <c r="K547" s="799" t="s">
        <v>4258</v>
      </c>
      <c r="L547" s="799" t="s">
        <v>12235</v>
      </c>
      <c r="M547" s="818" t="s">
        <v>12809</v>
      </c>
      <c r="N547" s="820">
        <v>45574.0</v>
      </c>
      <c r="O547" s="823"/>
    </row>
    <row r="548" ht="15.0" customHeight="1">
      <c r="A548" s="789">
        <v>45519.0</v>
      </c>
      <c r="B548" s="790">
        <v>2408491.0</v>
      </c>
      <c r="C548" s="791" t="s">
        <v>11484</v>
      </c>
      <c r="D548" s="791" t="s">
        <v>4570</v>
      </c>
      <c r="E548" s="792" t="str">
        <f>IFERROR(VLOOKUP(D548,Stock,3,FALSE),"")</f>
        <v>Daihatsu Sirion 04-10 1st Gen</v>
      </c>
      <c r="F548" s="791">
        <v>1.0</v>
      </c>
      <c r="G548" s="842">
        <v>725450.0</v>
      </c>
      <c r="H548" s="811">
        <f t="shared" si="15"/>
        <v>725450</v>
      </c>
      <c r="I548" s="809">
        <v>725450.0</v>
      </c>
      <c r="J548" s="848">
        <v>45579.0</v>
      </c>
      <c r="K548" s="799" t="s">
        <v>4258</v>
      </c>
      <c r="L548" s="799" t="s">
        <v>12235</v>
      </c>
      <c r="M548" s="846" t="s">
        <v>12809</v>
      </c>
      <c r="N548" s="820">
        <v>45575.0</v>
      </c>
      <c r="O548" s="823"/>
    </row>
    <row r="549" ht="15.0" customHeight="1">
      <c r="A549" s="789">
        <v>45519.0</v>
      </c>
      <c r="B549" s="790">
        <v>2408491.0</v>
      </c>
      <c r="C549" s="791" t="s">
        <v>11484</v>
      </c>
      <c r="D549" s="791" t="s">
        <v>2700</v>
      </c>
      <c r="E549" s="792" t="str">
        <f>IFERROR(VLOOKUP(D549,Stock,3,FALSE),"")</f>
        <v>Honda Accord 98-02 S84/S86 6th Gen</v>
      </c>
      <c r="F549" s="791">
        <v>2.0</v>
      </c>
      <c r="G549" s="842">
        <v>904750.0</v>
      </c>
      <c r="H549" s="811">
        <f t="shared" si="15"/>
        <v>1809500</v>
      </c>
      <c r="I549" s="809">
        <v>1809500.0</v>
      </c>
      <c r="J549" s="848">
        <v>45579.0</v>
      </c>
      <c r="K549" s="799" t="s">
        <v>4258</v>
      </c>
      <c r="L549" s="799" t="s">
        <v>12235</v>
      </c>
      <c r="M549" s="846" t="s">
        <v>12809</v>
      </c>
      <c r="N549" s="820">
        <v>45575.0</v>
      </c>
      <c r="O549" s="823"/>
    </row>
    <row r="550" ht="15.0" customHeight="1">
      <c r="A550" s="789">
        <v>45519.0</v>
      </c>
      <c r="B550" s="790">
        <v>2408511.0</v>
      </c>
      <c r="C550" s="791" t="s">
        <v>11484</v>
      </c>
      <c r="D550" s="791" t="s">
        <v>2709</v>
      </c>
      <c r="E550" s="792" t="str">
        <f>IFERROR(VLOOKUP(D550,Stock,3,FALSE),"")</f>
        <v>Isuzu Panther 91-99 1st Gen Kotak</v>
      </c>
      <c r="F550" s="791">
        <v>2.0</v>
      </c>
      <c r="G550" s="842">
        <v>486750.0</v>
      </c>
      <c r="H550" s="811">
        <f t="shared" si="15"/>
        <v>973500</v>
      </c>
      <c r="I550" s="809">
        <v>973500.0</v>
      </c>
      <c r="J550" s="848">
        <v>45579.0</v>
      </c>
      <c r="K550" s="799" t="s">
        <v>4258</v>
      </c>
      <c r="L550" s="799" t="s">
        <v>12235</v>
      </c>
      <c r="M550" s="846" t="s">
        <v>12809</v>
      </c>
      <c r="N550" s="820">
        <v>45575.0</v>
      </c>
      <c r="O550" s="823"/>
    </row>
    <row r="551" ht="15.0" customHeight="1">
      <c r="A551" s="789">
        <v>45523.0</v>
      </c>
      <c r="B551" s="790">
        <v>2408564.0</v>
      </c>
      <c r="C551" s="791" t="s">
        <v>11484</v>
      </c>
      <c r="D551" s="791" t="s">
        <v>4613</v>
      </c>
      <c r="E551" s="792" t="str">
        <f>IFERROR(VLOOKUP(D551,Stock,3,FALSE),"")</f>
        <v>Honda Freed 08-16 1st gen</v>
      </c>
      <c r="F551" s="791">
        <v>3.0</v>
      </c>
      <c r="G551" s="842">
        <v>637000.0</v>
      </c>
      <c r="H551" s="811">
        <f t="shared" si="15"/>
        <v>1911000</v>
      </c>
      <c r="I551" s="809">
        <v>1911000.0</v>
      </c>
      <c r="J551" s="848">
        <v>45583.0</v>
      </c>
      <c r="K551" s="799" t="s">
        <v>4258</v>
      </c>
      <c r="L551" s="799" t="s">
        <v>12235</v>
      </c>
      <c r="M551" s="818" t="s">
        <v>12809</v>
      </c>
      <c r="N551" s="820">
        <v>45581.0</v>
      </c>
      <c r="O551" s="823"/>
    </row>
    <row r="552" ht="15.0" customHeight="1">
      <c r="A552" s="789">
        <v>45523.0</v>
      </c>
      <c r="B552" s="790">
        <v>2408564.0</v>
      </c>
      <c r="C552" s="791" t="s">
        <v>11484</v>
      </c>
      <c r="D552" s="791" t="s">
        <v>3104</v>
      </c>
      <c r="E552" s="792" t="str">
        <f>IFERROR(VLOOKUP(D552,Stock,3,FALSE),"")</f>
        <v>Toyota Innova 15- 2nd Gen</v>
      </c>
      <c r="F552" s="791">
        <v>3.0</v>
      </c>
      <c r="G552" s="842">
        <v>467000.0</v>
      </c>
      <c r="H552" s="811">
        <f t="shared" si="15"/>
        <v>1401000</v>
      </c>
      <c r="I552" s="809">
        <v>1401000.0</v>
      </c>
      <c r="J552" s="848">
        <v>45583.0</v>
      </c>
      <c r="K552" s="799" t="s">
        <v>4258</v>
      </c>
      <c r="L552" s="799" t="s">
        <v>12235</v>
      </c>
      <c r="M552" s="818" t="s">
        <v>12809</v>
      </c>
      <c r="N552" s="820">
        <v>45581.0</v>
      </c>
      <c r="O552" s="823"/>
    </row>
    <row r="553" ht="15.0" customHeight="1">
      <c r="A553" s="789">
        <v>45523.0</v>
      </c>
      <c r="B553" s="790">
        <v>2408564.0</v>
      </c>
      <c r="C553" s="791" t="s">
        <v>11484</v>
      </c>
      <c r="D553" s="791" t="s">
        <v>3426</v>
      </c>
      <c r="E553" s="792" t="str">
        <f>IFERROR(VLOOKUP(D553,Stock,3,FALSE),"")</f>
        <v>Toyota Rush / Terios 06-17</v>
      </c>
      <c r="F553" s="791">
        <v>2.0</v>
      </c>
      <c r="G553" s="842">
        <v>329000.0</v>
      </c>
      <c r="H553" s="811">
        <f t="shared" si="15"/>
        <v>658000</v>
      </c>
      <c r="I553" s="809">
        <v>658000.0</v>
      </c>
      <c r="J553" s="848">
        <v>45583.0</v>
      </c>
      <c r="K553" s="799" t="s">
        <v>4258</v>
      </c>
      <c r="L553" s="799" t="s">
        <v>12235</v>
      </c>
      <c r="M553" s="818" t="s">
        <v>12809</v>
      </c>
      <c r="N553" s="820">
        <v>45581.0</v>
      </c>
      <c r="O553" s="823"/>
    </row>
    <row r="554" ht="15.0" customHeight="1">
      <c r="A554" s="789">
        <v>45517.0</v>
      </c>
      <c r="B554" s="790" t="s">
        <v>13008</v>
      </c>
      <c r="C554" s="791" t="s">
        <v>3091</v>
      </c>
      <c r="D554" s="791" t="s">
        <v>2730</v>
      </c>
      <c r="E554" s="792" t="str">
        <f>IFERROR(VLOOKUP(D554,Stock,3,FALSE),"")</f>
        <v>Honda HR-V 14-21 5D SUV (Honda)</v>
      </c>
      <c r="F554" s="791">
        <v>2.0</v>
      </c>
      <c r="G554" s="842">
        <v>1000000.0</v>
      </c>
      <c r="H554" s="811">
        <f t="shared" si="15"/>
        <v>2000000</v>
      </c>
      <c r="I554" s="809">
        <v>2000000.0</v>
      </c>
      <c r="J554" s="848">
        <v>45577.0</v>
      </c>
      <c r="K554" s="799" t="s">
        <v>4258</v>
      </c>
      <c r="L554" s="799" t="s">
        <v>12235</v>
      </c>
      <c r="M554" s="818" t="s">
        <v>12809</v>
      </c>
      <c r="N554" s="820">
        <v>45644.0</v>
      </c>
      <c r="O554" s="823"/>
    </row>
    <row r="555" ht="15.0" customHeight="1">
      <c r="A555" s="789">
        <v>45517.0</v>
      </c>
      <c r="B555" s="790" t="s">
        <v>13008</v>
      </c>
      <c r="C555" s="791" t="s">
        <v>3091</v>
      </c>
      <c r="D555" s="791" t="s">
        <v>2557</v>
      </c>
      <c r="E555" s="792" t="str">
        <f>IFERROR(VLOOKUP(D555,Stock,3,FALSE),"")</f>
        <v>Toyota Fortuner 05-15 1st Gen (Toyota)</v>
      </c>
      <c r="F555" s="791">
        <v>2.0</v>
      </c>
      <c r="G555" s="842">
        <v>1005000.0</v>
      </c>
      <c r="H555" s="811">
        <f t="shared" si="15"/>
        <v>2010000</v>
      </c>
      <c r="I555" s="809">
        <v>2010000.0</v>
      </c>
      <c r="J555" s="848">
        <v>45577.0</v>
      </c>
      <c r="K555" s="799" t="s">
        <v>4258</v>
      </c>
      <c r="L555" s="799" t="s">
        <v>12235</v>
      </c>
      <c r="M555" s="818" t="s">
        <v>12809</v>
      </c>
      <c r="N555" s="820">
        <v>45644.0</v>
      </c>
      <c r="O555" s="823"/>
    </row>
    <row r="556" ht="15.0" customHeight="1">
      <c r="A556" s="789">
        <v>45517.0</v>
      </c>
      <c r="B556" s="790" t="s">
        <v>13008</v>
      </c>
      <c r="C556" s="791" t="s">
        <v>3091</v>
      </c>
      <c r="D556" s="791" t="s">
        <v>2694</v>
      </c>
      <c r="E556" s="792" t="str">
        <f>IFERROR(VLOOKUP(D556,Stock,3,FALSE),"")</f>
        <v>Honda CR-V 17-23 5th Gen</v>
      </c>
      <c r="F556" s="791">
        <v>2.0</v>
      </c>
      <c r="G556" s="842">
        <v>700000.0</v>
      </c>
      <c r="H556" s="811">
        <f t="shared" si="15"/>
        <v>1400000</v>
      </c>
      <c r="I556" s="809">
        <f>H556</f>
        <v>1400000</v>
      </c>
      <c r="J556" s="848">
        <v>45577.0</v>
      </c>
      <c r="K556" s="799" t="s">
        <v>4258</v>
      </c>
      <c r="L556" s="799" t="s">
        <v>12235</v>
      </c>
      <c r="M556" s="818" t="s">
        <v>12809</v>
      </c>
      <c r="N556" s="820">
        <v>45644.0</v>
      </c>
      <c r="O556" s="823"/>
    </row>
    <row r="557" ht="15.0" customHeight="1">
      <c r="A557" s="789">
        <v>45520.0</v>
      </c>
      <c r="B557" s="790" t="s">
        <v>13009</v>
      </c>
      <c r="C557" s="791" t="s">
        <v>3076</v>
      </c>
      <c r="D557" s="791" t="s">
        <v>4376</v>
      </c>
      <c r="E557" s="792" t="str">
        <f>IFERROR(VLOOKUP(D557,Stock,3,FALSE),"")</f>
        <v>Chevrolet Optra 03-</v>
      </c>
      <c r="F557" s="791">
        <v>1.0</v>
      </c>
      <c r="G557" s="842">
        <v>1087185.0</v>
      </c>
      <c r="H557" s="811">
        <f t="shared" si="15"/>
        <v>1087185</v>
      </c>
      <c r="I557" s="809"/>
      <c r="J557" s="819"/>
      <c r="K557" s="799" t="s">
        <v>4258</v>
      </c>
      <c r="L557" s="799" t="s">
        <v>12235</v>
      </c>
      <c r="M557" s="818" t="s">
        <v>12809</v>
      </c>
      <c r="N557" s="820">
        <v>45523.0</v>
      </c>
      <c r="O557" s="823"/>
    </row>
    <row r="558" ht="15.0" customHeight="1">
      <c r="A558" s="789">
        <v>45520.0</v>
      </c>
      <c r="B558" s="790" t="s">
        <v>13009</v>
      </c>
      <c r="C558" s="791" t="s">
        <v>3076</v>
      </c>
      <c r="D558" s="791" t="s">
        <v>4538</v>
      </c>
      <c r="E558" s="792" t="str">
        <f>IFERROR(VLOOKUP(D558,Stock,3,FALSE),"")</f>
        <v>Ford Ranger 02-11 (Pick Up)</v>
      </c>
      <c r="F558" s="791">
        <v>1.0</v>
      </c>
      <c r="G558" s="842">
        <v>290000.0</v>
      </c>
      <c r="H558" s="811">
        <f t="shared" si="15"/>
        <v>290000</v>
      </c>
      <c r="I558" s="809"/>
      <c r="J558" s="819"/>
      <c r="K558" s="799" t="s">
        <v>4258</v>
      </c>
      <c r="L558" s="799" t="s">
        <v>12235</v>
      </c>
      <c r="M558" s="818" t="s">
        <v>12809</v>
      </c>
      <c r="N558" s="820">
        <v>45523.0</v>
      </c>
      <c r="O558" s="823"/>
    </row>
    <row r="559" ht="15.0" customHeight="1">
      <c r="A559" s="789">
        <v>45520.0</v>
      </c>
      <c r="B559" s="790" t="s">
        <v>13009</v>
      </c>
      <c r="C559" s="791" t="s">
        <v>3076</v>
      </c>
      <c r="D559" s="791" t="s">
        <v>2934</v>
      </c>
      <c r="E559" s="792" t="str">
        <f>IFERROR(VLOOKUP(D559,Stock,3,FALSE),"")</f>
        <v>Peti Kayu</v>
      </c>
      <c r="F559" s="791">
        <v>1.0</v>
      </c>
      <c r="G559" s="842">
        <v>150000.0</v>
      </c>
      <c r="H559" s="811">
        <f t="shared" si="15"/>
        <v>150000</v>
      </c>
      <c r="I559" s="809"/>
      <c r="J559" s="819"/>
      <c r="K559" s="799" t="s">
        <v>4258</v>
      </c>
      <c r="L559" s="799" t="s">
        <v>12235</v>
      </c>
      <c r="M559" s="818" t="s">
        <v>12809</v>
      </c>
      <c r="N559" s="820">
        <v>45523.0</v>
      </c>
      <c r="O559" s="823"/>
    </row>
    <row r="560" ht="15.0" customHeight="1">
      <c r="A560" s="789">
        <v>45523.0</v>
      </c>
      <c r="B560" s="790" t="s">
        <v>13010</v>
      </c>
      <c r="C560" s="791" t="s">
        <v>12981</v>
      </c>
      <c r="D560" s="791" t="s">
        <v>13011</v>
      </c>
      <c r="E560" s="792" t="str">
        <f>IFERROR(VLOOKUP(D560,Stock,3,FALSE),"")</f>
        <v/>
      </c>
      <c r="F560" s="791">
        <v>1.0</v>
      </c>
      <c r="G560" s="842">
        <v>650000.0</v>
      </c>
      <c r="H560" s="811">
        <f t="shared" si="15"/>
        <v>650000</v>
      </c>
      <c r="I560" s="809">
        <f t="shared" ref="I560:I563" si="17">H560</f>
        <v>650000</v>
      </c>
      <c r="J560" s="819"/>
      <c r="K560" s="819"/>
      <c r="L560" s="799" t="s">
        <v>12235</v>
      </c>
      <c r="M560" s="818" t="s">
        <v>12809</v>
      </c>
      <c r="N560" s="820">
        <v>45555.0</v>
      </c>
      <c r="O560" s="823"/>
    </row>
    <row r="561" ht="15.0" customHeight="1">
      <c r="A561" s="789">
        <v>45523.0</v>
      </c>
      <c r="B561" s="790" t="s">
        <v>13010</v>
      </c>
      <c r="C561" s="791" t="s">
        <v>12981</v>
      </c>
      <c r="D561" s="791" t="s">
        <v>13012</v>
      </c>
      <c r="E561" s="792" t="str">
        <f>IFERROR(VLOOKUP(D561,Stock,3,FALSE),"")</f>
        <v/>
      </c>
      <c r="F561" s="791">
        <v>2.0</v>
      </c>
      <c r="G561" s="842">
        <v>80000.0</v>
      </c>
      <c r="H561" s="811">
        <f t="shared" si="15"/>
        <v>160000</v>
      </c>
      <c r="I561" s="809">
        <f t="shared" si="17"/>
        <v>160000</v>
      </c>
      <c r="J561" s="819"/>
      <c r="K561" s="819"/>
      <c r="L561" s="799" t="s">
        <v>12235</v>
      </c>
      <c r="M561" s="818" t="s">
        <v>12809</v>
      </c>
      <c r="N561" s="820">
        <v>45555.0</v>
      </c>
      <c r="O561" s="823"/>
    </row>
    <row r="562" ht="15.0" customHeight="1">
      <c r="A562" s="789">
        <v>45523.0</v>
      </c>
      <c r="B562" s="790" t="s">
        <v>13010</v>
      </c>
      <c r="C562" s="791" t="s">
        <v>12981</v>
      </c>
      <c r="D562" s="791" t="s">
        <v>13013</v>
      </c>
      <c r="E562" s="792" t="str">
        <f>IFERROR(VLOOKUP(D562,Stock,3,FALSE),"")</f>
        <v/>
      </c>
      <c r="F562" s="791">
        <v>2.0</v>
      </c>
      <c r="G562" s="842">
        <v>200000.0</v>
      </c>
      <c r="H562" s="811">
        <f t="shared" si="15"/>
        <v>400000</v>
      </c>
      <c r="I562" s="809">
        <f t="shared" si="17"/>
        <v>400000</v>
      </c>
      <c r="J562" s="819"/>
      <c r="K562" s="819"/>
      <c r="L562" s="799" t="s">
        <v>12235</v>
      </c>
      <c r="M562" s="818" t="s">
        <v>12809</v>
      </c>
      <c r="N562" s="820">
        <v>45555.0</v>
      </c>
      <c r="O562" s="823"/>
    </row>
    <row r="563" ht="15.0" customHeight="1">
      <c r="A563" s="789">
        <v>45523.0</v>
      </c>
      <c r="B563" s="790" t="s">
        <v>13010</v>
      </c>
      <c r="C563" s="791" t="s">
        <v>12981</v>
      </c>
      <c r="D563" s="791" t="s">
        <v>13014</v>
      </c>
      <c r="E563" s="792"/>
      <c r="F563" s="791">
        <v>1.0</v>
      </c>
      <c r="G563" s="842">
        <v>4850000.0</v>
      </c>
      <c r="H563" s="811">
        <f t="shared" si="15"/>
        <v>4850000</v>
      </c>
      <c r="I563" s="809">
        <f t="shared" si="17"/>
        <v>4850000</v>
      </c>
      <c r="J563" s="848"/>
      <c r="K563" s="799"/>
      <c r="L563" s="799" t="s">
        <v>12235</v>
      </c>
      <c r="M563" s="818" t="s">
        <v>12809</v>
      </c>
      <c r="N563" s="820">
        <v>45555.0</v>
      </c>
      <c r="O563" s="823"/>
    </row>
    <row r="564" ht="15.0" customHeight="1">
      <c r="A564" s="789">
        <v>45524.0</v>
      </c>
      <c r="B564" s="790">
        <v>2408603.0</v>
      </c>
      <c r="C564" s="791" t="s">
        <v>11484</v>
      </c>
      <c r="D564" s="791" t="s">
        <v>3104</v>
      </c>
      <c r="E564" s="792" t="str">
        <f>IFERROR(VLOOKUP(D564,Stock,3,FALSE),"")</f>
        <v>Toyota Innova 15- 2nd Gen</v>
      </c>
      <c r="F564" s="791">
        <v>2.0</v>
      </c>
      <c r="G564" s="842">
        <v>467000.0</v>
      </c>
      <c r="H564" s="811">
        <f t="shared" si="15"/>
        <v>934000</v>
      </c>
      <c r="I564" s="809">
        <v>934000.0</v>
      </c>
      <c r="J564" s="848">
        <v>45584.0</v>
      </c>
      <c r="K564" s="799" t="s">
        <v>4258</v>
      </c>
      <c r="L564" s="799" t="s">
        <v>12235</v>
      </c>
      <c r="M564" s="818" t="s">
        <v>12809</v>
      </c>
      <c r="N564" s="820">
        <v>45581.0</v>
      </c>
      <c r="O564" s="823"/>
    </row>
    <row r="565" ht="15.0" customHeight="1">
      <c r="A565" s="789">
        <v>45524.0</v>
      </c>
      <c r="B565" s="790">
        <v>2408603.0</v>
      </c>
      <c r="C565" s="791" t="s">
        <v>11484</v>
      </c>
      <c r="D565" s="791" t="s">
        <v>3366</v>
      </c>
      <c r="E565" s="792" t="str">
        <f>IFERROR(VLOOKUP(D565,Stock,3,FALSE),"")</f>
        <v>Toyota Hi-Ace 04-20 Commuter (Clear)</v>
      </c>
      <c r="F565" s="791">
        <v>2.0</v>
      </c>
      <c r="G565" s="842">
        <v>788000.0</v>
      </c>
      <c r="H565" s="811">
        <f t="shared" si="15"/>
        <v>1576000</v>
      </c>
      <c r="I565" s="809">
        <v>1576000.0</v>
      </c>
      <c r="J565" s="848">
        <v>45584.0</v>
      </c>
      <c r="K565" s="799" t="s">
        <v>4258</v>
      </c>
      <c r="L565" s="799" t="s">
        <v>12235</v>
      </c>
      <c r="M565" s="818" t="s">
        <v>12809</v>
      </c>
      <c r="N565" s="820">
        <v>45581.0</v>
      </c>
      <c r="O565" s="823"/>
    </row>
    <row r="566" ht="15.0" customHeight="1">
      <c r="A566" s="789">
        <v>45524.0</v>
      </c>
      <c r="B566" s="790">
        <v>2408603.0</v>
      </c>
      <c r="C566" s="791" t="s">
        <v>11484</v>
      </c>
      <c r="D566" s="791" t="s">
        <v>3367</v>
      </c>
      <c r="E566" s="792" t="str">
        <f>IFERROR(VLOOKUP(D566,Stock,3,FALSE),"")</f>
        <v>Toyota Hi-Ace 04-20 Commuter</v>
      </c>
      <c r="F566" s="791">
        <v>2.0</v>
      </c>
      <c r="G566" s="842">
        <v>583000.0</v>
      </c>
      <c r="H566" s="811">
        <f t="shared" si="15"/>
        <v>1166000</v>
      </c>
      <c r="I566" s="809">
        <v>1166000.0</v>
      </c>
      <c r="J566" s="848">
        <v>45584.0</v>
      </c>
      <c r="K566" s="799" t="s">
        <v>4258</v>
      </c>
      <c r="L566" s="799" t="s">
        <v>12235</v>
      </c>
      <c r="M566" s="818" t="s">
        <v>12809</v>
      </c>
      <c r="N566" s="820">
        <v>45581.0</v>
      </c>
      <c r="O566" s="823"/>
    </row>
    <row r="567" ht="15.0" customHeight="1">
      <c r="A567" s="789">
        <v>45524.0</v>
      </c>
      <c r="B567" s="790">
        <v>2408603.0</v>
      </c>
      <c r="C567" s="791" t="s">
        <v>11484</v>
      </c>
      <c r="D567" s="791" t="s">
        <v>2780</v>
      </c>
      <c r="E567" s="792" t="str">
        <f>IFERROR(VLOOKUP(D567,Stock,3,FALSE),"")</f>
        <v>Toyota Hi-Ace 04-20 Commuter With Frame</v>
      </c>
      <c r="F567" s="791">
        <v>4.0</v>
      </c>
      <c r="G567" s="842">
        <v>1427250.0</v>
      </c>
      <c r="H567" s="811">
        <f t="shared" si="15"/>
        <v>5709000</v>
      </c>
      <c r="I567" s="809">
        <v>5709000.0</v>
      </c>
      <c r="J567" s="848">
        <v>45584.0</v>
      </c>
      <c r="K567" s="799" t="s">
        <v>4258</v>
      </c>
      <c r="L567" s="799" t="s">
        <v>12235</v>
      </c>
      <c r="M567" s="818" t="s">
        <v>12809</v>
      </c>
      <c r="N567" s="820">
        <v>45581.0</v>
      </c>
      <c r="O567" s="823"/>
    </row>
    <row r="568" ht="15.0" customHeight="1">
      <c r="A568" s="789">
        <v>45519.0</v>
      </c>
      <c r="B568" s="790">
        <v>2408494.0</v>
      </c>
      <c r="C568" s="791" t="s">
        <v>11484</v>
      </c>
      <c r="D568" s="791" t="s">
        <v>4547</v>
      </c>
      <c r="E568" s="792" t="str">
        <f>IFERROR(VLOOKUP(D568,Stock,3,FALSE),"")</f>
        <v>Toyota Hilux Pickup 15- (Revo)</v>
      </c>
      <c r="F568" s="791">
        <v>1.0</v>
      </c>
      <c r="G568" s="842">
        <v>114400.0</v>
      </c>
      <c r="H568" s="811">
        <f t="shared" si="15"/>
        <v>114400</v>
      </c>
      <c r="I568" s="809">
        <v>114400.0</v>
      </c>
      <c r="J568" s="848">
        <v>45579.0</v>
      </c>
      <c r="K568" s="799" t="s">
        <v>4258</v>
      </c>
      <c r="L568" s="799" t="s">
        <v>12235</v>
      </c>
      <c r="M568" s="818" t="s">
        <v>12809</v>
      </c>
      <c r="N568" s="820">
        <v>45575.0</v>
      </c>
      <c r="O568" s="823"/>
    </row>
    <row r="569" ht="15.0" customHeight="1">
      <c r="A569" s="789">
        <v>45519.0</v>
      </c>
      <c r="B569" s="790">
        <v>2408494.0</v>
      </c>
      <c r="C569" s="791" t="s">
        <v>11484</v>
      </c>
      <c r="D569" s="791" t="s">
        <v>4548</v>
      </c>
      <c r="E569" s="792" t="str">
        <f>IFERROR(VLOOKUP(D569,Stock,3,FALSE),"")</f>
        <v>Toyota Hilux Pickup 15- (Revo)</v>
      </c>
      <c r="F569" s="791">
        <v>2.0</v>
      </c>
      <c r="G569" s="842">
        <v>114400.0</v>
      </c>
      <c r="H569" s="811">
        <f t="shared" si="15"/>
        <v>228800</v>
      </c>
      <c r="I569" s="809">
        <v>228800.0</v>
      </c>
      <c r="J569" s="848">
        <v>45579.0</v>
      </c>
      <c r="K569" s="799" t="s">
        <v>4258</v>
      </c>
      <c r="L569" s="799" t="s">
        <v>12235</v>
      </c>
      <c r="M569" s="818" t="s">
        <v>12809</v>
      </c>
      <c r="N569" s="820">
        <v>45575.0</v>
      </c>
      <c r="O569" s="823"/>
    </row>
    <row r="570" ht="15.0" customHeight="1">
      <c r="A570" s="789">
        <v>45525.0</v>
      </c>
      <c r="B570" s="790">
        <v>2408649.0</v>
      </c>
      <c r="C570" s="791" t="s">
        <v>11484</v>
      </c>
      <c r="D570" s="791" t="s">
        <v>2702</v>
      </c>
      <c r="E570" s="792" t="str">
        <f>IFERROR(VLOOKUP(D570,Stock,3,FALSE),"")</f>
        <v>Toyota Sienta 15-</v>
      </c>
      <c r="F570" s="791">
        <v>1.0</v>
      </c>
      <c r="G570" s="842">
        <v>680900.0</v>
      </c>
      <c r="H570" s="811">
        <f t="shared" si="15"/>
        <v>680900</v>
      </c>
      <c r="I570" s="809">
        <v>680900.0</v>
      </c>
      <c r="J570" s="848">
        <v>45585.0</v>
      </c>
      <c r="K570" s="799" t="s">
        <v>4258</v>
      </c>
      <c r="L570" s="799" t="s">
        <v>12235</v>
      </c>
      <c r="M570" s="818" t="s">
        <v>12809</v>
      </c>
      <c r="N570" s="820">
        <v>45582.0</v>
      </c>
      <c r="O570" s="823"/>
    </row>
    <row r="571" ht="15.0" customHeight="1">
      <c r="A571" s="789">
        <v>45525.0</v>
      </c>
      <c r="B571" s="790">
        <v>2408649.0</v>
      </c>
      <c r="C571" s="791" t="s">
        <v>11484</v>
      </c>
      <c r="D571" s="791" t="s">
        <v>3871</v>
      </c>
      <c r="E571" s="792" t="str">
        <f>IFERROR(VLOOKUP(D571,Stock,3,FALSE),"")</f>
        <v>Suzuki Swift 04-11 1st Gen</v>
      </c>
      <c r="F571" s="791">
        <v>2.0</v>
      </c>
      <c r="G571" s="842">
        <v>711700.0</v>
      </c>
      <c r="H571" s="811">
        <f t="shared" si="15"/>
        <v>1423400</v>
      </c>
      <c r="I571" s="809">
        <v>1423400.0</v>
      </c>
      <c r="J571" s="848">
        <v>45585.0</v>
      </c>
      <c r="K571" s="799" t="s">
        <v>4258</v>
      </c>
      <c r="L571" s="799" t="s">
        <v>12235</v>
      </c>
      <c r="M571" s="818" t="s">
        <v>12809</v>
      </c>
      <c r="N571" s="820">
        <v>45582.0</v>
      </c>
      <c r="O571" s="823"/>
    </row>
    <row r="572" ht="15.0" customHeight="1">
      <c r="A572" s="789">
        <v>45525.0</v>
      </c>
      <c r="B572" s="790">
        <v>2408649.0</v>
      </c>
      <c r="C572" s="791" t="s">
        <v>11484</v>
      </c>
      <c r="D572" s="791" t="s">
        <v>2785</v>
      </c>
      <c r="E572" s="792" t="str">
        <f>IFERROR(VLOOKUP(D572,Stock,3,FALSE),"")</f>
        <v>Suzuki Swift 11-17 2nd Gen</v>
      </c>
      <c r="F572" s="791">
        <v>1.0</v>
      </c>
      <c r="G572" s="842">
        <v>712800.0</v>
      </c>
      <c r="H572" s="811">
        <f t="shared" si="15"/>
        <v>712800</v>
      </c>
      <c r="I572" s="809">
        <v>712800.0</v>
      </c>
      <c r="J572" s="848">
        <v>45585.0</v>
      </c>
      <c r="K572" s="799" t="s">
        <v>4258</v>
      </c>
      <c r="L572" s="799" t="s">
        <v>12235</v>
      </c>
      <c r="M572" s="818" t="s">
        <v>12809</v>
      </c>
      <c r="N572" s="820">
        <v>45582.0</v>
      </c>
      <c r="O572" s="823"/>
    </row>
    <row r="573" ht="15.0" customHeight="1">
      <c r="A573" s="789">
        <v>45525.0</v>
      </c>
      <c r="B573" s="790">
        <v>2408649.0</v>
      </c>
      <c r="C573" s="791" t="s">
        <v>11484</v>
      </c>
      <c r="D573" s="791" t="s">
        <v>2707</v>
      </c>
      <c r="E573" s="792" t="str">
        <f>IFERROR(VLOOKUP(D573,Stock,3,FALSE),"")</f>
        <v>Isuzu Elf 93- NKR NHR</v>
      </c>
      <c r="F573" s="791">
        <v>3.0</v>
      </c>
      <c r="G573" s="842">
        <v>502700.0</v>
      </c>
      <c r="H573" s="811">
        <f t="shared" si="15"/>
        <v>1508100</v>
      </c>
      <c r="I573" s="809">
        <v>1508100.0</v>
      </c>
      <c r="J573" s="848">
        <v>45585.0</v>
      </c>
      <c r="K573" s="799" t="s">
        <v>4258</v>
      </c>
      <c r="L573" s="799" t="s">
        <v>12235</v>
      </c>
      <c r="M573" s="818" t="s">
        <v>12809</v>
      </c>
      <c r="N573" s="820">
        <v>45582.0</v>
      </c>
      <c r="O573" s="823"/>
    </row>
    <row r="574" ht="15.0" customHeight="1">
      <c r="A574" s="789">
        <v>45525.0</v>
      </c>
      <c r="B574" s="790">
        <v>2408649.0</v>
      </c>
      <c r="C574" s="791" t="s">
        <v>11484</v>
      </c>
      <c r="D574" s="791" t="s">
        <v>2670</v>
      </c>
      <c r="E574" s="792" t="str">
        <f>IFERROR(VLOOKUP(D574,Stock,3,FALSE),"")</f>
        <v>Honda City 02-08 4th Gen Idsi GD8</v>
      </c>
      <c r="F574" s="791">
        <v>1.0</v>
      </c>
      <c r="G574" s="842">
        <v>919050.0</v>
      </c>
      <c r="H574" s="811">
        <f t="shared" si="15"/>
        <v>919050</v>
      </c>
      <c r="I574" s="809">
        <v>919050.0</v>
      </c>
      <c r="J574" s="848">
        <v>45585.0</v>
      </c>
      <c r="K574" s="799" t="s">
        <v>4258</v>
      </c>
      <c r="L574" s="799" t="s">
        <v>12235</v>
      </c>
      <c r="M574" s="818" t="s">
        <v>12809</v>
      </c>
      <c r="N574" s="820">
        <v>45582.0</v>
      </c>
      <c r="O574" s="823"/>
    </row>
    <row r="575" ht="15.0" customHeight="1">
      <c r="A575" s="789">
        <v>45525.0</v>
      </c>
      <c r="B575" s="790">
        <v>2408649.0</v>
      </c>
      <c r="C575" s="791" t="s">
        <v>11484</v>
      </c>
      <c r="D575" s="791" t="s">
        <v>5282</v>
      </c>
      <c r="E575" s="792" t="str">
        <f>IFERROR(VLOOKUP(D575,Stock,3,FALSE),"")</f>
        <v>Mitsubishi Canter FE800 01- (PS136)</v>
      </c>
      <c r="F575" s="791">
        <v>3.0</v>
      </c>
      <c r="G575" s="842">
        <v>589600.0</v>
      </c>
      <c r="H575" s="811">
        <f t="shared" si="15"/>
        <v>1768800</v>
      </c>
      <c r="I575" s="809">
        <v>1768800.0</v>
      </c>
      <c r="J575" s="848">
        <v>45585.0</v>
      </c>
      <c r="K575" s="799" t="s">
        <v>4258</v>
      </c>
      <c r="L575" s="799" t="s">
        <v>12235</v>
      </c>
      <c r="M575" s="818" t="s">
        <v>12809</v>
      </c>
      <c r="N575" s="820">
        <v>45582.0</v>
      </c>
      <c r="O575" s="823"/>
    </row>
    <row r="576" ht="15.0" customHeight="1">
      <c r="A576" s="789">
        <v>45526.0</v>
      </c>
      <c r="B576" s="790">
        <v>2408687.0</v>
      </c>
      <c r="C576" s="791" t="s">
        <v>11484</v>
      </c>
      <c r="D576" s="791" t="s">
        <v>2702</v>
      </c>
      <c r="E576" s="792" t="str">
        <f>IFERROR(VLOOKUP(D576,Stock,3,FALSE),"")</f>
        <v>Toyota Sienta 15-</v>
      </c>
      <c r="F576" s="791">
        <v>2.0</v>
      </c>
      <c r="G576" s="842">
        <v>680900.0</v>
      </c>
      <c r="H576" s="811">
        <f t="shared" si="15"/>
        <v>1361800</v>
      </c>
      <c r="I576" s="809">
        <v>1361800.0</v>
      </c>
      <c r="J576" s="848">
        <v>45586.0</v>
      </c>
      <c r="K576" s="799" t="s">
        <v>4258</v>
      </c>
      <c r="L576" s="799" t="s">
        <v>12235</v>
      </c>
      <c r="M576" s="818" t="s">
        <v>12809</v>
      </c>
      <c r="N576" s="820">
        <v>45583.0</v>
      </c>
      <c r="O576" s="823"/>
    </row>
    <row r="577" ht="15.0" customHeight="1">
      <c r="A577" s="789">
        <v>45526.0</v>
      </c>
      <c r="B577" s="790" t="s">
        <v>13015</v>
      </c>
      <c r="C577" s="791" t="s">
        <v>3076</v>
      </c>
      <c r="D577" s="791" t="s">
        <v>4644</v>
      </c>
      <c r="E577" s="792" t="str">
        <f>IFERROR(VLOOKUP(D577,Stock,3,FALSE),"")</f>
        <v>Toyota LandCruiser 02-07 FJ78 / FJ79</v>
      </c>
      <c r="F577" s="791">
        <v>1.0</v>
      </c>
      <c r="G577" s="842">
        <v>1550000.0</v>
      </c>
      <c r="H577" s="811">
        <f t="shared" si="15"/>
        <v>1550000</v>
      </c>
      <c r="I577" s="809"/>
      <c r="J577" s="819"/>
      <c r="K577" s="799" t="s">
        <v>4258</v>
      </c>
      <c r="L577" s="799" t="s">
        <v>12235</v>
      </c>
      <c r="M577" s="818" t="s">
        <v>12809</v>
      </c>
      <c r="N577" s="820">
        <v>45528.0</v>
      </c>
      <c r="O577" s="823"/>
    </row>
    <row r="578" ht="15.0" customHeight="1">
      <c r="A578" s="789">
        <v>45526.0</v>
      </c>
      <c r="B578" s="790" t="s">
        <v>13015</v>
      </c>
      <c r="C578" s="791" t="s">
        <v>3076</v>
      </c>
      <c r="D578" s="791" t="s">
        <v>2934</v>
      </c>
      <c r="E578" s="792" t="str">
        <f>IFERROR(VLOOKUP(D578,Stock,3,FALSE),"")</f>
        <v>Peti Kayu</v>
      </c>
      <c r="F578" s="791">
        <v>1.0</v>
      </c>
      <c r="G578" s="842">
        <v>150000.0</v>
      </c>
      <c r="H578" s="811">
        <f t="shared" si="15"/>
        <v>150000</v>
      </c>
      <c r="I578" s="809"/>
      <c r="J578" s="819"/>
      <c r="K578" s="799" t="s">
        <v>4258</v>
      </c>
      <c r="L578" s="799" t="s">
        <v>12235</v>
      </c>
      <c r="M578" s="818" t="s">
        <v>12809</v>
      </c>
      <c r="N578" s="820">
        <v>45528.0</v>
      </c>
      <c r="O578" s="823"/>
    </row>
    <row r="579" ht="15.0" customHeight="1">
      <c r="A579" s="789">
        <v>45527.0</v>
      </c>
      <c r="B579" s="790" t="s">
        <v>13016</v>
      </c>
      <c r="C579" s="791" t="s">
        <v>3091</v>
      </c>
      <c r="D579" s="791" t="s">
        <v>2960</v>
      </c>
      <c r="E579" s="792" t="str">
        <f>IFERROR(VLOOKUP(D579,Stock,3,FALSE),"")</f>
        <v>Toyota Alphard 08-15 ANH20 2nd Gen (Hitam)</v>
      </c>
      <c r="F579" s="791">
        <v>5.0</v>
      </c>
      <c r="G579" s="842">
        <v>614640.6</v>
      </c>
      <c r="H579" s="811">
        <f t="shared" si="15"/>
        <v>3073203</v>
      </c>
      <c r="I579" s="809">
        <f>H579</f>
        <v>3073203</v>
      </c>
      <c r="J579" s="848">
        <v>45587.0</v>
      </c>
      <c r="K579" s="799" t="s">
        <v>4258</v>
      </c>
      <c r="L579" s="799" t="s">
        <v>12235</v>
      </c>
      <c r="M579" s="818" t="s">
        <v>12809</v>
      </c>
      <c r="N579" s="820">
        <v>45582.0</v>
      </c>
      <c r="O579" s="823"/>
    </row>
    <row r="580" ht="15.0" customHeight="1">
      <c r="A580" s="789">
        <v>45526.0</v>
      </c>
      <c r="B580" s="790">
        <v>2408710.0</v>
      </c>
      <c r="C580" s="791" t="s">
        <v>11484</v>
      </c>
      <c r="D580" s="791" t="s">
        <v>4154</v>
      </c>
      <c r="E580" s="792" t="str">
        <f>IFERROR(VLOOKUP(D580,Stock,3,FALSE),"")</f>
        <v>Honda CR-V 07-11 3rd Gen</v>
      </c>
      <c r="F580" s="791">
        <v>1.0</v>
      </c>
      <c r="G580" s="842">
        <v>826100.0</v>
      </c>
      <c r="H580" s="811">
        <f t="shared" si="15"/>
        <v>826100</v>
      </c>
      <c r="I580" s="809">
        <v>826100.0</v>
      </c>
      <c r="J580" s="848">
        <v>45586.0</v>
      </c>
      <c r="K580" s="799" t="s">
        <v>4258</v>
      </c>
      <c r="L580" s="799" t="s">
        <v>12235</v>
      </c>
      <c r="M580" s="818" t="s">
        <v>12809</v>
      </c>
      <c r="N580" s="820">
        <v>45583.0</v>
      </c>
      <c r="O580" s="823"/>
    </row>
    <row r="581" ht="15.0" customHeight="1">
      <c r="A581" s="789">
        <v>45526.0</v>
      </c>
      <c r="B581" s="790">
        <v>2408710.0</v>
      </c>
      <c r="C581" s="791" t="s">
        <v>11484</v>
      </c>
      <c r="D581" s="791" t="s">
        <v>3300</v>
      </c>
      <c r="E581" s="792" t="str">
        <f>IFERROR(VLOOKUP(D581,Stock,3,FALSE),"")</f>
        <v>Honda CR-V 07-11 3rd Gen</v>
      </c>
      <c r="F581" s="791">
        <v>1.0</v>
      </c>
      <c r="G581" s="842">
        <v>826100.0</v>
      </c>
      <c r="H581" s="811">
        <f t="shared" si="15"/>
        <v>826100</v>
      </c>
      <c r="I581" s="809">
        <v>826100.0</v>
      </c>
      <c r="J581" s="848">
        <v>45586.0</v>
      </c>
      <c r="K581" s="799" t="s">
        <v>4258</v>
      </c>
      <c r="L581" s="799" t="s">
        <v>12235</v>
      </c>
      <c r="M581" s="818" t="s">
        <v>12809</v>
      </c>
      <c r="N581" s="820">
        <v>45583.0</v>
      </c>
      <c r="O581" s="823"/>
    </row>
    <row r="582" ht="15.0" customHeight="1">
      <c r="A582" s="789">
        <v>45526.0</v>
      </c>
      <c r="B582" s="790">
        <v>2408710.0</v>
      </c>
      <c r="C582" s="791" t="s">
        <v>11484</v>
      </c>
      <c r="D582" s="791" t="s">
        <v>3795</v>
      </c>
      <c r="E582" s="792" t="str">
        <f>IFERROR(VLOOKUP(D582,Stock,3,FALSE),"")</f>
        <v>Toyota Innova 04-15 1st Gen</v>
      </c>
      <c r="F582" s="791">
        <v>5.0</v>
      </c>
      <c r="G582" s="842">
        <v>467000.0</v>
      </c>
      <c r="H582" s="811">
        <f t="shared" si="15"/>
        <v>2335000</v>
      </c>
      <c r="I582" s="809">
        <v>2335000.0</v>
      </c>
      <c r="J582" s="848">
        <v>45586.0</v>
      </c>
      <c r="K582" s="799" t="s">
        <v>4258</v>
      </c>
      <c r="L582" s="799" t="s">
        <v>12235</v>
      </c>
      <c r="M582" s="818" t="s">
        <v>12809</v>
      </c>
      <c r="N582" s="820">
        <v>45583.0</v>
      </c>
      <c r="O582" s="823"/>
    </row>
    <row r="583" ht="15.0" customHeight="1">
      <c r="A583" s="789">
        <v>45527.0</v>
      </c>
      <c r="B583" s="790">
        <v>2408719.0</v>
      </c>
      <c r="C583" s="791" t="s">
        <v>11484</v>
      </c>
      <c r="D583" s="791" t="s">
        <v>2695</v>
      </c>
      <c r="E583" s="792" t="str">
        <f>IFERROR(VLOOKUP(D583,Stock,3,FALSE),"")</f>
        <v>Honda Accord 93-98 SV4 5th Gen (Cielo)</v>
      </c>
      <c r="F583" s="791">
        <v>1.0</v>
      </c>
      <c r="G583" s="842">
        <v>799150.0</v>
      </c>
      <c r="H583" s="811">
        <f t="shared" si="15"/>
        <v>799150</v>
      </c>
      <c r="I583" s="809">
        <v>799150.0</v>
      </c>
      <c r="J583" s="848">
        <v>45587.0</v>
      </c>
      <c r="K583" s="799" t="s">
        <v>4258</v>
      </c>
      <c r="L583" s="799" t="s">
        <v>12235</v>
      </c>
      <c r="M583" s="818" t="s">
        <v>12809</v>
      </c>
      <c r="N583" s="820">
        <v>45583.0</v>
      </c>
      <c r="O583" s="823"/>
    </row>
    <row r="584" ht="15.0" customHeight="1">
      <c r="A584" s="789">
        <v>45527.0</v>
      </c>
      <c r="B584" s="790">
        <v>2408749.0</v>
      </c>
      <c r="C584" s="791" t="s">
        <v>11484</v>
      </c>
      <c r="D584" s="791" t="s">
        <v>3493</v>
      </c>
      <c r="E584" s="792" t="str">
        <f>IFERROR(VLOOKUP(D584,Stock,3,FALSE),"")</f>
        <v>Nissan Livina 07-18 L10/L11</v>
      </c>
      <c r="F584" s="791">
        <v>2.0</v>
      </c>
      <c r="G584" s="842">
        <v>600600.0</v>
      </c>
      <c r="H584" s="811">
        <f t="shared" si="15"/>
        <v>1201200</v>
      </c>
      <c r="I584" s="809">
        <v>1201200.0</v>
      </c>
      <c r="J584" s="848">
        <v>45587.0</v>
      </c>
      <c r="K584" s="799" t="s">
        <v>4258</v>
      </c>
      <c r="L584" s="799" t="s">
        <v>12235</v>
      </c>
      <c r="M584" s="818" t="s">
        <v>12809</v>
      </c>
      <c r="N584" s="820">
        <v>45583.0</v>
      </c>
      <c r="O584" s="823"/>
    </row>
    <row r="585" ht="15.0" customHeight="1">
      <c r="A585" s="789">
        <v>45530.0</v>
      </c>
      <c r="B585" s="790">
        <v>2408787.0</v>
      </c>
      <c r="C585" s="791" t="s">
        <v>11484</v>
      </c>
      <c r="D585" s="791" t="s">
        <v>2666</v>
      </c>
      <c r="E585" s="792" t="str">
        <f>IFERROR(VLOOKUP(D585,Stock,3,FALSE),"")</f>
        <v>Hyundai Creta 22- </v>
      </c>
      <c r="F585" s="791">
        <v>2.0</v>
      </c>
      <c r="G585" s="842">
        <v>1072500.0</v>
      </c>
      <c r="H585" s="811">
        <f t="shared" si="15"/>
        <v>2145000</v>
      </c>
      <c r="I585" s="809">
        <v>2145000.0</v>
      </c>
      <c r="J585" s="848">
        <v>45590.0</v>
      </c>
      <c r="K585" s="799" t="s">
        <v>4258</v>
      </c>
      <c r="L585" s="799" t="s">
        <v>12235</v>
      </c>
      <c r="M585" s="818" t="s">
        <v>12809</v>
      </c>
      <c r="N585" s="820">
        <v>45588.0</v>
      </c>
      <c r="O585" s="823"/>
    </row>
    <row r="586" ht="15.0" customHeight="1">
      <c r="A586" s="789">
        <v>45531.0</v>
      </c>
      <c r="B586" s="790">
        <v>2408826.0</v>
      </c>
      <c r="C586" s="791" t="s">
        <v>11484</v>
      </c>
      <c r="D586" s="791" t="s">
        <v>2631</v>
      </c>
      <c r="E586" s="792" t="str">
        <f>IFERROR(VLOOKUP(D586,Stock,3,FALSE),"")</f>
        <v>Suzuki Baleno 15-21</v>
      </c>
      <c r="F586" s="791">
        <v>3.0</v>
      </c>
      <c r="G586" s="842">
        <v>614900.0</v>
      </c>
      <c r="H586" s="811">
        <f t="shared" si="15"/>
        <v>1844700</v>
      </c>
      <c r="I586" s="809">
        <v>1844700.0</v>
      </c>
      <c r="J586" s="848">
        <v>45591.0</v>
      </c>
      <c r="K586" s="799" t="s">
        <v>4258</v>
      </c>
      <c r="L586" s="799" t="s">
        <v>12235</v>
      </c>
      <c r="M586" s="818" t="s">
        <v>12809</v>
      </c>
      <c r="N586" s="820">
        <v>45589.0</v>
      </c>
      <c r="O586" s="823"/>
    </row>
    <row r="587" ht="15.0" customHeight="1">
      <c r="A587" s="789">
        <v>45531.0</v>
      </c>
      <c r="B587" s="790">
        <v>2408826.0</v>
      </c>
      <c r="C587" s="791" t="s">
        <v>11484</v>
      </c>
      <c r="D587" s="791" t="s">
        <v>2580</v>
      </c>
      <c r="E587" s="792" t="str">
        <f>IFERROR(VLOOKUP(D587,Stock,3,FALSE),"")</f>
        <v>Toyota Altis 13-17 E170 11th Gen</v>
      </c>
      <c r="F587" s="791">
        <v>1.0</v>
      </c>
      <c r="G587" s="842">
        <v>1016400.0</v>
      </c>
      <c r="H587" s="811">
        <f t="shared" si="15"/>
        <v>1016400</v>
      </c>
      <c r="I587" s="809">
        <v>1016400.0</v>
      </c>
      <c r="J587" s="848">
        <v>45591.0</v>
      </c>
      <c r="K587" s="799" t="s">
        <v>4258</v>
      </c>
      <c r="L587" s="799" t="s">
        <v>12235</v>
      </c>
      <c r="M587" s="818" t="s">
        <v>12809</v>
      </c>
      <c r="N587" s="820">
        <v>45589.0</v>
      </c>
      <c r="O587" s="823"/>
    </row>
    <row r="588" ht="15.0" customHeight="1">
      <c r="A588" s="789">
        <v>45531.0</v>
      </c>
      <c r="B588" s="790">
        <v>2408826.0</v>
      </c>
      <c r="C588" s="791" t="s">
        <v>11484</v>
      </c>
      <c r="D588" s="791" t="s">
        <v>2567</v>
      </c>
      <c r="E588" s="792" t="str">
        <f>IFERROR(VLOOKUP(D588,Stock,3,FALSE),"")</f>
        <v>Toyota Camry 02-06 ACV30 3rd Gen</v>
      </c>
      <c r="F588" s="791">
        <v>2.0</v>
      </c>
      <c r="G588" s="842">
        <v>1219900.0</v>
      </c>
      <c r="H588" s="811">
        <f t="shared" si="15"/>
        <v>2439800</v>
      </c>
      <c r="I588" s="809">
        <v>2439800.0</v>
      </c>
      <c r="J588" s="848">
        <v>45591.0</v>
      </c>
      <c r="K588" s="799" t="s">
        <v>4258</v>
      </c>
      <c r="L588" s="799" t="s">
        <v>12235</v>
      </c>
      <c r="M588" s="818" t="s">
        <v>12809</v>
      </c>
      <c r="N588" s="820">
        <v>45589.0</v>
      </c>
      <c r="O588" s="823"/>
    </row>
    <row r="589" ht="15.0" customHeight="1">
      <c r="A589" s="789">
        <v>45531.0</v>
      </c>
      <c r="B589" s="790">
        <v>2408826.0</v>
      </c>
      <c r="C589" s="791" t="s">
        <v>11484</v>
      </c>
      <c r="D589" s="791" t="s">
        <v>4391</v>
      </c>
      <c r="E589" s="792" t="str">
        <f>IFERROR(VLOOKUP(D589,Stock,3,FALSE),"")</f>
        <v>Toyota NAV1/Noah 07-17</v>
      </c>
      <c r="F589" s="791">
        <v>1.0</v>
      </c>
      <c r="G589" s="842">
        <v>1478950.0</v>
      </c>
      <c r="H589" s="811">
        <f t="shared" si="15"/>
        <v>1478950</v>
      </c>
      <c r="I589" s="809">
        <v>1478950.0</v>
      </c>
      <c r="J589" s="848">
        <v>45591.0</v>
      </c>
      <c r="K589" s="799" t="s">
        <v>4258</v>
      </c>
      <c r="L589" s="799" t="s">
        <v>12235</v>
      </c>
      <c r="M589" s="818" t="s">
        <v>12809</v>
      </c>
      <c r="N589" s="820">
        <v>45589.0</v>
      </c>
      <c r="O589" s="823"/>
    </row>
    <row r="590" ht="15.0" customHeight="1">
      <c r="A590" s="789">
        <v>45533.0</v>
      </c>
      <c r="B590" s="790">
        <v>2408918.0</v>
      </c>
      <c r="C590" s="791" t="s">
        <v>11484</v>
      </c>
      <c r="D590" s="791" t="s">
        <v>4736</v>
      </c>
      <c r="E590" s="792" t="str">
        <f>IFERROR(VLOOKUP(D590,Stock,3,FALSE),"")</f>
        <v>Suzuki Baleno 96-01</v>
      </c>
      <c r="F590" s="791">
        <v>1.0</v>
      </c>
      <c r="G590" s="842">
        <v>546150.0</v>
      </c>
      <c r="H590" s="811">
        <f t="shared" si="15"/>
        <v>546150</v>
      </c>
      <c r="I590" s="809">
        <v>546150.0</v>
      </c>
      <c r="J590" s="848">
        <v>45593.0</v>
      </c>
      <c r="K590" s="799" t="s">
        <v>4258</v>
      </c>
      <c r="L590" s="799" t="s">
        <v>12235</v>
      </c>
      <c r="M590" s="818" t="s">
        <v>12809</v>
      </c>
      <c r="N590" s="820">
        <v>45589.0</v>
      </c>
      <c r="O590" s="823"/>
    </row>
    <row r="591" ht="15.0" customHeight="1">
      <c r="A591" s="789">
        <v>45534.0</v>
      </c>
      <c r="B591" s="790">
        <v>2408959.0</v>
      </c>
      <c r="C591" s="791" t="s">
        <v>11484</v>
      </c>
      <c r="D591" s="791" t="s">
        <v>4189</v>
      </c>
      <c r="E591" s="792" t="str">
        <f>IFERROR(VLOOKUP(D591,Stock,3,FALSE),"")</f>
        <v>Toyota Hi-Ace 20- Commuter (Bening)</v>
      </c>
      <c r="F591" s="791">
        <v>2.0</v>
      </c>
      <c r="G591" s="842">
        <v>850000.0</v>
      </c>
      <c r="H591" s="811">
        <f t="shared" si="15"/>
        <v>1700000</v>
      </c>
      <c r="I591" s="809">
        <f t="shared" ref="I591:I596" si="18">H591</f>
        <v>1700000</v>
      </c>
      <c r="J591" s="848">
        <v>45594.0</v>
      </c>
      <c r="K591" s="799" t="s">
        <v>4258</v>
      </c>
      <c r="L591" s="799" t="s">
        <v>12235</v>
      </c>
      <c r="M591" s="818" t="s">
        <v>12809</v>
      </c>
      <c r="N591" s="820">
        <v>45590.0</v>
      </c>
      <c r="O591" s="823"/>
    </row>
    <row r="592" ht="15.0" customHeight="1">
      <c r="A592" s="789">
        <v>45537.0</v>
      </c>
      <c r="B592" s="790">
        <v>2409026.0</v>
      </c>
      <c r="C592" s="791" t="s">
        <v>11484</v>
      </c>
      <c r="D592" s="791" t="s">
        <v>2662</v>
      </c>
      <c r="E592" s="792" t="str">
        <f>IFERROR(VLOOKUP(D592,Stock,3,FALSE),"")</f>
        <v>Wuling Almaz (Sensor)</v>
      </c>
      <c r="F592" s="791">
        <v>1.0</v>
      </c>
      <c r="G592" s="842">
        <v>1485000.0</v>
      </c>
      <c r="H592" s="811">
        <f t="shared" si="15"/>
        <v>1485000</v>
      </c>
      <c r="I592" s="809">
        <f t="shared" si="18"/>
        <v>1485000</v>
      </c>
      <c r="J592" s="844">
        <v>45597.0</v>
      </c>
      <c r="K592" s="799" t="s">
        <v>4258</v>
      </c>
      <c r="L592" s="799" t="s">
        <v>12235</v>
      </c>
      <c r="M592" s="818" t="s">
        <v>12809</v>
      </c>
      <c r="N592" s="820">
        <v>45595.0</v>
      </c>
      <c r="O592" s="823"/>
    </row>
    <row r="593" ht="15.0" customHeight="1">
      <c r="A593" s="789">
        <v>45537.0</v>
      </c>
      <c r="B593" s="790">
        <v>2409026.0</v>
      </c>
      <c r="C593" s="791" t="s">
        <v>11484</v>
      </c>
      <c r="D593" s="791" t="s">
        <v>2575</v>
      </c>
      <c r="E593" s="792" t="str">
        <f>IFERROR(VLOOKUP(D593,Stock,3,FALSE),"")</f>
        <v>Toyota Camry 06-11 XV40 4th Gen</v>
      </c>
      <c r="F593" s="791">
        <v>2.0</v>
      </c>
      <c r="G593" s="842">
        <v>1422850.0</v>
      </c>
      <c r="H593" s="811">
        <f t="shared" si="15"/>
        <v>2845700</v>
      </c>
      <c r="I593" s="809">
        <f t="shared" si="18"/>
        <v>2845700</v>
      </c>
      <c r="J593" s="844">
        <v>45597.0</v>
      </c>
      <c r="K593" s="799" t="s">
        <v>4258</v>
      </c>
      <c r="L593" s="799" t="s">
        <v>12235</v>
      </c>
      <c r="M593" s="818" t="s">
        <v>12809</v>
      </c>
      <c r="N593" s="820">
        <v>45595.0</v>
      </c>
      <c r="O593" s="823"/>
    </row>
    <row r="594" ht="15.0" customHeight="1">
      <c r="A594" s="789">
        <v>45537.0</v>
      </c>
      <c r="B594" s="790">
        <v>2409035.0</v>
      </c>
      <c r="C594" s="791" t="s">
        <v>11484</v>
      </c>
      <c r="D594" s="791" t="s">
        <v>2576</v>
      </c>
      <c r="E594" s="792" t="str">
        <f>IFERROR(VLOOKUP(D594,Stock,3,FALSE),"")</f>
        <v>Toyota Camry 06-11 XV40 4th Gen</v>
      </c>
      <c r="F594" s="791">
        <v>1.0</v>
      </c>
      <c r="G594" s="842">
        <v>1552650.0</v>
      </c>
      <c r="H594" s="811">
        <f t="shared" si="15"/>
        <v>1552650</v>
      </c>
      <c r="I594" s="809">
        <f t="shared" si="18"/>
        <v>1552650</v>
      </c>
      <c r="J594" s="844">
        <v>45597.0</v>
      </c>
      <c r="K594" s="799" t="s">
        <v>4258</v>
      </c>
      <c r="L594" s="799" t="s">
        <v>12235</v>
      </c>
      <c r="M594" s="818" t="s">
        <v>12970</v>
      </c>
      <c r="N594" s="820">
        <v>45596.0</v>
      </c>
      <c r="O594" s="823"/>
    </row>
    <row r="595" ht="15.0" customHeight="1">
      <c r="A595" s="789">
        <v>45540.0</v>
      </c>
      <c r="B595" s="790">
        <v>2409177.0</v>
      </c>
      <c r="C595" s="791" t="s">
        <v>11484</v>
      </c>
      <c r="D595" s="791" t="s">
        <v>4613</v>
      </c>
      <c r="E595" s="792" t="str">
        <f>IFERROR(VLOOKUP(D595,Stock,3,FALSE),"")</f>
        <v>Honda Freed 08-16 1st gen</v>
      </c>
      <c r="F595" s="791">
        <v>2.0</v>
      </c>
      <c r="G595" s="842">
        <v>637000.0</v>
      </c>
      <c r="H595" s="811">
        <f t="shared" si="15"/>
        <v>1274000</v>
      </c>
      <c r="I595" s="809">
        <f t="shared" si="18"/>
        <v>1274000</v>
      </c>
      <c r="J595" s="844">
        <v>45600.0</v>
      </c>
      <c r="K595" s="799" t="s">
        <v>4258</v>
      </c>
      <c r="L595" s="799" t="s">
        <v>12235</v>
      </c>
      <c r="M595" s="818" t="s">
        <v>12970</v>
      </c>
      <c r="N595" s="820">
        <v>45596.0</v>
      </c>
      <c r="O595" s="823"/>
    </row>
    <row r="596" ht="15.0" customHeight="1">
      <c r="A596" s="789">
        <v>45540.0</v>
      </c>
      <c r="B596" s="790">
        <v>2409177.0</v>
      </c>
      <c r="C596" s="791" t="s">
        <v>11484</v>
      </c>
      <c r="D596" s="791" t="s">
        <v>4526</v>
      </c>
      <c r="E596" s="792" t="str">
        <f>IFERROR(VLOOKUP(D596,Stock,3,FALSE),"")</f>
        <v>Toyota Hi-Ace 04-20 Commuter</v>
      </c>
      <c r="F596" s="791">
        <v>2.0</v>
      </c>
      <c r="G596" s="842">
        <v>583000.0</v>
      </c>
      <c r="H596" s="811">
        <f t="shared" si="15"/>
        <v>1166000</v>
      </c>
      <c r="I596" s="809">
        <f t="shared" si="18"/>
        <v>1166000</v>
      </c>
      <c r="J596" s="844">
        <v>45600.0</v>
      </c>
      <c r="K596" s="799" t="s">
        <v>4258</v>
      </c>
      <c r="L596" s="799" t="s">
        <v>12235</v>
      </c>
      <c r="M596" s="818" t="s">
        <v>12970</v>
      </c>
      <c r="N596" s="820">
        <v>45596.0</v>
      </c>
      <c r="O596" s="823"/>
    </row>
    <row r="597" ht="15.0" customHeight="1">
      <c r="A597" s="789">
        <v>45540.0</v>
      </c>
      <c r="B597" s="790" t="s">
        <v>13017</v>
      </c>
      <c r="C597" s="791" t="s">
        <v>11484</v>
      </c>
      <c r="D597" s="791" t="s">
        <v>3059</v>
      </c>
      <c r="E597" s="791" t="s">
        <v>13018</v>
      </c>
      <c r="F597" s="791">
        <v>80.0</v>
      </c>
      <c r="G597" s="842">
        <v>33000.0</v>
      </c>
      <c r="H597" s="811">
        <f t="shared" si="15"/>
        <v>2640000</v>
      </c>
      <c r="I597" s="809"/>
      <c r="J597" s="819"/>
      <c r="K597" s="799" t="s">
        <v>4258</v>
      </c>
      <c r="L597" s="799" t="s">
        <v>12235</v>
      </c>
      <c r="M597" s="818" t="s">
        <v>12970</v>
      </c>
      <c r="N597" s="820">
        <v>45541.0</v>
      </c>
      <c r="O597" s="823"/>
    </row>
    <row r="598" ht="15.0" customHeight="1">
      <c r="A598" s="789">
        <v>45545.0</v>
      </c>
      <c r="B598" s="790">
        <v>2409329.0</v>
      </c>
      <c r="C598" s="791" t="s">
        <v>11484</v>
      </c>
      <c r="D598" s="791" t="s">
        <v>4942</v>
      </c>
      <c r="E598" s="792" t="str">
        <f>IFERROR(VLOOKUP(D598,Stock,3,FALSE),"")</f>
        <v>Mazda Biante 08- (Hitam)</v>
      </c>
      <c r="F598" s="791">
        <v>2.0</v>
      </c>
      <c r="G598" s="842">
        <v>1701150.0</v>
      </c>
      <c r="H598" s="811">
        <f t="shared" si="15"/>
        <v>3402300</v>
      </c>
      <c r="I598" s="809">
        <f t="shared" ref="I598:I602" si="19">H598</f>
        <v>3402300</v>
      </c>
      <c r="J598" s="844">
        <v>45605.0</v>
      </c>
      <c r="K598" s="799" t="s">
        <v>4258</v>
      </c>
      <c r="L598" s="799" t="s">
        <v>12235</v>
      </c>
      <c r="M598" s="818" t="s">
        <v>12970</v>
      </c>
      <c r="N598" s="818" t="s">
        <v>13019</v>
      </c>
      <c r="O598" s="823"/>
    </row>
    <row r="599" ht="15.0" customHeight="1">
      <c r="A599" s="789">
        <v>45545.0</v>
      </c>
      <c r="B599" s="790">
        <v>2409287.0</v>
      </c>
      <c r="C599" s="791" t="s">
        <v>11484</v>
      </c>
      <c r="D599" s="791" t="s">
        <v>4988</v>
      </c>
      <c r="E599" s="792" t="str">
        <f>IFERROR(VLOOKUP(D599,Stock,3,FALSE),"")</f>
        <v>Toyota Innova 15- 2nd Gen</v>
      </c>
      <c r="F599" s="791">
        <v>1.0</v>
      </c>
      <c r="G599" s="842">
        <v>750200.0</v>
      </c>
      <c r="H599" s="811">
        <f t="shared" si="15"/>
        <v>750200</v>
      </c>
      <c r="I599" s="809">
        <f t="shared" si="19"/>
        <v>750200</v>
      </c>
      <c r="J599" s="844">
        <v>45605.0</v>
      </c>
      <c r="K599" s="799" t="s">
        <v>4258</v>
      </c>
      <c r="L599" s="799" t="s">
        <v>12235</v>
      </c>
      <c r="M599" s="818" t="s">
        <v>12970</v>
      </c>
      <c r="N599" s="820">
        <v>45603.0</v>
      </c>
      <c r="O599" s="823"/>
    </row>
    <row r="600" ht="15.0" customHeight="1">
      <c r="A600" s="789">
        <v>45546.0</v>
      </c>
      <c r="B600" s="790">
        <v>2409338.0</v>
      </c>
      <c r="C600" s="791" t="s">
        <v>11484</v>
      </c>
      <c r="D600" s="791" t="s">
        <v>4952</v>
      </c>
      <c r="E600" s="792" t="str">
        <f>IFERROR(VLOOKUP(D600,Stock,3,FALSE),"")</f>
        <v>Mers-Benz A-Class 05-12 W169/ B-Class 05-11 W245</v>
      </c>
      <c r="F600" s="791">
        <v>1.0</v>
      </c>
      <c r="G600" s="842">
        <v>2316600.0</v>
      </c>
      <c r="H600" s="811">
        <f t="shared" si="15"/>
        <v>2316600</v>
      </c>
      <c r="I600" s="809">
        <f t="shared" si="19"/>
        <v>2316600</v>
      </c>
      <c r="J600" s="848">
        <v>45606.0</v>
      </c>
      <c r="K600" s="799" t="s">
        <v>4258</v>
      </c>
      <c r="L600" s="799" t="s">
        <v>12235</v>
      </c>
      <c r="M600" s="818" t="s">
        <v>12970</v>
      </c>
      <c r="N600" s="820">
        <v>45603.0</v>
      </c>
      <c r="O600" s="823"/>
    </row>
    <row r="601">
      <c r="A601" s="789">
        <v>45546.0</v>
      </c>
      <c r="B601" s="790" t="s">
        <v>13020</v>
      </c>
      <c r="C601" s="791" t="s">
        <v>3091</v>
      </c>
      <c r="D601" s="791" t="s">
        <v>2696</v>
      </c>
      <c r="E601" s="792" t="str">
        <f>IFERROR(VLOOKUP(D601,Stock,3,FALSE),"")</f>
        <v>Honda HR-V 22- 5D SUV (Honda)</v>
      </c>
      <c r="F601" s="791">
        <v>3.0</v>
      </c>
      <c r="G601" s="842">
        <v>1875000.0</v>
      </c>
      <c r="H601" s="811">
        <f t="shared" si="15"/>
        <v>5625000</v>
      </c>
      <c r="I601" s="809">
        <f t="shared" si="19"/>
        <v>5625000</v>
      </c>
      <c r="J601" s="848">
        <v>45606.0</v>
      </c>
      <c r="K601" s="799" t="s">
        <v>4258</v>
      </c>
      <c r="L601" s="799" t="s">
        <v>12235</v>
      </c>
      <c r="M601" s="818" t="s">
        <v>12970</v>
      </c>
      <c r="N601" s="820">
        <v>45611.0</v>
      </c>
      <c r="O601" s="823"/>
    </row>
    <row r="602" ht="15.0" customHeight="1">
      <c r="A602" s="789">
        <v>45548.0</v>
      </c>
      <c r="B602" s="790">
        <v>2409423.0</v>
      </c>
      <c r="C602" s="791" t="s">
        <v>11484</v>
      </c>
      <c r="D602" s="818" t="s">
        <v>4958</v>
      </c>
      <c r="E602" s="792" t="str">
        <f>IFERROR(VLOOKUP(D602,Stock,3,FALSE),"")</f>
        <v>Jeep Wrangler Rubicon 18- JL</v>
      </c>
      <c r="F602" s="791">
        <v>1.0</v>
      </c>
      <c r="G602" s="842">
        <v>2371050.0</v>
      </c>
      <c r="H602" s="811">
        <f t="shared" si="15"/>
        <v>2371050</v>
      </c>
      <c r="I602" s="809">
        <f t="shared" si="19"/>
        <v>2371050</v>
      </c>
      <c r="J602" s="848">
        <v>45608.0</v>
      </c>
      <c r="K602" s="799" t="s">
        <v>4258</v>
      </c>
      <c r="L602" s="799" t="s">
        <v>12235</v>
      </c>
      <c r="M602" s="818" t="s">
        <v>12970</v>
      </c>
      <c r="N602" s="820">
        <v>45604.0</v>
      </c>
      <c r="O602" s="823"/>
    </row>
    <row r="603" ht="15.0" customHeight="1">
      <c r="A603" s="789">
        <v>45549.0</v>
      </c>
      <c r="B603" s="790" t="s">
        <v>13021</v>
      </c>
      <c r="C603" s="791" t="s">
        <v>13022</v>
      </c>
      <c r="D603" s="791" t="s">
        <v>5528</v>
      </c>
      <c r="E603" s="792" t="str">
        <f>IFERROR(VLOOKUP(D603,Stock,3,FALSE),"")</f>
        <v>Toyota Innova 15-22 2nd Gen (Toyota)</v>
      </c>
      <c r="F603" s="791">
        <v>1.0</v>
      </c>
      <c r="G603" s="842">
        <v>1674000.0</v>
      </c>
      <c r="H603" s="811">
        <f t="shared" si="15"/>
        <v>1674000</v>
      </c>
      <c r="I603" s="809"/>
      <c r="J603" s="819"/>
      <c r="K603" s="799" t="s">
        <v>4258</v>
      </c>
      <c r="L603" s="799" t="s">
        <v>12235</v>
      </c>
      <c r="M603" s="818" t="s">
        <v>12970</v>
      </c>
      <c r="N603" s="820">
        <v>45555.0</v>
      </c>
      <c r="O603" s="823"/>
    </row>
    <row r="604" ht="15.0" customHeight="1">
      <c r="A604" s="789">
        <v>45549.0</v>
      </c>
      <c r="B604" s="790" t="s">
        <v>13021</v>
      </c>
      <c r="C604" s="791" t="s">
        <v>13022</v>
      </c>
      <c r="D604" s="791" t="s">
        <v>5429</v>
      </c>
      <c r="E604" s="792" t="str">
        <f>IFERROR(VLOOKUP(D604,Stock,3,FALSE),"")</f>
        <v>Toyota Innova 04-15 1st Gen (Toyota)</v>
      </c>
      <c r="F604" s="791">
        <v>1.0</v>
      </c>
      <c r="G604" s="842">
        <v>1197000.0</v>
      </c>
      <c r="H604" s="811">
        <f t="shared" si="15"/>
        <v>1197000</v>
      </c>
      <c r="I604" s="809"/>
      <c r="J604" s="819"/>
      <c r="K604" s="799" t="s">
        <v>4258</v>
      </c>
      <c r="L604" s="799" t="s">
        <v>12235</v>
      </c>
      <c r="M604" s="818" t="s">
        <v>12970</v>
      </c>
      <c r="N604" s="820">
        <v>45555.0</v>
      </c>
      <c r="O604" s="823"/>
    </row>
    <row r="605" ht="15.0" customHeight="1">
      <c r="A605" s="789">
        <v>45548.0</v>
      </c>
      <c r="B605" s="790" t="s">
        <v>13023</v>
      </c>
      <c r="C605" s="791" t="s">
        <v>3076</v>
      </c>
      <c r="D605" s="791" t="s">
        <v>4946</v>
      </c>
      <c r="E605" s="792" t="str">
        <f>IFERROR(VLOOKUP(D605,Stock,3,FALSE),"")</f>
        <v>Nissan Terra 18-</v>
      </c>
      <c r="F605" s="791">
        <v>1.0</v>
      </c>
      <c r="G605" s="842">
        <v>2025000.0</v>
      </c>
      <c r="H605" s="811">
        <f t="shared" si="15"/>
        <v>2025000</v>
      </c>
      <c r="I605" s="809"/>
      <c r="J605" s="819"/>
      <c r="K605" s="799" t="s">
        <v>4258</v>
      </c>
      <c r="L605" s="819"/>
      <c r="M605" s="818" t="s">
        <v>12970</v>
      </c>
      <c r="N605" s="820">
        <v>45552.0</v>
      </c>
      <c r="O605" s="823"/>
    </row>
    <row r="606" ht="15.0" customHeight="1">
      <c r="A606" s="789">
        <v>45548.0</v>
      </c>
      <c r="B606" s="790" t="s">
        <v>13023</v>
      </c>
      <c r="C606" s="791" t="s">
        <v>3076</v>
      </c>
      <c r="D606" s="791" t="s">
        <v>2784</v>
      </c>
      <c r="E606" s="792" t="str">
        <f>IFERROR(VLOOKUP(D606,Stock,3,FALSE),"")</f>
        <v>Honda City 19- GN</v>
      </c>
      <c r="F606" s="791">
        <v>1.0</v>
      </c>
      <c r="G606" s="842">
        <v>1741500.0</v>
      </c>
      <c r="H606" s="811">
        <f t="shared" si="15"/>
        <v>1741500</v>
      </c>
      <c r="I606" s="809"/>
      <c r="J606" s="819"/>
      <c r="K606" s="799" t="s">
        <v>4258</v>
      </c>
      <c r="L606" s="819"/>
      <c r="M606" s="818" t="s">
        <v>12970</v>
      </c>
      <c r="N606" s="820">
        <v>45552.0</v>
      </c>
      <c r="O606" s="823"/>
    </row>
    <row r="607" ht="15.0" customHeight="1">
      <c r="A607" s="789">
        <v>45548.0</v>
      </c>
      <c r="B607" s="790" t="s">
        <v>13023</v>
      </c>
      <c r="C607" s="791" t="s">
        <v>3076</v>
      </c>
      <c r="D607" s="791" t="s">
        <v>2934</v>
      </c>
      <c r="E607" s="792" t="str">
        <f>IFERROR(VLOOKUP(D607,Stock,3,FALSE),"")</f>
        <v>Peti Kayu</v>
      </c>
      <c r="F607" s="791">
        <v>1.0</v>
      </c>
      <c r="G607" s="842">
        <v>150000.0</v>
      </c>
      <c r="H607" s="811">
        <f t="shared" si="15"/>
        <v>150000</v>
      </c>
      <c r="I607" s="809"/>
      <c r="J607" s="819"/>
      <c r="K607" s="799" t="s">
        <v>4258</v>
      </c>
      <c r="L607" s="819"/>
      <c r="M607" s="818" t="s">
        <v>12970</v>
      </c>
      <c r="N607" s="820">
        <v>45552.0</v>
      </c>
      <c r="O607" s="823"/>
    </row>
    <row r="608" ht="15.0" customHeight="1">
      <c r="A608" s="789">
        <v>45552.0</v>
      </c>
      <c r="B608" s="790">
        <v>2409442.0</v>
      </c>
      <c r="C608" s="791" t="s">
        <v>11484</v>
      </c>
      <c r="D608" s="791" t="s">
        <v>8218</v>
      </c>
      <c r="E608" s="792" t="str">
        <f>IFERROR(VLOOKUP(D608,Stock,3,FALSE),"")</f>
        <v>Toyota Vios 07-13 XP90 2nd Gen (Limo)</v>
      </c>
      <c r="F608" s="791">
        <v>2.0</v>
      </c>
      <c r="G608" s="842">
        <v>531000.0</v>
      </c>
      <c r="H608" s="811">
        <f t="shared" si="15"/>
        <v>1062000</v>
      </c>
      <c r="I608" s="809">
        <f t="shared" ref="I608:I614" si="20">H608</f>
        <v>1062000</v>
      </c>
      <c r="J608" s="848">
        <v>45612.0</v>
      </c>
      <c r="K608" s="799" t="s">
        <v>4258</v>
      </c>
      <c r="L608" s="799" t="s">
        <v>12235</v>
      </c>
      <c r="M608" s="818" t="s">
        <v>12970</v>
      </c>
      <c r="N608" s="820">
        <v>45609.0</v>
      </c>
      <c r="O608" s="823"/>
    </row>
    <row r="609" ht="15.0" customHeight="1">
      <c r="A609" s="789">
        <v>45552.0</v>
      </c>
      <c r="B609" s="790">
        <v>2409442.0</v>
      </c>
      <c r="C609" s="791" t="s">
        <v>11484</v>
      </c>
      <c r="D609" s="791" t="s">
        <v>4997</v>
      </c>
      <c r="E609" s="792" t="str">
        <f>IFERROR(VLOOKUP(D609,Stock,3,FALSE),"")</f>
        <v>Hyundai Stargazer 22-</v>
      </c>
      <c r="F609" s="791">
        <v>2.0</v>
      </c>
      <c r="G609" s="842">
        <v>742500.0</v>
      </c>
      <c r="H609" s="811">
        <f t="shared" si="15"/>
        <v>1485000</v>
      </c>
      <c r="I609" s="809">
        <f t="shared" si="20"/>
        <v>1485000</v>
      </c>
      <c r="J609" s="848">
        <v>45612.0</v>
      </c>
      <c r="K609" s="799" t="s">
        <v>4258</v>
      </c>
      <c r="L609" s="799" t="s">
        <v>12235</v>
      </c>
      <c r="M609" s="818" t="s">
        <v>12970</v>
      </c>
      <c r="N609" s="823"/>
      <c r="O609" s="823"/>
    </row>
    <row r="610" ht="15.0" customHeight="1">
      <c r="A610" s="789">
        <v>45553.0</v>
      </c>
      <c r="B610" s="790">
        <v>2409490.0</v>
      </c>
      <c r="C610" s="791" t="s">
        <v>11484</v>
      </c>
      <c r="D610" s="791" t="s">
        <v>2674</v>
      </c>
      <c r="E610" s="792" t="str">
        <f>IFERROR(VLOOKUP(D610,Stock,3,FALSE),"")</f>
        <v>Nissan Evalia 10- X11M</v>
      </c>
      <c r="F610" s="791">
        <v>1.0</v>
      </c>
      <c r="G610" s="842">
        <v>686400.0</v>
      </c>
      <c r="H610" s="811">
        <f t="shared" si="15"/>
        <v>686400</v>
      </c>
      <c r="I610" s="809">
        <f t="shared" si="20"/>
        <v>686400</v>
      </c>
      <c r="J610" s="848">
        <v>45613.0</v>
      </c>
      <c r="K610" s="799" t="s">
        <v>4258</v>
      </c>
      <c r="L610" s="799" t="s">
        <v>12235</v>
      </c>
      <c r="M610" s="818" t="s">
        <v>12970</v>
      </c>
      <c r="N610" s="820">
        <v>45610.0</v>
      </c>
      <c r="O610" s="823"/>
    </row>
    <row r="611" ht="15.0" customHeight="1">
      <c r="A611" s="789">
        <v>45553.0</v>
      </c>
      <c r="B611" s="790">
        <v>2409483.0</v>
      </c>
      <c r="C611" s="791" t="s">
        <v>11484</v>
      </c>
      <c r="D611" s="791" t="s">
        <v>4775</v>
      </c>
      <c r="E611" s="792" t="str">
        <f>IFERROR(VLOOKUP(D611,Stock,3,FALSE),"")</f>
        <v>Toyota Avanza / Xenia 11-15 2nd Gen / 15-21 3rd Gen</v>
      </c>
      <c r="F611" s="791">
        <v>5.0</v>
      </c>
      <c r="G611" s="842">
        <v>313000.0</v>
      </c>
      <c r="H611" s="811">
        <f t="shared" si="15"/>
        <v>1565000</v>
      </c>
      <c r="I611" s="809">
        <f t="shared" si="20"/>
        <v>1565000</v>
      </c>
      <c r="J611" s="848">
        <v>45613.0</v>
      </c>
      <c r="K611" s="799" t="s">
        <v>4258</v>
      </c>
      <c r="L611" s="799" t="s">
        <v>12235</v>
      </c>
      <c r="M611" s="818" t="s">
        <v>12970</v>
      </c>
      <c r="N611" s="820">
        <v>45610.0</v>
      </c>
      <c r="O611" s="823"/>
    </row>
    <row r="612" ht="15.0" customHeight="1">
      <c r="A612" s="789">
        <v>45553.0</v>
      </c>
      <c r="B612" s="790">
        <v>2409483.0</v>
      </c>
      <c r="C612" s="791" t="s">
        <v>11484</v>
      </c>
      <c r="D612" s="791" t="s">
        <v>2607</v>
      </c>
      <c r="E612" s="792" t="str">
        <f>IFERROR(VLOOKUP(D612,Stock,3,FALSE),"")</f>
        <v>Mazda 2 14- Skyactiv 4th Gen (1 Sensor/ □ )</v>
      </c>
      <c r="F612" s="791">
        <v>2.0</v>
      </c>
      <c r="G612" s="842">
        <v>1489400.0</v>
      </c>
      <c r="H612" s="811">
        <f t="shared" si="15"/>
        <v>2978800</v>
      </c>
      <c r="I612" s="809">
        <f t="shared" si="20"/>
        <v>2978800</v>
      </c>
      <c r="J612" s="848">
        <v>45613.0</v>
      </c>
      <c r="K612" s="799" t="s">
        <v>4258</v>
      </c>
      <c r="L612" s="799" t="s">
        <v>12235</v>
      </c>
      <c r="M612" s="818" t="s">
        <v>12970</v>
      </c>
      <c r="N612" s="820">
        <v>45610.0</v>
      </c>
      <c r="O612" s="823"/>
    </row>
    <row r="613" ht="15.0" customHeight="1">
      <c r="A613" s="789">
        <v>45553.0</v>
      </c>
      <c r="B613" s="790">
        <v>2409483.0</v>
      </c>
      <c r="C613" s="791" t="s">
        <v>11484</v>
      </c>
      <c r="D613" s="791" t="s">
        <v>3020</v>
      </c>
      <c r="E613" s="792" t="str">
        <f>IFERROR(VLOOKUP(D613,Stock,3,FALSE),"")</f>
        <v>Toyota Vios 07-13 XP90 2nd Gen</v>
      </c>
      <c r="F613" s="791">
        <v>2.0</v>
      </c>
      <c r="G613" s="842">
        <v>689000.0</v>
      </c>
      <c r="H613" s="811">
        <f t="shared" si="15"/>
        <v>1378000</v>
      </c>
      <c r="I613" s="809">
        <f t="shared" si="20"/>
        <v>1378000</v>
      </c>
      <c r="J613" s="848">
        <v>45613.0</v>
      </c>
      <c r="K613" s="799" t="s">
        <v>4258</v>
      </c>
      <c r="L613" s="799" t="s">
        <v>12235</v>
      </c>
      <c r="M613" s="818" t="s">
        <v>12970</v>
      </c>
      <c r="N613" s="820">
        <v>45610.0</v>
      </c>
      <c r="O613" s="823"/>
    </row>
    <row r="614" ht="15.0" customHeight="1">
      <c r="A614" s="789">
        <v>45554.0</v>
      </c>
      <c r="B614" s="790" t="s">
        <v>13024</v>
      </c>
      <c r="C614" s="791" t="s">
        <v>12932</v>
      </c>
      <c r="D614" s="791" t="s">
        <v>5040</v>
      </c>
      <c r="E614" s="792" t="str">
        <f>IFERROR(VLOOKUP(D614,Stock,3,FALSE),"")</f>
        <v>Isuzu Panther  91-99 1st Gen Kotak</v>
      </c>
      <c r="F614" s="791">
        <v>5.0</v>
      </c>
      <c r="G614" s="842">
        <v>158099.4</v>
      </c>
      <c r="H614" s="811">
        <f t="shared" si="15"/>
        <v>790497</v>
      </c>
      <c r="I614" s="809">
        <f t="shared" si="20"/>
        <v>790497</v>
      </c>
      <c r="J614" s="848">
        <v>45584.0</v>
      </c>
      <c r="K614" s="799" t="s">
        <v>4258</v>
      </c>
      <c r="L614" s="799" t="s">
        <v>12235</v>
      </c>
      <c r="M614" s="818" t="s">
        <v>12970</v>
      </c>
      <c r="N614" s="820">
        <v>45581.0</v>
      </c>
      <c r="O614" s="823"/>
    </row>
    <row r="615" ht="15.0" customHeight="1">
      <c r="A615" s="789">
        <v>45554.0</v>
      </c>
      <c r="B615" s="790" t="s">
        <v>13025</v>
      </c>
      <c r="C615" s="791" t="s">
        <v>12963</v>
      </c>
      <c r="D615" s="791" t="s">
        <v>5344</v>
      </c>
      <c r="E615" s="792" t="str">
        <f>IFERROR(VLOOKUP(D615,Stock,3,FALSE),"")</f>
        <v>Suzuki Karimun Estilo 07- (Suzuki)</v>
      </c>
      <c r="F615" s="791">
        <v>1.0</v>
      </c>
      <c r="G615" s="842">
        <v>1050000.0</v>
      </c>
      <c r="H615" s="811">
        <f t="shared" si="15"/>
        <v>1050000</v>
      </c>
      <c r="I615" s="809"/>
      <c r="J615" s="819"/>
      <c r="K615" s="799" t="s">
        <v>4258</v>
      </c>
      <c r="L615" s="799" t="s">
        <v>12235</v>
      </c>
      <c r="M615" s="818" t="s">
        <v>12970</v>
      </c>
      <c r="N615" s="820">
        <v>45555.0</v>
      </c>
      <c r="O615" s="823"/>
    </row>
    <row r="616" ht="15.0" customHeight="1">
      <c r="A616" s="789">
        <v>45554.0</v>
      </c>
      <c r="B616" s="790">
        <v>2409523.0</v>
      </c>
      <c r="C616" s="791" t="s">
        <v>11484</v>
      </c>
      <c r="D616" s="791" t="s">
        <v>2629</v>
      </c>
      <c r="E616" s="792" t="str">
        <f>IFERROR(VLOOKUP(D616,Stock,3,FALSE),"")</f>
        <v>Suzuki Baleno 08-15 SX4 / Neo Baleno</v>
      </c>
      <c r="F616" s="791">
        <v>3.0</v>
      </c>
      <c r="G616" s="842">
        <v>679800.0</v>
      </c>
      <c r="H616" s="811">
        <f t="shared" si="15"/>
        <v>2039400</v>
      </c>
      <c r="I616" s="809">
        <f t="shared" ref="I616:I617" si="21">H616</f>
        <v>2039400</v>
      </c>
      <c r="J616" s="848">
        <v>45614.0</v>
      </c>
      <c r="K616" s="799" t="s">
        <v>4258</v>
      </c>
      <c r="L616" s="799" t="s">
        <v>12235</v>
      </c>
      <c r="M616" s="818" t="s">
        <v>12970</v>
      </c>
      <c r="N616" s="820">
        <v>45610.0</v>
      </c>
      <c r="O616" s="823"/>
    </row>
    <row r="617" ht="15.0" customHeight="1">
      <c r="A617" s="789">
        <v>45554.0</v>
      </c>
      <c r="B617" s="790">
        <v>2409523.0</v>
      </c>
      <c r="C617" s="791" t="s">
        <v>11484</v>
      </c>
      <c r="D617" s="791" t="s">
        <v>2649</v>
      </c>
      <c r="E617" s="792" t="str">
        <f>IFERROR(VLOOKUP(D617,Stock,3,FALSE),"")</f>
        <v>Honda City 96-02 3rdGen (City Z)</v>
      </c>
      <c r="F617" s="791">
        <v>1.0</v>
      </c>
      <c r="G617" s="842">
        <v>654500.0</v>
      </c>
      <c r="H617" s="811">
        <f t="shared" si="15"/>
        <v>654500</v>
      </c>
      <c r="I617" s="809">
        <f t="shared" si="21"/>
        <v>654500</v>
      </c>
      <c r="J617" s="848">
        <v>45614.0</v>
      </c>
      <c r="K617" s="799" t="s">
        <v>4258</v>
      </c>
      <c r="L617" s="799" t="s">
        <v>12235</v>
      </c>
      <c r="M617" s="818" t="s">
        <v>12970</v>
      </c>
      <c r="N617" s="820">
        <v>45610.0</v>
      </c>
      <c r="O617" s="823"/>
    </row>
    <row r="618" ht="15.0" customHeight="1">
      <c r="A618" s="789">
        <v>45554.0</v>
      </c>
      <c r="B618" s="790" t="s">
        <v>13026</v>
      </c>
      <c r="C618" s="791" t="s">
        <v>3076</v>
      </c>
      <c r="D618" s="791" t="s">
        <v>5014</v>
      </c>
      <c r="E618" s="792" t="str">
        <f>IFERROR(VLOOKUP(D618,Stock,3,FALSE),"")</f>
        <v>Kia Sorento 09-14 2nd Gen</v>
      </c>
      <c r="F618" s="791">
        <v>1.0</v>
      </c>
      <c r="G618" s="842">
        <v>1575750.0</v>
      </c>
      <c r="H618" s="811">
        <f t="shared" si="15"/>
        <v>1575750</v>
      </c>
      <c r="I618" s="809"/>
      <c r="J618" s="819"/>
      <c r="K618" s="799" t="s">
        <v>4258</v>
      </c>
      <c r="L618" s="799" t="s">
        <v>12235</v>
      </c>
      <c r="M618" s="818" t="s">
        <v>12970</v>
      </c>
      <c r="N618" s="820">
        <v>45555.0</v>
      </c>
      <c r="O618" s="823"/>
    </row>
    <row r="619" ht="15.0" customHeight="1">
      <c r="A619" s="789">
        <v>45554.0</v>
      </c>
      <c r="B619" s="790" t="s">
        <v>13026</v>
      </c>
      <c r="C619" s="791" t="s">
        <v>3076</v>
      </c>
      <c r="D619" s="791" t="s">
        <v>2934</v>
      </c>
      <c r="E619" s="792" t="str">
        <f>IFERROR(VLOOKUP(D619,Stock,3,FALSE),"")</f>
        <v>Peti Kayu</v>
      </c>
      <c r="F619" s="791">
        <v>1.0</v>
      </c>
      <c r="G619" s="842">
        <v>150000.0</v>
      </c>
      <c r="H619" s="811">
        <f t="shared" si="15"/>
        <v>150000</v>
      </c>
      <c r="I619" s="809"/>
      <c r="J619" s="819"/>
      <c r="K619" s="799" t="s">
        <v>4258</v>
      </c>
      <c r="L619" s="799" t="s">
        <v>12235</v>
      </c>
      <c r="M619" s="818" t="s">
        <v>12970</v>
      </c>
      <c r="N619" s="820">
        <v>45555.0</v>
      </c>
      <c r="O619" s="823"/>
    </row>
    <row r="620" ht="15.0" customHeight="1">
      <c r="A620" s="789">
        <v>45556.0</v>
      </c>
      <c r="B620" s="790" t="s">
        <v>13027</v>
      </c>
      <c r="C620" s="791" t="s">
        <v>3076</v>
      </c>
      <c r="D620" s="791" t="s">
        <v>5052</v>
      </c>
      <c r="E620" s="792" t="str">
        <f>IFERROR(VLOOKUP(D620,Stock,3,FALSE),"")</f>
        <v>BMW X1 Series 09-14 E84 (1 Sensor / [] )</v>
      </c>
      <c r="F620" s="791">
        <v>1.0</v>
      </c>
      <c r="G620" s="842">
        <v>2961000.0</v>
      </c>
      <c r="H620" s="811">
        <f t="shared" si="15"/>
        <v>2961000</v>
      </c>
      <c r="I620" s="809"/>
      <c r="J620" s="819"/>
      <c r="K620" s="799" t="s">
        <v>4258</v>
      </c>
      <c r="L620" s="799" t="s">
        <v>12235</v>
      </c>
      <c r="M620" s="818" t="s">
        <v>12970</v>
      </c>
      <c r="N620" s="820">
        <v>45561.0</v>
      </c>
      <c r="O620" s="823"/>
    </row>
    <row r="621" ht="15.0" customHeight="1">
      <c r="A621" s="789">
        <v>45556.0</v>
      </c>
      <c r="B621" s="790" t="s">
        <v>13027</v>
      </c>
      <c r="C621" s="791" t="s">
        <v>3076</v>
      </c>
      <c r="D621" s="791" t="s">
        <v>2934</v>
      </c>
      <c r="E621" s="792" t="str">
        <f>IFERROR(VLOOKUP(D621,Stock,3,FALSE),"")</f>
        <v>Peti Kayu</v>
      </c>
      <c r="F621" s="791">
        <v>1.0</v>
      </c>
      <c r="G621" s="842">
        <v>150000.0</v>
      </c>
      <c r="H621" s="811">
        <f t="shared" si="15"/>
        <v>150000</v>
      </c>
      <c r="I621" s="809"/>
      <c r="J621" s="819"/>
      <c r="K621" s="799" t="s">
        <v>4258</v>
      </c>
      <c r="L621" s="799" t="s">
        <v>12235</v>
      </c>
      <c r="M621" s="818" t="s">
        <v>12970</v>
      </c>
      <c r="N621" s="820">
        <v>45561.0</v>
      </c>
      <c r="O621" s="823"/>
    </row>
    <row r="622" ht="15.0" customHeight="1">
      <c r="A622" s="789">
        <v>45558.0</v>
      </c>
      <c r="B622" s="790">
        <v>2409616.0</v>
      </c>
      <c r="C622" s="791" t="s">
        <v>11484</v>
      </c>
      <c r="D622" s="791" t="s">
        <v>3149</v>
      </c>
      <c r="E622" s="792" t="str">
        <f>IFERROR(VLOOKUP(D622,Stock,3,FALSE),"")</f>
        <v>Honda CR-V 12-16 4th Gen [Rata]</v>
      </c>
      <c r="F622" s="791">
        <v>2.0</v>
      </c>
      <c r="G622" s="842">
        <v>595000.0</v>
      </c>
      <c r="H622" s="811">
        <f t="shared" si="15"/>
        <v>1190000</v>
      </c>
      <c r="I622" s="809">
        <f t="shared" ref="I622:I624" si="22">H622</f>
        <v>1190000</v>
      </c>
      <c r="J622" s="848">
        <v>45618.0</v>
      </c>
      <c r="K622" s="799" t="s">
        <v>4258</v>
      </c>
      <c r="L622" s="799" t="s">
        <v>12235</v>
      </c>
      <c r="M622" s="818" t="s">
        <v>12970</v>
      </c>
      <c r="N622" s="820">
        <v>45615.0</v>
      </c>
      <c r="O622" s="823"/>
    </row>
    <row r="623" ht="15.0" customHeight="1">
      <c r="A623" s="789">
        <v>45558.0</v>
      </c>
      <c r="B623" s="790">
        <v>2409616.0</v>
      </c>
      <c r="C623" s="791" t="s">
        <v>11484</v>
      </c>
      <c r="D623" s="791" t="s">
        <v>2744</v>
      </c>
      <c r="E623" s="792" t="str">
        <f>IFERROR(VLOOKUP(D623,Stock,3,FALSE),"")</f>
        <v>Toyota Fortuner 05-15 1st Gen (Hitam)</v>
      </c>
      <c r="F623" s="791">
        <v>2.0</v>
      </c>
      <c r="G623" s="842">
        <v>785000.0</v>
      </c>
      <c r="H623" s="811">
        <f t="shared" si="15"/>
        <v>1570000</v>
      </c>
      <c r="I623" s="809">
        <f t="shared" si="22"/>
        <v>1570000</v>
      </c>
      <c r="J623" s="848">
        <v>45618.0</v>
      </c>
      <c r="K623" s="799" t="s">
        <v>4258</v>
      </c>
      <c r="L623" s="799" t="s">
        <v>12235</v>
      </c>
      <c r="M623" s="818" t="s">
        <v>12970</v>
      </c>
      <c r="N623" s="820">
        <v>45615.0</v>
      </c>
      <c r="O623" s="823"/>
    </row>
    <row r="624" ht="15.0" customHeight="1">
      <c r="A624" s="789">
        <v>45558.0</v>
      </c>
      <c r="B624" s="790">
        <v>2409616.0</v>
      </c>
      <c r="C624" s="791" t="s">
        <v>11484</v>
      </c>
      <c r="D624" s="791" t="s">
        <v>5262</v>
      </c>
      <c r="E624" s="792" t="str">
        <f>IFERROR(VLOOKUP(D624,Stock,3,FALSE),"")</f>
        <v>Nissan March 10- K13</v>
      </c>
      <c r="F624" s="791">
        <v>1.0</v>
      </c>
      <c r="G624" s="842">
        <v>628650.0</v>
      </c>
      <c r="H624" s="811">
        <f t="shared" si="15"/>
        <v>628650</v>
      </c>
      <c r="I624" s="809">
        <f t="shared" si="22"/>
        <v>628650</v>
      </c>
      <c r="J624" s="848">
        <v>45618.0</v>
      </c>
      <c r="K624" s="799" t="s">
        <v>4258</v>
      </c>
      <c r="L624" s="799" t="s">
        <v>12235</v>
      </c>
      <c r="M624" s="818" t="s">
        <v>12970</v>
      </c>
      <c r="N624" s="820">
        <v>45615.0</v>
      </c>
      <c r="O624" s="823"/>
    </row>
    <row r="625" ht="15.0" customHeight="1">
      <c r="A625" s="789">
        <v>45558.0</v>
      </c>
      <c r="B625" s="790" t="s">
        <v>13028</v>
      </c>
      <c r="C625" s="791" t="s">
        <v>13029</v>
      </c>
      <c r="D625" s="791" t="s">
        <v>5100</v>
      </c>
      <c r="E625" s="792" t="str">
        <f>IFERROR(VLOOKUP(D625,Stock,3,FALSE),"")</f>
        <v>Mitsubishi Pajero 20- (1 Sensor / □ ) (Mitsubishi)</v>
      </c>
      <c r="F625" s="791">
        <v>1.0</v>
      </c>
      <c r="G625" s="842">
        <v>2420000.0</v>
      </c>
      <c r="H625" s="811">
        <f t="shared" si="15"/>
        <v>2420000</v>
      </c>
      <c r="I625" s="809"/>
      <c r="J625" s="819"/>
      <c r="K625" s="799" t="s">
        <v>4258</v>
      </c>
      <c r="L625" s="799" t="s">
        <v>12235</v>
      </c>
      <c r="M625" s="818" t="s">
        <v>12970</v>
      </c>
      <c r="N625" s="820">
        <v>45562.0</v>
      </c>
      <c r="O625" s="823"/>
    </row>
    <row r="626" ht="15.0" customHeight="1">
      <c r="A626" s="789">
        <v>45561.0</v>
      </c>
      <c r="B626" s="790" t="s">
        <v>13030</v>
      </c>
      <c r="C626" s="791" t="s">
        <v>12944</v>
      </c>
      <c r="D626" s="849" t="s">
        <v>13031</v>
      </c>
      <c r="E626" s="792" t="str">
        <f>IFERROR(VLOOKUP(D626,Stock,3,FALSE),"")</f>
        <v>Honda Brio 10- / Mobilio 11-</v>
      </c>
      <c r="F626" s="791">
        <v>5.0</v>
      </c>
      <c r="G626" s="842">
        <v>738150.1</v>
      </c>
      <c r="H626" s="811">
        <f t="shared" si="15"/>
        <v>3690750.5</v>
      </c>
      <c r="I626" s="809"/>
      <c r="J626" s="819"/>
      <c r="K626" s="799" t="s">
        <v>4258</v>
      </c>
      <c r="L626" s="799" t="s">
        <v>12235</v>
      </c>
      <c r="M626" s="818" t="s">
        <v>12970</v>
      </c>
      <c r="N626" s="820">
        <v>45562.0</v>
      </c>
      <c r="O626" s="823"/>
    </row>
    <row r="627" ht="15.0" customHeight="1">
      <c r="A627" s="789">
        <v>45561.0</v>
      </c>
      <c r="B627" s="790" t="s">
        <v>13030</v>
      </c>
      <c r="C627" s="791" t="s">
        <v>12944</v>
      </c>
      <c r="D627" s="791" t="s">
        <v>9321</v>
      </c>
      <c r="E627" s="792" t="str">
        <f>IFERROR(VLOOKUP(D627,Stock,3,FALSE),"")</f>
        <v>Honda Brio 10-17 [Lubang Wiper] (Honda)</v>
      </c>
      <c r="F627" s="791">
        <v>1.0</v>
      </c>
      <c r="G627" s="842">
        <v>659062.5</v>
      </c>
      <c r="H627" s="811">
        <f t="shared" si="15"/>
        <v>659062.5</v>
      </c>
      <c r="I627" s="809"/>
      <c r="J627" s="819"/>
      <c r="K627" s="799" t="s">
        <v>4258</v>
      </c>
      <c r="L627" s="799" t="s">
        <v>12235</v>
      </c>
      <c r="M627" s="818" t="s">
        <v>12970</v>
      </c>
      <c r="N627" s="820">
        <v>45562.0</v>
      </c>
      <c r="O627" s="823"/>
    </row>
    <row r="628" ht="15.0" customHeight="1">
      <c r="A628" s="789">
        <v>45558.0</v>
      </c>
      <c r="B628" s="790">
        <v>2409641.0</v>
      </c>
      <c r="C628" s="791" t="s">
        <v>11484</v>
      </c>
      <c r="D628" s="791" t="s">
        <v>4154</v>
      </c>
      <c r="E628" s="792" t="str">
        <f>IFERROR(VLOOKUP(D628,Stock,3,FALSE),"")</f>
        <v>Honda CR-V 07-11 3rd Gen</v>
      </c>
      <c r="F628" s="791">
        <v>1.0</v>
      </c>
      <c r="G628" s="842">
        <v>826100.0</v>
      </c>
      <c r="H628" s="811">
        <f t="shared" si="15"/>
        <v>826100</v>
      </c>
      <c r="I628" s="809">
        <f t="shared" ref="I628:I645" si="23">H628</f>
        <v>826100</v>
      </c>
      <c r="J628" s="848">
        <v>45618.0</v>
      </c>
      <c r="K628" s="799" t="s">
        <v>4258</v>
      </c>
      <c r="L628" s="799" t="s">
        <v>12235</v>
      </c>
      <c r="M628" s="818" t="s">
        <v>12970</v>
      </c>
      <c r="N628" s="820">
        <v>45615.0</v>
      </c>
      <c r="O628" s="823"/>
    </row>
    <row r="629" ht="15.0" customHeight="1">
      <c r="A629" s="789">
        <v>45558.0</v>
      </c>
      <c r="B629" s="790">
        <v>2409641.0</v>
      </c>
      <c r="C629" s="791" t="s">
        <v>11484</v>
      </c>
      <c r="D629" s="791" t="s">
        <v>3300</v>
      </c>
      <c r="E629" s="792" t="str">
        <f>IFERROR(VLOOKUP(D629,Stock,3,FALSE),"")</f>
        <v>Honda CR-V 07-11 3rd Gen</v>
      </c>
      <c r="F629" s="791">
        <v>1.0</v>
      </c>
      <c r="G629" s="842">
        <v>826100.0</v>
      </c>
      <c r="H629" s="811">
        <f t="shared" si="15"/>
        <v>826100</v>
      </c>
      <c r="I629" s="809">
        <f t="shared" si="23"/>
        <v>826100</v>
      </c>
      <c r="J629" s="848">
        <v>45618.0</v>
      </c>
      <c r="K629" s="799" t="s">
        <v>4258</v>
      </c>
      <c r="L629" s="799" t="s">
        <v>12235</v>
      </c>
      <c r="M629" s="818" t="s">
        <v>12970</v>
      </c>
      <c r="N629" s="820">
        <v>45615.0</v>
      </c>
      <c r="O629" s="823"/>
    </row>
    <row r="630" ht="15.0" customHeight="1">
      <c r="A630" s="789">
        <v>45560.0</v>
      </c>
      <c r="B630" s="790">
        <v>2409707.0</v>
      </c>
      <c r="C630" s="791" t="s">
        <v>11484</v>
      </c>
      <c r="D630" s="791" t="s">
        <v>5108</v>
      </c>
      <c r="E630" s="792" t="str">
        <f>IFERROR(VLOOKUP(D630,Stock,3,FALSE),"")</f>
        <v>Honda Stream 00-06 S7A/RN1</v>
      </c>
      <c r="F630" s="791">
        <v>1.0</v>
      </c>
      <c r="G630" s="842">
        <v>849000.0</v>
      </c>
      <c r="H630" s="811">
        <f t="shared" si="15"/>
        <v>849000</v>
      </c>
      <c r="I630" s="809">
        <f t="shared" si="23"/>
        <v>849000</v>
      </c>
      <c r="J630" s="848">
        <v>45620.0</v>
      </c>
      <c r="K630" s="799" t="s">
        <v>4258</v>
      </c>
      <c r="L630" s="799" t="s">
        <v>12235</v>
      </c>
      <c r="M630" s="818" t="s">
        <v>12970</v>
      </c>
      <c r="N630" s="820">
        <v>45616.0</v>
      </c>
      <c r="O630" s="823"/>
    </row>
    <row r="631" ht="15.0" customHeight="1">
      <c r="A631" s="789">
        <v>45562.0</v>
      </c>
      <c r="B631" s="790" t="s">
        <v>13032</v>
      </c>
      <c r="C631" s="791" t="s">
        <v>3091</v>
      </c>
      <c r="D631" s="791" t="s">
        <v>2919</v>
      </c>
      <c r="E631" s="792" t="str">
        <f>IFERROR(VLOOKUP(D631,Stock,3,FALSE),"")</f>
        <v>Toyota Innova 04-15 1st Gen</v>
      </c>
      <c r="F631" s="791">
        <v>4.0</v>
      </c>
      <c r="G631" s="842">
        <v>932000.0</v>
      </c>
      <c r="H631" s="811">
        <f t="shared" si="15"/>
        <v>3728000</v>
      </c>
      <c r="I631" s="809">
        <f t="shared" si="23"/>
        <v>3728000</v>
      </c>
      <c r="J631" s="848">
        <v>45622.0</v>
      </c>
      <c r="K631" s="799" t="s">
        <v>4258</v>
      </c>
      <c r="L631" s="799" t="s">
        <v>12235</v>
      </c>
      <c r="M631" s="818" t="s">
        <v>12970</v>
      </c>
      <c r="N631" s="820">
        <v>45611.0</v>
      </c>
      <c r="O631" s="823"/>
    </row>
    <row r="632" ht="15.0" customHeight="1">
      <c r="A632" s="789">
        <v>45562.0</v>
      </c>
      <c r="B632" s="790" t="s">
        <v>13032</v>
      </c>
      <c r="C632" s="791" t="s">
        <v>3091</v>
      </c>
      <c r="D632" s="791" t="s">
        <v>2730</v>
      </c>
      <c r="E632" s="792" t="str">
        <f>IFERROR(VLOOKUP(D632,Stock,3,FALSE),"")</f>
        <v>Honda HR-V 14-21 5D SUV (Honda)</v>
      </c>
      <c r="F632" s="791">
        <v>5.0</v>
      </c>
      <c r="G632" s="842">
        <v>1000000.0</v>
      </c>
      <c r="H632" s="811">
        <f t="shared" si="15"/>
        <v>5000000</v>
      </c>
      <c r="I632" s="809">
        <f t="shared" si="23"/>
        <v>5000000</v>
      </c>
      <c r="J632" s="848">
        <v>45622.0</v>
      </c>
      <c r="K632" s="799" t="s">
        <v>4258</v>
      </c>
      <c r="L632" s="799" t="s">
        <v>12235</v>
      </c>
      <c r="M632" s="818" t="s">
        <v>12970</v>
      </c>
      <c r="N632" s="820">
        <v>45611.0</v>
      </c>
      <c r="O632" s="823"/>
    </row>
    <row r="633" ht="15.0" customHeight="1">
      <c r="A633" s="789">
        <v>45542.0</v>
      </c>
      <c r="B633" s="790" t="s">
        <v>13033</v>
      </c>
      <c r="C633" s="791" t="s">
        <v>3091</v>
      </c>
      <c r="D633" s="791" t="s">
        <v>4765</v>
      </c>
      <c r="E633" s="792" t="str">
        <f>IFERROR(VLOOKUP(D633,Stock,3,FALSE),"")</f>
        <v>Nissan X-Trail 01-07 T30</v>
      </c>
      <c r="F633" s="791">
        <v>2.0</v>
      </c>
      <c r="G633" s="842">
        <v>389466.6</v>
      </c>
      <c r="H633" s="811">
        <f t="shared" si="15"/>
        <v>778933.2</v>
      </c>
      <c r="I633" s="809">
        <f t="shared" si="23"/>
        <v>778933.2</v>
      </c>
      <c r="J633" s="844">
        <v>45602.0</v>
      </c>
      <c r="K633" s="799" t="s">
        <v>4258</v>
      </c>
      <c r="L633" s="799" t="s">
        <v>12235</v>
      </c>
      <c r="M633" s="818" t="s">
        <v>12970</v>
      </c>
      <c r="N633" s="820">
        <v>45611.0</v>
      </c>
      <c r="O633" s="823"/>
    </row>
    <row r="634" ht="15.0" customHeight="1">
      <c r="A634" s="789">
        <v>45542.0</v>
      </c>
      <c r="B634" s="790" t="s">
        <v>13033</v>
      </c>
      <c r="C634" s="791" t="s">
        <v>3091</v>
      </c>
      <c r="D634" s="791" t="s">
        <v>13034</v>
      </c>
      <c r="E634" s="792" t="str">
        <f>IFERROR(VLOOKUP(D634,Stock,3,FALSE),"")</f>
        <v>Honda Jazz 13- 3rd Gen (Honda)</v>
      </c>
      <c r="F634" s="791">
        <v>1.0</v>
      </c>
      <c r="G634" s="842">
        <v>600000.0</v>
      </c>
      <c r="H634" s="811">
        <f t="shared" si="15"/>
        <v>600000</v>
      </c>
      <c r="I634" s="809">
        <f t="shared" si="23"/>
        <v>600000</v>
      </c>
      <c r="J634" s="844">
        <v>45602.0</v>
      </c>
      <c r="K634" s="799" t="s">
        <v>4258</v>
      </c>
      <c r="L634" s="799" t="s">
        <v>12235</v>
      </c>
      <c r="M634" s="818" t="s">
        <v>12970</v>
      </c>
      <c r="N634" s="820">
        <v>45611.0</v>
      </c>
      <c r="O634" s="823"/>
    </row>
    <row r="635" ht="15.0" customHeight="1">
      <c r="A635" s="789">
        <v>45542.0</v>
      </c>
      <c r="B635" s="790" t="s">
        <v>13033</v>
      </c>
      <c r="C635" s="791" t="s">
        <v>3091</v>
      </c>
      <c r="D635" s="791" t="s">
        <v>10041</v>
      </c>
      <c r="E635" s="792" t="str">
        <f>IFERROR(VLOOKUP(D635,Stock,3,FALSE),"")</f>
        <v>Honda HR-V 14-21 5D SUV (Honda)</v>
      </c>
      <c r="F635" s="791">
        <v>1.0</v>
      </c>
      <c r="G635" s="842">
        <v>600000.0</v>
      </c>
      <c r="H635" s="811">
        <f t="shared" si="15"/>
        <v>600000</v>
      </c>
      <c r="I635" s="809">
        <f t="shared" si="23"/>
        <v>600000</v>
      </c>
      <c r="J635" s="844">
        <v>45602.0</v>
      </c>
      <c r="K635" s="799" t="s">
        <v>4258</v>
      </c>
      <c r="L635" s="799" t="s">
        <v>12235</v>
      </c>
      <c r="M635" s="818" t="s">
        <v>12970</v>
      </c>
      <c r="N635" s="820">
        <v>45611.0</v>
      </c>
      <c r="O635" s="823"/>
    </row>
    <row r="636" ht="15.0" customHeight="1">
      <c r="A636" s="789">
        <v>45567.0</v>
      </c>
      <c r="B636" s="790" t="s">
        <v>13035</v>
      </c>
      <c r="C636" s="791" t="s">
        <v>3091</v>
      </c>
      <c r="D636" s="791" t="s">
        <v>5135</v>
      </c>
      <c r="E636" s="792" t="str">
        <f>IFERROR(VLOOKUP(D636,Stock,3,FALSE),"")</f>
        <v>Isuzu D-Max 02-12 1st Gen</v>
      </c>
      <c r="F636" s="791">
        <v>1.0</v>
      </c>
      <c r="G636" s="842">
        <v>330000.0</v>
      </c>
      <c r="H636" s="811">
        <f t="shared" si="15"/>
        <v>330000</v>
      </c>
      <c r="I636" s="809">
        <f t="shared" si="23"/>
        <v>330000</v>
      </c>
      <c r="J636" s="844">
        <v>45627.0</v>
      </c>
      <c r="K636" s="799" t="s">
        <v>4258</v>
      </c>
      <c r="L636" s="799" t="s">
        <v>12235</v>
      </c>
      <c r="M636" s="818" t="s">
        <v>12970</v>
      </c>
      <c r="N636" s="820">
        <v>45644.0</v>
      </c>
      <c r="O636" s="823"/>
    </row>
    <row r="637" ht="15.0" customHeight="1">
      <c r="A637" s="789">
        <v>45567.0</v>
      </c>
      <c r="B637" s="790" t="s">
        <v>13035</v>
      </c>
      <c r="C637" s="791" t="s">
        <v>3091</v>
      </c>
      <c r="D637" s="791" t="s">
        <v>5137</v>
      </c>
      <c r="E637" s="792" t="str">
        <f>IFERROR(VLOOKUP(D637,Stock,3,FALSE),"")</f>
        <v>Isuzu D-Max 02-12 1st Gen</v>
      </c>
      <c r="F637" s="791">
        <v>2.0</v>
      </c>
      <c r="G637" s="842">
        <v>290000.0</v>
      </c>
      <c r="H637" s="811">
        <f t="shared" si="15"/>
        <v>580000</v>
      </c>
      <c r="I637" s="809">
        <f t="shared" si="23"/>
        <v>580000</v>
      </c>
      <c r="J637" s="844">
        <v>45627.0</v>
      </c>
      <c r="K637" s="799" t="s">
        <v>4258</v>
      </c>
      <c r="L637" s="799" t="s">
        <v>12235</v>
      </c>
      <c r="M637" s="818" t="s">
        <v>12970</v>
      </c>
      <c r="N637" s="820">
        <v>45644.0</v>
      </c>
      <c r="O637" s="823"/>
    </row>
    <row r="638" ht="15.0" customHeight="1">
      <c r="A638" s="789">
        <v>45567.0</v>
      </c>
      <c r="B638" s="790" t="s">
        <v>13035</v>
      </c>
      <c r="C638" s="791" t="s">
        <v>3091</v>
      </c>
      <c r="D638" s="791" t="s">
        <v>5136</v>
      </c>
      <c r="E638" s="792" t="str">
        <f>IFERROR(VLOOKUP(D638,Stock,3,FALSE),"")</f>
        <v>Isuzu D-Max 02-12 1st Gen</v>
      </c>
      <c r="F638" s="791">
        <v>2.0</v>
      </c>
      <c r="G638" s="842">
        <v>290000.0</v>
      </c>
      <c r="H638" s="811">
        <f t="shared" si="15"/>
        <v>580000</v>
      </c>
      <c r="I638" s="809">
        <f t="shared" si="23"/>
        <v>580000</v>
      </c>
      <c r="J638" s="844">
        <v>45627.0</v>
      </c>
      <c r="K638" s="799" t="s">
        <v>4258</v>
      </c>
      <c r="L638" s="799" t="s">
        <v>12235</v>
      </c>
      <c r="M638" s="818" t="s">
        <v>12970</v>
      </c>
      <c r="N638" s="820">
        <v>45644.0</v>
      </c>
      <c r="O638" s="823"/>
    </row>
    <row r="639" ht="15.0" customHeight="1">
      <c r="A639" s="789">
        <v>45567.0</v>
      </c>
      <c r="B639" s="790" t="s">
        <v>13035</v>
      </c>
      <c r="C639" s="791" t="s">
        <v>3091</v>
      </c>
      <c r="D639" s="791" t="s">
        <v>5134</v>
      </c>
      <c r="E639" s="792" t="str">
        <f>IFERROR(VLOOKUP(D639,Stock,3,FALSE),"")</f>
        <v>Isuzu D-Max 02-12 1st Gen</v>
      </c>
      <c r="F639" s="791">
        <v>2.0</v>
      </c>
      <c r="G639" s="842">
        <v>600000.0</v>
      </c>
      <c r="H639" s="811">
        <f t="shared" si="15"/>
        <v>1200000</v>
      </c>
      <c r="I639" s="809">
        <f t="shared" si="23"/>
        <v>1200000</v>
      </c>
      <c r="J639" s="844">
        <v>45627.0</v>
      </c>
      <c r="K639" s="799" t="s">
        <v>4258</v>
      </c>
      <c r="L639" s="799" t="s">
        <v>12235</v>
      </c>
      <c r="M639" s="818" t="s">
        <v>12970</v>
      </c>
      <c r="N639" s="820">
        <v>45644.0</v>
      </c>
      <c r="O639" s="823"/>
    </row>
    <row r="640" ht="15.0" customHeight="1">
      <c r="A640" s="789">
        <v>45573.0</v>
      </c>
      <c r="B640" s="790" t="s">
        <v>13036</v>
      </c>
      <c r="C640" s="791" t="s">
        <v>12932</v>
      </c>
      <c r="D640" s="791" t="s">
        <v>5263</v>
      </c>
      <c r="E640" s="792" t="str">
        <f>IFERROR(VLOOKUP(D640,Stock,3,FALSE),"")</f>
        <v>Suzuki Carry (1000cc)</v>
      </c>
      <c r="F640" s="791">
        <v>5.0</v>
      </c>
      <c r="G640" s="842">
        <v>99450.45</v>
      </c>
      <c r="H640" s="811">
        <f t="shared" si="15"/>
        <v>497252.25</v>
      </c>
      <c r="I640" s="809">
        <f t="shared" si="23"/>
        <v>497252.25</v>
      </c>
      <c r="J640" s="844">
        <v>45604.0</v>
      </c>
      <c r="K640" s="799" t="s">
        <v>4258</v>
      </c>
      <c r="L640" s="799" t="s">
        <v>12235</v>
      </c>
      <c r="M640" s="818" t="s">
        <v>12970</v>
      </c>
      <c r="N640" s="820">
        <v>45586.0</v>
      </c>
      <c r="O640" s="823"/>
    </row>
    <row r="641" ht="15.0" customHeight="1">
      <c r="A641" s="789">
        <v>45573.0</v>
      </c>
      <c r="B641" s="790">
        <v>2410244.0</v>
      </c>
      <c r="C641" s="791" t="s">
        <v>11484</v>
      </c>
      <c r="D641" s="791" t="s">
        <v>2562</v>
      </c>
      <c r="E641" s="792" t="str">
        <f>IFERROR(VLOOKUP(D641,Stock,3,FALSE),"")</f>
        <v>Toyota Avanza / Xenia 15-21 3rd Gen</v>
      </c>
      <c r="F641" s="791">
        <v>2.0</v>
      </c>
      <c r="G641" s="842">
        <v>416900.0</v>
      </c>
      <c r="H641" s="811">
        <f t="shared" si="15"/>
        <v>833800</v>
      </c>
      <c r="I641" s="809">
        <f t="shared" si="23"/>
        <v>833800</v>
      </c>
      <c r="J641" s="844">
        <v>45633.0</v>
      </c>
      <c r="K641" s="799" t="s">
        <v>4258</v>
      </c>
      <c r="L641" s="799" t="s">
        <v>12235</v>
      </c>
      <c r="M641" s="818" t="s">
        <v>12809</v>
      </c>
      <c r="N641" s="820">
        <v>45630.0</v>
      </c>
      <c r="O641" s="823"/>
    </row>
    <row r="642" ht="15.0" customHeight="1">
      <c r="A642" s="789">
        <v>45576.0</v>
      </c>
      <c r="B642" s="790">
        <v>2410282.0</v>
      </c>
      <c r="C642" s="791" t="s">
        <v>11484</v>
      </c>
      <c r="D642" s="791" t="s">
        <v>2716</v>
      </c>
      <c r="E642" s="792" t="str">
        <f>IFERROR(VLOOKUP(D642,Stock,3,FALSE),"")</f>
        <v>Mitsubishi Canter FE700 01- (PS110,125)</v>
      </c>
      <c r="F642" s="791">
        <v>2.0</v>
      </c>
      <c r="G642" s="842">
        <v>464200.0</v>
      </c>
      <c r="H642" s="811">
        <f t="shared" si="15"/>
        <v>928400</v>
      </c>
      <c r="I642" s="809">
        <f t="shared" si="23"/>
        <v>928400</v>
      </c>
      <c r="J642" s="844">
        <v>45635.0</v>
      </c>
      <c r="K642" s="799" t="s">
        <v>4258</v>
      </c>
      <c r="L642" s="799" t="s">
        <v>12235</v>
      </c>
      <c r="M642" s="818" t="s">
        <v>12809</v>
      </c>
      <c r="N642" s="820">
        <v>45632.0</v>
      </c>
      <c r="O642" s="823"/>
    </row>
    <row r="643" ht="15.0" customHeight="1">
      <c r="A643" s="789">
        <v>45576.0</v>
      </c>
      <c r="B643" s="790">
        <v>2410282.0</v>
      </c>
      <c r="C643" s="791" t="s">
        <v>11484</v>
      </c>
      <c r="D643" s="791" t="s">
        <v>2714</v>
      </c>
      <c r="E643" s="792" t="str">
        <f>IFERROR(VLOOKUP(D643,Stock,3,FALSE),"")</f>
        <v>Mitsubishi Canter FE700 01- (PS110,125)</v>
      </c>
      <c r="F643" s="791">
        <v>2.0</v>
      </c>
      <c r="G643" s="842">
        <v>464200.0</v>
      </c>
      <c r="H643" s="811">
        <f t="shared" si="15"/>
        <v>928400</v>
      </c>
      <c r="I643" s="809">
        <f t="shared" si="23"/>
        <v>928400</v>
      </c>
      <c r="J643" s="844">
        <v>45635.0</v>
      </c>
      <c r="K643" s="799" t="s">
        <v>4258</v>
      </c>
      <c r="L643" s="799" t="s">
        <v>12235</v>
      </c>
      <c r="M643" s="818" t="s">
        <v>12809</v>
      </c>
      <c r="N643" s="820">
        <v>45632.0</v>
      </c>
      <c r="O643" s="823"/>
    </row>
    <row r="644" ht="15.0" customHeight="1">
      <c r="A644" s="789">
        <v>45576.0</v>
      </c>
      <c r="B644" s="790">
        <v>2410282.0</v>
      </c>
      <c r="C644" s="791" t="s">
        <v>11484</v>
      </c>
      <c r="D644" s="791" t="s">
        <v>5282</v>
      </c>
      <c r="E644" s="792" t="str">
        <f>IFERROR(VLOOKUP(D644,Stock,3,FALSE),"")</f>
        <v>Mitsubishi Canter FE800 01- (PS136)</v>
      </c>
      <c r="F644" s="791">
        <v>2.0</v>
      </c>
      <c r="G644" s="842">
        <v>589600.0</v>
      </c>
      <c r="H644" s="811">
        <f t="shared" si="15"/>
        <v>1179200</v>
      </c>
      <c r="I644" s="809">
        <f t="shared" si="23"/>
        <v>1179200</v>
      </c>
      <c r="J644" s="844">
        <v>45635.0</v>
      </c>
      <c r="K644" s="799" t="s">
        <v>4258</v>
      </c>
      <c r="L644" s="799" t="s">
        <v>12235</v>
      </c>
      <c r="M644" s="818" t="s">
        <v>12809</v>
      </c>
      <c r="N644" s="820">
        <v>45632.0</v>
      </c>
      <c r="O644" s="823"/>
    </row>
    <row r="645" ht="15.0" customHeight="1">
      <c r="A645" s="789">
        <v>45579.0</v>
      </c>
      <c r="B645" s="790">
        <v>2410313.0</v>
      </c>
      <c r="C645" s="791" t="s">
        <v>11484</v>
      </c>
      <c r="D645" s="791" t="s">
        <v>2591</v>
      </c>
      <c r="E645" s="792" t="str">
        <f>IFERROR(VLOOKUP(D645,Stock,3,FALSE),"")</f>
        <v>Nissan Serena 10-19 MKIV C26</v>
      </c>
      <c r="F645" s="791">
        <v>2.0</v>
      </c>
      <c r="G645" s="842">
        <v>1294700.0</v>
      </c>
      <c r="H645" s="811">
        <f t="shared" si="15"/>
        <v>2589400</v>
      </c>
      <c r="I645" s="809">
        <f t="shared" si="23"/>
        <v>2589400</v>
      </c>
      <c r="J645" s="848">
        <v>45638.0</v>
      </c>
      <c r="K645" s="799" t="s">
        <v>4258</v>
      </c>
      <c r="L645" s="818" t="s">
        <v>12235</v>
      </c>
      <c r="M645" s="818" t="s">
        <v>12809</v>
      </c>
      <c r="N645" s="820">
        <v>45637.0</v>
      </c>
      <c r="O645" s="823"/>
    </row>
    <row r="646" ht="15.0" customHeight="1">
      <c r="A646" s="789">
        <v>45580.0</v>
      </c>
      <c r="B646" s="790" t="s">
        <v>13037</v>
      </c>
      <c r="C646" s="791" t="s">
        <v>13022</v>
      </c>
      <c r="D646" s="791" t="s">
        <v>5358</v>
      </c>
      <c r="E646" s="792" t="str">
        <f>IFERROR(VLOOKUP(D646,Stock,3,FALSE),"")</f>
        <v>Daihatsu Luxio 07-</v>
      </c>
      <c r="F646" s="791">
        <v>1.0</v>
      </c>
      <c r="G646" s="842">
        <v>189000.0</v>
      </c>
      <c r="H646" s="811">
        <f t="shared" si="15"/>
        <v>189000</v>
      </c>
      <c r="I646" s="809"/>
      <c r="J646" s="819"/>
      <c r="K646" s="799" t="s">
        <v>4258</v>
      </c>
      <c r="L646" s="818" t="s">
        <v>12235</v>
      </c>
      <c r="M646" s="818" t="s">
        <v>12809</v>
      </c>
      <c r="N646" s="820">
        <v>45580.0</v>
      </c>
      <c r="O646" s="823"/>
    </row>
    <row r="647" ht="15.0" customHeight="1">
      <c r="A647" s="789">
        <v>45580.0</v>
      </c>
      <c r="B647" s="790">
        <v>34877.0</v>
      </c>
      <c r="C647" s="791" t="s">
        <v>13007</v>
      </c>
      <c r="D647" s="791" t="s">
        <v>5365</v>
      </c>
      <c r="E647" s="792" t="str">
        <f>IFERROR(VLOOKUP(D647,Stock,3,FALSE),"")</f>
        <v>Nissan Livina  07-12 L10 (Tanpa Lubang) Nissan</v>
      </c>
      <c r="F647" s="791">
        <v>1.0</v>
      </c>
      <c r="G647" s="842">
        <v>1020000.0</v>
      </c>
      <c r="H647" s="811">
        <f t="shared" si="15"/>
        <v>1020000</v>
      </c>
      <c r="I647" s="809"/>
      <c r="J647" s="819"/>
      <c r="K647" s="799" t="s">
        <v>4258</v>
      </c>
      <c r="L647" s="818" t="s">
        <v>12235</v>
      </c>
      <c r="M647" s="818" t="s">
        <v>12809</v>
      </c>
      <c r="N647" s="820">
        <v>45580.0</v>
      </c>
      <c r="O647" s="823"/>
    </row>
    <row r="648" ht="15.0" customHeight="1">
      <c r="A648" s="789">
        <v>45576.0</v>
      </c>
      <c r="B648" s="790" t="s">
        <v>13038</v>
      </c>
      <c r="C648" s="791" t="s">
        <v>3076</v>
      </c>
      <c r="D648" s="791" t="s">
        <v>2562</v>
      </c>
      <c r="E648" s="792" t="str">
        <f>IFERROR(VLOOKUP(D648,Stock,3,FALSE),"")</f>
        <v>Toyota Avanza / Xenia 15-21 3rd Gen</v>
      </c>
      <c r="F648" s="791">
        <v>15.0</v>
      </c>
      <c r="G648" s="842">
        <v>396825.0</v>
      </c>
      <c r="H648" s="811">
        <f t="shared" si="15"/>
        <v>5952375</v>
      </c>
      <c r="I648" s="809"/>
      <c r="J648" s="819"/>
      <c r="K648" s="799" t="s">
        <v>4258</v>
      </c>
      <c r="L648" s="818" t="s">
        <v>12235</v>
      </c>
      <c r="M648" s="818" t="s">
        <v>12809</v>
      </c>
      <c r="N648" s="820">
        <v>45580.0</v>
      </c>
      <c r="O648" s="823"/>
    </row>
    <row r="649" ht="15.0" customHeight="1">
      <c r="A649" s="789">
        <v>45576.0</v>
      </c>
      <c r="B649" s="790" t="s">
        <v>13038</v>
      </c>
      <c r="C649" s="791" t="s">
        <v>3076</v>
      </c>
      <c r="D649" s="791" t="s">
        <v>3290</v>
      </c>
      <c r="E649" s="792" t="str">
        <f>IFERROR(VLOOKUP(D649,Stock,3,FALSE),"")</f>
        <v>Toyota Innova 04-15 1st Gen</v>
      </c>
      <c r="F649" s="791">
        <v>15.0</v>
      </c>
      <c r="G649" s="842">
        <v>478632.0</v>
      </c>
      <c r="H649" s="811">
        <f t="shared" si="15"/>
        <v>7179480</v>
      </c>
      <c r="I649" s="809"/>
      <c r="J649" s="819"/>
      <c r="K649" s="799" t="s">
        <v>4258</v>
      </c>
      <c r="L649" s="818" t="s">
        <v>12235</v>
      </c>
      <c r="M649" s="818" t="s">
        <v>12809</v>
      </c>
      <c r="N649" s="820">
        <v>45580.0</v>
      </c>
      <c r="O649" s="823"/>
    </row>
    <row r="650" ht="15.0" customHeight="1">
      <c r="A650" s="789">
        <v>45576.0</v>
      </c>
      <c r="B650" s="790" t="s">
        <v>13038</v>
      </c>
      <c r="C650" s="791" t="s">
        <v>3076</v>
      </c>
      <c r="D650" s="791" t="s">
        <v>3360</v>
      </c>
      <c r="E650" s="792" t="str">
        <f>IFERROR(VLOOKUP(D650,Stock,3,FALSE),"")</f>
        <v>Mitsubishi Xpander 17-</v>
      </c>
      <c r="F650" s="791">
        <v>15.0</v>
      </c>
      <c r="G650" s="842">
        <v>672771.0</v>
      </c>
      <c r="H650" s="811">
        <f t="shared" si="15"/>
        <v>10091565</v>
      </c>
      <c r="I650" s="809"/>
      <c r="J650" s="819"/>
      <c r="K650" s="799" t="s">
        <v>4258</v>
      </c>
      <c r="L650" s="818" t="s">
        <v>12235</v>
      </c>
      <c r="M650" s="818" t="s">
        <v>12809</v>
      </c>
      <c r="N650" s="820">
        <v>45580.0</v>
      </c>
      <c r="O650" s="823"/>
    </row>
    <row r="651" ht="15.0" customHeight="1">
      <c r="A651" s="789">
        <v>45576.0</v>
      </c>
      <c r="B651" s="790" t="s">
        <v>13038</v>
      </c>
      <c r="C651" s="791" t="s">
        <v>3076</v>
      </c>
      <c r="D651" s="791" t="s">
        <v>4988</v>
      </c>
      <c r="E651" s="792" t="str">
        <f>IFERROR(VLOOKUP(D651,Stock,3,FALSE),"")</f>
        <v>Toyota Innova 15- 2nd Gen</v>
      </c>
      <c r="F651" s="791">
        <v>15.0</v>
      </c>
      <c r="G651" s="842">
        <v>637362.0</v>
      </c>
      <c r="H651" s="811">
        <f t="shared" si="15"/>
        <v>9560430</v>
      </c>
      <c r="I651" s="809"/>
      <c r="J651" s="819"/>
      <c r="K651" s="799" t="s">
        <v>4258</v>
      </c>
      <c r="L651" s="818" t="s">
        <v>12235</v>
      </c>
      <c r="M651" s="818" t="s">
        <v>12809</v>
      </c>
      <c r="N651" s="820">
        <v>45580.0</v>
      </c>
      <c r="O651" s="823"/>
    </row>
    <row r="652" ht="15.0" customHeight="1">
      <c r="A652" s="789">
        <v>45584.0</v>
      </c>
      <c r="B652" s="790" t="s">
        <v>13039</v>
      </c>
      <c r="C652" s="791" t="s">
        <v>3076</v>
      </c>
      <c r="D652" s="791" t="s">
        <v>3181</v>
      </c>
      <c r="E652" s="792" t="str">
        <f>IFERROR(VLOOKUP(D652,Stock,3,FALSE),"")</f>
        <v>Toyota Corolla Cross 21-</v>
      </c>
      <c r="F652" s="791">
        <v>1.0</v>
      </c>
      <c r="G652" s="842">
        <v>2287500.0</v>
      </c>
      <c r="H652" s="811">
        <f t="shared" si="15"/>
        <v>2287500</v>
      </c>
      <c r="I652" s="809"/>
      <c r="J652" s="819"/>
      <c r="K652" s="799" t="s">
        <v>4258</v>
      </c>
      <c r="L652" s="818" t="s">
        <v>12235</v>
      </c>
      <c r="M652" s="818" t="s">
        <v>12809</v>
      </c>
      <c r="N652" s="820">
        <v>45586.0</v>
      </c>
      <c r="O652" s="823"/>
    </row>
    <row r="653" ht="15.0" customHeight="1">
      <c r="A653" s="789">
        <v>45584.0</v>
      </c>
      <c r="B653" s="790" t="s">
        <v>13039</v>
      </c>
      <c r="C653" s="791" t="s">
        <v>3076</v>
      </c>
      <c r="D653" s="791" t="s">
        <v>2934</v>
      </c>
      <c r="E653" s="792" t="str">
        <f>IFERROR(VLOOKUP(D653,Stock,3,FALSE),"")</f>
        <v>Peti Kayu</v>
      </c>
      <c r="F653" s="791">
        <v>1.0</v>
      </c>
      <c r="G653" s="842">
        <v>150000.0</v>
      </c>
      <c r="H653" s="811">
        <f t="shared" si="15"/>
        <v>150000</v>
      </c>
      <c r="I653" s="809"/>
      <c r="J653" s="819"/>
      <c r="K653" s="799" t="s">
        <v>4258</v>
      </c>
      <c r="L653" s="818" t="s">
        <v>12235</v>
      </c>
      <c r="M653" s="818" t="s">
        <v>12809</v>
      </c>
      <c r="N653" s="820">
        <v>45586.0</v>
      </c>
      <c r="O653" s="823"/>
    </row>
    <row r="654" ht="15.0" customHeight="1">
      <c r="A654" s="789">
        <v>45583.0</v>
      </c>
      <c r="B654" s="790" t="s">
        <v>13040</v>
      </c>
      <c r="C654" s="791" t="s">
        <v>13041</v>
      </c>
      <c r="D654" s="850" t="s">
        <v>5410</v>
      </c>
      <c r="E654" s="792" t="str">
        <f>IFERROR(VLOOKUP(D654,Stock,3,FALSE),"")</f>
        <v/>
      </c>
      <c r="F654" s="791">
        <v>1.0</v>
      </c>
      <c r="G654" s="842">
        <v>481500.0</v>
      </c>
      <c r="H654" s="811">
        <f t="shared" si="15"/>
        <v>481500</v>
      </c>
      <c r="I654" s="809"/>
      <c r="J654" s="819"/>
      <c r="K654" s="799" t="s">
        <v>4258</v>
      </c>
      <c r="L654" s="818" t="s">
        <v>12235</v>
      </c>
      <c r="M654" s="818" t="s">
        <v>12809</v>
      </c>
      <c r="N654" s="820">
        <v>45611.0</v>
      </c>
      <c r="O654" s="823"/>
    </row>
    <row r="655" ht="15.0" customHeight="1">
      <c r="A655" s="789">
        <v>45586.0</v>
      </c>
      <c r="B655" s="790" t="s">
        <v>13042</v>
      </c>
      <c r="C655" s="791" t="s">
        <v>12932</v>
      </c>
      <c r="D655" s="791" t="s">
        <v>2710</v>
      </c>
      <c r="E655" s="792" t="str">
        <f>IFERROR(VLOOKUP(D655,Stock,3,FALSE),"")</f>
        <v>Suzuki Carry (1000cc)</v>
      </c>
      <c r="F655" s="791">
        <v>5.0</v>
      </c>
      <c r="G655" s="842">
        <v>474299.67</v>
      </c>
      <c r="H655" s="811">
        <f t="shared" si="15"/>
        <v>2371498.35</v>
      </c>
      <c r="I655" s="809">
        <f t="shared" ref="I655:I674" si="24">H655</f>
        <v>2371498.35</v>
      </c>
      <c r="J655" s="848">
        <v>45617.0</v>
      </c>
      <c r="K655" s="799" t="s">
        <v>4258</v>
      </c>
      <c r="L655" s="818" t="s">
        <v>12235</v>
      </c>
      <c r="M655" s="818" t="s">
        <v>12809</v>
      </c>
      <c r="N655" s="820">
        <v>45614.0</v>
      </c>
      <c r="O655" s="823"/>
    </row>
    <row r="656" ht="15.0" customHeight="1">
      <c r="A656" s="789">
        <v>45583.0</v>
      </c>
      <c r="B656" s="790">
        <v>2410469.0</v>
      </c>
      <c r="C656" s="791" t="s">
        <v>11484</v>
      </c>
      <c r="D656" s="791" t="s">
        <v>3243</v>
      </c>
      <c r="E656" s="792" t="str">
        <f>IFERROR(VLOOKUP(D656,Stock,3,FALSE),"")</f>
        <v>Daihatsu Taruna</v>
      </c>
      <c r="F656" s="791">
        <v>2.0</v>
      </c>
      <c r="G656" s="842">
        <v>246950.0</v>
      </c>
      <c r="H656" s="811">
        <f t="shared" si="15"/>
        <v>493900</v>
      </c>
      <c r="I656" s="809">
        <f t="shared" si="24"/>
        <v>493900</v>
      </c>
      <c r="J656" s="848">
        <v>45643.0</v>
      </c>
      <c r="K656" s="799" t="s">
        <v>4258</v>
      </c>
      <c r="L656" s="818" t="s">
        <v>12235</v>
      </c>
      <c r="M656" s="818" t="s">
        <v>12809</v>
      </c>
      <c r="N656" s="820">
        <v>45639.0</v>
      </c>
      <c r="O656" s="823"/>
    </row>
    <row r="657" ht="15.0" customHeight="1">
      <c r="A657" s="789">
        <v>45583.0</v>
      </c>
      <c r="B657" s="790">
        <v>2410469.0</v>
      </c>
      <c r="C657" s="791" t="s">
        <v>11484</v>
      </c>
      <c r="D657" s="791" t="s">
        <v>3013</v>
      </c>
      <c r="E657" s="792" t="str">
        <f>IFERROR(VLOOKUP(D657,Stock,3,FALSE),"")</f>
        <v>Honda BR-V 16-</v>
      </c>
      <c r="F657" s="791">
        <v>2.0</v>
      </c>
      <c r="G657" s="842">
        <v>546000.0</v>
      </c>
      <c r="H657" s="811">
        <f t="shared" si="15"/>
        <v>1092000</v>
      </c>
      <c r="I657" s="809">
        <f t="shared" si="24"/>
        <v>1092000</v>
      </c>
      <c r="J657" s="848">
        <v>45643.0</v>
      </c>
      <c r="K657" s="799" t="s">
        <v>4258</v>
      </c>
      <c r="L657" s="818" t="s">
        <v>12235</v>
      </c>
      <c r="M657" s="818" t="s">
        <v>12809</v>
      </c>
      <c r="N657" s="820">
        <v>45639.0</v>
      </c>
      <c r="O657" s="823"/>
    </row>
    <row r="658" ht="15.0" customHeight="1">
      <c r="A658" s="789">
        <v>45583.0</v>
      </c>
      <c r="B658" s="790">
        <v>2410469.0</v>
      </c>
      <c r="C658" s="791" t="s">
        <v>11484</v>
      </c>
      <c r="D658" s="791" t="s">
        <v>2627</v>
      </c>
      <c r="E658" s="792" t="str">
        <f>IFERROR(VLOOKUP(D658,Stock,3,FALSE),"")</f>
        <v>Honda Civic 92-95 SR1/SR4 (Genio)</v>
      </c>
      <c r="F658" s="791">
        <v>2.0</v>
      </c>
      <c r="G658" s="842">
        <v>662200.0</v>
      </c>
      <c r="H658" s="811">
        <f t="shared" si="15"/>
        <v>1324400</v>
      </c>
      <c r="I658" s="809">
        <f t="shared" si="24"/>
        <v>1324400</v>
      </c>
      <c r="J658" s="848">
        <v>45643.0</v>
      </c>
      <c r="K658" s="799" t="s">
        <v>4258</v>
      </c>
      <c r="L658" s="818" t="s">
        <v>12235</v>
      </c>
      <c r="M658" s="818" t="s">
        <v>12809</v>
      </c>
      <c r="N658" s="820">
        <v>45639.0</v>
      </c>
      <c r="O658" s="823"/>
    </row>
    <row r="659" ht="15.0" customHeight="1">
      <c r="A659" s="789">
        <v>45583.0</v>
      </c>
      <c r="B659" s="790">
        <v>2410450.0</v>
      </c>
      <c r="C659" s="791" t="s">
        <v>11484</v>
      </c>
      <c r="D659" s="791" t="s">
        <v>5262</v>
      </c>
      <c r="E659" s="792" t="str">
        <f>IFERROR(VLOOKUP(D659,Stock,3,FALSE),"")</f>
        <v>Nissan March 10- K13</v>
      </c>
      <c r="F659" s="791">
        <v>1.0</v>
      </c>
      <c r="G659" s="842">
        <v>628650.0</v>
      </c>
      <c r="H659" s="811">
        <f t="shared" si="15"/>
        <v>628650</v>
      </c>
      <c r="I659" s="809">
        <f t="shared" si="24"/>
        <v>628650</v>
      </c>
      <c r="J659" s="848">
        <v>45643.0</v>
      </c>
      <c r="K659" s="799" t="s">
        <v>4258</v>
      </c>
      <c r="L659" s="818" t="s">
        <v>12235</v>
      </c>
      <c r="M659" s="818" t="s">
        <v>12809</v>
      </c>
      <c r="N659" s="820">
        <v>45638.0</v>
      </c>
      <c r="O659" s="823"/>
    </row>
    <row r="660" ht="15.0" customHeight="1">
      <c r="A660" s="789">
        <v>45586.0</v>
      </c>
      <c r="B660" s="790">
        <v>2410486.0</v>
      </c>
      <c r="C660" s="791" t="s">
        <v>11484</v>
      </c>
      <c r="D660" s="791" t="s">
        <v>5444</v>
      </c>
      <c r="E660" s="792" t="str">
        <f>IFERROR(VLOOKUP(D660,Stock,3,FALSE),"")</f>
        <v>Toyota Hi-Ace 19- Premio (Hitam) (Tinggi 56.7cm)</v>
      </c>
      <c r="F660" s="791">
        <v>2.0</v>
      </c>
      <c r="G660" s="842">
        <v>1431100.0</v>
      </c>
      <c r="H660" s="811">
        <f t="shared" si="15"/>
        <v>2862200</v>
      </c>
      <c r="I660" s="809">
        <f t="shared" si="24"/>
        <v>2862200</v>
      </c>
      <c r="J660" s="848">
        <v>45646.0</v>
      </c>
      <c r="K660" s="799" t="s">
        <v>4258</v>
      </c>
      <c r="L660" s="818" t="s">
        <v>12235</v>
      </c>
      <c r="M660" s="818" t="s">
        <v>12809</v>
      </c>
      <c r="N660" s="820">
        <v>45644.0</v>
      </c>
      <c r="O660" s="823"/>
    </row>
    <row r="661" ht="15.0" customHeight="1">
      <c r="A661" s="789">
        <v>45587.0</v>
      </c>
      <c r="B661" s="790">
        <v>2410528.0</v>
      </c>
      <c r="C661" s="791" t="s">
        <v>11484</v>
      </c>
      <c r="D661" s="791" t="s">
        <v>2671</v>
      </c>
      <c r="E661" s="792" t="str">
        <f>IFERROR(VLOOKUP(D661,Stock,3,FALSE),"")</f>
        <v>Isuzu D-Max 02-12 1st Gen</v>
      </c>
      <c r="F661" s="791">
        <v>2.0</v>
      </c>
      <c r="G661" s="842">
        <v>791450.0</v>
      </c>
      <c r="H661" s="811">
        <f t="shared" si="15"/>
        <v>1582900</v>
      </c>
      <c r="I661" s="809">
        <f t="shared" si="24"/>
        <v>1582900</v>
      </c>
      <c r="J661" s="848">
        <v>45647.0</v>
      </c>
      <c r="K661" s="799" t="s">
        <v>4258</v>
      </c>
      <c r="L661" s="818" t="s">
        <v>12235</v>
      </c>
      <c r="M661" s="818" t="s">
        <v>12809</v>
      </c>
      <c r="N661" s="820">
        <v>45645.0</v>
      </c>
      <c r="O661" s="823"/>
    </row>
    <row r="662" ht="15.0" customHeight="1">
      <c r="A662" s="789">
        <v>45587.0</v>
      </c>
      <c r="B662" s="790" t="s">
        <v>13043</v>
      </c>
      <c r="C662" s="791" t="s">
        <v>12932</v>
      </c>
      <c r="D662" s="791" t="s">
        <v>5458</v>
      </c>
      <c r="E662" s="792" t="str">
        <f>IFERROR(VLOOKUP(D662,Stock,3,FALSE),"")</f>
        <v>Isuzu Panther 00- 2nd Gen (Sealant)</v>
      </c>
      <c r="F662" s="791">
        <v>3.0</v>
      </c>
      <c r="G662" s="842">
        <v>198899.79</v>
      </c>
      <c r="H662" s="811">
        <f t="shared" si="15"/>
        <v>596699.37</v>
      </c>
      <c r="I662" s="809">
        <f t="shared" si="24"/>
        <v>596699.37</v>
      </c>
      <c r="J662" s="848">
        <v>45618.0</v>
      </c>
      <c r="K662" s="799" t="s">
        <v>4258</v>
      </c>
      <c r="L662" s="818" t="s">
        <v>12235</v>
      </c>
      <c r="M662" s="818" t="s">
        <v>13044</v>
      </c>
      <c r="N662" s="820">
        <v>45616.0</v>
      </c>
      <c r="O662" s="823"/>
    </row>
    <row r="663" ht="15.0" customHeight="1">
      <c r="A663" s="789">
        <v>45588.0</v>
      </c>
      <c r="B663" s="790">
        <v>2410580.0</v>
      </c>
      <c r="C663" s="791" t="s">
        <v>11484</v>
      </c>
      <c r="D663" s="791" t="s">
        <v>6693</v>
      </c>
      <c r="E663" s="792" t="str">
        <f>IFERROR(VLOOKUP(D663,Stock,3,FALSE),"")</f>
        <v>Toyota Yaris 05-13 XP90 1st Gen</v>
      </c>
      <c r="F663" s="791">
        <v>2.0</v>
      </c>
      <c r="G663" s="842">
        <v>409000.0</v>
      </c>
      <c r="H663" s="811">
        <f t="shared" si="15"/>
        <v>818000</v>
      </c>
      <c r="I663" s="809">
        <f t="shared" si="24"/>
        <v>818000</v>
      </c>
      <c r="J663" s="848">
        <v>45648.0</v>
      </c>
      <c r="K663" s="799" t="s">
        <v>4258</v>
      </c>
      <c r="L663" s="818" t="s">
        <v>12235</v>
      </c>
      <c r="M663" s="818" t="s">
        <v>12809</v>
      </c>
      <c r="N663" s="820">
        <v>45645.0</v>
      </c>
      <c r="O663" s="823"/>
    </row>
    <row r="664" ht="15.0" customHeight="1">
      <c r="A664" s="789">
        <v>45590.0</v>
      </c>
      <c r="B664" s="790">
        <v>2410652.0</v>
      </c>
      <c r="C664" s="791" t="s">
        <v>11484</v>
      </c>
      <c r="D664" s="791" t="s">
        <v>3638</v>
      </c>
      <c r="E664" s="792" t="str">
        <f>IFERROR(VLOOKUP(D664,Stock,3,FALSE),"")</f>
        <v>Mitsubishi Xpander 17-21</v>
      </c>
      <c r="F664" s="791">
        <v>1.0</v>
      </c>
      <c r="G664" s="842">
        <v>292000.0</v>
      </c>
      <c r="H664" s="811">
        <f t="shared" si="15"/>
        <v>292000</v>
      </c>
      <c r="I664" s="809">
        <f t="shared" si="24"/>
        <v>292000</v>
      </c>
      <c r="J664" s="848">
        <v>45650.0</v>
      </c>
      <c r="K664" s="799" t="s">
        <v>4258</v>
      </c>
      <c r="L664" s="818" t="s">
        <v>12235</v>
      </c>
      <c r="M664" s="818" t="s">
        <v>12809</v>
      </c>
      <c r="N664" s="820">
        <v>45646.0</v>
      </c>
      <c r="O664" s="823"/>
    </row>
    <row r="665" ht="15.0" customHeight="1">
      <c r="A665" s="789">
        <v>45590.0</v>
      </c>
      <c r="B665" s="790">
        <v>2410647.0</v>
      </c>
      <c r="C665" s="791" t="s">
        <v>11484</v>
      </c>
      <c r="D665" s="791" t="s">
        <v>3502</v>
      </c>
      <c r="E665" s="792" t="str">
        <f>IFERROR(VLOOKUP(D665,Stock,3,FALSE),"")</f>
        <v>Honda CR-V 02-06 2nd Gen</v>
      </c>
      <c r="F665" s="791">
        <v>2.0</v>
      </c>
      <c r="G665" s="842">
        <v>517000.0</v>
      </c>
      <c r="H665" s="811">
        <f t="shared" si="15"/>
        <v>1034000</v>
      </c>
      <c r="I665" s="809">
        <f t="shared" si="24"/>
        <v>1034000</v>
      </c>
      <c r="J665" s="848">
        <v>45650.0</v>
      </c>
      <c r="K665" s="799" t="s">
        <v>4258</v>
      </c>
      <c r="L665" s="818" t="s">
        <v>12235</v>
      </c>
      <c r="M665" s="818" t="s">
        <v>12809</v>
      </c>
      <c r="N665" s="820">
        <v>45646.0</v>
      </c>
      <c r="O665" s="823"/>
    </row>
    <row r="666" ht="15.0" customHeight="1">
      <c r="A666" s="789">
        <v>45590.0</v>
      </c>
      <c r="B666" s="790">
        <v>2410647.0</v>
      </c>
      <c r="C666" s="791" t="s">
        <v>11484</v>
      </c>
      <c r="D666" s="791" t="s">
        <v>3503</v>
      </c>
      <c r="E666" s="792" t="str">
        <f>IFERROR(VLOOKUP(D666,Stock,3,FALSE),"")</f>
        <v>Honda CR-V 02-06 2nd Gen</v>
      </c>
      <c r="F666" s="791">
        <v>2.0</v>
      </c>
      <c r="G666" s="842">
        <v>517000.0</v>
      </c>
      <c r="H666" s="811">
        <f t="shared" si="15"/>
        <v>1034000</v>
      </c>
      <c r="I666" s="809">
        <f t="shared" si="24"/>
        <v>1034000</v>
      </c>
      <c r="J666" s="848">
        <v>45650.0</v>
      </c>
      <c r="K666" s="799" t="s">
        <v>4258</v>
      </c>
      <c r="L666" s="818" t="s">
        <v>12235</v>
      </c>
      <c r="M666" s="818" t="s">
        <v>12809</v>
      </c>
      <c r="N666" s="820">
        <v>45646.0</v>
      </c>
      <c r="O666" s="823"/>
    </row>
    <row r="667" ht="15.0" customHeight="1">
      <c r="A667" s="789">
        <v>45590.0</v>
      </c>
      <c r="B667" s="790">
        <v>2410647.0</v>
      </c>
      <c r="C667" s="791" t="s">
        <v>11484</v>
      </c>
      <c r="D667" s="791" t="s">
        <v>2667</v>
      </c>
      <c r="E667" s="792" t="str">
        <f>IFERROR(VLOOKUP(D667,Stock,3,FALSE),"")</f>
        <v>Hyundai Stargazer 22-</v>
      </c>
      <c r="F667" s="791">
        <v>1.0</v>
      </c>
      <c r="G667" s="842">
        <v>907500.0</v>
      </c>
      <c r="H667" s="811">
        <f t="shared" si="15"/>
        <v>907500</v>
      </c>
      <c r="I667" s="809">
        <f t="shared" si="24"/>
        <v>907500</v>
      </c>
      <c r="J667" s="848">
        <v>45650.0</v>
      </c>
      <c r="K667" s="799" t="s">
        <v>4258</v>
      </c>
      <c r="L667" s="818" t="s">
        <v>12235</v>
      </c>
      <c r="M667" s="818" t="s">
        <v>12809</v>
      </c>
      <c r="N667" s="820">
        <v>45646.0</v>
      </c>
      <c r="O667" s="823"/>
    </row>
    <row r="668" ht="15.0" customHeight="1">
      <c r="A668" s="789">
        <v>45590.0</v>
      </c>
      <c r="B668" s="790">
        <v>2410647.0</v>
      </c>
      <c r="C668" s="791" t="s">
        <v>11484</v>
      </c>
      <c r="D668" s="791" t="s">
        <v>2668</v>
      </c>
      <c r="E668" s="792" t="str">
        <f>IFERROR(VLOOKUP(D668,Stock,3,FALSE),"")</f>
        <v>Hyundai Stargazer 22-</v>
      </c>
      <c r="F668" s="791">
        <v>1.0</v>
      </c>
      <c r="G668" s="842">
        <v>1155000.0</v>
      </c>
      <c r="H668" s="811">
        <f t="shared" si="15"/>
        <v>1155000</v>
      </c>
      <c r="I668" s="809">
        <f t="shared" si="24"/>
        <v>1155000</v>
      </c>
      <c r="J668" s="848">
        <v>45650.0</v>
      </c>
      <c r="K668" s="799" t="s">
        <v>4258</v>
      </c>
      <c r="L668" s="818" t="s">
        <v>12235</v>
      </c>
      <c r="M668" s="818" t="s">
        <v>12809</v>
      </c>
      <c r="N668" s="820">
        <v>45646.0</v>
      </c>
      <c r="O668" s="823"/>
    </row>
    <row r="669" ht="15.0" customHeight="1">
      <c r="A669" s="789">
        <v>45593.0</v>
      </c>
      <c r="B669" s="790">
        <v>2410701.0</v>
      </c>
      <c r="C669" s="791" t="s">
        <v>11484</v>
      </c>
      <c r="D669" s="791" t="s">
        <v>3924</v>
      </c>
      <c r="E669" s="792" t="str">
        <f>IFERROR(VLOOKUP(D669,Stock,3,FALSE),"")</f>
        <v>Nissan X-Trail 07-13 T31</v>
      </c>
      <c r="F669" s="791">
        <v>2.0</v>
      </c>
      <c r="G669" s="842">
        <v>880000.0</v>
      </c>
      <c r="H669" s="811">
        <f t="shared" si="15"/>
        <v>1760000</v>
      </c>
      <c r="I669" s="809">
        <f t="shared" si="24"/>
        <v>1760000</v>
      </c>
      <c r="J669" s="848">
        <v>45653.0</v>
      </c>
      <c r="K669" s="799" t="s">
        <v>4258</v>
      </c>
      <c r="L669" s="818" t="s">
        <v>12235</v>
      </c>
      <c r="M669" s="818" t="s">
        <v>12809</v>
      </c>
      <c r="N669" s="820">
        <v>45651.0</v>
      </c>
      <c r="O669" s="823"/>
    </row>
    <row r="670" ht="15.0" customHeight="1">
      <c r="A670" s="789">
        <v>45595.0</v>
      </c>
      <c r="B670" s="790">
        <v>2410801.0</v>
      </c>
      <c r="C670" s="791" t="s">
        <v>11484</v>
      </c>
      <c r="D670" s="791" t="s">
        <v>2784</v>
      </c>
      <c r="E670" s="792" t="str">
        <f>IFERROR(VLOOKUP(D670,Stock,3,FALSE),"")</f>
        <v>Honda City 19- GN</v>
      </c>
      <c r="F670" s="791">
        <v>2.0</v>
      </c>
      <c r="G670" s="842">
        <v>1277100.0</v>
      </c>
      <c r="H670" s="811">
        <f t="shared" si="15"/>
        <v>2554200</v>
      </c>
      <c r="I670" s="809">
        <f t="shared" si="24"/>
        <v>2554200</v>
      </c>
      <c r="J670" s="848">
        <v>45655.0</v>
      </c>
      <c r="K670" s="799" t="s">
        <v>4258</v>
      </c>
      <c r="L670" s="818" t="s">
        <v>12235</v>
      </c>
      <c r="M670" s="818" t="s">
        <v>12809</v>
      </c>
      <c r="N670" s="820">
        <v>45651.0</v>
      </c>
      <c r="O670" s="823"/>
    </row>
    <row r="671" ht="15.0" customHeight="1">
      <c r="A671" s="789">
        <v>45595.0</v>
      </c>
      <c r="B671" s="790">
        <v>2410801.0</v>
      </c>
      <c r="C671" s="791" t="s">
        <v>11484</v>
      </c>
      <c r="D671" s="791" t="s">
        <v>5294</v>
      </c>
      <c r="E671" s="792" t="str">
        <f>IFERROR(VLOOKUP(D671,Stock,3,FALSE),"")</f>
        <v>Lexus RX (Harrier) 03-08 XU30</v>
      </c>
      <c r="F671" s="791">
        <v>1.0</v>
      </c>
      <c r="G671" s="842">
        <v>2125750.0</v>
      </c>
      <c r="H671" s="811">
        <f t="shared" si="15"/>
        <v>2125750</v>
      </c>
      <c r="I671" s="809">
        <f t="shared" si="24"/>
        <v>2125750</v>
      </c>
      <c r="J671" s="848">
        <v>45655.0</v>
      </c>
      <c r="K671" s="799" t="s">
        <v>4258</v>
      </c>
      <c r="L671" s="818" t="s">
        <v>12235</v>
      </c>
      <c r="M671" s="818" t="s">
        <v>12809</v>
      </c>
      <c r="N671" s="820">
        <v>45651.0</v>
      </c>
      <c r="O671" s="823"/>
    </row>
    <row r="672" ht="15.0" customHeight="1">
      <c r="A672" s="789">
        <v>45595.0</v>
      </c>
      <c r="B672" s="790">
        <v>2410801.0</v>
      </c>
      <c r="C672" s="791" t="s">
        <v>11484</v>
      </c>
      <c r="D672" s="791" t="s">
        <v>4164</v>
      </c>
      <c r="E672" s="792" t="str">
        <f>IFERROR(VLOOKUP(D672,Stock,3,FALSE),"")</f>
        <v>Nissan Frontier Navara 04-15 D40 2nd Gen</v>
      </c>
      <c r="F672" s="791">
        <v>2.0</v>
      </c>
      <c r="G672" s="842">
        <v>707300.0</v>
      </c>
      <c r="H672" s="811">
        <f t="shared" si="15"/>
        <v>1414600</v>
      </c>
      <c r="I672" s="809">
        <f t="shared" si="24"/>
        <v>1414600</v>
      </c>
      <c r="J672" s="848">
        <v>45655.0</v>
      </c>
      <c r="K672" s="799" t="s">
        <v>4258</v>
      </c>
      <c r="L672" s="818" t="s">
        <v>12235</v>
      </c>
      <c r="M672" s="818" t="s">
        <v>12809</v>
      </c>
      <c r="N672" s="820">
        <v>45651.0</v>
      </c>
      <c r="O672" s="823"/>
    </row>
    <row r="673" ht="15.0" customHeight="1">
      <c r="A673" s="789">
        <v>45596.0</v>
      </c>
      <c r="B673" s="790">
        <v>2410861.0</v>
      </c>
      <c r="C673" s="791" t="s">
        <v>11484</v>
      </c>
      <c r="D673" s="791" t="s">
        <v>13045</v>
      </c>
      <c r="E673" s="792" t="str">
        <f>IFERROR(VLOOKUP(D673,Stock,3,FALSE),"")</f>
        <v>Honda Civic 92-95 3D SR0/SR3 (Estilo)</v>
      </c>
      <c r="F673" s="791">
        <v>2.0</v>
      </c>
      <c r="G673" s="842">
        <v>437250.0</v>
      </c>
      <c r="H673" s="811">
        <f t="shared" si="15"/>
        <v>874500</v>
      </c>
      <c r="I673" s="809">
        <f t="shared" si="24"/>
        <v>874500</v>
      </c>
      <c r="J673" s="848">
        <v>45656.0</v>
      </c>
      <c r="K673" s="799" t="s">
        <v>4258</v>
      </c>
      <c r="L673" s="818" t="s">
        <v>12235</v>
      </c>
      <c r="M673" s="818" t="s">
        <v>12809</v>
      </c>
      <c r="N673" s="820">
        <v>45652.0</v>
      </c>
      <c r="O673" s="823"/>
    </row>
    <row r="674" ht="15.0" customHeight="1">
      <c r="A674" s="789">
        <v>45596.0</v>
      </c>
      <c r="B674" s="790">
        <v>2410861.0</v>
      </c>
      <c r="C674" s="791" t="s">
        <v>11484</v>
      </c>
      <c r="D674" s="791" t="s">
        <v>13046</v>
      </c>
      <c r="E674" s="792" t="str">
        <f>IFERROR(VLOOKUP(D674,Stock,3,FALSE),"")</f>
        <v>Honda Civic 92-95 3D SR0/SR3 (Estilo)</v>
      </c>
      <c r="F674" s="791">
        <v>2.0</v>
      </c>
      <c r="G674" s="842">
        <v>437250.0</v>
      </c>
      <c r="H674" s="811">
        <f t="shared" si="15"/>
        <v>874500</v>
      </c>
      <c r="I674" s="809">
        <f t="shared" si="24"/>
        <v>874500</v>
      </c>
      <c r="J674" s="848">
        <v>45656.0</v>
      </c>
      <c r="K674" s="799" t="s">
        <v>4258</v>
      </c>
      <c r="L674" s="818" t="s">
        <v>12235</v>
      </c>
      <c r="M674" s="818" t="s">
        <v>12809</v>
      </c>
      <c r="N674" s="820">
        <v>45652.0</v>
      </c>
      <c r="O674" s="823"/>
    </row>
    <row r="675" ht="15.0" customHeight="1">
      <c r="A675" s="789">
        <v>45580.0</v>
      </c>
      <c r="B675" s="790" t="s">
        <v>13047</v>
      </c>
      <c r="C675" s="791" t="s">
        <v>11484</v>
      </c>
      <c r="D675" s="791" t="s">
        <v>3059</v>
      </c>
      <c r="E675" s="792" t="str">
        <f>IFERROR(VLOOKUP(D675,Stock,3,FALSE),"")</f>
        <v>Sealant Polyurethane XYG Tube</v>
      </c>
      <c r="F675" s="791">
        <v>147.0</v>
      </c>
      <c r="G675" s="842">
        <v>25000.0</v>
      </c>
      <c r="H675" s="811">
        <f t="shared" si="15"/>
        <v>3675000</v>
      </c>
      <c r="I675" s="809"/>
      <c r="J675" s="819"/>
      <c r="K675" s="799" t="s">
        <v>4258</v>
      </c>
      <c r="L675" s="818" t="s">
        <v>12235</v>
      </c>
      <c r="M675" s="818" t="s">
        <v>12809</v>
      </c>
      <c r="N675" s="820">
        <v>45596.0</v>
      </c>
      <c r="O675" s="823"/>
    </row>
    <row r="676" ht="15.0" customHeight="1">
      <c r="A676" s="789">
        <v>45596.0</v>
      </c>
      <c r="B676" s="790">
        <v>2410911.0</v>
      </c>
      <c r="C676" s="791" t="s">
        <v>11484</v>
      </c>
      <c r="D676" s="791" t="s">
        <v>4907</v>
      </c>
      <c r="E676" s="792" t="str">
        <f>IFERROR(VLOOKUP(D676,Stock,3,FALSE),"")</f>
        <v>Nissan Livina 07-12 L10 (Tanpa Lubang)</v>
      </c>
      <c r="F676" s="791">
        <v>2.0</v>
      </c>
      <c r="G676" s="842">
        <v>398000.0</v>
      </c>
      <c r="H676" s="811">
        <f t="shared" si="15"/>
        <v>796000</v>
      </c>
      <c r="I676" s="809">
        <f t="shared" ref="I676:I685" si="25">H676</f>
        <v>796000</v>
      </c>
      <c r="J676" s="848">
        <v>45656.0</v>
      </c>
      <c r="K676" s="799" t="s">
        <v>4258</v>
      </c>
      <c r="L676" s="818" t="s">
        <v>12235</v>
      </c>
      <c r="M676" s="818" t="s">
        <v>12809</v>
      </c>
      <c r="N676" s="820">
        <v>45652.0</v>
      </c>
      <c r="O676" s="823"/>
    </row>
    <row r="677" ht="15.0" customHeight="1">
      <c r="A677" s="789">
        <v>45596.0</v>
      </c>
      <c r="B677" s="790">
        <v>2410911.0</v>
      </c>
      <c r="C677" s="791" t="s">
        <v>11484</v>
      </c>
      <c r="D677" s="791" t="s">
        <v>4183</v>
      </c>
      <c r="E677" s="792" t="str">
        <f>IFERROR(VLOOKUP(D677,Stock,3,FALSE),"")</f>
        <v>Mitsubishi Xpander 17-21</v>
      </c>
      <c r="F677" s="791">
        <v>3.0</v>
      </c>
      <c r="G677" s="842">
        <v>330000.0</v>
      </c>
      <c r="H677" s="811">
        <f t="shared" si="15"/>
        <v>990000</v>
      </c>
      <c r="I677" s="809">
        <f t="shared" si="25"/>
        <v>990000</v>
      </c>
      <c r="J677" s="848">
        <v>45656.0</v>
      </c>
      <c r="K677" s="799" t="s">
        <v>4258</v>
      </c>
      <c r="L677" s="818" t="s">
        <v>12235</v>
      </c>
      <c r="M677" s="818" t="s">
        <v>12809</v>
      </c>
      <c r="N677" s="820">
        <v>45652.0</v>
      </c>
      <c r="O677" s="823"/>
    </row>
    <row r="678" ht="15.0" customHeight="1">
      <c r="A678" s="789">
        <v>45596.0</v>
      </c>
      <c r="B678" s="790">
        <v>2410911.0</v>
      </c>
      <c r="C678" s="791" t="s">
        <v>11484</v>
      </c>
      <c r="D678" s="791" t="s">
        <v>3378</v>
      </c>
      <c r="E678" s="792" t="str">
        <f>IFERROR(VLOOKUP(D678,Stock,3,FALSE),"")</f>
        <v>Isuzu Panther 00- 2nd Gen</v>
      </c>
      <c r="F678" s="791">
        <v>2.0</v>
      </c>
      <c r="G678" s="842">
        <v>515900.0</v>
      </c>
      <c r="H678" s="811">
        <f t="shared" si="15"/>
        <v>1031800</v>
      </c>
      <c r="I678" s="809">
        <f t="shared" si="25"/>
        <v>1031800</v>
      </c>
      <c r="J678" s="848">
        <v>45656.0</v>
      </c>
      <c r="K678" s="799" t="s">
        <v>4258</v>
      </c>
      <c r="L678" s="818" t="s">
        <v>12235</v>
      </c>
      <c r="M678" s="818" t="s">
        <v>12809</v>
      </c>
      <c r="N678" s="820">
        <v>45652.0</v>
      </c>
      <c r="O678" s="823"/>
    </row>
    <row r="679" ht="15.0" customHeight="1">
      <c r="A679" s="789">
        <v>45596.0</v>
      </c>
      <c r="B679" s="790">
        <v>2410911.0</v>
      </c>
      <c r="C679" s="791" t="s">
        <v>11484</v>
      </c>
      <c r="D679" s="791" t="s">
        <v>5683</v>
      </c>
      <c r="E679" s="792" t="str">
        <f>IFERROR(VLOOKUP(D679,Stock,3,FALSE),"")</f>
        <v>Wuling Cortez</v>
      </c>
      <c r="F679" s="791">
        <v>1.0</v>
      </c>
      <c r="G679" s="842">
        <v>982850.0</v>
      </c>
      <c r="H679" s="811">
        <f t="shared" si="15"/>
        <v>982850</v>
      </c>
      <c r="I679" s="809">
        <f t="shared" si="25"/>
        <v>982850</v>
      </c>
      <c r="J679" s="848">
        <v>45656.0</v>
      </c>
      <c r="K679" s="799" t="s">
        <v>4258</v>
      </c>
      <c r="L679" s="818" t="s">
        <v>12235</v>
      </c>
      <c r="M679" s="818" t="s">
        <v>12809</v>
      </c>
      <c r="N679" s="820">
        <v>45652.0</v>
      </c>
      <c r="O679" s="823"/>
    </row>
    <row r="680" ht="15.0" customHeight="1">
      <c r="A680" s="789">
        <v>45596.0</v>
      </c>
      <c r="B680" s="790">
        <v>2410911.0</v>
      </c>
      <c r="C680" s="791" t="s">
        <v>11484</v>
      </c>
      <c r="D680" s="791" t="s">
        <v>3638</v>
      </c>
      <c r="E680" s="792" t="str">
        <f>IFERROR(VLOOKUP(D680,Stock,3,FALSE),"")</f>
        <v>Mitsubishi Xpander 17-21</v>
      </c>
      <c r="F680" s="791">
        <v>1.0</v>
      </c>
      <c r="G680" s="842">
        <v>292000.0</v>
      </c>
      <c r="H680" s="811">
        <f t="shared" si="15"/>
        <v>292000</v>
      </c>
      <c r="I680" s="809">
        <f t="shared" si="25"/>
        <v>292000</v>
      </c>
      <c r="J680" s="848">
        <v>45656.0</v>
      </c>
      <c r="K680" s="799" t="s">
        <v>4258</v>
      </c>
      <c r="L680" s="818" t="s">
        <v>12235</v>
      </c>
      <c r="M680" s="818" t="s">
        <v>12809</v>
      </c>
      <c r="N680" s="820">
        <v>45652.0</v>
      </c>
      <c r="O680" s="823"/>
    </row>
    <row r="681" ht="15.0" customHeight="1">
      <c r="A681" s="789">
        <v>45600.0</v>
      </c>
      <c r="B681" s="790">
        <v>2411085.0</v>
      </c>
      <c r="C681" s="791" t="s">
        <v>11484</v>
      </c>
      <c r="D681" s="791" t="s">
        <v>5613</v>
      </c>
      <c r="E681" s="792" t="str">
        <f>IFERROR(VLOOKUP(D681,Stock,3,FALSE),"")</f>
        <v>Suzuki Esteem 89-90</v>
      </c>
      <c r="F681" s="791">
        <v>1.0</v>
      </c>
      <c r="G681" s="842">
        <v>693000.0</v>
      </c>
      <c r="H681" s="851">
        <f t="shared" si="15"/>
        <v>693000</v>
      </c>
      <c r="I681" s="809">
        <f t="shared" si="25"/>
        <v>693000</v>
      </c>
      <c r="J681" s="844">
        <v>45660.0</v>
      </c>
      <c r="K681" s="799" t="s">
        <v>4258</v>
      </c>
      <c r="L681" s="818" t="s">
        <v>12235</v>
      </c>
      <c r="M681" s="818" t="s">
        <v>12809</v>
      </c>
      <c r="N681" s="820">
        <v>45659.0</v>
      </c>
      <c r="O681" s="823"/>
    </row>
    <row r="682" ht="15.0" customHeight="1">
      <c r="A682" s="789">
        <v>45600.0</v>
      </c>
      <c r="B682" s="790">
        <v>2411085.0</v>
      </c>
      <c r="C682" s="791" t="s">
        <v>11484</v>
      </c>
      <c r="D682" s="791" t="s">
        <v>5587</v>
      </c>
      <c r="E682" s="792" t="str">
        <f>IFERROR(VLOOKUP(D682,Stock,3,FALSE),"")</f>
        <v>Honda CR-V 02-04 2nd Gen (Spion Jepit)</v>
      </c>
      <c r="F682" s="791">
        <v>2.0</v>
      </c>
      <c r="G682" s="842">
        <v>815100.0</v>
      </c>
      <c r="H682" s="851">
        <f t="shared" si="15"/>
        <v>1630200</v>
      </c>
      <c r="I682" s="809">
        <f t="shared" si="25"/>
        <v>1630200</v>
      </c>
      <c r="J682" s="844">
        <v>45660.0</v>
      </c>
      <c r="K682" s="799" t="s">
        <v>4258</v>
      </c>
      <c r="L682" s="818" t="s">
        <v>12235</v>
      </c>
      <c r="M682" s="818" t="s">
        <v>12809</v>
      </c>
      <c r="N682" s="820">
        <v>45659.0</v>
      </c>
      <c r="O682" s="823"/>
    </row>
    <row r="683" ht="15.0" customHeight="1">
      <c r="A683" s="789">
        <v>45600.0</v>
      </c>
      <c r="B683" s="790">
        <v>2411155.0</v>
      </c>
      <c r="C683" s="791" t="s">
        <v>11484</v>
      </c>
      <c r="D683" s="791" t="s">
        <v>5308</v>
      </c>
      <c r="E683" s="792" t="str">
        <f>IFERROR(VLOOKUP(D683,Stock,3,FALSE),"")</f>
        <v>Toyota Hilux Pickup 15- (Revo)</v>
      </c>
      <c r="F683" s="791">
        <v>2.0</v>
      </c>
      <c r="G683" s="842">
        <v>520000.0</v>
      </c>
      <c r="H683" s="851">
        <f t="shared" si="15"/>
        <v>1040000</v>
      </c>
      <c r="I683" s="809">
        <f t="shared" si="25"/>
        <v>1040000</v>
      </c>
      <c r="J683" s="844">
        <v>45660.0</v>
      </c>
      <c r="K683" s="799" t="s">
        <v>4258</v>
      </c>
      <c r="L683" s="818" t="s">
        <v>12235</v>
      </c>
      <c r="M683" s="818" t="s">
        <v>12809</v>
      </c>
      <c r="N683" s="820">
        <v>45659.0</v>
      </c>
      <c r="O683" s="823"/>
    </row>
    <row r="684" ht="15.0" customHeight="1">
      <c r="A684" s="789">
        <v>45600.0</v>
      </c>
      <c r="B684" s="790">
        <v>2411155.0</v>
      </c>
      <c r="C684" s="791" t="s">
        <v>11484</v>
      </c>
      <c r="D684" s="791" t="s">
        <v>7599</v>
      </c>
      <c r="E684" s="792" t="str">
        <f>IFERROR(VLOOKUP(D684,Stock,3,FALSE),"")</f>
        <v>Toyota Hilux Pickup 15- (Revo)</v>
      </c>
      <c r="F684" s="791">
        <v>2.0</v>
      </c>
      <c r="G684" s="842">
        <v>499000.0</v>
      </c>
      <c r="H684" s="851">
        <f t="shared" si="15"/>
        <v>998000</v>
      </c>
      <c r="I684" s="809">
        <f t="shared" si="25"/>
        <v>998000</v>
      </c>
      <c r="J684" s="844">
        <v>45660.0</v>
      </c>
      <c r="K684" s="799" t="s">
        <v>4258</v>
      </c>
      <c r="L684" s="818" t="s">
        <v>12235</v>
      </c>
      <c r="M684" s="818" t="s">
        <v>12809</v>
      </c>
      <c r="N684" s="820">
        <v>45659.0</v>
      </c>
      <c r="O684" s="823"/>
    </row>
    <row r="685" ht="15.0" customHeight="1">
      <c r="A685" s="789">
        <v>45600.0</v>
      </c>
      <c r="B685" s="790">
        <v>2411155.0</v>
      </c>
      <c r="C685" s="791" t="s">
        <v>11484</v>
      </c>
      <c r="D685" s="791" t="s">
        <v>4782</v>
      </c>
      <c r="E685" s="792" t="str">
        <f>IFERROR(VLOOKUP(D685,Stock,3,FALSE),"")</f>
        <v>Mitsubishi Pajero 08-16</v>
      </c>
      <c r="F685" s="791">
        <v>2.0</v>
      </c>
      <c r="G685" s="842">
        <v>483000.0</v>
      </c>
      <c r="H685" s="851">
        <f t="shared" si="15"/>
        <v>966000</v>
      </c>
      <c r="I685" s="809">
        <f t="shared" si="25"/>
        <v>966000</v>
      </c>
      <c r="J685" s="844">
        <v>45660.0</v>
      </c>
      <c r="K685" s="799" t="s">
        <v>4258</v>
      </c>
      <c r="L685" s="818" t="s">
        <v>12235</v>
      </c>
      <c r="M685" s="818" t="s">
        <v>12809</v>
      </c>
      <c r="N685" s="820">
        <v>45659.0</v>
      </c>
      <c r="O685" s="823"/>
    </row>
    <row r="686" ht="15.0" customHeight="1">
      <c r="A686" s="789">
        <v>45601.0</v>
      </c>
      <c r="B686" s="790" t="s">
        <v>13048</v>
      </c>
      <c r="C686" s="791" t="s">
        <v>3076</v>
      </c>
      <c r="D686" s="791" t="s">
        <v>5571</v>
      </c>
      <c r="E686" s="792" t="str">
        <f>IFERROR(VLOOKUP(D686,Stock,3,FALSE),"")</f>
        <v>Toyota Altis 18- E210 12th Gen</v>
      </c>
      <c r="F686" s="791">
        <v>1.0</v>
      </c>
      <c r="G686" s="842">
        <v>1650000.0</v>
      </c>
      <c r="H686" s="811">
        <f t="shared" si="15"/>
        <v>1650000</v>
      </c>
      <c r="I686" s="809"/>
      <c r="J686" s="819"/>
      <c r="K686" s="799" t="s">
        <v>4258</v>
      </c>
      <c r="L686" s="818" t="s">
        <v>12235</v>
      </c>
      <c r="M686" s="818" t="s">
        <v>12809</v>
      </c>
      <c r="N686" s="820">
        <v>45603.0</v>
      </c>
      <c r="O686" s="823"/>
    </row>
    <row r="687" ht="15.0" customHeight="1">
      <c r="A687" s="789">
        <v>45601.0</v>
      </c>
      <c r="B687" s="790" t="s">
        <v>13048</v>
      </c>
      <c r="C687" s="791" t="s">
        <v>3076</v>
      </c>
      <c r="D687" s="791" t="s">
        <v>3186</v>
      </c>
      <c r="E687" s="792" t="str">
        <f>IFERROR(VLOOKUP(D687,Stock,3,FALSE),"")</f>
        <v>Daihatsu Gran Max / Luxio 07-</v>
      </c>
      <c r="F687" s="791">
        <v>5.0</v>
      </c>
      <c r="G687" s="842">
        <v>396825.0</v>
      </c>
      <c r="H687" s="811">
        <f t="shared" si="15"/>
        <v>1984125</v>
      </c>
      <c r="I687" s="809"/>
      <c r="J687" s="819"/>
      <c r="K687" s="799" t="s">
        <v>4258</v>
      </c>
      <c r="L687" s="818" t="s">
        <v>12235</v>
      </c>
      <c r="M687" s="818" t="s">
        <v>12809</v>
      </c>
      <c r="N687" s="820">
        <v>45603.0</v>
      </c>
      <c r="O687" s="823"/>
    </row>
    <row r="688" ht="15.0" customHeight="1">
      <c r="A688" s="789">
        <v>45601.0</v>
      </c>
      <c r="B688" s="790" t="s">
        <v>13048</v>
      </c>
      <c r="C688" s="791" t="s">
        <v>3076</v>
      </c>
      <c r="D688" s="791" t="s">
        <v>3411</v>
      </c>
      <c r="E688" s="792" t="str">
        <f>IFERROR(VLOOKUP(D688,Stock,3,FALSE),"")</f>
        <v>Toyota Agya/Ayla 13-22 1st Gen</v>
      </c>
      <c r="F688" s="791">
        <v>5.0</v>
      </c>
      <c r="G688" s="842">
        <v>338217.0</v>
      </c>
      <c r="H688" s="811">
        <f t="shared" si="15"/>
        <v>1691085</v>
      </c>
      <c r="I688" s="809"/>
      <c r="J688" s="819"/>
      <c r="K688" s="799" t="s">
        <v>4258</v>
      </c>
      <c r="L688" s="818" t="s">
        <v>12235</v>
      </c>
      <c r="M688" s="818" t="s">
        <v>12809</v>
      </c>
      <c r="N688" s="820">
        <v>45603.0</v>
      </c>
      <c r="O688" s="823"/>
    </row>
    <row r="689" ht="15.0" customHeight="1">
      <c r="A689" s="789">
        <v>45601.0</v>
      </c>
      <c r="B689" s="790">
        <v>2411178.0</v>
      </c>
      <c r="C689" s="791" t="s">
        <v>11484</v>
      </c>
      <c r="D689" s="791" t="s">
        <v>2778</v>
      </c>
      <c r="E689" s="792" t="str">
        <f>IFERROR(VLOOKUP(D689,Stock,3,FALSE),"")</f>
        <v>Mitsubishi Fuso Fighter FK40 82-(PS190,220)</v>
      </c>
      <c r="F689" s="791">
        <v>2.0</v>
      </c>
      <c r="G689" s="842">
        <v>779350.0</v>
      </c>
      <c r="H689" s="851">
        <f t="shared" si="15"/>
        <v>1558700</v>
      </c>
      <c r="I689" s="809">
        <f t="shared" ref="I689:I691" si="26">H689</f>
        <v>1558700</v>
      </c>
      <c r="J689" s="844">
        <v>45661.0</v>
      </c>
      <c r="K689" s="799" t="s">
        <v>4258</v>
      </c>
      <c r="L689" s="818" t="s">
        <v>12235</v>
      </c>
      <c r="M689" s="818" t="s">
        <v>12809</v>
      </c>
      <c r="N689" s="820">
        <v>45659.0</v>
      </c>
      <c r="O689" s="823"/>
    </row>
    <row r="690" ht="15.0" customHeight="1">
      <c r="A690" s="789">
        <v>45601.0</v>
      </c>
      <c r="B690" s="790">
        <v>2411203.0</v>
      </c>
      <c r="C690" s="791" t="s">
        <v>11484</v>
      </c>
      <c r="D690" s="791" t="s">
        <v>2595</v>
      </c>
      <c r="E690" s="792" t="str">
        <f>IFERROR(VLOOKUP(D690,Stock,3,FALSE),"")</f>
        <v>Toyota Alphard 08-15 ANH20 2nd Gen</v>
      </c>
      <c r="F690" s="791">
        <v>1.0</v>
      </c>
      <c r="G690" s="842">
        <v>2066350.0</v>
      </c>
      <c r="H690" s="851">
        <f t="shared" si="15"/>
        <v>2066350</v>
      </c>
      <c r="I690" s="809">
        <f t="shared" si="26"/>
        <v>2066350</v>
      </c>
      <c r="J690" s="844">
        <v>45661.0</v>
      </c>
      <c r="K690" s="799" t="s">
        <v>4258</v>
      </c>
      <c r="L690" s="818" t="s">
        <v>12235</v>
      </c>
      <c r="M690" s="818" t="s">
        <v>12809</v>
      </c>
      <c r="N690" s="820">
        <v>45659.0</v>
      </c>
      <c r="O690" s="823"/>
    </row>
    <row r="691" ht="15.0" customHeight="1">
      <c r="A691" s="789">
        <v>45601.0</v>
      </c>
      <c r="B691" s="790">
        <v>2411203.0</v>
      </c>
      <c r="C691" s="791" t="s">
        <v>11484</v>
      </c>
      <c r="D691" s="791" t="s">
        <v>2934</v>
      </c>
      <c r="E691" s="792" t="str">
        <f>IFERROR(VLOOKUP(D691,Stock,3,FALSE),"")</f>
        <v>Peti Kayu</v>
      </c>
      <c r="F691" s="791">
        <v>1.0</v>
      </c>
      <c r="G691" s="842">
        <v>150000.0</v>
      </c>
      <c r="H691" s="851">
        <f t="shared" si="15"/>
        <v>150000</v>
      </c>
      <c r="I691" s="809">
        <f t="shared" si="26"/>
        <v>150000</v>
      </c>
      <c r="J691" s="844">
        <v>45661.0</v>
      </c>
      <c r="K691" s="799" t="s">
        <v>4258</v>
      </c>
      <c r="L691" s="818" t="s">
        <v>12235</v>
      </c>
      <c r="M691" s="818" t="s">
        <v>12809</v>
      </c>
      <c r="N691" s="820">
        <v>45659.0</v>
      </c>
      <c r="O691" s="823"/>
    </row>
    <row r="692" ht="15.0" customHeight="1">
      <c r="A692" s="780">
        <v>45602.0</v>
      </c>
      <c r="B692" s="781" t="s">
        <v>13049</v>
      </c>
      <c r="C692" s="782" t="s">
        <v>13022</v>
      </c>
      <c r="D692" s="782" t="s">
        <v>5645</v>
      </c>
      <c r="E692" s="783" t="str">
        <f>IFERROR(VLOOKUP(D692,Stock,3,FALSE),"")</f>
        <v>Toyota Avanza / Xenia 21- 4th Gen</v>
      </c>
      <c r="F692" s="782">
        <v>1.0</v>
      </c>
      <c r="G692" s="852">
        <v>220500.0</v>
      </c>
      <c r="H692" s="853">
        <f t="shared" si="15"/>
        <v>220500</v>
      </c>
      <c r="I692" s="854"/>
      <c r="J692" s="855"/>
      <c r="K692" s="856" t="s">
        <v>4258</v>
      </c>
      <c r="L692" s="857" t="s">
        <v>12235</v>
      </c>
      <c r="M692" s="857" t="s">
        <v>13044</v>
      </c>
      <c r="N692" s="858"/>
      <c r="O692" s="858"/>
    </row>
    <row r="693" ht="15.0" customHeight="1">
      <c r="A693" s="789">
        <v>45602.0</v>
      </c>
      <c r="B693" s="790">
        <v>2411216.0</v>
      </c>
      <c r="C693" s="791" t="s">
        <v>11484</v>
      </c>
      <c r="D693" s="791" t="s">
        <v>5635</v>
      </c>
      <c r="E693" s="792" t="str">
        <f>IFERROR(VLOOKUP(D693,Stock,3,FALSE),"")</f>
        <v>Honda HR-V 14-21 5D SUV</v>
      </c>
      <c r="F693" s="791">
        <v>3.0</v>
      </c>
      <c r="G693" s="842">
        <v>510000.0</v>
      </c>
      <c r="H693" s="851">
        <f t="shared" si="15"/>
        <v>1530000</v>
      </c>
      <c r="I693" s="809">
        <f t="shared" ref="I693:I698" si="27">H693</f>
        <v>1530000</v>
      </c>
      <c r="J693" s="844">
        <v>45662.0</v>
      </c>
      <c r="K693" s="799" t="s">
        <v>4258</v>
      </c>
      <c r="L693" s="818" t="s">
        <v>12235</v>
      </c>
      <c r="M693" s="818" t="s">
        <v>12809</v>
      </c>
      <c r="N693" s="820">
        <v>45659.0</v>
      </c>
      <c r="O693" s="823"/>
    </row>
    <row r="694" ht="15.0" customHeight="1">
      <c r="A694" s="789">
        <v>45603.0</v>
      </c>
      <c r="B694" s="790" t="s">
        <v>13050</v>
      </c>
      <c r="C694" s="791" t="s">
        <v>12932</v>
      </c>
      <c r="D694" s="791" t="s">
        <v>6889</v>
      </c>
      <c r="E694" s="792" t="str">
        <f>IFERROR(VLOOKUP(D694,Stock,3,FALSE),"")</f>
        <v>Toyota Avanza / Xenia 21- 4th Gen</v>
      </c>
      <c r="F694" s="791">
        <v>4.0</v>
      </c>
      <c r="G694" s="842">
        <v>138550.1</v>
      </c>
      <c r="H694" s="851">
        <f t="shared" si="15"/>
        <v>554200.4</v>
      </c>
      <c r="I694" s="809">
        <f t="shared" si="27"/>
        <v>554200.4</v>
      </c>
      <c r="J694" s="819"/>
      <c r="K694" s="799" t="s">
        <v>4258</v>
      </c>
      <c r="L694" s="818" t="s">
        <v>12235</v>
      </c>
      <c r="M694" s="818" t="s">
        <v>12809</v>
      </c>
      <c r="N694" s="820">
        <v>45630.0</v>
      </c>
      <c r="O694" s="823"/>
    </row>
    <row r="695" ht="15.0" customHeight="1">
      <c r="A695" s="789">
        <v>45603.0</v>
      </c>
      <c r="B695" s="790" t="s">
        <v>13050</v>
      </c>
      <c r="C695" s="791" t="s">
        <v>12932</v>
      </c>
      <c r="D695" s="791" t="s">
        <v>2852</v>
      </c>
      <c r="E695" s="792" t="str">
        <f>IFERROR(VLOOKUP(D695,Stock,3,FALSE),"")</f>
        <v>Toyota Avanza / Xenia 21- 4th Gen</v>
      </c>
      <c r="F695" s="791">
        <v>5.0</v>
      </c>
      <c r="G695" s="842">
        <v>138550.2</v>
      </c>
      <c r="H695" s="851">
        <f t="shared" si="15"/>
        <v>692751</v>
      </c>
      <c r="I695" s="809">
        <f t="shared" si="27"/>
        <v>692751</v>
      </c>
      <c r="J695" s="819"/>
      <c r="K695" s="799" t="s">
        <v>4258</v>
      </c>
      <c r="L695" s="818" t="s">
        <v>12235</v>
      </c>
      <c r="M695" s="818" t="s">
        <v>12809</v>
      </c>
      <c r="N695" s="820">
        <v>45630.0</v>
      </c>
      <c r="O695" s="823"/>
    </row>
    <row r="696" ht="15.0" customHeight="1">
      <c r="A696" s="789">
        <v>45604.0</v>
      </c>
      <c r="B696" s="790">
        <v>2411322.0</v>
      </c>
      <c r="C696" s="791" t="s">
        <v>11484</v>
      </c>
      <c r="D696" s="791" t="s">
        <v>2777</v>
      </c>
      <c r="E696" s="792" t="str">
        <f>IFERROR(VLOOKUP(D696,Stock,3,FALSE),"")</f>
        <v>Isuzu Giga Long (PS240,285) FVR34 (Lebar 215cm)</v>
      </c>
      <c r="F696" s="791">
        <v>1.0</v>
      </c>
      <c r="G696" s="842">
        <v>1043900.0</v>
      </c>
      <c r="H696" s="851">
        <f t="shared" si="15"/>
        <v>1043900</v>
      </c>
      <c r="I696" s="809">
        <f t="shared" si="27"/>
        <v>1043900</v>
      </c>
      <c r="J696" s="844">
        <v>45664.0</v>
      </c>
      <c r="K696" s="799" t="s">
        <v>4258</v>
      </c>
      <c r="L696" s="818" t="s">
        <v>12235</v>
      </c>
      <c r="M696" s="818" t="s">
        <v>12809</v>
      </c>
      <c r="N696" s="820">
        <v>45659.0</v>
      </c>
      <c r="O696" s="823"/>
    </row>
    <row r="697" ht="15.0" customHeight="1">
      <c r="A697" s="789">
        <v>45604.0</v>
      </c>
      <c r="B697" s="790">
        <v>2411322.0</v>
      </c>
      <c r="C697" s="791" t="s">
        <v>11484</v>
      </c>
      <c r="D697" s="791" t="s">
        <v>13051</v>
      </c>
      <c r="E697" s="792" t="str">
        <f>IFERROR(VLOOKUP(D697,Stock,3,FALSE),"")</f>
        <v>Isuzu Giga Short (PS190,225) FVR33 (Lebar 195cm)</v>
      </c>
      <c r="F697" s="791">
        <v>1.0</v>
      </c>
      <c r="G697" s="842">
        <v>1043900.0</v>
      </c>
      <c r="H697" s="851">
        <f t="shared" si="15"/>
        <v>1043900</v>
      </c>
      <c r="I697" s="809">
        <f t="shared" si="27"/>
        <v>1043900</v>
      </c>
      <c r="J697" s="844">
        <v>45664.0</v>
      </c>
      <c r="K697" s="799" t="s">
        <v>4258</v>
      </c>
      <c r="L697" s="818" t="s">
        <v>12235</v>
      </c>
      <c r="M697" s="818" t="s">
        <v>12809</v>
      </c>
      <c r="N697" s="820">
        <v>45659.0</v>
      </c>
      <c r="O697" s="823"/>
    </row>
    <row r="698" ht="15.0" customHeight="1">
      <c r="A698" s="789">
        <v>45606.0</v>
      </c>
      <c r="B698" s="790" t="s">
        <v>13052</v>
      </c>
      <c r="C698" s="791" t="s">
        <v>3091</v>
      </c>
      <c r="D698" s="791" t="s">
        <v>2736</v>
      </c>
      <c r="E698" s="792" t="str">
        <f>IFERROR(VLOOKUP(D698,Stock,3,FALSE),"")</f>
        <v>Toyota Alphard 02-08 ANH10  1st Gen</v>
      </c>
      <c r="F698" s="791">
        <v>2.0</v>
      </c>
      <c r="G698" s="842">
        <v>630071.2</v>
      </c>
      <c r="H698" s="811">
        <f t="shared" si="15"/>
        <v>1260142.4</v>
      </c>
      <c r="I698" s="809">
        <f t="shared" si="27"/>
        <v>1260142.4</v>
      </c>
      <c r="J698" s="844">
        <v>45668.0</v>
      </c>
      <c r="K698" s="799" t="s">
        <v>4258</v>
      </c>
      <c r="L698" s="818" t="s">
        <v>12235</v>
      </c>
      <c r="M698" s="818" t="s">
        <v>13053</v>
      </c>
      <c r="N698" s="830">
        <v>45692.0</v>
      </c>
      <c r="O698" s="823"/>
    </row>
    <row r="699" ht="15.0" customHeight="1">
      <c r="A699" s="789">
        <v>45607.0</v>
      </c>
      <c r="B699" s="790" t="s">
        <v>13054</v>
      </c>
      <c r="C699" s="791" t="s">
        <v>13022</v>
      </c>
      <c r="D699" s="791" t="s">
        <v>5736</v>
      </c>
      <c r="E699" s="792" t="str">
        <f>IFERROR(VLOOKUP(D699,Stock,3,FALSE),"")</f>
        <v>Toyota Fortuner 15-  2nd Gen</v>
      </c>
      <c r="F699" s="791">
        <v>1.0</v>
      </c>
      <c r="G699" s="842">
        <v>445500.0</v>
      </c>
      <c r="H699" s="811">
        <f t="shared" si="15"/>
        <v>445500</v>
      </c>
      <c r="I699" s="809"/>
      <c r="J699" s="819"/>
      <c r="K699" s="799" t="s">
        <v>4258</v>
      </c>
      <c r="L699" s="818" t="s">
        <v>12235</v>
      </c>
      <c r="M699" s="818" t="s">
        <v>12809</v>
      </c>
      <c r="N699" s="820">
        <v>45611.0</v>
      </c>
      <c r="O699" s="823"/>
    </row>
    <row r="700" ht="15.0" customHeight="1">
      <c r="A700" s="789">
        <v>45607.0</v>
      </c>
      <c r="B700" s="790">
        <v>2411360.0</v>
      </c>
      <c r="C700" s="791" t="s">
        <v>11484</v>
      </c>
      <c r="D700" s="791" t="s">
        <v>3033</v>
      </c>
      <c r="E700" s="792" t="str">
        <f>IFERROR(VLOOKUP(D700,Stock,3,FALSE),"")</f>
        <v>Toyota Innova 04-15 1st Gen</v>
      </c>
      <c r="F700" s="791">
        <v>5.0</v>
      </c>
      <c r="G700" s="842">
        <v>520000.0</v>
      </c>
      <c r="H700" s="851">
        <f t="shared" si="15"/>
        <v>2600000</v>
      </c>
      <c r="I700" s="809">
        <f t="shared" ref="I700:I705" si="28">H700</f>
        <v>2600000</v>
      </c>
      <c r="J700" s="844">
        <v>45667.0</v>
      </c>
      <c r="K700" s="799" t="s">
        <v>4258</v>
      </c>
      <c r="L700" s="818" t="s">
        <v>12235</v>
      </c>
      <c r="M700" s="818" t="s">
        <v>12809</v>
      </c>
      <c r="N700" s="820">
        <v>45660.0</v>
      </c>
      <c r="O700" s="823"/>
    </row>
    <row r="701" ht="15.0" customHeight="1">
      <c r="A701" s="789">
        <v>45607.0</v>
      </c>
      <c r="B701" s="790">
        <v>2411360.0</v>
      </c>
      <c r="C701" s="791" t="s">
        <v>11484</v>
      </c>
      <c r="D701" s="791" t="s">
        <v>4782</v>
      </c>
      <c r="E701" s="792" t="str">
        <f>IFERROR(VLOOKUP(D701,Stock,3,FALSE),"")</f>
        <v>Mitsubishi Pajero 08-16</v>
      </c>
      <c r="F701" s="791">
        <v>2.0</v>
      </c>
      <c r="G701" s="842">
        <v>483000.0</v>
      </c>
      <c r="H701" s="851">
        <f t="shared" si="15"/>
        <v>966000</v>
      </c>
      <c r="I701" s="809">
        <f t="shared" si="28"/>
        <v>966000</v>
      </c>
      <c r="J701" s="844">
        <v>45667.0</v>
      </c>
      <c r="K701" s="799" t="s">
        <v>4258</v>
      </c>
      <c r="L701" s="818" t="s">
        <v>12235</v>
      </c>
      <c r="M701" s="818" t="s">
        <v>12809</v>
      </c>
      <c r="N701" s="820">
        <v>45660.0</v>
      </c>
      <c r="O701" s="823"/>
    </row>
    <row r="702" ht="15.0" customHeight="1">
      <c r="A702" s="789">
        <v>45607.0</v>
      </c>
      <c r="B702" s="790">
        <v>2411360.0</v>
      </c>
      <c r="C702" s="791" t="s">
        <v>11484</v>
      </c>
      <c r="D702" s="791" t="s">
        <v>2670</v>
      </c>
      <c r="E702" s="792" t="str">
        <f>IFERROR(VLOOKUP(D702,Stock,3,FALSE),"")</f>
        <v>Honda City 02-08 4th Gen Idsi GD8</v>
      </c>
      <c r="F702" s="791">
        <v>2.0</v>
      </c>
      <c r="G702" s="842">
        <v>919050.0</v>
      </c>
      <c r="H702" s="851">
        <f t="shared" si="15"/>
        <v>1838100</v>
      </c>
      <c r="I702" s="809">
        <f t="shared" si="28"/>
        <v>1838100</v>
      </c>
      <c r="J702" s="844">
        <v>45667.0</v>
      </c>
      <c r="K702" s="799" t="s">
        <v>4258</v>
      </c>
      <c r="L702" s="818" t="s">
        <v>12235</v>
      </c>
      <c r="M702" s="818" t="s">
        <v>12809</v>
      </c>
      <c r="N702" s="820">
        <v>45660.0</v>
      </c>
      <c r="O702" s="823"/>
    </row>
    <row r="703" ht="15.0" customHeight="1">
      <c r="A703" s="789">
        <v>45607.0</v>
      </c>
      <c r="B703" s="790">
        <v>2411367.0</v>
      </c>
      <c r="C703" s="791" t="s">
        <v>11484</v>
      </c>
      <c r="D703" s="791" t="s">
        <v>2595</v>
      </c>
      <c r="E703" s="792" t="str">
        <f>IFERROR(VLOOKUP(D703,Stock,3,FALSE),"")</f>
        <v>Toyota Alphard 08-15 ANH20 2nd Gen</v>
      </c>
      <c r="F703" s="791">
        <v>2.0</v>
      </c>
      <c r="G703" s="842">
        <v>2066350.0</v>
      </c>
      <c r="H703" s="851">
        <f t="shared" si="15"/>
        <v>4132700</v>
      </c>
      <c r="I703" s="809">
        <f t="shared" si="28"/>
        <v>4132700</v>
      </c>
      <c r="J703" s="844">
        <v>45667.0</v>
      </c>
      <c r="K703" s="799" t="s">
        <v>4258</v>
      </c>
      <c r="L703" s="818" t="s">
        <v>12235</v>
      </c>
      <c r="M703" s="818" t="s">
        <v>12809</v>
      </c>
      <c r="N703" s="820">
        <v>45660.0</v>
      </c>
      <c r="O703" s="823"/>
    </row>
    <row r="704" ht="15.0" customHeight="1">
      <c r="A704" s="789">
        <v>45607.0</v>
      </c>
      <c r="B704" s="790">
        <v>2411367.0</v>
      </c>
      <c r="C704" s="791" t="s">
        <v>11484</v>
      </c>
      <c r="D704" s="791" t="s">
        <v>5622</v>
      </c>
      <c r="E704" s="792" t="str">
        <f>IFERROR(VLOOKUP(D704,Stock,3,FALSE),"")</f>
        <v>Mers-Benz S-Class 13-20 W222 4D</v>
      </c>
      <c r="F704" s="791">
        <v>1.0</v>
      </c>
      <c r="G704" s="842">
        <v>5665000.0</v>
      </c>
      <c r="H704" s="851">
        <f t="shared" si="15"/>
        <v>5665000</v>
      </c>
      <c r="I704" s="809">
        <f t="shared" si="28"/>
        <v>5665000</v>
      </c>
      <c r="J704" s="844">
        <v>45667.0</v>
      </c>
      <c r="K704" s="799" t="s">
        <v>4258</v>
      </c>
      <c r="L704" s="818" t="s">
        <v>12235</v>
      </c>
      <c r="M704" s="818" t="s">
        <v>12809</v>
      </c>
      <c r="N704" s="820">
        <v>45660.0</v>
      </c>
      <c r="O704" s="823"/>
    </row>
    <row r="705" ht="15.0" customHeight="1">
      <c r="A705" s="789">
        <v>45607.0</v>
      </c>
      <c r="B705" s="790">
        <v>2411388.0</v>
      </c>
      <c r="C705" s="791" t="s">
        <v>11484</v>
      </c>
      <c r="D705" s="791" t="s">
        <v>4183</v>
      </c>
      <c r="E705" s="792" t="str">
        <f>IFERROR(VLOOKUP(D705,Stock,3,FALSE),"")</f>
        <v>Mitsubishi Xpander 17-21</v>
      </c>
      <c r="F705" s="791">
        <v>2.0</v>
      </c>
      <c r="G705" s="842">
        <v>330000.0</v>
      </c>
      <c r="H705" s="851">
        <f t="shared" si="15"/>
        <v>660000</v>
      </c>
      <c r="I705" s="809">
        <f t="shared" si="28"/>
        <v>660000</v>
      </c>
      <c r="J705" s="844">
        <v>45667.0</v>
      </c>
      <c r="K705" s="799" t="s">
        <v>4258</v>
      </c>
      <c r="L705" s="818" t="s">
        <v>12235</v>
      </c>
      <c r="M705" s="818" t="s">
        <v>12809</v>
      </c>
      <c r="N705" s="820">
        <v>45660.0</v>
      </c>
      <c r="O705" s="823"/>
    </row>
    <row r="706" ht="15.0" customHeight="1">
      <c r="A706" s="789">
        <v>45607.0</v>
      </c>
      <c r="B706" s="790" t="s">
        <v>13055</v>
      </c>
      <c r="C706" s="791" t="s">
        <v>11484</v>
      </c>
      <c r="D706" s="791" t="s">
        <v>3059</v>
      </c>
      <c r="E706" s="792" t="str">
        <f>IFERROR(VLOOKUP(D706,Stock,3,FALSE),"")</f>
        <v>Sealant Polyurethane XYG Tube</v>
      </c>
      <c r="F706" s="791">
        <v>40.0</v>
      </c>
      <c r="G706" s="842">
        <v>33000.0</v>
      </c>
      <c r="H706" s="851">
        <f t="shared" si="15"/>
        <v>1320000</v>
      </c>
      <c r="I706" s="809"/>
      <c r="J706" s="819"/>
      <c r="K706" s="799" t="s">
        <v>4258</v>
      </c>
      <c r="L706" s="818" t="s">
        <v>12235</v>
      </c>
      <c r="M706" s="818" t="s">
        <v>12809</v>
      </c>
      <c r="N706" s="820">
        <v>45611.0</v>
      </c>
      <c r="O706" s="823"/>
    </row>
    <row r="707" ht="15.0" customHeight="1">
      <c r="A707" s="789">
        <v>45608.0</v>
      </c>
      <c r="B707" s="790">
        <v>2411453.0</v>
      </c>
      <c r="C707" s="791" t="s">
        <v>11484</v>
      </c>
      <c r="D707" s="791" t="s">
        <v>3342</v>
      </c>
      <c r="E707" s="792" t="str">
        <f>IFERROR(VLOOKUP(D707,Stock,3,FALSE),"")</f>
        <v>Toyota Hi-Ace 04-20 Commuter (Hitam)</v>
      </c>
      <c r="F707" s="791">
        <v>2.0</v>
      </c>
      <c r="G707" s="842">
        <v>1272000.0</v>
      </c>
      <c r="H707" s="851">
        <f t="shared" si="15"/>
        <v>2544000</v>
      </c>
      <c r="I707" s="809">
        <f>H707</f>
        <v>2544000</v>
      </c>
      <c r="J707" s="844">
        <v>45668.0</v>
      </c>
      <c r="K707" s="799" t="s">
        <v>4258</v>
      </c>
      <c r="L707" s="818" t="s">
        <v>12235</v>
      </c>
      <c r="M707" s="818" t="s">
        <v>12809</v>
      </c>
      <c r="N707" s="820">
        <v>45663.0</v>
      </c>
      <c r="O707" s="823"/>
    </row>
    <row r="708" ht="15.0" customHeight="1">
      <c r="A708" s="789">
        <v>45605.0</v>
      </c>
      <c r="B708" s="790" t="s">
        <v>13056</v>
      </c>
      <c r="C708" s="791" t="s">
        <v>3076</v>
      </c>
      <c r="D708" s="791" t="s">
        <v>2669</v>
      </c>
      <c r="E708" s="792" t="str">
        <f>IFERROR(VLOOKUP(D708,Stock,3,FALSE),"")</f>
        <v>Nissan Livina 07-18 L10/L11</v>
      </c>
      <c r="F708" s="791">
        <v>5.0</v>
      </c>
      <c r="G708" s="842">
        <v>553113.0</v>
      </c>
      <c r="H708" s="811">
        <f t="shared" si="15"/>
        <v>2765565</v>
      </c>
      <c r="I708" s="809"/>
      <c r="J708" s="819"/>
      <c r="K708" s="799" t="s">
        <v>4258</v>
      </c>
      <c r="L708" s="818" t="s">
        <v>12235</v>
      </c>
      <c r="M708" s="818" t="s">
        <v>12809</v>
      </c>
      <c r="N708" s="820">
        <v>45611.0</v>
      </c>
      <c r="O708" s="823"/>
    </row>
    <row r="709" ht="15.0" customHeight="1">
      <c r="A709" s="789">
        <v>45605.0</v>
      </c>
      <c r="B709" s="790" t="s">
        <v>13056</v>
      </c>
      <c r="C709" s="791" t="s">
        <v>3076</v>
      </c>
      <c r="D709" s="791" t="s">
        <v>3068</v>
      </c>
      <c r="E709" s="792" t="str">
        <f>IFERROR(VLOOKUP(D709,Stock,3,FALSE),"")</f>
        <v>Honda Brio 10- / Mobilio 11-</v>
      </c>
      <c r="F709" s="791">
        <v>5.0</v>
      </c>
      <c r="G709" s="842">
        <v>485958.0</v>
      </c>
      <c r="H709" s="811">
        <f t="shared" si="15"/>
        <v>2429790</v>
      </c>
      <c r="I709" s="809"/>
      <c r="J709" s="819"/>
      <c r="K709" s="799" t="s">
        <v>4258</v>
      </c>
      <c r="L709" s="818" t="s">
        <v>12235</v>
      </c>
      <c r="M709" s="818" t="s">
        <v>12809</v>
      </c>
      <c r="N709" s="820">
        <v>45611.0</v>
      </c>
      <c r="O709" s="823"/>
    </row>
    <row r="710" ht="15.0" customHeight="1">
      <c r="A710" s="789">
        <v>45605.0</v>
      </c>
      <c r="B710" s="790" t="s">
        <v>13056</v>
      </c>
      <c r="C710" s="791" t="s">
        <v>3076</v>
      </c>
      <c r="D710" s="791" t="s">
        <v>2835</v>
      </c>
      <c r="E710" s="792" t="str">
        <f>IFERROR(VLOOKUP(D710,Stock,3,FALSE),"")</f>
        <v>Toyota Vios 13-17 3rd Gen / Yaris 13- 2nd Gen XP150 / Yaris 18- 3rd Gen XP151</v>
      </c>
      <c r="F710" s="791">
        <v>1.0</v>
      </c>
      <c r="G710" s="842">
        <v>455000.0</v>
      </c>
      <c r="H710" s="811">
        <f t="shared" si="15"/>
        <v>455000</v>
      </c>
      <c r="I710" s="809"/>
      <c r="J710" s="819"/>
      <c r="K710" s="799" t="s">
        <v>4258</v>
      </c>
      <c r="L710" s="818" t="s">
        <v>12235</v>
      </c>
      <c r="M710" s="818" t="s">
        <v>12809</v>
      </c>
      <c r="N710" s="820">
        <v>45611.0</v>
      </c>
      <c r="O710" s="823"/>
    </row>
    <row r="711" ht="15.0" customHeight="1">
      <c r="A711" s="789">
        <v>45605.0</v>
      </c>
      <c r="B711" s="790" t="s">
        <v>13056</v>
      </c>
      <c r="C711" s="791" t="s">
        <v>3076</v>
      </c>
      <c r="D711" s="791" t="s">
        <v>2833</v>
      </c>
      <c r="E711" s="792" t="str">
        <f>IFERROR(VLOOKUP(D711,Stock,3,FALSE),"")</f>
        <v>Toyota Vios 13-17 3rd Gen / Yaris 13- 2nd Gen XP150 / Yaris 18- 3rd Gen XP151</v>
      </c>
      <c r="F711" s="791">
        <v>1.0</v>
      </c>
      <c r="G711" s="842">
        <v>455000.0</v>
      </c>
      <c r="H711" s="811">
        <f t="shared" si="15"/>
        <v>455000</v>
      </c>
      <c r="I711" s="809"/>
      <c r="J711" s="819"/>
      <c r="K711" s="799" t="s">
        <v>4258</v>
      </c>
      <c r="L711" s="818" t="s">
        <v>12235</v>
      </c>
      <c r="M711" s="818" t="s">
        <v>12809</v>
      </c>
      <c r="N711" s="820">
        <v>45611.0</v>
      </c>
      <c r="O711" s="823"/>
    </row>
    <row r="712" ht="15.0" customHeight="1">
      <c r="A712" s="789">
        <v>45605.0</v>
      </c>
      <c r="B712" s="790" t="s">
        <v>13056</v>
      </c>
      <c r="C712" s="791" t="s">
        <v>3076</v>
      </c>
      <c r="D712" s="791" t="s">
        <v>2849</v>
      </c>
      <c r="E712" s="792" t="str">
        <f>IFERROR(VLOOKUP(D712,Stock,3,FALSE),"")</f>
        <v>Toyota Yaris 13- 2nd Gen XP150 / 18- 3rd Gen XP151</v>
      </c>
      <c r="F712" s="791">
        <v>1.0</v>
      </c>
      <c r="G712" s="842">
        <v>330000.0</v>
      </c>
      <c r="H712" s="811">
        <f t="shared" si="15"/>
        <v>330000</v>
      </c>
      <c r="I712" s="809"/>
      <c r="J712" s="819"/>
      <c r="K712" s="799" t="s">
        <v>4258</v>
      </c>
      <c r="L712" s="818" t="s">
        <v>12235</v>
      </c>
      <c r="M712" s="818" t="s">
        <v>12809</v>
      </c>
      <c r="N712" s="820">
        <v>45611.0</v>
      </c>
      <c r="O712" s="823"/>
    </row>
    <row r="713" ht="15.0" customHeight="1">
      <c r="A713" s="789">
        <v>45608.0</v>
      </c>
      <c r="B713" s="790" t="s">
        <v>13057</v>
      </c>
      <c r="C713" s="791" t="s">
        <v>3076</v>
      </c>
      <c r="D713" s="791" t="s">
        <v>2997</v>
      </c>
      <c r="E713" s="792" t="str">
        <f>IFERROR(VLOOKUP(D713,Stock,3,FALSE),"")</f>
        <v>Honda City 02-08 4th Gen Idsi GD8</v>
      </c>
      <c r="F713" s="791">
        <v>5.0</v>
      </c>
      <c r="G713" s="842">
        <v>605616.0</v>
      </c>
      <c r="H713" s="811">
        <f t="shared" si="15"/>
        <v>3028080</v>
      </c>
      <c r="I713" s="809"/>
      <c r="J713" s="819"/>
      <c r="K713" s="799" t="s">
        <v>4258</v>
      </c>
      <c r="L713" s="818" t="s">
        <v>12235</v>
      </c>
      <c r="M713" s="818" t="s">
        <v>12809</v>
      </c>
      <c r="N713" s="820">
        <v>45611.0</v>
      </c>
      <c r="O713" s="823"/>
    </row>
    <row r="714" ht="15.0" customHeight="1">
      <c r="A714" s="789">
        <v>45608.0</v>
      </c>
      <c r="B714" s="790" t="s">
        <v>13057</v>
      </c>
      <c r="C714" s="791" t="s">
        <v>3076</v>
      </c>
      <c r="D714" s="791" t="s">
        <v>2637</v>
      </c>
      <c r="E714" s="792" t="str">
        <f>IFERROR(VLOOKUP(D714,Stock,3,FALSE),"")</f>
        <v>Ford Everest 04-15 / Ranger 04-11 / Mazda BT-50</v>
      </c>
      <c r="F714" s="791">
        <v>5.0</v>
      </c>
      <c r="G714" s="842">
        <v>463980.0</v>
      </c>
      <c r="H714" s="811">
        <f t="shared" si="15"/>
        <v>2319900</v>
      </c>
      <c r="I714" s="809"/>
      <c r="J714" s="819"/>
      <c r="K714" s="799" t="s">
        <v>4258</v>
      </c>
      <c r="L714" s="818" t="s">
        <v>12235</v>
      </c>
      <c r="M714" s="818" t="s">
        <v>12809</v>
      </c>
      <c r="N714" s="820">
        <v>45611.0</v>
      </c>
      <c r="O714" s="823"/>
    </row>
    <row r="715" ht="15.0" customHeight="1">
      <c r="A715" s="789">
        <v>45608.0</v>
      </c>
      <c r="B715" s="790" t="s">
        <v>13057</v>
      </c>
      <c r="C715" s="791" t="s">
        <v>3076</v>
      </c>
      <c r="D715" s="791" t="s">
        <v>3181</v>
      </c>
      <c r="E715" s="792" t="str">
        <f>IFERROR(VLOOKUP(D715,Stock,3,FALSE),"")</f>
        <v>Toyota Corolla Cross 21-</v>
      </c>
      <c r="F715" s="791">
        <v>1.0</v>
      </c>
      <c r="G715" s="842">
        <v>2287500.0</v>
      </c>
      <c r="H715" s="811">
        <f t="shared" si="15"/>
        <v>2287500</v>
      </c>
      <c r="I715" s="809"/>
      <c r="J715" s="819"/>
      <c r="K715" s="799" t="s">
        <v>4258</v>
      </c>
      <c r="L715" s="818" t="s">
        <v>12235</v>
      </c>
      <c r="M715" s="818" t="s">
        <v>12809</v>
      </c>
      <c r="N715" s="820">
        <v>45611.0</v>
      </c>
      <c r="O715" s="823"/>
    </row>
    <row r="716" ht="15.0" customHeight="1">
      <c r="A716" s="789">
        <v>45608.0</v>
      </c>
      <c r="B716" s="790" t="s">
        <v>13058</v>
      </c>
      <c r="C716" s="791" t="s">
        <v>3091</v>
      </c>
      <c r="D716" s="791" t="s">
        <v>5365</v>
      </c>
      <c r="E716" s="792" t="str">
        <f>IFERROR(VLOOKUP(D716,Stock,3,FALSE),"")</f>
        <v>Nissan Livina  07-12 L10 (Tanpa Lubang) Nissan</v>
      </c>
      <c r="F716" s="791">
        <v>4.0</v>
      </c>
      <c r="G716" s="842">
        <v>525000.0</v>
      </c>
      <c r="H716" s="811">
        <f t="shared" si="15"/>
        <v>2100000</v>
      </c>
      <c r="I716" s="809">
        <f t="shared" ref="I716:I719" si="29">H716</f>
        <v>2100000</v>
      </c>
      <c r="J716" s="844">
        <v>45668.0</v>
      </c>
      <c r="K716" s="799" t="s">
        <v>4258</v>
      </c>
      <c r="L716" s="818" t="s">
        <v>12235</v>
      </c>
      <c r="M716" s="818" t="s">
        <v>6675</v>
      </c>
      <c r="N716" s="820">
        <v>45680.0</v>
      </c>
      <c r="O716" s="823"/>
    </row>
    <row r="717" ht="15.0" customHeight="1">
      <c r="A717" s="789">
        <v>45609.0</v>
      </c>
      <c r="B717" s="790">
        <v>2411501.0</v>
      </c>
      <c r="C717" s="791" t="s">
        <v>11484</v>
      </c>
      <c r="D717" s="791" t="s">
        <v>2742</v>
      </c>
      <c r="E717" s="792" t="str">
        <f>IFERROR(VLOOKUP(D717,Stock,3,FALSE),"")</f>
        <v>Toyota Alphard 02-08 ANH10 1st Gen (Hitam)</v>
      </c>
      <c r="F717" s="791">
        <v>1.0</v>
      </c>
      <c r="G717" s="842">
        <v>1635700.0</v>
      </c>
      <c r="H717" s="851">
        <f t="shared" si="15"/>
        <v>1635700</v>
      </c>
      <c r="I717" s="809">
        <f t="shared" si="29"/>
        <v>1635700</v>
      </c>
      <c r="J717" s="844">
        <v>45669.0</v>
      </c>
      <c r="K717" s="799" t="s">
        <v>4258</v>
      </c>
      <c r="L717" s="818" t="s">
        <v>12235</v>
      </c>
      <c r="M717" s="818" t="s">
        <v>12809</v>
      </c>
      <c r="N717" s="820">
        <v>45664.0</v>
      </c>
      <c r="O717" s="823"/>
    </row>
    <row r="718" ht="15.0" customHeight="1">
      <c r="A718" s="789">
        <v>45610.0</v>
      </c>
      <c r="B718" s="790">
        <v>2411515.0</v>
      </c>
      <c r="C718" s="791" t="s">
        <v>11484</v>
      </c>
      <c r="D718" s="791" t="s">
        <v>5262</v>
      </c>
      <c r="E718" s="792" t="str">
        <f>IFERROR(VLOOKUP(D718,Stock,3,FALSE),"")</f>
        <v>Nissan March 10- K13</v>
      </c>
      <c r="F718" s="791">
        <v>1.0</v>
      </c>
      <c r="G718" s="842">
        <v>628650.0</v>
      </c>
      <c r="H718" s="851">
        <f t="shared" si="15"/>
        <v>628650</v>
      </c>
      <c r="I718" s="809">
        <f t="shared" si="29"/>
        <v>628650</v>
      </c>
      <c r="J718" s="844">
        <v>45670.0</v>
      </c>
      <c r="K718" s="799" t="s">
        <v>4258</v>
      </c>
      <c r="L718" s="818" t="s">
        <v>12235</v>
      </c>
      <c r="M718" s="818" t="s">
        <v>12809</v>
      </c>
      <c r="N718" s="820">
        <v>45666.0</v>
      </c>
      <c r="O718" s="823"/>
    </row>
    <row r="719" ht="15.0" customHeight="1">
      <c r="A719" s="789">
        <v>45610.0</v>
      </c>
      <c r="B719" s="790">
        <v>2411515.0</v>
      </c>
      <c r="C719" s="791" t="s">
        <v>11484</v>
      </c>
      <c r="D719" s="791" t="s">
        <v>2672</v>
      </c>
      <c r="E719" s="792" t="str">
        <f>IFERROR(VLOOKUP(D719,Stock,3,FALSE),"")</f>
        <v>Nissan March 10- K13</v>
      </c>
      <c r="F719" s="791">
        <v>1.0</v>
      </c>
      <c r="G719" s="842">
        <v>628650.0</v>
      </c>
      <c r="H719" s="851">
        <f t="shared" si="15"/>
        <v>628650</v>
      </c>
      <c r="I719" s="809">
        <f t="shared" si="29"/>
        <v>628650</v>
      </c>
      <c r="J719" s="844">
        <v>45670.0</v>
      </c>
      <c r="K719" s="799" t="s">
        <v>4258</v>
      </c>
      <c r="L719" s="818" t="s">
        <v>12235</v>
      </c>
      <c r="M719" s="818" t="s">
        <v>12809</v>
      </c>
      <c r="N719" s="820">
        <v>45666.0</v>
      </c>
      <c r="O719" s="823"/>
    </row>
    <row r="720" ht="15.0" customHeight="1">
      <c r="A720" s="789">
        <v>45614.0</v>
      </c>
      <c r="B720" s="790" t="s">
        <v>13059</v>
      </c>
      <c r="C720" s="791" t="s">
        <v>13022</v>
      </c>
      <c r="D720" s="791" t="s">
        <v>5832</v>
      </c>
      <c r="E720" s="792" t="str">
        <f>IFERROR(VLOOKUP(D720,Stock,3,FALSE),"")</f>
        <v>Toyota Fortuner 05-15  1st Gen (Toyota)</v>
      </c>
      <c r="F720" s="791">
        <v>1.0</v>
      </c>
      <c r="G720" s="842">
        <v>2340000.0</v>
      </c>
      <c r="H720" s="811">
        <f t="shared" si="15"/>
        <v>2340000</v>
      </c>
      <c r="I720" s="809"/>
      <c r="J720" s="819"/>
      <c r="K720" s="799" t="s">
        <v>4258</v>
      </c>
      <c r="L720" s="818" t="s">
        <v>12235</v>
      </c>
      <c r="M720" s="818" t="s">
        <v>12809</v>
      </c>
      <c r="N720" s="820">
        <v>45644.0</v>
      </c>
      <c r="O720" s="823"/>
    </row>
    <row r="721" ht="15.0" customHeight="1">
      <c r="A721" s="789">
        <v>45614.0</v>
      </c>
      <c r="B721" s="790">
        <v>2411591.0</v>
      </c>
      <c r="C721" s="791" t="s">
        <v>11484</v>
      </c>
      <c r="D721" s="791" t="s">
        <v>2641</v>
      </c>
      <c r="E721" s="792" t="str">
        <f>IFERROR(VLOOKUP(D721,Stock,3,FALSE),"")</f>
        <v>Kia Timor 95-98 / Sephia 94-05</v>
      </c>
      <c r="F721" s="791">
        <v>2.0</v>
      </c>
      <c r="G721" s="842">
        <v>632500.0</v>
      </c>
      <c r="H721" s="851">
        <f t="shared" si="15"/>
        <v>1265000</v>
      </c>
      <c r="I721" s="809">
        <f t="shared" ref="I721:I723" si="30">H721</f>
        <v>1265000</v>
      </c>
      <c r="J721" s="844">
        <v>45674.0</v>
      </c>
      <c r="K721" s="799" t="s">
        <v>4258</v>
      </c>
      <c r="L721" s="818" t="s">
        <v>12235</v>
      </c>
      <c r="M721" s="818" t="s">
        <v>12809</v>
      </c>
      <c r="N721" s="820">
        <v>45670.0</v>
      </c>
      <c r="O721" s="823"/>
    </row>
    <row r="722" ht="15.0" customHeight="1">
      <c r="A722" s="789">
        <v>45614.0</v>
      </c>
      <c r="B722" s="790">
        <v>2411591.0</v>
      </c>
      <c r="C722" s="791" t="s">
        <v>11484</v>
      </c>
      <c r="D722" s="791" t="s">
        <v>2635</v>
      </c>
      <c r="E722" s="792" t="str">
        <f>IFERROR(VLOOKUP(D722,Stock,3,FALSE),"")</f>
        <v>Toyota Corolla All New AE111 95-02 8th Gen KE120</v>
      </c>
      <c r="F722" s="791">
        <v>1.0</v>
      </c>
      <c r="G722" s="842">
        <v>791450.0</v>
      </c>
      <c r="H722" s="851">
        <f t="shared" si="15"/>
        <v>791450</v>
      </c>
      <c r="I722" s="809">
        <f t="shared" si="30"/>
        <v>791450</v>
      </c>
      <c r="J722" s="844">
        <v>45674.0</v>
      </c>
      <c r="K722" s="799" t="s">
        <v>4258</v>
      </c>
      <c r="L722" s="818" t="s">
        <v>12235</v>
      </c>
      <c r="M722" s="818" t="s">
        <v>12809</v>
      </c>
      <c r="N722" s="820">
        <v>45670.0</v>
      </c>
      <c r="O722" s="823"/>
    </row>
    <row r="723" ht="15.0" customHeight="1">
      <c r="A723" s="789">
        <v>45614.0</v>
      </c>
      <c r="B723" s="790">
        <v>2411591.0</v>
      </c>
      <c r="C723" s="791" t="s">
        <v>11484</v>
      </c>
      <c r="D723" s="791" t="s">
        <v>5842</v>
      </c>
      <c r="E723" s="792" t="str">
        <f>IFERROR(VLOOKUP(D723,Stock,3,FALSE),"")</f>
        <v>Toyota Corolla All New AE111 95-02 8th Gen</v>
      </c>
      <c r="F723" s="791">
        <v>1.0</v>
      </c>
      <c r="G723" s="842">
        <v>791450.0</v>
      </c>
      <c r="H723" s="851">
        <f t="shared" si="15"/>
        <v>791450</v>
      </c>
      <c r="I723" s="809">
        <f t="shared" si="30"/>
        <v>791450</v>
      </c>
      <c r="J723" s="844">
        <v>45674.0</v>
      </c>
      <c r="K723" s="799" t="s">
        <v>4258</v>
      </c>
      <c r="L723" s="818" t="s">
        <v>12235</v>
      </c>
      <c r="M723" s="818" t="s">
        <v>12809</v>
      </c>
      <c r="N723" s="820">
        <v>45670.0</v>
      </c>
      <c r="O723" s="823"/>
    </row>
    <row r="724" ht="15.0" customHeight="1">
      <c r="A724" s="789">
        <v>45615.0</v>
      </c>
      <c r="B724" s="790" t="s">
        <v>13060</v>
      </c>
      <c r="C724" s="791" t="s">
        <v>13022</v>
      </c>
      <c r="D724" s="791" t="s">
        <v>2555</v>
      </c>
      <c r="E724" s="792" t="str">
        <f>IFERROR(VLOOKUP(D724,Stock,3,FALSE),"")</f>
        <v>Toyota Fortuner 15-  2nd Gen (Toyota)</v>
      </c>
      <c r="F724" s="791">
        <v>1.0</v>
      </c>
      <c r="G724" s="842">
        <v>738000.0</v>
      </c>
      <c r="H724" s="811">
        <f t="shared" si="15"/>
        <v>738000</v>
      </c>
      <c r="I724" s="809"/>
      <c r="J724" s="819"/>
      <c r="K724" s="799" t="s">
        <v>4258</v>
      </c>
      <c r="L724" s="818" t="s">
        <v>12235</v>
      </c>
      <c r="M724" s="818" t="s">
        <v>12809</v>
      </c>
      <c r="N724" s="820">
        <v>45644.0</v>
      </c>
      <c r="O724" s="823"/>
    </row>
    <row r="725" ht="15.0" customHeight="1">
      <c r="A725" s="789">
        <v>45615.0</v>
      </c>
      <c r="B725" s="790" t="s">
        <v>13061</v>
      </c>
      <c r="C725" s="791" t="s">
        <v>12932</v>
      </c>
      <c r="D725" s="791" t="s">
        <v>3168</v>
      </c>
      <c r="E725" s="792" t="str">
        <f>IFERROR(VLOOKUP(D725,Stock,3,FALSE),"")</f>
        <v>Toyota Agya/Ayla</v>
      </c>
      <c r="F725" s="791">
        <v>5.0</v>
      </c>
      <c r="G725" s="842">
        <v>226949.49</v>
      </c>
      <c r="H725" s="851">
        <f t="shared" si="15"/>
        <v>1134747.45</v>
      </c>
      <c r="I725" s="809">
        <f t="shared" ref="I725:I729" si="31">H725</f>
        <v>1134747.45</v>
      </c>
      <c r="J725" s="848">
        <v>45645.0</v>
      </c>
      <c r="K725" s="799" t="s">
        <v>4258</v>
      </c>
      <c r="L725" s="818" t="s">
        <v>12235</v>
      </c>
      <c r="M725" s="818" t="s">
        <v>12809</v>
      </c>
      <c r="N725" s="820">
        <v>45644.0</v>
      </c>
      <c r="O725" s="823"/>
    </row>
    <row r="726" ht="15.0" customHeight="1">
      <c r="A726" s="789">
        <v>45615.0</v>
      </c>
      <c r="B726" s="790" t="s">
        <v>13061</v>
      </c>
      <c r="C726" s="791" t="s">
        <v>12932</v>
      </c>
      <c r="D726" s="791" t="s">
        <v>5458</v>
      </c>
      <c r="E726" s="792" t="str">
        <f>IFERROR(VLOOKUP(D726,Stock,3,FALSE),"")</f>
        <v>Isuzu Panther 00- 2nd Gen (Sealant)</v>
      </c>
      <c r="F726" s="791">
        <v>2.0</v>
      </c>
      <c r="G726" s="842">
        <v>198899.79</v>
      </c>
      <c r="H726" s="851">
        <f t="shared" si="15"/>
        <v>397799.58</v>
      </c>
      <c r="I726" s="809">
        <f t="shared" si="31"/>
        <v>397799.58</v>
      </c>
      <c r="J726" s="848">
        <v>45645.0</v>
      </c>
      <c r="K726" s="799" t="s">
        <v>4258</v>
      </c>
      <c r="L726" s="818" t="s">
        <v>12235</v>
      </c>
      <c r="M726" s="818" t="s">
        <v>12809</v>
      </c>
      <c r="N726" s="820">
        <v>45644.0</v>
      </c>
      <c r="O726" s="823"/>
    </row>
    <row r="727" ht="15.0" customHeight="1">
      <c r="A727" s="789">
        <v>45617.0</v>
      </c>
      <c r="B727" s="790">
        <v>2411762.0</v>
      </c>
      <c r="C727" s="791" t="s">
        <v>11484</v>
      </c>
      <c r="D727" s="791" t="s">
        <v>5881</v>
      </c>
      <c r="E727" s="792" t="str">
        <f>IFERROR(VLOOKUP(D727,Stock,3,FALSE),"")</f>
        <v>Nissan Serena 99-10 MKII C24</v>
      </c>
      <c r="F727" s="791">
        <v>1.0</v>
      </c>
      <c r="G727" s="842">
        <v>1510300.0</v>
      </c>
      <c r="H727" s="851">
        <f t="shared" si="15"/>
        <v>1510300</v>
      </c>
      <c r="I727" s="809">
        <f t="shared" si="31"/>
        <v>1510300</v>
      </c>
      <c r="J727" s="844">
        <v>45677.0</v>
      </c>
      <c r="K727" s="799" t="s">
        <v>4258</v>
      </c>
      <c r="L727" s="818" t="s">
        <v>12235</v>
      </c>
      <c r="M727" s="818" t="s">
        <v>12809</v>
      </c>
      <c r="N727" s="820">
        <v>45671.0</v>
      </c>
      <c r="O727" s="823"/>
    </row>
    <row r="728" ht="15.0" customHeight="1">
      <c r="A728" s="789">
        <v>45618.0</v>
      </c>
      <c r="B728" s="790">
        <v>2411789.0</v>
      </c>
      <c r="C728" s="791" t="s">
        <v>11484</v>
      </c>
      <c r="D728" s="791" t="s">
        <v>5892</v>
      </c>
      <c r="E728" s="792" t="str">
        <f>IFERROR(VLOOKUP(D728,Stock,3,FALSE),"")</f>
        <v>Tata Superace 11-</v>
      </c>
      <c r="F728" s="791">
        <v>3.0</v>
      </c>
      <c r="G728" s="842">
        <v>594000.0</v>
      </c>
      <c r="H728" s="851">
        <f t="shared" si="15"/>
        <v>1782000</v>
      </c>
      <c r="I728" s="809">
        <f t="shared" si="31"/>
        <v>1782000</v>
      </c>
      <c r="J728" s="844">
        <v>45678.0</v>
      </c>
      <c r="K728" s="799" t="s">
        <v>4258</v>
      </c>
      <c r="L728" s="818" t="s">
        <v>12235</v>
      </c>
      <c r="M728" s="818" t="s">
        <v>12809</v>
      </c>
      <c r="N728" s="820">
        <v>45672.0</v>
      </c>
      <c r="O728" s="823"/>
    </row>
    <row r="729" ht="15.0" customHeight="1">
      <c r="A729" s="789">
        <v>45618.0</v>
      </c>
      <c r="B729" s="790" t="s">
        <v>13062</v>
      </c>
      <c r="C729" s="791" t="s">
        <v>12932</v>
      </c>
      <c r="D729" s="791" t="s">
        <v>2826</v>
      </c>
      <c r="E729" s="792" t="str">
        <f>IFERROR(VLOOKUP(D729,Stock,3,FALSE),"")</f>
        <v>Toyota Kijang 02-04 Kapsul Lem Efi </v>
      </c>
      <c r="F729" s="791">
        <v>5.0</v>
      </c>
      <c r="G729" s="842">
        <v>416499.65</v>
      </c>
      <c r="H729" s="851">
        <f t="shared" si="15"/>
        <v>2082498.25</v>
      </c>
      <c r="I729" s="809">
        <f t="shared" si="31"/>
        <v>2082498.25</v>
      </c>
      <c r="J729" s="848">
        <v>45648.0</v>
      </c>
      <c r="K729" s="799" t="s">
        <v>4258</v>
      </c>
      <c r="L729" s="818" t="s">
        <v>12235</v>
      </c>
      <c r="M729" s="818" t="s">
        <v>12809</v>
      </c>
      <c r="N729" s="820">
        <v>45644.0</v>
      </c>
      <c r="O729" s="823"/>
    </row>
    <row r="730" ht="15.0" customHeight="1">
      <c r="A730" s="789">
        <v>45619.0</v>
      </c>
      <c r="B730" s="790" t="s">
        <v>13063</v>
      </c>
      <c r="C730" s="791" t="s">
        <v>13022</v>
      </c>
      <c r="D730" s="791" t="s">
        <v>2555</v>
      </c>
      <c r="E730" s="792" t="str">
        <f>IFERROR(VLOOKUP(D730,Stock,3,FALSE),"")</f>
        <v>Toyota Fortuner 15-  2nd Gen (Toyota)</v>
      </c>
      <c r="F730" s="791">
        <v>3.0</v>
      </c>
      <c r="G730" s="842">
        <v>738000.0</v>
      </c>
      <c r="H730" s="811">
        <f t="shared" si="15"/>
        <v>2214000</v>
      </c>
      <c r="I730" s="809"/>
      <c r="J730" s="819"/>
      <c r="K730" s="799" t="s">
        <v>4258</v>
      </c>
      <c r="L730" s="818" t="s">
        <v>12235</v>
      </c>
      <c r="M730" s="818" t="s">
        <v>12809</v>
      </c>
      <c r="N730" s="820">
        <v>45644.0</v>
      </c>
      <c r="O730" s="823"/>
    </row>
    <row r="731" ht="15.0" customHeight="1">
      <c r="A731" s="789">
        <v>45621.0</v>
      </c>
      <c r="B731" s="790" t="s">
        <v>13064</v>
      </c>
      <c r="C731" s="791" t="s">
        <v>13065</v>
      </c>
      <c r="D731" s="791" t="s">
        <v>5936</v>
      </c>
      <c r="E731" s="792" t="str">
        <f>IFERROR(VLOOKUP(D731,Stock,3,FALSE),"")</f>
        <v>Mitsubishi Xpander 17- / Livina 19- 2nd Gen (Mitsubishi)</v>
      </c>
      <c r="F731" s="791">
        <v>1.0</v>
      </c>
      <c r="G731" s="842">
        <v>1900000.0</v>
      </c>
      <c r="H731" s="811">
        <f t="shared" si="15"/>
        <v>1900000</v>
      </c>
      <c r="I731" s="809"/>
      <c r="J731" s="819"/>
      <c r="K731" s="799" t="s">
        <v>4258</v>
      </c>
      <c r="L731" s="818" t="s">
        <v>12235</v>
      </c>
      <c r="M731" s="818" t="s">
        <v>12809</v>
      </c>
      <c r="N731" s="820">
        <v>45644.0</v>
      </c>
      <c r="O731" s="823"/>
    </row>
    <row r="732" ht="15.0" customHeight="1">
      <c r="A732" s="789">
        <v>45621.0</v>
      </c>
      <c r="B732" s="790">
        <v>2411812.0</v>
      </c>
      <c r="C732" s="791" t="s">
        <v>11484</v>
      </c>
      <c r="D732" s="791" t="s">
        <v>5926</v>
      </c>
      <c r="E732" s="792" t="str">
        <f>IFERROR(VLOOKUP(D732,Stock,3,FALSE),"")</f>
        <v>Hyundai Santa Fe 12-18</v>
      </c>
      <c r="F732" s="791">
        <v>1.0</v>
      </c>
      <c r="G732" s="842">
        <v>1164900.0</v>
      </c>
      <c r="H732" s="851">
        <f t="shared" si="15"/>
        <v>1164900</v>
      </c>
      <c r="I732" s="809">
        <f t="shared" ref="I732:I737" si="32">H732</f>
        <v>1164900</v>
      </c>
      <c r="J732" s="844">
        <v>45681.0</v>
      </c>
      <c r="K732" s="799" t="s">
        <v>4258</v>
      </c>
      <c r="L732" s="818" t="s">
        <v>12235</v>
      </c>
      <c r="M732" s="818" t="s">
        <v>12809</v>
      </c>
      <c r="N732" s="820">
        <v>45676.0</v>
      </c>
      <c r="O732" s="823"/>
    </row>
    <row r="733" ht="15.0" customHeight="1">
      <c r="A733" s="789">
        <v>45621.0</v>
      </c>
      <c r="B733" s="790">
        <v>2411826.0</v>
      </c>
      <c r="C733" s="791" t="s">
        <v>11484</v>
      </c>
      <c r="D733" s="791" t="s">
        <v>2601</v>
      </c>
      <c r="E733" s="792" t="str">
        <f>IFERROR(VLOOKUP(D733,Stock,3,FALSE),"")</f>
        <v>Mers-Benz C-Class 00-07 W203 (1 Sensor/ □ Tengah)</v>
      </c>
      <c r="F733" s="791">
        <v>2.0</v>
      </c>
      <c r="G733" s="842">
        <v>2167550.0</v>
      </c>
      <c r="H733" s="851">
        <f t="shared" si="15"/>
        <v>4335100</v>
      </c>
      <c r="I733" s="809">
        <f t="shared" si="32"/>
        <v>4335100</v>
      </c>
      <c r="J733" s="844">
        <v>45681.0</v>
      </c>
      <c r="K733" s="799" t="s">
        <v>4258</v>
      </c>
      <c r="L733" s="818" t="s">
        <v>12235</v>
      </c>
      <c r="M733" s="818" t="s">
        <v>13053</v>
      </c>
      <c r="N733" s="820">
        <v>45679.0</v>
      </c>
      <c r="O733" s="823"/>
    </row>
    <row r="734" ht="15.0" customHeight="1">
      <c r="A734" s="789">
        <v>45621.0</v>
      </c>
      <c r="B734" s="790">
        <v>2411826.0</v>
      </c>
      <c r="C734" s="791" t="s">
        <v>11484</v>
      </c>
      <c r="D734" s="791" t="s">
        <v>5793</v>
      </c>
      <c r="E734" s="792" t="str">
        <f>IFERROR(VLOOKUP(D734,Stock,3,FALSE),"")</f>
        <v>BMW 3 Series 12-18 F30/F35</v>
      </c>
      <c r="F734" s="791">
        <v>2.0</v>
      </c>
      <c r="G734" s="842">
        <v>1349150.0</v>
      </c>
      <c r="H734" s="851">
        <f t="shared" si="15"/>
        <v>2698300</v>
      </c>
      <c r="I734" s="809">
        <f t="shared" si="32"/>
        <v>2698300</v>
      </c>
      <c r="J734" s="844">
        <v>45681.0</v>
      </c>
      <c r="K734" s="799" t="s">
        <v>4258</v>
      </c>
      <c r="L734" s="818" t="s">
        <v>12235</v>
      </c>
      <c r="M734" s="818" t="s">
        <v>13053</v>
      </c>
      <c r="N734" s="820">
        <v>45679.0</v>
      </c>
      <c r="O734" s="823"/>
    </row>
    <row r="735" ht="15.0" customHeight="1">
      <c r="A735" s="789">
        <v>45628.0</v>
      </c>
      <c r="B735" s="790">
        <v>2412024.0</v>
      </c>
      <c r="C735" s="791" t="s">
        <v>11484</v>
      </c>
      <c r="D735" s="791" t="s">
        <v>2645</v>
      </c>
      <c r="E735" s="792" t="str">
        <f>IFERROR(VLOOKUP(D735,Stock,3,FALSE),"")</f>
        <v>Toyota ist 01-06 SC10/NCP60</v>
      </c>
      <c r="F735" s="791">
        <v>1.0</v>
      </c>
      <c r="G735" s="842">
        <v>1716000.0</v>
      </c>
      <c r="H735" s="851">
        <f t="shared" si="15"/>
        <v>1716000</v>
      </c>
      <c r="I735" s="809">
        <f t="shared" si="32"/>
        <v>1716000</v>
      </c>
      <c r="J735" s="844">
        <v>45688.0</v>
      </c>
      <c r="K735" s="799" t="s">
        <v>4258</v>
      </c>
      <c r="L735" s="818" t="s">
        <v>12235</v>
      </c>
      <c r="M735" s="818" t="s">
        <v>13053</v>
      </c>
      <c r="N735" s="859">
        <v>45688.0</v>
      </c>
      <c r="O735" s="823"/>
    </row>
    <row r="736" ht="15.0" customHeight="1">
      <c r="A736" s="789">
        <v>45628.0</v>
      </c>
      <c r="B736" s="790">
        <v>2412020.0</v>
      </c>
      <c r="C736" s="791" t="s">
        <v>11484</v>
      </c>
      <c r="D736" s="791" t="s">
        <v>2783</v>
      </c>
      <c r="E736" s="792" t="str">
        <f>IFERROR(VLOOKUP(D736,Stock,3,FALSE),"")</f>
        <v>Mers-Benz C-Class 07-14 W204 (1 Sensor/ □)</v>
      </c>
      <c r="F736" s="791">
        <v>2.0</v>
      </c>
      <c r="G736" s="842">
        <v>1799600.0</v>
      </c>
      <c r="H736" s="851">
        <f t="shared" si="15"/>
        <v>3599200</v>
      </c>
      <c r="I736" s="809">
        <f t="shared" si="32"/>
        <v>3599200</v>
      </c>
      <c r="J736" s="844">
        <v>45688.0</v>
      </c>
      <c r="K736" s="799" t="s">
        <v>4258</v>
      </c>
      <c r="L736" s="818" t="s">
        <v>12235</v>
      </c>
      <c r="M736" s="818" t="s">
        <v>13053</v>
      </c>
      <c r="N736" s="859">
        <v>45688.0</v>
      </c>
      <c r="O736" s="823"/>
    </row>
    <row r="737" ht="15.0" customHeight="1">
      <c r="A737" s="789">
        <v>45629.0</v>
      </c>
      <c r="B737" s="790">
        <v>2412112.0</v>
      </c>
      <c r="C737" s="791" t="s">
        <v>11484</v>
      </c>
      <c r="D737" s="791" t="s">
        <v>6011</v>
      </c>
      <c r="E737" s="792" t="str">
        <f>IFERROR(VLOOKUP(D737,Stock,3,FALSE),"")</f>
        <v>Subaru Forester 09-13</v>
      </c>
      <c r="F737" s="791">
        <v>1.0</v>
      </c>
      <c r="G737" s="842">
        <v>1155000.0</v>
      </c>
      <c r="H737" s="851">
        <f t="shared" si="15"/>
        <v>1155000</v>
      </c>
      <c r="I737" s="809">
        <f t="shared" si="32"/>
        <v>1155000</v>
      </c>
      <c r="J737" s="844">
        <v>45689.0</v>
      </c>
      <c r="K737" s="799" t="s">
        <v>4258</v>
      </c>
      <c r="L737" s="818" t="s">
        <v>12235</v>
      </c>
      <c r="M737" s="818" t="s">
        <v>13053</v>
      </c>
      <c r="N737" s="859">
        <v>45688.0</v>
      </c>
      <c r="O737" s="823"/>
    </row>
    <row r="738" ht="15.0" customHeight="1">
      <c r="A738" s="789">
        <v>45630.0</v>
      </c>
      <c r="B738" s="790" t="s">
        <v>13066</v>
      </c>
      <c r="C738" s="791" t="s">
        <v>13022</v>
      </c>
      <c r="D738" s="791" t="s">
        <v>6004</v>
      </c>
      <c r="E738" s="792" t="str">
        <f>IFERROR(VLOOKUP(D738,Stock,3,FALSE),"")</f>
        <v>Daihatsu Gran Max / Luxio 07-</v>
      </c>
      <c r="F738" s="791">
        <v>1.0</v>
      </c>
      <c r="G738" s="842">
        <v>837000.0</v>
      </c>
      <c r="H738" s="811">
        <f t="shared" si="15"/>
        <v>837000</v>
      </c>
      <c r="I738" s="809"/>
      <c r="J738" s="819"/>
      <c r="K738" s="799" t="s">
        <v>4258</v>
      </c>
      <c r="L738" s="818" t="s">
        <v>12235</v>
      </c>
      <c r="M738" s="818" t="s">
        <v>12809</v>
      </c>
      <c r="N738" s="820">
        <v>45644.0</v>
      </c>
      <c r="O738" s="823"/>
    </row>
    <row r="739" ht="15.0" customHeight="1">
      <c r="A739" s="789">
        <v>45632.0</v>
      </c>
      <c r="B739" s="790" t="s">
        <v>13067</v>
      </c>
      <c r="C739" s="791" t="s">
        <v>12963</v>
      </c>
      <c r="D739" s="791" t="s">
        <v>6022</v>
      </c>
      <c r="E739" s="792" t="str">
        <f>IFERROR(VLOOKUP(D739,Stock,3,FALSE),"")</f>
        <v>Suzuki Ertiga 18- 2nd Gen / XL7 (Suzuki)</v>
      </c>
      <c r="F739" s="791">
        <v>1.0</v>
      </c>
      <c r="G739" s="842">
        <v>670000.0</v>
      </c>
      <c r="H739" s="811">
        <f t="shared" si="15"/>
        <v>670000</v>
      </c>
      <c r="I739" s="809"/>
      <c r="J739" s="819"/>
      <c r="K739" s="799" t="s">
        <v>4258</v>
      </c>
      <c r="L739" s="818" t="s">
        <v>12235</v>
      </c>
      <c r="M739" s="818" t="s">
        <v>12809</v>
      </c>
      <c r="N739" s="820">
        <v>45644.0</v>
      </c>
      <c r="O739" s="823"/>
    </row>
    <row r="740" ht="15.0" customHeight="1">
      <c r="A740" s="789">
        <v>45632.0</v>
      </c>
      <c r="B740" s="790" t="s">
        <v>13068</v>
      </c>
      <c r="C740" s="791" t="s">
        <v>12932</v>
      </c>
      <c r="D740" s="791" t="s">
        <v>6033</v>
      </c>
      <c r="E740" s="792" t="str">
        <f>IFERROR(VLOOKUP(D740,Stock,3,FALSE),"")</f>
        <v>Mitsubishi Kuda 99-06</v>
      </c>
      <c r="F740" s="791">
        <v>5.0</v>
      </c>
      <c r="G740" s="842">
        <v>116450.0</v>
      </c>
      <c r="H740" s="811">
        <f t="shared" si="15"/>
        <v>582250</v>
      </c>
      <c r="I740" s="809">
        <f t="shared" ref="I740:I741" si="33">H740</f>
        <v>582250</v>
      </c>
      <c r="J740" s="844">
        <v>45662.0</v>
      </c>
      <c r="K740" s="799" t="s">
        <v>4258</v>
      </c>
      <c r="L740" s="818" t="s">
        <v>12235</v>
      </c>
      <c r="M740" s="818" t="s">
        <v>12809</v>
      </c>
      <c r="N740" s="820">
        <v>45659.0</v>
      </c>
      <c r="O740" s="823"/>
    </row>
    <row r="741" ht="15.0" customHeight="1">
      <c r="A741" s="789">
        <v>45632.0</v>
      </c>
      <c r="B741" s="790">
        <v>2412189.0</v>
      </c>
      <c r="C741" s="791" t="s">
        <v>11484</v>
      </c>
      <c r="D741" s="791" t="s">
        <v>3378</v>
      </c>
      <c r="E741" s="792" t="str">
        <f>IFERROR(VLOOKUP(D741,Stock,3,FALSE),"")</f>
        <v>Isuzu Panther 00- 2nd Gen</v>
      </c>
      <c r="F741" s="791">
        <v>4.0</v>
      </c>
      <c r="G741" s="842">
        <v>515900.0</v>
      </c>
      <c r="H741" s="851">
        <f t="shared" si="15"/>
        <v>2063600</v>
      </c>
      <c r="I741" s="809">
        <f t="shared" si="33"/>
        <v>2063600</v>
      </c>
      <c r="J741" s="844">
        <v>45692.0</v>
      </c>
      <c r="K741" s="799" t="s">
        <v>4258</v>
      </c>
      <c r="L741" s="818" t="s">
        <v>12235</v>
      </c>
      <c r="M741" s="818" t="s">
        <v>13069</v>
      </c>
      <c r="N741" s="820">
        <v>45689.0</v>
      </c>
      <c r="O741" s="823"/>
    </row>
    <row r="742" ht="15.0" customHeight="1">
      <c r="A742" s="789">
        <v>45632.0</v>
      </c>
      <c r="B742" s="790" t="s">
        <v>13070</v>
      </c>
      <c r="C742" s="791" t="s">
        <v>13022</v>
      </c>
      <c r="D742" s="791" t="s">
        <v>6028</v>
      </c>
      <c r="E742" s="792" t="str">
        <f>IFERROR(VLOOKUP(D742,Stock,3,FALSE),"")</f>
        <v>Toyota Innova 04-15 1st Gen (Toyota)</v>
      </c>
      <c r="F742" s="791">
        <v>1.0</v>
      </c>
      <c r="G742" s="842">
        <v>1197000.0</v>
      </c>
      <c r="H742" s="811">
        <f t="shared" si="15"/>
        <v>1197000</v>
      </c>
      <c r="I742" s="809"/>
      <c r="J742" s="819"/>
      <c r="K742" s="799" t="s">
        <v>4258</v>
      </c>
      <c r="L742" s="818" t="s">
        <v>12235</v>
      </c>
      <c r="M742" s="818" t="s">
        <v>12809</v>
      </c>
      <c r="N742" s="820">
        <v>45644.0</v>
      </c>
      <c r="O742" s="823"/>
    </row>
    <row r="743" ht="15.0" customHeight="1">
      <c r="A743" s="789">
        <v>45633.0</v>
      </c>
      <c r="B743" s="790" t="s">
        <v>13071</v>
      </c>
      <c r="C743" s="791" t="s">
        <v>3091</v>
      </c>
      <c r="D743" s="791" t="s">
        <v>2557</v>
      </c>
      <c r="E743" s="792" t="str">
        <f>IFERROR(VLOOKUP(D743,Stock,3,FALSE),"")</f>
        <v>Toyota Fortuner 05-15 1st Gen (Toyota)</v>
      </c>
      <c r="F743" s="791">
        <v>10.0</v>
      </c>
      <c r="G743" s="842">
        <v>1000000.0</v>
      </c>
      <c r="H743" s="811">
        <f t="shared" si="15"/>
        <v>10000000</v>
      </c>
      <c r="I743" s="809">
        <f>H743</f>
        <v>10000000</v>
      </c>
      <c r="J743" s="844">
        <v>45693.0</v>
      </c>
      <c r="K743" s="799" t="s">
        <v>4258</v>
      </c>
      <c r="L743" s="818" t="s">
        <v>12235</v>
      </c>
      <c r="M743" s="818" t="s">
        <v>13053</v>
      </c>
      <c r="N743" s="820">
        <v>45693.0</v>
      </c>
      <c r="O743" s="823"/>
    </row>
    <row r="744" ht="15.0" customHeight="1">
      <c r="A744" s="789">
        <v>45635.0</v>
      </c>
      <c r="B744" s="790" t="s">
        <v>13072</v>
      </c>
      <c r="C744" s="791" t="s">
        <v>13022</v>
      </c>
      <c r="D744" s="791" t="s">
        <v>5528</v>
      </c>
      <c r="E744" s="792" t="str">
        <f>IFERROR(VLOOKUP(D744,Stock,3,FALSE),"")</f>
        <v>Toyota Innova 15-22 2nd Gen (Toyota)</v>
      </c>
      <c r="F744" s="791">
        <v>2.0</v>
      </c>
      <c r="G744" s="842">
        <v>1674000.0</v>
      </c>
      <c r="H744" s="811">
        <f t="shared" si="15"/>
        <v>3348000</v>
      </c>
      <c r="I744" s="809"/>
      <c r="J744" s="819"/>
      <c r="K744" s="799" t="s">
        <v>4258</v>
      </c>
      <c r="L744" s="818" t="s">
        <v>12235</v>
      </c>
      <c r="M744" s="818" t="s">
        <v>12809</v>
      </c>
      <c r="N744" s="820">
        <v>45644.0</v>
      </c>
      <c r="O744" s="823"/>
    </row>
    <row r="745" ht="15.0" customHeight="1">
      <c r="A745" s="789">
        <v>45635.0</v>
      </c>
      <c r="B745" s="790">
        <v>2412271.0</v>
      </c>
      <c r="C745" s="791" t="s">
        <v>11484</v>
      </c>
      <c r="D745" s="791" t="s">
        <v>2583</v>
      </c>
      <c r="E745" s="792" t="str">
        <f>IFERROR(VLOOKUP(D745,Stock,3,FALSE),"")</f>
        <v>Ford Ranger 11- T6 /Mazda BT50 Sing/Doub Cabin</v>
      </c>
      <c r="F745" s="791">
        <v>1.0</v>
      </c>
      <c r="G745" s="842">
        <v>905850.0</v>
      </c>
      <c r="H745" s="851">
        <f t="shared" si="15"/>
        <v>905850</v>
      </c>
      <c r="I745" s="809">
        <f>H745</f>
        <v>905850</v>
      </c>
      <c r="J745" s="844">
        <v>45695.0</v>
      </c>
      <c r="K745" s="799" t="s">
        <v>4258</v>
      </c>
      <c r="L745" s="818" t="s">
        <v>12235</v>
      </c>
      <c r="M745" s="818" t="s">
        <v>13053</v>
      </c>
      <c r="N745" s="830">
        <v>45692.0</v>
      </c>
      <c r="O745" s="823"/>
    </row>
    <row r="746" ht="15.0" customHeight="1">
      <c r="A746" s="789">
        <v>45635.0</v>
      </c>
      <c r="B746" s="790" t="s">
        <v>13073</v>
      </c>
      <c r="C746" s="791" t="s">
        <v>11484</v>
      </c>
      <c r="D746" s="791" t="s">
        <v>3059</v>
      </c>
      <c r="E746" s="792" t="str">
        <f>IFERROR(VLOOKUP(D746,Stock,3,FALSE),"")</f>
        <v>Sealant Polyurethane XYG Tube</v>
      </c>
      <c r="F746" s="791">
        <v>80.0</v>
      </c>
      <c r="G746" s="842">
        <v>33000.0</v>
      </c>
      <c r="H746" s="851">
        <f t="shared" si="15"/>
        <v>2640000</v>
      </c>
      <c r="I746" s="809"/>
      <c r="J746" s="844"/>
      <c r="K746" s="799" t="s">
        <v>4258</v>
      </c>
      <c r="L746" s="818" t="s">
        <v>12235</v>
      </c>
      <c r="M746" s="818" t="s">
        <v>12809</v>
      </c>
      <c r="N746" s="820">
        <v>45644.0</v>
      </c>
      <c r="O746" s="823"/>
    </row>
    <row r="747" ht="15.0" customHeight="1">
      <c r="A747" s="789">
        <v>45635.0</v>
      </c>
      <c r="B747" s="790">
        <v>2412221.0</v>
      </c>
      <c r="C747" s="791" t="s">
        <v>11484</v>
      </c>
      <c r="D747" s="791" t="s">
        <v>2583</v>
      </c>
      <c r="E747" s="792" t="str">
        <f>IFERROR(VLOOKUP(D747,Stock,3,FALSE),"")</f>
        <v>Ford Ranger 11- T6 /Mazda BT50 Sing/Doub Cabin</v>
      </c>
      <c r="F747" s="791">
        <v>3.0</v>
      </c>
      <c r="G747" s="842">
        <v>905850.0</v>
      </c>
      <c r="H747" s="851">
        <f t="shared" si="15"/>
        <v>2717550</v>
      </c>
      <c r="I747" s="809">
        <f t="shared" ref="I747:I766" si="34">H747</f>
        <v>2717550</v>
      </c>
      <c r="J747" s="844">
        <v>45695.0</v>
      </c>
      <c r="K747" s="799" t="s">
        <v>4258</v>
      </c>
      <c r="L747" s="818" t="s">
        <v>12235</v>
      </c>
      <c r="M747" s="818" t="s">
        <v>13053</v>
      </c>
      <c r="N747" s="830">
        <v>45692.0</v>
      </c>
      <c r="O747" s="823"/>
    </row>
    <row r="748" ht="15.0" customHeight="1">
      <c r="A748" s="789">
        <v>45635.0</v>
      </c>
      <c r="B748" s="790">
        <v>2412221.0</v>
      </c>
      <c r="C748" s="791" t="s">
        <v>11484</v>
      </c>
      <c r="D748" s="791" t="s">
        <v>6078</v>
      </c>
      <c r="E748" s="792" t="str">
        <f>IFERROR(VLOOKUP(D748,Stock,3,FALSE),"")</f>
        <v>Chevrolet Captiva 06-18 1st gen C100</v>
      </c>
      <c r="F748" s="791">
        <v>2.0</v>
      </c>
      <c r="G748" s="842">
        <v>997150.0</v>
      </c>
      <c r="H748" s="851">
        <f t="shared" si="15"/>
        <v>1994300</v>
      </c>
      <c r="I748" s="809">
        <f t="shared" si="34"/>
        <v>1994300</v>
      </c>
      <c r="J748" s="844">
        <v>45695.0</v>
      </c>
      <c r="K748" s="799" t="s">
        <v>4258</v>
      </c>
      <c r="L748" s="818" t="s">
        <v>12235</v>
      </c>
      <c r="M748" s="818" t="s">
        <v>13053</v>
      </c>
      <c r="N748" s="830">
        <v>45692.0</v>
      </c>
      <c r="O748" s="823"/>
    </row>
    <row r="749" ht="15.0" customHeight="1">
      <c r="A749" s="789">
        <v>45637.0</v>
      </c>
      <c r="B749" s="790">
        <v>2412331.0</v>
      </c>
      <c r="C749" s="791" t="s">
        <v>11484</v>
      </c>
      <c r="D749" s="791" t="s">
        <v>2633</v>
      </c>
      <c r="E749" s="792" t="str">
        <f>IFERROR(VLOOKUP(D749,Stock,3,FALSE),"")</f>
        <v>Suzuki Baleno 96-01</v>
      </c>
      <c r="F749" s="791">
        <v>2.0</v>
      </c>
      <c r="G749" s="842">
        <v>858000.0</v>
      </c>
      <c r="H749" s="851">
        <f t="shared" si="15"/>
        <v>1716000</v>
      </c>
      <c r="I749" s="809">
        <f t="shared" si="34"/>
        <v>1716000</v>
      </c>
      <c r="J749" s="844">
        <v>45697.0</v>
      </c>
      <c r="K749" s="799" t="s">
        <v>4258</v>
      </c>
      <c r="L749" s="818" t="s">
        <v>12235</v>
      </c>
      <c r="M749" s="818" t="s">
        <v>13053</v>
      </c>
      <c r="N749" s="820">
        <v>45695.0</v>
      </c>
      <c r="O749" s="823"/>
    </row>
    <row r="750" ht="15.0" customHeight="1">
      <c r="A750" s="789">
        <v>45638.0</v>
      </c>
      <c r="B750" s="790" t="s">
        <v>13074</v>
      </c>
      <c r="C750" s="791" t="s">
        <v>28</v>
      </c>
      <c r="D750" s="791" t="s">
        <v>13075</v>
      </c>
      <c r="E750" s="792" t="str">
        <f>IFERROR(VLOOKUP(D750,Stock,3,FALSE),"")</f>
        <v/>
      </c>
      <c r="F750" s="791">
        <v>2.0</v>
      </c>
      <c r="G750" s="842">
        <v>700000.0</v>
      </c>
      <c r="H750" s="811">
        <f t="shared" si="15"/>
        <v>1400000</v>
      </c>
      <c r="I750" s="809">
        <f t="shared" si="34"/>
        <v>1400000</v>
      </c>
      <c r="J750" s="819"/>
      <c r="K750" s="799" t="s">
        <v>4258</v>
      </c>
      <c r="L750" s="818" t="s">
        <v>12235</v>
      </c>
      <c r="M750" s="818" t="s">
        <v>13053</v>
      </c>
      <c r="N750" s="823"/>
      <c r="O750" s="823"/>
    </row>
    <row r="751" ht="15.0" customHeight="1">
      <c r="A751" s="789">
        <v>45638.0</v>
      </c>
      <c r="B751" s="790" t="s">
        <v>13074</v>
      </c>
      <c r="C751" s="791" t="s">
        <v>28</v>
      </c>
      <c r="D751" s="791" t="s">
        <v>13076</v>
      </c>
      <c r="E751" s="792" t="str">
        <f>IFERROR(VLOOKUP(D751,Stock,3,FALSE),"")</f>
        <v/>
      </c>
      <c r="F751" s="791">
        <v>5.0</v>
      </c>
      <c r="G751" s="842">
        <v>135000.0</v>
      </c>
      <c r="H751" s="811">
        <f t="shared" si="15"/>
        <v>675000</v>
      </c>
      <c r="I751" s="809">
        <f t="shared" si="34"/>
        <v>675000</v>
      </c>
      <c r="J751" s="819"/>
      <c r="K751" s="799" t="s">
        <v>4258</v>
      </c>
      <c r="L751" s="818" t="s">
        <v>12235</v>
      </c>
      <c r="M751" s="818" t="s">
        <v>13053</v>
      </c>
      <c r="N751" s="823"/>
      <c r="O751" s="823"/>
    </row>
    <row r="752" ht="15.0" customHeight="1">
      <c r="A752" s="789">
        <v>45638.0</v>
      </c>
      <c r="B752" s="790" t="s">
        <v>13074</v>
      </c>
      <c r="C752" s="791" t="s">
        <v>28</v>
      </c>
      <c r="D752" s="791" t="s">
        <v>13077</v>
      </c>
      <c r="E752" s="792" t="str">
        <f>IFERROR(VLOOKUP(D752,Stock,3,FALSE),"")</f>
        <v/>
      </c>
      <c r="F752" s="791">
        <v>1.0</v>
      </c>
      <c r="G752" s="842">
        <v>250000.0</v>
      </c>
      <c r="H752" s="811">
        <f t="shared" si="15"/>
        <v>250000</v>
      </c>
      <c r="I752" s="809">
        <f t="shared" si="34"/>
        <v>250000</v>
      </c>
      <c r="J752" s="819"/>
      <c r="K752" s="799" t="s">
        <v>4258</v>
      </c>
      <c r="L752" s="818" t="s">
        <v>12235</v>
      </c>
      <c r="M752" s="818" t="s">
        <v>13053</v>
      </c>
      <c r="N752" s="823"/>
      <c r="O752" s="823"/>
    </row>
    <row r="753" ht="15.0" customHeight="1">
      <c r="A753" s="789">
        <v>45638.0</v>
      </c>
      <c r="B753" s="790" t="s">
        <v>13074</v>
      </c>
      <c r="C753" s="791" t="s">
        <v>28</v>
      </c>
      <c r="D753" s="791" t="s">
        <v>13011</v>
      </c>
      <c r="E753" s="792" t="str">
        <f>IFERROR(VLOOKUP(D753,Stock,3,FALSE),"")</f>
        <v/>
      </c>
      <c r="F753" s="791">
        <v>1.0</v>
      </c>
      <c r="G753" s="842">
        <v>650000.0</v>
      </c>
      <c r="H753" s="811">
        <f t="shared" si="15"/>
        <v>650000</v>
      </c>
      <c r="I753" s="809">
        <f t="shared" si="34"/>
        <v>650000</v>
      </c>
      <c r="J753" s="819"/>
      <c r="K753" s="799" t="s">
        <v>4258</v>
      </c>
      <c r="L753" s="818" t="s">
        <v>12235</v>
      </c>
      <c r="M753" s="818" t="s">
        <v>13053</v>
      </c>
      <c r="N753" s="823"/>
      <c r="O753" s="823"/>
    </row>
    <row r="754" ht="15.0" customHeight="1">
      <c r="A754" s="789">
        <v>45638.0</v>
      </c>
      <c r="B754" s="790" t="s">
        <v>13074</v>
      </c>
      <c r="C754" s="791" t="s">
        <v>12981</v>
      </c>
      <c r="D754" s="791" t="s">
        <v>13078</v>
      </c>
      <c r="E754" s="792" t="str">
        <f>IFERROR(VLOOKUP(D754,Stock,3,FALSE),"")</f>
        <v/>
      </c>
      <c r="F754" s="791">
        <v>5.0</v>
      </c>
      <c r="G754" s="842">
        <v>40000.0</v>
      </c>
      <c r="H754" s="811">
        <f t="shared" si="15"/>
        <v>200000</v>
      </c>
      <c r="I754" s="809">
        <f t="shared" si="34"/>
        <v>200000</v>
      </c>
      <c r="J754" s="819"/>
      <c r="K754" s="799" t="s">
        <v>4258</v>
      </c>
      <c r="L754" s="818" t="s">
        <v>12235</v>
      </c>
      <c r="M754" s="818" t="s">
        <v>13053</v>
      </c>
      <c r="N754" s="823"/>
      <c r="O754" s="823"/>
    </row>
    <row r="755" ht="15.0" customHeight="1">
      <c r="A755" s="789">
        <v>45638.0</v>
      </c>
      <c r="B755" s="790" t="s">
        <v>13079</v>
      </c>
      <c r="C755" s="791" t="s">
        <v>3076</v>
      </c>
      <c r="D755" s="791" t="s">
        <v>3229</v>
      </c>
      <c r="E755" s="792" t="str">
        <f>IFERROR(VLOOKUP(D755,Stock,3,FALSE),"")</f>
        <v>Nissan Evalia 10- X11M</v>
      </c>
      <c r="F755" s="791">
        <v>1.0</v>
      </c>
      <c r="G755" s="842">
        <v>541500.0</v>
      </c>
      <c r="H755" s="811">
        <f t="shared" si="15"/>
        <v>541500</v>
      </c>
      <c r="I755" s="809">
        <f t="shared" si="34"/>
        <v>541500</v>
      </c>
      <c r="J755" s="819"/>
      <c r="K755" s="799" t="s">
        <v>4281</v>
      </c>
      <c r="L755" s="818" t="s">
        <v>12235</v>
      </c>
      <c r="M755" s="818" t="s">
        <v>12809</v>
      </c>
      <c r="N755" s="820">
        <v>45644.0</v>
      </c>
      <c r="O755" s="823"/>
    </row>
    <row r="756" ht="15.0" customHeight="1">
      <c r="A756" s="789">
        <v>45638.0</v>
      </c>
      <c r="B756" s="790" t="s">
        <v>13079</v>
      </c>
      <c r="C756" s="791" t="s">
        <v>3076</v>
      </c>
      <c r="D756" s="791" t="s">
        <v>2934</v>
      </c>
      <c r="E756" s="792" t="str">
        <f>IFERROR(VLOOKUP(D756,Stock,3,FALSE),"")</f>
        <v>Peti Kayu</v>
      </c>
      <c r="F756" s="791">
        <v>1.0</v>
      </c>
      <c r="G756" s="842">
        <v>150000.0</v>
      </c>
      <c r="H756" s="811">
        <f t="shared" si="15"/>
        <v>150000</v>
      </c>
      <c r="I756" s="809">
        <f t="shared" si="34"/>
        <v>150000</v>
      </c>
      <c r="J756" s="819"/>
      <c r="K756" s="799" t="s">
        <v>4281</v>
      </c>
      <c r="L756" s="818" t="s">
        <v>12235</v>
      </c>
      <c r="M756" s="818" t="s">
        <v>12809</v>
      </c>
      <c r="N756" s="820">
        <v>45644.0</v>
      </c>
      <c r="O756" s="823"/>
    </row>
    <row r="757" ht="15.0" customHeight="1">
      <c r="A757" s="789">
        <v>45640.0</v>
      </c>
      <c r="B757" s="790" t="s">
        <v>13080</v>
      </c>
      <c r="C757" s="791" t="s">
        <v>3076</v>
      </c>
      <c r="D757" s="791" t="s">
        <v>2541</v>
      </c>
      <c r="E757" s="792" t="str">
        <f>IFERROR(VLOOKUP(D757,Stock,3,FALSE),"")</f>
        <v>Nissan Datsun Go/Go+ 14- (5-Seater)</v>
      </c>
      <c r="F757" s="791">
        <v>10.0</v>
      </c>
      <c r="G757" s="842">
        <v>534798.0</v>
      </c>
      <c r="H757" s="811">
        <f t="shared" si="15"/>
        <v>5347980</v>
      </c>
      <c r="I757" s="809">
        <f t="shared" si="34"/>
        <v>5347980</v>
      </c>
      <c r="J757" s="819"/>
      <c r="K757" s="799" t="s">
        <v>4281</v>
      </c>
      <c r="L757" s="818" t="s">
        <v>12235</v>
      </c>
      <c r="M757" s="818" t="s">
        <v>12809</v>
      </c>
      <c r="N757" s="820">
        <v>45644.0</v>
      </c>
      <c r="O757" s="823"/>
    </row>
    <row r="758" ht="15.0" customHeight="1">
      <c r="A758" s="789">
        <v>45643.0</v>
      </c>
      <c r="B758" s="790" t="s">
        <v>13081</v>
      </c>
      <c r="C758" s="791" t="s">
        <v>13082</v>
      </c>
      <c r="D758" s="860" t="s">
        <v>4063</v>
      </c>
      <c r="E758" s="792" t="str">
        <f>IFERROR(VLOOKUP(D758,Stock,3,FALSE),"")</f>
        <v>Mitsubishi Xpander 17-21 / Livina 19- 2nd Gen (Mitsubishi)</v>
      </c>
      <c r="F758" s="791">
        <v>5.0</v>
      </c>
      <c r="G758" s="842">
        <v>470000.0</v>
      </c>
      <c r="H758" s="811">
        <f t="shared" si="15"/>
        <v>2350000</v>
      </c>
      <c r="I758" s="809">
        <f t="shared" si="34"/>
        <v>2350000</v>
      </c>
      <c r="J758" s="819"/>
      <c r="K758" s="799" t="s">
        <v>4281</v>
      </c>
      <c r="L758" s="818" t="s">
        <v>12235</v>
      </c>
      <c r="M758" s="818" t="s">
        <v>12809</v>
      </c>
      <c r="N758" s="820">
        <v>45644.0</v>
      </c>
      <c r="O758" s="823"/>
    </row>
    <row r="759" ht="15.0" customHeight="1">
      <c r="A759" s="789">
        <v>45643.0</v>
      </c>
      <c r="B759" s="790" t="s">
        <v>13081</v>
      </c>
      <c r="C759" s="791" t="s">
        <v>13082</v>
      </c>
      <c r="D759" s="861" t="s">
        <v>3975</v>
      </c>
      <c r="E759" s="792" t="str">
        <f>IFERROR(VLOOKUP(D759,Stock,3,FALSE),"")</f>
        <v>Mitsubishi Xpander 17-21 / Livina 19- 2nd Gen</v>
      </c>
      <c r="F759" s="791">
        <v>5.0</v>
      </c>
      <c r="G759" s="842">
        <v>420000.0</v>
      </c>
      <c r="H759" s="811">
        <f t="shared" si="15"/>
        <v>2100000</v>
      </c>
      <c r="I759" s="809">
        <f t="shared" si="34"/>
        <v>2100000</v>
      </c>
      <c r="J759" s="819"/>
      <c r="K759" s="799" t="s">
        <v>4281</v>
      </c>
      <c r="L759" s="818" t="s">
        <v>12235</v>
      </c>
      <c r="M759" s="818" t="s">
        <v>12809</v>
      </c>
      <c r="N759" s="820">
        <v>45644.0</v>
      </c>
      <c r="O759" s="823"/>
    </row>
    <row r="760" ht="15.0" customHeight="1">
      <c r="A760" s="789">
        <v>45643.0</v>
      </c>
      <c r="B760" s="790" t="s">
        <v>13081</v>
      </c>
      <c r="C760" s="791" t="s">
        <v>13082</v>
      </c>
      <c r="D760" s="861" t="s">
        <v>10004</v>
      </c>
      <c r="E760" s="792" t="str">
        <f>IFERROR(VLOOKUP(D760,Stock,3,FALSE),"")</f>
        <v>Mitsubishi Xpander 22-  (Mitsubishi)</v>
      </c>
      <c r="F760" s="791">
        <v>5.0</v>
      </c>
      <c r="G760" s="842">
        <v>544472.0</v>
      </c>
      <c r="H760" s="811">
        <f t="shared" si="15"/>
        <v>2722360</v>
      </c>
      <c r="I760" s="809">
        <f t="shared" si="34"/>
        <v>2722360</v>
      </c>
      <c r="J760" s="819"/>
      <c r="K760" s="799" t="s">
        <v>4281</v>
      </c>
      <c r="L760" s="818" t="s">
        <v>12235</v>
      </c>
      <c r="M760" s="818" t="s">
        <v>12809</v>
      </c>
      <c r="N760" s="820">
        <v>45644.0</v>
      </c>
      <c r="O760" s="823"/>
    </row>
    <row r="761" ht="15.0" customHeight="1">
      <c r="A761" s="789">
        <v>45643.0</v>
      </c>
      <c r="B761" s="790" t="s">
        <v>13083</v>
      </c>
      <c r="C761" s="791" t="s">
        <v>13082</v>
      </c>
      <c r="D761" s="791" t="s">
        <v>2617</v>
      </c>
      <c r="E761" s="792" t="str">
        <f>IFERROR(VLOOKUP(D761,Stock,3,FALSE),"")</f>
        <v>Mitsubishi Pajero 16- (Mitsubishi)</v>
      </c>
      <c r="F761" s="791">
        <v>1.0</v>
      </c>
      <c r="G761" s="842">
        <v>1710000.0</v>
      </c>
      <c r="H761" s="811">
        <f t="shared" si="15"/>
        <v>1710000</v>
      </c>
      <c r="I761" s="809">
        <f t="shared" si="34"/>
        <v>1710000</v>
      </c>
      <c r="J761" s="819"/>
      <c r="K761" s="799" t="s">
        <v>4281</v>
      </c>
      <c r="L761" s="818" t="s">
        <v>12235</v>
      </c>
      <c r="M761" s="818" t="s">
        <v>12809</v>
      </c>
      <c r="N761" s="820">
        <v>45644.0</v>
      </c>
      <c r="O761" s="823"/>
    </row>
    <row r="762" ht="15.0" customHeight="1">
      <c r="A762" s="789">
        <v>45643.0</v>
      </c>
      <c r="B762" s="790" t="s">
        <v>13083</v>
      </c>
      <c r="C762" s="791" t="s">
        <v>13082</v>
      </c>
      <c r="D762" s="60" t="s">
        <v>13084</v>
      </c>
      <c r="E762" s="792" t="str">
        <f>IFERROR(VLOOKUP(D762,Stock,3,FALSE),"")</f>
        <v>Mitsubishi Pajero 20- (2 Sensor / □ [] ) (Mitsubishi)</v>
      </c>
      <c r="F762" s="791">
        <v>1.0</v>
      </c>
      <c r="G762" s="842">
        <v>5420000.0</v>
      </c>
      <c r="H762" s="811">
        <f t="shared" si="15"/>
        <v>5420000</v>
      </c>
      <c r="I762" s="809">
        <f t="shared" si="34"/>
        <v>5420000</v>
      </c>
      <c r="J762" s="819"/>
      <c r="K762" s="799" t="s">
        <v>4281</v>
      </c>
      <c r="L762" s="818" t="s">
        <v>12235</v>
      </c>
      <c r="M762" s="818" t="s">
        <v>12809</v>
      </c>
      <c r="N762" s="820">
        <v>45644.0</v>
      </c>
      <c r="O762" s="823"/>
    </row>
    <row r="763" ht="15.0" customHeight="1">
      <c r="A763" s="789">
        <v>45643.0</v>
      </c>
      <c r="B763" s="790" t="s">
        <v>13083</v>
      </c>
      <c r="C763" s="791" t="s">
        <v>13082</v>
      </c>
      <c r="D763" s="60" t="s">
        <v>5100</v>
      </c>
      <c r="E763" s="792" t="str">
        <f>IFERROR(VLOOKUP(D763,Stock,3,FALSE),"")</f>
        <v>Mitsubishi Pajero 20- (1 Sensor / □ ) (Mitsubishi)</v>
      </c>
      <c r="F763" s="791">
        <v>1.0</v>
      </c>
      <c r="G763" s="842">
        <v>2360000.0</v>
      </c>
      <c r="H763" s="811">
        <f t="shared" si="15"/>
        <v>2360000</v>
      </c>
      <c r="I763" s="809">
        <f t="shared" si="34"/>
        <v>2360000</v>
      </c>
      <c r="J763" s="819"/>
      <c r="K763" s="799" t="s">
        <v>4281</v>
      </c>
      <c r="L763" s="818" t="s">
        <v>12235</v>
      </c>
      <c r="M763" s="818" t="s">
        <v>12809</v>
      </c>
      <c r="N763" s="820">
        <v>45644.0</v>
      </c>
      <c r="O763" s="823"/>
    </row>
    <row r="764" ht="15.0" customHeight="1">
      <c r="A764" s="789">
        <v>45643.0</v>
      </c>
      <c r="B764" s="790" t="s">
        <v>13081</v>
      </c>
      <c r="C764" s="791" t="s">
        <v>13082</v>
      </c>
      <c r="D764" s="791" t="s">
        <v>7405</v>
      </c>
      <c r="E764" s="792" t="str">
        <f>IFERROR(VLOOKUP(D764,Stock,3,FALSE),"")</f>
        <v>Mitsubishi Pajero 16-</v>
      </c>
      <c r="F764" s="791">
        <v>0.0</v>
      </c>
      <c r="G764" s="842">
        <v>1050000.0</v>
      </c>
      <c r="H764" s="811">
        <f t="shared" si="15"/>
        <v>0</v>
      </c>
      <c r="I764" s="809">
        <f t="shared" si="34"/>
        <v>0</v>
      </c>
      <c r="J764" s="819"/>
      <c r="K764" s="799" t="s">
        <v>4281</v>
      </c>
      <c r="L764" s="818" t="s">
        <v>12235</v>
      </c>
      <c r="M764" s="818" t="s">
        <v>12809</v>
      </c>
      <c r="N764" s="820">
        <v>45644.0</v>
      </c>
      <c r="O764" s="823"/>
    </row>
    <row r="765" ht="15.0" customHeight="1">
      <c r="A765" s="789">
        <v>45644.0</v>
      </c>
      <c r="B765" s="790" t="s">
        <v>13085</v>
      </c>
      <c r="C765" s="791" t="s">
        <v>3076</v>
      </c>
      <c r="D765" s="791" t="s">
        <v>3186</v>
      </c>
      <c r="E765" s="792" t="str">
        <f>IFERROR(VLOOKUP(D765,Stock,3,FALSE),"")</f>
        <v>Daihatsu Gran Max / Luxio 07-</v>
      </c>
      <c r="F765" s="791">
        <v>10.0</v>
      </c>
      <c r="G765" s="842">
        <v>396825.0</v>
      </c>
      <c r="H765" s="811">
        <f t="shared" si="15"/>
        <v>3968250</v>
      </c>
      <c r="I765" s="809">
        <f t="shared" si="34"/>
        <v>3968250</v>
      </c>
      <c r="J765" s="819"/>
      <c r="K765" s="799" t="s">
        <v>4258</v>
      </c>
      <c r="L765" s="818" t="s">
        <v>12235</v>
      </c>
      <c r="M765" s="818" t="s">
        <v>12809</v>
      </c>
      <c r="N765" s="820">
        <v>45644.0</v>
      </c>
      <c r="O765" s="823"/>
    </row>
    <row r="766" ht="15.0" customHeight="1">
      <c r="A766" s="789">
        <v>45644.0</v>
      </c>
      <c r="B766" s="790" t="s">
        <v>13085</v>
      </c>
      <c r="C766" s="791" t="s">
        <v>3076</v>
      </c>
      <c r="D766" s="791" t="s">
        <v>6156</v>
      </c>
      <c r="E766" s="792" t="str">
        <f>IFERROR(VLOOKUP(D766,Stock,3,FALSE),"")</f>
        <v>Toyota Voxy 17- (Hitam)</v>
      </c>
      <c r="F766" s="791">
        <v>1.0</v>
      </c>
      <c r="G766" s="842">
        <v>2075250.0</v>
      </c>
      <c r="H766" s="811">
        <f t="shared" si="15"/>
        <v>2075250</v>
      </c>
      <c r="I766" s="809">
        <f t="shared" si="34"/>
        <v>2075250</v>
      </c>
      <c r="J766" s="819"/>
      <c r="K766" s="799" t="s">
        <v>4258</v>
      </c>
      <c r="L766" s="818" t="s">
        <v>12235</v>
      </c>
      <c r="M766" s="818" t="s">
        <v>12809</v>
      </c>
      <c r="N766" s="820">
        <v>45644.0</v>
      </c>
      <c r="O766" s="823"/>
    </row>
    <row r="767" ht="15.0" customHeight="1">
      <c r="A767" s="789">
        <v>45645.0</v>
      </c>
      <c r="B767" s="790" t="s">
        <v>13086</v>
      </c>
      <c r="C767" s="791" t="s">
        <v>13087</v>
      </c>
      <c r="D767" s="791" t="s">
        <v>6212</v>
      </c>
      <c r="E767" s="792" t="str">
        <f>IFERROR(VLOOKUP(D767,Stock,3,FALSE),"")</f>
        <v>Honda Jazz 07-13 2nd Gen (Honda)</v>
      </c>
      <c r="F767" s="791">
        <v>1.0</v>
      </c>
      <c r="G767" s="842">
        <v>2125000.0</v>
      </c>
      <c r="H767" s="811">
        <f t="shared" si="15"/>
        <v>2125000</v>
      </c>
      <c r="I767" s="809"/>
      <c r="J767" s="819"/>
      <c r="K767" s="799" t="s">
        <v>4258</v>
      </c>
      <c r="L767" s="818" t="s">
        <v>12235</v>
      </c>
      <c r="M767" s="818" t="s">
        <v>6675</v>
      </c>
      <c r="N767" s="820">
        <v>45645.0</v>
      </c>
      <c r="O767" s="823"/>
    </row>
    <row r="768" ht="15.0" customHeight="1">
      <c r="A768" s="789">
        <v>45642.0</v>
      </c>
      <c r="B768" s="790">
        <v>2412464.0</v>
      </c>
      <c r="C768" s="791" t="s">
        <v>11484</v>
      </c>
      <c r="D768" s="791" t="s">
        <v>2679</v>
      </c>
      <c r="E768" s="792" t="str">
        <f>IFERROR(VLOOKUP(D768,Stock,3,FALSE),"")</f>
        <v>Honda CR-V 95-01 1st Gen</v>
      </c>
      <c r="F768" s="791">
        <v>2.0</v>
      </c>
      <c r="G768" s="842">
        <v>801900.0</v>
      </c>
      <c r="H768" s="851">
        <f t="shared" si="15"/>
        <v>1603800</v>
      </c>
      <c r="I768" s="809">
        <f t="shared" ref="I768:I787" si="35">H768</f>
        <v>1603800</v>
      </c>
      <c r="J768" s="844">
        <v>45702.0</v>
      </c>
      <c r="K768" s="799" t="s">
        <v>4258</v>
      </c>
      <c r="L768" s="818" t="s">
        <v>12235</v>
      </c>
      <c r="M768" s="818" t="s">
        <v>6675</v>
      </c>
      <c r="N768" s="839">
        <v>45700.0</v>
      </c>
      <c r="O768" s="823"/>
    </row>
    <row r="769" ht="15.0" customHeight="1">
      <c r="A769" s="789">
        <v>45642.0</v>
      </c>
      <c r="B769" s="790">
        <v>2412431.0</v>
      </c>
      <c r="C769" s="791" t="s">
        <v>11484</v>
      </c>
      <c r="D769" s="791" t="s">
        <v>2657</v>
      </c>
      <c r="E769" s="792" t="str">
        <f>IFERROR(VLOOKUP(D769,Stock,3,FALSE),"")</f>
        <v>Kia Picanto 11-16 2nd Gen</v>
      </c>
      <c r="F769" s="791">
        <v>2.0</v>
      </c>
      <c r="G769" s="842">
        <v>707850.0</v>
      </c>
      <c r="H769" s="851">
        <f t="shared" si="15"/>
        <v>1415700</v>
      </c>
      <c r="I769" s="809">
        <f t="shared" si="35"/>
        <v>1415700</v>
      </c>
      <c r="J769" s="844">
        <v>45702.0</v>
      </c>
      <c r="K769" s="799" t="s">
        <v>4258</v>
      </c>
      <c r="L769" s="818" t="s">
        <v>12235</v>
      </c>
      <c r="M769" s="818" t="s">
        <v>6675</v>
      </c>
      <c r="N769" s="839">
        <v>45700.0</v>
      </c>
      <c r="O769" s="823"/>
    </row>
    <row r="770" ht="15.0" customHeight="1">
      <c r="A770" s="789">
        <v>45642.0</v>
      </c>
      <c r="B770" s="790">
        <v>2412431.0</v>
      </c>
      <c r="C770" s="791" t="s">
        <v>11484</v>
      </c>
      <c r="D770" s="791" t="s">
        <v>7767</v>
      </c>
      <c r="E770" s="792" t="str">
        <f>IFERROR(VLOOKUP(D770,Stock,3,FALSE),"")</f>
        <v>Kia Picanto 04-11 1st Gen</v>
      </c>
      <c r="F770" s="791">
        <v>2.0</v>
      </c>
      <c r="G770" s="842">
        <v>1007000.0</v>
      </c>
      <c r="H770" s="851">
        <f t="shared" si="15"/>
        <v>2014000</v>
      </c>
      <c r="I770" s="809">
        <f t="shared" si="35"/>
        <v>2014000</v>
      </c>
      <c r="J770" s="844">
        <v>45702.0</v>
      </c>
      <c r="K770" s="799" t="s">
        <v>4258</v>
      </c>
      <c r="L770" s="818" t="s">
        <v>12235</v>
      </c>
      <c r="M770" s="818" t="s">
        <v>6675</v>
      </c>
      <c r="N770" s="839">
        <v>45700.0</v>
      </c>
      <c r="O770" s="823"/>
    </row>
    <row r="771" ht="15.0" customHeight="1">
      <c r="A771" s="789">
        <v>45649.0</v>
      </c>
      <c r="B771" s="790">
        <v>2412660.0</v>
      </c>
      <c r="C771" s="791" t="s">
        <v>11484</v>
      </c>
      <c r="D771" s="791" t="s">
        <v>6279</v>
      </c>
      <c r="E771" s="792" t="str">
        <f>IFERROR(VLOOKUP(D771,Stock,3,FALSE),"")</f>
        <v>Suzuki Grand Escudo 00-05</v>
      </c>
      <c r="F771" s="791">
        <v>3.0</v>
      </c>
      <c r="G771" s="842">
        <v>837650.0</v>
      </c>
      <c r="H771" s="851">
        <f t="shared" si="15"/>
        <v>2512950</v>
      </c>
      <c r="I771" s="809">
        <f t="shared" si="35"/>
        <v>2512950</v>
      </c>
      <c r="J771" s="823"/>
      <c r="K771" s="799" t="s">
        <v>4258</v>
      </c>
      <c r="L771" s="818" t="s">
        <v>12235</v>
      </c>
      <c r="M771" s="818" t="s">
        <v>6675</v>
      </c>
      <c r="N771" s="839">
        <v>45709.0</v>
      </c>
      <c r="O771" s="823"/>
    </row>
    <row r="772" ht="15.0" customHeight="1">
      <c r="A772" s="789">
        <v>45649.0</v>
      </c>
      <c r="B772" s="790">
        <v>2412649.0</v>
      </c>
      <c r="C772" s="791" t="s">
        <v>11484</v>
      </c>
      <c r="D772" s="791" t="s">
        <v>6264</v>
      </c>
      <c r="E772" s="792" t="str">
        <f>IFERROR(VLOOKUP(D772,Stock,3,FALSE),"")</f>
        <v>Toyota Vios 02-07 XP40 1st Gen</v>
      </c>
      <c r="F772" s="791">
        <v>1.0</v>
      </c>
      <c r="G772" s="842">
        <v>632000.0</v>
      </c>
      <c r="H772" s="851">
        <f t="shared" si="15"/>
        <v>632000</v>
      </c>
      <c r="I772" s="809">
        <f t="shared" si="35"/>
        <v>632000</v>
      </c>
      <c r="J772" s="844">
        <v>45709.0</v>
      </c>
      <c r="K772" s="799" t="s">
        <v>4258</v>
      </c>
      <c r="L772" s="818" t="s">
        <v>12235</v>
      </c>
      <c r="M772" s="818" t="s">
        <v>6675</v>
      </c>
      <c r="N772" s="839">
        <v>45709.0</v>
      </c>
      <c r="O772" s="823"/>
    </row>
    <row r="773" ht="15.0" customHeight="1">
      <c r="A773" s="789">
        <v>45649.0</v>
      </c>
      <c r="B773" s="790">
        <v>2412649.0</v>
      </c>
      <c r="C773" s="791" t="s">
        <v>11484</v>
      </c>
      <c r="D773" s="791" t="s">
        <v>13088</v>
      </c>
      <c r="E773" s="792" t="str">
        <f>IFERROR(VLOOKUP(D773,Stock,3,FALSE),"")</f>
        <v>Suzuki Baleno 01-07 Next Gen</v>
      </c>
      <c r="F773" s="791">
        <v>1.0</v>
      </c>
      <c r="G773" s="842">
        <v>561550.0</v>
      </c>
      <c r="H773" s="851">
        <f t="shared" si="15"/>
        <v>561550</v>
      </c>
      <c r="I773" s="809">
        <f t="shared" si="35"/>
        <v>561550</v>
      </c>
      <c r="J773" s="844">
        <v>45709.0</v>
      </c>
      <c r="K773" s="799" t="s">
        <v>4258</v>
      </c>
      <c r="L773" s="818" t="s">
        <v>12235</v>
      </c>
      <c r="M773" s="818" t="s">
        <v>6675</v>
      </c>
      <c r="N773" s="839">
        <v>45709.0</v>
      </c>
      <c r="O773" s="823"/>
    </row>
    <row r="774" ht="15.0" customHeight="1">
      <c r="A774" s="789">
        <v>45649.0</v>
      </c>
      <c r="B774" s="790">
        <v>2412646.0</v>
      </c>
      <c r="C774" s="791" t="s">
        <v>11484</v>
      </c>
      <c r="D774" s="791" t="s">
        <v>13089</v>
      </c>
      <c r="E774" s="792" t="str">
        <f>IFERROR(VLOOKUP(D774,Stock,3,FALSE),"")</f>
        <v>Kia Picanto 11-16 2nd Gen</v>
      </c>
      <c r="F774" s="791">
        <v>2.0</v>
      </c>
      <c r="G774" s="842">
        <v>1007000.0</v>
      </c>
      <c r="H774" s="851">
        <f t="shared" si="15"/>
        <v>2014000</v>
      </c>
      <c r="I774" s="809">
        <f t="shared" si="35"/>
        <v>2014000</v>
      </c>
      <c r="J774" s="844">
        <v>45709.0</v>
      </c>
      <c r="K774" s="799" t="s">
        <v>4258</v>
      </c>
      <c r="L774" s="818" t="s">
        <v>12235</v>
      </c>
      <c r="M774" s="818" t="s">
        <v>6675</v>
      </c>
      <c r="N774" s="839">
        <v>45709.0</v>
      </c>
      <c r="O774" s="823"/>
    </row>
    <row r="775" ht="15.0" customHeight="1">
      <c r="A775" s="789">
        <v>45649.0</v>
      </c>
      <c r="B775" s="790">
        <v>2412646.0</v>
      </c>
      <c r="C775" s="791" t="s">
        <v>11484</v>
      </c>
      <c r="D775" s="791" t="s">
        <v>13090</v>
      </c>
      <c r="E775" s="792" t="str">
        <f>IFERROR(VLOOKUP(D775,Stock,3,FALSE),"")</f>
        <v>Kia Picanto 04-11 1st Gen</v>
      </c>
      <c r="F775" s="791">
        <v>1.0</v>
      </c>
      <c r="G775" s="842">
        <v>398750.0</v>
      </c>
      <c r="H775" s="851">
        <f t="shared" si="15"/>
        <v>398750</v>
      </c>
      <c r="I775" s="809">
        <f t="shared" si="35"/>
        <v>398750</v>
      </c>
      <c r="J775" s="844">
        <v>45709.0</v>
      </c>
      <c r="K775" s="799" t="s">
        <v>4258</v>
      </c>
      <c r="L775" s="818" t="s">
        <v>12235</v>
      </c>
      <c r="M775" s="818" t="s">
        <v>6675</v>
      </c>
      <c r="N775" s="839">
        <v>45709.0</v>
      </c>
      <c r="O775" s="823"/>
    </row>
    <row r="776" ht="15.0" customHeight="1">
      <c r="A776" s="789">
        <v>45649.0</v>
      </c>
      <c r="B776" s="790">
        <v>2412646.0</v>
      </c>
      <c r="C776" s="791" t="s">
        <v>11484</v>
      </c>
      <c r="D776" s="791" t="s">
        <v>13091</v>
      </c>
      <c r="E776" s="792" t="str">
        <f>IFERROR(VLOOKUP(D776,Stock,3,FALSE),"")</f>
        <v>Kia Picanto 04-11 1st Gen</v>
      </c>
      <c r="F776" s="791">
        <v>1.0</v>
      </c>
      <c r="G776" s="842">
        <v>398750.0</v>
      </c>
      <c r="H776" s="851">
        <f t="shared" si="15"/>
        <v>398750</v>
      </c>
      <c r="I776" s="809">
        <f t="shared" si="35"/>
        <v>398750</v>
      </c>
      <c r="J776" s="844">
        <v>45709.0</v>
      </c>
      <c r="K776" s="799" t="s">
        <v>4258</v>
      </c>
      <c r="L776" s="818" t="s">
        <v>12235</v>
      </c>
      <c r="M776" s="818" t="s">
        <v>6675</v>
      </c>
      <c r="N776" s="839">
        <v>45709.0</v>
      </c>
      <c r="O776" s="823"/>
    </row>
    <row r="777" ht="15.0" customHeight="1">
      <c r="A777" s="789">
        <v>45649.0</v>
      </c>
      <c r="B777" s="790">
        <v>2412646.0</v>
      </c>
      <c r="C777" s="791" t="s">
        <v>11484</v>
      </c>
      <c r="D777" s="791" t="s">
        <v>13092</v>
      </c>
      <c r="E777" s="792" t="str">
        <f>IFERROR(VLOOKUP(D777,Stock,3,FALSE),"")</f>
        <v>Kia Picanto 04-11 1st Gen</v>
      </c>
      <c r="F777" s="791">
        <v>1.0</v>
      </c>
      <c r="G777" s="842">
        <v>398750.0</v>
      </c>
      <c r="H777" s="851">
        <f t="shared" si="15"/>
        <v>398750</v>
      </c>
      <c r="I777" s="809">
        <f t="shared" si="35"/>
        <v>398750</v>
      </c>
      <c r="J777" s="844">
        <v>45709.0</v>
      </c>
      <c r="K777" s="799" t="s">
        <v>4258</v>
      </c>
      <c r="L777" s="818" t="s">
        <v>12235</v>
      </c>
      <c r="M777" s="818" t="s">
        <v>6675</v>
      </c>
      <c r="N777" s="839">
        <v>45709.0</v>
      </c>
      <c r="O777" s="823"/>
    </row>
    <row r="778" ht="15.0" customHeight="1">
      <c r="A778" s="789">
        <v>45649.0</v>
      </c>
      <c r="B778" s="790">
        <v>2412646.0</v>
      </c>
      <c r="C778" s="791" t="s">
        <v>11484</v>
      </c>
      <c r="D778" s="791" t="s">
        <v>6164</v>
      </c>
      <c r="E778" s="792" t="str">
        <f>IFERROR(VLOOKUP(D778,Stock,3,FALSE),"")</f>
        <v>Kia Picanto 04-11 1st Gen</v>
      </c>
      <c r="F778" s="791">
        <v>2.0</v>
      </c>
      <c r="G778" s="842">
        <v>398750.0</v>
      </c>
      <c r="H778" s="851">
        <f t="shared" si="15"/>
        <v>797500</v>
      </c>
      <c r="I778" s="809">
        <f t="shared" si="35"/>
        <v>797500</v>
      </c>
      <c r="J778" s="844">
        <v>45709.0</v>
      </c>
      <c r="K778" s="799" t="s">
        <v>4258</v>
      </c>
      <c r="L778" s="818" t="s">
        <v>12235</v>
      </c>
      <c r="M778" s="818" t="s">
        <v>6675</v>
      </c>
      <c r="N778" s="839">
        <v>45709.0</v>
      </c>
      <c r="O778" s="823"/>
    </row>
    <row r="779" ht="15.0" customHeight="1">
      <c r="A779" s="789">
        <v>45649.0</v>
      </c>
      <c r="B779" s="790">
        <v>2412646.0</v>
      </c>
      <c r="C779" s="791" t="s">
        <v>11484</v>
      </c>
      <c r="D779" s="791" t="s">
        <v>13093</v>
      </c>
      <c r="E779" s="792" t="str">
        <f>IFERROR(VLOOKUP(D779,Stock,3,FALSE),"")</f>
        <v>BMW 3 Series 98-06 E46</v>
      </c>
      <c r="F779" s="791">
        <v>2.0</v>
      </c>
      <c r="G779" s="842">
        <v>1178100.0</v>
      </c>
      <c r="H779" s="851">
        <f t="shared" si="15"/>
        <v>2356200</v>
      </c>
      <c r="I779" s="809">
        <f t="shared" si="35"/>
        <v>2356200</v>
      </c>
      <c r="J779" s="844">
        <v>45709.0</v>
      </c>
      <c r="K779" s="799" t="s">
        <v>4258</v>
      </c>
      <c r="L779" s="818" t="s">
        <v>12235</v>
      </c>
      <c r="M779" s="818" t="s">
        <v>6675</v>
      </c>
      <c r="N779" s="839">
        <v>45709.0</v>
      </c>
      <c r="O779" s="823"/>
    </row>
    <row r="780" ht="15.0" customHeight="1">
      <c r="A780" s="789">
        <v>45650.0</v>
      </c>
      <c r="B780" s="790">
        <v>2412725.0</v>
      </c>
      <c r="C780" s="791" t="s">
        <v>11484</v>
      </c>
      <c r="D780" s="791" t="s">
        <v>2782</v>
      </c>
      <c r="E780" s="792" t="str">
        <f>IFERROR(VLOOKUP(D780,Stock,3,FALSE),"")</f>
        <v>Mers-Benz E-Class 09-16 W212 (1 Sensor/ □)</v>
      </c>
      <c r="F780" s="791">
        <v>1.0</v>
      </c>
      <c r="G780" s="842">
        <v>2156000.0</v>
      </c>
      <c r="H780" s="851">
        <f t="shared" si="15"/>
        <v>2156000</v>
      </c>
      <c r="I780" s="809">
        <f t="shared" si="35"/>
        <v>2156000</v>
      </c>
      <c r="J780" s="848">
        <v>45710.0</v>
      </c>
      <c r="K780" s="799" t="s">
        <v>4258</v>
      </c>
      <c r="L780" s="818" t="s">
        <v>12235</v>
      </c>
      <c r="M780" s="818" t="s">
        <v>6675</v>
      </c>
      <c r="N780" s="839">
        <v>45709.0</v>
      </c>
      <c r="O780" s="823"/>
    </row>
    <row r="781" ht="15.0" customHeight="1">
      <c r="A781" s="789">
        <v>45650.0</v>
      </c>
      <c r="B781" s="790">
        <v>2412695.0</v>
      </c>
      <c r="C781" s="791" t="s">
        <v>11484</v>
      </c>
      <c r="D781" s="791" t="s">
        <v>6245</v>
      </c>
      <c r="E781" s="792" t="str">
        <f>IFERROR(VLOOKUP(D781,Stock,3,FALSE),"")</f>
        <v>Toyota Altis 06-13 E140 10th Gen</v>
      </c>
      <c r="F781" s="791">
        <v>1.0</v>
      </c>
      <c r="G781" s="842">
        <v>1531750.0</v>
      </c>
      <c r="H781" s="851">
        <f t="shared" si="15"/>
        <v>1531750</v>
      </c>
      <c r="I781" s="809">
        <f t="shared" si="35"/>
        <v>1531750</v>
      </c>
      <c r="J781" s="844">
        <v>45710.0</v>
      </c>
      <c r="K781" s="799" t="s">
        <v>4258</v>
      </c>
      <c r="L781" s="818" t="s">
        <v>12235</v>
      </c>
      <c r="M781" s="818" t="s">
        <v>6675</v>
      </c>
      <c r="N781" s="839">
        <v>45709.0</v>
      </c>
      <c r="O781" s="823"/>
    </row>
    <row r="782" ht="15.0" customHeight="1">
      <c r="A782" s="789">
        <v>45650.0</v>
      </c>
      <c r="B782" s="790">
        <v>2412695.0</v>
      </c>
      <c r="C782" s="791" t="s">
        <v>11484</v>
      </c>
      <c r="D782" s="791" t="s">
        <v>2934</v>
      </c>
      <c r="E782" s="792" t="str">
        <f>IFERROR(VLOOKUP(D782,Stock,3,FALSE),"")</f>
        <v>Peti Kayu</v>
      </c>
      <c r="F782" s="791">
        <v>1.0</v>
      </c>
      <c r="G782" s="842">
        <v>150000.0</v>
      </c>
      <c r="H782" s="851">
        <f t="shared" si="15"/>
        <v>150000</v>
      </c>
      <c r="I782" s="809">
        <f t="shared" si="35"/>
        <v>150000</v>
      </c>
      <c r="J782" s="844">
        <v>45710.0</v>
      </c>
      <c r="K782" s="799" t="s">
        <v>4258</v>
      </c>
      <c r="L782" s="818" t="s">
        <v>12235</v>
      </c>
      <c r="M782" s="818" t="s">
        <v>6675</v>
      </c>
      <c r="N782" s="839">
        <v>45709.0</v>
      </c>
      <c r="O782" s="823"/>
    </row>
    <row r="783" ht="15.0" customHeight="1">
      <c r="A783" s="789">
        <v>45652.0</v>
      </c>
      <c r="B783" s="790">
        <v>2412750.0</v>
      </c>
      <c r="C783" s="791" t="s">
        <v>11484</v>
      </c>
      <c r="D783" s="791" t="s">
        <v>6313</v>
      </c>
      <c r="E783" s="792" t="str">
        <f>IFERROR(VLOOKUP(D783,Stock,3,FALSE),"")</f>
        <v>Mazda CX-9 07-15 1st Gen</v>
      </c>
      <c r="F783" s="791">
        <v>1.0</v>
      </c>
      <c r="G783" s="842">
        <v>2772000.0</v>
      </c>
      <c r="H783" s="851">
        <f t="shared" si="15"/>
        <v>2772000</v>
      </c>
      <c r="I783" s="809">
        <f t="shared" si="35"/>
        <v>2772000</v>
      </c>
      <c r="J783" s="844">
        <v>45712.0</v>
      </c>
      <c r="K783" s="799" t="s">
        <v>4258</v>
      </c>
      <c r="L783" s="818" t="s">
        <v>12235</v>
      </c>
      <c r="M783" s="818" t="s">
        <v>6675</v>
      </c>
      <c r="N783" s="839">
        <v>45709.0</v>
      </c>
      <c r="O783" s="823"/>
    </row>
    <row r="784" ht="15.0" customHeight="1">
      <c r="A784" s="789">
        <v>45652.0</v>
      </c>
      <c r="B784" s="790" t="s">
        <v>13094</v>
      </c>
      <c r="C784" s="791" t="s">
        <v>3091</v>
      </c>
      <c r="D784" s="791" t="s">
        <v>2603</v>
      </c>
      <c r="E784" s="792" t="str">
        <f>IFERROR(VLOOKUP(D784,Stock,3,FALSE),"")</f>
        <v>Mers-Benz C-Class  07-14 W204 4D (1 Sensor/ □)</v>
      </c>
      <c r="F784" s="791">
        <v>2.0</v>
      </c>
      <c r="G784" s="842">
        <v>1518364.4</v>
      </c>
      <c r="H784" s="811">
        <f t="shared" si="15"/>
        <v>3036728.8</v>
      </c>
      <c r="I784" s="809">
        <f t="shared" si="35"/>
        <v>3036728.8</v>
      </c>
      <c r="J784" s="844">
        <v>45712.0</v>
      </c>
      <c r="K784" s="799" t="s">
        <v>4258</v>
      </c>
      <c r="L784" s="818" t="s">
        <v>12235</v>
      </c>
      <c r="M784" s="818" t="s">
        <v>6675</v>
      </c>
      <c r="N784" s="839">
        <v>45716.0</v>
      </c>
      <c r="O784" s="823"/>
    </row>
    <row r="785" ht="15.0" customHeight="1">
      <c r="A785" s="789">
        <v>45656.0</v>
      </c>
      <c r="B785" s="790">
        <v>2412808.0</v>
      </c>
      <c r="C785" s="791" t="s">
        <v>11484</v>
      </c>
      <c r="D785" s="791" t="s">
        <v>6359</v>
      </c>
      <c r="E785" s="792" t="str">
        <f>IFERROR(VLOOKUP(D785,Stock,3,FALSE),"")</f>
        <v>Kia Sportage 10-15 SL [Tipe ada Spoiler]</v>
      </c>
      <c r="F785" s="791">
        <v>1.0</v>
      </c>
      <c r="G785" s="842">
        <v>1413500.0</v>
      </c>
      <c r="H785" s="851">
        <f t="shared" si="15"/>
        <v>1413500</v>
      </c>
      <c r="I785" s="809">
        <f t="shared" si="35"/>
        <v>1413500</v>
      </c>
      <c r="J785" s="844">
        <v>45716.0</v>
      </c>
      <c r="K785" s="799" t="s">
        <v>4258</v>
      </c>
      <c r="L785" s="818" t="s">
        <v>12235</v>
      </c>
      <c r="M785" s="818" t="s">
        <v>6675</v>
      </c>
      <c r="N785" s="839">
        <v>45709.0</v>
      </c>
      <c r="O785" s="823"/>
    </row>
    <row r="786" ht="15.0" customHeight="1">
      <c r="A786" s="789">
        <v>45656.0</v>
      </c>
      <c r="B786" s="790">
        <v>2412808.0</v>
      </c>
      <c r="C786" s="791" t="s">
        <v>11484</v>
      </c>
      <c r="D786" s="791" t="s">
        <v>2944</v>
      </c>
      <c r="E786" s="792" t="str">
        <f>IFERROR(VLOOKUP(D786,Stock,3,FALSE),"")</f>
        <v>Nissan X-Trail 13- T32</v>
      </c>
      <c r="F786" s="791">
        <v>3.0</v>
      </c>
      <c r="G786" s="842">
        <v>1227050.0</v>
      </c>
      <c r="H786" s="851">
        <f t="shared" si="15"/>
        <v>3681150</v>
      </c>
      <c r="I786" s="809">
        <f t="shared" si="35"/>
        <v>3681150</v>
      </c>
      <c r="J786" s="844">
        <v>45716.0</v>
      </c>
      <c r="K786" s="799" t="s">
        <v>4258</v>
      </c>
      <c r="L786" s="818" t="s">
        <v>12235</v>
      </c>
      <c r="M786" s="818" t="s">
        <v>6675</v>
      </c>
      <c r="N786" s="839">
        <v>45709.0</v>
      </c>
      <c r="O786" s="823"/>
    </row>
    <row r="787" ht="15.0" customHeight="1">
      <c r="A787" s="789">
        <v>45656.0</v>
      </c>
      <c r="B787" s="790">
        <v>2412808.0</v>
      </c>
      <c r="C787" s="791" t="s">
        <v>11484</v>
      </c>
      <c r="D787" s="791" t="s">
        <v>3582</v>
      </c>
      <c r="E787" s="792" t="str">
        <f>IFERROR(VLOOKUP(D787,Stock,3,FALSE),"")</f>
        <v>Honda CR-V 12-16 4th Gen</v>
      </c>
      <c r="F787" s="791">
        <v>2.0</v>
      </c>
      <c r="G787" s="842">
        <v>879450.0</v>
      </c>
      <c r="H787" s="851">
        <f t="shared" si="15"/>
        <v>1758900</v>
      </c>
      <c r="I787" s="809">
        <f t="shared" si="35"/>
        <v>1758900</v>
      </c>
      <c r="J787" s="844">
        <v>45716.0</v>
      </c>
      <c r="K787" s="799" t="s">
        <v>4258</v>
      </c>
      <c r="L787" s="818" t="s">
        <v>12235</v>
      </c>
      <c r="M787" s="818" t="s">
        <v>6675</v>
      </c>
      <c r="N787" s="839">
        <v>45709.0</v>
      </c>
      <c r="O787" s="823"/>
    </row>
    <row r="788" ht="15.0" customHeight="1">
      <c r="A788" s="789">
        <v>45656.0</v>
      </c>
      <c r="B788" s="790" t="s">
        <v>13095</v>
      </c>
      <c r="C788" s="791" t="s">
        <v>11484</v>
      </c>
      <c r="D788" s="791" t="s">
        <v>3059</v>
      </c>
      <c r="E788" s="792" t="str">
        <f>IFERROR(VLOOKUP(D788,Stock,3,FALSE),"")</f>
        <v>Sealant Polyurethane XYG Tube</v>
      </c>
      <c r="F788" s="791">
        <v>120.0</v>
      </c>
      <c r="G788" s="842">
        <v>33000.0</v>
      </c>
      <c r="H788" s="851">
        <f t="shared" si="15"/>
        <v>3960000</v>
      </c>
      <c r="I788" s="809"/>
      <c r="J788" s="819"/>
      <c r="K788" s="799" t="s">
        <v>4258</v>
      </c>
      <c r="L788" s="818" t="s">
        <v>12235</v>
      </c>
      <c r="M788" s="818" t="s">
        <v>6675</v>
      </c>
      <c r="N788" s="839">
        <v>45716.0</v>
      </c>
      <c r="O788" s="823"/>
    </row>
    <row r="789" ht="15.0" customHeight="1">
      <c r="A789" s="789">
        <v>45657.0</v>
      </c>
      <c r="B789" s="790">
        <v>2412861.0</v>
      </c>
      <c r="C789" s="791" t="s">
        <v>11484</v>
      </c>
      <c r="D789" s="791" t="s">
        <v>6396</v>
      </c>
      <c r="E789" s="792" t="str">
        <f>IFERROR(VLOOKUP(D789,Stock,3,FALSE),"")</f>
        <v>Geely Panda 09- LC Hatchback</v>
      </c>
      <c r="F789" s="791">
        <v>1.0</v>
      </c>
      <c r="G789" s="842">
        <v>1198450.0</v>
      </c>
      <c r="H789" s="851">
        <f t="shared" si="15"/>
        <v>1198450</v>
      </c>
      <c r="I789" s="809">
        <f t="shared" ref="I789:I796" si="36">H789</f>
        <v>1198450</v>
      </c>
      <c r="J789" s="844">
        <v>45717.0</v>
      </c>
      <c r="K789" s="799" t="s">
        <v>4258</v>
      </c>
      <c r="L789" s="818" t="s">
        <v>12235</v>
      </c>
      <c r="M789" s="818" t="s">
        <v>6675</v>
      </c>
      <c r="N789" s="839">
        <v>45716.0</v>
      </c>
      <c r="O789" s="823"/>
    </row>
    <row r="790" ht="15.0" customHeight="1">
      <c r="A790" s="789">
        <v>45663.0</v>
      </c>
      <c r="B790" s="790">
        <v>2501094.0</v>
      </c>
      <c r="C790" s="791" t="s">
        <v>11484</v>
      </c>
      <c r="D790" s="791" t="s">
        <v>5683</v>
      </c>
      <c r="E790" s="792" t="str">
        <f>IFERROR(VLOOKUP(D790,Stock,3,FALSE),"")</f>
        <v>Wuling Cortez</v>
      </c>
      <c r="F790" s="791">
        <v>2.0</v>
      </c>
      <c r="G790" s="842">
        <v>982850.0</v>
      </c>
      <c r="H790" s="811">
        <f t="shared" si="15"/>
        <v>1965700</v>
      </c>
      <c r="I790" s="809">
        <f t="shared" si="36"/>
        <v>1965700</v>
      </c>
      <c r="J790" s="844">
        <v>45723.0</v>
      </c>
      <c r="K790" s="799" t="s">
        <v>4258</v>
      </c>
      <c r="L790" s="818" t="s">
        <v>12235</v>
      </c>
      <c r="M790" s="818" t="s">
        <v>6675</v>
      </c>
      <c r="N790" s="839">
        <v>45716.0</v>
      </c>
      <c r="O790" s="823"/>
    </row>
    <row r="791" ht="15.0" customHeight="1">
      <c r="A791" s="789">
        <v>45664.0</v>
      </c>
      <c r="B791" s="790" t="s">
        <v>13096</v>
      </c>
      <c r="C791" s="791" t="s">
        <v>12932</v>
      </c>
      <c r="D791" s="791" t="s">
        <v>6465</v>
      </c>
      <c r="E791" s="792" t="str">
        <f>IFERROR(VLOOKUP(D791,Stock,3,FALSE),"")</f>
        <v>Toyota Innova 15- 2nd Gen</v>
      </c>
      <c r="F791" s="791">
        <v>4.0</v>
      </c>
      <c r="G791" s="842">
        <v>446249.8</v>
      </c>
      <c r="H791" s="811">
        <f t="shared" si="15"/>
        <v>1784999.2</v>
      </c>
      <c r="I791" s="809">
        <f t="shared" si="36"/>
        <v>1784999.2</v>
      </c>
      <c r="J791" s="844">
        <v>45695.0</v>
      </c>
      <c r="K791" s="799" t="s">
        <v>4258</v>
      </c>
      <c r="L791" s="818" t="s">
        <v>12235</v>
      </c>
      <c r="M791" s="818" t="s">
        <v>6675</v>
      </c>
      <c r="N791" s="820">
        <v>45694.0</v>
      </c>
      <c r="O791" s="823"/>
    </row>
    <row r="792" ht="15.0" customHeight="1">
      <c r="A792" s="789">
        <v>45664.0</v>
      </c>
      <c r="B792" s="790">
        <v>2501147.0</v>
      </c>
      <c r="C792" s="791" t="s">
        <v>11484</v>
      </c>
      <c r="D792" s="791" t="s">
        <v>2783</v>
      </c>
      <c r="E792" s="792" t="str">
        <f>IFERROR(VLOOKUP(D792,Stock,3,FALSE),"")</f>
        <v>Mers-Benz C-Class 07-14 W204 (1 Sensor/ □)</v>
      </c>
      <c r="F792" s="791">
        <v>3.0</v>
      </c>
      <c r="G792" s="842">
        <v>1799600.0</v>
      </c>
      <c r="H792" s="811">
        <f t="shared" si="15"/>
        <v>5398800</v>
      </c>
      <c r="I792" s="809">
        <f t="shared" si="36"/>
        <v>5398800</v>
      </c>
      <c r="J792" s="844">
        <v>45724.0</v>
      </c>
      <c r="K792" s="799" t="s">
        <v>4258</v>
      </c>
      <c r="L792" s="818" t="s">
        <v>12235</v>
      </c>
      <c r="M792" s="818" t="s">
        <v>6675</v>
      </c>
      <c r="N792" s="820">
        <v>45723.0</v>
      </c>
      <c r="O792" s="823"/>
    </row>
    <row r="793" ht="15.0" customHeight="1">
      <c r="A793" s="789">
        <v>45665.0</v>
      </c>
      <c r="B793" s="790">
        <v>2501212.0</v>
      </c>
      <c r="C793" s="791" t="s">
        <v>11484</v>
      </c>
      <c r="D793" s="791" t="s">
        <v>3201</v>
      </c>
      <c r="E793" s="792" t="str">
        <f>IFERROR(VLOOKUP(D793,Stock,3,FALSE),"")</f>
        <v>Honda Freed 08-16 1st gen</v>
      </c>
      <c r="F793" s="791">
        <v>2.0</v>
      </c>
      <c r="G793" s="818">
        <v>779900.0</v>
      </c>
      <c r="H793" s="811">
        <f t="shared" si="15"/>
        <v>1559800</v>
      </c>
      <c r="I793" s="809">
        <f t="shared" si="36"/>
        <v>1559800</v>
      </c>
      <c r="J793" s="844">
        <v>45725.0</v>
      </c>
      <c r="K793" s="799" t="s">
        <v>4258</v>
      </c>
      <c r="L793" s="818" t="s">
        <v>12235</v>
      </c>
      <c r="M793" s="818" t="s">
        <v>6675</v>
      </c>
      <c r="N793" s="820">
        <v>45723.0</v>
      </c>
      <c r="O793" s="823"/>
    </row>
    <row r="794" ht="15.0" customHeight="1">
      <c r="A794" s="789">
        <v>45665.0</v>
      </c>
      <c r="B794" s="790" t="s">
        <v>13097</v>
      </c>
      <c r="C794" s="791" t="s">
        <v>3091</v>
      </c>
      <c r="D794" s="791" t="s">
        <v>6476</v>
      </c>
      <c r="E794" s="792" t="str">
        <f>IFERROR(VLOOKUP(D794,Stock,3,FALSE),"")</f>
        <v>Mitsubishi Outlander 10-21</v>
      </c>
      <c r="F794" s="791">
        <v>1.0</v>
      </c>
      <c r="G794" s="842">
        <v>551706.4</v>
      </c>
      <c r="H794" s="811">
        <f t="shared" si="15"/>
        <v>551706.4</v>
      </c>
      <c r="I794" s="809">
        <f t="shared" si="36"/>
        <v>551706.4</v>
      </c>
      <c r="J794" s="844">
        <v>45725.0</v>
      </c>
      <c r="K794" s="799" t="s">
        <v>4258</v>
      </c>
      <c r="L794" s="818" t="s">
        <v>12235</v>
      </c>
      <c r="M794" s="818" t="s">
        <v>6675</v>
      </c>
      <c r="N794" s="820">
        <v>45723.0</v>
      </c>
      <c r="O794" s="823"/>
    </row>
    <row r="795" ht="15.0" customHeight="1">
      <c r="A795" s="789">
        <v>45666.0</v>
      </c>
      <c r="B795" s="790" t="s">
        <v>13098</v>
      </c>
      <c r="C795" s="791" t="s">
        <v>12932</v>
      </c>
      <c r="D795" s="791" t="s">
        <v>2825</v>
      </c>
      <c r="E795" s="792" t="str">
        <f>IFERROR(VLOOKUP(D795,Stock,3,FALSE),"")</f>
        <v>Toyota Avanza / Xenia 21- 4th Gen</v>
      </c>
      <c r="F795" s="791">
        <v>2.0</v>
      </c>
      <c r="G795" s="842">
        <v>228650.11</v>
      </c>
      <c r="H795" s="811">
        <f t="shared" si="15"/>
        <v>457300.22</v>
      </c>
      <c r="I795" s="809">
        <f t="shared" si="36"/>
        <v>457300.22</v>
      </c>
      <c r="J795" s="844">
        <v>45697.0</v>
      </c>
      <c r="K795" s="799" t="s">
        <v>4258</v>
      </c>
      <c r="L795" s="818" t="s">
        <v>12235</v>
      </c>
      <c r="M795" s="818" t="s">
        <v>6675</v>
      </c>
      <c r="N795" s="820">
        <v>45694.0</v>
      </c>
      <c r="O795" s="823"/>
    </row>
    <row r="796" ht="15.0" customHeight="1">
      <c r="A796" s="789">
        <v>45666.0</v>
      </c>
      <c r="B796" s="790">
        <v>2501283.0</v>
      </c>
      <c r="C796" s="791" t="s">
        <v>11484</v>
      </c>
      <c r="D796" s="791" t="s">
        <v>6481</v>
      </c>
      <c r="E796" s="792" t="str">
        <f>IFERROR(VLOOKUP(D796,Stock,3,FALSE),"")</f>
        <v>Honda Odyssey 09-13 4th Gen RB3-RB4</v>
      </c>
      <c r="F796" s="791">
        <v>2.0</v>
      </c>
      <c r="G796" s="842">
        <v>1940950.0</v>
      </c>
      <c r="H796" s="811">
        <f t="shared" si="15"/>
        <v>3881900</v>
      </c>
      <c r="I796" s="809">
        <f t="shared" si="36"/>
        <v>3881900</v>
      </c>
      <c r="J796" s="844">
        <v>45726.0</v>
      </c>
      <c r="K796" s="799" t="s">
        <v>4258</v>
      </c>
      <c r="L796" s="818" t="s">
        <v>12235</v>
      </c>
      <c r="M796" s="818" t="s">
        <v>6675</v>
      </c>
      <c r="N796" s="820">
        <v>45723.0</v>
      </c>
      <c r="O796" s="823"/>
    </row>
    <row r="797" ht="15.0" customHeight="1">
      <c r="A797" s="789">
        <v>45667.0</v>
      </c>
      <c r="B797" s="790" t="s">
        <v>13099</v>
      </c>
      <c r="C797" s="791" t="s">
        <v>12963</v>
      </c>
      <c r="D797" s="791" t="s">
        <v>13100</v>
      </c>
      <c r="E797" s="792" t="str">
        <f>IFERROR(VLOOKUP(D797,Stock,3,FALSE),"")</f>
        <v>Suzuki Swift 04-11 1st Gen</v>
      </c>
      <c r="F797" s="791">
        <v>1.0</v>
      </c>
      <c r="G797" s="842">
        <v>990000.0</v>
      </c>
      <c r="H797" s="811">
        <f t="shared" si="15"/>
        <v>990000</v>
      </c>
      <c r="I797" s="809"/>
      <c r="J797" s="819"/>
      <c r="K797" s="799" t="s">
        <v>4258</v>
      </c>
      <c r="L797" s="818" t="s">
        <v>12235</v>
      </c>
      <c r="M797" s="818" t="s">
        <v>6675</v>
      </c>
      <c r="N797" s="839">
        <v>45667.0</v>
      </c>
      <c r="O797" s="823"/>
    </row>
    <row r="798" ht="15.0" customHeight="1">
      <c r="A798" s="789">
        <v>45670.0</v>
      </c>
      <c r="B798" s="790">
        <v>2501335.0</v>
      </c>
      <c r="C798" s="791" t="s">
        <v>11484</v>
      </c>
      <c r="D798" s="791" t="s">
        <v>2725</v>
      </c>
      <c r="E798" s="792" t="str">
        <f>IFERROR(VLOOKUP(D798,Stock,3,FALSE),"")</f>
        <v>Honda Odyssey 99-03 2nd Gen RA6-RA9</v>
      </c>
      <c r="F798" s="791">
        <v>3.0</v>
      </c>
      <c r="G798" s="842">
        <v>1746250.0</v>
      </c>
      <c r="H798" s="811">
        <f t="shared" si="15"/>
        <v>5238750</v>
      </c>
      <c r="I798" s="809">
        <f t="shared" ref="I798:I806" si="37">H798</f>
        <v>5238750</v>
      </c>
      <c r="J798" s="844">
        <v>45730.0</v>
      </c>
      <c r="K798" s="799" t="s">
        <v>4258</v>
      </c>
      <c r="L798" s="818" t="s">
        <v>12235</v>
      </c>
      <c r="M798" s="818" t="s">
        <v>6675</v>
      </c>
      <c r="N798" s="820">
        <v>45723.0</v>
      </c>
      <c r="O798" s="823"/>
    </row>
    <row r="799" ht="15.0" customHeight="1">
      <c r="A799" s="789">
        <v>45671.0</v>
      </c>
      <c r="B799" s="790">
        <v>2501419.0</v>
      </c>
      <c r="C799" s="791" t="s">
        <v>11484</v>
      </c>
      <c r="D799" s="791" t="s">
        <v>6553</v>
      </c>
      <c r="E799" s="792" t="str">
        <f>IFERROR(VLOOKUP(D799,Stock,3,FALSE),"")</f>
        <v>Hino Ranger Louhan 03- / Hino 500</v>
      </c>
      <c r="F799" s="791">
        <v>2.0</v>
      </c>
      <c r="G799" s="842">
        <v>864050.0</v>
      </c>
      <c r="H799" s="811">
        <f t="shared" si="15"/>
        <v>1728100</v>
      </c>
      <c r="I799" s="809">
        <f t="shared" si="37"/>
        <v>1728100</v>
      </c>
      <c r="J799" s="844">
        <v>45731.0</v>
      </c>
      <c r="K799" s="799" t="s">
        <v>4258</v>
      </c>
      <c r="L799" s="818" t="s">
        <v>12235</v>
      </c>
      <c r="M799" s="818" t="s">
        <v>6675</v>
      </c>
      <c r="N799" s="820">
        <v>45723.0</v>
      </c>
      <c r="O799" s="823"/>
    </row>
    <row r="800" ht="15.0" customHeight="1">
      <c r="A800" s="789">
        <v>45671.0</v>
      </c>
      <c r="B800" s="790">
        <v>2501419.0</v>
      </c>
      <c r="C800" s="791" t="s">
        <v>11484</v>
      </c>
      <c r="D800" s="791" t="s">
        <v>6555</v>
      </c>
      <c r="E800" s="792" t="str">
        <f>IFERROR(VLOOKUP(D800,Stock,3,FALSE),"")</f>
        <v>Hino Ranger Louhan 03- / Hino 500 (MULIA)</v>
      </c>
      <c r="F800" s="791">
        <v>2.0</v>
      </c>
      <c r="G800" s="842">
        <v>261250.0</v>
      </c>
      <c r="H800" s="811">
        <f t="shared" si="15"/>
        <v>522500</v>
      </c>
      <c r="I800" s="809">
        <f t="shared" si="37"/>
        <v>522500</v>
      </c>
      <c r="J800" s="844">
        <v>45731.0</v>
      </c>
      <c r="K800" s="799" t="s">
        <v>4258</v>
      </c>
      <c r="L800" s="818" t="s">
        <v>12235</v>
      </c>
      <c r="M800" s="818" t="s">
        <v>6675</v>
      </c>
      <c r="N800" s="820">
        <v>45723.0</v>
      </c>
      <c r="O800" s="823"/>
    </row>
    <row r="801" ht="15.0" customHeight="1">
      <c r="A801" s="789">
        <v>45671.0</v>
      </c>
      <c r="B801" s="790">
        <v>2501402.0</v>
      </c>
      <c r="C801" s="791" t="s">
        <v>11484</v>
      </c>
      <c r="D801" s="791" t="s">
        <v>9561</v>
      </c>
      <c r="E801" s="792" t="str">
        <f>IFERROR(VLOOKUP(D801,Stock,3,FALSE),"")</f>
        <v>Mitsubishi Galant 96-03 YC/EA2A 8th Gen (Hiu)</v>
      </c>
      <c r="F801" s="791">
        <v>1.0</v>
      </c>
      <c r="G801" s="842">
        <v>1059300.0</v>
      </c>
      <c r="H801" s="811">
        <f t="shared" si="15"/>
        <v>1059300</v>
      </c>
      <c r="I801" s="809">
        <f t="shared" si="37"/>
        <v>1059300</v>
      </c>
      <c r="J801" s="844">
        <v>45731.0</v>
      </c>
      <c r="K801" s="799" t="s">
        <v>4258</v>
      </c>
      <c r="L801" s="818" t="s">
        <v>12235</v>
      </c>
      <c r="M801" s="818" t="s">
        <v>6675</v>
      </c>
      <c r="N801" s="820">
        <v>45723.0</v>
      </c>
      <c r="O801" s="823"/>
    </row>
    <row r="802" ht="15.0" customHeight="1">
      <c r="A802" s="789">
        <v>45672.0</v>
      </c>
      <c r="B802" s="790">
        <v>2501447.0</v>
      </c>
      <c r="C802" s="791" t="s">
        <v>11484</v>
      </c>
      <c r="D802" s="791" t="s">
        <v>2716</v>
      </c>
      <c r="E802" s="792" t="str">
        <f>IFERROR(VLOOKUP(D802,Stock,3,FALSE),"")</f>
        <v>Mitsubishi Canter FE700 01- (PS110,125)</v>
      </c>
      <c r="F802" s="791">
        <v>2.0</v>
      </c>
      <c r="G802" s="842">
        <v>464200.0</v>
      </c>
      <c r="H802" s="811">
        <f t="shared" si="15"/>
        <v>928400</v>
      </c>
      <c r="I802" s="809">
        <f t="shared" si="37"/>
        <v>928400</v>
      </c>
      <c r="J802" s="844">
        <v>45732.0</v>
      </c>
      <c r="K802" s="799" t="s">
        <v>4258</v>
      </c>
      <c r="L802" s="818" t="s">
        <v>12235</v>
      </c>
      <c r="M802" s="818" t="s">
        <v>6675</v>
      </c>
      <c r="N802" s="820">
        <v>45723.0</v>
      </c>
      <c r="O802" s="823"/>
    </row>
    <row r="803" ht="15.0" customHeight="1">
      <c r="A803" s="789">
        <v>45672.0</v>
      </c>
      <c r="B803" s="790" t="s">
        <v>13101</v>
      </c>
      <c r="C803" s="791" t="s">
        <v>3091</v>
      </c>
      <c r="D803" s="791" t="s">
        <v>2623</v>
      </c>
      <c r="E803" s="792" t="str">
        <f>IFERROR(VLOOKUP(D803,Stock,3,FALSE),"")</f>
        <v>Honda Civic 05-11 8th Gen (Civic Batman FD)</v>
      </c>
      <c r="F803" s="791">
        <v>2.0</v>
      </c>
      <c r="G803" s="842">
        <v>1200000.0</v>
      </c>
      <c r="H803" s="811">
        <f t="shared" si="15"/>
        <v>2400000</v>
      </c>
      <c r="I803" s="809">
        <f t="shared" si="37"/>
        <v>2400000</v>
      </c>
      <c r="J803" s="844">
        <v>45732.0</v>
      </c>
      <c r="K803" s="799" t="s">
        <v>4258</v>
      </c>
      <c r="L803" s="818" t="s">
        <v>12235</v>
      </c>
      <c r="M803" s="818" t="s">
        <v>6675</v>
      </c>
      <c r="N803" s="820">
        <v>45723.0</v>
      </c>
      <c r="O803" s="823"/>
    </row>
    <row r="804" ht="15.0" customHeight="1">
      <c r="A804" s="789">
        <v>45674.0</v>
      </c>
      <c r="B804" s="790">
        <v>2501575.0</v>
      </c>
      <c r="C804" s="791" t="s">
        <v>11484</v>
      </c>
      <c r="D804" s="791" t="s">
        <v>6581</v>
      </c>
      <c r="E804" s="792" t="str">
        <f>IFERROR(VLOOKUP(D804,Stock,3,FALSE),"")</f>
        <v>Mitsubishi Galant 96-03 YC/EA2A 8th Gen (Hiu)</v>
      </c>
      <c r="F804" s="791">
        <v>1.0</v>
      </c>
      <c r="G804" s="842">
        <v>976800.0</v>
      </c>
      <c r="H804" s="811">
        <f t="shared" si="15"/>
        <v>976800</v>
      </c>
      <c r="I804" s="809">
        <f t="shared" si="37"/>
        <v>976800</v>
      </c>
      <c r="J804" s="844">
        <v>45734.0</v>
      </c>
      <c r="K804" s="799" t="s">
        <v>4258</v>
      </c>
      <c r="L804" s="818" t="s">
        <v>12235</v>
      </c>
      <c r="M804" s="818" t="s">
        <v>6675</v>
      </c>
      <c r="N804" s="820">
        <v>45723.0</v>
      </c>
      <c r="O804" s="823"/>
    </row>
    <row r="805" ht="15.0" customHeight="1">
      <c r="A805" s="789">
        <v>45677.0</v>
      </c>
      <c r="B805" s="790">
        <v>2501593.0</v>
      </c>
      <c r="C805" s="791" t="s">
        <v>11484</v>
      </c>
      <c r="D805" s="791" t="s">
        <v>5241</v>
      </c>
      <c r="E805" s="792" t="str">
        <f>IFERROR(VLOOKUP(D805,Stock,3,FALSE),"")</f>
        <v>Honda Brio 18-</v>
      </c>
      <c r="F805" s="791">
        <v>2.0</v>
      </c>
      <c r="G805" s="842">
        <v>462000.0</v>
      </c>
      <c r="H805" s="811">
        <f t="shared" si="15"/>
        <v>924000</v>
      </c>
      <c r="I805" s="809">
        <f t="shared" si="37"/>
        <v>924000</v>
      </c>
      <c r="J805" s="844">
        <v>45737.0</v>
      </c>
      <c r="K805" s="799" t="s">
        <v>4258</v>
      </c>
      <c r="L805" s="818" t="s">
        <v>12235</v>
      </c>
      <c r="M805" s="818" t="s">
        <v>6675</v>
      </c>
      <c r="N805" s="820">
        <v>45723.0</v>
      </c>
      <c r="O805" s="823"/>
    </row>
    <row r="806" ht="15.0" customHeight="1">
      <c r="A806" s="789">
        <v>45677.0</v>
      </c>
      <c r="B806" s="790">
        <v>2501606.0</v>
      </c>
      <c r="C806" s="791" t="s">
        <v>11484</v>
      </c>
      <c r="D806" s="791" t="s">
        <v>2625</v>
      </c>
      <c r="E806" s="792" t="str">
        <f>IFERROR(VLOOKUP(D806,Stock,3,FALSE),"")</f>
        <v>Honda Civic 16- 10th Gen</v>
      </c>
      <c r="F806" s="791">
        <v>2.0</v>
      </c>
      <c r="G806" s="842">
        <v>1287550.0</v>
      </c>
      <c r="H806" s="811">
        <f t="shared" si="15"/>
        <v>2575100</v>
      </c>
      <c r="I806" s="809">
        <f t="shared" si="37"/>
        <v>2575100</v>
      </c>
      <c r="J806" s="844">
        <v>45737.0</v>
      </c>
      <c r="K806" s="799" t="s">
        <v>4258</v>
      </c>
      <c r="L806" s="818" t="s">
        <v>12235</v>
      </c>
      <c r="M806" s="818" t="s">
        <v>6675</v>
      </c>
      <c r="N806" s="820">
        <v>45723.0</v>
      </c>
      <c r="O806" s="823"/>
    </row>
    <row r="807" ht="15.0" customHeight="1">
      <c r="A807" s="789">
        <v>45679.0</v>
      </c>
      <c r="B807" s="790" t="s">
        <v>13102</v>
      </c>
      <c r="C807" s="791" t="s">
        <v>13022</v>
      </c>
      <c r="D807" s="791" t="s">
        <v>6624</v>
      </c>
      <c r="E807" s="792" t="str">
        <f>IFERROR(VLOOKUP(D807,Stock,3,FALSE),"")</f>
        <v>Toyota Innova 04-15 1st Gen (Toyota)</v>
      </c>
      <c r="F807" s="791">
        <v>1.0</v>
      </c>
      <c r="G807" s="842">
        <v>1674000.0</v>
      </c>
      <c r="H807" s="811">
        <f t="shared" si="15"/>
        <v>1674000</v>
      </c>
      <c r="I807" s="809"/>
      <c r="J807" s="819"/>
      <c r="K807" s="799" t="s">
        <v>4258</v>
      </c>
      <c r="L807" s="818" t="s">
        <v>12235</v>
      </c>
      <c r="M807" s="818" t="s">
        <v>6675</v>
      </c>
      <c r="N807" s="820">
        <v>45679.0</v>
      </c>
      <c r="O807" s="823"/>
    </row>
    <row r="808" ht="15.0" customHeight="1">
      <c r="A808" s="789">
        <v>45679.0</v>
      </c>
      <c r="B808" s="790" t="s">
        <v>13103</v>
      </c>
      <c r="C808" s="791" t="s">
        <v>12932</v>
      </c>
      <c r="D808" s="791" t="s">
        <v>2686</v>
      </c>
      <c r="E808" s="792" t="str">
        <f>IFERROR(VLOOKUP(D808,Stock,3,FALSE),"")</f>
        <v>Wuling Cortez</v>
      </c>
      <c r="F808" s="791">
        <v>5.0</v>
      </c>
      <c r="G808" s="842">
        <v>990249.87</v>
      </c>
      <c r="H808" s="811">
        <f t="shared" si="15"/>
        <v>4951249.35</v>
      </c>
      <c r="I808" s="809">
        <f t="shared" ref="I808:I816" si="38">H808</f>
        <v>4951249.35</v>
      </c>
      <c r="J808" s="844">
        <v>45709.0</v>
      </c>
      <c r="K808" s="799" t="s">
        <v>4258</v>
      </c>
      <c r="L808" s="818" t="s">
        <v>12235</v>
      </c>
      <c r="M808" s="818" t="s">
        <v>6675</v>
      </c>
      <c r="N808" s="839">
        <v>45709.0</v>
      </c>
      <c r="O808" s="823"/>
    </row>
    <row r="809" ht="15.0" customHeight="1">
      <c r="A809" s="789">
        <v>45680.0</v>
      </c>
      <c r="B809" s="790">
        <v>2501747.0</v>
      </c>
      <c r="C809" s="791" t="s">
        <v>11484</v>
      </c>
      <c r="D809" s="791" t="s">
        <v>2691</v>
      </c>
      <c r="E809" s="792" t="str">
        <f>IFERROR(VLOOKUP(D809,Stock,3,FALSE),"")</f>
        <v>Suzuki Ertiga 12-18 1st Gen MPV</v>
      </c>
      <c r="F809" s="791">
        <v>1.0</v>
      </c>
      <c r="G809" s="842">
        <v>528000.0</v>
      </c>
      <c r="H809" s="811">
        <f t="shared" si="15"/>
        <v>528000</v>
      </c>
      <c r="I809" s="809">
        <f t="shared" si="38"/>
        <v>528000</v>
      </c>
      <c r="J809" s="844">
        <v>45740.0</v>
      </c>
      <c r="K809" s="799" t="s">
        <v>4258</v>
      </c>
      <c r="L809" s="818" t="s">
        <v>12235</v>
      </c>
      <c r="M809" s="818" t="s">
        <v>6675</v>
      </c>
      <c r="N809" s="839">
        <v>45733.0</v>
      </c>
      <c r="O809" s="823"/>
    </row>
    <row r="810" ht="15.0" customHeight="1">
      <c r="A810" s="789">
        <v>45680.0</v>
      </c>
      <c r="B810" s="790">
        <v>2501747.0</v>
      </c>
      <c r="C810" s="791" t="s">
        <v>11484</v>
      </c>
      <c r="D810" s="791" t="s">
        <v>7660</v>
      </c>
      <c r="E810" s="792" t="str">
        <f>IFERROR(VLOOKUP(D810,Stock,3,FALSE),"")</f>
        <v>Suzuki Ertiga 12-18 1st Gen MPV</v>
      </c>
      <c r="F810" s="791">
        <v>1.0</v>
      </c>
      <c r="G810" s="842">
        <v>528000.0</v>
      </c>
      <c r="H810" s="811">
        <f t="shared" si="15"/>
        <v>528000</v>
      </c>
      <c r="I810" s="809">
        <f t="shared" si="38"/>
        <v>528000</v>
      </c>
      <c r="J810" s="844">
        <v>45740.0</v>
      </c>
      <c r="K810" s="799" t="s">
        <v>4258</v>
      </c>
      <c r="L810" s="818" t="s">
        <v>12235</v>
      </c>
      <c r="M810" s="818" t="s">
        <v>6675</v>
      </c>
      <c r="N810" s="839">
        <v>45733.0</v>
      </c>
      <c r="O810" s="823"/>
    </row>
    <row r="811" ht="15.0" customHeight="1">
      <c r="A811" s="789">
        <v>45685.0</v>
      </c>
      <c r="B811" s="790">
        <v>2501836.0</v>
      </c>
      <c r="C811" s="791" t="s">
        <v>11484</v>
      </c>
      <c r="D811" s="791" t="s">
        <v>3186</v>
      </c>
      <c r="E811" s="792" t="str">
        <f>IFERROR(VLOOKUP(D811,Stock,3,FALSE),"")</f>
        <v>Daihatsu Gran Max / Luxio 07-</v>
      </c>
      <c r="F811" s="791">
        <v>3.0</v>
      </c>
      <c r="G811" s="842">
        <v>470250.0</v>
      </c>
      <c r="H811" s="811">
        <f t="shared" si="15"/>
        <v>1410750</v>
      </c>
      <c r="I811" s="809">
        <f t="shared" si="38"/>
        <v>1410750</v>
      </c>
      <c r="J811" s="844">
        <v>45745.0</v>
      </c>
      <c r="K811" s="799" t="s">
        <v>4258</v>
      </c>
      <c r="L811" s="818" t="s">
        <v>12235</v>
      </c>
      <c r="M811" s="818" t="s">
        <v>6675</v>
      </c>
      <c r="N811" s="839">
        <v>45733.0</v>
      </c>
      <c r="O811" s="823"/>
    </row>
    <row r="812" ht="15.0" customHeight="1">
      <c r="A812" s="789">
        <v>45688.0</v>
      </c>
      <c r="B812" s="790">
        <v>2501912.0</v>
      </c>
      <c r="C812" s="791" t="s">
        <v>11484</v>
      </c>
      <c r="D812" s="791" t="s">
        <v>3451</v>
      </c>
      <c r="E812" s="792" t="str">
        <f>IFERROR(VLOOKUP(D812,Stock,3,FALSE),"")</f>
        <v>Toyota Rush / Terios 18-</v>
      </c>
      <c r="F812" s="791">
        <v>1.0</v>
      </c>
      <c r="G812" s="842">
        <v>528000.0</v>
      </c>
      <c r="H812" s="811">
        <f t="shared" si="15"/>
        <v>528000</v>
      </c>
      <c r="I812" s="809">
        <f t="shared" si="38"/>
        <v>528000</v>
      </c>
      <c r="J812" s="844">
        <v>45747.0</v>
      </c>
      <c r="K812" s="799" t="s">
        <v>4258</v>
      </c>
      <c r="L812" s="818" t="s">
        <v>12235</v>
      </c>
      <c r="M812" s="818" t="s">
        <v>6675</v>
      </c>
      <c r="N812" s="839">
        <v>45733.0</v>
      </c>
      <c r="O812" s="823"/>
    </row>
    <row r="813" ht="15.0" customHeight="1">
      <c r="A813" s="789">
        <v>45688.0</v>
      </c>
      <c r="B813" s="790">
        <v>2501912.0</v>
      </c>
      <c r="C813" s="791" t="s">
        <v>11484</v>
      </c>
      <c r="D813" s="791" t="s">
        <v>13104</v>
      </c>
      <c r="E813" s="792" t="str">
        <f>IFERROR(VLOOKUP(D813,Stock,3,FALSE),"")</f>
        <v>Toyota Rush / Terios 18-</v>
      </c>
      <c r="F813" s="791">
        <v>1.0</v>
      </c>
      <c r="G813" s="842">
        <v>528000.0</v>
      </c>
      <c r="H813" s="811">
        <f t="shared" si="15"/>
        <v>528000</v>
      </c>
      <c r="I813" s="809">
        <f t="shared" si="38"/>
        <v>528000</v>
      </c>
      <c r="J813" s="844">
        <v>45747.0</v>
      </c>
      <c r="K813" s="799" t="s">
        <v>4258</v>
      </c>
      <c r="L813" s="818" t="s">
        <v>12235</v>
      </c>
      <c r="M813" s="818" t="s">
        <v>6675</v>
      </c>
      <c r="N813" s="839">
        <v>45733.0</v>
      </c>
      <c r="O813" s="823"/>
    </row>
    <row r="814" ht="15.0" customHeight="1">
      <c r="A814" s="789">
        <v>45688.0</v>
      </c>
      <c r="B814" s="790">
        <v>2501921.0</v>
      </c>
      <c r="C814" s="791" t="s">
        <v>11484</v>
      </c>
      <c r="D814" s="791" t="s">
        <v>13105</v>
      </c>
      <c r="E814" s="792" t="str">
        <f>IFERROR(VLOOKUP(D814,Stock,3,FALSE),"")</f>
        <v>Hino Ranger Louhan 03- / Hino 500 (MULIA)</v>
      </c>
      <c r="F814" s="791">
        <v>2.0</v>
      </c>
      <c r="G814" s="842">
        <v>261250.0</v>
      </c>
      <c r="H814" s="811">
        <f t="shared" si="15"/>
        <v>522500</v>
      </c>
      <c r="I814" s="809">
        <f t="shared" si="38"/>
        <v>522500</v>
      </c>
      <c r="J814" s="844">
        <v>45747.0</v>
      </c>
      <c r="K814" s="799" t="s">
        <v>4258</v>
      </c>
      <c r="L814" s="818" t="s">
        <v>12235</v>
      </c>
      <c r="M814" s="818" t="s">
        <v>6675</v>
      </c>
      <c r="N814" s="839">
        <v>45733.0</v>
      </c>
      <c r="O814" s="823"/>
    </row>
    <row r="815" ht="15.0" customHeight="1">
      <c r="A815" s="789">
        <v>45691.0</v>
      </c>
      <c r="B815" s="790">
        <v>2502054.0</v>
      </c>
      <c r="C815" s="791" t="s">
        <v>11484</v>
      </c>
      <c r="D815" s="791" t="s">
        <v>2546</v>
      </c>
      <c r="E815" s="792" t="str">
        <f>IFERROR(VLOOKUP(D815,Stock,3,FALSE),"")</f>
        <v>Wuling Confero (Tanpa Spionnya)</v>
      </c>
      <c r="F815" s="791">
        <v>1.0</v>
      </c>
      <c r="G815" s="842">
        <v>627000.0</v>
      </c>
      <c r="H815" s="811">
        <f t="shared" si="15"/>
        <v>627000</v>
      </c>
      <c r="I815" s="809">
        <f t="shared" si="38"/>
        <v>627000</v>
      </c>
      <c r="J815" s="844">
        <v>45751.0</v>
      </c>
      <c r="K815" s="799" t="s">
        <v>4258</v>
      </c>
      <c r="L815" s="818" t="s">
        <v>12235</v>
      </c>
      <c r="M815" s="818" t="s">
        <v>6675</v>
      </c>
      <c r="N815" s="839">
        <v>45741.0</v>
      </c>
      <c r="O815" s="823"/>
    </row>
    <row r="816" ht="15.0" customHeight="1">
      <c r="A816" s="789">
        <v>45691.0</v>
      </c>
      <c r="B816" s="790">
        <v>2502054.0</v>
      </c>
      <c r="C816" s="791" t="s">
        <v>11484</v>
      </c>
      <c r="D816" s="791" t="s">
        <v>7063</v>
      </c>
      <c r="E816" s="792" t="str">
        <f>IFERROR(VLOOKUP(D816,Stock,3,FALSE),"")</f>
        <v>Wuling Confero (Tanpa Spionnya)</v>
      </c>
      <c r="F816" s="791">
        <v>1.0</v>
      </c>
      <c r="G816" s="842">
        <v>627000.0</v>
      </c>
      <c r="H816" s="811">
        <f t="shared" si="15"/>
        <v>627000</v>
      </c>
      <c r="I816" s="809">
        <f t="shared" si="38"/>
        <v>627000</v>
      </c>
      <c r="J816" s="844">
        <v>45751.0</v>
      </c>
      <c r="K816" s="799" t="s">
        <v>4258</v>
      </c>
      <c r="L816" s="818" t="s">
        <v>12235</v>
      </c>
      <c r="M816" s="818" t="s">
        <v>6675</v>
      </c>
      <c r="N816" s="839">
        <v>45741.0</v>
      </c>
      <c r="O816" s="823"/>
    </row>
    <row r="817" ht="15.0" customHeight="1">
      <c r="A817" s="789">
        <v>45689.0</v>
      </c>
      <c r="B817" s="790" t="s">
        <v>13106</v>
      </c>
      <c r="C817" s="791" t="s">
        <v>13107</v>
      </c>
      <c r="D817" s="791" t="s">
        <v>6728</v>
      </c>
      <c r="E817" s="792" t="str">
        <f>IFERROR(VLOOKUP(D817,Stock,3,FALSE),"")</f>
        <v>Suzuki Ertiga 18- 2nd Gen / XL7</v>
      </c>
      <c r="F817" s="791">
        <v>1.0</v>
      </c>
      <c r="G817" s="842">
        <v>300000.0</v>
      </c>
      <c r="H817" s="811">
        <f t="shared" si="15"/>
        <v>300000</v>
      </c>
      <c r="I817" s="809"/>
      <c r="J817" s="819"/>
      <c r="K817" s="799" t="s">
        <v>4258</v>
      </c>
      <c r="L817" s="818"/>
      <c r="M817" s="818" t="s">
        <v>6675</v>
      </c>
      <c r="N817" s="862">
        <v>45689.0</v>
      </c>
      <c r="O817" s="823"/>
    </row>
    <row r="818" ht="15.0" customHeight="1">
      <c r="A818" s="789">
        <v>45694.0</v>
      </c>
      <c r="B818" s="790" t="s">
        <v>13108</v>
      </c>
      <c r="C818" s="791" t="s">
        <v>12932</v>
      </c>
      <c r="D818" s="791" t="s">
        <v>2825</v>
      </c>
      <c r="E818" s="792" t="str">
        <f>IFERROR(VLOOKUP(D818,Stock,3,FALSE),"")</f>
        <v>Toyota Avanza / Xenia 21- 4th Gen</v>
      </c>
      <c r="F818" s="791">
        <v>3.0</v>
      </c>
      <c r="G818" s="842">
        <v>228650.0</v>
      </c>
      <c r="H818" s="811">
        <f t="shared" si="15"/>
        <v>685950</v>
      </c>
      <c r="I818" s="809">
        <f t="shared" ref="I818:I820" si="39">H818</f>
        <v>685950</v>
      </c>
      <c r="J818" s="844">
        <v>45724.0</v>
      </c>
      <c r="K818" s="799" t="s">
        <v>4258</v>
      </c>
      <c r="L818" s="818" t="s">
        <v>12235</v>
      </c>
      <c r="M818" s="818" t="s">
        <v>6675</v>
      </c>
      <c r="N818" s="839">
        <v>45733.0</v>
      </c>
      <c r="O818" s="823"/>
    </row>
    <row r="819" ht="15.0" customHeight="1">
      <c r="A819" s="789">
        <v>45694.0</v>
      </c>
      <c r="B819" s="790" t="s">
        <v>13108</v>
      </c>
      <c r="C819" s="791" t="s">
        <v>12932</v>
      </c>
      <c r="D819" s="791" t="s">
        <v>2836</v>
      </c>
      <c r="E819" s="792" t="str">
        <f>IFERROR(VLOOKUP(D819,Stock,3,FALSE),"")</f>
        <v>Toyota Avanza / Xenia 21- 4th Gen</v>
      </c>
      <c r="F819" s="791">
        <v>2.0</v>
      </c>
      <c r="G819" s="842">
        <v>376549.74</v>
      </c>
      <c r="H819" s="811">
        <f t="shared" si="15"/>
        <v>753099.48</v>
      </c>
      <c r="I819" s="809">
        <f t="shared" si="39"/>
        <v>753099.48</v>
      </c>
      <c r="J819" s="844">
        <v>45724.0</v>
      </c>
      <c r="K819" s="799" t="s">
        <v>4258</v>
      </c>
      <c r="L819" s="818" t="s">
        <v>12235</v>
      </c>
      <c r="M819" s="818" t="s">
        <v>6675</v>
      </c>
      <c r="N819" s="839">
        <v>45733.0</v>
      </c>
      <c r="O819" s="823"/>
    </row>
    <row r="820" ht="15.0" customHeight="1">
      <c r="A820" s="789">
        <v>45694.0</v>
      </c>
      <c r="B820" s="790" t="s">
        <v>13109</v>
      </c>
      <c r="C820" s="791" t="s">
        <v>2425</v>
      </c>
      <c r="D820" s="791" t="s">
        <v>13110</v>
      </c>
      <c r="E820" s="792" t="str">
        <f>IFERROR(VLOOKUP(D820,Stock,3,FALSE),"")</f>
        <v>Toyota Innova 04-15 1st Gen (Toyota) (Copotan)</v>
      </c>
      <c r="F820" s="791">
        <v>1.0</v>
      </c>
      <c r="G820" s="842">
        <v>0.0</v>
      </c>
      <c r="H820" s="811">
        <f t="shared" si="15"/>
        <v>0</v>
      </c>
      <c r="I820" s="809">
        <f t="shared" si="39"/>
        <v>0</v>
      </c>
      <c r="J820" s="819"/>
      <c r="K820" s="799" t="s">
        <v>4281</v>
      </c>
      <c r="L820" s="818" t="s">
        <v>12235</v>
      </c>
      <c r="M820" s="823"/>
      <c r="N820" s="823"/>
      <c r="O820" s="823"/>
    </row>
    <row r="821" ht="15.0" customHeight="1">
      <c r="A821" s="789">
        <v>45694.0</v>
      </c>
      <c r="B821" s="790" t="s">
        <v>13109</v>
      </c>
      <c r="C821" s="791" t="s">
        <v>2425</v>
      </c>
      <c r="D821" s="791" t="s">
        <v>13111</v>
      </c>
      <c r="E821" s="792" t="str">
        <f>IFERROR(VLOOKUP(D821,Stock,3,FALSE),"")</f>
        <v>Mitsubishi Xpander 17- / Livina 19- 2nd Gen (Mitsubishi/Nissan) (Copotan)</v>
      </c>
      <c r="F821" s="791">
        <v>1.0</v>
      </c>
      <c r="G821" s="842">
        <v>0.0</v>
      </c>
      <c r="H821" s="811"/>
      <c r="I821" s="809"/>
      <c r="J821" s="819"/>
      <c r="K821" s="799" t="s">
        <v>4281</v>
      </c>
      <c r="L821" s="818" t="s">
        <v>12235</v>
      </c>
      <c r="M821" s="823"/>
      <c r="N821" s="823"/>
      <c r="O821" s="823"/>
    </row>
    <row r="822" ht="15.0" customHeight="1">
      <c r="A822" s="863">
        <v>45694.0</v>
      </c>
      <c r="B822" s="864" t="s">
        <v>13112</v>
      </c>
      <c r="C822" s="865" t="s">
        <v>10</v>
      </c>
      <c r="D822" s="865" t="s">
        <v>2677</v>
      </c>
      <c r="E822" s="866" t="str">
        <f>IFERROR(VLOOKUP(D822,Stock,3,FALSE),"")</f>
        <v>Suzuki Grand Escudo 00-05</v>
      </c>
      <c r="F822" s="865">
        <v>1.0</v>
      </c>
      <c r="G822" s="867"/>
      <c r="H822" s="810">
        <f t="shared" ref="H822:H1234" si="40">G822*F822</f>
        <v>0</v>
      </c>
      <c r="I822" s="868">
        <f>H822</f>
        <v>0</v>
      </c>
      <c r="J822" s="869"/>
      <c r="K822" s="870" t="s">
        <v>4281</v>
      </c>
      <c r="L822" s="871"/>
      <c r="M822" s="871"/>
      <c r="N822" s="871"/>
      <c r="O822" s="871"/>
    </row>
    <row r="823" ht="15.0" customHeight="1">
      <c r="A823" s="789">
        <v>45694.0</v>
      </c>
      <c r="B823" s="790" t="s">
        <v>13113</v>
      </c>
      <c r="C823" s="791" t="s">
        <v>11484</v>
      </c>
      <c r="D823" s="791" t="s">
        <v>3059</v>
      </c>
      <c r="E823" s="792" t="str">
        <f>IFERROR(VLOOKUP(D823,Stock,3,FALSE),"")</f>
        <v>Sealant Polyurethane XYG Tube</v>
      </c>
      <c r="F823" s="791">
        <v>40.0</v>
      </c>
      <c r="G823" s="842">
        <v>33000.0</v>
      </c>
      <c r="H823" s="811">
        <f t="shared" si="40"/>
        <v>1320000</v>
      </c>
      <c r="I823" s="809"/>
      <c r="J823" s="819"/>
      <c r="K823" s="799" t="s">
        <v>4258</v>
      </c>
      <c r="L823" s="818" t="s">
        <v>12235</v>
      </c>
      <c r="M823" s="818" t="s">
        <v>6675</v>
      </c>
      <c r="N823" s="862">
        <v>45728.0</v>
      </c>
      <c r="O823" s="823"/>
    </row>
    <row r="824" ht="15.0" customHeight="1">
      <c r="A824" s="789">
        <v>45695.0</v>
      </c>
      <c r="B824" s="790">
        <v>2502240.0</v>
      </c>
      <c r="C824" s="791" t="s">
        <v>11484</v>
      </c>
      <c r="D824" s="791" t="s">
        <v>3411</v>
      </c>
      <c r="E824" s="792" t="str">
        <f>IFERROR(VLOOKUP(D824,Stock,3,FALSE),"")</f>
        <v>Toyota Agya/Ayla 13-22 1st Gen</v>
      </c>
      <c r="F824" s="791">
        <v>2.0</v>
      </c>
      <c r="G824" s="842">
        <v>385000.0</v>
      </c>
      <c r="H824" s="811">
        <f t="shared" si="40"/>
        <v>770000</v>
      </c>
      <c r="I824" s="809">
        <f t="shared" ref="I824:I825" si="41">H824</f>
        <v>770000</v>
      </c>
      <c r="J824" s="844">
        <v>45755.0</v>
      </c>
      <c r="K824" s="799" t="s">
        <v>4258</v>
      </c>
      <c r="L824" s="818" t="s">
        <v>12235</v>
      </c>
      <c r="M824" s="818" t="s">
        <v>6675</v>
      </c>
      <c r="N824" s="839">
        <v>45741.0</v>
      </c>
      <c r="O824" s="823"/>
    </row>
    <row r="825" ht="15.0" customHeight="1">
      <c r="A825" s="789">
        <v>45695.0</v>
      </c>
      <c r="B825" s="790">
        <v>2502240.0</v>
      </c>
      <c r="C825" s="791" t="s">
        <v>11484</v>
      </c>
      <c r="D825" s="791" t="s">
        <v>5587</v>
      </c>
      <c r="E825" s="792" t="str">
        <f>IFERROR(VLOOKUP(D825,Stock,3,FALSE),"")</f>
        <v>Honda CR-V 02-04 2nd Gen (Spion Jepit)</v>
      </c>
      <c r="F825" s="791">
        <v>2.0</v>
      </c>
      <c r="G825" s="842">
        <v>815100.0</v>
      </c>
      <c r="H825" s="811">
        <f t="shared" si="40"/>
        <v>1630200</v>
      </c>
      <c r="I825" s="809">
        <f t="shared" si="41"/>
        <v>1630200</v>
      </c>
      <c r="J825" s="844">
        <v>45755.0</v>
      </c>
      <c r="K825" s="799" t="s">
        <v>4258</v>
      </c>
      <c r="L825" s="818" t="s">
        <v>12235</v>
      </c>
      <c r="M825" s="818" t="s">
        <v>6675</v>
      </c>
      <c r="N825" s="839">
        <v>45741.0</v>
      </c>
      <c r="O825" s="823"/>
    </row>
    <row r="826" ht="15.0" customHeight="1">
      <c r="A826" s="789">
        <v>45695.0</v>
      </c>
      <c r="B826" s="790" t="s">
        <v>13114</v>
      </c>
      <c r="C826" s="791" t="s">
        <v>13115</v>
      </c>
      <c r="D826" s="791" t="s">
        <v>6836</v>
      </c>
      <c r="E826" s="792" t="str">
        <f>IFERROR(VLOOKUP(D826,Stock,3,FALSE),"")</f>
        <v>Taft GT / Hiline / Feroza (Daihatsu)        </v>
      </c>
      <c r="F826" s="791">
        <v>1.0</v>
      </c>
      <c r="G826" s="842">
        <v>200000.0</v>
      </c>
      <c r="H826" s="811">
        <f t="shared" si="40"/>
        <v>200000</v>
      </c>
      <c r="I826" s="809"/>
      <c r="J826" s="819"/>
      <c r="K826" s="799" t="s">
        <v>4258</v>
      </c>
      <c r="L826" s="818" t="s">
        <v>12235</v>
      </c>
      <c r="M826" s="818" t="s">
        <v>13116</v>
      </c>
      <c r="N826" s="820">
        <v>45695.0</v>
      </c>
      <c r="O826" s="818" t="s">
        <v>13117</v>
      </c>
    </row>
    <row r="827" ht="15.0" customHeight="1">
      <c r="A827" s="789">
        <v>45698.0</v>
      </c>
      <c r="B827" s="790">
        <v>2502321.0</v>
      </c>
      <c r="C827" s="791" t="s">
        <v>11484</v>
      </c>
      <c r="D827" s="791" t="s">
        <v>4623</v>
      </c>
      <c r="E827" s="792" t="str">
        <f>IFERROR(VLOOKUP(D827,Stock,3,FALSE),"")</f>
        <v>Toyota Innova 15- 2nd Gen</v>
      </c>
      <c r="F827" s="791">
        <v>3.0</v>
      </c>
      <c r="G827" s="842">
        <v>704900.0</v>
      </c>
      <c r="H827" s="811">
        <f t="shared" si="40"/>
        <v>2114700</v>
      </c>
      <c r="I827" s="809">
        <f t="shared" ref="I827:I835" si="42">H827</f>
        <v>2114700</v>
      </c>
      <c r="J827" s="844">
        <v>45758.0</v>
      </c>
      <c r="K827" s="799" t="s">
        <v>4258</v>
      </c>
      <c r="L827" s="818" t="s">
        <v>12235</v>
      </c>
      <c r="M827" s="818" t="s">
        <v>6675</v>
      </c>
      <c r="N827" s="839">
        <v>45741.0</v>
      </c>
      <c r="O827" s="823"/>
    </row>
    <row r="828" ht="15.0" customHeight="1">
      <c r="A828" s="789">
        <v>45698.0</v>
      </c>
      <c r="B828" s="790">
        <v>2502321.0</v>
      </c>
      <c r="C828" s="791" t="s">
        <v>11484</v>
      </c>
      <c r="D828" s="791" t="s">
        <v>3186</v>
      </c>
      <c r="E828" s="792" t="str">
        <f>IFERROR(VLOOKUP(D828,Stock,3,FALSE),"")</f>
        <v>Daihatsu Gran Max / Luxio 07-</v>
      </c>
      <c r="F828" s="791">
        <v>3.0</v>
      </c>
      <c r="G828" s="842">
        <v>598500.0</v>
      </c>
      <c r="H828" s="811">
        <f t="shared" si="40"/>
        <v>1795500</v>
      </c>
      <c r="I828" s="809">
        <f t="shared" si="42"/>
        <v>1795500</v>
      </c>
      <c r="J828" s="844">
        <v>45758.0</v>
      </c>
      <c r="K828" s="799" t="s">
        <v>4258</v>
      </c>
      <c r="L828" s="818" t="s">
        <v>12235</v>
      </c>
      <c r="M828" s="818" t="s">
        <v>6675</v>
      </c>
      <c r="N828" s="839">
        <v>45741.0</v>
      </c>
      <c r="O828" s="823"/>
    </row>
    <row r="829" ht="15.0" customHeight="1">
      <c r="A829" s="789">
        <v>45700.0</v>
      </c>
      <c r="B829" s="790" t="s">
        <v>12998</v>
      </c>
      <c r="C829" s="791" t="s">
        <v>12999</v>
      </c>
      <c r="D829" s="791" t="s">
        <v>4365</v>
      </c>
      <c r="E829" s="792" t="str">
        <f>IFERROR(VLOOKUP(D829,Stock,3,FALSE),"")</f>
        <v>Wuling Almaz (Orisinil)</v>
      </c>
      <c r="F829" s="791">
        <v>5.0</v>
      </c>
      <c r="G829" s="842"/>
      <c r="H829" s="811">
        <f t="shared" si="40"/>
        <v>0</v>
      </c>
      <c r="I829" s="809">
        <f t="shared" si="42"/>
        <v>0</v>
      </c>
      <c r="J829" s="819"/>
      <c r="K829" s="799" t="s">
        <v>4258</v>
      </c>
      <c r="L829" s="818" t="s">
        <v>12235</v>
      </c>
      <c r="M829" s="823"/>
      <c r="N829" s="823"/>
      <c r="O829" s="823"/>
    </row>
    <row r="830" ht="15.0" customHeight="1">
      <c r="A830" s="789">
        <v>45700.0</v>
      </c>
      <c r="B830" s="790">
        <v>2502404.0</v>
      </c>
      <c r="C830" s="791" t="s">
        <v>11484</v>
      </c>
      <c r="D830" s="791" t="s">
        <v>6898</v>
      </c>
      <c r="E830" s="792" t="str">
        <f>IFERROR(VLOOKUP(D830,Stock,3,FALSE),"")</f>
        <v>Toyota Sienta 15-</v>
      </c>
      <c r="F830" s="791">
        <v>2.0</v>
      </c>
      <c r="G830" s="842">
        <v>723100.0</v>
      </c>
      <c r="H830" s="811">
        <f t="shared" si="40"/>
        <v>1446200</v>
      </c>
      <c r="I830" s="809">
        <f t="shared" si="42"/>
        <v>1446200</v>
      </c>
      <c r="J830" s="844">
        <v>45760.0</v>
      </c>
      <c r="K830" s="799" t="s">
        <v>4258</v>
      </c>
      <c r="L830" s="818" t="s">
        <v>12235</v>
      </c>
      <c r="M830" s="818" t="s">
        <v>6675</v>
      </c>
      <c r="N830" s="839">
        <v>45763.0</v>
      </c>
      <c r="O830" s="823"/>
    </row>
    <row r="831" ht="15.0" customHeight="1">
      <c r="A831" s="789">
        <v>45700.0</v>
      </c>
      <c r="B831" s="790" t="s">
        <v>13118</v>
      </c>
      <c r="C831" s="791" t="s">
        <v>11484</v>
      </c>
      <c r="D831" s="791" t="s">
        <v>3059</v>
      </c>
      <c r="E831" s="792" t="str">
        <f>IFERROR(VLOOKUP(D831,Stock,3,FALSE),"")</f>
        <v>Sealant Polyurethane XYG Tube</v>
      </c>
      <c r="F831" s="791">
        <v>80.0</v>
      </c>
      <c r="G831" s="842">
        <v>40000.0</v>
      </c>
      <c r="H831" s="811">
        <f t="shared" si="40"/>
        <v>3200000</v>
      </c>
      <c r="I831" s="809">
        <f t="shared" si="42"/>
        <v>3200000</v>
      </c>
      <c r="J831" s="844">
        <v>45760.0</v>
      </c>
      <c r="K831" s="799" t="s">
        <v>4258</v>
      </c>
      <c r="L831" s="818" t="s">
        <v>12235</v>
      </c>
      <c r="M831" s="818" t="s">
        <v>6675</v>
      </c>
      <c r="N831" s="862">
        <v>45728.0</v>
      </c>
      <c r="O831" s="823"/>
    </row>
    <row r="832" ht="15.0" customHeight="1">
      <c r="A832" s="789">
        <v>45692.0</v>
      </c>
      <c r="B832" s="790">
        <v>2502112.0</v>
      </c>
      <c r="C832" s="791" t="s">
        <v>11484</v>
      </c>
      <c r="D832" s="791" t="s">
        <v>13119</v>
      </c>
      <c r="E832" s="792" t="str">
        <f>IFERROR(VLOOKUP(D832,Stock,3,FALSE),"")</f>
        <v>Honda Odyssey 13- 5th Gen RC1/RC2</v>
      </c>
      <c r="F832" s="791">
        <v>1.0</v>
      </c>
      <c r="G832" s="842">
        <v>1910150.0</v>
      </c>
      <c r="H832" s="811">
        <f t="shared" si="40"/>
        <v>1910150</v>
      </c>
      <c r="I832" s="809">
        <f t="shared" si="42"/>
        <v>1910150</v>
      </c>
      <c r="J832" s="844">
        <v>45752.0</v>
      </c>
      <c r="K832" s="799" t="s">
        <v>4258</v>
      </c>
      <c r="L832" s="818" t="s">
        <v>12235</v>
      </c>
      <c r="M832" s="818" t="s">
        <v>6675</v>
      </c>
      <c r="N832" s="839">
        <v>45741.0</v>
      </c>
      <c r="O832" s="823"/>
    </row>
    <row r="833" ht="15.0" customHeight="1">
      <c r="A833" s="789">
        <v>45698.0</v>
      </c>
      <c r="B833" s="790">
        <v>2502323.0</v>
      </c>
      <c r="C833" s="791" t="s">
        <v>11484</v>
      </c>
      <c r="D833" s="791" t="s">
        <v>2692</v>
      </c>
      <c r="E833" s="792" t="str">
        <f>IFERROR(VLOOKUP(D833,Stock,3,FALSE),"")</f>
        <v>Suzuki Ertiga 18- 2nd Gen / XL7</v>
      </c>
      <c r="F833" s="791">
        <v>3.0</v>
      </c>
      <c r="G833" s="842">
        <v>807800.0</v>
      </c>
      <c r="H833" s="811">
        <f t="shared" si="40"/>
        <v>2423400</v>
      </c>
      <c r="I833" s="809">
        <f t="shared" si="42"/>
        <v>2423400</v>
      </c>
      <c r="J833" s="844">
        <v>45758.0</v>
      </c>
      <c r="K833" s="799" t="s">
        <v>4258</v>
      </c>
      <c r="L833" s="818" t="s">
        <v>12235</v>
      </c>
      <c r="M833" s="818" t="s">
        <v>6675</v>
      </c>
      <c r="N833" s="839">
        <v>45763.0</v>
      </c>
      <c r="O833" s="823"/>
    </row>
    <row r="834" ht="15.0" customHeight="1">
      <c r="A834" s="789">
        <v>45698.0</v>
      </c>
      <c r="B834" s="790">
        <v>2502323.0</v>
      </c>
      <c r="C834" s="791" t="s">
        <v>11484</v>
      </c>
      <c r="D834" s="791" t="s">
        <v>3056</v>
      </c>
      <c r="E834" s="792" t="str">
        <f>IFERROR(VLOOKUP(D834,Stock,3,FALSE),"")</f>
        <v>Honda BR-V 16-</v>
      </c>
      <c r="F834" s="791">
        <v>2.0</v>
      </c>
      <c r="G834" s="842">
        <v>828100.0</v>
      </c>
      <c r="H834" s="811">
        <f t="shared" si="40"/>
        <v>1656200</v>
      </c>
      <c r="I834" s="809">
        <f t="shared" si="42"/>
        <v>1656200</v>
      </c>
      <c r="J834" s="844">
        <v>45758.0</v>
      </c>
      <c r="K834" s="799" t="s">
        <v>4258</v>
      </c>
      <c r="L834" s="818" t="s">
        <v>12235</v>
      </c>
      <c r="M834" s="818" t="s">
        <v>6675</v>
      </c>
      <c r="N834" s="839">
        <v>45763.0</v>
      </c>
      <c r="O834" s="823"/>
    </row>
    <row r="835" ht="15.0" customHeight="1">
      <c r="A835" s="789">
        <v>45698.0</v>
      </c>
      <c r="B835" s="790">
        <v>2502323.0</v>
      </c>
      <c r="C835" s="791" t="s">
        <v>11484</v>
      </c>
      <c r="D835" s="791" t="s">
        <v>6639</v>
      </c>
      <c r="E835" s="792" t="str">
        <f>IFERROR(VLOOKUP(D835,Stock,3,FALSE),"")</f>
        <v>Kia Sportage 10-15 SL</v>
      </c>
      <c r="F835" s="791">
        <v>1.0</v>
      </c>
      <c r="G835" s="842">
        <v>2352700.0</v>
      </c>
      <c r="H835" s="811">
        <f t="shared" si="40"/>
        <v>2352700</v>
      </c>
      <c r="I835" s="809">
        <f t="shared" si="42"/>
        <v>2352700</v>
      </c>
      <c r="J835" s="844">
        <v>45758.0</v>
      </c>
      <c r="K835" s="799" t="s">
        <v>4258</v>
      </c>
      <c r="L835" s="818" t="s">
        <v>12235</v>
      </c>
      <c r="M835" s="818" t="s">
        <v>6675</v>
      </c>
      <c r="N835" s="839">
        <v>45763.0</v>
      </c>
      <c r="O835" s="823"/>
    </row>
    <row r="836" ht="15.0" customHeight="1">
      <c r="A836" s="789">
        <v>45703.0</v>
      </c>
      <c r="B836" s="790" t="s">
        <v>13120</v>
      </c>
      <c r="C836" s="791" t="s">
        <v>13115</v>
      </c>
      <c r="D836" s="791" t="s">
        <v>6939</v>
      </c>
      <c r="E836" s="792" t="str">
        <f>IFERROR(VLOOKUP(D836,Stock,3,FALSE),"")</f>
        <v>Toyota Agya/Ayla 13-22 1st Gen (Toyota/Daihatsu)</v>
      </c>
      <c r="F836" s="791">
        <v>1.0</v>
      </c>
      <c r="G836" s="842">
        <v>605000.0</v>
      </c>
      <c r="H836" s="811">
        <f t="shared" si="40"/>
        <v>605000</v>
      </c>
      <c r="I836" s="809"/>
      <c r="J836" s="819"/>
      <c r="K836" s="799" t="s">
        <v>4258</v>
      </c>
      <c r="L836" s="818" t="s">
        <v>12235</v>
      </c>
      <c r="M836" s="818" t="s">
        <v>6675</v>
      </c>
      <c r="N836" s="839">
        <v>45703.0</v>
      </c>
      <c r="O836" s="823"/>
    </row>
    <row r="837" ht="15.0" customHeight="1">
      <c r="A837" s="789">
        <v>45707.0</v>
      </c>
      <c r="B837" s="790">
        <v>2502479.0</v>
      </c>
      <c r="C837" s="791" t="s">
        <v>11484</v>
      </c>
      <c r="D837" s="791" t="s">
        <v>3411</v>
      </c>
      <c r="E837" s="792" t="str">
        <f>IFERROR(VLOOKUP(D837,Stock,3,FALSE),"")</f>
        <v>Toyota Agya/Ayla 13-22 1st Gen</v>
      </c>
      <c r="F837" s="791">
        <v>3.0</v>
      </c>
      <c r="G837" s="842">
        <v>490000.0</v>
      </c>
      <c r="H837" s="811">
        <f t="shared" si="40"/>
        <v>1470000</v>
      </c>
      <c r="I837" s="809">
        <f t="shared" ref="I837:I855" si="43">H837</f>
        <v>1470000</v>
      </c>
      <c r="J837" s="844">
        <v>45761.0</v>
      </c>
      <c r="K837" s="799" t="s">
        <v>4262</v>
      </c>
      <c r="L837" s="818" t="s">
        <v>12235</v>
      </c>
      <c r="M837" s="818" t="s">
        <v>6675</v>
      </c>
      <c r="N837" s="839">
        <v>45763.0</v>
      </c>
      <c r="O837" s="823"/>
    </row>
    <row r="838" ht="15.0" customHeight="1">
      <c r="A838" s="789">
        <v>45707.0</v>
      </c>
      <c r="B838" s="790">
        <v>2502550.0</v>
      </c>
      <c r="C838" s="791" t="s">
        <v>11484</v>
      </c>
      <c r="D838" s="791" t="s">
        <v>2926</v>
      </c>
      <c r="E838" s="792" t="str">
        <f>IFERROR(VLOOKUP(D838,Stock,3,FALSE),"")</f>
        <v>Honda Jazz 01-07 1st Gen</v>
      </c>
      <c r="F838" s="791">
        <v>1.0</v>
      </c>
      <c r="G838" s="842">
        <v>856800.0</v>
      </c>
      <c r="H838" s="811">
        <f t="shared" si="40"/>
        <v>856800</v>
      </c>
      <c r="I838" s="809">
        <f t="shared" si="43"/>
        <v>856800</v>
      </c>
      <c r="J838" s="844">
        <v>45764.0</v>
      </c>
      <c r="K838" s="799" t="s">
        <v>4262</v>
      </c>
      <c r="L838" s="818" t="s">
        <v>12235</v>
      </c>
      <c r="M838" s="818" t="s">
        <v>6675</v>
      </c>
      <c r="N838" s="839">
        <v>45763.0</v>
      </c>
      <c r="O838" s="823"/>
    </row>
    <row r="839" ht="15.0" customHeight="1">
      <c r="A839" s="789">
        <v>45707.0</v>
      </c>
      <c r="B839" s="790">
        <v>2502550.0</v>
      </c>
      <c r="C839" s="791" t="s">
        <v>11484</v>
      </c>
      <c r="D839" s="791" t="s">
        <v>2732</v>
      </c>
      <c r="E839" s="792" t="str">
        <f>IFERROR(VLOOKUP(D839,Stock,3,FALSE),"")</f>
        <v>Honda Jazz 13- 3rd Gen</v>
      </c>
      <c r="F839" s="791">
        <v>1.0</v>
      </c>
      <c r="G839" s="842">
        <v>809900.0</v>
      </c>
      <c r="H839" s="811">
        <f t="shared" si="40"/>
        <v>809900</v>
      </c>
      <c r="I839" s="809">
        <f t="shared" si="43"/>
        <v>809900</v>
      </c>
      <c r="J839" s="844">
        <v>45764.0</v>
      </c>
      <c r="K839" s="799" t="s">
        <v>4262</v>
      </c>
      <c r="L839" s="818" t="s">
        <v>12235</v>
      </c>
      <c r="M839" s="818" t="s">
        <v>6675</v>
      </c>
      <c r="N839" s="839">
        <v>45763.0</v>
      </c>
      <c r="O839" s="823"/>
    </row>
    <row r="840" ht="15.0" customHeight="1">
      <c r="A840" s="789">
        <v>45707.0</v>
      </c>
      <c r="B840" s="790">
        <v>2502550.0</v>
      </c>
      <c r="C840" s="791" t="s">
        <v>11484</v>
      </c>
      <c r="D840" s="791" t="s">
        <v>2722</v>
      </c>
      <c r="E840" s="792" t="str">
        <f>IFERROR(VLOOKUP(D840,Stock,3,FALSE),"")</f>
        <v>Suzuki Carry Futura (1300cc) / Mitsubishi Colt T120</v>
      </c>
      <c r="F840" s="791">
        <v>1.0</v>
      </c>
      <c r="G840" s="842">
        <v>512400.0</v>
      </c>
      <c r="H840" s="811">
        <f t="shared" si="40"/>
        <v>512400</v>
      </c>
      <c r="I840" s="809">
        <f t="shared" si="43"/>
        <v>512400</v>
      </c>
      <c r="J840" s="844">
        <v>45764.0</v>
      </c>
      <c r="K840" s="799" t="s">
        <v>4262</v>
      </c>
      <c r="L840" s="818" t="s">
        <v>12235</v>
      </c>
      <c r="M840" s="818" t="s">
        <v>6675</v>
      </c>
      <c r="N840" s="839">
        <v>45763.0</v>
      </c>
      <c r="O840" s="823"/>
    </row>
    <row r="841" ht="15.0" customHeight="1">
      <c r="A841" s="789">
        <v>45707.0</v>
      </c>
      <c r="B841" s="790">
        <v>2502550.0</v>
      </c>
      <c r="C841" s="791" t="s">
        <v>11484</v>
      </c>
      <c r="D841" s="791" t="s">
        <v>2643</v>
      </c>
      <c r="E841" s="792" t="str">
        <f>IFERROR(VLOOKUP(D841,Stock,3,FALSE),"")</f>
        <v>Toyota Vios 07-13 XP90 2nd Gen</v>
      </c>
      <c r="F841" s="791">
        <v>1.0</v>
      </c>
      <c r="G841" s="842">
        <v>793100.0</v>
      </c>
      <c r="H841" s="811">
        <f t="shared" si="40"/>
        <v>793100</v>
      </c>
      <c r="I841" s="809">
        <f t="shared" si="43"/>
        <v>793100</v>
      </c>
      <c r="J841" s="844">
        <v>45764.0</v>
      </c>
      <c r="K841" s="799" t="s">
        <v>4262</v>
      </c>
      <c r="L841" s="818" t="s">
        <v>12235</v>
      </c>
      <c r="M841" s="818" t="s">
        <v>6675</v>
      </c>
      <c r="N841" s="839">
        <v>45763.0</v>
      </c>
      <c r="O841" s="823"/>
    </row>
    <row r="842" ht="15.0" customHeight="1">
      <c r="A842" s="789">
        <v>45707.0</v>
      </c>
      <c r="B842" s="790">
        <v>2502550.0</v>
      </c>
      <c r="C842" s="791" t="s">
        <v>11484</v>
      </c>
      <c r="D842" s="791" t="s">
        <v>2682</v>
      </c>
      <c r="E842" s="792" t="str">
        <f>IFERROR(VLOOKUP(D842,Stock,3,FALSE),"")</f>
        <v>Toyota Yaris 05-13 XP90 1st Gen</v>
      </c>
      <c r="F842" s="791">
        <v>1.0</v>
      </c>
      <c r="G842" s="842">
        <v>839300.0</v>
      </c>
      <c r="H842" s="811">
        <f t="shared" si="40"/>
        <v>839300</v>
      </c>
      <c r="I842" s="809">
        <f t="shared" si="43"/>
        <v>839300</v>
      </c>
      <c r="J842" s="844">
        <v>45764.0</v>
      </c>
      <c r="K842" s="799" t="s">
        <v>4262</v>
      </c>
      <c r="L842" s="818" t="s">
        <v>12235</v>
      </c>
      <c r="M842" s="818" t="s">
        <v>6675</v>
      </c>
      <c r="N842" s="839">
        <v>45763.0</v>
      </c>
      <c r="O842" s="823"/>
    </row>
    <row r="843" ht="15.0" customHeight="1">
      <c r="A843" s="789">
        <v>45707.0</v>
      </c>
      <c r="B843" s="790">
        <v>2502550.0</v>
      </c>
      <c r="C843" s="791" t="s">
        <v>11484</v>
      </c>
      <c r="D843" s="791" t="s">
        <v>2552</v>
      </c>
      <c r="E843" s="792" t="str">
        <f>IFERROR(VLOOKUP(D843,Stock,3,FALSE),"")</f>
        <v>Toyota Kijang 02-04 Kapsul Lem Efi</v>
      </c>
      <c r="F843" s="791">
        <v>1.0</v>
      </c>
      <c r="G843" s="842">
        <v>754600.0</v>
      </c>
      <c r="H843" s="811">
        <f t="shared" si="40"/>
        <v>754600</v>
      </c>
      <c r="I843" s="809">
        <f t="shared" si="43"/>
        <v>754600</v>
      </c>
      <c r="J843" s="844">
        <v>45764.0</v>
      </c>
      <c r="K843" s="799" t="s">
        <v>4262</v>
      </c>
      <c r="L843" s="818" t="s">
        <v>12235</v>
      </c>
      <c r="M843" s="818" t="s">
        <v>6675</v>
      </c>
      <c r="N843" s="839">
        <v>45763.0</v>
      </c>
      <c r="O843" s="823"/>
    </row>
    <row r="844" ht="15.0" customHeight="1">
      <c r="A844" s="789">
        <v>45707.0</v>
      </c>
      <c r="B844" s="790">
        <v>2502565.0</v>
      </c>
      <c r="C844" s="791" t="s">
        <v>11484</v>
      </c>
      <c r="D844" s="791" t="s">
        <v>3235</v>
      </c>
      <c r="E844" s="792" t="str">
        <f>IFERROR(VLOOKUP(D844,Stock,3,FALSE),"")</f>
        <v>Toyota Vios 02-07 XP40 1st Gen</v>
      </c>
      <c r="F844" s="791">
        <v>1.0</v>
      </c>
      <c r="G844" s="842">
        <v>773500.0</v>
      </c>
      <c r="H844" s="811">
        <f t="shared" si="40"/>
        <v>773500</v>
      </c>
      <c r="I844" s="809">
        <f t="shared" si="43"/>
        <v>773500</v>
      </c>
      <c r="J844" s="844">
        <v>45765.0</v>
      </c>
      <c r="K844" s="799" t="s">
        <v>4262</v>
      </c>
      <c r="L844" s="818" t="s">
        <v>12235</v>
      </c>
      <c r="M844" s="818" t="s">
        <v>6675</v>
      </c>
      <c r="N844" s="839">
        <v>45763.0</v>
      </c>
      <c r="O844" s="823"/>
    </row>
    <row r="845" ht="15.0" customHeight="1">
      <c r="A845" s="789">
        <v>45707.0</v>
      </c>
      <c r="B845" s="790">
        <v>2502565.0</v>
      </c>
      <c r="C845" s="791" t="s">
        <v>11484</v>
      </c>
      <c r="D845" s="791" t="s">
        <v>6984</v>
      </c>
      <c r="E845" s="792" t="str">
        <f>IFERROR(VLOOKUP(D845,Stock,3,FALSE),"")</f>
        <v>Mitsubishi Mirage 12-</v>
      </c>
      <c r="F845" s="791">
        <v>1.0</v>
      </c>
      <c r="G845" s="842">
        <v>1148000.0</v>
      </c>
      <c r="H845" s="811">
        <f t="shared" si="40"/>
        <v>1148000</v>
      </c>
      <c r="I845" s="809">
        <f t="shared" si="43"/>
        <v>1148000</v>
      </c>
      <c r="J845" s="844">
        <v>45765.0</v>
      </c>
      <c r="K845" s="799" t="s">
        <v>4262</v>
      </c>
      <c r="L845" s="818" t="s">
        <v>12235</v>
      </c>
      <c r="M845" s="818" t="s">
        <v>6675</v>
      </c>
      <c r="N845" s="839">
        <v>45763.0</v>
      </c>
      <c r="O845" s="823"/>
    </row>
    <row r="846" ht="15.0" customHeight="1">
      <c r="A846" s="789">
        <v>45707.0</v>
      </c>
      <c r="B846" s="790">
        <v>2502549.0</v>
      </c>
      <c r="C846" s="791" t="s">
        <v>11484</v>
      </c>
      <c r="D846" s="791" t="s">
        <v>5002</v>
      </c>
      <c r="E846" s="792" t="str">
        <f>IFERROR(VLOOKUP(D846,Stock,3,FALSE),"")</f>
        <v>Honda Brio 10-17 [Lubang Wiper]</v>
      </c>
      <c r="F846" s="791">
        <v>1.0</v>
      </c>
      <c r="G846" s="842">
        <v>712600.0</v>
      </c>
      <c r="H846" s="811">
        <f t="shared" si="40"/>
        <v>712600</v>
      </c>
      <c r="I846" s="809">
        <f t="shared" si="43"/>
        <v>712600</v>
      </c>
      <c r="J846" s="844">
        <v>45764.0</v>
      </c>
      <c r="K846" s="799" t="s">
        <v>4262</v>
      </c>
      <c r="L846" s="818" t="s">
        <v>12235</v>
      </c>
      <c r="M846" s="818" t="s">
        <v>6675</v>
      </c>
      <c r="N846" s="839">
        <v>45763.0</v>
      </c>
      <c r="O846" s="823"/>
    </row>
    <row r="847" ht="15.0" customHeight="1">
      <c r="A847" s="789">
        <v>45707.0</v>
      </c>
      <c r="B847" s="790">
        <v>2502549.0</v>
      </c>
      <c r="C847" s="791" t="s">
        <v>11484</v>
      </c>
      <c r="D847" s="791" t="s">
        <v>6199</v>
      </c>
      <c r="E847" s="792" t="str">
        <f>IFERROR(VLOOKUP(D847,Stock,3,FALSE),"")</f>
        <v>Honda Brio 10-17 [Tanpa Lubang]</v>
      </c>
      <c r="F847" s="791">
        <v>1.0</v>
      </c>
      <c r="G847" s="842">
        <v>668500.0</v>
      </c>
      <c r="H847" s="811">
        <f t="shared" si="40"/>
        <v>668500</v>
      </c>
      <c r="I847" s="809">
        <f t="shared" si="43"/>
        <v>668500</v>
      </c>
      <c r="J847" s="844">
        <v>45764.0</v>
      </c>
      <c r="K847" s="799" t="s">
        <v>4262</v>
      </c>
      <c r="L847" s="818" t="s">
        <v>12235</v>
      </c>
      <c r="M847" s="818" t="s">
        <v>6675</v>
      </c>
      <c r="N847" s="839">
        <v>45763.0</v>
      </c>
      <c r="O847" s="823"/>
    </row>
    <row r="848" ht="15.0" customHeight="1">
      <c r="A848" s="789">
        <v>45707.0</v>
      </c>
      <c r="B848" s="790">
        <v>2502549.0</v>
      </c>
      <c r="C848" s="791" t="s">
        <v>11484</v>
      </c>
      <c r="D848" s="791" t="s">
        <v>4613</v>
      </c>
      <c r="E848" s="792" t="str">
        <f>IFERROR(VLOOKUP(D848,Stock,3,FALSE),"")</f>
        <v>Honda Freed 08-16 1st gen</v>
      </c>
      <c r="F848" s="791">
        <v>1.0</v>
      </c>
      <c r="G848" s="842">
        <v>837200.0</v>
      </c>
      <c r="H848" s="811">
        <f t="shared" si="40"/>
        <v>837200</v>
      </c>
      <c r="I848" s="809">
        <f t="shared" si="43"/>
        <v>837200</v>
      </c>
      <c r="J848" s="844">
        <v>45764.0</v>
      </c>
      <c r="K848" s="799" t="s">
        <v>4262</v>
      </c>
      <c r="L848" s="818" t="s">
        <v>12235</v>
      </c>
      <c r="M848" s="818" t="s">
        <v>6675</v>
      </c>
      <c r="N848" s="839">
        <v>45763.0</v>
      </c>
      <c r="O848" s="823"/>
    </row>
    <row r="849" ht="15.0" customHeight="1">
      <c r="A849" s="789">
        <v>45707.0</v>
      </c>
      <c r="B849" s="790">
        <v>2502549.0</v>
      </c>
      <c r="C849" s="791" t="s">
        <v>11484</v>
      </c>
      <c r="D849" s="791" t="s">
        <v>3877</v>
      </c>
      <c r="E849" s="792" t="str">
        <f>IFERROR(VLOOKUP(D849,Stock,3,FALSE),"")</f>
        <v>Nissan Livina 13-18 L11 (Lubang)</v>
      </c>
      <c r="F849" s="791">
        <v>2.0</v>
      </c>
      <c r="G849" s="842">
        <v>668500.0</v>
      </c>
      <c r="H849" s="811">
        <f t="shared" si="40"/>
        <v>1337000</v>
      </c>
      <c r="I849" s="809">
        <f t="shared" si="43"/>
        <v>1337000</v>
      </c>
      <c r="J849" s="844">
        <v>45764.0</v>
      </c>
      <c r="K849" s="799" t="s">
        <v>4262</v>
      </c>
      <c r="L849" s="818" t="s">
        <v>12235</v>
      </c>
      <c r="M849" s="818" t="s">
        <v>6675</v>
      </c>
      <c r="N849" s="839">
        <v>45763.0</v>
      </c>
      <c r="O849" s="823"/>
    </row>
    <row r="850" ht="15.0" customHeight="1">
      <c r="A850" s="789">
        <v>45707.0</v>
      </c>
      <c r="B850" s="790">
        <v>2502549.0</v>
      </c>
      <c r="C850" s="791" t="s">
        <v>11484</v>
      </c>
      <c r="D850" s="791" t="s">
        <v>3127</v>
      </c>
      <c r="E850" s="792" t="str">
        <f>IFERROR(VLOOKUP(D850,Stock,3,FALSE),"")</f>
        <v>Toyota Avanza / Xenia 03-11 1st Gen</v>
      </c>
      <c r="F850" s="791">
        <v>3.0</v>
      </c>
      <c r="G850" s="842">
        <v>378700.0</v>
      </c>
      <c r="H850" s="811">
        <f t="shared" si="40"/>
        <v>1136100</v>
      </c>
      <c r="I850" s="809">
        <f t="shared" si="43"/>
        <v>1136100</v>
      </c>
      <c r="J850" s="844">
        <v>45764.0</v>
      </c>
      <c r="K850" s="799" t="s">
        <v>4262</v>
      </c>
      <c r="L850" s="818" t="s">
        <v>12235</v>
      </c>
      <c r="M850" s="818" t="s">
        <v>6675</v>
      </c>
      <c r="N850" s="839">
        <v>45763.0</v>
      </c>
      <c r="O850" s="823"/>
    </row>
    <row r="851" ht="15.0" customHeight="1">
      <c r="A851" s="789">
        <v>45707.0</v>
      </c>
      <c r="B851" s="790">
        <v>2502549.0</v>
      </c>
      <c r="C851" s="791" t="s">
        <v>11484</v>
      </c>
      <c r="D851" s="791" t="s">
        <v>2744</v>
      </c>
      <c r="E851" s="792" t="str">
        <f>IFERROR(VLOOKUP(D851,Stock,3,FALSE),"")</f>
        <v>Toyota Fortuner 05-15 1st Gen (Hitam)</v>
      </c>
      <c r="F851" s="791">
        <v>1.0</v>
      </c>
      <c r="G851" s="842">
        <v>1365000.0</v>
      </c>
      <c r="H851" s="811">
        <f t="shared" si="40"/>
        <v>1365000</v>
      </c>
      <c r="I851" s="809">
        <f t="shared" si="43"/>
        <v>1365000</v>
      </c>
      <c r="J851" s="844">
        <v>45764.0</v>
      </c>
      <c r="K851" s="799" t="s">
        <v>4262</v>
      </c>
      <c r="L851" s="818" t="s">
        <v>12235</v>
      </c>
      <c r="M851" s="818" t="s">
        <v>6675</v>
      </c>
      <c r="N851" s="839">
        <v>45763.0</v>
      </c>
      <c r="O851" s="823"/>
    </row>
    <row r="852" ht="15.0" customHeight="1">
      <c r="A852" s="789">
        <v>45707.0</v>
      </c>
      <c r="B852" s="790">
        <v>2502549.0</v>
      </c>
      <c r="C852" s="791" t="s">
        <v>11484</v>
      </c>
      <c r="D852" s="791" t="s">
        <v>6716</v>
      </c>
      <c r="E852" s="792" t="str">
        <f>IFERROR(VLOOKUP(D852,Stock,3,FALSE),"")</f>
        <v>Toyota Fortuner 15- 2nd Gen</v>
      </c>
      <c r="F852" s="791">
        <v>1.0</v>
      </c>
      <c r="G852" s="842">
        <v>584500.0</v>
      </c>
      <c r="H852" s="811">
        <f t="shared" si="40"/>
        <v>584500</v>
      </c>
      <c r="I852" s="809">
        <f t="shared" si="43"/>
        <v>584500</v>
      </c>
      <c r="J852" s="844">
        <v>45764.0</v>
      </c>
      <c r="K852" s="799" t="s">
        <v>4262</v>
      </c>
      <c r="L852" s="818" t="s">
        <v>12235</v>
      </c>
      <c r="M852" s="818" t="s">
        <v>6675</v>
      </c>
      <c r="N852" s="839">
        <v>45763.0</v>
      </c>
      <c r="O852" s="823"/>
    </row>
    <row r="853" ht="15.0" customHeight="1">
      <c r="A853" s="789">
        <v>45707.0</v>
      </c>
      <c r="B853" s="790">
        <v>2502549.0</v>
      </c>
      <c r="C853" s="791" t="s">
        <v>11484</v>
      </c>
      <c r="D853" s="791" t="s">
        <v>5444</v>
      </c>
      <c r="E853" s="792" t="str">
        <f>IFERROR(VLOOKUP(D853,Stock,3,FALSE),"")</f>
        <v>Toyota Hi-Ace 19- Premio (Hitam) (Tinggi 56.7cm)</v>
      </c>
      <c r="F853" s="791">
        <v>1.0</v>
      </c>
      <c r="G853" s="842">
        <v>1821400.0</v>
      </c>
      <c r="H853" s="811">
        <f t="shared" si="40"/>
        <v>1821400</v>
      </c>
      <c r="I853" s="809">
        <f t="shared" si="43"/>
        <v>1821400</v>
      </c>
      <c r="J853" s="844">
        <v>45764.0</v>
      </c>
      <c r="K853" s="799" t="s">
        <v>4262</v>
      </c>
      <c r="L853" s="818" t="s">
        <v>12235</v>
      </c>
      <c r="M853" s="818" t="s">
        <v>6675</v>
      </c>
      <c r="N853" s="839">
        <v>45763.0</v>
      </c>
      <c r="O853" s="823"/>
    </row>
    <row r="854" ht="15.0" customHeight="1">
      <c r="A854" s="789">
        <v>45707.0</v>
      </c>
      <c r="B854" s="790">
        <v>2502549.0</v>
      </c>
      <c r="C854" s="791" t="s">
        <v>11484</v>
      </c>
      <c r="D854" s="791" t="s">
        <v>13121</v>
      </c>
      <c r="E854" s="792" t="str">
        <f>IFERROR(VLOOKUP(D854,Stock,3,FALSE),"")</f>
        <v>Nissan X-Trail 01-07 T30</v>
      </c>
      <c r="F854" s="791">
        <v>1.0</v>
      </c>
      <c r="G854" s="842">
        <v>1180200.0</v>
      </c>
      <c r="H854" s="811">
        <f t="shared" si="40"/>
        <v>1180200</v>
      </c>
      <c r="I854" s="809">
        <f t="shared" si="43"/>
        <v>1180200</v>
      </c>
      <c r="J854" s="844">
        <v>45764.0</v>
      </c>
      <c r="K854" s="799" t="s">
        <v>4262</v>
      </c>
      <c r="L854" s="818" t="s">
        <v>12235</v>
      </c>
      <c r="M854" s="818" t="s">
        <v>6675</v>
      </c>
      <c r="N854" s="839">
        <v>45763.0</v>
      </c>
      <c r="O854" s="823"/>
    </row>
    <row r="855" ht="15.0" customHeight="1">
      <c r="A855" s="789">
        <v>45707.0</v>
      </c>
      <c r="B855" s="790">
        <v>2502549.0</v>
      </c>
      <c r="C855" s="791" t="s">
        <v>11484</v>
      </c>
      <c r="D855" s="791" t="s">
        <v>7127</v>
      </c>
      <c r="E855" s="792" t="str">
        <f>IFERROR(VLOOKUP(D855,Stock,3,FALSE),"")</f>
        <v>Toyota Rush / Terios 18-</v>
      </c>
      <c r="F855" s="791">
        <v>1.0</v>
      </c>
      <c r="G855" s="842">
        <v>462000.0</v>
      </c>
      <c r="H855" s="811">
        <f t="shared" si="40"/>
        <v>462000</v>
      </c>
      <c r="I855" s="809">
        <f t="shared" si="43"/>
        <v>462000</v>
      </c>
      <c r="J855" s="844">
        <v>45764.0</v>
      </c>
      <c r="K855" s="799" t="s">
        <v>4262</v>
      </c>
      <c r="L855" s="818" t="s">
        <v>12235</v>
      </c>
      <c r="M855" s="818" t="s">
        <v>6675</v>
      </c>
      <c r="N855" s="839">
        <v>45763.0</v>
      </c>
      <c r="O855" s="823"/>
    </row>
    <row r="856" ht="15.0" customHeight="1">
      <c r="A856" s="789">
        <v>45708.0</v>
      </c>
      <c r="B856" s="829" t="s">
        <v>13122</v>
      </c>
      <c r="C856" s="791" t="s">
        <v>13107</v>
      </c>
      <c r="D856" s="791" t="s">
        <v>6993</v>
      </c>
      <c r="E856" s="792" t="str">
        <f>IFERROR(VLOOKUP(D856,Stock,3,FALSE),"")</f>
        <v>Suzuki Ertiga 12-18 1st Gen MPV (Suzuki)</v>
      </c>
      <c r="F856" s="791">
        <v>1.0</v>
      </c>
      <c r="G856" s="842">
        <v>150000.0</v>
      </c>
      <c r="H856" s="811">
        <f t="shared" si="40"/>
        <v>150000</v>
      </c>
      <c r="I856" s="809"/>
      <c r="J856" s="819"/>
      <c r="K856" s="799" t="s">
        <v>4262</v>
      </c>
      <c r="L856" s="818" t="s">
        <v>12235</v>
      </c>
      <c r="M856" s="818" t="s">
        <v>6675</v>
      </c>
      <c r="N856" s="839">
        <v>45708.0</v>
      </c>
      <c r="O856" s="823"/>
    </row>
    <row r="857" ht="15.0" customHeight="1">
      <c r="A857" s="789">
        <v>45709.0</v>
      </c>
      <c r="B857" s="790">
        <v>2502690.0</v>
      </c>
      <c r="C857" s="791" t="s">
        <v>11484</v>
      </c>
      <c r="D857" s="791" t="s">
        <v>3186</v>
      </c>
      <c r="E857" s="792" t="str">
        <f>IFERROR(VLOOKUP(D857,Stock,3,FALSE),"")</f>
        <v>Daihatsu Gran Max / Luxio 07-</v>
      </c>
      <c r="F857" s="791">
        <v>3.0</v>
      </c>
      <c r="G857" s="842">
        <v>598500.0</v>
      </c>
      <c r="H857" s="811">
        <f t="shared" si="40"/>
        <v>1795500</v>
      </c>
      <c r="I857" s="809">
        <f t="shared" ref="I857:I858" si="44">H857</f>
        <v>1795500</v>
      </c>
      <c r="J857" s="844">
        <v>45752.0</v>
      </c>
      <c r="K857" s="799" t="s">
        <v>4262</v>
      </c>
      <c r="L857" s="818" t="s">
        <v>12235</v>
      </c>
      <c r="M857" s="818" t="s">
        <v>6675</v>
      </c>
      <c r="N857" s="839">
        <v>45764.0</v>
      </c>
      <c r="O857" s="823"/>
    </row>
    <row r="858" ht="15.0" customHeight="1">
      <c r="A858" s="789">
        <v>45708.0</v>
      </c>
      <c r="B858" s="790">
        <v>2502681.0</v>
      </c>
      <c r="C858" s="791" t="s">
        <v>11484</v>
      </c>
      <c r="D858" s="791" t="s">
        <v>6977</v>
      </c>
      <c r="E858" s="792" t="str">
        <f>IFERROR(VLOOKUP(D858,Stock,3,FALSE),"")</f>
        <v>Suzuki Karimun 99-06 Kotak</v>
      </c>
      <c r="F858" s="791">
        <v>1.0</v>
      </c>
      <c r="G858" s="842">
        <v>731500.0</v>
      </c>
      <c r="H858" s="811">
        <f t="shared" si="40"/>
        <v>731500</v>
      </c>
      <c r="I858" s="809">
        <f t="shared" si="44"/>
        <v>731500</v>
      </c>
      <c r="J858" s="844">
        <v>45751.0</v>
      </c>
      <c r="K858" s="799" t="s">
        <v>4262</v>
      </c>
      <c r="L858" s="818" t="s">
        <v>12235</v>
      </c>
      <c r="M858" s="818" t="s">
        <v>6675</v>
      </c>
      <c r="N858" s="839">
        <v>45764.0</v>
      </c>
      <c r="O858" s="823"/>
    </row>
    <row r="859" ht="15.0" customHeight="1">
      <c r="A859" s="789">
        <v>45712.0</v>
      </c>
      <c r="B859" s="790" t="s">
        <v>13123</v>
      </c>
      <c r="C859" s="791" t="s">
        <v>13115</v>
      </c>
      <c r="D859" s="791" t="s">
        <v>7050</v>
      </c>
      <c r="E859" s="792" t="str">
        <f>IFERROR(VLOOKUP(D859,Stock,3,FALSE),"")</f>
        <v>Toyota Rush / Terios 06-17 (Toyota/Daihatsu)</v>
      </c>
      <c r="F859" s="791">
        <v>1.0</v>
      </c>
      <c r="G859" s="842">
        <v>1287000.0</v>
      </c>
      <c r="H859" s="811">
        <f t="shared" si="40"/>
        <v>1287000</v>
      </c>
      <c r="I859" s="809"/>
      <c r="J859" s="819"/>
      <c r="K859" s="799" t="s">
        <v>4262</v>
      </c>
      <c r="L859" s="818" t="s">
        <v>12235</v>
      </c>
      <c r="M859" s="818" t="s">
        <v>6675</v>
      </c>
      <c r="N859" s="839">
        <v>45712.0</v>
      </c>
      <c r="O859" s="823"/>
    </row>
    <row r="860" ht="15.0" customHeight="1">
      <c r="A860" s="789">
        <v>45712.0</v>
      </c>
      <c r="B860" s="790">
        <v>2502743.0</v>
      </c>
      <c r="C860" s="791" t="s">
        <v>11484</v>
      </c>
      <c r="D860" s="791" t="s">
        <v>6544</v>
      </c>
      <c r="E860" s="792" t="str">
        <f>IFERROR(VLOOKUP(D860,Stock,3,FALSE),"")</f>
        <v>Daihatsu Taruna</v>
      </c>
      <c r="F860" s="791">
        <v>1.0</v>
      </c>
      <c r="G860" s="842">
        <v>770000.0</v>
      </c>
      <c r="H860" s="811">
        <f t="shared" si="40"/>
        <v>770000</v>
      </c>
      <c r="I860" s="809">
        <f t="shared" ref="I860:I901" si="45">H860</f>
        <v>770000</v>
      </c>
      <c r="J860" s="844">
        <v>45755.0</v>
      </c>
      <c r="K860" s="799" t="s">
        <v>4258</v>
      </c>
      <c r="L860" s="818" t="s">
        <v>12235</v>
      </c>
      <c r="M860" s="818" t="s">
        <v>6675</v>
      </c>
      <c r="N860" s="839">
        <v>45764.0</v>
      </c>
      <c r="O860" s="823"/>
    </row>
    <row r="861" ht="15.0" customHeight="1">
      <c r="A861" s="789">
        <v>45712.0</v>
      </c>
      <c r="B861" s="790">
        <v>2502743.0</v>
      </c>
      <c r="C861" s="791" t="s">
        <v>11484</v>
      </c>
      <c r="D861" s="791" t="s">
        <v>7069</v>
      </c>
      <c r="E861" s="792" t="str">
        <f>IFERROR(VLOOKUP(D861,Stock,3,FALSE),"")</f>
        <v>Toyota Raize / Daihatsu Rocky 20- [Sensor]</v>
      </c>
      <c r="F861" s="791">
        <v>1.0</v>
      </c>
      <c r="G861" s="842">
        <v>1085000.0</v>
      </c>
      <c r="H861" s="811">
        <f t="shared" si="40"/>
        <v>1085000</v>
      </c>
      <c r="I861" s="809">
        <f t="shared" si="45"/>
        <v>1085000</v>
      </c>
      <c r="J861" s="844">
        <v>45755.0</v>
      </c>
      <c r="K861" s="799" t="s">
        <v>4258</v>
      </c>
      <c r="L861" s="818" t="s">
        <v>12235</v>
      </c>
      <c r="M861" s="818" t="s">
        <v>6675</v>
      </c>
      <c r="N861" s="839">
        <v>45764.0</v>
      </c>
      <c r="O861" s="823"/>
    </row>
    <row r="862" ht="15.0" customHeight="1">
      <c r="A862" s="789">
        <v>45712.0</v>
      </c>
      <c r="B862" s="790">
        <v>2502735.0</v>
      </c>
      <c r="C862" s="791" t="s">
        <v>11484</v>
      </c>
      <c r="D862" s="791" t="s">
        <v>2669</v>
      </c>
      <c r="E862" s="792" t="str">
        <f>IFERROR(VLOOKUP(D862,Stock,3,FALSE),"")</f>
        <v>Nissan Livina 07-18 L10/L11</v>
      </c>
      <c r="F862" s="791">
        <v>1.0</v>
      </c>
      <c r="G862" s="842">
        <v>764400.0</v>
      </c>
      <c r="H862" s="811">
        <f t="shared" si="40"/>
        <v>764400</v>
      </c>
      <c r="I862" s="809">
        <f t="shared" si="45"/>
        <v>764400</v>
      </c>
      <c r="J862" s="844">
        <v>45755.0</v>
      </c>
      <c r="K862" s="799" t="s">
        <v>4258</v>
      </c>
      <c r="L862" s="818" t="s">
        <v>12235</v>
      </c>
      <c r="M862" s="818" t="s">
        <v>6675</v>
      </c>
      <c r="N862" s="839">
        <v>45764.0</v>
      </c>
      <c r="O862" s="823"/>
    </row>
    <row r="863" ht="15.0" customHeight="1">
      <c r="A863" s="789">
        <v>45712.0</v>
      </c>
      <c r="B863" s="790">
        <v>2502735.0</v>
      </c>
      <c r="C863" s="791" t="s">
        <v>11484</v>
      </c>
      <c r="D863" s="791" t="s">
        <v>3493</v>
      </c>
      <c r="E863" s="792" t="str">
        <f>IFERROR(VLOOKUP(D863,Stock,3,FALSE),"")</f>
        <v>Nissan Livina 07-18 L10/L11</v>
      </c>
      <c r="F863" s="791">
        <v>1.0</v>
      </c>
      <c r="G863" s="842">
        <v>764400.0</v>
      </c>
      <c r="H863" s="811">
        <f t="shared" si="40"/>
        <v>764400</v>
      </c>
      <c r="I863" s="809">
        <f t="shared" si="45"/>
        <v>764400</v>
      </c>
      <c r="J863" s="844">
        <v>45755.0</v>
      </c>
      <c r="K863" s="799" t="s">
        <v>4258</v>
      </c>
      <c r="L863" s="818" t="s">
        <v>12235</v>
      </c>
      <c r="M863" s="818" t="s">
        <v>6675</v>
      </c>
      <c r="N863" s="839">
        <v>45764.0</v>
      </c>
      <c r="O863" s="823"/>
    </row>
    <row r="864" ht="15.0" customHeight="1">
      <c r="A864" s="789">
        <v>45712.0</v>
      </c>
      <c r="B864" s="790">
        <v>2502771.0</v>
      </c>
      <c r="C864" s="791" t="s">
        <v>11484</v>
      </c>
      <c r="D864" s="791" t="s">
        <v>2669</v>
      </c>
      <c r="E864" s="792" t="str">
        <f>IFERROR(VLOOKUP(D864,Stock,3,FALSE),"")</f>
        <v>Nissan Livina 07-18 L10/L11</v>
      </c>
      <c r="F864" s="791">
        <v>1.0</v>
      </c>
      <c r="G864" s="842">
        <v>764400.0</v>
      </c>
      <c r="H864" s="811">
        <f t="shared" si="40"/>
        <v>764400</v>
      </c>
      <c r="I864" s="809">
        <f t="shared" si="45"/>
        <v>764400</v>
      </c>
      <c r="J864" s="844">
        <v>45755.0</v>
      </c>
      <c r="K864" s="799" t="s">
        <v>4258</v>
      </c>
      <c r="L864" s="818" t="s">
        <v>12235</v>
      </c>
      <c r="M864" s="818" t="s">
        <v>6675</v>
      </c>
      <c r="N864" s="839">
        <v>45764.0</v>
      </c>
      <c r="O864" s="823"/>
    </row>
    <row r="865" ht="15.0" customHeight="1">
      <c r="A865" s="789">
        <v>45715.0</v>
      </c>
      <c r="B865" s="790">
        <v>2502787.0</v>
      </c>
      <c r="C865" s="791" t="s">
        <v>11484</v>
      </c>
      <c r="D865" s="791" t="s">
        <v>2926</v>
      </c>
      <c r="E865" s="792" t="str">
        <f>IFERROR(VLOOKUP(D865,Stock,3,FALSE),"")</f>
        <v>Honda Jazz 01-07 1st Gen</v>
      </c>
      <c r="F865" s="791">
        <v>1.0</v>
      </c>
      <c r="G865" s="842">
        <v>856800.0</v>
      </c>
      <c r="H865" s="811">
        <f t="shared" si="40"/>
        <v>856800</v>
      </c>
      <c r="I865" s="809">
        <f t="shared" si="45"/>
        <v>856800</v>
      </c>
      <c r="J865" s="844">
        <v>45772.0</v>
      </c>
      <c r="K865" s="799" t="s">
        <v>4262</v>
      </c>
      <c r="L865" s="818" t="s">
        <v>12235</v>
      </c>
      <c r="M865" s="818" t="s">
        <v>6675</v>
      </c>
      <c r="N865" s="839">
        <v>45764.0</v>
      </c>
      <c r="O865" s="823"/>
    </row>
    <row r="866" ht="15.0" customHeight="1">
      <c r="A866" s="789">
        <v>45715.0</v>
      </c>
      <c r="B866" s="790">
        <v>2502787.0</v>
      </c>
      <c r="C866" s="791" t="s">
        <v>11484</v>
      </c>
      <c r="D866" s="791" t="s">
        <v>7063</v>
      </c>
      <c r="E866" s="792" t="str">
        <f>IFERROR(VLOOKUP(D866,Stock,3,FALSE),"")</f>
        <v>Wuling Confero (Tanpa Spionnya)</v>
      </c>
      <c r="F866" s="791">
        <v>1.0</v>
      </c>
      <c r="G866" s="842">
        <v>798000.0</v>
      </c>
      <c r="H866" s="811">
        <f t="shared" si="40"/>
        <v>798000</v>
      </c>
      <c r="I866" s="809">
        <f t="shared" si="45"/>
        <v>798000</v>
      </c>
      <c r="J866" s="844">
        <v>45772.0</v>
      </c>
      <c r="K866" s="799" t="s">
        <v>4262</v>
      </c>
      <c r="L866" s="818" t="s">
        <v>12235</v>
      </c>
      <c r="M866" s="818" t="s">
        <v>6675</v>
      </c>
      <c r="N866" s="839">
        <v>45764.0</v>
      </c>
      <c r="O866" s="823"/>
    </row>
    <row r="867" ht="15.0" customHeight="1">
      <c r="A867" s="789">
        <v>45715.0</v>
      </c>
      <c r="B867" s="790">
        <v>2502877.0</v>
      </c>
      <c r="C867" s="791" t="s">
        <v>11484</v>
      </c>
      <c r="D867" s="791" t="s">
        <v>4005</v>
      </c>
      <c r="E867" s="792" t="str">
        <f>IFERROR(VLOOKUP(D867,Stock,3,FALSE),"")</f>
        <v>Toyota Fortuner 15- 2nd Gen</v>
      </c>
      <c r="F867" s="791">
        <v>1.0</v>
      </c>
      <c r="G867" s="842">
        <v>1015000.0</v>
      </c>
      <c r="H867" s="811">
        <f t="shared" si="40"/>
        <v>1015000</v>
      </c>
      <c r="I867" s="809">
        <f t="shared" si="45"/>
        <v>1015000</v>
      </c>
      <c r="J867" s="844">
        <v>45774.0</v>
      </c>
      <c r="K867" s="799" t="s">
        <v>4262</v>
      </c>
      <c r="L867" s="818" t="s">
        <v>12235</v>
      </c>
      <c r="M867" s="818" t="s">
        <v>6675</v>
      </c>
      <c r="N867" s="839">
        <v>45764.0</v>
      </c>
      <c r="O867" s="823"/>
    </row>
    <row r="868" ht="15.0" customHeight="1">
      <c r="A868" s="789">
        <v>45719.0</v>
      </c>
      <c r="B868" s="790">
        <v>2503024.0</v>
      </c>
      <c r="C868" s="791" t="s">
        <v>11484</v>
      </c>
      <c r="D868" s="791" t="s">
        <v>3391</v>
      </c>
      <c r="E868" s="792" t="str">
        <f>IFERROR(VLOOKUP(D868,Stock,3,FALSE),"")</f>
        <v>Toyota Fortuner 05-15 1st Gen</v>
      </c>
      <c r="F868" s="791">
        <v>2.0</v>
      </c>
      <c r="G868" s="842">
        <v>764400.0</v>
      </c>
      <c r="H868" s="811">
        <f t="shared" si="40"/>
        <v>1528800</v>
      </c>
      <c r="I868" s="809">
        <f t="shared" si="45"/>
        <v>1528800</v>
      </c>
      <c r="J868" s="844">
        <v>45775.0</v>
      </c>
      <c r="K868" s="799" t="s">
        <v>4262</v>
      </c>
      <c r="L868" s="818" t="s">
        <v>12235</v>
      </c>
      <c r="M868" s="818" t="s">
        <v>6675</v>
      </c>
      <c r="N868" s="839">
        <v>45773.0</v>
      </c>
      <c r="O868" s="823"/>
    </row>
    <row r="869" ht="15.0" customHeight="1">
      <c r="A869" s="789">
        <v>45719.0</v>
      </c>
      <c r="B869" s="790">
        <v>2503035.0</v>
      </c>
      <c r="C869" s="791" t="s">
        <v>11478</v>
      </c>
      <c r="D869" s="791" t="s">
        <v>2965</v>
      </c>
      <c r="E869" s="792" t="str">
        <f>IFERROR(VLOOKUP(D869,Stock,3,FALSE),"")</f>
        <v>Suzuki Ertiga 12-18 1st Gen MPV</v>
      </c>
      <c r="F869" s="791">
        <v>1.0</v>
      </c>
      <c r="G869" s="842">
        <v>371700.0</v>
      </c>
      <c r="H869" s="811">
        <f t="shared" si="40"/>
        <v>371700</v>
      </c>
      <c r="I869" s="809">
        <f t="shared" si="45"/>
        <v>371700</v>
      </c>
      <c r="J869" s="844">
        <v>45780.0</v>
      </c>
      <c r="K869" s="799" t="s">
        <v>4262</v>
      </c>
      <c r="L869" s="818" t="s">
        <v>12235</v>
      </c>
      <c r="M869" s="818" t="s">
        <v>6675</v>
      </c>
      <c r="N869" s="839">
        <v>45773.0</v>
      </c>
      <c r="O869" s="823"/>
    </row>
    <row r="870" ht="15.0" customHeight="1">
      <c r="A870" s="789">
        <v>45719.0</v>
      </c>
      <c r="B870" s="790">
        <v>2503035.0</v>
      </c>
      <c r="C870" s="791" t="s">
        <v>11478</v>
      </c>
      <c r="D870" s="791" t="s">
        <v>7222</v>
      </c>
      <c r="E870" s="792" t="str">
        <f>IFERROR(VLOOKUP(D870,Stock,3,FALSE),"")</f>
        <v>Mazda 2 14- Skyactiv 4th Gen Hatchback</v>
      </c>
      <c r="F870" s="791">
        <v>1.0</v>
      </c>
      <c r="G870" s="842">
        <v>507500.0</v>
      </c>
      <c r="H870" s="811">
        <f t="shared" si="40"/>
        <v>507500</v>
      </c>
      <c r="I870" s="809">
        <f t="shared" si="45"/>
        <v>507500</v>
      </c>
      <c r="J870" s="844">
        <v>45780.0</v>
      </c>
      <c r="K870" s="799" t="s">
        <v>4262</v>
      </c>
      <c r="L870" s="818" t="s">
        <v>12235</v>
      </c>
      <c r="M870" s="818" t="s">
        <v>6675</v>
      </c>
      <c r="N870" s="839">
        <v>45773.0</v>
      </c>
      <c r="O870" s="823"/>
    </row>
    <row r="871" ht="15.0" customHeight="1">
      <c r="A871" s="789">
        <v>45719.0</v>
      </c>
      <c r="B871" s="790">
        <v>2502889.0</v>
      </c>
      <c r="C871" s="791" t="s">
        <v>11484</v>
      </c>
      <c r="D871" s="791" t="s">
        <v>3136</v>
      </c>
      <c r="E871" s="792" t="str">
        <f>IFERROR(VLOOKUP(D871,Stock,3,FALSE),"")</f>
        <v>Mitsubishi Pajero 16-</v>
      </c>
      <c r="F871" s="791">
        <v>1.0</v>
      </c>
      <c r="G871" s="842">
        <v>865200.0</v>
      </c>
      <c r="H871" s="811">
        <f t="shared" si="40"/>
        <v>865200</v>
      </c>
      <c r="I871" s="809">
        <f t="shared" si="45"/>
        <v>865200</v>
      </c>
      <c r="J871" s="844">
        <v>45775.0</v>
      </c>
      <c r="K871" s="799" t="s">
        <v>4262</v>
      </c>
      <c r="L871" s="818" t="s">
        <v>12235</v>
      </c>
      <c r="M871" s="818" t="s">
        <v>6675</v>
      </c>
      <c r="N871" s="839">
        <v>45764.0</v>
      </c>
      <c r="O871" s="823"/>
    </row>
    <row r="872" ht="15.0" customHeight="1">
      <c r="A872" s="789">
        <v>45719.0</v>
      </c>
      <c r="B872" s="790">
        <v>2502889.0</v>
      </c>
      <c r="C872" s="791" t="s">
        <v>11484</v>
      </c>
      <c r="D872" s="791" t="s">
        <v>2639</v>
      </c>
      <c r="E872" s="792" t="str">
        <f>IFERROR(VLOOKUP(D872,Stock,3,FALSE),"")</f>
        <v>Kia Sonet 21-</v>
      </c>
      <c r="F872" s="791">
        <v>1.0</v>
      </c>
      <c r="G872" s="791">
        <v>1155000.0</v>
      </c>
      <c r="H872" s="811">
        <f t="shared" si="40"/>
        <v>1155000</v>
      </c>
      <c r="I872" s="809">
        <f t="shared" si="45"/>
        <v>1155000</v>
      </c>
      <c r="J872" s="844">
        <v>45775.0</v>
      </c>
      <c r="K872" s="799" t="s">
        <v>4262</v>
      </c>
      <c r="L872" s="818" t="s">
        <v>12235</v>
      </c>
      <c r="M872" s="818" t="s">
        <v>6675</v>
      </c>
      <c r="N872" s="839">
        <v>45764.0</v>
      </c>
      <c r="O872" s="823"/>
    </row>
    <row r="873" ht="15.0" customHeight="1">
      <c r="A873" s="789">
        <v>45719.0</v>
      </c>
      <c r="B873" s="790">
        <v>2502889.0</v>
      </c>
      <c r="C873" s="791" t="s">
        <v>11484</v>
      </c>
      <c r="D873" s="791" t="s">
        <v>2663</v>
      </c>
      <c r="E873" s="792" t="str">
        <f>IFERROR(VLOOKUP(D873,Stock,3,FALSE),"")</f>
        <v>Chevrolet Captiva 06-18 1st gen C100</v>
      </c>
      <c r="F873" s="791">
        <v>1.0</v>
      </c>
      <c r="G873" s="791">
        <v>1269100.0</v>
      </c>
      <c r="H873" s="811">
        <f t="shared" si="40"/>
        <v>1269100</v>
      </c>
      <c r="I873" s="809">
        <f t="shared" si="45"/>
        <v>1269100</v>
      </c>
      <c r="J873" s="844">
        <v>45775.0</v>
      </c>
      <c r="K873" s="799" t="s">
        <v>4262</v>
      </c>
      <c r="L873" s="818" t="s">
        <v>12235</v>
      </c>
      <c r="M873" s="818" t="s">
        <v>6675</v>
      </c>
      <c r="N873" s="839">
        <v>45764.0</v>
      </c>
      <c r="O873" s="823"/>
    </row>
    <row r="874" ht="15.0" customHeight="1">
      <c r="A874" s="789">
        <v>45719.0</v>
      </c>
      <c r="B874" s="790">
        <v>2502889.0</v>
      </c>
      <c r="C874" s="791" t="s">
        <v>11484</v>
      </c>
      <c r="D874" s="791" t="s">
        <v>2559</v>
      </c>
      <c r="E874" s="792" t="str">
        <f>IFERROR(VLOOKUP(D874,Stock,3,FALSE),"")</f>
        <v>Toyota Kijang 98- Kapsul Karet</v>
      </c>
      <c r="F874" s="791">
        <v>1.0</v>
      </c>
      <c r="G874" s="791">
        <v>754600.0</v>
      </c>
      <c r="H874" s="811">
        <f t="shared" si="40"/>
        <v>754600</v>
      </c>
      <c r="I874" s="809">
        <f t="shared" si="45"/>
        <v>754600</v>
      </c>
      <c r="J874" s="844">
        <v>45775.0</v>
      </c>
      <c r="K874" s="799" t="s">
        <v>4262</v>
      </c>
      <c r="L874" s="818" t="s">
        <v>12235</v>
      </c>
      <c r="M874" s="818" t="s">
        <v>6675</v>
      </c>
      <c r="N874" s="839">
        <v>45764.0</v>
      </c>
      <c r="O874" s="823"/>
    </row>
    <row r="875" ht="15.0" customHeight="1">
      <c r="A875" s="789">
        <v>45719.0</v>
      </c>
      <c r="B875" s="790">
        <v>2502889.0</v>
      </c>
      <c r="C875" s="791" t="s">
        <v>11484</v>
      </c>
      <c r="D875" s="791" t="s">
        <v>2778</v>
      </c>
      <c r="E875" s="792" t="str">
        <f>IFERROR(VLOOKUP(D875,Stock,3,FALSE),"")</f>
        <v>Mitsubishi Fuso Fighter FK40 82-(PS190,220)</v>
      </c>
      <c r="F875" s="791">
        <v>2.0</v>
      </c>
      <c r="G875" s="791">
        <v>991900.0</v>
      </c>
      <c r="H875" s="811">
        <f t="shared" si="40"/>
        <v>1983800</v>
      </c>
      <c r="I875" s="809">
        <f t="shared" si="45"/>
        <v>1983800</v>
      </c>
      <c r="J875" s="844">
        <v>45775.0</v>
      </c>
      <c r="K875" s="799" t="s">
        <v>4262</v>
      </c>
      <c r="L875" s="818" t="s">
        <v>12235</v>
      </c>
      <c r="M875" s="818" t="s">
        <v>6675</v>
      </c>
      <c r="N875" s="839">
        <v>45764.0</v>
      </c>
      <c r="O875" s="823"/>
    </row>
    <row r="876" ht="15.0" customHeight="1">
      <c r="A876" s="789">
        <v>45719.0</v>
      </c>
      <c r="B876" s="790">
        <v>2503073.0</v>
      </c>
      <c r="C876" s="791" t="s">
        <v>11484</v>
      </c>
      <c r="D876" s="791" t="s">
        <v>9249</v>
      </c>
      <c r="E876" s="792" t="str">
        <f>IFERROR(VLOOKUP(D876,Stock,3,FALSE),"")</f>
        <v>Toyota Rush / Terios 06-17</v>
      </c>
      <c r="F876" s="791">
        <v>1.0</v>
      </c>
      <c r="G876" s="791">
        <v>453600.0</v>
      </c>
      <c r="H876" s="811">
        <f t="shared" si="40"/>
        <v>453600</v>
      </c>
      <c r="I876" s="809">
        <f t="shared" si="45"/>
        <v>453600</v>
      </c>
      <c r="J876" s="789">
        <v>45780.0</v>
      </c>
      <c r="K876" s="799" t="s">
        <v>4262</v>
      </c>
      <c r="L876" s="818" t="s">
        <v>12235</v>
      </c>
      <c r="M876" s="818" t="s">
        <v>6675</v>
      </c>
      <c r="N876" s="839">
        <v>45773.0</v>
      </c>
      <c r="O876" s="823"/>
    </row>
    <row r="877" ht="15.0" customHeight="1">
      <c r="A877" s="863">
        <v>45719.0</v>
      </c>
      <c r="B877" s="864" t="s">
        <v>13124</v>
      </c>
      <c r="C877" s="865" t="s">
        <v>10</v>
      </c>
      <c r="D877" s="865" t="s">
        <v>3176</v>
      </c>
      <c r="E877" s="866" t="str">
        <f>IFERROR(VLOOKUP(D877,Stock,3,FALSE),"")</f>
        <v>Toyota Avanza / Xenia 11-15 2nd Gen / 15-21 3rd Gen</v>
      </c>
      <c r="F877" s="865">
        <v>1.0</v>
      </c>
      <c r="G877" s="863"/>
      <c r="H877" s="810">
        <f t="shared" si="40"/>
        <v>0</v>
      </c>
      <c r="I877" s="868">
        <f t="shared" si="45"/>
        <v>0</v>
      </c>
      <c r="J877" s="863"/>
      <c r="K877" s="870" t="s">
        <v>4262</v>
      </c>
      <c r="L877" s="871"/>
      <c r="M877" s="871"/>
      <c r="N877" s="871"/>
      <c r="O877" s="871"/>
    </row>
    <row r="878" ht="15.0" customHeight="1">
      <c r="A878" s="789">
        <v>45720.0</v>
      </c>
      <c r="B878" s="790">
        <v>2503036.0</v>
      </c>
      <c r="C878" s="791" t="s">
        <v>11484</v>
      </c>
      <c r="D878" s="791" t="s">
        <v>7087</v>
      </c>
      <c r="E878" s="792" t="str">
        <f>IFERROR(VLOOKUP(D878,Stock,3,FALSE),"")</f>
        <v>BMW 5 Series 10-16 F10</v>
      </c>
      <c r="F878" s="791">
        <v>1.0</v>
      </c>
      <c r="G878" s="791">
        <v>2041200.0</v>
      </c>
      <c r="H878" s="811">
        <f t="shared" si="40"/>
        <v>2041200</v>
      </c>
      <c r="I878" s="809">
        <f t="shared" si="45"/>
        <v>2041200</v>
      </c>
      <c r="J878" s="789">
        <v>45780.0</v>
      </c>
      <c r="K878" s="799" t="s">
        <v>4262</v>
      </c>
      <c r="L878" s="818" t="s">
        <v>12235</v>
      </c>
      <c r="M878" s="818" t="s">
        <v>6675</v>
      </c>
      <c r="N878" s="839">
        <v>45773.0</v>
      </c>
      <c r="O878" s="823"/>
    </row>
    <row r="879" ht="15.0" customHeight="1">
      <c r="A879" s="789">
        <v>45720.0</v>
      </c>
      <c r="B879" s="790">
        <v>2503036.0</v>
      </c>
      <c r="C879" s="791" t="s">
        <v>11484</v>
      </c>
      <c r="D879" s="791" t="s">
        <v>2934</v>
      </c>
      <c r="E879" s="792" t="str">
        <f>IFERROR(VLOOKUP(D879,Stock,3,FALSE),"")</f>
        <v>Peti Kayu</v>
      </c>
      <c r="F879" s="791">
        <v>1.0</v>
      </c>
      <c r="G879" s="791">
        <v>150000.0</v>
      </c>
      <c r="H879" s="811">
        <f t="shared" si="40"/>
        <v>150000</v>
      </c>
      <c r="I879" s="809">
        <f t="shared" si="45"/>
        <v>150000</v>
      </c>
      <c r="J879" s="789">
        <v>45780.0</v>
      </c>
      <c r="K879" s="799" t="s">
        <v>4262</v>
      </c>
      <c r="L879" s="818" t="s">
        <v>12235</v>
      </c>
      <c r="M879" s="818" t="s">
        <v>6675</v>
      </c>
      <c r="N879" s="839">
        <v>45773.0</v>
      </c>
      <c r="O879" s="823"/>
    </row>
    <row r="880" ht="15.0" customHeight="1">
      <c r="A880" s="789">
        <v>45719.0</v>
      </c>
      <c r="B880" s="790">
        <v>2503079.0</v>
      </c>
      <c r="C880" s="791" t="s">
        <v>11484</v>
      </c>
      <c r="D880" s="791" t="s">
        <v>4628</v>
      </c>
      <c r="E880" s="792" t="str">
        <f>IFERROR(VLOOKUP(D880,Stock,3,FALSE),"")</f>
        <v>Mazda 2 09-14 3rd Gen Hatchback</v>
      </c>
      <c r="F880" s="791">
        <v>1.0</v>
      </c>
      <c r="G880" s="791">
        <v>742700.0</v>
      </c>
      <c r="H880" s="811">
        <f t="shared" si="40"/>
        <v>742700</v>
      </c>
      <c r="I880" s="809">
        <f t="shared" si="45"/>
        <v>742700</v>
      </c>
      <c r="J880" s="789">
        <v>45780.0</v>
      </c>
      <c r="K880" s="799" t="s">
        <v>4262</v>
      </c>
      <c r="L880" s="818" t="s">
        <v>12235</v>
      </c>
      <c r="M880" s="818" t="s">
        <v>6675</v>
      </c>
      <c r="N880" s="839">
        <v>45773.0</v>
      </c>
      <c r="O880" s="823"/>
    </row>
    <row r="881" ht="15.0" customHeight="1">
      <c r="A881" s="789">
        <v>45719.0</v>
      </c>
      <c r="B881" s="790">
        <v>2503079.0</v>
      </c>
      <c r="C881" s="791" t="s">
        <v>11484</v>
      </c>
      <c r="D881" s="791" t="s">
        <v>2934</v>
      </c>
      <c r="E881" s="792" t="str">
        <f>IFERROR(VLOOKUP(D881,Stock,3,FALSE),"")</f>
        <v>Peti Kayu</v>
      </c>
      <c r="F881" s="791">
        <v>1.0</v>
      </c>
      <c r="G881" s="791">
        <v>150000.0</v>
      </c>
      <c r="H881" s="811">
        <f t="shared" si="40"/>
        <v>150000</v>
      </c>
      <c r="I881" s="809">
        <f t="shared" si="45"/>
        <v>150000</v>
      </c>
      <c r="J881" s="789">
        <v>45780.0</v>
      </c>
      <c r="K881" s="799" t="s">
        <v>4262</v>
      </c>
      <c r="L881" s="818" t="s">
        <v>12235</v>
      </c>
      <c r="M881" s="818" t="s">
        <v>6675</v>
      </c>
      <c r="N881" s="839">
        <v>45773.0</v>
      </c>
      <c r="O881" s="823"/>
    </row>
    <row r="882" ht="15.0" customHeight="1">
      <c r="A882" s="789">
        <v>45720.0</v>
      </c>
      <c r="B882" s="790">
        <v>2503119.0</v>
      </c>
      <c r="C882" s="791" t="s">
        <v>11478</v>
      </c>
      <c r="D882" s="791" t="s">
        <v>6549</v>
      </c>
      <c r="E882" s="792" t="str">
        <f>IFERROR(VLOOKUP(D882,Stock,3,FALSE),"")</f>
        <v>Honda Mobilio 14-</v>
      </c>
      <c r="F882" s="791">
        <v>2.0</v>
      </c>
      <c r="G882" s="791">
        <v>630700.0</v>
      </c>
      <c r="H882" s="811">
        <f t="shared" si="40"/>
        <v>1261400</v>
      </c>
      <c r="I882" s="809">
        <f t="shared" si="45"/>
        <v>1261400</v>
      </c>
      <c r="J882" s="789">
        <v>45781.0</v>
      </c>
      <c r="K882" s="799" t="s">
        <v>4262</v>
      </c>
      <c r="L882" s="818" t="s">
        <v>12235</v>
      </c>
      <c r="M882" s="818" t="s">
        <v>6675</v>
      </c>
      <c r="N882" s="839">
        <v>45773.0</v>
      </c>
      <c r="O882" s="823"/>
    </row>
    <row r="883" ht="15.0" customHeight="1">
      <c r="A883" s="789">
        <v>45726.0</v>
      </c>
      <c r="B883" s="790">
        <v>2503273.0</v>
      </c>
      <c r="C883" s="791" t="s">
        <v>11478</v>
      </c>
      <c r="D883" s="791" t="s">
        <v>7201</v>
      </c>
      <c r="E883" s="792" t="str">
        <f>IFERROR(VLOOKUP(D883,Stock,3,FALSE),"")</f>
        <v>Mazda 6 12- GJ1/GL 3rd Gen</v>
      </c>
      <c r="F883" s="791">
        <v>1.0</v>
      </c>
      <c r="G883" s="791">
        <v>2529800.0</v>
      </c>
      <c r="H883" s="811">
        <f t="shared" si="40"/>
        <v>2529800</v>
      </c>
      <c r="I883" s="809">
        <f t="shared" si="45"/>
        <v>2529800</v>
      </c>
      <c r="J883" s="789">
        <v>45787.0</v>
      </c>
      <c r="K883" s="799" t="s">
        <v>4262</v>
      </c>
      <c r="L883" s="818" t="s">
        <v>12235</v>
      </c>
      <c r="M883" s="818" t="s">
        <v>6675</v>
      </c>
      <c r="N883" s="839">
        <v>45773.0</v>
      </c>
      <c r="O883" s="823"/>
    </row>
    <row r="884" ht="15.0" customHeight="1">
      <c r="A884" s="789">
        <v>45726.0</v>
      </c>
      <c r="B884" s="790">
        <v>2503264.0</v>
      </c>
      <c r="C884" s="791" t="s">
        <v>11484</v>
      </c>
      <c r="D884" s="791" t="s">
        <v>2663</v>
      </c>
      <c r="E884" s="792" t="str">
        <f>IFERROR(VLOOKUP(D884,Stock,3,FALSE),"")</f>
        <v>Chevrolet Captiva 06-18 1st gen C100</v>
      </c>
      <c r="F884" s="791">
        <v>1.0</v>
      </c>
      <c r="G884" s="791">
        <v>1269100.0</v>
      </c>
      <c r="H884" s="811">
        <f t="shared" si="40"/>
        <v>1269100</v>
      </c>
      <c r="I884" s="809">
        <f t="shared" si="45"/>
        <v>1269100</v>
      </c>
      <c r="J884" s="789">
        <v>45787.0</v>
      </c>
      <c r="K884" s="799" t="s">
        <v>4262</v>
      </c>
      <c r="L884" s="818" t="s">
        <v>12235</v>
      </c>
      <c r="M884" s="818" t="s">
        <v>6675</v>
      </c>
      <c r="N884" s="839">
        <v>45773.0</v>
      </c>
      <c r="O884" s="823"/>
    </row>
    <row r="885" ht="15.0" customHeight="1">
      <c r="A885" s="789">
        <v>45726.0</v>
      </c>
      <c r="B885" s="790">
        <v>2503264.0</v>
      </c>
      <c r="C885" s="791" t="s">
        <v>11484</v>
      </c>
      <c r="D885" s="791" t="s">
        <v>2709</v>
      </c>
      <c r="E885" s="792" t="str">
        <f>IFERROR(VLOOKUP(D885,Stock,3,FALSE),"")</f>
        <v>Isuzu Panther 91-99 1st Gen Kotak</v>
      </c>
      <c r="F885" s="791">
        <v>1.0</v>
      </c>
      <c r="G885" s="791">
        <v>619500.0</v>
      </c>
      <c r="H885" s="811">
        <f t="shared" si="40"/>
        <v>619500</v>
      </c>
      <c r="I885" s="809">
        <f t="shared" si="45"/>
        <v>619500</v>
      </c>
      <c r="J885" s="789">
        <v>45787.0</v>
      </c>
      <c r="K885" s="799" t="s">
        <v>4262</v>
      </c>
      <c r="L885" s="818" t="s">
        <v>12235</v>
      </c>
      <c r="M885" s="818" t="s">
        <v>6675</v>
      </c>
      <c r="N885" s="839">
        <v>45773.0</v>
      </c>
      <c r="O885" s="823"/>
    </row>
    <row r="886" ht="15.0" customHeight="1">
      <c r="A886" s="789">
        <v>45726.0</v>
      </c>
      <c r="B886" s="790">
        <v>2503264.0</v>
      </c>
      <c r="C886" s="791" t="s">
        <v>11484</v>
      </c>
      <c r="D886" s="791" t="s">
        <v>3837</v>
      </c>
      <c r="E886" s="792" t="str">
        <f>IFERROR(VLOOKUP(D886,Stock,3,FALSE),"")</f>
        <v>Toyota Yaris 13- 2nd Gen / Vios 14- 3rd Gen</v>
      </c>
      <c r="F886" s="791">
        <v>1.0</v>
      </c>
      <c r="G886" s="791">
        <v>923300.0</v>
      </c>
      <c r="H886" s="811">
        <f t="shared" si="40"/>
        <v>923300</v>
      </c>
      <c r="I886" s="809">
        <f t="shared" si="45"/>
        <v>923300</v>
      </c>
      <c r="J886" s="789">
        <v>45787.0</v>
      </c>
      <c r="K886" s="799" t="s">
        <v>4262</v>
      </c>
      <c r="L886" s="818" t="s">
        <v>12235</v>
      </c>
      <c r="M886" s="818" t="s">
        <v>6675</v>
      </c>
      <c r="N886" s="839">
        <v>45773.0</v>
      </c>
      <c r="O886" s="823"/>
    </row>
    <row r="887" ht="15.0" customHeight="1">
      <c r="A887" s="789">
        <v>45726.0</v>
      </c>
      <c r="B887" s="790">
        <v>2503264.0</v>
      </c>
      <c r="C887" s="791" t="s">
        <v>11484</v>
      </c>
      <c r="D887" s="791" t="s">
        <v>2734</v>
      </c>
      <c r="E887" s="792" t="str">
        <f>IFERROR(VLOOKUP(D887,Stock,3,FALSE),"")</f>
        <v>Honda Jazz 07-13 2nd Gen</v>
      </c>
      <c r="F887" s="791">
        <v>1.0</v>
      </c>
      <c r="G887" s="791">
        <v>992600.0</v>
      </c>
      <c r="H887" s="811">
        <f t="shared" si="40"/>
        <v>992600</v>
      </c>
      <c r="I887" s="809">
        <f t="shared" si="45"/>
        <v>992600</v>
      </c>
      <c r="J887" s="789">
        <v>45787.0</v>
      </c>
      <c r="K887" s="799" t="s">
        <v>4262</v>
      </c>
      <c r="L887" s="818" t="s">
        <v>12235</v>
      </c>
      <c r="M887" s="818" t="s">
        <v>6675</v>
      </c>
      <c r="N887" s="839">
        <v>45773.0</v>
      </c>
      <c r="O887" s="823"/>
    </row>
    <row r="888" ht="15.0" customHeight="1">
      <c r="A888" s="789">
        <v>45726.0</v>
      </c>
      <c r="B888" s="790">
        <v>2503264.0</v>
      </c>
      <c r="C888" s="791" t="s">
        <v>11484</v>
      </c>
      <c r="D888" s="791" t="s">
        <v>3313</v>
      </c>
      <c r="E888" s="792" t="str">
        <f>IFERROR(VLOOKUP(D888,Stock,3,FALSE),"")</f>
        <v>Toyota Avanza / Xenia 21- 4th Gen (Non sensor)</v>
      </c>
      <c r="F888" s="791">
        <v>1.0</v>
      </c>
      <c r="G888" s="791">
        <v>833000.0</v>
      </c>
      <c r="H888" s="811">
        <f t="shared" si="40"/>
        <v>833000</v>
      </c>
      <c r="I888" s="809">
        <f t="shared" si="45"/>
        <v>833000</v>
      </c>
      <c r="J888" s="789">
        <v>45787.0</v>
      </c>
      <c r="K888" s="799" t="s">
        <v>4262</v>
      </c>
      <c r="L888" s="818" t="s">
        <v>12235</v>
      </c>
      <c r="M888" s="818" t="s">
        <v>6675</v>
      </c>
      <c r="N888" s="839">
        <v>45773.0</v>
      </c>
      <c r="O888" s="823"/>
    </row>
    <row r="889" ht="15.0" customHeight="1">
      <c r="A889" s="789">
        <v>45726.0</v>
      </c>
      <c r="B889" s="790">
        <v>2503264.0</v>
      </c>
      <c r="C889" s="791" t="s">
        <v>11484</v>
      </c>
      <c r="D889" s="791" t="s">
        <v>2676</v>
      </c>
      <c r="E889" s="792" t="str">
        <f>IFERROR(VLOOKUP(D889,Stock,3,FALSE),"")</f>
        <v>Nissan X-Trail 07-13 T31</v>
      </c>
      <c r="F889" s="791">
        <v>1.0</v>
      </c>
      <c r="G889" s="791">
        <v>999600.0</v>
      </c>
      <c r="H889" s="811">
        <f t="shared" si="40"/>
        <v>999600</v>
      </c>
      <c r="I889" s="809">
        <f t="shared" si="45"/>
        <v>999600</v>
      </c>
      <c r="J889" s="789">
        <v>45787.0</v>
      </c>
      <c r="K889" s="799" t="s">
        <v>4262</v>
      </c>
      <c r="L889" s="818" t="s">
        <v>12235</v>
      </c>
      <c r="M889" s="818" t="s">
        <v>6675</v>
      </c>
      <c r="N889" s="839">
        <v>45773.0</v>
      </c>
      <c r="O889" s="823"/>
    </row>
    <row r="890" ht="15.0" customHeight="1">
      <c r="A890" s="789">
        <v>45728.0</v>
      </c>
      <c r="B890" s="790">
        <v>2503376.0</v>
      </c>
      <c r="C890" s="791" t="s">
        <v>11484</v>
      </c>
      <c r="D890" s="791" t="s">
        <v>7228</v>
      </c>
      <c r="E890" s="792" t="str">
        <f>IFERROR(VLOOKUP(D890,Stock,3,FALSE),"")</f>
        <v>Toyota Camry 02-06 ACV30 3rd Gen</v>
      </c>
      <c r="F890" s="791">
        <v>1.0</v>
      </c>
      <c r="G890" s="791">
        <v>1687000.0</v>
      </c>
      <c r="H890" s="811">
        <f t="shared" si="40"/>
        <v>1687000</v>
      </c>
      <c r="I890" s="809">
        <f t="shared" si="45"/>
        <v>1687000</v>
      </c>
      <c r="J890" s="789">
        <v>45789.0</v>
      </c>
      <c r="K890" s="799" t="s">
        <v>4262</v>
      </c>
      <c r="L890" s="818" t="s">
        <v>12235</v>
      </c>
      <c r="M890" s="818" t="s">
        <v>6675</v>
      </c>
      <c r="N890" s="839">
        <v>45784.0</v>
      </c>
      <c r="O890" s="823"/>
    </row>
    <row r="891" ht="15.0" customHeight="1">
      <c r="A891" s="789">
        <v>45728.0</v>
      </c>
      <c r="B891" s="790">
        <v>2503393.0</v>
      </c>
      <c r="C891" s="791" t="s">
        <v>11484</v>
      </c>
      <c r="D891" s="791" t="s">
        <v>7234</v>
      </c>
      <c r="E891" s="792" t="str">
        <f>IFERROR(VLOOKUP(D891,Stock,3,FALSE),"")</f>
        <v>DFSK Supercab 20-</v>
      </c>
      <c r="F891" s="791">
        <v>1.0</v>
      </c>
      <c r="G891" s="791">
        <v>1050000.0</v>
      </c>
      <c r="H891" s="811">
        <f t="shared" si="40"/>
        <v>1050000</v>
      </c>
      <c r="I891" s="809">
        <f t="shared" si="45"/>
        <v>1050000</v>
      </c>
      <c r="J891" s="789">
        <v>45789.0</v>
      </c>
      <c r="K891" s="799" t="s">
        <v>4262</v>
      </c>
      <c r="L891" s="818" t="s">
        <v>12235</v>
      </c>
      <c r="M891" s="818" t="s">
        <v>6675</v>
      </c>
      <c r="N891" s="839">
        <v>45784.0</v>
      </c>
      <c r="O891" s="823"/>
    </row>
    <row r="892" ht="15.0" customHeight="1">
      <c r="A892" s="789">
        <v>45728.0</v>
      </c>
      <c r="B892" s="790">
        <v>2503368.0</v>
      </c>
      <c r="C892" s="791" t="s">
        <v>11484</v>
      </c>
      <c r="D892" s="791" t="s">
        <v>2690</v>
      </c>
      <c r="E892" s="792" t="str">
        <f>IFERROR(VLOOKUP(D892,Stock,3,FALSE),"")</f>
        <v>Suzuki APV 03- Pickup/ Van</v>
      </c>
      <c r="F892" s="791">
        <v>2.0</v>
      </c>
      <c r="G892" s="791">
        <v>625800.0</v>
      </c>
      <c r="H892" s="811">
        <f t="shared" si="40"/>
        <v>1251600</v>
      </c>
      <c r="I892" s="809">
        <f t="shared" si="45"/>
        <v>1251600</v>
      </c>
      <c r="J892" s="789">
        <v>45789.0</v>
      </c>
      <c r="K892" s="799" t="s">
        <v>4262</v>
      </c>
      <c r="L892" s="818" t="s">
        <v>12235</v>
      </c>
      <c r="M892" s="818" t="s">
        <v>6675</v>
      </c>
      <c r="N892" s="839">
        <v>45784.0</v>
      </c>
      <c r="O892" s="823"/>
    </row>
    <row r="893" ht="15.0" customHeight="1">
      <c r="A893" s="789">
        <v>45728.0</v>
      </c>
      <c r="B893" s="790">
        <v>2503361.0</v>
      </c>
      <c r="C893" s="791" t="s">
        <v>11484</v>
      </c>
      <c r="D893" s="791" t="s">
        <v>7159</v>
      </c>
      <c r="E893" s="792" t="str">
        <f>IFERROR(VLOOKUP(D893,Stock,3,FALSE),"")</f>
        <v>Hyundai Grand Avega 11-16 RB</v>
      </c>
      <c r="F893" s="791">
        <v>1.0</v>
      </c>
      <c r="G893" s="791">
        <v>1255100.0</v>
      </c>
      <c r="H893" s="811">
        <f t="shared" si="40"/>
        <v>1255100</v>
      </c>
      <c r="I893" s="809">
        <f t="shared" si="45"/>
        <v>1255100</v>
      </c>
      <c r="J893" s="789">
        <v>45789.0</v>
      </c>
      <c r="K893" s="799" t="s">
        <v>4262</v>
      </c>
      <c r="L893" s="818" t="s">
        <v>12235</v>
      </c>
      <c r="M893" s="818" t="s">
        <v>6675</v>
      </c>
      <c r="N893" s="839">
        <v>45784.0</v>
      </c>
      <c r="O893" s="823"/>
    </row>
    <row r="894" ht="15.0" customHeight="1">
      <c r="A894" s="789">
        <v>45728.0</v>
      </c>
      <c r="B894" s="790">
        <v>2503361.0</v>
      </c>
      <c r="C894" s="791" t="s">
        <v>11484</v>
      </c>
      <c r="D894" s="791" t="s">
        <v>2965</v>
      </c>
      <c r="E894" s="792" t="str">
        <f>IFERROR(VLOOKUP(D894,Stock,3,FALSE),"")</f>
        <v>Suzuki Ertiga 12-18 1st Gen MPV</v>
      </c>
      <c r="F894" s="791">
        <v>1.0</v>
      </c>
      <c r="G894" s="791">
        <v>371700.0</v>
      </c>
      <c r="H894" s="811">
        <f t="shared" si="40"/>
        <v>371700</v>
      </c>
      <c r="I894" s="809">
        <f t="shared" si="45"/>
        <v>371700</v>
      </c>
      <c r="J894" s="789">
        <v>45789.0</v>
      </c>
      <c r="K894" s="799" t="s">
        <v>4262</v>
      </c>
      <c r="L894" s="818" t="s">
        <v>12235</v>
      </c>
      <c r="M894" s="818" t="s">
        <v>6675</v>
      </c>
      <c r="N894" s="839">
        <v>45784.0</v>
      </c>
      <c r="O894" s="823"/>
    </row>
    <row r="895" ht="15.0" customHeight="1">
      <c r="A895" s="789">
        <v>45728.0</v>
      </c>
      <c r="B895" s="790">
        <v>2503361.0</v>
      </c>
      <c r="C895" s="791" t="s">
        <v>11484</v>
      </c>
      <c r="D895" s="791" t="s">
        <v>3837</v>
      </c>
      <c r="E895" s="792" t="str">
        <f>IFERROR(VLOOKUP(D895,Stock,3,FALSE),"")</f>
        <v>Toyota Yaris 13- 2nd Gen / Vios 14- 3rd Gen</v>
      </c>
      <c r="F895" s="791">
        <v>1.0</v>
      </c>
      <c r="G895" s="791">
        <v>923300.0</v>
      </c>
      <c r="H895" s="811">
        <f t="shared" si="40"/>
        <v>923300</v>
      </c>
      <c r="I895" s="809">
        <f t="shared" si="45"/>
        <v>923300</v>
      </c>
      <c r="J895" s="789">
        <v>45789.0</v>
      </c>
      <c r="K895" s="799" t="s">
        <v>4262</v>
      </c>
      <c r="L895" s="818" t="s">
        <v>12235</v>
      </c>
      <c r="M895" s="818" t="s">
        <v>6675</v>
      </c>
      <c r="N895" s="839">
        <v>45784.0</v>
      </c>
      <c r="O895" s="823"/>
    </row>
    <row r="896" ht="15.0" customHeight="1">
      <c r="A896" s="789">
        <v>45728.0</v>
      </c>
      <c r="B896" s="790">
        <v>2503361.0</v>
      </c>
      <c r="C896" s="791" t="s">
        <v>11484</v>
      </c>
      <c r="D896" s="791" t="s">
        <v>2625</v>
      </c>
      <c r="E896" s="792" t="str">
        <f>IFERROR(VLOOKUP(D896,Stock,3,FALSE),"")</f>
        <v>Honda Civic 16- 10th Gen</v>
      </c>
      <c r="F896" s="791">
        <v>1.0</v>
      </c>
      <c r="G896" s="791">
        <v>1638700.0</v>
      </c>
      <c r="H896" s="811">
        <f t="shared" si="40"/>
        <v>1638700</v>
      </c>
      <c r="I896" s="809">
        <f t="shared" si="45"/>
        <v>1638700</v>
      </c>
      <c r="J896" s="789">
        <v>45789.0</v>
      </c>
      <c r="K896" s="799" t="s">
        <v>4262</v>
      </c>
      <c r="L896" s="818" t="s">
        <v>12235</v>
      </c>
      <c r="M896" s="818" t="s">
        <v>6675</v>
      </c>
      <c r="N896" s="839">
        <v>45784.0</v>
      </c>
      <c r="O896" s="823"/>
    </row>
    <row r="897" ht="15.0" customHeight="1">
      <c r="A897" s="789">
        <v>45728.0</v>
      </c>
      <c r="B897" s="790">
        <v>2503361.0</v>
      </c>
      <c r="C897" s="791" t="s">
        <v>11484</v>
      </c>
      <c r="D897" s="791" t="s">
        <v>3378</v>
      </c>
      <c r="E897" s="792" t="str">
        <f>IFERROR(VLOOKUP(D897,Stock,3,FALSE),"")</f>
        <v>Isuzu Panther 00- 2nd Gen</v>
      </c>
      <c r="F897" s="791">
        <v>1.0</v>
      </c>
      <c r="G897" s="842">
        <v>656600.0</v>
      </c>
      <c r="H897" s="811">
        <f t="shared" si="40"/>
        <v>656600</v>
      </c>
      <c r="I897" s="809">
        <f t="shared" si="45"/>
        <v>656600</v>
      </c>
      <c r="J897" s="789">
        <v>45789.0</v>
      </c>
      <c r="K897" s="799" t="s">
        <v>4262</v>
      </c>
      <c r="L897" s="818" t="s">
        <v>12235</v>
      </c>
      <c r="M897" s="818" t="s">
        <v>6675</v>
      </c>
      <c r="N897" s="839">
        <v>45784.0</v>
      </c>
      <c r="O897" s="823"/>
    </row>
    <row r="898" ht="15.0" customHeight="1">
      <c r="A898" s="789">
        <v>45728.0</v>
      </c>
      <c r="B898" s="790">
        <v>2503361.0</v>
      </c>
      <c r="C898" s="791" t="s">
        <v>11484</v>
      </c>
      <c r="D898" s="791" t="s">
        <v>2575</v>
      </c>
      <c r="E898" s="792" t="str">
        <f>IFERROR(VLOOKUP(D898,Stock,3,FALSE),"")</f>
        <v>Toyota Camry 06-11 XV40 4th Gen</v>
      </c>
      <c r="F898" s="791">
        <v>1.0</v>
      </c>
      <c r="G898" s="842">
        <v>1810900.0</v>
      </c>
      <c r="H898" s="811">
        <f t="shared" si="40"/>
        <v>1810900</v>
      </c>
      <c r="I898" s="809">
        <f t="shared" si="45"/>
        <v>1810900</v>
      </c>
      <c r="J898" s="789">
        <v>45789.0</v>
      </c>
      <c r="K898" s="799" t="s">
        <v>4262</v>
      </c>
      <c r="L898" s="818" t="s">
        <v>12235</v>
      </c>
      <c r="M898" s="818" t="s">
        <v>6675</v>
      </c>
      <c r="N898" s="839">
        <v>45784.0</v>
      </c>
      <c r="O898" s="823"/>
    </row>
    <row r="899" ht="15.0" customHeight="1">
      <c r="A899" s="789">
        <v>45733.0</v>
      </c>
      <c r="B899" s="790">
        <v>2503500.0</v>
      </c>
      <c r="C899" s="791" t="s">
        <v>11484</v>
      </c>
      <c r="D899" s="791" t="s">
        <v>3837</v>
      </c>
      <c r="E899" s="792" t="str">
        <f>IFERROR(VLOOKUP(D899,Stock,3,FALSE),"")</f>
        <v>Toyota Yaris 13- 2nd Gen / Vios 14- 3rd Gen</v>
      </c>
      <c r="F899" s="791">
        <v>2.0</v>
      </c>
      <c r="G899" s="842">
        <v>923300.0</v>
      </c>
      <c r="H899" s="811">
        <f t="shared" si="40"/>
        <v>1846600</v>
      </c>
      <c r="I899" s="809">
        <f t="shared" si="45"/>
        <v>1846600</v>
      </c>
      <c r="J899" s="789">
        <v>45794.0</v>
      </c>
      <c r="K899" s="799" t="s">
        <v>4262</v>
      </c>
      <c r="L899" s="818" t="s">
        <v>12235</v>
      </c>
      <c r="M899" s="818" t="s">
        <v>6675</v>
      </c>
      <c r="N899" s="839">
        <v>45784.0</v>
      </c>
      <c r="O899" s="823"/>
    </row>
    <row r="900" ht="15.0" customHeight="1">
      <c r="A900" s="789">
        <v>45733.0</v>
      </c>
      <c r="B900" s="790">
        <v>2503500.0</v>
      </c>
      <c r="C900" s="791" t="s">
        <v>11484</v>
      </c>
      <c r="D900" s="791" t="s">
        <v>7897</v>
      </c>
      <c r="E900" s="792" t="str">
        <f>IFERROR(VLOOKUP(D900,Stock,3,FALSE),"")</f>
        <v>Honda Jazz 07-13 2nd Gen</v>
      </c>
      <c r="F900" s="791">
        <v>2.0</v>
      </c>
      <c r="G900" s="842">
        <v>992600.0</v>
      </c>
      <c r="H900" s="811">
        <f t="shared" si="40"/>
        <v>1985200</v>
      </c>
      <c r="I900" s="809">
        <f t="shared" si="45"/>
        <v>1985200</v>
      </c>
      <c r="J900" s="789">
        <v>45794.0</v>
      </c>
      <c r="K900" s="799" t="s">
        <v>4262</v>
      </c>
      <c r="L900" s="818" t="s">
        <v>12235</v>
      </c>
      <c r="M900" s="818" t="s">
        <v>6675</v>
      </c>
      <c r="N900" s="839">
        <v>45784.0</v>
      </c>
      <c r="O900" s="823"/>
    </row>
    <row r="901" ht="15.0" customHeight="1">
      <c r="A901" s="789">
        <v>45733.0</v>
      </c>
      <c r="B901" s="790">
        <v>2503500.0</v>
      </c>
      <c r="C901" s="791" t="s">
        <v>11484</v>
      </c>
      <c r="D901" s="791" t="s">
        <v>2709</v>
      </c>
      <c r="E901" s="792" t="str">
        <f>IFERROR(VLOOKUP(D901,Stock,3,FALSE),"")</f>
        <v>Isuzu Panther 91-99 1st Gen Kotak</v>
      </c>
      <c r="F901" s="791">
        <v>1.0</v>
      </c>
      <c r="G901" s="842">
        <v>619500.0</v>
      </c>
      <c r="H901" s="811">
        <f t="shared" si="40"/>
        <v>619500</v>
      </c>
      <c r="I901" s="809">
        <f t="shared" si="45"/>
        <v>619500</v>
      </c>
      <c r="J901" s="789">
        <v>45794.0</v>
      </c>
      <c r="K901" s="799" t="s">
        <v>4262</v>
      </c>
      <c r="L901" s="818" t="s">
        <v>12235</v>
      </c>
      <c r="M901" s="818" t="s">
        <v>6675</v>
      </c>
      <c r="N901" s="839">
        <v>45784.0</v>
      </c>
      <c r="O901" s="823"/>
    </row>
    <row r="902" ht="15.0" customHeight="1">
      <c r="A902" s="789">
        <v>45733.0</v>
      </c>
      <c r="B902" s="790" t="s">
        <v>13125</v>
      </c>
      <c r="C902" s="791" t="s">
        <v>13126</v>
      </c>
      <c r="D902" s="791" t="s">
        <v>10105</v>
      </c>
      <c r="E902" s="792" t="str">
        <f>IFERROR(VLOOKUP(D902,Stock,3,FALSE),"")</f>
        <v>Mitsubishi Pajero 16-</v>
      </c>
      <c r="F902" s="791">
        <v>1.0</v>
      </c>
      <c r="G902" s="842">
        <v>498750.0</v>
      </c>
      <c r="H902" s="811">
        <f t="shared" si="40"/>
        <v>498750</v>
      </c>
      <c r="I902" s="809"/>
      <c r="J902" s="819"/>
      <c r="K902" s="799" t="s">
        <v>4262</v>
      </c>
      <c r="L902" s="818" t="s">
        <v>12235</v>
      </c>
      <c r="M902" s="818" t="s">
        <v>6675</v>
      </c>
      <c r="N902" s="839">
        <v>45733.0</v>
      </c>
      <c r="O902" s="823"/>
    </row>
    <row r="903" ht="15.0" customHeight="1">
      <c r="A903" s="789">
        <v>45733.0</v>
      </c>
      <c r="B903" s="790" t="s">
        <v>13125</v>
      </c>
      <c r="C903" s="791" t="s">
        <v>13126</v>
      </c>
      <c r="D903" s="791" t="s">
        <v>7142</v>
      </c>
      <c r="E903" s="792" t="str">
        <f>IFERROR(VLOOKUP(D903,Stock,3,FALSE),"")</f>
        <v>Mitsubishi Xpander 17-21 / Livina 19- 2nd Gen (Mitsubishi)</v>
      </c>
      <c r="F903" s="791">
        <v>2.0</v>
      </c>
      <c r="G903" s="842">
        <v>175000.0</v>
      </c>
      <c r="H903" s="811">
        <f t="shared" si="40"/>
        <v>350000</v>
      </c>
      <c r="I903" s="809"/>
      <c r="J903" s="819"/>
      <c r="K903" s="799" t="s">
        <v>4262</v>
      </c>
      <c r="L903" s="818" t="s">
        <v>12235</v>
      </c>
      <c r="M903" s="818" t="s">
        <v>6675</v>
      </c>
      <c r="N903" s="839">
        <v>45733.0</v>
      </c>
      <c r="O903" s="823"/>
    </row>
    <row r="904" ht="15.0" customHeight="1">
      <c r="A904" s="789">
        <v>45733.0</v>
      </c>
      <c r="B904" s="790">
        <v>2503536.0</v>
      </c>
      <c r="C904" s="791" t="s">
        <v>11484</v>
      </c>
      <c r="D904" s="791" t="s">
        <v>13127</v>
      </c>
      <c r="E904" s="792" t="str">
        <f>IFERROR(VLOOKUP(D904,Stock,3,FALSE),"")</f>
        <v>Daihatsu Sirion 18- 3rd Gen</v>
      </c>
      <c r="F904" s="791">
        <v>1.0</v>
      </c>
      <c r="G904" s="842">
        <v>1015000.0</v>
      </c>
      <c r="H904" s="811">
        <f t="shared" si="40"/>
        <v>1015000</v>
      </c>
      <c r="I904" s="809">
        <f>H904</f>
        <v>1015000</v>
      </c>
      <c r="J904" s="872">
        <v>45794.0</v>
      </c>
      <c r="K904" s="799" t="s">
        <v>4262</v>
      </c>
      <c r="L904" s="818" t="s">
        <v>12235</v>
      </c>
      <c r="M904" s="818" t="s">
        <v>6675</v>
      </c>
      <c r="N904" s="839">
        <v>45784.0</v>
      </c>
      <c r="O904" s="823"/>
    </row>
    <row r="905" ht="15.0" customHeight="1">
      <c r="A905" s="789">
        <v>45734.0</v>
      </c>
      <c r="B905" s="790" t="s">
        <v>13128</v>
      </c>
      <c r="C905" s="791" t="s">
        <v>13022</v>
      </c>
      <c r="D905" s="791" t="s">
        <v>3826</v>
      </c>
      <c r="E905" s="792" t="str">
        <f>IFERROR(VLOOKUP(D905,Stock,3,FALSE),"")</f>
        <v>List Kaca Depan Code 11</v>
      </c>
      <c r="F905" s="791">
        <v>2.0</v>
      </c>
      <c r="G905" s="842">
        <v>85500.0</v>
      </c>
      <c r="H905" s="811">
        <f t="shared" si="40"/>
        <v>171000</v>
      </c>
      <c r="I905" s="809"/>
      <c r="J905" s="819"/>
      <c r="K905" s="799" t="s">
        <v>4262</v>
      </c>
      <c r="L905" s="818" t="s">
        <v>12235</v>
      </c>
      <c r="M905" s="818" t="s">
        <v>6675</v>
      </c>
      <c r="N905" s="839">
        <v>45734.0</v>
      </c>
      <c r="O905" s="823"/>
    </row>
    <row r="906" ht="15.0" customHeight="1">
      <c r="A906" s="789">
        <v>45734.0</v>
      </c>
      <c r="B906" s="790" t="s">
        <v>13129</v>
      </c>
      <c r="C906" s="791" t="s">
        <v>13022</v>
      </c>
      <c r="D906" s="791" t="s">
        <v>7307</v>
      </c>
      <c r="E906" s="792" t="str">
        <f>IFERROR(VLOOKUP(D906,Stock,3,FALSE),"")</f>
        <v>Toyota Fortuner 15-  2nd Gen (Toyota)</v>
      </c>
      <c r="F906" s="791">
        <v>1.0</v>
      </c>
      <c r="G906" s="842">
        <v>1197000.0</v>
      </c>
      <c r="H906" s="811">
        <f t="shared" si="40"/>
        <v>1197000</v>
      </c>
      <c r="I906" s="809"/>
      <c r="J906" s="819"/>
      <c r="K906" s="799" t="s">
        <v>4262</v>
      </c>
      <c r="L906" s="818" t="s">
        <v>12235</v>
      </c>
      <c r="M906" s="818" t="s">
        <v>6675</v>
      </c>
      <c r="N906" s="839">
        <v>45734.0</v>
      </c>
      <c r="O906" s="823"/>
    </row>
    <row r="907" ht="15.0" customHeight="1">
      <c r="A907" s="789">
        <v>45735.0</v>
      </c>
      <c r="B907" s="790" t="s">
        <v>13130</v>
      </c>
      <c r="C907" s="791" t="s">
        <v>13022</v>
      </c>
      <c r="D907" s="791" t="s">
        <v>5528</v>
      </c>
      <c r="E907" s="792" t="str">
        <f>IFERROR(VLOOKUP(D907,Stock,3,FALSE),"")</f>
        <v>Toyota Innova 15-22 2nd Gen (Toyota)</v>
      </c>
      <c r="F907" s="791">
        <v>1.0</v>
      </c>
      <c r="G907" s="842">
        <v>1674000.0</v>
      </c>
      <c r="H907" s="811">
        <f t="shared" si="40"/>
        <v>1674000</v>
      </c>
      <c r="I907" s="809"/>
      <c r="J907" s="819"/>
      <c r="K907" s="799" t="s">
        <v>4262</v>
      </c>
      <c r="L907" s="818" t="s">
        <v>12235</v>
      </c>
      <c r="M907" s="818" t="s">
        <v>6675</v>
      </c>
      <c r="N907" s="839">
        <v>45735.0</v>
      </c>
      <c r="O907" s="823"/>
    </row>
    <row r="908" ht="15.0" customHeight="1">
      <c r="A908" s="789">
        <v>45735.0</v>
      </c>
      <c r="B908" s="790">
        <v>2503612.0</v>
      </c>
      <c r="C908" s="791" t="s">
        <v>11484</v>
      </c>
      <c r="D908" s="791" t="s">
        <v>6716</v>
      </c>
      <c r="E908" s="792" t="str">
        <f>IFERROR(VLOOKUP(D908,Stock,3,FALSE),"")</f>
        <v>Toyota Fortuner 15- 2nd Gen</v>
      </c>
      <c r="F908" s="791">
        <v>1.0</v>
      </c>
      <c r="G908" s="842">
        <v>584500.0</v>
      </c>
      <c r="H908" s="811">
        <f t="shared" si="40"/>
        <v>584500</v>
      </c>
      <c r="I908" s="809">
        <f t="shared" ref="I908:I921" si="46">H908</f>
        <v>584500</v>
      </c>
      <c r="J908" s="872">
        <v>45796.0</v>
      </c>
      <c r="K908" s="799" t="s">
        <v>4262</v>
      </c>
      <c r="L908" s="818" t="s">
        <v>12235</v>
      </c>
      <c r="M908" s="818" t="s">
        <v>6675</v>
      </c>
      <c r="N908" s="839">
        <v>45792.0</v>
      </c>
      <c r="O908" s="823"/>
    </row>
    <row r="909" ht="15.0" customHeight="1">
      <c r="A909" s="789">
        <v>45735.0</v>
      </c>
      <c r="B909" s="790">
        <v>2503612.0</v>
      </c>
      <c r="C909" s="791" t="s">
        <v>11484</v>
      </c>
      <c r="D909" s="791" t="s">
        <v>2965</v>
      </c>
      <c r="E909" s="792" t="str">
        <f>IFERROR(VLOOKUP(D909,Stock,3,FALSE),"")</f>
        <v>Suzuki Ertiga 12-18 1st Gen MPV</v>
      </c>
      <c r="F909" s="791">
        <v>2.0</v>
      </c>
      <c r="G909" s="842">
        <v>371700.0</v>
      </c>
      <c r="H909" s="811">
        <f t="shared" si="40"/>
        <v>743400</v>
      </c>
      <c r="I909" s="809">
        <f t="shared" si="46"/>
        <v>743400</v>
      </c>
      <c r="J909" s="872">
        <v>45796.0</v>
      </c>
      <c r="K909" s="799" t="s">
        <v>4262</v>
      </c>
      <c r="L909" s="818" t="s">
        <v>12235</v>
      </c>
      <c r="M909" s="818" t="s">
        <v>6675</v>
      </c>
      <c r="N909" s="839">
        <v>45792.0</v>
      </c>
      <c r="O909" s="823"/>
    </row>
    <row r="910" ht="15.0" customHeight="1">
      <c r="A910" s="789">
        <v>45731.0</v>
      </c>
      <c r="B910" s="790" t="s">
        <v>13131</v>
      </c>
      <c r="C910" s="791" t="s">
        <v>3076</v>
      </c>
      <c r="D910" s="791" t="s">
        <v>6145</v>
      </c>
      <c r="E910" s="792" t="str">
        <f>IFERROR(VLOOKUP(D910,Stock,3,FALSE),"")</f>
        <v>BMW 3 Series 98-06 E46</v>
      </c>
      <c r="F910" s="791">
        <v>1.0</v>
      </c>
      <c r="G910" s="842">
        <v>1218375.0</v>
      </c>
      <c r="H910" s="811">
        <f t="shared" si="40"/>
        <v>1218375</v>
      </c>
      <c r="I910" s="809">
        <f t="shared" si="46"/>
        <v>1218375</v>
      </c>
      <c r="J910" s="819"/>
      <c r="K910" s="799" t="s">
        <v>4262</v>
      </c>
      <c r="L910" s="818" t="s">
        <v>12235</v>
      </c>
      <c r="M910" s="818" t="s">
        <v>6675</v>
      </c>
      <c r="N910" s="839">
        <v>45737.0</v>
      </c>
      <c r="O910" s="823"/>
    </row>
    <row r="911" ht="15.0" customHeight="1">
      <c r="A911" s="789">
        <v>45731.0</v>
      </c>
      <c r="B911" s="790" t="s">
        <v>13131</v>
      </c>
      <c r="C911" s="791" t="s">
        <v>3076</v>
      </c>
      <c r="D911" s="791" t="s">
        <v>2934</v>
      </c>
      <c r="E911" s="792" t="str">
        <f>IFERROR(VLOOKUP(D911,Stock,3,FALSE),"")</f>
        <v>Peti Kayu</v>
      </c>
      <c r="F911" s="791">
        <v>1.0</v>
      </c>
      <c r="G911" s="842">
        <v>150000.0</v>
      </c>
      <c r="H911" s="811">
        <f t="shared" si="40"/>
        <v>150000</v>
      </c>
      <c r="I911" s="809">
        <f t="shared" si="46"/>
        <v>150000</v>
      </c>
      <c r="J911" s="819"/>
      <c r="K911" s="799" t="s">
        <v>4262</v>
      </c>
      <c r="L911" s="818" t="s">
        <v>12235</v>
      </c>
      <c r="M911" s="818" t="s">
        <v>6675</v>
      </c>
      <c r="N911" s="839">
        <v>45737.0</v>
      </c>
      <c r="O911" s="823"/>
    </row>
    <row r="912" ht="15.0" customHeight="1">
      <c r="A912" s="789">
        <v>45736.0</v>
      </c>
      <c r="B912" s="790">
        <v>2503679.0</v>
      </c>
      <c r="C912" s="791" t="s">
        <v>11484</v>
      </c>
      <c r="D912" s="791" t="s">
        <v>7322</v>
      </c>
      <c r="E912" s="792" t="str">
        <f>IFERROR(VLOOKUP(D912,Stock,3,FALSE),"")</f>
        <v>Isuzu D-Max 12-19 2nd Gen</v>
      </c>
      <c r="F912" s="791">
        <v>1.0</v>
      </c>
      <c r="G912" s="842">
        <v>1153600.0</v>
      </c>
      <c r="H912" s="811">
        <f t="shared" si="40"/>
        <v>1153600</v>
      </c>
      <c r="I912" s="809">
        <f t="shared" si="46"/>
        <v>1153600</v>
      </c>
      <c r="J912" s="872">
        <v>45797.0</v>
      </c>
      <c r="K912" s="799" t="s">
        <v>4262</v>
      </c>
      <c r="L912" s="818" t="s">
        <v>12235</v>
      </c>
      <c r="M912" s="818" t="s">
        <v>6675</v>
      </c>
      <c r="N912" s="839">
        <v>45792.0</v>
      </c>
      <c r="O912" s="823"/>
    </row>
    <row r="913" ht="15.0" customHeight="1">
      <c r="A913" s="789">
        <v>45737.0</v>
      </c>
      <c r="B913" s="790">
        <v>2503692.0</v>
      </c>
      <c r="C913" s="791" t="s">
        <v>11484</v>
      </c>
      <c r="D913" s="791" t="s">
        <v>4613</v>
      </c>
      <c r="E913" s="792" t="str">
        <f>IFERROR(VLOOKUP(D913,Stock,3,FALSE),"")</f>
        <v>Honda Freed 08-16 1st gen</v>
      </c>
      <c r="F913" s="791">
        <v>1.0</v>
      </c>
      <c r="G913" s="842">
        <v>837200.0</v>
      </c>
      <c r="H913" s="811">
        <f t="shared" si="40"/>
        <v>837200</v>
      </c>
      <c r="I913" s="809">
        <f t="shared" si="46"/>
        <v>837200</v>
      </c>
      <c r="J913" s="872">
        <v>45798.0</v>
      </c>
      <c r="K913" s="799" t="s">
        <v>4262</v>
      </c>
      <c r="L913" s="818" t="s">
        <v>12235</v>
      </c>
      <c r="M913" s="818" t="s">
        <v>6675</v>
      </c>
      <c r="N913" s="839">
        <v>45797.0</v>
      </c>
      <c r="O913" s="823"/>
    </row>
    <row r="914" ht="15.0" customHeight="1">
      <c r="A914" s="789">
        <v>45737.0</v>
      </c>
      <c r="B914" s="790">
        <v>2503692.0</v>
      </c>
      <c r="C914" s="791" t="s">
        <v>11484</v>
      </c>
      <c r="D914" s="791" t="s">
        <v>3085</v>
      </c>
      <c r="E914" s="792" t="str">
        <f>IFERROR(VLOOKUP(D914,Stock,3,FALSE),"")</f>
        <v>Honda Jazz 07-13 2nd Gen</v>
      </c>
      <c r="F914" s="791">
        <v>1.0</v>
      </c>
      <c r="G914" s="842">
        <v>690900.0</v>
      </c>
      <c r="H914" s="811">
        <f t="shared" si="40"/>
        <v>690900</v>
      </c>
      <c r="I914" s="809">
        <f t="shared" si="46"/>
        <v>690900</v>
      </c>
      <c r="J914" s="872">
        <v>45798.0</v>
      </c>
      <c r="K914" s="799" t="s">
        <v>4262</v>
      </c>
      <c r="L914" s="818" t="s">
        <v>12235</v>
      </c>
      <c r="M914" s="818" t="s">
        <v>6675</v>
      </c>
      <c r="N914" s="839">
        <v>45797.0</v>
      </c>
      <c r="O914" s="823"/>
    </row>
    <row r="915" ht="15.0" customHeight="1">
      <c r="A915" s="789">
        <v>45737.0</v>
      </c>
      <c r="B915" s="790">
        <v>2503692.0</v>
      </c>
      <c r="C915" s="791" t="s">
        <v>11484</v>
      </c>
      <c r="D915" s="791" t="s">
        <v>6738</v>
      </c>
      <c r="E915" s="792" t="str">
        <f>IFERROR(VLOOKUP(D915,Stock,3,FALSE),"")</f>
        <v>Honda Jazz 13- 3rd Gen</v>
      </c>
      <c r="F915" s="791">
        <v>1.0</v>
      </c>
      <c r="G915" s="842">
        <v>702100.0</v>
      </c>
      <c r="H915" s="811">
        <f t="shared" si="40"/>
        <v>702100</v>
      </c>
      <c r="I915" s="809">
        <f t="shared" si="46"/>
        <v>702100</v>
      </c>
      <c r="J915" s="872">
        <v>45798.0</v>
      </c>
      <c r="K915" s="799" t="s">
        <v>4262</v>
      </c>
      <c r="L915" s="818" t="s">
        <v>12235</v>
      </c>
      <c r="M915" s="818" t="s">
        <v>6675</v>
      </c>
      <c r="N915" s="839">
        <v>45797.0</v>
      </c>
      <c r="O915" s="823"/>
    </row>
    <row r="916" ht="15.0" customHeight="1">
      <c r="A916" s="789">
        <v>45737.0</v>
      </c>
      <c r="B916" s="790">
        <v>2503692.0</v>
      </c>
      <c r="C916" s="791" t="s">
        <v>11484</v>
      </c>
      <c r="D916" s="791" t="s">
        <v>3451</v>
      </c>
      <c r="E916" s="792" t="str">
        <f>IFERROR(VLOOKUP(D916,Stock,3,FALSE),"")</f>
        <v>Toyota Rush / Terios 18-</v>
      </c>
      <c r="F916" s="791">
        <v>1.0</v>
      </c>
      <c r="G916" s="842">
        <v>672000.0</v>
      </c>
      <c r="H916" s="811">
        <f t="shared" si="40"/>
        <v>672000</v>
      </c>
      <c r="I916" s="809">
        <f t="shared" si="46"/>
        <v>672000</v>
      </c>
      <c r="J916" s="872">
        <v>45798.0</v>
      </c>
      <c r="K916" s="799" t="s">
        <v>4262</v>
      </c>
      <c r="L916" s="818" t="s">
        <v>12235</v>
      </c>
      <c r="M916" s="818" t="s">
        <v>6675</v>
      </c>
      <c r="N916" s="839">
        <v>45797.0</v>
      </c>
      <c r="O916" s="823"/>
    </row>
    <row r="917" ht="15.0" customHeight="1">
      <c r="A917" s="789">
        <v>45737.0</v>
      </c>
      <c r="B917" s="790">
        <v>2503692.0</v>
      </c>
      <c r="C917" s="791" t="s">
        <v>11484</v>
      </c>
      <c r="D917" s="791" t="s">
        <v>3391</v>
      </c>
      <c r="E917" s="792" t="str">
        <f>IFERROR(VLOOKUP(D917,Stock,3,FALSE),"")</f>
        <v>Toyota Fortuner 05-15 1st Gen</v>
      </c>
      <c r="F917" s="791">
        <v>1.0</v>
      </c>
      <c r="G917" s="842">
        <v>764400.0</v>
      </c>
      <c r="H917" s="811">
        <f t="shared" si="40"/>
        <v>764400</v>
      </c>
      <c r="I917" s="809">
        <f t="shared" si="46"/>
        <v>764400</v>
      </c>
      <c r="J917" s="872">
        <v>45798.0</v>
      </c>
      <c r="K917" s="799" t="s">
        <v>4262</v>
      </c>
      <c r="L917" s="818" t="s">
        <v>12235</v>
      </c>
      <c r="M917" s="818" t="s">
        <v>6675</v>
      </c>
      <c r="N917" s="839">
        <v>45797.0</v>
      </c>
      <c r="O917" s="823"/>
    </row>
    <row r="918" ht="15.0" customHeight="1">
      <c r="A918" s="789">
        <v>45737.0</v>
      </c>
      <c r="B918" s="790">
        <v>2503692.0</v>
      </c>
      <c r="C918" s="791" t="s">
        <v>11484</v>
      </c>
      <c r="D918" s="791" t="s">
        <v>3313</v>
      </c>
      <c r="E918" s="792" t="str">
        <f>IFERROR(VLOOKUP(D918,Stock,3,FALSE),"")</f>
        <v>Toyota Avanza / Xenia 21- 4th Gen (Non sensor)</v>
      </c>
      <c r="F918" s="791">
        <v>1.0</v>
      </c>
      <c r="G918" s="842">
        <v>833000.0</v>
      </c>
      <c r="H918" s="811">
        <f t="shared" si="40"/>
        <v>833000</v>
      </c>
      <c r="I918" s="809">
        <f t="shared" si="46"/>
        <v>833000</v>
      </c>
      <c r="J918" s="872">
        <v>45798.0</v>
      </c>
      <c r="K918" s="799" t="s">
        <v>4262</v>
      </c>
      <c r="L918" s="818" t="s">
        <v>12235</v>
      </c>
      <c r="M918" s="818" t="s">
        <v>6675</v>
      </c>
      <c r="N918" s="839">
        <v>45797.0</v>
      </c>
      <c r="O918" s="823"/>
    </row>
    <row r="919" ht="15.0" customHeight="1">
      <c r="A919" s="789">
        <v>45738.0</v>
      </c>
      <c r="B919" s="790" t="s">
        <v>13132</v>
      </c>
      <c r="C919" s="791" t="s">
        <v>13087</v>
      </c>
      <c r="D919" s="791" t="s">
        <v>3745</v>
      </c>
      <c r="E919" s="792" t="str">
        <f>IFERROR(VLOOKUP(D919,Stock,3,FALSE),"")</f>
        <v>Honda Brio 10- / Mobilio 11-</v>
      </c>
      <c r="F919" s="791">
        <v>1.0</v>
      </c>
      <c r="G919" s="842">
        <v>850000.0</v>
      </c>
      <c r="H919" s="811">
        <f t="shared" si="40"/>
        <v>850000</v>
      </c>
      <c r="I919" s="809">
        <f t="shared" si="46"/>
        <v>850000</v>
      </c>
      <c r="J919" s="819"/>
      <c r="K919" s="799" t="s">
        <v>4262</v>
      </c>
      <c r="L919" s="818" t="s">
        <v>12235</v>
      </c>
      <c r="M919" s="818" t="s">
        <v>6675</v>
      </c>
      <c r="N919" s="839">
        <v>45738.0</v>
      </c>
      <c r="O919" s="823"/>
    </row>
    <row r="920" ht="15.0" customHeight="1">
      <c r="A920" s="789">
        <v>45738.0</v>
      </c>
      <c r="B920" s="790" t="s">
        <v>13133</v>
      </c>
      <c r="C920" s="791" t="s">
        <v>13134</v>
      </c>
      <c r="D920" s="791" t="s">
        <v>2555</v>
      </c>
      <c r="E920" s="792" t="str">
        <f>IFERROR(VLOOKUP(D920,Stock,3,FALSE),"")</f>
        <v>Toyota Fortuner 15-  2nd Gen (Toyota)</v>
      </c>
      <c r="F920" s="791">
        <v>2.0</v>
      </c>
      <c r="G920" s="842">
        <v>930000.0</v>
      </c>
      <c r="H920" s="811">
        <f t="shared" si="40"/>
        <v>1860000</v>
      </c>
      <c r="I920" s="809">
        <f t="shared" si="46"/>
        <v>1860000</v>
      </c>
      <c r="J920" s="819"/>
      <c r="K920" s="799" t="s">
        <v>4262</v>
      </c>
      <c r="L920" s="818" t="s">
        <v>12235</v>
      </c>
      <c r="M920" s="823"/>
      <c r="N920" s="820"/>
      <c r="O920" s="823"/>
    </row>
    <row r="921" ht="15.0" customHeight="1">
      <c r="A921" s="789">
        <v>45740.0</v>
      </c>
      <c r="B921" s="790">
        <v>2503737.0</v>
      </c>
      <c r="C921" s="791" t="s">
        <v>11484</v>
      </c>
      <c r="D921" s="791" t="s">
        <v>2562</v>
      </c>
      <c r="E921" s="792" t="str">
        <f>IFERROR(VLOOKUP(D921,Stock,3,FALSE),"")</f>
        <v>Toyota Avanza / Xenia 15-21 3rd Gen</v>
      </c>
      <c r="F921" s="791">
        <v>2.0</v>
      </c>
      <c r="G921" s="842">
        <v>530600.0</v>
      </c>
      <c r="H921" s="811">
        <f t="shared" si="40"/>
        <v>1061200</v>
      </c>
      <c r="I921" s="809">
        <f t="shared" si="46"/>
        <v>1061200</v>
      </c>
      <c r="J921" s="872">
        <v>45801.0</v>
      </c>
      <c r="K921" s="799" t="s">
        <v>4262</v>
      </c>
      <c r="L921" s="818" t="s">
        <v>12235</v>
      </c>
      <c r="M921" s="818" t="s">
        <v>6675</v>
      </c>
      <c r="N921" s="839">
        <v>45797.0</v>
      </c>
      <c r="O921" s="823"/>
    </row>
    <row r="922" ht="15.0" customHeight="1">
      <c r="A922" s="789">
        <v>45740.0</v>
      </c>
      <c r="B922" s="790" t="s">
        <v>13135</v>
      </c>
      <c r="C922" s="791" t="s">
        <v>28</v>
      </c>
      <c r="D922" s="791" t="s">
        <v>4027</v>
      </c>
      <c r="E922" s="792" t="str">
        <f>IFERROR(VLOOKUP(D922,Stock,3,FALSE),"")</f>
        <v>501 Sealant Application</v>
      </c>
      <c r="F922" s="791">
        <v>200.0</v>
      </c>
      <c r="G922" s="842">
        <v>37000.0</v>
      </c>
      <c r="H922" s="811">
        <f t="shared" si="40"/>
        <v>7400000</v>
      </c>
      <c r="I922" s="809"/>
      <c r="J922" s="873"/>
      <c r="K922" s="799" t="s">
        <v>4262</v>
      </c>
      <c r="L922" s="818" t="s">
        <v>12235</v>
      </c>
      <c r="M922" s="818" t="s">
        <v>6675</v>
      </c>
      <c r="N922" s="839">
        <v>45771.0</v>
      </c>
      <c r="O922" s="823"/>
    </row>
    <row r="923" ht="15.0" customHeight="1">
      <c r="A923" s="789">
        <v>45740.0</v>
      </c>
      <c r="B923" s="790" t="s">
        <v>13135</v>
      </c>
      <c r="C923" s="791" t="s">
        <v>28</v>
      </c>
      <c r="D923" s="791" t="s">
        <v>13136</v>
      </c>
      <c r="E923" s="792" t="str">
        <f>IFERROR(VLOOKUP(D923,Stock,3,FALSE),"")</f>
        <v/>
      </c>
      <c r="F923" s="791">
        <v>12.0</v>
      </c>
      <c r="G923" s="842">
        <v>28000.0</v>
      </c>
      <c r="H923" s="811">
        <f t="shared" si="40"/>
        <v>336000</v>
      </c>
      <c r="I923" s="809"/>
      <c r="J923" s="873"/>
      <c r="K923" s="799" t="s">
        <v>4262</v>
      </c>
      <c r="L923" s="818" t="s">
        <v>12235</v>
      </c>
      <c r="M923" s="818" t="s">
        <v>6675</v>
      </c>
      <c r="N923" s="839">
        <v>45771.0</v>
      </c>
      <c r="O923" s="823"/>
    </row>
    <row r="924" ht="15.0" customHeight="1">
      <c r="A924" s="789">
        <v>45741.0</v>
      </c>
      <c r="B924" s="790" t="s">
        <v>13137</v>
      </c>
      <c r="C924" s="791" t="s">
        <v>3076</v>
      </c>
      <c r="D924" s="791" t="s">
        <v>2588</v>
      </c>
      <c r="E924" s="792" t="str">
        <f>IFERROR(VLOOKUP(D924,Stock,3,FALSE),"")</f>
        <v>Ford Fiesta 09-17</v>
      </c>
      <c r="F924" s="791">
        <v>1.0</v>
      </c>
      <c r="G924" s="842">
        <v>878850.0</v>
      </c>
      <c r="H924" s="811">
        <f t="shared" si="40"/>
        <v>878850</v>
      </c>
      <c r="I924" s="809"/>
      <c r="J924" s="819"/>
      <c r="K924" s="799" t="s">
        <v>4262</v>
      </c>
      <c r="L924" s="818" t="s">
        <v>12235</v>
      </c>
      <c r="M924" s="818" t="s">
        <v>6675</v>
      </c>
      <c r="N924" s="839">
        <v>45743.0</v>
      </c>
      <c r="O924" s="823"/>
    </row>
    <row r="925" ht="15.0" customHeight="1">
      <c r="A925" s="789">
        <v>45741.0</v>
      </c>
      <c r="B925" s="790" t="s">
        <v>13137</v>
      </c>
      <c r="C925" s="791" t="s">
        <v>3076</v>
      </c>
      <c r="D925" s="791" t="s">
        <v>7349</v>
      </c>
      <c r="E925" s="792" t="str">
        <f>IFERROR(VLOOKUP(D925,Stock,3,FALSE),"")</f>
        <v>Kia Rio 11-17 UB Hatchback</v>
      </c>
      <c r="F925" s="791">
        <v>1.0</v>
      </c>
      <c r="G925" s="842">
        <v>1305450.0</v>
      </c>
      <c r="H925" s="811">
        <f t="shared" si="40"/>
        <v>1305450</v>
      </c>
      <c r="I925" s="809"/>
      <c r="J925" s="819"/>
      <c r="K925" s="799" t="s">
        <v>4262</v>
      </c>
      <c r="L925" s="818" t="s">
        <v>12235</v>
      </c>
      <c r="M925" s="818" t="s">
        <v>6675</v>
      </c>
      <c r="N925" s="839">
        <v>45743.0</v>
      </c>
      <c r="O925" s="823"/>
    </row>
    <row r="926" ht="15.0" customHeight="1">
      <c r="A926" s="789">
        <v>45741.0</v>
      </c>
      <c r="B926" s="790" t="s">
        <v>13137</v>
      </c>
      <c r="C926" s="791" t="s">
        <v>3076</v>
      </c>
      <c r="D926" s="791" t="s">
        <v>2934</v>
      </c>
      <c r="E926" s="792" t="str">
        <f>IFERROR(VLOOKUP(D926,Stock,3,FALSE),"")</f>
        <v>Peti Kayu</v>
      </c>
      <c r="F926" s="791">
        <v>1.0</v>
      </c>
      <c r="G926" s="842">
        <v>150000.0</v>
      </c>
      <c r="H926" s="811">
        <f t="shared" si="40"/>
        <v>150000</v>
      </c>
      <c r="I926" s="809"/>
      <c r="J926" s="819"/>
      <c r="K926" s="799" t="s">
        <v>4262</v>
      </c>
      <c r="L926" s="818" t="s">
        <v>12235</v>
      </c>
      <c r="M926" s="818" t="s">
        <v>6675</v>
      </c>
      <c r="N926" s="839">
        <v>45743.0</v>
      </c>
      <c r="O926" s="823"/>
    </row>
    <row r="927" ht="15.0" customHeight="1">
      <c r="A927" s="789">
        <v>45754.0</v>
      </c>
      <c r="B927" s="790">
        <v>2504035.0</v>
      </c>
      <c r="C927" s="791" t="s">
        <v>11484</v>
      </c>
      <c r="D927" s="791" t="s">
        <v>2677</v>
      </c>
      <c r="E927" s="792" t="str">
        <f>IFERROR(VLOOKUP(D927,Stock,3,FALSE),"")</f>
        <v>Suzuki Grand Escudo 00-05</v>
      </c>
      <c r="F927" s="791">
        <v>2.0</v>
      </c>
      <c r="G927" s="842">
        <v>1001000.0</v>
      </c>
      <c r="H927" s="811">
        <f t="shared" si="40"/>
        <v>2002000</v>
      </c>
      <c r="I927" s="809">
        <f t="shared" ref="I927:I933" si="47">H927</f>
        <v>2002000</v>
      </c>
      <c r="J927" s="872">
        <v>45815.0</v>
      </c>
      <c r="K927" s="799" t="s">
        <v>4262</v>
      </c>
      <c r="L927" s="818" t="s">
        <v>12235</v>
      </c>
      <c r="M927" s="818" t="s">
        <v>6675</v>
      </c>
      <c r="N927" s="839">
        <v>45811.0</v>
      </c>
      <c r="O927" s="823"/>
    </row>
    <row r="928" ht="15.0" customHeight="1">
      <c r="A928" s="789">
        <v>45754.0</v>
      </c>
      <c r="B928" s="790">
        <v>2504027.0</v>
      </c>
      <c r="C928" s="791" t="s">
        <v>11484</v>
      </c>
      <c r="D928" s="791" t="s">
        <v>3201</v>
      </c>
      <c r="E928" s="792" t="str">
        <f>IFERROR(VLOOKUP(D928,Stock,3,FALSE),"")</f>
        <v>Honda Freed 08-16 1st gen</v>
      </c>
      <c r="F928" s="791">
        <v>1.0</v>
      </c>
      <c r="G928" s="842">
        <v>992600.0</v>
      </c>
      <c r="H928" s="811">
        <f t="shared" si="40"/>
        <v>992600</v>
      </c>
      <c r="I928" s="809">
        <f t="shared" si="47"/>
        <v>992600</v>
      </c>
      <c r="J928" s="872">
        <v>45815.0</v>
      </c>
      <c r="K928" s="799" t="s">
        <v>4262</v>
      </c>
      <c r="L928" s="818" t="s">
        <v>12235</v>
      </c>
      <c r="M928" s="818" t="s">
        <v>6675</v>
      </c>
      <c r="N928" s="839">
        <v>45811.0</v>
      </c>
      <c r="O928" s="823"/>
    </row>
    <row r="929" ht="15.0" customHeight="1">
      <c r="A929" s="789">
        <v>45754.0</v>
      </c>
      <c r="B929" s="790">
        <v>2504027.0</v>
      </c>
      <c r="C929" s="791" t="s">
        <v>11484</v>
      </c>
      <c r="D929" s="791" t="s">
        <v>4613</v>
      </c>
      <c r="E929" s="792" t="str">
        <f>IFERROR(VLOOKUP(D929,Stock,3,FALSE),"")</f>
        <v>Honda Freed 08-16 1st gen</v>
      </c>
      <c r="F929" s="791">
        <v>1.0</v>
      </c>
      <c r="G929" s="842">
        <v>837200.0</v>
      </c>
      <c r="H929" s="811">
        <f t="shared" si="40"/>
        <v>837200</v>
      </c>
      <c r="I929" s="809">
        <f t="shared" si="47"/>
        <v>837200</v>
      </c>
      <c r="J929" s="872">
        <v>45815.0</v>
      </c>
      <c r="K929" s="799" t="s">
        <v>4262</v>
      </c>
      <c r="L929" s="818" t="s">
        <v>12235</v>
      </c>
      <c r="M929" s="818" t="s">
        <v>6675</v>
      </c>
      <c r="N929" s="839">
        <v>45811.0</v>
      </c>
      <c r="O929" s="823"/>
    </row>
    <row r="930" ht="15.0" customHeight="1">
      <c r="A930" s="789">
        <v>45754.0</v>
      </c>
      <c r="B930" s="790">
        <v>2504027.0</v>
      </c>
      <c r="C930" s="791" t="s">
        <v>11484</v>
      </c>
      <c r="D930" s="791" t="s">
        <v>7063</v>
      </c>
      <c r="E930" s="792" t="str">
        <f>IFERROR(VLOOKUP(D930,Stock,3,FALSE),"")</f>
        <v>Wuling Confero (Tanpa Spionnya)</v>
      </c>
      <c r="F930" s="791">
        <v>1.0</v>
      </c>
      <c r="G930" s="842">
        <v>798000.0</v>
      </c>
      <c r="H930" s="811">
        <f t="shared" si="40"/>
        <v>798000</v>
      </c>
      <c r="I930" s="809">
        <f t="shared" si="47"/>
        <v>798000</v>
      </c>
      <c r="J930" s="872">
        <v>45815.0</v>
      </c>
      <c r="K930" s="799" t="s">
        <v>4262</v>
      </c>
      <c r="L930" s="818" t="s">
        <v>12235</v>
      </c>
      <c r="M930" s="818" t="s">
        <v>6675</v>
      </c>
      <c r="N930" s="839">
        <v>45811.0</v>
      </c>
      <c r="O930" s="823"/>
    </row>
    <row r="931" ht="15.0" customHeight="1">
      <c r="A931" s="789">
        <v>45754.0</v>
      </c>
      <c r="B931" s="790">
        <v>2504027.0</v>
      </c>
      <c r="C931" s="791" t="s">
        <v>11484</v>
      </c>
      <c r="D931" s="791" t="s">
        <v>3313</v>
      </c>
      <c r="E931" s="792" t="str">
        <f>IFERROR(VLOOKUP(D931,Stock,3,FALSE),"")</f>
        <v>Toyota Avanza / Xenia 21- 4th Gen (Non sensor)</v>
      </c>
      <c r="F931" s="791">
        <v>1.0</v>
      </c>
      <c r="G931" s="842">
        <v>833000.0</v>
      </c>
      <c r="H931" s="811">
        <f t="shared" si="40"/>
        <v>833000</v>
      </c>
      <c r="I931" s="809">
        <f t="shared" si="47"/>
        <v>833000</v>
      </c>
      <c r="J931" s="872">
        <v>45815.0</v>
      </c>
      <c r="K931" s="799" t="s">
        <v>4262</v>
      </c>
      <c r="L931" s="818" t="s">
        <v>12235</v>
      </c>
      <c r="M931" s="818" t="s">
        <v>6675</v>
      </c>
      <c r="N931" s="839">
        <v>45811.0</v>
      </c>
      <c r="O931" s="823"/>
    </row>
    <row r="932" ht="15.0" customHeight="1">
      <c r="A932" s="789">
        <v>45755.0</v>
      </c>
      <c r="B932" s="790">
        <v>2504084.0</v>
      </c>
      <c r="C932" s="791" t="s">
        <v>11484</v>
      </c>
      <c r="D932" s="791" t="s">
        <v>3391</v>
      </c>
      <c r="E932" s="792" t="str">
        <f>IFERROR(VLOOKUP(D932,Stock,3,FALSE),"")</f>
        <v>Toyota Fortuner 05-15 1st Gen</v>
      </c>
      <c r="F932" s="791">
        <v>2.0</v>
      </c>
      <c r="G932" s="842">
        <v>764400.0</v>
      </c>
      <c r="H932" s="811">
        <f t="shared" si="40"/>
        <v>1528800</v>
      </c>
      <c r="I932" s="809">
        <f t="shared" si="47"/>
        <v>1528800</v>
      </c>
      <c r="J932" s="872">
        <v>45816.0</v>
      </c>
      <c r="K932" s="799" t="s">
        <v>4262</v>
      </c>
      <c r="L932" s="818" t="s">
        <v>12235</v>
      </c>
      <c r="M932" s="818" t="s">
        <v>6675</v>
      </c>
      <c r="N932" s="839">
        <v>45811.0</v>
      </c>
      <c r="O932" s="823"/>
    </row>
    <row r="933" ht="15.0" customHeight="1">
      <c r="A933" s="789">
        <v>45755.0</v>
      </c>
      <c r="B933" s="790">
        <v>2504084.0</v>
      </c>
      <c r="C933" s="791" t="s">
        <v>11484</v>
      </c>
      <c r="D933" s="791" t="s">
        <v>4005</v>
      </c>
      <c r="E933" s="792" t="str">
        <f>IFERROR(VLOOKUP(D933,Stock,3,FALSE),"")</f>
        <v>Toyota Fortuner 15- 2nd Gen</v>
      </c>
      <c r="F933" s="791">
        <v>2.0</v>
      </c>
      <c r="G933" s="842">
        <v>1015000.0</v>
      </c>
      <c r="H933" s="811">
        <f t="shared" si="40"/>
        <v>2030000</v>
      </c>
      <c r="I933" s="809">
        <f t="shared" si="47"/>
        <v>2030000</v>
      </c>
      <c r="J933" s="872">
        <v>45816.0</v>
      </c>
      <c r="K933" s="799" t="s">
        <v>4262</v>
      </c>
      <c r="L933" s="818" t="s">
        <v>12235</v>
      </c>
      <c r="M933" s="818" t="s">
        <v>6675</v>
      </c>
      <c r="N933" s="839">
        <v>45811.0</v>
      </c>
      <c r="O933" s="823"/>
    </row>
    <row r="934" ht="15.0" customHeight="1">
      <c r="A934" s="789">
        <v>45757.0</v>
      </c>
      <c r="B934" s="790" t="s">
        <v>13138</v>
      </c>
      <c r="C934" s="791" t="s">
        <v>13022</v>
      </c>
      <c r="D934" s="791" t="s">
        <v>7472</v>
      </c>
      <c r="E934" s="792" t="str">
        <f>IFERROR(VLOOKUP(D934,Stock,3,FALSE),"")</f>
        <v>Toyota Agya/Ayla 23- 2nd Gen (Toyota/Daihatsu)</v>
      </c>
      <c r="F934" s="791">
        <v>2.0</v>
      </c>
      <c r="G934" s="842">
        <v>337500.0</v>
      </c>
      <c r="H934" s="811">
        <f t="shared" si="40"/>
        <v>675000</v>
      </c>
      <c r="I934" s="809"/>
      <c r="J934" s="819"/>
      <c r="K934" s="799" t="s">
        <v>4262</v>
      </c>
      <c r="L934" s="818" t="s">
        <v>12235</v>
      </c>
      <c r="M934" s="818" t="s">
        <v>6675</v>
      </c>
      <c r="N934" s="862">
        <v>37356.0</v>
      </c>
      <c r="O934" s="823"/>
    </row>
    <row r="935" ht="15.0" customHeight="1">
      <c r="A935" s="789">
        <v>45757.0</v>
      </c>
      <c r="B935" s="790">
        <v>2504162.0</v>
      </c>
      <c r="C935" s="791" t="s">
        <v>11484</v>
      </c>
      <c r="D935" s="791" t="s">
        <v>3186</v>
      </c>
      <c r="E935" s="792" t="str">
        <f>IFERROR(VLOOKUP(D935,Stock,3,FALSE),"")</f>
        <v>Daihatsu Gran Max / Luxio 07-</v>
      </c>
      <c r="F935" s="791">
        <v>13.0</v>
      </c>
      <c r="G935" s="842">
        <v>598500.0</v>
      </c>
      <c r="H935" s="811">
        <f t="shared" si="40"/>
        <v>7780500</v>
      </c>
      <c r="I935" s="809">
        <f t="shared" ref="I935:I950" si="48">H935</f>
        <v>7780500</v>
      </c>
      <c r="J935" s="872">
        <v>45818.0</v>
      </c>
      <c r="K935" s="799" t="s">
        <v>4262</v>
      </c>
      <c r="L935" s="818" t="s">
        <v>12235</v>
      </c>
      <c r="M935" s="818" t="s">
        <v>6675</v>
      </c>
      <c r="N935" s="839">
        <v>45811.0</v>
      </c>
      <c r="O935" s="823"/>
    </row>
    <row r="936" ht="15.0" customHeight="1">
      <c r="A936" s="789">
        <v>45757.0</v>
      </c>
      <c r="B936" s="790" t="s">
        <v>13139</v>
      </c>
      <c r="C936" s="791" t="s">
        <v>3076</v>
      </c>
      <c r="D936" s="791" t="s">
        <v>7461</v>
      </c>
      <c r="E936" s="792" t="str">
        <f>IFERROR(VLOOKUP(D936,Stock,3,FALSE),"")</f>
        <v>Honda Stream 00-06 S7A/RN1</v>
      </c>
      <c r="F936" s="791">
        <v>1.0</v>
      </c>
      <c r="G936" s="842">
        <v>535000.0</v>
      </c>
      <c r="H936" s="811">
        <f t="shared" si="40"/>
        <v>535000</v>
      </c>
      <c r="I936" s="809">
        <f t="shared" si="48"/>
        <v>535000</v>
      </c>
      <c r="J936" s="819"/>
      <c r="K936" s="799" t="s">
        <v>4262</v>
      </c>
      <c r="L936" s="818" t="s">
        <v>12235</v>
      </c>
      <c r="M936" s="818" t="s">
        <v>6675</v>
      </c>
      <c r="N936" s="839">
        <v>45762.0</v>
      </c>
      <c r="O936" s="823"/>
    </row>
    <row r="937" ht="15.0" customHeight="1">
      <c r="A937" s="789">
        <v>45757.0</v>
      </c>
      <c r="B937" s="790" t="s">
        <v>13139</v>
      </c>
      <c r="C937" s="791" t="s">
        <v>3076</v>
      </c>
      <c r="D937" s="791" t="s">
        <v>2934</v>
      </c>
      <c r="E937" s="792" t="str">
        <f>IFERROR(VLOOKUP(D937,Stock,3,FALSE),"")</f>
        <v>Peti Kayu</v>
      </c>
      <c r="F937" s="791">
        <v>1.0</v>
      </c>
      <c r="G937" s="842">
        <v>80000.0</v>
      </c>
      <c r="H937" s="811">
        <f t="shared" si="40"/>
        <v>80000</v>
      </c>
      <c r="I937" s="809">
        <f t="shared" si="48"/>
        <v>80000</v>
      </c>
      <c r="J937" s="819"/>
      <c r="K937" s="799" t="s">
        <v>4262</v>
      </c>
      <c r="L937" s="818" t="s">
        <v>12235</v>
      </c>
      <c r="M937" s="818" t="s">
        <v>6675</v>
      </c>
      <c r="N937" s="839">
        <v>45762.0</v>
      </c>
      <c r="O937" s="823"/>
    </row>
    <row r="938" ht="15.0" customHeight="1">
      <c r="A938" s="789">
        <v>45759.0</v>
      </c>
      <c r="B938" s="790" t="s">
        <v>13140</v>
      </c>
      <c r="C938" s="791" t="s">
        <v>3091</v>
      </c>
      <c r="D938" s="791" t="s">
        <v>6476</v>
      </c>
      <c r="E938" s="792" t="str">
        <f>IFERROR(VLOOKUP(D938,Stock,3,FALSE),"")</f>
        <v>Mitsubishi Outlander 10-21</v>
      </c>
      <c r="F938" s="791">
        <v>1.0</v>
      </c>
      <c r="G938" s="842">
        <v>735608.4</v>
      </c>
      <c r="H938" s="811">
        <f t="shared" si="40"/>
        <v>735608.4</v>
      </c>
      <c r="I938" s="809">
        <f t="shared" si="48"/>
        <v>735608.4</v>
      </c>
      <c r="J938" s="872">
        <v>45819.0</v>
      </c>
      <c r="K938" s="799" t="s">
        <v>4262</v>
      </c>
      <c r="L938" s="818" t="s">
        <v>12235</v>
      </c>
      <c r="M938" s="818" t="s">
        <v>6675</v>
      </c>
      <c r="N938" s="839">
        <v>45811.0</v>
      </c>
      <c r="O938" s="823"/>
    </row>
    <row r="939" ht="15.0" customHeight="1">
      <c r="A939" s="789">
        <v>45761.0</v>
      </c>
      <c r="B939" s="790">
        <v>2504206.0</v>
      </c>
      <c r="C939" s="791" t="s">
        <v>11484</v>
      </c>
      <c r="D939" s="791" t="s">
        <v>2718</v>
      </c>
      <c r="E939" s="792" t="str">
        <f>IFERROR(VLOOKUP(D939,Stock,3,FALSE),"")</f>
        <v>Isuzu Traga</v>
      </c>
      <c r="F939" s="791">
        <v>2.0</v>
      </c>
      <c r="G939" s="842">
        <v>714000.0</v>
      </c>
      <c r="H939" s="811">
        <f t="shared" si="40"/>
        <v>1428000</v>
      </c>
      <c r="I939" s="809">
        <f t="shared" si="48"/>
        <v>1428000</v>
      </c>
      <c r="J939" s="872">
        <v>45822.0</v>
      </c>
      <c r="K939" s="799" t="s">
        <v>4262</v>
      </c>
      <c r="L939" s="818" t="s">
        <v>12235</v>
      </c>
      <c r="M939" s="818" t="s">
        <v>6675</v>
      </c>
      <c r="N939" s="839">
        <v>45811.0</v>
      </c>
      <c r="O939" s="823"/>
    </row>
    <row r="940" ht="15.0" customHeight="1">
      <c r="A940" s="789">
        <v>45761.0</v>
      </c>
      <c r="B940" s="790">
        <v>2504206.0</v>
      </c>
      <c r="C940" s="791" t="s">
        <v>11484</v>
      </c>
      <c r="D940" s="791" t="s">
        <v>3622</v>
      </c>
      <c r="E940" s="792" t="str">
        <f>IFERROR(VLOOKUP(D940,Stock,3,FALSE),"")</f>
        <v>Mitsubishi Pajero 08-16</v>
      </c>
      <c r="F940" s="791">
        <v>1.0</v>
      </c>
      <c r="G940" s="842">
        <v>826000.0</v>
      </c>
      <c r="H940" s="811">
        <f t="shared" si="40"/>
        <v>826000</v>
      </c>
      <c r="I940" s="809">
        <f t="shared" si="48"/>
        <v>826000</v>
      </c>
      <c r="J940" s="872">
        <v>45822.0</v>
      </c>
      <c r="K940" s="799" t="s">
        <v>4262</v>
      </c>
      <c r="L940" s="818" t="s">
        <v>12235</v>
      </c>
      <c r="M940" s="818" t="s">
        <v>6675</v>
      </c>
      <c r="N940" s="839">
        <v>45811.0</v>
      </c>
      <c r="O940" s="823"/>
    </row>
    <row r="941" ht="15.0" customHeight="1">
      <c r="A941" s="789">
        <v>45761.0</v>
      </c>
      <c r="B941" s="790">
        <v>2504206.0</v>
      </c>
      <c r="C941" s="791" t="s">
        <v>11484</v>
      </c>
      <c r="D941" s="791" t="s">
        <v>3391</v>
      </c>
      <c r="E941" s="792" t="str">
        <f>IFERROR(VLOOKUP(D941,Stock,3,FALSE),"")</f>
        <v>Toyota Fortuner 05-15 1st Gen</v>
      </c>
      <c r="F941" s="791">
        <v>1.0</v>
      </c>
      <c r="G941" s="842">
        <v>764400.0</v>
      </c>
      <c r="H941" s="811">
        <f t="shared" si="40"/>
        <v>764400</v>
      </c>
      <c r="I941" s="809">
        <f t="shared" si="48"/>
        <v>764400</v>
      </c>
      <c r="J941" s="872">
        <v>45822.0</v>
      </c>
      <c r="K941" s="799" t="s">
        <v>4262</v>
      </c>
      <c r="L941" s="818" t="s">
        <v>12235</v>
      </c>
      <c r="M941" s="818" t="s">
        <v>6675</v>
      </c>
      <c r="N941" s="839">
        <v>45811.0</v>
      </c>
      <c r="O941" s="823"/>
    </row>
    <row r="942" ht="15.0" customHeight="1">
      <c r="A942" s="789">
        <v>45761.0</v>
      </c>
      <c r="B942" s="790">
        <v>2504206.0</v>
      </c>
      <c r="C942" s="791" t="s">
        <v>11484</v>
      </c>
      <c r="D942" s="791" t="s">
        <v>4005</v>
      </c>
      <c r="E942" s="792" t="str">
        <f>IFERROR(VLOOKUP(D942,Stock,3,FALSE),"")</f>
        <v>Toyota Fortuner 15- 2nd Gen</v>
      </c>
      <c r="F942" s="791">
        <v>1.0</v>
      </c>
      <c r="G942" s="842">
        <v>1015000.0</v>
      </c>
      <c r="H942" s="811">
        <f t="shared" si="40"/>
        <v>1015000</v>
      </c>
      <c r="I942" s="809">
        <f t="shared" si="48"/>
        <v>1015000</v>
      </c>
      <c r="J942" s="872">
        <v>45822.0</v>
      </c>
      <c r="K942" s="799" t="s">
        <v>4262</v>
      </c>
      <c r="L942" s="818" t="s">
        <v>12235</v>
      </c>
      <c r="M942" s="818" t="s">
        <v>6675</v>
      </c>
      <c r="N942" s="839">
        <v>45811.0</v>
      </c>
      <c r="O942" s="823"/>
    </row>
    <row r="943" ht="15.0" customHeight="1">
      <c r="A943" s="789">
        <v>45761.0</v>
      </c>
      <c r="B943" s="790">
        <v>2504206.0</v>
      </c>
      <c r="C943" s="791" t="s">
        <v>11484</v>
      </c>
      <c r="D943" s="791" t="s">
        <v>3025</v>
      </c>
      <c r="E943" s="792" t="str">
        <f>IFERROR(VLOOKUP(D943,Stock,3,FALSE),"")</f>
        <v>Toyota Rush / Terios 06-17</v>
      </c>
      <c r="F943" s="791">
        <v>2.0</v>
      </c>
      <c r="G943" s="842">
        <v>733600.0</v>
      </c>
      <c r="H943" s="811">
        <f t="shared" si="40"/>
        <v>1467200</v>
      </c>
      <c r="I943" s="809">
        <f t="shared" si="48"/>
        <v>1467200</v>
      </c>
      <c r="J943" s="872">
        <v>45822.0</v>
      </c>
      <c r="K943" s="799" t="s">
        <v>4262</v>
      </c>
      <c r="L943" s="818" t="s">
        <v>12235</v>
      </c>
      <c r="M943" s="818" t="s">
        <v>6675</v>
      </c>
      <c r="N943" s="839">
        <v>45811.0</v>
      </c>
      <c r="O943" s="823"/>
    </row>
    <row r="944" ht="15.0" customHeight="1">
      <c r="A944" s="789">
        <v>45761.0</v>
      </c>
      <c r="B944" s="790" t="s">
        <v>13141</v>
      </c>
      <c r="C944" s="791" t="s">
        <v>3076</v>
      </c>
      <c r="D944" s="791" t="s">
        <v>7476</v>
      </c>
      <c r="E944" s="792" t="str">
        <f>IFERROR(VLOOKUP(D944,Stock,3,FALSE),"")</f>
        <v>Nissan Serena 19- MKV C27</v>
      </c>
      <c r="F944" s="791">
        <v>1.0</v>
      </c>
      <c r="G944" s="842">
        <v>1806975.0</v>
      </c>
      <c r="H944" s="811">
        <f t="shared" si="40"/>
        <v>1806975</v>
      </c>
      <c r="I944" s="809">
        <f t="shared" si="48"/>
        <v>1806975</v>
      </c>
      <c r="J944" s="819"/>
      <c r="K944" s="799" t="s">
        <v>4262</v>
      </c>
      <c r="L944" s="818" t="s">
        <v>12235</v>
      </c>
      <c r="M944" s="818" t="s">
        <v>6675</v>
      </c>
      <c r="N944" s="839">
        <v>45762.0</v>
      </c>
      <c r="O944" s="823"/>
    </row>
    <row r="945" ht="15.0" customHeight="1">
      <c r="A945" s="789">
        <v>45761.0</v>
      </c>
      <c r="B945" s="790" t="s">
        <v>13141</v>
      </c>
      <c r="C945" s="791" t="s">
        <v>3076</v>
      </c>
      <c r="D945" s="791" t="s">
        <v>3176</v>
      </c>
      <c r="E945" s="792" t="str">
        <f>IFERROR(VLOOKUP(D945,Stock,3,FALSE),"")</f>
        <v>Toyota Avanza / Xenia 11-15 2nd Gen / 15-21 3rd Gen</v>
      </c>
      <c r="F945" s="791">
        <v>3.0</v>
      </c>
      <c r="G945" s="842">
        <v>404325.0</v>
      </c>
      <c r="H945" s="811">
        <f t="shared" si="40"/>
        <v>1212975</v>
      </c>
      <c r="I945" s="809">
        <f t="shared" si="48"/>
        <v>1212975</v>
      </c>
      <c r="J945" s="819"/>
      <c r="K945" s="799" t="s">
        <v>4262</v>
      </c>
      <c r="L945" s="818" t="s">
        <v>12235</v>
      </c>
      <c r="M945" s="818" t="s">
        <v>6675</v>
      </c>
      <c r="N945" s="839">
        <v>45762.0</v>
      </c>
      <c r="O945" s="823"/>
    </row>
    <row r="946" ht="15.0" customHeight="1">
      <c r="A946" s="789">
        <v>45761.0</v>
      </c>
      <c r="B946" s="790" t="s">
        <v>13141</v>
      </c>
      <c r="C946" s="791" t="s">
        <v>3076</v>
      </c>
      <c r="D946" s="791" t="s">
        <v>2936</v>
      </c>
      <c r="E946" s="792" t="str">
        <f>IFERROR(VLOOKUP(D946,Stock,3,FALSE),"")</f>
        <v>Toyota Calya / Sigra 16-</v>
      </c>
      <c r="F946" s="791">
        <v>3.0</v>
      </c>
      <c r="G946" s="842">
        <v>417150.0</v>
      </c>
      <c r="H946" s="811">
        <f t="shared" si="40"/>
        <v>1251450</v>
      </c>
      <c r="I946" s="809">
        <f t="shared" si="48"/>
        <v>1251450</v>
      </c>
      <c r="J946" s="819"/>
      <c r="K946" s="799" t="s">
        <v>4262</v>
      </c>
      <c r="L946" s="818" t="s">
        <v>12235</v>
      </c>
      <c r="M946" s="818" t="s">
        <v>6675</v>
      </c>
      <c r="N946" s="839">
        <v>45762.0</v>
      </c>
      <c r="O946" s="823"/>
    </row>
    <row r="947" ht="15.0" customHeight="1">
      <c r="A947" s="789">
        <v>45761.0</v>
      </c>
      <c r="B947" s="790" t="s">
        <v>13141</v>
      </c>
      <c r="C947" s="791" t="s">
        <v>3076</v>
      </c>
      <c r="D947" s="791" t="s">
        <v>2781</v>
      </c>
      <c r="E947" s="792" t="str">
        <f>IFERROR(VLOOKUP(D947,Stock,3,FALSE),"")</f>
        <v>Kia Sportage 04-10 JE/KM</v>
      </c>
      <c r="F947" s="791">
        <v>1.0</v>
      </c>
      <c r="G947" s="842">
        <v>1350000.0</v>
      </c>
      <c r="H947" s="811">
        <f t="shared" si="40"/>
        <v>1350000</v>
      </c>
      <c r="I947" s="809">
        <f t="shared" si="48"/>
        <v>1350000</v>
      </c>
      <c r="J947" s="819"/>
      <c r="K947" s="799" t="s">
        <v>4262</v>
      </c>
      <c r="L947" s="818" t="s">
        <v>12235</v>
      </c>
      <c r="M947" s="818" t="s">
        <v>6675</v>
      </c>
      <c r="N947" s="839">
        <v>45762.0</v>
      </c>
      <c r="O947" s="823"/>
    </row>
    <row r="948" ht="15.0" customHeight="1">
      <c r="A948" s="789">
        <v>45762.0</v>
      </c>
      <c r="B948" s="790">
        <v>2504274.0</v>
      </c>
      <c r="C948" s="791" t="s">
        <v>11484</v>
      </c>
      <c r="D948" s="791" t="s">
        <v>6319</v>
      </c>
      <c r="E948" s="792" t="str">
        <f>IFERROR(VLOOKUP(D948,Stock,3,FALSE),"")</f>
        <v>Wuling Almaz</v>
      </c>
      <c r="F948" s="791">
        <v>1.0</v>
      </c>
      <c r="G948" s="842">
        <v>783300.0</v>
      </c>
      <c r="H948" s="811">
        <f t="shared" si="40"/>
        <v>783300</v>
      </c>
      <c r="I948" s="809">
        <f t="shared" si="48"/>
        <v>783300</v>
      </c>
      <c r="J948" s="872">
        <v>45823.0</v>
      </c>
      <c r="K948" s="799" t="s">
        <v>4262</v>
      </c>
      <c r="L948" s="818" t="s">
        <v>12235</v>
      </c>
      <c r="M948" s="818" t="s">
        <v>6675</v>
      </c>
      <c r="N948" s="839">
        <v>45813.0</v>
      </c>
      <c r="O948" s="823"/>
    </row>
    <row r="949" ht="15.0" customHeight="1">
      <c r="A949" s="789">
        <v>45762.0</v>
      </c>
      <c r="B949" s="790">
        <v>2504274.0</v>
      </c>
      <c r="C949" s="791" t="s">
        <v>11484</v>
      </c>
      <c r="D949" s="791" t="s">
        <v>3031</v>
      </c>
      <c r="E949" s="792" t="str">
        <f>IFERROR(VLOOKUP(D949,Stock,3,FALSE),"")</f>
        <v>Toyota Yaris 18- 3rd Gen (Lampu -) XP151</v>
      </c>
      <c r="F949" s="791">
        <v>1.0</v>
      </c>
      <c r="G949" s="842">
        <v>890400.0</v>
      </c>
      <c r="H949" s="811">
        <f t="shared" si="40"/>
        <v>890400</v>
      </c>
      <c r="I949" s="809">
        <f t="shared" si="48"/>
        <v>890400</v>
      </c>
      <c r="J949" s="872">
        <v>45823.0</v>
      </c>
      <c r="K949" s="799" t="s">
        <v>4262</v>
      </c>
      <c r="L949" s="818" t="s">
        <v>12235</v>
      </c>
      <c r="M949" s="818" t="s">
        <v>6675</v>
      </c>
      <c r="N949" s="839">
        <v>45813.0</v>
      </c>
      <c r="O949" s="823"/>
    </row>
    <row r="950" ht="15.0" customHeight="1">
      <c r="A950" s="789">
        <v>45762.0</v>
      </c>
      <c r="B950" s="790">
        <v>2504274.0</v>
      </c>
      <c r="C950" s="791" t="s">
        <v>11484</v>
      </c>
      <c r="D950" s="791" t="s">
        <v>3201</v>
      </c>
      <c r="E950" s="792" t="str">
        <f>IFERROR(VLOOKUP(D950,Stock,3,FALSE),"")</f>
        <v>Honda Freed 08-16 1st gen</v>
      </c>
      <c r="F950" s="791">
        <v>2.0</v>
      </c>
      <c r="G950" s="842">
        <v>992600.0</v>
      </c>
      <c r="H950" s="811">
        <f t="shared" si="40"/>
        <v>1985200</v>
      </c>
      <c r="I950" s="809">
        <f t="shared" si="48"/>
        <v>1985200</v>
      </c>
      <c r="J950" s="872">
        <v>45823.0</v>
      </c>
      <c r="K950" s="799" t="s">
        <v>4262</v>
      </c>
      <c r="L950" s="818" t="s">
        <v>12235</v>
      </c>
      <c r="M950" s="818" t="s">
        <v>6675</v>
      </c>
      <c r="N950" s="839">
        <v>45813.0</v>
      </c>
      <c r="O950" s="823"/>
    </row>
    <row r="951" ht="15.0" customHeight="1">
      <c r="A951" s="789">
        <v>45763.0</v>
      </c>
      <c r="B951" s="829" t="s">
        <v>13142</v>
      </c>
      <c r="C951" s="791" t="s">
        <v>11481</v>
      </c>
      <c r="D951" s="791" t="s">
        <v>7552</v>
      </c>
      <c r="E951" s="792" t="str">
        <f>IFERROR(VLOOKUP(D951,Stock,3,FALSE),"")</f>
        <v>Toyota Raize / Daihatsu Rocky 20- (Toyota/Daihatsu)</v>
      </c>
      <c r="F951" s="791">
        <v>1.0</v>
      </c>
      <c r="G951" s="842">
        <v>1636000.0</v>
      </c>
      <c r="H951" s="811">
        <f t="shared" si="40"/>
        <v>1636000</v>
      </c>
      <c r="I951" s="809"/>
      <c r="J951" s="819"/>
      <c r="K951" s="799" t="s">
        <v>4262</v>
      </c>
      <c r="L951" s="818" t="s">
        <v>12235</v>
      </c>
      <c r="M951" s="818" t="s">
        <v>6675</v>
      </c>
      <c r="N951" s="839">
        <v>45763.0</v>
      </c>
      <c r="O951" s="823"/>
    </row>
    <row r="952" ht="15.0" customHeight="1">
      <c r="A952" s="789">
        <v>45763.0</v>
      </c>
      <c r="B952" s="829" t="s">
        <v>13142</v>
      </c>
      <c r="C952" s="791" t="s">
        <v>11481</v>
      </c>
      <c r="D952" s="791" t="s">
        <v>2555</v>
      </c>
      <c r="E952" s="792" t="str">
        <f>IFERROR(VLOOKUP(D952,Stock,3,FALSE),"")</f>
        <v>Toyota Fortuner 15-  2nd Gen (Toyota)</v>
      </c>
      <c r="F952" s="791">
        <v>1.0</v>
      </c>
      <c r="G952" s="842">
        <v>820000.0</v>
      </c>
      <c r="H952" s="811">
        <f t="shared" si="40"/>
        <v>820000</v>
      </c>
      <c r="I952" s="809"/>
      <c r="J952" s="819"/>
      <c r="K952" s="799" t="s">
        <v>4262</v>
      </c>
      <c r="L952" s="818" t="s">
        <v>12235</v>
      </c>
      <c r="M952" s="818" t="s">
        <v>6675</v>
      </c>
      <c r="N952" s="839">
        <v>45763.0</v>
      </c>
      <c r="O952" s="823"/>
    </row>
    <row r="953" ht="15.0" customHeight="1">
      <c r="A953" s="789">
        <v>45763.0</v>
      </c>
      <c r="B953" s="790">
        <v>2504317.0</v>
      </c>
      <c r="C953" s="791" t="s">
        <v>11484</v>
      </c>
      <c r="D953" s="791" t="s">
        <v>7540</v>
      </c>
      <c r="E953" s="792" t="str">
        <f>IFERROR(VLOOKUP(D953,Stock,3,FALSE),"")</f>
        <v>T</v>
      </c>
      <c r="F953" s="791">
        <v>1.0</v>
      </c>
      <c r="G953" s="842">
        <v>396200.0</v>
      </c>
      <c r="H953" s="811">
        <f t="shared" si="40"/>
        <v>396200</v>
      </c>
      <c r="I953" s="809">
        <f t="shared" ref="I953:I957" si="49">H953</f>
        <v>396200</v>
      </c>
      <c r="J953" s="872">
        <v>45824.0</v>
      </c>
      <c r="K953" s="799" t="s">
        <v>4262</v>
      </c>
      <c r="L953" s="818" t="s">
        <v>12235</v>
      </c>
      <c r="M953" s="874" t="s">
        <v>6675</v>
      </c>
      <c r="N953" s="839">
        <v>45818.0</v>
      </c>
      <c r="O953" s="823"/>
    </row>
    <row r="954" ht="15.0" customHeight="1">
      <c r="A954" s="789">
        <v>45763.0</v>
      </c>
      <c r="B954" s="790">
        <v>2504317.0</v>
      </c>
      <c r="C954" s="791" t="s">
        <v>11484</v>
      </c>
      <c r="D954" s="791" t="s">
        <v>2934</v>
      </c>
      <c r="E954" s="792" t="str">
        <f>IFERROR(VLOOKUP(D954,Stock,3,FALSE),"")</f>
        <v>Peti Kayu</v>
      </c>
      <c r="F954" s="791">
        <v>1.0</v>
      </c>
      <c r="G954" s="842">
        <v>150000.0</v>
      </c>
      <c r="H954" s="811">
        <f t="shared" si="40"/>
        <v>150000</v>
      </c>
      <c r="I954" s="809">
        <f t="shared" si="49"/>
        <v>150000</v>
      </c>
      <c r="J954" s="872">
        <v>45824.0</v>
      </c>
      <c r="K954" s="799" t="s">
        <v>4262</v>
      </c>
      <c r="L954" s="818" t="s">
        <v>12235</v>
      </c>
      <c r="M954" s="874" t="s">
        <v>6675</v>
      </c>
      <c r="N954" s="839">
        <v>45818.0</v>
      </c>
      <c r="O954" s="823"/>
    </row>
    <row r="955" ht="15.0" customHeight="1">
      <c r="A955" s="789">
        <v>45766.0</v>
      </c>
      <c r="B955" s="790" t="s">
        <v>13143</v>
      </c>
      <c r="C955" s="791" t="s">
        <v>3091</v>
      </c>
      <c r="D955" s="791" t="s">
        <v>2727</v>
      </c>
      <c r="E955" s="792" t="str">
        <f>IFERROR(VLOOKUP(D955,Stock,3,FALSE),"")</f>
        <v>Honda CR-V 17-23 5th Gen (Honda)</v>
      </c>
      <c r="F955" s="791">
        <v>2.0</v>
      </c>
      <c r="G955" s="842">
        <v>600000.0</v>
      </c>
      <c r="H955" s="811">
        <f t="shared" si="40"/>
        <v>1200000</v>
      </c>
      <c r="I955" s="809">
        <f t="shared" si="49"/>
        <v>1200000</v>
      </c>
      <c r="J955" s="872">
        <v>45827.0</v>
      </c>
      <c r="K955" s="799" t="s">
        <v>4262</v>
      </c>
      <c r="L955" s="818" t="s">
        <v>12235</v>
      </c>
      <c r="M955" s="818" t="s">
        <v>6675</v>
      </c>
      <c r="N955" s="839">
        <v>45817.0</v>
      </c>
      <c r="O955" s="823"/>
    </row>
    <row r="956" ht="15.0" customHeight="1">
      <c r="A956" s="789">
        <v>45766.0</v>
      </c>
      <c r="B956" s="790" t="s">
        <v>13143</v>
      </c>
      <c r="C956" s="791" t="s">
        <v>3091</v>
      </c>
      <c r="D956" s="791" t="s">
        <v>5365</v>
      </c>
      <c r="E956" s="792" t="str">
        <f>IFERROR(VLOOKUP(D956,Stock,3,FALSE),"")</f>
        <v>Nissan Livina  07-12 L10 (Tanpa Lubang) Nissan</v>
      </c>
      <c r="F956" s="791">
        <v>4.0</v>
      </c>
      <c r="G956" s="842">
        <v>525000.0</v>
      </c>
      <c r="H956" s="811">
        <f t="shared" si="40"/>
        <v>2100000</v>
      </c>
      <c r="I956" s="809">
        <f t="shared" si="49"/>
        <v>2100000</v>
      </c>
      <c r="J956" s="872">
        <v>45827.0</v>
      </c>
      <c r="K956" s="799" t="s">
        <v>4262</v>
      </c>
      <c r="L956" s="818" t="s">
        <v>12235</v>
      </c>
      <c r="M956" s="818" t="s">
        <v>6675</v>
      </c>
      <c r="N956" s="839">
        <v>45817.0</v>
      </c>
      <c r="O956" s="823"/>
    </row>
    <row r="957" ht="15.0" customHeight="1">
      <c r="A957" s="789">
        <v>45766.0</v>
      </c>
      <c r="B957" s="790" t="s">
        <v>13143</v>
      </c>
      <c r="C957" s="791" t="s">
        <v>3091</v>
      </c>
      <c r="D957" s="791" t="s">
        <v>5554</v>
      </c>
      <c r="E957" s="792" t="str">
        <f>IFERROR(VLOOKUP(D957,Stock,3,FALSE),"")</f>
        <v>Mers-Benz E-Class  09-16  W212 (2 Sensor/ □Δ) Trapes.</v>
      </c>
      <c r="F957" s="791">
        <v>1.0</v>
      </c>
      <c r="G957" s="842">
        <v>2219488.0</v>
      </c>
      <c r="H957" s="811">
        <f t="shared" si="40"/>
        <v>2219488</v>
      </c>
      <c r="I957" s="809">
        <f t="shared" si="49"/>
        <v>2219488</v>
      </c>
      <c r="J957" s="872">
        <v>45827.0</v>
      </c>
      <c r="K957" s="799" t="s">
        <v>4262</v>
      </c>
      <c r="L957" s="818" t="s">
        <v>12235</v>
      </c>
      <c r="M957" s="818" t="s">
        <v>6675</v>
      </c>
      <c r="N957" s="839">
        <v>45817.0</v>
      </c>
      <c r="O957" s="823"/>
    </row>
    <row r="958" ht="15.0" customHeight="1">
      <c r="A958" s="789">
        <v>45768.0</v>
      </c>
      <c r="B958" s="790" t="s">
        <v>13144</v>
      </c>
      <c r="C958" s="791" t="s">
        <v>13145</v>
      </c>
      <c r="D958" s="791" t="s">
        <v>3745</v>
      </c>
      <c r="E958" s="792" t="str">
        <f>IFERROR(VLOOKUP(D958,Stock,3,FALSE),"")</f>
        <v>Honda Brio 10- / Mobilio 11-</v>
      </c>
      <c r="F958" s="791">
        <v>2.0</v>
      </c>
      <c r="G958" s="842">
        <v>850000.0</v>
      </c>
      <c r="H958" s="811">
        <f t="shared" si="40"/>
        <v>1700000</v>
      </c>
      <c r="I958" s="809"/>
      <c r="J958" s="819"/>
      <c r="K958" s="799" t="s">
        <v>4262</v>
      </c>
      <c r="L958" s="818" t="s">
        <v>12235</v>
      </c>
      <c r="M958" s="818" t="s">
        <v>6675</v>
      </c>
      <c r="N958" s="839">
        <v>45768.0</v>
      </c>
      <c r="O958" s="823"/>
    </row>
    <row r="959" ht="15.0" customHeight="1">
      <c r="A959" s="789">
        <v>45768.0</v>
      </c>
      <c r="B959" s="790" t="s">
        <v>13146</v>
      </c>
      <c r="C959" s="791" t="s">
        <v>12932</v>
      </c>
      <c r="D959" s="791" t="s">
        <v>3542</v>
      </c>
      <c r="E959" s="792" t="str">
        <f>IFERROR(VLOOKUP(D959,Stock,3,FALSE),"")</f>
        <v>Daihatsu Gran Max</v>
      </c>
      <c r="F959" s="791">
        <v>5.0</v>
      </c>
      <c r="G959" s="842">
        <v>118149.5</v>
      </c>
      <c r="H959" s="811">
        <f t="shared" si="40"/>
        <v>590747.5</v>
      </c>
      <c r="I959" s="809">
        <f t="shared" ref="I959:I991" si="50">H959</f>
        <v>590747.5</v>
      </c>
      <c r="J959" s="872">
        <v>45829.0</v>
      </c>
      <c r="K959" s="799" t="s">
        <v>4262</v>
      </c>
      <c r="L959" s="818" t="s">
        <v>12235</v>
      </c>
      <c r="M959" s="818" t="s">
        <v>6675</v>
      </c>
      <c r="N959" s="839">
        <v>45792.0</v>
      </c>
      <c r="O959" s="823"/>
    </row>
    <row r="960" ht="15.0" customHeight="1">
      <c r="A960" s="789">
        <v>45768.0</v>
      </c>
      <c r="B960" s="790" t="s">
        <v>13146</v>
      </c>
      <c r="C960" s="791" t="s">
        <v>12932</v>
      </c>
      <c r="D960" s="791" t="s">
        <v>3541</v>
      </c>
      <c r="E960" s="792" t="str">
        <f>IFERROR(VLOOKUP(D960,Stock,3,FALSE),"")</f>
        <v>Daihatsu Gran Max</v>
      </c>
      <c r="F960" s="791">
        <v>5.0</v>
      </c>
      <c r="G960" s="842">
        <v>118149.5</v>
      </c>
      <c r="H960" s="811">
        <f t="shared" si="40"/>
        <v>590747.5</v>
      </c>
      <c r="I960" s="809">
        <f t="shared" si="50"/>
        <v>590747.5</v>
      </c>
      <c r="J960" s="872">
        <v>45829.0</v>
      </c>
      <c r="K960" s="799" t="s">
        <v>4262</v>
      </c>
      <c r="L960" s="818" t="s">
        <v>12235</v>
      </c>
      <c r="M960" s="874" t="s">
        <v>6675</v>
      </c>
      <c r="N960" s="875">
        <v>45792.0</v>
      </c>
      <c r="O960" s="823"/>
    </row>
    <row r="961" ht="15.0" customHeight="1">
      <c r="A961" s="789">
        <v>45768.0</v>
      </c>
      <c r="B961" s="790">
        <v>2504410.0</v>
      </c>
      <c r="C961" s="791" t="s">
        <v>11484</v>
      </c>
      <c r="D961" s="791" t="s">
        <v>2663</v>
      </c>
      <c r="E961" s="792" t="str">
        <f>IFERROR(VLOOKUP(D961,Stock,3,FALSE),"")</f>
        <v>Chevrolet Captiva 06-18 1st gen C100</v>
      </c>
      <c r="F961" s="791">
        <v>2.0</v>
      </c>
      <c r="G961" s="842">
        <v>1269100.0</v>
      </c>
      <c r="H961" s="811">
        <f t="shared" si="40"/>
        <v>2538200</v>
      </c>
      <c r="I961" s="809">
        <f t="shared" si="50"/>
        <v>2538200</v>
      </c>
      <c r="J961" s="872">
        <v>45829.0</v>
      </c>
      <c r="K961" s="799" t="s">
        <v>4262</v>
      </c>
      <c r="L961" s="818" t="s">
        <v>12235</v>
      </c>
      <c r="M961" s="818" t="s">
        <v>6675</v>
      </c>
      <c r="N961" s="839">
        <v>45813.0</v>
      </c>
      <c r="O961" s="823"/>
    </row>
    <row r="962" ht="15.0" customHeight="1">
      <c r="A962" s="789">
        <v>45768.0</v>
      </c>
      <c r="B962" s="790">
        <v>2504410.0</v>
      </c>
      <c r="C962" s="791" t="s">
        <v>11484</v>
      </c>
      <c r="D962" s="791" t="s">
        <v>2671</v>
      </c>
      <c r="E962" s="792" t="str">
        <f>IFERROR(VLOOKUP(D962,Stock,3,FALSE),"")</f>
        <v>Isuzu D-Max 02-12 1st Gen</v>
      </c>
      <c r="F962" s="791">
        <v>1.0</v>
      </c>
      <c r="G962" s="842">
        <v>1007300.0</v>
      </c>
      <c r="H962" s="811">
        <f t="shared" si="40"/>
        <v>1007300</v>
      </c>
      <c r="I962" s="809">
        <f t="shared" si="50"/>
        <v>1007300</v>
      </c>
      <c r="J962" s="872">
        <v>45829.0</v>
      </c>
      <c r="K962" s="799" t="s">
        <v>4262</v>
      </c>
      <c r="L962" s="818" t="s">
        <v>12235</v>
      </c>
      <c r="M962" s="818" t="s">
        <v>6675</v>
      </c>
      <c r="N962" s="839">
        <v>45813.0</v>
      </c>
      <c r="O962" s="823"/>
    </row>
    <row r="963" ht="15.0" customHeight="1">
      <c r="A963" s="789">
        <v>45768.0</v>
      </c>
      <c r="B963" s="790">
        <v>2504410.0</v>
      </c>
      <c r="C963" s="791" t="s">
        <v>11484</v>
      </c>
      <c r="D963" s="791" t="s">
        <v>2744</v>
      </c>
      <c r="E963" s="792" t="str">
        <f>IFERROR(VLOOKUP(D963,Stock,3,FALSE),"")</f>
        <v>Toyota Fortuner 05-15 1st Gen (Hitam)</v>
      </c>
      <c r="F963" s="791">
        <v>1.0</v>
      </c>
      <c r="G963" s="842">
        <v>1365000.0</v>
      </c>
      <c r="H963" s="811">
        <f t="shared" si="40"/>
        <v>1365000</v>
      </c>
      <c r="I963" s="809">
        <f t="shared" si="50"/>
        <v>1365000</v>
      </c>
      <c r="J963" s="872">
        <v>45829.0</v>
      </c>
      <c r="K963" s="799" t="s">
        <v>4262</v>
      </c>
      <c r="L963" s="818" t="s">
        <v>12235</v>
      </c>
      <c r="M963" s="818" t="s">
        <v>6675</v>
      </c>
      <c r="N963" s="839">
        <v>45813.0</v>
      </c>
      <c r="O963" s="823"/>
    </row>
    <row r="964" ht="15.0" customHeight="1">
      <c r="A964" s="789">
        <v>45768.0</v>
      </c>
      <c r="B964" s="790">
        <v>2504410.0</v>
      </c>
      <c r="C964" s="791" t="s">
        <v>11484</v>
      </c>
      <c r="D964" s="791" t="s">
        <v>3186</v>
      </c>
      <c r="E964" s="792" t="str">
        <f>IFERROR(VLOOKUP(D964,Stock,3,FALSE),"")</f>
        <v>Daihatsu Gran Max / Luxio 07-</v>
      </c>
      <c r="F964" s="791">
        <v>2.0</v>
      </c>
      <c r="G964" s="842">
        <v>598500.0</v>
      </c>
      <c r="H964" s="811">
        <f t="shared" si="40"/>
        <v>1197000</v>
      </c>
      <c r="I964" s="809">
        <f t="shared" si="50"/>
        <v>1197000</v>
      </c>
      <c r="J964" s="872">
        <v>45829.0</v>
      </c>
      <c r="K964" s="799" t="s">
        <v>4262</v>
      </c>
      <c r="L964" s="818" t="s">
        <v>12235</v>
      </c>
      <c r="M964" s="818" t="s">
        <v>6675</v>
      </c>
      <c r="N964" s="839">
        <v>45813.0</v>
      </c>
      <c r="O964" s="823"/>
    </row>
    <row r="965" ht="15.0" customHeight="1">
      <c r="A965" s="789">
        <v>45768.0</v>
      </c>
      <c r="B965" s="790">
        <v>2504410.0</v>
      </c>
      <c r="C965" s="791" t="s">
        <v>11484</v>
      </c>
      <c r="D965" s="791" t="s">
        <v>4901</v>
      </c>
      <c r="E965" s="792" t="str">
        <f>IFERROR(VLOOKUP(D965,Stock,3,FALSE),"")</f>
        <v>Toyota Rush / Terios 18-</v>
      </c>
      <c r="F965" s="791">
        <v>2.0</v>
      </c>
      <c r="G965" s="842">
        <v>526400.0</v>
      </c>
      <c r="H965" s="811">
        <f t="shared" si="40"/>
        <v>1052800</v>
      </c>
      <c r="I965" s="809">
        <f t="shared" si="50"/>
        <v>1052800</v>
      </c>
      <c r="J965" s="872">
        <v>45829.0</v>
      </c>
      <c r="K965" s="799" t="s">
        <v>4262</v>
      </c>
      <c r="L965" s="818" t="s">
        <v>12235</v>
      </c>
      <c r="M965" s="818" t="s">
        <v>6675</v>
      </c>
      <c r="N965" s="839">
        <v>45813.0</v>
      </c>
      <c r="O965" s="823"/>
    </row>
    <row r="966" ht="15.0" customHeight="1">
      <c r="A966" s="789">
        <v>45768.0</v>
      </c>
      <c r="B966" s="790">
        <v>2504410.0</v>
      </c>
      <c r="C966" s="791" t="s">
        <v>11484</v>
      </c>
      <c r="D966" s="791" t="s">
        <v>2643</v>
      </c>
      <c r="E966" s="792" t="str">
        <f>IFERROR(VLOOKUP(D966,Stock,3,FALSE),"")</f>
        <v>Toyota Vios 07-13 XP90 2nd Gen</v>
      </c>
      <c r="F966" s="791">
        <v>1.0</v>
      </c>
      <c r="G966" s="842">
        <v>793100.0</v>
      </c>
      <c r="H966" s="811">
        <f t="shared" si="40"/>
        <v>793100</v>
      </c>
      <c r="I966" s="809">
        <f t="shared" si="50"/>
        <v>793100</v>
      </c>
      <c r="J966" s="872">
        <v>45829.0</v>
      </c>
      <c r="K966" s="799" t="s">
        <v>4262</v>
      </c>
      <c r="L966" s="818" t="s">
        <v>12235</v>
      </c>
      <c r="M966" s="818" t="s">
        <v>6675</v>
      </c>
      <c r="N966" s="839">
        <v>45813.0</v>
      </c>
      <c r="O966" s="823"/>
    </row>
    <row r="967" ht="15.0" customHeight="1">
      <c r="A967" s="789">
        <v>45768.0</v>
      </c>
      <c r="B967" s="790">
        <v>2504410.0</v>
      </c>
      <c r="C967" s="791" t="s">
        <v>11484</v>
      </c>
      <c r="D967" s="791" t="s">
        <v>2729</v>
      </c>
      <c r="E967" s="792" t="str">
        <f>IFERROR(VLOOKUP(D967,Stock,3,FALSE),"")</f>
        <v>Honda HR-V 14-21 5D SUV</v>
      </c>
      <c r="F967" s="791">
        <v>1.0</v>
      </c>
      <c r="G967" s="842">
        <v>1124200.0</v>
      </c>
      <c r="H967" s="811">
        <f t="shared" si="40"/>
        <v>1124200</v>
      </c>
      <c r="I967" s="809">
        <f t="shared" si="50"/>
        <v>1124200</v>
      </c>
      <c r="J967" s="872">
        <v>45829.0</v>
      </c>
      <c r="K967" s="799" t="s">
        <v>4262</v>
      </c>
      <c r="L967" s="818" t="s">
        <v>12235</v>
      </c>
      <c r="M967" s="818" t="s">
        <v>6675</v>
      </c>
      <c r="N967" s="839">
        <v>45813.0</v>
      </c>
      <c r="O967" s="823"/>
    </row>
    <row r="968" ht="15.0" customHeight="1">
      <c r="A968" s="789">
        <v>45769.0</v>
      </c>
      <c r="B968" s="790" t="s">
        <v>13147</v>
      </c>
      <c r="C968" s="791" t="s">
        <v>2425</v>
      </c>
      <c r="D968" s="791" t="s">
        <v>7611</v>
      </c>
      <c r="E968" s="792" t="str">
        <f>IFERROR(VLOOKUP(D968,Stock,3,FALSE),"")</f>
        <v>List Kaca Depan Mitsubishi Pajero 16- / Triton 16-</v>
      </c>
      <c r="F968" s="791">
        <v>2.0</v>
      </c>
      <c r="G968" s="842">
        <v>0.0</v>
      </c>
      <c r="H968" s="811">
        <f t="shared" si="40"/>
        <v>0</v>
      </c>
      <c r="I968" s="809">
        <f t="shared" si="50"/>
        <v>0</v>
      </c>
      <c r="J968" s="819"/>
      <c r="K968" s="799" t="s">
        <v>4281</v>
      </c>
      <c r="L968" s="823"/>
      <c r="M968" s="823"/>
      <c r="N968" s="823"/>
      <c r="O968" s="823"/>
    </row>
    <row r="969" ht="15.0" customHeight="1">
      <c r="A969" s="789">
        <v>45769.0</v>
      </c>
      <c r="B969" s="790" t="s">
        <v>13148</v>
      </c>
      <c r="C969" s="791" t="s">
        <v>3091</v>
      </c>
      <c r="D969" s="791" t="s">
        <v>6476</v>
      </c>
      <c r="E969" s="792" t="str">
        <f>IFERROR(VLOOKUP(D969,Stock,3,FALSE),"")</f>
        <v>Mitsubishi Outlander 10-21</v>
      </c>
      <c r="F969" s="791">
        <v>2.0</v>
      </c>
      <c r="G969" s="842">
        <v>643657.7</v>
      </c>
      <c r="H969" s="811">
        <f t="shared" si="40"/>
        <v>1287315.4</v>
      </c>
      <c r="I969" s="809">
        <f t="shared" si="50"/>
        <v>1287315.4</v>
      </c>
      <c r="J969" s="872">
        <v>45830.0</v>
      </c>
      <c r="K969" s="799" t="s">
        <v>4262</v>
      </c>
      <c r="L969" s="818" t="s">
        <v>12235</v>
      </c>
      <c r="M969" s="874" t="s">
        <v>6675</v>
      </c>
      <c r="N969" s="839">
        <v>45818.0</v>
      </c>
      <c r="O969" s="823"/>
    </row>
    <row r="970" ht="15.0" customHeight="1">
      <c r="A970" s="789">
        <v>45769.0</v>
      </c>
      <c r="B970" s="790" t="s">
        <v>13148</v>
      </c>
      <c r="C970" s="791" t="s">
        <v>3091</v>
      </c>
      <c r="D970" s="791" t="s">
        <v>2694</v>
      </c>
      <c r="E970" s="792" t="str">
        <f>IFERROR(VLOOKUP(D970,Stock,3,FALSE),"")</f>
        <v>Honda CR-V 17-23 5th Gen</v>
      </c>
      <c r="F970" s="791">
        <v>3.0</v>
      </c>
      <c r="G970" s="842">
        <v>700000.0</v>
      </c>
      <c r="H970" s="811">
        <f t="shared" si="40"/>
        <v>2100000</v>
      </c>
      <c r="I970" s="809">
        <f t="shared" si="50"/>
        <v>2100000</v>
      </c>
      <c r="J970" s="872">
        <v>45830.0</v>
      </c>
      <c r="K970" s="799" t="s">
        <v>4262</v>
      </c>
      <c r="L970" s="818" t="s">
        <v>12235</v>
      </c>
      <c r="M970" s="874" t="s">
        <v>6675</v>
      </c>
      <c r="N970" s="839">
        <v>45818.0</v>
      </c>
      <c r="O970" s="823"/>
    </row>
    <row r="971" ht="15.0" customHeight="1">
      <c r="A971" s="789">
        <v>45769.0</v>
      </c>
      <c r="B971" s="790" t="s">
        <v>13148</v>
      </c>
      <c r="C971" s="791" t="s">
        <v>3091</v>
      </c>
      <c r="D971" s="791" t="s">
        <v>2919</v>
      </c>
      <c r="E971" s="792" t="str">
        <f>IFERROR(VLOOKUP(D971,Stock,3,FALSE),"")</f>
        <v>Toyota Innova 04-15 1st Gen</v>
      </c>
      <c r="F971" s="791">
        <v>5.0</v>
      </c>
      <c r="G971" s="842">
        <v>950000.0</v>
      </c>
      <c r="H971" s="811">
        <f t="shared" si="40"/>
        <v>4750000</v>
      </c>
      <c r="I971" s="809">
        <f t="shared" si="50"/>
        <v>4750000</v>
      </c>
      <c r="J971" s="872">
        <v>45830.0</v>
      </c>
      <c r="K971" s="799" t="s">
        <v>4262</v>
      </c>
      <c r="L971" s="818" t="s">
        <v>12235</v>
      </c>
      <c r="M971" s="874" t="s">
        <v>6675</v>
      </c>
      <c r="N971" s="839">
        <v>45818.0</v>
      </c>
      <c r="O971" s="823"/>
    </row>
    <row r="972" ht="15.0" customHeight="1">
      <c r="A972" s="789">
        <v>45771.0</v>
      </c>
      <c r="B972" s="790">
        <v>2504554.0</v>
      </c>
      <c r="C972" s="791" t="s">
        <v>11484</v>
      </c>
      <c r="D972" s="791" t="s">
        <v>3451</v>
      </c>
      <c r="E972" s="792" t="str">
        <f>IFERROR(VLOOKUP(D972,Stock,3,FALSE),"")</f>
        <v>Toyota Rush / Terios 18-</v>
      </c>
      <c r="F972" s="791">
        <v>2.0</v>
      </c>
      <c r="G972" s="842">
        <v>672000.0</v>
      </c>
      <c r="H972" s="811">
        <f t="shared" si="40"/>
        <v>1344000</v>
      </c>
      <c r="I972" s="809">
        <f t="shared" si="50"/>
        <v>1344000</v>
      </c>
      <c r="J972" s="872">
        <v>45832.0</v>
      </c>
      <c r="K972" s="799" t="s">
        <v>4262</v>
      </c>
      <c r="L972" s="818" t="s">
        <v>12235</v>
      </c>
      <c r="M972" s="874" t="s">
        <v>6675</v>
      </c>
      <c r="N972" s="839">
        <v>45818.0</v>
      </c>
      <c r="O972" s="823"/>
    </row>
    <row r="973" ht="15.0" customHeight="1">
      <c r="A973" s="789">
        <v>45771.0</v>
      </c>
      <c r="B973" s="790">
        <v>2504507.0</v>
      </c>
      <c r="C973" s="791" t="s">
        <v>11484</v>
      </c>
      <c r="D973" s="791" t="s">
        <v>3186</v>
      </c>
      <c r="E973" s="792" t="str">
        <f>IFERROR(VLOOKUP(D973,Stock,3,FALSE),"")</f>
        <v>Daihatsu Gran Max / Luxio 07-</v>
      </c>
      <c r="F973" s="791">
        <v>3.0</v>
      </c>
      <c r="G973" s="842">
        <v>598500.0</v>
      </c>
      <c r="H973" s="811">
        <f t="shared" si="40"/>
        <v>1795500</v>
      </c>
      <c r="I973" s="809">
        <f t="shared" si="50"/>
        <v>1795500</v>
      </c>
      <c r="J973" s="872">
        <v>45832.0</v>
      </c>
      <c r="K973" s="799" t="s">
        <v>4262</v>
      </c>
      <c r="L973" s="818" t="s">
        <v>12235</v>
      </c>
      <c r="M973" s="874" t="s">
        <v>6675</v>
      </c>
      <c r="N973" s="839">
        <v>45818.0</v>
      </c>
      <c r="O973" s="823"/>
    </row>
    <row r="974" ht="15.0" customHeight="1">
      <c r="A974" s="789">
        <v>45771.0</v>
      </c>
      <c r="B974" s="790">
        <v>2504507.0</v>
      </c>
      <c r="C974" s="791" t="s">
        <v>11484</v>
      </c>
      <c r="D974" s="791" t="s">
        <v>6553</v>
      </c>
      <c r="E974" s="792" t="str">
        <f>IFERROR(VLOOKUP(D974,Stock,3,FALSE),"")</f>
        <v>Hino Ranger Louhan 03- / Hino 500</v>
      </c>
      <c r="F974" s="791">
        <v>1.0</v>
      </c>
      <c r="G974" s="842">
        <v>1099700.0</v>
      </c>
      <c r="H974" s="811">
        <f t="shared" si="40"/>
        <v>1099700</v>
      </c>
      <c r="I974" s="809">
        <f t="shared" si="50"/>
        <v>1099700</v>
      </c>
      <c r="J974" s="872">
        <v>45832.0</v>
      </c>
      <c r="K974" s="799" t="s">
        <v>4262</v>
      </c>
      <c r="L974" s="818" t="s">
        <v>12235</v>
      </c>
      <c r="M974" s="874" t="s">
        <v>6675</v>
      </c>
      <c r="N974" s="839">
        <v>45818.0</v>
      </c>
      <c r="O974" s="823"/>
    </row>
    <row r="975" ht="15.0" customHeight="1">
      <c r="A975" s="789">
        <v>45772.0</v>
      </c>
      <c r="B975" s="790" t="s">
        <v>13149</v>
      </c>
      <c r="C975" s="791" t="s">
        <v>12932</v>
      </c>
      <c r="D975" s="791" t="s">
        <v>2865</v>
      </c>
      <c r="E975" s="792" t="str">
        <f>IFERROR(VLOOKUP(D975,Stock,3,FALSE),"")</f>
        <v>Suzuki Ertiga 12-18 1st Gen MPV</v>
      </c>
      <c r="F975" s="791">
        <v>5.0</v>
      </c>
      <c r="G975" s="842">
        <v>127500.3</v>
      </c>
      <c r="H975" s="811">
        <f t="shared" si="40"/>
        <v>637501.5</v>
      </c>
      <c r="I975" s="809">
        <f t="shared" si="50"/>
        <v>637501.5</v>
      </c>
      <c r="J975" s="872">
        <v>45833.0</v>
      </c>
      <c r="K975" s="799" t="s">
        <v>4262</v>
      </c>
      <c r="L975" s="818" t="s">
        <v>12235</v>
      </c>
      <c r="M975" s="874" t="s">
        <v>6675</v>
      </c>
      <c r="N975" s="875">
        <v>45792.0</v>
      </c>
      <c r="O975" s="823"/>
    </row>
    <row r="976" ht="15.0" customHeight="1">
      <c r="A976" s="789">
        <v>45772.0</v>
      </c>
      <c r="B976" s="790" t="s">
        <v>13149</v>
      </c>
      <c r="C976" s="791" t="s">
        <v>12932</v>
      </c>
      <c r="D976" s="791" t="s">
        <v>3168</v>
      </c>
      <c r="E976" s="792" t="str">
        <f>IFERROR(VLOOKUP(D976,Stock,3,FALSE),"")</f>
        <v>Toyota Agya/Ayla</v>
      </c>
      <c r="F976" s="791">
        <v>5.0</v>
      </c>
      <c r="G976" s="842">
        <v>226949.3</v>
      </c>
      <c r="H976" s="811">
        <f t="shared" si="40"/>
        <v>1134746.5</v>
      </c>
      <c r="I976" s="809">
        <f t="shared" si="50"/>
        <v>1134746.5</v>
      </c>
      <c r="J976" s="872">
        <v>45833.0</v>
      </c>
      <c r="K976" s="799" t="s">
        <v>4262</v>
      </c>
      <c r="L976" s="818" t="s">
        <v>12235</v>
      </c>
      <c r="M976" s="874" t="s">
        <v>6675</v>
      </c>
      <c r="N976" s="875">
        <v>45792.0</v>
      </c>
      <c r="O976" s="823"/>
    </row>
    <row r="977" ht="15.0" customHeight="1">
      <c r="A977" s="789">
        <v>45772.0</v>
      </c>
      <c r="B977" s="790" t="s">
        <v>13149</v>
      </c>
      <c r="C977" s="791" t="s">
        <v>12932</v>
      </c>
      <c r="D977" s="791" t="s">
        <v>4149</v>
      </c>
      <c r="E977" s="792" t="str">
        <f>IFERROR(VLOOKUP(D977,Stock,3,FALSE),"")</f>
        <v>Toyota Avanza / Xenia 11-15 2nd Gen</v>
      </c>
      <c r="F977" s="791">
        <v>5.0</v>
      </c>
      <c r="G977" s="842">
        <v>106250.3</v>
      </c>
      <c r="H977" s="811">
        <f t="shared" si="40"/>
        <v>531251.5</v>
      </c>
      <c r="I977" s="809">
        <f t="shared" si="50"/>
        <v>531251.5</v>
      </c>
      <c r="J977" s="872">
        <v>45833.0</v>
      </c>
      <c r="K977" s="799" t="s">
        <v>4262</v>
      </c>
      <c r="L977" s="818" t="s">
        <v>12235</v>
      </c>
      <c r="M977" s="874" t="s">
        <v>6675</v>
      </c>
      <c r="N977" s="875">
        <v>45792.0</v>
      </c>
      <c r="O977" s="823"/>
    </row>
    <row r="978" ht="15.0" customHeight="1">
      <c r="A978" s="789">
        <v>45772.0</v>
      </c>
      <c r="B978" s="790" t="s">
        <v>13149</v>
      </c>
      <c r="C978" s="791" t="s">
        <v>12932</v>
      </c>
      <c r="D978" s="791" t="s">
        <v>5821</v>
      </c>
      <c r="E978" s="792" t="str">
        <f>IFERROR(VLOOKUP(D978,Stock,3,FALSE),"")</f>
        <v>Toyota Agya/Ayla 13-22 1st Gen</v>
      </c>
      <c r="F978" s="791">
        <v>5.0</v>
      </c>
      <c r="G978" s="842">
        <v>33150.3</v>
      </c>
      <c r="H978" s="811">
        <f t="shared" si="40"/>
        <v>165751.5</v>
      </c>
      <c r="I978" s="809">
        <f t="shared" si="50"/>
        <v>165751.5</v>
      </c>
      <c r="J978" s="872">
        <v>45833.0</v>
      </c>
      <c r="K978" s="799" t="s">
        <v>4262</v>
      </c>
      <c r="L978" s="818" t="s">
        <v>12235</v>
      </c>
      <c r="M978" s="874" t="s">
        <v>6675</v>
      </c>
      <c r="N978" s="875">
        <v>45792.0</v>
      </c>
      <c r="O978" s="823"/>
    </row>
    <row r="979" ht="15.0" customHeight="1">
      <c r="A979" s="789">
        <v>45772.0</v>
      </c>
      <c r="B979" s="790" t="s">
        <v>13149</v>
      </c>
      <c r="C979" s="791" t="s">
        <v>12932</v>
      </c>
      <c r="D979" s="791" t="s">
        <v>6895</v>
      </c>
      <c r="E979" s="792" t="str">
        <f>IFERROR(VLOOKUP(D979,Stock,3,FALSE),"")</f>
        <v>Toyota Avanza / Xenia 03-11 1st Gen</v>
      </c>
      <c r="F979" s="791">
        <v>5.0</v>
      </c>
      <c r="G979" s="842">
        <v>122399.5</v>
      </c>
      <c r="H979" s="811">
        <f t="shared" si="40"/>
        <v>611997.5</v>
      </c>
      <c r="I979" s="809">
        <f t="shared" si="50"/>
        <v>611997.5</v>
      </c>
      <c r="J979" s="872">
        <v>45833.0</v>
      </c>
      <c r="K979" s="799" t="s">
        <v>4262</v>
      </c>
      <c r="L979" s="818" t="s">
        <v>12235</v>
      </c>
      <c r="M979" s="874" t="s">
        <v>6675</v>
      </c>
      <c r="N979" s="875">
        <v>45792.0</v>
      </c>
      <c r="O979" s="823"/>
    </row>
    <row r="980" ht="15.0" customHeight="1">
      <c r="A980" s="789">
        <v>45772.0</v>
      </c>
      <c r="B980" s="790" t="s">
        <v>13150</v>
      </c>
      <c r="C980" s="791" t="s">
        <v>3076</v>
      </c>
      <c r="D980" s="876" t="s">
        <v>3083</v>
      </c>
      <c r="E980" s="792" t="str">
        <f>IFERROR(VLOOKUP(D980,Stock,3,FALSE),"")</f>
        <v>List Kaca Depan Code 04</v>
      </c>
      <c r="F980" s="791">
        <v>10.0</v>
      </c>
      <c r="G980" s="842">
        <v>65000.0</v>
      </c>
      <c r="H980" s="811">
        <f t="shared" si="40"/>
        <v>650000</v>
      </c>
      <c r="I980" s="809">
        <f t="shared" si="50"/>
        <v>650000</v>
      </c>
      <c r="J980" s="819"/>
      <c r="K980" s="799" t="s">
        <v>4262</v>
      </c>
      <c r="L980" s="818" t="s">
        <v>12235</v>
      </c>
      <c r="M980" s="818" t="s">
        <v>6675</v>
      </c>
      <c r="N980" s="839">
        <v>45780.0</v>
      </c>
      <c r="O980" s="823"/>
    </row>
    <row r="981" ht="15.0" customHeight="1">
      <c r="A981" s="789">
        <v>45772.0</v>
      </c>
      <c r="B981" s="790" t="s">
        <v>13150</v>
      </c>
      <c r="C981" s="791" t="s">
        <v>3076</v>
      </c>
      <c r="D981" s="876" t="s">
        <v>3826</v>
      </c>
      <c r="E981" s="792" t="str">
        <f>IFERROR(VLOOKUP(D981,Stock,3,FALSE),"")</f>
        <v>List Kaca Depan Code 11</v>
      </c>
      <c r="F981" s="791">
        <v>10.0</v>
      </c>
      <c r="G981" s="842">
        <v>65000.0</v>
      </c>
      <c r="H981" s="811">
        <f t="shared" si="40"/>
        <v>650000</v>
      </c>
      <c r="I981" s="809">
        <f t="shared" si="50"/>
        <v>650000</v>
      </c>
      <c r="J981" s="819"/>
      <c r="K981" s="799" t="s">
        <v>4262</v>
      </c>
      <c r="L981" s="818" t="s">
        <v>12235</v>
      </c>
      <c r="M981" s="818" t="s">
        <v>6675</v>
      </c>
      <c r="N981" s="839">
        <v>45780.0</v>
      </c>
      <c r="O981" s="823"/>
    </row>
    <row r="982" ht="15.0" customHeight="1">
      <c r="A982" s="789">
        <v>45772.0</v>
      </c>
      <c r="B982" s="790" t="s">
        <v>13150</v>
      </c>
      <c r="C982" s="791" t="s">
        <v>3076</v>
      </c>
      <c r="D982" s="876" t="s">
        <v>3355</v>
      </c>
      <c r="E982" s="792" t="str">
        <f>IFERROR(VLOOKUP(D982,Stock,3,FALSE),"")</f>
        <v>List Kaca Depan INV</v>
      </c>
      <c r="F982" s="791">
        <v>10.0</v>
      </c>
      <c r="G982" s="842">
        <v>100000.0</v>
      </c>
      <c r="H982" s="811">
        <f t="shared" si="40"/>
        <v>1000000</v>
      </c>
      <c r="I982" s="809">
        <f t="shared" si="50"/>
        <v>1000000</v>
      </c>
      <c r="J982" s="819"/>
      <c r="K982" s="799" t="s">
        <v>4262</v>
      </c>
      <c r="L982" s="818" t="s">
        <v>12235</v>
      </c>
      <c r="M982" s="818" t="s">
        <v>6675</v>
      </c>
      <c r="N982" s="839">
        <v>45780.0</v>
      </c>
      <c r="O982" s="823"/>
    </row>
    <row r="983" ht="15.0" customHeight="1">
      <c r="A983" s="789">
        <v>45772.0</v>
      </c>
      <c r="B983" s="790" t="s">
        <v>13151</v>
      </c>
      <c r="C983" s="791" t="s">
        <v>3076</v>
      </c>
      <c r="D983" s="791" t="s">
        <v>7633</v>
      </c>
      <c r="E983" s="792" t="str">
        <f>IFERROR(VLOOKUP(D983,Stock,3,FALSE),"")</f>
        <v>Renault Duster 10-18 SUV</v>
      </c>
      <c r="F983" s="791">
        <v>1.0</v>
      </c>
      <c r="G983" s="842">
        <v>1950000.0</v>
      </c>
      <c r="H983" s="811">
        <f t="shared" si="40"/>
        <v>1950000</v>
      </c>
      <c r="I983" s="809">
        <f t="shared" si="50"/>
        <v>1950000</v>
      </c>
      <c r="J983" s="819"/>
      <c r="K983" s="799" t="s">
        <v>4262</v>
      </c>
      <c r="L983" s="818" t="s">
        <v>12235</v>
      </c>
      <c r="M983" s="818" t="s">
        <v>6675</v>
      </c>
      <c r="N983" s="839">
        <v>45779.0</v>
      </c>
      <c r="O983" s="823"/>
    </row>
    <row r="984" ht="15.0" customHeight="1">
      <c r="A984" s="789">
        <v>45772.0</v>
      </c>
      <c r="B984" s="790" t="s">
        <v>13151</v>
      </c>
      <c r="C984" s="791" t="s">
        <v>3076</v>
      </c>
      <c r="D984" s="791" t="s">
        <v>2934</v>
      </c>
      <c r="E984" s="792" t="str">
        <f>IFERROR(VLOOKUP(D984,Stock,3,FALSE),"")</f>
        <v>Peti Kayu</v>
      </c>
      <c r="F984" s="791">
        <v>1.0</v>
      </c>
      <c r="G984" s="842">
        <v>150000.0</v>
      </c>
      <c r="H984" s="811">
        <f t="shared" si="40"/>
        <v>150000</v>
      </c>
      <c r="I984" s="809">
        <f t="shared" si="50"/>
        <v>150000</v>
      </c>
      <c r="J984" s="819"/>
      <c r="K984" s="799" t="s">
        <v>4262</v>
      </c>
      <c r="L984" s="818" t="s">
        <v>12235</v>
      </c>
      <c r="M984" s="818" t="s">
        <v>6675</v>
      </c>
      <c r="N984" s="839">
        <v>45779.0</v>
      </c>
      <c r="O984" s="823"/>
    </row>
    <row r="985" ht="15.0" customHeight="1">
      <c r="A985" s="789">
        <v>45775.0</v>
      </c>
      <c r="B985" s="876" t="s">
        <v>13152</v>
      </c>
      <c r="C985" s="791" t="s">
        <v>13134</v>
      </c>
      <c r="D985" s="791" t="s">
        <v>7624</v>
      </c>
      <c r="E985" s="792" t="str">
        <f>IFERROR(VLOOKUP(D985,Stock,3,FALSE),"")</f>
        <v>Toyota Raize / Daihatsu Rocky 20-</v>
      </c>
      <c r="F985" s="791">
        <v>1.0</v>
      </c>
      <c r="G985" s="842"/>
      <c r="H985" s="811">
        <f t="shared" si="40"/>
        <v>0</v>
      </c>
      <c r="I985" s="809">
        <f t="shared" si="50"/>
        <v>0</v>
      </c>
      <c r="J985" s="819"/>
      <c r="K985" s="799" t="s">
        <v>4262</v>
      </c>
      <c r="L985" s="823"/>
      <c r="M985" s="823"/>
      <c r="N985" s="823"/>
      <c r="O985" s="823"/>
    </row>
    <row r="986" ht="15.0" customHeight="1">
      <c r="A986" s="789">
        <v>45775.0</v>
      </c>
      <c r="B986" s="790">
        <v>2504620.0</v>
      </c>
      <c r="C986" s="791" t="s">
        <v>11484</v>
      </c>
      <c r="D986" s="791" t="s">
        <v>3964</v>
      </c>
      <c r="E986" s="792" t="str">
        <f>IFERROR(VLOOKUP(D986,Stock,3,FALSE),"")</f>
        <v>Nissan Terrano 95-06</v>
      </c>
      <c r="F986" s="791">
        <v>1.0</v>
      </c>
      <c r="G986" s="842">
        <v>839300.0</v>
      </c>
      <c r="H986" s="811">
        <f t="shared" si="40"/>
        <v>839300</v>
      </c>
      <c r="I986" s="809">
        <f t="shared" si="50"/>
        <v>839300</v>
      </c>
      <c r="J986" s="872">
        <v>45836.0</v>
      </c>
      <c r="K986" s="799" t="s">
        <v>4262</v>
      </c>
      <c r="L986" s="818" t="s">
        <v>12235</v>
      </c>
      <c r="M986" s="874" t="s">
        <v>6675</v>
      </c>
      <c r="N986" s="839">
        <v>45818.0</v>
      </c>
      <c r="O986" s="823"/>
    </row>
    <row r="987" ht="15.0" customHeight="1">
      <c r="A987" s="789">
        <v>45775.0</v>
      </c>
      <c r="B987" s="790">
        <v>2504620.0</v>
      </c>
      <c r="C987" s="791" t="s">
        <v>11484</v>
      </c>
      <c r="D987" s="791" t="s">
        <v>2734</v>
      </c>
      <c r="E987" s="792" t="str">
        <f>IFERROR(VLOOKUP(D987,Stock,3,FALSE),"")</f>
        <v>Honda Jazz 07-13 2nd Gen</v>
      </c>
      <c r="F987" s="791">
        <v>2.0</v>
      </c>
      <c r="G987" s="842">
        <v>992600.0</v>
      </c>
      <c r="H987" s="811">
        <f t="shared" si="40"/>
        <v>1985200</v>
      </c>
      <c r="I987" s="809">
        <f t="shared" si="50"/>
        <v>1985200</v>
      </c>
      <c r="J987" s="872">
        <v>45836.0</v>
      </c>
      <c r="K987" s="799" t="s">
        <v>4262</v>
      </c>
      <c r="L987" s="818" t="s">
        <v>12235</v>
      </c>
      <c r="M987" s="874" t="s">
        <v>6675</v>
      </c>
      <c r="N987" s="839">
        <v>45818.0</v>
      </c>
      <c r="O987" s="823"/>
    </row>
    <row r="988" ht="15.0" customHeight="1">
      <c r="A988" s="789">
        <v>45775.0</v>
      </c>
      <c r="B988" s="790">
        <v>2504620.0</v>
      </c>
      <c r="C988" s="791" t="s">
        <v>11484</v>
      </c>
      <c r="D988" s="791" t="s">
        <v>3707</v>
      </c>
      <c r="E988" s="792" t="str">
        <f>IFERROR(VLOOKUP(D988,Stock,3,FALSE),"")</f>
        <v>Mitsubishi Pajero 16-</v>
      </c>
      <c r="F988" s="791">
        <v>3.0</v>
      </c>
      <c r="G988" s="842">
        <v>826000.0</v>
      </c>
      <c r="H988" s="811">
        <f t="shared" si="40"/>
        <v>2478000</v>
      </c>
      <c r="I988" s="809">
        <f t="shared" si="50"/>
        <v>2478000</v>
      </c>
      <c r="J988" s="872">
        <v>45836.0</v>
      </c>
      <c r="K988" s="799" t="s">
        <v>4262</v>
      </c>
      <c r="L988" s="818" t="s">
        <v>12235</v>
      </c>
      <c r="M988" s="874" t="s">
        <v>6675</v>
      </c>
      <c r="N988" s="839">
        <v>45818.0</v>
      </c>
      <c r="O988" s="823"/>
    </row>
    <row r="989" ht="15.0" customHeight="1">
      <c r="A989" s="789">
        <v>45775.0</v>
      </c>
      <c r="B989" s="790">
        <v>2504620.0</v>
      </c>
      <c r="C989" s="791" t="s">
        <v>11484</v>
      </c>
      <c r="D989" s="791" t="s">
        <v>2546</v>
      </c>
      <c r="E989" s="792" t="str">
        <f>IFERROR(VLOOKUP(D989,Stock,3,FALSE),"")</f>
        <v>Wuling Confero (Tanpa Spionnya)</v>
      </c>
      <c r="F989" s="791">
        <v>1.0</v>
      </c>
      <c r="G989" s="842">
        <v>798000.0</v>
      </c>
      <c r="H989" s="811">
        <f t="shared" si="40"/>
        <v>798000</v>
      </c>
      <c r="I989" s="809">
        <f t="shared" si="50"/>
        <v>798000</v>
      </c>
      <c r="J989" s="872">
        <v>45836.0</v>
      </c>
      <c r="K989" s="799" t="s">
        <v>4262</v>
      </c>
      <c r="L989" s="818" t="s">
        <v>12235</v>
      </c>
      <c r="M989" s="874" t="s">
        <v>6675</v>
      </c>
      <c r="N989" s="839">
        <v>45818.0</v>
      </c>
      <c r="O989" s="823"/>
    </row>
    <row r="990" ht="15.0" customHeight="1">
      <c r="A990" s="789">
        <v>45775.0</v>
      </c>
      <c r="B990" s="790">
        <v>2504620.0</v>
      </c>
      <c r="C990" s="791" t="s">
        <v>11484</v>
      </c>
      <c r="D990" s="791" t="s">
        <v>3149</v>
      </c>
      <c r="E990" s="792" t="str">
        <f>IFERROR(VLOOKUP(D990,Stock,3,FALSE),"")</f>
        <v>Honda CR-V 12-16 4th Gen [Rata]</v>
      </c>
      <c r="F990" s="791">
        <v>2.0</v>
      </c>
      <c r="G990" s="842">
        <v>837200.0</v>
      </c>
      <c r="H990" s="811">
        <f t="shared" si="40"/>
        <v>1674400</v>
      </c>
      <c r="I990" s="809">
        <f t="shared" si="50"/>
        <v>1674400</v>
      </c>
      <c r="J990" s="872">
        <v>45836.0</v>
      </c>
      <c r="K990" s="799" t="s">
        <v>4262</v>
      </c>
      <c r="L990" s="818" t="s">
        <v>12235</v>
      </c>
      <c r="M990" s="874" t="s">
        <v>6675</v>
      </c>
      <c r="N990" s="839">
        <v>45818.0</v>
      </c>
      <c r="O990" s="823"/>
    </row>
    <row r="991" ht="15.0" customHeight="1">
      <c r="A991" s="789">
        <v>45776.0</v>
      </c>
      <c r="B991" s="790" t="s">
        <v>13153</v>
      </c>
      <c r="C991" s="791" t="s">
        <v>12932</v>
      </c>
      <c r="D991" s="877" t="s">
        <v>2866</v>
      </c>
      <c r="E991" s="792" t="str">
        <f>IFERROR(VLOOKUP(D991,Stock,3,FALSE),"")</f>
        <v>Mitsubishi Fuso 6D22 / Super Great FV100 96-</v>
      </c>
      <c r="F991" s="791">
        <v>1.0</v>
      </c>
      <c r="G991" s="842">
        <v>271999.0</v>
      </c>
      <c r="H991" s="811">
        <f t="shared" si="40"/>
        <v>271999</v>
      </c>
      <c r="I991" s="809">
        <f t="shared" si="50"/>
        <v>271999</v>
      </c>
      <c r="J991" s="872">
        <v>45837.0</v>
      </c>
      <c r="K991" s="799" t="s">
        <v>4262</v>
      </c>
      <c r="L991" s="818" t="s">
        <v>12235</v>
      </c>
      <c r="M991" s="874" t="s">
        <v>6675</v>
      </c>
      <c r="N991" s="875">
        <v>45792.0</v>
      </c>
      <c r="O991" s="823"/>
    </row>
    <row r="992" ht="15.0" customHeight="1">
      <c r="A992" s="789">
        <v>45777.0</v>
      </c>
      <c r="B992" s="790" t="s">
        <v>13154</v>
      </c>
      <c r="C992" s="791" t="s">
        <v>13145</v>
      </c>
      <c r="D992" s="791" t="s">
        <v>7678</v>
      </c>
      <c r="E992" s="792" t="str">
        <f>IFERROR(VLOOKUP(D992,Stock,3,FALSE),"")</f>
        <v>Honda Jazz 01-07 1st Gen</v>
      </c>
      <c r="F992" s="791">
        <v>1.0</v>
      </c>
      <c r="G992" s="842">
        <v>1100000.0</v>
      </c>
      <c r="H992" s="811">
        <f t="shared" si="40"/>
        <v>1100000</v>
      </c>
      <c r="I992" s="809"/>
      <c r="J992" s="872"/>
      <c r="K992" s="799" t="s">
        <v>4262</v>
      </c>
      <c r="L992" s="818" t="s">
        <v>12235</v>
      </c>
      <c r="M992" s="818" t="s">
        <v>6675</v>
      </c>
      <c r="N992" s="839">
        <v>45777.0</v>
      </c>
      <c r="O992" s="823"/>
    </row>
    <row r="993" ht="15.0" customHeight="1">
      <c r="A993" s="789">
        <v>45777.0</v>
      </c>
      <c r="B993" s="790">
        <v>2505019.0</v>
      </c>
      <c r="C993" s="791" t="s">
        <v>11484</v>
      </c>
      <c r="D993" s="791" t="s">
        <v>3964</v>
      </c>
      <c r="E993" s="792" t="str">
        <f>IFERROR(VLOOKUP(D993,Stock,3,FALSE),"")</f>
        <v>Nissan Terrano 95-06</v>
      </c>
      <c r="F993" s="791">
        <v>1.0</v>
      </c>
      <c r="G993" s="842">
        <v>839300.0</v>
      </c>
      <c r="H993" s="811">
        <f t="shared" si="40"/>
        <v>839300</v>
      </c>
      <c r="I993" s="809">
        <f t="shared" ref="I993:I1000" si="51">H993</f>
        <v>839300</v>
      </c>
      <c r="J993" s="872">
        <v>45838.0</v>
      </c>
      <c r="K993" s="799" t="s">
        <v>4262</v>
      </c>
      <c r="L993" s="818" t="s">
        <v>12235</v>
      </c>
      <c r="M993" s="874" t="s">
        <v>6675</v>
      </c>
      <c r="N993" s="839">
        <v>45818.0</v>
      </c>
      <c r="O993" s="823"/>
    </row>
    <row r="994" ht="15.0" customHeight="1">
      <c r="A994" s="789">
        <v>45777.0</v>
      </c>
      <c r="B994" s="790">
        <v>2505019.0</v>
      </c>
      <c r="C994" s="791" t="s">
        <v>11484</v>
      </c>
      <c r="D994" s="791" t="s">
        <v>2691</v>
      </c>
      <c r="E994" s="792" t="str">
        <f>IFERROR(VLOOKUP(D994,Stock,3,FALSE),"")</f>
        <v>Suzuki Ertiga 12-18 1st Gen MPV</v>
      </c>
      <c r="F994" s="791">
        <v>3.0</v>
      </c>
      <c r="G994" s="842">
        <v>672000.0</v>
      </c>
      <c r="H994" s="811">
        <f t="shared" si="40"/>
        <v>2016000</v>
      </c>
      <c r="I994" s="809">
        <f t="shared" si="51"/>
        <v>2016000</v>
      </c>
      <c r="J994" s="872">
        <v>45838.0</v>
      </c>
      <c r="K994" s="799" t="s">
        <v>4262</v>
      </c>
      <c r="L994" s="818" t="s">
        <v>12235</v>
      </c>
      <c r="M994" s="874" t="s">
        <v>6675</v>
      </c>
      <c r="N994" s="839">
        <v>45818.0</v>
      </c>
      <c r="O994" s="823"/>
    </row>
    <row r="995" ht="15.0" customHeight="1">
      <c r="A995" s="789">
        <v>45777.0</v>
      </c>
      <c r="B995" s="790">
        <v>2505019.0</v>
      </c>
      <c r="C995" s="791" t="s">
        <v>11484</v>
      </c>
      <c r="D995" s="791" t="s">
        <v>2721</v>
      </c>
      <c r="E995" s="792" t="str">
        <f>IFERROR(VLOOKUP(D995,Stock,3,FALSE),"")</f>
        <v>Toyota Dyna/Hino Dutro 00-</v>
      </c>
      <c r="F995" s="791">
        <v>3.0</v>
      </c>
      <c r="G995" s="842">
        <v>665000.0</v>
      </c>
      <c r="H995" s="811">
        <f t="shared" si="40"/>
        <v>1995000</v>
      </c>
      <c r="I995" s="809">
        <f t="shared" si="51"/>
        <v>1995000</v>
      </c>
      <c r="J995" s="872">
        <v>45838.0</v>
      </c>
      <c r="K995" s="799" t="s">
        <v>4262</v>
      </c>
      <c r="L995" s="818" t="s">
        <v>12235</v>
      </c>
      <c r="M995" s="874" t="s">
        <v>6675</v>
      </c>
      <c r="N995" s="839">
        <v>45818.0</v>
      </c>
      <c r="O995" s="823"/>
    </row>
    <row r="996" ht="15.0" customHeight="1">
      <c r="A996" s="789">
        <v>45779.0</v>
      </c>
      <c r="B996" s="790">
        <v>2505038.0</v>
      </c>
      <c r="C996" s="791" t="s">
        <v>11484</v>
      </c>
      <c r="D996" s="791" t="s">
        <v>2562</v>
      </c>
      <c r="E996" s="792" t="str">
        <f>IFERROR(VLOOKUP(D996,Stock,3,FALSE),"")</f>
        <v>Toyota Avanza / Xenia 15-21 3rd Gen</v>
      </c>
      <c r="F996" s="791">
        <v>5.0</v>
      </c>
      <c r="G996" s="842">
        <v>454800.0</v>
      </c>
      <c r="H996" s="811">
        <f t="shared" si="40"/>
        <v>2274000</v>
      </c>
      <c r="I996" s="809">
        <f t="shared" si="51"/>
        <v>2274000</v>
      </c>
      <c r="J996" s="872">
        <v>45840.0</v>
      </c>
      <c r="K996" s="799" t="s">
        <v>4262</v>
      </c>
      <c r="L996" s="818" t="s">
        <v>12235</v>
      </c>
      <c r="M996" s="874" t="s">
        <v>6675</v>
      </c>
      <c r="N996" s="839">
        <v>45833.0</v>
      </c>
      <c r="O996" s="823"/>
    </row>
    <row r="997" ht="15.0" customHeight="1">
      <c r="A997" s="789">
        <v>45779.0</v>
      </c>
      <c r="B997" s="790">
        <v>2505032.0</v>
      </c>
      <c r="C997" s="791" t="s">
        <v>11484</v>
      </c>
      <c r="D997" s="791" t="s">
        <v>3837</v>
      </c>
      <c r="E997" s="792" t="str">
        <f>IFERROR(VLOOKUP(D997,Stock,3,FALSE),"")</f>
        <v>Toyota Yaris 13- 2nd Gen / Vios 14- 3rd Gen</v>
      </c>
      <c r="F997" s="791">
        <v>2.0</v>
      </c>
      <c r="G997" s="842">
        <v>791400.0</v>
      </c>
      <c r="H997" s="811">
        <f t="shared" si="40"/>
        <v>1582800</v>
      </c>
      <c r="I997" s="809">
        <f t="shared" si="51"/>
        <v>1582800</v>
      </c>
      <c r="J997" s="872">
        <v>45840.0</v>
      </c>
      <c r="K997" s="799" t="s">
        <v>4262</v>
      </c>
      <c r="L997" s="818" t="s">
        <v>12235</v>
      </c>
      <c r="M997" s="874" t="s">
        <v>6675</v>
      </c>
      <c r="N997" s="839">
        <v>45833.0</v>
      </c>
      <c r="O997" s="823"/>
    </row>
    <row r="998" ht="15.0" customHeight="1">
      <c r="A998" s="789">
        <v>45782.0</v>
      </c>
      <c r="B998" s="790">
        <v>2505078.0</v>
      </c>
      <c r="C998" s="791" t="s">
        <v>11484</v>
      </c>
      <c r="D998" s="791" t="s">
        <v>2712</v>
      </c>
      <c r="E998" s="792" t="str">
        <f>IFERROR(VLOOKUP(D998,Stock,3,FALSE),"")</f>
        <v>Mitsubishi L300</v>
      </c>
      <c r="F998" s="791">
        <v>3.0</v>
      </c>
      <c r="G998" s="842">
        <v>468000.0</v>
      </c>
      <c r="H998" s="811">
        <f t="shared" si="40"/>
        <v>1404000</v>
      </c>
      <c r="I998" s="809">
        <f t="shared" si="51"/>
        <v>1404000</v>
      </c>
      <c r="J998" s="872">
        <v>45843.0</v>
      </c>
      <c r="K998" s="799" t="s">
        <v>4262</v>
      </c>
      <c r="L998" s="818" t="s">
        <v>12235</v>
      </c>
      <c r="M998" s="874" t="s">
        <v>6675</v>
      </c>
      <c r="N998" s="839">
        <v>45833.0</v>
      </c>
      <c r="O998" s="823"/>
    </row>
    <row r="999" ht="15.0" customHeight="1">
      <c r="A999" s="789">
        <v>45782.0</v>
      </c>
      <c r="B999" s="790">
        <v>2505078.0</v>
      </c>
      <c r="C999" s="791" t="s">
        <v>11484</v>
      </c>
      <c r="D999" s="791" t="s">
        <v>2586</v>
      </c>
      <c r="E999" s="792" t="str">
        <f>IFERROR(VLOOKUP(D999,Stock,3,FALSE),"")</f>
        <v>Toyota Altis 00-06 E120/130 9th Gen</v>
      </c>
      <c r="F999" s="791">
        <v>2.0</v>
      </c>
      <c r="G999" s="842">
        <v>1096200.0</v>
      </c>
      <c r="H999" s="811">
        <f t="shared" si="40"/>
        <v>2192400</v>
      </c>
      <c r="I999" s="809">
        <f t="shared" si="51"/>
        <v>2192400</v>
      </c>
      <c r="J999" s="872">
        <v>45843.0</v>
      </c>
      <c r="K999" s="799" t="s">
        <v>4262</v>
      </c>
      <c r="L999" s="818" t="s">
        <v>12235</v>
      </c>
      <c r="M999" s="874" t="s">
        <v>6675</v>
      </c>
      <c r="N999" s="839">
        <v>45833.0</v>
      </c>
      <c r="O999" s="823"/>
    </row>
    <row r="1000" ht="15.0" customHeight="1">
      <c r="A1000" s="789">
        <v>45782.0</v>
      </c>
      <c r="B1000" s="790">
        <v>2505078.0</v>
      </c>
      <c r="C1000" s="791" t="s">
        <v>11484</v>
      </c>
      <c r="D1000" s="791" t="s">
        <v>5613</v>
      </c>
      <c r="E1000" s="792" t="str">
        <f>IFERROR(VLOOKUP(D1000,Stock,3,FALSE),"")</f>
        <v>Suzuki Esteem 89-90</v>
      </c>
      <c r="F1000" s="791">
        <v>1.0</v>
      </c>
      <c r="G1000" s="842">
        <v>756000.0</v>
      </c>
      <c r="H1000" s="811">
        <f t="shared" si="40"/>
        <v>756000</v>
      </c>
      <c r="I1000" s="809">
        <f t="shared" si="51"/>
        <v>756000</v>
      </c>
      <c r="J1000" s="872">
        <v>45843.0</v>
      </c>
      <c r="K1000" s="799" t="s">
        <v>4262</v>
      </c>
      <c r="L1000" s="818" t="s">
        <v>12235</v>
      </c>
      <c r="M1000" s="874" t="s">
        <v>6675</v>
      </c>
      <c r="N1000" s="839">
        <v>45833.0</v>
      </c>
      <c r="O1000" s="823"/>
    </row>
    <row r="1001" ht="15.0" customHeight="1">
      <c r="A1001" s="789">
        <v>45782.0</v>
      </c>
      <c r="B1001" s="790" t="s">
        <v>13155</v>
      </c>
      <c r="C1001" s="791" t="s">
        <v>13022</v>
      </c>
      <c r="D1001" s="791" t="s">
        <v>5528</v>
      </c>
      <c r="E1001" s="792" t="str">
        <f>IFERROR(VLOOKUP(D1001,Stock,3,FALSE),"")</f>
        <v>Toyota Innova 15-22 2nd Gen (Toyota)</v>
      </c>
      <c r="F1001" s="791">
        <v>1.0</v>
      </c>
      <c r="G1001" s="842">
        <v>1674000.0</v>
      </c>
      <c r="H1001" s="811">
        <f t="shared" si="40"/>
        <v>1674000</v>
      </c>
      <c r="I1001" s="809"/>
      <c r="J1001" s="819"/>
      <c r="K1001" s="799" t="s">
        <v>4262</v>
      </c>
      <c r="L1001" s="818" t="s">
        <v>12235</v>
      </c>
      <c r="M1001" s="818" t="s">
        <v>6675</v>
      </c>
      <c r="N1001" s="839">
        <v>45782.0</v>
      </c>
      <c r="O1001" s="823"/>
    </row>
    <row r="1002" ht="15.0" customHeight="1">
      <c r="A1002" s="789">
        <v>45782.0</v>
      </c>
      <c r="B1002" s="790">
        <v>2505088.0</v>
      </c>
      <c r="C1002" s="791" t="s">
        <v>11484</v>
      </c>
      <c r="D1002" s="791" t="s">
        <v>3181</v>
      </c>
      <c r="E1002" s="792" t="str">
        <f>IFERROR(VLOOKUP(D1002,Stock,3,FALSE),"")</f>
        <v>Toyota Corolla Cross 21-</v>
      </c>
      <c r="F1002" s="791">
        <v>1.0</v>
      </c>
      <c r="G1002" s="842">
        <v>1830000.0</v>
      </c>
      <c r="H1002" s="811">
        <f t="shared" si="40"/>
        <v>1830000</v>
      </c>
      <c r="I1002" s="809">
        <f t="shared" ref="I1002:I1016" si="52">H1002</f>
        <v>1830000</v>
      </c>
      <c r="J1002" s="872">
        <v>45843.0</v>
      </c>
      <c r="K1002" s="799" t="s">
        <v>4262</v>
      </c>
      <c r="L1002" s="818" t="s">
        <v>12235</v>
      </c>
      <c r="M1002" s="874" t="s">
        <v>6675</v>
      </c>
      <c r="N1002" s="839">
        <v>45833.0</v>
      </c>
      <c r="O1002" s="823"/>
    </row>
    <row r="1003" ht="15.0" customHeight="1">
      <c r="A1003" s="789">
        <v>45782.0</v>
      </c>
      <c r="B1003" s="790">
        <v>2505088.0</v>
      </c>
      <c r="C1003" s="791" t="s">
        <v>11484</v>
      </c>
      <c r="D1003" s="791" t="s">
        <v>6932</v>
      </c>
      <c r="E1003" s="792" t="str">
        <f>IFERROR(VLOOKUP(D1003,Stock,3,FALSE),"")</f>
        <v>Kia Sportage 04-10 JE/KM</v>
      </c>
      <c r="F1003" s="791">
        <v>1.0</v>
      </c>
      <c r="G1003" s="842">
        <v>1200000.0</v>
      </c>
      <c r="H1003" s="811">
        <f t="shared" si="40"/>
        <v>1200000</v>
      </c>
      <c r="I1003" s="809">
        <f t="shared" si="52"/>
        <v>1200000</v>
      </c>
      <c r="J1003" s="872">
        <v>45843.0</v>
      </c>
      <c r="K1003" s="799" t="s">
        <v>4262</v>
      </c>
      <c r="L1003" s="818" t="s">
        <v>12235</v>
      </c>
      <c r="M1003" s="874" t="s">
        <v>6675</v>
      </c>
      <c r="N1003" s="839">
        <v>45833.0</v>
      </c>
      <c r="O1003" s="823"/>
    </row>
    <row r="1004" ht="15.0" customHeight="1">
      <c r="A1004" s="789">
        <v>45782.0</v>
      </c>
      <c r="B1004" s="790">
        <v>2505088.0</v>
      </c>
      <c r="C1004" s="791" t="s">
        <v>11484</v>
      </c>
      <c r="D1004" s="791" t="s">
        <v>3378</v>
      </c>
      <c r="E1004" s="792" t="str">
        <f>IFERROR(VLOOKUP(D1004,Stock,3,FALSE),"")</f>
        <v>Isuzu Panther 00- 2nd Gen</v>
      </c>
      <c r="F1004" s="791">
        <v>2.0</v>
      </c>
      <c r="G1004" s="842">
        <v>562800.0</v>
      </c>
      <c r="H1004" s="811">
        <f t="shared" si="40"/>
        <v>1125600</v>
      </c>
      <c r="I1004" s="809">
        <f t="shared" si="52"/>
        <v>1125600</v>
      </c>
      <c r="J1004" s="872">
        <v>45843.0</v>
      </c>
      <c r="K1004" s="799" t="s">
        <v>4262</v>
      </c>
      <c r="L1004" s="818" t="s">
        <v>12235</v>
      </c>
      <c r="M1004" s="874" t="s">
        <v>6675</v>
      </c>
      <c r="N1004" s="839">
        <v>45833.0</v>
      </c>
      <c r="O1004" s="823"/>
    </row>
    <row r="1005" ht="15.0" customHeight="1">
      <c r="A1005" s="789">
        <v>45782.0</v>
      </c>
      <c r="B1005" s="790">
        <v>2505088.0</v>
      </c>
      <c r="C1005" s="791" t="s">
        <v>11484</v>
      </c>
      <c r="D1005" s="791" t="s">
        <v>2613</v>
      </c>
      <c r="E1005" s="792" t="str">
        <f>IFERROR(VLOOKUP(D1005,Stock,3,FALSE),"")</f>
        <v>Mazda CX-5 12-17 1st Gen KE Facelift - (2 Sensor / [] /\  )</v>
      </c>
      <c r="F1005" s="791">
        <v>1.0</v>
      </c>
      <c r="G1005" s="842">
        <v>2100000.0</v>
      </c>
      <c r="H1005" s="811">
        <f t="shared" si="40"/>
        <v>2100000</v>
      </c>
      <c r="I1005" s="809">
        <f t="shared" si="52"/>
        <v>2100000</v>
      </c>
      <c r="J1005" s="872">
        <v>45843.0</v>
      </c>
      <c r="K1005" s="799" t="s">
        <v>4262</v>
      </c>
      <c r="L1005" s="818" t="s">
        <v>12235</v>
      </c>
      <c r="M1005" s="874" t="s">
        <v>6675</v>
      </c>
      <c r="N1005" s="839">
        <v>45833.0</v>
      </c>
      <c r="O1005" s="823"/>
    </row>
    <row r="1006" ht="15.0" customHeight="1">
      <c r="A1006" s="789">
        <v>45784.0</v>
      </c>
      <c r="B1006" s="790">
        <v>2505190.0</v>
      </c>
      <c r="C1006" s="791" t="s">
        <v>11484</v>
      </c>
      <c r="D1006" s="791" t="s">
        <v>2615</v>
      </c>
      <c r="E1006" s="792" t="str">
        <f>IFERROR(VLOOKUP(D1006,Stock,3,FALSE),"")</f>
        <v>Mazda 2 09-14 3rd Gen</v>
      </c>
      <c r="F1006" s="791">
        <v>2.0</v>
      </c>
      <c r="G1006" s="842">
        <v>719400.0</v>
      </c>
      <c r="H1006" s="811">
        <f t="shared" si="40"/>
        <v>1438800</v>
      </c>
      <c r="I1006" s="809">
        <f t="shared" si="52"/>
        <v>1438800</v>
      </c>
      <c r="J1006" s="872">
        <v>45845.0</v>
      </c>
      <c r="K1006" s="799" t="s">
        <v>4262</v>
      </c>
      <c r="L1006" s="818" t="s">
        <v>12235</v>
      </c>
      <c r="M1006" s="874" t="s">
        <v>6675</v>
      </c>
      <c r="N1006" s="839">
        <v>45846.0</v>
      </c>
      <c r="O1006" s="823"/>
    </row>
    <row r="1007" ht="15.0" customHeight="1">
      <c r="A1007" s="789">
        <v>45784.0</v>
      </c>
      <c r="B1007" s="790">
        <v>2505190.0</v>
      </c>
      <c r="C1007" s="791" t="s">
        <v>11484</v>
      </c>
      <c r="D1007" s="791" t="s">
        <v>2682</v>
      </c>
      <c r="E1007" s="792" t="str">
        <f>IFERROR(VLOOKUP(D1007,Stock,3,FALSE),"")</f>
        <v>Toyota Yaris 05-13 XP90 1st Gen</v>
      </c>
      <c r="F1007" s="791">
        <v>2.0</v>
      </c>
      <c r="G1007" s="842">
        <v>959400.0</v>
      </c>
      <c r="H1007" s="811">
        <f t="shared" si="40"/>
        <v>1918800</v>
      </c>
      <c r="I1007" s="809">
        <f t="shared" si="52"/>
        <v>1918800</v>
      </c>
      <c r="J1007" s="872">
        <v>45845.0</v>
      </c>
      <c r="K1007" s="799" t="s">
        <v>4262</v>
      </c>
      <c r="L1007" s="818" t="s">
        <v>12235</v>
      </c>
      <c r="M1007" s="874" t="s">
        <v>6675</v>
      </c>
      <c r="N1007" s="839">
        <v>45846.0</v>
      </c>
      <c r="O1007" s="823"/>
    </row>
    <row r="1008" ht="15.0" customHeight="1">
      <c r="A1008" s="789">
        <v>45785.0</v>
      </c>
      <c r="B1008" s="790" t="s">
        <v>13156</v>
      </c>
      <c r="C1008" s="791" t="s">
        <v>3091</v>
      </c>
      <c r="D1008" s="791" t="s">
        <v>7751</v>
      </c>
      <c r="E1008" s="792" t="str">
        <f>IFERROR(VLOOKUP(D1008,Stock,3,FALSE),"")</f>
        <v>Nissan X-Trail 01-07 T30</v>
      </c>
      <c r="F1008" s="791">
        <v>1.0</v>
      </c>
      <c r="G1008" s="842">
        <v>930000.0</v>
      </c>
      <c r="H1008" s="811">
        <f t="shared" si="40"/>
        <v>930000</v>
      </c>
      <c r="I1008" s="809">
        <f t="shared" si="52"/>
        <v>930000</v>
      </c>
      <c r="J1008" s="872">
        <v>45846.0</v>
      </c>
      <c r="K1008" s="799" t="s">
        <v>4262</v>
      </c>
      <c r="L1008" s="818" t="s">
        <v>12235</v>
      </c>
      <c r="M1008" s="874" t="s">
        <v>6675</v>
      </c>
      <c r="N1008" s="839">
        <v>45846.0</v>
      </c>
      <c r="O1008" s="823"/>
    </row>
    <row r="1009" ht="15.0" customHeight="1">
      <c r="A1009" s="789">
        <v>45785.0</v>
      </c>
      <c r="B1009" s="790" t="s">
        <v>13157</v>
      </c>
      <c r="C1009" s="791" t="s">
        <v>12932</v>
      </c>
      <c r="D1009" s="791" t="s">
        <v>2826</v>
      </c>
      <c r="E1009" s="792" t="str">
        <f>IFERROR(VLOOKUP(D1009,Stock,3,FALSE),"")</f>
        <v>Toyota Kijang 02-04 Kapsul Lem Efi </v>
      </c>
      <c r="F1009" s="791">
        <v>5.0</v>
      </c>
      <c r="G1009" s="842">
        <v>416499.6</v>
      </c>
      <c r="H1009" s="811">
        <f t="shared" si="40"/>
        <v>2082498</v>
      </c>
      <c r="I1009" s="809">
        <f t="shared" si="52"/>
        <v>2082498</v>
      </c>
      <c r="J1009" s="872">
        <v>45846.0</v>
      </c>
      <c r="K1009" s="799" t="s">
        <v>4262</v>
      </c>
      <c r="L1009" s="818" t="s">
        <v>12235</v>
      </c>
      <c r="M1009" s="818" t="s">
        <v>6675</v>
      </c>
      <c r="N1009" s="839">
        <v>45813.0</v>
      </c>
      <c r="O1009" s="823"/>
    </row>
    <row r="1010" ht="15.0" customHeight="1">
      <c r="A1010" s="789">
        <v>45786.0</v>
      </c>
      <c r="B1010" s="790">
        <v>2505264.0</v>
      </c>
      <c r="C1010" s="791" t="s">
        <v>11484</v>
      </c>
      <c r="D1010" s="791" t="s">
        <v>3837</v>
      </c>
      <c r="E1010" s="792" t="str">
        <f>IFERROR(VLOOKUP(D1010,Stock,3,FALSE),"")</f>
        <v>Toyota Yaris 13- 2nd Gen / Vios 14- 3rd Gen</v>
      </c>
      <c r="F1010" s="791">
        <v>3.0</v>
      </c>
      <c r="G1010" s="842">
        <v>791400.0</v>
      </c>
      <c r="H1010" s="811">
        <f t="shared" si="40"/>
        <v>2374200</v>
      </c>
      <c r="I1010" s="809">
        <f t="shared" si="52"/>
        <v>2374200</v>
      </c>
      <c r="J1010" s="872">
        <v>45847.0</v>
      </c>
      <c r="K1010" s="799" t="s">
        <v>4262</v>
      </c>
      <c r="L1010" s="818" t="s">
        <v>12235</v>
      </c>
      <c r="M1010" s="874" t="s">
        <v>6675</v>
      </c>
      <c r="N1010" s="839">
        <v>45846.0</v>
      </c>
      <c r="O1010" s="823"/>
    </row>
    <row r="1011" ht="15.0" customHeight="1">
      <c r="A1011" s="789">
        <v>45786.0</v>
      </c>
      <c r="B1011" s="790">
        <v>2505384.0</v>
      </c>
      <c r="C1011" s="791" t="s">
        <v>11484</v>
      </c>
      <c r="D1011" s="791" t="s">
        <v>3085</v>
      </c>
      <c r="E1011" s="792" t="str">
        <f>IFERROR(VLOOKUP(D1011,Stock,3,FALSE),"")</f>
        <v>Honda Jazz 07-13 2nd Gen</v>
      </c>
      <c r="F1011" s="791">
        <v>2.0</v>
      </c>
      <c r="G1011" s="842">
        <v>592200.0</v>
      </c>
      <c r="H1011" s="811">
        <f t="shared" si="40"/>
        <v>1184400</v>
      </c>
      <c r="I1011" s="809">
        <f t="shared" si="52"/>
        <v>1184400</v>
      </c>
      <c r="J1011" s="872">
        <v>45847.0</v>
      </c>
      <c r="K1011" s="799" t="s">
        <v>4262</v>
      </c>
      <c r="L1011" s="818" t="s">
        <v>12235</v>
      </c>
      <c r="M1011" s="874" t="s">
        <v>6675</v>
      </c>
      <c r="N1011" s="839">
        <v>45846.0</v>
      </c>
      <c r="O1011" s="823"/>
    </row>
    <row r="1012" ht="15.0" customHeight="1">
      <c r="A1012" s="789">
        <v>45786.0</v>
      </c>
      <c r="B1012" s="790">
        <v>2505384.0</v>
      </c>
      <c r="C1012" s="791" t="s">
        <v>11484</v>
      </c>
      <c r="D1012" s="791" t="s">
        <v>7732</v>
      </c>
      <c r="E1012" s="792" t="str">
        <f>IFERROR(VLOOKUP(D1012,Stock,3,FALSE),"")</f>
        <v>Toyota Altis 06-13 E140 10th Gen</v>
      </c>
      <c r="F1012" s="791">
        <v>1.0</v>
      </c>
      <c r="G1012" s="842">
        <v>1200000.0</v>
      </c>
      <c r="H1012" s="811">
        <f t="shared" si="40"/>
        <v>1200000</v>
      </c>
      <c r="I1012" s="809">
        <f t="shared" si="52"/>
        <v>1200000</v>
      </c>
      <c r="J1012" s="872">
        <v>45847.0</v>
      </c>
      <c r="K1012" s="799" t="s">
        <v>4262</v>
      </c>
      <c r="L1012" s="818" t="s">
        <v>12235</v>
      </c>
      <c r="M1012" s="874" t="s">
        <v>6675</v>
      </c>
      <c r="N1012" s="839">
        <v>45846.0</v>
      </c>
      <c r="O1012" s="823"/>
    </row>
    <row r="1013" ht="15.0" customHeight="1">
      <c r="A1013" s="789">
        <v>45787.0</v>
      </c>
      <c r="B1013" s="829" t="s">
        <v>13158</v>
      </c>
      <c r="C1013" s="791" t="s">
        <v>13107</v>
      </c>
      <c r="D1013" s="791" t="s">
        <v>13159</v>
      </c>
      <c r="E1013" s="792" t="str">
        <f>IFERROR(VLOOKUP(D1013,Stock,3,FALSE),"")</f>
        <v>Suzuki APV 03- Pickup/ Van</v>
      </c>
      <c r="F1013" s="791">
        <v>1.0</v>
      </c>
      <c r="G1013" s="842">
        <v>200000.0</v>
      </c>
      <c r="H1013" s="811">
        <f t="shared" si="40"/>
        <v>200000</v>
      </c>
      <c r="I1013" s="809">
        <f t="shared" si="52"/>
        <v>200000</v>
      </c>
      <c r="J1013" s="819"/>
      <c r="K1013" s="799" t="s">
        <v>4262</v>
      </c>
      <c r="L1013" s="818" t="s">
        <v>12235</v>
      </c>
      <c r="M1013" s="818" t="s">
        <v>6675</v>
      </c>
      <c r="N1013" s="839">
        <v>45787.0</v>
      </c>
      <c r="O1013" s="823"/>
    </row>
    <row r="1014" ht="15.0" customHeight="1">
      <c r="A1014" s="789">
        <v>45790.0</v>
      </c>
      <c r="B1014" s="790" t="s">
        <v>13160</v>
      </c>
      <c r="C1014" s="791" t="s">
        <v>3091</v>
      </c>
      <c r="D1014" s="791" t="s">
        <v>7774</v>
      </c>
      <c r="E1014" s="792" t="str">
        <f>IFERROR(VLOOKUP(D1014,Stock,3,FALSE),"")</f>
        <v>Mitsubishi Outlander 10-21</v>
      </c>
      <c r="F1014" s="791">
        <v>1.0</v>
      </c>
      <c r="G1014" s="842">
        <v>1100000.0</v>
      </c>
      <c r="H1014" s="811">
        <f t="shared" si="40"/>
        <v>1100000</v>
      </c>
      <c r="I1014" s="809">
        <f t="shared" si="52"/>
        <v>1100000</v>
      </c>
      <c r="J1014" s="819"/>
      <c r="K1014" s="799" t="s">
        <v>4262</v>
      </c>
      <c r="L1014" s="818" t="s">
        <v>12235</v>
      </c>
      <c r="M1014" s="818" t="s">
        <v>6675</v>
      </c>
      <c r="N1014" s="839">
        <v>45853.0</v>
      </c>
      <c r="O1014" s="823"/>
    </row>
    <row r="1015" ht="15.0" customHeight="1">
      <c r="A1015" s="789">
        <v>45791.0</v>
      </c>
      <c r="B1015" s="829" t="s">
        <v>13161</v>
      </c>
      <c r="C1015" s="791" t="s">
        <v>13107</v>
      </c>
      <c r="D1015" s="791" t="s">
        <v>6022</v>
      </c>
      <c r="E1015" s="792" t="str">
        <f>IFERROR(VLOOKUP(D1015,Stock,3,FALSE),"")</f>
        <v>Suzuki Ertiga 18- 2nd Gen / XL7 (Suzuki)</v>
      </c>
      <c r="F1015" s="791">
        <v>1.0</v>
      </c>
      <c r="G1015" s="842">
        <v>680000.0</v>
      </c>
      <c r="H1015" s="811">
        <f t="shared" si="40"/>
        <v>680000</v>
      </c>
      <c r="I1015" s="809">
        <f t="shared" si="52"/>
        <v>680000</v>
      </c>
      <c r="J1015" s="819"/>
      <c r="K1015" s="799" t="s">
        <v>4262</v>
      </c>
      <c r="L1015" s="818" t="s">
        <v>12235</v>
      </c>
      <c r="M1015" s="818" t="s">
        <v>6675</v>
      </c>
      <c r="N1015" s="839">
        <v>45791.0</v>
      </c>
      <c r="O1015" s="823"/>
    </row>
    <row r="1016" ht="15.0" customHeight="1">
      <c r="A1016" s="789">
        <v>45791.0</v>
      </c>
      <c r="B1016" s="790">
        <v>2505424.0</v>
      </c>
      <c r="C1016" s="791" t="s">
        <v>11484</v>
      </c>
      <c r="D1016" s="791" t="s">
        <v>7798</v>
      </c>
      <c r="E1016" s="792" t="str">
        <f>IFERROR(VLOOKUP(D1016,Stock,3,FALSE),"")</f>
        <v>Toyota Camry 06-11 XV40 4th Gen</v>
      </c>
      <c r="F1016" s="791">
        <v>1.0</v>
      </c>
      <c r="G1016" s="842">
        <v>1798200.0</v>
      </c>
      <c r="H1016" s="811">
        <f t="shared" si="40"/>
        <v>1798200</v>
      </c>
      <c r="I1016" s="809">
        <f t="shared" si="52"/>
        <v>1798200</v>
      </c>
      <c r="J1016" s="872">
        <v>45852.0</v>
      </c>
      <c r="K1016" s="799" t="s">
        <v>4262</v>
      </c>
      <c r="L1016" s="818" t="s">
        <v>12235</v>
      </c>
      <c r="M1016" s="874" t="s">
        <v>6675</v>
      </c>
      <c r="N1016" s="839">
        <v>45846.0</v>
      </c>
      <c r="O1016" s="823"/>
    </row>
    <row r="1017" ht="15.0" customHeight="1">
      <c r="A1017" s="789">
        <v>45792.0</v>
      </c>
      <c r="B1017" s="790" t="s">
        <v>13162</v>
      </c>
      <c r="C1017" s="791" t="s">
        <v>13022</v>
      </c>
      <c r="D1017" s="791" t="s">
        <v>7796</v>
      </c>
      <c r="E1017" s="792" t="str">
        <f>IFERROR(VLOOKUP(D1017,Stock,3,FALSE),"")</f>
        <v>List Kaca Belakang PU Daihatsu Granmax</v>
      </c>
      <c r="F1017" s="791">
        <v>1.0</v>
      </c>
      <c r="G1017" s="842">
        <v>41400.0</v>
      </c>
      <c r="H1017" s="811">
        <f t="shared" si="40"/>
        <v>41400</v>
      </c>
      <c r="I1017" s="809"/>
      <c r="J1017" s="819"/>
      <c r="K1017" s="799" t="s">
        <v>4262</v>
      </c>
      <c r="L1017" s="818" t="s">
        <v>12235</v>
      </c>
      <c r="M1017" s="818" t="s">
        <v>6675</v>
      </c>
      <c r="N1017" s="839">
        <v>45792.0</v>
      </c>
      <c r="O1017" s="823"/>
    </row>
    <row r="1018" ht="15.0" customHeight="1">
      <c r="A1018" s="789">
        <v>45794.0</v>
      </c>
      <c r="B1018" s="829" t="s">
        <v>13163</v>
      </c>
      <c r="C1018" s="791" t="s">
        <v>13107</v>
      </c>
      <c r="D1018" s="791" t="s">
        <v>7807</v>
      </c>
      <c r="E1018" s="792" t="str">
        <f>IFERROR(VLOOKUP(D1018,Stock,3,FALSE),"")</f>
        <v>Suzuki Ertiga 12-18 1st Gen MPV (Suzuki)</v>
      </c>
      <c r="F1018" s="791">
        <v>1.0</v>
      </c>
      <c r="G1018" s="842">
        <v>1080000.0</v>
      </c>
      <c r="H1018" s="811">
        <f t="shared" si="40"/>
        <v>1080000</v>
      </c>
      <c r="I1018" s="809"/>
      <c r="J1018" s="819"/>
      <c r="K1018" s="799" t="s">
        <v>4262</v>
      </c>
      <c r="L1018" s="818" t="s">
        <v>12235</v>
      </c>
      <c r="M1018" s="818" t="s">
        <v>6675</v>
      </c>
      <c r="N1018" s="839">
        <v>45794.0</v>
      </c>
      <c r="O1018" s="823"/>
    </row>
    <row r="1019" ht="15.0" customHeight="1">
      <c r="A1019" s="789">
        <v>45796.0</v>
      </c>
      <c r="B1019" s="790">
        <v>2505535.0</v>
      </c>
      <c r="C1019" s="791" t="s">
        <v>11484</v>
      </c>
      <c r="D1019" s="791" t="s">
        <v>4178</v>
      </c>
      <c r="E1019" s="792" t="str">
        <f>IFERROR(VLOOKUP(D1019,Stock,3,FALSE),"")</f>
        <v>Honda BR-V 16-</v>
      </c>
      <c r="F1019" s="791">
        <v>3.0</v>
      </c>
      <c r="G1019" s="842">
        <v>709800.0</v>
      </c>
      <c r="H1019" s="811">
        <f t="shared" si="40"/>
        <v>2129400</v>
      </c>
      <c r="I1019" s="809">
        <f t="shared" ref="I1019:I1020" si="53">H1019</f>
        <v>2129400</v>
      </c>
      <c r="J1019" s="872">
        <v>45857.0</v>
      </c>
      <c r="K1019" s="799" t="s">
        <v>4262</v>
      </c>
      <c r="L1019" s="818" t="s">
        <v>12235</v>
      </c>
      <c r="M1019" s="874" t="s">
        <v>6675</v>
      </c>
      <c r="N1019" s="839">
        <v>45846.0</v>
      </c>
      <c r="O1019" s="823"/>
    </row>
    <row r="1020" ht="15.0" customHeight="1">
      <c r="A1020" s="789">
        <v>45796.0</v>
      </c>
      <c r="B1020" s="790">
        <v>2505535.0</v>
      </c>
      <c r="C1020" s="791" t="s">
        <v>11484</v>
      </c>
      <c r="D1020" s="791" t="s">
        <v>3127</v>
      </c>
      <c r="E1020" s="792" t="str">
        <f>IFERROR(VLOOKUP(D1020,Stock,3,FALSE),"")</f>
        <v>Toyota Avanza / Xenia 03-11 1st Gen</v>
      </c>
      <c r="F1020" s="791">
        <v>3.0</v>
      </c>
      <c r="G1020" s="842">
        <v>324600.0</v>
      </c>
      <c r="H1020" s="811">
        <f t="shared" si="40"/>
        <v>973800</v>
      </c>
      <c r="I1020" s="809">
        <f t="shared" si="53"/>
        <v>973800</v>
      </c>
      <c r="J1020" s="872">
        <v>45857.0</v>
      </c>
      <c r="K1020" s="799" t="s">
        <v>4262</v>
      </c>
      <c r="L1020" s="818" t="s">
        <v>12235</v>
      </c>
      <c r="M1020" s="874" t="s">
        <v>6675</v>
      </c>
      <c r="N1020" s="839">
        <v>45846.0</v>
      </c>
      <c r="O1020" s="823"/>
    </row>
    <row r="1021" ht="15.0" customHeight="1">
      <c r="A1021" s="789">
        <v>45798.0</v>
      </c>
      <c r="B1021" s="829" t="s">
        <v>13164</v>
      </c>
      <c r="C1021" s="791" t="s">
        <v>11481</v>
      </c>
      <c r="D1021" s="791" t="s">
        <v>2555</v>
      </c>
      <c r="E1021" s="792" t="str">
        <f>IFERROR(VLOOKUP(D1021,Stock,3,FALSE),"")</f>
        <v>Toyota Fortuner 15-  2nd Gen (Toyota)</v>
      </c>
      <c r="F1021" s="791">
        <v>3.0</v>
      </c>
      <c r="G1021" s="842">
        <v>800000.0</v>
      </c>
      <c r="H1021" s="811">
        <f t="shared" si="40"/>
        <v>2400000</v>
      </c>
      <c r="I1021" s="809"/>
      <c r="J1021" s="819"/>
      <c r="K1021" s="799" t="s">
        <v>4262</v>
      </c>
      <c r="L1021" s="818" t="s">
        <v>12235</v>
      </c>
      <c r="M1021" s="818" t="s">
        <v>6675</v>
      </c>
      <c r="N1021" s="839">
        <v>45798.0</v>
      </c>
      <c r="O1021" s="823"/>
    </row>
    <row r="1022" ht="15.0" customHeight="1">
      <c r="A1022" s="789">
        <v>45798.0</v>
      </c>
      <c r="B1022" s="790">
        <v>2505668.0</v>
      </c>
      <c r="C1022" s="791" t="s">
        <v>11484</v>
      </c>
      <c r="D1022" s="791" t="s">
        <v>5683</v>
      </c>
      <c r="E1022" s="792" t="str">
        <f>IFERROR(VLOOKUP(D1022,Stock,3,FALSE),"")</f>
        <v>Wuling Cortez</v>
      </c>
      <c r="F1022" s="791">
        <v>1.0</v>
      </c>
      <c r="G1022" s="842">
        <v>1072200.0</v>
      </c>
      <c r="H1022" s="811">
        <f t="shared" si="40"/>
        <v>1072200</v>
      </c>
      <c r="I1022" s="809">
        <f t="shared" ref="I1022:I1052" si="54">H1022</f>
        <v>1072200</v>
      </c>
      <c r="J1022" s="872">
        <v>45859.0</v>
      </c>
      <c r="K1022" s="799" t="s">
        <v>4262</v>
      </c>
      <c r="L1022" s="818" t="s">
        <v>12235</v>
      </c>
      <c r="M1022" s="818" t="s">
        <v>6675</v>
      </c>
      <c r="N1022" s="839">
        <v>45853.0</v>
      </c>
      <c r="O1022" s="823"/>
    </row>
    <row r="1023" ht="15.0" customHeight="1">
      <c r="A1023" s="789">
        <v>45798.0</v>
      </c>
      <c r="B1023" s="790">
        <v>2505668.0</v>
      </c>
      <c r="C1023" s="791" t="s">
        <v>11484</v>
      </c>
      <c r="D1023" s="791" t="s">
        <v>2704</v>
      </c>
      <c r="E1023" s="792" t="str">
        <f>IFERROR(VLOOKUP(D1023,Stock,3,FALSE),"")</f>
        <v>Toyota Hi-Ace 19- Premio</v>
      </c>
      <c r="F1023" s="791">
        <v>2.0</v>
      </c>
      <c r="G1023" s="842">
        <v>896400.0</v>
      </c>
      <c r="H1023" s="811">
        <f t="shared" si="40"/>
        <v>1792800</v>
      </c>
      <c r="I1023" s="809">
        <f t="shared" si="54"/>
        <v>1792800</v>
      </c>
      <c r="J1023" s="872">
        <v>45859.0</v>
      </c>
      <c r="K1023" s="799" t="s">
        <v>4262</v>
      </c>
      <c r="L1023" s="818" t="s">
        <v>12235</v>
      </c>
      <c r="M1023" s="818" t="s">
        <v>6675</v>
      </c>
      <c r="N1023" s="839">
        <v>45853.0</v>
      </c>
      <c r="O1023" s="823"/>
    </row>
    <row r="1024" ht="15.0" customHeight="1">
      <c r="A1024" s="789">
        <v>45798.0</v>
      </c>
      <c r="B1024" s="790">
        <v>2505668.0</v>
      </c>
      <c r="C1024" s="791" t="s">
        <v>11484</v>
      </c>
      <c r="D1024" s="791" t="s">
        <v>2732</v>
      </c>
      <c r="E1024" s="792" t="str">
        <f>IFERROR(VLOOKUP(D1024,Stock,3,FALSE),"")</f>
        <v>Honda Jazz 13- 3rd Gen</v>
      </c>
      <c r="F1024" s="791">
        <v>2.0</v>
      </c>
      <c r="G1024" s="842">
        <v>694200.0</v>
      </c>
      <c r="H1024" s="811">
        <f t="shared" si="40"/>
        <v>1388400</v>
      </c>
      <c r="I1024" s="809">
        <f t="shared" si="54"/>
        <v>1388400</v>
      </c>
      <c r="J1024" s="872">
        <v>45859.0</v>
      </c>
      <c r="K1024" s="799" t="s">
        <v>4262</v>
      </c>
      <c r="L1024" s="818" t="s">
        <v>12235</v>
      </c>
      <c r="M1024" s="818" t="s">
        <v>6675</v>
      </c>
      <c r="N1024" s="839">
        <v>45853.0</v>
      </c>
      <c r="O1024" s="823"/>
    </row>
    <row r="1025" ht="15.0" customHeight="1">
      <c r="A1025" s="789">
        <v>45798.0</v>
      </c>
      <c r="B1025" s="790">
        <v>2505668.0</v>
      </c>
      <c r="C1025" s="791" t="s">
        <v>11484</v>
      </c>
      <c r="D1025" s="791" t="s">
        <v>3493</v>
      </c>
      <c r="E1025" s="792" t="str">
        <f>IFERROR(VLOOKUP(D1025,Stock,3,FALSE),"")</f>
        <v>Nissan Livina 07-18 L10/L11</v>
      </c>
      <c r="F1025" s="791">
        <v>3.0</v>
      </c>
      <c r="G1025" s="842">
        <v>655200.0</v>
      </c>
      <c r="H1025" s="811">
        <f t="shared" si="40"/>
        <v>1965600</v>
      </c>
      <c r="I1025" s="809">
        <f t="shared" si="54"/>
        <v>1965600</v>
      </c>
      <c r="J1025" s="872">
        <v>45859.0</v>
      </c>
      <c r="K1025" s="799" t="s">
        <v>4262</v>
      </c>
      <c r="L1025" s="818" t="s">
        <v>12235</v>
      </c>
      <c r="M1025" s="818" t="s">
        <v>6675</v>
      </c>
      <c r="N1025" s="839">
        <v>45853.0</v>
      </c>
      <c r="O1025" s="823"/>
    </row>
    <row r="1026" ht="15.0" customHeight="1">
      <c r="A1026" s="789">
        <v>45798.0</v>
      </c>
      <c r="B1026" s="790">
        <v>2505668.0</v>
      </c>
      <c r="C1026" s="791" t="s">
        <v>11484</v>
      </c>
      <c r="D1026" s="791" t="s">
        <v>2723</v>
      </c>
      <c r="E1026" s="792" t="str">
        <f>IFERROR(VLOOKUP(D1026,Stock,3,FALSE),"")</f>
        <v>Suzuki Carry New 19-</v>
      </c>
      <c r="F1026" s="791">
        <v>2.0</v>
      </c>
      <c r="G1026" s="842">
        <v>504000.0</v>
      </c>
      <c r="H1026" s="811">
        <f t="shared" si="40"/>
        <v>1008000</v>
      </c>
      <c r="I1026" s="809">
        <f t="shared" si="54"/>
        <v>1008000</v>
      </c>
      <c r="J1026" s="872">
        <v>45859.0</v>
      </c>
      <c r="K1026" s="799" t="s">
        <v>4262</v>
      </c>
      <c r="L1026" s="818" t="s">
        <v>12235</v>
      </c>
      <c r="M1026" s="818" t="s">
        <v>6675</v>
      </c>
      <c r="N1026" s="839">
        <v>45853.0</v>
      </c>
      <c r="O1026" s="823"/>
    </row>
    <row r="1027" ht="15.0" customHeight="1">
      <c r="A1027" s="789">
        <v>45798.0</v>
      </c>
      <c r="B1027" s="790">
        <v>2505668.0</v>
      </c>
      <c r="C1027" s="791" t="s">
        <v>11484</v>
      </c>
      <c r="D1027" s="791" t="s">
        <v>2706</v>
      </c>
      <c r="E1027" s="792" t="str">
        <f>IFERROR(VLOOKUP(D1027,Stock,3,FALSE),"")</f>
        <v>Isuzu Elf 17- New NMR NLR</v>
      </c>
      <c r="F1027" s="791">
        <v>2.0</v>
      </c>
      <c r="G1027" s="842">
        <v>548400.0</v>
      </c>
      <c r="H1027" s="811">
        <f t="shared" si="40"/>
        <v>1096800</v>
      </c>
      <c r="I1027" s="809">
        <f t="shared" si="54"/>
        <v>1096800</v>
      </c>
      <c r="J1027" s="872">
        <v>45859.0</v>
      </c>
      <c r="K1027" s="799" t="s">
        <v>4262</v>
      </c>
      <c r="L1027" s="818" t="s">
        <v>12235</v>
      </c>
      <c r="M1027" s="818" t="s">
        <v>6675</v>
      </c>
      <c r="N1027" s="839">
        <v>45853.0</v>
      </c>
      <c r="O1027" s="823"/>
    </row>
    <row r="1028" ht="15.0" customHeight="1">
      <c r="A1028" s="789">
        <v>45798.0</v>
      </c>
      <c r="B1028" s="790">
        <v>2505669.0</v>
      </c>
      <c r="C1028" s="791" t="s">
        <v>11484</v>
      </c>
      <c r="D1028" s="791" t="s">
        <v>3085</v>
      </c>
      <c r="E1028" s="792" t="str">
        <f>IFERROR(VLOOKUP(D1028,Stock,3,FALSE),"")</f>
        <v>Honda Jazz 07-13 2nd Gen</v>
      </c>
      <c r="F1028" s="791">
        <v>1.0</v>
      </c>
      <c r="G1028" s="842">
        <v>601800.0</v>
      </c>
      <c r="H1028" s="811">
        <f t="shared" si="40"/>
        <v>601800</v>
      </c>
      <c r="I1028" s="809">
        <f t="shared" si="54"/>
        <v>601800</v>
      </c>
      <c r="J1028" s="872">
        <v>45859.0</v>
      </c>
      <c r="K1028" s="799" t="s">
        <v>4262</v>
      </c>
      <c r="L1028" s="818" t="s">
        <v>12235</v>
      </c>
      <c r="M1028" s="874" t="s">
        <v>6675</v>
      </c>
      <c r="N1028" s="839">
        <v>45846.0</v>
      </c>
      <c r="O1028" s="823"/>
    </row>
    <row r="1029" ht="15.0" customHeight="1">
      <c r="A1029" s="789">
        <v>45798.0</v>
      </c>
      <c r="B1029" s="790">
        <v>2505669.0</v>
      </c>
      <c r="C1029" s="791" t="s">
        <v>11484</v>
      </c>
      <c r="D1029" s="791" t="s">
        <v>2744</v>
      </c>
      <c r="E1029" s="792" t="str">
        <f>IFERROR(VLOOKUP(D1029,Stock,3,FALSE),"")</f>
        <v>Toyota Fortuner 05-15 1st Gen (Hitam)</v>
      </c>
      <c r="F1029" s="791">
        <v>1.0</v>
      </c>
      <c r="G1029" s="842">
        <v>1170000.0</v>
      </c>
      <c r="H1029" s="811">
        <f t="shared" si="40"/>
        <v>1170000</v>
      </c>
      <c r="I1029" s="809">
        <f t="shared" si="54"/>
        <v>1170000</v>
      </c>
      <c r="J1029" s="872">
        <v>45859.0</v>
      </c>
      <c r="K1029" s="799" t="s">
        <v>4262</v>
      </c>
      <c r="L1029" s="818" t="s">
        <v>12235</v>
      </c>
      <c r="M1029" s="874" t="s">
        <v>6675</v>
      </c>
      <c r="N1029" s="839">
        <v>45846.0</v>
      </c>
      <c r="O1029" s="823"/>
    </row>
    <row r="1030" ht="15.0" customHeight="1">
      <c r="A1030" s="789">
        <v>45798.0</v>
      </c>
      <c r="B1030" s="790">
        <v>2505669.0</v>
      </c>
      <c r="C1030" s="791" t="s">
        <v>11484</v>
      </c>
      <c r="D1030" s="791" t="s">
        <v>3127</v>
      </c>
      <c r="E1030" s="792" t="str">
        <f>IFERROR(VLOOKUP(D1030,Stock,3,FALSE),"")</f>
        <v>Toyota Avanza / Xenia 03-11 1st Gen</v>
      </c>
      <c r="F1030" s="791">
        <v>2.0</v>
      </c>
      <c r="G1030" s="842">
        <v>324600.0</v>
      </c>
      <c r="H1030" s="811">
        <f t="shared" si="40"/>
        <v>649200</v>
      </c>
      <c r="I1030" s="809">
        <f t="shared" si="54"/>
        <v>649200</v>
      </c>
      <c r="J1030" s="872">
        <v>45859.0</v>
      </c>
      <c r="K1030" s="799" t="s">
        <v>4262</v>
      </c>
      <c r="L1030" s="818" t="s">
        <v>12235</v>
      </c>
      <c r="M1030" s="874" t="s">
        <v>6675</v>
      </c>
      <c r="N1030" s="839">
        <v>45846.0</v>
      </c>
      <c r="O1030" s="823"/>
    </row>
    <row r="1031" ht="15.0" customHeight="1">
      <c r="A1031" s="789">
        <v>45798.0</v>
      </c>
      <c r="B1031" s="790">
        <v>2505669.0</v>
      </c>
      <c r="C1031" s="791" t="s">
        <v>11484</v>
      </c>
      <c r="D1031" s="791" t="s">
        <v>6740</v>
      </c>
      <c r="E1031" s="792" t="str">
        <f>IFERROR(VLOOKUP(D1031,Stock,3,FALSE),"")</f>
        <v>Toyota Yaris 13- 2nd Gen (Lampu C) XP150</v>
      </c>
      <c r="F1031" s="791">
        <v>1.0</v>
      </c>
      <c r="G1031" s="842">
        <v>661800.0</v>
      </c>
      <c r="H1031" s="811">
        <f t="shared" si="40"/>
        <v>661800</v>
      </c>
      <c r="I1031" s="809">
        <f t="shared" si="54"/>
        <v>661800</v>
      </c>
      <c r="J1031" s="872">
        <v>45859.0</v>
      </c>
      <c r="K1031" s="799" t="s">
        <v>4262</v>
      </c>
      <c r="L1031" s="818" t="s">
        <v>12235</v>
      </c>
      <c r="M1031" s="874" t="s">
        <v>6675</v>
      </c>
      <c r="N1031" s="839">
        <v>45846.0</v>
      </c>
      <c r="O1031" s="823"/>
    </row>
    <row r="1032" ht="15.0" customHeight="1">
      <c r="A1032" s="789">
        <v>45798.0</v>
      </c>
      <c r="B1032" s="790">
        <v>2505669.0</v>
      </c>
      <c r="C1032" s="791" t="s">
        <v>11484</v>
      </c>
      <c r="D1032" s="791" t="s">
        <v>5241</v>
      </c>
      <c r="E1032" s="792" t="str">
        <f>IFERROR(VLOOKUP(D1032,Stock,3,FALSE),"")</f>
        <v>Honda Brio 18-</v>
      </c>
      <c r="F1032" s="791">
        <v>2.0</v>
      </c>
      <c r="G1032" s="842">
        <v>504000.0</v>
      </c>
      <c r="H1032" s="811">
        <f t="shared" si="40"/>
        <v>1008000</v>
      </c>
      <c r="I1032" s="809">
        <f t="shared" si="54"/>
        <v>1008000</v>
      </c>
      <c r="J1032" s="872">
        <v>45859.0</v>
      </c>
      <c r="K1032" s="799" t="s">
        <v>4262</v>
      </c>
      <c r="L1032" s="818" t="s">
        <v>12235</v>
      </c>
      <c r="M1032" s="874" t="s">
        <v>6675</v>
      </c>
      <c r="N1032" s="839">
        <v>45846.0</v>
      </c>
      <c r="O1032" s="823"/>
    </row>
    <row r="1033" ht="15.0" customHeight="1">
      <c r="A1033" s="789">
        <v>45798.0</v>
      </c>
      <c r="B1033" s="790">
        <v>2505669.0</v>
      </c>
      <c r="C1033" s="791" t="s">
        <v>11484</v>
      </c>
      <c r="D1033" s="791" t="s">
        <v>4907</v>
      </c>
      <c r="E1033" s="792" t="str">
        <f>IFERROR(VLOOKUP(D1033,Stock,3,FALSE),"")</f>
        <v>Nissan Livina 07-12 L10 (Tanpa Lubang)</v>
      </c>
      <c r="F1033" s="791">
        <v>3.0</v>
      </c>
      <c r="G1033" s="842">
        <v>509400.0</v>
      </c>
      <c r="H1033" s="811">
        <f t="shared" si="40"/>
        <v>1528200</v>
      </c>
      <c r="I1033" s="809">
        <f t="shared" si="54"/>
        <v>1528200</v>
      </c>
      <c r="J1033" s="872">
        <v>45859.0</v>
      </c>
      <c r="K1033" s="799" t="s">
        <v>4262</v>
      </c>
      <c r="L1033" s="818" t="s">
        <v>12235</v>
      </c>
      <c r="M1033" s="874" t="s">
        <v>6675</v>
      </c>
      <c r="N1033" s="839">
        <v>45846.0</v>
      </c>
      <c r="O1033" s="823"/>
    </row>
    <row r="1034" ht="15.0" customHeight="1">
      <c r="A1034" s="789">
        <v>45799.0</v>
      </c>
      <c r="B1034" s="790">
        <v>2505752.0</v>
      </c>
      <c r="C1034" s="791" t="s">
        <v>11484</v>
      </c>
      <c r="D1034" s="791" t="s">
        <v>7739</v>
      </c>
      <c r="E1034" s="792" t="str">
        <f>IFERROR(VLOOKUP(D1034,Stock,3,FALSE),"")</f>
        <v>Toyota Avanza / Xenia 03-11 1st Gen</v>
      </c>
      <c r="F1034" s="791">
        <v>3.0</v>
      </c>
      <c r="G1034" s="842">
        <v>400200.0</v>
      </c>
      <c r="H1034" s="811">
        <f t="shared" si="40"/>
        <v>1200600</v>
      </c>
      <c r="I1034" s="809">
        <f t="shared" si="54"/>
        <v>1200600</v>
      </c>
      <c r="J1034" s="872">
        <v>45860.0</v>
      </c>
      <c r="K1034" s="799" t="s">
        <v>4262</v>
      </c>
      <c r="L1034" s="818" t="s">
        <v>12235</v>
      </c>
      <c r="M1034" s="874" t="s">
        <v>6675</v>
      </c>
      <c r="N1034" s="839">
        <v>45853.0</v>
      </c>
      <c r="O1034" s="823"/>
    </row>
    <row r="1035" ht="15.0" customHeight="1">
      <c r="A1035" s="789">
        <v>45799.0</v>
      </c>
      <c r="B1035" s="790">
        <v>2505752.0</v>
      </c>
      <c r="C1035" s="791" t="s">
        <v>11484</v>
      </c>
      <c r="D1035" s="791" t="s">
        <v>4775</v>
      </c>
      <c r="E1035" s="792" t="str">
        <f>IFERROR(VLOOKUP(D1035,Stock,3,FALSE),"")</f>
        <v>Toyota Avanza / Xenia 11-15 2nd Gen / 15-21 3rd Gen</v>
      </c>
      <c r="F1035" s="791">
        <v>3.0</v>
      </c>
      <c r="G1035" s="842">
        <v>382200.0</v>
      </c>
      <c r="H1035" s="811">
        <f t="shared" si="40"/>
        <v>1146600</v>
      </c>
      <c r="I1035" s="809">
        <f t="shared" si="54"/>
        <v>1146600</v>
      </c>
      <c r="J1035" s="872">
        <v>45860.0</v>
      </c>
      <c r="K1035" s="799" t="s">
        <v>4262</v>
      </c>
      <c r="L1035" s="818" t="s">
        <v>12235</v>
      </c>
      <c r="M1035" s="874" t="s">
        <v>6675</v>
      </c>
      <c r="N1035" s="839">
        <v>45853.0</v>
      </c>
      <c r="O1035" s="823"/>
    </row>
    <row r="1036" ht="15.0" customHeight="1">
      <c r="A1036" s="789">
        <v>45799.0</v>
      </c>
      <c r="B1036" s="790">
        <v>2505752.0</v>
      </c>
      <c r="C1036" s="791" t="s">
        <v>11484</v>
      </c>
      <c r="D1036" s="791" t="s">
        <v>2619</v>
      </c>
      <c r="E1036" s="792" t="str">
        <f>IFERROR(VLOOKUP(D1036,Stock,3,FALSE),"")</f>
        <v>Honda Civic 92-95 3D SR0/SR3 (Estilo)</v>
      </c>
      <c r="F1036" s="791">
        <v>1.0</v>
      </c>
      <c r="G1036" s="842">
        <v>783000.0</v>
      </c>
      <c r="H1036" s="811">
        <f t="shared" si="40"/>
        <v>783000</v>
      </c>
      <c r="I1036" s="809">
        <f t="shared" si="54"/>
        <v>783000</v>
      </c>
      <c r="J1036" s="872">
        <v>45860.0</v>
      </c>
      <c r="K1036" s="799" t="s">
        <v>4262</v>
      </c>
      <c r="L1036" s="818" t="s">
        <v>12235</v>
      </c>
      <c r="M1036" s="874" t="s">
        <v>6675</v>
      </c>
      <c r="N1036" s="839">
        <v>45853.0</v>
      </c>
      <c r="O1036" s="823"/>
    </row>
    <row r="1037" ht="15.0" customHeight="1">
      <c r="A1037" s="789">
        <v>45800.0</v>
      </c>
      <c r="B1037" s="790">
        <v>2505762.0</v>
      </c>
      <c r="C1037" s="791" t="s">
        <v>11484</v>
      </c>
      <c r="D1037" s="791" t="s">
        <v>2926</v>
      </c>
      <c r="E1037" s="792" t="str">
        <f>IFERROR(VLOOKUP(D1037,Stock,3,FALSE),"")</f>
        <v>Honda Jazz 01-07 1st Gen</v>
      </c>
      <c r="F1037" s="791">
        <v>2.0</v>
      </c>
      <c r="G1037" s="842">
        <v>734400.0</v>
      </c>
      <c r="H1037" s="811">
        <f t="shared" si="40"/>
        <v>1468800</v>
      </c>
      <c r="I1037" s="809">
        <f t="shared" si="54"/>
        <v>1468800</v>
      </c>
      <c r="J1037" s="872">
        <v>45861.0</v>
      </c>
      <c r="K1037" s="799" t="s">
        <v>4262</v>
      </c>
      <c r="L1037" s="818" t="s">
        <v>12235</v>
      </c>
      <c r="M1037" s="874" t="s">
        <v>6675</v>
      </c>
      <c r="N1037" s="839">
        <v>45846.0</v>
      </c>
      <c r="O1037" s="823"/>
    </row>
    <row r="1038" ht="15.0" customHeight="1">
      <c r="A1038" s="789">
        <v>45800.0</v>
      </c>
      <c r="B1038" s="790">
        <v>2505806.0</v>
      </c>
      <c r="C1038" s="791" t="s">
        <v>11484</v>
      </c>
      <c r="D1038" s="791" t="s">
        <v>3411</v>
      </c>
      <c r="E1038" s="792" t="str">
        <f>IFERROR(VLOOKUP(D1038,Stock,3,FALSE),"")</f>
        <v>Toyota Agya/Ayla 13-22 1st Gen</v>
      </c>
      <c r="F1038" s="791">
        <v>3.0</v>
      </c>
      <c r="G1038" s="842">
        <v>420000.0</v>
      </c>
      <c r="H1038" s="811">
        <f t="shared" si="40"/>
        <v>1260000</v>
      </c>
      <c r="I1038" s="809">
        <f t="shared" si="54"/>
        <v>1260000</v>
      </c>
      <c r="J1038" s="872">
        <v>45861.0</v>
      </c>
      <c r="K1038" s="799" t="s">
        <v>4262</v>
      </c>
      <c r="L1038" s="818" t="s">
        <v>12235</v>
      </c>
      <c r="M1038" s="874" t="s">
        <v>6675</v>
      </c>
      <c r="N1038" s="839">
        <v>45853.0</v>
      </c>
      <c r="O1038" s="823"/>
    </row>
    <row r="1039" ht="15.0" customHeight="1">
      <c r="A1039" s="789">
        <v>45804.0</v>
      </c>
      <c r="B1039" s="790">
        <v>2505883.0</v>
      </c>
      <c r="C1039" s="791" t="s">
        <v>11484</v>
      </c>
      <c r="D1039" s="791" t="s">
        <v>2729</v>
      </c>
      <c r="E1039" s="792" t="str">
        <f>IFERROR(VLOOKUP(D1039,Stock,3,FALSE),"")</f>
        <v>Honda HR-V 14-21 5D SUV</v>
      </c>
      <c r="F1039" s="791">
        <v>2.0</v>
      </c>
      <c r="G1039" s="842">
        <v>963600.0</v>
      </c>
      <c r="H1039" s="811">
        <f t="shared" si="40"/>
        <v>1927200</v>
      </c>
      <c r="I1039" s="809">
        <f t="shared" si="54"/>
        <v>1927200</v>
      </c>
      <c r="J1039" s="872">
        <v>45865.0</v>
      </c>
      <c r="K1039" s="799" t="s">
        <v>4262</v>
      </c>
      <c r="L1039" s="818" t="s">
        <v>12235</v>
      </c>
      <c r="M1039" s="874" t="s">
        <v>6675</v>
      </c>
      <c r="N1039" s="839">
        <v>45846.0</v>
      </c>
      <c r="O1039" s="823"/>
    </row>
    <row r="1040" ht="15.0" customHeight="1">
      <c r="A1040" s="789">
        <v>45804.0</v>
      </c>
      <c r="B1040" s="790">
        <v>2505883.0</v>
      </c>
      <c r="C1040" s="791" t="s">
        <v>11484</v>
      </c>
      <c r="D1040" s="791" t="s">
        <v>2936</v>
      </c>
      <c r="E1040" s="792" t="str">
        <f>IFERROR(VLOOKUP(D1040,Stock,3,FALSE),"")</f>
        <v>Toyota Calya / Sigra 16-</v>
      </c>
      <c r="F1040" s="791">
        <v>3.0</v>
      </c>
      <c r="G1040" s="842">
        <v>370800.0</v>
      </c>
      <c r="H1040" s="811">
        <f t="shared" si="40"/>
        <v>1112400</v>
      </c>
      <c r="I1040" s="809">
        <f t="shared" si="54"/>
        <v>1112400</v>
      </c>
      <c r="J1040" s="872">
        <v>45865.0</v>
      </c>
      <c r="K1040" s="799" t="s">
        <v>4262</v>
      </c>
      <c r="L1040" s="818" t="s">
        <v>12235</v>
      </c>
      <c r="M1040" s="874" t="s">
        <v>6675</v>
      </c>
      <c r="N1040" s="839">
        <v>45846.0</v>
      </c>
      <c r="O1040" s="823"/>
    </row>
    <row r="1041" ht="15.0" customHeight="1">
      <c r="A1041" s="789">
        <v>45804.0</v>
      </c>
      <c r="B1041" s="790">
        <v>2505881.0</v>
      </c>
      <c r="C1041" s="791" t="s">
        <v>11484</v>
      </c>
      <c r="D1041" s="791" t="s">
        <v>2714</v>
      </c>
      <c r="E1041" s="792" t="str">
        <f>IFERROR(VLOOKUP(D1041,Stock,3,FALSE),"")</f>
        <v>Mitsubishi Canter FE700 01- (PS110,125)</v>
      </c>
      <c r="F1041" s="791">
        <v>2.0</v>
      </c>
      <c r="G1041" s="842">
        <v>506400.0</v>
      </c>
      <c r="H1041" s="811">
        <f t="shared" si="40"/>
        <v>1012800</v>
      </c>
      <c r="I1041" s="809">
        <f t="shared" si="54"/>
        <v>1012800</v>
      </c>
      <c r="J1041" s="872">
        <v>45865.0</v>
      </c>
      <c r="K1041" s="799" t="s">
        <v>4262</v>
      </c>
      <c r="L1041" s="818" t="s">
        <v>12235</v>
      </c>
      <c r="M1041" s="874" t="s">
        <v>6675</v>
      </c>
      <c r="N1041" s="839">
        <v>45853.0</v>
      </c>
      <c r="O1041" s="823"/>
    </row>
    <row r="1042" ht="15.0" customHeight="1">
      <c r="A1042" s="789">
        <v>45807.0</v>
      </c>
      <c r="B1042" s="790">
        <v>2505985.0</v>
      </c>
      <c r="C1042" s="791" t="s">
        <v>11484</v>
      </c>
      <c r="D1042" s="791" t="s">
        <v>7127</v>
      </c>
      <c r="E1042" s="792" t="str">
        <f>IFERROR(VLOOKUP(D1042,Stock,3,FALSE),"")</f>
        <v>Toyota Rush / Terios 18-</v>
      </c>
      <c r="F1042" s="791">
        <v>3.0</v>
      </c>
      <c r="G1042" s="842">
        <v>396000.0</v>
      </c>
      <c r="H1042" s="811">
        <f t="shared" si="40"/>
        <v>1188000</v>
      </c>
      <c r="I1042" s="809">
        <f t="shared" si="54"/>
        <v>1188000</v>
      </c>
      <c r="J1042" s="872">
        <v>45868.0</v>
      </c>
      <c r="K1042" s="799" t="s">
        <v>4262</v>
      </c>
      <c r="L1042" s="818" t="s">
        <v>12235</v>
      </c>
      <c r="M1042" s="874" t="s">
        <v>6675</v>
      </c>
      <c r="N1042" s="839">
        <v>45853.0</v>
      </c>
      <c r="O1042" s="823"/>
    </row>
    <row r="1043" ht="15.0" customHeight="1">
      <c r="A1043" s="789">
        <v>45810.0</v>
      </c>
      <c r="B1043" s="790">
        <v>2506040.0</v>
      </c>
      <c r="C1043" s="791" t="s">
        <v>11484</v>
      </c>
      <c r="D1043" s="791" t="s">
        <v>3186</v>
      </c>
      <c r="E1043" s="792" t="str">
        <f>IFERROR(VLOOKUP(D1043,Stock,3,FALSE),"")</f>
        <v>Daihatsu Gran Max / Luxio 07-</v>
      </c>
      <c r="F1043" s="791">
        <v>5.0</v>
      </c>
      <c r="G1043" s="842">
        <v>513000.0</v>
      </c>
      <c r="H1043" s="811">
        <f t="shared" si="40"/>
        <v>2565000</v>
      </c>
      <c r="I1043" s="809">
        <f t="shared" si="54"/>
        <v>2565000</v>
      </c>
      <c r="J1043" s="872">
        <v>45871.0</v>
      </c>
      <c r="K1043" s="799" t="s">
        <v>4262</v>
      </c>
      <c r="L1043" s="818" t="s">
        <v>12235</v>
      </c>
      <c r="M1043" s="874" t="s">
        <v>6675</v>
      </c>
      <c r="N1043" s="839">
        <v>45870.0</v>
      </c>
      <c r="O1043" s="823"/>
    </row>
    <row r="1044" ht="15.0" customHeight="1">
      <c r="A1044" s="789">
        <v>45810.0</v>
      </c>
      <c r="B1044" s="790">
        <v>2506032.0</v>
      </c>
      <c r="C1044" s="791" t="s">
        <v>11484</v>
      </c>
      <c r="D1044" s="791" t="s">
        <v>6738</v>
      </c>
      <c r="E1044" s="792" t="str">
        <f>IFERROR(VLOOKUP(D1044,Stock,3,FALSE),"")</f>
        <v>Honda Jazz 13- 3rd Gen</v>
      </c>
      <c r="F1044" s="791">
        <v>1.0</v>
      </c>
      <c r="G1044" s="842">
        <v>601800.0</v>
      </c>
      <c r="H1044" s="811">
        <f t="shared" si="40"/>
        <v>601800</v>
      </c>
      <c r="I1044" s="809">
        <f t="shared" si="54"/>
        <v>601800</v>
      </c>
      <c r="J1044" s="872">
        <v>45871.0</v>
      </c>
      <c r="K1044" s="799" t="s">
        <v>4262</v>
      </c>
      <c r="L1044" s="818" t="s">
        <v>12235</v>
      </c>
      <c r="M1044" s="874" t="s">
        <v>6675</v>
      </c>
      <c r="N1044" s="839">
        <v>45870.0</v>
      </c>
      <c r="O1044" s="823"/>
    </row>
    <row r="1045" ht="15.0" customHeight="1">
      <c r="A1045" s="789">
        <v>45810.0</v>
      </c>
      <c r="B1045" s="790">
        <v>2506032.0</v>
      </c>
      <c r="C1045" s="791" t="s">
        <v>11484</v>
      </c>
      <c r="D1045" s="791" t="s">
        <v>4901</v>
      </c>
      <c r="E1045" s="792" t="str">
        <f>IFERROR(VLOOKUP(D1045,Stock,3,FALSE),"")</f>
        <v>Toyota Rush / Terios 18-</v>
      </c>
      <c r="F1045" s="791">
        <v>1.0</v>
      </c>
      <c r="G1045" s="842">
        <v>451200.0</v>
      </c>
      <c r="H1045" s="811">
        <f t="shared" si="40"/>
        <v>451200</v>
      </c>
      <c r="I1045" s="809">
        <f t="shared" si="54"/>
        <v>451200</v>
      </c>
      <c r="J1045" s="872">
        <v>45871.0</v>
      </c>
      <c r="K1045" s="799" t="s">
        <v>4262</v>
      </c>
      <c r="L1045" s="818" t="s">
        <v>12235</v>
      </c>
      <c r="M1045" s="874" t="s">
        <v>6675</v>
      </c>
      <c r="N1045" s="839">
        <v>45870.0</v>
      </c>
      <c r="O1045" s="823"/>
    </row>
    <row r="1046" ht="15.0" customHeight="1">
      <c r="A1046" s="789">
        <v>45810.0</v>
      </c>
      <c r="B1046" s="790">
        <v>2506032.0</v>
      </c>
      <c r="C1046" s="791" t="s">
        <v>11484</v>
      </c>
      <c r="D1046" s="791" t="s">
        <v>3235</v>
      </c>
      <c r="E1046" s="792" t="str">
        <f>IFERROR(VLOOKUP(D1046,Stock,3,FALSE),"")</f>
        <v>Toyota Vios 02-07 XP40 1st Gen</v>
      </c>
      <c r="F1046" s="791">
        <v>1.0</v>
      </c>
      <c r="G1046" s="842">
        <v>663000.0</v>
      </c>
      <c r="H1046" s="811">
        <f t="shared" si="40"/>
        <v>663000</v>
      </c>
      <c r="I1046" s="809">
        <f t="shared" si="54"/>
        <v>663000</v>
      </c>
      <c r="J1046" s="872">
        <v>45871.0</v>
      </c>
      <c r="K1046" s="799" t="s">
        <v>4262</v>
      </c>
      <c r="L1046" s="818" t="s">
        <v>12235</v>
      </c>
      <c r="M1046" s="874" t="s">
        <v>6675</v>
      </c>
      <c r="N1046" s="839">
        <v>45870.0</v>
      </c>
      <c r="O1046" s="823"/>
    </row>
    <row r="1047" ht="15.0" customHeight="1">
      <c r="A1047" s="789">
        <v>45810.0</v>
      </c>
      <c r="B1047" s="790">
        <v>2506032.0</v>
      </c>
      <c r="C1047" s="791" t="s">
        <v>11484</v>
      </c>
      <c r="D1047" s="791" t="s">
        <v>3622</v>
      </c>
      <c r="E1047" s="792" t="str">
        <f>IFERROR(VLOOKUP(D1047,Stock,3,FALSE),"")</f>
        <v>Mitsubishi Pajero 08-16</v>
      </c>
      <c r="F1047" s="791">
        <v>1.0</v>
      </c>
      <c r="G1047" s="842">
        <v>708000.0</v>
      </c>
      <c r="H1047" s="811">
        <f t="shared" si="40"/>
        <v>708000</v>
      </c>
      <c r="I1047" s="809">
        <f t="shared" si="54"/>
        <v>708000</v>
      </c>
      <c r="J1047" s="872">
        <v>45871.0</v>
      </c>
      <c r="K1047" s="799" t="s">
        <v>4262</v>
      </c>
      <c r="L1047" s="818" t="s">
        <v>12235</v>
      </c>
      <c r="M1047" s="874" t="s">
        <v>6675</v>
      </c>
      <c r="N1047" s="839">
        <v>45870.0</v>
      </c>
      <c r="O1047" s="823"/>
    </row>
    <row r="1048" ht="15.0" customHeight="1">
      <c r="A1048" s="789">
        <v>45810.0</v>
      </c>
      <c r="B1048" s="790">
        <v>2506032.0</v>
      </c>
      <c r="C1048" s="791" t="s">
        <v>11484</v>
      </c>
      <c r="D1048" s="791" t="s">
        <v>2588</v>
      </c>
      <c r="E1048" s="792" t="str">
        <f>IFERROR(VLOOKUP(D1048,Stock,3,FALSE),"")</f>
        <v>Ford Fiesta 09-17</v>
      </c>
      <c r="F1048" s="791">
        <v>1.0</v>
      </c>
      <c r="G1048" s="842">
        <v>781200.0</v>
      </c>
      <c r="H1048" s="811">
        <f t="shared" si="40"/>
        <v>781200</v>
      </c>
      <c r="I1048" s="809">
        <f t="shared" si="54"/>
        <v>781200</v>
      </c>
      <c r="J1048" s="872">
        <v>45871.0</v>
      </c>
      <c r="K1048" s="799" t="s">
        <v>4262</v>
      </c>
      <c r="L1048" s="818" t="s">
        <v>12235</v>
      </c>
      <c r="M1048" s="874" t="s">
        <v>6675</v>
      </c>
      <c r="N1048" s="839">
        <v>45870.0</v>
      </c>
      <c r="O1048" s="823"/>
    </row>
    <row r="1049" ht="15.0" customHeight="1">
      <c r="A1049" s="789">
        <v>45810.0</v>
      </c>
      <c r="B1049" s="790">
        <v>2506032.0</v>
      </c>
      <c r="C1049" s="791" t="s">
        <v>11484</v>
      </c>
      <c r="D1049" s="791" t="s">
        <v>3056</v>
      </c>
      <c r="E1049" s="792" t="str">
        <f>IFERROR(VLOOKUP(D1049,Stock,3,FALSE),"")</f>
        <v>Honda BR-V 16-</v>
      </c>
      <c r="F1049" s="791">
        <v>1.0</v>
      </c>
      <c r="G1049" s="842">
        <v>709800.0</v>
      </c>
      <c r="H1049" s="811">
        <f t="shared" si="40"/>
        <v>709800</v>
      </c>
      <c r="I1049" s="809">
        <f t="shared" si="54"/>
        <v>709800</v>
      </c>
      <c r="J1049" s="872">
        <v>45871.0</v>
      </c>
      <c r="K1049" s="799" t="s">
        <v>4262</v>
      </c>
      <c r="L1049" s="818" t="s">
        <v>12235</v>
      </c>
      <c r="M1049" s="874" t="s">
        <v>6675</v>
      </c>
      <c r="N1049" s="839">
        <v>45870.0</v>
      </c>
      <c r="O1049" s="823"/>
    </row>
    <row r="1050" ht="15.0" customHeight="1">
      <c r="A1050" s="789">
        <v>45810.0</v>
      </c>
      <c r="B1050" s="790">
        <v>2506032.0</v>
      </c>
      <c r="C1050" s="791" t="s">
        <v>11484</v>
      </c>
      <c r="D1050" s="791" t="s">
        <v>2926</v>
      </c>
      <c r="E1050" s="792" t="str">
        <f>IFERROR(VLOOKUP(D1050,Stock,3,FALSE),"")</f>
        <v>Honda Jazz 01-07 1st Gen</v>
      </c>
      <c r="F1050" s="791">
        <v>1.0</v>
      </c>
      <c r="G1050" s="842">
        <v>734400.0</v>
      </c>
      <c r="H1050" s="811">
        <f t="shared" si="40"/>
        <v>734400</v>
      </c>
      <c r="I1050" s="809">
        <f t="shared" si="54"/>
        <v>734400</v>
      </c>
      <c r="J1050" s="872">
        <v>45871.0</v>
      </c>
      <c r="K1050" s="799" t="s">
        <v>4262</v>
      </c>
      <c r="L1050" s="818" t="s">
        <v>12235</v>
      </c>
      <c r="M1050" s="874" t="s">
        <v>6675</v>
      </c>
      <c r="N1050" s="839">
        <v>45870.0</v>
      </c>
      <c r="O1050" s="823"/>
    </row>
    <row r="1051" ht="15.0" customHeight="1">
      <c r="A1051" s="789">
        <v>45810.0</v>
      </c>
      <c r="B1051" s="790">
        <v>2506032.0</v>
      </c>
      <c r="C1051" s="791" t="s">
        <v>11484</v>
      </c>
      <c r="D1051" s="791" t="s">
        <v>2698</v>
      </c>
      <c r="E1051" s="792" t="str">
        <f>IFERROR(VLOOKUP(D1051,Stock,3,FALSE),"")</f>
        <v>Honda CR-V 17- 5th Gen</v>
      </c>
      <c r="F1051" s="791">
        <v>1.0</v>
      </c>
      <c r="G1051" s="842">
        <v>931200.0</v>
      </c>
      <c r="H1051" s="811">
        <f t="shared" si="40"/>
        <v>931200</v>
      </c>
      <c r="I1051" s="809">
        <f t="shared" si="54"/>
        <v>931200</v>
      </c>
      <c r="J1051" s="872">
        <v>45871.0</v>
      </c>
      <c r="K1051" s="799" t="s">
        <v>4262</v>
      </c>
      <c r="L1051" s="818" t="s">
        <v>12235</v>
      </c>
      <c r="M1051" s="874" t="s">
        <v>6675</v>
      </c>
      <c r="N1051" s="839">
        <v>45870.0</v>
      </c>
      <c r="O1051" s="823"/>
    </row>
    <row r="1052" ht="15.0" customHeight="1">
      <c r="A1052" s="789">
        <v>45810.0</v>
      </c>
      <c r="B1052" s="790">
        <v>2506032.0</v>
      </c>
      <c r="C1052" s="791" t="s">
        <v>11484</v>
      </c>
      <c r="D1052" s="791" t="s">
        <v>2665</v>
      </c>
      <c r="E1052" s="792" t="str">
        <f>IFERROR(VLOOKUP(D1052,Stock,3,FALSE),"")</f>
        <v>Chevrolet Spin 12-</v>
      </c>
      <c r="F1052" s="791">
        <v>2.0</v>
      </c>
      <c r="G1052" s="842">
        <v>810000.0</v>
      </c>
      <c r="H1052" s="811">
        <f t="shared" si="40"/>
        <v>1620000</v>
      </c>
      <c r="I1052" s="809">
        <f t="shared" si="54"/>
        <v>1620000</v>
      </c>
      <c r="J1052" s="872">
        <v>45871.0</v>
      </c>
      <c r="K1052" s="799" t="s">
        <v>4262</v>
      </c>
      <c r="L1052" s="818" t="s">
        <v>12235</v>
      </c>
      <c r="M1052" s="874" t="s">
        <v>6675</v>
      </c>
      <c r="N1052" s="839">
        <v>45870.0</v>
      </c>
      <c r="O1052" s="823"/>
    </row>
    <row r="1053" ht="15.0" customHeight="1">
      <c r="A1053" s="789">
        <v>45810.0</v>
      </c>
      <c r="B1053" s="790" t="s">
        <v>13165</v>
      </c>
      <c r="C1053" s="791" t="s">
        <v>3076</v>
      </c>
      <c r="D1053" s="791" t="s">
        <v>7935</v>
      </c>
      <c r="E1053" s="792" t="str">
        <f>IFERROR(VLOOKUP(D1053,Stock,3,FALSE),"")</f>
        <v>Toyota Sienta 15-</v>
      </c>
      <c r="F1053" s="791">
        <v>1.0</v>
      </c>
      <c r="G1053" s="842">
        <v>345000.0</v>
      </c>
      <c r="H1053" s="811">
        <f t="shared" si="40"/>
        <v>345000</v>
      </c>
      <c r="I1053" s="809"/>
      <c r="J1053" s="819"/>
      <c r="K1053" s="799" t="s">
        <v>4262</v>
      </c>
      <c r="L1053" s="818" t="s">
        <v>12235</v>
      </c>
      <c r="M1053" s="874" t="s">
        <v>6675</v>
      </c>
      <c r="N1053" s="878">
        <v>45722.0</v>
      </c>
      <c r="O1053" s="823"/>
    </row>
    <row r="1054" ht="15.0" customHeight="1">
      <c r="A1054" s="789">
        <v>45810.0</v>
      </c>
      <c r="B1054" s="790" t="s">
        <v>13165</v>
      </c>
      <c r="C1054" s="791" t="s">
        <v>3076</v>
      </c>
      <c r="D1054" s="791" t="s">
        <v>2934</v>
      </c>
      <c r="E1054" s="792" t="str">
        <f>IFERROR(VLOOKUP(D1054,Stock,3,FALSE),"")</f>
        <v>Peti Kayu</v>
      </c>
      <c r="F1054" s="791">
        <v>1.0</v>
      </c>
      <c r="G1054" s="842">
        <v>50000.0</v>
      </c>
      <c r="H1054" s="811">
        <f t="shared" si="40"/>
        <v>50000</v>
      </c>
      <c r="I1054" s="809"/>
      <c r="J1054" s="819"/>
      <c r="K1054" s="799" t="s">
        <v>4262</v>
      </c>
      <c r="L1054" s="818" t="s">
        <v>12235</v>
      </c>
      <c r="M1054" s="874" t="s">
        <v>6675</v>
      </c>
      <c r="N1054" s="878">
        <v>45722.0</v>
      </c>
      <c r="O1054" s="823"/>
    </row>
    <row r="1055" ht="15.0" customHeight="1">
      <c r="A1055" s="789">
        <v>45811.0</v>
      </c>
      <c r="B1055" s="790">
        <v>2506130.0</v>
      </c>
      <c r="C1055" s="791" t="s">
        <v>11484</v>
      </c>
      <c r="D1055" s="791" t="s">
        <v>2723</v>
      </c>
      <c r="E1055" s="792" t="str">
        <f>IFERROR(VLOOKUP(D1055,Stock,3,FALSE),"")</f>
        <v>Suzuki Carry New 19-</v>
      </c>
      <c r="F1055" s="791">
        <v>3.0</v>
      </c>
      <c r="G1055" s="842">
        <v>504000.0</v>
      </c>
      <c r="H1055" s="811">
        <f t="shared" si="40"/>
        <v>1512000</v>
      </c>
      <c r="I1055" s="809">
        <f t="shared" ref="I1055:I1057" si="55">H1055</f>
        <v>1512000</v>
      </c>
      <c r="J1055" s="872">
        <v>45872.0</v>
      </c>
      <c r="K1055" s="799" t="s">
        <v>4262</v>
      </c>
      <c r="L1055" s="818" t="s">
        <v>12235</v>
      </c>
      <c r="M1055" s="874" t="s">
        <v>6675</v>
      </c>
      <c r="N1055" s="839">
        <v>45870.0</v>
      </c>
      <c r="O1055" s="823"/>
    </row>
    <row r="1056" ht="15.0" customHeight="1">
      <c r="A1056" s="789">
        <v>45811.0</v>
      </c>
      <c r="B1056" s="790">
        <v>2506107.0</v>
      </c>
      <c r="C1056" s="791" t="s">
        <v>11484</v>
      </c>
      <c r="D1056" s="791" t="s">
        <v>2693</v>
      </c>
      <c r="E1056" s="792" t="str">
        <f>IFERROR(VLOOKUP(D1056,Stock,3,FALSE),"")</f>
        <v>Nissan X-Trail 01-07 T30</v>
      </c>
      <c r="F1056" s="791">
        <v>2.0</v>
      </c>
      <c r="G1056" s="842">
        <v>882600.0</v>
      </c>
      <c r="H1056" s="811">
        <f t="shared" si="40"/>
        <v>1765200</v>
      </c>
      <c r="I1056" s="809">
        <f t="shared" si="55"/>
        <v>1765200</v>
      </c>
      <c r="J1056" s="872">
        <v>45872.0</v>
      </c>
      <c r="K1056" s="799" t="s">
        <v>4262</v>
      </c>
      <c r="L1056" s="818" t="s">
        <v>12235</v>
      </c>
      <c r="M1056" s="874" t="s">
        <v>6675</v>
      </c>
      <c r="N1056" s="839">
        <v>45870.0</v>
      </c>
      <c r="O1056" s="823"/>
    </row>
    <row r="1057" ht="15.0" customHeight="1">
      <c r="A1057" s="789">
        <v>45811.0</v>
      </c>
      <c r="B1057" s="790">
        <v>2506107.0</v>
      </c>
      <c r="C1057" s="791" t="s">
        <v>11484</v>
      </c>
      <c r="D1057" s="791" t="s">
        <v>7955</v>
      </c>
      <c r="E1057" s="792" t="str">
        <f>IFERROR(VLOOKUP(D1057,Stock,3,FALSE),"")</f>
        <v>Mers-Benz E-Class 09-16 W212 (2 Sensor/ □Δ)</v>
      </c>
      <c r="F1057" s="791">
        <v>1.0</v>
      </c>
      <c r="G1057" s="842">
        <v>2419200.0</v>
      </c>
      <c r="H1057" s="811">
        <f t="shared" si="40"/>
        <v>2419200</v>
      </c>
      <c r="I1057" s="809">
        <f t="shared" si="55"/>
        <v>2419200</v>
      </c>
      <c r="J1057" s="872">
        <v>45872.0</v>
      </c>
      <c r="K1057" s="799" t="s">
        <v>4262</v>
      </c>
      <c r="L1057" s="818" t="s">
        <v>12235</v>
      </c>
      <c r="M1057" s="874" t="s">
        <v>6675</v>
      </c>
      <c r="N1057" s="839">
        <v>45870.0</v>
      </c>
      <c r="O1057" s="823"/>
    </row>
    <row r="1058" ht="15.0" customHeight="1">
      <c r="A1058" s="789">
        <v>45812.0</v>
      </c>
      <c r="B1058" s="829" t="s">
        <v>13166</v>
      </c>
      <c r="C1058" s="791" t="s">
        <v>11481</v>
      </c>
      <c r="D1058" s="791" t="s">
        <v>7968</v>
      </c>
      <c r="E1058" s="792" t="str">
        <f>IFERROR(VLOOKUP(D1058,Stock,3,FALSE),"")</f>
        <v>Toyota Innova 22- Zenyx 3rd Gen (Toyota)</v>
      </c>
      <c r="F1058" s="791">
        <v>1.0</v>
      </c>
      <c r="G1058" s="842">
        <v>770000.0</v>
      </c>
      <c r="H1058" s="811">
        <f t="shared" si="40"/>
        <v>770000</v>
      </c>
      <c r="I1058" s="809"/>
      <c r="J1058" s="819"/>
      <c r="K1058" s="799" t="s">
        <v>4262</v>
      </c>
      <c r="L1058" s="818" t="s">
        <v>12235</v>
      </c>
      <c r="M1058" s="818" t="s">
        <v>6675</v>
      </c>
      <c r="N1058" s="839">
        <v>45812.0</v>
      </c>
      <c r="O1058" s="823"/>
    </row>
    <row r="1059" ht="15.0" customHeight="1">
      <c r="A1059" s="789">
        <v>45813.0</v>
      </c>
      <c r="B1059" s="790" t="s">
        <v>13167</v>
      </c>
      <c r="C1059" s="791" t="s">
        <v>13022</v>
      </c>
      <c r="D1059" s="791" t="s">
        <v>5528</v>
      </c>
      <c r="E1059" s="792" t="str">
        <f>IFERROR(VLOOKUP(D1059,Stock,3,FALSE),"")</f>
        <v>Toyota Innova 15-22 2nd Gen (Toyota)</v>
      </c>
      <c r="F1059" s="791">
        <v>3.0</v>
      </c>
      <c r="G1059" s="842">
        <v>1674000.0</v>
      </c>
      <c r="H1059" s="811">
        <f t="shared" si="40"/>
        <v>5022000</v>
      </c>
      <c r="I1059" s="809"/>
      <c r="J1059" s="819"/>
      <c r="K1059" s="799" t="s">
        <v>4262</v>
      </c>
      <c r="L1059" s="818" t="s">
        <v>12235</v>
      </c>
      <c r="M1059" s="818" t="s">
        <v>6675</v>
      </c>
      <c r="N1059" s="839">
        <v>45813.0</v>
      </c>
      <c r="O1059" s="823"/>
    </row>
    <row r="1060" ht="15.0" customHeight="1">
      <c r="A1060" s="789">
        <v>45813.0</v>
      </c>
      <c r="B1060" s="790" t="s">
        <v>13168</v>
      </c>
      <c r="C1060" s="791" t="s">
        <v>13169</v>
      </c>
      <c r="D1060" s="791" t="s">
        <v>7997</v>
      </c>
      <c r="E1060" s="792" t="str">
        <f>IFERROR(VLOOKUP(D1060,Stock,3,FALSE),"")</f>
        <v>Isuzu Traga (Isuzu)</v>
      </c>
      <c r="F1060" s="791">
        <v>2.0</v>
      </c>
      <c r="G1060" s="842">
        <v>350000.0</v>
      </c>
      <c r="H1060" s="811">
        <f t="shared" si="40"/>
        <v>700000</v>
      </c>
      <c r="I1060" s="809"/>
      <c r="J1060" s="819"/>
      <c r="K1060" s="799" t="s">
        <v>4262</v>
      </c>
      <c r="L1060" s="818" t="s">
        <v>12235</v>
      </c>
      <c r="M1060" s="818" t="s">
        <v>6675</v>
      </c>
      <c r="N1060" s="839">
        <v>45813.0</v>
      </c>
      <c r="O1060" s="823"/>
    </row>
    <row r="1061" ht="15.0" customHeight="1">
      <c r="A1061" s="789">
        <v>45813.0</v>
      </c>
      <c r="B1061" s="790" t="s">
        <v>13168</v>
      </c>
      <c r="C1061" s="791" t="s">
        <v>13169</v>
      </c>
      <c r="D1061" s="791" t="s">
        <v>13170</v>
      </c>
      <c r="E1061" s="792" t="str">
        <f>IFERROR(VLOOKUP(D1061,Stock,3,FALSE),"")</f>
        <v>Isuzu Traga (Isuzu)</v>
      </c>
      <c r="F1061" s="791">
        <v>1.0</v>
      </c>
      <c r="G1061" s="842">
        <v>350000.0</v>
      </c>
      <c r="H1061" s="811">
        <f t="shared" si="40"/>
        <v>350000</v>
      </c>
      <c r="I1061" s="809"/>
      <c r="J1061" s="819"/>
      <c r="K1061" s="799" t="s">
        <v>4262</v>
      </c>
      <c r="L1061" s="818" t="s">
        <v>12235</v>
      </c>
      <c r="M1061" s="818" t="s">
        <v>6675</v>
      </c>
      <c r="N1061" s="839">
        <v>45813.0</v>
      </c>
      <c r="O1061" s="823"/>
    </row>
    <row r="1062" ht="15.0" customHeight="1">
      <c r="A1062" s="789">
        <v>45817.0</v>
      </c>
      <c r="B1062" s="790" t="s">
        <v>13171</v>
      </c>
      <c r="C1062" s="791" t="s">
        <v>28</v>
      </c>
      <c r="D1062" s="90" t="s">
        <v>4027</v>
      </c>
      <c r="E1062" s="792" t="str">
        <f>IFERROR(VLOOKUP(D1062,Stock,3,FALSE),"")</f>
        <v>501 Sealant Application</v>
      </c>
      <c r="F1062" s="791">
        <v>300.0</v>
      </c>
      <c r="G1062" s="842"/>
      <c r="H1062" s="811">
        <f t="shared" si="40"/>
        <v>0</v>
      </c>
      <c r="I1062" s="809">
        <f>H1062</f>
        <v>0</v>
      </c>
      <c r="J1062" s="819"/>
      <c r="K1062" s="799" t="s">
        <v>4262</v>
      </c>
      <c r="L1062" s="823"/>
      <c r="M1062" s="823"/>
      <c r="N1062" s="823"/>
      <c r="O1062" s="823"/>
    </row>
    <row r="1063" ht="15.0" customHeight="1">
      <c r="A1063" s="789">
        <v>45818.0</v>
      </c>
      <c r="B1063" s="790" t="s">
        <v>13172</v>
      </c>
      <c r="C1063" s="791" t="s">
        <v>13169</v>
      </c>
      <c r="D1063" s="791" t="s">
        <v>8016</v>
      </c>
      <c r="E1063" s="792" t="str">
        <f>IFERROR(VLOOKUP(D1063,Stock,3,FALSE),"")</f>
        <v>Isuzu Traga (Isuzu)</v>
      </c>
      <c r="F1063" s="791">
        <v>1.0</v>
      </c>
      <c r="G1063" s="842">
        <v>850000.0</v>
      </c>
      <c r="H1063" s="811">
        <f t="shared" si="40"/>
        <v>850000</v>
      </c>
      <c r="I1063" s="809"/>
      <c r="J1063" s="819"/>
      <c r="K1063" s="799" t="s">
        <v>4262</v>
      </c>
      <c r="L1063" s="818" t="s">
        <v>12235</v>
      </c>
      <c r="M1063" s="818" t="s">
        <v>6675</v>
      </c>
      <c r="N1063" s="878">
        <v>45936.0</v>
      </c>
      <c r="O1063" s="823"/>
    </row>
    <row r="1064" ht="15.0" customHeight="1">
      <c r="A1064" s="789">
        <v>45818.0</v>
      </c>
      <c r="B1064" s="790">
        <v>2506304.0</v>
      </c>
      <c r="C1064" s="791" t="s">
        <v>11484</v>
      </c>
      <c r="D1064" s="791" t="s">
        <v>2562</v>
      </c>
      <c r="E1064" s="792" t="str">
        <f>IFERROR(VLOOKUP(D1064,Stock,3,FALSE),"")</f>
        <v>Toyota Avanza / Xenia 15-21 3rd Gen</v>
      </c>
      <c r="F1064" s="791">
        <v>2.0</v>
      </c>
      <c r="G1064" s="842">
        <v>454800.0</v>
      </c>
      <c r="H1064" s="811">
        <f t="shared" si="40"/>
        <v>909600</v>
      </c>
      <c r="I1064" s="809">
        <f t="shared" ref="I1064:I1066" si="56">H1064</f>
        <v>909600</v>
      </c>
      <c r="J1064" s="872">
        <v>45879.0</v>
      </c>
      <c r="K1064" s="799" t="s">
        <v>4262</v>
      </c>
      <c r="L1064" s="818" t="s">
        <v>12235</v>
      </c>
      <c r="M1064" s="874" t="s">
        <v>6675</v>
      </c>
      <c r="N1064" s="839">
        <v>45870.0</v>
      </c>
      <c r="O1064" s="823"/>
    </row>
    <row r="1065" ht="15.0" customHeight="1">
      <c r="A1065" s="789">
        <v>45818.0</v>
      </c>
      <c r="B1065" s="790">
        <v>2506282.0</v>
      </c>
      <c r="C1065" s="791" t="s">
        <v>11484</v>
      </c>
      <c r="D1065" s="791" t="s">
        <v>3622</v>
      </c>
      <c r="E1065" s="792" t="str">
        <f>IFERROR(VLOOKUP(D1065,Stock,3,FALSE),"")</f>
        <v>Mitsubishi Pajero 08-16</v>
      </c>
      <c r="F1065" s="791">
        <v>3.0</v>
      </c>
      <c r="G1065" s="842">
        <v>708000.0</v>
      </c>
      <c r="H1065" s="811">
        <f t="shared" si="40"/>
        <v>2124000</v>
      </c>
      <c r="I1065" s="809">
        <f t="shared" si="56"/>
        <v>2124000</v>
      </c>
      <c r="J1065" s="872">
        <v>45879.0</v>
      </c>
      <c r="K1065" s="799" t="s">
        <v>4262</v>
      </c>
      <c r="L1065" s="818" t="s">
        <v>12235</v>
      </c>
      <c r="M1065" s="874" t="s">
        <v>6675</v>
      </c>
      <c r="N1065" s="839">
        <v>45870.0</v>
      </c>
      <c r="O1065" s="823"/>
    </row>
    <row r="1066" ht="15.0" customHeight="1">
      <c r="A1066" s="789">
        <v>45818.0</v>
      </c>
      <c r="B1066" s="790">
        <v>2506282.0</v>
      </c>
      <c r="C1066" s="791" t="s">
        <v>11484</v>
      </c>
      <c r="D1066" s="791" t="s">
        <v>2685</v>
      </c>
      <c r="E1066" s="792" t="str">
        <f>IFERROR(VLOOKUP(D1066,Stock,3,FALSE),"")</f>
        <v>Honda Stream 04-06 S7A/RN1 (Spion)</v>
      </c>
      <c r="F1066" s="791">
        <v>1.0</v>
      </c>
      <c r="G1066" s="842">
        <v>1045800.0</v>
      </c>
      <c r="H1066" s="811">
        <f t="shared" si="40"/>
        <v>1045800</v>
      </c>
      <c r="I1066" s="809">
        <f t="shared" si="56"/>
        <v>1045800</v>
      </c>
      <c r="J1066" s="872">
        <v>45879.0</v>
      </c>
      <c r="K1066" s="799" t="s">
        <v>4262</v>
      </c>
      <c r="L1066" s="818" t="s">
        <v>12235</v>
      </c>
      <c r="M1066" s="874" t="s">
        <v>6675</v>
      </c>
      <c r="N1066" s="839">
        <v>45870.0</v>
      </c>
      <c r="O1066" s="823"/>
    </row>
    <row r="1067" ht="15.0" customHeight="1">
      <c r="A1067" s="789">
        <v>45818.0</v>
      </c>
      <c r="B1067" s="790" t="s">
        <v>13173</v>
      </c>
      <c r="C1067" s="791" t="s">
        <v>13107</v>
      </c>
      <c r="D1067" s="876" t="s">
        <v>7811</v>
      </c>
      <c r="E1067" s="792" t="str">
        <f>IFERROR(VLOOKUP(D1067,Stock,3,FALSE),"")</f>
        <v>List Kaca Depan Ertiga 2012-2018 SGP</v>
      </c>
      <c r="F1067" s="791">
        <v>1.0</v>
      </c>
      <c r="G1067" s="842">
        <v>80000.0</v>
      </c>
      <c r="H1067" s="811">
        <f t="shared" si="40"/>
        <v>80000</v>
      </c>
      <c r="I1067" s="809"/>
      <c r="J1067" s="819"/>
      <c r="K1067" s="799" t="s">
        <v>4262</v>
      </c>
      <c r="L1067" s="818" t="s">
        <v>12235</v>
      </c>
      <c r="M1067" s="818" t="s">
        <v>13174</v>
      </c>
      <c r="N1067" s="879">
        <v>45936.0</v>
      </c>
      <c r="O1067" s="823"/>
    </row>
    <row r="1068" ht="15.0" customHeight="1">
      <c r="A1068" s="789">
        <v>45818.0</v>
      </c>
      <c r="B1068" s="829" t="s">
        <v>13175</v>
      </c>
      <c r="C1068" s="791" t="s">
        <v>11481</v>
      </c>
      <c r="D1068" s="791" t="s">
        <v>8043</v>
      </c>
      <c r="E1068" s="792" t="str">
        <f>IFERROR(VLOOKUP(D1068,Stock,3,FALSE),"")</f>
        <v>Toyota Innova 04-15 1st Gen (Toyota)</v>
      </c>
      <c r="F1068" s="791">
        <v>1.0</v>
      </c>
      <c r="G1068" s="842">
        <v>333000.0</v>
      </c>
      <c r="H1068" s="811">
        <f t="shared" si="40"/>
        <v>333000</v>
      </c>
      <c r="I1068" s="809"/>
      <c r="J1068" s="819"/>
      <c r="K1068" s="799" t="s">
        <v>4262</v>
      </c>
      <c r="L1068" s="818" t="s">
        <v>12235</v>
      </c>
      <c r="M1068" s="818" t="s">
        <v>6675</v>
      </c>
      <c r="N1068" s="880" t="s">
        <v>13176</v>
      </c>
      <c r="O1068" s="823"/>
    </row>
    <row r="1069" ht="15.0" customHeight="1">
      <c r="A1069" s="789">
        <v>45819.0</v>
      </c>
      <c r="B1069" s="790">
        <v>2506329.0</v>
      </c>
      <c r="C1069" s="791" t="s">
        <v>11484</v>
      </c>
      <c r="D1069" s="791" t="s">
        <v>4901</v>
      </c>
      <c r="E1069" s="792" t="str">
        <f>IFERROR(VLOOKUP(D1069,Stock,3,FALSE),"")</f>
        <v>Toyota Rush / Terios 18-</v>
      </c>
      <c r="F1069" s="791">
        <v>2.0</v>
      </c>
      <c r="G1069" s="842">
        <v>451200.0</v>
      </c>
      <c r="H1069" s="811">
        <f t="shared" si="40"/>
        <v>902400</v>
      </c>
      <c r="I1069" s="809">
        <f t="shared" ref="I1069:I1078" si="57">H1069</f>
        <v>902400</v>
      </c>
      <c r="J1069" s="872">
        <v>45880.0</v>
      </c>
      <c r="K1069" s="799" t="s">
        <v>4262</v>
      </c>
      <c r="L1069" s="818" t="s">
        <v>12235</v>
      </c>
      <c r="M1069" s="818" t="s">
        <v>6675</v>
      </c>
      <c r="N1069" s="839">
        <v>45873.0</v>
      </c>
      <c r="O1069" s="823"/>
    </row>
    <row r="1070" ht="15.0" customHeight="1">
      <c r="A1070" s="789">
        <v>45820.0</v>
      </c>
      <c r="B1070" s="790">
        <v>2506362.0</v>
      </c>
      <c r="C1070" s="791" t="s">
        <v>11484</v>
      </c>
      <c r="D1070" s="791" t="s">
        <v>7757</v>
      </c>
      <c r="E1070" s="792" t="str">
        <f>IFERROR(VLOOKUP(D1070,Stock,3,FALSE),"")</f>
        <v>Toyota Hi-Ace 04-20 Commuter</v>
      </c>
      <c r="F1070" s="791">
        <v>1.0</v>
      </c>
      <c r="G1070" s="842">
        <v>636000.0</v>
      </c>
      <c r="H1070" s="811">
        <f t="shared" si="40"/>
        <v>636000</v>
      </c>
      <c r="I1070" s="809">
        <f t="shared" si="57"/>
        <v>636000</v>
      </c>
      <c r="J1070" s="872">
        <v>45881.0</v>
      </c>
      <c r="K1070" s="799" t="s">
        <v>4262</v>
      </c>
      <c r="L1070" s="818" t="s">
        <v>12235</v>
      </c>
      <c r="M1070" s="818" t="s">
        <v>6675</v>
      </c>
      <c r="N1070" s="839">
        <v>45878.0</v>
      </c>
      <c r="O1070" s="823"/>
    </row>
    <row r="1071" ht="15.0" customHeight="1">
      <c r="A1071" s="789">
        <v>45820.0</v>
      </c>
      <c r="B1071" s="790">
        <v>2506362.0</v>
      </c>
      <c r="C1071" s="791" t="s">
        <v>11484</v>
      </c>
      <c r="D1071" s="791" t="s">
        <v>4895</v>
      </c>
      <c r="E1071" s="792" t="str">
        <f>IFERROR(VLOOKUP(D1071,Stock,3,FALSE),"")</f>
        <v>Toyota Voxy 17-</v>
      </c>
      <c r="F1071" s="791">
        <v>1.0</v>
      </c>
      <c r="G1071" s="842">
        <v>1995600.0</v>
      </c>
      <c r="H1071" s="811">
        <f t="shared" si="40"/>
        <v>1995600</v>
      </c>
      <c r="I1071" s="809">
        <f t="shared" si="57"/>
        <v>1995600</v>
      </c>
      <c r="J1071" s="872">
        <v>45881.0</v>
      </c>
      <c r="K1071" s="799" t="s">
        <v>4262</v>
      </c>
      <c r="L1071" s="818" t="s">
        <v>12235</v>
      </c>
      <c r="M1071" s="818" t="s">
        <v>6675</v>
      </c>
      <c r="N1071" s="839">
        <v>45878.0</v>
      </c>
      <c r="O1071" s="823"/>
    </row>
    <row r="1072" ht="15.0" customHeight="1">
      <c r="A1072" s="789">
        <v>45820.0</v>
      </c>
      <c r="B1072" s="790">
        <v>2506362.0</v>
      </c>
      <c r="C1072" s="791" t="s">
        <v>11484</v>
      </c>
      <c r="D1072" s="791" t="s">
        <v>2591</v>
      </c>
      <c r="E1072" s="792" t="str">
        <f>IFERROR(VLOOKUP(D1072,Stock,3,FALSE),"")</f>
        <v>Nissan Serena 10-19 MKIV C26</v>
      </c>
      <c r="F1072" s="791">
        <v>1.0</v>
      </c>
      <c r="G1072" s="842">
        <v>1412400.0</v>
      </c>
      <c r="H1072" s="811">
        <f t="shared" si="40"/>
        <v>1412400</v>
      </c>
      <c r="I1072" s="809">
        <f t="shared" si="57"/>
        <v>1412400</v>
      </c>
      <c r="J1072" s="872">
        <v>45881.0</v>
      </c>
      <c r="K1072" s="799" t="s">
        <v>4262</v>
      </c>
      <c r="L1072" s="818" t="s">
        <v>12235</v>
      </c>
      <c r="M1072" s="818" t="s">
        <v>6675</v>
      </c>
      <c r="N1072" s="839">
        <v>45878.0</v>
      </c>
      <c r="O1072" s="823"/>
    </row>
    <row r="1073" ht="15.0" customHeight="1">
      <c r="A1073" s="789">
        <v>45693.0</v>
      </c>
      <c r="B1073" s="90" t="s">
        <v>13177</v>
      </c>
      <c r="C1073" s="791" t="s">
        <v>3091</v>
      </c>
      <c r="D1073" s="791" t="s">
        <v>2655</v>
      </c>
      <c r="E1073" s="792" t="str">
        <f>IFERROR(VLOOKUP(D1073,Stock,3,FALSE),"")</f>
        <v>Ford EcoSport 13- B515</v>
      </c>
      <c r="F1073" s="791">
        <v>1.0</v>
      </c>
      <c r="G1073" s="842">
        <v>858520.35</v>
      </c>
      <c r="H1073" s="811">
        <f t="shared" si="40"/>
        <v>858520.35</v>
      </c>
      <c r="I1073" s="809">
        <f t="shared" si="57"/>
        <v>858520.35</v>
      </c>
      <c r="J1073" s="819"/>
      <c r="K1073" s="799" t="s">
        <v>4262</v>
      </c>
      <c r="L1073" s="818" t="s">
        <v>12235</v>
      </c>
      <c r="M1073" s="818" t="s">
        <v>6675</v>
      </c>
      <c r="N1073" s="839">
        <v>45870.0</v>
      </c>
      <c r="O1073" s="823"/>
    </row>
    <row r="1074" ht="15.0" customHeight="1">
      <c r="A1074" s="789">
        <v>45825.0</v>
      </c>
      <c r="B1074" s="790">
        <v>2506524.0</v>
      </c>
      <c r="C1074" s="791" t="s">
        <v>11484</v>
      </c>
      <c r="D1074" s="791" t="s">
        <v>8070</v>
      </c>
      <c r="E1074" s="792" t="str">
        <f>IFERROR(VLOOKUP(D1074,Stock,3,FALSE),"")</f>
        <v>Honda City 08-13 5th Gen (All New) RS</v>
      </c>
      <c r="F1074" s="791">
        <v>1.0</v>
      </c>
      <c r="G1074" s="842">
        <v>784800.0</v>
      </c>
      <c r="H1074" s="811">
        <f t="shared" si="40"/>
        <v>784800</v>
      </c>
      <c r="I1074" s="809">
        <f t="shared" si="57"/>
        <v>784800</v>
      </c>
      <c r="J1074" s="872">
        <v>45886.0</v>
      </c>
      <c r="K1074" s="799" t="s">
        <v>4262</v>
      </c>
      <c r="L1074" s="818" t="s">
        <v>12235</v>
      </c>
      <c r="M1074" s="818" t="s">
        <v>6675</v>
      </c>
      <c r="N1074" s="839">
        <v>45878.0</v>
      </c>
      <c r="O1074" s="823"/>
    </row>
    <row r="1075" ht="15.0" customHeight="1">
      <c r="A1075" s="789">
        <v>45825.0</v>
      </c>
      <c r="B1075" s="790">
        <v>2506556.0</v>
      </c>
      <c r="C1075" s="791" t="s">
        <v>11484</v>
      </c>
      <c r="D1075" s="791" t="s">
        <v>6553</v>
      </c>
      <c r="E1075" s="792" t="str">
        <f>IFERROR(VLOOKUP(D1075,Stock,3,FALSE),"")</f>
        <v>Hino Ranger Louhan 03- / Hino 500</v>
      </c>
      <c r="F1075" s="791">
        <v>1.0</v>
      </c>
      <c r="G1075" s="842">
        <v>942600.0</v>
      </c>
      <c r="H1075" s="811">
        <f t="shared" si="40"/>
        <v>942600</v>
      </c>
      <c r="I1075" s="809">
        <f t="shared" si="57"/>
        <v>942600</v>
      </c>
      <c r="J1075" s="872">
        <v>45886.0</v>
      </c>
      <c r="K1075" s="799" t="s">
        <v>4262</v>
      </c>
      <c r="L1075" s="818" t="s">
        <v>12235</v>
      </c>
      <c r="M1075" s="818" t="s">
        <v>6675</v>
      </c>
      <c r="N1075" s="839">
        <v>45878.0</v>
      </c>
      <c r="O1075" s="823"/>
    </row>
    <row r="1076" ht="15.0" customHeight="1">
      <c r="A1076" s="789">
        <v>45828.0</v>
      </c>
      <c r="B1076" s="790">
        <v>2506694.0</v>
      </c>
      <c r="C1076" s="791" t="s">
        <v>11484</v>
      </c>
      <c r="D1076" s="791" t="s">
        <v>3186</v>
      </c>
      <c r="E1076" s="792" t="str">
        <f>IFERROR(VLOOKUP(D1076,Stock,3,FALSE),"")</f>
        <v>Daihatsu Gran Max / Luxio 07-</v>
      </c>
      <c r="F1076" s="791">
        <v>2.0</v>
      </c>
      <c r="G1076" s="842">
        <v>513000.0</v>
      </c>
      <c r="H1076" s="811">
        <f t="shared" si="40"/>
        <v>1026000</v>
      </c>
      <c r="I1076" s="809">
        <f t="shared" si="57"/>
        <v>1026000</v>
      </c>
      <c r="J1076" s="872">
        <v>45889.0</v>
      </c>
      <c r="K1076" s="799" t="s">
        <v>4262</v>
      </c>
      <c r="L1076" s="818" t="s">
        <v>12235</v>
      </c>
      <c r="M1076" s="818" t="s">
        <v>6675</v>
      </c>
      <c r="N1076" s="839">
        <v>45878.0</v>
      </c>
      <c r="O1076" s="823"/>
    </row>
    <row r="1077" ht="15.0" customHeight="1">
      <c r="A1077" s="789">
        <v>45828.0</v>
      </c>
      <c r="B1077" s="790">
        <v>2506694.0</v>
      </c>
      <c r="C1077" s="791" t="s">
        <v>11484</v>
      </c>
      <c r="D1077" s="791" t="s">
        <v>8623</v>
      </c>
      <c r="E1077" s="792" t="str">
        <f>IFERROR(VLOOKUP(D1077,Stock,3,FALSE),"")</f>
        <v>Daihatsu Gran Max / Luxio 07-</v>
      </c>
      <c r="F1077" s="791">
        <v>3.0</v>
      </c>
      <c r="G1077" s="842">
        <v>513000.0</v>
      </c>
      <c r="H1077" s="811">
        <f t="shared" si="40"/>
        <v>1539000</v>
      </c>
      <c r="I1077" s="809">
        <f t="shared" si="57"/>
        <v>1539000</v>
      </c>
      <c r="J1077" s="872">
        <v>45889.0</v>
      </c>
      <c r="K1077" s="799" t="s">
        <v>4262</v>
      </c>
      <c r="L1077" s="818" t="s">
        <v>12235</v>
      </c>
      <c r="M1077" s="818" t="s">
        <v>6675</v>
      </c>
      <c r="N1077" s="839">
        <v>45878.0</v>
      </c>
      <c r="O1077" s="823"/>
    </row>
    <row r="1078" ht="15.0" customHeight="1">
      <c r="A1078" s="789">
        <v>45828.0</v>
      </c>
      <c r="B1078" s="790">
        <v>2506694.0</v>
      </c>
      <c r="C1078" s="791" t="s">
        <v>11484</v>
      </c>
      <c r="D1078" s="791" t="s">
        <v>3313</v>
      </c>
      <c r="E1078" s="792" t="str">
        <f>IFERROR(VLOOKUP(D1078,Stock,3,FALSE),"")</f>
        <v>Toyota Avanza / Xenia 21- 4th Gen (Non sensor)</v>
      </c>
      <c r="F1078" s="791">
        <v>2.0</v>
      </c>
      <c r="G1078" s="842">
        <v>714000.0</v>
      </c>
      <c r="H1078" s="811">
        <f t="shared" si="40"/>
        <v>1428000</v>
      </c>
      <c r="I1078" s="809">
        <f t="shared" si="57"/>
        <v>1428000</v>
      </c>
      <c r="J1078" s="872">
        <v>45889.0</v>
      </c>
      <c r="K1078" s="799" t="s">
        <v>4262</v>
      </c>
      <c r="L1078" s="818" t="s">
        <v>12235</v>
      </c>
      <c r="M1078" s="818" t="s">
        <v>6675</v>
      </c>
      <c r="N1078" s="839">
        <v>45878.0</v>
      </c>
      <c r="O1078" s="823"/>
    </row>
    <row r="1079" ht="15.0" customHeight="1">
      <c r="A1079" s="789">
        <v>45831.0</v>
      </c>
      <c r="B1079" s="829" t="s">
        <v>13178</v>
      </c>
      <c r="C1079" s="791" t="s">
        <v>13107</v>
      </c>
      <c r="D1079" s="791" t="s">
        <v>8150</v>
      </c>
      <c r="E1079" s="792" t="str">
        <f>IFERROR(VLOOKUP(D1079,Stock,3,FALSE),"")</f>
        <v>Suzuki Ertiga 18- 2nd Gen / XL7 (Suzuki)</v>
      </c>
      <c r="F1079" s="791">
        <v>1.0</v>
      </c>
      <c r="G1079" s="842">
        <v>985000.0</v>
      </c>
      <c r="H1079" s="811">
        <f t="shared" si="40"/>
        <v>985000</v>
      </c>
      <c r="I1079" s="809"/>
      <c r="J1079" s="819"/>
      <c r="K1079" s="799" t="s">
        <v>4262</v>
      </c>
      <c r="L1079" s="818" t="s">
        <v>12235</v>
      </c>
      <c r="M1079" s="818" t="s">
        <v>6675</v>
      </c>
      <c r="N1079" s="818" t="s">
        <v>13179</v>
      </c>
      <c r="O1079" s="823"/>
    </row>
    <row r="1080" ht="15.0" customHeight="1">
      <c r="A1080" s="789">
        <v>45831.0</v>
      </c>
      <c r="B1080" s="790">
        <v>2506737.0</v>
      </c>
      <c r="C1080" s="791" t="s">
        <v>11484</v>
      </c>
      <c r="D1080" s="791" t="s">
        <v>8175</v>
      </c>
      <c r="E1080" s="792" t="str">
        <f>IFERROR(VLOOKUP(D1080,Stock,3,FALSE),"")</f>
        <v>Hyundai Trajet 00-08</v>
      </c>
      <c r="F1080" s="791">
        <v>1.0</v>
      </c>
      <c r="G1080" s="842">
        <v>720000.0</v>
      </c>
      <c r="H1080" s="811">
        <f t="shared" si="40"/>
        <v>720000</v>
      </c>
      <c r="I1080" s="809">
        <f t="shared" ref="I1080:I1082" si="58">H1080</f>
        <v>720000</v>
      </c>
      <c r="J1080" s="872">
        <v>45892.0</v>
      </c>
      <c r="K1080" s="799" t="s">
        <v>4262</v>
      </c>
      <c r="L1080" s="818" t="s">
        <v>12235</v>
      </c>
      <c r="M1080" s="818" t="s">
        <v>6675</v>
      </c>
      <c r="N1080" s="839">
        <v>45878.0</v>
      </c>
      <c r="O1080" s="823"/>
    </row>
    <row r="1081" ht="15.0" customHeight="1">
      <c r="A1081" s="789">
        <v>45831.0</v>
      </c>
      <c r="B1081" s="790">
        <v>2506737.0</v>
      </c>
      <c r="C1081" s="791" t="s">
        <v>11484</v>
      </c>
      <c r="D1081" s="791" t="s">
        <v>6553</v>
      </c>
      <c r="E1081" s="792" t="str">
        <f>IFERROR(VLOOKUP(D1081,Stock,3,FALSE),"")</f>
        <v>Hino Ranger Louhan 03- / Hino 500</v>
      </c>
      <c r="F1081" s="791">
        <v>1.0</v>
      </c>
      <c r="G1081" s="842">
        <v>942600.0</v>
      </c>
      <c r="H1081" s="811">
        <f t="shared" si="40"/>
        <v>942600</v>
      </c>
      <c r="I1081" s="809">
        <f t="shared" si="58"/>
        <v>942600</v>
      </c>
      <c r="J1081" s="872">
        <v>45892.0</v>
      </c>
      <c r="K1081" s="799" t="s">
        <v>4262</v>
      </c>
      <c r="L1081" s="818" t="s">
        <v>12235</v>
      </c>
      <c r="M1081" s="818" t="s">
        <v>6675</v>
      </c>
      <c r="N1081" s="839">
        <v>45878.0</v>
      </c>
      <c r="O1081" s="823"/>
    </row>
    <row r="1082" ht="15.0" customHeight="1">
      <c r="A1082" s="789">
        <v>45836.0</v>
      </c>
      <c r="B1082" s="829" t="s">
        <v>13180</v>
      </c>
      <c r="C1082" s="791" t="s">
        <v>13181</v>
      </c>
      <c r="D1082" s="791" t="s">
        <v>8212</v>
      </c>
      <c r="E1082" s="792" t="str">
        <f>IFERROR(VLOOKUP(D1082,Stock,3,FALSE),"")</f>
        <v>Hyundai Getz 02-11</v>
      </c>
      <c r="F1082" s="791">
        <v>1.0</v>
      </c>
      <c r="G1082" s="842">
        <v>1550000.0</v>
      </c>
      <c r="H1082" s="811">
        <f t="shared" si="40"/>
        <v>1550000</v>
      </c>
      <c r="I1082" s="809">
        <f t="shared" si="58"/>
        <v>1550000</v>
      </c>
      <c r="J1082" s="872">
        <v>45892.0</v>
      </c>
      <c r="K1082" s="799" t="s">
        <v>4262</v>
      </c>
      <c r="L1082" s="818" t="s">
        <v>12235</v>
      </c>
      <c r="M1082" s="818" t="s">
        <v>6675</v>
      </c>
      <c r="N1082" s="818" t="s">
        <v>13182</v>
      </c>
      <c r="O1082" s="823"/>
    </row>
    <row r="1083" ht="15.0" customHeight="1">
      <c r="A1083" s="789">
        <v>45836.0</v>
      </c>
      <c r="B1083" s="790" t="s">
        <v>13183</v>
      </c>
      <c r="C1083" s="791" t="s">
        <v>13022</v>
      </c>
      <c r="D1083" s="791" t="s">
        <v>8224</v>
      </c>
      <c r="E1083" s="792" t="str">
        <f>IFERROR(VLOOKUP(D1083,Stock,3,FALSE),"")</f>
        <v>Toyota Calya /  Sigra 16- (Toyota/Daihatsu)</v>
      </c>
      <c r="F1083" s="791">
        <v>1.0</v>
      </c>
      <c r="G1083" s="842">
        <v>715500.0</v>
      </c>
      <c r="H1083" s="811">
        <f t="shared" si="40"/>
        <v>715500</v>
      </c>
      <c r="I1083" s="809"/>
      <c r="J1083" s="819"/>
      <c r="K1083" s="799" t="s">
        <v>4262</v>
      </c>
      <c r="L1083" s="818" t="s">
        <v>12235</v>
      </c>
      <c r="M1083" s="818" t="s">
        <v>6675</v>
      </c>
      <c r="N1083" s="818" t="s">
        <v>13182</v>
      </c>
      <c r="O1083" s="823"/>
    </row>
    <row r="1084" ht="15.0" customHeight="1">
      <c r="A1084" s="789">
        <v>45838.0</v>
      </c>
      <c r="B1084" s="790" t="s">
        <v>13184</v>
      </c>
      <c r="C1084" s="791" t="s">
        <v>12932</v>
      </c>
      <c r="D1084" s="791" t="s">
        <v>6686</v>
      </c>
      <c r="E1084" s="792" t="str">
        <f>IFERROR(VLOOKUP(D1084,Stock,3,FALSE),"")</f>
        <v>Daihatsu Gran Max / Luxio 07-</v>
      </c>
      <c r="F1084" s="791">
        <v>5.0</v>
      </c>
      <c r="G1084" s="842">
        <v>112200.0</v>
      </c>
      <c r="H1084" s="811">
        <f t="shared" si="40"/>
        <v>561000</v>
      </c>
      <c r="I1084" s="809">
        <f t="shared" ref="I1084:I1086" si="59">H1084</f>
        <v>561000</v>
      </c>
      <c r="J1084" s="872">
        <v>45899.0</v>
      </c>
      <c r="K1084" s="799" t="s">
        <v>4262</v>
      </c>
      <c r="L1084" s="818" t="s">
        <v>12235</v>
      </c>
      <c r="M1084" s="874" t="s">
        <v>6675</v>
      </c>
      <c r="N1084" s="839">
        <v>45870.0</v>
      </c>
      <c r="O1084" s="823"/>
    </row>
    <row r="1085" ht="15.0" customHeight="1">
      <c r="A1085" s="789">
        <v>45838.0</v>
      </c>
      <c r="B1085" s="790" t="s">
        <v>13184</v>
      </c>
      <c r="C1085" s="791" t="s">
        <v>12932</v>
      </c>
      <c r="D1085" s="791" t="s">
        <v>6687</v>
      </c>
      <c r="E1085" s="792" t="str">
        <f>IFERROR(VLOOKUP(D1085,Stock,3,FALSE),"")</f>
        <v>Daihatsu Gran Max / Luxio 07-</v>
      </c>
      <c r="F1085" s="791">
        <v>5.0</v>
      </c>
      <c r="G1085" s="842">
        <v>112200.0</v>
      </c>
      <c r="H1085" s="811">
        <f t="shared" si="40"/>
        <v>561000</v>
      </c>
      <c r="I1085" s="809">
        <f t="shared" si="59"/>
        <v>561000</v>
      </c>
      <c r="J1085" s="872">
        <v>45899.0</v>
      </c>
      <c r="K1085" s="799" t="s">
        <v>4262</v>
      </c>
      <c r="L1085" s="818" t="s">
        <v>12235</v>
      </c>
      <c r="M1085" s="874" t="s">
        <v>6675</v>
      </c>
      <c r="N1085" s="839">
        <v>45870.0</v>
      </c>
      <c r="O1085" s="823"/>
    </row>
    <row r="1086" ht="15.0" customHeight="1">
      <c r="A1086" s="789">
        <v>45838.0</v>
      </c>
      <c r="B1086" s="790" t="s">
        <v>13184</v>
      </c>
      <c r="C1086" s="791" t="s">
        <v>12932</v>
      </c>
      <c r="D1086" s="791" t="s">
        <v>5598</v>
      </c>
      <c r="E1086" s="792" t="str">
        <f>IFERROR(VLOOKUP(D1086,Stock,3,FALSE),"")</f>
        <v>Toyota Avanza / Xenia 11-15 2nd Gen / 15-21 3rd Gen</v>
      </c>
      <c r="F1086" s="791">
        <v>5.0</v>
      </c>
      <c r="G1086" s="842">
        <v>106250.0</v>
      </c>
      <c r="H1086" s="811">
        <f t="shared" si="40"/>
        <v>531250</v>
      </c>
      <c r="I1086" s="809">
        <f t="shared" si="59"/>
        <v>531250</v>
      </c>
      <c r="J1086" s="872">
        <v>45899.0</v>
      </c>
      <c r="K1086" s="799" t="s">
        <v>4262</v>
      </c>
      <c r="L1086" s="818" t="s">
        <v>12235</v>
      </c>
      <c r="M1086" s="874" t="s">
        <v>6675</v>
      </c>
      <c r="N1086" s="839">
        <v>45870.0</v>
      </c>
      <c r="O1086" s="823"/>
    </row>
    <row r="1087" ht="15.0" customHeight="1">
      <c r="A1087" s="789">
        <v>45838.0</v>
      </c>
      <c r="B1087" s="790" t="s">
        <v>13185</v>
      </c>
      <c r="C1087" s="791" t="s">
        <v>13022</v>
      </c>
      <c r="D1087" s="791" t="s">
        <v>2753</v>
      </c>
      <c r="E1087" s="792" t="str">
        <f>IFERROR(VLOOKUP(D1087,Stock,3,FALSE),"")</f>
        <v>Daihatsu Luxio 07-</v>
      </c>
      <c r="F1087" s="791">
        <v>1.0</v>
      </c>
      <c r="G1087" s="842">
        <v>301500.0</v>
      </c>
      <c r="H1087" s="811">
        <f t="shared" si="40"/>
        <v>301500</v>
      </c>
      <c r="I1087" s="809"/>
      <c r="J1087" s="819"/>
      <c r="K1087" s="799" t="s">
        <v>4262</v>
      </c>
      <c r="L1087" s="818" t="s">
        <v>12235</v>
      </c>
      <c r="M1087" s="818" t="s">
        <v>6675</v>
      </c>
      <c r="N1087" s="839">
        <v>45838.0</v>
      </c>
      <c r="O1087" s="823"/>
    </row>
    <row r="1088" ht="15.0" customHeight="1">
      <c r="A1088" s="789">
        <v>45838.0</v>
      </c>
      <c r="B1088" s="790" t="s">
        <v>13185</v>
      </c>
      <c r="C1088" s="791" t="s">
        <v>13022</v>
      </c>
      <c r="D1088" s="791" t="s">
        <v>13186</v>
      </c>
      <c r="E1088" s="792" t="str">
        <f>IFERROR(VLOOKUP(D1088,Stock,3,FALSE),"")</f>
        <v>Toyota Raize / Daihatsu Rocky 20- (Toyota/Daihatsu)</v>
      </c>
      <c r="F1088" s="791">
        <v>1.0</v>
      </c>
      <c r="G1088" s="842">
        <v>207000.0</v>
      </c>
      <c r="H1088" s="811">
        <f t="shared" si="40"/>
        <v>207000</v>
      </c>
      <c r="I1088" s="809"/>
      <c r="J1088" s="819"/>
      <c r="K1088" s="799" t="s">
        <v>4262</v>
      </c>
      <c r="L1088" s="818" t="s">
        <v>12235</v>
      </c>
      <c r="M1088" s="818" t="s">
        <v>6675</v>
      </c>
      <c r="N1088" s="839">
        <v>45838.0</v>
      </c>
      <c r="O1088" s="823"/>
    </row>
    <row r="1089" ht="15.0" customHeight="1">
      <c r="A1089" s="789">
        <v>45838.0</v>
      </c>
      <c r="B1089" s="790" t="s">
        <v>13185</v>
      </c>
      <c r="C1089" s="791" t="s">
        <v>13022</v>
      </c>
      <c r="D1089" s="791" t="s">
        <v>10836</v>
      </c>
      <c r="E1089" s="792" t="str">
        <f>IFERROR(VLOOKUP(D1089,Stock,3,FALSE),"")</f>
        <v>Toyota Raize / Daihatsu Rocky 20- (Toyota/Daihatsu)</v>
      </c>
      <c r="F1089" s="791">
        <v>1.0</v>
      </c>
      <c r="G1089" s="842">
        <v>207000.0</v>
      </c>
      <c r="H1089" s="811">
        <f t="shared" si="40"/>
        <v>207000</v>
      </c>
      <c r="I1089" s="809"/>
      <c r="J1089" s="819"/>
      <c r="K1089" s="799" t="s">
        <v>4262</v>
      </c>
      <c r="L1089" s="818" t="s">
        <v>12235</v>
      </c>
      <c r="M1089" s="818" t="s">
        <v>6675</v>
      </c>
      <c r="N1089" s="839">
        <v>45838.0</v>
      </c>
      <c r="O1089" s="823"/>
    </row>
    <row r="1090" ht="15.0" customHeight="1">
      <c r="A1090" s="789">
        <v>45839.0</v>
      </c>
      <c r="B1090" s="790">
        <v>2507035.0</v>
      </c>
      <c r="C1090" s="791" t="s">
        <v>11484</v>
      </c>
      <c r="D1090" s="791" t="s">
        <v>4942</v>
      </c>
      <c r="E1090" s="792" t="str">
        <f>IFERROR(VLOOKUP(D1090,Stock,3,FALSE),"")</f>
        <v>Mazda Biante 08- (Hitam)</v>
      </c>
      <c r="F1090" s="791">
        <v>1.0</v>
      </c>
      <c r="G1090" s="842">
        <v>1701150.0</v>
      </c>
      <c r="H1090" s="811">
        <f t="shared" si="40"/>
        <v>1701150</v>
      </c>
      <c r="I1090" s="809">
        <f t="shared" ref="I1090:I1095" si="60">H1090</f>
        <v>1701150</v>
      </c>
      <c r="J1090" s="872">
        <v>45901.0</v>
      </c>
      <c r="K1090" s="799" t="s">
        <v>4262</v>
      </c>
      <c r="L1090" s="818" t="s">
        <v>12235</v>
      </c>
      <c r="M1090" s="818" t="s">
        <v>6675</v>
      </c>
      <c r="N1090" s="839">
        <v>45892.0</v>
      </c>
      <c r="O1090" s="823"/>
    </row>
    <row r="1091" ht="15.0" customHeight="1">
      <c r="A1091" s="789">
        <v>45839.0</v>
      </c>
      <c r="B1091" s="790">
        <v>2507035.0</v>
      </c>
      <c r="C1091" s="791" t="s">
        <v>11484</v>
      </c>
      <c r="D1091" s="791" t="s">
        <v>3099</v>
      </c>
      <c r="E1091" s="792" t="str">
        <f>IFERROR(VLOOKUP(D1091,Stock,3,FALSE),"")</f>
        <v>Toyota Calya / Sigra 16-</v>
      </c>
      <c r="F1091" s="791">
        <v>2.0</v>
      </c>
      <c r="G1091" s="842">
        <v>505450.0</v>
      </c>
      <c r="H1091" s="811">
        <f t="shared" si="40"/>
        <v>1010900</v>
      </c>
      <c r="I1091" s="809">
        <f t="shared" si="60"/>
        <v>1010900</v>
      </c>
      <c r="J1091" s="872">
        <v>45901.0</v>
      </c>
      <c r="K1091" s="799" t="s">
        <v>4262</v>
      </c>
      <c r="L1091" s="818" t="s">
        <v>12235</v>
      </c>
      <c r="M1091" s="818" t="s">
        <v>6675</v>
      </c>
      <c r="N1091" s="839">
        <v>45892.0</v>
      </c>
      <c r="O1091" s="823"/>
    </row>
    <row r="1092" ht="15.0" customHeight="1">
      <c r="A1092" s="789">
        <v>45839.0</v>
      </c>
      <c r="B1092" s="790">
        <v>2507027.0</v>
      </c>
      <c r="C1092" s="791" t="s">
        <v>11484</v>
      </c>
      <c r="D1092" s="791" t="s">
        <v>2779</v>
      </c>
      <c r="E1092" s="792" t="str">
        <f>IFERROR(VLOOKUP(D1092,Stock,3,FALSE),"")</f>
        <v>Toyota Hi-Ace 04-20 Commuter With Frame</v>
      </c>
      <c r="F1092" s="791">
        <v>1.0</v>
      </c>
      <c r="G1092" s="842">
        <v>1427250.0</v>
      </c>
      <c r="H1092" s="811">
        <f t="shared" si="40"/>
        <v>1427250</v>
      </c>
      <c r="I1092" s="809">
        <f t="shared" si="60"/>
        <v>1427250</v>
      </c>
      <c r="J1092" s="872">
        <v>45901.0</v>
      </c>
      <c r="K1092" s="799" t="s">
        <v>4262</v>
      </c>
      <c r="L1092" s="818" t="s">
        <v>12235</v>
      </c>
      <c r="M1092" s="818" t="s">
        <v>6675</v>
      </c>
      <c r="N1092" s="839">
        <v>45892.0</v>
      </c>
      <c r="O1092" s="823"/>
    </row>
    <row r="1093" ht="15.0" customHeight="1">
      <c r="A1093" s="789">
        <v>45839.0</v>
      </c>
      <c r="B1093" s="790">
        <v>2507027.0</v>
      </c>
      <c r="C1093" s="791" t="s">
        <v>11484</v>
      </c>
      <c r="D1093" s="791" t="s">
        <v>3099</v>
      </c>
      <c r="E1093" s="792" t="str">
        <f>IFERROR(VLOOKUP(D1093,Stock,3,FALSE),"")</f>
        <v>Toyota Calya / Sigra 16-</v>
      </c>
      <c r="F1093" s="791">
        <v>3.0</v>
      </c>
      <c r="G1093" s="842">
        <v>505450.0</v>
      </c>
      <c r="H1093" s="811">
        <f t="shared" si="40"/>
        <v>1516350</v>
      </c>
      <c r="I1093" s="809">
        <f t="shared" si="60"/>
        <v>1516350</v>
      </c>
      <c r="J1093" s="872">
        <v>45901.0</v>
      </c>
      <c r="K1093" s="799" t="s">
        <v>4262</v>
      </c>
      <c r="L1093" s="818" t="s">
        <v>12235</v>
      </c>
      <c r="M1093" s="818" t="s">
        <v>6675</v>
      </c>
      <c r="N1093" s="839">
        <v>45892.0</v>
      </c>
      <c r="O1093" s="823"/>
    </row>
    <row r="1094" ht="15.0" customHeight="1">
      <c r="A1094" s="789">
        <v>45839.0</v>
      </c>
      <c r="B1094" s="790">
        <v>2507027.0</v>
      </c>
      <c r="C1094" s="791" t="s">
        <v>11484</v>
      </c>
      <c r="D1094" s="791" t="s">
        <v>2695</v>
      </c>
      <c r="E1094" s="792" t="str">
        <f>IFERROR(VLOOKUP(D1094,Stock,3,FALSE),"")</f>
        <v>Honda Accord 93-98 SV4 5th Gen (Cielo)</v>
      </c>
      <c r="F1094" s="791">
        <v>1.0</v>
      </c>
      <c r="G1094" s="842">
        <v>799150.0</v>
      </c>
      <c r="H1094" s="811">
        <f t="shared" si="40"/>
        <v>799150</v>
      </c>
      <c r="I1094" s="809">
        <f t="shared" si="60"/>
        <v>799150</v>
      </c>
      <c r="J1094" s="872">
        <v>45901.0</v>
      </c>
      <c r="K1094" s="799" t="s">
        <v>4262</v>
      </c>
      <c r="L1094" s="818" t="s">
        <v>12235</v>
      </c>
      <c r="M1094" s="818" t="s">
        <v>6675</v>
      </c>
      <c r="N1094" s="839">
        <v>45892.0</v>
      </c>
      <c r="O1094" s="823"/>
    </row>
    <row r="1095" ht="15.0" customHeight="1">
      <c r="A1095" s="789">
        <v>45839.0</v>
      </c>
      <c r="B1095" s="790">
        <v>2507027.0</v>
      </c>
      <c r="C1095" s="791" t="s">
        <v>11484</v>
      </c>
      <c r="D1095" s="791" t="s">
        <v>5892</v>
      </c>
      <c r="E1095" s="792" t="str">
        <f>IFERROR(VLOOKUP(D1095,Stock,3,FALSE),"")</f>
        <v>Tata Superace 11-</v>
      </c>
      <c r="F1095" s="791">
        <v>1.0</v>
      </c>
      <c r="G1095" s="842">
        <v>594000.0</v>
      </c>
      <c r="H1095" s="811">
        <f t="shared" si="40"/>
        <v>594000</v>
      </c>
      <c r="I1095" s="809">
        <f t="shared" si="60"/>
        <v>594000</v>
      </c>
      <c r="J1095" s="872">
        <v>45901.0</v>
      </c>
      <c r="K1095" s="799" t="s">
        <v>4262</v>
      </c>
      <c r="L1095" s="818" t="s">
        <v>12235</v>
      </c>
      <c r="M1095" s="818" t="s">
        <v>6675</v>
      </c>
      <c r="N1095" s="839">
        <v>45892.0</v>
      </c>
      <c r="O1095" s="823"/>
    </row>
    <row r="1096" ht="15.0" customHeight="1">
      <c r="A1096" s="789">
        <v>45840.0</v>
      </c>
      <c r="B1096" s="790" t="s">
        <v>13187</v>
      </c>
      <c r="C1096" s="791" t="s">
        <v>13145</v>
      </c>
      <c r="D1096" s="791" t="s">
        <v>8271</v>
      </c>
      <c r="E1096" s="792" t="str">
        <f>IFERROR(VLOOKUP(D1096,Stock,3,FALSE),"")</f>
        <v>Honda BR-V 16-21 (Honda)</v>
      </c>
      <c r="F1096" s="791">
        <v>1.0</v>
      </c>
      <c r="G1096" s="842">
        <v>1325000.0</v>
      </c>
      <c r="H1096" s="811">
        <f t="shared" si="40"/>
        <v>1325000</v>
      </c>
      <c r="I1096" s="809"/>
      <c r="J1096" s="819"/>
      <c r="K1096" s="799" t="s">
        <v>4262</v>
      </c>
      <c r="L1096" s="818" t="s">
        <v>12235</v>
      </c>
      <c r="M1096" s="818" t="s">
        <v>6675</v>
      </c>
      <c r="N1096" s="839">
        <v>45840.0</v>
      </c>
      <c r="O1096" s="823"/>
    </row>
    <row r="1097" ht="15.0" customHeight="1">
      <c r="A1097" s="789">
        <v>45840.0</v>
      </c>
      <c r="B1097" s="790" t="s">
        <v>13188</v>
      </c>
      <c r="C1097" s="791" t="s">
        <v>28</v>
      </c>
      <c r="D1097" s="791" t="s">
        <v>13189</v>
      </c>
      <c r="E1097" s="792" t="str">
        <f>IFERROR(VLOOKUP(D1097,Stock,3,FALSE),"")</f>
        <v/>
      </c>
      <c r="F1097" s="791">
        <v>24.0</v>
      </c>
      <c r="G1097" s="842">
        <v>28000.0</v>
      </c>
      <c r="H1097" s="811">
        <f t="shared" si="40"/>
        <v>672000</v>
      </c>
      <c r="I1097" s="809">
        <f t="shared" ref="I1097:I1099" si="61">H1097</f>
        <v>672000</v>
      </c>
      <c r="J1097" s="819"/>
      <c r="K1097" s="799" t="s">
        <v>4281</v>
      </c>
      <c r="L1097" s="818" t="s">
        <v>12235</v>
      </c>
      <c r="M1097" s="818" t="s">
        <v>6675</v>
      </c>
      <c r="N1097" s="839">
        <v>45840.0</v>
      </c>
      <c r="O1097" s="823"/>
    </row>
    <row r="1098" ht="15.0" customHeight="1">
      <c r="A1098" s="789">
        <v>45841.0</v>
      </c>
      <c r="B1098" s="790" t="s">
        <v>13190</v>
      </c>
      <c r="C1098" s="791" t="s">
        <v>12932</v>
      </c>
      <c r="D1098" s="791" t="s">
        <v>2847</v>
      </c>
      <c r="E1098" s="792" t="str">
        <f>IFERROR(VLOOKUP(D1098,Stock,3,FALSE),"")</f>
        <v>Honda BR-V 22-</v>
      </c>
      <c r="F1098" s="791">
        <v>5.0</v>
      </c>
      <c r="G1098" s="842">
        <v>610300.0</v>
      </c>
      <c r="H1098" s="811">
        <f t="shared" si="40"/>
        <v>3051500</v>
      </c>
      <c r="I1098" s="809">
        <f t="shared" si="61"/>
        <v>3051500</v>
      </c>
      <c r="J1098" s="872">
        <v>45903.0</v>
      </c>
      <c r="K1098" s="799" t="s">
        <v>4262</v>
      </c>
      <c r="L1098" s="818" t="s">
        <v>12235</v>
      </c>
      <c r="M1098" s="818" t="s">
        <v>6675</v>
      </c>
      <c r="N1098" s="839">
        <v>45871.0</v>
      </c>
      <c r="O1098" s="823"/>
    </row>
    <row r="1099" ht="15.0" customHeight="1">
      <c r="A1099" s="789">
        <v>45841.0</v>
      </c>
      <c r="B1099" s="790" t="s">
        <v>13190</v>
      </c>
      <c r="C1099" s="791" t="s">
        <v>12932</v>
      </c>
      <c r="D1099" s="791" t="s">
        <v>2661</v>
      </c>
      <c r="E1099" s="792" t="str">
        <f>IFERROR(VLOOKUP(D1099,Stock,3,FALSE),"")</f>
        <v>Isuzu Panther 00- 2nd Gen (Isuzu)</v>
      </c>
      <c r="F1099" s="791">
        <v>5.0</v>
      </c>
      <c r="G1099" s="842">
        <v>600949.5</v>
      </c>
      <c r="H1099" s="811">
        <f t="shared" si="40"/>
        <v>3004747.5</v>
      </c>
      <c r="I1099" s="809">
        <f t="shared" si="61"/>
        <v>3004747.5</v>
      </c>
      <c r="J1099" s="872">
        <v>45903.0</v>
      </c>
      <c r="K1099" s="799" t="s">
        <v>4262</v>
      </c>
      <c r="L1099" s="818" t="s">
        <v>12235</v>
      </c>
      <c r="M1099" s="818" t="s">
        <v>6675</v>
      </c>
      <c r="N1099" s="839">
        <v>45871.0</v>
      </c>
      <c r="O1099" s="823"/>
    </row>
    <row r="1100" ht="15.0" customHeight="1">
      <c r="A1100" s="789">
        <v>45843.0</v>
      </c>
      <c r="B1100" s="790" t="s">
        <v>13191</v>
      </c>
      <c r="C1100" s="791" t="s">
        <v>13022</v>
      </c>
      <c r="D1100" s="791" t="s">
        <v>5528</v>
      </c>
      <c r="E1100" s="792" t="str">
        <f>IFERROR(VLOOKUP(D1100,Stock,3,FALSE),"")</f>
        <v>Toyota Innova 15-22 2nd Gen (Toyota)</v>
      </c>
      <c r="F1100" s="791">
        <v>2.0</v>
      </c>
      <c r="G1100" s="842">
        <v>1674000.0</v>
      </c>
      <c r="H1100" s="811">
        <f t="shared" si="40"/>
        <v>3348000</v>
      </c>
      <c r="I1100" s="809"/>
      <c r="J1100" s="819"/>
      <c r="K1100" s="799" t="s">
        <v>4262</v>
      </c>
      <c r="L1100" s="818" t="s">
        <v>12235</v>
      </c>
      <c r="M1100" s="818" t="s">
        <v>6675</v>
      </c>
      <c r="N1100" s="881">
        <v>45784.0</v>
      </c>
      <c r="O1100" s="823"/>
    </row>
    <row r="1101" ht="15.0" customHeight="1">
      <c r="A1101" s="789">
        <v>45849.0</v>
      </c>
      <c r="B1101" s="790" t="s">
        <v>13192</v>
      </c>
      <c r="C1101" s="791" t="s">
        <v>13022</v>
      </c>
      <c r="D1101" s="791" t="s">
        <v>5528</v>
      </c>
      <c r="E1101" s="792" t="str">
        <f>IFERROR(VLOOKUP(D1101,Stock,3,FALSE),"")</f>
        <v>Toyota Innova 15-22 2nd Gen (Toyota)</v>
      </c>
      <c r="F1101" s="791">
        <v>2.0</v>
      </c>
      <c r="G1101" s="842">
        <v>1674000.0</v>
      </c>
      <c r="H1101" s="811">
        <f t="shared" si="40"/>
        <v>3348000</v>
      </c>
      <c r="I1101" s="809"/>
      <c r="J1101" s="819"/>
      <c r="K1101" s="799" t="s">
        <v>4262</v>
      </c>
      <c r="L1101" s="818" t="s">
        <v>12235</v>
      </c>
      <c r="M1101" s="818" t="s">
        <v>6675</v>
      </c>
      <c r="N1101" s="818" t="s">
        <v>13193</v>
      </c>
      <c r="O1101" s="818"/>
    </row>
    <row r="1102" ht="15.0" customHeight="1">
      <c r="A1102" s="789">
        <v>45845.0</v>
      </c>
      <c r="B1102" s="790" t="s">
        <v>13194</v>
      </c>
      <c r="C1102" s="791" t="s">
        <v>12992</v>
      </c>
      <c r="D1102" s="791" t="s">
        <v>2824</v>
      </c>
      <c r="E1102" s="792" t="str">
        <f>IFERROR(VLOOKUP(D1102,Stock,3,FALSE),"")</f>
        <v>Nissan UD Quester</v>
      </c>
      <c r="F1102" s="791">
        <v>1.0</v>
      </c>
      <c r="G1102" s="842">
        <v>345000.0</v>
      </c>
      <c r="H1102" s="811">
        <f t="shared" si="40"/>
        <v>345000</v>
      </c>
      <c r="I1102" s="809"/>
      <c r="J1102" s="819"/>
      <c r="K1102" s="799" t="s">
        <v>4262</v>
      </c>
      <c r="L1102" s="818" t="s">
        <v>12235</v>
      </c>
      <c r="M1102" s="818" t="s">
        <v>6675</v>
      </c>
      <c r="N1102" s="878">
        <v>45845.0</v>
      </c>
      <c r="O1102" s="823"/>
    </row>
    <row r="1103" ht="15.0" customHeight="1">
      <c r="A1103" s="789">
        <v>45845.0</v>
      </c>
      <c r="B1103" s="790" t="s">
        <v>13195</v>
      </c>
      <c r="C1103" s="791" t="s">
        <v>13145</v>
      </c>
      <c r="D1103" s="791" t="s">
        <v>3745</v>
      </c>
      <c r="E1103" s="792" t="str">
        <f>IFERROR(VLOOKUP(D1103,Stock,3,FALSE),"")</f>
        <v>Honda Brio 10- / Mobilio 11-</v>
      </c>
      <c r="F1103" s="791">
        <v>2.0</v>
      </c>
      <c r="G1103" s="842">
        <v>815000.0</v>
      </c>
      <c r="H1103" s="811">
        <f t="shared" si="40"/>
        <v>1630000</v>
      </c>
      <c r="I1103" s="809"/>
      <c r="J1103" s="819"/>
      <c r="K1103" s="799" t="s">
        <v>4262</v>
      </c>
      <c r="L1103" s="818" t="s">
        <v>12235</v>
      </c>
      <c r="M1103" s="818" t="s">
        <v>6675</v>
      </c>
      <c r="N1103" s="878">
        <v>45845.0</v>
      </c>
      <c r="O1103" s="823"/>
    </row>
    <row r="1104" ht="15.0" customHeight="1">
      <c r="A1104" s="789">
        <v>45845.0</v>
      </c>
      <c r="B1104" s="790">
        <v>2507188.0</v>
      </c>
      <c r="C1104" s="791" t="s">
        <v>11484</v>
      </c>
      <c r="D1104" s="791" t="s">
        <v>2709</v>
      </c>
      <c r="E1104" s="792" t="str">
        <f>IFERROR(VLOOKUP(D1104,Stock,3,FALSE),"")</f>
        <v>Isuzu Panther 91-99 1st Gen Kotak</v>
      </c>
      <c r="F1104" s="791">
        <v>1.0</v>
      </c>
      <c r="G1104" s="842">
        <v>486750.0</v>
      </c>
      <c r="H1104" s="811">
        <f t="shared" si="40"/>
        <v>486750</v>
      </c>
      <c r="I1104" s="809">
        <f t="shared" ref="I1104:I1124" si="62">H1104</f>
        <v>486750</v>
      </c>
      <c r="J1104" s="872">
        <v>45907.0</v>
      </c>
      <c r="K1104" s="799" t="s">
        <v>4262</v>
      </c>
      <c r="L1104" s="818" t="s">
        <v>12235</v>
      </c>
      <c r="M1104" s="818" t="s">
        <v>6675</v>
      </c>
      <c r="N1104" s="839">
        <v>45902.0</v>
      </c>
      <c r="O1104" s="823"/>
    </row>
    <row r="1105" ht="15.0" customHeight="1">
      <c r="A1105" s="789">
        <v>45845.0</v>
      </c>
      <c r="B1105" s="790">
        <v>2507188.0</v>
      </c>
      <c r="C1105" s="791" t="s">
        <v>11484</v>
      </c>
      <c r="D1105" s="791" t="s">
        <v>2678</v>
      </c>
      <c r="E1105" s="792" t="str">
        <f>IFERROR(VLOOKUP(D1105,Stock,3,FALSE),"")</f>
        <v>Mitsubishi Mirage 12-</v>
      </c>
      <c r="F1105" s="791">
        <v>1.0</v>
      </c>
      <c r="G1105" s="842">
        <v>711150.0</v>
      </c>
      <c r="H1105" s="811">
        <f t="shared" si="40"/>
        <v>711150</v>
      </c>
      <c r="I1105" s="809">
        <f t="shared" si="62"/>
        <v>711150</v>
      </c>
      <c r="J1105" s="872">
        <v>45907.0</v>
      </c>
      <c r="K1105" s="799" t="s">
        <v>4262</v>
      </c>
      <c r="L1105" s="818" t="s">
        <v>12235</v>
      </c>
      <c r="M1105" s="818" t="s">
        <v>6675</v>
      </c>
      <c r="N1105" s="839">
        <v>45902.0</v>
      </c>
      <c r="O1105" s="823"/>
    </row>
    <row r="1106" ht="15.0" customHeight="1">
      <c r="A1106" s="789">
        <v>45845.0</v>
      </c>
      <c r="B1106" s="790">
        <v>2507188.0</v>
      </c>
      <c r="C1106" s="791" t="s">
        <v>11484</v>
      </c>
      <c r="D1106" s="791" t="s">
        <v>6757</v>
      </c>
      <c r="E1106" s="792" t="str">
        <f>IFERROR(VLOOKUP(D1106,Stock,3,FALSE),"")</f>
        <v>Toyota Agya/Ayla 23- 2nd Gen</v>
      </c>
      <c r="F1106" s="791">
        <v>1.0</v>
      </c>
      <c r="G1106" s="842">
        <v>522500.0</v>
      </c>
      <c r="H1106" s="811">
        <f t="shared" si="40"/>
        <v>522500</v>
      </c>
      <c r="I1106" s="809">
        <f t="shared" si="62"/>
        <v>522500</v>
      </c>
      <c r="J1106" s="872">
        <v>45907.0</v>
      </c>
      <c r="K1106" s="799" t="s">
        <v>4262</v>
      </c>
      <c r="L1106" s="818" t="s">
        <v>12235</v>
      </c>
      <c r="M1106" s="818" t="s">
        <v>6675</v>
      </c>
      <c r="N1106" s="839">
        <v>45902.0</v>
      </c>
      <c r="O1106" s="823"/>
    </row>
    <row r="1107" ht="15.0" customHeight="1">
      <c r="A1107" s="789">
        <v>45845.0</v>
      </c>
      <c r="B1107" s="790">
        <v>2507188.0</v>
      </c>
      <c r="C1107" s="791" t="s">
        <v>11484</v>
      </c>
      <c r="D1107" s="791" t="s">
        <v>8323</v>
      </c>
      <c r="E1107" s="792" t="str">
        <f>IFERROR(VLOOKUP(D1107,Stock,3,FALSE),"")</f>
        <v>Honda CR-V 02-06 2nd Gen</v>
      </c>
      <c r="F1107" s="791">
        <v>1.0</v>
      </c>
      <c r="G1107" s="842">
        <v>954250.0</v>
      </c>
      <c r="H1107" s="811">
        <f t="shared" si="40"/>
        <v>954250</v>
      </c>
      <c r="I1107" s="809">
        <f t="shared" si="62"/>
        <v>954250</v>
      </c>
      <c r="J1107" s="872">
        <v>45907.0</v>
      </c>
      <c r="K1107" s="799" t="s">
        <v>4262</v>
      </c>
      <c r="L1107" s="818" t="s">
        <v>12235</v>
      </c>
      <c r="M1107" s="818" t="s">
        <v>6675</v>
      </c>
      <c r="N1107" s="839">
        <v>45902.0</v>
      </c>
      <c r="O1107" s="823"/>
    </row>
    <row r="1108" ht="15.0" customHeight="1">
      <c r="A1108" s="789">
        <v>45845.0</v>
      </c>
      <c r="B1108" s="790">
        <v>2507188.0</v>
      </c>
      <c r="C1108" s="791" t="s">
        <v>11484</v>
      </c>
      <c r="D1108" s="791" t="s">
        <v>3366</v>
      </c>
      <c r="E1108" s="792" t="str">
        <f>IFERROR(VLOOKUP(D1108,Stock,3,FALSE),"")</f>
        <v>Toyota Hi-Ace 04-20 Commuter (Clear)</v>
      </c>
      <c r="F1108" s="791">
        <v>1.0</v>
      </c>
      <c r="G1108" s="842">
        <v>1230350.0</v>
      </c>
      <c r="H1108" s="811">
        <f t="shared" si="40"/>
        <v>1230350</v>
      </c>
      <c r="I1108" s="809">
        <f t="shared" si="62"/>
        <v>1230350</v>
      </c>
      <c r="J1108" s="872">
        <v>45907.0</v>
      </c>
      <c r="K1108" s="799" t="s">
        <v>4262</v>
      </c>
      <c r="L1108" s="818" t="s">
        <v>12235</v>
      </c>
      <c r="M1108" s="818" t="s">
        <v>6675</v>
      </c>
      <c r="N1108" s="839">
        <v>45902.0</v>
      </c>
      <c r="O1108" s="823"/>
    </row>
    <row r="1109" ht="15.0" customHeight="1">
      <c r="A1109" s="789">
        <v>45845.0</v>
      </c>
      <c r="B1109" s="790">
        <v>2507188.0</v>
      </c>
      <c r="C1109" s="791" t="s">
        <v>11484</v>
      </c>
      <c r="D1109" s="791" t="s">
        <v>2729</v>
      </c>
      <c r="E1109" s="792" t="str">
        <f>IFERROR(VLOOKUP(D1109,Stock,3,FALSE),"")</f>
        <v>Honda HR-V 14-21 5D SUV</v>
      </c>
      <c r="F1109" s="791">
        <v>1.0</v>
      </c>
      <c r="G1109" s="842">
        <v>883300.0</v>
      </c>
      <c r="H1109" s="811">
        <f t="shared" si="40"/>
        <v>883300</v>
      </c>
      <c r="I1109" s="809">
        <f t="shared" si="62"/>
        <v>883300</v>
      </c>
      <c r="J1109" s="872">
        <v>45907.0</v>
      </c>
      <c r="K1109" s="799" t="s">
        <v>4262</v>
      </c>
      <c r="L1109" s="818" t="s">
        <v>12235</v>
      </c>
      <c r="M1109" s="818" t="s">
        <v>6675</v>
      </c>
      <c r="N1109" s="839">
        <v>45902.0</v>
      </c>
      <c r="O1109" s="823"/>
    </row>
    <row r="1110" ht="15.0" customHeight="1">
      <c r="A1110" s="789">
        <v>45846.0</v>
      </c>
      <c r="B1110" s="790" t="s">
        <v>13196</v>
      </c>
      <c r="C1110" s="791" t="s">
        <v>12932</v>
      </c>
      <c r="D1110" s="791" t="s">
        <v>8460</v>
      </c>
      <c r="E1110" s="792" t="str">
        <f>IFERROR(VLOOKUP(D1110,Stock,3,FALSE),"")</f>
        <v>Toyota Avanza / Xenia 11-15 2nd Gen / 15-21 3rd Gen</v>
      </c>
      <c r="F1110" s="791">
        <v>5.0</v>
      </c>
      <c r="G1110" s="842">
        <v>505750.41</v>
      </c>
      <c r="H1110" s="811">
        <f t="shared" si="40"/>
        <v>2528752.05</v>
      </c>
      <c r="I1110" s="809">
        <f t="shared" si="62"/>
        <v>2528752.05</v>
      </c>
      <c r="J1110" s="872">
        <v>45908.0</v>
      </c>
      <c r="K1110" s="799" t="s">
        <v>4262</v>
      </c>
      <c r="L1110" s="818" t="s">
        <v>12235</v>
      </c>
      <c r="M1110" s="818" t="s">
        <v>6675</v>
      </c>
      <c r="N1110" s="839">
        <v>45871.0</v>
      </c>
      <c r="O1110" s="823"/>
    </row>
    <row r="1111" ht="15.0" customHeight="1">
      <c r="A1111" s="789">
        <v>45846.0</v>
      </c>
      <c r="B1111" s="790" t="s">
        <v>13196</v>
      </c>
      <c r="C1111" s="791" t="s">
        <v>12932</v>
      </c>
      <c r="D1111" s="791" t="s">
        <v>7994</v>
      </c>
      <c r="E1111" s="792" t="str">
        <f>IFERROR(VLOOKUP(D1111,Stock,3,FALSE),"")</f>
        <v>Nissan Livina   07-18 L10/L11</v>
      </c>
      <c r="F1111" s="791">
        <v>4.0</v>
      </c>
      <c r="G1111" s="842">
        <v>235449.7</v>
      </c>
      <c r="H1111" s="811">
        <f t="shared" si="40"/>
        <v>941798.8</v>
      </c>
      <c r="I1111" s="809">
        <f t="shared" si="62"/>
        <v>941798.8</v>
      </c>
      <c r="J1111" s="872">
        <v>45908.0</v>
      </c>
      <c r="K1111" s="799" t="s">
        <v>4262</v>
      </c>
      <c r="L1111" s="818" t="s">
        <v>12235</v>
      </c>
      <c r="M1111" s="818" t="s">
        <v>6675</v>
      </c>
      <c r="N1111" s="839">
        <v>45871.0</v>
      </c>
      <c r="O1111" s="823"/>
    </row>
    <row r="1112" ht="15.0" customHeight="1">
      <c r="A1112" s="789">
        <v>45846.0</v>
      </c>
      <c r="B1112" s="790" t="s">
        <v>13196</v>
      </c>
      <c r="C1112" s="791" t="s">
        <v>12932</v>
      </c>
      <c r="D1112" s="791" t="s">
        <v>6227</v>
      </c>
      <c r="E1112" s="792" t="str">
        <f>IFERROR(VLOOKUP(D1112,Stock,3,FALSE),"")</f>
        <v>Toyota Fortuner 15-  2nd Gen</v>
      </c>
      <c r="F1112" s="791">
        <v>5.0</v>
      </c>
      <c r="G1112" s="842">
        <v>381650.2</v>
      </c>
      <c r="H1112" s="811">
        <f t="shared" si="40"/>
        <v>1908251</v>
      </c>
      <c r="I1112" s="809">
        <f t="shared" si="62"/>
        <v>1908251</v>
      </c>
      <c r="J1112" s="872">
        <v>45908.0</v>
      </c>
      <c r="K1112" s="799" t="s">
        <v>4262</v>
      </c>
      <c r="L1112" s="818" t="s">
        <v>12235</v>
      </c>
      <c r="M1112" s="818" t="s">
        <v>6675</v>
      </c>
      <c r="N1112" s="839">
        <v>45871.0</v>
      </c>
      <c r="O1112" s="823"/>
    </row>
    <row r="1113" ht="15.0" customHeight="1">
      <c r="A1113" s="789">
        <v>45847.0</v>
      </c>
      <c r="B1113" s="790">
        <v>2507282.0</v>
      </c>
      <c r="C1113" s="791" t="s">
        <v>11484</v>
      </c>
      <c r="D1113" s="791" t="s">
        <v>3186</v>
      </c>
      <c r="E1113" s="792" t="str">
        <f>IFERROR(VLOOKUP(D1113,Stock,3,FALSE),"")</f>
        <v>Daihatsu Gran Max / Luxio 07-</v>
      </c>
      <c r="F1113" s="791">
        <v>2.0</v>
      </c>
      <c r="G1113" s="842">
        <v>470250.0</v>
      </c>
      <c r="H1113" s="811">
        <f t="shared" si="40"/>
        <v>940500</v>
      </c>
      <c r="I1113" s="809">
        <f t="shared" si="62"/>
        <v>940500</v>
      </c>
      <c r="J1113" s="872">
        <v>45909.0</v>
      </c>
      <c r="K1113" s="799" t="s">
        <v>4262</v>
      </c>
      <c r="L1113" s="818" t="s">
        <v>12235</v>
      </c>
      <c r="M1113" s="818" t="s">
        <v>6675</v>
      </c>
      <c r="N1113" s="839">
        <v>45892.0</v>
      </c>
      <c r="O1113" s="823"/>
    </row>
    <row r="1114" ht="15.0" customHeight="1">
      <c r="A1114" s="789">
        <v>45846.0</v>
      </c>
      <c r="B1114" s="790">
        <v>2507227.0</v>
      </c>
      <c r="C1114" s="791" t="s">
        <v>11484</v>
      </c>
      <c r="D1114" s="791" t="s">
        <v>3366</v>
      </c>
      <c r="E1114" s="792" t="str">
        <f>IFERROR(VLOOKUP(D1114,Stock,3,FALSE),"")</f>
        <v>Toyota Hi-Ace 04-20 Commuter (Clear)</v>
      </c>
      <c r="F1114" s="791">
        <v>2.0</v>
      </c>
      <c r="G1114" s="842">
        <v>1230350.0</v>
      </c>
      <c r="H1114" s="811">
        <f t="shared" si="40"/>
        <v>2460700</v>
      </c>
      <c r="I1114" s="809">
        <f t="shared" si="62"/>
        <v>2460700</v>
      </c>
      <c r="J1114" s="872">
        <v>45908.0</v>
      </c>
      <c r="K1114" s="799" t="s">
        <v>4262</v>
      </c>
      <c r="L1114" s="818" t="s">
        <v>12235</v>
      </c>
      <c r="M1114" s="818" t="s">
        <v>6675</v>
      </c>
      <c r="N1114" s="839">
        <v>45892.0</v>
      </c>
      <c r="O1114" s="823"/>
    </row>
    <row r="1115" ht="15.0" customHeight="1">
      <c r="A1115" s="789">
        <v>45846.0</v>
      </c>
      <c r="B1115" s="790">
        <v>2507227.0</v>
      </c>
      <c r="C1115" s="791" t="s">
        <v>11484</v>
      </c>
      <c r="D1115" s="791" t="s">
        <v>2729</v>
      </c>
      <c r="E1115" s="792" t="str">
        <f>IFERROR(VLOOKUP(D1115,Stock,3,FALSE),"")</f>
        <v>Honda HR-V 14-21 5D SUV</v>
      </c>
      <c r="F1115" s="791">
        <v>1.0</v>
      </c>
      <c r="G1115" s="842">
        <v>883300.0</v>
      </c>
      <c r="H1115" s="811">
        <f t="shared" si="40"/>
        <v>883300</v>
      </c>
      <c r="I1115" s="809">
        <f t="shared" si="62"/>
        <v>883300</v>
      </c>
      <c r="J1115" s="872">
        <v>45908.0</v>
      </c>
      <c r="K1115" s="799" t="s">
        <v>4262</v>
      </c>
      <c r="L1115" s="818" t="s">
        <v>12235</v>
      </c>
      <c r="M1115" s="818" t="s">
        <v>6675</v>
      </c>
      <c r="N1115" s="839">
        <v>45892.0</v>
      </c>
      <c r="O1115" s="823"/>
    </row>
    <row r="1116" ht="15.0" customHeight="1">
      <c r="A1116" s="789">
        <v>45846.0</v>
      </c>
      <c r="B1116" s="790">
        <v>2507227.0</v>
      </c>
      <c r="C1116" s="791" t="s">
        <v>11484</v>
      </c>
      <c r="D1116" s="791" t="s">
        <v>6043</v>
      </c>
      <c r="E1116" s="792" t="str">
        <f>IFERROR(VLOOKUP(D1116,Stock,3,FALSE),"")</f>
        <v>Suzuki Vitara 88-97 / Escudo / Sidekick</v>
      </c>
      <c r="F1116" s="791">
        <v>1.0</v>
      </c>
      <c r="G1116" s="842">
        <v>659450.0</v>
      </c>
      <c r="H1116" s="811">
        <f t="shared" si="40"/>
        <v>659450</v>
      </c>
      <c r="I1116" s="809">
        <f t="shared" si="62"/>
        <v>659450</v>
      </c>
      <c r="J1116" s="872">
        <v>45908.0</v>
      </c>
      <c r="K1116" s="799" t="s">
        <v>4262</v>
      </c>
      <c r="L1116" s="818" t="s">
        <v>12235</v>
      </c>
      <c r="M1116" s="818" t="s">
        <v>6675</v>
      </c>
      <c r="N1116" s="839">
        <v>45892.0</v>
      </c>
      <c r="O1116" s="823"/>
    </row>
    <row r="1117" ht="15.0" customHeight="1">
      <c r="A1117" s="789">
        <v>45848.0</v>
      </c>
      <c r="B1117" s="790">
        <v>2507347.0</v>
      </c>
      <c r="C1117" s="791" t="s">
        <v>11484</v>
      </c>
      <c r="D1117" s="791" t="s">
        <v>2665</v>
      </c>
      <c r="E1117" s="792" t="str">
        <f>IFERROR(VLOOKUP(D1117,Stock,3,FALSE),"")</f>
        <v>Chevrolet Spin 12-</v>
      </c>
      <c r="F1117" s="791">
        <v>1.0</v>
      </c>
      <c r="G1117" s="842">
        <v>742500.0</v>
      </c>
      <c r="H1117" s="811">
        <f t="shared" si="40"/>
        <v>742500</v>
      </c>
      <c r="I1117" s="809">
        <f t="shared" si="62"/>
        <v>742500</v>
      </c>
      <c r="J1117" s="872">
        <v>45910.0</v>
      </c>
      <c r="K1117" s="799" t="s">
        <v>4262</v>
      </c>
      <c r="L1117" s="818" t="s">
        <v>12235</v>
      </c>
      <c r="M1117" s="818" t="s">
        <v>6675</v>
      </c>
      <c r="N1117" s="839">
        <v>45892.0</v>
      </c>
      <c r="O1117" s="823"/>
    </row>
    <row r="1118" ht="15.0" customHeight="1">
      <c r="A1118" s="789">
        <v>45848.0</v>
      </c>
      <c r="B1118" s="790">
        <v>2507333.0</v>
      </c>
      <c r="C1118" s="791" t="s">
        <v>11484</v>
      </c>
      <c r="D1118" s="791" t="s">
        <v>2691</v>
      </c>
      <c r="E1118" s="792" t="str">
        <f>IFERROR(VLOOKUP(D1118,Stock,3,FALSE),"")</f>
        <v>Suzuki Ertiga 12-18 1st Gen MPV</v>
      </c>
      <c r="F1118" s="791">
        <v>3.0</v>
      </c>
      <c r="G1118" s="842">
        <v>528000.0</v>
      </c>
      <c r="H1118" s="811">
        <f t="shared" si="40"/>
        <v>1584000</v>
      </c>
      <c r="I1118" s="809">
        <f t="shared" si="62"/>
        <v>1584000</v>
      </c>
      <c r="J1118" s="872">
        <v>45910.0</v>
      </c>
      <c r="K1118" s="799" t="s">
        <v>4262</v>
      </c>
      <c r="L1118" s="818" t="s">
        <v>12235</v>
      </c>
      <c r="M1118" s="818" t="s">
        <v>6675</v>
      </c>
      <c r="N1118" s="839">
        <v>45892.0</v>
      </c>
      <c r="O1118" s="823"/>
    </row>
    <row r="1119" ht="15.0" customHeight="1">
      <c r="A1119" s="789">
        <v>45848.0</v>
      </c>
      <c r="B1119" s="790">
        <v>2507333.0</v>
      </c>
      <c r="C1119" s="791" t="s">
        <v>11484</v>
      </c>
      <c r="D1119" s="791" t="s">
        <v>3391</v>
      </c>
      <c r="E1119" s="792" t="str">
        <f>IFERROR(VLOOKUP(D1119,Stock,3,FALSE),"")</f>
        <v>Toyota Fortuner 05-15 1st Gen</v>
      </c>
      <c r="F1119" s="791">
        <v>2.0</v>
      </c>
      <c r="G1119" s="842">
        <v>600600.0</v>
      </c>
      <c r="H1119" s="811">
        <f t="shared" si="40"/>
        <v>1201200</v>
      </c>
      <c r="I1119" s="809">
        <f t="shared" si="62"/>
        <v>1201200</v>
      </c>
      <c r="J1119" s="872">
        <v>45910.0</v>
      </c>
      <c r="K1119" s="799" t="s">
        <v>4262</v>
      </c>
      <c r="L1119" s="818" t="s">
        <v>12235</v>
      </c>
      <c r="M1119" s="818" t="s">
        <v>6675</v>
      </c>
      <c r="N1119" s="839">
        <v>45892.0</v>
      </c>
      <c r="O1119" s="823"/>
    </row>
    <row r="1120" ht="15.0" customHeight="1">
      <c r="A1120" s="789">
        <v>45848.0</v>
      </c>
      <c r="B1120" s="790">
        <v>2507333.0</v>
      </c>
      <c r="C1120" s="791" t="s">
        <v>11484</v>
      </c>
      <c r="D1120" s="791" t="s">
        <v>2674</v>
      </c>
      <c r="E1120" s="792" t="str">
        <f>IFERROR(VLOOKUP(D1120,Stock,3,FALSE),"")</f>
        <v>Nissan Evalia 10- X11M</v>
      </c>
      <c r="F1120" s="791">
        <v>1.0</v>
      </c>
      <c r="G1120" s="842">
        <v>686400.0</v>
      </c>
      <c r="H1120" s="811">
        <f t="shared" si="40"/>
        <v>686400</v>
      </c>
      <c r="I1120" s="809">
        <f t="shared" si="62"/>
        <v>686400</v>
      </c>
      <c r="J1120" s="872">
        <v>45910.0</v>
      </c>
      <c r="K1120" s="799" t="s">
        <v>4262</v>
      </c>
      <c r="L1120" s="818" t="s">
        <v>12235</v>
      </c>
      <c r="M1120" s="818" t="s">
        <v>6675</v>
      </c>
      <c r="N1120" s="839">
        <v>45892.0</v>
      </c>
      <c r="O1120" s="823"/>
    </row>
    <row r="1121" ht="15.0" customHeight="1">
      <c r="A1121" s="789">
        <v>45848.0</v>
      </c>
      <c r="B1121" s="790" t="s">
        <v>13197</v>
      </c>
      <c r="C1121" s="791" t="s">
        <v>11484</v>
      </c>
      <c r="D1121" s="815" t="s">
        <v>3059</v>
      </c>
      <c r="E1121" s="792" t="str">
        <f>IFERROR(VLOOKUP(D1121,Stock,3,FALSE),"")</f>
        <v>Sealant Polyurethane XYG Tube</v>
      </c>
      <c r="F1121" s="791">
        <v>20.0</v>
      </c>
      <c r="G1121" s="842">
        <v>40000.0</v>
      </c>
      <c r="H1121" s="811">
        <f t="shared" si="40"/>
        <v>800000</v>
      </c>
      <c r="I1121" s="809">
        <f t="shared" si="62"/>
        <v>800000</v>
      </c>
      <c r="J1121" s="872">
        <v>45910.0</v>
      </c>
      <c r="K1121" s="799" t="s">
        <v>4262</v>
      </c>
      <c r="L1121" s="818" t="s">
        <v>12235</v>
      </c>
      <c r="M1121" s="818" t="s">
        <v>6675</v>
      </c>
      <c r="N1121" s="839">
        <v>45903.0</v>
      </c>
      <c r="O1121" s="823"/>
    </row>
    <row r="1122" ht="15.0" customHeight="1">
      <c r="A1122" s="789">
        <v>45849.0</v>
      </c>
      <c r="B1122" s="790" t="s">
        <v>13198</v>
      </c>
      <c r="C1122" s="791" t="s">
        <v>12932</v>
      </c>
      <c r="D1122" s="791" t="s">
        <v>8939</v>
      </c>
      <c r="E1122" s="792" t="str">
        <f>IFERROR(VLOOKUP(D1122,Stock,3,FALSE),"")</f>
        <v>Toyota Avanza / Xenia 21- 4th Gen</v>
      </c>
      <c r="F1122" s="791">
        <v>5.0</v>
      </c>
      <c r="G1122" s="842">
        <v>131750.3</v>
      </c>
      <c r="H1122" s="811">
        <f t="shared" si="40"/>
        <v>658751.5</v>
      </c>
      <c r="I1122" s="809">
        <f t="shared" si="62"/>
        <v>658751.5</v>
      </c>
      <c r="J1122" s="872">
        <v>45911.0</v>
      </c>
      <c r="K1122" s="799" t="s">
        <v>4262</v>
      </c>
      <c r="L1122" s="818" t="s">
        <v>12235</v>
      </c>
      <c r="M1122" s="818" t="s">
        <v>6675</v>
      </c>
      <c r="N1122" s="839">
        <v>45871.0</v>
      </c>
      <c r="O1122" s="823"/>
    </row>
    <row r="1123" ht="15.0" customHeight="1">
      <c r="A1123" s="789">
        <v>45849.0</v>
      </c>
      <c r="B1123" s="790" t="s">
        <v>13198</v>
      </c>
      <c r="C1123" s="791" t="s">
        <v>12932</v>
      </c>
      <c r="D1123" s="791" t="s">
        <v>8940</v>
      </c>
      <c r="E1123" s="792" t="str">
        <f>IFERROR(VLOOKUP(D1123,Stock,3,FALSE),"")</f>
        <v>Toyota Rush / Terios 18-</v>
      </c>
      <c r="F1123" s="791">
        <v>5.0</v>
      </c>
      <c r="G1123" s="842">
        <v>154699.5</v>
      </c>
      <c r="H1123" s="811">
        <f t="shared" si="40"/>
        <v>773497.5</v>
      </c>
      <c r="I1123" s="809">
        <f t="shared" si="62"/>
        <v>773497.5</v>
      </c>
      <c r="J1123" s="872">
        <v>45911.0</v>
      </c>
      <c r="K1123" s="799" t="s">
        <v>4262</v>
      </c>
      <c r="L1123" s="818" t="s">
        <v>12235</v>
      </c>
      <c r="M1123" s="818" t="s">
        <v>6675</v>
      </c>
      <c r="N1123" s="839">
        <v>45871.0</v>
      </c>
      <c r="O1123" s="823"/>
    </row>
    <row r="1124" ht="15.0" customHeight="1">
      <c r="A1124" s="789">
        <v>45850.0</v>
      </c>
      <c r="B1124" s="790" t="s">
        <v>13199</v>
      </c>
      <c r="C1124" s="791" t="s">
        <v>3091</v>
      </c>
      <c r="D1124" s="791" t="s">
        <v>8440</v>
      </c>
      <c r="E1124" s="792" t="str">
        <f>IFERROR(VLOOKUP(D1124,Stock,3,FALSE),"")</f>
        <v>Mazda CX-5  17- 2nd Gen KF (1 Sensor/ □ ) (Mazda)</v>
      </c>
      <c r="F1124" s="791">
        <v>1.0</v>
      </c>
      <c r="G1124" s="842">
        <v>4200000.0</v>
      </c>
      <c r="H1124" s="811">
        <f t="shared" si="40"/>
        <v>4200000</v>
      </c>
      <c r="I1124" s="809">
        <f t="shared" si="62"/>
        <v>4200000</v>
      </c>
      <c r="J1124" s="872">
        <v>45912.0</v>
      </c>
      <c r="K1124" s="799" t="s">
        <v>4262</v>
      </c>
      <c r="L1124" s="818" t="s">
        <v>12235</v>
      </c>
      <c r="M1124" s="818" t="s">
        <v>6675</v>
      </c>
      <c r="N1124" s="839">
        <v>45898.0</v>
      </c>
      <c r="O1124" s="823"/>
    </row>
    <row r="1125" ht="15.0" customHeight="1">
      <c r="A1125" s="789">
        <v>45850.0</v>
      </c>
      <c r="B1125" s="790" t="s">
        <v>13200</v>
      </c>
      <c r="C1125" s="791" t="s">
        <v>12963</v>
      </c>
      <c r="D1125" s="791" t="s">
        <v>9329</v>
      </c>
      <c r="E1125" s="792" t="str">
        <f>IFERROR(VLOOKUP(D1125,Stock,3,FALSE),"")</f>
        <v>Suzuki Ertiga 12-18 1st Gen MPV (Suzuki)</v>
      </c>
      <c r="F1125" s="791">
        <v>1.0</v>
      </c>
      <c r="G1125" s="842">
        <v>640000.0</v>
      </c>
      <c r="H1125" s="811">
        <f t="shared" si="40"/>
        <v>640000</v>
      </c>
      <c r="I1125" s="809"/>
      <c r="J1125" s="819"/>
      <c r="K1125" s="799" t="s">
        <v>4262</v>
      </c>
      <c r="L1125" s="818" t="s">
        <v>12235</v>
      </c>
      <c r="M1125" s="818" t="s">
        <v>6675</v>
      </c>
      <c r="N1125" s="878">
        <v>45998.0</v>
      </c>
      <c r="O1125" s="823"/>
    </row>
    <row r="1126" ht="15.0" customHeight="1">
      <c r="A1126" s="789">
        <v>45852.0</v>
      </c>
      <c r="B1126" s="790" t="s">
        <v>13201</v>
      </c>
      <c r="C1126" s="791" t="s">
        <v>13022</v>
      </c>
      <c r="D1126" s="791" t="s">
        <v>6028</v>
      </c>
      <c r="E1126" s="792" t="str">
        <f>IFERROR(VLOOKUP(D1126,Stock,3,FALSE),"")</f>
        <v>Toyota Innova 04-15 1st Gen (Toyota)</v>
      </c>
      <c r="F1126" s="791">
        <v>2.0</v>
      </c>
      <c r="G1126" s="842">
        <v>1197000.0</v>
      </c>
      <c r="H1126" s="811">
        <f t="shared" si="40"/>
        <v>2394000</v>
      </c>
      <c r="I1126" s="809"/>
      <c r="J1126" s="819"/>
      <c r="K1126" s="799" t="s">
        <v>4262</v>
      </c>
      <c r="L1126" s="818" t="s">
        <v>12235</v>
      </c>
      <c r="M1126" s="818" t="s">
        <v>6675</v>
      </c>
      <c r="N1126" s="839">
        <v>45853.0</v>
      </c>
      <c r="O1126" s="823"/>
    </row>
    <row r="1127" ht="15.0" customHeight="1">
      <c r="A1127" s="789">
        <v>45847.0</v>
      </c>
      <c r="B1127" s="790">
        <v>2507289.0</v>
      </c>
      <c r="C1127" s="791" t="s">
        <v>11484</v>
      </c>
      <c r="D1127" s="791" t="s">
        <v>8395</v>
      </c>
      <c r="E1127" s="792" t="str">
        <f>IFERROR(VLOOKUP(D1127,Stock,3,FALSE),"")</f>
        <v>Chevrolet Spin 12-</v>
      </c>
      <c r="F1127" s="791">
        <v>1.0</v>
      </c>
      <c r="G1127" s="842">
        <v>641300.0</v>
      </c>
      <c r="H1127" s="811">
        <f t="shared" si="40"/>
        <v>641300</v>
      </c>
      <c r="I1127" s="809"/>
      <c r="J1127" s="872">
        <v>45909.0</v>
      </c>
      <c r="K1127" s="799" t="s">
        <v>4262</v>
      </c>
      <c r="L1127" s="818" t="s">
        <v>12235</v>
      </c>
      <c r="M1127" s="818" t="s">
        <v>6675</v>
      </c>
      <c r="N1127" s="839">
        <v>45892.0</v>
      </c>
      <c r="O1127" s="823"/>
    </row>
    <row r="1128" ht="15.0" customHeight="1">
      <c r="A1128" s="882">
        <v>45849.0</v>
      </c>
      <c r="B1128" s="790">
        <v>2507384.0</v>
      </c>
      <c r="C1128" s="791" t="s">
        <v>11484</v>
      </c>
      <c r="D1128" s="791" t="s">
        <v>2718</v>
      </c>
      <c r="E1128" s="792" t="str">
        <f>IFERROR(VLOOKUP(D1128,Stock,3,FALSE),"")</f>
        <v>Isuzu Traga</v>
      </c>
      <c r="F1128" s="791">
        <v>2.0</v>
      </c>
      <c r="G1128" s="842">
        <v>561000.0</v>
      </c>
      <c r="H1128" s="811">
        <f t="shared" si="40"/>
        <v>1122000</v>
      </c>
      <c r="I1128" s="809"/>
      <c r="J1128" s="872">
        <v>45911.0</v>
      </c>
      <c r="K1128" s="799" t="s">
        <v>4262</v>
      </c>
      <c r="L1128" s="818" t="s">
        <v>12235</v>
      </c>
      <c r="M1128" s="818" t="s">
        <v>6675</v>
      </c>
      <c r="N1128" s="839">
        <v>45892.0</v>
      </c>
      <c r="O1128" s="823"/>
    </row>
    <row r="1129" ht="15.0" customHeight="1">
      <c r="A1129" s="882">
        <v>45852.0</v>
      </c>
      <c r="B1129" s="790">
        <v>2507415.0</v>
      </c>
      <c r="C1129" s="791" t="s">
        <v>11484</v>
      </c>
      <c r="D1129" s="791" t="s">
        <v>6755</v>
      </c>
      <c r="E1129" s="792" t="str">
        <f>IFERROR(VLOOKUP(D1129,Stock,3,FALSE),"")</f>
        <v>Mitsubishi Kuda 99-06</v>
      </c>
      <c r="F1129" s="791">
        <v>1.0</v>
      </c>
      <c r="G1129" s="842">
        <v>653400.0</v>
      </c>
      <c r="H1129" s="811">
        <f t="shared" si="40"/>
        <v>653400</v>
      </c>
      <c r="I1129" s="809">
        <f t="shared" ref="I1129:I1132" si="63">H1129</f>
        <v>653400</v>
      </c>
      <c r="J1129" s="872">
        <v>45914.0</v>
      </c>
      <c r="K1129" s="799" t="s">
        <v>4262</v>
      </c>
      <c r="L1129" s="818" t="s">
        <v>12235</v>
      </c>
      <c r="M1129" s="818" t="s">
        <v>6675</v>
      </c>
      <c r="N1129" s="839">
        <v>45892.0</v>
      </c>
      <c r="O1129" s="823"/>
    </row>
    <row r="1130" ht="15.0" customHeight="1">
      <c r="A1130" s="882">
        <v>45852.0</v>
      </c>
      <c r="B1130" s="790">
        <v>2507443.0</v>
      </c>
      <c r="C1130" s="791" t="s">
        <v>11484</v>
      </c>
      <c r="D1130" s="791" t="s">
        <v>6156</v>
      </c>
      <c r="E1130" s="792" t="str">
        <f>IFERROR(VLOOKUP(D1130,Stock,3,FALSE),"")</f>
        <v>Toyota Voxy 17- (Hitam)</v>
      </c>
      <c r="F1130" s="791">
        <v>1.0</v>
      </c>
      <c r="G1130" s="842">
        <v>1521850.0</v>
      </c>
      <c r="H1130" s="811">
        <f t="shared" si="40"/>
        <v>1521850</v>
      </c>
      <c r="I1130" s="809">
        <f t="shared" si="63"/>
        <v>1521850</v>
      </c>
      <c r="J1130" s="872">
        <v>45914.0</v>
      </c>
      <c r="K1130" s="799" t="s">
        <v>4262</v>
      </c>
      <c r="L1130" s="818" t="s">
        <v>12235</v>
      </c>
      <c r="M1130" s="818" t="s">
        <v>6675</v>
      </c>
      <c r="N1130" s="839">
        <v>45892.0</v>
      </c>
      <c r="O1130" s="823"/>
    </row>
    <row r="1131" ht="15.0" customHeight="1">
      <c r="A1131" s="789">
        <v>45853.0</v>
      </c>
      <c r="B1131" s="790">
        <v>2507458.0</v>
      </c>
      <c r="C1131" s="791" t="s">
        <v>11484</v>
      </c>
      <c r="D1131" s="791" t="s">
        <v>8490</v>
      </c>
      <c r="E1131" s="792" t="str">
        <f>IFERROR(VLOOKUP(D1131,Stock,3,FALSE),"")</f>
        <v>Honda City 14-18 GM6</v>
      </c>
      <c r="F1131" s="791">
        <v>1.0</v>
      </c>
      <c r="G1131" s="842">
        <v>970750.0</v>
      </c>
      <c r="H1131" s="811">
        <f t="shared" si="40"/>
        <v>970750</v>
      </c>
      <c r="I1131" s="809">
        <f t="shared" si="63"/>
        <v>970750</v>
      </c>
      <c r="J1131" s="872">
        <v>45915.0</v>
      </c>
      <c r="K1131" s="799" t="s">
        <v>4262</v>
      </c>
      <c r="L1131" s="818" t="s">
        <v>12235</v>
      </c>
      <c r="M1131" s="818" t="s">
        <v>6675</v>
      </c>
      <c r="N1131" s="839">
        <v>45892.0</v>
      </c>
      <c r="O1131" s="823"/>
    </row>
    <row r="1132" ht="15.0" customHeight="1">
      <c r="A1132" s="789">
        <v>45853.0</v>
      </c>
      <c r="B1132" s="790">
        <v>2507458.0</v>
      </c>
      <c r="C1132" s="791" t="s">
        <v>11484</v>
      </c>
      <c r="D1132" s="791" t="s">
        <v>8323</v>
      </c>
      <c r="E1132" s="792" t="str">
        <f>IFERROR(VLOOKUP(D1132,Stock,3,FALSE),"")</f>
        <v>Honda CR-V 02-06 2nd Gen</v>
      </c>
      <c r="F1132" s="791">
        <v>1.0</v>
      </c>
      <c r="G1132" s="842">
        <v>954250.0</v>
      </c>
      <c r="H1132" s="811">
        <f t="shared" si="40"/>
        <v>954250</v>
      </c>
      <c r="I1132" s="809">
        <f t="shared" si="63"/>
        <v>954250</v>
      </c>
      <c r="J1132" s="872">
        <v>45915.0</v>
      </c>
      <c r="K1132" s="799" t="s">
        <v>4262</v>
      </c>
      <c r="L1132" s="818" t="s">
        <v>12235</v>
      </c>
      <c r="M1132" s="818" t="s">
        <v>6675</v>
      </c>
      <c r="N1132" s="839">
        <v>45892.0</v>
      </c>
      <c r="O1132" s="823"/>
    </row>
    <row r="1133" ht="15.0" customHeight="1">
      <c r="A1133" s="789">
        <v>45853.0</v>
      </c>
      <c r="B1133" s="790" t="s">
        <v>13202</v>
      </c>
      <c r="C1133" s="791" t="s">
        <v>13022</v>
      </c>
      <c r="D1133" s="791" t="s">
        <v>13203</v>
      </c>
      <c r="E1133" s="792" t="str">
        <f>IFERROR(VLOOKUP(D1133,Stock,3,FALSE),"")</f>
        <v>Toyota Innova 04-15 1st Gen (Toyota)</v>
      </c>
      <c r="F1133" s="791">
        <v>1.0</v>
      </c>
      <c r="G1133" s="842">
        <v>1341000.0</v>
      </c>
      <c r="H1133" s="811">
        <f t="shared" si="40"/>
        <v>1341000</v>
      </c>
      <c r="I1133" s="809"/>
      <c r="J1133" s="819"/>
      <c r="K1133" s="799" t="s">
        <v>4262</v>
      </c>
      <c r="L1133" s="818" t="s">
        <v>12235</v>
      </c>
      <c r="M1133" s="818" t="s">
        <v>6675</v>
      </c>
      <c r="N1133" s="839">
        <v>45853.0</v>
      </c>
      <c r="O1133" s="823"/>
    </row>
    <row r="1134" ht="15.0" customHeight="1">
      <c r="A1134" s="789">
        <v>45854.0</v>
      </c>
      <c r="B1134" s="790">
        <v>2507519.0</v>
      </c>
      <c r="C1134" s="791" t="s">
        <v>11484</v>
      </c>
      <c r="D1134" s="791" t="s">
        <v>5892</v>
      </c>
      <c r="E1134" s="792" t="str">
        <f>IFERROR(VLOOKUP(D1134,Stock,3,FALSE),"")</f>
        <v>Tata Superace 11-</v>
      </c>
      <c r="F1134" s="791">
        <v>1.0</v>
      </c>
      <c r="G1134" s="842">
        <v>594000.0</v>
      </c>
      <c r="H1134" s="811">
        <f t="shared" si="40"/>
        <v>594000</v>
      </c>
      <c r="I1134" s="809">
        <f t="shared" ref="I1134:I1135" si="64">H1134</f>
        <v>594000</v>
      </c>
      <c r="J1134" s="872">
        <v>45916.0</v>
      </c>
      <c r="K1134" s="799" t="s">
        <v>4262</v>
      </c>
      <c r="L1134" s="818" t="s">
        <v>12235</v>
      </c>
      <c r="M1134" s="818" t="s">
        <v>6675</v>
      </c>
      <c r="N1134" s="839">
        <v>45892.0</v>
      </c>
      <c r="O1134" s="823"/>
    </row>
    <row r="1135" ht="15.0" customHeight="1">
      <c r="A1135" s="789">
        <v>45854.0</v>
      </c>
      <c r="B1135" s="790">
        <v>2507519.0</v>
      </c>
      <c r="C1135" s="791" t="s">
        <v>11484</v>
      </c>
      <c r="D1135" s="791" t="s">
        <v>2546</v>
      </c>
      <c r="E1135" s="792" t="str">
        <f>IFERROR(VLOOKUP(D1135,Stock,3,FALSE),"")</f>
        <v>Wuling Confero (Tanpa Spionnya)</v>
      </c>
      <c r="F1135" s="791">
        <v>1.0</v>
      </c>
      <c r="G1135" s="842">
        <v>627000.0</v>
      </c>
      <c r="H1135" s="811">
        <f t="shared" si="40"/>
        <v>627000</v>
      </c>
      <c r="I1135" s="809">
        <f t="shared" si="64"/>
        <v>627000</v>
      </c>
      <c r="J1135" s="872">
        <v>45916.0</v>
      </c>
      <c r="K1135" s="799" t="s">
        <v>4262</v>
      </c>
      <c r="L1135" s="818" t="s">
        <v>12235</v>
      </c>
      <c r="M1135" s="818" t="s">
        <v>6675</v>
      </c>
      <c r="N1135" s="839">
        <v>45892.0</v>
      </c>
      <c r="O1135" s="823"/>
    </row>
    <row r="1136" ht="15.0" customHeight="1">
      <c r="A1136" s="789">
        <v>45855.0</v>
      </c>
      <c r="B1136" s="790" t="s">
        <v>13204</v>
      </c>
      <c r="C1136" s="791" t="s">
        <v>12963</v>
      </c>
      <c r="D1136" s="791" t="s">
        <v>8523</v>
      </c>
      <c r="E1136" s="792" t="str">
        <f>IFERROR(VLOOKUP(D1136,Stock,3,FALSE),"")</f>
        <v>Suzuki Wagon R 12- (Suzuki)</v>
      </c>
      <c r="F1136" s="791">
        <v>1.0</v>
      </c>
      <c r="G1136" s="842">
        <v>575000.0</v>
      </c>
      <c r="H1136" s="811">
        <f t="shared" si="40"/>
        <v>575000</v>
      </c>
      <c r="I1136" s="809"/>
      <c r="J1136" s="819"/>
      <c r="K1136" s="799" t="s">
        <v>4262</v>
      </c>
      <c r="L1136" s="818" t="s">
        <v>12235</v>
      </c>
      <c r="M1136" s="818" t="s">
        <v>6675</v>
      </c>
      <c r="N1136" s="818" t="s">
        <v>13205</v>
      </c>
      <c r="O1136" s="823"/>
    </row>
    <row r="1137" ht="15.0" customHeight="1">
      <c r="A1137" s="789">
        <v>45855.0</v>
      </c>
      <c r="B1137" s="790" t="s">
        <v>13206</v>
      </c>
      <c r="C1137" s="791" t="s">
        <v>13022</v>
      </c>
      <c r="D1137" s="791" t="s">
        <v>13207</v>
      </c>
      <c r="E1137" s="792" t="str">
        <f>IFERROR(VLOOKUP(D1137,Stock,3,FALSE),"")</f>
        <v>Toyota Innova 04-15 1st Gen (Toyota)</v>
      </c>
      <c r="F1137" s="791">
        <v>1.0</v>
      </c>
      <c r="G1137" s="842">
        <v>459000.0</v>
      </c>
      <c r="H1137" s="811">
        <f t="shared" si="40"/>
        <v>459000</v>
      </c>
      <c r="I1137" s="809"/>
      <c r="J1137" s="819"/>
      <c r="K1137" s="799" t="s">
        <v>4262</v>
      </c>
      <c r="L1137" s="818" t="s">
        <v>12235</v>
      </c>
      <c r="M1137" s="818" t="s">
        <v>6675</v>
      </c>
      <c r="N1137" s="818" t="s">
        <v>13205</v>
      </c>
      <c r="O1137" s="823"/>
    </row>
    <row r="1138" ht="15.0" customHeight="1">
      <c r="A1138" s="789">
        <v>45855.0</v>
      </c>
      <c r="B1138" s="790">
        <v>2507559.0</v>
      </c>
      <c r="C1138" s="791" t="s">
        <v>11484</v>
      </c>
      <c r="D1138" s="791" t="s">
        <v>9363</v>
      </c>
      <c r="E1138" s="792" t="str">
        <f>IFERROR(VLOOKUP(D1138,Stock,3,FALSE),"")</f>
        <v>Toyota Fortuner 05-15 1st Gen (Hitam)</v>
      </c>
      <c r="F1138" s="791">
        <v>1.0</v>
      </c>
      <c r="G1138" s="842">
        <v>513150.0</v>
      </c>
      <c r="H1138" s="811">
        <f t="shared" si="40"/>
        <v>513150</v>
      </c>
      <c r="I1138" s="809">
        <f t="shared" ref="I1138:I1153" si="65">H1138</f>
        <v>513150</v>
      </c>
      <c r="J1138" s="872">
        <v>45917.0</v>
      </c>
      <c r="K1138" s="799" t="s">
        <v>4262</v>
      </c>
      <c r="L1138" s="818" t="s">
        <v>12235</v>
      </c>
      <c r="M1138" s="818" t="s">
        <v>6675</v>
      </c>
      <c r="N1138" s="839">
        <v>45892.0</v>
      </c>
      <c r="O1138" s="823"/>
    </row>
    <row r="1139" ht="15.0" customHeight="1">
      <c r="A1139" s="789">
        <v>45855.0</v>
      </c>
      <c r="B1139" s="790">
        <v>2507559.0</v>
      </c>
      <c r="C1139" s="791" t="s">
        <v>11484</v>
      </c>
      <c r="D1139" s="791" t="s">
        <v>8532</v>
      </c>
      <c r="E1139" s="792" t="str">
        <f>IFERROR(VLOOKUP(D1139,Stock,3,FALSE),"")</f>
        <v>Toyota Fortuner 05-15 1st Gen (Hitam)</v>
      </c>
      <c r="F1139" s="791">
        <v>1.0</v>
      </c>
      <c r="G1139" s="842">
        <v>425150.0</v>
      </c>
      <c r="H1139" s="811">
        <f t="shared" si="40"/>
        <v>425150</v>
      </c>
      <c r="I1139" s="809">
        <f t="shared" si="65"/>
        <v>425150</v>
      </c>
      <c r="J1139" s="872">
        <v>45917.0</v>
      </c>
      <c r="K1139" s="799" t="s">
        <v>4262</v>
      </c>
      <c r="L1139" s="818" t="s">
        <v>12235</v>
      </c>
      <c r="M1139" s="818" t="s">
        <v>6675</v>
      </c>
      <c r="N1139" s="839">
        <v>45892.0</v>
      </c>
      <c r="O1139" s="823"/>
    </row>
    <row r="1140" ht="15.0" customHeight="1">
      <c r="A1140" s="789">
        <v>45856.0</v>
      </c>
      <c r="B1140" s="790" t="s">
        <v>13208</v>
      </c>
      <c r="C1140" s="791" t="s">
        <v>12932</v>
      </c>
      <c r="D1140" s="791" t="s">
        <v>8937</v>
      </c>
      <c r="E1140" s="792" t="str">
        <f>IFERROR(VLOOKUP(D1140,Stock,3,FALSE),"")</f>
        <v>Toyota Avanza / Xenia 21- 4th Gen</v>
      </c>
      <c r="F1140" s="791">
        <v>5.0</v>
      </c>
      <c r="G1140" s="842">
        <v>131750.2</v>
      </c>
      <c r="H1140" s="811">
        <f t="shared" si="40"/>
        <v>658751</v>
      </c>
      <c r="I1140" s="809">
        <f t="shared" si="65"/>
        <v>658751</v>
      </c>
      <c r="J1140" s="872">
        <v>45918.0</v>
      </c>
      <c r="K1140" s="799" t="s">
        <v>4262</v>
      </c>
      <c r="L1140" s="818" t="s">
        <v>12235</v>
      </c>
      <c r="M1140" s="818" t="s">
        <v>6675</v>
      </c>
      <c r="N1140" s="839">
        <v>45892.0</v>
      </c>
      <c r="O1140" s="823"/>
    </row>
    <row r="1141" ht="15.0" customHeight="1">
      <c r="A1141" s="789">
        <v>45855.0</v>
      </c>
      <c r="B1141" s="790">
        <v>2507539.0</v>
      </c>
      <c r="C1141" s="791" t="s">
        <v>11484</v>
      </c>
      <c r="D1141" s="791" t="s">
        <v>2605</v>
      </c>
      <c r="E1141" s="792" t="str">
        <f>IFERROR(VLOOKUP(D1141,Stock,3,FALSE),"")</f>
        <v>BMW 3 Series 12-18 F30/F35</v>
      </c>
      <c r="F1141" s="791">
        <v>1.0</v>
      </c>
      <c r="G1141" s="842">
        <v>2311100.0</v>
      </c>
      <c r="H1141" s="811">
        <f t="shared" si="40"/>
        <v>2311100</v>
      </c>
      <c r="I1141" s="809">
        <f t="shared" si="65"/>
        <v>2311100</v>
      </c>
      <c r="J1141" s="872">
        <v>45917.0</v>
      </c>
      <c r="K1141" s="799" t="s">
        <v>4262</v>
      </c>
      <c r="L1141" s="818" t="s">
        <v>12235</v>
      </c>
      <c r="M1141" s="818" t="s">
        <v>6675</v>
      </c>
      <c r="N1141" s="839">
        <v>45892.0</v>
      </c>
      <c r="O1141" s="823"/>
    </row>
    <row r="1142" ht="15.0" customHeight="1">
      <c r="A1142" s="789">
        <v>45855.0</v>
      </c>
      <c r="B1142" s="790">
        <v>2507561.0</v>
      </c>
      <c r="C1142" s="791" t="s">
        <v>11484</v>
      </c>
      <c r="D1142" s="791" t="s">
        <v>3127</v>
      </c>
      <c r="E1142" s="792" t="str">
        <f>IFERROR(VLOOKUP(D1142,Stock,3,FALSE),"")</f>
        <v>Toyota Avanza / Xenia 03-11 1st Gen</v>
      </c>
      <c r="F1142" s="791">
        <v>5.0</v>
      </c>
      <c r="G1142" s="842">
        <v>297550.0</v>
      </c>
      <c r="H1142" s="811">
        <f t="shared" si="40"/>
        <v>1487750</v>
      </c>
      <c r="I1142" s="809">
        <f t="shared" si="65"/>
        <v>1487750</v>
      </c>
      <c r="J1142" s="872">
        <v>45917.0</v>
      </c>
      <c r="K1142" s="799" t="s">
        <v>4262</v>
      </c>
      <c r="L1142" s="818" t="s">
        <v>12235</v>
      </c>
      <c r="M1142" s="818" t="s">
        <v>6675</v>
      </c>
      <c r="N1142" s="839">
        <v>45892.0</v>
      </c>
      <c r="O1142" s="823"/>
    </row>
    <row r="1143" ht="15.0" customHeight="1">
      <c r="A1143" s="789">
        <v>45855.0</v>
      </c>
      <c r="B1143" s="790">
        <v>2507545.0</v>
      </c>
      <c r="C1143" s="791" t="s">
        <v>11484</v>
      </c>
      <c r="D1143" s="791" t="s">
        <v>8633</v>
      </c>
      <c r="E1143" s="792" t="str">
        <f>IFERROR(VLOOKUP(D1143,Stock,3,FALSE),"")</f>
        <v>Honda City 08-13 5th Gen (All New) RS</v>
      </c>
      <c r="F1143" s="791">
        <v>1.0</v>
      </c>
      <c r="G1143" s="842">
        <v>863500.0</v>
      </c>
      <c r="H1143" s="811">
        <f t="shared" si="40"/>
        <v>863500</v>
      </c>
      <c r="I1143" s="809">
        <f t="shared" si="65"/>
        <v>863500</v>
      </c>
      <c r="J1143" s="872">
        <v>45917.0</v>
      </c>
      <c r="K1143" s="799" t="s">
        <v>4262</v>
      </c>
      <c r="L1143" s="818" t="s">
        <v>12235</v>
      </c>
      <c r="M1143" s="818" t="s">
        <v>6675</v>
      </c>
      <c r="N1143" s="839">
        <v>45892.0</v>
      </c>
      <c r="O1143" s="823"/>
    </row>
    <row r="1144" ht="15.0" customHeight="1">
      <c r="A1144" s="789">
        <v>45855.0</v>
      </c>
      <c r="B1144" s="790">
        <v>2507545.0</v>
      </c>
      <c r="C1144" s="791" t="s">
        <v>11484</v>
      </c>
      <c r="D1144" s="791" t="s">
        <v>3622</v>
      </c>
      <c r="E1144" s="792" t="str">
        <f>IFERROR(VLOOKUP(D1144,Stock,3,FALSE),"")</f>
        <v>Mitsubishi Pajero 08-16</v>
      </c>
      <c r="F1144" s="791">
        <v>2.0</v>
      </c>
      <c r="G1144" s="842">
        <v>649000.0</v>
      </c>
      <c r="H1144" s="811">
        <f t="shared" si="40"/>
        <v>1298000</v>
      </c>
      <c r="I1144" s="809">
        <f t="shared" si="65"/>
        <v>1298000</v>
      </c>
      <c r="J1144" s="872">
        <v>45917.0</v>
      </c>
      <c r="K1144" s="799" t="s">
        <v>4262</v>
      </c>
      <c r="L1144" s="818" t="s">
        <v>12235</v>
      </c>
      <c r="M1144" s="818" t="s">
        <v>6675</v>
      </c>
      <c r="N1144" s="839">
        <v>45892.0</v>
      </c>
      <c r="O1144" s="823"/>
    </row>
    <row r="1145" ht="15.0" customHeight="1">
      <c r="A1145" s="789">
        <v>45856.0</v>
      </c>
      <c r="B1145" s="790">
        <v>2507578.0</v>
      </c>
      <c r="C1145" s="791" t="s">
        <v>11484</v>
      </c>
      <c r="D1145" s="791" t="s">
        <v>8532</v>
      </c>
      <c r="E1145" s="792" t="str">
        <f>IFERROR(VLOOKUP(D1145,Stock,3,FALSE),"")</f>
        <v>Toyota Fortuner 05-15 1st Gen (Hitam)</v>
      </c>
      <c r="F1145" s="791">
        <v>1.0</v>
      </c>
      <c r="G1145" s="842">
        <v>425150.0</v>
      </c>
      <c r="H1145" s="811">
        <f t="shared" si="40"/>
        <v>425150</v>
      </c>
      <c r="I1145" s="809">
        <f t="shared" si="65"/>
        <v>425150</v>
      </c>
      <c r="J1145" s="872">
        <v>45918.0</v>
      </c>
      <c r="K1145" s="799" t="s">
        <v>4262</v>
      </c>
      <c r="L1145" s="818" t="s">
        <v>12235</v>
      </c>
      <c r="M1145" s="818" t="s">
        <v>6675</v>
      </c>
      <c r="N1145" s="839">
        <v>45892.0</v>
      </c>
      <c r="O1145" s="823"/>
    </row>
    <row r="1146" ht="15.0" customHeight="1">
      <c r="A1146" s="789">
        <v>45859.0</v>
      </c>
      <c r="B1146" s="790">
        <v>2507614.0</v>
      </c>
      <c r="C1146" s="791" t="s">
        <v>11484</v>
      </c>
      <c r="D1146" s="791" t="s">
        <v>13209</v>
      </c>
      <c r="E1146" s="792" t="str">
        <f>IFERROR(VLOOKUP(D1146,Stock,3,FALSE),"")</f>
        <v>Suzuki Katana 84-</v>
      </c>
      <c r="F1146" s="791">
        <v>1.0</v>
      </c>
      <c r="G1146" s="842">
        <v>352550.0</v>
      </c>
      <c r="H1146" s="811">
        <f t="shared" si="40"/>
        <v>352550</v>
      </c>
      <c r="I1146" s="809">
        <f t="shared" si="65"/>
        <v>352550</v>
      </c>
      <c r="J1146" s="872">
        <v>45921.0</v>
      </c>
      <c r="K1146" s="799" t="s">
        <v>4262</v>
      </c>
      <c r="L1146" s="818" t="s">
        <v>12235</v>
      </c>
      <c r="M1146" s="818" t="s">
        <v>6675</v>
      </c>
      <c r="N1146" s="875">
        <v>45895.0</v>
      </c>
      <c r="O1146" s="823"/>
    </row>
    <row r="1147" ht="15.0" customHeight="1">
      <c r="A1147" s="789">
        <v>45859.0</v>
      </c>
      <c r="B1147" s="790">
        <v>2507614.0</v>
      </c>
      <c r="C1147" s="791" t="s">
        <v>11484</v>
      </c>
      <c r="D1147" s="791" t="s">
        <v>2621</v>
      </c>
      <c r="E1147" s="792" t="str">
        <f>IFERROR(VLOOKUP(D1147,Stock,3,FALSE),"")</f>
        <v>Honda Civic 11-15 9th Gen (All New)</v>
      </c>
      <c r="F1147" s="791">
        <v>1.0</v>
      </c>
      <c r="G1147" s="842">
        <v>981750.0</v>
      </c>
      <c r="H1147" s="811">
        <f t="shared" si="40"/>
        <v>981750</v>
      </c>
      <c r="I1147" s="809">
        <f t="shared" si="65"/>
        <v>981750</v>
      </c>
      <c r="J1147" s="872">
        <v>45921.0</v>
      </c>
      <c r="K1147" s="799" t="s">
        <v>4262</v>
      </c>
      <c r="L1147" s="818" t="s">
        <v>12235</v>
      </c>
      <c r="M1147" s="818" t="s">
        <v>6675</v>
      </c>
      <c r="N1147" s="875">
        <v>45895.0</v>
      </c>
      <c r="O1147" s="823"/>
    </row>
    <row r="1148" ht="15.0" customHeight="1">
      <c r="A1148" s="789">
        <v>45859.0</v>
      </c>
      <c r="B1148" s="790">
        <v>2507614.0</v>
      </c>
      <c r="C1148" s="791" t="s">
        <v>11484</v>
      </c>
      <c r="D1148" s="791" t="s">
        <v>3201</v>
      </c>
      <c r="E1148" s="792" t="str">
        <f>IFERROR(VLOOKUP(D1148,Stock,3,FALSE),"")</f>
        <v>Honda Freed 08-16 1st gen</v>
      </c>
      <c r="F1148" s="791">
        <v>2.0</v>
      </c>
      <c r="G1148" s="842">
        <v>779900.0</v>
      </c>
      <c r="H1148" s="811">
        <f t="shared" si="40"/>
        <v>1559800</v>
      </c>
      <c r="I1148" s="809">
        <f t="shared" si="65"/>
        <v>1559800</v>
      </c>
      <c r="J1148" s="872">
        <v>45921.0</v>
      </c>
      <c r="K1148" s="799" t="s">
        <v>4262</v>
      </c>
      <c r="L1148" s="818" t="s">
        <v>12235</v>
      </c>
      <c r="M1148" s="818" t="s">
        <v>6675</v>
      </c>
      <c r="N1148" s="875">
        <v>45895.0</v>
      </c>
      <c r="O1148" s="823"/>
    </row>
    <row r="1149" ht="15.0" customHeight="1">
      <c r="A1149" s="789">
        <v>45860.0</v>
      </c>
      <c r="B1149" s="790">
        <v>2507643.0</v>
      </c>
      <c r="C1149" s="791" t="s">
        <v>11484</v>
      </c>
      <c r="D1149" s="791" t="s">
        <v>2549</v>
      </c>
      <c r="E1149" s="792" t="str">
        <f>IFERROR(VLOOKUP(D1149,Stock,3,FALSE),"")</f>
        <v>Toyota Avanza / Xenia 11-15 2nd Gen</v>
      </c>
      <c r="F1149" s="791">
        <v>2.0</v>
      </c>
      <c r="G1149" s="842">
        <v>416900.0</v>
      </c>
      <c r="H1149" s="811">
        <f t="shared" si="40"/>
        <v>833800</v>
      </c>
      <c r="I1149" s="809">
        <f t="shared" si="65"/>
        <v>833800</v>
      </c>
      <c r="J1149" s="872">
        <v>45922.0</v>
      </c>
      <c r="K1149" s="799" t="s">
        <v>4262</v>
      </c>
      <c r="L1149" s="818" t="s">
        <v>12235</v>
      </c>
      <c r="M1149" s="818" t="s">
        <v>6675</v>
      </c>
      <c r="N1149" s="839">
        <v>45902.0</v>
      </c>
      <c r="O1149" s="823"/>
    </row>
    <row r="1150" ht="15.0" customHeight="1">
      <c r="A1150" s="789">
        <v>45860.0</v>
      </c>
      <c r="B1150" s="790">
        <v>2507643.0</v>
      </c>
      <c r="C1150" s="791" t="s">
        <v>11484</v>
      </c>
      <c r="D1150" s="791" t="s">
        <v>2562</v>
      </c>
      <c r="E1150" s="792" t="str">
        <f>IFERROR(VLOOKUP(D1150,Stock,3,FALSE),"")</f>
        <v>Toyota Avanza / Xenia 15-21 3rd Gen</v>
      </c>
      <c r="F1150" s="791">
        <v>2.0</v>
      </c>
      <c r="G1150" s="842">
        <v>416900.0</v>
      </c>
      <c r="H1150" s="811">
        <f t="shared" si="40"/>
        <v>833800</v>
      </c>
      <c r="I1150" s="809">
        <f t="shared" si="65"/>
        <v>833800</v>
      </c>
      <c r="J1150" s="872">
        <v>45922.0</v>
      </c>
      <c r="K1150" s="799" t="s">
        <v>4262</v>
      </c>
      <c r="L1150" s="818" t="s">
        <v>12235</v>
      </c>
      <c r="M1150" s="818" t="s">
        <v>6675</v>
      </c>
      <c r="N1150" s="839">
        <v>45902.0</v>
      </c>
      <c r="O1150" s="823"/>
    </row>
    <row r="1151" ht="15.0" customHeight="1">
      <c r="A1151" s="789">
        <v>45860.0</v>
      </c>
      <c r="B1151" s="790">
        <v>2507643.0</v>
      </c>
      <c r="C1151" s="791" t="s">
        <v>11484</v>
      </c>
      <c r="D1151" s="791" t="s">
        <v>3313</v>
      </c>
      <c r="E1151" s="792" t="str">
        <f>IFERROR(VLOOKUP(D1151,Stock,3,FALSE),"")</f>
        <v>Toyota Avanza / Xenia 21- 4th Gen (Non sensor)</v>
      </c>
      <c r="F1151" s="791">
        <v>2.0</v>
      </c>
      <c r="G1151" s="842">
        <v>654500.0</v>
      </c>
      <c r="H1151" s="811">
        <f t="shared" si="40"/>
        <v>1309000</v>
      </c>
      <c r="I1151" s="809">
        <f t="shared" si="65"/>
        <v>1309000</v>
      </c>
      <c r="J1151" s="872">
        <v>45922.0</v>
      </c>
      <c r="K1151" s="799" t="s">
        <v>4262</v>
      </c>
      <c r="L1151" s="818" t="s">
        <v>12235</v>
      </c>
      <c r="M1151" s="818" t="s">
        <v>6675</v>
      </c>
      <c r="N1151" s="839">
        <v>45902.0</v>
      </c>
      <c r="O1151" s="823"/>
    </row>
    <row r="1152" ht="15.0" customHeight="1">
      <c r="A1152" s="789">
        <v>45860.0</v>
      </c>
      <c r="B1152" s="790">
        <v>2507643.0</v>
      </c>
      <c r="C1152" s="791" t="s">
        <v>11484</v>
      </c>
      <c r="D1152" s="791" t="s">
        <v>8490</v>
      </c>
      <c r="E1152" s="792" t="str">
        <f>IFERROR(VLOOKUP(D1152,Stock,3,FALSE),"")</f>
        <v>Honda City 14-18 GM6</v>
      </c>
      <c r="F1152" s="791">
        <v>1.0</v>
      </c>
      <c r="G1152" s="842">
        <v>970750.0</v>
      </c>
      <c r="H1152" s="811">
        <f t="shared" si="40"/>
        <v>970750</v>
      </c>
      <c r="I1152" s="809">
        <f t="shared" si="65"/>
        <v>970750</v>
      </c>
      <c r="J1152" s="872">
        <v>45922.0</v>
      </c>
      <c r="K1152" s="799" t="s">
        <v>4262</v>
      </c>
      <c r="L1152" s="818" t="s">
        <v>12235</v>
      </c>
      <c r="M1152" s="818" t="s">
        <v>6675</v>
      </c>
      <c r="N1152" s="839">
        <v>45902.0</v>
      </c>
      <c r="O1152" s="823"/>
    </row>
    <row r="1153" ht="15.0" customHeight="1">
      <c r="A1153" s="789">
        <v>45860.0</v>
      </c>
      <c r="B1153" s="790">
        <v>2507657.0</v>
      </c>
      <c r="C1153" s="791" t="s">
        <v>11484</v>
      </c>
      <c r="D1153" s="791" t="s">
        <v>3223</v>
      </c>
      <c r="E1153" s="792" t="str">
        <f>IFERROR(VLOOKUP(D1153,Stock,3,FALSE),"")</f>
        <v>Mitsubishi Strada Triton 08-15</v>
      </c>
      <c r="F1153" s="791">
        <v>1.0</v>
      </c>
      <c r="G1153" s="842">
        <v>578050.0</v>
      </c>
      <c r="H1153" s="811">
        <f t="shared" si="40"/>
        <v>578050</v>
      </c>
      <c r="I1153" s="809">
        <f t="shared" si="65"/>
        <v>578050</v>
      </c>
      <c r="J1153" s="872">
        <v>45922.0</v>
      </c>
      <c r="K1153" s="799" t="s">
        <v>4262</v>
      </c>
      <c r="L1153" s="818" t="s">
        <v>12235</v>
      </c>
      <c r="M1153" s="818" t="s">
        <v>6675</v>
      </c>
      <c r="N1153" s="839">
        <v>45902.0</v>
      </c>
      <c r="O1153" s="823"/>
    </row>
    <row r="1154" ht="15.0" customHeight="1">
      <c r="A1154" s="789">
        <v>45861.0</v>
      </c>
      <c r="B1154" s="790" t="s">
        <v>13210</v>
      </c>
      <c r="C1154" s="791" t="s">
        <v>13145</v>
      </c>
      <c r="D1154" s="791" t="s">
        <v>8581</v>
      </c>
      <c r="E1154" s="792" t="str">
        <f>IFERROR(VLOOKUP(D1154,Stock,3,FALSE),"")</f>
        <v>Honda City 19- GN (Honda)</v>
      </c>
      <c r="F1154" s="791">
        <v>1.0</v>
      </c>
      <c r="G1154" s="842">
        <v>3380000.0</v>
      </c>
      <c r="H1154" s="811">
        <f t="shared" si="40"/>
        <v>3380000</v>
      </c>
      <c r="I1154" s="809"/>
      <c r="J1154" s="819"/>
      <c r="K1154" s="799" t="s">
        <v>4262</v>
      </c>
      <c r="L1154" s="818" t="s">
        <v>12235</v>
      </c>
      <c r="M1154" s="818" t="s">
        <v>6675</v>
      </c>
      <c r="N1154" s="839">
        <v>45861.0</v>
      </c>
      <c r="O1154" s="823"/>
    </row>
    <row r="1155" ht="15.0" customHeight="1">
      <c r="A1155" s="789">
        <v>45861.0</v>
      </c>
      <c r="B1155" s="790" t="s">
        <v>13211</v>
      </c>
      <c r="C1155" s="791" t="s">
        <v>12932</v>
      </c>
      <c r="D1155" s="791" t="s">
        <v>2836</v>
      </c>
      <c r="E1155" s="792" t="str">
        <f>IFERROR(VLOOKUP(D1155,Stock,3,FALSE),"")</f>
        <v>Toyota Avanza / Xenia 21- 4th Gen</v>
      </c>
      <c r="F1155" s="791">
        <v>3.0</v>
      </c>
      <c r="G1155" s="842">
        <v>376549.7</v>
      </c>
      <c r="H1155" s="811">
        <f t="shared" si="40"/>
        <v>1129649.1</v>
      </c>
      <c r="I1155" s="809">
        <f t="shared" ref="I1155:I1159" si="66">H1155</f>
        <v>1129649.1</v>
      </c>
      <c r="J1155" s="872">
        <v>45923.0</v>
      </c>
      <c r="K1155" s="799" t="s">
        <v>4262</v>
      </c>
      <c r="L1155" s="818" t="s">
        <v>12235</v>
      </c>
      <c r="M1155" s="818" t="s">
        <v>6675</v>
      </c>
      <c r="N1155" s="839">
        <v>45878.0</v>
      </c>
      <c r="O1155" s="823"/>
    </row>
    <row r="1156" ht="15.0" customHeight="1">
      <c r="A1156" s="789">
        <v>45861.0</v>
      </c>
      <c r="B1156" s="790" t="s">
        <v>13211</v>
      </c>
      <c r="C1156" s="791" t="s">
        <v>12932</v>
      </c>
      <c r="D1156" s="791" t="s">
        <v>8938</v>
      </c>
      <c r="E1156" s="792" t="str">
        <f>IFERROR(VLOOKUP(D1156,Stock,3,FALSE),"")</f>
        <v/>
      </c>
      <c r="F1156" s="791">
        <v>5.0</v>
      </c>
      <c r="G1156" s="842">
        <v>247350.1</v>
      </c>
      <c r="H1156" s="811">
        <f t="shared" si="40"/>
        <v>1236750.5</v>
      </c>
      <c r="I1156" s="809">
        <f t="shared" si="66"/>
        <v>1236750.5</v>
      </c>
      <c r="J1156" s="872">
        <v>45923.0</v>
      </c>
      <c r="K1156" s="799" t="s">
        <v>4262</v>
      </c>
      <c r="L1156" s="818" t="s">
        <v>12235</v>
      </c>
      <c r="M1156" s="818" t="s">
        <v>6675</v>
      </c>
      <c r="N1156" s="839">
        <v>45878.0</v>
      </c>
      <c r="O1156" s="823"/>
    </row>
    <row r="1157" ht="15.0" customHeight="1">
      <c r="A1157" s="789">
        <v>45862.0</v>
      </c>
      <c r="B1157" s="790">
        <v>2507730.0</v>
      </c>
      <c r="C1157" s="791" t="s">
        <v>11484</v>
      </c>
      <c r="D1157" s="791" t="s">
        <v>3186</v>
      </c>
      <c r="E1157" s="792" t="str">
        <f>IFERROR(VLOOKUP(D1157,Stock,3,FALSE),"")</f>
        <v>Daihatsu Gran Max / Luxio 07-</v>
      </c>
      <c r="F1157" s="791">
        <v>2.0</v>
      </c>
      <c r="G1157" s="842">
        <v>470250.0</v>
      </c>
      <c r="H1157" s="811">
        <f t="shared" si="40"/>
        <v>940500</v>
      </c>
      <c r="I1157" s="809">
        <f t="shared" si="66"/>
        <v>940500</v>
      </c>
      <c r="J1157" s="872">
        <v>45924.0</v>
      </c>
      <c r="K1157" s="799" t="s">
        <v>4262</v>
      </c>
      <c r="L1157" s="818" t="s">
        <v>12235</v>
      </c>
      <c r="M1157" s="818" t="s">
        <v>6675</v>
      </c>
      <c r="N1157" s="839">
        <v>45909.0</v>
      </c>
      <c r="O1157" s="823"/>
    </row>
    <row r="1158" ht="15.0" customHeight="1">
      <c r="A1158" s="789">
        <v>45862.0</v>
      </c>
      <c r="B1158" s="790">
        <v>2507730.0</v>
      </c>
      <c r="C1158" s="791" t="s">
        <v>11484</v>
      </c>
      <c r="D1158" s="791" t="s">
        <v>2706</v>
      </c>
      <c r="E1158" s="792" t="str">
        <f>IFERROR(VLOOKUP(D1158,Stock,3,FALSE),"")</f>
        <v>Isuzu Elf 17- New NMR NLR</v>
      </c>
      <c r="F1158" s="791">
        <v>1.0</v>
      </c>
      <c r="G1158" s="842">
        <v>502700.0</v>
      </c>
      <c r="H1158" s="811">
        <f t="shared" si="40"/>
        <v>502700</v>
      </c>
      <c r="I1158" s="809">
        <f t="shared" si="66"/>
        <v>502700</v>
      </c>
      <c r="J1158" s="872">
        <v>45924.0</v>
      </c>
      <c r="K1158" s="799" t="s">
        <v>4262</v>
      </c>
      <c r="L1158" s="818" t="s">
        <v>12235</v>
      </c>
      <c r="M1158" s="818" t="s">
        <v>6675</v>
      </c>
      <c r="N1158" s="839">
        <v>45909.0</v>
      </c>
      <c r="O1158" s="823"/>
    </row>
    <row r="1159" ht="15.0" customHeight="1">
      <c r="A1159" s="789">
        <v>45862.0</v>
      </c>
      <c r="B1159" s="790">
        <v>2507730.0</v>
      </c>
      <c r="C1159" s="791" t="s">
        <v>11484</v>
      </c>
      <c r="D1159" s="791" t="s">
        <v>6576</v>
      </c>
      <c r="E1159" s="792" t="str">
        <f>IFERROR(VLOOKUP(D1159,Stock,3,FALSE),"")</f>
        <v>Subaru XV 12- / WRX 15-</v>
      </c>
      <c r="F1159" s="791">
        <v>1.0</v>
      </c>
      <c r="G1159" s="842">
        <v>2099900.0</v>
      </c>
      <c r="H1159" s="811">
        <f t="shared" si="40"/>
        <v>2099900</v>
      </c>
      <c r="I1159" s="809">
        <f t="shared" si="66"/>
        <v>2099900</v>
      </c>
      <c r="J1159" s="872">
        <v>45924.0</v>
      </c>
      <c r="K1159" s="799" t="s">
        <v>4262</v>
      </c>
      <c r="L1159" s="818" t="s">
        <v>12235</v>
      </c>
      <c r="M1159" s="818" t="s">
        <v>6675</v>
      </c>
      <c r="N1159" s="839">
        <v>45909.0</v>
      </c>
      <c r="O1159" s="823"/>
    </row>
    <row r="1160" ht="15.0" customHeight="1">
      <c r="A1160" s="789">
        <v>45863.0</v>
      </c>
      <c r="B1160" s="790" t="s">
        <v>13212</v>
      </c>
      <c r="C1160" s="791" t="s">
        <v>12963</v>
      </c>
      <c r="D1160" s="791" t="s">
        <v>13213</v>
      </c>
      <c r="E1160" s="792" t="str">
        <f>IFERROR(VLOOKUP(D1160,Stock,3,FALSE),"")</f>
        <v>Suzuki Carry 91-17 / Futura 91-18</v>
      </c>
      <c r="F1160" s="791">
        <v>1.0</v>
      </c>
      <c r="G1160" s="842">
        <v>135000.0</v>
      </c>
      <c r="H1160" s="811">
        <f t="shared" si="40"/>
        <v>135000</v>
      </c>
      <c r="I1160" s="809"/>
      <c r="J1160" s="819"/>
      <c r="K1160" s="799" t="s">
        <v>4262</v>
      </c>
      <c r="L1160" s="818" t="s">
        <v>12235</v>
      </c>
      <c r="M1160" s="818" t="s">
        <v>6675</v>
      </c>
      <c r="N1160" s="818" t="s">
        <v>13214</v>
      </c>
      <c r="O1160" s="823"/>
    </row>
    <row r="1161" ht="15.0" customHeight="1">
      <c r="A1161" s="789">
        <v>45863.0</v>
      </c>
      <c r="B1161" s="790" t="s">
        <v>13215</v>
      </c>
      <c r="C1161" s="791" t="s">
        <v>3076</v>
      </c>
      <c r="D1161" s="791" t="s">
        <v>2665</v>
      </c>
      <c r="E1161" s="792" t="str">
        <f>IFERROR(VLOOKUP(D1161,Stock,3,FALSE),"")</f>
        <v>Chevrolet Spin 12-</v>
      </c>
      <c r="F1161" s="791">
        <v>1.0</v>
      </c>
      <c r="G1161" s="842">
        <v>1012500.0</v>
      </c>
      <c r="H1161" s="811">
        <f t="shared" si="40"/>
        <v>1012500</v>
      </c>
      <c r="I1161" s="809"/>
      <c r="J1161" s="819"/>
      <c r="K1161" s="799" t="s">
        <v>4262</v>
      </c>
      <c r="L1161" s="818" t="s">
        <v>12235</v>
      </c>
      <c r="M1161" s="818" t="s">
        <v>6675</v>
      </c>
      <c r="N1161" s="818" t="s">
        <v>13216</v>
      </c>
      <c r="O1161" s="823"/>
    </row>
    <row r="1162" ht="15.0" customHeight="1">
      <c r="A1162" s="789">
        <v>45863.0</v>
      </c>
      <c r="B1162" s="790" t="s">
        <v>13215</v>
      </c>
      <c r="C1162" s="791" t="s">
        <v>3076</v>
      </c>
      <c r="D1162" s="824" t="s">
        <v>3083</v>
      </c>
      <c r="E1162" s="792" t="str">
        <f>IFERROR(VLOOKUP(D1162,Stock,3,FALSE),"")</f>
        <v>List Kaca Depan Code 04</v>
      </c>
      <c r="F1162" s="791">
        <v>10.0</v>
      </c>
      <c r="G1162" s="842">
        <v>65000.0</v>
      </c>
      <c r="H1162" s="811">
        <f t="shared" si="40"/>
        <v>650000</v>
      </c>
      <c r="I1162" s="809"/>
      <c r="J1162" s="819"/>
      <c r="K1162" s="799" t="s">
        <v>4262</v>
      </c>
      <c r="L1162" s="818" t="s">
        <v>12235</v>
      </c>
      <c r="M1162" s="818" t="s">
        <v>6675</v>
      </c>
      <c r="N1162" s="818" t="s">
        <v>13216</v>
      </c>
      <c r="O1162" s="823"/>
    </row>
    <row r="1163" ht="15.0" customHeight="1">
      <c r="A1163" s="789">
        <v>45863.0</v>
      </c>
      <c r="B1163" s="790" t="s">
        <v>13215</v>
      </c>
      <c r="C1163" s="791" t="s">
        <v>3076</v>
      </c>
      <c r="D1163" s="824" t="s">
        <v>3826</v>
      </c>
      <c r="E1163" s="792" t="str">
        <f>IFERROR(VLOOKUP(D1163,Stock,3,FALSE),"")</f>
        <v>List Kaca Depan Code 11</v>
      </c>
      <c r="F1163" s="791">
        <v>5.0</v>
      </c>
      <c r="G1163" s="842">
        <v>65000.0</v>
      </c>
      <c r="H1163" s="811">
        <f t="shared" si="40"/>
        <v>325000</v>
      </c>
      <c r="I1163" s="809"/>
      <c r="J1163" s="819"/>
      <c r="K1163" s="799" t="s">
        <v>4262</v>
      </c>
      <c r="L1163" s="818" t="s">
        <v>12235</v>
      </c>
      <c r="M1163" s="818" t="s">
        <v>6675</v>
      </c>
      <c r="N1163" s="818" t="s">
        <v>13216</v>
      </c>
      <c r="O1163" s="823"/>
    </row>
    <row r="1164" ht="15.0" customHeight="1">
      <c r="A1164" s="789">
        <v>45863.0</v>
      </c>
      <c r="B1164" s="790" t="s">
        <v>13215</v>
      </c>
      <c r="C1164" s="791" t="s">
        <v>3076</v>
      </c>
      <c r="D1164" s="791" t="s">
        <v>2934</v>
      </c>
      <c r="E1164" s="792" t="str">
        <f>IFERROR(VLOOKUP(D1164,Stock,3,FALSE),"")</f>
        <v>Peti Kayu</v>
      </c>
      <c r="F1164" s="791">
        <v>1.0</v>
      </c>
      <c r="G1164" s="842">
        <v>150000.0</v>
      </c>
      <c r="H1164" s="811">
        <f t="shared" si="40"/>
        <v>150000</v>
      </c>
      <c r="I1164" s="809"/>
      <c r="J1164" s="819"/>
      <c r="K1164" s="799" t="s">
        <v>4262</v>
      </c>
      <c r="L1164" s="818" t="s">
        <v>12235</v>
      </c>
      <c r="M1164" s="818" t="s">
        <v>6675</v>
      </c>
      <c r="N1164" s="818" t="s">
        <v>13216</v>
      </c>
      <c r="O1164" s="823"/>
    </row>
    <row r="1165" ht="15.0" customHeight="1">
      <c r="A1165" s="789">
        <v>45863.0</v>
      </c>
      <c r="B1165" s="790">
        <v>2507786.0</v>
      </c>
      <c r="C1165" s="791" t="s">
        <v>11484</v>
      </c>
      <c r="D1165" s="791" t="s">
        <v>2546</v>
      </c>
      <c r="E1165" s="792" t="str">
        <f>IFERROR(VLOOKUP(D1165,Stock,3,FALSE),"")</f>
        <v>Wuling Confero (Tanpa Spionnya)</v>
      </c>
      <c r="F1165" s="791">
        <v>2.0</v>
      </c>
      <c r="G1165" s="842">
        <v>627000.0</v>
      </c>
      <c r="H1165" s="811">
        <f t="shared" si="40"/>
        <v>1254000</v>
      </c>
      <c r="I1165" s="809">
        <f>H1165</f>
        <v>1254000</v>
      </c>
      <c r="J1165" s="872">
        <v>45928.0</v>
      </c>
      <c r="K1165" s="799" t="s">
        <v>4262</v>
      </c>
      <c r="L1165" s="818" t="s">
        <v>12235</v>
      </c>
      <c r="M1165" s="818" t="s">
        <v>6675</v>
      </c>
      <c r="N1165" s="839">
        <v>45909.0</v>
      </c>
      <c r="O1165" s="823"/>
    </row>
    <row r="1166" ht="15.0" customHeight="1">
      <c r="A1166" s="789">
        <v>45866.0</v>
      </c>
      <c r="B1166" s="790" t="s">
        <v>13217</v>
      </c>
      <c r="C1166" s="791" t="s">
        <v>12963</v>
      </c>
      <c r="D1166" s="791" t="s">
        <v>8670</v>
      </c>
      <c r="E1166" s="792" t="str">
        <f>IFERROR(VLOOKUP(D1166,Stock,3,FALSE),"")</f>
        <v>Suzuki Splash 09-16 (Suzuki)</v>
      </c>
      <c r="F1166" s="791">
        <v>1.0</v>
      </c>
      <c r="G1166" s="842">
        <v>2330000.0</v>
      </c>
      <c r="H1166" s="811">
        <f t="shared" si="40"/>
        <v>2330000</v>
      </c>
      <c r="I1166" s="809"/>
      <c r="J1166" s="819"/>
      <c r="K1166" s="799" t="s">
        <v>4262</v>
      </c>
      <c r="L1166" s="818" t="s">
        <v>12235</v>
      </c>
      <c r="M1166" s="818" t="s">
        <v>6675</v>
      </c>
      <c r="N1166" s="818" t="s">
        <v>13218</v>
      </c>
      <c r="O1166" s="823"/>
    </row>
    <row r="1167" ht="15.0" customHeight="1">
      <c r="A1167" s="789">
        <v>45867.0</v>
      </c>
      <c r="B1167" s="790">
        <v>2507843.0</v>
      </c>
      <c r="C1167" s="791" t="s">
        <v>11484</v>
      </c>
      <c r="D1167" s="791" t="s">
        <v>2662</v>
      </c>
      <c r="E1167" s="792" t="str">
        <f>IFERROR(VLOOKUP(D1167,Stock,3,FALSE),"")</f>
        <v>Wuling Almaz (Sensor)</v>
      </c>
      <c r="F1167" s="791">
        <v>1.0</v>
      </c>
      <c r="G1167" s="842">
        <v>1485000.0</v>
      </c>
      <c r="H1167" s="811">
        <f t="shared" si="40"/>
        <v>1485000</v>
      </c>
      <c r="I1167" s="809">
        <f t="shared" ref="I1167:I1175" si="67">H1167</f>
        <v>1485000</v>
      </c>
      <c r="J1167" s="872">
        <v>45929.0</v>
      </c>
      <c r="K1167" s="799" t="s">
        <v>4262</v>
      </c>
      <c r="L1167" s="818" t="s">
        <v>12235</v>
      </c>
      <c r="M1167" s="818" t="s">
        <v>6675</v>
      </c>
      <c r="N1167" s="839">
        <v>45909.0</v>
      </c>
      <c r="O1167" s="823"/>
    </row>
    <row r="1168" ht="15.0" customHeight="1">
      <c r="A1168" s="789">
        <v>45867.0</v>
      </c>
      <c r="B1168" s="790">
        <v>2507843.0</v>
      </c>
      <c r="C1168" s="791" t="s">
        <v>11484</v>
      </c>
      <c r="D1168" s="791" t="s">
        <v>2687</v>
      </c>
      <c r="E1168" s="792" t="str">
        <f>IFERROR(VLOOKUP(D1168,Stock,3,FALSE),"")</f>
        <v>Mitsubishi Outlander 10-21 GA3</v>
      </c>
      <c r="F1168" s="791">
        <v>1.0</v>
      </c>
      <c r="G1168" s="842">
        <v>983400.0</v>
      </c>
      <c r="H1168" s="811">
        <f t="shared" si="40"/>
        <v>983400</v>
      </c>
      <c r="I1168" s="809">
        <f t="shared" si="67"/>
        <v>983400</v>
      </c>
      <c r="J1168" s="872">
        <v>45929.0</v>
      </c>
      <c r="K1168" s="799" t="s">
        <v>4262</v>
      </c>
      <c r="L1168" s="818" t="s">
        <v>12235</v>
      </c>
      <c r="M1168" s="818" t="s">
        <v>6675</v>
      </c>
      <c r="N1168" s="839">
        <v>45909.0</v>
      </c>
      <c r="O1168" s="823"/>
    </row>
    <row r="1169" ht="15.0" customHeight="1">
      <c r="A1169" s="789">
        <v>45867.0</v>
      </c>
      <c r="B1169" s="790">
        <v>2507843.0</v>
      </c>
      <c r="C1169" s="791" t="s">
        <v>11484</v>
      </c>
      <c r="D1169" s="791" t="s">
        <v>8591</v>
      </c>
      <c r="E1169" s="792" t="str">
        <f>IFERROR(VLOOKUP(D1169,Stock,3,FALSE),"")</f>
        <v>Mini Cooper Hatch. F55/F56/F57 14- 3D/5D/Cab. RS2 ( O /\ )</v>
      </c>
      <c r="F1169" s="791">
        <v>1.0</v>
      </c>
      <c r="G1169" s="842">
        <v>3465000.0</v>
      </c>
      <c r="H1169" s="811">
        <f t="shared" si="40"/>
        <v>3465000</v>
      </c>
      <c r="I1169" s="809">
        <f t="shared" si="67"/>
        <v>3465000</v>
      </c>
      <c r="J1169" s="872">
        <v>45929.0</v>
      </c>
      <c r="K1169" s="799" t="s">
        <v>4262</v>
      </c>
      <c r="L1169" s="818" t="s">
        <v>12235</v>
      </c>
      <c r="M1169" s="818" t="s">
        <v>6675</v>
      </c>
      <c r="N1169" s="839">
        <v>45909.0</v>
      </c>
      <c r="O1169" s="823"/>
    </row>
    <row r="1170" ht="15.0" customHeight="1">
      <c r="A1170" s="789">
        <v>45867.0</v>
      </c>
      <c r="B1170" s="790">
        <v>2507843.0</v>
      </c>
      <c r="C1170" s="791" t="s">
        <v>11484</v>
      </c>
      <c r="D1170" s="791" t="s">
        <v>6984</v>
      </c>
      <c r="E1170" s="792" t="str">
        <f>IFERROR(VLOOKUP(D1170,Stock,3,FALSE),"")</f>
        <v>Mitsubishi Mirage 12-</v>
      </c>
      <c r="F1170" s="791">
        <v>1.0</v>
      </c>
      <c r="G1170" s="842">
        <v>902000.0</v>
      </c>
      <c r="H1170" s="811">
        <f t="shared" si="40"/>
        <v>902000</v>
      </c>
      <c r="I1170" s="809">
        <f t="shared" si="67"/>
        <v>902000</v>
      </c>
      <c r="J1170" s="872">
        <v>45929.0</v>
      </c>
      <c r="K1170" s="799" t="s">
        <v>4262</v>
      </c>
      <c r="L1170" s="818" t="s">
        <v>12235</v>
      </c>
      <c r="M1170" s="818" t="s">
        <v>6675</v>
      </c>
      <c r="N1170" s="839">
        <v>45909.0</v>
      </c>
      <c r="O1170" s="823"/>
    </row>
    <row r="1171" ht="15.0" customHeight="1">
      <c r="A1171" s="789">
        <v>45867.0</v>
      </c>
      <c r="B1171" s="790">
        <v>2507846.0</v>
      </c>
      <c r="C1171" s="791" t="s">
        <v>11484</v>
      </c>
      <c r="D1171" s="791" t="s">
        <v>2690</v>
      </c>
      <c r="E1171" s="792" t="str">
        <f>IFERROR(VLOOKUP(D1171,Stock,3,FALSE),"")</f>
        <v>Suzuki APV 03- Pickup/ Van</v>
      </c>
      <c r="F1171" s="791">
        <v>2.0</v>
      </c>
      <c r="G1171" s="842">
        <v>491700.0</v>
      </c>
      <c r="H1171" s="811">
        <f t="shared" si="40"/>
        <v>983400</v>
      </c>
      <c r="I1171" s="809">
        <f t="shared" si="67"/>
        <v>983400</v>
      </c>
      <c r="J1171" s="872">
        <v>45929.0</v>
      </c>
      <c r="K1171" s="799" t="s">
        <v>4262</v>
      </c>
      <c r="L1171" s="818" t="s">
        <v>12235</v>
      </c>
      <c r="M1171" s="818" t="s">
        <v>6675</v>
      </c>
      <c r="N1171" s="839">
        <v>45909.0</v>
      </c>
      <c r="O1171" s="823"/>
    </row>
    <row r="1172" ht="15.0" customHeight="1">
      <c r="A1172" s="789">
        <v>45867.0</v>
      </c>
      <c r="B1172" s="790">
        <v>2507846.0</v>
      </c>
      <c r="C1172" s="791" t="s">
        <v>11484</v>
      </c>
      <c r="D1172" s="791" t="s">
        <v>3068</v>
      </c>
      <c r="E1172" s="792" t="str">
        <f>IFERROR(VLOOKUP(D1172,Stock,3,FALSE),"")</f>
        <v>Honda Brio 10- / Mobilio 11-</v>
      </c>
      <c r="F1172" s="791">
        <v>3.0</v>
      </c>
      <c r="G1172" s="842">
        <v>573100.0</v>
      </c>
      <c r="H1172" s="811">
        <f t="shared" si="40"/>
        <v>1719300</v>
      </c>
      <c r="I1172" s="809">
        <f t="shared" si="67"/>
        <v>1719300</v>
      </c>
      <c r="J1172" s="872">
        <v>45929.0</v>
      </c>
      <c r="K1172" s="799" t="s">
        <v>4262</v>
      </c>
      <c r="L1172" s="818" t="s">
        <v>12235</v>
      </c>
      <c r="M1172" s="818" t="s">
        <v>6675</v>
      </c>
      <c r="N1172" s="839">
        <v>45909.0</v>
      </c>
      <c r="O1172" s="823"/>
    </row>
    <row r="1173" ht="15.0" customHeight="1">
      <c r="A1173" s="789">
        <v>45868.0</v>
      </c>
      <c r="B1173" s="790" t="s">
        <v>13219</v>
      </c>
      <c r="C1173" s="791" t="s">
        <v>12932</v>
      </c>
      <c r="D1173" s="791" t="s">
        <v>5458</v>
      </c>
      <c r="E1173" s="792" t="str">
        <f>IFERROR(VLOOKUP(D1173,Stock,3,FALSE),"")</f>
        <v>Isuzu Panther 00- 2nd Gen (Sealant)</v>
      </c>
      <c r="F1173" s="791">
        <v>5.0</v>
      </c>
      <c r="G1173" s="842">
        <v>198899.7</v>
      </c>
      <c r="H1173" s="811">
        <f t="shared" si="40"/>
        <v>994498.5</v>
      </c>
      <c r="I1173" s="809">
        <f t="shared" si="67"/>
        <v>994498.5</v>
      </c>
      <c r="J1173" s="872">
        <v>45930.0</v>
      </c>
      <c r="K1173" s="799" t="s">
        <v>4262</v>
      </c>
      <c r="L1173" s="818" t="s">
        <v>12235</v>
      </c>
      <c r="M1173" s="818" t="s">
        <v>6675</v>
      </c>
      <c r="N1173" s="839">
        <v>45878.0</v>
      </c>
      <c r="O1173" s="823"/>
    </row>
    <row r="1174" ht="15.0" customHeight="1">
      <c r="A1174" s="789">
        <v>45868.0</v>
      </c>
      <c r="B1174" s="790" t="s">
        <v>13219</v>
      </c>
      <c r="C1174" s="791" t="s">
        <v>12932</v>
      </c>
      <c r="D1174" s="791" t="s">
        <v>2828</v>
      </c>
      <c r="E1174" s="792" t="str">
        <f>IFERROR(VLOOKUP(D1174,Stock,3,FALSE),"")</f>
        <v>Mitsubishi L300</v>
      </c>
      <c r="F1174" s="791">
        <v>5.0</v>
      </c>
      <c r="G1174" s="842">
        <v>102000.1</v>
      </c>
      <c r="H1174" s="811">
        <f t="shared" si="40"/>
        <v>510000.5</v>
      </c>
      <c r="I1174" s="809">
        <f t="shared" si="67"/>
        <v>510000.5</v>
      </c>
      <c r="J1174" s="872">
        <v>45930.0</v>
      </c>
      <c r="K1174" s="799" t="s">
        <v>4262</v>
      </c>
      <c r="L1174" s="818" t="s">
        <v>12235</v>
      </c>
      <c r="M1174" s="818" t="s">
        <v>6675</v>
      </c>
      <c r="N1174" s="839">
        <v>45878.0</v>
      </c>
      <c r="O1174" s="823"/>
    </row>
    <row r="1175" ht="15.0" customHeight="1">
      <c r="A1175" s="789">
        <v>45868.0</v>
      </c>
      <c r="B1175" s="790" t="s">
        <v>13220</v>
      </c>
      <c r="C1175" s="791" t="s">
        <v>13022</v>
      </c>
      <c r="D1175" s="791" t="s">
        <v>5429</v>
      </c>
      <c r="E1175" s="792" t="str">
        <f>IFERROR(VLOOKUP(D1175,Stock,3,FALSE),"")</f>
        <v>Toyota Innova 04-15 1st Gen (Toyota)</v>
      </c>
      <c r="F1175" s="791">
        <v>1.0</v>
      </c>
      <c r="G1175" s="842">
        <v>1197000.0</v>
      </c>
      <c r="H1175" s="811">
        <f t="shared" si="40"/>
        <v>1197000</v>
      </c>
      <c r="I1175" s="809">
        <f t="shared" si="67"/>
        <v>1197000</v>
      </c>
      <c r="J1175" s="819"/>
      <c r="K1175" s="799" t="s">
        <v>4262</v>
      </c>
      <c r="L1175" s="818" t="s">
        <v>12235</v>
      </c>
      <c r="M1175" s="818" t="s">
        <v>6675</v>
      </c>
      <c r="N1175" s="839">
        <v>45878.0</v>
      </c>
      <c r="O1175" s="823"/>
    </row>
    <row r="1176" ht="15.0" customHeight="1">
      <c r="A1176" s="789">
        <v>45869.0</v>
      </c>
      <c r="B1176" s="790" t="s">
        <v>13221</v>
      </c>
      <c r="C1176" s="791" t="s">
        <v>13145</v>
      </c>
      <c r="D1176" s="791" t="s">
        <v>8585</v>
      </c>
      <c r="E1176" s="792" t="str">
        <f>IFERROR(VLOOKUP(D1176,Stock,3,FALSE),"")</f>
        <v>Honda City 19- GN (Honda)</v>
      </c>
      <c r="F1176" s="791">
        <v>1.0</v>
      </c>
      <c r="G1176" s="842">
        <v>1050000.0</v>
      </c>
      <c r="H1176" s="811">
        <f t="shared" si="40"/>
        <v>1050000</v>
      </c>
      <c r="I1176" s="809"/>
      <c r="J1176" s="819"/>
      <c r="K1176" s="799" t="s">
        <v>4262</v>
      </c>
      <c r="L1176" s="818" t="s">
        <v>12235</v>
      </c>
      <c r="M1176" s="818" t="s">
        <v>6675</v>
      </c>
      <c r="N1176" s="839">
        <v>45869.0</v>
      </c>
      <c r="O1176" s="823"/>
    </row>
    <row r="1177" ht="15.0" customHeight="1">
      <c r="A1177" s="789">
        <v>45870.0</v>
      </c>
      <c r="B1177" s="790" t="s">
        <v>13222</v>
      </c>
      <c r="C1177" s="791" t="s">
        <v>13145</v>
      </c>
      <c r="D1177" s="791" t="s">
        <v>8708</v>
      </c>
      <c r="E1177" s="792" t="str">
        <f>IFERROR(VLOOKUP(D1177,Stock,3,FALSE),"")</f>
        <v>Honda Civic 05-11 8th Gen (Civic Batman FD) (Honda)</v>
      </c>
      <c r="F1177" s="791">
        <v>1.0</v>
      </c>
      <c r="G1177" s="842">
        <v>685000.0</v>
      </c>
      <c r="H1177" s="811">
        <f t="shared" si="40"/>
        <v>685000</v>
      </c>
      <c r="I1177" s="809"/>
      <c r="J1177" s="819"/>
      <c r="K1177" s="799" t="s">
        <v>4262</v>
      </c>
      <c r="L1177" s="818" t="s">
        <v>12235</v>
      </c>
      <c r="M1177" s="818" t="s">
        <v>6675</v>
      </c>
      <c r="N1177" s="839">
        <v>45870.0</v>
      </c>
      <c r="O1177" s="823"/>
    </row>
    <row r="1178" ht="15.0" customHeight="1">
      <c r="A1178" s="789">
        <v>45873.0</v>
      </c>
      <c r="B1178" s="790" t="s">
        <v>13223</v>
      </c>
      <c r="C1178" s="791" t="s">
        <v>13145</v>
      </c>
      <c r="D1178" s="791" t="s">
        <v>8738</v>
      </c>
      <c r="E1178" s="792" t="str">
        <f>IFERROR(VLOOKUP(D1178,Stock,3,FALSE),"")</f>
        <v>Honda Mobilio 14- (Honda)</v>
      </c>
      <c r="F1178" s="791">
        <v>1.0</v>
      </c>
      <c r="G1178" s="842">
        <v>850000.0</v>
      </c>
      <c r="H1178" s="811">
        <f t="shared" si="40"/>
        <v>850000</v>
      </c>
      <c r="I1178" s="809"/>
      <c r="J1178" s="819"/>
      <c r="K1178" s="799" t="s">
        <v>4262</v>
      </c>
      <c r="L1178" s="818" t="s">
        <v>12235</v>
      </c>
      <c r="M1178" s="818" t="s">
        <v>6675</v>
      </c>
      <c r="N1178" s="839">
        <v>45873.0</v>
      </c>
      <c r="O1178" s="823"/>
    </row>
    <row r="1179" ht="15.0" customHeight="1">
      <c r="A1179" s="789">
        <v>45873.0</v>
      </c>
      <c r="B1179" s="790" t="s">
        <v>13224</v>
      </c>
      <c r="C1179" s="791" t="s">
        <v>13145</v>
      </c>
      <c r="D1179" s="791" t="s">
        <v>8763</v>
      </c>
      <c r="E1179" s="792" t="str">
        <f>IFERROR(VLOOKUP(D1179,Stock,3,FALSE),"")</f>
        <v>Honda Civic  96-00 SO4/SO6 (Ferio) (Honda)</v>
      </c>
      <c r="F1179" s="791">
        <v>1.0</v>
      </c>
      <c r="G1179" s="842">
        <v>1150000.0</v>
      </c>
      <c r="H1179" s="811">
        <f t="shared" si="40"/>
        <v>1150000</v>
      </c>
      <c r="I1179" s="809"/>
      <c r="J1179" s="819"/>
      <c r="K1179" s="799" t="s">
        <v>4262</v>
      </c>
      <c r="L1179" s="818" t="s">
        <v>12235</v>
      </c>
      <c r="M1179" s="818" t="s">
        <v>6675</v>
      </c>
      <c r="N1179" s="839">
        <v>45873.0</v>
      </c>
      <c r="O1179" s="823"/>
    </row>
    <row r="1180" ht="15.0" customHeight="1">
      <c r="A1180" s="789">
        <v>45869.0</v>
      </c>
      <c r="B1180" s="790">
        <v>2507911.0</v>
      </c>
      <c r="C1180" s="791" t="s">
        <v>11484</v>
      </c>
      <c r="D1180" s="791" t="s">
        <v>3013</v>
      </c>
      <c r="E1180" s="792" t="str">
        <f>IFERROR(VLOOKUP(D1180,Stock,3,FALSE),"")</f>
        <v>Honda BR-V 16-</v>
      </c>
      <c r="F1180" s="791">
        <v>2.0</v>
      </c>
      <c r="G1180" s="842">
        <v>583550.0</v>
      </c>
      <c r="H1180" s="811">
        <f t="shared" si="40"/>
        <v>1167100</v>
      </c>
      <c r="I1180" s="809">
        <f t="shared" ref="I1180:I1188" si="68">H1180</f>
        <v>1167100</v>
      </c>
      <c r="J1180" s="872">
        <v>45930.0</v>
      </c>
      <c r="K1180" s="799" t="s">
        <v>4262</v>
      </c>
      <c r="L1180" s="818" t="s">
        <v>12235</v>
      </c>
      <c r="M1180" s="818" t="s">
        <v>6675</v>
      </c>
      <c r="N1180" s="839">
        <v>45917.0</v>
      </c>
      <c r="O1180" s="823"/>
    </row>
    <row r="1181" ht="15.0" customHeight="1">
      <c r="A1181" s="789">
        <v>45869.0</v>
      </c>
      <c r="B1181" s="790">
        <v>2507911.0</v>
      </c>
      <c r="C1181" s="791" t="s">
        <v>11484</v>
      </c>
      <c r="D1181" s="791" t="s">
        <v>3849</v>
      </c>
      <c r="E1181" s="792" t="str">
        <f>IFERROR(VLOOKUP(D1181,Stock,3,FALSE),"")</f>
        <v>Hyundai Palisade 20- 1st Gen (tahun 23-)</v>
      </c>
      <c r="F1181" s="791">
        <v>1.0</v>
      </c>
      <c r="G1181" s="842">
        <v>2090000.0</v>
      </c>
      <c r="H1181" s="811">
        <f t="shared" si="40"/>
        <v>2090000</v>
      </c>
      <c r="I1181" s="809">
        <f t="shared" si="68"/>
        <v>2090000</v>
      </c>
      <c r="J1181" s="872">
        <v>45930.0</v>
      </c>
      <c r="K1181" s="799" t="s">
        <v>4262</v>
      </c>
      <c r="L1181" s="818" t="s">
        <v>12235</v>
      </c>
      <c r="M1181" s="818" t="s">
        <v>6675</v>
      </c>
      <c r="N1181" s="839">
        <v>45917.0</v>
      </c>
      <c r="O1181" s="823"/>
    </row>
    <row r="1182" ht="15.0" customHeight="1">
      <c r="A1182" s="789">
        <v>45869.0</v>
      </c>
      <c r="B1182" s="790">
        <v>2507911.0</v>
      </c>
      <c r="C1182" s="791" t="s">
        <v>11484</v>
      </c>
      <c r="D1182" s="791" t="s">
        <v>6918</v>
      </c>
      <c r="E1182" s="792" t="str">
        <f>IFERROR(VLOOKUP(D1182,Stock,3,FALSE),"")</f>
        <v>Wuling Almaz</v>
      </c>
      <c r="F1182" s="791">
        <v>1.0</v>
      </c>
      <c r="G1182" s="842">
        <v>1016400.0</v>
      </c>
      <c r="H1182" s="811">
        <f t="shared" si="40"/>
        <v>1016400</v>
      </c>
      <c r="I1182" s="809">
        <f t="shared" si="68"/>
        <v>1016400</v>
      </c>
      <c r="J1182" s="872">
        <v>45930.0</v>
      </c>
      <c r="K1182" s="799" t="s">
        <v>4262</v>
      </c>
      <c r="L1182" s="818" t="s">
        <v>12235</v>
      </c>
      <c r="M1182" s="818" t="s">
        <v>6675</v>
      </c>
      <c r="N1182" s="839">
        <v>45917.0</v>
      </c>
      <c r="O1182" s="823"/>
    </row>
    <row r="1183" ht="15.0" customHeight="1">
      <c r="A1183" s="789">
        <v>45869.0</v>
      </c>
      <c r="B1183" s="790">
        <v>2507911.0</v>
      </c>
      <c r="C1183" s="791" t="s">
        <v>11484</v>
      </c>
      <c r="D1183" s="791" t="s">
        <v>13225</v>
      </c>
      <c r="E1183" s="792" t="str">
        <f>IFERROR(VLOOKUP(D1183,Stock,3,FALSE),"")</f>
        <v>Honda City 02-08 4th Gen Idsi GD8 (4 Colokan)</v>
      </c>
      <c r="F1183" s="791">
        <v>1.0</v>
      </c>
      <c r="G1183" s="842">
        <v>848650.0</v>
      </c>
      <c r="H1183" s="811">
        <f t="shared" si="40"/>
        <v>848650</v>
      </c>
      <c r="I1183" s="809">
        <f t="shared" si="68"/>
        <v>848650</v>
      </c>
      <c r="J1183" s="872">
        <v>45930.0</v>
      </c>
      <c r="K1183" s="799" t="s">
        <v>4262</v>
      </c>
      <c r="L1183" s="818" t="s">
        <v>12235</v>
      </c>
      <c r="M1183" s="818" t="s">
        <v>6675</v>
      </c>
      <c r="N1183" s="839">
        <v>45917.0</v>
      </c>
      <c r="O1183" s="823"/>
    </row>
    <row r="1184" ht="15.0" customHeight="1">
      <c r="A1184" s="789">
        <v>45875.0</v>
      </c>
      <c r="B1184" s="790">
        <v>2508142.0</v>
      </c>
      <c r="C1184" s="791" t="s">
        <v>11484</v>
      </c>
      <c r="D1184" s="791" t="s">
        <v>2742</v>
      </c>
      <c r="E1184" s="792" t="str">
        <f>IFERROR(VLOOKUP(D1184,Stock,3,FALSE),"")</f>
        <v>Toyota Alphard 02-08 ANH10 1st Gen (Hitam)</v>
      </c>
      <c r="F1184" s="791">
        <v>1.0</v>
      </c>
      <c r="G1184" s="842">
        <v>1635700.0</v>
      </c>
      <c r="H1184" s="811">
        <f t="shared" si="40"/>
        <v>1635700</v>
      </c>
      <c r="I1184" s="809">
        <f t="shared" si="68"/>
        <v>1635700</v>
      </c>
      <c r="J1184" s="872">
        <v>45936.0</v>
      </c>
      <c r="K1184" s="799" t="s">
        <v>4262</v>
      </c>
      <c r="L1184" s="818" t="s">
        <v>12235</v>
      </c>
      <c r="M1184" s="818" t="s">
        <v>6675</v>
      </c>
      <c r="N1184" s="839">
        <v>45917.0</v>
      </c>
      <c r="O1184" s="823"/>
    </row>
    <row r="1185" ht="15.0" customHeight="1">
      <c r="A1185" s="789">
        <v>45876.0</v>
      </c>
      <c r="B1185" s="790" t="s">
        <v>13226</v>
      </c>
      <c r="C1185" s="791" t="s">
        <v>12932</v>
      </c>
      <c r="D1185" s="791" t="s">
        <v>8935</v>
      </c>
      <c r="E1185" s="792" t="str">
        <f>IFERROR(VLOOKUP(D1185,Stock,3,FALSE),"")</f>
        <v>Mitsubishi Canter FE300 85- (PS100,120,135 kabin kecil)</v>
      </c>
      <c r="F1185" s="791">
        <v>5.0</v>
      </c>
      <c r="G1185" s="842">
        <v>187849.6</v>
      </c>
      <c r="H1185" s="811">
        <f t="shared" si="40"/>
        <v>939248</v>
      </c>
      <c r="I1185" s="809">
        <f t="shared" si="68"/>
        <v>939248</v>
      </c>
      <c r="J1185" s="872">
        <v>45937.0</v>
      </c>
      <c r="K1185" s="799" t="s">
        <v>4262</v>
      </c>
      <c r="L1185" s="818" t="s">
        <v>12235</v>
      </c>
      <c r="M1185" s="818" t="s">
        <v>6675</v>
      </c>
      <c r="N1185" s="862">
        <v>45895.0</v>
      </c>
      <c r="O1185" s="823"/>
    </row>
    <row r="1186" ht="15.0" customHeight="1">
      <c r="A1186" s="789">
        <v>45880.0</v>
      </c>
      <c r="B1186" s="790">
        <v>2508257.0</v>
      </c>
      <c r="C1186" s="791" t="s">
        <v>11484</v>
      </c>
      <c r="D1186" s="791" t="s">
        <v>3201</v>
      </c>
      <c r="E1186" s="792" t="str">
        <f>IFERROR(VLOOKUP(D1186,Stock,3,FALSE),"")</f>
        <v>Honda Freed 08-16 1st gen</v>
      </c>
      <c r="F1186" s="791">
        <v>2.0</v>
      </c>
      <c r="G1186" s="842">
        <v>779900.0</v>
      </c>
      <c r="H1186" s="811">
        <f t="shared" si="40"/>
        <v>1559800</v>
      </c>
      <c r="I1186" s="809">
        <f t="shared" si="68"/>
        <v>1559800</v>
      </c>
      <c r="J1186" s="872">
        <v>45941.0</v>
      </c>
      <c r="K1186" s="799" t="s">
        <v>4262</v>
      </c>
      <c r="L1186" s="818" t="s">
        <v>12235</v>
      </c>
      <c r="M1186" s="818" t="s">
        <v>6675</v>
      </c>
      <c r="N1186" s="839">
        <v>45930.0</v>
      </c>
      <c r="O1186" s="823"/>
    </row>
    <row r="1187" ht="15.0" customHeight="1">
      <c r="A1187" s="789">
        <v>45880.0</v>
      </c>
      <c r="B1187" s="790">
        <v>2508257.0</v>
      </c>
      <c r="C1187" s="791" t="s">
        <v>11484</v>
      </c>
      <c r="D1187" s="791" t="s">
        <v>8784</v>
      </c>
      <c r="E1187" s="792" t="str">
        <f>IFERROR(VLOOKUP(D1187,Stock,3,FALSE),"")</f>
        <v>Toyota Hilux Pickup 05-15</v>
      </c>
      <c r="F1187" s="791">
        <v>1.0</v>
      </c>
      <c r="G1187" s="842">
        <v>600600.0</v>
      </c>
      <c r="H1187" s="811">
        <f t="shared" si="40"/>
        <v>600600</v>
      </c>
      <c r="I1187" s="809">
        <f t="shared" si="68"/>
        <v>600600</v>
      </c>
      <c r="J1187" s="872">
        <v>45941.0</v>
      </c>
      <c r="K1187" s="799" t="s">
        <v>4262</v>
      </c>
      <c r="L1187" s="818" t="s">
        <v>12235</v>
      </c>
      <c r="M1187" s="818" t="s">
        <v>6675</v>
      </c>
      <c r="N1187" s="839">
        <v>45930.0</v>
      </c>
      <c r="O1187" s="823"/>
    </row>
    <row r="1188" ht="15.0" customHeight="1">
      <c r="A1188" s="789">
        <v>45880.0</v>
      </c>
      <c r="B1188" s="790">
        <v>2508257.0</v>
      </c>
      <c r="C1188" s="791" t="s">
        <v>11484</v>
      </c>
      <c r="D1188" s="791" t="s">
        <v>3013</v>
      </c>
      <c r="E1188" s="792" t="str">
        <f>IFERROR(VLOOKUP(D1188,Stock,3,FALSE),"")</f>
        <v>Honda BR-V 16-</v>
      </c>
      <c r="F1188" s="791">
        <v>2.0</v>
      </c>
      <c r="G1188" s="842">
        <v>583550.0</v>
      </c>
      <c r="H1188" s="811">
        <f t="shared" si="40"/>
        <v>1167100</v>
      </c>
      <c r="I1188" s="809">
        <f t="shared" si="68"/>
        <v>1167100</v>
      </c>
      <c r="J1188" s="872">
        <v>45941.0</v>
      </c>
      <c r="K1188" s="799" t="s">
        <v>4262</v>
      </c>
      <c r="L1188" s="818" t="s">
        <v>12235</v>
      </c>
      <c r="M1188" s="818" t="s">
        <v>6675</v>
      </c>
      <c r="N1188" s="839">
        <v>45930.0</v>
      </c>
      <c r="O1188" s="823"/>
    </row>
    <row r="1189" ht="15.0" customHeight="1">
      <c r="A1189" s="789">
        <v>45880.0</v>
      </c>
      <c r="B1189" s="829" t="s">
        <v>13227</v>
      </c>
      <c r="C1189" s="791" t="s">
        <v>11481</v>
      </c>
      <c r="D1189" s="791" t="s">
        <v>8787</v>
      </c>
      <c r="E1189" s="792" t="str">
        <f>IFERROR(VLOOKUP(D1189,Stock,3,FALSE),"")</f>
        <v>Toyota Fortuner 05-15 1st Gen (Toyota)</v>
      </c>
      <c r="F1189" s="791">
        <v>1.0</v>
      </c>
      <c r="G1189" s="842">
        <v>540000.0</v>
      </c>
      <c r="H1189" s="811">
        <f t="shared" si="40"/>
        <v>540000</v>
      </c>
      <c r="I1189" s="809"/>
      <c r="J1189" s="819"/>
      <c r="K1189" s="799" t="s">
        <v>4262</v>
      </c>
      <c r="L1189" s="818" t="s">
        <v>12235</v>
      </c>
      <c r="M1189" s="818" t="s">
        <v>6675</v>
      </c>
      <c r="N1189" s="839">
        <v>45880.0</v>
      </c>
      <c r="O1189" s="823"/>
    </row>
    <row r="1190" ht="15.0" customHeight="1">
      <c r="A1190" s="789">
        <v>45881.0</v>
      </c>
      <c r="B1190" s="790">
        <v>2508333.0</v>
      </c>
      <c r="C1190" s="791" t="s">
        <v>11484</v>
      </c>
      <c r="D1190" s="791" t="s">
        <v>8805</v>
      </c>
      <c r="E1190" s="792" t="str">
        <f>IFERROR(VLOOKUP(D1190,Stock,3,FALSE),"")</f>
        <v>Ford Ranger 11- T6 /Mazda BT50 Sing/Doub Cabin</v>
      </c>
      <c r="F1190" s="791">
        <v>1.0</v>
      </c>
      <c r="G1190" s="842">
        <v>791450.0</v>
      </c>
      <c r="H1190" s="811">
        <f t="shared" si="40"/>
        <v>791450</v>
      </c>
      <c r="I1190" s="809">
        <f t="shared" ref="I1190:I1191" si="69">H1190</f>
        <v>791450</v>
      </c>
      <c r="J1190" s="872">
        <v>45942.0</v>
      </c>
      <c r="K1190" s="799" t="s">
        <v>4262</v>
      </c>
      <c r="L1190" s="818" t="s">
        <v>12235</v>
      </c>
      <c r="M1190" s="818" t="s">
        <v>6675</v>
      </c>
      <c r="N1190" s="839">
        <v>45930.0</v>
      </c>
      <c r="O1190" s="823"/>
    </row>
    <row r="1191" ht="15.0" customHeight="1">
      <c r="A1191" s="789">
        <v>45881.0</v>
      </c>
      <c r="B1191" s="790">
        <v>2508333.0</v>
      </c>
      <c r="C1191" s="791" t="s">
        <v>11484</v>
      </c>
      <c r="D1191" s="791" t="s">
        <v>2585</v>
      </c>
      <c r="E1191" s="792" t="str">
        <f>IFERROR(VLOOKUP(D1191,Stock,3,FALSE),"")</f>
        <v>Ford Ranger 11- T6 /Mazda BT50 Sing/Doub Cabin</v>
      </c>
      <c r="F1191" s="791">
        <v>1.0</v>
      </c>
      <c r="G1191" s="842">
        <v>791450.0</v>
      </c>
      <c r="H1191" s="811">
        <f t="shared" si="40"/>
        <v>791450</v>
      </c>
      <c r="I1191" s="809">
        <f t="shared" si="69"/>
        <v>791450</v>
      </c>
      <c r="J1191" s="872">
        <v>45942.0</v>
      </c>
      <c r="K1191" s="799" t="s">
        <v>4262</v>
      </c>
      <c r="L1191" s="818" t="s">
        <v>12235</v>
      </c>
      <c r="M1191" s="818" t="s">
        <v>6675</v>
      </c>
      <c r="N1191" s="839">
        <v>45930.0</v>
      </c>
      <c r="O1191" s="823"/>
    </row>
    <row r="1192" ht="15.0" customHeight="1">
      <c r="A1192" s="789">
        <v>45882.0</v>
      </c>
      <c r="B1192" s="790" t="s">
        <v>13228</v>
      </c>
      <c r="C1192" s="791" t="s">
        <v>13145</v>
      </c>
      <c r="D1192" s="791" t="s">
        <v>3745</v>
      </c>
      <c r="E1192" s="792" t="str">
        <f>IFERROR(VLOOKUP(D1192,Stock,3,FALSE),"")</f>
        <v>Honda Brio 10- / Mobilio 11-</v>
      </c>
      <c r="F1192" s="791">
        <v>1.0</v>
      </c>
      <c r="G1192" s="842">
        <v>800000.0</v>
      </c>
      <c r="H1192" s="811">
        <f t="shared" si="40"/>
        <v>800000</v>
      </c>
      <c r="I1192" s="809"/>
      <c r="J1192" s="819"/>
      <c r="K1192" s="799" t="s">
        <v>4262</v>
      </c>
      <c r="L1192" s="818" t="s">
        <v>12235</v>
      </c>
      <c r="M1192" s="818" t="s">
        <v>6675</v>
      </c>
      <c r="N1192" s="839">
        <v>45882.0</v>
      </c>
      <c r="O1192" s="823"/>
    </row>
    <row r="1193" ht="15.0" customHeight="1">
      <c r="A1193" s="789">
        <v>45880.0</v>
      </c>
      <c r="B1193" s="790">
        <v>2508258.0</v>
      </c>
      <c r="C1193" s="791" t="s">
        <v>11484</v>
      </c>
      <c r="D1193" s="791" t="s">
        <v>2777</v>
      </c>
      <c r="E1193" s="792" t="str">
        <f>IFERROR(VLOOKUP(D1193,Stock,3,FALSE),"")</f>
        <v>Isuzu Giga Long (PS240,285) FVR34 (Lebar 215cm)</v>
      </c>
      <c r="F1193" s="791">
        <v>1.0</v>
      </c>
      <c r="G1193" s="842">
        <v>1043900.0</v>
      </c>
      <c r="H1193" s="811">
        <f t="shared" si="40"/>
        <v>1043900</v>
      </c>
      <c r="I1193" s="809">
        <f t="shared" ref="I1193:I1228" si="70">H1193</f>
        <v>1043900</v>
      </c>
      <c r="J1193" s="872">
        <v>45941.0</v>
      </c>
      <c r="K1193" s="799" t="s">
        <v>4262</v>
      </c>
      <c r="L1193" s="818" t="s">
        <v>12235</v>
      </c>
      <c r="M1193" s="818" t="s">
        <v>6675</v>
      </c>
      <c r="N1193" s="839">
        <v>45917.0</v>
      </c>
      <c r="O1193" s="823"/>
    </row>
    <row r="1194" ht="15.0" customHeight="1">
      <c r="A1194" s="789">
        <v>45880.0</v>
      </c>
      <c r="B1194" s="790">
        <v>2508258.0</v>
      </c>
      <c r="C1194" s="791" t="s">
        <v>11484</v>
      </c>
      <c r="D1194" s="791" t="s">
        <v>2709</v>
      </c>
      <c r="E1194" s="792" t="str">
        <f>IFERROR(VLOOKUP(D1194,Stock,3,FALSE),"")</f>
        <v>Isuzu Panther 91-99 1st Gen Kotak</v>
      </c>
      <c r="F1194" s="791">
        <v>1.0</v>
      </c>
      <c r="G1194" s="842">
        <v>486750.0</v>
      </c>
      <c r="H1194" s="811">
        <f t="shared" si="40"/>
        <v>486750</v>
      </c>
      <c r="I1194" s="809">
        <f t="shared" si="70"/>
        <v>486750</v>
      </c>
      <c r="J1194" s="872">
        <v>45941.0</v>
      </c>
      <c r="K1194" s="799" t="s">
        <v>4262</v>
      </c>
      <c r="L1194" s="818" t="s">
        <v>12235</v>
      </c>
      <c r="M1194" s="818" t="s">
        <v>6675</v>
      </c>
      <c r="N1194" s="839">
        <v>45917.0</v>
      </c>
      <c r="O1194" s="823"/>
    </row>
    <row r="1195" ht="15.0" customHeight="1">
      <c r="A1195" s="789">
        <v>45883.0</v>
      </c>
      <c r="B1195" s="790">
        <v>2508402.0</v>
      </c>
      <c r="C1195" s="791" t="s">
        <v>11484</v>
      </c>
      <c r="D1195" s="791" t="s">
        <v>4782</v>
      </c>
      <c r="E1195" s="792" t="str">
        <f>IFERROR(VLOOKUP(D1195,Stock,3,FALSE),"")</f>
        <v>Mitsubishi Pajero 08-16</v>
      </c>
      <c r="F1195" s="791">
        <v>1.0</v>
      </c>
      <c r="G1195" s="842">
        <v>772750.0</v>
      </c>
      <c r="H1195" s="811">
        <f t="shared" si="40"/>
        <v>772750</v>
      </c>
      <c r="I1195" s="809">
        <f t="shared" si="70"/>
        <v>772750</v>
      </c>
      <c r="J1195" s="872">
        <v>45944.0</v>
      </c>
      <c r="K1195" s="799" t="s">
        <v>4262</v>
      </c>
      <c r="L1195" s="818" t="s">
        <v>12235</v>
      </c>
      <c r="M1195" s="818" t="s">
        <v>6675</v>
      </c>
      <c r="N1195" s="839">
        <v>45930.0</v>
      </c>
      <c r="O1195" s="823"/>
    </row>
    <row r="1196" ht="15.0" customHeight="1">
      <c r="A1196" s="789">
        <v>45883.0</v>
      </c>
      <c r="B1196" s="790">
        <v>2508402.0</v>
      </c>
      <c r="C1196" s="791" t="s">
        <v>11484</v>
      </c>
      <c r="D1196" s="791" t="s">
        <v>4613</v>
      </c>
      <c r="E1196" s="792" t="str">
        <f>IFERROR(VLOOKUP(D1196,Stock,3,FALSE),"")</f>
        <v>Honda Freed 08-16 1st gen</v>
      </c>
      <c r="F1196" s="791">
        <v>2.0</v>
      </c>
      <c r="G1196" s="842">
        <v>657800.0</v>
      </c>
      <c r="H1196" s="811">
        <f t="shared" si="40"/>
        <v>1315600</v>
      </c>
      <c r="I1196" s="809">
        <f t="shared" si="70"/>
        <v>1315600</v>
      </c>
      <c r="J1196" s="872">
        <v>45944.0</v>
      </c>
      <c r="K1196" s="799" t="s">
        <v>4262</v>
      </c>
      <c r="L1196" s="818" t="s">
        <v>12235</v>
      </c>
      <c r="M1196" s="818" t="s">
        <v>6675</v>
      </c>
      <c r="N1196" s="839">
        <v>45930.0</v>
      </c>
      <c r="O1196" s="823"/>
    </row>
    <row r="1197" ht="15.0" customHeight="1">
      <c r="A1197" s="789">
        <v>45882.0</v>
      </c>
      <c r="B1197" s="790">
        <v>2508397.0</v>
      </c>
      <c r="C1197" s="791" t="s">
        <v>11484</v>
      </c>
      <c r="D1197" s="791" t="s">
        <v>8834</v>
      </c>
      <c r="E1197" s="792" t="str">
        <f>IFERROR(VLOOKUP(D1197,Stock,3,FALSE),"")</f>
        <v>Nissan Elgrand 02-10 E51 2nd Gen</v>
      </c>
      <c r="F1197" s="791">
        <v>1.0</v>
      </c>
      <c r="G1197" s="842">
        <v>1766600.0</v>
      </c>
      <c r="H1197" s="811">
        <f t="shared" si="40"/>
        <v>1766600</v>
      </c>
      <c r="I1197" s="809">
        <f t="shared" si="70"/>
        <v>1766600</v>
      </c>
      <c r="J1197" s="872">
        <v>45943.0</v>
      </c>
      <c r="K1197" s="799" t="s">
        <v>4262</v>
      </c>
      <c r="L1197" s="818" t="s">
        <v>12235</v>
      </c>
      <c r="M1197" s="818" t="s">
        <v>6675</v>
      </c>
      <c r="N1197" s="839">
        <v>45930.0</v>
      </c>
      <c r="O1197" s="823"/>
    </row>
    <row r="1198" ht="15.0" customHeight="1">
      <c r="A1198" s="789">
        <v>45882.0</v>
      </c>
      <c r="B1198" s="790">
        <v>2508397.0</v>
      </c>
      <c r="C1198" s="791" t="s">
        <v>11484</v>
      </c>
      <c r="D1198" s="791" t="s">
        <v>3707</v>
      </c>
      <c r="E1198" s="792" t="str">
        <f>IFERROR(VLOOKUP(D1198,Stock,3,FALSE),"")</f>
        <v>Mitsubishi Pajero 16-</v>
      </c>
      <c r="F1198" s="791">
        <v>2.0</v>
      </c>
      <c r="G1198" s="842">
        <v>649000.0</v>
      </c>
      <c r="H1198" s="811">
        <f t="shared" si="40"/>
        <v>1298000</v>
      </c>
      <c r="I1198" s="809">
        <f t="shared" si="70"/>
        <v>1298000</v>
      </c>
      <c r="J1198" s="872">
        <v>45943.0</v>
      </c>
      <c r="K1198" s="799" t="s">
        <v>4262</v>
      </c>
      <c r="L1198" s="818" t="s">
        <v>12235</v>
      </c>
      <c r="M1198" s="818" t="s">
        <v>6675</v>
      </c>
      <c r="N1198" s="839">
        <v>45930.0</v>
      </c>
      <c r="O1198" s="823"/>
    </row>
    <row r="1199" ht="15.0" customHeight="1">
      <c r="A1199" s="789">
        <v>45882.0</v>
      </c>
      <c r="B1199" s="790">
        <v>2508397.0</v>
      </c>
      <c r="C1199" s="791" t="s">
        <v>11484</v>
      </c>
      <c r="D1199" s="791" t="s">
        <v>4005</v>
      </c>
      <c r="E1199" s="792" t="str">
        <f>IFERROR(VLOOKUP(D1199,Stock,3,FALSE),"")</f>
        <v>Toyota Fortuner 15- 2nd Gen</v>
      </c>
      <c r="F1199" s="791">
        <v>2.0</v>
      </c>
      <c r="G1199" s="842">
        <v>797500.0</v>
      </c>
      <c r="H1199" s="811">
        <f t="shared" si="40"/>
        <v>1595000</v>
      </c>
      <c r="I1199" s="809">
        <f t="shared" si="70"/>
        <v>1595000</v>
      </c>
      <c r="J1199" s="872">
        <v>45943.0</v>
      </c>
      <c r="K1199" s="799" t="s">
        <v>4262</v>
      </c>
      <c r="L1199" s="818" t="s">
        <v>12235</v>
      </c>
      <c r="M1199" s="818" t="s">
        <v>6675</v>
      </c>
      <c r="N1199" s="839">
        <v>45930.0</v>
      </c>
      <c r="O1199" s="823"/>
    </row>
    <row r="1200" ht="15.0" customHeight="1">
      <c r="A1200" s="789">
        <v>45880.0</v>
      </c>
      <c r="B1200" s="790" t="s">
        <v>13229</v>
      </c>
      <c r="C1200" s="791" t="s">
        <v>13230</v>
      </c>
      <c r="D1200" s="791" t="s">
        <v>2617</v>
      </c>
      <c r="E1200" s="792" t="str">
        <f>IFERROR(VLOOKUP(D1200,Stock,3,FALSE),"")</f>
        <v>Mitsubishi Pajero 16- (Mitsubishi)</v>
      </c>
      <c r="F1200" s="791">
        <v>4.0</v>
      </c>
      <c r="G1200" s="842"/>
      <c r="H1200" s="811">
        <f t="shared" si="40"/>
        <v>0</v>
      </c>
      <c r="I1200" s="809">
        <f t="shared" si="70"/>
        <v>0</v>
      </c>
      <c r="J1200" s="819"/>
      <c r="K1200" s="799" t="s">
        <v>4262</v>
      </c>
      <c r="L1200" s="818" t="s">
        <v>12235</v>
      </c>
      <c r="M1200" s="823"/>
      <c r="N1200" s="823"/>
      <c r="O1200" s="823"/>
    </row>
    <row r="1201" ht="15.0" customHeight="1">
      <c r="A1201" s="789">
        <v>45880.0</v>
      </c>
      <c r="B1201" s="790" t="s">
        <v>13229</v>
      </c>
      <c r="C1201" s="791" t="s">
        <v>13230</v>
      </c>
      <c r="D1201" s="791" t="s">
        <v>3745</v>
      </c>
      <c r="E1201" s="792" t="str">
        <f>IFERROR(VLOOKUP(D1201,Stock,3,FALSE),"")</f>
        <v>Honda Brio 10- / Mobilio 11-</v>
      </c>
      <c r="F1201" s="791">
        <v>5.0</v>
      </c>
      <c r="G1201" s="842"/>
      <c r="H1201" s="811">
        <f t="shared" si="40"/>
        <v>0</v>
      </c>
      <c r="I1201" s="809">
        <f t="shared" si="70"/>
        <v>0</v>
      </c>
      <c r="J1201" s="819"/>
      <c r="K1201" s="799" t="s">
        <v>4262</v>
      </c>
      <c r="L1201" s="818" t="s">
        <v>12235</v>
      </c>
      <c r="M1201" s="823"/>
      <c r="N1201" s="823"/>
      <c r="O1201" s="823"/>
    </row>
    <row r="1202" ht="15.0" customHeight="1">
      <c r="A1202" s="789">
        <v>45880.0</v>
      </c>
      <c r="B1202" s="790" t="s">
        <v>13229</v>
      </c>
      <c r="C1202" s="791" t="s">
        <v>13230</v>
      </c>
      <c r="D1202" s="791" t="s">
        <v>7476</v>
      </c>
      <c r="E1202" s="792" t="str">
        <f>IFERROR(VLOOKUP(D1202,Stock,3,FALSE),"")</f>
        <v>Nissan Serena 19- MKV C27</v>
      </c>
      <c r="F1202" s="791">
        <v>1.0</v>
      </c>
      <c r="G1202" s="842"/>
      <c r="H1202" s="811">
        <f t="shared" si="40"/>
        <v>0</v>
      </c>
      <c r="I1202" s="809">
        <f t="shared" si="70"/>
        <v>0</v>
      </c>
      <c r="J1202" s="819"/>
      <c r="K1202" s="799" t="s">
        <v>4262</v>
      </c>
      <c r="L1202" s="818" t="s">
        <v>12235</v>
      </c>
      <c r="M1202" s="823"/>
      <c r="N1202" s="823"/>
      <c r="O1202" s="823"/>
    </row>
    <row r="1203" ht="15.0" customHeight="1">
      <c r="A1203" s="789">
        <v>45884.0</v>
      </c>
      <c r="B1203" s="790">
        <v>2508442.0</v>
      </c>
      <c r="C1203" s="791" t="s">
        <v>11484</v>
      </c>
      <c r="D1203" s="791" t="s">
        <v>3451</v>
      </c>
      <c r="E1203" s="792" t="str">
        <f>IFERROR(VLOOKUP(D1203,Stock,3,FALSE),"")</f>
        <v>Toyota Rush / Terios 18-</v>
      </c>
      <c r="F1203" s="791">
        <v>2.0</v>
      </c>
      <c r="G1203" s="842">
        <v>528000.0</v>
      </c>
      <c r="H1203" s="811">
        <f t="shared" si="40"/>
        <v>1056000</v>
      </c>
      <c r="I1203" s="809">
        <f t="shared" si="70"/>
        <v>1056000</v>
      </c>
      <c r="J1203" s="872">
        <v>45945.0</v>
      </c>
      <c r="K1203" s="799" t="s">
        <v>4262</v>
      </c>
      <c r="L1203" s="818" t="s">
        <v>12235</v>
      </c>
      <c r="M1203" s="818" t="s">
        <v>6675</v>
      </c>
      <c r="N1203" s="820">
        <v>45941.0</v>
      </c>
      <c r="O1203" s="823"/>
    </row>
    <row r="1204" ht="15.0" customHeight="1">
      <c r="A1204" s="789">
        <v>45884.0</v>
      </c>
      <c r="B1204" s="790">
        <v>2508442.0</v>
      </c>
      <c r="C1204" s="791" t="s">
        <v>11484</v>
      </c>
      <c r="D1204" s="791" t="s">
        <v>4997</v>
      </c>
      <c r="E1204" s="792" t="str">
        <f>IFERROR(VLOOKUP(D1204,Stock,3,FALSE),"")</f>
        <v>Hyundai Stargazer 22-</v>
      </c>
      <c r="F1204" s="791">
        <v>2.0</v>
      </c>
      <c r="G1204" s="842">
        <v>742500.0</v>
      </c>
      <c r="H1204" s="811">
        <f t="shared" si="40"/>
        <v>1485000</v>
      </c>
      <c r="I1204" s="809">
        <f t="shared" si="70"/>
        <v>1485000</v>
      </c>
      <c r="J1204" s="872">
        <v>45945.0</v>
      </c>
      <c r="K1204" s="799" t="s">
        <v>4262</v>
      </c>
      <c r="L1204" s="818" t="s">
        <v>12235</v>
      </c>
      <c r="M1204" s="818" t="s">
        <v>6675</v>
      </c>
      <c r="N1204" s="820">
        <v>45941.0</v>
      </c>
      <c r="O1204" s="823"/>
    </row>
    <row r="1205" ht="15.0" customHeight="1">
      <c r="A1205" s="789">
        <v>45884.0</v>
      </c>
      <c r="B1205" s="790">
        <v>2508442.0</v>
      </c>
      <c r="C1205" s="791" t="s">
        <v>11484</v>
      </c>
      <c r="D1205" s="791" t="s">
        <v>2720</v>
      </c>
      <c r="E1205" s="792" t="str">
        <f>IFERROR(VLOOKUP(D1205,Stock,3,FALSE),"")</f>
        <v>Mitsubishi Canter FE300 85- (PS100,120,135 kabin kecil)</v>
      </c>
      <c r="F1205" s="791">
        <v>1.0</v>
      </c>
      <c r="G1205" s="842">
        <v>547250.0</v>
      </c>
      <c r="H1205" s="811">
        <f t="shared" si="40"/>
        <v>547250</v>
      </c>
      <c r="I1205" s="809">
        <f t="shared" si="70"/>
        <v>547250</v>
      </c>
      <c r="J1205" s="872">
        <v>45945.0</v>
      </c>
      <c r="K1205" s="799" t="s">
        <v>4262</v>
      </c>
      <c r="L1205" s="818" t="s">
        <v>12235</v>
      </c>
      <c r="M1205" s="818" t="s">
        <v>6675</v>
      </c>
      <c r="N1205" s="820">
        <v>45941.0</v>
      </c>
      <c r="O1205" s="823"/>
    </row>
    <row r="1206" ht="15.0" customHeight="1">
      <c r="A1206" s="789">
        <v>45889.0</v>
      </c>
      <c r="B1206" s="790">
        <v>2508611.0</v>
      </c>
      <c r="C1206" s="791" t="s">
        <v>11484</v>
      </c>
      <c r="D1206" s="791" t="s">
        <v>2716</v>
      </c>
      <c r="E1206" s="792" t="str">
        <f>IFERROR(VLOOKUP(D1206,Stock,3,FALSE),"")</f>
        <v>Mitsubishi Canter FE700 01- (PS110,125)</v>
      </c>
      <c r="F1206" s="791">
        <v>1.0</v>
      </c>
      <c r="G1206" s="842">
        <v>464200.0</v>
      </c>
      <c r="H1206" s="811">
        <f t="shared" si="40"/>
        <v>464200</v>
      </c>
      <c r="I1206" s="809">
        <f t="shared" si="70"/>
        <v>464200</v>
      </c>
      <c r="J1206" s="872">
        <v>45950.0</v>
      </c>
      <c r="K1206" s="799" t="s">
        <v>4262</v>
      </c>
      <c r="L1206" s="818" t="s">
        <v>12235</v>
      </c>
      <c r="M1206" s="818" t="s">
        <v>6675</v>
      </c>
      <c r="N1206" s="820">
        <v>45941.0</v>
      </c>
      <c r="O1206" s="823"/>
    </row>
    <row r="1207" ht="15.0" customHeight="1">
      <c r="A1207" s="789">
        <v>45889.0</v>
      </c>
      <c r="B1207" s="790">
        <v>2508611.0</v>
      </c>
      <c r="C1207" s="791" t="s">
        <v>11484</v>
      </c>
      <c r="D1207" s="791" t="s">
        <v>2714</v>
      </c>
      <c r="E1207" s="792" t="str">
        <f>IFERROR(VLOOKUP(D1207,Stock,3,FALSE),"")</f>
        <v>Mitsubishi Canter FE700 01- (PS110,125)</v>
      </c>
      <c r="F1207" s="791">
        <v>2.0</v>
      </c>
      <c r="G1207" s="842">
        <v>464200.0</v>
      </c>
      <c r="H1207" s="811">
        <f t="shared" si="40"/>
        <v>928400</v>
      </c>
      <c r="I1207" s="809">
        <f t="shared" si="70"/>
        <v>928400</v>
      </c>
      <c r="J1207" s="872">
        <v>45950.0</v>
      </c>
      <c r="K1207" s="799" t="s">
        <v>4262</v>
      </c>
      <c r="L1207" s="818" t="s">
        <v>12235</v>
      </c>
      <c r="M1207" s="818" t="s">
        <v>6675</v>
      </c>
      <c r="N1207" s="820">
        <v>45941.0</v>
      </c>
      <c r="O1207" s="823"/>
    </row>
    <row r="1208" ht="15.0" customHeight="1">
      <c r="A1208" s="789">
        <v>45890.0</v>
      </c>
      <c r="B1208" s="790" t="s">
        <v>13231</v>
      </c>
      <c r="C1208" s="791" t="s">
        <v>28</v>
      </c>
      <c r="D1208" s="791" t="s">
        <v>4027</v>
      </c>
      <c r="E1208" s="792" t="str">
        <f>IFERROR(VLOOKUP(D1208,Stock,3,FALSE),"")</f>
        <v>501 Sealant Application</v>
      </c>
      <c r="F1208" s="791">
        <v>200.0</v>
      </c>
      <c r="G1208" s="842">
        <v>37000.0</v>
      </c>
      <c r="H1208" s="811">
        <f t="shared" si="40"/>
        <v>7400000</v>
      </c>
      <c r="I1208" s="809">
        <f t="shared" si="70"/>
        <v>7400000</v>
      </c>
      <c r="J1208" s="819"/>
      <c r="K1208" s="799" t="s">
        <v>4281</v>
      </c>
      <c r="L1208" s="818" t="s">
        <v>12235</v>
      </c>
      <c r="M1208" s="818" t="s">
        <v>6675</v>
      </c>
      <c r="N1208" s="839">
        <v>45917.0</v>
      </c>
      <c r="O1208" s="823"/>
    </row>
    <row r="1209" ht="15.0" customHeight="1">
      <c r="A1209" s="789">
        <v>45890.0</v>
      </c>
      <c r="B1209" s="790" t="s">
        <v>13231</v>
      </c>
      <c r="C1209" s="791" t="s">
        <v>28</v>
      </c>
      <c r="D1209" s="791" t="s">
        <v>13232</v>
      </c>
      <c r="E1209" s="792" t="str">
        <f>IFERROR(VLOOKUP(D1209,Stock,3,FALSE),"")</f>
        <v/>
      </c>
      <c r="F1209" s="791">
        <v>2.0</v>
      </c>
      <c r="G1209" s="842">
        <v>435000.0</v>
      </c>
      <c r="H1209" s="811">
        <f t="shared" si="40"/>
        <v>870000</v>
      </c>
      <c r="I1209" s="809">
        <f t="shared" si="70"/>
        <v>870000</v>
      </c>
      <c r="J1209" s="819"/>
      <c r="K1209" s="799" t="s">
        <v>4281</v>
      </c>
      <c r="L1209" s="818" t="s">
        <v>12235</v>
      </c>
      <c r="M1209" s="818" t="s">
        <v>6675</v>
      </c>
      <c r="N1209" s="839">
        <v>45917.0</v>
      </c>
      <c r="O1209" s="823"/>
    </row>
    <row r="1210" ht="15.0" customHeight="1">
      <c r="A1210" s="789">
        <v>45891.0</v>
      </c>
      <c r="B1210" s="790">
        <v>2508679.0</v>
      </c>
      <c r="C1210" s="791" t="s">
        <v>11484</v>
      </c>
      <c r="D1210" s="791" t="s">
        <v>8914</v>
      </c>
      <c r="E1210" s="792" t="str">
        <f>IFERROR(VLOOKUP(D1210,Stock,3,FALSE),"")</f>
        <v>Isuzu D-Max 19- 3rd Gen</v>
      </c>
      <c r="F1210" s="791">
        <v>1.0</v>
      </c>
      <c r="G1210" s="842">
        <v>825000.0</v>
      </c>
      <c r="H1210" s="811">
        <f t="shared" si="40"/>
        <v>825000</v>
      </c>
      <c r="I1210" s="809">
        <f t="shared" si="70"/>
        <v>825000</v>
      </c>
      <c r="J1210" s="872">
        <v>45952.0</v>
      </c>
      <c r="K1210" s="799" t="s">
        <v>4262</v>
      </c>
      <c r="L1210" s="818" t="s">
        <v>12235</v>
      </c>
      <c r="M1210" s="818" t="s">
        <v>6675</v>
      </c>
      <c r="N1210" s="820">
        <v>45941.0</v>
      </c>
      <c r="O1210" s="823"/>
    </row>
    <row r="1211" ht="15.0" customHeight="1">
      <c r="A1211" s="789">
        <v>45891.0</v>
      </c>
      <c r="B1211" s="790">
        <v>2508689.0</v>
      </c>
      <c r="C1211" s="791" t="s">
        <v>11484</v>
      </c>
      <c r="D1211" s="791" t="s">
        <v>2744</v>
      </c>
      <c r="E1211" s="792" t="str">
        <f>IFERROR(VLOOKUP(D1211,Stock,3,FALSE),"")</f>
        <v>Toyota Fortuner 05-15 1st Gen (Hitam)</v>
      </c>
      <c r="F1211" s="791">
        <v>2.0</v>
      </c>
      <c r="G1211" s="842">
        <v>1072500.0</v>
      </c>
      <c r="H1211" s="811">
        <f t="shared" si="40"/>
        <v>2145000</v>
      </c>
      <c r="I1211" s="809">
        <f t="shared" si="70"/>
        <v>2145000</v>
      </c>
      <c r="J1211" s="872">
        <v>45952.0</v>
      </c>
      <c r="K1211" s="799" t="s">
        <v>4262</v>
      </c>
      <c r="L1211" s="818" t="s">
        <v>12235</v>
      </c>
      <c r="M1211" s="818" t="s">
        <v>6675</v>
      </c>
      <c r="N1211" s="820">
        <v>45941.0</v>
      </c>
      <c r="O1211" s="823"/>
    </row>
    <row r="1212" ht="15.0" customHeight="1">
      <c r="A1212" s="789">
        <v>45891.0</v>
      </c>
      <c r="B1212" s="790">
        <v>2508689.0</v>
      </c>
      <c r="C1212" s="791" t="s">
        <v>11484</v>
      </c>
      <c r="D1212" s="791" t="s">
        <v>2746</v>
      </c>
      <c r="E1212" s="792" t="str">
        <f>IFERROR(VLOOKUP(D1212,Stock,3,FALSE),"")</f>
        <v>Toyota Fortuner 05-15 1st Gen </v>
      </c>
      <c r="F1212" s="791">
        <v>1.0</v>
      </c>
      <c r="G1212" s="842">
        <v>916850.0</v>
      </c>
      <c r="H1212" s="811">
        <f t="shared" si="40"/>
        <v>916850</v>
      </c>
      <c r="I1212" s="809">
        <f t="shared" si="70"/>
        <v>916850</v>
      </c>
      <c r="J1212" s="872">
        <v>45952.0</v>
      </c>
      <c r="K1212" s="799" t="s">
        <v>4262</v>
      </c>
      <c r="L1212" s="818" t="s">
        <v>12235</v>
      </c>
      <c r="M1212" s="818" t="s">
        <v>6675</v>
      </c>
      <c r="N1212" s="820">
        <v>45941.0</v>
      </c>
      <c r="O1212" s="823"/>
    </row>
    <row r="1213" ht="15.0" customHeight="1">
      <c r="A1213" s="789">
        <v>45891.0</v>
      </c>
      <c r="B1213" s="790">
        <v>2508689.0</v>
      </c>
      <c r="C1213" s="791" t="s">
        <v>11484</v>
      </c>
      <c r="D1213" s="791" t="s">
        <v>3368</v>
      </c>
      <c r="E1213" s="792" t="str">
        <f>IFERROR(VLOOKUP(D1213,Stock,3,FALSE),"")</f>
        <v>Toyota Hi-Ace 04-20 Commuter</v>
      </c>
      <c r="F1213" s="791">
        <v>2.0</v>
      </c>
      <c r="G1213" s="842">
        <v>240350.0</v>
      </c>
      <c r="H1213" s="811">
        <f t="shared" si="40"/>
        <v>480700</v>
      </c>
      <c r="I1213" s="809">
        <f t="shared" si="70"/>
        <v>480700</v>
      </c>
      <c r="J1213" s="872">
        <v>45952.0</v>
      </c>
      <c r="K1213" s="799" t="s">
        <v>4262</v>
      </c>
      <c r="L1213" s="818" t="s">
        <v>12235</v>
      </c>
      <c r="M1213" s="818" t="s">
        <v>6675</v>
      </c>
      <c r="N1213" s="820">
        <v>45941.0</v>
      </c>
      <c r="O1213" s="823"/>
    </row>
    <row r="1214" ht="15.0" customHeight="1">
      <c r="A1214" s="789">
        <v>45891.0</v>
      </c>
      <c r="B1214" s="790">
        <v>2508689.0</v>
      </c>
      <c r="C1214" s="791" t="s">
        <v>11484</v>
      </c>
      <c r="D1214" s="791" t="s">
        <v>8780</v>
      </c>
      <c r="E1214" s="792" t="str">
        <f>IFERROR(VLOOKUP(D1214,Stock,3,FALSE),"")</f>
        <v>Mitsubishi Pajero Montero/Shogun 99-05 V60/V70</v>
      </c>
      <c r="F1214" s="791">
        <v>1.0</v>
      </c>
      <c r="G1214" s="842">
        <v>1016400.0</v>
      </c>
      <c r="H1214" s="811">
        <f t="shared" si="40"/>
        <v>1016400</v>
      </c>
      <c r="I1214" s="809">
        <f t="shared" si="70"/>
        <v>1016400</v>
      </c>
      <c r="J1214" s="872">
        <v>45952.0</v>
      </c>
      <c r="K1214" s="799" t="s">
        <v>4262</v>
      </c>
      <c r="L1214" s="818" t="s">
        <v>12235</v>
      </c>
      <c r="M1214" s="818" t="s">
        <v>6675</v>
      </c>
      <c r="N1214" s="820">
        <v>45941.0</v>
      </c>
      <c r="O1214" s="823"/>
    </row>
    <row r="1215" ht="15.0" customHeight="1">
      <c r="A1215" s="789">
        <v>45891.0</v>
      </c>
      <c r="B1215" s="790" t="s">
        <v>13233</v>
      </c>
      <c r="C1215" s="791" t="s">
        <v>3076</v>
      </c>
      <c r="D1215" s="436" t="s">
        <v>8906</v>
      </c>
      <c r="E1215" s="792" t="str">
        <f>IFERROR(VLOOKUP(D1215,Stock,3,FALSE),"")</f>
        <v>Honda Accord 03-07 7th Gen CM5,6,7 (Honda)</v>
      </c>
      <c r="F1215" s="791">
        <v>1.0</v>
      </c>
      <c r="G1215" s="842">
        <v>975000.0</v>
      </c>
      <c r="H1215" s="811">
        <f t="shared" si="40"/>
        <v>975000</v>
      </c>
      <c r="I1215" s="809">
        <f t="shared" si="70"/>
        <v>975000</v>
      </c>
      <c r="J1215" s="819"/>
      <c r="K1215" s="799" t="s">
        <v>4262</v>
      </c>
      <c r="L1215" s="818" t="s">
        <v>12235</v>
      </c>
      <c r="M1215" s="818" t="s">
        <v>6675</v>
      </c>
      <c r="N1215" s="839">
        <v>45898.0</v>
      </c>
      <c r="O1215" s="823"/>
    </row>
    <row r="1216" ht="15.0" customHeight="1">
      <c r="A1216" s="789">
        <v>45891.0</v>
      </c>
      <c r="B1216" s="790" t="s">
        <v>13233</v>
      </c>
      <c r="C1216" s="791" t="s">
        <v>3076</v>
      </c>
      <c r="D1216" s="791" t="s">
        <v>2934</v>
      </c>
      <c r="E1216" s="792" t="str">
        <f>IFERROR(VLOOKUP(D1216,Stock,3,FALSE),"")</f>
        <v>Peti Kayu</v>
      </c>
      <c r="F1216" s="791">
        <v>1.0</v>
      </c>
      <c r="G1216" s="842">
        <v>80000.0</v>
      </c>
      <c r="H1216" s="811">
        <f t="shared" si="40"/>
        <v>80000</v>
      </c>
      <c r="I1216" s="809">
        <f t="shared" si="70"/>
        <v>80000</v>
      </c>
      <c r="J1216" s="819"/>
      <c r="K1216" s="799" t="s">
        <v>4262</v>
      </c>
      <c r="L1216" s="818" t="s">
        <v>12235</v>
      </c>
      <c r="M1216" s="818" t="s">
        <v>6675</v>
      </c>
      <c r="N1216" s="839">
        <v>45898.0</v>
      </c>
      <c r="O1216" s="823"/>
    </row>
    <row r="1217" ht="15.0" customHeight="1">
      <c r="A1217" s="789">
        <v>45894.0</v>
      </c>
      <c r="B1217" s="790">
        <v>2508778.0</v>
      </c>
      <c r="C1217" s="791" t="s">
        <v>11484</v>
      </c>
      <c r="D1217" s="791" t="s">
        <v>9027</v>
      </c>
      <c r="E1217" s="792" t="str">
        <f>IFERROR(VLOOKUP(D1217,Stock,3,FALSE),"")</f>
        <v>Toyota Camry 11-17 XV50 5th Gen</v>
      </c>
      <c r="F1217" s="791">
        <v>1.0</v>
      </c>
      <c r="G1217" s="842">
        <v>1047750.0</v>
      </c>
      <c r="H1217" s="811">
        <f t="shared" si="40"/>
        <v>1047750</v>
      </c>
      <c r="I1217" s="809">
        <f t="shared" si="70"/>
        <v>1047750</v>
      </c>
      <c r="J1217" s="872">
        <v>45955.0</v>
      </c>
      <c r="K1217" s="799" t="s">
        <v>4262</v>
      </c>
      <c r="L1217" s="818" t="s">
        <v>12235</v>
      </c>
      <c r="M1217" s="818" t="s">
        <v>6675</v>
      </c>
      <c r="N1217" s="820">
        <v>45941.0</v>
      </c>
      <c r="O1217" s="823"/>
    </row>
    <row r="1218" ht="15.0" customHeight="1">
      <c r="A1218" s="789">
        <v>45896.0</v>
      </c>
      <c r="B1218" s="790">
        <v>2508834.0</v>
      </c>
      <c r="C1218" s="791" t="s">
        <v>11484</v>
      </c>
      <c r="D1218" s="791" t="s">
        <v>4782</v>
      </c>
      <c r="E1218" s="792" t="str">
        <f>IFERROR(VLOOKUP(D1218,Stock,3,FALSE),"")</f>
        <v>Mitsubishi Pajero 08-16</v>
      </c>
      <c r="F1218" s="791">
        <v>1.0</v>
      </c>
      <c r="G1218" s="842">
        <v>772750.0</v>
      </c>
      <c r="H1218" s="811">
        <f t="shared" si="40"/>
        <v>772750</v>
      </c>
      <c r="I1218" s="809">
        <f t="shared" si="70"/>
        <v>772750</v>
      </c>
      <c r="J1218" s="872">
        <v>45957.0</v>
      </c>
      <c r="K1218" s="799" t="s">
        <v>4262</v>
      </c>
      <c r="L1218" s="818" t="s">
        <v>12235</v>
      </c>
      <c r="M1218" s="818" t="s">
        <v>6675</v>
      </c>
      <c r="N1218" s="820">
        <v>45941.0</v>
      </c>
      <c r="O1218" s="823"/>
    </row>
    <row r="1219" ht="15.0" customHeight="1">
      <c r="A1219" s="789">
        <v>45896.0</v>
      </c>
      <c r="B1219" s="790">
        <v>2508834.0</v>
      </c>
      <c r="C1219" s="791" t="s">
        <v>11484</v>
      </c>
      <c r="D1219" s="791" t="s">
        <v>3025</v>
      </c>
      <c r="E1219" s="792" t="str">
        <f>IFERROR(VLOOKUP(D1219,Stock,3,FALSE),"")</f>
        <v>Toyota Rush / Terios 06-17</v>
      </c>
      <c r="F1219" s="791">
        <v>2.0</v>
      </c>
      <c r="G1219" s="842">
        <v>576400.0</v>
      </c>
      <c r="H1219" s="811">
        <f t="shared" si="40"/>
        <v>1152800</v>
      </c>
      <c r="I1219" s="809">
        <f t="shared" si="70"/>
        <v>1152800</v>
      </c>
      <c r="J1219" s="872">
        <v>45957.0</v>
      </c>
      <c r="K1219" s="799" t="s">
        <v>4262</v>
      </c>
      <c r="L1219" s="818" t="s">
        <v>12235</v>
      </c>
      <c r="M1219" s="818" t="s">
        <v>6675</v>
      </c>
      <c r="N1219" s="820">
        <v>45941.0</v>
      </c>
      <c r="O1219" s="823"/>
    </row>
    <row r="1220" ht="15.0" customHeight="1">
      <c r="A1220" s="789">
        <v>45896.0</v>
      </c>
      <c r="B1220" s="790">
        <v>2508834.0</v>
      </c>
      <c r="C1220" s="791" t="s">
        <v>11484</v>
      </c>
      <c r="D1220" s="791" t="s">
        <v>2777</v>
      </c>
      <c r="E1220" s="792" t="str">
        <f>IFERROR(VLOOKUP(D1220,Stock,3,FALSE),"")</f>
        <v>Isuzu Giga Long (PS240,285) FVR34 (Lebar 215cm)</v>
      </c>
      <c r="F1220" s="791">
        <v>2.0</v>
      </c>
      <c r="G1220" s="842">
        <v>1043900.0</v>
      </c>
      <c r="H1220" s="811">
        <f t="shared" si="40"/>
        <v>2087800</v>
      </c>
      <c r="I1220" s="809">
        <f t="shared" si="70"/>
        <v>2087800</v>
      </c>
      <c r="J1220" s="872">
        <v>45957.0</v>
      </c>
      <c r="K1220" s="799" t="s">
        <v>4262</v>
      </c>
      <c r="L1220" s="818" t="s">
        <v>12235</v>
      </c>
      <c r="M1220" s="818" t="s">
        <v>6675</v>
      </c>
      <c r="N1220" s="820">
        <v>45941.0</v>
      </c>
      <c r="O1220" s="823"/>
    </row>
    <row r="1221" ht="15.0" customHeight="1">
      <c r="A1221" s="789">
        <v>45896.0</v>
      </c>
      <c r="B1221" s="790">
        <v>2508834.0</v>
      </c>
      <c r="C1221" s="791" t="s">
        <v>11484</v>
      </c>
      <c r="D1221" s="791" t="s">
        <v>2779</v>
      </c>
      <c r="E1221" s="792" t="str">
        <f>IFERROR(VLOOKUP(D1221,Stock,3,FALSE),"")</f>
        <v>Toyota Hi-Ace 04-20 Commuter With Frame</v>
      </c>
      <c r="F1221" s="791">
        <v>1.0</v>
      </c>
      <c r="G1221" s="842">
        <v>1427250.0</v>
      </c>
      <c r="H1221" s="811">
        <f t="shared" si="40"/>
        <v>1427250</v>
      </c>
      <c r="I1221" s="809">
        <f t="shared" si="70"/>
        <v>1427250</v>
      </c>
      <c r="J1221" s="872">
        <v>45957.0</v>
      </c>
      <c r="K1221" s="799" t="s">
        <v>4262</v>
      </c>
      <c r="L1221" s="818" t="s">
        <v>12235</v>
      </c>
      <c r="M1221" s="818" t="s">
        <v>6675</v>
      </c>
      <c r="N1221" s="820">
        <v>45941.0</v>
      </c>
      <c r="O1221" s="823"/>
    </row>
    <row r="1222" ht="15.0" customHeight="1">
      <c r="A1222" s="789">
        <v>45896.0</v>
      </c>
      <c r="B1222" s="790">
        <v>2508834.0</v>
      </c>
      <c r="C1222" s="791" t="s">
        <v>11484</v>
      </c>
      <c r="D1222" s="791" t="s">
        <v>2544</v>
      </c>
      <c r="E1222" s="792" t="str">
        <f>IFERROR(VLOOKUP(D1222,Stock,3,FALSE),"")</f>
        <v>Nissan Juke 11-</v>
      </c>
      <c r="F1222" s="791">
        <v>1.0</v>
      </c>
      <c r="G1222" s="842">
        <v>925100.0</v>
      </c>
      <c r="H1222" s="811">
        <f t="shared" si="40"/>
        <v>925100</v>
      </c>
      <c r="I1222" s="809">
        <f t="shared" si="70"/>
        <v>925100</v>
      </c>
      <c r="J1222" s="872">
        <v>45957.0</v>
      </c>
      <c r="K1222" s="799" t="s">
        <v>4262</v>
      </c>
      <c r="L1222" s="818" t="s">
        <v>12235</v>
      </c>
      <c r="M1222" s="818" t="s">
        <v>6675</v>
      </c>
      <c r="N1222" s="820">
        <v>45941.0</v>
      </c>
      <c r="O1222" s="823"/>
    </row>
    <row r="1223" ht="15.0" customHeight="1">
      <c r="A1223" s="789">
        <v>45896.0</v>
      </c>
      <c r="B1223" s="790">
        <v>2508834.0</v>
      </c>
      <c r="C1223" s="791" t="s">
        <v>11484</v>
      </c>
      <c r="D1223" s="791" t="s">
        <v>2637</v>
      </c>
      <c r="E1223" s="792" t="str">
        <f>IFERROR(VLOOKUP(D1223,Stock,3,FALSE),"")</f>
        <v>Ford Everest 04-15 / Ranger 04-11 / Mazda BT-50</v>
      </c>
      <c r="F1223" s="791">
        <v>1.0</v>
      </c>
      <c r="G1223" s="842">
        <v>611050.0</v>
      </c>
      <c r="H1223" s="811">
        <f t="shared" si="40"/>
        <v>611050</v>
      </c>
      <c r="I1223" s="809">
        <f t="shared" si="70"/>
        <v>611050</v>
      </c>
      <c r="J1223" s="872">
        <v>45957.0</v>
      </c>
      <c r="K1223" s="799" t="s">
        <v>4262</v>
      </c>
      <c r="L1223" s="818" t="s">
        <v>12235</v>
      </c>
      <c r="M1223" s="818" t="s">
        <v>6675</v>
      </c>
      <c r="N1223" s="820">
        <v>45941.0</v>
      </c>
      <c r="O1223" s="823"/>
    </row>
    <row r="1224" ht="15.0" customHeight="1">
      <c r="A1224" s="789">
        <v>45896.0</v>
      </c>
      <c r="B1224" s="790">
        <v>2508834.0</v>
      </c>
      <c r="C1224" s="791" t="s">
        <v>11484</v>
      </c>
      <c r="D1224" s="791" t="s">
        <v>10759</v>
      </c>
      <c r="E1224" s="792" t="str">
        <f>IFERROR(VLOOKUP(D1224,Stock,3,FALSE),"")</f>
        <v>Ford Everest 06-15</v>
      </c>
      <c r="F1224" s="791">
        <v>1.0</v>
      </c>
      <c r="G1224" s="842">
        <v>1060400.0</v>
      </c>
      <c r="H1224" s="811">
        <f t="shared" si="40"/>
        <v>1060400</v>
      </c>
      <c r="I1224" s="809">
        <f t="shared" si="70"/>
        <v>1060400</v>
      </c>
      <c r="J1224" s="872">
        <v>45957.0</v>
      </c>
      <c r="K1224" s="799" t="s">
        <v>4262</v>
      </c>
      <c r="L1224" s="818" t="s">
        <v>12235</v>
      </c>
      <c r="M1224" s="818" t="s">
        <v>6675</v>
      </c>
      <c r="N1224" s="820">
        <v>45941.0</v>
      </c>
      <c r="O1224" s="823"/>
    </row>
    <row r="1225" ht="15.0" customHeight="1">
      <c r="A1225" s="789">
        <v>45897.0</v>
      </c>
      <c r="B1225" s="790">
        <v>2508867.0</v>
      </c>
      <c r="C1225" s="791" t="s">
        <v>11484</v>
      </c>
      <c r="D1225" s="791" t="s">
        <v>8874</v>
      </c>
      <c r="E1225" s="792" t="str">
        <f>IFERROR(VLOOKUP(D1225,Stock,3,FALSE),"")</f>
        <v>Mazda CX-5 17- 2nd Gen KF (2 Sensor/ □Δ )</v>
      </c>
      <c r="F1225" s="791">
        <v>1.0</v>
      </c>
      <c r="G1225" s="842">
        <v>2778050.0</v>
      </c>
      <c r="H1225" s="811">
        <f t="shared" si="40"/>
        <v>2778050</v>
      </c>
      <c r="I1225" s="809">
        <f t="shared" si="70"/>
        <v>2778050</v>
      </c>
      <c r="J1225" s="872">
        <v>45958.0</v>
      </c>
      <c r="K1225" s="799" t="s">
        <v>4262</v>
      </c>
      <c r="L1225" s="818" t="s">
        <v>12235</v>
      </c>
      <c r="M1225" s="818" t="s">
        <v>6675</v>
      </c>
      <c r="N1225" s="820">
        <v>45941.0</v>
      </c>
      <c r="O1225" s="823"/>
    </row>
    <row r="1226" ht="15.0" customHeight="1">
      <c r="A1226" s="789">
        <v>45898.0</v>
      </c>
      <c r="B1226" s="790" t="s">
        <v>13234</v>
      </c>
      <c r="C1226" s="791" t="s">
        <v>12932</v>
      </c>
      <c r="D1226" s="791" t="s">
        <v>2840</v>
      </c>
      <c r="E1226" s="792" t="str">
        <f>IFERROR(VLOOKUP(D1226,Stock,3,FALSE),"")</f>
        <v>Toyota Avanza / Xenia 03-11 1st Gen</v>
      </c>
      <c r="F1226" s="791">
        <v>5.0</v>
      </c>
      <c r="G1226" s="842">
        <v>109650.2</v>
      </c>
      <c r="H1226" s="811">
        <f t="shared" si="40"/>
        <v>548251</v>
      </c>
      <c r="I1226" s="809">
        <f t="shared" si="70"/>
        <v>548251</v>
      </c>
      <c r="J1226" s="872">
        <v>45959.0</v>
      </c>
      <c r="K1226" s="799" t="s">
        <v>4262</v>
      </c>
      <c r="L1226" s="818" t="s">
        <v>12235</v>
      </c>
      <c r="M1226" s="818" t="s">
        <v>6675</v>
      </c>
      <c r="N1226" s="839">
        <v>45898.0</v>
      </c>
      <c r="O1226" s="823"/>
    </row>
    <row r="1227" ht="15.0" customHeight="1">
      <c r="A1227" s="789">
        <v>45898.0</v>
      </c>
      <c r="B1227" s="790" t="s">
        <v>13234</v>
      </c>
      <c r="C1227" s="791" t="s">
        <v>12932</v>
      </c>
      <c r="D1227" s="791" t="s">
        <v>2834</v>
      </c>
      <c r="E1227" s="792" t="str">
        <f>IFERROR(VLOOKUP(D1227,Stock,3,FALSE),"")</f>
        <v>Suzuki Ertiga 12-18 1st Gen MPV</v>
      </c>
      <c r="F1227" s="791">
        <v>5.0</v>
      </c>
      <c r="G1227" s="842">
        <v>130049.8</v>
      </c>
      <c r="H1227" s="811">
        <f t="shared" si="40"/>
        <v>650249</v>
      </c>
      <c r="I1227" s="809">
        <f t="shared" si="70"/>
        <v>650249</v>
      </c>
      <c r="J1227" s="872">
        <v>45959.0</v>
      </c>
      <c r="K1227" s="799" t="s">
        <v>4262</v>
      </c>
      <c r="L1227" s="818" t="s">
        <v>12235</v>
      </c>
      <c r="M1227" s="818" t="s">
        <v>6675</v>
      </c>
      <c r="N1227" s="839">
        <v>45898.0</v>
      </c>
      <c r="O1227" s="823"/>
    </row>
    <row r="1228" ht="15.0" customHeight="1">
      <c r="A1228" s="789">
        <v>45901.0</v>
      </c>
      <c r="B1228" s="790">
        <v>2509015.0</v>
      </c>
      <c r="C1228" s="791" t="s">
        <v>11484</v>
      </c>
      <c r="D1228" s="791" t="s">
        <v>3186</v>
      </c>
      <c r="E1228" s="792" t="str">
        <f>IFERROR(VLOOKUP(D1228,Stock,3,FALSE),"")</f>
        <v>Daihatsu Gran Max / Luxio 07-</v>
      </c>
      <c r="F1228" s="791">
        <v>5.0</v>
      </c>
      <c r="G1228" s="842">
        <v>470250.0</v>
      </c>
      <c r="H1228" s="811">
        <f t="shared" si="40"/>
        <v>2351250</v>
      </c>
      <c r="I1228" s="809">
        <f t="shared" si="70"/>
        <v>2351250</v>
      </c>
      <c r="J1228" s="872">
        <v>45962.0</v>
      </c>
      <c r="K1228" s="799" t="s">
        <v>4262</v>
      </c>
      <c r="L1228" s="818" t="s">
        <v>12235</v>
      </c>
      <c r="M1228" s="818" t="s">
        <v>6675</v>
      </c>
      <c r="N1228" s="820">
        <v>45951.0</v>
      </c>
      <c r="O1228" s="823"/>
    </row>
    <row r="1229" ht="15.0" customHeight="1">
      <c r="A1229" s="789">
        <v>45903.0</v>
      </c>
      <c r="B1229" s="790" t="s">
        <v>13235</v>
      </c>
      <c r="C1229" s="791" t="s">
        <v>13022</v>
      </c>
      <c r="D1229" s="791" t="s">
        <v>5528</v>
      </c>
      <c r="E1229" s="792" t="str">
        <f>IFERROR(VLOOKUP(D1229,Stock,3,FALSE),"")</f>
        <v>Toyota Innova 15-22 2nd Gen (Toyota)</v>
      </c>
      <c r="F1229" s="791">
        <v>2.0</v>
      </c>
      <c r="G1229" s="842">
        <v>1674000.0</v>
      </c>
      <c r="H1229" s="811">
        <f t="shared" si="40"/>
        <v>3348000</v>
      </c>
      <c r="I1229" s="809"/>
      <c r="J1229" s="819"/>
      <c r="K1229" s="799" t="s">
        <v>4262</v>
      </c>
      <c r="L1229" s="818" t="s">
        <v>12235</v>
      </c>
      <c r="M1229" s="818" t="s">
        <v>6675</v>
      </c>
      <c r="N1229" s="839">
        <v>45903.0</v>
      </c>
      <c r="O1229" s="823"/>
    </row>
    <row r="1230" ht="15.0" customHeight="1">
      <c r="A1230" s="789">
        <v>45902.0</v>
      </c>
      <c r="B1230" s="790">
        <v>2509094.0</v>
      </c>
      <c r="C1230" s="791" t="s">
        <v>11484</v>
      </c>
      <c r="D1230" s="791" t="s">
        <v>2546</v>
      </c>
      <c r="E1230" s="792" t="str">
        <f>IFERROR(VLOOKUP(D1230,Stock,3,FALSE),"")</f>
        <v>Wuling Confero (Tanpa Spionnya)</v>
      </c>
      <c r="F1230" s="791">
        <v>1.0</v>
      </c>
      <c r="G1230" s="842">
        <v>627000.0</v>
      </c>
      <c r="H1230" s="811">
        <f t="shared" si="40"/>
        <v>627000</v>
      </c>
      <c r="I1230" s="809">
        <f t="shared" ref="I1230:I1234" si="71">H1230</f>
        <v>627000</v>
      </c>
      <c r="J1230" s="872">
        <v>45963.0</v>
      </c>
      <c r="K1230" s="799" t="s">
        <v>4262</v>
      </c>
      <c r="L1230" s="818" t="s">
        <v>12235</v>
      </c>
      <c r="M1230" s="818" t="s">
        <v>6675</v>
      </c>
      <c r="N1230" s="820">
        <v>45951.0</v>
      </c>
      <c r="O1230" s="823"/>
    </row>
    <row r="1231" ht="15.0" customHeight="1">
      <c r="A1231" s="789">
        <v>45902.0</v>
      </c>
      <c r="B1231" s="790">
        <v>2509094.0</v>
      </c>
      <c r="C1231" s="791" t="s">
        <v>11484</v>
      </c>
      <c r="D1231" s="791" t="s">
        <v>6751</v>
      </c>
      <c r="E1231" s="792" t="str">
        <f>IFERROR(VLOOKUP(D1231,Stock,3,FALSE),"")</f>
        <v>Kia Pregio Van 95-</v>
      </c>
      <c r="F1231" s="791">
        <v>1.0</v>
      </c>
      <c r="G1231" s="842">
        <v>828850.0</v>
      </c>
      <c r="H1231" s="811">
        <f t="shared" si="40"/>
        <v>828850</v>
      </c>
      <c r="I1231" s="809">
        <f t="shared" si="71"/>
        <v>828850</v>
      </c>
      <c r="J1231" s="872">
        <v>45963.0</v>
      </c>
      <c r="K1231" s="799" t="s">
        <v>4262</v>
      </c>
      <c r="L1231" s="818" t="s">
        <v>12235</v>
      </c>
      <c r="M1231" s="818" t="s">
        <v>6675</v>
      </c>
      <c r="N1231" s="820">
        <v>45951.0</v>
      </c>
      <c r="O1231" s="823"/>
    </row>
    <row r="1232" ht="15.0" customHeight="1">
      <c r="A1232" s="789">
        <v>45902.0</v>
      </c>
      <c r="B1232" s="790">
        <v>2509095.0</v>
      </c>
      <c r="C1232" s="791" t="s">
        <v>11484</v>
      </c>
      <c r="D1232" s="791" t="s">
        <v>2546</v>
      </c>
      <c r="E1232" s="792" t="str">
        <f>IFERROR(VLOOKUP(D1232,Stock,3,FALSE),"")</f>
        <v>Wuling Confero (Tanpa Spionnya)</v>
      </c>
      <c r="F1232" s="791">
        <v>1.0</v>
      </c>
      <c r="G1232" s="842">
        <v>627000.0</v>
      </c>
      <c r="H1232" s="811">
        <f t="shared" si="40"/>
        <v>627000</v>
      </c>
      <c r="I1232" s="809">
        <f t="shared" si="71"/>
        <v>627000</v>
      </c>
      <c r="J1232" s="872">
        <v>45963.0</v>
      </c>
      <c r="K1232" s="799" t="s">
        <v>4262</v>
      </c>
      <c r="L1232" s="818" t="s">
        <v>12235</v>
      </c>
      <c r="M1232" s="818" t="s">
        <v>6675</v>
      </c>
      <c r="N1232" s="820">
        <v>45951.0</v>
      </c>
      <c r="O1232" s="823"/>
    </row>
    <row r="1233" ht="15.0" customHeight="1">
      <c r="A1233" s="789">
        <v>45902.0</v>
      </c>
      <c r="B1233" s="790">
        <v>2509095.0</v>
      </c>
      <c r="C1233" s="791" t="s">
        <v>11484</v>
      </c>
      <c r="D1233" s="791" t="s">
        <v>2698</v>
      </c>
      <c r="E1233" s="792" t="str">
        <f>IFERROR(VLOOKUP(D1233,Stock,3,FALSE),"")</f>
        <v>Honda CR-V 17- 5th Gen</v>
      </c>
      <c r="F1233" s="791">
        <v>1.0</v>
      </c>
      <c r="G1233" s="842">
        <v>853600.0</v>
      </c>
      <c r="H1233" s="811">
        <f t="shared" si="40"/>
        <v>853600</v>
      </c>
      <c r="I1233" s="809">
        <f t="shared" si="71"/>
        <v>853600</v>
      </c>
      <c r="J1233" s="872">
        <v>45963.0</v>
      </c>
      <c r="K1233" s="799" t="s">
        <v>4262</v>
      </c>
      <c r="L1233" s="818" t="s">
        <v>12235</v>
      </c>
      <c r="M1233" s="818" t="s">
        <v>6675</v>
      </c>
      <c r="N1233" s="820">
        <v>45951.0</v>
      </c>
      <c r="O1233" s="823"/>
    </row>
    <row r="1234" ht="15.0" customHeight="1">
      <c r="A1234" s="789">
        <v>45904.0</v>
      </c>
      <c r="B1234" s="790">
        <v>2509181.0</v>
      </c>
      <c r="C1234" s="791" t="s">
        <v>11484</v>
      </c>
      <c r="D1234" s="791" t="s">
        <v>2578</v>
      </c>
      <c r="E1234" s="792" t="str">
        <f>IFERROR(VLOOKUP(D1234,Stock,3,FALSE),"")</f>
        <v>Toyota Camry 11-17 XV50 5th Gen</v>
      </c>
      <c r="F1234" s="791">
        <v>1.0</v>
      </c>
      <c r="G1234" s="842">
        <v>950400.0</v>
      </c>
      <c r="H1234" s="811">
        <f t="shared" si="40"/>
        <v>950400</v>
      </c>
      <c r="I1234" s="809">
        <f t="shared" si="71"/>
        <v>950400</v>
      </c>
      <c r="J1234" s="872">
        <v>45965.0</v>
      </c>
      <c r="K1234" s="799" t="s">
        <v>4262</v>
      </c>
      <c r="L1234" s="818" t="s">
        <v>12235</v>
      </c>
      <c r="M1234" s="818" t="s">
        <v>6675</v>
      </c>
      <c r="N1234" s="839">
        <v>45964.0</v>
      </c>
      <c r="O1234" s="823"/>
    </row>
    <row r="1235" ht="15.0" customHeight="1">
      <c r="A1235" s="883">
        <v>45904.0</v>
      </c>
      <c r="B1235" s="884">
        <v>2509198.0</v>
      </c>
      <c r="C1235" s="885" t="s">
        <v>11484</v>
      </c>
      <c r="D1235" s="885" t="s">
        <v>8899</v>
      </c>
      <c r="E1235" s="886" t="str">
        <f>IFERROR(VLOOKUP(D1235,Stock,3,FALSE),"")</f>
        <v>Mazda MX-5/Miata/Roadster 2D NC 05-15</v>
      </c>
      <c r="F1235" s="885">
        <v>0.0</v>
      </c>
      <c r="G1235" s="887"/>
      <c r="H1235" s="888"/>
      <c r="I1235" s="889"/>
      <c r="J1235" s="890">
        <v>45965.0</v>
      </c>
      <c r="K1235" s="891" t="s">
        <v>4262</v>
      </c>
      <c r="L1235" s="892" t="s">
        <v>12235</v>
      </c>
      <c r="M1235" s="893"/>
      <c r="N1235" s="893"/>
      <c r="O1235" s="893"/>
    </row>
    <row r="1236" ht="15.0" customHeight="1">
      <c r="A1236" s="789">
        <v>45908.0</v>
      </c>
      <c r="B1236" s="790">
        <v>2509238.0</v>
      </c>
      <c r="C1236" s="791" t="s">
        <v>11484</v>
      </c>
      <c r="D1236" s="791" t="s">
        <v>3574</v>
      </c>
      <c r="E1236" s="792" t="str">
        <f>IFERROR(VLOOKUP(D1236,Stock,3,FALSE),"")</f>
        <v>Toyota Rush / Terios 06-17</v>
      </c>
      <c r="F1236" s="791">
        <v>1.0</v>
      </c>
      <c r="G1236" s="842">
        <v>387750.0</v>
      </c>
      <c r="H1236" s="811">
        <f t="shared" ref="H1236:H1441" si="72">G1236*F1236</f>
        <v>387750</v>
      </c>
      <c r="I1236" s="809">
        <f t="shared" ref="I1236:I1251" si="73">H1236</f>
        <v>387750</v>
      </c>
      <c r="J1236" s="872">
        <v>45969.0</v>
      </c>
      <c r="K1236" s="799" t="s">
        <v>4262</v>
      </c>
      <c r="L1236" s="818" t="s">
        <v>12235</v>
      </c>
      <c r="M1236" s="818" t="s">
        <v>6675</v>
      </c>
      <c r="N1236" s="839">
        <v>45964.0</v>
      </c>
      <c r="O1236" s="823"/>
    </row>
    <row r="1237" ht="15.0" customHeight="1">
      <c r="A1237" s="789">
        <v>45908.0</v>
      </c>
      <c r="B1237" s="790">
        <v>2509238.0</v>
      </c>
      <c r="C1237" s="791" t="s">
        <v>11484</v>
      </c>
      <c r="D1237" s="791" t="s">
        <v>2729</v>
      </c>
      <c r="E1237" s="792" t="str">
        <f>IFERROR(VLOOKUP(D1237,Stock,3,FALSE),"")</f>
        <v>Honda HR-V 14-21 5D SUV</v>
      </c>
      <c r="F1237" s="791">
        <v>2.0</v>
      </c>
      <c r="G1237" s="842">
        <v>883300.0</v>
      </c>
      <c r="H1237" s="811">
        <f t="shared" si="72"/>
        <v>1766600</v>
      </c>
      <c r="I1237" s="809">
        <f t="shared" si="73"/>
        <v>1766600</v>
      </c>
      <c r="J1237" s="872">
        <v>45969.0</v>
      </c>
      <c r="K1237" s="799" t="s">
        <v>4262</v>
      </c>
      <c r="L1237" s="818" t="s">
        <v>12235</v>
      </c>
      <c r="M1237" s="818" t="s">
        <v>6675</v>
      </c>
      <c r="N1237" s="839">
        <v>45964.0</v>
      </c>
      <c r="O1237" s="823"/>
    </row>
    <row r="1238" ht="15.0" customHeight="1">
      <c r="A1238" s="789">
        <v>45908.0</v>
      </c>
      <c r="B1238" s="790">
        <v>2509238.0</v>
      </c>
      <c r="C1238" s="791" t="s">
        <v>11484</v>
      </c>
      <c r="D1238" s="791" t="s">
        <v>2546</v>
      </c>
      <c r="E1238" s="792" t="str">
        <f>IFERROR(VLOOKUP(D1238,Stock,3,FALSE),"")</f>
        <v>Wuling Confero (Tanpa Spionnya)</v>
      </c>
      <c r="F1238" s="791">
        <v>2.0</v>
      </c>
      <c r="G1238" s="842">
        <v>627000.0</v>
      </c>
      <c r="H1238" s="811">
        <f t="shared" si="72"/>
        <v>1254000</v>
      </c>
      <c r="I1238" s="809">
        <f t="shared" si="73"/>
        <v>1254000</v>
      </c>
      <c r="J1238" s="872">
        <v>45969.0</v>
      </c>
      <c r="K1238" s="799" t="s">
        <v>4262</v>
      </c>
      <c r="L1238" s="818" t="s">
        <v>12235</v>
      </c>
      <c r="M1238" s="818" t="s">
        <v>6675</v>
      </c>
      <c r="N1238" s="839">
        <v>45964.0</v>
      </c>
      <c r="O1238" s="823"/>
    </row>
    <row r="1239" ht="15.0" customHeight="1">
      <c r="A1239" s="789">
        <v>45908.0</v>
      </c>
      <c r="B1239" s="790">
        <v>2509238.0</v>
      </c>
      <c r="C1239" s="791" t="s">
        <v>11484</v>
      </c>
      <c r="D1239" s="791" t="s">
        <v>2926</v>
      </c>
      <c r="E1239" s="792" t="str">
        <f>IFERROR(VLOOKUP(D1239,Stock,3,FALSE),"")</f>
        <v>Honda Jazz 01-07 1st Gen</v>
      </c>
      <c r="F1239" s="791">
        <v>2.0</v>
      </c>
      <c r="G1239" s="842">
        <v>673200.0</v>
      </c>
      <c r="H1239" s="811">
        <f t="shared" si="72"/>
        <v>1346400</v>
      </c>
      <c r="I1239" s="809">
        <f t="shared" si="73"/>
        <v>1346400</v>
      </c>
      <c r="J1239" s="872">
        <v>45969.0</v>
      </c>
      <c r="K1239" s="799" t="s">
        <v>4262</v>
      </c>
      <c r="L1239" s="818" t="s">
        <v>12235</v>
      </c>
      <c r="M1239" s="818" t="s">
        <v>6675</v>
      </c>
      <c r="N1239" s="839">
        <v>45964.0</v>
      </c>
      <c r="O1239" s="823"/>
    </row>
    <row r="1240" ht="15.0" customHeight="1">
      <c r="A1240" s="789">
        <v>45908.0</v>
      </c>
      <c r="B1240" s="790">
        <v>2509238.0</v>
      </c>
      <c r="C1240" s="791" t="s">
        <v>11484</v>
      </c>
      <c r="D1240" s="791" t="s">
        <v>2721</v>
      </c>
      <c r="E1240" s="792" t="str">
        <f>IFERROR(VLOOKUP(D1240,Stock,3,FALSE),"")</f>
        <v>Toyota Dyna/Hino Dutro 00-</v>
      </c>
      <c r="F1240" s="791">
        <v>2.0</v>
      </c>
      <c r="G1240" s="842">
        <v>522500.0</v>
      </c>
      <c r="H1240" s="811">
        <f t="shared" si="72"/>
        <v>1045000</v>
      </c>
      <c r="I1240" s="809">
        <f t="shared" si="73"/>
        <v>1045000</v>
      </c>
      <c r="J1240" s="872">
        <v>45969.0</v>
      </c>
      <c r="K1240" s="799" t="s">
        <v>4262</v>
      </c>
      <c r="L1240" s="818" t="s">
        <v>12235</v>
      </c>
      <c r="M1240" s="818" t="s">
        <v>6675</v>
      </c>
      <c r="N1240" s="839">
        <v>45964.0</v>
      </c>
      <c r="O1240" s="823"/>
    </row>
    <row r="1241" ht="15.0" customHeight="1">
      <c r="A1241" s="789">
        <v>45908.0</v>
      </c>
      <c r="B1241" s="790">
        <v>2509238.0</v>
      </c>
      <c r="C1241" s="791" t="s">
        <v>11484</v>
      </c>
      <c r="D1241" s="791" t="s">
        <v>6738</v>
      </c>
      <c r="E1241" s="792" t="str">
        <f>IFERROR(VLOOKUP(D1241,Stock,3,FALSE),"")</f>
        <v>Honda Jazz 13- 3rd Gen</v>
      </c>
      <c r="F1241" s="791">
        <v>1.0</v>
      </c>
      <c r="G1241" s="842">
        <v>551650.0</v>
      </c>
      <c r="H1241" s="811">
        <f t="shared" si="72"/>
        <v>551650</v>
      </c>
      <c r="I1241" s="809">
        <f t="shared" si="73"/>
        <v>551650</v>
      </c>
      <c r="J1241" s="872">
        <v>45969.0</v>
      </c>
      <c r="K1241" s="799" t="s">
        <v>4262</v>
      </c>
      <c r="L1241" s="818" t="s">
        <v>12235</v>
      </c>
      <c r="M1241" s="818" t="s">
        <v>6675</v>
      </c>
      <c r="N1241" s="839">
        <v>45964.0</v>
      </c>
      <c r="O1241" s="823"/>
    </row>
    <row r="1242" ht="15.0" customHeight="1">
      <c r="A1242" s="789">
        <v>45908.0</v>
      </c>
      <c r="B1242" s="790">
        <v>2509238.0</v>
      </c>
      <c r="C1242" s="791" t="s">
        <v>11484</v>
      </c>
      <c r="D1242" s="791" t="s">
        <v>3451</v>
      </c>
      <c r="E1242" s="792" t="str">
        <f>IFERROR(VLOOKUP(D1242,Stock,3,FALSE),"")</f>
        <v>Toyota Rush / Terios 18-</v>
      </c>
      <c r="F1242" s="791">
        <v>2.0</v>
      </c>
      <c r="G1242" s="842">
        <v>528000.0</v>
      </c>
      <c r="H1242" s="811">
        <f t="shared" si="72"/>
        <v>1056000</v>
      </c>
      <c r="I1242" s="809">
        <f t="shared" si="73"/>
        <v>1056000</v>
      </c>
      <c r="J1242" s="872">
        <v>45969.0</v>
      </c>
      <c r="K1242" s="799" t="s">
        <v>4262</v>
      </c>
      <c r="L1242" s="818" t="s">
        <v>12235</v>
      </c>
      <c r="M1242" s="818" t="s">
        <v>6675</v>
      </c>
      <c r="N1242" s="839">
        <v>45964.0</v>
      </c>
      <c r="O1242" s="823"/>
    </row>
    <row r="1243" ht="15.0" customHeight="1">
      <c r="A1243" s="789">
        <v>45909.0</v>
      </c>
      <c r="B1243" s="790">
        <v>2509277.0</v>
      </c>
      <c r="C1243" s="791" t="s">
        <v>11484</v>
      </c>
      <c r="D1243" s="791" t="s">
        <v>2549</v>
      </c>
      <c r="E1243" s="792" t="str">
        <f>IFERROR(VLOOKUP(D1243,Stock,3,FALSE),"")</f>
        <v>Toyota Avanza / Xenia 11-15 2nd Gen</v>
      </c>
      <c r="F1243" s="791">
        <v>3.0</v>
      </c>
      <c r="G1243" s="842">
        <v>416900.0</v>
      </c>
      <c r="H1243" s="811">
        <f t="shared" si="72"/>
        <v>1250700</v>
      </c>
      <c r="I1243" s="809">
        <f t="shared" si="73"/>
        <v>1250700</v>
      </c>
      <c r="J1243" s="872">
        <v>45970.0</v>
      </c>
      <c r="K1243" s="799" t="s">
        <v>4262</v>
      </c>
      <c r="L1243" s="818" t="s">
        <v>12235</v>
      </c>
      <c r="M1243" s="818" t="s">
        <v>6675</v>
      </c>
      <c r="N1243" s="839">
        <v>45964.0</v>
      </c>
      <c r="O1243" s="823"/>
    </row>
    <row r="1244" ht="15.0" customHeight="1">
      <c r="A1244" s="789">
        <v>45911.0</v>
      </c>
      <c r="B1244" s="790">
        <v>2509372.0</v>
      </c>
      <c r="C1244" s="791" t="s">
        <v>11484</v>
      </c>
      <c r="D1244" s="791" t="s">
        <v>3099</v>
      </c>
      <c r="E1244" s="792" t="str">
        <f>IFERROR(VLOOKUP(D1244,Stock,3,FALSE),"")</f>
        <v>Toyota Calya / Sigra 16-</v>
      </c>
      <c r="F1244" s="791">
        <v>3.0</v>
      </c>
      <c r="G1244" s="842">
        <v>505450.0</v>
      </c>
      <c r="H1244" s="811">
        <f t="shared" si="72"/>
        <v>1516350</v>
      </c>
      <c r="I1244" s="809">
        <f t="shared" si="73"/>
        <v>1516350</v>
      </c>
      <c r="J1244" s="872">
        <v>45972.0</v>
      </c>
      <c r="K1244" s="799" t="s">
        <v>4262</v>
      </c>
      <c r="L1244" s="818" t="s">
        <v>12235</v>
      </c>
      <c r="M1244" s="818" t="s">
        <v>6675</v>
      </c>
      <c r="N1244" s="839">
        <v>45967.0</v>
      </c>
      <c r="O1244" s="823"/>
    </row>
    <row r="1245" ht="15.0" customHeight="1">
      <c r="A1245" s="789">
        <v>45910.0</v>
      </c>
      <c r="B1245" s="790">
        <v>2509335.0</v>
      </c>
      <c r="C1245" s="791" t="s">
        <v>11484</v>
      </c>
      <c r="D1245" s="791" t="s">
        <v>2562</v>
      </c>
      <c r="E1245" s="792" t="str">
        <f>IFERROR(VLOOKUP(D1245,Stock,3,FALSE),"")</f>
        <v>Toyota Avanza / Xenia 15-21 3rd Gen</v>
      </c>
      <c r="F1245" s="791">
        <v>2.0</v>
      </c>
      <c r="G1245" s="842">
        <v>416900.0</v>
      </c>
      <c r="H1245" s="811">
        <f t="shared" si="72"/>
        <v>833800</v>
      </c>
      <c r="I1245" s="809">
        <f t="shared" si="73"/>
        <v>833800</v>
      </c>
      <c r="J1245" s="872">
        <v>45971.0</v>
      </c>
      <c r="K1245" s="799" t="s">
        <v>4262</v>
      </c>
      <c r="L1245" s="818" t="s">
        <v>12235</v>
      </c>
      <c r="M1245" s="818" t="s">
        <v>6675</v>
      </c>
      <c r="N1245" s="839">
        <v>45967.0</v>
      </c>
      <c r="O1245" s="823"/>
    </row>
    <row r="1246" ht="15.0" customHeight="1">
      <c r="A1246" s="789">
        <v>45910.0</v>
      </c>
      <c r="B1246" s="790">
        <v>2509332.0</v>
      </c>
      <c r="C1246" s="791" t="s">
        <v>11484</v>
      </c>
      <c r="D1246" s="791" t="s">
        <v>2965</v>
      </c>
      <c r="E1246" s="792" t="str">
        <f>IFERROR(VLOOKUP(D1246,Stock,3,FALSE),"")</f>
        <v>Suzuki Ertiga 12-18 1st Gen MPV</v>
      </c>
      <c r="F1246" s="791">
        <v>5.0</v>
      </c>
      <c r="G1246" s="842">
        <v>292050.0</v>
      </c>
      <c r="H1246" s="811">
        <f t="shared" si="72"/>
        <v>1460250</v>
      </c>
      <c r="I1246" s="809">
        <f t="shared" si="73"/>
        <v>1460250</v>
      </c>
      <c r="J1246" s="872">
        <v>45971.0</v>
      </c>
      <c r="K1246" s="799" t="s">
        <v>4262</v>
      </c>
      <c r="L1246" s="818" t="s">
        <v>12235</v>
      </c>
      <c r="M1246" s="818" t="s">
        <v>6675</v>
      </c>
      <c r="N1246" s="839">
        <v>45967.0</v>
      </c>
      <c r="O1246" s="823"/>
    </row>
    <row r="1247" ht="15.0" customHeight="1">
      <c r="A1247" s="789">
        <v>45910.0</v>
      </c>
      <c r="B1247" s="790">
        <v>2509332.0</v>
      </c>
      <c r="C1247" s="791" t="s">
        <v>11484</v>
      </c>
      <c r="D1247" s="791" t="s">
        <v>9167</v>
      </c>
      <c r="E1247" s="792" t="str">
        <f>IFERROR(VLOOKUP(D1247,Stock,3,FALSE),"")</f>
        <v>Toyota Avanza / Xenia 11-15 2nd Gen / 15-21 3rd Gen</v>
      </c>
      <c r="F1247" s="791">
        <v>5.0</v>
      </c>
      <c r="G1247" s="842">
        <v>329450.0</v>
      </c>
      <c r="H1247" s="811">
        <f t="shared" si="72"/>
        <v>1647250</v>
      </c>
      <c r="I1247" s="809">
        <f t="shared" si="73"/>
        <v>1647250</v>
      </c>
      <c r="J1247" s="872">
        <v>45971.0</v>
      </c>
      <c r="K1247" s="799" t="s">
        <v>4262</v>
      </c>
      <c r="L1247" s="818" t="s">
        <v>12235</v>
      </c>
      <c r="M1247" s="818" t="s">
        <v>6675</v>
      </c>
      <c r="N1247" s="839">
        <v>45967.0</v>
      </c>
      <c r="O1247" s="823"/>
    </row>
    <row r="1248" ht="15.0" customHeight="1">
      <c r="A1248" s="789">
        <v>45911.0</v>
      </c>
      <c r="B1248" s="790" t="s">
        <v>13236</v>
      </c>
      <c r="C1248" s="791" t="s">
        <v>12932</v>
      </c>
      <c r="D1248" s="791" t="s">
        <v>2819</v>
      </c>
      <c r="E1248" s="792" t="str">
        <f>IFERROR(VLOOKUP(D1248,Stock,3,FALSE),"")</f>
        <v>Toyota Rush / Terios 06-17</v>
      </c>
      <c r="F1248" s="791">
        <v>5.0</v>
      </c>
      <c r="G1248" s="842">
        <v>146200.2</v>
      </c>
      <c r="H1248" s="811">
        <f t="shared" si="72"/>
        <v>731001</v>
      </c>
      <c r="I1248" s="809">
        <f t="shared" si="73"/>
        <v>731001</v>
      </c>
      <c r="J1248" s="872">
        <v>45972.0</v>
      </c>
      <c r="K1248" s="799" t="s">
        <v>4262</v>
      </c>
      <c r="L1248" s="818" t="s">
        <v>12235</v>
      </c>
      <c r="M1248" s="818" t="s">
        <v>6675</v>
      </c>
      <c r="N1248" s="820">
        <v>45947.0</v>
      </c>
      <c r="O1248" s="823"/>
    </row>
    <row r="1249" ht="15.0" customHeight="1">
      <c r="A1249" s="802">
        <v>45913.0</v>
      </c>
      <c r="B1249" s="771" t="s">
        <v>13237</v>
      </c>
      <c r="C1249" s="63" t="s">
        <v>13230</v>
      </c>
      <c r="D1249" s="63" t="s">
        <v>9027</v>
      </c>
      <c r="E1249" s="772" t="str">
        <f>IFERROR(VLOOKUP(D1249,Stock,3,FALSE),"")</f>
        <v>Toyota Camry 11-17 XV50 5th Gen</v>
      </c>
      <c r="F1249" s="63">
        <v>1.0</v>
      </c>
      <c r="G1249" s="894"/>
      <c r="H1249" s="807">
        <f t="shared" si="72"/>
        <v>0</v>
      </c>
      <c r="I1249" s="895">
        <f t="shared" si="73"/>
        <v>0</v>
      </c>
      <c r="J1249" s="82"/>
      <c r="K1249" s="59" t="s">
        <v>4262</v>
      </c>
    </row>
    <row r="1250" ht="15.0" customHeight="1">
      <c r="A1250" s="789">
        <v>45915.0</v>
      </c>
      <c r="B1250" s="790">
        <v>2509473.0</v>
      </c>
      <c r="C1250" s="791" t="s">
        <v>11484</v>
      </c>
      <c r="D1250" s="791" t="s">
        <v>2609</v>
      </c>
      <c r="E1250" s="792" t="str">
        <f>IFERROR(VLOOKUP(D1250,Stock,3,FALSE),"")</f>
        <v>Mazda 2 14- Skyactiv 4th Gen (3 Sensor/ /\8 )</v>
      </c>
      <c r="F1250" s="791">
        <v>1.0</v>
      </c>
      <c r="G1250" s="842">
        <v>680900.0</v>
      </c>
      <c r="H1250" s="811">
        <f t="shared" si="72"/>
        <v>680900</v>
      </c>
      <c r="I1250" s="809">
        <f t="shared" si="73"/>
        <v>680900</v>
      </c>
      <c r="J1250" s="872">
        <v>45976.0</v>
      </c>
      <c r="K1250" s="799" t="s">
        <v>4262</v>
      </c>
      <c r="L1250" s="818" t="s">
        <v>12235</v>
      </c>
      <c r="M1250" s="818" t="s">
        <v>6675</v>
      </c>
      <c r="N1250" s="820">
        <v>45976.0</v>
      </c>
      <c r="O1250" s="823"/>
    </row>
    <row r="1251" ht="15.0" customHeight="1">
      <c r="A1251" s="789">
        <v>45915.0</v>
      </c>
      <c r="B1251" s="790">
        <v>2509473.0</v>
      </c>
      <c r="C1251" s="791" t="s">
        <v>11484</v>
      </c>
      <c r="D1251" s="791" t="s">
        <v>2702</v>
      </c>
      <c r="E1251" s="792" t="str">
        <f>IFERROR(VLOOKUP(D1251,Stock,3,FALSE),"")</f>
        <v>Toyota Sienta 15-</v>
      </c>
      <c r="F1251" s="791">
        <v>1.0</v>
      </c>
      <c r="G1251" s="842">
        <v>1786950.0</v>
      </c>
      <c r="H1251" s="811">
        <f t="shared" si="72"/>
        <v>1786950</v>
      </c>
      <c r="I1251" s="809">
        <f t="shared" si="73"/>
        <v>1786950</v>
      </c>
      <c r="J1251" s="872">
        <v>45976.0</v>
      </c>
      <c r="K1251" s="799" t="s">
        <v>4262</v>
      </c>
      <c r="L1251" s="818" t="s">
        <v>12235</v>
      </c>
      <c r="M1251" s="818" t="s">
        <v>6675</v>
      </c>
      <c r="N1251" s="820">
        <v>45976.0</v>
      </c>
      <c r="O1251" s="823"/>
    </row>
    <row r="1252" ht="15.0" customHeight="1">
      <c r="A1252" s="789">
        <v>45916.0</v>
      </c>
      <c r="B1252" s="790" t="s">
        <v>13238</v>
      </c>
      <c r="C1252" s="791" t="s">
        <v>13145</v>
      </c>
      <c r="D1252" s="791" t="s">
        <v>9142</v>
      </c>
      <c r="E1252" s="792" t="str">
        <f>IFERROR(VLOOKUP(D1252,Stock,3,FALSE),"")</f>
        <v>Honda BR-V 22- 2nd Gen / WR-V 23- (Honda)</v>
      </c>
      <c r="F1252" s="791">
        <v>2.0</v>
      </c>
      <c r="G1252" s="842">
        <v>1135000.0</v>
      </c>
      <c r="H1252" s="811">
        <f t="shared" si="72"/>
        <v>2270000</v>
      </c>
      <c r="I1252" s="809"/>
      <c r="J1252" s="819"/>
      <c r="K1252" s="799" t="s">
        <v>4262</v>
      </c>
      <c r="L1252" s="818" t="s">
        <v>12235</v>
      </c>
      <c r="M1252" s="818" t="s">
        <v>6675</v>
      </c>
      <c r="N1252" s="839">
        <v>45916.0</v>
      </c>
      <c r="O1252" s="823"/>
    </row>
    <row r="1253" ht="15.0" customHeight="1">
      <c r="A1253" s="789">
        <v>45909.0</v>
      </c>
      <c r="B1253" s="790" t="s">
        <v>13239</v>
      </c>
      <c r="C1253" s="791" t="s">
        <v>13230</v>
      </c>
      <c r="D1253" s="791" t="s">
        <v>9106</v>
      </c>
      <c r="E1253" s="792" t="str">
        <f>IFERROR(VLOOKUP(D1253,Stock,3,FALSE),"")</f>
        <v>Wuling Confero</v>
      </c>
      <c r="F1253" s="791">
        <v>1.0</v>
      </c>
      <c r="G1253" s="842"/>
      <c r="H1253" s="811">
        <f t="shared" si="72"/>
        <v>0</v>
      </c>
      <c r="I1253" s="809">
        <f t="shared" ref="I1253:I1261" si="74">H1253</f>
        <v>0</v>
      </c>
      <c r="J1253" s="819"/>
      <c r="K1253" s="819"/>
      <c r="L1253" s="818" t="s">
        <v>12235</v>
      </c>
      <c r="M1253" s="823"/>
      <c r="N1253" s="823"/>
      <c r="O1253" s="823"/>
    </row>
    <row r="1254" ht="15.0" customHeight="1">
      <c r="A1254" s="789">
        <v>45917.0</v>
      </c>
      <c r="B1254" s="790">
        <v>2509564.0</v>
      </c>
      <c r="C1254" s="791" t="s">
        <v>11484</v>
      </c>
      <c r="D1254" s="791" t="s">
        <v>6741</v>
      </c>
      <c r="E1254" s="792" t="str">
        <f>IFERROR(VLOOKUP(D1254,Stock,3,FALSE),"")</f>
        <v>Honda Jazz 01-07 1st Gen</v>
      </c>
      <c r="F1254" s="791">
        <v>1.0</v>
      </c>
      <c r="G1254" s="842">
        <v>551650.0</v>
      </c>
      <c r="H1254" s="811">
        <f t="shared" si="72"/>
        <v>551650</v>
      </c>
      <c r="I1254" s="809">
        <f t="shared" si="74"/>
        <v>551650</v>
      </c>
      <c r="J1254" s="872">
        <v>45978.0</v>
      </c>
      <c r="K1254" s="799" t="s">
        <v>4262</v>
      </c>
      <c r="L1254" s="818" t="s">
        <v>12235</v>
      </c>
      <c r="M1254" s="818" t="s">
        <v>6675</v>
      </c>
      <c r="N1254" s="820">
        <v>45976.0</v>
      </c>
      <c r="O1254" s="823"/>
    </row>
    <row r="1255" ht="15.0" customHeight="1">
      <c r="A1255" s="789">
        <v>45917.0</v>
      </c>
      <c r="B1255" s="790">
        <v>2509564.0</v>
      </c>
      <c r="C1255" s="791" t="s">
        <v>11484</v>
      </c>
      <c r="D1255" s="791" t="s">
        <v>3574</v>
      </c>
      <c r="E1255" s="792" t="str">
        <f>IFERROR(VLOOKUP(D1255,Stock,3,FALSE),"")</f>
        <v>Toyota Rush / Terios 06-17</v>
      </c>
      <c r="F1255" s="791">
        <v>1.0</v>
      </c>
      <c r="G1255" s="842">
        <v>387750.0</v>
      </c>
      <c r="H1255" s="811">
        <f t="shared" si="72"/>
        <v>387750</v>
      </c>
      <c r="I1255" s="809">
        <f t="shared" si="74"/>
        <v>387750</v>
      </c>
      <c r="J1255" s="872">
        <v>45978.0</v>
      </c>
      <c r="K1255" s="799" t="s">
        <v>4262</v>
      </c>
      <c r="L1255" s="818" t="s">
        <v>12235</v>
      </c>
      <c r="M1255" s="818" t="s">
        <v>6675</v>
      </c>
      <c r="N1255" s="820">
        <v>45976.0</v>
      </c>
      <c r="O1255" s="823"/>
    </row>
    <row r="1256" ht="15.0" customHeight="1">
      <c r="A1256" s="789">
        <v>45917.0</v>
      </c>
      <c r="B1256" s="790">
        <v>2509564.0</v>
      </c>
      <c r="C1256" s="791" t="s">
        <v>11484</v>
      </c>
      <c r="D1256" s="791" t="s">
        <v>9106</v>
      </c>
      <c r="E1256" s="792" t="str">
        <f>IFERROR(VLOOKUP(D1256,Stock,3,FALSE),"")</f>
        <v>Wuling Confero</v>
      </c>
      <c r="F1256" s="791">
        <v>2.0</v>
      </c>
      <c r="G1256" s="842">
        <v>551100.0</v>
      </c>
      <c r="H1256" s="811">
        <f t="shared" si="72"/>
        <v>1102200</v>
      </c>
      <c r="I1256" s="809">
        <f t="shared" si="74"/>
        <v>1102200</v>
      </c>
      <c r="J1256" s="872">
        <v>45978.0</v>
      </c>
      <c r="K1256" s="799" t="s">
        <v>4262</v>
      </c>
      <c r="L1256" s="818" t="s">
        <v>12235</v>
      </c>
      <c r="M1256" s="818" t="s">
        <v>6675</v>
      </c>
      <c r="N1256" s="820">
        <v>45976.0</v>
      </c>
      <c r="O1256" s="823"/>
    </row>
    <row r="1257" ht="15.0" customHeight="1">
      <c r="A1257" s="789">
        <v>45917.0</v>
      </c>
      <c r="B1257" s="790">
        <v>2509564.0</v>
      </c>
      <c r="C1257" s="791" t="s">
        <v>11484</v>
      </c>
      <c r="D1257" s="791" t="s">
        <v>10095</v>
      </c>
      <c r="E1257" s="792" t="str">
        <f>IFERROR(VLOOKUP(D1257,Stock,3,FALSE),"")</f>
        <v>Wuling Confero / Formo</v>
      </c>
      <c r="F1257" s="791">
        <v>1.0</v>
      </c>
      <c r="G1257" s="842">
        <v>551100.0</v>
      </c>
      <c r="H1257" s="811">
        <f t="shared" si="72"/>
        <v>551100</v>
      </c>
      <c r="I1257" s="809">
        <f t="shared" si="74"/>
        <v>551100</v>
      </c>
      <c r="J1257" s="872">
        <v>45978.0</v>
      </c>
      <c r="K1257" s="799" t="s">
        <v>4262</v>
      </c>
      <c r="L1257" s="818" t="s">
        <v>12235</v>
      </c>
      <c r="M1257" s="818" t="s">
        <v>6675</v>
      </c>
      <c r="N1257" s="820">
        <v>45976.0</v>
      </c>
      <c r="O1257" s="823"/>
    </row>
    <row r="1258" ht="15.0" customHeight="1">
      <c r="A1258" s="789">
        <v>45918.0</v>
      </c>
      <c r="B1258" s="790">
        <v>2509601.0</v>
      </c>
      <c r="C1258" s="791" t="s">
        <v>11484</v>
      </c>
      <c r="D1258" s="791" t="s">
        <v>9027</v>
      </c>
      <c r="E1258" s="792" t="str">
        <f>IFERROR(VLOOKUP(D1258,Stock,3,FALSE),"")</f>
        <v>Toyota Camry 11-17 XV50 5th Gen</v>
      </c>
      <c r="F1258" s="791">
        <v>1.0</v>
      </c>
      <c r="G1258" s="842">
        <v>1047750.0</v>
      </c>
      <c r="H1258" s="811">
        <f t="shared" si="72"/>
        <v>1047750</v>
      </c>
      <c r="I1258" s="809">
        <f t="shared" si="74"/>
        <v>1047750</v>
      </c>
      <c r="J1258" s="872">
        <v>45979.0</v>
      </c>
      <c r="K1258" s="799" t="s">
        <v>4262</v>
      </c>
      <c r="L1258" s="818" t="s">
        <v>12235</v>
      </c>
      <c r="M1258" s="818" t="s">
        <v>6675</v>
      </c>
      <c r="N1258" s="820">
        <v>45976.0</v>
      </c>
      <c r="O1258" s="823"/>
    </row>
    <row r="1259" ht="15.0" customHeight="1">
      <c r="A1259" s="789">
        <v>45918.0</v>
      </c>
      <c r="B1259" s="790">
        <v>2509601.0</v>
      </c>
      <c r="C1259" s="791" t="s">
        <v>11484</v>
      </c>
      <c r="D1259" s="791" t="s">
        <v>2670</v>
      </c>
      <c r="E1259" s="792" t="str">
        <f>IFERROR(VLOOKUP(D1259,Stock,3,FALSE),"")</f>
        <v>Honda City 02-08 4th Gen Idsi GD8</v>
      </c>
      <c r="F1259" s="791">
        <v>1.0</v>
      </c>
      <c r="G1259" s="842">
        <v>919050.0</v>
      </c>
      <c r="H1259" s="811">
        <f t="shared" si="72"/>
        <v>919050</v>
      </c>
      <c r="I1259" s="809">
        <f t="shared" si="74"/>
        <v>919050</v>
      </c>
      <c r="J1259" s="872">
        <v>45979.0</v>
      </c>
      <c r="K1259" s="799" t="s">
        <v>4262</v>
      </c>
      <c r="L1259" s="818" t="s">
        <v>12235</v>
      </c>
      <c r="M1259" s="818" t="s">
        <v>6675</v>
      </c>
      <c r="N1259" s="820">
        <v>45976.0</v>
      </c>
      <c r="O1259" s="823"/>
    </row>
    <row r="1260" ht="15.0" customHeight="1">
      <c r="A1260" s="789">
        <v>45917.0</v>
      </c>
      <c r="B1260" s="790" t="s">
        <v>13240</v>
      </c>
      <c r="C1260" s="791" t="s">
        <v>3091</v>
      </c>
      <c r="D1260" s="791" t="s">
        <v>10208</v>
      </c>
      <c r="E1260" s="792" t="str">
        <f>IFERROR(VLOOKUP(D1260,Stock,3,FALSE),"")</f>
        <v>Toyota Vios 13-17 3rd Gen / Yaris 13- 2nd Gen XP150 / Yaris 18- 3rd Gen XP151 (Toyota)</v>
      </c>
      <c r="F1260" s="791">
        <v>2.0</v>
      </c>
      <c r="G1260" s="842">
        <v>390000.0</v>
      </c>
      <c r="H1260" s="811">
        <f t="shared" si="72"/>
        <v>780000</v>
      </c>
      <c r="I1260" s="809">
        <f t="shared" si="74"/>
        <v>780000</v>
      </c>
      <c r="J1260" s="872">
        <v>45978.0</v>
      </c>
      <c r="K1260" s="799" t="s">
        <v>4262</v>
      </c>
      <c r="L1260" s="818" t="s">
        <v>12235</v>
      </c>
      <c r="M1260" s="818" t="s">
        <v>6675</v>
      </c>
      <c r="N1260" s="820">
        <v>45976.0</v>
      </c>
      <c r="O1260" s="823"/>
    </row>
    <row r="1261" ht="15.0" customHeight="1">
      <c r="A1261" s="789">
        <v>45917.0</v>
      </c>
      <c r="B1261" s="790" t="s">
        <v>13240</v>
      </c>
      <c r="C1261" s="791" t="s">
        <v>3091</v>
      </c>
      <c r="D1261" s="791" t="s">
        <v>13241</v>
      </c>
      <c r="E1261" s="792" t="str">
        <f>IFERROR(VLOOKUP(D1261,Stock,3,FALSE),"")</f>
        <v>Honda Civic 16-21 10th Gen Hatchback (Honda)</v>
      </c>
      <c r="F1261" s="791">
        <v>1.0</v>
      </c>
      <c r="G1261" s="842">
        <v>380000.0</v>
      </c>
      <c r="H1261" s="811">
        <f t="shared" si="72"/>
        <v>380000</v>
      </c>
      <c r="I1261" s="809">
        <f t="shared" si="74"/>
        <v>380000</v>
      </c>
      <c r="J1261" s="872">
        <v>45978.0</v>
      </c>
      <c r="K1261" s="799" t="s">
        <v>4262</v>
      </c>
      <c r="L1261" s="818" t="s">
        <v>12235</v>
      </c>
      <c r="M1261" s="818" t="s">
        <v>6675</v>
      </c>
      <c r="N1261" s="820">
        <v>45976.0</v>
      </c>
      <c r="O1261" s="823"/>
    </row>
    <row r="1262" ht="15.0" customHeight="1">
      <c r="A1262" s="789">
        <v>45918.0</v>
      </c>
      <c r="B1262" s="790" t="s">
        <v>13242</v>
      </c>
      <c r="C1262" s="791" t="s">
        <v>13145</v>
      </c>
      <c r="D1262" s="791" t="s">
        <v>3745</v>
      </c>
      <c r="E1262" s="792" t="str">
        <f>IFERROR(VLOOKUP(D1262,Stock,3,FALSE),"")</f>
        <v>Honda Brio 10- / Mobilio 11-</v>
      </c>
      <c r="F1262" s="791">
        <v>1.0</v>
      </c>
      <c r="G1262" s="842">
        <v>800000.0</v>
      </c>
      <c r="H1262" s="811">
        <f t="shared" si="72"/>
        <v>800000</v>
      </c>
      <c r="I1262" s="809"/>
      <c r="J1262" s="819"/>
      <c r="K1262" s="799" t="s">
        <v>4262</v>
      </c>
      <c r="L1262" s="818" t="s">
        <v>12235</v>
      </c>
      <c r="M1262" s="818" t="s">
        <v>6675</v>
      </c>
      <c r="N1262" s="839">
        <v>45918.0</v>
      </c>
      <c r="O1262" s="823"/>
    </row>
    <row r="1263" ht="15.0" customHeight="1">
      <c r="A1263" s="789">
        <v>45918.0</v>
      </c>
      <c r="B1263" s="790" t="s">
        <v>13242</v>
      </c>
      <c r="C1263" s="791" t="s">
        <v>13145</v>
      </c>
      <c r="D1263" s="791" t="s">
        <v>9158</v>
      </c>
      <c r="E1263" s="792" t="str">
        <f>IFERROR(VLOOKUP(D1263,Stock,3,FALSE),"")</f>
        <v>Honda BR-V 16-21 (Honda)</v>
      </c>
      <c r="F1263" s="791">
        <v>1.0</v>
      </c>
      <c r="G1263" s="842">
        <v>1095000.0</v>
      </c>
      <c r="H1263" s="811">
        <f t="shared" si="72"/>
        <v>1095000</v>
      </c>
      <c r="I1263" s="809"/>
      <c r="J1263" s="819"/>
      <c r="K1263" s="799" t="s">
        <v>4262</v>
      </c>
      <c r="L1263" s="818" t="s">
        <v>12235</v>
      </c>
      <c r="M1263" s="818" t="s">
        <v>6675</v>
      </c>
      <c r="N1263" s="839">
        <v>45918.0</v>
      </c>
      <c r="O1263" s="823"/>
    </row>
    <row r="1264" ht="15.0" customHeight="1">
      <c r="A1264" s="789">
        <v>45918.0</v>
      </c>
      <c r="B1264" s="790" t="s">
        <v>13243</v>
      </c>
      <c r="C1264" s="791" t="s">
        <v>12932</v>
      </c>
      <c r="D1264" s="791" t="s">
        <v>2814</v>
      </c>
      <c r="E1264" s="792" t="str">
        <f>IFERROR(VLOOKUP(D1264,Stock,3,FALSE),"")</f>
        <v>Toyota Kijang 02-04 Kapsul Lem Efi (7K) Long</v>
      </c>
      <c r="F1264" s="791">
        <v>5.0</v>
      </c>
      <c r="G1264" s="842">
        <v>204850.4</v>
      </c>
      <c r="H1264" s="811">
        <f t="shared" si="72"/>
        <v>1024252</v>
      </c>
      <c r="I1264" s="809">
        <f t="shared" ref="I1264:I1271" si="75">H1264</f>
        <v>1024252</v>
      </c>
      <c r="J1264" s="872">
        <v>45979.0</v>
      </c>
      <c r="K1264" s="799" t="s">
        <v>4262</v>
      </c>
      <c r="L1264" s="818" t="s">
        <v>12235</v>
      </c>
      <c r="M1264" s="818" t="s">
        <v>6675</v>
      </c>
      <c r="N1264" s="820">
        <v>45953.0</v>
      </c>
      <c r="O1264" s="823"/>
    </row>
    <row r="1265" ht="15.0" customHeight="1">
      <c r="A1265" s="789">
        <v>45920.0</v>
      </c>
      <c r="B1265" s="790" t="s">
        <v>13244</v>
      </c>
      <c r="C1265" s="791" t="s">
        <v>3091</v>
      </c>
      <c r="D1265" s="791" t="s">
        <v>9188</v>
      </c>
      <c r="E1265" s="792" t="str">
        <f>IFERROR(VLOOKUP(D1265,Stock,3,FALSE),"")</f>
        <v>Mazda CX-5  17- 2nd Gen KF (2 Sensor/ □Δ ) (Mazda)</v>
      </c>
      <c r="F1265" s="791">
        <v>1.0</v>
      </c>
      <c r="G1265" s="842">
        <v>4500000.0</v>
      </c>
      <c r="H1265" s="811">
        <f t="shared" si="72"/>
        <v>4500000</v>
      </c>
      <c r="I1265" s="809">
        <f t="shared" si="75"/>
        <v>4500000</v>
      </c>
      <c r="J1265" s="872">
        <v>45981.0</v>
      </c>
      <c r="K1265" s="799" t="s">
        <v>4262</v>
      </c>
      <c r="L1265" s="818" t="s">
        <v>12235</v>
      </c>
      <c r="M1265" s="818" t="s">
        <v>6675</v>
      </c>
      <c r="N1265" s="820">
        <v>45986.0</v>
      </c>
      <c r="O1265" s="823"/>
    </row>
    <row r="1266" ht="15.0" customHeight="1">
      <c r="A1266" s="789">
        <v>45922.0</v>
      </c>
      <c r="B1266" s="790">
        <v>2509609.0</v>
      </c>
      <c r="C1266" s="791" t="s">
        <v>11484</v>
      </c>
      <c r="D1266" s="791" t="s">
        <v>2692</v>
      </c>
      <c r="E1266" s="792" t="str">
        <f>IFERROR(VLOOKUP(D1266,Stock,3,FALSE),"")</f>
        <v>Suzuki Ertiga 18- 2nd Gen / XL7</v>
      </c>
      <c r="F1266" s="791">
        <v>2.0</v>
      </c>
      <c r="G1266" s="842">
        <v>634700.0</v>
      </c>
      <c r="H1266" s="811">
        <f t="shared" si="72"/>
        <v>1269400</v>
      </c>
      <c r="I1266" s="809">
        <f t="shared" si="75"/>
        <v>1269400</v>
      </c>
      <c r="J1266" s="872">
        <v>45983.0</v>
      </c>
      <c r="K1266" s="799" t="s">
        <v>4262</v>
      </c>
      <c r="L1266" s="818" t="s">
        <v>12235</v>
      </c>
      <c r="M1266" s="818" t="s">
        <v>6675</v>
      </c>
      <c r="N1266" s="820">
        <v>45976.0</v>
      </c>
      <c r="O1266" s="823"/>
    </row>
    <row r="1267" ht="15.0" customHeight="1">
      <c r="A1267" s="789">
        <v>45922.0</v>
      </c>
      <c r="B1267" s="790">
        <v>2509609.0</v>
      </c>
      <c r="C1267" s="791" t="s">
        <v>11484</v>
      </c>
      <c r="D1267" s="791" t="s">
        <v>2779</v>
      </c>
      <c r="E1267" s="792" t="str">
        <f>IFERROR(VLOOKUP(D1267,Stock,3,FALSE),"")</f>
        <v>Toyota Hi-Ace 04-20 Commuter With Frame</v>
      </c>
      <c r="F1267" s="791">
        <v>2.0</v>
      </c>
      <c r="G1267" s="842">
        <v>1427250.0</v>
      </c>
      <c r="H1267" s="811">
        <f t="shared" si="72"/>
        <v>2854500</v>
      </c>
      <c r="I1267" s="809">
        <f t="shared" si="75"/>
        <v>2854500</v>
      </c>
      <c r="J1267" s="872">
        <v>45983.0</v>
      </c>
      <c r="K1267" s="799" t="s">
        <v>4262</v>
      </c>
      <c r="L1267" s="818" t="s">
        <v>12235</v>
      </c>
      <c r="M1267" s="818" t="s">
        <v>6675</v>
      </c>
      <c r="N1267" s="820">
        <v>45976.0</v>
      </c>
      <c r="O1267" s="823"/>
    </row>
    <row r="1268" ht="15.0" customHeight="1">
      <c r="A1268" s="789">
        <v>45922.0</v>
      </c>
      <c r="B1268" s="790">
        <v>2509609.0</v>
      </c>
      <c r="C1268" s="791" t="s">
        <v>11484</v>
      </c>
      <c r="D1268" s="791" t="s">
        <v>4901</v>
      </c>
      <c r="E1268" s="792" t="str">
        <f>IFERROR(VLOOKUP(D1268,Stock,3,FALSE),"")</f>
        <v>Toyota Rush / Terios 18-</v>
      </c>
      <c r="F1268" s="791">
        <v>2.0</v>
      </c>
      <c r="G1268" s="842">
        <v>413600.0</v>
      </c>
      <c r="H1268" s="811">
        <f t="shared" si="72"/>
        <v>827200</v>
      </c>
      <c r="I1268" s="809">
        <f t="shared" si="75"/>
        <v>827200</v>
      </c>
      <c r="J1268" s="872">
        <v>45983.0</v>
      </c>
      <c r="K1268" s="799" t="s">
        <v>4262</v>
      </c>
      <c r="L1268" s="818" t="s">
        <v>12235</v>
      </c>
      <c r="M1268" s="818" t="s">
        <v>6675</v>
      </c>
      <c r="N1268" s="820">
        <v>45976.0</v>
      </c>
      <c r="O1268" s="823"/>
    </row>
    <row r="1269" ht="15.0" customHeight="1">
      <c r="A1269" s="789">
        <v>45922.0</v>
      </c>
      <c r="B1269" s="790">
        <v>2509689.0</v>
      </c>
      <c r="C1269" s="791" t="s">
        <v>11484</v>
      </c>
      <c r="D1269" s="791" t="s">
        <v>3290</v>
      </c>
      <c r="E1269" s="792" t="str">
        <f>IFERROR(VLOOKUP(D1269,Stock,3,FALSE),"")</f>
        <v>Toyota Innova 04-15 1st Gen</v>
      </c>
      <c r="F1269" s="791">
        <v>2.0</v>
      </c>
      <c r="G1269" s="842">
        <v>613800.0</v>
      </c>
      <c r="H1269" s="811">
        <f t="shared" si="72"/>
        <v>1227600</v>
      </c>
      <c r="I1269" s="809">
        <f t="shared" si="75"/>
        <v>1227600</v>
      </c>
      <c r="J1269" s="872">
        <v>45983.0</v>
      </c>
      <c r="K1269" s="799" t="s">
        <v>4262</v>
      </c>
      <c r="L1269" s="818" t="s">
        <v>12235</v>
      </c>
      <c r="M1269" s="818" t="s">
        <v>6675</v>
      </c>
      <c r="N1269" s="820">
        <v>45976.0</v>
      </c>
      <c r="O1269" s="823"/>
    </row>
    <row r="1270" ht="15.0" customHeight="1">
      <c r="A1270" s="789">
        <v>45922.0</v>
      </c>
      <c r="B1270" s="790">
        <v>2509689.0</v>
      </c>
      <c r="C1270" s="791" t="s">
        <v>11484</v>
      </c>
      <c r="D1270" s="791" t="s">
        <v>3186</v>
      </c>
      <c r="E1270" s="792" t="str">
        <f>IFERROR(VLOOKUP(D1270,Stock,3,FALSE),"")</f>
        <v>Daihatsu Gran Max / Luxio 07-</v>
      </c>
      <c r="F1270" s="791">
        <v>2.0</v>
      </c>
      <c r="G1270" s="842">
        <v>470250.0</v>
      </c>
      <c r="H1270" s="811">
        <f t="shared" si="72"/>
        <v>940500</v>
      </c>
      <c r="I1270" s="809">
        <f t="shared" si="75"/>
        <v>940500</v>
      </c>
      <c r="J1270" s="872">
        <v>45983.0</v>
      </c>
      <c r="K1270" s="799" t="s">
        <v>4262</v>
      </c>
      <c r="L1270" s="818" t="s">
        <v>12235</v>
      </c>
      <c r="M1270" s="818" t="s">
        <v>6675</v>
      </c>
      <c r="N1270" s="820">
        <v>45976.0</v>
      </c>
      <c r="O1270" s="823"/>
    </row>
    <row r="1271" ht="15.0" customHeight="1">
      <c r="A1271" s="789">
        <v>45922.0</v>
      </c>
      <c r="B1271" s="790">
        <v>2509689.0</v>
      </c>
      <c r="C1271" s="791" t="s">
        <v>11484</v>
      </c>
      <c r="D1271" s="791" t="s">
        <v>2734</v>
      </c>
      <c r="E1271" s="792" t="str">
        <f>IFERROR(VLOOKUP(D1271,Stock,3,FALSE),"")</f>
        <v>Honda Jazz 07-13 2nd Gen</v>
      </c>
      <c r="F1271" s="791">
        <v>2.0</v>
      </c>
      <c r="G1271" s="842">
        <v>779900.0</v>
      </c>
      <c r="H1271" s="811">
        <f t="shared" si="72"/>
        <v>1559800</v>
      </c>
      <c r="I1271" s="809">
        <f t="shared" si="75"/>
        <v>1559800</v>
      </c>
      <c r="J1271" s="872">
        <v>45983.0</v>
      </c>
      <c r="K1271" s="799" t="s">
        <v>4262</v>
      </c>
      <c r="L1271" s="818" t="s">
        <v>12235</v>
      </c>
      <c r="M1271" s="818" t="s">
        <v>6675</v>
      </c>
      <c r="N1271" s="820">
        <v>45976.0</v>
      </c>
      <c r="O1271" s="823"/>
    </row>
    <row r="1272" ht="15.0" customHeight="1">
      <c r="A1272" s="789">
        <v>45923.0</v>
      </c>
      <c r="B1272" s="829" t="s">
        <v>13245</v>
      </c>
      <c r="C1272" s="791" t="s">
        <v>13107</v>
      </c>
      <c r="D1272" s="791" t="s">
        <v>9200</v>
      </c>
      <c r="E1272" s="792" t="str">
        <f>IFERROR(VLOOKUP(D1272,Stock,3,FALSE),"")</f>
        <v>Suzuki Wagon R 12- (Suzuki)</v>
      </c>
      <c r="F1272" s="791">
        <v>1.0</v>
      </c>
      <c r="G1272" s="842">
        <v>153500.0</v>
      </c>
      <c r="H1272" s="811">
        <f t="shared" si="72"/>
        <v>153500</v>
      </c>
      <c r="I1272" s="809"/>
      <c r="J1272" s="872">
        <v>45984.0</v>
      </c>
      <c r="K1272" s="799" t="s">
        <v>4262</v>
      </c>
      <c r="L1272" s="818" t="s">
        <v>12235</v>
      </c>
      <c r="M1272" s="818" t="s">
        <v>6675</v>
      </c>
      <c r="N1272" s="839">
        <v>45923.0</v>
      </c>
      <c r="O1272" s="823"/>
    </row>
    <row r="1273" ht="15.0" customHeight="1">
      <c r="A1273" s="789">
        <v>45923.0</v>
      </c>
      <c r="B1273" s="790" t="s">
        <v>13246</v>
      </c>
      <c r="C1273" s="791" t="s">
        <v>11484</v>
      </c>
      <c r="D1273" s="791" t="s">
        <v>2844</v>
      </c>
      <c r="E1273" s="792" t="str">
        <f>IFERROR(VLOOKUP(D1273,Stock,3,FALSE),"")</f>
        <v>Toyota Avanza / Xenia 11-15 2nd Gen / 15-21 3rd Gen</v>
      </c>
      <c r="F1273" s="791">
        <v>5.0</v>
      </c>
      <c r="G1273" s="842">
        <v>117300.2</v>
      </c>
      <c r="H1273" s="811">
        <f t="shared" si="72"/>
        <v>586501</v>
      </c>
      <c r="I1273" s="809">
        <f t="shared" ref="I1273:I1280" si="76">H1273</f>
        <v>586501</v>
      </c>
      <c r="J1273" s="872">
        <v>45984.0</v>
      </c>
      <c r="K1273" s="799" t="s">
        <v>4262</v>
      </c>
      <c r="L1273" s="818" t="s">
        <v>12235</v>
      </c>
      <c r="M1273" s="818" t="s">
        <v>6675</v>
      </c>
      <c r="N1273" s="820">
        <v>45971.0</v>
      </c>
      <c r="O1273" s="823"/>
    </row>
    <row r="1274" ht="15.0" customHeight="1">
      <c r="A1274" s="789">
        <v>45925.0</v>
      </c>
      <c r="B1274" s="790">
        <v>2509796.0</v>
      </c>
      <c r="C1274" s="791" t="s">
        <v>11484</v>
      </c>
      <c r="D1274" s="791" t="s">
        <v>3201</v>
      </c>
      <c r="E1274" s="792" t="str">
        <f>IFERROR(VLOOKUP(D1274,Stock,3,FALSE),"")</f>
        <v>Honda Freed 08-16 1st gen</v>
      </c>
      <c r="F1274" s="791">
        <v>2.0</v>
      </c>
      <c r="G1274" s="842">
        <v>779900.0</v>
      </c>
      <c r="H1274" s="811">
        <f t="shared" si="72"/>
        <v>1559800</v>
      </c>
      <c r="I1274" s="809">
        <f t="shared" si="76"/>
        <v>1559800</v>
      </c>
      <c r="J1274" s="872">
        <v>45986.0</v>
      </c>
      <c r="K1274" s="799" t="s">
        <v>4262</v>
      </c>
      <c r="L1274" s="818" t="s">
        <v>12235</v>
      </c>
      <c r="M1274" s="818" t="s">
        <v>6675</v>
      </c>
      <c r="N1274" s="820">
        <v>45976.0</v>
      </c>
      <c r="O1274" s="823"/>
    </row>
    <row r="1275" ht="15.0" customHeight="1">
      <c r="A1275" s="789">
        <v>45925.0</v>
      </c>
      <c r="B1275" s="790">
        <v>2509796.0</v>
      </c>
      <c r="C1275" s="791" t="s">
        <v>11484</v>
      </c>
      <c r="D1275" s="791" t="s">
        <v>3186</v>
      </c>
      <c r="E1275" s="792" t="str">
        <f>IFERROR(VLOOKUP(D1275,Stock,3,FALSE),"")</f>
        <v>Daihatsu Gran Max / Luxio 07-</v>
      </c>
      <c r="F1275" s="791">
        <v>2.0</v>
      </c>
      <c r="G1275" s="842">
        <v>470250.0</v>
      </c>
      <c r="H1275" s="811">
        <f t="shared" si="72"/>
        <v>940500</v>
      </c>
      <c r="I1275" s="809">
        <f t="shared" si="76"/>
        <v>940500</v>
      </c>
      <c r="J1275" s="872">
        <v>45986.0</v>
      </c>
      <c r="K1275" s="799" t="s">
        <v>4262</v>
      </c>
      <c r="L1275" s="818" t="s">
        <v>12235</v>
      </c>
      <c r="M1275" s="818" t="s">
        <v>6675</v>
      </c>
      <c r="N1275" s="820">
        <v>45976.0</v>
      </c>
      <c r="O1275" s="823"/>
    </row>
    <row r="1276" ht="15.0" customHeight="1">
      <c r="A1276" s="789">
        <v>45925.0</v>
      </c>
      <c r="B1276" s="790">
        <v>2509796.0</v>
      </c>
      <c r="C1276" s="791" t="s">
        <v>11484</v>
      </c>
      <c r="D1276" s="791" t="s">
        <v>4988</v>
      </c>
      <c r="E1276" s="792" t="str">
        <f>IFERROR(VLOOKUP(D1276,Stock,3,FALSE),"")</f>
        <v>Toyota Innova 15- 2nd Gen</v>
      </c>
      <c r="F1276" s="791">
        <v>1.0</v>
      </c>
      <c r="G1276" s="842">
        <v>750200.0</v>
      </c>
      <c r="H1276" s="811">
        <f t="shared" si="72"/>
        <v>750200</v>
      </c>
      <c r="I1276" s="809">
        <f t="shared" si="76"/>
        <v>750200</v>
      </c>
      <c r="J1276" s="872">
        <v>45986.0</v>
      </c>
      <c r="K1276" s="799" t="s">
        <v>4262</v>
      </c>
      <c r="L1276" s="818" t="s">
        <v>12235</v>
      </c>
      <c r="M1276" s="818" t="s">
        <v>6675</v>
      </c>
      <c r="N1276" s="820">
        <v>45976.0</v>
      </c>
      <c r="O1276" s="823"/>
    </row>
    <row r="1277" ht="15.0" customHeight="1">
      <c r="A1277" s="789">
        <v>45926.0</v>
      </c>
      <c r="B1277" s="790">
        <v>2509857.0</v>
      </c>
      <c r="C1277" s="791" t="s">
        <v>11484</v>
      </c>
      <c r="D1277" s="791" t="s">
        <v>3068</v>
      </c>
      <c r="E1277" s="792" t="str">
        <f>IFERROR(VLOOKUP(D1277,Stock,3,FALSE),"")</f>
        <v>Honda Brio 10- / Mobilio 11-</v>
      </c>
      <c r="F1277" s="791">
        <v>2.0</v>
      </c>
      <c r="G1277" s="842">
        <v>573100.0</v>
      </c>
      <c r="H1277" s="811">
        <f t="shared" si="72"/>
        <v>1146200</v>
      </c>
      <c r="I1277" s="809">
        <f t="shared" si="76"/>
        <v>1146200</v>
      </c>
      <c r="J1277" s="872">
        <v>45987.0</v>
      </c>
      <c r="K1277" s="799" t="s">
        <v>4262</v>
      </c>
      <c r="L1277" s="818" t="s">
        <v>12235</v>
      </c>
      <c r="M1277" s="818" t="s">
        <v>6675</v>
      </c>
      <c r="N1277" s="820">
        <v>45976.0</v>
      </c>
      <c r="O1277" s="823"/>
    </row>
    <row r="1278" ht="15.0" customHeight="1">
      <c r="A1278" s="789">
        <v>45926.0</v>
      </c>
      <c r="B1278" s="790">
        <v>2509857.0</v>
      </c>
      <c r="C1278" s="791" t="s">
        <v>11484</v>
      </c>
      <c r="D1278" s="791" t="s">
        <v>3025</v>
      </c>
      <c r="E1278" s="792" t="str">
        <f>IFERROR(VLOOKUP(D1278,Stock,3,FALSE),"")</f>
        <v>Toyota Rush / Terios 06-17</v>
      </c>
      <c r="F1278" s="791">
        <v>2.0</v>
      </c>
      <c r="G1278" s="842">
        <v>576400.0</v>
      </c>
      <c r="H1278" s="811">
        <f t="shared" si="72"/>
        <v>1152800</v>
      </c>
      <c r="I1278" s="809">
        <f t="shared" si="76"/>
        <v>1152800</v>
      </c>
      <c r="J1278" s="872">
        <v>45987.0</v>
      </c>
      <c r="K1278" s="799" t="s">
        <v>4262</v>
      </c>
      <c r="L1278" s="818" t="s">
        <v>12235</v>
      </c>
      <c r="M1278" s="818" t="s">
        <v>6675</v>
      </c>
      <c r="N1278" s="820">
        <v>45976.0</v>
      </c>
      <c r="O1278" s="823"/>
    </row>
    <row r="1279" ht="15.0" customHeight="1">
      <c r="A1279" s="789">
        <v>45926.0</v>
      </c>
      <c r="B1279" s="790">
        <v>2509857.0</v>
      </c>
      <c r="C1279" s="791" t="s">
        <v>11484</v>
      </c>
      <c r="D1279" s="791" t="s">
        <v>2746</v>
      </c>
      <c r="E1279" s="792" t="str">
        <f>IFERROR(VLOOKUP(D1279,Stock,3,FALSE),"")</f>
        <v>Toyota Fortuner 05-15 1st Gen </v>
      </c>
      <c r="F1279" s="791">
        <v>2.0</v>
      </c>
      <c r="G1279" s="842">
        <v>916850.0</v>
      </c>
      <c r="H1279" s="811">
        <f t="shared" si="72"/>
        <v>1833700</v>
      </c>
      <c r="I1279" s="809">
        <f t="shared" si="76"/>
        <v>1833700</v>
      </c>
      <c r="J1279" s="872">
        <v>45987.0</v>
      </c>
      <c r="K1279" s="799" t="s">
        <v>4262</v>
      </c>
      <c r="L1279" s="818" t="s">
        <v>12235</v>
      </c>
      <c r="M1279" s="818" t="s">
        <v>6675</v>
      </c>
      <c r="N1279" s="820">
        <v>45976.0</v>
      </c>
      <c r="O1279" s="823"/>
    </row>
    <row r="1280" ht="15.0" customHeight="1">
      <c r="A1280" s="789">
        <v>45929.0</v>
      </c>
      <c r="B1280" s="790" t="s">
        <v>13247</v>
      </c>
      <c r="C1280" s="791" t="s">
        <v>11484</v>
      </c>
      <c r="D1280" s="791" t="s">
        <v>3059</v>
      </c>
      <c r="E1280" s="792" t="str">
        <f>IFERROR(VLOOKUP(D1280,Stock,3,FALSE),"")</f>
        <v>Sealant Polyurethane XYG Tube</v>
      </c>
      <c r="F1280" s="791">
        <v>40.0</v>
      </c>
      <c r="G1280" s="842">
        <v>40000.0</v>
      </c>
      <c r="H1280" s="811">
        <f t="shared" si="72"/>
        <v>1600000</v>
      </c>
      <c r="I1280" s="809">
        <f t="shared" si="76"/>
        <v>1600000</v>
      </c>
      <c r="J1280" s="872">
        <v>45990.0</v>
      </c>
      <c r="K1280" s="799" t="s">
        <v>4262</v>
      </c>
      <c r="L1280" s="818" t="s">
        <v>12235</v>
      </c>
      <c r="M1280" s="818" t="s">
        <v>6675</v>
      </c>
      <c r="N1280" s="820">
        <v>45986.0</v>
      </c>
      <c r="O1280" s="823"/>
    </row>
    <row r="1281" ht="15.0" customHeight="1">
      <c r="A1281" s="789">
        <v>45930.0</v>
      </c>
      <c r="B1281" s="790" t="s">
        <v>13248</v>
      </c>
      <c r="C1281" s="791" t="s">
        <v>13022</v>
      </c>
      <c r="D1281" s="791" t="s">
        <v>9275</v>
      </c>
      <c r="E1281" s="792" t="str">
        <f>IFERROR(VLOOKUP(D1281,Stock,3,FALSE),"")</f>
        <v>Toyota Rush / Terios 06-17 (Toyota/Daihatsu)</v>
      </c>
      <c r="F1281" s="791">
        <v>2.0</v>
      </c>
      <c r="G1281" s="842">
        <v>648000.0</v>
      </c>
      <c r="H1281" s="811">
        <f t="shared" si="72"/>
        <v>1296000</v>
      </c>
      <c r="I1281" s="809"/>
      <c r="J1281" s="819"/>
      <c r="K1281" s="799" t="s">
        <v>4262</v>
      </c>
      <c r="L1281" s="818" t="s">
        <v>12235</v>
      </c>
      <c r="M1281" s="818" t="s">
        <v>6675</v>
      </c>
      <c r="N1281" s="839">
        <v>45929.0</v>
      </c>
      <c r="O1281" s="823"/>
    </row>
    <row r="1282" ht="15.0" customHeight="1">
      <c r="A1282" s="789">
        <v>45930.0</v>
      </c>
      <c r="B1282" s="790" t="s">
        <v>13249</v>
      </c>
      <c r="C1282" s="791" t="s">
        <v>12932</v>
      </c>
      <c r="D1282" s="791" t="s">
        <v>2817</v>
      </c>
      <c r="E1282" s="792" t="str">
        <f>IFERROR(VLOOKUP(D1282,Stock,3,FALSE),"")</f>
        <v>Honda Jazz 01-07 1st Gen</v>
      </c>
      <c r="F1282" s="791">
        <v>5.0</v>
      </c>
      <c r="G1282" s="842">
        <v>272850.2</v>
      </c>
      <c r="H1282" s="811">
        <f t="shared" si="72"/>
        <v>1364251</v>
      </c>
      <c r="I1282" s="809">
        <f t="shared" ref="I1282:I1297" si="77">H1282</f>
        <v>1364251</v>
      </c>
      <c r="J1282" s="872">
        <v>45991.0</v>
      </c>
      <c r="K1282" s="799" t="s">
        <v>4262</v>
      </c>
      <c r="L1282" s="818" t="s">
        <v>12235</v>
      </c>
      <c r="M1282" s="818" t="s">
        <v>6675</v>
      </c>
      <c r="N1282" s="820">
        <v>45953.0</v>
      </c>
      <c r="O1282" s="823"/>
    </row>
    <row r="1283" ht="15.0" customHeight="1">
      <c r="A1283" s="789">
        <v>45930.0</v>
      </c>
      <c r="B1283" s="790" t="s">
        <v>13249</v>
      </c>
      <c r="C1283" s="791" t="s">
        <v>12932</v>
      </c>
      <c r="D1283" s="791" t="s">
        <v>2846</v>
      </c>
      <c r="E1283" s="792" t="str">
        <f>IFERROR(VLOOKUP(D1283,Stock,3,FALSE),"")</f>
        <v>Toyota Avanza / Xenia 21- 4th Gen</v>
      </c>
      <c r="F1283" s="791">
        <v>3.0</v>
      </c>
      <c r="G1283" s="842">
        <v>195499.8</v>
      </c>
      <c r="H1283" s="811">
        <f t="shared" si="72"/>
        <v>586499.4</v>
      </c>
      <c r="I1283" s="809">
        <f t="shared" si="77"/>
        <v>586499.4</v>
      </c>
      <c r="J1283" s="872">
        <v>45991.0</v>
      </c>
      <c r="K1283" s="799" t="s">
        <v>4262</v>
      </c>
      <c r="L1283" s="818" t="s">
        <v>12235</v>
      </c>
      <c r="M1283" s="818" t="s">
        <v>6675</v>
      </c>
      <c r="N1283" s="820">
        <v>45953.0</v>
      </c>
      <c r="O1283" s="823"/>
    </row>
    <row r="1284" ht="15.0" customHeight="1">
      <c r="A1284" s="789">
        <v>45930.0</v>
      </c>
      <c r="B1284" s="790">
        <v>2509971.0</v>
      </c>
      <c r="C1284" s="791" t="s">
        <v>11484</v>
      </c>
      <c r="D1284" s="791" t="s">
        <v>6756</v>
      </c>
      <c r="E1284" s="792" t="str">
        <f>IFERROR(VLOOKUP(D1284,Stock,3,FALSE),"")</f>
        <v>Toyota Raize / Daihatsu Rocky 20-</v>
      </c>
      <c r="F1284" s="791">
        <v>1.0</v>
      </c>
      <c r="G1284" s="842">
        <v>659450.0</v>
      </c>
      <c r="H1284" s="811">
        <f t="shared" si="72"/>
        <v>659450</v>
      </c>
      <c r="I1284" s="809">
        <f t="shared" si="77"/>
        <v>659450</v>
      </c>
      <c r="J1284" s="872">
        <v>45991.0</v>
      </c>
      <c r="K1284" s="799" t="s">
        <v>4262</v>
      </c>
      <c r="L1284" s="818" t="s">
        <v>12235</v>
      </c>
      <c r="M1284" s="818" t="s">
        <v>6675</v>
      </c>
      <c r="N1284" s="820">
        <v>45993.0</v>
      </c>
      <c r="O1284" s="823"/>
    </row>
    <row r="1285" ht="15.0" customHeight="1">
      <c r="A1285" s="789">
        <v>45930.0</v>
      </c>
      <c r="B1285" s="790">
        <v>2509939.0</v>
      </c>
      <c r="C1285" s="791" t="s">
        <v>11484</v>
      </c>
      <c r="D1285" s="791" t="s">
        <v>6755</v>
      </c>
      <c r="E1285" s="792" t="str">
        <f>IFERROR(VLOOKUP(D1285,Stock,3,FALSE),"")</f>
        <v>Mitsubishi Kuda 99-06</v>
      </c>
      <c r="F1285" s="791">
        <v>1.0</v>
      </c>
      <c r="G1285" s="842">
        <v>653400.0</v>
      </c>
      <c r="H1285" s="811">
        <f t="shared" si="72"/>
        <v>653400</v>
      </c>
      <c r="I1285" s="809">
        <f t="shared" si="77"/>
        <v>653400</v>
      </c>
      <c r="J1285" s="872">
        <v>45991.0</v>
      </c>
      <c r="K1285" s="799" t="s">
        <v>4262</v>
      </c>
      <c r="L1285" s="818" t="s">
        <v>12235</v>
      </c>
      <c r="M1285" s="818" t="s">
        <v>6675</v>
      </c>
      <c r="N1285" s="820">
        <v>45976.0</v>
      </c>
      <c r="O1285" s="823"/>
    </row>
    <row r="1286" ht="15.0" customHeight="1">
      <c r="A1286" s="789">
        <v>45930.0</v>
      </c>
      <c r="B1286" s="790">
        <v>2509939.0</v>
      </c>
      <c r="C1286" s="791" t="s">
        <v>11484</v>
      </c>
      <c r="D1286" s="791" t="s">
        <v>3426</v>
      </c>
      <c r="E1286" s="792" t="str">
        <f>IFERROR(VLOOKUP(D1286,Stock,3,FALSE),"")</f>
        <v>Toyota Rush / Terios 06-17</v>
      </c>
      <c r="F1286" s="791">
        <v>2.0</v>
      </c>
      <c r="G1286" s="842">
        <v>350350.0</v>
      </c>
      <c r="H1286" s="811">
        <f t="shared" si="72"/>
        <v>700700</v>
      </c>
      <c r="I1286" s="809">
        <f t="shared" si="77"/>
        <v>700700</v>
      </c>
      <c r="J1286" s="872">
        <v>45991.0</v>
      </c>
      <c r="K1286" s="799" t="s">
        <v>4262</v>
      </c>
      <c r="L1286" s="818" t="s">
        <v>12235</v>
      </c>
      <c r="M1286" s="818" t="s">
        <v>6675</v>
      </c>
      <c r="N1286" s="820">
        <v>45976.0</v>
      </c>
      <c r="O1286" s="823"/>
    </row>
    <row r="1287" ht="15.0" customHeight="1">
      <c r="A1287" s="789">
        <v>45930.0</v>
      </c>
      <c r="B1287" s="790">
        <v>2509939.0</v>
      </c>
      <c r="C1287" s="791" t="s">
        <v>11484</v>
      </c>
      <c r="D1287" s="791" t="s">
        <v>9249</v>
      </c>
      <c r="E1287" s="792" t="str">
        <f>IFERROR(VLOOKUP(D1287,Stock,3,FALSE),"")</f>
        <v>Toyota Rush / Terios 06-17</v>
      </c>
      <c r="F1287" s="791">
        <v>2.0</v>
      </c>
      <c r="G1287" s="842">
        <v>356400.0</v>
      </c>
      <c r="H1287" s="811">
        <f t="shared" si="72"/>
        <v>712800</v>
      </c>
      <c r="I1287" s="809">
        <f t="shared" si="77"/>
        <v>712800</v>
      </c>
      <c r="J1287" s="872">
        <v>45991.0</v>
      </c>
      <c r="K1287" s="799" t="s">
        <v>4262</v>
      </c>
      <c r="L1287" s="818" t="s">
        <v>12235</v>
      </c>
      <c r="M1287" s="818" t="s">
        <v>6675</v>
      </c>
      <c r="N1287" s="820">
        <v>45976.0</v>
      </c>
      <c r="O1287" s="823"/>
    </row>
    <row r="1288" ht="15.0" customHeight="1">
      <c r="A1288" s="789">
        <v>45931.0</v>
      </c>
      <c r="B1288" s="790">
        <v>2510026.0</v>
      </c>
      <c r="C1288" s="791" t="s">
        <v>11484</v>
      </c>
      <c r="D1288" s="791" t="s">
        <v>2653</v>
      </c>
      <c r="E1288" s="792" t="str">
        <f>IFERROR(VLOOKUP(D1288,Stock,3,FALSE),"")</f>
        <v>Suzuki Ignis 17-</v>
      </c>
      <c r="F1288" s="791">
        <v>1.0</v>
      </c>
      <c r="G1288" s="842">
        <v>656150.0</v>
      </c>
      <c r="H1288" s="811">
        <f t="shared" si="72"/>
        <v>656150</v>
      </c>
      <c r="I1288" s="809">
        <f t="shared" si="77"/>
        <v>656150</v>
      </c>
      <c r="J1288" s="872">
        <v>45992.0</v>
      </c>
      <c r="K1288" s="799" t="s">
        <v>4262</v>
      </c>
      <c r="L1288" s="818" t="s">
        <v>12235</v>
      </c>
      <c r="M1288" s="818" t="s">
        <v>6675</v>
      </c>
      <c r="N1288" s="839">
        <v>45993.0</v>
      </c>
      <c r="O1288" s="823"/>
    </row>
    <row r="1289" ht="15.0" customHeight="1">
      <c r="A1289" s="789">
        <v>45931.0</v>
      </c>
      <c r="B1289" s="790">
        <v>2510026.0</v>
      </c>
      <c r="C1289" s="791" t="s">
        <v>11484</v>
      </c>
      <c r="D1289" s="791" t="s">
        <v>9315</v>
      </c>
      <c r="E1289" s="792" t="str">
        <f>IFERROR(VLOOKUP(D1289,Stock,3,FALSE),"")</f>
        <v>Suzuki Swift 04-11 1st Gen</v>
      </c>
      <c r="F1289" s="791">
        <v>1.0</v>
      </c>
      <c r="G1289" s="842">
        <v>462000.0</v>
      </c>
      <c r="H1289" s="811">
        <f t="shared" si="72"/>
        <v>462000</v>
      </c>
      <c r="I1289" s="809">
        <f t="shared" si="77"/>
        <v>462000</v>
      </c>
      <c r="J1289" s="872">
        <v>45992.0</v>
      </c>
      <c r="K1289" s="799" t="s">
        <v>4262</v>
      </c>
      <c r="L1289" s="818" t="s">
        <v>12235</v>
      </c>
      <c r="M1289" s="818" t="s">
        <v>6675</v>
      </c>
      <c r="N1289" s="839">
        <v>45993.0</v>
      </c>
      <c r="O1289" s="823"/>
    </row>
    <row r="1290" ht="15.0" customHeight="1">
      <c r="A1290" s="789">
        <v>45931.0</v>
      </c>
      <c r="B1290" s="790">
        <v>2510026.0</v>
      </c>
      <c r="C1290" s="791" t="s">
        <v>11484</v>
      </c>
      <c r="D1290" s="791" t="s">
        <v>2729</v>
      </c>
      <c r="E1290" s="792" t="str">
        <f>IFERROR(VLOOKUP(D1290,Stock,3,FALSE),"")</f>
        <v>Honda HR-V 14-21 5D SUV</v>
      </c>
      <c r="F1290" s="791">
        <v>2.0</v>
      </c>
      <c r="G1290" s="842">
        <v>883300.0</v>
      </c>
      <c r="H1290" s="811">
        <f t="shared" si="72"/>
        <v>1766600</v>
      </c>
      <c r="I1290" s="809">
        <f t="shared" si="77"/>
        <v>1766600</v>
      </c>
      <c r="J1290" s="872">
        <v>45992.0</v>
      </c>
      <c r="K1290" s="799" t="s">
        <v>4262</v>
      </c>
      <c r="L1290" s="818" t="s">
        <v>12235</v>
      </c>
      <c r="M1290" s="818" t="s">
        <v>6675</v>
      </c>
      <c r="N1290" s="839">
        <v>45993.0</v>
      </c>
      <c r="O1290" s="823"/>
    </row>
    <row r="1291" ht="15.0" customHeight="1">
      <c r="A1291" s="789">
        <v>45931.0</v>
      </c>
      <c r="B1291" s="790">
        <v>2510026.0</v>
      </c>
      <c r="C1291" s="791" t="s">
        <v>11484</v>
      </c>
      <c r="D1291" s="791" t="s">
        <v>2662</v>
      </c>
      <c r="E1291" s="792" t="str">
        <f>IFERROR(VLOOKUP(D1291,Stock,3,FALSE),"")</f>
        <v>Wuling Almaz (Sensor)</v>
      </c>
      <c r="F1291" s="791">
        <v>1.0</v>
      </c>
      <c r="G1291" s="842">
        <v>1485000.0</v>
      </c>
      <c r="H1291" s="811">
        <f t="shared" si="72"/>
        <v>1485000</v>
      </c>
      <c r="I1291" s="809">
        <f t="shared" si="77"/>
        <v>1485000</v>
      </c>
      <c r="J1291" s="872">
        <v>45992.0</v>
      </c>
      <c r="K1291" s="799" t="s">
        <v>4262</v>
      </c>
      <c r="L1291" s="818" t="s">
        <v>12235</v>
      </c>
      <c r="M1291" s="818" t="s">
        <v>6675</v>
      </c>
      <c r="N1291" s="839">
        <v>45993.0</v>
      </c>
      <c r="O1291" s="823"/>
    </row>
    <row r="1292" ht="15.0" customHeight="1">
      <c r="A1292" s="789">
        <v>45931.0</v>
      </c>
      <c r="B1292" s="790">
        <v>2510026.0</v>
      </c>
      <c r="C1292" s="791" t="s">
        <v>11484</v>
      </c>
      <c r="D1292" s="791" t="s">
        <v>2665</v>
      </c>
      <c r="E1292" s="792" t="str">
        <f>IFERROR(VLOOKUP(D1292,Stock,3,FALSE),"")</f>
        <v>Chevrolet Spin 12-</v>
      </c>
      <c r="F1292" s="791">
        <v>1.0</v>
      </c>
      <c r="G1292" s="842">
        <v>742500.0</v>
      </c>
      <c r="H1292" s="811">
        <f t="shared" si="72"/>
        <v>742500</v>
      </c>
      <c r="I1292" s="809">
        <f t="shared" si="77"/>
        <v>742500</v>
      </c>
      <c r="J1292" s="872">
        <v>45992.0</v>
      </c>
      <c r="K1292" s="799" t="s">
        <v>4262</v>
      </c>
      <c r="L1292" s="818" t="s">
        <v>12235</v>
      </c>
      <c r="M1292" s="818" t="s">
        <v>6675</v>
      </c>
      <c r="N1292" s="839">
        <v>45993.0</v>
      </c>
      <c r="O1292" s="823"/>
    </row>
    <row r="1293" ht="15.0" customHeight="1">
      <c r="A1293" s="789">
        <v>45931.0</v>
      </c>
      <c r="B1293" s="790" t="s">
        <v>13250</v>
      </c>
      <c r="C1293" s="791" t="s">
        <v>12932</v>
      </c>
      <c r="D1293" s="791" t="s">
        <v>2848</v>
      </c>
      <c r="E1293" s="792" t="str">
        <f>IFERROR(VLOOKUP(D1293,Stock,3,FALSE),"")</f>
        <v>Honda Jazz 01-07 1st Gen</v>
      </c>
      <c r="F1293" s="791">
        <v>5.0</v>
      </c>
      <c r="G1293" s="842">
        <v>272850.2</v>
      </c>
      <c r="H1293" s="811">
        <f t="shared" si="72"/>
        <v>1364251</v>
      </c>
      <c r="I1293" s="809">
        <f t="shared" si="77"/>
        <v>1364251</v>
      </c>
      <c r="J1293" s="872">
        <v>45992.0</v>
      </c>
      <c r="K1293" s="799" t="s">
        <v>4262</v>
      </c>
      <c r="L1293" s="818" t="s">
        <v>12235</v>
      </c>
      <c r="M1293" s="818" t="s">
        <v>6675</v>
      </c>
      <c r="N1293" s="839">
        <v>45966.0</v>
      </c>
      <c r="O1293" s="823"/>
    </row>
    <row r="1294" ht="15.0" customHeight="1">
      <c r="A1294" s="789">
        <v>45931.0</v>
      </c>
      <c r="B1294" s="790" t="s">
        <v>13251</v>
      </c>
      <c r="C1294" s="791" t="s">
        <v>12932</v>
      </c>
      <c r="D1294" s="791" t="s">
        <v>2824</v>
      </c>
      <c r="E1294" s="792" t="str">
        <f>IFERROR(VLOOKUP(D1294,Stock,3,FALSE),"")</f>
        <v>Nissan UD Quester</v>
      </c>
      <c r="F1294" s="791">
        <v>5.0</v>
      </c>
      <c r="G1294" s="842">
        <v>264349.8</v>
      </c>
      <c r="H1294" s="811">
        <f t="shared" si="72"/>
        <v>1321749</v>
      </c>
      <c r="I1294" s="809">
        <f t="shared" si="77"/>
        <v>1321749</v>
      </c>
      <c r="J1294" s="872">
        <v>45992.0</v>
      </c>
      <c r="K1294" s="799" t="s">
        <v>4262</v>
      </c>
      <c r="L1294" s="818" t="s">
        <v>12235</v>
      </c>
      <c r="M1294" s="818" t="s">
        <v>6675</v>
      </c>
      <c r="N1294" s="839">
        <v>45966.0</v>
      </c>
      <c r="O1294" s="823"/>
    </row>
    <row r="1295" ht="15.0" customHeight="1">
      <c r="A1295" s="789">
        <v>45931.0</v>
      </c>
      <c r="B1295" s="790">
        <v>2510052.0</v>
      </c>
      <c r="C1295" s="791" t="s">
        <v>11484</v>
      </c>
      <c r="D1295" s="791" t="s">
        <v>2562</v>
      </c>
      <c r="E1295" s="792" t="str">
        <f>IFERROR(VLOOKUP(D1295,Stock,3,FALSE),"")</f>
        <v>Toyota Avanza / Xenia 15-21 3rd Gen</v>
      </c>
      <c r="F1295" s="791">
        <v>5.0</v>
      </c>
      <c r="G1295" s="842">
        <v>416900.0</v>
      </c>
      <c r="H1295" s="811">
        <f t="shared" si="72"/>
        <v>2084500</v>
      </c>
      <c r="I1295" s="809">
        <f t="shared" si="77"/>
        <v>2084500</v>
      </c>
      <c r="J1295" s="872">
        <v>45992.0</v>
      </c>
      <c r="K1295" s="799" t="s">
        <v>4262</v>
      </c>
      <c r="L1295" s="818" t="s">
        <v>12235</v>
      </c>
      <c r="M1295" s="818" t="s">
        <v>6675</v>
      </c>
      <c r="N1295" s="839">
        <v>45993.0</v>
      </c>
      <c r="O1295" s="823"/>
    </row>
    <row r="1296" ht="15.0" customHeight="1">
      <c r="A1296" s="789">
        <v>45932.0</v>
      </c>
      <c r="B1296" s="790">
        <v>2510061.0</v>
      </c>
      <c r="C1296" s="791" t="s">
        <v>11484</v>
      </c>
      <c r="D1296" s="791" t="s">
        <v>2643</v>
      </c>
      <c r="E1296" s="792" t="str">
        <f>IFERROR(VLOOKUP(D1296,Stock,3,FALSE),"")</f>
        <v>Toyota Vios 07-13 XP90 2nd Gen</v>
      </c>
      <c r="F1296" s="791">
        <v>2.0</v>
      </c>
      <c r="G1296" s="842">
        <v>623150.0</v>
      </c>
      <c r="H1296" s="811">
        <f t="shared" si="72"/>
        <v>1246300</v>
      </c>
      <c r="I1296" s="809">
        <f t="shared" si="77"/>
        <v>1246300</v>
      </c>
      <c r="J1296" s="872">
        <v>45993.0</v>
      </c>
      <c r="K1296" s="799" t="s">
        <v>4262</v>
      </c>
      <c r="L1296" s="818" t="s">
        <v>12235</v>
      </c>
      <c r="M1296" s="818" t="s">
        <v>6675</v>
      </c>
      <c r="N1296" s="839">
        <v>45993.0</v>
      </c>
      <c r="O1296" s="823"/>
    </row>
    <row r="1297" ht="15.0" customHeight="1">
      <c r="A1297" s="789">
        <v>45932.0</v>
      </c>
      <c r="B1297" s="790">
        <v>2510061.0</v>
      </c>
      <c r="C1297" s="791" t="s">
        <v>11484</v>
      </c>
      <c r="D1297" s="791" t="s">
        <v>2625</v>
      </c>
      <c r="E1297" s="792" t="str">
        <f>IFERROR(VLOOKUP(D1297,Stock,3,FALSE),"")</f>
        <v>Honda Civic 16- 10th Gen</v>
      </c>
      <c r="F1297" s="791">
        <v>1.0</v>
      </c>
      <c r="G1297" s="842">
        <v>1287550.0</v>
      </c>
      <c r="H1297" s="811">
        <f t="shared" si="72"/>
        <v>1287550</v>
      </c>
      <c r="I1297" s="809">
        <f t="shared" si="77"/>
        <v>1287550</v>
      </c>
      <c r="J1297" s="872">
        <v>45993.0</v>
      </c>
      <c r="K1297" s="799" t="s">
        <v>4262</v>
      </c>
      <c r="L1297" s="818" t="s">
        <v>12235</v>
      </c>
      <c r="M1297" s="818" t="s">
        <v>6675</v>
      </c>
      <c r="N1297" s="839">
        <v>45993.0</v>
      </c>
      <c r="O1297" s="823"/>
    </row>
    <row r="1298" ht="15.0" customHeight="1">
      <c r="A1298" s="789">
        <v>45934.0</v>
      </c>
      <c r="B1298" s="790" t="s">
        <v>13252</v>
      </c>
      <c r="C1298" s="791" t="s">
        <v>13115</v>
      </c>
      <c r="D1298" s="791" t="s">
        <v>2753</v>
      </c>
      <c r="E1298" s="792" t="str">
        <f>IFERROR(VLOOKUP(D1298,Stock,3,FALSE),"")</f>
        <v>Daihatsu Luxio 07-</v>
      </c>
      <c r="F1298" s="791">
        <v>1.0</v>
      </c>
      <c r="G1298" s="842">
        <v>350000.0</v>
      </c>
      <c r="H1298" s="811">
        <f t="shared" si="72"/>
        <v>350000</v>
      </c>
      <c r="I1298" s="809"/>
      <c r="J1298" s="819"/>
      <c r="K1298" s="799" t="s">
        <v>4262</v>
      </c>
      <c r="L1298" s="818" t="s">
        <v>12235</v>
      </c>
      <c r="M1298" s="818" t="s">
        <v>6675</v>
      </c>
      <c r="N1298" s="839">
        <v>45934.0</v>
      </c>
      <c r="O1298" s="823"/>
    </row>
    <row r="1299" ht="15.0" customHeight="1">
      <c r="A1299" s="789">
        <v>45936.0</v>
      </c>
      <c r="B1299" s="790" t="s">
        <v>13253</v>
      </c>
      <c r="C1299" s="791" t="s">
        <v>12963</v>
      </c>
      <c r="D1299" s="791" t="s">
        <v>6022</v>
      </c>
      <c r="E1299" s="792" t="str">
        <f>IFERROR(VLOOKUP(D1299,Stock,3,FALSE),"")</f>
        <v>Suzuki Ertiga 18- 2nd Gen / XL7 (Suzuki)</v>
      </c>
      <c r="F1299" s="791">
        <v>2.0</v>
      </c>
      <c r="G1299" s="842">
        <v>680000.0</v>
      </c>
      <c r="H1299" s="811">
        <f t="shared" si="72"/>
        <v>1360000</v>
      </c>
      <c r="I1299" s="809"/>
      <c r="J1299" s="819"/>
      <c r="K1299" s="799" t="s">
        <v>4262</v>
      </c>
      <c r="L1299" s="818" t="s">
        <v>12235</v>
      </c>
      <c r="M1299" s="818" t="s">
        <v>6675</v>
      </c>
      <c r="N1299" s="839">
        <v>45936.0</v>
      </c>
      <c r="O1299" s="823"/>
    </row>
    <row r="1300" ht="15.0" customHeight="1">
      <c r="A1300" s="789">
        <v>45936.0</v>
      </c>
      <c r="B1300" s="790" t="s">
        <v>13254</v>
      </c>
      <c r="C1300" s="791" t="s">
        <v>13145</v>
      </c>
      <c r="D1300" s="791" t="s">
        <v>3745</v>
      </c>
      <c r="E1300" s="792" t="str">
        <f>IFERROR(VLOOKUP(D1300,Stock,3,FALSE),"")</f>
        <v>Honda Brio 10- / Mobilio 11-</v>
      </c>
      <c r="F1300" s="791">
        <v>2.0</v>
      </c>
      <c r="G1300" s="842">
        <v>800000.0</v>
      </c>
      <c r="H1300" s="811">
        <f t="shared" si="72"/>
        <v>1600000</v>
      </c>
      <c r="I1300" s="809"/>
      <c r="J1300" s="819"/>
      <c r="K1300" s="799" t="s">
        <v>4262</v>
      </c>
      <c r="L1300" s="818" t="s">
        <v>12235</v>
      </c>
      <c r="M1300" s="818" t="s">
        <v>6675</v>
      </c>
      <c r="N1300" s="839">
        <v>45936.0</v>
      </c>
      <c r="O1300" s="823"/>
    </row>
    <row r="1301" ht="15.0" customHeight="1">
      <c r="A1301" s="789">
        <v>45936.0</v>
      </c>
      <c r="B1301" s="790" t="s">
        <v>13255</v>
      </c>
      <c r="C1301" s="791" t="s">
        <v>12932</v>
      </c>
      <c r="D1301" s="791" t="s">
        <v>2830</v>
      </c>
      <c r="E1301" s="792" t="str">
        <f>IFERROR(VLOOKUP(D1301,Stock,3,FALSE),"")</f>
        <v>Toyota Innova 04-15 1st Gen</v>
      </c>
      <c r="F1301" s="791">
        <v>5.0</v>
      </c>
      <c r="G1301" s="842">
        <v>290700.0</v>
      </c>
      <c r="H1301" s="811">
        <f t="shared" si="72"/>
        <v>1453500</v>
      </c>
      <c r="I1301" s="809">
        <f t="shared" ref="I1301:I1311" si="78">H1301</f>
        <v>1453500</v>
      </c>
      <c r="J1301" s="872">
        <v>45997.0</v>
      </c>
      <c r="K1301" s="799" t="s">
        <v>4262</v>
      </c>
      <c r="L1301" s="818" t="s">
        <v>12235</v>
      </c>
      <c r="M1301" s="818" t="s">
        <v>6675</v>
      </c>
      <c r="N1301" s="839">
        <v>45966.0</v>
      </c>
      <c r="O1301" s="823"/>
    </row>
    <row r="1302" ht="15.0" customHeight="1">
      <c r="A1302" s="789">
        <v>45936.0</v>
      </c>
      <c r="B1302" s="790">
        <v>2510164.0</v>
      </c>
      <c r="C1302" s="791" t="s">
        <v>11484</v>
      </c>
      <c r="D1302" s="791" t="s">
        <v>3543</v>
      </c>
      <c r="E1302" s="792" t="str">
        <f>IFERROR(VLOOKUP(D1302,Stock,3,FALSE),"")</f>
        <v>Daihatsu Gran Max Minibus/Van</v>
      </c>
      <c r="F1302" s="791">
        <v>3.0</v>
      </c>
      <c r="G1302" s="842">
        <v>254100.0</v>
      </c>
      <c r="H1302" s="811">
        <f t="shared" si="72"/>
        <v>762300</v>
      </c>
      <c r="I1302" s="809">
        <f t="shared" si="78"/>
        <v>762300</v>
      </c>
      <c r="J1302" s="872">
        <v>45997.0</v>
      </c>
      <c r="K1302" s="799" t="s">
        <v>4262</v>
      </c>
      <c r="L1302" s="818" t="s">
        <v>12235</v>
      </c>
      <c r="M1302" s="818" t="s">
        <v>6675</v>
      </c>
      <c r="N1302" s="839">
        <v>45995.0</v>
      </c>
      <c r="O1302" s="823"/>
    </row>
    <row r="1303" ht="15.0" customHeight="1">
      <c r="A1303" s="789">
        <v>45936.0</v>
      </c>
      <c r="B1303" s="790">
        <v>2510164.0</v>
      </c>
      <c r="C1303" s="791" t="s">
        <v>11484</v>
      </c>
      <c r="D1303" s="791" t="s">
        <v>2691</v>
      </c>
      <c r="E1303" s="792" t="str">
        <f>IFERROR(VLOOKUP(D1303,Stock,3,FALSE),"")</f>
        <v>Suzuki Ertiga 12-18 1st Gen MPV</v>
      </c>
      <c r="F1303" s="791">
        <v>2.0</v>
      </c>
      <c r="G1303" s="842">
        <v>528000.0</v>
      </c>
      <c r="H1303" s="811">
        <f t="shared" si="72"/>
        <v>1056000</v>
      </c>
      <c r="I1303" s="809">
        <f t="shared" si="78"/>
        <v>1056000</v>
      </c>
      <c r="J1303" s="872">
        <v>45997.0</v>
      </c>
      <c r="K1303" s="799" t="s">
        <v>4262</v>
      </c>
      <c r="L1303" s="818" t="s">
        <v>12235</v>
      </c>
      <c r="M1303" s="818" t="s">
        <v>6675</v>
      </c>
      <c r="N1303" s="839">
        <v>45995.0</v>
      </c>
      <c r="O1303" s="823"/>
    </row>
    <row r="1304" ht="15.0" customHeight="1">
      <c r="A1304" s="789">
        <v>45936.0</v>
      </c>
      <c r="B1304" s="790">
        <v>2510164.0</v>
      </c>
      <c r="C1304" s="791" t="s">
        <v>11484</v>
      </c>
      <c r="D1304" s="791" t="s">
        <v>4613</v>
      </c>
      <c r="E1304" s="792" t="str">
        <f>IFERROR(VLOOKUP(D1304,Stock,3,FALSE),"")</f>
        <v>Honda Freed 08-16 1st gen</v>
      </c>
      <c r="F1304" s="791">
        <v>2.0</v>
      </c>
      <c r="G1304" s="842">
        <v>657800.0</v>
      </c>
      <c r="H1304" s="811">
        <f t="shared" si="72"/>
        <v>1315600</v>
      </c>
      <c r="I1304" s="809">
        <f t="shared" si="78"/>
        <v>1315600</v>
      </c>
      <c r="J1304" s="872">
        <v>45997.0</v>
      </c>
      <c r="K1304" s="799" t="s">
        <v>4262</v>
      </c>
      <c r="L1304" s="818" t="s">
        <v>12235</v>
      </c>
      <c r="M1304" s="818" t="s">
        <v>6675</v>
      </c>
      <c r="N1304" s="839">
        <v>45995.0</v>
      </c>
      <c r="O1304" s="823"/>
    </row>
    <row r="1305" ht="15.0" customHeight="1">
      <c r="A1305" s="789">
        <v>45936.0</v>
      </c>
      <c r="B1305" s="790">
        <v>2510164.0</v>
      </c>
      <c r="C1305" s="791" t="s">
        <v>11484</v>
      </c>
      <c r="D1305" s="791" t="s">
        <v>2552</v>
      </c>
      <c r="E1305" s="792" t="str">
        <f>IFERROR(VLOOKUP(D1305,Stock,3,FALSE),"")</f>
        <v>Toyota Kijang 02-04 Kapsul Lem Efi</v>
      </c>
      <c r="F1305" s="791">
        <v>2.0</v>
      </c>
      <c r="G1305" s="842">
        <v>592900.0</v>
      </c>
      <c r="H1305" s="811">
        <f t="shared" si="72"/>
        <v>1185800</v>
      </c>
      <c r="I1305" s="809">
        <f t="shared" si="78"/>
        <v>1185800</v>
      </c>
      <c r="J1305" s="872">
        <v>45997.0</v>
      </c>
      <c r="K1305" s="799" t="s">
        <v>4262</v>
      </c>
      <c r="L1305" s="818" t="s">
        <v>12235</v>
      </c>
      <c r="M1305" s="818" t="s">
        <v>6675</v>
      </c>
      <c r="N1305" s="839">
        <v>45995.0</v>
      </c>
      <c r="O1305" s="823"/>
    </row>
    <row r="1306" ht="15.0" customHeight="1">
      <c r="A1306" s="802">
        <v>45936.0</v>
      </c>
      <c r="B1306" s="771" t="s">
        <v>13256</v>
      </c>
      <c r="C1306" s="63" t="s">
        <v>28</v>
      </c>
      <c r="D1306" s="63" t="s">
        <v>13012</v>
      </c>
      <c r="E1306" s="772" t="str">
        <f>IFERROR(VLOOKUP(D1306,Stock,3,FALSE),"")</f>
        <v/>
      </c>
      <c r="F1306" s="63">
        <v>18.0</v>
      </c>
      <c r="G1306" s="894"/>
      <c r="H1306" s="807">
        <f t="shared" si="72"/>
        <v>0</v>
      </c>
      <c r="I1306" s="895">
        <f t="shared" si="78"/>
        <v>0</v>
      </c>
      <c r="J1306" s="82"/>
      <c r="K1306" s="59" t="s">
        <v>4262</v>
      </c>
    </row>
    <row r="1307" ht="15.0" customHeight="1">
      <c r="A1307" s="789">
        <v>45936.0</v>
      </c>
      <c r="B1307" s="790" t="s">
        <v>13257</v>
      </c>
      <c r="C1307" s="791" t="s">
        <v>13230</v>
      </c>
      <c r="D1307" s="791" t="s">
        <v>7798</v>
      </c>
      <c r="E1307" s="792" t="str">
        <f>IFERROR(VLOOKUP(D1307,Stock,3,FALSE),"")</f>
        <v>Toyota Camry 06-11 XV40 4th Gen</v>
      </c>
      <c r="F1307" s="791">
        <v>1.0</v>
      </c>
      <c r="G1307" s="842"/>
      <c r="H1307" s="811">
        <f t="shared" si="72"/>
        <v>0</v>
      </c>
      <c r="I1307" s="809">
        <f t="shared" si="78"/>
        <v>0</v>
      </c>
      <c r="J1307" s="819"/>
      <c r="K1307" s="799" t="s">
        <v>4262</v>
      </c>
      <c r="L1307" s="818" t="s">
        <v>12235</v>
      </c>
      <c r="M1307" s="823"/>
      <c r="N1307" s="823"/>
      <c r="O1307" s="823"/>
    </row>
    <row r="1308" ht="15.0" customHeight="1">
      <c r="A1308" s="789">
        <v>45936.0</v>
      </c>
      <c r="B1308" s="790" t="s">
        <v>13257</v>
      </c>
      <c r="C1308" s="791" t="s">
        <v>13230</v>
      </c>
      <c r="D1308" s="791" t="s">
        <v>2934</v>
      </c>
      <c r="E1308" s="792" t="str">
        <f>IFERROR(VLOOKUP(D1308,Stock,3,FALSE),"")</f>
        <v>Peti Kayu</v>
      </c>
      <c r="F1308" s="791">
        <v>1.0</v>
      </c>
      <c r="G1308" s="842"/>
      <c r="H1308" s="811">
        <f t="shared" si="72"/>
        <v>0</v>
      </c>
      <c r="I1308" s="809">
        <f t="shared" si="78"/>
        <v>0</v>
      </c>
      <c r="J1308" s="819"/>
      <c r="K1308" s="799" t="s">
        <v>4262</v>
      </c>
      <c r="L1308" s="818" t="s">
        <v>12235</v>
      </c>
      <c r="M1308" s="823"/>
      <c r="N1308" s="823"/>
      <c r="O1308" s="823"/>
    </row>
    <row r="1309" ht="15.0" customHeight="1">
      <c r="A1309" s="789">
        <v>45938.0</v>
      </c>
      <c r="B1309" s="790" t="s">
        <v>13258</v>
      </c>
      <c r="C1309" s="791" t="s">
        <v>12932</v>
      </c>
      <c r="D1309" s="791" t="s">
        <v>2836</v>
      </c>
      <c r="E1309" s="792" t="str">
        <f>IFERROR(VLOOKUP(D1309,Stock,3,FALSE),"")</f>
        <v>Toyota Avanza / Xenia 21- 4th Gen</v>
      </c>
      <c r="F1309" s="791">
        <v>5.0</v>
      </c>
      <c r="G1309" s="842">
        <v>376549.7</v>
      </c>
      <c r="H1309" s="811">
        <f t="shared" si="72"/>
        <v>1882748.5</v>
      </c>
      <c r="I1309" s="809">
        <f t="shared" si="78"/>
        <v>1882748.5</v>
      </c>
      <c r="J1309" s="872">
        <v>45999.0</v>
      </c>
      <c r="K1309" s="799" t="s">
        <v>4262</v>
      </c>
      <c r="L1309" s="818" t="s">
        <v>12235</v>
      </c>
      <c r="M1309" s="818" t="s">
        <v>6675</v>
      </c>
      <c r="N1309" s="839">
        <v>45966.0</v>
      </c>
      <c r="O1309" s="823"/>
    </row>
    <row r="1310" ht="15.0" customHeight="1">
      <c r="A1310" s="789">
        <v>45938.0</v>
      </c>
      <c r="B1310" s="790" t="s">
        <v>13258</v>
      </c>
      <c r="C1310" s="791" t="s">
        <v>12932</v>
      </c>
      <c r="D1310" s="791" t="s">
        <v>2825</v>
      </c>
      <c r="E1310" s="792" t="str">
        <f>IFERROR(VLOOKUP(D1310,Stock,3,FALSE),"")</f>
        <v>Toyota Avanza / Xenia 21- 4th Gen</v>
      </c>
      <c r="F1310" s="791">
        <v>3.0</v>
      </c>
      <c r="G1310" s="842">
        <v>228650.0</v>
      </c>
      <c r="H1310" s="811">
        <f t="shared" si="72"/>
        <v>685950</v>
      </c>
      <c r="I1310" s="809">
        <f t="shared" si="78"/>
        <v>685950</v>
      </c>
      <c r="J1310" s="872">
        <v>45999.0</v>
      </c>
      <c r="K1310" s="799" t="s">
        <v>4262</v>
      </c>
      <c r="L1310" s="818" t="s">
        <v>12235</v>
      </c>
      <c r="M1310" s="818" t="s">
        <v>6675</v>
      </c>
      <c r="N1310" s="839">
        <v>45966.0</v>
      </c>
      <c r="O1310" s="823"/>
    </row>
    <row r="1311" ht="15.0" customHeight="1">
      <c r="A1311" s="789">
        <v>45938.0</v>
      </c>
      <c r="B1311" s="790" t="s">
        <v>13258</v>
      </c>
      <c r="C1311" s="791" t="s">
        <v>12932</v>
      </c>
      <c r="D1311" s="791" t="s">
        <v>2832</v>
      </c>
      <c r="E1311" s="792" t="str">
        <f>IFERROR(VLOOKUP(D1311,Stock,3,FALSE),"")</f>
        <v>Toyota Fortuner 15-  2nd Gen</v>
      </c>
      <c r="F1311" s="791">
        <v>5.0</v>
      </c>
      <c r="G1311" s="842">
        <v>505750.2</v>
      </c>
      <c r="H1311" s="811">
        <f t="shared" si="72"/>
        <v>2528751</v>
      </c>
      <c r="I1311" s="809">
        <f t="shared" si="78"/>
        <v>2528751</v>
      </c>
      <c r="J1311" s="872">
        <v>45999.0</v>
      </c>
      <c r="K1311" s="799" t="s">
        <v>4262</v>
      </c>
      <c r="L1311" s="818" t="s">
        <v>12235</v>
      </c>
      <c r="M1311" s="818" t="s">
        <v>6675</v>
      </c>
      <c r="N1311" s="839">
        <v>45966.0</v>
      </c>
      <c r="O1311" s="823"/>
    </row>
    <row r="1312" ht="15.0" customHeight="1">
      <c r="A1312" s="789">
        <v>45939.0</v>
      </c>
      <c r="B1312" s="790" t="s">
        <v>13259</v>
      </c>
      <c r="C1312" s="791" t="s">
        <v>12992</v>
      </c>
      <c r="D1312" s="791" t="s">
        <v>2866</v>
      </c>
      <c r="E1312" s="792" t="str">
        <f>IFERROR(VLOOKUP(D1312,Stock,3,FALSE),"")</f>
        <v>Mitsubishi Fuso 6D22 / Super Great FV100 96-</v>
      </c>
      <c r="F1312" s="791">
        <v>1.0</v>
      </c>
      <c r="G1312" s="842">
        <v>300000.0</v>
      </c>
      <c r="H1312" s="811">
        <f t="shared" si="72"/>
        <v>300000</v>
      </c>
      <c r="I1312" s="809"/>
      <c r="J1312" s="819"/>
      <c r="K1312" s="799" t="s">
        <v>4262</v>
      </c>
      <c r="L1312" s="818" t="s">
        <v>12235</v>
      </c>
      <c r="M1312" s="818" t="s">
        <v>6675</v>
      </c>
      <c r="N1312" s="839">
        <v>45939.0</v>
      </c>
      <c r="O1312" s="823"/>
    </row>
    <row r="1313" ht="15.0" customHeight="1">
      <c r="A1313" s="789">
        <v>45938.0</v>
      </c>
      <c r="B1313" s="790">
        <v>2510267.0</v>
      </c>
      <c r="C1313" s="791" t="s">
        <v>11484</v>
      </c>
      <c r="D1313" s="791" t="s">
        <v>3025</v>
      </c>
      <c r="E1313" s="792" t="str">
        <f>IFERROR(VLOOKUP(D1313,Stock,3,FALSE),"")</f>
        <v>Toyota Rush / Terios 06-17</v>
      </c>
      <c r="F1313" s="791">
        <v>3.0</v>
      </c>
      <c r="G1313" s="842">
        <v>576400.0</v>
      </c>
      <c r="H1313" s="811">
        <f t="shared" si="72"/>
        <v>1729200</v>
      </c>
      <c r="I1313" s="809">
        <f t="shared" ref="I1313:I1317" si="79">H1313</f>
        <v>1729200</v>
      </c>
      <c r="J1313" s="872">
        <v>45999.0</v>
      </c>
      <c r="K1313" s="799" t="s">
        <v>4262</v>
      </c>
      <c r="L1313" s="823"/>
      <c r="M1313" s="818" t="s">
        <v>6675</v>
      </c>
      <c r="N1313" s="839">
        <v>45993.0</v>
      </c>
      <c r="O1313" s="823"/>
    </row>
    <row r="1314" ht="15.0" customHeight="1">
      <c r="A1314" s="789">
        <v>45937.0</v>
      </c>
      <c r="B1314" s="790">
        <v>2510246.0</v>
      </c>
      <c r="C1314" s="791" t="s">
        <v>11484</v>
      </c>
      <c r="D1314" s="791" t="s">
        <v>4005</v>
      </c>
      <c r="E1314" s="792" t="str">
        <f>IFERROR(VLOOKUP(D1314,Stock,3,FALSE),"")</f>
        <v>Toyota Fortuner 15- 2nd Gen</v>
      </c>
      <c r="F1314" s="791">
        <v>2.0</v>
      </c>
      <c r="G1314" s="842">
        <v>797500.0</v>
      </c>
      <c r="H1314" s="811">
        <f t="shared" si="72"/>
        <v>1595000</v>
      </c>
      <c r="I1314" s="809">
        <f t="shared" si="79"/>
        <v>1595000</v>
      </c>
      <c r="J1314" s="872">
        <v>45998.0</v>
      </c>
      <c r="K1314" s="799" t="s">
        <v>4262</v>
      </c>
      <c r="L1314" s="818" t="s">
        <v>12235</v>
      </c>
      <c r="M1314" s="818" t="s">
        <v>6675</v>
      </c>
      <c r="N1314" s="839">
        <v>45993.0</v>
      </c>
      <c r="O1314" s="823"/>
    </row>
    <row r="1315" ht="15.0" customHeight="1">
      <c r="A1315" s="789">
        <v>45937.0</v>
      </c>
      <c r="B1315" s="790">
        <v>2510211.0</v>
      </c>
      <c r="C1315" s="791" t="s">
        <v>11484</v>
      </c>
      <c r="D1315" s="791" t="s">
        <v>3391</v>
      </c>
      <c r="E1315" s="792" t="str">
        <f>IFERROR(VLOOKUP(D1315,Stock,3,FALSE),"")</f>
        <v>Toyota Fortuner 05-15 1st Gen</v>
      </c>
      <c r="F1315" s="791">
        <v>2.0</v>
      </c>
      <c r="G1315" s="842">
        <v>600600.0</v>
      </c>
      <c r="H1315" s="811">
        <f t="shared" si="72"/>
        <v>1201200</v>
      </c>
      <c r="I1315" s="809">
        <f t="shared" si="79"/>
        <v>1201200</v>
      </c>
      <c r="J1315" s="872">
        <v>45998.0</v>
      </c>
      <c r="K1315" s="799" t="s">
        <v>4262</v>
      </c>
      <c r="L1315" s="818" t="s">
        <v>12235</v>
      </c>
      <c r="M1315" s="818" t="s">
        <v>6675</v>
      </c>
      <c r="N1315" s="839">
        <v>45993.0</v>
      </c>
      <c r="O1315" s="823"/>
    </row>
    <row r="1316" ht="15.0" customHeight="1">
      <c r="A1316" s="789">
        <v>45937.0</v>
      </c>
      <c r="B1316" s="790">
        <v>2510211.0</v>
      </c>
      <c r="C1316" s="791" t="s">
        <v>11484</v>
      </c>
      <c r="D1316" s="791" t="s">
        <v>3104</v>
      </c>
      <c r="E1316" s="792" t="str">
        <f>IFERROR(VLOOKUP(D1316,Stock,3,FALSE),"")</f>
        <v>Toyota Innova 15- 2nd Gen</v>
      </c>
      <c r="F1316" s="791">
        <v>2.0</v>
      </c>
      <c r="G1316" s="842">
        <v>532950.0</v>
      </c>
      <c r="H1316" s="811">
        <f t="shared" si="72"/>
        <v>1065900</v>
      </c>
      <c r="I1316" s="809">
        <f t="shared" si="79"/>
        <v>1065900</v>
      </c>
      <c r="J1316" s="872">
        <v>45998.0</v>
      </c>
      <c r="K1316" s="799" t="s">
        <v>4262</v>
      </c>
      <c r="L1316" s="818" t="s">
        <v>12235</v>
      </c>
      <c r="M1316" s="818" t="s">
        <v>6675</v>
      </c>
      <c r="N1316" s="839">
        <v>45993.0</v>
      </c>
      <c r="O1316" s="823"/>
    </row>
    <row r="1317" ht="15.0" customHeight="1">
      <c r="A1317" s="789">
        <v>45936.0</v>
      </c>
      <c r="B1317" s="790">
        <v>2510182.0</v>
      </c>
      <c r="C1317" s="791" t="s">
        <v>11484</v>
      </c>
      <c r="D1317" s="791" t="s">
        <v>2723</v>
      </c>
      <c r="E1317" s="792" t="str">
        <f>IFERROR(VLOOKUP(D1317,Stock,3,FALSE),"")</f>
        <v>Suzuki Carry New 19-</v>
      </c>
      <c r="F1317" s="791">
        <v>2.0</v>
      </c>
      <c r="G1317" s="842">
        <v>462000.0</v>
      </c>
      <c r="H1317" s="811">
        <f t="shared" si="72"/>
        <v>924000</v>
      </c>
      <c r="I1317" s="809">
        <f t="shared" si="79"/>
        <v>924000</v>
      </c>
      <c r="J1317" s="872">
        <v>45997.0</v>
      </c>
      <c r="K1317" s="799" t="s">
        <v>4262</v>
      </c>
      <c r="L1317" s="818" t="s">
        <v>12235</v>
      </c>
      <c r="M1317" s="818" t="s">
        <v>6675</v>
      </c>
      <c r="N1317" s="839">
        <v>45993.0</v>
      </c>
      <c r="O1317" s="823"/>
    </row>
    <row r="1318" ht="15.0" customHeight="1">
      <c r="A1318" s="789">
        <v>45941.0</v>
      </c>
      <c r="B1318" s="790" t="s">
        <v>13260</v>
      </c>
      <c r="C1318" s="791" t="s">
        <v>13261</v>
      </c>
      <c r="D1318" s="89" t="s">
        <v>9454</v>
      </c>
      <c r="E1318" s="792" t="str">
        <f>IFERROR(VLOOKUP(D1318,Stock,3,FALSE),"")</f>
        <v>Honda CR-V 02-06 2nd Gen (List Pelipit) (Honda)</v>
      </c>
      <c r="F1318" s="791">
        <v>1.0</v>
      </c>
      <c r="G1318" s="842">
        <v>150000.0</v>
      </c>
      <c r="H1318" s="811">
        <f t="shared" si="72"/>
        <v>150000</v>
      </c>
      <c r="I1318" s="809"/>
      <c r="J1318" s="819"/>
      <c r="K1318" s="799" t="s">
        <v>4262</v>
      </c>
      <c r="L1318" s="818" t="s">
        <v>12235</v>
      </c>
      <c r="M1318" s="818" t="s">
        <v>6675</v>
      </c>
      <c r="N1318" s="820">
        <v>45941.0</v>
      </c>
      <c r="O1318" s="823"/>
    </row>
    <row r="1319" ht="15.0" customHeight="1">
      <c r="A1319" s="789">
        <v>45941.0</v>
      </c>
      <c r="B1319" s="790" t="s">
        <v>13260</v>
      </c>
      <c r="C1319" s="791" t="s">
        <v>13261</v>
      </c>
      <c r="D1319" s="90" t="s">
        <v>9458</v>
      </c>
      <c r="E1319" s="792" t="str">
        <f>IFERROR(VLOOKUP(D1319,Stock,3,FALSE),"")</f>
        <v>Honda CR-V 02-06 2nd Gen (List Pelipit) (Honda)</v>
      </c>
      <c r="F1319" s="791">
        <v>1.0</v>
      </c>
      <c r="G1319" s="842">
        <v>150000.0</v>
      </c>
      <c r="H1319" s="811">
        <f t="shared" si="72"/>
        <v>150000</v>
      </c>
      <c r="I1319" s="809"/>
      <c r="J1319" s="819"/>
      <c r="K1319" s="799" t="s">
        <v>4262</v>
      </c>
      <c r="L1319" s="818" t="s">
        <v>12235</v>
      </c>
      <c r="M1319" s="818" t="s">
        <v>6675</v>
      </c>
      <c r="N1319" s="820">
        <v>45941.0</v>
      </c>
      <c r="O1319" s="823"/>
    </row>
    <row r="1320" ht="15.0" customHeight="1">
      <c r="A1320" s="789">
        <v>45943.0</v>
      </c>
      <c r="B1320" s="790" t="s">
        <v>13262</v>
      </c>
      <c r="C1320" s="791" t="s">
        <v>13145</v>
      </c>
      <c r="D1320" s="791" t="s">
        <v>9460</v>
      </c>
      <c r="E1320" s="792" t="str">
        <f>IFERROR(VLOOKUP(D1320,Stock,3,FALSE),"")</f>
        <v>Honda CR-V  04-06 2nd Gen (Spion Biasa) (Honda)</v>
      </c>
      <c r="F1320" s="791">
        <v>1.0</v>
      </c>
      <c r="G1320" s="842">
        <v>1950000.0</v>
      </c>
      <c r="H1320" s="811">
        <f t="shared" si="72"/>
        <v>1950000</v>
      </c>
      <c r="I1320" s="809"/>
      <c r="J1320" s="819"/>
      <c r="K1320" s="799" t="s">
        <v>4262</v>
      </c>
      <c r="L1320" s="818" t="s">
        <v>12235</v>
      </c>
      <c r="M1320" s="818" t="s">
        <v>6675</v>
      </c>
      <c r="N1320" s="820">
        <v>45943.0</v>
      </c>
      <c r="O1320" s="823"/>
    </row>
    <row r="1321" ht="15.0" customHeight="1">
      <c r="A1321" s="789">
        <v>45946.0</v>
      </c>
      <c r="B1321" s="790" t="s">
        <v>13263</v>
      </c>
      <c r="C1321" s="791" t="s">
        <v>13022</v>
      </c>
      <c r="D1321" s="791" t="s">
        <v>8788</v>
      </c>
      <c r="E1321" s="792" t="str">
        <f>IFERROR(VLOOKUP(D1321,Stock,3,FALSE),"")</f>
        <v>Toyota Hilux Pickup 05-15 Single Cabin (Toyota)</v>
      </c>
      <c r="F1321" s="791">
        <v>1.0</v>
      </c>
      <c r="G1321" s="842">
        <v>472500.0</v>
      </c>
      <c r="H1321" s="811">
        <f t="shared" si="72"/>
        <v>472500</v>
      </c>
      <c r="I1321" s="809"/>
      <c r="J1321" s="819"/>
      <c r="K1321" s="799" t="s">
        <v>4262</v>
      </c>
      <c r="L1321" s="818" t="s">
        <v>12235</v>
      </c>
      <c r="M1321" s="818" t="s">
        <v>6675</v>
      </c>
      <c r="N1321" s="820">
        <v>45946.0</v>
      </c>
      <c r="O1321" s="823"/>
    </row>
    <row r="1322" ht="15.0" customHeight="1">
      <c r="A1322" s="789">
        <v>45946.0</v>
      </c>
      <c r="B1322" s="790" t="s">
        <v>13264</v>
      </c>
      <c r="C1322" s="791" t="s">
        <v>12932</v>
      </c>
      <c r="D1322" s="791" t="s">
        <v>2842</v>
      </c>
      <c r="E1322" s="792" t="str">
        <f>IFERROR(VLOOKUP(D1322,Stock,3,FALSE),"")</f>
        <v>Toyota Avanza / Xenia 11-15 2nd Gen / 15-21 3rd Gen</v>
      </c>
      <c r="F1322" s="791">
        <v>5.0</v>
      </c>
      <c r="G1322" s="842">
        <v>117300.1</v>
      </c>
      <c r="H1322" s="811">
        <f t="shared" si="72"/>
        <v>586500.5</v>
      </c>
      <c r="I1322" s="809">
        <f>H1322</f>
        <v>586500.5</v>
      </c>
      <c r="J1322" s="872">
        <v>46007.0</v>
      </c>
      <c r="K1322" s="799" t="s">
        <v>4262</v>
      </c>
      <c r="L1322" s="818" t="s">
        <v>12235</v>
      </c>
      <c r="M1322" s="818" t="s">
        <v>6675</v>
      </c>
      <c r="N1322" s="839">
        <v>45966.0</v>
      </c>
      <c r="O1322" s="823"/>
    </row>
    <row r="1323" ht="15.0" customHeight="1">
      <c r="A1323" s="789">
        <v>45947.0</v>
      </c>
      <c r="B1323" s="790" t="s">
        <v>13265</v>
      </c>
      <c r="C1323" s="791" t="s">
        <v>13266</v>
      </c>
      <c r="D1323" s="791" t="s">
        <v>5936</v>
      </c>
      <c r="E1323" s="792" t="str">
        <f>IFERROR(VLOOKUP(D1323,Stock,3,FALSE),"")</f>
        <v>Mitsubishi Xpander 17- / Livina 19- 2nd Gen (Mitsubishi)</v>
      </c>
      <c r="F1323" s="791">
        <v>2.0</v>
      </c>
      <c r="G1323" s="842">
        <v>1550000.0</v>
      </c>
      <c r="H1323" s="811">
        <f t="shared" si="72"/>
        <v>3100000</v>
      </c>
      <c r="I1323" s="809"/>
      <c r="J1323" s="819"/>
      <c r="K1323" s="799" t="s">
        <v>4262</v>
      </c>
      <c r="L1323" s="818" t="s">
        <v>12235</v>
      </c>
      <c r="M1323" s="818" t="s">
        <v>6675</v>
      </c>
      <c r="N1323" s="820">
        <v>45947.0</v>
      </c>
      <c r="O1323" s="823"/>
    </row>
    <row r="1324" ht="15.0" customHeight="1">
      <c r="A1324" s="789">
        <v>45945.0</v>
      </c>
      <c r="B1324" s="790">
        <v>2510485.0</v>
      </c>
      <c r="C1324" s="791" t="s">
        <v>11484</v>
      </c>
      <c r="D1324" s="791" t="s">
        <v>3582</v>
      </c>
      <c r="E1324" s="792" t="str">
        <f>IFERROR(VLOOKUP(D1324,Stock,3,FALSE),"")</f>
        <v>Honda CR-V 12-16 4th Gen</v>
      </c>
      <c r="F1324" s="791">
        <v>1.0</v>
      </c>
      <c r="G1324" s="842">
        <v>879450.0</v>
      </c>
      <c r="H1324" s="811">
        <f t="shared" si="72"/>
        <v>879450</v>
      </c>
      <c r="I1324" s="809">
        <f t="shared" ref="I1324:I1340" si="80">H1324</f>
        <v>879450</v>
      </c>
      <c r="J1324" s="872">
        <v>46006.0</v>
      </c>
      <c r="K1324" s="799" t="s">
        <v>4262</v>
      </c>
      <c r="L1324" s="818" t="s">
        <v>12235</v>
      </c>
      <c r="M1324" s="818" t="s">
        <v>6675</v>
      </c>
      <c r="N1324" s="839">
        <v>45993.0</v>
      </c>
      <c r="O1324" s="823"/>
    </row>
    <row r="1325" ht="15.0" customHeight="1">
      <c r="A1325" s="789">
        <v>45945.0</v>
      </c>
      <c r="B1325" s="790">
        <v>2510485.0</v>
      </c>
      <c r="C1325" s="791" t="s">
        <v>11484</v>
      </c>
      <c r="D1325" s="791" t="s">
        <v>3837</v>
      </c>
      <c r="E1325" s="792" t="str">
        <f>IFERROR(VLOOKUP(D1325,Stock,3,FALSE),"")</f>
        <v>Toyota Yaris 13- 2nd Gen / Vios 14- 3rd Gen</v>
      </c>
      <c r="F1325" s="791">
        <v>1.0</v>
      </c>
      <c r="G1325" s="842">
        <v>725450.0</v>
      </c>
      <c r="H1325" s="811">
        <f t="shared" si="72"/>
        <v>725450</v>
      </c>
      <c r="I1325" s="809">
        <f t="shared" si="80"/>
        <v>725450</v>
      </c>
      <c r="J1325" s="872">
        <v>46006.0</v>
      </c>
      <c r="K1325" s="799" t="s">
        <v>4262</v>
      </c>
      <c r="L1325" s="818" t="s">
        <v>12235</v>
      </c>
      <c r="M1325" s="818" t="s">
        <v>6675</v>
      </c>
      <c r="N1325" s="839">
        <v>45993.0</v>
      </c>
      <c r="O1325" s="823"/>
    </row>
    <row r="1326" ht="15.0" customHeight="1">
      <c r="A1326" s="789">
        <v>45945.0</v>
      </c>
      <c r="B1326" s="790">
        <v>2510485.0</v>
      </c>
      <c r="C1326" s="791" t="s">
        <v>11484</v>
      </c>
      <c r="D1326" s="791" t="s">
        <v>4988</v>
      </c>
      <c r="E1326" s="792" t="str">
        <f>IFERROR(VLOOKUP(D1326,Stock,3,FALSE),"")</f>
        <v>Toyota Innova 15- 2nd Gen</v>
      </c>
      <c r="F1326" s="791">
        <v>1.0</v>
      </c>
      <c r="G1326" s="842">
        <v>750200.0</v>
      </c>
      <c r="H1326" s="811">
        <f t="shared" si="72"/>
        <v>750200</v>
      </c>
      <c r="I1326" s="809">
        <f t="shared" si="80"/>
        <v>750200</v>
      </c>
      <c r="J1326" s="872">
        <v>46006.0</v>
      </c>
      <c r="K1326" s="799" t="s">
        <v>4262</v>
      </c>
      <c r="L1326" s="818" t="s">
        <v>12235</v>
      </c>
      <c r="M1326" s="818" t="s">
        <v>6675</v>
      </c>
      <c r="N1326" s="839">
        <v>45993.0</v>
      </c>
      <c r="O1326" s="823"/>
    </row>
    <row r="1327" ht="15.0" customHeight="1">
      <c r="A1327" s="789">
        <v>45945.0</v>
      </c>
      <c r="B1327" s="790">
        <v>2510485.0</v>
      </c>
      <c r="C1327" s="791" t="s">
        <v>11484</v>
      </c>
      <c r="D1327" s="791" t="s">
        <v>3451</v>
      </c>
      <c r="E1327" s="792" t="str">
        <f>IFERROR(VLOOKUP(D1327,Stock,3,FALSE),"")</f>
        <v>Toyota Rush / Terios 18-</v>
      </c>
      <c r="F1327" s="791">
        <v>2.0</v>
      </c>
      <c r="G1327" s="842">
        <v>528000.0</v>
      </c>
      <c r="H1327" s="811">
        <f t="shared" si="72"/>
        <v>1056000</v>
      </c>
      <c r="I1327" s="809">
        <f t="shared" si="80"/>
        <v>1056000</v>
      </c>
      <c r="J1327" s="872">
        <v>46006.0</v>
      </c>
      <c r="K1327" s="799" t="s">
        <v>4262</v>
      </c>
      <c r="L1327" s="818" t="s">
        <v>12235</v>
      </c>
      <c r="M1327" s="818" t="s">
        <v>6675</v>
      </c>
      <c r="N1327" s="839">
        <v>45993.0</v>
      </c>
      <c r="O1327" s="823"/>
    </row>
    <row r="1328" ht="15.0" customHeight="1">
      <c r="A1328" s="789">
        <v>45945.0</v>
      </c>
      <c r="B1328" s="790">
        <v>2510485.0</v>
      </c>
      <c r="C1328" s="791" t="s">
        <v>11484</v>
      </c>
      <c r="D1328" s="791" t="s">
        <v>13267</v>
      </c>
      <c r="E1328" s="792" t="str">
        <f>IFERROR(VLOOKUP(D1328,Stock,3,FALSE),"")</f>
        <v>Ford Fiesta 09-17</v>
      </c>
      <c r="F1328" s="791">
        <v>1.0</v>
      </c>
      <c r="G1328" s="842">
        <v>699600.0</v>
      </c>
      <c r="H1328" s="811">
        <f t="shared" si="72"/>
        <v>699600</v>
      </c>
      <c r="I1328" s="809">
        <f t="shared" si="80"/>
        <v>699600</v>
      </c>
      <c r="J1328" s="872">
        <v>46006.0</v>
      </c>
      <c r="K1328" s="799" t="s">
        <v>4262</v>
      </c>
      <c r="L1328" s="818" t="s">
        <v>12235</v>
      </c>
      <c r="M1328" s="818" t="s">
        <v>6675</v>
      </c>
      <c r="N1328" s="839">
        <v>45993.0</v>
      </c>
      <c r="O1328" s="823"/>
    </row>
    <row r="1329" ht="15.0" customHeight="1">
      <c r="A1329" s="789">
        <v>45945.0</v>
      </c>
      <c r="B1329" s="790">
        <v>2510485.0</v>
      </c>
      <c r="C1329" s="791" t="s">
        <v>11484</v>
      </c>
      <c r="D1329" s="791" t="s">
        <v>2738</v>
      </c>
      <c r="E1329" s="792" t="str">
        <f>IFERROR(VLOOKUP(D1329,Stock,3,FALSE),"")</f>
        <v>Toyota Alphard 08-15 ANH20 2nd Gen (Hitam)</v>
      </c>
      <c r="F1329" s="791">
        <v>1.0</v>
      </c>
      <c r="G1329" s="842">
        <v>1399200.0</v>
      </c>
      <c r="H1329" s="811">
        <f t="shared" si="72"/>
        <v>1399200</v>
      </c>
      <c r="I1329" s="809">
        <f t="shared" si="80"/>
        <v>1399200</v>
      </c>
      <c r="J1329" s="872">
        <v>46006.0</v>
      </c>
      <c r="K1329" s="799" t="s">
        <v>4262</v>
      </c>
      <c r="L1329" s="818" t="s">
        <v>12235</v>
      </c>
      <c r="M1329" s="818" t="s">
        <v>6675</v>
      </c>
      <c r="N1329" s="839">
        <v>45993.0</v>
      </c>
      <c r="O1329" s="823"/>
    </row>
    <row r="1330" ht="15.0" customHeight="1">
      <c r="A1330" s="789">
        <v>45945.0</v>
      </c>
      <c r="B1330" s="790">
        <v>2510485.0</v>
      </c>
      <c r="C1330" s="791" t="s">
        <v>11484</v>
      </c>
      <c r="D1330" s="791" t="s">
        <v>3186</v>
      </c>
      <c r="E1330" s="792" t="str">
        <f>IFERROR(VLOOKUP(D1330,Stock,3,FALSE),"")</f>
        <v>Daihatsu Gran Max / Luxio 07-</v>
      </c>
      <c r="F1330" s="791">
        <v>2.0</v>
      </c>
      <c r="G1330" s="842">
        <v>470250.0</v>
      </c>
      <c r="H1330" s="811">
        <f t="shared" si="72"/>
        <v>940500</v>
      </c>
      <c r="I1330" s="809">
        <f t="shared" si="80"/>
        <v>940500</v>
      </c>
      <c r="J1330" s="872">
        <v>46006.0</v>
      </c>
      <c r="K1330" s="799" t="s">
        <v>4262</v>
      </c>
      <c r="L1330" s="818" t="s">
        <v>12235</v>
      </c>
      <c r="M1330" s="818" t="s">
        <v>6675</v>
      </c>
      <c r="N1330" s="839">
        <v>45993.0</v>
      </c>
      <c r="O1330" s="823"/>
    </row>
    <row r="1331" ht="15.0" customHeight="1">
      <c r="A1331" s="789">
        <v>45947.0</v>
      </c>
      <c r="B1331" s="790">
        <v>2510557.0</v>
      </c>
      <c r="C1331" s="791" t="s">
        <v>11484</v>
      </c>
      <c r="D1331" s="791" t="s">
        <v>2721</v>
      </c>
      <c r="E1331" s="792" t="str">
        <f>IFERROR(VLOOKUP(D1331,Stock,3,FALSE),"")</f>
        <v>Toyota Dyna/Hino Dutro 00-</v>
      </c>
      <c r="F1331" s="791">
        <v>1.0</v>
      </c>
      <c r="G1331" s="842">
        <v>522500.0</v>
      </c>
      <c r="H1331" s="811">
        <f t="shared" si="72"/>
        <v>522500</v>
      </c>
      <c r="I1331" s="809">
        <f t="shared" si="80"/>
        <v>522500</v>
      </c>
      <c r="J1331" s="872">
        <v>46008.0</v>
      </c>
      <c r="K1331" s="799" t="s">
        <v>4262</v>
      </c>
      <c r="L1331" s="818" t="s">
        <v>12235</v>
      </c>
      <c r="M1331" s="818" t="s">
        <v>6675</v>
      </c>
      <c r="N1331" s="820">
        <v>46008.0</v>
      </c>
      <c r="O1331" s="823"/>
    </row>
    <row r="1332" ht="15.0" customHeight="1">
      <c r="A1332" s="789">
        <v>45947.0</v>
      </c>
      <c r="B1332" s="790">
        <v>2510557.0</v>
      </c>
      <c r="C1332" s="791" t="s">
        <v>11484</v>
      </c>
      <c r="D1332" s="791" t="s">
        <v>2775</v>
      </c>
      <c r="E1332" s="792" t="str">
        <f>IFERROR(VLOOKUP(D1332,Stock,3,FALSE),"")</f>
        <v>Hino Ranger Louhan 03- / Hino 500</v>
      </c>
      <c r="F1332" s="791">
        <v>1.0</v>
      </c>
      <c r="G1332" s="842">
        <v>864050.0</v>
      </c>
      <c r="H1332" s="811">
        <f t="shared" si="72"/>
        <v>864050</v>
      </c>
      <c r="I1332" s="809">
        <f t="shared" si="80"/>
        <v>864050</v>
      </c>
      <c r="J1332" s="872">
        <v>46008.0</v>
      </c>
      <c r="K1332" s="799" t="s">
        <v>4262</v>
      </c>
      <c r="L1332" s="818" t="s">
        <v>12235</v>
      </c>
      <c r="M1332" s="818" t="s">
        <v>6675</v>
      </c>
      <c r="N1332" s="820">
        <v>46008.0</v>
      </c>
      <c r="O1332" s="823"/>
    </row>
    <row r="1333" ht="15.0" customHeight="1">
      <c r="A1333" s="789">
        <v>45947.0</v>
      </c>
      <c r="B1333" s="790">
        <v>2510585.0</v>
      </c>
      <c r="C1333" s="791" t="s">
        <v>11484</v>
      </c>
      <c r="D1333" s="791" t="s">
        <v>3235</v>
      </c>
      <c r="E1333" s="792" t="str">
        <f>IFERROR(VLOOKUP(D1333,Stock,3,FALSE),"")</f>
        <v>Toyota Vios 02-07 XP40 1st Gen</v>
      </c>
      <c r="F1333" s="791">
        <v>1.0</v>
      </c>
      <c r="G1333" s="842">
        <v>607750.0</v>
      </c>
      <c r="H1333" s="811">
        <f t="shared" si="72"/>
        <v>607750</v>
      </c>
      <c r="I1333" s="809">
        <f t="shared" si="80"/>
        <v>607750</v>
      </c>
      <c r="J1333" s="872">
        <v>46008.0</v>
      </c>
      <c r="K1333" s="799" t="s">
        <v>4262</v>
      </c>
      <c r="L1333" s="818" t="s">
        <v>12235</v>
      </c>
      <c r="M1333" s="818" t="s">
        <v>6675</v>
      </c>
      <c r="N1333" s="820">
        <v>46008.0</v>
      </c>
      <c r="O1333" s="823"/>
    </row>
    <row r="1334" ht="15.0" customHeight="1">
      <c r="A1334" s="789">
        <v>45950.0</v>
      </c>
      <c r="B1334" s="790">
        <v>2510619.0</v>
      </c>
      <c r="C1334" s="791" t="s">
        <v>11484</v>
      </c>
      <c r="D1334" s="791" t="s">
        <v>3411</v>
      </c>
      <c r="E1334" s="792" t="str">
        <f>IFERROR(VLOOKUP(D1334,Stock,3,FALSE),"")</f>
        <v>Toyota Agya/Ayla 13-22 1st Gen</v>
      </c>
      <c r="F1334" s="791">
        <v>4.0</v>
      </c>
      <c r="G1334" s="842">
        <v>385000.0</v>
      </c>
      <c r="H1334" s="811">
        <f t="shared" si="72"/>
        <v>1540000</v>
      </c>
      <c r="I1334" s="809">
        <f t="shared" si="80"/>
        <v>1540000</v>
      </c>
      <c r="J1334" s="872">
        <v>46011.0</v>
      </c>
      <c r="K1334" s="799" t="s">
        <v>4262</v>
      </c>
      <c r="L1334" s="818" t="s">
        <v>12235</v>
      </c>
      <c r="M1334" s="818" t="s">
        <v>6675</v>
      </c>
      <c r="N1334" s="820">
        <v>46008.0</v>
      </c>
      <c r="O1334" s="823"/>
    </row>
    <row r="1335" ht="15.0" customHeight="1">
      <c r="A1335" s="789">
        <v>45950.0</v>
      </c>
      <c r="B1335" s="790">
        <v>2510619.0</v>
      </c>
      <c r="C1335" s="791" t="s">
        <v>11484</v>
      </c>
      <c r="D1335" s="791" t="s">
        <v>6742</v>
      </c>
      <c r="E1335" s="792" t="str">
        <f>IFERROR(VLOOKUP(D1335,Stock,3,FALSE),"")</f>
        <v>Suzuki Wagon R 12-</v>
      </c>
      <c r="F1335" s="791">
        <v>2.0</v>
      </c>
      <c r="G1335" s="842">
        <v>356400.0</v>
      </c>
      <c r="H1335" s="811">
        <f t="shared" si="72"/>
        <v>712800</v>
      </c>
      <c r="I1335" s="809">
        <f t="shared" si="80"/>
        <v>712800</v>
      </c>
      <c r="J1335" s="872">
        <v>46011.0</v>
      </c>
      <c r="K1335" s="799" t="s">
        <v>4262</v>
      </c>
      <c r="L1335" s="818" t="s">
        <v>12235</v>
      </c>
      <c r="M1335" s="818" t="s">
        <v>6675</v>
      </c>
      <c r="N1335" s="820">
        <v>46008.0</v>
      </c>
      <c r="O1335" s="823"/>
    </row>
    <row r="1336" ht="15.0" customHeight="1">
      <c r="A1336" s="789">
        <v>45952.0</v>
      </c>
      <c r="B1336" s="790">
        <v>2510722.0</v>
      </c>
      <c r="C1336" s="791" t="s">
        <v>11484</v>
      </c>
      <c r="D1336" s="791" t="s">
        <v>3795</v>
      </c>
      <c r="E1336" s="792" t="str">
        <f>IFERROR(VLOOKUP(D1336,Stock,3,FALSE),"")</f>
        <v>Toyota Innova 04-15 1st Gen</v>
      </c>
      <c r="F1336" s="791">
        <v>2.0</v>
      </c>
      <c r="G1336" s="842">
        <v>562100.0</v>
      </c>
      <c r="H1336" s="811">
        <f t="shared" si="72"/>
        <v>1124200</v>
      </c>
      <c r="I1336" s="809">
        <f t="shared" si="80"/>
        <v>1124200</v>
      </c>
      <c r="J1336" s="872">
        <v>46013.0</v>
      </c>
      <c r="K1336" s="799" t="s">
        <v>4262</v>
      </c>
      <c r="L1336" s="818" t="s">
        <v>12235</v>
      </c>
      <c r="M1336" s="818" t="s">
        <v>6675</v>
      </c>
      <c r="N1336" s="820">
        <v>46008.0</v>
      </c>
      <c r="O1336" s="823"/>
    </row>
    <row r="1337" ht="15.0" customHeight="1">
      <c r="A1337" s="789">
        <v>45951.0</v>
      </c>
      <c r="B1337" s="790">
        <v>2510689.0</v>
      </c>
      <c r="C1337" s="791" t="s">
        <v>11484</v>
      </c>
      <c r="D1337" s="791" t="s">
        <v>9582</v>
      </c>
      <c r="E1337" s="792" t="str">
        <f>IFERROR(VLOOKUP(D1337,Stock,3,FALSE),"")</f>
        <v>Toyota Alphard 18- ANH30 3rd Gen (with Camera)</v>
      </c>
      <c r="F1337" s="791">
        <v>1.0</v>
      </c>
      <c r="G1337" s="842">
        <v>1618650.0</v>
      </c>
      <c r="H1337" s="811">
        <f t="shared" si="72"/>
        <v>1618650</v>
      </c>
      <c r="I1337" s="809">
        <f t="shared" si="80"/>
        <v>1618650</v>
      </c>
      <c r="J1337" s="872">
        <v>46012.0</v>
      </c>
      <c r="K1337" s="799" t="s">
        <v>4262</v>
      </c>
      <c r="L1337" s="818" t="s">
        <v>12235</v>
      </c>
      <c r="M1337" s="818" t="s">
        <v>6675</v>
      </c>
      <c r="N1337" s="820">
        <v>46008.0</v>
      </c>
      <c r="O1337" s="823"/>
    </row>
    <row r="1338" ht="15.0" customHeight="1">
      <c r="A1338" s="789">
        <v>45951.0</v>
      </c>
      <c r="B1338" s="790">
        <v>2510689.0</v>
      </c>
      <c r="C1338" s="791" t="s">
        <v>11484</v>
      </c>
      <c r="D1338" s="791" t="s">
        <v>2740</v>
      </c>
      <c r="E1338" s="792" t="str">
        <f>IFERROR(VLOOKUP(D1338,Stock,3,FALSE),"")</f>
        <v>Toyota Alphard 15-17 ANH30 3rd Gen (Hitam)</v>
      </c>
      <c r="F1338" s="791">
        <v>1.0</v>
      </c>
      <c r="G1338" s="842">
        <v>1413500.0</v>
      </c>
      <c r="H1338" s="811">
        <f t="shared" si="72"/>
        <v>1413500</v>
      </c>
      <c r="I1338" s="809">
        <f t="shared" si="80"/>
        <v>1413500</v>
      </c>
      <c r="J1338" s="872">
        <v>46012.0</v>
      </c>
      <c r="K1338" s="799" t="s">
        <v>4262</v>
      </c>
      <c r="L1338" s="818" t="s">
        <v>12235</v>
      </c>
      <c r="M1338" s="818" t="s">
        <v>6675</v>
      </c>
      <c r="N1338" s="820">
        <v>46008.0</v>
      </c>
      <c r="O1338" s="823"/>
    </row>
    <row r="1339" ht="15.0" customHeight="1">
      <c r="A1339" s="789">
        <v>45951.0</v>
      </c>
      <c r="B1339" s="790">
        <v>2510689.0</v>
      </c>
      <c r="C1339" s="791" t="s">
        <v>11484</v>
      </c>
      <c r="D1339" s="791" t="s">
        <v>6756</v>
      </c>
      <c r="E1339" s="792" t="str">
        <f>IFERROR(VLOOKUP(D1339,Stock,3,FALSE),"")</f>
        <v>Toyota Raize / Daihatsu Rocky 20-</v>
      </c>
      <c r="F1339" s="791">
        <v>1.0</v>
      </c>
      <c r="G1339" s="842">
        <v>659450.0</v>
      </c>
      <c r="H1339" s="811">
        <f t="shared" si="72"/>
        <v>659450</v>
      </c>
      <c r="I1339" s="809">
        <f t="shared" si="80"/>
        <v>659450</v>
      </c>
      <c r="J1339" s="872">
        <v>46012.0</v>
      </c>
      <c r="K1339" s="799" t="s">
        <v>4262</v>
      </c>
      <c r="L1339" s="818" t="s">
        <v>12235</v>
      </c>
      <c r="M1339" s="818" t="s">
        <v>6675</v>
      </c>
      <c r="N1339" s="820">
        <v>46008.0</v>
      </c>
      <c r="O1339" s="823"/>
    </row>
    <row r="1340" ht="15.0" customHeight="1">
      <c r="A1340" s="789">
        <v>45952.0</v>
      </c>
      <c r="B1340" s="790" t="s">
        <v>13268</v>
      </c>
      <c r="C1340" s="791" t="s">
        <v>3091</v>
      </c>
      <c r="D1340" s="791" t="s">
        <v>9589</v>
      </c>
      <c r="E1340" s="792" t="str">
        <f>IFERROR(VLOOKUP(D1340,Stock,3,FALSE),"")</f>
        <v>Honda Civic 05-11 8th Gen (Civic Batman FD) (Honda)</v>
      </c>
      <c r="F1340" s="791">
        <v>2.0</v>
      </c>
      <c r="G1340" s="842">
        <v>1050000.0</v>
      </c>
      <c r="H1340" s="811">
        <f t="shared" si="72"/>
        <v>2100000</v>
      </c>
      <c r="I1340" s="809">
        <f t="shared" si="80"/>
        <v>2100000</v>
      </c>
      <c r="J1340" s="872">
        <v>46015.0</v>
      </c>
      <c r="K1340" s="799" t="s">
        <v>4262</v>
      </c>
      <c r="L1340" s="818" t="s">
        <v>12235</v>
      </c>
      <c r="M1340" s="818" t="s">
        <v>6675</v>
      </c>
      <c r="N1340" s="820">
        <v>46013.0</v>
      </c>
      <c r="O1340" s="823"/>
    </row>
    <row r="1341" ht="15.0" customHeight="1">
      <c r="A1341" s="789">
        <v>45953.0</v>
      </c>
      <c r="B1341" s="790" t="s">
        <v>13269</v>
      </c>
      <c r="C1341" s="791" t="s">
        <v>12992</v>
      </c>
      <c r="D1341" s="791" t="s">
        <v>9614</v>
      </c>
      <c r="E1341" s="792" t="str">
        <f>IFERROR(VLOOKUP(D1341,Stock,3,FALSE),"")</f>
        <v>Nissan Quester / Cw445 Quon 05-</v>
      </c>
      <c r="F1341" s="791">
        <v>1.0</v>
      </c>
      <c r="G1341" s="842">
        <v>1900000.0</v>
      </c>
      <c r="H1341" s="811">
        <f t="shared" si="72"/>
        <v>1900000</v>
      </c>
      <c r="I1341" s="809"/>
      <c r="J1341" s="819"/>
      <c r="K1341" s="799" t="s">
        <v>4262</v>
      </c>
      <c r="L1341" s="818" t="s">
        <v>12235</v>
      </c>
      <c r="M1341" s="818" t="s">
        <v>6675</v>
      </c>
      <c r="N1341" s="820">
        <v>45953.0</v>
      </c>
      <c r="O1341" s="823"/>
    </row>
    <row r="1342" ht="15.0" customHeight="1">
      <c r="A1342" s="789">
        <v>45953.0</v>
      </c>
      <c r="B1342" s="790" t="s">
        <v>13270</v>
      </c>
      <c r="C1342" s="791" t="s">
        <v>12963</v>
      </c>
      <c r="D1342" s="791" t="s">
        <v>9623</v>
      </c>
      <c r="E1342" s="792" t="str">
        <f>IFERROR(VLOOKUP(D1342,Stock,3,FALSE),"")</f>
        <v>Suzuki Swift 04-11 1st Gen</v>
      </c>
      <c r="F1342" s="791">
        <v>1.0</v>
      </c>
      <c r="G1342" s="842">
        <v>650000.0</v>
      </c>
      <c r="H1342" s="811">
        <f t="shared" si="72"/>
        <v>650000</v>
      </c>
      <c r="I1342" s="809"/>
      <c r="J1342" s="819"/>
      <c r="K1342" s="799" t="s">
        <v>4262</v>
      </c>
      <c r="L1342" s="818" t="s">
        <v>12235</v>
      </c>
      <c r="M1342" s="818" t="s">
        <v>6675</v>
      </c>
      <c r="N1342" s="820">
        <v>45953.0</v>
      </c>
      <c r="O1342" s="823"/>
    </row>
    <row r="1343" ht="15.0" customHeight="1">
      <c r="A1343" s="789">
        <v>45954.0</v>
      </c>
      <c r="B1343" s="790" t="s">
        <v>13271</v>
      </c>
      <c r="C1343" s="791" t="s">
        <v>12932</v>
      </c>
      <c r="D1343" s="791" t="s">
        <v>2661</v>
      </c>
      <c r="E1343" s="792" t="str">
        <f>IFERROR(VLOOKUP(D1343,Stock,3,FALSE),"")</f>
        <v>Isuzu Panther 00- 2nd Gen (Isuzu)</v>
      </c>
      <c r="F1343" s="791">
        <v>5.0</v>
      </c>
      <c r="G1343" s="842">
        <v>600949.3</v>
      </c>
      <c r="H1343" s="811">
        <f t="shared" si="72"/>
        <v>3004746.5</v>
      </c>
      <c r="I1343" s="809">
        <f t="shared" ref="I1343:I1352" si="81">H1343</f>
        <v>3004746.5</v>
      </c>
      <c r="J1343" s="872">
        <v>46015.0</v>
      </c>
      <c r="K1343" s="799" t="s">
        <v>4262</v>
      </c>
      <c r="L1343" s="818" t="s">
        <v>12235</v>
      </c>
      <c r="M1343" s="818" t="s">
        <v>6675</v>
      </c>
      <c r="N1343" s="820">
        <v>45986.0</v>
      </c>
      <c r="O1343" s="823"/>
    </row>
    <row r="1344" ht="15.0" customHeight="1">
      <c r="A1344" s="789">
        <v>45954.0</v>
      </c>
      <c r="B1344" s="790">
        <v>2510813.0</v>
      </c>
      <c r="C1344" s="791" t="s">
        <v>11484</v>
      </c>
      <c r="D1344" s="791" t="s">
        <v>2669</v>
      </c>
      <c r="E1344" s="792" t="str">
        <f>IFERROR(VLOOKUP(D1344,Stock,3,FALSE),"")</f>
        <v>Nissan Livina 07-18 L10/L11</v>
      </c>
      <c r="F1344" s="791">
        <v>2.0</v>
      </c>
      <c r="G1344" s="842">
        <v>600600.0</v>
      </c>
      <c r="H1344" s="811">
        <f t="shared" si="72"/>
        <v>1201200</v>
      </c>
      <c r="I1344" s="809">
        <f t="shared" si="81"/>
        <v>1201200</v>
      </c>
      <c r="J1344" s="872">
        <v>46015.0</v>
      </c>
      <c r="K1344" s="799" t="s">
        <v>4262</v>
      </c>
      <c r="L1344" s="818" t="s">
        <v>12235</v>
      </c>
      <c r="M1344" s="818" t="s">
        <v>6675</v>
      </c>
      <c r="N1344" s="820">
        <v>46008.0</v>
      </c>
      <c r="O1344" s="823"/>
    </row>
    <row r="1345" ht="15.0" customHeight="1">
      <c r="A1345" s="789">
        <v>45954.0</v>
      </c>
      <c r="B1345" s="790">
        <v>2510813.0</v>
      </c>
      <c r="C1345" s="791" t="s">
        <v>11484</v>
      </c>
      <c r="D1345" s="791" t="s">
        <v>3493</v>
      </c>
      <c r="E1345" s="792" t="str">
        <f>IFERROR(VLOOKUP(D1345,Stock,3,FALSE),"")</f>
        <v>Nissan Livina 07-18 L10/L11</v>
      </c>
      <c r="F1345" s="791">
        <v>1.0</v>
      </c>
      <c r="G1345" s="842">
        <v>600600.0</v>
      </c>
      <c r="H1345" s="811">
        <f t="shared" si="72"/>
        <v>600600</v>
      </c>
      <c r="I1345" s="809">
        <f t="shared" si="81"/>
        <v>600600</v>
      </c>
      <c r="J1345" s="872">
        <v>46015.0</v>
      </c>
      <c r="K1345" s="799" t="s">
        <v>4262</v>
      </c>
      <c r="L1345" s="818" t="s">
        <v>12235</v>
      </c>
      <c r="M1345" s="818" t="s">
        <v>6675</v>
      </c>
      <c r="N1345" s="820">
        <v>46008.0</v>
      </c>
      <c r="O1345" s="823"/>
    </row>
    <row r="1346" ht="15.0" customHeight="1">
      <c r="A1346" s="789">
        <v>45954.0</v>
      </c>
      <c r="B1346" s="790">
        <v>2510813.0</v>
      </c>
      <c r="C1346" s="791" t="s">
        <v>11484</v>
      </c>
      <c r="D1346" s="791" t="s">
        <v>3099</v>
      </c>
      <c r="E1346" s="792" t="str">
        <f>IFERROR(VLOOKUP(D1346,Stock,3,FALSE),"")</f>
        <v>Toyota Calya / Sigra 16-</v>
      </c>
      <c r="F1346" s="791">
        <v>3.0</v>
      </c>
      <c r="G1346" s="842">
        <v>505450.0</v>
      </c>
      <c r="H1346" s="811">
        <f t="shared" si="72"/>
        <v>1516350</v>
      </c>
      <c r="I1346" s="809">
        <f t="shared" si="81"/>
        <v>1516350</v>
      </c>
      <c r="J1346" s="872">
        <v>46015.0</v>
      </c>
      <c r="K1346" s="799" t="s">
        <v>4262</v>
      </c>
      <c r="L1346" s="818" t="s">
        <v>12235</v>
      </c>
      <c r="M1346" s="818" t="s">
        <v>6675</v>
      </c>
      <c r="N1346" s="820">
        <v>46008.0</v>
      </c>
      <c r="O1346" s="823"/>
    </row>
    <row r="1347" ht="15.0" customHeight="1">
      <c r="A1347" s="789">
        <v>45954.0</v>
      </c>
      <c r="B1347" s="790">
        <v>2510813.0</v>
      </c>
      <c r="C1347" s="791" t="s">
        <v>11484</v>
      </c>
      <c r="D1347" s="791" t="s">
        <v>6756</v>
      </c>
      <c r="E1347" s="792" t="str">
        <f>IFERROR(VLOOKUP(D1347,Stock,3,FALSE),"")</f>
        <v>Toyota Raize / Daihatsu Rocky 20-</v>
      </c>
      <c r="F1347" s="791">
        <v>1.0</v>
      </c>
      <c r="G1347" s="842">
        <v>659450.0</v>
      </c>
      <c r="H1347" s="811">
        <f t="shared" si="72"/>
        <v>659450</v>
      </c>
      <c r="I1347" s="809">
        <f t="shared" si="81"/>
        <v>659450</v>
      </c>
      <c r="J1347" s="872">
        <v>46015.0</v>
      </c>
      <c r="K1347" s="799" t="s">
        <v>4262</v>
      </c>
      <c r="L1347" s="818" t="s">
        <v>12235</v>
      </c>
      <c r="M1347" s="818" t="s">
        <v>6675</v>
      </c>
      <c r="N1347" s="820">
        <v>46008.0</v>
      </c>
      <c r="O1347" s="823"/>
    </row>
    <row r="1348" ht="15.0" customHeight="1">
      <c r="A1348" s="789">
        <v>45957.0</v>
      </c>
      <c r="B1348" s="790">
        <v>2510858.0</v>
      </c>
      <c r="C1348" s="791" t="s">
        <v>11484</v>
      </c>
      <c r="D1348" s="791" t="s">
        <v>2734</v>
      </c>
      <c r="E1348" s="792" t="str">
        <f>IFERROR(VLOOKUP(D1348,Stock,3,FALSE),"")</f>
        <v>Honda Jazz 07-13 2nd Gen</v>
      </c>
      <c r="F1348" s="791">
        <v>2.0</v>
      </c>
      <c r="G1348" s="842">
        <v>779900.0</v>
      </c>
      <c r="H1348" s="811">
        <f t="shared" si="72"/>
        <v>1559800</v>
      </c>
      <c r="I1348" s="809">
        <f t="shared" si="81"/>
        <v>1559800</v>
      </c>
      <c r="J1348" s="872">
        <v>46018.0</v>
      </c>
      <c r="K1348" s="799" t="s">
        <v>4262</v>
      </c>
      <c r="L1348" s="818" t="s">
        <v>12235</v>
      </c>
      <c r="M1348" s="818" t="s">
        <v>6675</v>
      </c>
      <c r="N1348" s="820">
        <v>46008.0</v>
      </c>
      <c r="O1348" s="823"/>
    </row>
    <row r="1349" ht="15.0" customHeight="1">
      <c r="A1349" s="789">
        <v>45957.0</v>
      </c>
      <c r="B1349" s="790">
        <v>2510858.0</v>
      </c>
      <c r="C1349" s="791" t="s">
        <v>11484</v>
      </c>
      <c r="D1349" s="791" t="s">
        <v>3186</v>
      </c>
      <c r="E1349" s="792" t="str">
        <f>IFERROR(VLOOKUP(D1349,Stock,3,FALSE),"")</f>
        <v>Daihatsu Gran Max / Luxio 07-</v>
      </c>
      <c r="F1349" s="791">
        <v>2.0</v>
      </c>
      <c r="G1349" s="842">
        <v>470250.0</v>
      </c>
      <c r="H1349" s="811">
        <f t="shared" si="72"/>
        <v>940500</v>
      </c>
      <c r="I1349" s="809">
        <f t="shared" si="81"/>
        <v>940500</v>
      </c>
      <c r="J1349" s="872">
        <v>46018.0</v>
      </c>
      <c r="K1349" s="799" t="s">
        <v>4262</v>
      </c>
      <c r="L1349" s="818" t="s">
        <v>12235</v>
      </c>
      <c r="M1349" s="818" t="s">
        <v>6675</v>
      </c>
      <c r="N1349" s="820">
        <v>46008.0</v>
      </c>
      <c r="O1349" s="823"/>
    </row>
    <row r="1350" ht="15.0" customHeight="1">
      <c r="A1350" s="789">
        <v>45957.0</v>
      </c>
      <c r="B1350" s="790">
        <v>2510858.0</v>
      </c>
      <c r="C1350" s="791" t="s">
        <v>11484</v>
      </c>
      <c r="D1350" s="791" t="s">
        <v>3837</v>
      </c>
      <c r="E1350" s="792" t="str">
        <f>IFERROR(VLOOKUP(D1350,Stock,3,FALSE),"")</f>
        <v>Toyota Yaris 13- 2nd Gen / Vios 14- 3rd Gen</v>
      </c>
      <c r="F1350" s="791">
        <v>1.0</v>
      </c>
      <c r="G1350" s="842">
        <v>725450.0</v>
      </c>
      <c r="H1350" s="811">
        <f t="shared" si="72"/>
        <v>725450</v>
      </c>
      <c r="I1350" s="809">
        <f t="shared" si="81"/>
        <v>725450</v>
      </c>
      <c r="J1350" s="872">
        <v>46018.0</v>
      </c>
      <c r="K1350" s="799" t="s">
        <v>4262</v>
      </c>
      <c r="L1350" s="818" t="s">
        <v>12235</v>
      </c>
      <c r="M1350" s="818" t="s">
        <v>6675</v>
      </c>
      <c r="N1350" s="820">
        <v>46008.0</v>
      </c>
      <c r="O1350" s="823"/>
    </row>
    <row r="1351" ht="15.0" customHeight="1">
      <c r="A1351" s="789">
        <v>45957.0</v>
      </c>
      <c r="B1351" s="790">
        <v>2510858.0</v>
      </c>
      <c r="C1351" s="791" t="s">
        <v>11484</v>
      </c>
      <c r="D1351" s="791" t="s">
        <v>9836</v>
      </c>
      <c r="E1351" s="792" t="str">
        <f>IFERROR(VLOOKUP(D1351,Stock,3,FALSE),"")</f>
        <v>Toyota Yaris 13- 2nd Gen / Vios 14- 3rd Gen</v>
      </c>
      <c r="F1351" s="791">
        <v>1.0</v>
      </c>
      <c r="G1351" s="842">
        <v>725450.0</v>
      </c>
      <c r="H1351" s="811">
        <f t="shared" si="72"/>
        <v>725450</v>
      </c>
      <c r="I1351" s="809">
        <f t="shared" si="81"/>
        <v>725450</v>
      </c>
      <c r="J1351" s="872">
        <v>46018.0</v>
      </c>
      <c r="K1351" s="799" t="s">
        <v>4262</v>
      </c>
      <c r="L1351" s="818" t="s">
        <v>12235</v>
      </c>
      <c r="M1351" s="818" t="s">
        <v>6675</v>
      </c>
      <c r="N1351" s="820">
        <v>46008.0</v>
      </c>
      <c r="O1351" s="823"/>
    </row>
    <row r="1352" ht="15.0" customHeight="1">
      <c r="A1352" s="789">
        <v>45957.0</v>
      </c>
      <c r="B1352" s="790">
        <v>2510900.0</v>
      </c>
      <c r="C1352" s="791" t="s">
        <v>11484</v>
      </c>
      <c r="D1352" s="791" t="s">
        <v>2742</v>
      </c>
      <c r="E1352" s="792" t="str">
        <f>IFERROR(VLOOKUP(D1352,Stock,3,FALSE),"")</f>
        <v>Toyota Alphard 02-08 ANH10 1st Gen (Hitam)</v>
      </c>
      <c r="F1352" s="791">
        <v>1.0</v>
      </c>
      <c r="G1352" s="842">
        <v>1635700.0</v>
      </c>
      <c r="H1352" s="811">
        <f t="shared" si="72"/>
        <v>1635700</v>
      </c>
      <c r="I1352" s="809">
        <f t="shared" si="81"/>
        <v>1635700</v>
      </c>
      <c r="J1352" s="872">
        <v>46018.0</v>
      </c>
      <c r="K1352" s="799" t="s">
        <v>4262</v>
      </c>
      <c r="L1352" s="818" t="s">
        <v>12235</v>
      </c>
      <c r="M1352" s="818" t="s">
        <v>6675</v>
      </c>
      <c r="N1352" s="820">
        <v>46008.0</v>
      </c>
      <c r="O1352" s="823"/>
    </row>
    <row r="1353" ht="15.0" customHeight="1">
      <c r="A1353" s="789">
        <v>45957.0</v>
      </c>
      <c r="B1353" s="790" t="s">
        <v>13272</v>
      </c>
      <c r="C1353" s="791" t="s">
        <v>13022</v>
      </c>
      <c r="D1353" s="791" t="s">
        <v>6624</v>
      </c>
      <c r="E1353" s="792" t="str">
        <f>IFERROR(VLOOKUP(D1353,Stock,3,FALSE),"")</f>
        <v>Toyota Innova 04-15 1st Gen (Toyota)</v>
      </c>
      <c r="F1353" s="791">
        <v>1.0</v>
      </c>
      <c r="G1353" s="842">
        <v>1674000.0</v>
      </c>
      <c r="H1353" s="811">
        <f t="shared" si="72"/>
        <v>1674000</v>
      </c>
      <c r="I1353" s="809"/>
      <c r="J1353" s="872"/>
      <c r="K1353" s="799" t="s">
        <v>4262</v>
      </c>
      <c r="L1353" s="818" t="s">
        <v>12235</v>
      </c>
      <c r="M1353" s="818" t="s">
        <v>6675</v>
      </c>
      <c r="N1353" s="820">
        <v>45957.0</v>
      </c>
      <c r="O1353" s="823"/>
    </row>
    <row r="1354" ht="15.0" customHeight="1">
      <c r="A1354" s="789">
        <v>45958.0</v>
      </c>
      <c r="B1354" s="790">
        <v>2510915.0</v>
      </c>
      <c r="C1354" s="791" t="s">
        <v>11484</v>
      </c>
      <c r="D1354" s="791" t="s">
        <v>3099</v>
      </c>
      <c r="E1354" s="792" t="str">
        <f>IFERROR(VLOOKUP(D1354,Stock,3,FALSE),"")</f>
        <v>Toyota Calya / Sigra 16-</v>
      </c>
      <c r="F1354" s="791">
        <v>3.0</v>
      </c>
      <c r="G1354" s="842">
        <v>505450.0</v>
      </c>
      <c r="H1354" s="811">
        <f t="shared" si="72"/>
        <v>1516350</v>
      </c>
      <c r="I1354" s="809">
        <f t="shared" ref="I1354:I1359" si="82">H1354</f>
        <v>1516350</v>
      </c>
      <c r="J1354" s="872">
        <v>46019.0</v>
      </c>
      <c r="K1354" s="799" t="s">
        <v>4262</v>
      </c>
      <c r="L1354" s="818" t="s">
        <v>12235</v>
      </c>
      <c r="M1354" s="818" t="s">
        <v>6675</v>
      </c>
      <c r="N1354" s="820">
        <v>46013.0</v>
      </c>
      <c r="O1354" s="823"/>
    </row>
    <row r="1355" ht="15.0" customHeight="1">
      <c r="A1355" s="789">
        <v>45958.0</v>
      </c>
      <c r="B1355" s="790">
        <v>2510915.0</v>
      </c>
      <c r="C1355" s="791" t="s">
        <v>11484</v>
      </c>
      <c r="D1355" s="791" t="s">
        <v>2549</v>
      </c>
      <c r="E1355" s="792" t="str">
        <f>IFERROR(VLOOKUP(D1355,Stock,3,FALSE),"")</f>
        <v>Toyota Avanza / Xenia 11-15 2nd Gen</v>
      </c>
      <c r="F1355" s="791">
        <v>3.0</v>
      </c>
      <c r="G1355" s="842">
        <v>416900.0</v>
      </c>
      <c r="H1355" s="811">
        <f t="shared" si="72"/>
        <v>1250700</v>
      </c>
      <c r="I1355" s="809">
        <f t="shared" si="82"/>
        <v>1250700</v>
      </c>
      <c r="J1355" s="872">
        <v>46019.0</v>
      </c>
      <c r="K1355" s="799" t="s">
        <v>4262</v>
      </c>
      <c r="L1355" s="818" t="s">
        <v>12235</v>
      </c>
      <c r="M1355" s="818" t="s">
        <v>6675</v>
      </c>
      <c r="N1355" s="820">
        <v>46013.0</v>
      </c>
      <c r="O1355" s="823"/>
    </row>
    <row r="1356" ht="15.0" customHeight="1">
      <c r="A1356" s="789">
        <v>45958.0</v>
      </c>
      <c r="B1356" s="790">
        <v>2510931.0</v>
      </c>
      <c r="C1356" s="791" t="s">
        <v>11484</v>
      </c>
      <c r="D1356" s="791" t="s">
        <v>2775</v>
      </c>
      <c r="E1356" s="792" t="str">
        <f>IFERROR(VLOOKUP(D1356,Stock,3,FALSE),"")</f>
        <v>Hino Ranger Louhan 03- / Hino 500</v>
      </c>
      <c r="F1356" s="791">
        <v>2.0</v>
      </c>
      <c r="G1356" s="842">
        <v>864050.0</v>
      </c>
      <c r="H1356" s="811">
        <f t="shared" si="72"/>
        <v>1728100</v>
      </c>
      <c r="I1356" s="809">
        <f t="shared" si="82"/>
        <v>1728100</v>
      </c>
      <c r="J1356" s="872">
        <v>46019.0</v>
      </c>
      <c r="K1356" s="799" t="s">
        <v>4262</v>
      </c>
      <c r="L1356" s="818" t="s">
        <v>12235</v>
      </c>
      <c r="M1356" s="818" t="s">
        <v>6675</v>
      </c>
      <c r="N1356" s="820">
        <v>46013.0</v>
      </c>
      <c r="O1356" s="823"/>
    </row>
    <row r="1357" ht="15.0" customHeight="1">
      <c r="A1357" s="789">
        <v>45958.0</v>
      </c>
      <c r="B1357" s="790">
        <v>2510931.0</v>
      </c>
      <c r="C1357" s="791" t="s">
        <v>11484</v>
      </c>
      <c r="D1357" s="791" t="s">
        <v>2718</v>
      </c>
      <c r="E1357" s="792" t="str">
        <f>IFERROR(VLOOKUP(D1357,Stock,3,FALSE),"")</f>
        <v>Isuzu Traga</v>
      </c>
      <c r="F1357" s="791">
        <v>2.0</v>
      </c>
      <c r="G1357" s="842">
        <v>561000.0</v>
      </c>
      <c r="H1357" s="811">
        <f t="shared" si="72"/>
        <v>1122000</v>
      </c>
      <c r="I1357" s="809">
        <f t="shared" si="82"/>
        <v>1122000</v>
      </c>
      <c r="J1357" s="872">
        <v>46019.0</v>
      </c>
      <c r="K1357" s="799" t="s">
        <v>4262</v>
      </c>
      <c r="L1357" s="818" t="s">
        <v>12235</v>
      </c>
      <c r="M1357" s="818" t="s">
        <v>6675</v>
      </c>
      <c r="N1357" s="820">
        <v>46013.0</v>
      </c>
      <c r="O1357" s="823"/>
    </row>
    <row r="1358" ht="15.0" customHeight="1">
      <c r="A1358" s="789">
        <v>45959.0</v>
      </c>
      <c r="B1358" s="790" t="s">
        <v>13273</v>
      </c>
      <c r="C1358" s="791" t="s">
        <v>11481</v>
      </c>
      <c r="D1358" s="791" t="s">
        <v>13274</v>
      </c>
      <c r="E1358" s="792" t="str">
        <f>IFERROR(VLOOKUP(D1358,Stock,3,FALSE),"")</f>
        <v>Toyota Innova 22- Zenyx 3rd Gen (Toyota)</v>
      </c>
      <c r="F1358" s="791">
        <v>1.0</v>
      </c>
      <c r="G1358" s="842">
        <v>819000.0</v>
      </c>
      <c r="H1358" s="811">
        <f t="shared" si="72"/>
        <v>819000</v>
      </c>
      <c r="I1358" s="809">
        <f t="shared" si="82"/>
        <v>819000</v>
      </c>
      <c r="J1358" s="819"/>
      <c r="K1358" s="799" t="s">
        <v>4262</v>
      </c>
      <c r="L1358" s="818" t="s">
        <v>12235</v>
      </c>
      <c r="M1358" s="818" t="s">
        <v>6675</v>
      </c>
      <c r="N1358" s="820">
        <v>45959.0</v>
      </c>
      <c r="O1358" s="823"/>
    </row>
    <row r="1359" ht="15.0" customHeight="1">
      <c r="A1359" s="789">
        <v>45959.0</v>
      </c>
      <c r="B1359" s="790">
        <v>2510954.0</v>
      </c>
      <c r="C1359" s="791" t="s">
        <v>11484</v>
      </c>
      <c r="D1359" s="791" t="s">
        <v>9719</v>
      </c>
      <c r="E1359" s="792" t="str">
        <f>IFERROR(VLOOKUP(D1359,Stock,3,FALSE),"")</f>
        <v>Mers-Benz Axor 98- Truck</v>
      </c>
      <c r="F1359" s="791">
        <v>1.0</v>
      </c>
      <c r="G1359" s="842">
        <v>1072500.0</v>
      </c>
      <c r="H1359" s="811">
        <f t="shared" si="72"/>
        <v>1072500</v>
      </c>
      <c r="I1359" s="809">
        <f t="shared" si="82"/>
        <v>1072500</v>
      </c>
      <c r="J1359" s="872">
        <v>46020.0</v>
      </c>
      <c r="K1359" s="799" t="s">
        <v>4262</v>
      </c>
      <c r="L1359" s="818" t="s">
        <v>12235</v>
      </c>
      <c r="M1359" s="818" t="s">
        <v>6675</v>
      </c>
      <c r="N1359" s="820">
        <v>46013.0</v>
      </c>
      <c r="O1359" s="823"/>
    </row>
    <row r="1360" ht="15.0" customHeight="1">
      <c r="A1360" s="789">
        <v>45960.0</v>
      </c>
      <c r="B1360" s="790" t="s">
        <v>13275</v>
      </c>
      <c r="C1360" s="791" t="s">
        <v>3076</v>
      </c>
      <c r="D1360" s="791" t="s">
        <v>9724</v>
      </c>
      <c r="E1360" s="792" t="str">
        <f>IFERROR(VLOOKUP(D1360,Stock,3,FALSE),"")</f>
        <v>BMW 3 Series 90-99 E36</v>
      </c>
      <c r="F1360" s="791">
        <v>1.0</v>
      </c>
      <c r="G1360" s="842">
        <v>543750.0</v>
      </c>
      <c r="H1360" s="811">
        <f t="shared" si="72"/>
        <v>543750</v>
      </c>
      <c r="I1360" s="809"/>
      <c r="J1360" s="819"/>
      <c r="K1360" s="799" t="s">
        <v>4262</v>
      </c>
      <c r="L1360" s="818" t="s">
        <v>12235</v>
      </c>
      <c r="M1360" s="818" t="s">
        <v>6675</v>
      </c>
      <c r="N1360" s="839">
        <v>45781.0</v>
      </c>
      <c r="O1360" s="823"/>
    </row>
    <row r="1361" ht="15.0" customHeight="1">
      <c r="A1361" s="789">
        <v>45960.0</v>
      </c>
      <c r="B1361" s="790" t="s">
        <v>13275</v>
      </c>
      <c r="C1361" s="791" t="s">
        <v>3076</v>
      </c>
      <c r="D1361" s="824" t="s">
        <v>3083</v>
      </c>
      <c r="E1361" s="792" t="str">
        <f>IFERROR(VLOOKUP(D1361,Stock,3,FALSE),"")</f>
        <v>List Kaca Depan Code 04</v>
      </c>
      <c r="F1361" s="791">
        <v>10.0</v>
      </c>
      <c r="G1361" s="842">
        <v>65000.0</v>
      </c>
      <c r="H1361" s="811">
        <f t="shared" si="72"/>
        <v>650000</v>
      </c>
      <c r="I1361" s="809"/>
      <c r="J1361" s="819"/>
      <c r="K1361" s="799" t="s">
        <v>4262</v>
      </c>
      <c r="L1361" s="818" t="s">
        <v>12235</v>
      </c>
      <c r="M1361" s="818" t="s">
        <v>6675</v>
      </c>
      <c r="N1361" s="839">
        <v>45781.0</v>
      </c>
      <c r="O1361" s="823"/>
    </row>
    <row r="1362" ht="15.0" customHeight="1">
      <c r="A1362" s="789">
        <v>45960.0</v>
      </c>
      <c r="B1362" s="790" t="s">
        <v>13275</v>
      </c>
      <c r="C1362" s="791" t="s">
        <v>3076</v>
      </c>
      <c r="D1362" s="824" t="s">
        <v>3826</v>
      </c>
      <c r="E1362" s="792" t="str">
        <f>IFERROR(VLOOKUP(D1362,Stock,3,FALSE),"")</f>
        <v>List Kaca Depan Code 11</v>
      </c>
      <c r="F1362" s="791">
        <v>10.0</v>
      </c>
      <c r="G1362" s="842">
        <v>65000.0</v>
      </c>
      <c r="H1362" s="811">
        <f t="shared" si="72"/>
        <v>650000</v>
      </c>
      <c r="I1362" s="809"/>
      <c r="J1362" s="819"/>
      <c r="K1362" s="799" t="s">
        <v>4262</v>
      </c>
      <c r="L1362" s="818" t="s">
        <v>12235</v>
      </c>
      <c r="M1362" s="818" t="s">
        <v>6675</v>
      </c>
      <c r="N1362" s="839">
        <v>45781.0</v>
      </c>
      <c r="O1362" s="823"/>
    </row>
    <row r="1363" ht="15.0" customHeight="1">
      <c r="A1363" s="789">
        <v>45960.0</v>
      </c>
      <c r="B1363" s="790" t="s">
        <v>13275</v>
      </c>
      <c r="C1363" s="791" t="s">
        <v>3076</v>
      </c>
      <c r="D1363" s="824" t="s">
        <v>3355</v>
      </c>
      <c r="E1363" s="792" t="str">
        <f>IFERROR(VLOOKUP(D1363,Stock,3,FALSE),"")</f>
        <v>List Kaca Depan INV</v>
      </c>
      <c r="F1363" s="791">
        <v>10.0</v>
      </c>
      <c r="G1363" s="842">
        <v>100000.0</v>
      </c>
      <c r="H1363" s="811">
        <f t="shared" si="72"/>
        <v>1000000</v>
      </c>
      <c r="I1363" s="809"/>
      <c r="J1363" s="819"/>
      <c r="K1363" s="799" t="s">
        <v>4262</v>
      </c>
      <c r="L1363" s="818" t="s">
        <v>12235</v>
      </c>
      <c r="M1363" s="818" t="s">
        <v>6675</v>
      </c>
      <c r="N1363" s="839">
        <v>45781.0</v>
      </c>
      <c r="O1363" s="823"/>
    </row>
    <row r="1364" ht="15.0" customHeight="1">
      <c r="A1364" s="789">
        <v>45960.0</v>
      </c>
      <c r="B1364" s="790" t="s">
        <v>13275</v>
      </c>
      <c r="C1364" s="791" t="s">
        <v>3076</v>
      </c>
      <c r="D1364" s="791" t="s">
        <v>2934</v>
      </c>
      <c r="E1364" s="792" t="str">
        <f>IFERROR(VLOOKUP(D1364,Stock,3,FALSE),"")</f>
        <v>Peti Kayu</v>
      </c>
      <c r="F1364" s="791">
        <v>1.0</v>
      </c>
      <c r="G1364" s="842">
        <v>80000.0</v>
      </c>
      <c r="H1364" s="811">
        <f t="shared" si="72"/>
        <v>80000</v>
      </c>
      <c r="I1364" s="809"/>
      <c r="J1364" s="819"/>
      <c r="K1364" s="799" t="s">
        <v>4262</v>
      </c>
      <c r="L1364" s="818" t="s">
        <v>12235</v>
      </c>
      <c r="M1364" s="818" t="s">
        <v>6675</v>
      </c>
      <c r="N1364" s="839">
        <v>45781.0</v>
      </c>
      <c r="O1364" s="823"/>
    </row>
    <row r="1365" ht="15.0" customHeight="1">
      <c r="A1365" s="789">
        <v>45960.0</v>
      </c>
      <c r="B1365" s="790">
        <v>2.5101022E7</v>
      </c>
      <c r="C1365" s="791" t="s">
        <v>11484</v>
      </c>
      <c r="D1365" s="791" t="s">
        <v>3707</v>
      </c>
      <c r="E1365" s="792" t="str">
        <f>IFERROR(VLOOKUP(D1365,Stock,3,FALSE),"")</f>
        <v>Mitsubishi Pajero 16-</v>
      </c>
      <c r="F1365" s="791">
        <v>2.0</v>
      </c>
      <c r="G1365" s="842">
        <v>649000.0</v>
      </c>
      <c r="H1365" s="811">
        <f t="shared" si="72"/>
        <v>1298000</v>
      </c>
      <c r="I1365" s="809">
        <f t="shared" ref="I1365:I1366" si="83">H1365</f>
        <v>1298000</v>
      </c>
      <c r="J1365" s="872">
        <v>46021.0</v>
      </c>
      <c r="K1365" s="799" t="s">
        <v>4262</v>
      </c>
      <c r="L1365" s="818" t="s">
        <v>12235</v>
      </c>
      <c r="M1365" s="818" t="s">
        <v>6675</v>
      </c>
      <c r="N1365" s="820">
        <v>46013.0</v>
      </c>
      <c r="O1365" s="823"/>
    </row>
    <row r="1366" ht="15.0" customHeight="1">
      <c r="A1366" s="789">
        <v>45960.0</v>
      </c>
      <c r="B1366" s="790">
        <v>2.5101022E7</v>
      </c>
      <c r="C1366" s="791" t="s">
        <v>11484</v>
      </c>
      <c r="D1366" s="791" t="s">
        <v>13276</v>
      </c>
      <c r="E1366" s="792" t="str">
        <f>IFERROR(VLOOKUP(D1366,Stock,3,FALSE),"")</f>
        <v>Nissan March 10- K13</v>
      </c>
      <c r="F1366" s="791">
        <v>1.0</v>
      </c>
      <c r="G1366" s="842">
        <v>449900.0</v>
      </c>
      <c r="H1366" s="811">
        <f t="shared" si="72"/>
        <v>449900</v>
      </c>
      <c r="I1366" s="809">
        <f t="shared" si="83"/>
        <v>449900</v>
      </c>
      <c r="J1366" s="872">
        <v>46021.0</v>
      </c>
      <c r="K1366" s="799" t="s">
        <v>4262</v>
      </c>
      <c r="L1366" s="818" t="s">
        <v>12235</v>
      </c>
      <c r="M1366" s="818" t="s">
        <v>6675</v>
      </c>
      <c r="N1366" s="820">
        <v>46013.0</v>
      </c>
      <c r="O1366" s="823"/>
    </row>
    <row r="1367" ht="15.0" customHeight="1">
      <c r="A1367" s="789">
        <v>45961.0</v>
      </c>
      <c r="B1367" s="790" t="s">
        <v>13277</v>
      </c>
      <c r="C1367" s="791" t="s">
        <v>13266</v>
      </c>
      <c r="D1367" s="791" t="s">
        <v>5936</v>
      </c>
      <c r="E1367" s="792" t="str">
        <f>IFERROR(VLOOKUP(D1367,Stock,3,FALSE),"")</f>
        <v>Mitsubishi Xpander 17- / Livina 19- 2nd Gen (Mitsubishi)</v>
      </c>
      <c r="F1367" s="791">
        <v>2.0</v>
      </c>
      <c r="G1367" s="842">
        <v>1550000.0</v>
      </c>
      <c r="H1367" s="811">
        <f t="shared" si="72"/>
        <v>3100000</v>
      </c>
      <c r="I1367" s="809"/>
      <c r="J1367" s="819"/>
      <c r="K1367" s="799" t="s">
        <v>4262</v>
      </c>
      <c r="L1367" s="818" t="s">
        <v>12235</v>
      </c>
      <c r="M1367" s="818" t="s">
        <v>6675</v>
      </c>
      <c r="N1367" s="820">
        <v>45961.0</v>
      </c>
      <c r="O1367" s="823"/>
    </row>
    <row r="1368" ht="15.0" customHeight="1">
      <c r="A1368" s="789">
        <v>45962.0</v>
      </c>
      <c r="B1368" s="790" t="s">
        <v>13278</v>
      </c>
      <c r="C1368" s="791" t="s">
        <v>13022</v>
      </c>
      <c r="D1368" s="791" t="s">
        <v>5528</v>
      </c>
      <c r="E1368" s="792" t="str">
        <f>IFERROR(VLOOKUP(D1368,Stock,3,FALSE),"")</f>
        <v>Toyota Innova 15-22 2nd Gen (Toyota)</v>
      </c>
      <c r="F1368" s="791">
        <v>2.0</v>
      </c>
      <c r="G1368" s="842">
        <v>1674000.0</v>
      </c>
      <c r="H1368" s="811">
        <f t="shared" si="72"/>
        <v>3348000</v>
      </c>
      <c r="I1368" s="809"/>
      <c r="J1368" s="819"/>
      <c r="K1368" s="799" t="s">
        <v>4262</v>
      </c>
      <c r="L1368" s="818" t="s">
        <v>12235</v>
      </c>
      <c r="M1368" s="818" t="s">
        <v>6675</v>
      </c>
      <c r="N1368" s="839">
        <v>45962.0</v>
      </c>
      <c r="O1368" s="823"/>
    </row>
    <row r="1369" ht="15.0" customHeight="1">
      <c r="A1369" s="789">
        <v>45965.0</v>
      </c>
      <c r="B1369" s="790">
        <v>2511114.0</v>
      </c>
      <c r="C1369" s="791" t="s">
        <v>11484</v>
      </c>
      <c r="D1369" s="791" t="s">
        <v>3360</v>
      </c>
      <c r="E1369" s="792" t="str">
        <f>IFERROR(VLOOKUP(D1369,Stock,3,FALSE),"")</f>
        <v>Mitsubishi Xpander 17-</v>
      </c>
      <c r="F1369" s="791">
        <v>2.0</v>
      </c>
      <c r="G1369" s="842">
        <v>739200.0</v>
      </c>
      <c r="H1369" s="811">
        <f t="shared" si="72"/>
        <v>1478400</v>
      </c>
      <c r="I1369" s="809">
        <f t="shared" ref="I1369:I1377" si="84">H1369</f>
        <v>1478400</v>
      </c>
      <c r="J1369" s="872">
        <v>46026.0</v>
      </c>
      <c r="K1369" s="799" t="s">
        <v>4262</v>
      </c>
      <c r="L1369" s="818" t="s">
        <v>12235</v>
      </c>
      <c r="M1369" s="818" t="s">
        <v>6675</v>
      </c>
      <c r="N1369" s="820">
        <v>46013.0</v>
      </c>
      <c r="O1369" s="823"/>
    </row>
    <row r="1370" ht="15.0" customHeight="1">
      <c r="A1370" s="789">
        <v>45964.0</v>
      </c>
      <c r="B1370" s="790">
        <v>2511033.0</v>
      </c>
      <c r="C1370" s="791" t="s">
        <v>11484</v>
      </c>
      <c r="D1370" s="791" t="s">
        <v>3290</v>
      </c>
      <c r="E1370" s="792" t="str">
        <f>IFERROR(VLOOKUP(D1370,Stock,3,FALSE),"")</f>
        <v>Toyota Innova 04-15 1st Gen</v>
      </c>
      <c r="F1370" s="791">
        <v>2.0</v>
      </c>
      <c r="G1370" s="842">
        <v>613800.0</v>
      </c>
      <c r="H1370" s="811">
        <f t="shared" si="72"/>
        <v>1227600</v>
      </c>
      <c r="I1370" s="809">
        <f t="shared" si="84"/>
        <v>1227600</v>
      </c>
      <c r="J1370" s="872">
        <v>46025.0</v>
      </c>
      <c r="K1370" s="799" t="s">
        <v>4262</v>
      </c>
      <c r="L1370" s="818" t="s">
        <v>12235</v>
      </c>
      <c r="M1370" s="818" t="s">
        <v>6675</v>
      </c>
      <c r="N1370" s="820">
        <v>46013.0</v>
      </c>
      <c r="O1370" s="823"/>
    </row>
    <row r="1371" ht="15.0" customHeight="1">
      <c r="A1371" s="789">
        <v>45966.0</v>
      </c>
      <c r="B1371" s="790" t="s">
        <v>13279</v>
      </c>
      <c r="C1371" s="791" t="s">
        <v>13230</v>
      </c>
      <c r="D1371" s="791" t="s">
        <v>2936</v>
      </c>
      <c r="E1371" s="792" t="str">
        <f>IFERROR(VLOOKUP(D1371,Stock,3,FALSE),"")</f>
        <v>Toyota Calya / Sigra 16-</v>
      </c>
      <c r="F1371" s="791">
        <v>10.0</v>
      </c>
      <c r="G1371" s="842"/>
      <c r="H1371" s="811">
        <f t="shared" si="72"/>
        <v>0</v>
      </c>
      <c r="I1371" s="809">
        <f t="shared" si="84"/>
        <v>0</v>
      </c>
      <c r="J1371" s="819"/>
      <c r="K1371" s="799" t="s">
        <v>4262</v>
      </c>
      <c r="L1371" s="823"/>
      <c r="M1371" s="823"/>
      <c r="N1371" s="823"/>
      <c r="O1371" s="823"/>
    </row>
    <row r="1372" ht="15.0" customHeight="1">
      <c r="A1372" s="789">
        <v>45966.0</v>
      </c>
      <c r="B1372" s="790" t="s">
        <v>13279</v>
      </c>
      <c r="C1372" s="791" t="s">
        <v>13230</v>
      </c>
      <c r="D1372" s="791" t="s">
        <v>9796</v>
      </c>
      <c r="E1372" s="792" t="str">
        <f>IFERROR(VLOOKUP(D1372,Stock,3,FALSE),"")</f>
        <v>Nissan Navara (NP300) 4D Pickup 15- D23</v>
      </c>
      <c r="F1372" s="791">
        <v>1.0</v>
      </c>
      <c r="G1372" s="842"/>
      <c r="H1372" s="811">
        <f t="shared" si="72"/>
        <v>0</v>
      </c>
      <c r="I1372" s="809">
        <f t="shared" si="84"/>
        <v>0</v>
      </c>
      <c r="J1372" s="819"/>
      <c r="K1372" s="799" t="s">
        <v>4262</v>
      </c>
      <c r="L1372" s="823"/>
      <c r="M1372" s="823"/>
      <c r="N1372" s="823"/>
      <c r="O1372" s="823"/>
    </row>
    <row r="1373" ht="15.0" customHeight="1">
      <c r="A1373" s="789">
        <v>45968.0</v>
      </c>
      <c r="B1373" s="790">
        <v>2511248.0</v>
      </c>
      <c r="C1373" s="791" t="s">
        <v>11484</v>
      </c>
      <c r="D1373" s="791" t="s">
        <v>3871</v>
      </c>
      <c r="E1373" s="792" t="str">
        <f>IFERROR(VLOOKUP(D1373,Stock,3,FALSE),"")</f>
        <v>Suzuki Swift 04-11 1st Gen</v>
      </c>
      <c r="F1373" s="791">
        <v>1.0</v>
      </c>
      <c r="G1373" s="842">
        <v>711700.0</v>
      </c>
      <c r="H1373" s="811">
        <f t="shared" si="72"/>
        <v>711700</v>
      </c>
      <c r="I1373" s="809">
        <f t="shared" si="84"/>
        <v>711700</v>
      </c>
      <c r="J1373" s="872">
        <v>46029.0</v>
      </c>
      <c r="K1373" s="799" t="s">
        <v>4262</v>
      </c>
      <c r="L1373" s="818" t="s">
        <v>12235</v>
      </c>
      <c r="M1373" s="818" t="s">
        <v>6675</v>
      </c>
      <c r="N1373" s="820">
        <v>46013.0</v>
      </c>
      <c r="O1373" s="823"/>
    </row>
    <row r="1374" ht="15.0" customHeight="1">
      <c r="A1374" s="789">
        <v>45968.0</v>
      </c>
      <c r="B1374" s="790">
        <v>2511248.0</v>
      </c>
      <c r="C1374" s="791" t="s">
        <v>11484</v>
      </c>
      <c r="D1374" s="791" t="s">
        <v>2721</v>
      </c>
      <c r="E1374" s="792" t="str">
        <f>IFERROR(VLOOKUP(D1374,Stock,3,FALSE),"")</f>
        <v>Toyota Dyna/Hino Dutro 00-</v>
      </c>
      <c r="F1374" s="791">
        <v>1.0</v>
      </c>
      <c r="G1374" s="842">
        <v>522500.0</v>
      </c>
      <c r="H1374" s="811">
        <f t="shared" si="72"/>
        <v>522500</v>
      </c>
      <c r="I1374" s="809">
        <f t="shared" si="84"/>
        <v>522500</v>
      </c>
      <c r="J1374" s="872">
        <v>46029.0</v>
      </c>
      <c r="K1374" s="799" t="s">
        <v>4262</v>
      </c>
      <c r="L1374" s="818" t="s">
        <v>12235</v>
      </c>
      <c r="M1374" s="818" t="s">
        <v>6675</v>
      </c>
      <c r="N1374" s="820">
        <v>46013.0</v>
      </c>
      <c r="O1374" s="823"/>
    </row>
    <row r="1375" ht="15.0" customHeight="1">
      <c r="A1375" s="789">
        <v>45968.0</v>
      </c>
      <c r="B1375" s="790">
        <v>2511278.0</v>
      </c>
      <c r="C1375" s="791" t="s">
        <v>11484</v>
      </c>
      <c r="D1375" s="791" t="s">
        <v>3411</v>
      </c>
      <c r="E1375" s="792" t="str">
        <f>IFERROR(VLOOKUP(D1375,Stock,3,FALSE),"")</f>
        <v>Toyota Agya/Ayla 13-22 1st Gen</v>
      </c>
      <c r="F1375" s="791">
        <v>2.0</v>
      </c>
      <c r="G1375" s="842">
        <v>385000.0</v>
      </c>
      <c r="H1375" s="811">
        <f t="shared" si="72"/>
        <v>770000</v>
      </c>
      <c r="I1375" s="809">
        <f t="shared" si="84"/>
        <v>770000</v>
      </c>
      <c r="J1375" s="872">
        <v>46029.0</v>
      </c>
      <c r="K1375" s="799" t="s">
        <v>4262</v>
      </c>
      <c r="L1375" s="818" t="s">
        <v>12235</v>
      </c>
      <c r="M1375" s="818" t="s">
        <v>6675</v>
      </c>
      <c r="N1375" s="820">
        <v>46028.0</v>
      </c>
      <c r="O1375" s="823"/>
    </row>
    <row r="1376" ht="15.0" customHeight="1">
      <c r="A1376" s="789">
        <v>45969.0</v>
      </c>
      <c r="B1376" s="790" t="s">
        <v>13280</v>
      </c>
      <c r="C1376" s="791" t="s">
        <v>28</v>
      </c>
      <c r="D1376" s="791" t="s">
        <v>13189</v>
      </c>
      <c r="E1376" s="792" t="str">
        <f>IFERROR(VLOOKUP(D1376,Stock,3,FALSE),"")</f>
        <v/>
      </c>
      <c r="F1376" s="791">
        <v>24.0</v>
      </c>
      <c r="G1376" s="842">
        <v>28000.0</v>
      </c>
      <c r="H1376" s="811">
        <f t="shared" si="72"/>
        <v>672000</v>
      </c>
      <c r="I1376" s="809">
        <f t="shared" si="84"/>
        <v>672000</v>
      </c>
      <c r="J1376" s="819"/>
      <c r="K1376" s="799" t="s">
        <v>4262</v>
      </c>
      <c r="L1376" s="818" t="s">
        <v>12235</v>
      </c>
      <c r="M1376" s="818" t="s">
        <v>6675</v>
      </c>
      <c r="N1376" s="820">
        <v>45978.0</v>
      </c>
      <c r="O1376" s="823"/>
    </row>
    <row r="1377" ht="15.0" customHeight="1">
      <c r="A1377" s="789">
        <v>45969.0</v>
      </c>
      <c r="B1377" s="790" t="s">
        <v>13280</v>
      </c>
      <c r="C1377" s="791" t="s">
        <v>28</v>
      </c>
      <c r="D1377" s="791" t="s">
        <v>13281</v>
      </c>
      <c r="E1377" s="792" t="str">
        <f>IFERROR(VLOOKUP(D1377,Stock,3,FALSE),"")</f>
        <v/>
      </c>
      <c r="F1377" s="791">
        <v>50.0</v>
      </c>
      <c r="G1377" s="842">
        <v>500.0</v>
      </c>
      <c r="H1377" s="811">
        <f t="shared" si="72"/>
        <v>25000</v>
      </c>
      <c r="I1377" s="809">
        <f t="shared" si="84"/>
        <v>25000</v>
      </c>
      <c r="J1377" s="819"/>
      <c r="K1377" s="799" t="s">
        <v>4262</v>
      </c>
      <c r="L1377" s="818" t="s">
        <v>12235</v>
      </c>
      <c r="M1377" s="818" t="s">
        <v>6675</v>
      </c>
      <c r="N1377" s="820">
        <v>45978.0</v>
      </c>
      <c r="O1377" s="823"/>
    </row>
    <row r="1378" ht="15.0" customHeight="1">
      <c r="A1378" s="789">
        <v>45969.0</v>
      </c>
      <c r="B1378" s="790" t="s">
        <v>13282</v>
      </c>
      <c r="C1378" s="791" t="s">
        <v>28</v>
      </c>
      <c r="D1378" s="791" t="s">
        <v>13283</v>
      </c>
      <c r="E1378" s="792"/>
      <c r="F1378" s="791">
        <v>100.0</v>
      </c>
      <c r="G1378" s="842">
        <v>58000.0</v>
      </c>
      <c r="H1378" s="811">
        <f t="shared" si="72"/>
        <v>5800000</v>
      </c>
      <c r="I1378" s="809"/>
      <c r="J1378" s="819"/>
      <c r="K1378" s="799" t="s">
        <v>4281</v>
      </c>
      <c r="L1378" s="818" t="s">
        <v>12235</v>
      </c>
      <c r="M1378" s="874" t="s">
        <v>6675</v>
      </c>
      <c r="N1378" s="875">
        <v>45996.0</v>
      </c>
      <c r="O1378" s="823"/>
    </row>
    <row r="1379" ht="15.0" customHeight="1">
      <c r="A1379" s="789">
        <v>45969.0</v>
      </c>
      <c r="B1379" s="790" t="s">
        <v>13282</v>
      </c>
      <c r="C1379" s="791" t="s">
        <v>28</v>
      </c>
      <c r="D1379" s="791" t="s">
        <v>13284</v>
      </c>
      <c r="E1379" s="792" t="str">
        <f>IFERROR(VLOOKUP(D1379,Stock,3,FALSE),"")</f>
        <v/>
      </c>
      <c r="F1379" s="791">
        <v>2.0</v>
      </c>
      <c r="G1379" s="842">
        <v>135000.0</v>
      </c>
      <c r="H1379" s="811">
        <f t="shared" si="72"/>
        <v>270000</v>
      </c>
      <c r="I1379" s="809">
        <f t="shared" ref="I1379:I1399" si="85">H1379</f>
        <v>270000</v>
      </c>
      <c r="J1379" s="819"/>
      <c r="K1379" s="799" t="s">
        <v>4262</v>
      </c>
      <c r="L1379" s="818" t="s">
        <v>12235</v>
      </c>
      <c r="M1379" s="874" t="s">
        <v>6675</v>
      </c>
      <c r="N1379" s="875">
        <v>45996.0</v>
      </c>
      <c r="O1379" s="823"/>
    </row>
    <row r="1380" ht="15.0" customHeight="1">
      <c r="A1380" s="789">
        <v>45971.0</v>
      </c>
      <c r="B1380" s="790">
        <v>2511311.0</v>
      </c>
      <c r="C1380" s="791" t="s">
        <v>11484</v>
      </c>
      <c r="D1380" s="791" t="s">
        <v>4178</v>
      </c>
      <c r="E1380" s="792" t="str">
        <f>IFERROR(VLOOKUP(D1380,Stock,3,FALSE),"")</f>
        <v>Honda BR-V 16-</v>
      </c>
      <c r="F1380" s="791">
        <v>2.0</v>
      </c>
      <c r="G1380" s="842">
        <v>650650.0</v>
      </c>
      <c r="H1380" s="811">
        <f t="shared" si="72"/>
        <v>1301300</v>
      </c>
      <c r="I1380" s="809">
        <f t="shared" si="85"/>
        <v>1301300</v>
      </c>
      <c r="J1380" s="872">
        <v>46032.0</v>
      </c>
      <c r="K1380" s="799" t="s">
        <v>4262</v>
      </c>
      <c r="L1380" s="818" t="s">
        <v>12235</v>
      </c>
      <c r="M1380" s="874" t="s">
        <v>6675</v>
      </c>
      <c r="N1380" s="820">
        <v>46013.0</v>
      </c>
      <c r="O1380" s="823"/>
    </row>
    <row r="1381" ht="15.0" customHeight="1">
      <c r="A1381" s="789">
        <v>45971.0</v>
      </c>
      <c r="B1381" s="790">
        <v>2511311.0</v>
      </c>
      <c r="C1381" s="791" t="s">
        <v>11484</v>
      </c>
      <c r="D1381" s="791" t="s">
        <v>4005</v>
      </c>
      <c r="E1381" s="792" t="str">
        <f>IFERROR(VLOOKUP(D1381,Stock,3,FALSE),"")</f>
        <v>Toyota Fortuner 15- 2nd Gen</v>
      </c>
      <c r="F1381" s="791">
        <v>2.0</v>
      </c>
      <c r="G1381" s="842">
        <v>797500.0</v>
      </c>
      <c r="H1381" s="811">
        <f t="shared" si="72"/>
        <v>1595000</v>
      </c>
      <c r="I1381" s="809">
        <f t="shared" si="85"/>
        <v>1595000</v>
      </c>
      <c r="J1381" s="872">
        <v>46032.0</v>
      </c>
      <c r="K1381" s="799" t="s">
        <v>4262</v>
      </c>
      <c r="L1381" s="818" t="s">
        <v>12235</v>
      </c>
      <c r="M1381" s="874" t="s">
        <v>6675</v>
      </c>
      <c r="N1381" s="820">
        <v>46013.0</v>
      </c>
      <c r="O1381" s="823"/>
    </row>
    <row r="1382" ht="15.0" customHeight="1">
      <c r="A1382" s="789">
        <v>45971.0</v>
      </c>
      <c r="B1382" s="790" t="s">
        <v>13285</v>
      </c>
      <c r="C1382" s="791" t="s">
        <v>3076</v>
      </c>
      <c r="D1382" s="791" t="s">
        <v>10633</v>
      </c>
      <c r="E1382" s="792" t="str">
        <f>IFERROR(VLOOKUP(D1382,Stock,3,FALSE),"")</f>
        <v>Toyota LandCruiser 98-07 FJ100 (Signus) [No Sensor]</v>
      </c>
      <c r="F1382" s="791">
        <v>1.0</v>
      </c>
      <c r="G1382" s="842">
        <v>2352750.0</v>
      </c>
      <c r="H1382" s="811">
        <f t="shared" si="72"/>
        <v>2352750</v>
      </c>
      <c r="I1382" s="809">
        <f t="shared" si="85"/>
        <v>2352750</v>
      </c>
      <c r="J1382" s="819"/>
      <c r="K1382" s="799" t="s">
        <v>4262</v>
      </c>
      <c r="L1382" s="818" t="s">
        <v>12235</v>
      </c>
      <c r="M1382" s="818" t="s">
        <v>6675</v>
      </c>
      <c r="N1382" s="820">
        <v>45982.0</v>
      </c>
      <c r="O1382" s="823"/>
    </row>
    <row r="1383" ht="15.0" customHeight="1">
      <c r="A1383" s="789">
        <v>45971.0</v>
      </c>
      <c r="B1383" s="790" t="s">
        <v>13285</v>
      </c>
      <c r="C1383" s="791" t="s">
        <v>3076</v>
      </c>
      <c r="D1383" s="791" t="s">
        <v>2934</v>
      </c>
      <c r="E1383" s="792" t="str">
        <f>IFERROR(VLOOKUP(D1383,Stock,3,FALSE),"")</f>
        <v>Peti Kayu</v>
      </c>
      <c r="F1383" s="791">
        <v>1.0</v>
      </c>
      <c r="G1383" s="842">
        <v>150000.0</v>
      </c>
      <c r="H1383" s="811">
        <f t="shared" si="72"/>
        <v>150000</v>
      </c>
      <c r="I1383" s="809">
        <f t="shared" si="85"/>
        <v>150000</v>
      </c>
      <c r="J1383" s="819"/>
      <c r="K1383" s="799" t="s">
        <v>4262</v>
      </c>
      <c r="L1383" s="818" t="s">
        <v>12235</v>
      </c>
      <c r="M1383" s="818" t="s">
        <v>6675</v>
      </c>
      <c r="N1383" s="820">
        <v>45982.0</v>
      </c>
      <c r="O1383" s="823"/>
    </row>
    <row r="1384" ht="15.0" customHeight="1">
      <c r="A1384" s="789">
        <v>45979.0</v>
      </c>
      <c r="B1384" s="790">
        <v>2511616.0</v>
      </c>
      <c r="C1384" s="791" t="s">
        <v>11484</v>
      </c>
      <c r="D1384" s="791" t="s">
        <v>3186</v>
      </c>
      <c r="E1384" s="792" t="str">
        <f>IFERROR(VLOOKUP(D1384,Stock,3,FALSE),"")</f>
        <v>Daihatsu Gran Max / Luxio 07-</v>
      </c>
      <c r="F1384" s="791">
        <v>2.0</v>
      </c>
      <c r="G1384" s="842">
        <v>470250.0</v>
      </c>
      <c r="H1384" s="811">
        <f t="shared" si="72"/>
        <v>940500</v>
      </c>
      <c r="I1384" s="809">
        <f t="shared" si="85"/>
        <v>940500</v>
      </c>
      <c r="J1384" s="872">
        <v>46040.0</v>
      </c>
      <c r="K1384" s="799" t="s">
        <v>4262</v>
      </c>
      <c r="L1384" s="818" t="s">
        <v>12235</v>
      </c>
      <c r="M1384" s="818" t="s">
        <v>6675</v>
      </c>
      <c r="N1384" s="839">
        <v>46035.0</v>
      </c>
      <c r="O1384" s="823"/>
    </row>
    <row r="1385" ht="15.0" customHeight="1">
      <c r="A1385" s="789">
        <v>45979.0</v>
      </c>
      <c r="B1385" s="790">
        <v>2511616.0</v>
      </c>
      <c r="C1385" s="791" t="s">
        <v>11484</v>
      </c>
      <c r="D1385" s="791" t="s">
        <v>3068</v>
      </c>
      <c r="E1385" s="792" t="str">
        <f>IFERROR(VLOOKUP(D1385,Stock,3,FALSE),"")</f>
        <v>Honda Brio 10- / Mobilio 11-</v>
      </c>
      <c r="F1385" s="791">
        <v>1.0</v>
      </c>
      <c r="G1385" s="842">
        <v>573100.0</v>
      </c>
      <c r="H1385" s="811">
        <f t="shared" si="72"/>
        <v>573100</v>
      </c>
      <c r="I1385" s="809">
        <f t="shared" si="85"/>
        <v>573100</v>
      </c>
      <c r="J1385" s="872">
        <v>46040.0</v>
      </c>
      <c r="K1385" s="799" t="s">
        <v>4262</v>
      </c>
      <c r="L1385" s="818" t="s">
        <v>12235</v>
      </c>
      <c r="M1385" s="818" t="s">
        <v>6675</v>
      </c>
      <c r="N1385" s="839">
        <v>46035.0</v>
      </c>
      <c r="O1385" s="823"/>
    </row>
    <row r="1386" ht="15.0" customHeight="1">
      <c r="A1386" s="789">
        <v>45979.0</v>
      </c>
      <c r="B1386" s="790">
        <v>2511617.0</v>
      </c>
      <c r="C1386" s="791" t="s">
        <v>11484</v>
      </c>
      <c r="D1386" s="791" t="s">
        <v>3186</v>
      </c>
      <c r="E1386" s="792" t="str">
        <f>IFERROR(VLOOKUP(D1386,Stock,3,FALSE),"")</f>
        <v>Daihatsu Gran Max / Luxio 07-</v>
      </c>
      <c r="F1386" s="791">
        <v>2.0</v>
      </c>
      <c r="G1386" s="842">
        <v>470250.0</v>
      </c>
      <c r="H1386" s="811">
        <f t="shared" si="72"/>
        <v>940500</v>
      </c>
      <c r="I1386" s="809">
        <f t="shared" si="85"/>
        <v>940500</v>
      </c>
      <c r="J1386" s="872">
        <v>46040.0</v>
      </c>
      <c r="K1386" s="799" t="s">
        <v>4262</v>
      </c>
      <c r="L1386" s="818" t="s">
        <v>12235</v>
      </c>
      <c r="M1386" s="818" t="s">
        <v>6675</v>
      </c>
      <c r="N1386" s="839">
        <v>46035.0</v>
      </c>
      <c r="O1386" s="823"/>
    </row>
    <row r="1387" ht="15.0" customHeight="1">
      <c r="A1387" s="789">
        <v>45979.0</v>
      </c>
      <c r="B1387" s="790">
        <v>2511617.0</v>
      </c>
      <c r="C1387" s="791" t="s">
        <v>11484</v>
      </c>
      <c r="D1387" s="791" t="s">
        <v>4997</v>
      </c>
      <c r="E1387" s="792" t="str">
        <f>IFERROR(VLOOKUP(D1387,Stock,3,FALSE),"")</f>
        <v>Hyundai Stargazer 22-</v>
      </c>
      <c r="F1387" s="791">
        <v>1.0</v>
      </c>
      <c r="G1387" s="842">
        <v>742500.0</v>
      </c>
      <c r="H1387" s="811">
        <f t="shared" si="72"/>
        <v>742500</v>
      </c>
      <c r="I1387" s="809">
        <f t="shared" si="85"/>
        <v>742500</v>
      </c>
      <c r="J1387" s="872">
        <v>46040.0</v>
      </c>
      <c r="K1387" s="799" t="s">
        <v>4262</v>
      </c>
      <c r="L1387" s="818" t="s">
        <v>12235</v>
      </c>
      <c r="M1387" s="818" t="s">
        <v>6675</v>
      </c>
      <c r="N1387" s="839">
        <v>46035.0</v>
      </c>
      <c r="O1387" s="823"/>
    </row>
    <row r="1388" ht="15.0" customHeight="1">
      <c r="A1388" s="789">
        <v>45979.0</v>
      </c>
      <c r="B1388" s="790">
        <v>2511617.0</v>
      </c>
      <c r="C1388" s="791" t="s">
        <v>11484</v>
      </c>
      <c r="D1388" s="791" t="s">
        <v>2704</v>
      </c>
      <c r="E1388" s="792" t="str">
        <f>IFERROR(VLOOKUP(D1388,Stock,3,FALSE),"")</f>
        <v>Toyota Hi-Ace 19- Premio</v>
      </c>
      <c r="F1388" s="791">
        <v>1.0</v>
      </c>
      <c r="G1388" s="842">
        <v>821700.0</v>
      </c>
      <c r="H1388" s="811">
        <f t="shared" si="72"/>
        <v>821700</v>
      </c>
      <c r="I1388" s="809">
        <f t="shared" si="85"/>
        <v>821700</v>
      </c>
      <c r="J1388" s="872">
        <v>46040.0</v>
      </c>
      <c r="K1388" s="799" t="s">
        <v>4262</v>
      </c>
      <c r="L1388" s="818" t="s">
        <v>12235</v>
      </c>
      <c r="M1388" s="818" t="s">
        <v>6675</v>
      </c>
      <c r="N1388" s="839">
        <v>46035.0</v>
      </c>
      <c r="O1388" s="823"/>
    </row>
    <row r="1389" ht="15.0" customHeight="1">
      <c r="A1389" s="789">
        <v>45979.0</v>
      </c>
      <c r="B1389" s="790">
        <v>2511617.0</v>
      </c>
      <c r="C1389" s="791" t="s">
        <v>11484</v>
      </c>
      <c r="D1389" s="791" t="s">
        <v>3068</v>
      </c>
      <c r="E1389" s="792" t="str">
        <f>IFERROR(VLOOKUP(D1389,Stock,3,FALSE),"")</f>
        <v>Honda Brio 10- / Mobilio 11-</v>
      </c>
      <c r="F1389" s="791">
        <v>1.0</v>
      </c>
      <c r="G1389" s="842">
        <v>573100.0</v>
      </c>
      <c r="H1389" s="811">
        <f t="shared" si="72"/>
        <v>573100</v>
      </c>
      <c r="I1389" s="809">
        <f t="shared" si="85"/>
        <v>573100</v>
      </c>
      <c r="J1389" s="872">
        <v>46040.0</v>
      </c>
      <c r="K1389" s="799" t="s">
        <v>4262</v>
      </c>
      <c r="L1389" s="818" t="s">
        <v>12235</v>
      </c>
      <c r="M1389" s="818" t="s">
        <v>6675</v>
      </c>
      <c r="N1389" s="839">
        <v>46035.0</v>
      </c>
      <c r="O1389" s="823"/>
    </row>
    <row r="1390" ht="15.0" customHeight="1">
      <c r="A1390" s="789">
        <v>45979.0</v>
      </c>
      <c r="B1390" s="790">
        <v>2511617.0</v>
      </c>
      <c r="C1390" s="791" t="s">
        <v>11484</v>
      </c>
      <c r="D1390" s="791" t="s">
        <v>6741</v>
      </c>
      <c r="E1390" s="792" t="str">
        <f>IFERROR(VLOOKUP(D1390,Stock,3,FALSE),"")</f>
        <v>Honda Jazz 01-07 1st Gen</v>
      </c>
      <c r="F1390" s="791">
        <v>1.0</v>
      </c>
      <c r="G1390" s="842">
        <v>551650.0</v>
      </c>
      <c r="H1390" s="811">
        <f t="shared" si="72"/>
        <v>551650</v>
      </c>
      <c r="I1390" s="809">
        <f t="shared" si="85"/>
        <v>551650</v>
      </c>
      <c r="J1390" s="872">
        <v>46040.0</v>
      </c>
      <c r="K1390" s="799" t="s">
        <v>4262</v>
      </c>
      <c r="L1390" s="818" t="s">
        <v>12235</v>
      </c>
      <c r="M1390" s="818" t="s">
        <v>6675</v>
      </c>
      <c r="N1390" s="839">
        <v>46035.0</v>
      </c>
      <c r="O1390" s="823"/>
    </row>
    <row r="1391" ht="15.0" customHeight="1">
      <c r="A1391" s="789">
        <v>45979.0</v>
      </c>
      <c r="B1391" s="790">
        <v>2511617.0</v>
      </c>
      <c r="C1391" s="791" t="s">
        <v>11484</v>
      </c>
      <c r="D1391" s="791" t="s">
        <v>9167</v>
      </c>
      <c r="E1391" s="792" t="str">
        <f>IFERROR(VLOOKUP(D1391,Stock,3,FALSE),"")</f>
        <v>Toyota Avanza / Xenia 11-15 2nd Gen / 15-21 3rd Gen</v>
      </c>
      <c r="F1391" s="791">
        <v>3.0</v>
      </c>
      <c r="G1391" s="842">
        <v>329450.0</v>
      </c>
      <c r="H1391" s="811">
        <f t="shared" si="72"/>
        <v>988350</v>
      </c>
      <c r="I1391" s="809">
        <f t="shared" si="85"/>
        <v>988350</v>
      </c>
      <c r="J1391" s="872">
        <v>46040.0</v>
      </c>
      <c r="K1391" s="799" t="s">
        <v>4262</v>
      </c>
      <c r="L1391" s="818" t="s">
        <v>12235</v>
      </c>
      <c r="M1391" s="818" t="s">
        <v>6675</v>
      </c>
      <c r="N1391" s="839">
        <v>46035.0</v>
      </c>
      <c r="O1391" s="823"/>
    </row>
    <row r="1392" ht="15.0" customHeight="1">
      <c r="A1392" s="789">
        <v>45979.0</v>
      </c>
      <c r="B1392" s="790">
        <v>2511617.0</v>
      </c>
      <c r="C1392" s="791" t="s">
        <v>11484</v>
      </c>
      <c r="D1392" s="791" t="s">
        <v>2718</v>
      </c>
      <c r="E1392" s="792" t="str">
        <f>IFERROR(VLOOKUP(D1392,Stock,3,FALSE),"")</f>
        <v>Isuzu Traga</v>
      </c>
      <c r="F1392" s="791">
        <v>2.0</v>
      </c>
      <c r="G1392" s="842">
        <v>561000.0</v>
      </c>
      <c r="H1392" s="811">
        <f t="shared" si="72"/>
        <v>1122000</v>
      </c>
      <c r="I1392" s="809">
        <f t="shared" si="85"/>
        <v>1122000</v>
      </c>
      <c r="J1392" s="872">
        <v>46040.0</v>
      </c>
      <c r="K1392" s="799" t="s">
        <v>4262</v>
      </c>
      <c r="L1392" s="818" t="s">
        <v>12235</v>
      </c>
      <c r="M1392" s="818" t="s">
        <v>6675</v>
      </c>
      <c r="N1392" s="839">
        <v>46035.0</v>
      </c>
      <c r="O1392" s="823"/>
    </row>
    <row r="1393" ht="15.0" customHeight="1">
      <c r="A1393" s="789">
        <v>45973.0</v>
      </c>
      <c r="B1393" s="790">
        <v>2511405.0</v>
      </c>
      <c r="C1393" s="791" t="s">
        <v>11484</v>
      </c>
      <c r="D1393" s="791" t="s">
        <v>2565</v>
      </c>
      <c r="E1393" s="792" t="str">
        <f>IFERROR(VLOOKUP(D1393,Stock,3,FALSE),"")</f>
        <v>Toyota Avanza / Xenia 03-11 1st Gen</v>
      </c>
      <c r="F1393" s="791">
        <v>2.0</v>
      </c>
      <c r="G1393" s="818">
        <v>416900.0</v>
      </c>
      <c r="H1393" s="811">
        <f t="shared" si="72"/>
        <v>833800</v>
      </c>
      <c r="I1393" s="809">
        <f t="shared" si="85"/>
        <v>833800</v>
      </c>
      <c r="J1393" s="872">
        <v>46034.0</v>
      </c>
      <c r="K1393" s="799" t="s">
        <v>4262</v>
      </c>
      <c r="L1393" s="818" t="s">
        <v>12235</v>
      </c>
      <c r="M1393" s="818" t="s">
        <v>6675</v>
      </c>
      <c r="N1393" s="839">
        <v>45663.0</v>
      </c>
      <c r="O1393" s="823"/>
    </row>
    <row r="1394" ht="15.0" customHeight="1">
      <c r="A1394" s="789">
        <v>45973.0</v>
      </c>
      <c r="B1394" s="790">
        <v>2511405.0</v>
      </c>
      <c r="C1394" s="791" t="s">
        <v>11484</v>
      </c>
      <c r="D1394" s="791" t="s">
        <v>3360</v>
      </c>
      <c r="E1394" s="792" t="str">
        <f>IFERROR(VLOOKUP(D1394,Stock,3,FALSE),"")</f>
        <v>Mitsubishi Xpander 17-</v>
      </c>
      <c r="F1394" s="791">
        <v>2.0</v>
      </c>
      <c r="G1394" s="842">
        <v>739200.0</v>
      </c>
      <c r="H1394" s="811">
        <f t="shared" si="72"/>
        <v>1478400</v>
      </c>
      <c r="I1394" s="809">
        <f t="shared" si="85"/>
        <v>1478400</v>
      </c>
      <c r="J1394" s="872">
        <v>46034.0</v>
      </c>
      <c r="K1394" s="799" t="s">
        <v>4262</v>
      </c>
      <c r="L1394" s="818" t="s">
        <v>12235</v>
      </c>
      <c r="M1394" s="818" t="s">
        <v>6675</v>
      </c>
      <c r="N1394" s="839">
        <v>45663.0</v>
      </c>
      <c r="O1394" s="823"/>
    </row>
    <row r="1395" ht="15.0" customHeight="1">
      <c r="A1395" s="789">
        <v>45973.0</v>
      </c>
      <c r="B1395" s="790">
        <v>2511405.0</v>
      </c>
      <c r="C1395" s="791" t="s">
        <v>11484</v>
      </c>
      <c r="D1395" s="791" t="s">
        <v>3638</v>
      </c>
      <c r="E1395" s="792" t="str">
        <f>IFERROR(VLOOKUP(D1395,Stock,3,FALSE),"")</f>
        <v>Mitsubishi Xpander 17-21</v>
      </c>
      <c r="F1395" s="791">
        <v>1.0</v>
      </c>
      <c r="G1395" s="842">
        <v>292050.0</v>
      </c>
      <c r="H1395" s="811">
        <f t="shared" si="72"/>
        <v>292050</v>
      </c>
      <c r="I1395" s="809">
        <f t="shared" si="85"/>
        <v>292050</v>
      </c>
      <c r="J1395" s="872">
        <v>46034.0</v>
      </c>
      <c r="K1395" s="799" t="s">
        <v>4262</v>
      </c>
      <c r="L1395" s="818" t="s">
        <v>12235</v>
      </c>
      <c r="M1395" s="818" t="s">
        <v>6675</v>
      </c>
      <c r="N1395" s="839">
        <v>45663.0</v>
      </c>
      <c r="O1395" s="823"/>
    </row>
    <row r="1396" ht="15.0" customHeight="1">
      <c r="A1396" s="789">
        <v>45979.0</v>
      </c>
      <c r="B1396" s="790">
        <v>2511662.0</v>
      </c>
      <c r="C1396" s="791" t="s">
        <v>11484</v>
      </c>
      <c r="D1396" s="791" t="s">
        <v>6396</v>
      </c>
      <c r="E1396" s="792" t="str">
        <f>IFERROR(VLOOKUP(D1396,Stock,3,FALSE),"")</f>
        <v>Geely Panda 09- LC Hatchback</v>
      </c>
      <c r="F1396" s="791">
        <v>1.0</v>
      </c>
      <c r="G1396" s="842">
        <v>1198450.0</v>
      </c>
      <c r="H1396" s="811">
        <f t="shared" si="72"/>
        <v>1198450</v>
      </c>
      <c r="I1396" s="809">
        <f t="shared" si="85"/>
        <v>1198450</v>
      </c>
      <c r="J1396" s="872">
        <v>46040.0</v>
      </c>
      <c r="K1396" s="799" t="s">
        <v>4262</v>
      </c>
      <c r="L1396" s="818" t="s">
        <v>12235</v>
      </c>
      <c r="M1396" s="818" t="s">
        <v>6675</v>
      </c>
      <c r="N1396" s="839">
        <v>46035.0</v>
      </c>
      <c r="O1396" s="823"/>
    </row>
    <row r="1397" ht="15.0" customHeight="1">
      <c r="A1397" s="789">
        <v>45975.0</v>
      </c>
      <c r="B1397" s="790">
        <v>2511489.0</v>
      </c>
      <c r="C1397" s="791" t="s">
        <v>11484</v>
      </c>
      <c r="D1397" s="791" t="s">
        <v>9842</v>
      </c>
      <c r="E1397" s="792" t="str">
        <f>IFERROR(VLOOKUP(D1397,Stock,3,FALSE),"")</f>
        <v>Toyota LandCruiser 98-07 FJ100 (Signus) [Sensor]</v>
      </c>
      <c r="F1397" s="791">
        <v>1.0</v>
      </c>
      <c r="G1397" s="842">
        <v>1829300.0</v>
      </c>
      <c r="H1397" s="811">
        <f t="shared" si="72"/>
        <v>1829300</v>
      </c>
      <c r="I1397" s="809">
        <f t="shared" si="85"/>
        <v>1829300</v>
      </c>
      <c r="J1397" s="872">
        <v>46036.0</v>
      </c>
      <c r="K1397" s="799" t="s">
        <v>4262</v>
      </c>
      <c r="L1397" s="818" t="s">
        <v>12235</v>
      </c>
      <c r="M1397" s="818" t="s">
        <v>6675</v>
      </c>
      <c r="N1397" s="839">
        <v>46035.0</v>
      </c>
      <c r="O1397" s="823"/>
    </row>
    <row r="1398" ht="15.0" customHeight="1">
      <c r="A1398" s="789">
        <v>45975.0</v>
      </c>
      <c r="B1398" s="790">
        <v>2511489.0</v>
      </c>
      <c r="C1398" s="791" t="s">
        <v>11484</v>
      </c>
      <c r="D1398" s="791" t="s">
        <v>3411</v>
      </c>
      <c r="E1398" s="792" t="str">
        <f>IFERROR(VLOOKUP(D1398,Stock,3,FALSE),"")</f>
        <v>Toyota Agya/Ayla 13-22 1st Gen</v>
      </c>
      <c r="F1398" s="791">
        <v>1.0</v>
      </c>
      <c r="G1398" s="842">
        <v>385000.0</v>
      </c>
      <c r="H1398" s="811">
        <f t="shared" si="72"/>
        <v>385000</v>
      </c>
      <c r="I1398" s="809">
        <f t="shared" si="85"/>
        <v>385000</v>
      </c>
      <c r="J1398" s="872">
        <v>46036.0</v>
      </c>
      <c r="K1398" s="799" t="s">
        <v>4262</v>
      </c>
      <c r="L1398" s="818" t="s">
        <v>12235</v>
      </c>
      <c r="M1398" s="818" t="s">
        <v>6675</v>
      </c>
      <c r="N1398" s="839">
        <v>46035.0</v>
      </c>
      <c r="O1398" s="823"/>
    </row>
    <row r="1399" ht="15.0" customHeight="1">
      <c r="A1399" s="789">
        <v>45975.0</v>
      </c>
      <c r="B1399" s="790">
        <v>2511489.0</v>
      </c>
      <c r="C1399" s="791" t="s">
        <v>11484</v>
      </c>
      <c r="D1399" s="791" t="s">
        <v>2562</v>
      </c>
      <c r="E1399" s="792" t="str">
        <f>IFERROR(VLOOKUP(D1399,Stock,3,FALSE),"")</f>
        <v>Toyota Avanza / Xenia 15-21 3rd Gen</v>
      </c>
      <c r="F1399" s="791">
        <v>1.0</v>
      </c>
      <c r="G1399" s="842">
        <v>416900.0</v>
      </c>
      <c r="H1399" s="811">
        <f t="shared" si="72"/>
        <v>416900</v>
      </c>
      <c r="I1399" s="809">
        <f t="shared" si="85"/>
        <v>416900</v>
      </c>
      <c r="J1399" s="872">
        <v>46036.0</v>
      </c>
      <c r="K1399" s="799" t="s">
        <v>4262</v>
      </c>
      <c r="L1399" s="818" t="s">
        <v>12235</v>
      </c>
      <c r="M1399" s="818" t="s">
        <v>6675</v>
      </c>
      <c r="N1399" s="839">
        <v>46035.0</v>
      </c>
      <c r="O1399" s="823"/>
    </row>
    <row r="1400" ht="15.0" customHeight="1">
      <c r="A1400" s="789">
        <v>45983.0</v>
      </c>
      <c r="B1400" s="790" t="s">
        <v>13286</v>
      </c>
      <c r="C1400" s="791" t="s">
        <v>13022</v>
      </c>
      <c r="D1400" s="791" t="s">
        <v>5528</v>
      </c>
      <c r="E1400" s="792" t="str">
        <f>IFERROR(VLOOKUP(D1400,Stock,3,FALSE),"")</f>
        <v>Toyota Innova 15-22 2nd Gen (Toyota)</v>
      </c>
      <c r="F1400" s="791">
        <v>2.0</v>
      </c>
      <c r="G1400" s="842">
        <v>1674000.0</v>
      </c>
      <c r="H1400" s="811">
        <f t="shared" si="72"/>
        <v>3348000</v>
      </c>
      <c r="I1400" s="809"/>
      <c r="J1400" s="819"/>
      <c r="K1400" s="799" t="s">
        <v>4262</v>
      </c>
      <c r="L1400" s="818" t="s">
        <v>12235</v>
      </c>
      <c r="M1400" s="818" t="s">
        <v>6675</v>
      </c>
      <c r="N1400" s="820">
        <v>45983.0</v>
      </c>
      <c r="O1400" s="823"/>
    </row>
    <row r="1401" ht="15.0" customHeight="1">
      <c r="A1401" s="789">
        <v>45983.0</v>
      </c>
      <c r="B1401" s="790" t="s">
        <v>13286</v>
      </c>
      <c r="C1401" s="791" t="s">
        <v>13022</v>
      </c>
      <c r="D1401" s="791" t="s">
        <v>9998</v>
      </c>
      <c r="E1401" s="792" t="str">
        <f>IFERROR(VLOOKUP(D1401,Stock,3,FALSE),"")</f>
        <v>Toyota Innova 04-15 1st Gen (Toyota)</v>
      </c>
      <c r="F1401" s="791">
        <v>1.0</v>
      </c>
      <c r="G1401" s="842">
        <v>1197000.0</v>
      </c>
      <c r="H1401" s="811">
        <f t="shared" si="72"/>
        <v>1197000</v>
      </c>
      <c r="I1401" s="809"/>
      <c r="J1401" s="819"/>
      <c r="K1401" s="799" t="s">
        <v>4262</v>
      </c>
      <c r="L1401" s="818" t="s">
        <v>12235</v>
      </c>
      <c r="M1401" s="818" t="s">
        <v>6675</v>
      </c>
      <c r="N1401" s="820">
        <v>45983.0</v>
      </c>
      <c r="O1401" s="823"/>
    </row>
    <row r="1402" ht="15.0" customHeight="1">
      <c r="A1402" s="789">
        <v>45986.0</v>
      </c>
      <c r="B1402" s="790" t="s">
        <v>13287</v>
      </c>
      <c r="C1402" s="791" t="s">
        <v>12932</v>
      </c>
      <c r="D1402" s="791" t="s">
        <v>2826</v>
      </c>
      <c r="E1402" s="792" t="str">
        <f>IFERROR(VLOOKUP(D1402,Stock,3,FALSE),"")</f>
        <v>Toyota Kijang 02-04 Kapsul Lem Efi </v>
      </c>
      <c r="F1402" s="791">
        <v>5.0</v>
      </c>
      <c r="G1402" s="842">
        <v>416499.5</v>
      </c>
      <c r="H1402" s="811">
        <f t="shared" si="72"/>
        <v>2082497.5</v>
      </c>
      <c r="I1402" s="809">
        <f t="shared" ref="I1402:I1425" si="86">H1402</f>
        <v>2082497.5</v>
      </c>
      <c r="J1402" s="819"/>
      <c r="K1402" s="799" t="s">
        <v>4262</v>
      </c>
      <c r="L1402" s="818" t="s">
        <v>12235</v>
      </c>
      <c r="M1402" s="818" t="s">
        <v>6675</v>
      </c>
      <c r="N1402" s="820">
        <v>46013.0</v>
      </c>
      <c r="O1402" s="823"/>
    </row>
    <row r="1403" ht="15.0" customHeight="1">
      <c r="A1403" s="789">
        <v>45986.0</v>
      </c>
      <c r="B1403" s="790">
        <v>2511903.0</v>
      </c>
      <c r="C1403" s="791" t="s">
        <v>11484</v>
      </c>
      <c r="D1403" s="791" t="s">
        <v>3391</v>
      </c>
      <c r="E1403" s="792" t="str">
        <f>IFERROR(VLOOKUP(D1403,Stock,3,FALSE),"")</f>
        <v>Toyota Fortuner 05-15 1st Gen</v>
      </c>
      <c r="F1403" s="791">
        <v>2.0</v>
      </c>
      <c r="G1403" s="842">
        <v>600600.0</v>
      </c>
      <c r="H1403" s="811">
        <f t="shared" si="72"/>
        <v>1201200</v>
      </c>
      <c r="I1403" s="809">
        <f t="shared" si="86"/>
        <v>1201200</v>
      </c>
      <c r="J1403" s="872">
        <v>46047.0</v>
      </c>
      <c r="K1403" s="799" t="s">
        <v>4262</v>
      </c>
      <c r="L1403" s="818" t="s">
        <v>12235</v>
      </c>
      <c r="M1403" s="818" t="s">
        <v>6675</v>
      </c>
      <c r="N1403" s="839">
        <v>46043.0</v>
      </c>
      <c r="O1403" s="823"/>
    </row>
    <row r="1404" ht="15.0" customHeight="1">
      <c r="A1404" s="789">
        <v>45986.0</v>
      </c>
      <c r="B1404" s="790">
        <v>2511903.0</v>
      </c>
      <c r="C1404" s="791" t="s">
        <v>11484</v>
      </c>
      <c r="D1404" s="791" t="s">
        <v>5683</v>
      </c>
      <c r="E1404" s="792" t="str">
        <f>IFERROR(VLOOKUP(D1404,Stock,3,FALSE),"")</f>
        <v>Wuling Cortez</v>
      </c>
      <c r="F1404" s="791">
        <v>1.0</v>
      </c>
      <c r="G1404" s="842">
        <v>982850.0</v>
      </c>
      <c r="H1404" s="811">
        <f t="shared" si="72"/>
        <v>982850</v>
      </c>
      <c r="I1404" s="809">
        <f t="shared" si="86"/>
        <v>982850</v>
      </c>
      <c r="J1404" s="872">
        <v>46047.0</v>
      </c>
      <c r="K1404" s="799" t="s">
        <v>4262</v>
      </c>
      <c r="L1404" s="818" t="s">
        <v>12235</v>
      </c>
      <c r="M1404" s="818" t="s">
        <v>6675</v>
      </c>
      <c r="N1404" s="839">
        <v>46043.0</v>
      </c>
      <c r="O1404" s="823"/>
    </row>
    <row r="1405" ht="15.0" customHeight="1">
      <c r="A1405" s="789">
        <v>45986.0</v>
      </c>
      <c r="B1405" s="790">
        <v>2511903.0</v>
      </c>
      <c r="C1405" s="791" t="s">
        <v>11484</v>
      </c>
      <c r="D1405" s="791" t="s">
        <v>6549</v>
      </c>
      <c r="E1405" s="792" t="str">
        <f>IFERROR(VLOOKUP(D1405,Stock,3,FALSE),"")</f>
        <v>Honda Mobilio 14-</v>
      </c>
      <c r="F1405" s="791">
        <v>1.0</v>
      </c>
      <c r="G1405" s="842">
        <v>495550.0</v>
      </c>
      <c r="H1405" s="811">
        <f t="shared" si="72"/>
        <v>495550</v>
      </c>
      <c r="I1405" s="809">
        <f t="shared" si="86"/>
        <v>495550</v>
      </c>
      <c r="J1405" s="872">
        <v>46047.0</v>
      </c>
      <c r="K1405" s="799" t="s">
        <v>4262</v>
      </c>
      <c r="L1405" s="818" t="s">
        <v>12235</v>
      </c>
      <c r="M1405" s="818" t="s">
        <v>6675</v>
      </c>
      <c r="N1405" s="839">
        <v>46043.0</v>
      </c>
      <c r="O1405" s="823"/>
    </row>
    <row r="1406" ht="15.0" customHeight="1">
      <c r="A1406" s="789">
        <v>45985.0</v>
      </c>
      <c r="B1406" s="790">
        <v>2511833.0</v>
      </c>
      <c r="C1406" s="791" t="s">
        <v>11484</v>
      </c>
      <c r="D1406" s="791" t="s">
        <v>2712</v>
      </c>
      <c r="E1406" s="792" t="str">
        <f>IFERROR(VLOOKUP(D1406,Stock,3,FALSE),"")</f>
        <v>Mitsubishi L300</v>
      </c>
      <c r="F1406" s="791">
        <v>1.0</v>
      </c>
      <c r="G1406" s="842">
        <v>429000.0</v>
      </c>
      <c r="H1406" s="811">
        <f t="shared" si="72"/>
        <v>429000</v>
      </c>
      <c r="I1406" s="809">
        <f t="shared" si="86"/>
        <v>429000</v>
      </c>
      <c r="J1406" s="872">
        <v>46046.0</v>
      </c>
      <c r="K1406" s="799" t="s">
        <v>4262</v>
      </c>
      <c r="L1406" s="818" t="s">
        <v>12235</v>
      </c>
      <c r="M1406" s="818" t="s">
        <v>6675</v>
      </c>
      <c r="N1406" s="839">
        <v>46043.0</v>
      </c>
      <c r="O1406" s="823"/>
    </row>
    <row r="1407" ht="15.0" customHeight="1">
      <c r="A1407" s="789">
        <v>45985.0</v>
      </c>
      <c r="B1407" s="790">
        <v>2511833.0</v>
      </c>
      <c r="C1407" s="791" t="s">
        <v>11484</v>
      </c>
      <c r="D1407" s="791" t="s">
        <v>4907</v>
      </c>
      <c r="E1407" s="792" t="str">
        <f>IFERROR(VLOOKUP(D1407,Stock,3,FALSE),"")</f>
        <v>Nissan Livina 07-12 L10 (Tanpa Lubang)</v>
      </c>
      <c r="F1407" s="791">
        <v>2.0</v>
      </c>
      <c r="G1407" s="842">
        <v>466950.0</v>
      </c>
      <c r="H1407" s="811">
        <f t="shared" si="72"/>
        <v>933900</v>
      </c>
      <c r="I1407" s="809">
        <f t="shared" si="86"/>
        <v>933900</v>
      </c>
      <c r="J1407" s="872">
        <v>46046.0</v>
      </c>
      <c r="K1407" s="799" t="s">
        <v>4262</v>
      </c>
      <c r="L1407" s="818" t="s">
        <v>12235</v>
      </c>
      <c r="M1407" s="818" t="s">
        <v>6675</v>
      </c>
      <c r="N1407" s="839">
        <v>46043.0</v>
      </c>
      <c r="O1407" s="823"/>
    </row>
    <row r="1408" ht="15.0" customHeight="1">
      <c r="A1408" s="802">
        <v>45987.0</v>
      </c>
      <c r="B1408" s="771" t="s">
        <v>13288</v>
      </c>
      <c r="C1408" s="63" t="s">
        <v>12992</v>
      </c>
      <c r="D1408" s="63" t="s">
        <v>9614</v>
      </c>
      <c r="E1408" s="772" t="str">
        <f>IFERROR(VLOOKUP(D1408,Stock,3,FALSE),"")</f>
        <v>Nissan Quester / Cw445 Quon 05-</v>
      </c>
      <c r="F1408" s="63">
        <v>1.0</v>
      </c>
      <c r="G1408" s="894">
        <v>1900000.0</v>
      </c>
      <c r="H1408" s="807">
        <f t="shared" si="72"/>
        <v>1900000</v>
      </c>
      <c r="I1408" s="895">
        <f t="shared" si="86"/>
        <v>1900000</v>
      </c>
      <c r="J1408" s="82"/>
      <c r="K1408" s="59" t="s">
        <v>4262</v>
      </c>
    </row>
    <row r="1409" ht="15.0" customHeight="1">
      <c r="A1409" s="789">
        <v>45989.0</v>
      </c>
      <c r="B1409" s="790" t="s">
        <v>13289</v>
      </c>
      <c r="C1409" s="791" t="s">
        <v>13145</v>
      </c>
      <c r="D1409" s="791" t="s">
        <v>8738</v>
      </c>
      <c r="E1409" s="792" t="str">
        <f>IFERROR(VLOOKUP(D1409,Stock,3,FALSE),"")</f>
        <v>Honda Mobilio 14- (Honda)</v>
      </c>
      <c r="F1409" s="791">
        <v>1.0</v>
      </c>
      <c r="G1409" s="842">
        <v>850000.0</v>
      </c>
      <c r="H1409" s="811">
        <f t="shared" si="72"/>
        <v>850000</v>
      </c>
      <c r="I1409" s="809">
        <f t="shared" si="86"/>
        <v>850000</v>
      </c>
      <c r="J1409" s="819"/>
      <c r="K1409" s="799" t="s">
        <v>4262</v>
      </c>
      <c r="L1409" s="818" t="s">
        <v>12235</v>
      </c>
      <c r="M1409" s="818" t="s">
        <v>6675</v>
      </c>
      <c r="N1409" s="820">
        <v>45989.0</v>
      </c>
      <c r="O1409" s="823"/>
    </row>
    <row r="1410" ht="15.0" customHeight="1">
      <c r="A1410" s="789">
        <v>45989.0</v>
      </c>
      <c r="B1410" s="790">
        <v>2.5111051E7</v>
      </c>
      <c r="C1410" s="791" t="s">
        <v>11484</v>
      </c>
      <c r="D1410" s="791" t="s">
        <v>10068</v>
      </c>
      <c r="E1410" s="792" t="str">
        <f>IFERROR(VLOOKUP(D1410,Stock,3,FALSE),"")</f>
        <v>Toyota Starlet KP80 89-95</v>
      </c>
      <c r="F1410" s="791">
        <v>1.0</v>
      </c>
      <c r="G1410" s="842">
        <v>624250.0</v>
      </c>
      <c r="H1410" s="811">
        <f t="shared" si="72"/>
        <v>624250</v>
      </c>
      <c r="I1410" s="809">
        <f t="shared" si="86"/>
        <v>624250</v>
      </c>
      <c r="J1410" s="819"/>
      <c r="K1410" s="799" t="s">
        <v>4262</v>
      </c>
      <c r="L1410" s="818" t="s">
        <v>12235</v>
      </c>
      <c r="M1410" s="818" t="s">
        <v>6675</v>
      </c>
      <c r="N1410" s="839">
        <v>46043.0</v>
      </c>
      <c r="O1410" s="823"/>
    </row>
    <row r="1411" ht="15.0" customHeight="1">
      <c r="A1411" s="789">
        <v>45989.0</v>
      </c>
      <c r="B1411" s="790">
        <v>2.511104E7</v>
      </c>
      <c r="C1411" s="791" t="s">
        <v>11484</v>
      </c>
      <c r="D1411" s="791" t="s">
        <v>10059</v>
      </c>
      <c r="E1411" s="792" t="str">
        <f>IFERROR(VLOOKUP(D1411,Stock,3,FALSE),"")</f>
        <v>Suzuki Baleno 15-21</v>
      </c>
      <c r="F1411" s="791">
        <v>1.0</v>
      </c>
      <c r="G1411" s="842">
        <v>585200.0</v>
      </c>
      <c r="H1411" s="811">
        <f t="shared" si="72"/>
        <v>585200</v>
      </c>
      <c r="I1411" s="809">
        <f t="shared" si="86"/>
        <v>585200</v>
      </c>
      <c r="J1411" s="819"/>
      <c r="K1411" s="799" t="s">
        <v>4262</v>
      </c>
      <c r="L1411" s="818" t="s">
        <v>12235</v>
      </c>
      <c r="M1411" s="818" t="s">
        <v>6675</v>
      </c>
      <c r="N1411" s="839">
        <v>46043.0</v>
      </c>
      <c r="O1411" s="823"/>
    </row>
    <row r="1412" ht="15.0" customHeight="1">
      <c r="A1412" s="789">
        <v>45992.0</v>
      </c>
      <c r="B1412" s="790" t="s">
        <v>13290</v>
      </c>
      <c r="C1412" s="791" t="s">
        <v>13291</v>
      </c>
      <c r="D1412" s="791" t="s">
        <v>10089</v>
      </c>
      <c r="E1412" s="792" t="str">
        <f>IFERROR(VLOOKUP(D1412,Stock,3,FALSE),"")</f>
        <v>Mitsubishi Pajero 08-16 (Mitsubishi)</v>
      </c>
      <c r="F1412" s="791">
        <v>1.0</v>
      </c>
      <c r="G1412" s="842">
        <v>895000.0</v>
      </c>
      <c r="H1412" s="811">
        <f t="shared" si="72"/>
        <v>895000</v>
      </c>
      <c r="I1412" s="809">
        <f t="shared" si="86"/>
        <v>895000</v>
      </c>
      <c r="J1412" s="819"/>
      <c r="K1412" s="799" t="s">
        <v>4262</v>
      </c>
      <c r="L1412" s="818" t="s">
        <v>12235</v>
      </c>
      <c r="M1412" s="818" t="s">
        <v>6675</v>
      </c>
      <c r="N1412" s="839">
        <v>45992.0</v>
      </c>
      <c r="O1412" s="823"/>
    </row>
    <row r="1413" ht="15.0" customHeight="1">
      <c r="A1413" s="896">
        <v>45982.0</v>
      </c>
      <c r="B1413" s="790">
        <v>2511780.0</v>
      </c>
      <c r="C1413" s="791" t="s">
        <v>11484</v>
      </c>
      <c r="D1413" s="791" t="s">
        <v>5587</v>
      </c>
      <c r="E1413" s="792" t="str">
        <f>IFERROR(VLOOKUP(D1413,Stock,3,FALSE),"")</f>
        <v>Honda CR-V 02-04 2nd Gen (Spion Jepit)</v>
      </c>
      <c r="F1413" s="791">
        <v>1.0</v>
      </c>
      <c r="G1413" s="842">
        <v>815100.0</v>
      </c>
      <c r="H1413" s="811">
        <f t="shared" si="72"/>
        <v>815100</v>
      </c>
      <c r="I1413" s="809">
        <f t="shared" si="86"/>
        <v>815100</v>
      </c>
      <c r="J1413" s="872">
        <v>46043.0</v>
      </c>
      <c r="K1413" s="799" t="s">
        <v>4262</v>
      </c>
      <c r="L1413" s="818" t="s">
        <v>12235</v>
      </c>
      <c r="M1413" s="818" t="s">
        <v>6675</v>
      </c>
      <c r="N1413" s="839">
        <v>46043.0</v>
      </c>
      <c r="O1413" s="823"/>
    </row>
    <row r="1414" ht="15.0" customHeight="1">
      <c r="A1414" s="896">
        <v>45982.0</v>
      </c>
      <c r="B1414" s="790">
        <v>2511780.0</v>
      </c>
      <c r="C1414" s="791" t="s">
        <v>11484</v>
      </c>
      <c r="D1414" s="791" t="s">
        <v>3411</v>
      </c>
      <c r="E1414" s="792" t="str">
        <f>IFERROR(VLOOKUP(D1414,Stock,3,FALSE),"")</f>
        <v>Toyota Agya/Ayla 13-22 1st Gen</v>
      </c>
      <c r="F1414" s="791">
        <v>2.0</v>
      </c>
      <c r="G1414" s="842">
        <v>385000.0</v>
      </c>
      <c r="H1414" s="811">
        <f t="shared" si="72"/>
        <v>770000</v>
      </c>
      <c r="I1414" s="809">
        <f t="shared" si="86"/>
        <v>770000</v>
      </c>
      <c r="J1414" s="872">
        <v>46043.0</v>
      </c>
      <c r="K1414" s="799" t="s">
        <v>4262</v>
      </c>
      <c r="L1414" s="818" t="s">
        <v>12235</v>
      </c>
      <c r="M1414" s="818" t="s">
        <v>6675</v>
      </c>
      <c r="N1414" s="839">
        <v>46043.0</v>
      </c>
      <c r="O1414" s="823"/>
    </row>
    <row r="1415" ht="15.0" customHeight="1">
      <c r="A1415" s="896">
        <v>45982.0</v>
      </c>
      <c r="B1415" s="790">
        <v>2511780.0</v>
      </c>
      <c r="C1415" s="791" t="s">
        <v>11484</v>
      </c>
      <c r="D1415" s="791" t="s">
        <v>2643</v>
      </c>
      <c r="E1415" s="792" t="str">
        <f>IFERROR(VLOOKUP(D1415,Stock,3,FALSE),"")</f>
        <v>Toyota Vios 07-13 XP90 2nd Gen</v>
      </c>
      <c r="F1415" s="791">
        <v>1.0</v>
      </c>
      <c r="G1415" s="842">
        <v>623150.0</v>
      </c>
      <c r="H1415" s="811">
        <f t="shared" si="72"/>
        <v>623150</v>
      </c>
      <c r="I1415" s="809">
        <f t="shared" si="86"/>
        <v>623150</v>
      </c>
      <c r="J1415" s="872">
        <v>46043.0</v>
      </c>
      <c r="K1415" s="799" t="s">
        <v>4262</v>
      </c>
      <c r="L1415" s="818" t="s">
        <v>12235</v>
      </c>
      <c r="M1415" s="818" t="s">
        <v>6675</v>
      </c>
      <c r="N1415" s="839">
        <v>46043.0</v>
      </c>
      <c r="O1415" s="823"/>
    </row>
    <row r="1416" ht="15.0" customHeight="1">
      <c r="A1416" s="896">
        <v>45982.0</v>
      </c>
      <c r="B1416" s="790">
        <v>2511780.0</v>
      </c>
      <c r="C1416" s="791" t="s">
        <v>11484</v>
      </c>
      <c r="D1416" s="791" t="s">
        <v>4907</v>
      </c>
      <c r="E1416" s="792" t="str">
        <f>IFERROR(VLOOKUP(D1416,Stock,3,FALSE),"")</f>
        <v>Nissan Livina 07-12 L10 (Tanpa Lubang)</v>
      </c>
      <c r="F1416" s="791">
        <v>2.0</v>
      </c>
      <c r="G1416" s="842">
        <v>466950.0</v>
      </c>
      <c r="H1416" s="811">
        <f t="shared" si="72"/>
        <v>933900</v>
      </c>
      <c r="I1416" s="809">
        <f t="shared" si="86"/>
        <v>933900</v>
      </c>
      <c r="J1416" s="872">
        <v>46043.0</v>
      </c>
      <c r="K1416" s="799" t="s">
        <v>4262</v>
      </c>
      <c r="L1416" s="818" t="s">
        <v>12235</v>
      </c>
      <c r="M1416" s="818" t="s">
        <v>6675</v>
      </c>
      <c r="N1416" s="839">
        <v>46043.0</v>
      </c>
      <c r="O1416" s="823"/>
    </row>
    <row r="1417" ht="15.0" customHeight="1">
      <c r="A1417" s="896">
        <v>45982.0</v>
      </c>
      <c r="B1417" s="790">
        <v>2511780.0</v>
      </c>
      <c r="C1417" s="791" t="s">
        <v>11484</v>
      </c>
      <c r="D1417" s="791" t="s">
        <v>3300</v>
      </c>
      <c r="E1417" s="792" t="str">
        <f>IFERROR(VLOOKUP(D1417,Stock,3,FALSE),"")</f>
        <v>Honda CR-V 07-11 3rd Gen</v>
      </c>
      <c r="F1417" s="791">
        <v>1.0</v>
      </c>
      <c r="G1417" s="842">
        <v>826100.0</v>
      </c>
      <c r="H1417" s="811">
        <f t="shared" si="72"/>
        <v>826100</v>
      </c>
      <c r="I1417" s="809">
        <f t="shared" si="86"/>
        <v>826100</v>
      </c>
      <c r="J1417" s="872">
        <v>46043.0</v>
      </c>
      <c r="K1417" s="799" t="s">
        <v>4262</v>
      </c>
      <c r="L1417" s="818" t="s">
        <v>12235</v>
      </c>
      <c r="M1417" s="818" t="s">
        <v>6675</v>
      </c>
      <c r="N1417" s="839">
        <v>46043.0</v>
      </c>
      <c r="O1417" s="823"/>
    </row>
    <row r="1418" ht="15.0" customHeight="1">
      <c r="A1418" s="896">
        <v>45982.0</v>
      </c>
      <c r="B1418" s="790">
        <v>2511780.0</v>
      </c>
      <c r="C1418" s="791" t="s">
        <v>11484</v>
      </c>
      <c r="D1418" s="791" t="s">
        <v>8323</v>
      </c>
      <c r="E1418" s="792" t="str">
        <f>IFERROR(VLOOKUP(D1418,Stock,3,FALSE),"")</f>
        <v>Honda CR-V 02-06 2nd Gen</v>
      </c>
      <c r="F1418" s="791">
        <v>1.0</v>
      </c>
      <c r="G1418" s="842">
        <v>954250.0</v>
      </c>
      <c r="H1418" s="811">
        <f t="shared" si="72"/>
        <v>954250</v>
      </c>
      <c r="I1418" s="809">
        <f t="shared" si="86"/>
        <v>954250</v>
      </c>
      <c r="J1418" s="872">
        <v>46043.0</v>
      </c>
      <c r="K1418" s="799" t="s">
        <v>4262</v>
      </c>
      <c r="L1418" s="818" t="s">
        <v>12235</v>
      </c>
      <c r="M1418" s="818" t="s">
        <v>6675</v>
      </c>
      <c r="N1418" s="839">
        <v>46043.0</v>
      </c>
      <c r="O1418" s="823"/>
    </row>
    <row r="1419" ht="15.0" customHeight="1">
      <c r="A1419" s="896">
        <v>45987.0</v>
      </c>
      <c r="B1419" s="790">
        <v>2511952.0</v>
      </c>
      <c r="C1419" s="791" t="s">
        <v>11484</v>
      </c>
      <c r="D1419" s="791" t="s">
        <v>6977</v>
      </c>
      <c r="E1419" s="792" t="str">
        <f>IFERROR(VLOOKUP(D1419,Stock,3,FALSE),"")</f>
        <v>Suzuki Karimun 99-06 Kotak</v>
      </c>
      <c r="F1419" s="791">
        <v>1.0</v>
      </c>
      <c r="G1419" s="842">
        <v>574750.0</v>
      </c>
      <c r="H1419" s="811">
        <f t="shared" si="72"/>
        <v>574750</v>
      </c>
      <c r="I1419" s="809">
        <f t="shared" si="86"/>
        <v>574750</v>
      </c>
      <c r="J1419" s="872">
        <v>46048.0</v>
      </c>
      <c r="K1419" s="799" t="s">
        <v>4262</v>
      </c>
      <c r="L1419" s="818" t="s">
        <v>12235</v>
      </c>
      <c r="M1419" s="818" t="s">
        <v>6675</v>
      </c>
      <c r="N1419" s="839">
        <v>46043.0</v>
      </c>
      <c r="O1419" s="823"/>
    </row>
    <row r="1420" ht="15.0" customHeight="1">
      <c r="A1420" s="896">
        <v>45988.0</v>
      </c>
      <c r="B1420" s="849">
        <v>2.5111008E7</v>
      </c>
      <c r="C1420" s="791" t="s">
        <v>11484</v>
      </c>
      <c r="D1420" s="791" t="s">
        <v>6549</v>
      </c>
      <c r="E1420" s="792" t="str">
        <f>IFERROR(VLOOKUP(D1420,Stock,3,FALSE),"")</f>
        <v>Honda Mobilio 14-</v>
      </c>
      <c r="F1420" s="791">
        <v>1.0</v>
      </c>
      <c r="G1420" s="842">
        <v>495550.0</v>
      </c>
      <c r="H1420" s="811">
        <f t="shared" si="72"/>
        <v>495550</v>
      </c>
      <c r="I1420" s="809">
        <f t="shared" si="86"/>
        <v>495550</v>
      </c>
      <c r="J1420" s="872">
        <v>46049.0</v>
      </c>
      <c r="K1420" s="799" t="s">
        <v>4262</v>
      </c>
      <c r="L1420" s="818" t="s">
        <v>12235</v>
      </c>
      <c r="M1420" s="818" t="s">
        <v>6675</v>
      </c>
      <c r="N1420" s="839">
        <v>46043.0</v>
      </c>
      <c r="O1420" s="823"/>
    </row>
    <row r="1421" ht="15.0" customHeight="1">
      <c r="A1421" s="896">
        <v>45992.0</v>
      </c>
      <c r="B1421" s="790">
        <v>2512036.0</v>
      </c>
      <c r="C1421" s="791" t="s">
        <v>11484</v>
      </c>
      <c r="D1421" s="790" t="s">
        <v>3127</v>
      </c>
      <c r="E1421" s="792" t="str">
        <f>IFERROR(VLOOKUP(D1421,Stock,3,FALSE),"")</f>
        <v>Toyota Avanza / Xenia 03-11 1st Gen</v>
      </c>
      <c r="F1421" s="791">
        <v>3.0</v>
      </c>
      <c r="G1421" s="842">
        <v>297550.0</v>
      </c>
      <c r="H1421" s="811">
        <f t="shared" si="72"/>
        <v>892650</v>
      </c>
      <c r="I1421" s="809">
        <f t="shared" si="86"/>
        <v>892650</v>
      </c>
      <c r="J1421" s="872">
        <v>46054.0</v>
      </c>
      <c r="K1421" s="799" t="s">
        <v>4262</v>
      </c>
      <c r="L1421" s="818" t="s">
        <v>12235</v>
      </c>
      <c r="M1421" s="818" t="s">
        <v>6675</v>
      </c>
      <c r="N1421" s="839">
        <v>46058.0</v>
      </c>
      <c r="O1421" s="823"/>
    </row>
    <row r="1422" ht="15.0" customHeight="1">
      <c r="A1422" s="896">
        <v>45992.0</v>
      </c>
      <c r="B1422" s="790">
        <v>2512036.0</v>
      </c>
      <c r="C1422" s="791" t="s">
        <v>11484</v>
      </c>
      <c r="D1422" s="791" t="s">
        <v>9315</v>
      </c>
      <c r="E1422" s="792" t="str">
        <f>IFERROR(VLOOKUP(D1422,Stock,3,FALSE),"")</f>
        <v>Suzuki Swift 04-11 1st Gen</v>
      </c>
      <c r="F1422" s="791">
        <v>1.0</v>
      </c>
      <c r="G1422" s="842">
        <v>462000.0</v>
      </c>
      <c r="H1422" s="811">
        <f t="shared" si="72"/>
        <v>462000</v>
      </c>
      <c r="I1422" s="809">
        <f t="shared" si="86"/>
        <v>462000</v>
      </c>
      <c r="J1422" s="872">
        <v>46054.0</v>
      </c>
      <c r="K1422" s="799" t="s">
        <v>4262</v>
      </c>
      <c r="L1422" s="818" t="s">
        <v>12235</v>
      </c>
      <c r="M1422" s="818" t="s">
        <v>6675</v>
      </c>
      <c r="N1422" s="839">
        <v>46058.0</v>
      </c>
      <c r="O1422" s="823"/>
    </row>
    <row r="1423" ht="15.0" customHeight="1">
      <c r="A1423" s="896">
        <v>45992.0</v>
      </c>
      <c r="B1423" s="790">
        <v>2512036.0</v>
      </c>
      <c r="C1423" s="791" t="s">
        <v>11484</v>
      </c>
      <c r="D1423" s="791" t="s">
        <v>5683</v>
      </c>
      <c r="E1423" s="792" t="str">
        <f>IFERROR(VLOOKUP(D1423,Stock,3,FALSE),"")</f>
        <v>Wuling Cortez</v>
      </c>
      <c r="F1423" s="791">
        <v>1.0</v>
      </c>
      <c r="G1423" s="842">
        <v>982850.0</v>
      </c>
      <c r="H1423" s="811">
        <f t="shared" si="72"/>
        <v>982850</v>
      </c>
      <c r="I1423" s="809">
        <f t="shared" si="86"/>
        <v>982850</v>
      </c>
      <c r="J1423" s="872">
        <v>46054.0</v>
      </c>
      <c r="K1423" s="799" t="s">
        <v>4262</v>
      </c>
      <c r="L1423" s="818" t="s">
        <v>12235</v>
      </c>
      <c r="M1423" s="818" t="s">
        <v>6675</v>
      </c>
      <c r="N1423" s="839">
        <v>46058.0</v>
      </c>
      <c r="O1423" s="823"/>
    </row>
    <row r="1424" ht="15.0" customHeight="1">
      <c r="A1424" s="896">
        <v>45992.0</v>
      </c>
      <c r="B1424" s="790">
        <v>2512036.0</v>
      </c>
      <c r="C1424" s="791" t="s">
        <v>11484</v>
      </c>
      <c r="D1424" s="791" t="s">
        <v>2559</v>
      </c>
      <c r="E1424" s="792" t="str">
        <f>IFERROR(VLOOKUP(D1424,Stock,3,FALSE),"")</f>
        <v>Toyota Kijang 98- Kapsul Karet</v>
      </c>
      <c r="F1424" s="791">
        <v>1.0</v>
      </c>
      <c r="G1424" s="842">
        <v>592900.0</v>
      </c>
      <c r="H1424" s="811">
        <f t="shared" si="72"/>
        <v>592900</v>
      </c>
      <c r="I1424" s="809">
        <f t="shared" si="86"/>
        <v>592900</v>
      </c>
      <c r="J1424" s="872">
        <v>46054.0</v>
      </c>
      <c r="K1424" s="799" t="s">
        <v>4262</v>
      </c>
      <c r="L1424" s="818" t="s">
        <v>12235</v>
      </c>
      <c r="M1424" s="818" t="s">
        <v>6675</v>
      </c>
      <c r="N1424" s="839">
        <v>46058.0</v>
      </c>
      <c r="O1424" s="823"/>
    </row>
    <row r="1425" ht="15.0" customHeight="1">
      <c r="A1425" s="896">
        <v>45993.0</v>
      </c>
      <c r="B1425" s="790">
        <v>2512099.0</v>
      </c>
      <c r="C1425" s="791" t="s">
        <v>11484</v>
      </c>
      <c r="D1425" s="791" t="s">
        <v>10095</v>
      </c>
      <c r="E1425" s="792" t="str">
        <f>IFERROR(VLOOKUP(D1425,Stock,3,FALSE),"")</f>
        <v>Wuling Confero / Formo</v>
      </c>
      <c r="F1425" s="791">
        <v>1.0</v>
      </c>
      <c r="G1425" s="842">
        <v>551100.0</v>
      </c>
      <c r="H1425" s="811">
        <f t="shared" si="72"/>
        <v>551100</v>
      </c>
      <c r="I1425" s="809">
        <f t="shared" si="86"/>
        <v>551100</v>
      </c>
      <c r="J1425" s="872">
        <v>46055.0</v>
      </c>
      <c r="K1425" s="799" t="s">
        <v>4262</v>
      </c>
      <c r="L1425" s="818" t="s">
        <v>12235</v>
      </c>
      <c r="M1425" s="818" t="s">
        <v>6675</v>
      </c>
      <c r="N1425" s="839">
        <v>46058.0</v>
      </c>
      <c r="O1425" s="823"/>
    </row>
    <row r="1426" ht="15.0" customHeight="1">
      <c r="A1426" s="897">
        <v>45996.0</v>
      </c>
      <c r="B1426" s="771" t="s">
        <v>13292</v>
      </c>
      <c r="C1426" s="63" t="s">
        <v>13107</v>
      </c>
      <c r="D1426" s="63" t="s">
        <v>13293</v>
      </c>
      <c r="E1426" s="772" t="str">
        <f>IFERROR(VLOOKUP(D1426,Stock,3,FALSE),"")</f>
        <v/>
      </c>
      <c r="F1426" s="63">
        <v>1.0</v>
      </c>
      <c r="G1426" s="894">
        <v>305000.0</v>
      </c>
      <c r="H1426" s="807">
        <f t="shared" si="72"/>
        <v>305000</v>
      </c>
      <c r="I1426" s="895"/>
      <c r="J1426" s="898">
        <v>46058.0</v>
      </c>
      <c r="K1426" s="59" t="s">
        <v>4262</v>
      </c>
    </row>
    <row r="1427" ht="15.0" customHeight="1">
      <c r="A1427" s="896">
        <v>45994.0</v>
      </c>
      <c r="B1427" s="790">
        <v>2512156.0</v>
      </c>
      <c r="C1427" s="791" t="s">
        <v>11484</v>
      </c>
      <c r="D1427" s="791" t="s">
        <v>10121</v>
      </c>
      <c r="E1427" s="792" t="str">
        <f>IFERROR(VLOOKUP(D1427,Stock,3,FALSE),"")</f>
        <v>Toyota CHR</v>
      </c>
      <c r="F1427" s="791">
        <v>1.0</v>
      </c>
      <c r="G1427" s="842">
        <v>2074550.0</v>
      </c>
      <c r="H1427" s="811">
        <f t="shared" si="72"/>
        <v>2074550</v>
      </c>
      <c r="I1427" s="809">
        <f t="shared" ref="I1427:I1433" si="87">H1427</f>
        <v>2074550</v>
      </c>
      <c r="J1427" s="872">
        <v>46056.0</v>
      </c>
      <c r="K1427" s="799" t="s">
        <v>4262</v>
      </c>
      <c r="L1427" s="818" t="s">
        <v>12235</v>
      </c>
      <c r="M1427" s="818" t="s">
        <v>6675</v>
      </c>
      <c r="N1427" s="839">
        <v>46058.0</v>
      </c>
      <c r="O1427" s="823"/>
    </row>
    <row r="1428" ht="15.0" customHeight="1">
      <c r="A1428" s="896">
        <v>45995.0</v>
      </c>
      <c r="B1428" s="790">
        <v>2512222.0</v>
      </c>
      <c r="C1428" s="791" t="s">
        <v>11484</v>
      </c>
      <c r="D1428" s="791" t="s">
        <v>10134</v>
      </c>
      <c r="E1428" s="792" t="str">
        <f>IFERROR(VLOOKUP(D1428,Stock,3,FALSE),"")</f>
        <v>Mers-Benz CLA-Class 13-19 W117</v>
      </c>
      <c r="F1428" s="791">
        <v>1.0</v>
      </c>
      <c r="G1428" s="842">
        <v>2475000.0</v>
      </c>
      <c r="H1428" s="811">
        <f t="shared" si="72"/>
        <v>2475000</v>
      </c>
      <c r="I1428" s="809">
        <f t="shared" si="87"/>
        <v>2475000</v>
      </c>
      <c r="J1428" s="872">
        <v>46057.0</v>
      </c>
      <c r="K1428" s="799" t="s">
        <v>4262</v>
      </c>
      <c r="L1428" s="818" t="s">
        <v>12235</v>
      </c>
      <c r="M1428" s="818" t="s">
        <v>6675</v>
      </c>
      <c r="N1428" s="839">
        <v>46058.0</v>
      </c>
      <c r="O1428" s="823"/>
    </row>
    <row r="1429" ht="15.0" customHeight="1">
      <c r="A1429" s="896">
        <v>45996.0</v>
      </c>
      <c r="B1429" s="790">
        <v>2512234.0</v>
      </c>
      <c r="C1429" s="791" t="s">
        <v>11484</v>
      </c>
      <c r="D1429" s="791" t="s">
        <v>2785</v>
      </c>
      <c r="E1429" s="792" t="str">
        <f>IFERROR(VLOOKUP(D1429,Stock,3,FALSE),"")</f>
        <v>Suzuki Swift 11-17 2nd Gen</v>
      </c>
      <c r="F1429" s="791">
        <v>1.0</v>
      </c>
      <c r="G1429" s="842">
        <v>712800.0</v>
      </c>
      <c r="H1429" s="811">
        <f t="shared" si="72"/>
        <v>712800</v>
      </c>
      <c r="I1429" s="809">
        <f t="shared" si="87"/>
        <v>712800</v>
      </c>
      <c r="J1429" s="819"/>
      <c r="K1429" s="799" t="s">
        <v>4262</v>
      </c>
      <c r="L1429" s="818" t="s">
        <v>12235</v>
      </c>
      <c r="M1429" s="818" t="s">
        <v>6675</v>
      </c>
      <c r="N1429" s="839">
        <v>46058.0</v>
      </c>
      <c r="O1429" s="823"/>
    </row>
    <row r="1430" ht="15.0" customHeight="1">
      <c r="A1430" s="896">
        <v>45996.0</v>
      </c>
      <c r="B1430" s="790">
        <v>2512234.0</v>
      </c>
      <c r="C1430" s="791" t="s">
        <v>11484</v>
      </c>
      <c r="D1430" s="791" t="s">
        <v>2562</v>
      </c>
      <c r="E1430" s="792" t="str">
        <f>IFERROR(VLOOKUP(D1430,Stock,3,FALSE),"")</f>
        <v>Toyota Avanza / Xenia 15-21 3rd Gen</v>
      </c>
      <c r="F1430" s="791">
        <v>1.0</v>
      </c>
      <c r="G1430" s="842">
        <v>416900.0</v>
      </c>
      <c r="H1430" s="811">
        <f t="shared" si="72"/>
        <v>416900</v>
      </c>
      <c r="I1430" s="809">
        <f t="shared" si="87"/>
        <v>416900</v>
      </c>
      <c r="J1430" s="819"/>
      <c r="K1430" s="799" t="s">
        <v>4262</v>
      </c>
      <c r="L1430" s="818" t="s">
        <v>12235</v>
      </c>
      <c r="M1430" s="818" t="s">
        <v>6675</v>
      </c>
      <c r="N1430" s="839">
        <v>46058.0</v>
      </c>
      <c r="O1430" s="823"/>
    </row>
    <row r="1431" ht="15.0" customHeight="1">
      <c r="A1431" s="896">
        <v>45996.0</v>
      </c>
      <c r="B1431" s="790">
        <v>2512234.0</v>
      </c>
      <c r="C1431" s="791" t="s">
        <v>11484</v>
      </c>
      <c r="D1431" s="791" t="s">
        <v>2721</v>
      </c>
      <c r="E1431" s="792" t="str">
        <f>IFERROR(VLOOKUP(D1431,Stock,3,FALSE),"")</f>
        <v>Toyota Dyna/Hino Dutro 00-</v>
      </c>
      <c r="F1431" s="791">
        <v>1.0</v>
      </c>
      <c r="G1431" s="842">
        <v>522500.0</v>
      </c>
      <c r="H1431" s="811">
        <f t="shared" si="72"/>
        <v>522500</v>
      </c>
      <c r="I1431" s="809">
        <f t="shared" si="87"/>
        <v>522500</v>
      </c>
      <c r="J1431" s="819"/>
      <c r="K1431" s="799" t="s">
        <v>4262</v>
      </c>
      <c r="L1431" s="818" t="s">
        <v>12235</v>
      </c>
      <c r="M1431" s="818" t="s">
        <v>6675</v>
      </c>
      <c r="N1431" s="839">
        <v>46058.0</v>
      </c>
      <c r="O1431" s="823"/>
    </row>
    <row r="1432" ht="15.0" customHeight="1">
      <c r="A1432" s="896">
        <v>45993.0</v>
      </c>
      <c r="B1432" s="818" t="s">
        <v>13294</v>
      </c>
      <c r="C1432" s="791" t="s">
        <v>13230</v>
      </c>
      <c r="D1432" s="791" t="s">
        <v>9963</v>
      </c>
      <c r="E1432" s="792" t="str">
        <f>IFERROR(VLOOKUP(D1432,Stock,3,FALSE),"")</f>
        <v>Hyundai Stargazer 22- No Hole (Hyundai)</v>
      </c>
      <c r="F1432" s="791">
        <v>1.0</v>
      </c>
      <c r="G1432" s="842"/>
      <c r="H1432" s="811">
        <f t="shared" si="72"/>
        <v>0</v>
      </c>
      <c r="I1432" s="809">
        <f t="shared" si="87"/>
        <v>0</v>
      </c>
      <c r="J1432" s="819"/>
      <c r="K1432" s="799" t="s">
        <v>4262</v>
      </c>
      <c r="L1432" s="818" t="s">
        <v>12235</v>
      </c>
      <c r="M1432" s="823"/>
      <c r="N1432" s="823"/>
      <c r="O1432" s="823"/>
    </row>
    <row r="1433" ht="15.0" customHeight="1">
      <c r="A1433" s="896">
        <v>45999.0</v>
      </c>
      <c r="B1433" s="790">
        <v>2512297.0</v>
      </c>
      <c r="C1433" s="791" t="s">
        <v>11484</v>
      </c>
      <c r="D1433" s="791" t="s">
        <v>2562</v>
      </c>
      <c r="E1433" s="792" t="str">
        <f>IFERROR(VLOOKUP(D1433,Stock,3,FALSE),"")</f>
        <v>Toyota Avanza / Xenia 15-21 3rd Gen</v>
      </c>
      <c r="F1433" s="791">
        <v>2.0</v>
      </c>
      <c r="G1433" s="842">
        <v>416900.0</v>
      </c>
      <c r="H1433" s="811">
        <f t="shared" si="72"/>
        <v>833800</v>
      </c>
      <c r="I1433" s="809">
        <f t="shared" si="87"/>
        <v>833800</v>
      </c>
      <c r="J1433" s="819"/>
      <c r="K1433" s="799" t="s">
        <v>4262</v>
      </c>
      <c r="L1433" s="818" t="s">
        <v>12235</v>
      </c>
      <c r="M1433" s="818" t="s">
        <v>6675</v>
      </c>
      <c r="N1433" s="839">
        <v>46058.0</v>
      </c>
      <c r="O1433" s="823"/>
    </row>
    <row r="1434" ht="15.0" customHeight="1">
      <c r="A1434" s="897">
        <v>45999.0</v>
      </c>
      <c r="B1434" s="771" t="s">
        <v>13295</v>
      </c>
      <c r="C1434" s="63" t="s">
        <v>13022</v>
      </c>
      <c r="D1434" s="63" t="s">
        <v>10156</v>
      </c>
      <c r="E1434" s="772" t="str">
        <f>IFERROR(VLOOKUP(D1434,Stock,3,FALSE),"")</f>
        <v>Toyota Innova 22- Zenyx 3rd Gen (1 Sensor / /\ ) (Toyota)</v>
      </c>
      <c r="F1434" s="63">
        <v>1.0</v>
      </c>
      <c r="G1434" s="894">
        <v>1656000.0</v>
      </c>
      <c r="H1434" s="807">
        <f t="shared" si="72"/>
        <v>1656000</v>
      </c>
      <c r="I1434" s="895"/>
      <c r="J1434" s="82"/>
      <c r="K1434" s="59" t="s">
        <v>4262</v>
      </c>
    </row>
    <row r="1435" ht="15.0" customHeight="1">
      <c r="A1435" s="896">
        <v>45999.0</v>
      </c>
      <c r="B1435" s="790">
        <v>2512298.0</v>
      </c>
      <c r="C1435" s="791" t="s">
        <v>11484</v>
      </c>
      <c r="D1435" s="791" t="s">
        <v>3366</v>
      </c>
      <c r="E1435" s="792" t="str">
        <f>IFERROR(VLOOKUP(D1435,Stock,3,FALSE),"")</f>
        <v>Toyota Hi-Ace 04-20 Commuter (Clear)</v>
      </c>
      <c r="F1435" s="791">
        <v>1.0</v>
      </c>
      <c r="G1435" s="842">
        <v>1230350.0</v>
      </c>
      <c r="H1435" s="811">
        <f t="shared" si="72"/>
        <v>1230350</v>
      </c>
      <c r="I1435" s="809">
        <f t="shared" ref="I1435:I1438" si="88">H1435</f>
        <v>1230350</v>
      </c>
      <c r="J1435" s="819"/>
      <c r="K1435" s="799" t="s">
        <v>4262</v>
      </c>
      <c r="L1435" s="818" t="s">
        <v>12235</v>
      </c>
      <c r="M1435" s="818" t="s">
        <v>6675</v>
      </c>
      <c r="N1435" s="839">
        <v>46058.0</v>
      </c>
      <c r="O1435" s="823"/>
    </row>
    <row r="1436" ht="15.0" customHeight="1">
      <c r="A1436" s="896">
        <v>45999.0</v>
      </c>
      <c r="B1436" s="790">
        <v>2512298.0</v>
      </c>
      <c r="C1436" s="791" t="s">
        <v>11484</v>
      </c>
      <c r="D1436" s="791" t="s">
        <v>2595</v>
      </c>
      <c r="E1436" s="792" t="str">
        <f>IFERROR(VLOOKUP(D1436,Stock,3,FALSE),"")</f>
        <v>Toyota Alphard 08-15 ANH20 2nd Gen</v>
      </c>
      <c r="F1436" s="791">
        <v>1.0</v>
      </c>
      <c r="G1436" s="842">
        <v>2066350.0</v>
      </c>
      <c r="H1436" s="811">
        <f t="shared" si="72"/>
        <v>2066350</v>
      </c>
      <c r="I1436" s="809">
        <f t="shared" si="88"/>
        <v>2066350</v>
      </c>
      <c r="J1436" s="819"/>
      <c r="K1436" s="799" t="s">
        <v>4262</v>
      </c>
      <c r="L1436" s="818" t="s">
        <v>12235</v>
      </c>
      <c r="M1436" s="818" t="s">
        <v>6675</v>
      </c>
      <c r="N1436" s="839">
        <v>46058.0</v>
      </c>
      <c r="O1436" s="823"/>
    </row>
    <row r="1437" ht="15.0" customHeight="1">
      <c r="A1437" s="789">
        <v>46000.0</v>
      </c>
      <c r="B1437" s="790">
        <v>2512355.0</v>
      </c>
      <c r="C1437" s="791" t="s">
        <v>11484</v>
      </c>
      <c r="D1437" s="791" t="s">
        <v>10167</v>
      </c>
      <c r="E1437" s="792" t="str">
        <f>IFERROR(VLOOKUP(D1437,Stock,3,FALSE),"")</f>
        <v>Suzuki Grand Vitara 06-14</v>
      </c>
      <c r="F1437" s="791">
        <v>1.0</v>
      </c>
      <c r="G1437" s="842">
        <v>588500.0</v>
      </c>
      <c r="H1437" s="811">
        <f t="shared" si="72"/>
        <v>588500</v>
      </c>
      <c r="I1437" s="809">
        <f t="shared" si="88"/>
        <v>588500</v>
      </c>
      <c r="J1437" s="872">
        <v>46062.0</v>
      </c>
      <c r="K1437" s="799" t="s">
        <v>4262</v>
      </c>
      <c r="L1437" s="818" t="s">
        <v>12235</v>
      </c>
      <c r="M1437" s="818" t="s">
        <v>6675</v>
      </c>
      <c r="N1437" s="839">
        <v>46058.0</v>
      </c>
      <c r="O1437" s="823"/>
    </row>
    <row r="1438" ht="15.0" customHeight="1">
      <c r="A1438" s="789">
        <v>46000.0</v>
      </c>
      <c r="B1438" s="790">
        <v>2512355.0</v>
      </c>
      <c r="C1438" s="791" t="s">
        <v>11484</v>
      </c>
      <c r="D1438" s="791" t="s">
        <v>13296</v>
      </c>
      <c r="E1438" s="792" t="str">
        <f>IFERROR(VLOOKUP(D1438,Stock,3,FALSE),"")</f>
        <v>Mitsubishi Strada Triton 16-</v>
      </c>
      <c r="F1438" s="791">
        <v>2.0</v>
      </c>
      <c r="G1438" s="842">
        <v>405900.0</v>
      </c>
      <c r="H1438" s="811">
        <f t="shared" si="72"/>
        <v>811800</v>
      </c>
      <c r="I1438" s="809">
        <f t="shared" si="88"/>
        <v>811800</v>
      </c>
      <c r="J1438" s="872">
        <v>46062.0</v>
      </c>
      <c r="K1438" s="799" t="s">
        <v>4262</v>
      </c>
      <c r="L1438" s="818" t="s">
        <v>12235</v>
      </c>
      <c r="M1438" s="818" t="s">
        <v>6675</v>
      </c>
      <c r="N1438" s="839">
        <v>46058.0</v>
      </c>
      <c r="O1438" s="823"/>
    </row>
    <row r="1439" ht="15.0" customHeight="1">
      <c r="A1439" s="802">
        <v>46003.0</v>
      </c>
      <c r="B1439" s="771" t="s">
        <v>13297</v>
      </c>
      <c r="C1439" s="63" t="s">
        <v>3076</v>
      </c>
      <c r="D1439" s="56" t="s">
        <v>10201</v>
      </c>
      <c r="E1439" s="772" t="str">
        <f>IFERROR(VLOOKUP(D1439,Stock,3,FALSE),"")</f>
        <v>Toyota Dyna Rino BY40 / Delta</v>
      </c>
      <c r="F1439" s="63">
        <v>1.0</v>
      </c>
      <c r="G1439" s="894">
        <v>997500.0</v>
      </c>
      <c r="H1439" s="807">
        <f t="shared" si="72"/>
        <v>997500</v>
      </c>
      <c r="I1439" s="895"/>
      <c r="J1439" s="82"/>
      <c r="K1439" s="59" t="s">
        <v>4262</v>
      </c>
    </row>
    <row r="1440" ht="15.0" customHeight="1">
      <c r="A1440" s="802">
        <v>46003.0</v>
      </c>
      <c r="B1440" s="771" t="s">
        <v>13297</v>
      </c>
      <c r="C1440" s="63" t="s">
        <v>3076</v>
      </c>
      <c r="D1440" s="56" t="s">
        <v>10202</v>
      </c>
      <c r="E1440" s="772" t="str">
        <f>IFERROR(VLOOKUP(D1440,Stock,3,FALSE),"")</f>
        <v>Toyota Dyna Rino BY40 / Delta</v>
      </c>
      <c r="F1440" s="63">
        <v>1.0</v>
      </c>
      <c r="G1440" s="894">
        <v>395000.0</v>
      </c>
      <c r="H1440" s="807">
        <f t="shared" si="72"/>
        <v>395000</v>
      </c>
      <c r="I1440" s="895"/>
      <c r="J1440" s="82"/>
      <c r="K1440" s="59" t="s">
        <v>4262</v>
      </c>
    </row>
    <row r="1441" ht="15.0" customHeight="1">
      <c r="A1441" s="802">
        <v>46003.0</v>
      </c>
      <c r="B1441" s="771" t="s">
        <v>13297</v>
      </c>
      <c r="C1441" s="63" t="s">
        <v>3076</v>
      </c>
      <c r="D1441" s="63" t="s">
        <v>2934</v>
      </c>
      <c r="E1441" s="772" t="str">
        <f>IFERROR(VLOOKUP(D1441,Stock,3,FALSE),"")</f>
        <v>Peti Kayu</v>
      </c>
      <c r="F1441" s="63">
        <v>1.0</v>
      </c>
      <c r="G1441" s="894">
        <v>150000.0</v>
      </c>
      <c r="H1441" s="807">
        <f t="shared" si="72"/>
        <v>150000</v>
      </c>
      <c r="I1441" s="895"/>
      <c r="J1441" s="82"/>
      <c r="K1441" s="59" t="s">
        <v>4262</v>
      </c>
    </row>
    <row r="1442" ht="15.0" customHeight="1">
      <c r="A1442" s="897">
        <v>46004.0</v>
      </c>
      <c r="B1442" s="771" t="s">
        <v>13298</v>
      </c>
      <c r="C1442" s="63" t="s">
        <v>16</v>
      </c>
      <c r="D1442" s="771" t="s">
        <v>8623</v>
      </c>
      <c r="E1442" s="772" t="str">
        <f>IFERROR(VLOOKUP(D1442,Stock,3,FALSE),"")</f>
        <v>Daihatsu Gran Max / Luxio 07-</v>
      </c>
      <c r="F1442" s="63">
        <v>8.0</v>
      </c>
      <c r="G1442" s="894"/>
      <c r="H1442" s="807"/>
      <c r="I1442" s="895"/>
      <c r="J1442" s="82"/>
      <c r="K1442" s="59" t="s">
        <v>4262</v>
      </c>
    </row>
    <row r="1443" ht="15.0" customHeight="1">
      <c r="A1443" s="897">
        <v>46004.0</v>
      </c>
      <c r="B1443" s="771" t="s">
        <v>13298</v>
      </c>
      <c r="C1443" s="63" t="s">
        <v>16</v>
      </c>
      <c r="D1443" s="63" t="s">
        <v>10430</v>
      </c>
      <c r="E1443" s="772" t="str">
        <f>IFERROR(VLOOKUP(D1443,Stock,3,FALSE),"")</f>
        <v>Honda Brio 10- / Mobilio 11-</v>
      </c>
      <c r="F1443" s="63">
        <v>10.0</v>
      </c>
      <c r="G1443" s="894"/>
      <c r="H1443" s="807">
        <f t="shared" ref="H1443:H1541" si="89">G1443*F1443</f>
        <v>0</v>
      </c>
      <c r="I1443" s="895">
        <f t="shared" ref="I1443:I1515" si="90">H1443</f>
        <v>0</v>
      </c>
      <c r="J1443" s="82"/>
      <c r="K1443" s="59" t="s">
        <v>4262</v>
      </c>
    </row>
    <row r="1444" ht="15.0" customHeight="1">
      <c r="A1444" s="897">
        <v>46004.0</v>
      </c>
      <c r="B1444" s="771" t="s">
        <v>13298</v>
      </c>
      <c r="C1444" s="63" t="s">
        <v>16</v>
      </c>
      <c r="D1444" s="63" t="s">
        <v>10333</v>
      </c>
      <c r="E1444" s="772" t="str">
        <f>IFERROR(VLOOKUP(D1444,Stock,3,FALSE),"")</f>
        <v>Toyota Avanza / Xenia 11-15 2nd Gen</v>
      </c>
      <c r="F1444" s="63">
        <v>8.0</v>
      </c>
      <c r="G1444" s="894"/>
      <c r="H1444" s="807">
        <f t="shared" si="89"/>
        <v>0</v>
      </c>
      <c r="I1444" s="895">
        <f t="shared" si="90"/>
        <v>0</v>
      </c>
      <c r="J1444" s="82"/>
      <c r="K1444" s="59" t="s">
        <v>4262</v>
      </c>
    </row>
    <row r="1445" ht="15.0" customHeight="1">
      <c r="A1445" s="897">
        <v>46004.0</v>
      </c>
      <c r="B1445" s="771" t="s">
        <v>13298</v>
      </c>
      <c r="C1445" s="63" t="s">
        <v>16</v>
      </c>
      <c r="D1445" s="63" t="s">
        <v>10289</v>
      </c>
      <c r="E1445" s="772" t="str">
        <f>IFERROR(VLOOKUP(D1445,Stock,3,FALSE),"")</f>
        <v>Toyota Avanza / Xenia 15-21 3rd Gen</v>
      </c>
      <c r="F1445" s="63">
        <v>9.0</v>
      </c>
      <c r="G1445" s="894"/>
      <c r="H1445" s="807">
        <f t="shared" si="89"/>
        <v>0</v>
      </c>
      <c r="I1445" s="895">
        <f t="shared" si="90"/>
        <v>0</v>
      </c>
      <c r="J1445" s="82"/>
      <c r="K1445" s="59" t="s">
        <v>4262</v>
      </c>
    </row>
    <row r="1446" ht="15.0" customHeight="1">
      <c r="A1446" s="897">
        <v>46004.0</v>
      </c>
      <c r="B1446" s="771" t="s">
        <v>13298</v>
      </c>
      <c r="C1446" s="63" t="s">
        <v>16</v>
      </c>
      <c r="D1446" s="63" t="s">
        <v>2973</v>
      </c>
      <c r="E1446" s="772" t="str">
        <f>IFERROR(VLOOKUP(D1446,Stock,3,FALSE),"")</f>
        <v>Toyota Innova 04-15 1st Gen</v>
      </c>
      <c r="F1446" s="63">
        <v>6.0</v>
      </c>
      <c r="G1446" s="894"/>
      <c r="H1446" s="807">
        <f t="shared" si="89"/>
        <v>0</v>
      </c>
      <c r="I1446" s="895">
        <f t="shared" si="90"/>
        <v>0</v>
      </c>
      <c r="J1446" s="82"/>
      <c r="K1446" s="59" t="s">
        <v>4262</v>
      </c>
    </row>
    <row r="1447" ht="15.0" customHeight="1">
      <c r="A1447" s="897">
        <v>46004.0</v>
      </c>
      <c r="B1447" s="771" t="s">
        <v>13298</v>
      </c>
      <c r="C1447" s="63" t="s">
        <v>16</v>
      </c>
      <c r="D1447" s="63" t="s">
        <v>10701</v>
      </c>
      <c r="E1447" s="772" t="str">
        <f>IFERROR(VLOOKUP(D1447,Stock,3,FALSE),"")</f>
        <v>Toyota Dyna/Hino Dutro 00-</v>
      </c>
      <c r="F1447" s="63">
        <v>12.0</v>
      </c>
      <c r="G1447" s="894"/>
      <c r="H1447" s="807">
        <f t="shared" si="89"/>
        <v>0</v>
      </c>
      <c r="I1447" s="895">
        <f t="shared" si="90"/>
        <v>0</v>
      </c>
      <c r="J1447" s="82"/>
      <c r="K1447" s="59" t="s">
        <v>4262</v>
      </c>
    </row>
    <row r="1448" ht="15.0" customHeight="1">
      <c r="A1448" s="897">
        <v>46004.0</v>
      </c>
      <c r="B1448" s="771" t="s">
        <v>13298</v>
      </c>
      <c r="C1448" s="63" t="s">
        <v>16</v>
      </c>
      <c r="D1448" s="63" t="s">
        <v>10239</v>
      </c>
      <c r="E1448" s="772" t="str">
        <f>IFERROR(VLOOKUP(D1448,Stock,3,FALSE),"")</f>
        <v>Ford Everest 04-15 / Ranger 04-11 / Mazda BT-50</v>
      </c>
      <c r="F1448" s="63">
        <v>6.0</v>
      </c>
      <c r="G1448" s="894"/>
      <c r="H1448" s="807">
        <f t="shared" si="89"/>
        <v>0</v>
      </c>
      <c r="I1448" s="895">
        <f t="shared" si="90"/>
        <v>0</v>
      </c>
      <c r="J1448" s="82"/>
      <c r="K1448" s="59" t="s">
        <v>4262</v>
      </c>
    </row>
    <row r="1449" ht="15.0" customHeight="1">
      <c r="A1449" s="897">
        <v>46004.0</v>
      </c>
      <c r="B1449" s="771" t="s">
        <v>13298</v>
      </c>
      <c r="C1449" s="63" t="s">
        <v>16</v>
      </c>
      <c r="D1449" s="63" t="s">
        <v>13299</v>
      </c>
      <c r="E1449" s="772" t="str">
        <f>IFERROR(VLOOKUP(D1449,Stock,3,FALSE),"")</f>
        <v>Ford Fiesta 09-17</v>
      </c>
      <c r="F1449" s="63">
        <v>6.0</v>
      </c>
      <c r="G1449" s="894"/>
      <c r="H1449" s="807">
        <f t="shared" si="89"/>
        <v>0</v>
      </c>
      <c r="I1449" s="895">
        <f t="shared" si="90"/>
        <v>0</v>
      </c>
      <c r="J1449" s="82"/>
      <c r="K1449" s="59" t="s">
        <v>4262</v>
      </c>
    </row>
    <row r="1450" ht="15.0" customHeight="1">
      <c r="A1450" s="897">
        <v>46004.0</v>
      </c>
      <c r="B1450" s="771" t="s">
        <v>13298</v>
      </c>
      <c r="C1450" s="63" t="s">
        <v>16</v>
      </c>
      <c r="D1450" s="63" t="s">
        <v>2670</v>
      </c>
      <c r="E1450" s="772" t="str">
        <f>IFERROR(VLOOKUP(D1450,Stock,3,FALSE),"")</f>
        <v>Honda City 02-08 4th Gen Idsi GD8</v>
      </c>
      <c r="F1450" s="63">
        <v>7.0</v>
      </c>
      <c r="G1450" s="894"/>
      <c r="H1450" s="807">
        <f t="shared" si="89"/>
        <v>0</v>
      </c>
      <c r="I1450" s="895">
        <f t="shared" si="90"/>
        <v>0</v>
      </c>
      <c r="J1450" s="82"/>
      <c r="K1450" s="59" t="s">
        <v>4262</v>
      </c>
    </row>
    <row r="1451" ht="15.0" customHeight="1">
      <c r="A1451" s="897">
        <v>46004.0</v>
      </c>
      <c r="B1451" s="771" t="s">
        <v>13298</v>
      </c>
      <c r="C1451" s="63" t="s">
        <v>16</v>
      </c>
      <c r="D1451" s="63" t="s">
        <v>5587</v>
      </c>
      <c r="E1451" s="772" t="str">
        <f>IFERROR(VLOOKUP(D1451,Stock,3,FALSE),"")</f>
        <v>Honda CR-V 02-04 2nd Gen (Spion Jepit)</v>
      </c>
      <c r="F1451" s="63">
        <v>6.0</v>
      </c>
      <c r="G1451" s="894"/>
      <c r="H1451" s="807">
        <f t="shared" si="89"/>
        <v>0</v>
      </c>
      <c r="I1451" s="895">
        <f t="shared" si="90"/>
        <v>0</v>
      </c>
      <c r="J1451" s="82"/>
      <c r="K1451" s="59" t="s">
        <v>4262</v>
      </c>
    </row>
    <row r="1452" ht="15.0" customHeight="1">
      <c r="A1452" s="897">
        <v>46004.0</v>
      </c>
      <c r="B1452" s="771" t="s">
        <v>13298</v>
      </c>
      <c r="C1452" s="63" t="s">
        <v>16</v>
      </c>
      <c r="D1452" s="63" t="s">
        <v>3300</v>
      </c>
      <c r="E1452" s="772" t="str">
        <f>IFERROR(VLOOKUP(D1452,Stock,3,FALSE),"")</f>
        <v>Honda CR-V 07-11 3rd Gen</v>
      </c>
      <c r="F1452" s="63">
        <v>6.0</v>
      </c>
      <c r="G1452" s="894"/>
      <c r="H1452" s="807">
        <f t="shared" si="89"/>
        <v>0</v>
      </c>
      <c r="I1452" s="895">
        <f t="shared" si="90"/>
        <v>0</v>
      </c>
      <c r="J1452" s="82"/>
      <c r="K1452" s="59" t="s">
        <v>4262</v>
      </c>
    </row>
    <row r="1453" ht="15.0" customHeight="1">
      <c r="A1453" s="897">
        <v>46004.0</v>
      </c>
      <c r="B1453" s="771" t="s">
        <v>13298</v>
      </c>
      <c r="C1453" s="63" t="s">
        <v>16</v>
      </c>
      <c r="D1453" s="63" t="s">
        <v>3582</v>
      </c>
      <c r="E1453" s="772" t="str">
        <f>IFERROR(VLOOKUP(D1453,Stock,3,FALSE),"")</f>
        <v>Honda CR-V 12-16 4th Gen</v>
      </c>
      <c r="F1453" s="63">
        <v>4.0</v>
      </c>
      <c r="G1453" s="894"/>
      <c r="H1453" s="807">
        <f t="shared" si="89"/>
        <v>0</v>
      </c>
      <c r="I1453" s="895">
        <f t="shared" si="90"/>
        <v>0</v>
      </c>
      <c r="J1453" s="82"/>
      <c r="K1453" s="59" t="s">
        <v>4262</v>
      </c>
    </row>
    <row r="1454" ht="15.0" customHeight="1">
      <c r="A1454" s="897">
        <v>46004.0</v>
      </c>
      <c r="B1454" s="771" t="s">
        <v>13298</v>
      </c>
      <c r="C1454" s="63" t="s">
        <v>16</v>
      </c>
      <c r="D1454" s="63" t="s">
        <v>2698</v>
      </c>
      <c r="E1454" s="772" t="str">
        <f>IFERROR(VLOOKUP(D1454,Stock,3,FALSE),"")</f>
        <v>Honda CR-V 17- 5th Gen</v>
      </c>
      <c r="F1454" s="63">
        <v>3.0</v>
      </c>
      <c r="G1454" s="894"/>
      <c r="H1454" s="807">
        <f t="shared" si="89"/>
        <v>0</v>
      </c>
      <c r="I1454" s="895">
        <f t="shared" si="90"/>
        <v>0</v>
      </c>
      <c r="J1454" s="82"/>
      <c r="K1454" s="59" t="s">
        <v>4262</v>
      </c>
    </row>
    <row r="1455" ht="15.0" customHeight="1">
      <c r="A1455" s="897">
        <v>46004.0</v>
      </c>
      <c r="B1455" s="771" t="s">
        <v>13298</v>
      </c>
      <c r="C1455" s="63" t="s">
        <v>16</v>
      </c>
      <c r="D1455" s="63" t="s">
        <v>3201</v>
      </c>
      <c r="E1455" s="772" t="str">
        <f>IFERROR(VLOOKUP(D1455,Stock,3,FALSE),"")</f>
        <v>Honda Freed 08-16 1st gen</v>
      </c>
      <c r="F1455" s="63">
        <v>5.0</v>
      </c>
      <c r="G1455" s="894"/>
      <c r="H1455" s="807">
        <f t="shared" si="89"/>
        <v>0</v>
      </c>
      <c r="I1455" s="895">
        <f t="shared" si="90"/>
        <v>0</v>
      </c>
      <c r="J1455" s="82"/>
      <c r="K1455" s="59" t="s">
        <v>4262</v>
      </c>
    </row>
    <row r="1456" ht="15.0" customHeight="1">
      <c r="A1456" s="897">
        <v>46004.0</v>
      </c>
      <c r="B1456" s="771" t="s">
        <v>13298</v>
      </c>
      <c r="C1456" s="63" t="s">
        <v>16</v>
      </c>
      <c r="D1456" s="63" t="s">
        <v>2729</v>
      </c>
      <c r="E1456" s="772" t="str">
        <f>IFERROR(VLOOKUP(D1456,Stock,3,FALSE),"")</f>
        <v>Honda HR-V 14-21 5D SUV</v>
      </c>
      <c r="F1456" s="63">
        <v>6.0</v>
      </c>
      <c r="G1456" s="894"/>
      <c r="H1456" s="807">
        <f t="shared" si="89"/>
        <v>0</v>
      </c>
      <c r="I1456" s="895">
        <f t="shared" si="90"/>
        <v>0</v>
      </c>
      <c r="J1456" s="82"/>
      <c r="K1456" s="59" t="s">
        <v>4262</v>
      </c>
    </row>
    <row r="1457" ht="15.0" customHeight="1">
      <c r="A1457" s="897">
        <v>46004.0</v>
      </c>
      <c r="B1457" s="771" t="s">
        <v>13298</v>
      </c>
      <c r="C1457" s="63" t="s">
        <v>16</v>
      </c>
      <c r="D1457" s="63" t="s">
        <v>10537</v>
      </c>
      <c r="E1457" s="772" t="str">
        <f>IFERROR(VLOOKUP(D1457,Stock,3,FALSE),"")</f>
        <v>Honda Jazz 01-07 1st Gen</v>
      </c>
      <c r="F1457" s="63">
        <v>4.0</v>
      </c>
      <c r="G1457" s="894"/>
      <c r="H1457" s="807">
        <f t="shared" si="89"/>
        <v>0</v>
      </c>
      <c r="I1457" s="895">
        <f t="shared" si="90"/>
        <v>0</v>
      </c>
      <c r="J1457" s="82"/>
      <c r="K1457" s="59" t="s">
        <v>4262</v>
      </c>
    </row>
    <row r="1458" ht="15.0" customHeight="1">
      <c r="A1458" s="897">
        <v>46004.0</v>
      </c>
      <c r="B1458" s="771" t="s">
        <v>13298</v>
      </c>
      <c r="C1458" s="63" t="s">
        <v>16</v>
      </c>
      <c r="D1458" s="63" t="s">
        <v>7897</v>
      </c>
      <c r="E1458" s="772" t="str">
        <f>IFERROR(VLOOKUP(D1458,Stock,3,FALSE),"")</f>
        <v>Honda Jazz 07-13 2nd Gen</v>
      </c>
      <c r="F1458" s="63">
        <v>5.0</v>
      </c>
      <c r="G1458" s="894"/>
      <c r="H1458" s="807">
        <f t="shared" si="89"/>
        <v>0</v>
      </c>
      <c r="I1458" s="895">
        <f t="shared" si="90"/>
        <v>0</v>
      </c>
      <c r="J1458" s="82"/>
      <c r="K1458" s="59" t="s">
        <v>4262</v>
      </c>
    </row>
    <row r="1459" ht="15.0" customHeight="1">
      <c r="A1459" s="897">
        <v>46004.0</v>
      </c>
      <c r="B1459" s="771" t="s">
        <v>13298</v>
      </c>
      <c r="C1459" s="63" t="s">
        <v>16</v>
      </c>
      <c r="D1459" s="63" t="s">
        <v>2732</v>
      </c>
      <c r="E1459" s="772" t="str">
        <f>IFERROR(VLOOKUP(D1459,Stock,3,FALSE),"")</f>
        <v>Honda Jazz 13- 3rd Gen</v>
      </c>
      <c r="F1459" s="63">
        <v>5.0</v>
      </c>
      <c r="G1459" s="894"/>
      <c r="H1459" s="807">
        <f t="shared" si="89"/>
        <v>0</v>
      </c>
      <c r="I1459" s="895">
        <f t="shared" si="90"/>
        <v>0</v>
      </c>
      <c r="J1459" s="82"/>
      <c r="K1459" s="59" t="s">
        <v>4262</v>
      </c>
    </row>
    <row r="1460" ht="15.0" customHeight="1">
      <c r="A1460" s="897">
        <v>46004.0</v>
      </c>
      <c r="B1460" s="771" t="s">
        <v>13298</v>
      </c>
      <c r="C1460" s="63" t="s">
        <v>16</v>
      </c>
      <c r="D1460" s="63" t="s">
        <v>13300</v>
      </c>
      <c r="E1460" s="772" t="str">
        <f>IFERROR(VLOOKUP(D1460,Stock,3,FALSE),"")</f>
        <v>Mazda 2 14- Skyactiv 4th Gen</v>
      </c>
      <c r="F1460" s="63">
        <v>7.0</v>
      </c>
      <c r="G1460" s="894"/>
      <c r="H1460" s="807">
        <f t="shared" si="89"/>
        <v>0</v>
      </c>
      <c r="I1460" s="895">
        <f t="shared" si="90"/>
        <v>0</v>
      </c>
      <c r="J1460" s="82"/>
      <c r="K1460" s="59" t="s">
        <v>4262</v>
      </c>
    </row>
    <row r="1461" ht="15.0" customHeight="1">
      <c r="A1461" s="897">
        <v>46004.0</v>
      </c>
      <c r="B1461" s="771" t="s">
        <v>13298</v>
      </c>
      <c r="C1461" s="63" t="s">
        <v>16</v>
      </c>
      <c r="D1461" s="63" t="s">
        <v>2607</v>
      </c>
      <c r="E1461" s="772" t="str">
        <f>IFERROR(VLOOKUP(D1461,Stock,3,FALSE),"")</f>
        <v>Mazda 2 14- Skyactiv 4th Gen (1 Sensor/ □ )</v>
      </c>
      <c r="F1461" s="63">
        <v>5.0</v>
      </c>
      <c r="G1461" s="894"/>
      <c r="H1461" s="807">
        <f t="shared" si="89"/>
        <v>0</v>
      </c>
      <c r="I1461" s="895">
        <f t="shared" si="90"/>
        <v>0</v>
      </c>
      <c r="J1461" s="82"/>
      <c r="K1461" s="59" t="s">
        <v>4262</v>
      </c>
    </row>
    <row r="1462" ht="15.0" customHeight="1">
      <c r="A1462" s="897">
        <v>46004.0</v>
      </c>
      <c r="B1462" s="771" t="s">
        <v>13298</v>
      </c>
      <c r="C1462" s="63" t="s">
        <v>16</v>
      </c>
      <c r="D1462" s="63" t="s">
        <v>2611</v>
      </c>
      <c r="E1462" s="772" t="str">
        <f>IFERROR(VLOOKUP(D1462,Stock,3,FALSE),"")</f>
        <v>Mazda CX-5 .12-14 1st Gen KE Pre - (1 Sensor/ □ )</v>
      </c>
      <c r="F1462" s="63">
        <v>5.0</v>
      </c>
      <c r="G1462" s="894"/>
      <c r="H1462" s="807">
        <f t="shared" si="89"/>
        <v>0</v>
      </c>
      <c r="I1462" s="895">
        <f t="shared" si="90"/>
        <v>0</v>
      </c>
      <c r="J1462" s="82"/>
      <c r="K1462" s="59" t="s">
        <v>4262</v>
      </c>
    </row>
    <row r="1463" ht="15.0" customHeight="1">
      <c r="A1463" s="897">
        <v>46004.0</v>
      </c>
      <c r="B1463" s="771" t="s">
        <v>13298</v>
      </c>
      <c r="C1463" s="63" t="s">
        <v>16</v>
      </c>
      <c r="D1463" s="63" t="s">
        <v>2783</v>
      </c>
      <c r="E1463" s="772" t="str">
        <f>IFERROR(VLOOKUP(D1463,Stock,3,FALSE),"")</f>
        <v>Mers-Benz C-Class 07-14 W204 (1 Sensor/ □)</v>
      </c>
      <c r="F1463" s="63">
        <v>5.0</v>
      </c>
      <c r="G1463" s="894"/>
      <c r="H1463" s="807">
        <f t="shared" si="89"/>
        <v>0</v>
      </c>
      <c r="I1463" s="895">
        <f t="shared" si="90"/>
        <v>0</v>
      </c>
      <c r="J1463" s="82"/>
      <c r="K1463" s="59" t="s">
        <v>4262</v>
      </c>
    </row>
    <row r="1464" ht="15.0" customHeight="1">
      <c r="A1464" s="897">
        <v>46004.0</v>
      </c>
      <c r="B1464" s="771" t="s">
        <v>13298</v>
      </c>
      <c r="C1464" s="63" t="s">
        <v>16</v>
      </c>
      <c r="D1464" s="63" t="s">
        <v>7955</v>
      </c>
      <c r="E1464" s="772" t="str">
        <f>IFERROR(VLOOKUP(D1464,Stock,3,FALSE),"")</f>
        <v>Mers-Benz E-Class 09-16 W212 (2 Sensor/ □Δ)</v>
      </c>
      <c r="F1464" s="63">
        <v>5.0</v>
      </c>
      <c r="G1464" s="894"/>
      <c r="H1464" s="807">
        <f t="shared" si="89"/>
        <v>0</v>
      </c>
      <c r="I1464" s="895">
        <f t="shared" si="90"/>
        <v>0</v>
      </c>
      <c r="J1464" s="82"/>
      <c r="K1464" s="59" t="s">
        <v>4262</v>
      </c>
    </row>
    <row r="1465" ht="15.0" customHeight="1">
      <c r="A1465" s="897">
        <v>46004.0</v>
      </c>
      <c r="B1465" s="771" t="s">
        <v>13298</v>
      </c>
      <c r="C1465" s="63" t="s">
        <v>16</v>
      </c>
      <c r="D1465" s="63" t="s">
        <v>13301</v>
      </c>
      <c r="E1465" s="772" t="str">
        <f>IFERROR(VLOOKUP(D1465,Stock,3,FALSE),"")</f>
        <v>Mitsubishi Pajero 16-</v>
      </c>
      <c r="F1465" s="63">
        <v>5.0</v>
      </c>
      <c r="G1465" s="894"/>
      <c r="H1465" s="807">
        <f t="shared" si="89"/>
        <v>0</v>
      </c>
      <c r="I1465" s="895">
        <f t="shared" si="90"/>
        <v>0</v>
      </c>
      <c r="J1465" s="82"/>
      <c r="K1465" s="59" t="s">
        <v>4262</v>
      </c>
    </row>
    <row r="1466" ht="15.0" customHeight="1">
      <c r="A1466" s="897">
        <v>46004.0</v>
      </c>
      <c r="B1466" s="771" t="s">
        <v>13298</v>
      </c>
      <c r="C1466" s="63" t="s">
        <v>16</v>
      </c>
      <c r="D1466" s="63" t="s">
        <v>10976</v>
      </c>
      <c r="E1466" s="772" t="str">
        <f>IFERROR(VLOOKUP(D1466,Stock,3,FALSE),"")</f>
        <v>Mitsubishi Xpander 17-</v>
      </c>
      <c r="F1466" s="63">
        <v>5.0</v>
      </c>
      <c r="G1466" s="894"/>
      <c r="H1466" s="807">
        <f t="shared" si="89"/>
        <v>0</v>
      </c>
      <c r="I1466" s="895">
        <f t="shared" si="90"/>
        <v>0</v>
      </c>
      <c r="J1466" s="82"/>
      <c r="K1466" s="59" t="s">
        <v>4262</v>
      </c>
    </row>
    <row r="1467" ht="15.0" customHeight="1">
      <c r="A1467" s="897">
        <v>46004.0</v>
      </c>
      <c r="B1467" s="771" t="s">
        <v>13298</v>
      </c>
      <c r="C1467" s="63" t="s">
        <v>16</v>
      </c>
      <c r="D1467" s="63" t="s">
        <v>3493</v>
      </c>
      <c r="E1467" s="772" t="str">
        <f>IFERROR(VLOOKUP(D1467,Stock,3,FALSE),"")</f>
        <v>Nissan Livina 07-18 L10/L11</v>
      </c>
      <c r="F1467" s="63">
        <v>5.0</v>
      </c>
      <c r="G1467" s="894"/>
      <c r="H1467" s="807">
        <f t="shared" si="89"/>
        <v>0</v>
      </c>
      <c r="I1467" s="895">
        <f t="shared" si="90"/>
        <v>0</v>
      </c>
      <c r="J1467" s="82"/>
      <c r="K1467" s="59" t="s">
        <v>4262</v>
      </c>
    </row>
    <row r="1468" ht="15.0" customHeight="1">
      <c r="A1468" s="897">
        <v>46004.0</v>
      </c>
      <c r="B1468" s="771" t="s">
        <v>13298</v>
      </c>
      <c r="C1468" s="63" t="s">
        <v>16</v>
      </c>
      <c r="D1468" s="63" t="s">
        <v>13302</v>
      </c>
      <c r="E1468" s="772" t="str">
        <f>IFERROR(VLOOKUP(D1468,Stock,3,FALSE),"")</f>
        <v>Nissan Terrano 95-06</v>
      </c>
      <c r="F1468" s="63">
        <v>6.0</v>
      </c>
      <c r="G1468" s="894"/>
      <c r="H1468" s="807">
        <f t="shared" si="89"/>
        <v>0</v>
      </c>
      <c r="I1468" s="895">
        <f t="shared" si="90"/>
        <v>0</v>
      </c>
      <c r="J1468" s="82"/>
      <c r="K1468" s="59" t="s">
        <v>4262</v>
      </c>
    </row>
    <row r="1469" ht="15.0" customHeight="1">
      <c r="A1469" s="897">
        <v>46004.0</v>
      </c>
      <c r="B1469" s="771" t="s">
        <v>13298</v>
      </c>
      <c r="C1469" s="63" t="s">
        <v>16</v>
      </c>
      <c r="D1469" s="63" t="s">
        <v>2676</v>
      </c>
      <c r="E1469" s="772" t="str">
        <f>IFERROR(VLOOKUP(D1469,Stock,3,FALSE),"")</f>
        <v>Nissan X-Trail 07-13 T31</v>
      </c>
      <c r="F1469" s="63">
        <v>7.0</v>
      </c>
      <c r="G1469" s="894"/>
      <c r="H1469" s="807">
        <f t="shared" si="89"/>
        <v>0</v>
      </c>
      <c r="I1469" s="895">
        <f t="shared" si="90"/>
        <v>0</v>
      </c>
      <c r="J1469" s="82"/>
      <c r="K1469" s="59" t="s">
        <v>4262</v>
      </c>
    </row>
    <row r="1470" ht="15.0" customHeight="1">
      <c r="A1470" s="897">
        <v>46004.0</v>
      </c>
      <c r="B1470" s="771" t="s">
        <v>13298</v>
      </c>
      <c r="C1470" s="63" t="s">
        <v>16</v>
      </c>
      <c r="D1470" s="63" t="s">
        <v>2723</v>
      </c>
      <c r="E1470" s="772" t="str">
        <f>IFERROR(VLOOKUP(D1470,Stock,3,FALSE),"")</f>
        <v>Suzuki Carry New 19-</v>
      </c>
      <c r="F1470" s="63">
        <v>3.0</v>
      </c>
      <c r="G1470" s="894"/>
      <c r="H1470" s="807">
        <f t="shared" si="89"/>
        <v>0</v>
      </c>
      <c r="I1470" s="895">
        <f t="shared" si="90"/>
        <v>0</v>
      </c>
      <c r="J1470" s="82"/>
      <c r="K1470" s="59" t="s">
        <v>4262</v>
      </c>
    </row>
    <row r="1471" ht="15.0" customHeight="1">
      <c r="A1471" s="897">
        <v>46004.0</v>
      </c>
      <c r="B1471" s="771" t="s">
        <v>13298</v>
      </c>
      <c r="C1471" s="63" t="s">
        <v>16</v>
      </c>
      <c r="D1471" s="63" t="s">
        <v>7660</v>
      </c>
      <c r="E1471" s="772" t="str">
        <f>IFERROR(VLOOKUP(D1471,Stock,3,FALSE),"")</f>
        <v>Suzuki Ertiga 12-18 1st Gen MPV</v>
      </c>
      <c r="F1471" s="63">
        <v>6.0</v>
      </c>
      <c r="G1471" s="894"/>
      <c r="H1471" s="807">
        <f t="shared" si="89"/>
        <v>0</v>
      </c>
      <c r="I1471" s="895">
        <f t="shared" si="90"/>
        <v>0</v>
      </c>
      <c r="J1471" s="82"/>
      <c r="K1471" s="59" t="s">
        <v>4262</v>
      </c>
    </row>
    <row r="1472" ht="15.0" customHeight="1">
      <c r="A1472" s="897">
        <v>46004.0</v>
      </c>
      <c r="B1472" s="771" t="s">
        <v>13298</v>
      </c>
      <c r="C1472" s="63" t="s">
        <v>16</v>
      </c>
      <c r="D1472" s="63" t="s">
        <v>10804</v>
      </c>
      <c r="E1472" s="772" t="str">
        <f>IFERROR(VLOOKUP(D1472,Stock,3,FALSE),"")</f>
        <v>Toyota Alphard 08-15 ANH20 2nd Gen</v>
      </c>
      <c r="F1472" s="63">
        <v>6.0</v>
      </c>
      <c r="G1472" s="894"/>
      <c r="H1472" s="807">
        <f t="shared" si="89"/>
        <v>0</v>
      </c>
      <c r="I1472" s="895">
        <f t="shared" si="90"/>
        <v>0</v>
      </c>
      <c r="J1472" s="82"/>
      <c r="K1472" s="59" t="s">
        <v>4262</v>
      </c>
    </row>
    <row r="1473" ht="15.0" customHeight="1">
      <c r="A1473" s="897">
        <v>46004.0</v>
      </c>
      <c r="B1473" s="771" t="s">
        <v>13298</v>
      </c>
      <c r="C1473" s="63" t="s">
        <v>16</v>
      </c>
      <c r="D1473" s="63" t="s">
        <v>10456</v>
      </c>
      <c r="E1473" s="772" t="str">
        <f>IFERROR(VLOOKUP(D1473,Stock,3,FALSE),"")</f>
        <v>Toyota Avanza / Xenia 03-11 1st Gen</v>
      </c>
      <c r="F1473" s="63">
        <v>12.0</v>
      </c>
      <c r="G1473" s="894"/>
      <c r="H1473" s="807">
        <f t="shared" si="89"/>
        <v>0</v>
      </c>
      <c r="I1473" s="895">
        <f t="shared" si="90"/>
        <v>0</v>
      </c>
      <c r="J1473" s="82"/>
      <c r="K1473" s="59" t="s">
        <v>4262</v>
      </c>
    </row>
    <row r="1474" ht="15.0" customHeight="1">
      <c r="A1474" s="897">
        <v>46004.0</v>
      </c>
      <c r="B1474" s="771" t="s">
        <v>13298</v>
      </c>
      <c r="C1474" s="63" t="s">
        <v>16</v>
      </c>
      <c r="D1474" s="63" t="s">
        <v>13303</v>
      </c>
      <c r="E1474" s="772" t="str">
        <f>IFERROR(VLOOKUP(D1474,Stock,3,FALSE),"")</f>
        <v>Toyota Fortuner 05-15 1st Gen</v>
      </c>
      <c r="F1474" s="63">
        <v>3.0</v>
      </c>
      <c r="G1474" s="894"/>
      <c r="H1474" s="807">
        <f t="shared" si="89"/>
        <v>0</v>
      </c>
      <c r="I1474" s="895">
        <f t="shared" si="90"/>
        <v>0</v>
      </c>
      <c r="J1474" s="82"/>
      <c r="K1474" s="59" t="s">
        <v>4262</v>
      </c>
    </row>
    <row r="1475" ht="15.0" customHeight="1">
      <c r="A1475" s="897">
        <v>46004.0</v>
      </c>
      <c r="B1475" s="771" t="s">
        <v>13298</v>
      </c>
      <c r="C1475" s="63" t="s">
        <v>16</v>
      </c>
      <c r="D1475" s="63" t="s">
        <v>13304</v>
      </c>
      <c r="E1475" s="772" t="str">
        <f>IFERROR(VLOOKUP(D1475,Stock,3,FALSE),"")</f>
        <v>Toyota Fortuner 15- 2nd Gen</v>
      </c>
      <c r="F1475" s="63">
        <v>6.0</v>
      </c>
      <c r="G1475" s="894"/>
      <c r="H1475" s="807">
        <f t="shared" si="89"/>
        <v>0</v>
      </c>
      <c r="I1475" s="895">
        <f t="shared" si="90"/>
        <v>0</v>
      </c>
      <c r="J1475" s="82"/>
      <c r="K1475" s="59" t="s">
        <v>4262</v>
      </c>
    </row>
    <row r="1476" ht="15.0" customHeight="1">
      <c r="A1476" s="897">
        <v>46004.0</v>
      </c>
      <c r="B1476" s="771" t="s">
        <v>13298</v>
      </c>
      <c r="C1476" s="63" t="s">
        <v>16</v>
      </c>
      <c r="D1476" s="63" t="s">
        <v>10480</v>
      </c>
      <c r="E1476" s="772" t="str">
        <f>IFERROR(VLOOKUP(D1476,Stock,3,FALSE),"")</f>
        <v>Toyota Innova 15- 2nd Gen</v>
      </c>
      <c r="F1476" s="63">
        <v>6.0</v>
      </c>
      <c r="G1476" s="894"/>
      <c r="H1476" s="807">
        <f t="shared" si="89"/>
        <v>0</v>
      </c>
      <c r="I1476" s="895">
        <f t="shared" si="90"/>
        <v>0</v>
      </c>
      <c r="J1476" s="82"/>
      <c r="K1476" s="59" t="s">
        <v>4262</v>
      </c>
    </row>
    <row r="1477" ht="15.0" customHeight="1">
      <c r="A1477" s="897">
        <v>46004.0</v>
      </c>
      <c r="B1477" s="771" t="s">
        <v>13298</v>
      </c>
      <c r="C1477" s="63" t="s">
        <v>16</v>
      </c>
      <c r="D1477" s="63" t="s">
        <v>2552</v>
      </c>
      <c r="E1477" s="772" t="str">
        <f>IFERROR(VLOOKUP(D1477,Stock,3,FALSE),"")</f>
        <v>Toyota Kijang 02-04 Kapsul Lem Efi</v>
      </c>
      <c r="F1477" s="63">
        <v>6.0</v>
      </c>
      <c r="G1477" s="894"/>
      <c r="H1477" s="807">
        <f t="shared" si="89"/>
        <v>0</v>
      </c>
      <c r="I1477" s="895">
        <f t="shared" si="90"/>
        <v>0</v>
      </c>
      <c r="J1477" s="82"/>
      <c r="K1477" s="59" t="s">
        <v>4262</v>
      </c>
    </row>
    <row r="1478" ht="15.0" customHeight="1">
      <c r="A1478" s="897">
        <v>46004.0</v>
      </c>
      <c r="B1478" s="771" t="s">
        <v>13298</v>
      </c>
      <c r="C1478" s="63" t="s">
        <v>16</v>
      </c>
      <c r="D1478" s="63" t="s">
        <v>10514</v>
      </c>
      <c r="E1478" s="772" t="str">
        <f>IFERROR(VLOOKUP(D1478,Stock,3,FALSE),"")</f>
        <v>Toyota Rush / Terios 06-17</v>
      </c>
      <c r="F1478" s="63">
        <v>6.0</v>
      </c>
      <c r="G1478" s="894"/>
      <c r="H1478" s="807">
        <f t="shared" si="89"/>
        <v>0</v>
      </c>
      <c r="I1478" s="895">
        <f t="shared" si="90"/>
        <v>0</v>
      </c>
      <c r="J1478" s="82"/>
      <c r="K1478" s="59" t="s">
        <v>4262</v>
      </c>
    </row>
    <row r="1479" ht="15.0" customHeight="1">
      <c r="A1479" s="897">
        <v>46004.0</v>
      </c>
      <c r="B1479" s="771" t="s">
        <v>13298</v>
      </c>
      <c r="C1479" s="63" t="s">
        <v>16</v>
      </c>
      <c r="D1479" s="63" t="s">
        <v>9836</v>
      </c>
      <c r="E1479" s="772" t="str">
        <f>IFERROR(VLOOKUP(D1479,Stock,3,FALSE),"")</f>
        <v>Toyota Yaris 13- 2nd Gen / Vios 14- 3rd Gen</v>
      </c>
      <c r="F1479" s="63">
        <v>8.0</v>
      </c>
      <c r="G1479" s="894"/>
      <c r="H1479" s="807">
        <f t="shared" si="89"/>
        <v>0</v>
      </c>
      <c r="I1479" s="895">
        <f t="shared" si="90"/>
        <v>0</v>
      </c>
      <c r="J1479" s="82"/>
      <c r="K1479" s="59" t="s">
        <v>4262</v>
      </c>
    </row>
    <row r="1480" ht="15.0" customHeight="1">
      <c r="A1480" s="897">
        <v>46004.0</v>
      </c>
      <c r="B1480" s="771" t="s">
        <v>13298</v>
      </c>
      <c r="C1480" s="63" t="s">
        <v>16</v>
      </c>
      <c r="D1480" s="63" t="s">
        <v>7063</v>
      </c>
      <c r="E1480" s="772" t="str">
        <f>IFERROR(VLOOKUP(D1480,Stock,3,FALSE),"")</f>
        <v>Wuling Confero (Tanpa Spionnya)</v>
      </c>
      <c r="F1480" s="63">
        <v>6.0</v>
      </c>
      <c r="G1480" s="894"/>
      <c r="H1480" s="807">
        <f t="shared" si="89"/>
        <v>0</v>
      </c>
      <c r="I1480" s="895">
        <f t="shared" si="90"/>
        <v>0</v>
      </c>
      <c r="J1480" s="82"/>
      <c r="K1480" s="59" t="s">
        <v>4262</v>
      </c>
    </row>
    <row r="1481" ht="15.0" customHeight="1">
      <c r="A1481" s="897">
        <v>46004.0</v>
      </c>
      <c r="B1481" s="771" t="s">
        <v>13298</v>
      </c>
      <c r="C1481" s="63" t="s">
        <v>16</v>
      </c>
      <c r="D1481" s="63" t="s">
        <v>2706</v>
      </c>
      <c r="E1481" s="772" t="str">
        <f>IFERROR(VLOOKUP(D1481,Stock,3,FALSE),"")</f>
        <v>Isuzu Elf 17- New NMR NLR</v>
      </c>
      <c r="F1481" s="63">
        <v>5.0</v>
      </c>
      <c r="G1481" s="894"/>
      <c r="H1481" s="807">
        <f t="shared" si="89"/>
        <v>0</v>
      </c>
      <c r="I1481" s="895">
        <f t="shared" si="90"/>
        <v>0</v>
      </c>
      <c r="J1481" s="82"/>
      <c r="K1481" s="59" t="s">
        <v>4262</v>
      </c>
    </row>
    <row r="1482" ht="15.0" customHeight="1">
      <c r="A1482" s="897">
        <v>46004.0</v>
      </c>
      <c r="B1482" s="771" t="s">
        <v>13298</v>
      </c>
      <c r="C1482" s="63" t="s">
        <v>16</v>
      </c>
      <c r="D1482" s="63" t="s">
        <v>10379</v>
      </c>
      <c r="E1482" s="772" t="str">
        <f>IFERROR(VLOOKUP(D1482,Stock,3,FALSE),"")</f>
        <v>Mitsubishi L300</v>
      </c>
      <c r="F1482" s="63">
        <v>2.0</v>
      </c>
      <c r="G1482" s="894"/>
      <c r="H1482" s="807">
        <f t="shared" si="89"/>
        <v>0</v>
      </c>
      <c r="I1482" s="895">
        <f t="shared" si="90"/>
        <v>0</v>
      </c>
      <c r="J1482" s="82"/>
      <c r="K1482" s="59" t="s">
        <v>4262</v>
      </c>
    </row>
    <row r="1483" ht="15.0" customHeight="1">
      <c r="A1483" s="897">
        <v>46004.0</v>
      </c>
      <c r="B1483" s="771" t="s">
        <v>13298</v>
      </c>
      <c r="C1483" s="63" t="s">
        <v>16</v>
      </c>
      <c r="D1483" s="63" t="s">
        <v>13305</v>
      </c>
      <c r="E1483" s="772" t="str">
        <f>IFERROR(VLOOKUP(D1483,Stock,3,FALSE),"")</f>
        <v>Toyota Alphard 02-08 ANH10 1st Gen</v>
      </c>
      <c r="F1483" s="63">
        <v>6.0</v>
      </c>
      <c r="G1483" s="894"/>
      <c r="H1483" s="807">
        <f t="shared" si="89"/>
        <v>0</v>
      </c>
      <c r="I1483" s="895">
        <f t="shared" si="90"/>
        <v>0</v>
      </c>
      <c r="J1483" s="82"/>
      <c r="K1483" s="59" t="s">
        <v>4262</v>
      </c>
    </row>
    <row r="1484" ht="15.0" customHeight="1">
      <c r="A1484" s="897">
        <v>46004.0</v>
      </c>
      <c r="B1484" s="771" t="s">
        <v>13298</v>
      </c>
      <c r="C1484" s="63" t="s">
        <v>16</v>
      </c>
      <c r="D1484" s="63" t="s">
        <v>13306</v>
      </c>
      <c r="E1484" s="772" t="str">
        <f>IFERROR(VLOOKUP(D1484,Stock,3,FALSE),"")</f>
        <v>Wuling Cortez</v>
      </c>
      <c r="F1484" s="63">
        <v>5.0</v>
      </c>
      <c r="G1484" s="894"/>
      <c r="H1484" s="807">
        <f t="shared" si="89"/>
        <v>0</v>
      </c>
      <c r="I1484" s="895">
        <f t="shared" si="90"/>
        <v>0</v>
      </c>
      <c r="J1484" s="82"/>
      <c r="K1484" s="59" t="s">
        <v>4262</v>
      </c>
    </row>
    <row r="1485" ht="15.0" customHeight="1">
      <c r="A1485" s="897">
        <v>46004.0</v>
      </c>
      <c r="B1485" s="771" t="s">
        <v>13298</v>
      </c>
      <c r="C1485" s="63" t="s">
        <v>16</v>
      </c>
      <c r="D1485" s="63" t="s">
        <v>2657</v>
      </c>
      <c r="E1485" s="772" t="str">
        <f>IFERROR(VLOOKUP(D1485,Stock,3,FALSE),"")</f>
        <v>Kia Picanto 11-16 2nd Gen</v>
      </c>
      <c r="F1485" s="63">
        <v>4.0</v>
      </c>
      <c r="G1485" s="894"/>
      <c r="H1485" s="807">
        <f t="shared" si="89"/>
        <v>0</v>
      </c>
      <c r="I1485" s="895">
        <f t="shared" si="90"/>
        <v>0</v>
      </c>
      <c r="J1485" s="82"/>
      <c r="K1485" s="59" t="s">
        <v>4262</v>
      </c>
    </row>
    <row r="1486" ht="15.0" customHeight="1">
      <c r="A1486" s="897">
        <v>46004.0</v>
      </c>
      <c r="B1486" s="771" t="s">
        <v>13298</v>
      </c>
      <c r="C1486" s="63" t="s">
        <v>16</v>
      </c>
      <c r="D1486" s="63" t="s">
        <v>5282</v>
      </c>
      <c r="E1486" s="772" t="str">
        <f>IFERROR(VLOOKUP(D1486,Stock,3,FALSE),"")</f>
        <v>Mitsubishi Canter FE800 01- (PS136)</v>
      </c>
      <c r="F1486" s="63">
        <v>5.0</v>
      </c>
      <c r="G1486" s="894"/>
      <c r="H1486" s="807">
        <f t="shared" si="89"/>
        <v>0</v>
      </c>
      <c r="I1486" s="895">
        <f t="shared" si="90"/>
        <v>0</v>
      </c>
      <c r="J1486" s="82"/>
      <c r="K1486" s="59" t="s">
        <v>4262</v>
      </c>
    </row>
    <row r="1487" ht="15.0" customHeight="1">
      <c r="A1487" s="897">
        <v>46004.0</v>
      </c>
      <c r="B1487" s="771" t="s">
        <v>13298</v>
      </c>
      <c r="C1487" s="63" t="s">
        <v>16</v>
      </c>
      <c r="D1487" s="63" t="s">
        <v>11427</v>
      </c>
      <c r="E1487" s="772" t="str">
        <f>IFERROR(VLOOKUP(D1487,Stock,3,FALSE),"")</f>
        <v>BMW 3 Series 90-99 E36</v>
      </c>
      <c r="F1487" s="63">
        <v>6.0</v>
      </c>
      <c r="G1487" s="894"/>
      <c r="H1487" s="807">
        <f t="shared" si="89"/>
        <v>0</v>
      </c>
      <c r="I1487" s="895">
        <f t="shared" si="90"/>
        <v>0</v>
      </c>
      <c r="J1487" s="82"/>
      <c r="K1487" s="59" t="s">
        <v>4262</v>
      </c>
    </row>
    <row r="1488" ht="15.0" customHeight="1">
      <c r="A1488" s="802">
        <v>46007.0</v>
      </c>
      <c r="B1488" s="771" t="s">
        <v>2672</v>
      </c>
      <c r="C1488" s="63" t="s">
        <v>10</v>
      </c>
      <c r="D1488" s="63" t="s">
        <v>2672</v>
      </c>
      <c r="E1488" s="772" t="str">
        <f>IFERROR(VLOOKUP(D1488,Stock,3,FALSE),"")</f>
        <v>Nissan March 10- K13</v>
      </c>
      <c r="F1488" s="63">
        <v>1.0</v>
      </c>
      <c r="G1488" s="894"/>
      <c r="H1488" s="807">
        <f t="shared" si="89"/>
        <v>0</v>
      </c>
      <c r="I1488" s="895">
        <f t="shared" si="90"/>
        <v>0</v>
      </c>
      <c r="J1488" s="82"/>
      <c r="K1488" s="59" t="s">
        <v>4281</v>
      </c>
    </row>
    <row r="1489" ht="15.0" customHeight="1">
      <c r="A1489" s="789">
        <v>46006.0</v>
      </c>
      <c r="B1489" s="899">
        <v>2512540.0</v>
      </c>
      <c r="C1489" s="791" t="s">
        <v>11484</v>
      </c>
      <c r="D1489" s="791" t="s">
        <v>10152</v>
      </c>
      <c r="E1489" s="792" t="str">
        <f>IFERROR(VLOOKUP(D1489,Stock,3,FALSE),"")</f>
        <v>BMW 7 Series 19- G11/G12 (1 Sensor / O )</v>
      </c>
      <c r="F1489" s="791">
        <v>1.0</v>
      </c>
      <c r="G1489" s="842">
        <v>4402750.0</v>
      </c>
      <c r="H1489" s="811">
        <f t="shared" si="89"/>
        <v>4402750</v>
      </c>
      <c r="I1489" s="809">
        <f t="shared" si="90"/>
        <v>4402750</v>
      </c>
      <c r="J1489" s="872">
        <v>46068.0</v>
      </c>
      <c r="K1489" s="799" t="s">
        <v>4262</v>
      </c>
      <c r="L1489" s="818" t="s">
        <v>12235</v>
      </c>
      <c r="M1489" s="818" t="s">
        <v>6675</v>
      </c>
      <c r="N1489" s="839">
        <v>46058.0</v>
      </c>
      <c r="O1489" s="823"/>
    </row>
    <row r="1490" ht="15.0" customHeight="1">
      <c r="A1490" s="789">
        <v>46008.0</v>
      </c>
      <c r="B1490" s="790">
        <v>2512645.0</v>
      </c>
      <c r="C1490" s="791" t="s">
        <v>11484</v>
      </c>
      <c r="D1490" s="791" t="s">
        <v>2662</v>
      </c>
      <c r="E1490" s="792" t="str">
        <f>IFERROR(VLOOKUP(D1490,Stock,3,FALSE),"")</f>
        <v>Wuling Almaz (Sensor)</v>
      </c>
      <c r="F1490" s="791">
        <v>1.0</v>
      </c>
      <c r="G1490" s="842">
        <v>1485000.0</v>
      </c>
      <c r="H1490" s="811">
        <f t="shared" si="89"/>
        <v>1485000</v>
      </c>
      <c r="I1490" s="809">
        <f t="shared" si="90"/>
        <v>1485000</v>
      </c>
      <c r="J1490" s="872">
        <v>46070.0</v>
      </c>
      <c r="K1490" s="799" t="s">
        <v>4262</v>
      </c>
      <c r="L1490" s="818" t="s">
        <v>12235</v>
      </c>
      <c r="M1490" s="818" t="s">
        <v>6675</v>
      </c>
      <c r="N1490" s="839">
        <v>46067.0</v>
      </c>
      <c r="O1490" s="823"/>
    </row>
    <row r="1491" ht="15.0" customHeight="1">
      <c r="A1491" s="789">
        <v>46008.0</v>
      </c>
      <c r="B1491" s="790" t="s">
        <v>13307</v>
      </c>
      <c r="C1491" s="791" t="s">
        <v>12932</v>
      </c>
      <c r="D1491" s="791" t="s">
        <v>2838</v>
      </c>
      <c r="E1491" s="792" t="str">
        <f>IFERROR(VLOOKUP(D1491,Stock,3,FALSE),"")</f>
        <v>Suzuki Carry 91-17 / Futura 91-18</v>
      </c>
      <c r="F1491" s="791">
        <v>5.0</v>
      </c>
      <c r="G1491" s="842">
        <v>85000.47</v>
      </c>
      <c r="H1491" s="811">
        <f t="shared" si="89"/>
        <v>425002.35</v>
      </c>
      <c r="I1491" s="809">
        <f t="shared" si="90"/>
        <v>425002.35</v>
      </c>
      <c r="J1491" s="872">
        <v>46070.0</v>
      </c>
      <c r="K1491" s="799" t="s">
        <v>4262</v>
      </c>
      <c r="L1491" s="818" t="s">
        <v>12235</v>
      </c>
      <c r="M1491" s="818" t="s">
        <v>6675</v>
      </c>
      <c r="N1491" s="839">
        <v>46052.0</v>
      </c>
      <c r="O1491" s="823"/>
    </row>
    <row r="1492" ht="15.0" customHeight="1">
      <c r="A1492" s="789">
        <v>46008.0</v>
      </c>
      <c r="B1492" s="790" t="s">
        <v>13307</v>
      </c>
      <c r="C1492" s="791" t="s">
        <v>12932</v>
      </c>
      <c r="D1492" s="791" t="s">
        <v>2821</v>
      </c>
      <c r="E1492" s="792" t="str">
        <f>IFERROR(VLOOKUP(D1492,Stock,3,FALSE),"")</f>
        <v>Isuzu Elf 17- New NMR NLR / Isuzu Giga </v>
      </c>
      <c r="F1492" s="791">
        <v>5.0</v>
      </c>
      <c r="G1492" s="842">
        <v>215050.2</v>
      </c>
      <c r="H1492" s="811">
        <f t="shared" si="89"/>
        <v>1075251</v>
      </c>
      <c r="I1492" s="809">
        <f t="shared" si="90"/>
        <v>1075251</v>
      </c>
      <c r="J1492" s="872">
        <v>46070.0</v>
      </c>
      <c r="K1492" s="799" t="s">
        <v>4262</v>
      </c>
      <c r="L1492" s="818" t="s">
        <v>12235</v>
      </c>
      <c r="M1492" s="818" t="s">
        <v>6675</v>
      </c>
      <c r="N1492" s="839">
        <v>46052.0</v>
      </c>
      <c r="O1492" s="823"/>
    </row>
    <row r="1493" ht="15.0" customHeight="1">
      <c r="A1493" s="802">
        <v>46009.0</v>
      </c>
      <c r="B1493" s="771" t="s">
        <v>13308</v>
      </c>
      <c r="C1493" s="63" t="s">
        <v>13230</v>
      </c>
      <c r="D1493" s="6" t="s">
        <v>3564</v>
      </c>
      <c r="E1493" s="772" t="str">
        <f>IFERROR(VLOOKUP(D1493,Stock,3,FALSE),"")</f>
        <v>Toyota Calya / Sigra 16-</v>
      </c>
      <c r="F1493" s="63">
        <v>5.0</v>
      </c>
      <c r="G1493" s="894"/>
      <c r="H1493" s="807">
        <f t="shared" si="89"/>
        <v>0</v>
      </c>
      <c r="I1493" s="895">
        <f t="shared" si="90"/>
        <v>0</v>
      </c>
      <c r="J1493" s="82"/>
      <c r="K1493" s="59" t="s">
        <v>4262</v>
      </c>
    </row>
    <row r="1494" ht="15.0" customHeight="1">
      <c r="A1494" s="802">
        <v>46009.0</v>
      </c>
      <c r="B1494" s="771" t="s">
        <v>13308</v>
      </c>
      <c r="C1494" s="63" t="s">
        <v>13230</v>
      </c>
      <c r="D1494" s="63" t="s">
        <v>4386</v>
      </c>
      <c r="E1494" s="772" t="str">
        <f>IFERROR(VLOOKUP(D1494,Stock,3,FALSE),"")</f>
        <v>Toyota Calya / Sigra 16-</v>
      </c>
      <c r="F1494" s="63">
        <v>5.0</v>
      </c>
      <c r="G1494" s="894"/>
      <c r="H1494" s="807">
        <f t="shared" si="89"/>
        <v>0</v>
      </c>
      <c r="I1494" s="895">
        <f t="shared" si="90"/>
        <v>0</v>
      </c>
      <c r="J1494" s="82"/>
      <c r="K1494" s="59" t="s">
        <v>4262</v>
      </c>
    </row>
    <row r="1495" ht="15.0" customHeight="1">
      <c r="A1495" s="802">
        <v>46009.0</v>
      </c>
      <c r="B1495" s="771" t="s">
        <v>13308</v>
      </c>
      <c r="C1495" s="63" t="s">
        <v>13230</v>
      </c>
      <c r="D1495" s="63" t="s">
        <v>3382</v>
      </c>
      <c r="E1495" s="772" t="str">
        <f>IFERROR(VLOOKUP(D1495,Stock,3,FALSE),"")</f>
        <v>Toyota Avanza / Xenia 11-15 2nd Gen / 15-21 3rd Gen</v>
      </c>
      <c r="F1495" s="63">
        <v>5.0</v>
      </c>
      <c r="G1495" s="894"/>
      <c r="H1495" s="807">
        <f t="shared" si="89"/>
        <v>0</v>
      </c>
      <c r="I1495" s="895">
        <f t="shared" si="90"/>
        <v>0</v>
      </c>
      <c r="J1495" s="82"/>
      <c r="K1495" s="59" t="s">
        <v>4262</v>
      </c>
    </row>
    <row r="1496" ht="15.0" customHeight="1">
      <c r="A1496" s="802">
        <v>46009.0</v>
      </c>
      <c r="B1496" s="771" t="s">
        <v>13308</v>
      </c>
      <c r="C1496" s="63" t="s">
        <v>13230</v>
      </c>
      <c r="D1496" s="63" t="s">
        <v>3934</v>
      </c>
      <c r="E1496" s="772" t="str">
        <f>IFERROR(VLOOKUP(D1496,Stock,3,FALSE),"")</f>
        <v>Toyota Avanza / Xenia 11-15 2nd Gen / 15-21 3rd Gen</v>
      </c>
      <c r="F1496" s="63">
        <v>5.0</v>
      </c>
      <c r="G1496" s="894"/>
      <c r="H1496" s="807">
        <f t="shared" si="89"/>
        <v>0</v>
      </c>
      <c r="I1496" s="895">
        <f t="shared" si="90"/>
        <v>0</v>
      </c>
      <c r="J1496" s="82"/>
      <c r="K1496" s="59" t="s">
        <v>4262</v>
      </c>
    </row>
    <row r="1497" ht="15.0" customHeight="1">
      <c r="A1497" s="802">
        <v>46009.0</v>
      </c>
      <c r="B1497" s="771" t="s">
        <v>13308</v>
      </c>
      <c r="C1497" s="63" t="s">
        <v>13230</v>
      </c>
      <c r="D1497" s="63" t="s">
        <v>3543</v>
      </c>
      <c r="E1497" s="772" t="str">
        <f>IFERROR(VLOOKUP(D1497,Stock,3,FALSE),"")</f>
        <v>Daihatsu Gran Max Minibus/Van</v>
      </c>
      <c r="F1497" s="63">
        <v>5.0</v>
      </c>
      <c r="G1497" s="894"/>
      <c r="H1497" s="807">
        <f t="shared" si="89"/>
        <v>0</v>
      </c>
      <c r="I1497" s="895">
        <f t="shared" si="90"/>
        <v>0</v>
      </c>
      <c r="J1497" s="82"/>
      <c r="K1497" s="59" t="s">
        <v>4262</v>
      </c>
    </row>
    <row r="1498" ht="15.0" customHeight="1">
      <c r="A1498" s="802">
        <v>46009.0</v>
      </c>
      <c r="B1498" s="771" t="s">
        <v>13308</v>
      </c>
      <c r="C1498" s="63" t="s">
        <v>13230</v>
      </c>
      <c r="D1498" s="63" t="s">
        <v>2753</v>
      </c>
      <c r="E1498" s="772" t="str">
        <f>IFERROR(VLOOKUP(D1498,Stock,3,FALSE),"")</f>
        <v>Daihatsu Luxio 07-</v>
      </c>
      <c r="F1498" s="63">
        <v>5.0</v>
      </c>
      <c r="G1498" s="894"/>
      <c r="H1498" s="807">
        <f t="shared" si="89"/>
        <v>0</v>
      </c>
      <c r="I1498" s="895">
        <f t="shared" si="90"/>
        <v>0</v>
      </c>
      <c r="J1498" s="82"/>
      <c r="K1498" s="59" t="s">
        <v>4262</v>
      </c>
    </row>
    <row r="1499" ht="15.0" customHeight="1">
      <c r="A1499" s="802">
        <v>46009.0</v>
      </c>
      <c r="B1499" s="771" t="s">
        <v>13308</v>
      </c>
      <c r="C1499" s="63" t="s">
        <v>13230</v>
      </c>
      <c r="D1499" s="63" t="s">
        <v>10189</v>
      </c>
      <c r="E1499" s="772" t="str">
        <f>IFERROR(VLOOKUP(D1499,Stock,3,FALSE),"")</f>
        <v>Toyota LandCruiser 90-97 FJ80</v>
      </c>
      <c r="F1499" s="63">
        <v>1.0</v>
      </c>
      <c r="G1499" s="894"/>
      <c r="H1499" s="807">
        <f t="shared" si="89"/>
        <v>0</v>
      </c>
      <c r="I1499" s="895">
        <f t="shared" si="90"/>
        <v>0</v>
      </c>
      <c r="J1499" s="82"/>
      <c r="K1499" s="59" t="s">
        <v>4262</v>
      </c>
    </row>
    <row r="1500" ht="15.0" customHeight="1">
      <c r="A1500" s="789">
        <v>46009.0</v>
      </c>
      <c r="B1500" s="790">
        <v>2512685.0</v>
      </c>
      <c r="C1500" s="791" t="s">
        <v>11484</v>
      </c>
      <c r="D1500" s="791" t="s">
        <v>6544</v>
      </c>
      <c r="E1500" s="792" t="str">
        <f>IFERROR(VLOOKUP(D1500,Stock,3,FALSE),"")</f>
        <v>Daihatsu Taruna</v>
      </c>
      <c r="F1500" s="791">
        <v>1.0</v>
      </c>
      <c r="G1500" s="842">
        <v>605000.0</v>
      </c>
      <c r="H1500" s="811">
        <f t="shared" si="89"/>
        <v>605000</v>
      </c>
      <c r="I1500" s="809">
        <f t="shared" si="90"/>
        <v>605000</v>
      </c>
      <c r="J1500" s="872">
        <v>46071.0</v>
      </c>
      <c r="K1500" s="799" t="s">
        <v>4262</v>
      </c>
      <c r="L1500" s="818" t="s">
        <v>12235</v>
      </c>
      <c r="M1500" s="818" t="s">
        <v>6675</v>
      </c>
      <c r="N1500" s="839">
        <v>46067.0</v>
      </c>
      <c r="O1500" s="823"/>
    </row>
    <row r="1501" ht="15.0" customHeight="1">
      <c r="A1501" s="789">
        <v>46009.0</v>
      </c>
      <c r="B1501" s="790">
        <v>2512685.0</v>
      </c>
      <c r="C1501" s="791" t="s">
        <v>11484</v>
      </c>
      <c r="D1501" s="791" t="s">
        <v>2704</v>
      </c>
      <c r="E1501" s="792" t="str">
        <f>IFERROR(VLOOKUP(D1501,Stock,3,FALSE),"")</f>
        <v>Toyota Hi-Ace 19- Premio</v>
      </c>
      <c r="F1501" s="791">
        <v>1.0</v>
      </c>
      <c r="G1501" s="842">
        <v>821700.0</v>
      </c>
      <c r="H1501" s="811">
        <f t="shared" si="89"/>
        <v>821700</v>
      </c>
      <c r="I1501" s="809">
        <f t="shared" si="90"/>
        <v>821700</v>
      </c>
      <c r="J1501" s="872">
        <v>46071.0</v>
      </c>
      <c r="K1501" s="799" t="s">
        <v>4262</v>
      </c>
      <c r="L1501" s="818" t="s">
        <v>12235</v>
      </c>
      <c r="M1501" s="818" t="s">
        <v>6675</v>
      </c>
      <c r="N1501" s="839">
        <v>46067.0</v>
      </c>
      <c r="O1501" s="823"/>
    </row>
    <row r="1502" ht="15.0" customHeight="1">
      <c r="A1502" s="789">
        <v>46010.0</v>
      </c>
      <c r="B1502" s="790">
        <v>2512720.0</v>
      </c>
      <c r="C1502" s="791" t="s">
        <v>11484</v>
      </c>
      <c r="D1502" s="791" t="s">
        <v>10230</v>
      </c>
      <c r="E1502" s="792" t="str">
        <f>IFERROR(VLOOKUP(D1502,Stock,3,FALSE),"")</f>
        <v>Toyota Altis 13-17 E170 11th Gen</v>
      </c>
      <c r="F1502" s="791">
        <v>1.0</v>
      </c>
      <c r="G1502" s="842">
        <v>1531750.0</v>
      </c>
      <c r="H1502" s="811">
        <f t="shared" si="89"/>
        <v>1531750</v>
      </c>
      <c r="I1502" s="809">
        <f t="shared" si="90"/>
        <v>1531750</v>
      </c>
      <c r="J1502" s="872">
        <v>46072.0</v>
      </c>
      <c r="K1502" s="799" t="s">
        <v>4262</v>
      </c>
      <c r="L1502" s="818" t="s">
        <v>12235</v>
      </c>
      <c r="M1502" s="818" t="s">
        <v>6675</v>
      </c>
      <c r="N1502" s="839">
        <v>46067.0</v>
      </c>
      <c r="O1502" s="823"/>
    </row>
    <row r="1503" ht="15.0" customHeight="1">
      <c r="A1503" s="789">
        <v>46013.0</v>
      </c>
      <c r="B1503" s="790">
        <v>2512759.0</v>
      </c>
      <c r="C1503" s="791" t="s">
        <v>11484</v>
      </c>
      <c r="D1503" s="791" t="s">
        <v>3889</v>
      </c>
      <c r="E1503" s="792" t="str">
        <f>IFERROR(VLOOKUP(D1503,Stock,3,FALSE),"")</f>
        <v>Toyota LandCruiser Prado FJ150W 09-</v>
      </c>
      <c r="F1503" s="791">
        <v>1.0</v>
      </c>
      <c r="G1503" s="842">
        <v>1664300.0</v>
      </c>
      <c r="H1503" s="811">
        <f t="shared" si="89"/>
        <v>1664300</v>
      </c>
      <c r="I1503" s="809">
        <f t="shared" si="90"/>
        <v>1664300</v>
      </c>
      <c r="J1503" s="872">
        <v>46075.0</v>
      </c>
      <c r="K1503" s="799" t="s">
        <v>4262</v>
      </c>
      <c r="L1503" s="818" t="s">
        <v>12235</v>
      </c>
      <c r="M1503" s="818" t="s">
        <v>6675</v>
      </c>
      <c r="N1503" s="839">
        <v>46067.0</v>
      </c>
      <c r="O1503" s="823"/>
    </row>
    <row r="1504" ht="15.0" customHeight="1">
      <c r="A1504" s="789">
        <v>46015.0</v>
      </c>
      <c r="B1504" s="790" t="s">
        <v>13309</v>
      </c>
      <c r="C1504" s="791" t="s">
        <v>11484</v>
      </c>
      <c r="D1504" s="815" t="s">
        <v>3059</v>
      </c>
      <c r="E1504" s="792" t="str">
        <f>IFERROR(VLOOKUP(D1504,Stock,3,FALSE),"")</f>
        <v>Sealant Polyurethane XYG Tube</v>
      </c>
      <c r="F1504" s="791">
        <v>20.0</v>
      </c>
      <c r="G1504" s="842">
        <v>40000.0</v>
      </c>
      <c r="H1504" s="811">
        <f t="shared" si="89"/>
        <v>800000</v>
      </c>
      <c r="I1504" s="809">
        <f t="shared" si="90"/>
        <v>800000</v>
      </c>
      <c r="J1504" s="819"/>
      <c r="K1504" s="799" t="s">
        <v>4262</v>
      </c>
      <c r="L1504" s="818" t="s">
        <v>12235</v>
      </c>
      <c r="M1504" s="818" t="s">
        <v>6675</v>
      </c>
      <c r="N1504" s="839">
        <v>46083.0</v>
      </c>
      <c r="O1504" s="823"/>
    </row>
    <row r="1505" ht="15.0" customHeight="1">
      <c r="A1505" s="789">
        <v>46017.0</v>
      </c>
      <c r="B1505" s="790">
        <v>2512945.0</v>
      </c>
      <c r="C1505" s="791" t="s">
        <v>11484</v>
      </c>
      <c r="D1505" s="791" t="s">
        <v>10305</v>
      </c>
      <c r="E1505" s="792" t="str">
        <f>IFERROR(VLOOKUP(D1505,Stock,3,FALSE),"")</f>
        <v>Toyota Fortuner 15- 2nd Gen (Hitam)</v>
      </c>
      <c r="F1505" s="791">
        <v>2.0</v>
      </c>
      <c r="G1505" s="842">
        <v>772750.0</v>
      </c>
      <c r="H1505" s="811">
        <f t="shared" si="89"/>
        <v>1545500</v>
      </c>
      <c r="I1505" s="809">
        <f t="shared" si="90"/>
        <v>1545500</v>
      </c>
      <c r="J1505" s="872">
        <v>46079.0</v>
      </c>
      <c r="K1505" s="799" t="s">
        <v>4262</v>
      </c>
      <c r="L1505" s="818" t="s">
        <v>12235</v>
      </c>
      <c r="M1505" s="818" t="s">
        <v>6675</v>
      </c>
      <c r="N1505" s="839">
        <v>46072.0</v>
      </c>
      <c r="O1505" s="823"/>
    </row>
    <row r="1506" ht="15.0" customHeight="1">
      <c r="A1506" s="789">
        <v>46017.0</v>
      </c>
      <c r="B1506" s="790">
        <v>2512945.0</v>
      </c>
      <c r="C1506" s="791" t="s">
        <v>11484</v>
      </c>
      <c r="D1506" s="791" t="s">
        <v>6716</v>
      </c>
      <c r="E1506" s="792" t="str">
        <f>IFERROR(VLOOKUP(D1506,Stock,3,FALSE),"")</f>
        <v>Toyota Fortuner 15- 2nd Gen</v>
      </c>
      <c r="F1506" s="791">
        <v>1.0</v>
      </c>
      <c r="G1506" s="842">
        <v>459250.0</v>
      </c>
      <c r="H1506" s="811">
        <f t="shared" si="89"/>
        <v>459250</v>
      </c>
      <c r="I1506" s="809">
        <f t="shared" si="90"/>
        <v>459250</v>
      </c>
      <c r="J1506" s="872">
        <v>46079.0</v>
      </c>
      <c r="K1506" s="799" t="s">
        <v>4262</v>
      </c>
      <c r="L1506" s="818" t="s">
        <v>12235</v>
      </c>
      <c r="M1506" s="818" t="s">
        <v>6675</v>
      </c>
      <c r="N1506" s="839">
        <v>46072.0</v>
      </c>
      <c r="O1506" s="823"/>
    </row>
    <row r="1507" ht="15.0" customHeight="1">
      <c r="A1507" s="789">
        <v>46017.0</v>
      </c>
      <c r="B1507" s="790">
        <v>2512945.0</v>
      </c>
      <c r="C1507" s="791" t="s">
        <v>11484</v>
      </c>
      <c r="D1507" s="791" t="s">
        <v>10314</v>
      </c>
      <c r="E1507" s="792" t="str">
        <f>IFERROR(VLOOKUP(D1507,Stock,3,FALSE),"")</f>
        <v>Honda Civic 00-05 VTIS S5A 7th Gen (Venturi)</v>
      </c>
      <c r="F1507" s="791">
        <v>1.0</v>
      </c>
      <c r="G1507" s="842">
        <v>1146200.0</v>
      </c>
      <c r="H1507" s="811">
        <f t="shared" si="89"/>
        <v>1146200</v>
      </c>
      <c r="I1507" s="809">
        <f t="shared" si="90"/>
        <v>1146200</v>
      </c>
      <c r="J1507" s="872">
        <v>46079.0</v>
      </c>
      <c r="K1507" s="799" t="s">
        <v>4262</v>
      </c>
      <c r="L1507" s="818" t="s">
        <v>12235</v>
      </c>
      <c r="M1507" s="818" t="s">
        <v>6675</v>
      </c>
      <c r="N1507" s="839">
        <v>46072.0</v>
      </c>
      <c r="O1507" s="823"/>
    </row>
    <row r="1508" ht="15.0" customHeight="1">
      <c r="A1508" s="789">
        <v>46017.0</v>
      </c>
      <c r="B1508" s="790">
        <v>2512922.0</v>
      </c>
      <c r="C1508" s="791" t="s">
        <v>11484</v>
      </c>
      <c r="D1508" s="791" t="s">
        <v>3227</v>
      </c>
      <c r="E1508" s="792" t="str">
        <f>IFERROR(VLOOKUP(D1508,Stock,3,FALSE),"")</f>
        <v>Mitsubishi Strada Triton 08-15</v>
      </c>
      <c r="F1508" s="791">
        <v>1.0</v>
      </c>
      <c r="G1508" s="842">
        <v>389400.0</v>
      </c>
      <c r="H1508" s="811">
        <f t="shared" si="89"/>
        <v>389400</v>
      </c>
      <c r="I1508" s="809">
        <f t="shared" si="90"/>
        <v>389400</v>
      </c>
      <c r="J1508" s="872">
        <v>46079.0</v>
      </c>
      <c r="K1508" s="799" t="s">
        <v>4262</v>
      </c>
      <c r="L1508" s="818" t="s">
        <v>12235</v>
      </c>
      <c r="M1508" s="818" t="s">
        <v>6675</v>
      </c>
      <c r="N1508" s="839">
        <v>46083.0</v>
      </c>
      <c r="O1508" s="823"/>
    </row>
    <row r="1509" ht="15.0" customHeight="1">
      <c r="A1509" s="789">
        <v>46018.0</v>
      </c>
      <c r="B1509" s="790" t="s">
        <v>13310</v>
      </c>
      <c r="C1509" s="791" t="s">
        <v>3091</v>
      </c>
      <c r="D1509" s="791" t="s">
        <v>10321</v>
      </c>
      <c r="E1509" s="792" t="str">
        <f>IFERROR(VLOOKUP(D1509,Stock,3,FALSE),"")</f>
        <v>Honda HR-V 22- 5D SUV (Honda)</v>
      </c>
      <c r="F1509" s="791">
        <v>1.0</v>
      </c>
      <c r="G1509" s="842">
        <v>1100000.0</v>
      </c>
      <c r="H1509" s="811">
        <f t="shared" si="89"/>
        <v>1100000</v>
      </c>
      <c r="I1509" s="809">
        <f t="shared" si="90"/>
        <v>1100000</v>
      </c>
      <c r="J1509" s="872">
        <v>46080.0</v>
      </c>
      <c r="K1509" s="799" t="s">
        <v>4262</v>
      </c>
      <c r="L1509" s="818" t="s">
        <v>12235</v>
      </c>
      <c r="M1509" s="818" t="s">
        <v>6675</v>
      </c>
      <c r="N1509" s="839">
        <v>46083.0</v>
      </c>
      <c r="O1509" s="823"/>
    </row>
    <row r="1510" ht="15.0" customHeight="1">
      <c r="A1510" s="789">
        <v>46020.0</v>
      </c>
      <c r="B1510" s="790">
        <v>2512972.0</v>
      </c>
      <c r="C1510" s="791" t="s">
        <v>11484</v>
      </c>
      <c r="D1510" s="791" t="s">
        <v>3871</v>
      </c>
      <c r="E1510" s="792" t="str">
        <f>IFERROR(VLOOKUP(D1510,Stock,3,FALSE),"")</f>
        <v>Suzuki Swift 04-11 1st Gen</v>
      </c>
      <c r="F1510" s="791">
        <v>1.0</v>
      </c>
      <c r="G1510" s="842">
        <v>711700.0</v>
      </c>
      <c r="H1510" s="811">
        <f t="shared" si="89"/>
        <v>711700</v>
      </c>
      <c r="I1510" s="809">
        <f t="shared" si="90"/>
        <v>711700</v>
      </c>
      <c r="J1510" s="872">
        <v>46081.0</v>
      </c>
      <c r="K1510" s="799" t="s">
        <v>4262</v>
      </c>
      <c r="L1510" s="818" t="s">
        <v>12235</v>
      </c>
      <c r="M1510" s="818" t="s">
        <v>6675</v>
      </c>
      <c r="N1510" s="839">
        <v>46083.0</v>
      </c>
      <c r="O1510" s="823"/>
    </row>
    <row r="1511" ht="15.0" customHeight="1">
      <c r="A1511" s="789">
        <v>46020.0</v>
      </c>
      <c r="B1511" s="790">
        <v>2512972.0</v>
      </c>
      <c r="C1511" s="791" t="s">
        <v>11484</v>
      </c>
      <c r="D1511" s="791" t="s">
        <v>10371</v>
      </c>
      <c r="E1511" s="792" t="str">
        <f>IFERROR(VLOOKUP(D1511,Stock,3,FALSE),"")</f>
        <v>Suzuki Grand Vitara 06-14</v>
      </c>
      <c r="F1511" s="791">
        <v>1.0</v>
      </c>
      <c r="G1511" s="842">
        <v>594000.0</v>
      </c>
      <c r="H1511" s="811">
        <f t="shared" si="89"/>
        <v>594000</v>
      </c>
      <c r="I1511" s="809">
        <f t="shared" si="90"/>
        <v>594000</v>
      </c>
      <c r="J1511" s="872">
        <v>46081.0</v>
      </c>
      <c r="K1511" s="799" t="s">
        <v>4262</v>
      </c>
      <c r="L1511" s="818" t="s">
        <v>12235</v>
      </c>
      <c r="M1511" s="818" t="s">
        <v>6675</v>
      </c>
      <c r="N1511" s="839">
        <v>46083.0</v>
      </c>
      <c r="O1511" s="823"/>
    </row>
    <row r="1512" ht="15.0" customHeight="1">
      <c r="A1512" s="802">
        <v>46027.0</v>
      </c>
      <c r="B1512" s="771" t="s">
        <v>13311</v>
      </c>
      <c r="C1512" s="63" t="s">
        <v>13115</v>
      </c>
      <c r="D1512" s="63" t="s">
        <v>10412</v>
      </c>
      <c r="E1512" s="772" t="str">
        <f>IFERROR(VLOOKUP(D1512,Stock,3,FALSE),"")</f>
        <v>Toyota Calya /  Sigra 16- (Toyota/Daihatsu)</v>
      </c>
      <c r="F1512" s="63">
        <v>1.0</v>
      </c>
      <c r="G1512" s="894">
        <v>225000.0</v>
      </c>
      <c r="H1512" s="807">
        <f t="shared" si="89"/>
        <v>225000</v>
      </c>
      <c r="I1512" s="895">
        <f t="shared" si="90"/>
        <v>225000</v>
      </c>
      <c r="J1512" s="82"/>
      <c r="K1512" s="59" t="s">
        <v>4262</v>
      </c>
    </row>
    <row r="1513" ht="15.0" customHeight="1">
      <c r="A1513" s="789">
        <v>46028.0</v>
      </c>
      <c r="B1513" s="790">
        <v>2601129.0</v>
      </c>
      <c r="C1513" s="791" t="s">
        <v>11484</v>
      </c>
      <c r="D1513" s="791" t="s">
        <v>8490</v>
      </c>
      <c r="E1513" s="792" t="str">
        <f>IFERROR(VLOOKUP(D1513,Stock,3,FALSE),"")</f>
        <v>Honda City 14-18 GM6</v>
      </c>
      <c r="F1513" s="791">
        <v>1.0</v>
      </c>
      <c r="G1513" s="842">
        <v>970750.0</v>
      </c>
      <c r="H1513" s="811">
        <f t="shared" si="89"/>
        <v>970750</v>
      </c>
      <c r="I1513" s="809">
        <f t="shared" si="90"/>
        <v>970750</v>
      </c>
      <c r="J1513" s="872">
        <v>46087.0</v>
      </c>
      <c r="K1513" s="799" t="s">
        <v>4262</v>
      </c>
      <c r="L1513" s="818" t="s">
        <v>12235</v>
      </c>
      <c r="M1513" s="818" t="s">
        <v>6675</v>
      </c>
      <c r="N1513" s="839">
        <v>46083.0</v>
      </c>
      <c r="O1513" s="823"/>
    </row>
    <row r="1514" ht="15.0" customHeight="1">
      <c r="A1514" s="789">
        <v>46027.0</v>
      </c>
      <c r="B1514" s="790">
        <v>2601102.0</v>
      </c>
      <c r="C1514" s="791" t="s">
        <v>11484</v>
      </c>
      <c r="D1514" s="791" t="s">
        <v>10408</v>
      </c>
      <c r="E1514" s="792" t="str">
        <f>IFERROR(VLOOKUP(D1514,Stock,3,FALSE),"")</f>
        <v>Nissan Juke 11-</v>
      </c>
      <c r="F1514" s="791">
        <v>2.0</v>
      </c>
      <c r="G1514" s="842">
        <v>663300.0</v>
      </c>
      <c r="H1514" s="811">
        <f t="shared" si="89"/>
        <v>1326600</v>
      </c>
      <c r="I1514" s="809">
        <f t="shared" si="90"/>
        <v>1326600</v>
      </c>
      <c r="J1514" s="872">
        <v>46086.0</v>
      </c>
      <c r="K1514" s="799" t="s">
        <v>4262</v>
      </c>
      <c r="L1514" s="818" t="s">
        <v>12235</v>
      </c>
      <c r="M1514" s="818" t="s">
        <v>6675</v>
      </c>
      <c r="N1514" s="839">
        <v>46083.0</v>
      </c>
      <c r="O1514" s="823"/>
    </row>
    <row r="1515" ht="15.0" customHeight="1">
      <c r="A1515" s="789">
        <v>46027.0</v>
      </c>
      <c r="B1515" s="790" t="s">
        <v>13312</v>
      </c>
      <c r="C1515" s="791" t="s">
        <v>11484</v>
      </c>
      <c r="D1515" s="815" t="s">
        <v>3059</v>
      </c>
      <c r="E1515" s="792" t="str">
        <f>IFERROR(VLOOKUP(D1515,Stock,3,FALSE),"")</f>
        <v>Sealant Polyurethane XYG Tube</v>
      </c>
      <c r="F1515" s="791">
        <v>40.0</v>
      </c>
      <c r="G1515" s="842">
        <v>40000.0</v>
      </c>
      <c r="H1515" s="811">
        <f t="shared" si="89"/>
        <v>1600000</v>
      </c>
      <c r="I1515" s="809">
        <f t="shared" si="90"/>
        <v>1600000</v>
      </c>
      <c r="J1515" s="872">
        <v>46086.0</v>
      </c>
      <c r="K1515" s="799" t="s">
        <v>4262</v>
      </c>
      <c r="L1515" s="818" t="s">
        <v>12235</v>
      </c>
      <c r="M1515" s="818" t="s">
        <v>6675</v>
      </c>
      <c r="N1515" s="839">
        <v>46083.0</v>
      </c>
      <c r="O1515" s="823"/>
    </row>
    <row r="1516" ht="15.0" customHeight="1">
      <c r="A1516" s="802">
        <v>46028.0</v>
      </c>
      <c r="B1516" s="771" t="s">
        <v>13313</v>
      </c>
      <c r="C1516" s="63" t="s">
        <v>13022</v>
      </c>
      <c r="D1516" s="63" t="s">
        <v>6028</v>
      </c>
      <c r="E1516" s="772" t="str">
        <f>IFERROR(VLOOKUP(D1516,Stock,3,FALSE),"")</f>
        <v>Toyota Innova 04-15 1st Gen (Toyota)</v>
      </c>
      <c r="F1516" s="63">
        <v>1.0</v>
      </c>
      <c r="G1516" s="894">
        <v>1197000.0</v>
      </c>
      <c r="H1516" s="807">
        <f t="shared" si="89"/>
        <v>1197000</v>
      </c>
      <c r="I1516" s="895"/>
      <c r="J1516" s="82"/>
      <c r="K1516" s="59" t="s">
        <v>4262</v>
      </c>
    </row>
    <row r="1517" ht="15.0" customHeight="1">
      <c r="A1517" s="802">
        <v>46028.0</v>
      </c>
      <c r="B1517" s="771" t="s">
        <v>13313</v>
      </c>
      <c r="C1517" s="63" t="s">
        <v>13022</v>
      </c>
      <c r="D1517" s="63" t="s">
        <v>6624</v>
      </c>
      <c r="E1517" s="772" t="str">
        <f>IFERROR(VLOOKUP(D1517,Stock,3,FALSE),"")</f>
        <v>Toyota Innova 04-15 1st Gen (Toyota)</v>
      </c>
      <c r="F1517" s="63">
        <v>1.0</v>
      </c>
      <c r="G1517" s="894">
        <v>1674000.0</v>
      </c>
      <c r="H1517" s="807">
        <f t="shared" si="89"/>
        <v>1674000</v>
      </c>
      <c r="I1517" s="895"/>
      <c r="J1517" s="82"/>
      <c r="K1517" s="59" t="s">
        <v>4262</v>
      </c>
    </row>
    <row r="1518" ht="15.0" customHeight="1">
      <c r="A1518" s="802">
        <v>46028.0</v>
      </c>
      <c r="B1518" s="771" t="s">
        <v>13314</v>
      </c>
      <c r="C1518" s="63" t="s">
        <v>13145</v>
      </c>
      <c r="D1518" s="63" t="s">
        <v>3745</v>
      </c>
      <c r="E1518" s="772" t="str">
        <f>IFERROR(VLOOKUP(D1518,Stock,3,FALSE),"")</f>
        <v>Honda Brio 10- / Mobilio 11-</v>
      </c>
      <c r="F1518" s="63">
        <v>2.0</v>
      </c>
      <c r="G1518" s="894">
        <v>825000.0</v>
      </c>
      <c r="H1518" s="807">
        <f t="shared" si="89"/>
        <v>1650000</v>
      </c>
      <c r="I1518" s="895">
        <f t="shared" ref="I1518:I1531" si="91">H1518</f>
        <v>1650000</v>
      </c>
      <c r="J1518" s="82"/>
      <c r="K1518" s="59" t="s">
        <v>4262</v>
      </c>
    </row>
    <row r="1519" ht="15.0" customHeight="1">
      <c r="A1519" s="789">
        <v>46028.0</v>
      </c>
      <c r="B1519" s="790" t="s">
        <v>13315</v>
      </c>
      <c r="C1519" s="791" t="s">
        <v>12932</v>
      </c>
      <c r="D1519" s="791" t="s">
        <v>2851</v>
      </c>
      <c r="E1519" s="792" t="str">
        <f>IFERROR(VLOOKUP(D1519,Stock,3,FALSE),"")</f>
        <v>Toyota Calya /  Sigra 16- </v>
      </c>
      <c r="F1519" s="791">
        <v>5.0</v>
      </c>
      <c r="G1519" s="842">
        <v>128350.3</v>
      </c>
      <c r="H1519" s="811">
        <f t="shared" si="89"/>
        <v>641751.5</v>
      </c>
      <c r="I1519" s="809">
        <f t="shared" si="91"/>
        <v>641751.5</v>
      </c>
      <c r="J1519" s="819"/>
      <c r="K1519" s="799" t="s">
        <v>4262</v>
      </c>
      <c r="L1519" s="818" t="s">
        <v>12235</v>
      </c>
      <c r="M1519" s="818" t="s">
        <v>6675</v>
      </c>
      <c r="N1519" s="839">
        <v>46052.0</v>
      </c>
      <c r="O1519" s="823"/>
    </row>
    <row r="1520" ht="15.0" customHeight="1">
      <c r="A1520" s="789">
        <v>46028.0</v>
      </c>
      <c r="B1520" s="790">
        <v>2601185.0</v>
      </c>
      <c r="C1520" s="791" t="s">
        <v>11484</v>
      </c>
      <c r="D1520" s="791" t="s">
        <v>3033</v>
      </c>
      <c r="E1520" s="792" t="str">
        <f>IFERROR(VLOOKUP(D1520,Stock,3,FALSE),"")</f>
        <v>Toyota Innova 04-15 1st Gen</v>
      </c>
      <c r="F1520" s="791">
        <v>2.0</v>
      </c>
      <c r="G1520" s="842">
        <v>600600.0</v>
      </c>
      <c r="H1520" s="811">
        <f t="shared" si="89"/>
        <v>1201200</v>
      </c>
      <c r="I1520" s="809">
        <f t="shared" si="91"/>
        <v>1201200</v>
      </c>
      <c r="J1520" s="872">
        <v>46087.0</v>
      </c>
      <c r="K1520" s="799" t="s">
        <v>4262</v>
      </c>
      <c r="L1520" s="818" t="s">
        <v>12235</v>
      </c>
      <c r="M1520" s="818" t="s">
        <v>6675</v>
      </c>
      <c r="N1520" s="839">
        <v>46083.0</v>
      </c>
      <c r="O1520" s="823"/>
    </row>
    <row r="1521" ht="15.0" customHeight="1">
      <c r="A1521" s="789">
        <v>46028.0</v>
      </c>
      <c r="B1521" s="790">
        <v>2601185.0</v>
      </c>
      <c r="C1521" s="791" t="s">
        <v>11484</v>
      </c>
      <c r="D1521" s="791" t="s">
        <v>3871</v>
      </c>
      <c r="E1521" s="792" t="str">
        <f>IFERROR(VLOOKUP(D1521,Stock,3,FALSE),"")</f>
        <v>Suzuki Swift 04-11 1st Gen</v>
      </c>
      <c r="F1521" s="791">
        <v>1.0</v>
      </c>
      <c r="G1521" s="842">
        <v>711700.0</v>
      </c>
      <c r="H1521" s="811">
        <f t="shared" si="89"/>
        <v>711700</v>
      </c>
      <c r="I1521" s="809">
        <f t="shared" si="91"/>
        <v>711700</v>
      </c>
      <c r="J1521" s="872">
        <v>46087.0</v>
      </c>
      <c r="K1521" s="799" t="s">
        <v>4262</v>
      </c>
      <c r="L1521" s="818" t="s">
        <v>12235</v>
      </c>
      <c r="M1521" s="818" t="s">
        <v>6675</v>
      </c>
      <c r="N1521" s="839">
        <v>46083.0</v>
      </c>
      <c r="O1521" s="823"/>
    </row>
    <row r="1522" ht="15.0" customHeight="1">
      <c r="A1522" s="789">
        <v>46030.0</v>
      </c>
      <c r="B1522" s="790">
        <v>2601257.0</v>
      </c>
      <c r="C1522" s="791" t="s">
        <v>11484</v>
      </c>
      <c r="D1522" s="791" t="s">
        <v>4623</v>
      </c>
      <c r="E1522" s="792" t="str">
        <f>IFERROR(VLOOKUP(D1522,Stock,3,FALSE),"")</f>
        <v>Toyota Innova 15- 2nd Gen</v>
      </c>
      <c r="F1522" s="791">
        <v>2.0</v>
      </c>
      <c r="G1522" s="842">
        <v>553850.0</v>
      </c>
      <c r="H1522" s="811">
        <f t="shared" si="89"/>
        <v>1107700</v>
      </c>
      <c r="I1522" s="809">
        <f t="shared" si="91"/>
        <v>1107700</v>
      </c>
      <c r="J1522" s="872">
        <v>46089.0</v>
      </c>
      <c r="K1522" s="799" t="s">
        <v>4262</v>
      </c>
      <c r="L1522" s="818" t="s">
        <v>12235</v>
      </c>
      <c r="M1522" s="818" t="s">
        <v>6675</v>
      </c>
      <c r="N1522" s="839">
        <v>46083.0</v>
      </c>
      <c r="O1522" s="823"/>
    </row>
    <row r="1523" ht="15.0" customHeight="1">
      <c r="A1523" s="789">
        <v>46030.0</v>
      </c>
      <c r="B1523" s="790">
        <v>2601257.0</v>
      </c>
      <c r="C1523" s="791" t="s">
        <v>11484</v>
      </c>
      <c r="D1523" s="791" t="s">
        <v>4901</v>
      </c>
      <c r="E1523" s="792" t="str">
        <f>IFERROR(VLOOKUP(D1523,Stock,3,FALSE),"")</f>
        <v>Toyota Rush / Terios 18-</v>
      </c>
      <c r="F1523" s="791">
        <v>1.0</v>
      </c>
      <c r="G1523" s="842">
        <v>413600.0</v>
      </c>
      <c r="H1523" s="811">
        <f t="shared" si="89"/>
        <v>413600</v>
      </c>
      <c r="I1523" s="809">
        <f t="shared" si="91"/>
        <v>413600</v>
      </c>
      <c r="J1523" s="872">
        <v>46089.0</v>
      </c>
      <c r="K1523" s="799" t="s">
        <v>4262</v>
      </c>
      <c r="L1523" s="818" t="s">
        <v>12235</v>
      </c>
      <c r="M1523" s="818" t="s">
        <v>6675</v>
      </c>
      <c r="N1523" s="839">
        <v>46083.0</v>
      </c>
      <c r="O1523" s="823"/>
    </row>
    <row r="1524" ht="15.0" customHeight="1">
      <c r="A1524" s="789">
        <v>46034.0</v>
      </c>
      <c r="B1524" s="790">
        <v>2601372.0</v>
      </c>
      <c r="C1524" s="791" t="s">
        <v>11484</v>
      </c>
      <c r="D1524" s="791" t="s">
        <v>10470</v>
      </c>
      <c r="E1524" s="792" t="str">
        <f>IFERROR(VLOOKUP(D1524,Stock,3,FALSE),"")</f>
        <v>Toyota LandCruiser Prado 02-09 FJ120</v>
      </c>
      <c r="F1524" s="791">
        <v>1.0</v>
      </c>
      <c r="G1524" s="842">
        <v>1755600.0</v>
      </c>
      <c r="H1524" s="811">
        <f t="shared" si="89"/>
        <v>1755600</v>
      </c>
      <c r="I1524" s="809">
        <f t="shared" si="91"/>
        <v>1755600</v>
      </c>
      <c r="J1524" s="872">
        <v>46093.0</v>
      </c>
      <c r="K1524" s="799" t="s">
        <v>4262</v>
      </c>
      <c r="L1524" s="818" t="s">
        <v>12235</v>
      </c>
      <c r="M1524" s="818" t="s">
        <v>6675</v>
      </c>
      <c r="N1524" s="839">
        <v>46114.0</v>
      </c>
      <c r="O1524" s="823"/>
    </row>
    <row r="1525" ht="15.0" customHeight="1">
      <c r="A1525" s="789">
        <v>46036.0</v>
      </c>
      <c r="B1525" s="790">
        <v>2601441.0</v>
      </c>
      <c r="C1525" s="791" t="s">
        <v>11484</v>
      </c>
      <c r="D1525" s="791" t="s">
        <v>2682</v>
      </c>
      <c r="E1525" s="792" t="str">
        <f>IFERROR(VLOOKUP(D1525,Stock,3,FALSE),"")</f>
        <v>Toyota Yaris 05-13 XP90 1st Gen</v>
      </c>
      <c r="F1525" s="791">
        <v>1.0</v>
      </c>
      <c r="G1525" s="842">
        <v>659450.0</v>
      </c>
      <c r="H1525" s="811">
        <f t="shared" si="89"/>
        <v>659450</v>
      </c>
      <c r="I1525" s="809">
        <f t="shared" si="91"/>
        <v>659450</v>
      </c>
      <c r="J1525" s="872">
        <v>46095.0</v>
      </c>
      <c r="K1525" s="799" t="s">
        <v>4262</v>
      </c>
      <c r="L1525" s="818" t="s">
        <v>12235</v>
      </c>
      <c r="M1525" s="818" t="s">
        <v>6675</v>
      </c>
      <c r="N1525" s="839">
        <v>46114.0</v>
      </c>
      <c r="O1525" s="823"/>
    </row>
    <row r="1526" ht="15.0" customHeight="1">
      <c r="A1526" s="789">
        <v>46036.0</v>
      </c>
      <c r="B1526" s="790">
        <v>2601441.0</v>
      </c>
      <c r="C1526" s="791" t="s">
        <v>11484</v>
      </c>
      <c r="D1526" s="791" t="s">
        <v>2775</v>
      </c>
      <c r="E1526" s="792" t="str">
        <f>IFERROR(VLOOKUP(D1526,Stock,3,FALSE),"")</f>
        <v>Hino Ranger Louhan 03- / Hino 500</v>
      </c>
      <c r="F1526" s="791">
        <v>1.0</v>
      </c>
      <c r="G1526" s="842">
        <v>864050.0</v>
      </c>
      <c r="H1526" s="811">
        <f t="shared" si="89"/>
        <v>864050</v>
      </c>
      <c r="I1526" s="809">
        <f t="shared" si="91"/>
        <v>864050</v>
      </c>
      <c r="J1526" s="872">
        <v>46095.0</v>
      </c>
      <c r="K1526" s="799" t="s">
        <v>4262</v>
      </c>
      <c r="L1526" s="818" t="s">
        <v>12235</v>
      </c>
      <c r="M1526" s="818" t="s">
        <v>6675</v>
      </c>
      <c r="N1526" s="839">
        <v>46114.0</v>
      </c>
      <c r="O1526" s="823"/>
    </row>
    <row r="1527" ht="15.0" customHeight="1">
      <c r="A1527" s="789">
        <v>46037.0</v>
      </c>
      <c r="B1527" s="790">
        <v>2601510.0</v>
      </c>
      <c r="C1527" s="791" t="s">
        <v>11484</v>
      </c>
      <c r="D1527" s="791" t="s">
        <v>2692</v>
      </c>
      <c r="E1527" s="792" t="str">
        <f>IFERROR(VLOOKUP(D1527,Stock,3,FALSE),"")</f>
        <v>Suzuki Ertiga 18- 2nd Gen / XL7</v>
      </c>
      <c r="F1527" s="791">
        <v>2.0</v>
      </c>
      <c r="G1527" s="842">
        <v>634700.0</v>
      </c>
      <c r="H1527" s="811">
        <f t="shared" si="89"/>
        <v>1269400</v>
      </c>
      <c r="I1527" s="809">
        <f t="shared" si="91"/>
        <v>1269400</v>
      </c>
      <c r="J1527" s="872">
        <v>46096.0</v>
      </c>
      <c r="K1527" s="799" t="s">
        <v>4262</v>
      </c>
      <c r="L1527" s="818" t="s">
        <v>12235</v>
      </c>
      <c r="M1527" s="818" t="s">
        <v>6675</v>
      </c>
      <c r="N1527" s="839">
        <v>46114.0</v>
      </c>
      <c r="O1527" s="823"/>
    </row>
    <row r="1528" ht="15.0" customHeight="1">
      <c r="A1528" s="789">
        <v>46037.0</v>
      </c>
      <c r="B1528" s="790">
        <v>2601510.0</v>
      </c>
      <c r="C1528" s="791" t="s">
        <v>11484</v>
      </c>
      <c r="D1528" s="791" t="s">
        <v>2672</v>
      </c>
      <c r="E1528" s="792" t="str">
        <f>IFERROR(VLOOKUP(D1528,Stock,3,FALSE),"")</f>
        <v>Nissan March 10- K13</v>
      </c>
      <c r="F1528" s="791">
        <v>2.0</v>
      </c>
      <c r="G1528" s="842">
        <v>628650.0</v>
      </c>
      <c r="H1528" s="811">
        <f t="shared" si="89"/>
        <v>1257300</v>
      </c>
      <c r="I1528" s="809">
        <f t="shared" si="91"/>
        <v>1257300</v>
      </c>
      <c r="J1528" s="872">
        <v>46096.0</v>
      </c>
      <c r="K1528" s="799" t="s">
        <v>4262</v>
      </c>
      <c r="L1528" s="818" t="s">
        <v>12235</v>
      </c>
      <c r="M1528" s="818" t="s">
        <v>6675</v>
      </c>
      <c r="N1528" s="839">
        <v>46114.0</v>
      </c>
      <c r="O1528" s="823"/>
    </row>
    <row r="1529" ht="15.0" customHeight="1">
      <c r="A1529" s="789">
        <v>46041.0</v>
      </c>
      <c r="B1529" s="790">
        <v>2601551.0</v>
      </c>
      <c r="C1529" s="791" t="s">
        <v>11484</v>
      </c>
      <c r="D1529" s="791" t="s">
        <v>10436</v>
      </c>
      <c r="E1529" s="792" t="str">
        <f>IFERROR(VLOOKUP(D1529,Stock,3,FALSE),"")</f>
        <v>Toyota LandCruiser Prado FJ150W 09-</v>
      </c>
      <c r="F1529" s="791">
        <v>1.0</v>
      </c>
      <c r="G1529" s="842">
        <v>1664300.0</v>
      </c>
      <c r="H1529" s="811">
        <f t="shared" si="89"/>
        <v>1664300</v>
      </c>
      <c r="I1529" s="809">
        <f t="shared" si="91"/>
        <v>1664300</v>
      </c>
      <c r="J1529" s="872">
        <v>46100.0</v>
      </c>
      <c r="K1529" s="799" t="s">
        <v>4262</v>
      </c>
      <c r="L1529" s="818" t="s">
        <v>12235</v>
      </c>
      <c r="M1529" s="818" t="s">
        <v>6675</v>
      </c>
      <c r="N1529" s="839">
        <v>46114.0</v>
      </c>
      <c r="O1529" s="823"/>
    </row>
    <row r="1530" ht="15.0" customHeight="1">
      <c r="A1530" s="789">
        <v>46041.0</v>
      </c>
      <c r="B1530" s="790">
        <v>2601551.0</v>
      </c>
      <c r="C1530" s="791" t="s">
        <v>11484</v>
      </c>
      <c r="D1530" s="791" t="s">
        <v>10446</v>
      </c>
      <c r="E1530" s="792" t="str">
        <f>IFERROR(VLOOKUP(D1530,Stock,3,FALSE),"")</f>
        <v>Mers-Benz B-Class 11-17 W246 (1 Sensor / O )</v>
      </c>
      <c r="F1530" s="791">
        <v>1.0</v>
      </c>
      <c r="G1530" s="842">
        <v>3048650.0</v>
      </c>
      <c r="H1530" s="811">
        <f t="shared" si="89"/>
        <v>3048650</v>
      </c>
      <c r="I1530" s="809">
        <f t="shared" si="91"/>
        <v>3048650</v>
      </c>
      <c r="J1530" s="872">
        <v>46100.0</v>
      </c>
      <c r="K1530" s="799" t="s">
        <v>4262</v>
      </c>
      <c r="L1530" s="818" t="s">
        <v>12235</v>
      </c>
      <c r="M1530" s="818" t="s">
        <v>6675</v>
      </c>
      <c r="N1530" s="839">
        <v>46114.0</v>
      </c>
      <c r="O1530" s="823"/>
    </row>
    <row r="1531" ht="15.0" customHeight="1">
      <c r="A1531" s="789">
        <v>46041.0</v>
      </c>
      <c r="B1531" s="790">
        <v>2601551.0</v>
      </c>
      <c r="C1531" s="791" t="s">
        <v>11484</v>
      </c>
      <c r="D1531" s="791" t="s">
        <v>2662</v>
      </c>
      <c r="E1531" s="792" t="str">
        <f>IFERROR(VLOOKUP(D1531,Stock,3,FALSE),"")</f>
        <v>Wuling Almaz (Sensor)</v>
      </c>
      <c r="F1531" s="791">
        <v>1.0</v>
      </c>
      <c r="G1531" s="842">
        <v>1485000.0</v>
      </c>
      <c r="H1531" s="811">
        <f t="shared" si="89"/>
        <v>1485000</v>
      </c>
      <c r="I1531" s="809">
        <f t="shared" si="91"/>
        <v>1485000</v>
      </c>
      <c r="J1531" s="872">
        <v>46100.0</v>
      </c>
      <c r="K1531" s="799" t="s">
        <v>4262</v>
      </c>
      <c r="L1531" s="818" t="s">
        <v>12235</v>
      </c>
      <c r="M1531" s="818" t="s">
        <v>6675</v>
      </c>
      <c r="N1531" s="839">
        <v>46114.0</v>
      </c>
      <c r="O1531" s="823"/>
    </row>
    <row r="1532" ht="15.0" customHeight="1">
      <c r="A1532" s="789">
        <v>46041.0</v>
      </c>
      <c r="B1532" s="790" t="s">
        <v>13316</v>
      </c>
      <c r="C1532" s="791" t="s">
        <v>28</v>
      </c>
      <c r="D1532" s="791" t="s">
        <v>13317</v>
      </c>
      <c r="E1532" s="792" t="str">
        <f>IFERROR(VLOOKUP(D1532,Stock,3,FALSE),"")</f>
        <v/>
      </c>
      <c r="F1532" s="791">
        <v>40.0</v>
      </c>
      <c r="G1532" s="842">
        <v>58000.0</v>
      </c>
      <c r="H1532" s="811">
        <f t="shared" si="89"/>
        <v>2320000</v>
      </c>
      <c r="I1532" s="809"/>
      <c r="J1532" s="819"/>
      <c r="K1532" s="799" t="s">
        <v>4281</v>
      </c>
      <c r="L1532" s="818" t="s">
        <v>12235</v>
      </c>
      <c r="M1532" s="818" t="s">
        <v>6675</v>
      </c>
      <c r="N1532" s="839">
        <v>46073.0</v>
      </c>
      <c r="O1532" s="823"/>
    </row>
    <row r="1533" ht="15.0" customHeight="1">
      <c r="A1533" s="802">
        <v>46042.0</v>
      </c>
      <c r="B1533" s="771" t="s">
        <v>13318</v>
      </c>
      <c r="C1533" s="63" t="s">
        <v>13145</v>
      </c>
      <c r="D1533" s="63" t="s">
        <v>10568</v>
      </c>
      <c r="E1533" s="772" t="str">
        <f>IFERROR(VLOOKUP(D1533,Stock,3,FALSE),"")</f>
        <v>Honda Jazz 13-  3rd Gen (Honda)</v>
      </c>
      <c r="F1533" s="63">
        <v>1.0</v>
      </c>
      <c r="G1533" s="894">
        <v>1875000.0</v>
      </c>
      <c r="H1533" s="807">
        <f t="shared" si="89"/>
        <v>1875000</v>
      </c>
      <c r="I1533" s="895"/>
      <c r="J1533" s="82"/>
      <c r="K1533" s="59" t="s">
        <v>4262</v>
      </c>
    </row>
    <row r="1534" ht="15.0" customHeight="1">
      <c r="A1534" s="802">
        <v>46042.0</v>
      </c>
      <c r="B1534" s="771" t="s">
        <v>13319</v>
      </c>
      <c r="C1534" s="63" t="s">
        <v>13022</v>
      </c>
      <c r="D1534" s="63" t="s">
        <v>2555</v>
      </c>
      <c r="E1534" s="772" t="str">
        <f>IFERROR(VLOOKUP(D1534,Stock,3,FALSE),"")</f>
        <v>Toyota Fortuner 15-  2nd Gen (Toyota)</v>
      </c>
      <c r="F1534" s="63">
        <v>2.0</v>
      </c>
      <c r="G1534" s="894">
        <v>811800.0</v>
      </c>
      <c r="H1534" s="807">
        <f t="shared" si="89"/>
        <v>1623600</v>
      </c>
      <c r="I1534" s="895"/>
      <c r="J1534" s="82"/>
      <c r="K1534" s="59" t="s">
        <v>4262</v>
      </c>
    </row>
    <row r="1535" ht="15.0" customHeight="1">
      <c r="A1535" s="802">
        <v>46042.0</v>
      </c>
      <c r="B1535" s="771" t="s">
        <v>13319</v>
      </c>
      <c r="C1535" s="63" t="s">
        <v>13022</v>
      </c>
      <c r="D1535" s="63" t="s">
        <v>5528</v>
      </c>
      <c r="E1535" s="772" t="str">
        <f>IFERROR(VLOOKUP(D1535,Stock,3,FALSE),"")</f>
        <v>Toyota Innova 15-22 2nd Gen (Toyota)</v>
      </c>
      <c r="F1535" s="63">
        <v>2.0</v>
      </c>
      <c r="G1535" s="894">
        <v>1674000.0</v>
      </c>
      <c r="H1535" s="807">
        <f t="shared" si="89"/>
        <v>3348000</v>
      </c>
      <c r="I1535" s="895"/>
      <c r="J1535" s="82"/>
      <c r="K1535" s="59" t="s">
        <v>4262</v>
      </c>
    </row>
    <row r="1536" ht="15.0" customHeight="1">
      <c r="A1536" s="789">
        <v>46042.0</v>
      </c>
      <c r="B1536" s="790">
        <v>2601607.0</v>
      </c>
      <c r="C1536" s="791" t="s">
        <v>11484</v>
      </c>
      <c r="D1536" s="791" t="s">
        <v>5926</v>
      </c>
      <c r="E1536" s="792" t="str">
        <f>IFERROR(VLOOKUP(D1536,Stock,3,FALSE),"")</f>
        <v>Hyundai Santa Fe 12-18</v>
      </c>
      <c r="F1536" s="791">
        <v>1.0</v>
      </c>
      <c r="G1536" s="842">
        <v>1164900.0</v>
      </c>
      <c r="H1536" s="811">
        <f t="shared" si="89"/>
        <v>1164900</v>
      </c>
      <c r="I1536" s="809">
        <f t="shared" ref="I1536:I1550" si="92">H1536</f>
        <v>1164900</v>
      </c>
      <c r="J1536" s="872">
        <v>46101.0</v>
      </c>
      <c r="K1536" s="799" t="s">
        <v>4262</v>
      </c>
      <c r="L1536" s="818" t="s">
        <v>12235</v>
      </c>
      <c r="M1536" s="818" t="s">
        <v>6675</v>
      </c>
      <c r="N1536" s="839">
        <v>46114.0</v>
      </c>
      <c r="O1536" s="823"/>
    </row>
    <row r="1537" ht="15.0" customHeight="1">
      <c r="A1537" s="789">
        <v>46042.0</v>
      </c>
      <c r="B1537" s="790">
        <v>2601607.0</v>
      </c>
      <c r="C1537" s="791" t="s">
        <v>11484</v>
      </c>
      <c r="D1537" s="791" t="s">
        <v>3313</v>
      </c>
      <c r="E1537" s="792" t="str">
        <f>IFERROR(VLOOKUP(D1537,Stock,3,FALSE),"")</f>
        <v>Toyota Avanza / Xenia 21- 4th Gen (Non sensor)</v>
      </c>
      <c r="F1537" s="791">
        <v>2.0</v>
      </c>
      <c r="G1537" s="842">
        <v>654500.0</v>
      </c>
      <c r="H1537" s="811">
        <f t="shared" si="89"/>
        <v>1309000</v>
      </c>
      <c r="I1537" s="809">
        <f t="shared" si="92"/>
        <v>1309000</v>
      </c>
      <c r="J1537" s="872">
        <v>46101.0</v>
      </c>
      <c r="K1537" s="799" t="s">
        <v>4262</v>
      </c>
      <c r="L1537" s="818" t="s">
        <v>12235</v>
      </c>
      <c r="M1537" s="818" t="s">
        <v>6675</v>
      </c>
      <c r="N1537" s="839">
        <v>46114.0</v>
      </c>
      <c r="O1537" s="823"/>
    </row>
    <row r="1538" ht="15.0" customHeight="1">
      <c r="A1538" s="897">
        <v>46043.0</v>
      </c>
      <c r="B1538" s="771" t="s">
        <v>13320</v>
      </c>
      <c r="C1538" s="63" t="s">
        <v>13230</v>
      </c>
      <c r="D1538" s="63" t="s">
        <v>10420</v>
      </c>
      <c r="E1538" s="772" t="str">
        <f>IFERROR(VLOOKUP(D1538,Stock,3,FALSE),"")</f>
        <v>Lexus RX (Harrier) 03-08 XU30</v>
      </c>
      <c r="F1538" s="63">
        <v>1.0</v>
      </c>
      <c r="G1538" s="894"/>
      <c r="H1538" s="807">
        <f t="shared" si="89"/>
        <v>0</v>
      </c>
      <c r="I1538" s="895">
        <f t="shared" si="92"/>
        <v>0</v>
      </c>
      <c r="J1538" s="82"/>
      <c r="K1538" s="59" t="s">
        <v>4262</v>
      </c>
    </row>
    <row r="1539" ht="15.0" customHeight="1">
      <c r="A1539" s="789">
        <v>46045.0</v>
      </c>
      <c r="B1539" s="790" t="s">
        <v>13321</v>
      </c>
      <c r="C1539" s="791" t="s">
        <v>3091</v>
      </c>
      <c r="D1539" s="791" t="s">
        <v>2738</v>
      </c>
      <c r="E1539" s="792" t="str">
        <f>IFERROR(VLOOKUP(D1539,Stock,3,FALSE),"")</f>
        <v>Toyota Alphard 08-15 ANH20 2nd Gen (Hitam)</v>
      </c>
      <c r="F1539" s="791">
        <v>2.0</v>
      </c>
      <c r="G1539" s="842">
        <v>1400000.0</v>
      </c>
      <c r="H1539" s="811">
        <f t="shared" si="89"/>
        <v>2800000</v>
      </c>
      <c r="I1539" s="809">
        <f t="shared" si="92"/>
        <v>2800000</v>
      </c>
      <c r="J1539" s="872">
        <v>46104.0</v>
      </c>
      <c r="K1539" s="799" t="s">
        <v>4262</v>
      </c>
      <c r="L1539" s="818" t="s">
        <v>12235</v>
      </c>
      <c r="M1539" s="818" t="s">
        <v>6675</v>
      </c>
      <c r="N1539" s="839">
        <v>46121.0</v>
      </c>
      <c r="O1539" s="823"/>
    </row>
    <row r="1540" ht="15.0" customHeight="1">
      <c r="A1540" s="789">
        <v>46045.0</v>
      </c>
      <c r="B1540" s="790">
        <v>2601754.0</v>
      </c>
      <c r="C1540" s="791" t="s">
        <v>11484</v>
      </c>
      <c r="D1540" s="791" t="s">
        <v>3186</v>
      </c>
      <c r="E1540" s="792" t="str">
        <f>IFERROR(VLOOKUP(D1540,Stock,3,FALSE),"")</f>
        <v>Daihatsu Gran Max / Luxio 07-</v>
      </c>
      <c r="F1540" s="791">
        <v>2.0</v>
      </c>
      <c r="G1540" s="842">
        <v>470250.0</v>
      </c>
      <c r="H1540" s="811">
        <f t="shared" si="89"/>
        <v>940500</v>
      </c>
      <c r="I1540" s="809">
        <f t="shared" si="92"/>
        <v>940500</v>
      </c>
      <c r="J1540" s="872">
        <v>46104.0</v>
      </c>
      <c r="K1540" s="799" t="s">
        <v>4262</v>
      </c>
      <c r="L1540" s="818" t="s">
        <v>12235</v>
      </c>
      <c r="M1540" s="818" t="s">
        <v>6675</v>
      </c>
      <c r="N1540" s="839">
        <v>46114.0</v>
      </c>
      <c r="O1540" s="823"/>
    </row>
    <row r="1541" ht="15.0" customHeight="1">
      <c r="A1541" s="789">
        <v>46045.0</v>
      </c>
      <c r="B1541" s="790">
        <v>2601754.0</v>
      </c>
      <c r="C1541" s="791" t="s">
        <v>11484</v>
      </c>
      <c r="D1541" s="791" t="s">
        <v>9315</v>
      </c>
      <c r="E1541" s="792" t="str">
        <f>IFERROR(VLOOKUP(D1541,Stock,3,FALSE),"")</f>
        <v>Suzuki Swift 04-11 1st Gen</v>
      </c>
      <c r="F1541" s="791">
        <v>2.0</v>
      </c>
      <c r="G1541" s="842">
        <v>462000.0</v>
      </c>
      <c r="H1541" s="811">
        <f t="shared" si="89"/>
        <v>924000</v>
      </c>
      <c r="I1541" s="809">
        <f t="shared" si="92"/>
        <v>924000</v>
      </c>
      <c r="J1541" s="872">
        <v>46104.0</v>
      </c>
      <c r="K1541" s="799" t="s">
        <v>4262</v>
      </c>
      <c r="L1541" s="818" t="s">
        <v>12235</v>
      </c>
      <c r="M1541" s="818" t="s">
        <v>6675</v>
      </c>
      <c r="N1541" s="839">
        <v>46114.0</v>
      </c>
      <c r="O1541" s="823"/>
    </row>
    <row r="1542" ht="15.0" customHeight="1">
      <c r="A1542" s="789">
        <v>46045.0</v>
      </c>
      <c r="B1542" s="790">
        <v>2601727.0</v>
      </c>
      <c r="C1542" s="791" t="s">
        <v>11484</v>
      </c>
      <c r="D1542" s="791" t="s">
        <v>2740</v>
      </c>
      <c r="E1542" s="792" t="str">
        <f>IFERROR(VLOOKUP(D1542,Stock,3,FALSE),"")</f>
        <v>Toyota Alphard 15-17 ANH30 3rd Gen (Hitam)</v>
      </c>
      <c r="F1542" s="791">
        <v>1.0</v>
      </c>
      <c r="G1542" s="842">
        <v>1413500.0</v>
      </c>
      <c r="H1542" s="811">
        <f>(G1542*F1542)-550000</f>
        <v>863500</v>
      </c>
      <c r="I1542" s="809">
        <f t="shared" si="92"/>
        <v>863500</v>
      </c>
      <c r="J1542" s="872">
        <v>46104.0</v>
      </c>
      <c r="K1542" s="799" t="s">
        <v>4262</v>
      </c>
      <c r="L1542" s="818" t="s">
        <v>12235</v>
      </c>
      <c r="M1542" s="818" t="s">
        <v>6675</v>
      </c>
      <c r="N1542" s="839">
        <v>46114.0</v>
      </c>
      <c r="O1542" s="823"/>
    </row>
    <row r="1543" ht="15.0" customHeight="1">
      <c r="A1543" s="789">
        <v>46045.0</v>
      </c>
      <c r="B1543" s="790">
        <v>2601727.0</v>
      </c>
      <c r="C1543" s="791" t="s">
        <v>11484</v>
      </c>
      <c r="D1543" s="791" t="s">
        <v>10495</v>
      </c>
      <c r="E1543" s="792" t="str">
        <f>IFERROR(VLOOKUP(D1543,Stock,3,FALSE),"")</f>
        <v>Toyota Alphard 15- ANH30 3rd Gen (Hitam)</v>
      </c>
      <c r="F1543" s="791">
        <v>1.0</v>
      </c>
      <c r="G1543" s="842">
        <v>1748450.0</v>
      </c>
      <c r="H1543" s="811">
        <f t="shared" ref="H1543:H1710" si="93">G1543*F1543</f>
        <v>1748450</v>
      </c>
      <c r="I1543" s="809">
        <f t="shared" si="92"/>
        <v>1748450</v>
      </c>
      <c r="J1543" s="872">
        <v>46104.0</v>
      </c>
      <c r="K1543" s="799" t="s">
        <v>4262</v>
      </c>
      <c r="L1543" s="818" t="s">
        <v>12235</v>
      </c>
      <c r="M1543" s="818" t="s">
        <v>6675</v>
      </c>
      <c r="N1543" s="839">
        <v>46114.0</v>
      </c>
      <c r="O1543" s="823"/>
    </row>
    <row r="1544" ht="15.0" customHeight="1">
      <c r="A1544" s="789">
        <v>46045.0</v>
      </c>
      <c r="B1544" s="790">
        <v>2601727.0</v>
      </c>
      <c r="C1544" s="791" t="s">
        <v>11484</v>
      </c>
      <c r="D1544" s="791" t="s">
        <v>10496</v>
      </c>
      <c r="E1544" s="792" t="str">
        <f>IFERROR(VLOOKUP(D1544,Stock,3,FALSE),"")</f>
        <v>Toyota Alphard 15- ANH30 3rd Gen (Hitam)</v>
      </c>
      <c r="F1544" s="791">
        <v>1.0</v>
      </c>
      <c r="G1544" s="842">
        <v>1748450.0</v>
      </c>
      <c r="H1544" s="811">
        <f t="shared" si="93"/>
        <v>1748450</v>
      </c>
      <c r="I1544" s="809">
        <f t="shared" si="92"/>
        <v>1748450</v>
      </c>
      <c r="J1544" s="872">
        <v>46104.0</v>
      </c>
      <c r="K1544" s="799" t="s">
        <v>4262</v>
      </c>
      <c r="L1544" s="818" t="s">
        <v>12235</v>
      </c>
      <c r="M1544" s="818" t="s">
        <v>6675</v>
      </c>
      <c r="N1544" s="839">
        <v>46114.0</v>
      </c>
      <c r="O1544" s="823"/>
    </row>
    <row r="1545" ht="15.0" customHeight="1">
      <c r="A1545" s="789">
        <v>46048.0</v>
      </c>
      <c r="B1545" s="790">
        <v>2601779.0</v>
      </c>
      <c r="C1545" s="791" t="s">
        <v>11484</v>
      </c>
      <c r="D1545" s="791" t="s">
        <v>2663</v>
      </c>
      <c r="E1545" s="792" t="str">
        <f>IFERROR(VLOOKUP(D1545,Stock,3,FALSE),"")</f>
        <v>Chevrolet Captiva 06-18 1st gen C100</v>
      </c>
      <c r="F1545" s="791">
        <v>2.0</v>
      </c>
      <c r="G1545" s="842">
        <v>997150.0</v>
      </c>
      <c r="H1545" s="811">
        <f t="shared" si="93"/>
        <v>1994300</v>
      </c>
      <c r="I1545" s="809">
        <f t="shared" si="92"/>
        <v>1994300</v>
      </c>
      <c r="J1545" s="872">
        <v>46107.0</v>
      </c>
      <c r="K1545" s="799" t="s">
        <v>4262</v>
      </c>
      <c r="L1545" s="818" t="s">
        <v>12235</v>
      </c>
      <c r="M1545" s="818" t="s">
        <v>6675</v>
      </c>
      <c r="N1545" s="839">
        <v>46114.0</v>
      </c>
      <c r="O1545" s="823"/>
    </row>
    <row r="1546" ht="15.0" customHeight="1">
      <c r="A1546" s="789">
        <v>46048.0</v>
      </c>
      <c r="B1546" s="790">
        <v>2601779.0</v>
      </c>
      <c r="C1546" s="791" t="s">
        <v>11484</v>
      </c>
      <c r="D1546" s="791" t="s">
        <v>3186</v>
      </c>
      <c r="E1546" s="792" t="str">
        <f>IFERROR(VLOOKUP(D1546,Stock,3,FALSE),"")</f>
        <v>Daihatsu Gran Max / Luxio 07-</v>
      </c>
      <c r="F1546" s="791">
        <v>2.0</v>
      </c>
      <c r="G1546" s="842">
        <v>470250.0</v>
      </c>
      <c r="H1546" s="811">
        <f t="shared" si="93"/>
        <v>940500</v>
      </c>
      <c r="I1546" s="809">
        <f t="shared" si="92"/>
        <v>940500</v>
      </c>
      <c r="J1546" s="872">
        <v>46107.0</v>
      </c>
      <c r="K1546" s="799" t="s">
        <v>4262</v>
      </c>
      <c r="L1546" s="818" t="s">
        <v>12235</v>
      </c>
      <c r="M1546" s="818" t="s">
        <v>6675</v>
      </c>
      <c r="N1546" s="839">
        <v>46114.0</v>
      </c>
      <c r="O1546" s="823"/>
    </row>
    <row r="1547" ht="15.0" customHeight="1">
      <c r="A1547" s="802">
        <v>46048.0</v>
      </c>
      <c r="B1547" s="771" t="s">
        <v>13322</v>
      </c>
      <c r="C1547" s="63" t="s">
        <v>13230</v>
      </c>
      <c r="D1547" s="63" t="s">
        <v>2740</v>
      </c>
      <c r="E1547" s="772" t="str">
        <f>IFERROR(VLOOKUP(D1547,Stock,3,FALSE),"")</f>
        <v>Toyota Alphard 15-17 ANH30 3rd Gen (Hitam)</v>
      </c>
      <c r="F1547" s="63">
        <v>1.0</v>
      </c>
      <c r="G1547" s="894"/>
      <c r="H1547" s="807">
        <f t="shared" si="93"/>
        <v>0</v>
      </c>
      <c r="I1547" s="895">
        <f t="shared" si="92"/>
        <v>0</v>
      </c>
      <c r="J1547" s="82"/>
      <c r="K1547" s="59" t="s">
        <v>4262</v>
      </c>
    </row>
    <row r="1548" ht="15.0" customHeight="1">
      <c r="A1548" s="802">
        <v>46048.0</v>
      </c>
      <c r="B1548" s="771" t="s">
        <v>13322</v>
      </c>
      <c r="C1548" s="63" t="s">
        <v>13230</v>
      </c>
      <c r="D1548" s="63" t="s">
        <v>10578</v>
      </c>
      <c r="E1548" s="772" t="str">
        <f>IFERROR(VLOOKUP(D1548,Stock,3,FALSE),"")</f>
        <v>Mazda CX-3 15- </v>
      </c>
      <c r="F1548" s="63">
        <v>1.0</v>
      </c>
      <c r="G1548" s="894"/>
      <c r="H1548" s="807">
        <f t="shared" si="93"/>
        <v>0</v>
      </c>
      <c r="I1548" s="895">
        <f t="shared" si="92"/>
        <v>0</v>
      </c>
      <c r="J1548" s="82"/>
      <c r="K1548" s="59" t="s">
        <v>4262</v>
      </c>
    </row>
    <row r="1549" ht="15.0" customHeight="1">
      <c r="A1549" s="802">
        <v>46048.0</v>
      </c>
      <c r="B1549" s="771" t="s">
        <v>13322</v>
      </c>
      <c r="C1549" s="63" t="s">
        <v>13230</v>
      </c>
      <c r="D1549" s="63" t="s">
        <v>3176</v>
      </c>
      <c r="E1549" s="772" t="str">
        <f>IFERROR(VLOOKUP(D1549,Stock,3,FALSE),"")</f>
        <v>Toyota Avanza / Xenia 11-15 2nd Gen / 15-21 3rd Gen</v>
      </c>
      <c r="F1549" s="63">
        <v>10.0</v>
      </c>
      <c r="G1549" s="894"/>
      <c r="H1549" s="807">
        <f t="shared" si="93"/>
        <v>0</v>
      </c>
      <c r="I1549" s="895">
        <f t="shared" si="92"/>
        <v>0</v>
      </c>
      <c r="J1549" s="82"/>
      <c r="K1549" s="59" t="s">
        <v>4262</v>
      </c>
    </row>
    <row r="1550" ht="15.0" customHeight="1">
      <c r="A1550" s="789">
        <v>46049.0</v>
      </c>
      <c r="B1550" s="790">
        <v>2601843.0</v>
      </c>
      <c r="C1550" s="791" t="s">
        <v>11484</v>
      </c>
      <c r="D1550" s="791" t="s">
        <v>10603</v>
      </c>
      <c r="E1550" s="792" t="str">
        <f>IFERROR(VLOOKUP(D1550,Stock,3,FALSE),"")</f>
        <v>Honda CR-V 12-16 4th Gen [Lengkung]</v>
      </c>
      <c r="F1550" s="791">
        <v>2.0</v>
      </c>
      <c r="G1550" s="842">
        <v>657800.0</v>
      </c>
      <c r="H1550" s="811">
        <f t="shared" si="93"/>
        <v>1315600</v>
      </c>
      <c r="I1550" s="809">
        <f t="shared" si="92"/>
        <v>1315600</v>
      </c>
      <c r="J1550" s="872">
        <v>46108.0</v>
      </c>
      <c r="K1550" s="799" t="s">
        <v>4262</v>
      </c>
      <c r="L1550" s="818" t="s">
        <v>12235</v>
      </c>
      <c r="M1550" s="818" t="s">
        <v>6675</v>
      </c>
      <c r="N1550" s="839">
        <v>46114.0</v>
      </c>
      <c r="O1550" s="823"/>
    </row>
    <row r="1551" ht="15.0" customHeight="1">
      <c r="A1551" s="802">
        <v>46056.0</v>
      </c>
      <c r="B1551" s="771" t="s">
        <v>13323</v>
      </c>
      <c r="C1551" s="63" t="s">
        <v>13145</v>
      </c>
      <c r="D1551" s="63" t="s">
        <v>10671</v>
      </c>
      <c r="E1551" s="772" t="str">
        <f>IFERROR(VLOOKUP(D1551,Stock,3,FALSE),"")</f>
        <v>Honda HR-V 14-21 5D SUV (Honda)</v>
      </c>
      <c r="F1551" s="63">
        <v>3.0</v>
      </c>
      <c r="G1551" s="894">
        <v>1850000.0</v>
      </c>
      <c r="H1551" s="807">
        <f t="shared" si="93"/>
        <v>5550000</v>
      </c>
      <c r="I1551" s="895"/>
      <c r="J1551" s="82"/>
      <c r="K1551" s="59" t="s">
        <v>4262</v>
      </c>
    </row>
    <row r="1552" ht="15.0" customHeight="1">
      <c r="A1552" s="802">
        <v>46056.0</v>
      </c>
      <c r="B1552" s="771" t="s">
        <v>13323</v>
      </c>
      <c r="C1552" s="63" t="s">
        <v>13145</v>
      </c>
      <c r="D1552" s="63" t="s">
        <v>3745</v>
      </c>
      <c r="E1552" s="772" t="str">
        <f>IFERROR(VLOOKUP(D1552,Stock,3,FALSE),"")</f>
        <v>Honda Brio 10- / Mobilio 11-</v>
      </c>
      <c r="F1552" s="63">
        <v>3.0</v>
      </c>
      <c r="G1552" s="894">
        <v>825000.0</v>
      </c>
      <c r="H1552" s="807">
        <f t="shared" si="93"/>
        <v>2475000</v>
      </c>
      <c r="I1552" s="895"/>
      <c r="J1552" s="82"/>
      <c r="K1552" s="59" t="s">
        <v>4262</v>
      </c>
    </row>
    <row r="1553" ht="15.0" customHeight="1">
      <c r="A1553" s="789">
        <v>46057.0</v>
      </c>
      <c r="B1553" s="790">
        <v>2602142.0</v>
      </c>
      <c r="C1553" s="791" t="s">
        <v>11484</v>
      </c>
      <c r="D1553" s="791" t="s">
        <v>2562</v>
      </c>
      <c r="E1553" s="792" t="str">
        <f>IFERROR(VLOOKUP(D1553,Stock,3,FALSE),"")</f>
        <v>Toyota Avanza / Xenia 15-21 3rd Gen</v>
      </c>
      <c r="F1553" s="791">
        <v>2.0</v>
      </c>
      <c r="G1553" s="842">
        <v>416900.0</v>
      </c>
      <c r="H1553" s="811">
        <f t="shared" si="93"/>
        <v>833800</v>
      </c>
      <c r="I1553" s="809">
        <f t="shared" ref="I1553:I1557" si="94">H1553</f>
        <v>833800</v>
      </c>
      <c r="J1553" s="872">
        <v>46116.0</v>
      </c>
      <c r="K1553" s="799" t="s">
        <v>4262</v>
      </c>
      <c r="L1553" s="818" t="s">
        <v>12235</v>
      </c>
      <c r="M1553" s="818" t="s">
        <v>6675</v>
      </c>
      <c r="N1553" s="839">
        <v>46114.0</v>
      </c>
      <c r="O1553" s="823"/>
    </row>
    <row r="1554" ht="15.0" customHeight="1">
      <c r="A1554" s="789">
        <v>46057.0</v>
      </c>
      <c r="B1554" s="790">
        <v>2602142.0</v>
      </c>
      <c r="C1554" s="791" t="s">
        <v>11484</v>
      </c>
      <c r="D1554" s="791" t="s">
        <v>3136</v>
      </c>
      <c r="E1554" s="792" t="str">
        <f>IFERROR(VLOOKUP(D1554,Stock,3,FALSE),"")</f>
        <v>Mitsubishi Pajero 16-</v>
      </c>
      <c r="F1554" s="791">
        <v>1.0</v>
      </c>
      <c r="G1554" s="842">
        <v>679800.0</v>
      </c>
      <c r="H1554" s="811">
        <f t="shared" si="93"/>
        <v>679800</v>
      </c>
      <c r="I1554" s="809">
        <f t="shared" si="94"/>
        <v>679800</v>
      </c>
      <c r="J1554" s="872">
        <v>46116.0</v>
      </c>
      <c r="K1554" s="799" t="s">
        <v>4262</v>
      </c>
      <c r="L1554" s="818" t="s">
        <v>12235</v>
      </c>
      <c r="M1554" s="818" t="s">
        <v>6675</v>
      </c>
      <c r="N1554" s="839">
        <v>46114.0</v>
      </c>
      <c r="O1554" s="823"/>
    </row>
    <row r="1555" ht="15.0" customHeight="1">
      <c r="A1555" s="789">
        <v>46057.0</v>
      </c>
      <c r="B1555" s="790">
        <v>2602142.0</v>
      </c>
      <c r="C1555" s="791" t="s">
        <v>11484</v>
      </c>
      <c r="D1555" s="791" t="s">
        <v>13324</v>
      </c>
      <c r="E1555" s="792" t="str">
        <f>IFERROR(VLOOKUP(D1555,Stock,3,FALSE),"")</f>
        <v>Isuzu Traga</v>
      </c>
      <c r="F1555" s="791">
        <v>2.0</v>
      </c>
      <c r="G1555" s="842">
        <v>561000.0</v>
      </c>
      <c r="H1555" s="811">
        <f t="shared" si="93"/>
        <v>1122000</v>
      </c>
      <c r="I1555" s="809">
        <f t="shared" si="94"/>
        <v>1122000</v>
      </c>
      <c r="J1555" s="872">
        <v>46116.0</v>
      </c>
      <c r="K1555" s="799" t="s">
        <v>4262</v>
      </c>
      <c r="L1555" s="818" t="s">
        <v>12235</v>
      </c>
      <c r="M1555" s="818" t="s">
        <v>6675</v>
      </c>
      <c r="N1555" s="839">
        <v>46114.0</v>
      </c>
      <c r="O1555" s="823"/>
    </row>
    <row r="1556" ht="15.0" customHeight="1">
      <c r="A1556" s="789">
        <v>46058.0</v>
      </c>
      <c r="B1556" s="790">
        <v>2602182.0</v>
      </c>
      <c r="C1556" s="791" t="s">
        <v>11484</v>
      </c>
      <c r="D1556" s="791" t="s">
        <v>2565</v>
      </c>
      <c r="E1556" s="792" t="str">
        <f>IFERROR(VLOOKUP(D1556,Stock,3,FALSE),"")</f>
        <v>Toyota Avanza / Xenia 03-11 1st Gen</v>
      </c>
      <c r="F1556" s="791">
        <v>1.0</v>
      </c>
      <c r="G1556" s="842">
        <v>416900.0</v>
      </c>
      <c r="H1556" s="811">
        <f t="shared" si="93"/>
        <v>416900</v>
      </c>
      <c r="I1556" s="809">
        <f t="shared" si="94"/>
        <v>416900</v>
      </c>
      <c r="J1556" s="872">
        <v>46117.0</v>
      </c>
      <c r="K1556" s="799" t="s">
        <v>4262</v>
      </c>
      <c r="L1556" s="818" t="s">
        <v>12235</v>
      </c>
      <c r="M1556" s="818" t="s">
        <v>6675</v>
      </c>
      <c r="N1556" s="839">
        <v>46114.0</v>
      </c>
      <c r="O1556" s="823"/>
    </row>
    <row r="1557" ht="15.0" customHeight="1">
      <c r="A1557" s="789">
        <v>46058.0</v>
      </c>
      <c r="B1557" s="790">
        <v>2602182.0</v>
      </c>
      <c r="C1557" s="791" t="s">
        <v>11484</v>
      </c>
      <c r="D1557" s="791" t="s">
        <v>2549</v>
      </c>
      <c r="E1557" s="792" t="str">
        <f>IFERROR(VLOOKUP(D1557,Stock,3,FALSE),"")</f>
        <v>Toyota Avanza / Xenia 11-15 2nd Gen</v>
      </c>
      <c r="F1557" s="791">
        <v>2.0</v>
      </c>
      <c r="G1557" s="842">
        <v>416900.0</v>
      </c>
      <c r="H1557" s="811">
        <f t="shared" si="93"/>
        <v>833800</v>
      </c>
      <c r="I1557" s="809">
        <f t="shared" si="94"/>
        <v>833800</v>
      </c>
      <c r="J1557" s="872">
        <v>46117.0</v>
      </c>
      <c r="K1557" s="799" t="s">
        <v>4262</v>
      </c>
      <c r="L1557" s="818" t="s">
        <v>12235</v>
      </c>
      <c r="M1557" s="818" t="s">
        <v>6675</v>
      </c>
      <c r="N1557" s="839">
        <v>46114.0</v>
      </c>
      <c r="O1557" s="823"/>
    </row>
    <row r="1558" ht="15.0" customHeight="1">
      <c r="A1558" s="789">
        <v>46062.0</v>
      </c>
      <c r="B1558" s="846" t="s">
        <v>13325</v>
      </c>
      <c r="C1558" s="900" t="s">
        <v>28</v>
      </c>
      <c r="D1558" s="846" t="s">
        <v>13326</v>
      </c>
      <c r="E1558" s="792" t="str">
        <f>IFERROR(VLOOKUP(D1558,Stock,3,FALSE),"")</f>
        <v/>
      </c>
      <c r="F1558" s="901">
        <v>60.0</v>
      </c>
      <c r="G1558" s="902">
        <v>58000.0</v>
      </c>
      <c r="H1558" s="811">
        <f t="shared" si="93"/>
        <v>3480000</v>
      </c>
      <c r="I1558" s="903"/>
      <c r="J1558" s="904"/>
      <c r="K1558" s="905" t="s">
        <v>4281</v>
      </c>
      <c r="L1558" s="906" t="s">
        <v>12235</v>
      </c>
      <c r="M1558" s="906" t="s">
        <v>6675</v>
      </c>
      <c r="N1558" s="907">
        <v>46088.0</v>
      </c>
      <c r="O1558" s="874"/>
    </row>
    <row r="1559" ht="15.0" customHeight="1">
      <c r="A1559" s="789">
        <v>46063.0</v>
      </c>
      <c r="B1559" s="790">
        <v>2602345.0</v>
      </c>
      <c r="C1559" s="791" t="s">
        <v>11484</v>
      </c>
      <c r="D1559" s="791" t="s">
        <v>8899</v>
      </c>
      <c r="E1559" s="792" t="str">
        <f>IFERROR(VLOOKUP(D1559,Stock,3,FALSE),"")</f>
        <v>Mazda MX-5/Miata/Roadster 2D NC 05-15</v>
      </c>
      <c r="F1559" s="791">
        <v>1.0</v>
      </c>
      <c r="G1559" s="842">
        <v>3079450.0</v>
      </c>
      <c r="H1559" s="811">
        <f t="shared" si="93"/>
        <v>3079450</v>
      </c>
      <c r="I1559" s="809">
        <f t="shared" ref="I1559:I1568" si="95">H1559</f>
        <v>3079450</v>
      </c>
      <c r="J1559" s="872">
        <v>46122.0</v>
      </c>
      <c r="K1559" s="799" t="s">
        <v>4262</v>
      </c>
      <c r="L1559" s="906" t="s">
        <v>12235</v>
      </c>
      <c r="M1559" s="906" t="s">
        <v>6675</v>
      </c>
      <c r="N1559" s="839">
        <v>46126.0</v>
      </c>
      <c r="O1559" s="823"/>
    </row>
    <row r="1560" ht="15.0" customHeight="1">
      <c r="A1560" s="789">
        <v>46063.0</v>
      </c>
      <c r="B1560" s="790">
        <v>2602345.0</v>
      </c>
      <c r="C1560" s="791" t="s">
        <v>11484</v>
      </c>
      <c r="D1560" s="791" t="s">
        <v>10262</v>
      </c>
      <c r="E1560" s="792" t="str">
        <f>IFERROR(VLOOKUP(D1560,Stock,3,FALSE),"")</f>
        <v>Toyota LandCruiser Prado FJ150W 21-23 (2 Sensor / /\ [] )</v>
      </c>
      <c r="F1560" s="791">
        <v>1.0</v>
      </c>
      <c r="G1560" s="842">
        <v>1664300.0</v>
      </c>
      <c r="H1560" s="811">
        <f t="shared" si="93"/>
        <v>1664300</v>
      </c>
      <c r="I1560" s="809">
        <f t="shared" si="95"/>
        <v>1664300</v>
      </c>
      <c r="J1560" s="872">
        <v>46122.0</v>
      </c>
      <c r="K1560" s="799" t="s">
        <v>4262</v>
      </c>
      <c r="L1560" s="906" t="s">
        <v>12235</v>
      </c>
      <c r="M1560" s="906" t="s">
        <v>6675</v>
      </c>
      <c r="N1560" s="839">
        <v>46126.0</v>
      </c>
      <c r="O1560" s="823"/>
    </row>
    <row r="1561" ht="15.0" customHeight="1">
      <c r="A1561" s="789">
        <v>46063.0</v>
      </c>
      <c r="B1561" s="790">
        <v>2602345.0</v>
      </c>
      <c r="C1561" s="791" t="s">
        <v>11484</v>
      </c>
      <c r="D1561" s="791" t="s">
        <v>5635</v>
      </c>
      <c r="E1561" s="792" t="str">
        <f>IFERROR(VLOOKUP(D1561,Stock,3,FALSE),"")</f>
        <v>Honda HR-V 14-21 5D SUV</v>
      </c>
      <c r="F1561" s="791">
        <v>1.0</v>
      </c>
      <c r="G1561" s="842">
        <v>530750.0</v>
      </c>
      <c r="H1561" s="811">
        <f t="shared" si="93"/>
        <v>530750</v>
      </c>
      <c r="I1561" s="809">
        <f t="shared" si="95"/>
        <v>530750</v>
      </c>
      <c r="J1561" s="872">
        <v>46122.0</v>
      </c>
      <c r="K1561" s="799" t="s">
        <v>4262</v>
      </c>
      <c r="L1561" s="906" t="s">
        <v>12235</v>
      </c>
      <c r="M1561" s="906" t="s">
        <v>6675</v>
      </c>
      <c r="N1561" s="839">
        <v>46126.0</v>
      </c>
      <c r="O1561" s="823"/>
    </row>
    <row r="1562" ht="15.0" customHeight="1">
      <c r="A1562" s="789">
        <v>46069.0</v>
      </c>
      <c r="B1562" s="790">
        <v>2602530.0</v>
      </c>
      <c r="C1562" s="791" t="s">
        <v>11484</v>
      </c>
      <c r="D1562" s="791" t="s">
        <v>8623</v>
      </c>
      <c r="E1562" s="792" t="str">
        <f>IFERROR(VLOOKUP(D1562,Stock,3,FALSE),"")</f>
        <v>Daihatsu Gran Max / Luxio 07-</v>
      </c>
      <c r="F1562" s="791">
        <v>2.0</v>
      </c>
      <c r="G1562" s="842">
        <v>470250.0</v>
      </c>
      <c r="H1562" s="811">
        <f t="shared" si="93"/>
        <v>940500</v>
      </c>
      <c r="I1562" s="809">
        <f t="shared" si="95"/>
        <v>940500</v>
      </c>
      <c r="J1562" s="872">
        <v>46128.0</v>
      </c>
      <c r="K1562" s="799" t="s">
        <v>4262</v>
      </c>
      <c r="L1562" s="906" t="s">
        <v>12235</v>
      </c>
      <c r="M1562" s="906" t="s">
        <v>6675</v>
      </c>
      <c r="N1562" s="839">
        <v>46126.0</v>
      </c>
      <c r="O1562" s="823"/>
    </row>
    <row r="1563" ht="15.0" customHeight="1">
      <c r="A1563" s="789">
        <v>46069.0</v>
      </c>
      <c r="B1563" s="790">
        <v>2602530.0</v>
      </c>
      <c r="C1563" s="791" t="s">
        <v>11484</v>
      </c>
      <c r="D1563" s="791" t="s">
        <v>2690</v>
      </c>
      <c r="E1563" s="792" t="str">
        <f>IFERROR(VLOOKUP(D1563,Stock,3,FALSE),"")</f>
        <v>Suzuki APV 03- Pickup/ Van</v>
      </c>
      <c r="F1563" s="791">
        <v>1.0</v>
      </c>
      <c r="G1563" s="842">
        <v>491700.0</v>
      </c>
      <c r="H1563" s="811">
        <f t="shared" si="93"/>
        <v>491700</v>
      </c>
      <c r="I1563" s="809">
        <f t="shared" si="95"/>
        <v>491700</v>
      </c>
      <c r="J1563" s="872">
        <v>46128.0</v>
      </c>
      <c r="K1563" s="799" t="s">
        <v>4262</v>
      </c>
      <c r="L1563" s="906" t="s">
        <v>12235</v>
      </c>
      <c r="M1563" s="906" t="s">
        <v>6675</v>
      </c>
      <c r="N1563" s="839">
        <v>46126.0</v>
      </c>
      <c r="O1563" s="823"/>
    </row>
    <row r="1564" ht="15.0" customHeight="1">
      <c r="A1564" s="789">
        <v>46069.0</v>
      </c>
      <c r="B1564" s="790">
        <v>2602530.0</v>
      </c>
      <c r="C1564" s="791" t="s">
        <v>11484</v>
      </c>
      <c r="D1564" s="791" t="s">
        <v>5444</v>
      </c>
      <c r="E1564" s="792" t="str">
        <f>IFERROR(VLOOKUP(D1564,Stock,3,FALSE),"")</f>
        <v>Toyota Hi-Ace 19- Premio (Hitam) (Tinggi 56.7cm)</v>
      </c>
      <c r="F1564" s="791">
        <v>1.0</v>
      </c>
      <c r="G1564" s="842">
        <v>1431100.0</v>
      </c>
      <c r="H1564" s="811">
        <f t="shared" si="93"/>
        <v>1431100</v>
      </c>
      <c r="I1564" s="809">
        <f t="shared" si="95"/>
        <v>1431100</v>
      </c>
      <c r="J1564" s="872">
        <v>46128.0</v>
      </c>
      <c r="K1564" s="799" t="s">
        <v>4262</v>
      </c>
      <c r="L1564" s="906" t="s">
        <v>12235</v>
      </c>
      <c r="M1564" s="906" t="s">
        <v>6675</v>
      </c>
      <c r="N1564" s="839">
        <v>46126.0</v>
      </c>
      <c r="O1564" s="823"/>
    </row>
    <row r="1565" ht="15.0" customHeight="1">
      <c r="A1565" s="789">
        <v>46069.0</v>
      </c>
      <c r="B1565" s="790">
        <v>2602530.0</v>
      </c>
      <c r="C1565" s="791" t="s">
        <v>11484</v>
      </c>
      <c r="D1565" s="791" t="s">
        <v>3622</v>
      </c>
      <c r="E1565" s="792" t="str">
        <f>IFERROR(VLOOKUP(D1565,Stock,3,FALSE),"")</f>
        <v>Mitsubishi Pajero 08-16</v>
      </c>
      <c r="F1565" s="791">
        <v>2.0</v>
      </c>
      <c r="G1565" s="842">
        <v>649000.0</v>
      </c>
      <c r="H1565" s="811">
        <f t="shared" si="93"/>
        <v>1298000</v>
      </c>
      <c r="I1565" s="809">
        <f t="shared" si="95"/>
        <v>1298000</v>
      </c>
      <c r="J1565" s="872">
        <v>46128.0</v>
      </c>
      <c r="K1565" s="799" t="s">
        <v>4262</v>
      </c>
      <c r="L1565" s="906" t="s">
        <v>12235</v>
      </c>
      <c r="M1565" s="906" t="s">
        <v>6675</v>
      </c>
      <c r="N1565" s="839">
        <v>46126.0</v>
      </c>
      <c r="O1565" s="823"/>
    </row>
    <row r="1566" ht="15.0" customHeight="1">
      <c r="A1566" s="789">
        <v>46071.0</v>
      </c>
      <c r="B1566" s="790">
        <v>2602606.0</v>
      </c>
      <c r="C1566" s="791" t="s">
        <v>11484</v>
      </c>
      <c r="D1566" s="791" t="s">
        <v>8623</v>
      </c>
      <c r="E1566" s="792" t="str">
        <f>IFERROR(VLOOKUP(D1566,Stock,3,FALSE),"")</f>
        <v>Daihatsu Gran Max / Luxio 07-</v>
      </c>
      <c r="F1566" s="791">
        <v>2.0</v>
      </c>
      <c r="G1566" s="842">
        <v>470250.0</v>
      </c>
      <c r="H1566" s="811">
        <f t="shared" si="93"/>
        <v>940500</v>
      </c>
      <c r="I1566" s="809">
        <f t="shared" si="95"/>
        <v>940500</v>
      </c>
      <c r="J1566" s="872">
        <v>46130.0</v>
      </c>
      <c r="K1566" s="799" t="s">
        <v>4262</v>
      </c>
      <c r="L1566" s="906" t="s">
        <v>12235</v>
      </c>
      <c r="M1566" s="906" t="s">
        <v>6675</v>
      </c>
      <c r="N1566" s="839">
        <v>46126.0</v>
      </c>
      <c r="O1566" s="823"/>
    </row>
    <row r="1567" ht="15.0" customHeight="1">
      <c r="A1567" s="789">
        <v>46071.0</v>
      </c>
      <c r="B1567" s="790">
        <v>2602586.0</v>
      </c>
      <c r="C1567" s="791" t="s">
        <v>11484</v>
      </c>
      <c r="D1567" s="791" t="s">
        <v>4526</v>
      </c>
      <c r="E1567" s="792" t="str">
        <f>IFERROR(VLOOKUP(D1567,Stock,3,FALSE),"")</f>
        <v>Toyota Hi-Ace 04-20 Commuter</v>
      </c>
      <c r="F1567" s="791">
        <v>1.0</v>
      </c>
      <c r="G1567" s="842">
        <v>583000.0</v>
      </c>
      <c r="H1567" s="811">
        <f t="shared" si="93"/>
        <v>583000</v>
      </c>
      <c r="I1567" s="809">
        <f t="shared" si="95"/>
        <v>583000</v>
      </c>
      <c r="J1567" s="872">
        <v>46130.0</v>
      </c>
      <c r="K1567" s="799" t="s">
        <v>4262</v>
      </c>
      <c r="L1567" s="906" t="s">
        <v>12235</v>
      </c>
      <c r="M1567" s="906" t="s">
        <v>6675</v>
      </c>
      <c r="N1567" s="839">
        <v>46126.0</v>
      </c>
      <c r="O1567" s="823"/>
    </row>
    <row r="1568" ht="15.0" customHeight="1">
      <c r="A1568" s="789">
        <v>46071.0</v>
      </c>
      <c r="B1568" s="790">
        <v>2602586.0</v>
      </c>
      <c r="C1568" s="791" t="s">
        <v>11484</v>
      </c>
      <c r="D1568" s="791" t="s">
        <v>6693</v>
      </c>
      <c r="E1568" s="792" t="str">
        <f>IFERROR(VLOOKUP(D1568,Stock,3,FALSE),"")</f>
        <v>Toyota Yaris 05-13 XP90 1st Gen</v>
      </c>
      <c r="F1568" s="791">
        <v>1.0</v>
      </c>
      <c r="G1568" s="842">
        <v>515900.0</v>
      </c>
      <c r="H1568" s="811">
        <f t="shared" si="93"/>
        <v>515900</v>
      </c>
      <c r="I1568" s="809">
        <f t="shared" si="95"/>
        <v>515900</v>
      </c>
      <c r="J1568" s="872">
        <v>46130.0</v>
      </c>
      <c r="K1568" s="799" t="s">
        <v>4262</v>
      </c>
      <c r="L1568" s="906" t="s">
        <v>12235</v>
      </c>
      <c r="M1568" s="906" t="s">
        <v>6675</v>
      </c>
      <c r="N1568" s="839">
        <v>46126.0</v>
      </c>
      <c r="O1568" s="823"/>
    </row>
    <row r="1569" ht="15.0" customHeight="1">
      <c r="A1569" s="802">
        <v>46072.0</v>
      </c>
      <c r="B1569" s="771" t="s">
        <v>13327</v>
      </c>
      <c r="C1569" s="63" t="s">
        <v>13022</v>
      </c>
      <c r="D1569" s="63" t="s">
        <v>5429</v>
      </c>
      <c r="E1569" s="772" t="str">
        <f>IFERROR(VLOOKUP(D1569,Stock,3,FALSE),"")</f>
        <v>Toyota Innova 04-15 1st Gen (Toyota)</v>
      </c>
      <c r="F1569" s="63">
        <v>2.0</v>
      </c>
      <c r="G1569" s="894">
        <v>1197000.0</v>
      </c>
      <c r="H1569" s="807">
        <f t="shared" si="93"/>
        <v>2394000</v>
      </c>
      <c r="I1569" s="895"/>
      <c r="J1569" s="898"/>
      <c r="K1569" s="59" t="s">
        <v>4262</v>
      </c>
    </row>
    <row r="1570" ht="15.0" customHeight="1">
      <c r="A1570" s="802">
        <v>46076.0</v>
      </c>
      <c r="B1570" s="771" t="s">
        <v>13328</v>
      </c>
      <c r="C1570" s="63" t="s">
        <v>13022</v>
      </c>
      <c r="D1570" s="63" t="s">
        <v>13329</v>
      </c>
      <c r="E1570" s="772" t="str">
        <f>IFERROR(VLOOKUP(D1570,Stock,3,FALSE),"")</f>
        <v>Toyota Innova 04-15 1st Gen (Toyota)</v>
      </c>
      <c r="F1570" s="63">
        <v>1.0</v>
      </c>
      <c r="G1570" s="894">
        <v>445500.0</v>
      </c>
      <c r="H1570" s="807">
        <f t="shared" si="93"/>
        <v>445500</v>
      </c>
      <c r="I1570" s="895"/>
      <c r="J1570" s="898"/>
      <c r="K1570" s="59" t="s">
        <v>4262</v>
      </c>
    </row>
    <row r="1571" ht="15.0" customHeight="1">
      <c r="A1571" s="802">
        <v>46078.0</v>
      </c>
      <c r="B1571" s="771" t="s">
        <v>13330</v>
      </c>
      <c r="C1571" s="63" t="s">
        <v>13022</v>
      </c>
      <c r="D1571" s="63" t="s">
        <v>10869</v>
      </c>
      <c r="E1571" s="772" t="str">
        <f>IFERROR(VLOOKUP(D1571,Stock,3,FALSE),"")</f>
        <v>Toyota Calya /  Sigra 16- (Toyota/Daihatsu)</v>
      </c>
      <c r="F1571" s="63">
        <v>1.0</v>
      </c>
      <c r="G1571" s="894">
        <v>209700.0</v>
      </c>
      <c r="H1571" s="807">
        <f t="shared" si="93"/>
        <v>209700</v>
      </c>
      <c r="I1571" s="895"/>
      <c r="J1571" s="898"/>
      <c r="K1571" s="59" t="s">
        <v>4262</v>
      </c>
    </row>
    <row r="1572" ht="15.0" customHeight="1">
      <c r="A1572" s="802">
        <v>46078.0</v>
      </c>
      <c r="B1572" s="771">
        <v>2602815.0</v>
      </c>
      <c r="C1572" s="63" t="s">
        <v>11484</v>
      </c>
      <c r="D1572" s="63" t="s">
        <v>10873</v>
      </c>
      <c r="E1572" s="772" t="str">
        <f>IFERROR(VLOOKUP(D1572,Stock,3,FALSE),"")</f>
        <v>Chevrolet Spark 98-05 M100 1stGen (800cc)</v>
      </c>
      <c r="F1572" s="63">
        <v>1.0</v>
      </c>
      <c r="G1572" s="894">
        <v>737000.0</v>
      </c>
      <c r="H1572" s="807">
        <f t="shared" si="93"/>
        <v>737000</v>
      </c>
      <c r="I1572" s="895">
        <f t="shared" ref="I1572:I1587" si="96">H1572</f>
        <v>737000</v>
      </c>
      <c r="J1572" s="898">
        <v>46137.0</v>
      </c>
      <c r="K1572" s="59" t="s">
        <v>4262</v>
      </c>
    </row>
    <row r="1573" ht="15.0" customHeight="1">
      <c r="A1573" s="802">
        <v>46078.0</v>
      </c>
      <c r="B1573" s="771">
        <v>2602815.0</v>
      </c>
      <c r="C1573" s="63" t="s">
        <v>11484</v>
      </c>
      <c r="D1573" s="63" t="s">
        <v>9582</v>
      </c>
      <c r="E1573" s="772" t="str">
        <f>IFERROR(VLOOKUP(D1573,Stock,3,FALSE),"")</f>
        <v>Toyota Alphard 18- ANH30 3rd Gen (with Camera)</v>
      </c>
      <c r="F1573" s="63">
        <v>1.0</v>
      </c>
      <c r="G1573" s="894">
        <v>1618650.0</v>
      </c>
      <c r="H1573" s="807">
        <f t="shared" si="93"/>
        <v>1618650</v>
      </c>
      <c r="I1573" s="895">
        <f t="shared" si="96"/>
        <v>1618650</v>
      </c>
      <c r="J1573" s="898">
        <v>46137.0</v>
      </c>
      <c r="K1573" s="59" t="s">
        <v>4262</v>
      </c>
    </row>
    <row r="1574" ht="15.0" customHeight="1">
      <c r="A1574" s="802">
        <v>46078.0</v>
      </c>
      <c r="B1574" s="771">
        <v>2602807.0</v>
      </c>
      <c r="C1574" s="63" t="s">
        <v>11484</v>
      </c>
      <c r="D1574" s="63" t="s">
        <v>3411</v>
      </c>
      <c r="E1574" s="772" t="str">
        <f>IFERROR(VLOOKUP(D1574,Stock,3,FALSE),"")</f>
        <v>Toyota Agya/Ayla 13-22 1st Gen</v>
      </c>
      <c r="F1574" s="63">
        <v>2.0</v>
      </c>
      <c r="G1574" s="894">
        <v>385000.0</v>
      </c>
      <c r="H1574" s="807">
        <f t="shared" si="93"/>
        <v>770000</v>
      </c>
      <c r="I1574" s="895">
        <f t="shared" si="96"/>
        <v>770000</v>
      </c>
      <c r="J1574" s="898">
        <v>46137.0</v>
      </c>
      <c r="K1574" s="59" t="s">
        <v>4262</v>
      </c>
    </row>
    <row r="1575" ht="15.0" customHeight="1">
      <c r="A1575" s="802">
        <v>46078.0</v>
      </c>
      <c r="B1575" s="771">
        <v>2602807.0</v>
      </c>
      <c r="C1575" s="63" t="s">
        <v>11484</v>
      </c>
      <c r="D1575" s="63" t="s">
        <v>2723</v>
      </c>
      <c r="E1575" s="772" t="str">
        <f>IFERROR(VLOOKUP(D1575,Stock,3,FALSE),"")</f>
        <v>Suzuki Carry New 19-</v>
      </c>
      <c r="F1575" s="63">
        <v>1.0</v>
      </c>
      <c r="G1575" s="894">
        <v>462000.0</v>
      </c>
      <c r="H1575" s="807">
        <f t="shared" si="93"/>
        <v>462000</v>
      </c>
      <c r="I1575" s="895">
        <f t="shared" si="96"/>
        <v>462000</v>
      </c>
      <c r="J1575" s="898">
        <v>46137.0</v>
      </c>
      <c r="K1575" s="59" t="s">
        <v>4262</v>
      </c>
    </row>
    <row r="1576" ht="15.0" customHeight="1">
      <c r="A1576" s="802">
        <v>46078.0</v>
      </c>
      <c r="B1576" s="771">
        <v>2602807.0</v>
      </c>
      <c r="C1576" s="63" t="s">
        <v>11484</v>
      </c>
      <c r="D1576" s="63" t="s">
        <v>3924</v>
      </c>
      <c r="E1576" s="772" t="str">
        <f>IFERROR(VLOOKUP(D1576,Stock,3,FALSE),"")</f>
        <v>Nissan X-Trail 07-13 T31</v>
      </c>
      <c r="F1576" s="63">
        <v>1.0</v>
      </c>
      <c r="G1576" s="894">
        <v>904200.0</v>
      </c>
      <c r="H1576" s="807">
        <f t="shared" si="93"/>
        <v>904200</v>
      </c>
      <c r="I1576" s="895">
        <f t="shared" si="96"/>
        <v>904200</v>
      </c>
      <c r="J1576" s="898">
        <v>46137.0</v>
      </c>
      <c r="K1576" s="59" t="s">
        <v>4262</v>
      </c>
    </row>
    <row r="1577" ht="15.0" customHeight="1">
      <c r="A1577" s="802">
        <v>46080.0</v>
      </c>
      <c r="B1577" s="771">
        <v>2602893.0</v>
      </c>
      <c r="C1577" s="63" t="s">
        <v>11484</v>
      </c>
      <c r="D1577" s="63" t="s">
        <v>10255</v>
      </c>
      <c r="E1577" s="772" t="str">
        <f>IFERROR(VLOOKUP(D1577,Stock,3,FALSE),"")</f>
        <v>Hyundai Accent Verna / Avega 01-12 Sedan</v>
      </c>
      <c r="F1577" s="63">
        <v>1.0</v>
      </c>
      <c r="G1577" s="894">
        <v>667150.0</v>
      </c>
      <c r="H1577" s="807">
        <f t="shared" si="93"/>
        <v>667150</v>
      </c>
      <c r="I1577" s="895">
        <f t="shared" si="96"/>
        <v>667150</v>
      </c>
      <c r="J1577" s="898">
        <v>46139.0</v>
      </c>
      <c r="K1577" s="59" t="s">
        <v>4262</v>
      </c>
    </row>
    <row r="1578" ht="15.0" customHeight="1">
      <c r="A1578" s="802">
        <v>46084.0</v>
      </c>
      <c r="B1578" s="771">
        <v>2603100.0</v>
      </c>
      <c r="C1578" s="63" t="s">
        <v>11484</v>
      </c>
      <c r="D1578" s="63" t="s">
        <v>2784</v>
      </c>
      <c r="E1578" s="772" t="str">
        <f>IFERROR(VLOOKUP(D1578,Stock,3,FALSE),"")</f>
        <v>Honda City 19- GN</v>
      </c>
      <c r="F1578" s="63">
        <v>1.0</v>
      </c>
      <c r="G1578" s="894">
        <v>1277100.0</v>
      </c>
      <c r="H1578" s="807">
        <f t="shared" si="93"/>
        <v>1277100</v>
      </c>
      <c r="I1578" s="895">
        <f t="shared" si="96"/>
        <v>1277100</v>
      </c>
      <c r="J1578" s="898">
        <v>46145.0</v>
      </c>
      <c r="K1578" s="59" t="s">
        <v>4262</v>
      </c>
    </row>
    <row r="1579" ht="15.0" customHeight="1">
      <c r="A1579" s="802">
        <v>46084.0</v>
      </c>
      <c r="B1579" s="771">
        <v>2603100.0</v>
      </c>
      <c r="C1579" s="63" t="s">
        <v>11484</v>
      </c>
      <c r="D1579" s="63" t="s">
        <v>13331</v>
      </c>
      <c r="E1579" s="772" t="str">
        <f>IFERROR(VLOOKUP(D1579,Stock,3,FALSE),"")</f>
        <v/>
      </c>
      <c r="F1579" s="63">
        <v>1.0</v>
      </c>
      <c r="G1579" s="894">
        <v>687500.0</v>
      </c>
      <c r="H1579" s="807">
        <f t="shared" si="93"/>
        <v>687500</v>
      </c>
      <c r="I1579" s="895">
        <f t="shared" si="96"/>
        <v>687500</v>
      </c>
      <c r="J1579" s="898">
        <v>46145.0</v>
      </c>
      <c r="K1579" s="59" t="s">
        <v>4262</v>
      </c>
    </row>
    <row r="1580" ht="15.0" customHeight="1">
      <c r="A1580" s="802">
        <v>46087.0</v>
      </c>
      <c r="B1580" s="771" t="s">
        <v>13332</v>
      </c>
      <c r="C1580" s="63" t="s">
        <v>11484</v>
      </c>
      <c r="D1580" s="804" t="s">
        <v>3059</v>
      </c>
      <c r="E1580" s="772" t="str">
        <f>IFERROR(VLOOKUP(D1580,Stock,3,FALSE),"")</f>
        <v>Sealant Polyurethane XYG Tube</v>
      </c>
      <c r="F1580" s="805">
        <v>20.0</v>
      </c>
      <c r="G1580" s="894">
        <v>40000.0</v>
      </c>
      <c r="H1580" s="807">
        <f t="shared" si="93"/>
        <v>800000</v>
      </c>
      <c r="I1580" s="895">
        <f t="shared" si="96"/>
        <v>800000</v>
      </c>
      <c r="J1580" s="898">
        <v>46148.0</v>
      </c>
      <c r="K1580" s="59" t="s">
        <v>4262</v>
      </c>
    </row>
    <row r="1581" ht="15.0" customHeight="1">
      <c r="A1581" s="802">
        <v>46086.0</v>
      </c>
      <c r="B1581" s="771">
        <v>2603223.0</v>
      </c>
      <c r="C1581" s="63" t="s">
        <v>11484</v>
      </c>
      <c r="D1581" s="63" t="s">
        <v>3871</v>
      </c>
      <c r="E1581" s="772" t="str">
        <f>IFERROR(VLOOKUP(D1581,Stock,3,FALSE),"")</f>
        <v>Suzuki Swift 04-11 1st Gen</v>
      </c>
      <c r="F1581" s="63">
        <v>1.0</v>
      </c>
      <c r="G1581" s="894">
        <v>711700.0</v>
      </c>
      <c r="H1581" s="807">
        <f t="shared" si="93"/>
        <v>711700</v>
      </c>
      <c r="I1581" s="895">
        <f t="shared" si="96"/>
        <v>711700</v>
      </c>
      <c r="J1581" s="898">
        <v>46147.0</v>
      </c>
      <c r="K1581" s="59" t="s">
        <v>4262</v>
      </c>
    </row>
    <row r="1582" ht="15.0" customHeight="1">
      <c r="A1582" s="802">
        <v>46087.0</v>
      </c>
      <c r="B1582" s="771">
        <v>2603234.0</v>
      </c>
      <c r="C1582" s="63" t="s">
        <v>11484</v>
      </c>
      <c r="D1582" s="63" t="s">
        <v>2723</v>
      </c>
      <c r="E1582" s="772" t="str">
        <f>IFERROR(VLOOKUP(D1582,Stock,3,FALSE),"")</f>
        <v>Suzuki Carry New 19-</v>
      </c>
      <c r="F1582" s="63">
        <v>1.0</v>
      </c>
      <c r="G1582" s="894">
        <v>462000.0</v>
      </c>
      <c r="H1582" s="807">
        <f t="shared" si="93"/>
        <v>462000</v>
      </c>
      <c r="I1582" s="895">
        <f t="shared" si="96"/>
        <v>462000</v>
      </c>
      <c r="J1582" s="898">
        <v>46148.0</v>
      </c>
      <c r="K1582" s="59" t="s">
        <v>4262</v>
      </c>
    </row>
    <row r="1583" ht="15.0" customHeight="1">
      <c r="A1583" s="802">
        <v>46086.0</v>
      </c>
      <c r="B1583" s="771">
        <v>2603223.0</v>
      </c>
      <c r="C1583" s="63" t="s">
        <v>11484</v>
      </c>
      <c r="D1583" s="63" t="s">
        <v>2549</v>
      </c>
      <c r="E1583" s="772" t="str">
        <f>IFERROR(VLOOKUP(D1583,Stock,3,FALSE),"")</f>
        <v>Toyota Avanza / Xenia 11-15 2nd Gen</v>
      </c>
      <c r="F1583" s="63">
        <v>2.0</v>
      </c>
      <c r="G1583" s="894">
        <v>416900.0</v>
      </c>
      <c r="H1583" s="807">
        <f t="shared" si="93"/>
        <v>833800</v>
      </c>
      <c r="I1583" s="895">
        <f t="shared" si="96"/>
        <v>833800</v>
      </c>
      <c r="J1583" s="898">
        <v>46147.0</v>
      </c>
      <c r="K1583" s="59" t="s">
        <v>4262</v>
      </c>
    </row>
    <row r="1584" ht="15.0" customHeight="1">
      <c r="A1584" s="802">
        <v>46086.0</v>
      </c>
      <c r="B1584" s="771">
        <v>2603223.0</v>
      </c>
      <c r="C1584" s="63" t="s">
        <v>11484</v>
      </c>
      <c r="D1584" s="63" t="s">
        <v>2562</v>
      </c>
      <c r="E1584" s="772" t="str">
        <f>IFERROR(VLOOKUP(D1584,Stock,3,FALSE),"")</f>
        <v>Toyota Avanza / Xenia 15-21 3rd Gen</v>
      </c>
      <c r="F1584" s="63">
        <v>2.0</v>
      </c>
      <c r="G1584" s="894">
        <v>416900.0</v>
      </c>
      <c r="H1584" s="807">
        <f t="shared" si="93"/>
        <v>833800</v>
      </c>
      <c r="I1584" s="895">
        <f t="shared" si="96"/>
        <v>833800</v>
      </c>
      <c r="J1584" s="898">
        <v>46147.0</v>
      </c>
      <c r="K1584" s="59" t="s">
        <v>4262</v>
      </c>
    </row>
    <row r="1585" ht="15.0" customHeight="1">
      <c r="A1585" s="802">
        <v>46087.0</v>
      </c>
      <c r="B1585" s="771">
        <v>2603234.0</v>
      </c>
      <c r="C1585" s="63" t="s">
        <v>11484</v>
      </c>
      <c r="D1585" s="63" t="s">
        <v>6557</v>
      </c>
      <c r="E1585" s="772" t="str">
        <f>IFERROR(VLOOKUP(D1585,Stock,3,FALSE),"")</f>
        <v>Nissan Serena 99-10 MKII C24</v>
      </c>
      <c r="F1585" s="63">
        <v>1.0</v>
      </c>
      <c r="G1585" s="894">
        <v>983400.0</v>
      </c>
      <c r="H1585" s="807">
        <f t="shared" si="93"/>
        <v>983400</v>
      </c>
      <c r="I1585" s="895">
        <f t="shared" si="96"/>
        <v>983400</v>
      </c>
      <c r="J1585" s="898">
        <v>46148.0</v>
      </c>
      <c r="K1585" s="59" t="s">
        <v>4262</v>
      </c>
    </row>
    <row r="1586" ht="15.0" customHeight="1">
      <c r="A1586" s="802">
        <v>46086.0</v>
      </c>
      <c r="B1586" s="771">
        <v>2603223.0</v>
      </c>
      <c r="C1586" s="63" t="s">
        <v>11484</v>
      </c>
      <c r="D1586" s="63" t="s">
        <v>3085</v>
      </c>
      <c r="E1586" s="772" t="str">
        <f>IFERROR(VLOOKUP(D1586,Stock,3,FALSE),"")</f>
        <v>Honda Jazz 07-13 2nd Gen</v>
      </c>
      <c r="F1586" s="63">
        <v>1.0</v>
      </c>
      <c r="G1586" s="894">
        <v>542850.0</v>
      </c>
      <c r="H1586" s="807">
        <f t="shared" si="93"/>
        <v>542850</v>
      </c>
      <c r="I1586" s="895">
        <f t="shared" si="96"/>
        <v>542850</v>
      </c>
      <c r="J1586" s="898">
        <v>46147.0</v>
      </c>
      <c r="K1586" s="59" t="s">
        <v>4262</v>
      </c>
    </row>
    <row r="1587" ht="15.0" customHeight="1">
      <c r="A1587" s="802">
        <v>46086.0</v>
      </c>
      <c r="B1587" s="771">
        <v>2603223.0</v>
      </c>
      <c r="C1587" s="63" t="s">
        <v>11484</v>
      </c>
      <c r="D1587" s="63" t="s">
        <v>10603</v>
      </c>
      <c r="E1587" s="772" t="str">
        <f>IFERROR(VLOOKUP(D1587,Stock,3,FALSE),"")</f>
        <v>Honda CR-V 12-16 4th Gen [Lengkung]</v>
      </c>
      <c r="F1587" s="63">
        <v>1.0</v>
      </c>
      <c r="G1587" s="894">
        <v>657800.0</v>
      </c>
      <c r="H1587" s="807">
        <f t="shared" si="93"/>
        <v>657800</v>
      </c>
      <c r="I1587" s="895">
        <f t="shared" si="96"/>
        <v>657800</v>
      </c>
      <c r="J1587" s="898">
        <v>46147.0</v>
      </c>
      <c r="K1587" s="59" t="s">
        <v>4262</v>
      </c>
    </row>
    <row r="1588" ht="15.0" customHeight="1">
      <c r="A1588" s="802">
        <v>46088.0</v>
      </c>
      <c r="B1588" s="771" t="s">
        <v>13333</v>
      </c>
      <c r="C1588" s="63" t="s">
        <v>13041</v>
      </c>
      <c r="D1588" s="63" t="s">
        <v>5528</v>
      </c>
      <c r="E1588" s="772" t="str">
        <f>IFERROR(VLOOKUP(D1588,Stock,3,FALSE),"")</f>
        <v>Toyota Innova 15-22 2nd Gen (Toyota)</v>
      </c>
      <c r="F1588" s="63">
        <v>2.0</v>
      </c>
      <c r="G1588" s="894">
        <v>1674000.0</v>
      </c>
      <c r="H1588" s="807">
        <f t="shared" si="93"/>
        <v>3348000</v>
      </c>
      <c r="I1588" s="895"/>
      <c r="J1588" s="82"/>
      <c r="K1588" s="59" t="s">
        <v>4262</v>
      </c>
    </row>
    <row r="1589" ht="15.0" customHeight="1">
      <c r="A1589" s="802">
        <v>46088.0</v>
      </c>
      <c r="B1589" s="771">
        <v>2603274.0</v>
      </c>
      <c r="C1589" s="63" t="s">
        <v>11484</v>
      </c>
      <c r="D1589" s="56" t="s">
        <v>2965</v>
      </c>
      <c r="E1589" s="772" t="str">
        <f>IFERROR(VLOOKUP(D1589,Stock,3,FALSE),"")</f>
        <v>Suzuki Ertiga 12-18 1st Gen MPV</v>
      </c>
      <c r="F1589" s="63">
        <v>2.0</v>
      </c>
      <c r="G1589" s="894">
        <v>292050.0</v>
      </c>
      <c r="H1589" s="807">
        <f t="shared" si="93"/>
        <v>584100</v>
      </c>
      <c r="I1589" s="895">
        <f t="shared" ref="I1589:I1590" si="97">H1589</f>
        <v>584100</v>
      </c>
      <c r="J1589" s="898">
        <v>46149.0</v>
      </c>
      <c r="K1589" s="59" t="s">
        <v>4262</v>
      </c>
    </row>
    <row r="1590" ht="15.0" customHeight="1">
      <c r="A1590" s="802">
        <v>46088.0</v>
      </c>
      <c r="B1590" s="771">
        <v>2603274.0</v>
      </c>
      <c r="C1590" s="63" t="s">
        <v>11484</v>
      </c>
      <c r="D1590" s="63" t="s">
        <v>3313</v>
      </c>
      <c r="E1590" s="772" t="str">
        <f>IFERROR(VLOOKUP(D1590,Stock,3,FALSE),"")</f>
        <v>Toyota Avanza / Xenia 21- 4th Gen (Non sensor)</v>
      </c>
      <c r="F1590" s="63">
        <v>2.0</v>
      </c>
      <c r="G1590" s="894">
        <v>654500.0</v>
      </c>
      <c r="H1590" s="807">
        <f t="shared" si="93"/>
        <v>1309000</v>
      </c>
      <c r="I1590" s="895">
        <f t="shared" si="97"/>
        <v>1309000</v>
      </c>
      <c r="J1590" s="898">
        <v>46149.0</v>
      </c>
      <c r="K1590" s="59" t="s">
        <v>4262</v>
      </c>
    </row>
    <row r="1591" ht="15.0" customHeight="1">
      <c r="A1591" s="802">
        <v>46092.0</v>
      </c>
      <c r="B1591" s="771" t="s">
        <v>13334</v>
      </c>
      <c r="C1591" s="63" t="s">
        <v>13041</v>
      </c>
      <c r="D1591" s="63" t="s">
        <v>11010</v>
      </c>
      <c r="E1591" s="772" t="str">
        <f>IFERROR(VLOOKUP(D1591,Stock,3,FALSE),"")</f>
        <v/>
      </c>
      <c r="F1591" s="63">
        <v>1.0</v>
      </c>
      <c r="G1591" s="894">
        <v>775000.0</v>
      </c>
      <c r="H1591" s="807">
        <f t="shared" si="93"/>
        <v>775000</v>
      </c>
      <c r="I1591" s="895"/>
      <c r="J1591" s="82"/>
      <c r="K1591" s="59" t="s">
        <v>4262</v>
      </c>
    </row>
    <row r="1592" ht="15.0" customHeight="1">
      <c r="A1592" s="802">
        <v>46092.0</v>
      </c>
      <c r="B1592" s="908" t="s">
        <v>13335</v>
      </c>
      <c r="C1592" s="63" t="s">
        <v>13107</v>
      </c>
      <c r="D1592" s="63" t="s">
        <v>6022</v>
      </c>
      <c r="E1592" s="772" t="str">
        <f>IFERROR(VLOOKUP(D1592,Stock,3,FALSE),"")</f>
        <v>Suzuki Ertiga 18- 2nd Gen / XL7 (Suzuki)</v>
      </c>
      <c r="F1592" s="63">
        <v>1.0</v>
      </c>
      <c r="G1592" s="894">
        <v>680000.0</v>
      </c>
      <c r="H1592" s="807">
        <f t="shared" si="93"/>
        <v>680000</v>
      </c>
      <c r="I1592" s="895"/>
      <c r="J1592" s="82"/>
      <c r="K1592" s="59" t="s">
        <v>4262</v>
      </c>
    </row>
    <row r="1593" ht="15.0" customHeight="1">
      <c r="A1593" s="802">
        <v>46091.0</v>
      </c>
      <c r="B1593" s="771" t="s">
        <v>13336</v>
      </c>
      <c r="C1593" s="63" t="s">
        <v>3076</v>
      </c>
      <c r="D1593" s="63" t="s">
        <v>12769</v>
      </c>
      <c r="E1593" s="772" t="str">
        <f>IFERROR(VLOOKUP(D1593,Stock,3,FALSE),"")</f>
        <v/>
      </c>
      <c r="F1593" s="63">
        <v>1.0</v>
      </c>
      <c r="G1593" s="894">
        <v>138600.0</v>
      </c>
      <c r="H1593" s="807">
        <f t="shared" si="93"/>
        <v>138600</v>
      </c>
      <c r="I1593" s="895"/>
      <c r="J1593" s="82"/>
      <c r="K1593" s="59" t="s">
        <v>4262</v>
      </c>
    </row>
    <row r="1594" ht="15.0" customHeight="1">
      <c r="A1594" s="802">
        <v>46091.0</v>
      </c>
      <c r="B1594" s="771" t="s">
        <v>13336</v>
      </c>
      <c r="C1594" s="63" t="s">
        <v>3076</v>
      </c>
      <c r="D1594" s="63" t="s">
        <v>2934</v>
      </c>
      <c r="E1594" s="772" t="str">
        <f>IFERROR(VLOOKUP(D1594,Stock,3,FALSE),"")</f>
        <v>Peti Kayu</v>
      </c>
      <c r="F1594" s="63">
        <v>1.0</v>
      </c>
      <c r="G1594" s="894">
        <v>150000.0</v>
      </c>
      <c r="H1594" s="807">
        <f t="shared" si="93"/>
        <v>150000</v>
      </c>
      <c r="I1594" s="895"/>
      <c r="J1594" s="82"/>
      <c r="K1594" s="59" t="s">
        <v>4262</v>
      </c>
    </row>
    <row r="1595" ht="15.0" customHeight="1">
      <c r="A1595" s="802">
        <v>46092.0</v>
      </c>
      <c r="B1595" s="771">
        <v>2603414.0</v>
      </c>
      <c r="C1595" s="63" t="s">
        <v>11484</v>
      </c>
      <c r="D1595" s="63" t="s">
        <v>11006</v>
      </c>
      <c r="E1595" s="772" t="str">
        <f>IFERROR(VLOOKUP(D1595,Stock,3,FALSE),"")</f>
        <v>Suzuki Splash 09-16</v>
      </c>
      <c r="F1595" s="63">
        <v>1.0</v>
      </c>
      <c r="G1595" s="894">
        <v>904750.0</v>
      </c>
      <c r="H1595" s="807">
        <f t="shared" si="93"/>
        <v>904750</v>
      </c>
      <c r="I1595" s="895">
        <f t="shared" ref="I1595:I1655" si="98">H1595</f>
        <v>904750</v>
      </c>
      <c r="J1595" s="898">
        <v>46153.0</v>
      </c>
      <c r="K1595" s="59" t="s">
        <v>4262</v>
      </c>
    </row>
    <row r="1596" ht="15.0" customHeight="1">
      <c r="A1596" s="802">
        <v>46092.0</v>
      </c>
      <c r="B1596" s="771">
        <v>2603392.0</v>
      </c>
      <c r="C1596" s="63" t="s">
        <v>11484</v>
      </c>
      <c r="D1596" s="63" t="s">
        <v>2692</v>
      </c>
      <c r="E1596" s="772" t="str">
        <f>IFERROR(VLOOKUP(D1596,Stock,3,FALSE),"")</f>
        <v>Suzuki Ertiga 18- 2nd Gen / XL7</v>
      </c>
      <c r="F1596" s="63">
        <v>1.0</v>
      </c>
      <c r="G1596" s="894">
        <v>634700.0</v>
      </c>
      <c r="H1596" s="807">
        <f t="shared" si="93"/>
        <v>634700</v>
      </c>
      <c r="I1596" s="895">
        <f t="shared" si="98"/>
        <v>634700</v>
      </c>
      <c r="J1596" s="898">
        <v>46153.0</v>
      </c>
      <c r="K1596" s="59" t="s">
        <v>4262</v>
      </c>
    </row>
    <row r="1597" ht="15.0" customHeight="1">
      <c r="A1597" s="802">
        <v>46092.0</v>
      </c>
      <c r="B1597" s="771">
        <v>2603392.0</v>
      </c>
      <c r="C1597" s="63" t="s">
        <v>11484</v>
      </c>
      <c r="D1597" s="63" t="s">
        <v>2690</v>
      </c>
      <c r="E1597" s="772" t="str">
        <f>IFERROR(VLOOKUP(D1597,Stock,3,FALSE),"")</f>
        <v>Suzuki APV 03- Pickup/ Van</v>
      </c>
      <c r="F1597" s="63">
        <v>1.0</v>
      </c>
      <c r="G1597" s="894">
        <v>491700.0</v>
      </c>
      <c r="H1597" s="807">
        <f t="shared" si="93"/>
        <v>491700</v>
      </c>
      <c r="I1597" s="895">
        <f t="shared" si="98"/>
        <v>491700</v>
      </c>
      <c r="J1597" s="898">
        <v>46153.0</v>
      </c>
      <c r="K1597" s="59" t="s">
        <v>4262</v>
      </c>
    </row>
    <row r="1598" ht="15.0" customHeight="1">
      <c r="A1598" s="802">
        <v>46092.0</v>
      </c>
      <c r="B1598" s="771">
        <v>2603392.0</v>
      </c>
      <c r="C1598" s="63" t="s">
        <v>11484</v>
      </c>
      <c r="D1598" s="63" t="s">
        <v>3877</v>
      </c>
      <c r="E1598" s="772" t="str">
        <f>IFERROR(VLOOKUP(D1598,Stock,3,FALSE),"")</f>
        <v>Nissan Livina 13-18 L11 (Lubang)</v>
      </c>
      <c r="F1598" s="63">
        <v>2.0</v>
      </c>
      <c r="G1598" s="894">
        <v>525250.0</v>
      </c>
      <c r="H1598" s="807">
        <f t="shared" si="93"/>
        <v>1050500</v>
      </c>
      <c r="I1598" s="895">
        <f t="shared" si="98"/>
        <v>1050500</v>
      </c>
      <c r="J1598" s="898">
        <v>46153.0</v>
      </c>
      <c r="K1598" s="59" t="s">
        <v>4262</v>
      </c>
    </row>
    <row r="1599" ht="15.0" customHeight="1">
      <c r="A1599" s="802">
        <v>46092.0</v>
      </c>
      <c r="B1599" s="771">
        <v>2603392.0</v>
      </c>
      <c r="C1599" s="63" t="s">
        <v>11484</v>
      </c>
      <c r="D1599" s="63" t="s">
        <v>6549</v>
      </c>
      <c r="E1599" s="772" t="str">
        <f>IFERROR(VLOOKUP(D1599,Stock,3,FALSE),"")</f>
        <v>Honda Mobilio 14-</v>
      </c>
      <c r="F1599" s="63">
        <v>2.0</v>
      </c>
      <c r="G1599" s="894">
        <v>495550.0</v>
      </c>
      <c r="H1599" s="807">
        <f t="shared" si="93"/>
        <v>991100</v>
      </c>
      <c r="I1599" s="895">
        <f t="shared" si="98"/>
        <v>991100</v>
      </c>
      <c r="J1599" s="898">
        <v>46153.0</v>
      </c>
      <c r="K1599" s="59" t="s">
        <v>4262</v>
      </c>
    </row>
    <row r="1600" ht="15.0" customHeight="1">
      <c r="A1600" s="802">
        <v>46092.0</v>
      </c>
      <c r="B1600" s="771">
        <v>2603392.0</v>
      </c>
      <c r="C1600" s="63" t="s">
        <v>11484</v>
      </c>
      <c r="D1600" s="63" t="s">
        <v>3186</v>
      </c>
      <c r="E1600" s="772" t="str">
        <f>IFERROR(VLOOKUP(D1600,Stock,3,FALSE),"")</f>
        <v>Daihatsu Gran Max / Luxio 07-</v>
      </c>
      <c r="F1600" s="63">
        <v>3.0</v>
      </c>
      <c r="G1600" s="894">
        <v>470250.0</v>
      </c>
      <c r="H1600" s="807">
        <f t="shared" si="93"/>
        <v>1410750</v>
      </c>
      <c r="I1600" s="895">
        <f t="shared" si="98"/>
        <v>1410750</v>
      </c>
      <c r="J1600" s="898">
        <v>46153.0</v>
      </c>
      <c r="K1600" s="59" t="s">
        <v>4262</v>
      </c>
    </row>
    <row r="1601" ht="15.0" customHeight="1">
      <c r="A1601" s="802">
        <v>46092.0</v>
      </c>
      <c r="B1601" s="771">
        <v>2603392.0</v>
      </c>
      <c r="C1601" s="63" t="s">
        <v>11484</v>
      </c>
      <c r="D1601" s="63" t="s">
        <v>6043</v>
      </c>
      <c r="E1601" s="772" t="str">
        <f>IFERROR(VLOOKUP(D1601,Stock,3,FALSE),"")</f>
        <v>Suzuki Vitara 88-97 / Escudo / Sidekick</v>
      </c>
      <c r="F1601" s="63">
        <v>1.0</v>
      </c>
      <c r="G1601" s="894">
        <v>659450.0</v>
      </c>
      <c r="H1601" s="807">
        <f t="shared" si="93"/>
        <v>659450</v>
      </c>
      <c r="I1601" s="895">
        <f t="shared" si="98"/>
        <v>659450</v>
      </c>
      <c r="J1601" s="898">
        <v>46153.0</v>
      </c>
      <c r="K1601" s="59" t="s">
        <v>4262</v>
      </c>
    </row>
    <row r="1602" ht="15.0" customHeight="1">
      <c r="A1602" s="802">
        <v>46092.0</v>
      </c>
      <c r="B1602" s="771">
        <v>2603392.0</v>
      </c>
      <c r="C1602" s="63" t="s">
        <v>11484</v>
      </c>
      <c r="D1602" s="63" t="s">
        <v>2716</v>
      </c>
      <c r="E1602" s="772" t="str">
        <f>IFERROR(VLOOKUP(D1602,Stock,3,FALSE),"")</f>
        <v>Mitsubishi Canter FE700 01- (PS110,125)</v>
      </c>
      <c r="F1602" s="63">
        <v>2.0</v>
      </c>
      <c r="G1602" s="894">
        <v>464200.0</v>
      </c>
      <c r="H1602" s="807">
        <f t="shared" si="93"/>
        <v>928400</v>
      </c>
      <c r="I1602" s="895">
        <f t="shared" si="98"/>
        <v>928400</v>
      </c>
      <c r="J1602" s="898">
        <v>46153.0</v>
      </c>
      <c r="K1602" s="59" t="s">
        <v>4262</v>
      </c>
    </row>
    <row r="1603" ht="15.0" customHeight="1">
      <c r="A1603" s="802">
        <v>46093.0</v>
      </c>
      <c r="B1603" s="771">
        <v>2603457.0</v>
      </c>
      <c r="C1603" s="63" t="s">
        <v>11484</v>
      </c>
      <c r="D1603" s="63" t="s">
        <v>13337</v>
      </c>
      <c r="E1603" s="772" t="str">
        <f>IFERROR(VLOOKUP(D1603,Stock,3,FALSE),"")</f>
        <v>Toyota Vios 07-13 XP90 2nd Gen</v>
      </c>
      <c r="F1603" s="63">
        <v>2.0</v>
      </c>
      <c r="G1603" s="894">
        <v>623150.0</v>
      </c>
      <c r="H1603" s="807">
        <f t="shared" si="93"/>
        <v>1246300</v>
      </c>
      <c r="I1603" s="895">
        <f t="shared" si="98"/>
        <v>1246300</v>
      </c>
      <c r="J1603" s="898">
        <v>46154.0</v>
      </c>
      <c r="K1603" s="59" t="s">
        <v>4262</v>
      </c>
    </row>
    <row r="1604" ht="15.0" customHeight="1">
      <c r="A1604" s="802">
        <v>46097.0</v>
      </c>
      <c r="B1604" s="771">
        <v>2603534.0</v>
      </c>
      <c r="C1604" s="63" t="s">
        <v>11484</v>
      </c>
      <c r="D1604" s="63" t="s">
        <v>3811</v>
      </c>
      <c r="E1604" s="772" t="str">
        <f>IFERROR(VLOOKUP(D1604,Stock,3,FALSE),"")</f>
        <v>Honda Civic 96-00 SO4/SO6 (Ferio)</v>
      </c>
      <c r="F1604" s="63">
        <v>1.0</v>
      </c>
      <c r="G1604" s="894">
        <v>976000.0</v>
      </c>
      <c r="H1604" s="807">
        <f t="shared" si="93"/>
        <v>976000</v>
      </c>
      <c r="I1604" s="895">
        <f t="shared" si="98"/>
        <v>976000</v>
      </c>
      <c r="J1604" s="898">
        <v>46158.0</v>
      </c>
      <c r="K1604" s="59" t="s">
        <v>4262</v>
      </c>
    </row>
    <row r="1605" ht="15.0" customHeight="1">
      <c r="A1605" s="802">
        <v>46097.0</v>
      </c>
      <c r="B1605" s="771">
        <v>2603534.0</v>
      </c>
      <c r="C1605" s="63" t="s">
        <v>11484</v>
      </c>
      <c r="D1605" s="63" t="s">
        <v>4323</v>
      </c>
      <c r="E1605" s="772" t="str">
        <f>IFERROR(VLOOKUP(D1605,Stock,3,FALSE),"")</f>
        <v>Daihatsu Sirion 11-18 2nd Gen</v>
      </c>
      <c r="F1605" s="63">
        <v>2.0</v>
      </c>
      <c r="G1605" s="894">
        <v>791450.0</v>
      </c>
      <c r="H1605" s="807">
        <f t="shared" si="93"/>
        <v>1582900</v>
      </c>
      <c r="I1605" s="895">
        <f t="shared" si="98"/>
        <v>1582900</v>
      </c>
      <c r="J1605" s="898">
        <v>46158.0</v>
      </c>
      <c r="K1605" s="59" t="s">
        <v>4262</v>
      </c>
    </row>
    <row r="1606" ht="15.0" customHeight="1">
      <c r="A1606" s="802">
        <v>46097.0</v>
      </c>
      <c r="B1606" s="771">
        <v>2603534.0</v>
      </c>
      <c r="C1606" s="63" t="s">
        <v>11484</v>
      </c>
      <c r="D1606" s="63" t="s">
        <v>11216</v>
      </c>
      <c r="E1606" s="772" t="str">
        <f>IFERROR(VLOOKUP(D1606,Stock,3,FALSE),"")</f>
        <v>Mitsubishi Pajero 08-16</v>
      </c>
      <c r="F1606" s="63">
        <v>2.0</v>
      </c>
      <c r="G1606" s="894">
        <v>649000.0</v>
      </c>
      <c r="H1606" s="807">
        <f t="shared" si="93"/>
        <v>1298000</v>
      </c>
      <c r="I1606" s="895">
        <f t="shared" si="98"/>
        <v>1298000</v>
      </c>
      <c r="J1606" s="898">
        <v>46158.0</v>
      </c>
      <c r="K1606" s="59" t="s">
        <v>4262</v>
      </c>
    </row>
    <row r="1607" ht="15.0" customHeight="1">
      <c r="A1607" s="802">
        <v>46097.0</v>
      </c>
      <c r="B1607" s="771">
        <v>2603534.0</v>
      </c>
      <c r="C1607" s="63" t="s">
        <v>11484</v>
      </c>
      <c r="D1607" s="63" t="s">
        <v>3795</v>
      </c>
      <c r="E1607" s="772" t="str">
        <f>IFERROR(VLOOKUP(D1607,Stock,3,FALSE),"")</f>
        <v>Toyota Innova 04-15 1st Gen</v>
      </c>
      <c r="F1607" s="63">
        <v>2.0</v>
      </c>
      <c r="G1607" s="894">
        <v>562100.0</v>
      </c>
      <c r="H1607" s="807">
        <f t="shared" si="93"/>
        <v>1124200</v>
      </c>
      <c r="I1607" s="895">
        <f t="shared" si="98"/>
        <v>1124200</v>
      </c>
      <c r="J1607" s="898">
        <v>46158.0</v>
      </c>
      <c r="K1607" s="59" t="s">
        <v>4262</v>
      </c>
    </row>
    <row r="1608" ht="15.0" customHeight="1">
      <c r="A1608" s="802">
        <v>46097.0</v>
      </c>
      <c r="B1608" s="771">
        <v>2603534.0</v>
      </c>
      <c r="C1608" s="63" t="s">
        <v>11484</v>
      </c>
      <c r="D1608" s="63" t="s">
        <v>3033</v>
      </c>
      <c r="E1608" s="772" t="str">
        <f>IFERROR(VLOOKUP(D1608,Stock,3,FALSE),"")</f>
        <v>Toyota Innova 04-15 1st Gen</v>
      </c>
      <c r="F1608" s="63">
        <v>2.0</v>
      </c>
      <c r="G1608" s="894">
        <v>600600.0</v>
      </c>
      <c r="H1608" s="807">
        <f t="shared" si="93"/>
        <v>1201200</v>
      </c>
      <c r="I1608" s="895">
        <f t="shared" si="98"/>
        <v>1201200</v>
      </c>
      <c r="J1608" s="898">
        <v>46158.0</v>
      </c>
      <c r="K1608" s="59" t="s">
        <v>4262</v>
      </c>
    </row>
    <row r="1609" ht="15.0" customHeight="1">
      <c r="A1609" s="802">
        <v>46094.0</v>
      </c>
      <c r="B1609" s="771" t="s">
        <v>13338</v>
      </c>
      <c r="C1609" s="63" t="s">
        <v>12932</v>
      </c>
      <c r="D1609" s="59" t="s">
        <v>2820</v>
      </c>
      <c r="E1609" s="772" t="str">
        <f>IFERROR(VLOOKUP(D1609,Stock,3,FALSE),"")</f>
        <v>Toyota Dyna/Hino Dutro 00-</v>
      </c>
      <c r="F1609" s="63">
        <v>5.0</v>
      </c>
      <c r="G1609" s="894">
        <v>304299.8</v>
      </c>
      <c r="H1609" s="807">
        <f t="shared" si="93"/>
        <v>1521499</v>
      </c>
      <c r="I1609" s="895">
        <f t="shared" si="98"/>
        <v>1521499</v>
      </c>
      <c r="J1609" s="898">
        <v>46155.0</v>
      </c>
      <c r="K1609" s="59" t="s">
        <v>4262</v>
      </c>
    </row>
    <row r="1610" ht="15.0" customHeight="1">
      <c r="A1610" s="802">
        <v>46094.0</v>
      </c>
      <c r="B1610" s="771" t="s">
        <v>13338</v>
      </c>
      <c r="C1610" s="63" t="s">
        <v>12932</v>
      </c>
      <c r="D1610" s="59" t="s">
        <v>2827</v>
      </c>
      <c r="E1610" s="772" t="str">
        <f>IFERROR(VLOOKUP(D1610,Stock,3,FALSE),"")</f>
        <v>Suzuki Ertiga 12-18 1st Gen MPV</v>
      </c>
      <c r="F1610" s="63">
        <v>5.0</v>
      </c>
      <c r="G1610" s="894">
        <v>130049.8</v>
      </c>
      <c r="H1610" s="807">
        <f t="shared" si="93"/>
        <v>650249</v>
      </c>
      <c r="I1610" s="895">
        <f t="shared" si="98"/>
        <v>650249</v>
      </c>
      <c r="J1610" s="898">
        <v>46155.0</v>
      </c>
      <c r="K1610" s="59" t="s">
        <v>4262</v>
      </c>
    </row>
    <row r="1611" ht="15.0" customHeight="1">
      <c r="A1611" s="802">
        <v>46094.0</v>
      </c>
      <c r="B1611" s="771" t="s">
        <v>13338</v>
      </c>
      <c r="C1611" s="63" t="s">
        <v>12932</v>
      </c>
      <c r="D1611" s="59" t="s">
        <v>2829</v>
      </c>
      <c r="E1611" s="772" t="str">
        <f>IFERROR(VLOOKUP(D1611,Stock,3,FALSE),"")</f>
        <v>Daihatsu Gran Max / Luxio 07-</v>
      </c>
      <c r="F1611" s="63">
        <v>5.0</v>
      </c>
      <c r="G1611" s="894">
        <v>132599.4</v>
      </c>
      <c r="H1611" s="807">
        <f t="shared" si="93"/>
        <v>662997</v>
      </c>
      <c r="I1611" s="895">
        <f t="shared" si="98"/>
        <v>662997</v>
      </c>
      <c r="J1611" s="898">
        <v>46155.0</v>
      </c>
      <c r="K1611" s="59" t="s">
        <v>4262</v>
      </c>
    </row>
    <row r="1612" ht="15.0" customHeight="1">
      <c r="A1612" s="802">
        <v>46094.0</v>
      </c>
      <c r="B1612" s="771" t="s">
        <v>13338</v>
      </c>
      <c r="C1612" s="63" t="s">
        <v>12932</v>
      </c>
      <c r="D1612" s="59" t="s">
        <v>2831</v>
      </c>
      <c r="E1612" s="772" t="str">
        <f>IFERROR(VLOOKUP(D1612,Stock,3,FALSE),"")</f>
        <v>Daihatsu Gran Max / Luxio 07-</v>
      </c>
      <c r="F1612" s="63">
        <v>5.0</v>
      </c>
      <c r="G1612" s="894">
        <v>132599.4</v>
      </c>
      <c r="H1612" s="807">
        <f t="shared" si="93"/>
        <v>662997</v>
      </c>
      <c r="I1612" s="895">
        <f t="shared" si="98"/>
        <v>662997</v>
      </c>
      <c r="J1612" s="898">
        <v>46155.0</v>
      </c>
      <c r="K1612" s="59" t="s">
        <v>4262</v>
      </c>
    </row>
    <row r="1613" ht="15.0" customHeight="1">
      <c r="A1613" s="802">
        <v>46094.0</v>
      </c>
      <c r="B1613" s="771" t="s">
        <v>13338</v>
      </c>
      <c r="C1613" s="63" t="s">
        <v>12932</v>
      </c>
      <c r="D1613" s="59" t="s">
        <v>2865</v>
      </c>
      <c r="E1613" s="772" t="str">
        <f>IFERROR(VLOOKUP(D1613,Stock,3,FALSE),"")</f>
        <v>Suzuki Ertiga 12-18 1st Gen MPV</v>
      </c>
      <c r="F1613" s="63">
        <v>5.0</v>
      </c>
      <c r="G1613" s="894">
        <v>127500.2</v>
      </c>
      <c r="H1613" s="807">
        <f t="shared" si="93"/>
        <v>637501</v>
      </c>
      <c r="I1613" s="895">
        <f t="shared" si="98"/>
        <v>637501</v>
      </c>
      <c r="J1613" s="898">
        <v>46155.0</v>
      </c>
      <c r="K1613" s="59" t="s">
        <v>4262</v>
      </c>
    </row>
    <row r="1614" ht="15.0" customHeight="1">
      <c r="A1614" s="802">
        <v>46094.0</v>
      </c>
      <c r="B1614" s="771" t="s">
        <v>13338</v>
      </c>
      <c r="C1614" s="63" t="s">
        <v>12932</v>
      </c>
      <c r="D1614" s="59" t="s">
        <v>2854</v>
      </c>
      <c r="E1614" s="772" t="str">
        <f>IFERROR(VLOOKUP(D1614,Stock,3,FALSE),"")</f>
        <v>Toyota Rush / Terios 18-</v>
      </c>
      <c r="F1614" s="63">
        <v>5.0</v>
      </c>
      <c r="G1614" s="894">
        <v>154699.5</v>
      </c>
      <c r="H1614" s="807">
        <f t="shared" si="93"/>
        <v>773497.5</v>
      </c>
      <c r="I1614" s="895">
        <f t="shared" si="98"/>
        <v>773497.5</v>
      </c>
      <c r="J1614" s="898">
        <v>46155.0</v>
      </c>
      <c r="K1614" s="59" t="s">
        <v>4262</v>
      </c>
    </row>
    <row r="1615" ht="15.0" customHeight="1">
      <c r="A1615" s="802">
        <v>46090.0</v>
      </c>
      <c r="B1615" s="771">
        <v>2603308.0</v>
      </c>
      <c r="C1615" s="63" t="s">
        <v>11484</v>
      </c>
      <c r="D1615" s="63" t="s">
        <v>6751</v>
      </c>
      <c r="E1615" s="772" t="str">
        <f>IFERROR(VLOOKUP(D1615,Stock,3,FALSE),"")</f>
        <v>Kia Pregio Van 95-</v>
      </c>
      <c r="F1615" s="63">
        <v>1.0</v>
      </c>
      <c r="G1615" s="894">
        <v>828850.0</v>
      </c>
      <c r="H1615" s="807">
        <f t="shared" si="93"/>
        <v>828850</v>
      </c>
      <c r="I1615" s="895">
        <f t="shared" si="98"/>
        <v>828850</v>
      </c>
      <c r="J1615" s="898">
        <v>46151.0</v>
      </c>
      <c r="K1615" s="59" t="s">
        <v>4262</v>
      </c>
    </row>
    <row r="1616" ht="15.0" customHeight="1">
      <c r="A1616" s="802">
        <v>46099.0</v>
      </c>
      <c r="B1616" s="771">
        <v>2603631.0</v>
      </c>
      <c r="C1616" s="63" t="s">
        <v>11484</v>
      </c>
      <c r="D1616" s="63" t="s">
        <v>2549</v>
      </c>
      <c r="E1616" s="772" t="str">
        <f>IFERROR(VLOOKUP(D1616,Stock,3,FALSE),"")</f>
        <v>Toyota Avanza / Xenia 11-15 2nd Gen</v>
      </c>
      <c r="F1616" s="63">
        <v>2.0</v>
      </c>
      <c r="G1616" s="894">
        <v>416900.0</v>
      </c>
      <c r="H1616" s="807">
        <f t="shared" si="93"/>
        <v>833800</v>
      </c>
      <c r="I1616" s="895">
        <f t="shared" si="98"/>
        <v>833800</v>
      </c>
      <c r="J1616" s="898">
        <v>46160.0</v>
      </c>
      <c r="K1616" s="59" t="s">
        <v>4262</v>
      </c>
    </row>
    <row r="1617" ht="15.0" customHeight="1">
      <c r="A1617" s="802">
        <v>46099.0</v>
      </c>
      <c r="B1617" s="771">
        <v>2603631.0</v>
      </c>
      <c r="C1617" s="63" t="s">
        <v>11484</v>
      </c>
      <c r="D1617" s="63" t="s">
        <v>3290</v>
      </c>
      <c r="E1617" s="772" t="str">
        <f>IFERROR(VLOOKUP(D1617,Stock,3,FALSE),"")</f>
        <v>Toyota Innova 04-15 1st Gen</v>
      </c>
      <c r="F1617" s="63">
        <v>1.0</v>
      </c>
      <c r="G1617" s="894">
        <v>613800.0</v>
      </c>
      <c r="H1617" s="807">
        <f t="shared" si="93"/>
        <v>613800</v>
      </c>
      <c r="I1617" s="895">
        <f t="shared" si="98"/>
        <v>613800</v>
      </c>
      <c r="J1617" s="898">
        <v>46160.0</v>
      </c>
      <c r="K1617" s="59" t="s">
        <v>4262</v>
      </c>
    </row>
    <row r="1618" ht="15.0" customHeight="1">
      <c r="A1618" s="802">
        <v>46099.0</v>
      </c>
      <c r="B1618" s="771">
        <v>2603631.0</v>
      </c>
      <c r="C1618" s="63" t="s">
        <v>11484</v>
      </c>
      <c r="D1618" s="63" t="s">
        <v>3099</v>
      </c>
      <c r="E1618" s="772" t="str">
        <f>IFERROR(VLOOKUP(D1618,Stock,3,FALSE),"")</f>
        <v>Toyota Calya / Sigra 16-</v>
      </c>
      <c r="F1618" s="63">
        <v>2.0</v>
      </c>
      <c r="G1618" s="894">
        <v>505450.0</v>
      </c>
      <c r="H1618" s="807">
        <f t="shared" si="93"/>
        <v>1010900</v>
      </c>
      <c r="I1618" s="895">
        <f t="shared" si="98"/>
        <v>1010900</v>
      </c>
      <c r="J1618" s="898">
        <v>46160.0</v>
      </c>
      <c r="K1618" s="59" t="s">
        <v>4262</v>
      </c>
    </row>
    <row r="1619" ht="15.0" customHeight="1">
      <c r="A1619" s="802">
        <v>46099.0</v>
      </c>
      <c r="B1619" s="771">
        <v>2603631.0</v>
      </c>
      <c r="C1619" s="63" t="s">
        <v>11484</v>
      </c>
      <c r="D1619" s="63" t="s">
        <v>3451</v>
      </c>
      <c r="E1619" s="772" t="str">
        <f>IFERROR(VLOOKUP(D1619,Stock,3,FALSE),"")</f>
        <v>Toyota Rush / Terios 18-</v>
      </c>
      <c r="F1619" s="63">
        <v>5.0</v>
      </c>
      <c r="G1619" s="894">
        <v>528000.0</v>
      </c>
      <c r="H1619" s="807">
        <f t="shared" si="93"/>
        <v>2640000</v>
      </c>
      <c r="I1619" s="895">
        <f t="shared" si="98"/>
        <v>2640000</v>
      </c>
      <c r="J1619" s="898">
        <v>46160.0</v>
      </c>
      <c r="K1619" s="59" t="s">
        <v>4262</v>
      </c>
    </row>
    <row r="1620" ht="15.0" customHeight="1">
      <c r="A1620" s="802">
        <v>46099.0</v>
      </c>
      <c r="B1620" s="771">
        <v>2603631.0</v>
      </c>
      <c r="C1620" s="63" t="s">
        <v>11484</v>
      </c>
      <c r="D1620" s="63" t="s">
        <v>3411</v>
      </c>
      <c r="E1620" s="772" t="str">
        <f>IFERROR(VLOOKUP(D1620,Stock,3,FALSE),"")</f>
        <v>Toyota Agya/Ayla 13-22 1st Gen</v>
      </c>
      <c r="F1620" s="63">
        <v>2.0</v>
      </c>
      <c r="G1620" s="894">
        <v>385000.0</v>
      </c>
      <c r="H1620" s="807">
        <f t="shared" si="93"/>
        <v>770000</v>
      </c>
      <c r="I1620" s="895">
        <f t="shared" si="98"/>
        <v>770000</v>
      </c>
      <c r="J1620" s="898">
        <v>46160.0</v>
      </c>
      <c r="K1620" s="59" t="s">
        <v>4262</v>
      </c>
    </row>
    <row r="1621" ht="15.0" customHeight="1">
      <c r="A1621" s="802">
        <v>46099.0</v>
      </c>
      <c r="B1621" s="771">
        <v>2603631.0</v>
      </c>
      <c r="C1621" s="63" t="s">
        <v>11484</v>
      </c>
      <c r="D1621" s="63" t="s">
        <v>2691</v>
      </c>
      <c r="E1621" s="772" t="str">
        <f>IFERROR(VLOOKUP(D1621,Stock,3,FALSE),"")</f>
        <v>Suzuki Ertiga 12-18 1st Gen MPV</v>
      </c>
      <c r="F1621" s="63">
        <v>1.0</v>
      </c>
      <c r="G1621" s="894">
        <v>528000.0</v>
      </c>
      <c r="H1621" s="807">
        <f t="shared" si="93"/>
        <v>528000</v>
      </c>
      <c r="I1621" s="895">
        <f t="shared" si="98"/>
        <v>528000</v>
      </c>
      <c r="J1621" s="898">
        <v>46160.0</v>
      </c>
      <c r="K1621" s="59" t="s">
        <v>4262</v>
      </c>
    </row>
    <row r="1622" ht="15.0" customHeight="1">
      <c r="A1622" s="802">
        <v>46099.0</v>
      </c>
      <c r="B1622" s="771">
        <v>2603631.0</v>
      </c>
      <c r="C1622" s="63" t="s">
        <v>11484</v>
      </c>
      <c r="D1622" s="63" t="s">
        <v>3313</v>
      </c>
      <c r="E1622" s="772" t="str">
        <f>IFERROR(VLOOKUP(D1622,Stock,3,FALSE),"")</f>
        <v>Toyota Avanza / Xenia 21- 4th Gen (Non sensor)</v>
      </c>
      <c r="F1622" s="63">
        <v>3.0</v>
      </c>
      <c r="G1622" s="894">
        <v>654500.0</v>
      </c>
      <c r="H1622" s="807">
        <f t="shared" si="93"/>
        <v>1963500</v>
      </c>
      <c r="I1622" s="895">
        <f t="shared" si="98"/>
        <v>1963500</v>
      </c>
      <c r="J1622" s="898">
        <v>46160.0</v>
      </c>
      <c r="K1622" s="59" t="s">
        <v>4262</v>
      </c>
    </row>
    <row r="1623" ht="15.0" customHeight="1">
      <c r="A1623" s="802">
        <v>46099.0</v>
      </c>
      <c r="B1623" s="771">
        <v>2603631.0</v>
      </c>
      <c r="C1623" s="63" t="s">
        <v>11484</v>
      </c>
      <c r="D1623" s="63" t="s">
        <v>2926</v>
      </c>
      <c r="E1623" s="772" t="str">
        <f>IFERROR(VLOOKUP(D1623,Stock,3,FALSE),"")</f>
        <v>Honda Jazz 01-07 1st Gen</v>
      </c>
      <c r="F1623" s="63">
        <v>1.0</v>
      </c>
      <c r="G1623" s="894">
        <v>673200.0</v>
      </c>
      <c r="H1623" s="807">
        <f t="shared" si="93"/>
        <v>673200</v>
      </c>
      <c r="I1623" s="895">
        <f t="shared" si="98"/>
        <v>673200</v>
      </c>
      <c r="J1623" s="898">
        <v>46160.0</v>
      </c>
      <c r="K1623" s="59" t="s">
        <v>4262</v>
      </c>
    </row>
    <row r="1624" ht="15.0" customHeight="1">
      <c r="A1624" s="802">
        <v>46099.0</v>
      </c>
      <c r="B1624" s="771">
        <v>2603631.0</v>
      </c>
      <c r="C1624" s="63" t="s">
        <v>11484</v>
      </c>
      <c r="D1624" s="63" t="s">
        <v>11216</v>
      </c>
      <c r="E1624" s="772" t="str">
        <f>IFERROR(VLOOKUP(D1624,Stock,3,FALSE),"")</f>
        <v>Mitsubishi Pajero 08-16</v>
      </c>
      <c r="F1624" s="63">
        <v>1.0</v>
      </c>
      <c r="G1624" s="894">
        <v>649000.0</v>
      </c>
      <c r="H1624" s="807">
        <f t="shared" si="93"/>
        <v>649000</v>
      </c>
      <c r="I1624" s="895">
        <f t="shared" si="98"/>
        <v>649000</v>
      </c>
      <c r="J1624" s="898">
        <v>46160.0</v>
      </c>
      <c r="K1624" s="59" t="s">
        <v>4262</v>
      </c>
    </row>
    <row r="1625" ht="15.0" customHeight="1">
      <c r="A1625" s="802">
        <v>46099.0</v>
      </c>
      <c r="B1625" s="771">
        <v>2603631.0</v>
      </c>
      <c r="C1625" s="63" t="s">
        <v>11484</v>
      </c>
      <c r="D1625" s="63" t="s">
        <v>2690</v>
      </c>
      <c r="E1625" s="772" t="str">
        <f>IFERROR(VLOOKUP(D1625,Stock,3,FALSE),"")</f>
        <v>Suzuki APV 03- Pickup/ Van</v>
      </c>
      <c r="F1625" s="63">
        <v>1.0</v>
      </c>
      <c r="G1625" s="894">
        <v>491700.0</v>
      </c>
      <c r="H1625" s="807">
        <f t="shared" si="93"/>
        <v>491700</v>
      </c>
      <c r="I1625" s="895">
        <f t="shared" si="98"/>
        <v>491700</v>
      </c>
      <c r="J1625" s="898">
        <v>46160.0</v>
      </c>
      <c r="K1625" s="59" t="s">
        <v>4262</v>
      </c>
    </row>
    <row r="1626" ht="15.0" customHeight="1">
      <c r="A1626" s="802">
        <v>46099.0</v>
      </c>
      <c r="B1626" s="771">
        <v>2603632.0</v>
      </c>
      <c r="C1626" s="63" t="s">
        <v>11484</v>
      </c>
      <c r="D1626" s="63" t="s">
        <v>2682</v>
      </c>
      <c r="E1626" s="772" t="str">
        <f>IFERROR(VLOOKUP(D1626,Stock,3,FALSE),"")</f>
        <v>Toyota Yaris 05-13 XP90 1st Gen</v>
      </c>
      <c r="F1626" s="63">
        <v>1.0</v>
      </c>
      <c r="G1626" s="894">
        <v>659450.0</v>
      </c>
      <c r="H1626" s="807">
        <f t="shared" si="93"/>
        <v>659450</v>
      </c>
      <c r="I1626" s="895">
        <f t="shared" si="98"/>
        <v>659450</v>
      </c>
      <c r="J1626" s="898">
        <v>46160.0</v>
      </c>
      <c r="K1626" s="59" t="s">
        <v>4262</v>
      </c>
    </row>
    <row r="1627" ht="15.0" customHeight="1">
      <c r="A1627" s="802">
        <v>46099.0</v>
      </c>
      <c r="B1627" s="771">
        <v>2603632.0</v>
      </c>
      <c r="C1627" s="63" t="s">
        <v>11484</v>
      </c>
      <c r="D1627" s="63" t="s">
        <v>6756</v>
      </c>
      <c r="E1627" s="772" t="str">
        <f>IFERROR(VLOOKUP(D1627,Stock,3,FALSE),"")</f>
        <v>Toyota Raize / Daihatsu Rocky 20-</v>
      </c>
      <c r="F1627" s="63">
        <v>1.0</v>
      </c>
      <c r="G1627" s="894">
        <v>659450.0</v>
      </c>
      <c r="H1627" s="807">
        <f t="shared" si="93"/>
        <v>659450</v>
      </c>
      <c r="I1627" s="895">
        <f t="shared" si="98"/>
        <v>659450</v>
      </c>
      <c r="J1627" s="898">
        <v>46160.0</v>
      </c>
      <c r="K1627" s="59" t="s">
        <v>4262</v>
      </c>
    </row>
    <row r="1628" ht="15.0" customHeight="1">
      <c r="A1628" s="802">
        <v>46099.0</v>
      </c>
      <c r="B1628" s="771">
        <v>2603632.0</v>
      </c>
      <c r="C1628" s="63" t="s">
        <v>11484</v>
      </c>
      <c r="D1628" s="63" t="s">
        <v>13339</v>
      </c>
      <c r="E1628" s="772" t="str">
        <f>IFERROR(VLOOKUP(D1628,Stock,3,FALSE),"")</f>
        <v>BMW 3 Series 12-18 F30/F35</v>
      </c>
      <c r="F1628" s="63">
        <v>1.0</v>
      </c>
      <c r="G1628" s="894">
        <v>2311100.0</v>
      </c>
      <c r="H1628" s="807">
        <f t="shared" si="93"/>
        <v>2311100</v>
      </c>
      <c r="I1628" s="895">
        <f t="shared" si="98"/>
        <v>2311100</v>
      </c>
      <c r="J1628" s="898">
        <v>46160.0</v>
      </c>
      <c r="K1628" s="59" t="s">
        <v>4262</v>
      </c>
    </row>
    <row r="1629" ht="15.0" customHeight="1">
      <c r="A1629" s="802">
        <v>46099.0</v>
      </c>
      <c r="B1629" s="771">
        <v>2603632.0</v>
      </c>
      <c r="C1629" s="63" t="s">
        <v>11484</v>
      </c>
      <c r="D1629" s="63" t="s">
        <v>13340</v>
      </c>
      <c r="E1629" s="772" t="str">
        <f>IFERROR(VLOOKUP(D1629,Stock,3,FALSE),"")</f>
        <v>Honda Civic 96-00 SO4/SO6 (Ferio)</v>
      </c>
      <c r="F1629" s="63">
        <v>1.0</v>
      </c>
      <c r="G1629" s="894">
        <v>671000.0</v>
      </c>
      <c r="H1629" s="807">
        <f t="shared" si="93"/>
        <v>671000</v>
      </c>
      <c r="I1629" s="895">
        <f t="shared" si="98"/>
        <v>671000</v>
      </c>
      <c r="J1629" s="898">
        <v>46160.0</v>
      </c>
      <c r="K1629" s="59" t="s">
        <v>4262</v>
      </c>
    </row>
    <row r="1630" ht="15.0" customHeight="1">
      <c r="A1630" s="802">
        <v>46099.0</v>
      </c>
      <c r="B1630" s="771">
        <v>2603632.0</v>
      </c>
      <c r="C1630" s="63" t="s">
        <v>11484</v>
      </c>
      <c r="D1630" s="63" t="s">
        <v>2712</v>
      </c>
      <c r="E1630" s="772" t="str">
        <f>IFERROR(VLOOKUP(D1630,Stock,3,FALSE),"")</f>
        <v>Mitsubishi L300</v>
      </c>
      <c r="F1630" s="63">
        <v>1.0</v>
      </c>
      <c r="G1630" s="894">
        <v>429000.0</v>
      </c>
      <c r="H1630" s="807">
        <f t="shared" si="93"/>
        <v>429000</v>
      </c>
      <c r="I1630" s="895">
        <f t="shared" si="98"/>
        <v>429000</v>
      </c>
      <c r="J1630" s="898">
        <v>46160.0</v>
      </c>
      <c r="K1630" s="59" t="s">
        <v>4262</v>
      </c>
    </row>
    <row r="1631" ht="15.0" customHeight="1">
      <c r="A1631" s="802">
        <v>46099.0</v>
      </c>
      <c r="B1631" s="771">
        <v>2603632.0</v>
      </c>
      <c r="C1631" s="63" t="s">
        <v>11484</v>
      </c>
      <c r="D1631" s="63" t="s">
        <v>3127</v>
      </c>
      <c r="E1631" s="772" t="str">
        <f>IFERROR(VLOOKUP(D1631,Stock,3,FALSE),"")</f>
        <v>Toyota Avanza / Xenia 03-11 1st Gen</v>
      </c>
      <c r="F1631" s="63">
        <v>3.0</v>
      </c>
      <c r="G1631" s="894">
        <v>297550.0</v>
      </c>
      <c r="H1631" s="807">
        <f t="shared" si="93"/>
        <v>892650</v>
      </c>
      <c r="I1631" s="895">
        <f t="shared" si="98"/>
        <v>892650</v>
      </c>
      <c r="J1631" s="898">
        <v>46160.0</v>
      </c>
      <c r="K1631" s="59" t="s">
        <v>4262</v>
      </c>
    </row>
    <row r="1632" ht="15.0" customHeight="1">
      <c r="A1632" s="802">
        <v>46099.0</v>
      </c>
      <c r="B1632" s="771">
        <v>2603632.0</v>
      </c>
      <c r="C1632" s="63" t="s">
        <v>11484</v>
      </c>
      <c r="D1632" s="63" t="s">
        <v>2965</v>
      </c>
      <c r="E1632" s="772" t="str">
        <f>IFERROR(VLOOKUP(D1632,Stock,3,FALSE),"")</f>
        <v>Suzuki Ertiga 12-18 1st Gen MPV</v>
      </c>
      <c r="F1632" s="63">
        <v>2.0</v>
      </c>
      <c r="G1632" s="894">
        <v>292050.0</v>
      </c>
      <c r="H1632" s="807">
        <f t="shared" si="93"/>
        <v>584100</v>
      </c>
      <c r="I1632" s="895">
        <f t="shared" si="98"/>
        <v>584100</v>
      </c>
      <c r="J1632" s="898">
        <v>46160.0</v>
      </c>
      <c r="K1632" s="59" t="s">
        <v>4262</v>
      </c>
    </row>
    <row r="1633" ht="15.0" customHeight="1">
      <c r="A1633" s="802">
        <v>46099.0</v>
      </c>
      <c r="B1633" s="771">
        <v>2603632.0</v>
      </c>
      <c r="C1633" s="63" t="s">
        <v>11484</v>
      </c>
      <c r="D1633" s="63" t="s">
        <v>2936</v>
      </c>
      <c r="E1633" s="772" t="str">
        <f>IFERROR(VLOOKUP(D1633,Stock,3,FALSE),"")</f>
        <v>Toyota Calya / Sigra 16-</v>
      </c>
      <c r="F1633" s="63">
        <v>3.0</v>
      </c>
      <c r="G1633" s="894">
        <v>339900.0</v>
      </c>
      <c r="H1633" s="807">
        <f t="shared" si="93"/>
        <v>1019700</v>
      </c>
      <c r="I1633" s="895">
        <f t="shared" si="98"/>
        <v>1019700</v>
      </c>
      <c r="J1633" s="898">
        <v>46160.0</v>
      </c>
      <c r="K1633" s="59" t="s">
        <v>4262</v>
      </c>
    </row>
    <row r="1634" ht="15.0" customHeight="1">
      <c r="A1634" s="802">
        <v>46099.0</v>
      </c>
      <c r="B1634" s="771">
        <v>2603632.0</v>
      </c>
      <c r="C1634" s="63" t="s">
        <v>11484</v>
      </c>
      <c r="D1634" s="63" t="s">
        <v>4901</v>
      </c>
      <c r="E1634" s="772" t="str">
        <f>IFERROR(VLOOKUP(D1634,Stock,3,FALSE),"")</f>
        <v>Toyota Rush / Terios 18-</v>
      </c>
      <c r="F1634" s="63">
        <v>2.0</v>
      </c>
      <c r="G1634" s="894">
        <v>413600.0</v>
      </c>
      <c r="H1634" s="807">
        <f t="shared" si="93"/>
        <v>827200</v>
      </c>
      <c r="I1634" s="895">
        <f t="shared" si="98"/>
        <v>827200</v>
      </c>
      <c r="J1634" s="898">
        <v>46160.0</v>
      </c>
      <c r="K1634" s="59" t="s">
        <v>4262</v>
      </c>
    </row>
    <row r="1635" ht="15.0" customHeight="1">
      <c r="A1635" s="802">
        <v>46099.0</v>
      </c>
      <c r="B1635" s="771">
        <v>2603632.0</v>
      </c>
      <c r="C1635" s="63" t="s">
        <v>11484</v>
      </c>
      <c r="D1635" s="63" t="s">
        <v>4613</v>
      </c>
      <c r="E1635" s="772" t="str">
        <f>IFERROR(VLOOKUP(D1635,Stock,3,FALSE),"")</f>
        <v>Honda Freed 08-16 1st gen</v>
      </c>
      <c r="F1635" s="63">
        <v>1.0</v>
      </c>
      <c r="G1635" s="894">
        <v>657800.0</v>
      </c>
      <c r="H1635" s="807">
        <f t="shared" si="93"/>
        <v>657800</v>
      </c>
      <c r="I1635" s="895">
        <f t="shared" si="98"/>
        <v>657800</v>
      </c>
      <c r="J1635" s="898">
        <v>46160.0</v>
      </c>
      <c r="K1635" s="59" t="s">
        <v>4262</v>
      </c>
    </row>
    <row r="1636" ht="15.0" customHeight="1">
      <c r="A1636" s="802">
        <v>46099.0</v>
      </c>
      <c r="B1636" s="771">
        <v>2603633.0</v>
      </c>
      <c r="C1636" s="63" t="s">
        <v>11484</v>
      </c>
      <c r="D1636" s="63" t="s">
        <v>4775</v>
      </c>
      <c r="E1636" s="772" t="str">
        <f>IFERROR(VLOOKUP(D1636,Stock,3,FALSE),"")</f>
        <v>Toyota Avanza / Xenia 11-15 2nd Gen / 15-21 3rd Gen</v>
      </c>
      <c r="F1636" s="63">
        <v>3.0</v>
      </c>
      <c r="G1636" s="894">
        <v>350350.0</v>
      </c>
      <c r="H1636" s="807">
        <f t="shared" si="93"/>
        <v>1051050</v>
      </c>
      <c r="I1636" s="895">
        <f t="shared" si="98"/>
        <v>1051050</v>
      </c>
      <c r="J1636" s="898">
        <v>46160.0</v>
      </c>
      <c r="K1636" s="59" t="s">
        <v>4262</v>
      </c>
    </row>
    <row r="1637" ht="15.0" customHeight="1">
      <c r="A1637" s="802">
        <v>46099.0</v>
      </c>
      <c r="B1637" s="771">
        <v>2603633.0</v>
      </c>
      <c r="C1637" s="63" t="s">
        <v>11484</v>
      </c>
      <c r="D1637" s="63" t="s">
        <v>3574</v>
      </c>
      <c r="E1637" s="772" t="str">
        <f>IFERROR(VLOOKUP(D1637,Stock,3,FALSE),"")</f>
        <v>Toyota Rush / Terios 06-17</v>
      </c>
      <c r="F1637" s="63">
        <v>1.0</v>
      </c>
      <c r="G1637" s="894">
        <v>387750.0</v>
      </c>
      <c r="H1637" s="807">
        <f t="shared" si="93"/>
        <v>387750</v>
      </c>
      <c r="I1637" s="895">
        <f t="shared" si="98"/>
        <v>387750</v>
      </c>
      <c r="J1637" s="898">
        <v>46160.0</v>
      </c>
      <c r="K1637" s="59" t="s">
        <v>4262</v>
      </c>
    </row>
    <row r="1638" ht="15.0" customHeight="1">
      <c r="A1638" s="802">
        <v>46099.0</v>
      </c>
      <c r="B1638" s="771">
        <v>2603633.0</v>
      </c>
      <c r="C1638" s="63" t="s">
        <v>11484</v>
      </c>
      <c r="D1638" s="63" t="s">
        <v>3085</v>
      </c>
      <c r="E1638" s="772" t="str">
        <f>IFERROR(VLOOKUP(D1638,Stock,3,FALSE),"")</f>
        <v>Honda Jazz 07-13 2nd Gen</v>
      </c>
      <c r="F1638" s="63">
        <v>1.0</v>
      </c>
      <c r="G1638" s="894">
        <v>542850.0</v>
      </c>
      <c r="H1638" s="807">
        <f t="shared" si="93"/>
        <v>542850</v>
      </c>
      <c r="I1638" s="895">
        <f t="shared" si="98"/>
        <v>542850</v>
      </c>
      <c r="J1638" s="898">
        <v>46160.0</v>
      </c>
      <c r="K1638" s="59" t="s">
        <v>4262</v>
      </c>
    </row>
    <row r="1639" ht="15.0" customHeight="1">
      <c r="A1639" s="802">
        <v>46099.0</v>
      </c>
      <c r="B1639" s="771">
        <v>2603633.0</v>
      </c>
      <c r="C1639" s="63" t="s">
        <v>11484</v>
      </c>
      <c r="D1639" s="63" t="s">
        <v>3877</v>
      </c>
      <c r="E1639" s="772" t="str">
        <f>IFERROR(VLOOKUP(D1639,Stock,3,FALSE),"")</f>
        <v>Nissan Livina 13-18 L11 (Lubang)</v>
      </c>
      <c r="F1639" s="63">
        <v>1.0</v>
      </c>
      <c r="G1639" s="894">
        <v>525250.0</v>
      </c>
      <c r="H1639" s="807">
        <f t="shared" si="93"/>
        <v>525250</v>
      </c>
      <c r="I1639" s="895">
        <f t="shared" si="98"/>
        <v>525250</v>
      </c>
      <c r="J1639" s="898">
        <v>46160.0</v>
      </c>
      <c r="K1639" s="59" t="s">
        <v>4262</v>
      </c>
    </row>
    <row r="1640" ht="15.0" customHeight="1">
      <c r="A1640" s="802">
        <v>46099.0</v>
      </c>
      <c r="B1640" s="771">
        <v>2603633.0</v>
      </c>
      <c r="C1640" s="63" t="s">
        <v>11484</v>
      </c>
      <c r="D1640" s="63" t="s">
        <v>3638</v>
      </c>
      <c r="E1640" s="772" t="str">
        <f>IFERROR(VLOOKUP(D1640,Stock,3,FALSE),"")</f>
        <v>Mitsubishi Xpander 17-21</v>
      </c>
      <c r="F1640" s="63">
        <v>2.0</v>
      </c>
      <c r="G1640" s="894">
        <v>292050.0</v>
      </c>
      <c r="H1640" s="807">
        <f t="shared" si="93"/>
        <v>584100</v>
      </c>
      <c r="I1640" s="895">
        <f t="shared" si="98"/>
        <v>584100</v>
      </c>
      <c r="J1640" s="898">
        <v>46160.0</v>
      </c>
      <c r="K1640" s="59" t="s">
        <v>4262</v>
      </c>
    </row>
    <row r="1641" ht="15.0" customHeight="1">
      <c r="A1641" s="802">
        <v>46099.0</v>
      </c>
      <c r="B1641" s="771">
        <v>2603633.0</v>
      </c>
      <c r="C1641" s="63" t="s">
        <v>11484</v>
      </c>
      <c r="D1641" s="63" t="s">
        <v>8323</v>
      </c>
      <c r="E1641" s="772" t="str">
        <f>IFERROR(VLOOKUP(D1641,Stock,3,FALSE),"")</f>
        <v>Honda CR-V 02-06 2nd Gen</v>
      </c>
      <c r="F1641" s="63">
        <v>1.0</v>
      </c>
      <c r="G1641" s="894">
        <v>954250.0</v>
      </c>
      <c r="H1641" s="807">
        <f t="shared" si="93"/>
        <v>954250</v>
      </c>
      <c r="I1641" s="895">
        <f t="shared" si="98"/>
        <v>954250</v>
      </c>
      <c r="J1641" s="898">
        <v>46160.0</v>
      </c>
      <c r="K1641" s="59" t="s">
        <v>4262</v>
      </c>
    </row>
    <row r="1642" ht="15.0" customHeight="1">
      <c r="A1642" s="802">
        <v>46099.0</v>
      </c>
      <c r="B1642" s="771">
        <v>2603633.0</v>
      </c>
      <c r="C1642" s="63" t="s">
        <v>11484</v>
      </c>
      <c r="D1642" s="63" t="s">
        <v>13341</v>
      </c>
      <c r="E1642" s="772" t="str">
        <f>IFERROR(VLOOKUP(D1642,Stock,3,FALSE),"")</f>
        <v>Mitsubishi Outlander 10-21 GA3</v>
      </c>
      <c r="F1642" s="63">
        <v>1.0</v>
      </c>
      <c r="G1642" s="894">
        <v>600050.0</v>
      </c>
      <c r="H1642" s="807">
        <f t="shared" si="93"/>
        <v>600050</v>
      </c>
      <c r="I1642" s="895">
        <f t="shared" si="98"/>
        <v>600050</v>
      </c>
      <c r="J1642" s="898">
        <v>46160.0</v>
      </c>
      <c r="K1642" s="59" t="s">
        <v>4262</v>
      </c>
    </row>
    <row r="1643" ht="15.0" customHeight="1">
      <c r="A1643" s="802">
        <v>46097.0</v>
      </c>
      <c r="B1643" s="771" t="s">
        <v>13342</v>
      </c>
      <c r="C1643" s="63" t="s">
        <v>11484</v>
      </c>
      <c r="D1643" s="804" t="s">
        <v>3059</v>
      </c>
      <c r="E1643" s="772" t="str">
        <f>IFERROR(VLOOKUP(D1643,Stock,3,FALSE),"")</f>
        <v>Sealant Polyurethane XYG Tube</v>
      </c>
      <c r="F1643" s="63">
        <v>14.0</v>
      </c>
      <c r="G1643" s="894">
        <v>40000.0</v>
      </c>
      <c r="H1643" s="807">
        <f t="shared" si="93"/>
        <v>560000</v>
      </c>
      <c r="I1643" s="895">
        <f t="shared" si="98"/>
        <v>560000</v>
      </c>
      <c r="J1643" s="909">
        <v>46158.0</v>
      </c>
      <c r="K1643" s="59" t="s">
        <v>4262</v>
      </c>
    </row>
    <row r="1644" ht="15.0" customHeight="1">
      <c r="A1644" s="802">
        <v>46097.0</v>
      </c>
      <c r="B1644" s="771">
        <v>2603545.0</v>
      </c>
      <c r="C1644" s="63" t="s">
        <v>11484</v>
      </c>
      <c r="D1644" s="63" t="s">
        <v>3127</v>
      </c>
      <c r="E1644" s="772" t="str">
        <f>IFERROR(VLOOKUP(D1644,Stock,3,FALSE),"")</f>
        <v>Toyota Avanza / Xenia 03-11 1st Gen</v>
      </c>
      <c r="F1644" s="63">
        <v>2.0</v>
      </c>
      <c r="G1644" s="894">
        <v>297550.0</v>
      </c>
      <c r="H1644" s="807">
        <f t="shared" si="93"/>
        <v>595100</v>
      </c>
      <c r="I1644" s="895">
        <f t="shared" si="98"/>
        <v>595100</v>
      </c>
      <c r="J1644" s="909">
        <v>46158.0</v>
      </c>
      <c r="K1644" s="59" t="s">
        <v>4262</v>
      </c>
    </row>
    <row r="1645" ht="15.0" customHeight="1">
      <c r="A1645" s="802">
        <v>46097.0</v>
      </c>
      <c r="B1645" s="771">
        <v>2603545.0</v>
      </c>
      <c r="C1645" s="63" t="s">
        <v>11484</v>
      </c>
      <c r="D1645" s="63" t="s">
        <v>3411</v>
      </c>
      <c r="E1645" s="772" t="str">
        <f>IFERROR(VLOOKUP(D1645,Stock,3,FALSE),"")</f>
        <v>Toyota Agya/Ayla 13-22 1st Gen</v>
      </c>
      <c r="F1645" s="63">
        <v>3.0</v>
      </c>
      <c r="G1645" s="894">
        <v>385000.0</v>
      </c>
      <c r="H1645" s="807">
        <f t="shared" si="93"/>
        <v>1155000</v>
      </c>
      <c r="I1645" s="895">
        <f t="shared" si="98"/>
        <v>1155000</v>
      </c>
      <c r="J1645" s="909">
        <v>46158.0</v>
      </c>
      <c r="K1645" s="59" t="s">
        <v>4262</v>
      </c>
    </row>
    <row r="1646" ht="15.0" customHeight="1">
      <c r="A1646" s="802">
        <v>46097.0</v>
      </c>
      <c r="B1646" s="771">
        <v>2603545.0</v>
      </c>
      <c r="C1646" s="63" t="s">
        <v>11484</v>
      </c>
      <c r="D1646" s="63" t="s">
        <v>2565</v>
      </c>
      <c r="E1646" s="772" t="str">
        <f>IFERROR(VLOOKUP(D1646,Stock,3,FALSE),"")</f>
        <v>Toyota Avanza / Xenia 03-11 1st Gen</v>
      </c>
      <c r="F1646" s="63">
        <v>2.0</v>
      </c>
      <c r="G1646" s="894">
        <v>416900.0</v>
      </c>
      <c r="H1646" s="807">
        <f t="shared" si="93"/>
        <v>833800</v>
      </c>
      <c r="I1646" s="895">
        <f t="shared" si="98"/>
        <v>833800</v>
      </c>
      <c r="J1646" s="909">
        <v>46158.0</v>
      </c>
      <c r="K1646" s="59" t="s">
        <v>4262</v>
      </c>
    </row>
    <row r="1647" ht="15.0" customHeight="1">
      <c r="A1647" s="802">
        <v>46097.0</v>
      </c>
      <c r="B1647" s="771">
        <v>2603545.0</v>
      </c>
      <c r="C1647" s="63" t="s">
        <v>11484</v>
      </c>
      <c r="D1647" s="63" t="s">
        <v>2549</v>
      </c>
      <c r="E1647" s="772" t="str">
        <f>IFERROR(VLOOKUP(D1647,Stock,3,FALSE),"")</f>
        <v>Toyota Avanza / Xenia 11-15 2nd Gen</v>
      </c>
      <c r="F1647" s="63">
        <v>2.0</v>
      </c>
      <c r="G1647" s="894">
        <v>416900.0</v>
      </c>
      <c r="H1647" s="807">
        <f t="shared" si="93"/>
        <v>833800</v>
      </c>
      <c r="I1647" s="895">
        <f t="shared" si="98"/>
        <v>833800</v>
      </c>
      <c r="J1647" s="909">
        <v>46158.0</v>
      </c>
      <c r="K1647" s="59" t="s">
        <v>4262</v>
      </c>
    </row>
    <row r="1648" ht="15.0" customHeight="1">
      <c r="A1648" s="802">
        <v>46097.0</v>
      </c>
      <c r="B1648" s="771">
        <v>2603545.0</v>
      </c>
      <c r="C1648" s="63" t="s">
        <v>11484</v>
      </c>
      <c r="D1648" s="63" t="s">
        <v>3099</v>
      </c>
      <c r="E1648" s="772" t="str">
        <f>IFERROR(VLOOKUP(D1648,Stock,3,FALSE),"")</f>
        <v>Toyota Calya / Sigra 16-</v>
      </c>
      <c r="F1648" s="63">
        <v>3.0</v>
      </c>
      <c r="G1648" s="894">
        <v>505450.0</v>
      </c>
      <c r="H1648" s="807">
        <f t="shared" si="93"/>
        <v>1516350</v>
      </c>
      <c r="I1648" s="895">
        <f t="shared" si="98"/>
        <v>1516350</v>
      </c>
      <c r="J1648" s="909">
        <v>46158.0</v>
      </c>
      <c r="K1648" s="59" t="s">
        <v>4262</v>
      </c>
    </row>
    <row r="1649" ht="15.0" customHeight="1">
      <c r="A1649" s="802">
        <v>46097.0</v>
      </c>
      <c r="B1649" s="771">
        <v>2603545.0</v>
      </c>
      <c r="C1649" s="63" t="s">
        <v>11484</v>
      </c>
      <c r="D1649" s="63" t="s">
        <v>13343</v>
      </c>
      <c r="E1649" s="772" t="str">
        <f>IFERROR(VLOOKUP(D1649,Stock,3,FALSE),"")</f>
        <v>Toyota Agya/Ayla</v>
      </c>
      <c r="F1649" s="63">
        <v>3.0</v>
      </c>
      <c r="G1649" s="894">
        <v>332200.0</v>
      </c>
      <c r="H1649" s="807">
        <f t="shared" si="93"/>
        <v>996600</v>
      </c>
      <c r="I1649" s="895">
        <f t="shared" si="98"/>
        <v>996600</v>
      </c>
      <c r="J1649" s="909">
        <v>46158.0</v>
      </c>
      <c r="K1649" s="59" t="s">
        <v>4262</v>
      </c>
    </row>
    <row r="1650" ht="15.0" customHeight="1">
      <c r="A1650" s="802">
        <v>46097.0</v>
      </c>
      <c r="B1650" s="771">
        <v>2603591.0</v>
      </c>
      <c r="C1650" s="63" t="s">
        <v>11484</v>
      </c>
      <c r="D1650" s="63" t="s">
        <v>3290</v>
      </c>
      <c r="E1650" s="772" t="str">
        <f>IFERROR(VLOOKUP(D1650,Stock,3,FALSE),"")</f>
        <v>Toyota Innova 04-15 1st Gen</v>
      </c>
      <c r="F1650" s="63">
        <v>3.0</v>
      </c>
      <c r="G1650" s="894">
        <v>613800.0</v>
      </c>
      <c r="H1650" s="807">
        <f t="shared" si="93"/>
        <v>1841400</v>
      </c>
      <c r="I1650" s="895">
        <f t="shared" si="98"/>
        <v>1841400</v>
      </c>
      <c r="J1650" s="909">
        <v>46158.0</v>
      </c>
      <c r="K1650" s="59" t="s">
        <v>4262</v>
      </c>
    </row>
    <row r="1651" ht="15.0" customHeight="1">
      <c r="A1651" s="802">
        <v>46091.0</v>
      </c>
      <c r="B1651" s="771" t="s">
        <v>13344</v>
      </c>
      <c r="C1651" s="63" t="s">
        <v>13230</v>
      </c>
      <c r="D1651" s="63" t="s">
        <v>4365</v>
      </c>
      <c r="E1651" s="772" t="str">
        <f>IFERROR(VLOOKUP(D1651,Stock,3,FALSE),"")</f>
        <v>Wuling Almaz (Orisinil)</v>
      </c>
      <c r="F1651" s="63">
        <v>2.0</v>
      </c>
      <c r="G1651" s="894"/>
      <c r="H1651" s="807">
        <f t="shared" si="93"/>
        <v>0</v>
      </c>
      <c r="I1651" s="895">
        <f t="shared" si="98"/>
        <v>0</v>
      </c>
      <c r="J1651" s="82"/>
      <c r="K1651" s="59" t="s">
        <v>4262</v>
      </c>
    </row>
    <row r="1652" ht="15.0" customHeight="1">
      <c r="A1652" s="802">
        <v>46091.0</v>
      </c>
      <c r="B1652" s="771" t="s">
        <v>13344</v>
      </c>
      <c r="C1652" s="63" t="s">
        <v>13230</v>
      </c>
      <c r="D1652" s="63" t="s">
        <v>10934</v>
      </c>
      <c r="E1652" s="772" t="str">
        <f>IFERROR(VLOOKUP(D1652,Stock,3,FALSE),"")</f>
        <v>Suzuki Baleno 08-15 SX4 Hatchback</v>
      </c>
      <c r="F1652" s="63">
        <v>1.0</v>
      </c>
      <c r="G1652" s="894"/>
      <c r="H1652" s="807">
        <f t="shared" si="93"/>
        <v>0</v>
      </c>
      <c r="I1652" s="895">
        <f t="shared" si="98"/>
        <v>0</v>
      </c>
      <c r="J1652" s="82"/>
      <c r="K1652" s="59" t="s">
        <v>4262</v>
      </c>
    </row>
    <row r="1653" ht="15.0" customHeight="1">
      <c r="A1653" s="802">
        <v>46099.0</v>
      </c>
      <c r="B1653" s="771">
        <v>2603603.0</v>
      </c>
      <c r="C1653" s="63" t="s">
        <v>11484</v>
      </c>
      <c r="D1653" s="63" t="s">
        <v>2692</v>
      </c>
      <c r="E1653" s="772" t="str">
        <f>IFERROR(VLOOKUP(D1653,Stock,3,FALSE),"")</f>
        <v>Suzuki Ertiga 18- 2nd Gen / XL7</v>
      </c>
      <c r="F1653" s="63">
        <v>2.0</v>
      </c>
      <c r="G1653" s="894">
        <v>634700.0</v>
      </c>
      <c r="H1653" s="807">
        <f t="shared" si="93"/>
        <v>1269400</v>
      </c>
      <c r="I1653" s="895">
        <f t="shared" si="98"/>
        <v>1269400</v>
      </c>
      <c r="J1653" s="898">
        <v>46160.0</v>
      </c>
      <c r="K1653" s="59" t="s">
        <v>4262</v>
      </c>
    </row>
    <row r="1654" ht="15.0" customHeight="1">
      <c r="A1654" s="802">
        <v>46099.0</v>
      </c>
      <c r="B1654" s="771">
        <v>2603648.0</v>
      </c>
      <c r="C1654" s="63" t="s">
        <v>11484</v>
      </c>
      <c r="D1654" s="63" t="s">
        <v>4183</v>
      </c>
      <c r="E1654" s="772" t="str">
        <f>IFERROR(VLOOKUP(D1654,Stock,3,FALSE),"")</f>
        <v>Mitsubishi Xpander 17-21</v>
      </c>
      <c r="F1654" s="63">
        <v>2.0</v>
      </c>
      <c r="G1654" s="894">
        <v>330000.0</v>
      </c>
      <c r="H1654" s="807">
        <f t="shared" si="93"/>
        <v>660000</v>
      </c>
      <c r="I1654" s="895">
        <f t="shared" si="98"/>
        <v>660000</v>
      </c>
      <c r="J1654" s="898">
        <v>46160.0</v>
      </c>
      <c r="K1654" s="59" t="s">
        <v>4262</v>
      </c>
    </row>
    <row r="1655" ht="15.0" customHeight="1">
      <c r="A1655" s="802">
        <v>46099.0</v>
      </c>
      <c r="B1655" s="771">
        <v>2603648.0</v>
      </c>
      <c r="C1655" s="63" t="s">
        <v>11484</v>
      </c>
      <c r="D1655" s="63" t="s">
        <v>6156</v>
      </c>
      <c r="E1655" s="772" t="str">
        <f>IFERROR(VLOOKUP(D1655,Stock,3,FALSE),"")</f>
        <v>Toyota Voxy 17- (Hitam)</v>
      </c>
      <c r="F1655" s="63">
        <v>1.0</v>
      </c>
      <c r="G1655" s="894">
        <v>1521850.0</v>
      </c>
      <c r="H1655" s="807">
        <f t="shared" si="93"/>
        <v>1521850</v>
      </c>
      <c r="I1655" s="895">
        <f t="shared" si="98"/>
        <v>1521850</v>
      </c>
      <c r="J1655" s="898">
        <v>46160.0</v>
      </c>
      <c r="K1655" s="59" t="s">
        <v>4262</v>
      </c>
    </row>
    <row r="1656" ht="15.0" customHeight="1">
      <c r="A1656" s="802">
        <v>46098.0</v>
      </c>
      <c r="B1656" s="771" t="s">
        <v>13345</v>
      </c>
      <c r="C1656" s="63" t="s">
        <v>13145</v>
      </c>
      <c r="D1656" s="63" t="s">
        <v>3745</v>
      </c>
      <c r="E1656" s="772" t="str">
        <f>IFERROR(VLOOKUP(D1656,Stock,3,FALSE),"")</f>
        <v>Honda Brio 10- / Mobilio 11-</v>
      </c>
      <c r="F1656" s="63">
        <v>5.0</v>
      </c>
      <c r="G1656" s="894">
        <v>825000.0</v>
      </c>
      <c r="H1656" s="807">
        <f t="shared" si="93"/>
        <v>4125000</v>
      </c>
      <c r="I1656" s="895"/>
      <c r="J1656" s="82"/>
      <c r="K1656" s="59" t="s">
        <v>4262</v>
      </c>
    </row>
    <row r="1657" ht="15.0" customHeight="1">
      <c r="A1657" s="802">
        <v>46107.0</v>
      </c>
      <c r="B1657" s="771" t="s">
        <v>13346</v>
      </c>
      <c r="C1657" s="63" t="s">
        <v>13022</v>
      </c>
      <c r="D1657" s="63" t="s">
        <v>13347</v>
      </c>
      <c r="E1657" s="772" t="str">
        <f>IFERROR(VLOOKUP(D1657,Stock,3,FALSE),"")</f>
        <v>Toyota Rush / Terios 18-</v>
      </c>
      <c r="F1657" s="63">
        <v>1.0</v>
      </c>
      <c r="G1657" s="894">
        <v>855000.0</v>
      </c>
      <c r="H1657" s="807">
        <f t="shared" si="93"/>
        <v>855000</v>
      </c>
      <c r="I1657" s="895"/>
      <c r="J1657" s="82"/>
      <c r="K1657" s="59" t="s">
        <v>4262</v>
      </c>
      <c r="O1657" s="6" t="s">
        <v>1473</v>
      </c>
    </row>
    <row r="1658" ht="15.0" customHeight="1">
      <c r="A1658" s="802">
        <v>46107.0</v>
      </c>
      <c r="B1658" s="771" t="s">
        <v>13346</v>
      </c>
      <c r="C1658" s="63" t="s">
        <v>13022</v>
      </c>
      <c r="D1658" s="63" t="s">
        <v>13348</v>
      </c>
      <c r="E1658" s="772" t="str">
        <f>IFERROR(VLOOKUP(D1658,Stock,3,FALSE),"")</f>
        <v>Toyota Rush / Terios 18-</v>
      </c>
      <c r="F1658" s="63">
        <v>1.0</v>
      </c>
      <c r="G1658" s="894">
        <v>855000.0</v>
      </c>
      <c r="H1658" s="807">
        <f t="shared" si="93"/>
        <v>855000</v>
      </c>
      <c r="I1658" s="895"/>
      <c r="J1658" s="82"/>
      <c r="K1658" s="59" t="s">
        <v>4262</v>
      </c>
      <c r="O1658" s="6" t="s">
        <v>1473</v>
      </c>
    </row>
    <row r="1659" ht="15.0" customHeight="1">
      <c r="A1659" s="802">
        <v>46108.0</v>
      </c>
      <c r="B1659" s="771">
        <v>2603743.0</v>
      </c>
      <c r="C1659" s="63" t="s">
        <v>11484</v>
      </c>
      <c r="D1659" s="771" t="s">
        <v>2685</v>
      </c>
      <c r="E1659" s="772" t="str">
        <f>IFERROR(VLOOKUP(D1659,Stock,3,FALSE),"")</f>
        <v>Honda Stream 04-06 S7A/RN1 (Spion)</v>
      </c>
      <c r="F1659" s="63">
        <v>1.0</v>
      </c>
      <c r="G1659" s="894">
        <v>958650.0</v>
      </c>
      <c r="H1659" s="807">
        <f t="shared" si="93"/>
        <v>958650</v>
      </c>
      <c r="I1659" s="895">
        <f t="shared" ref="I1659:I1662" si="99">H1659</f>
        <v>958650</v>
      </c>
      <c r="J1659" s="898">
        <v>46169.0</v>
      </c>
      <c r="K1659" s="59" t="s">
        <v>4262</v>
      </c>
    </row>
    <row r="1660" ht="15.0" customHeight="1">
      <c r="A1660" s="802">
        <v>46084.0</v>
      </c>
      <c r="B1660" s="835"/>
      <c r="C1660" s="63" t="s">
        <v>13230</v>
      </c>
      <c r="D1660" s="63" t="s">
        <v>2605</v>
      </c>
      <c r="E1660" s="772" t="str">
        <f>IFERROR(VLOOKUP(D1660,Stock,3,FALSE),"")</f>
        <v>BMW 3 Series 12-18 F30/F35</v>
      </c>
      <c r="F1660" s="63">
        <v>1.0</v>
      </c>
      <c r="G1660" s="894"/>
      <c r="H1660" s="807">
        <f t="shared" si="93"/>
        <v>0</v>
      </c>
      <c r="I1660" s="895">
        <f t="shared" si="99"/>
        <v>0</v>
      </c>
      <c r="J1660" s="82"/>
      <c r="K1660" s="59" t="s">
        <v>4262</v>
      </c>
    </row>
    <row r="1661" ht="15.0" customHeight="1">
      <c r="A1661" s="802">
        <v>46111.0</v>
      </c>
      <c r="B1661" s="771">
        <v>2603821.0</v>
      </c>
      <c r="C1661" s="63" t="s">
        <v>11484</v>
      </c>
      <c r="D1661" s="63" t="s">
        <v>11227</v>
      </c>
      <c r="E1661" s="772" t="str">
        <f>IFERROR(VLOOKUP(D1661,Stock,3,FALSE),"")</f>
        <v>Chevrolet Trax 13- [Sensor]</v>
      </c>
      <c r="F1661" s="63">
        <v>1.0</v>
      </c>
      <c r="G1661" s="894">
        <v>1265550.0</v>
      </c>
      <c r="H1661" s="807">
        <f t="shared" si="93"/>
        <v>1265550</v>
      </c>
      <c r="I1661" s="895">
        <f t="shared" si="99"/>
        <v>1265550</v>
      </c>
      <c r="J1661" s="898">
        <v>46172.0</v>
      </c>
      <c r="K1661" s="59" t="s">
        <v>4262</v>
      </c>
    </row>
    <row r="1662" ht="15.0" customHeight="1">
      <c r="A1662" s="802">
        <v>46111.0</v>
      </c>
      <c r="B1662" s="771">
        <v>2603821.0</v>
      </c>
      <c r="C1662" s="63" t="s">
        <v>11484</v>
      </c>
      <c r="D1662" s="63" t="s">
        <v>3726</v>
      </c>
      <c r="E1662" s="772" t="str">
        <f>IFERROR(VLOOKUP(D1662,Stock,3,FALSE),"")</f>
        <v>Mazda CX-5 .14-17 1st Gen KE Facelift - (3 Sensor/ /\8 )</v>
      </c>
      <c r="F1662" s="63">
        <v>1.0</v>
      </c>
      <c r="G1662" s="894">
        <v>2341350.0</v>
      </c>
      <c r="H1662" s="807">
        <f t="shared" si="93"/>
        <v>2341350</v>
      </c>
      <c r="I1662" s="895">
        <f t="shared" si="99"/>
        <v>2341350</v>
      </c>
      <c r="J1662" s="898">
        <v>46172.0</v>
      </c>
      <c r="K1662" s="59" t="s">
        <v>4262</v>
      </c>
    </row>
    <row r="1663" ht="15.0" customHeight="1">
      <c r="A1663" s="802">
        <v>46112.0</v>
      </c>
      <c r="B1663" s="771" t="s">
        <v>13349</v>
      </c>
      <c r="C1663" s="63" t="s">
        <v>13022</v>
      </c>
      <c r="D1663" s="63" t="s">
        <v>6624</v>
      </c>
      <c r="E1663" s="772" t="str">
        <f>IFERROR(VLOOKUP(D1663,Stock,3,FALSE),"")</f>
        <v>Toyota Innova 04-15 1st Gen (Toyota)</v>
      </c>
      <c r="F1663" s="63">
        <v>2.0</v>
      </c>
      <c r="G1663" s="894">
        <v>1674000.0</v>
      </c>
      <c r="H1663" s="807">
        <f t="shared" si="93"/>
        <v>3348000</v>
      </c>
      <c r="I1663" s="895"/>
      <c r="J1663" s="82"/>
      <c r="K1663" s="59" t="s">
        <v>4262</v>
      </c>
    </row>
    <row r="1664" ht="15.0" customHeight="1">
      <c r="A1664" s="802">
        <v>46112.0</v>
      </c>
      <c r="B1664" s="771" t="s">
        <v>13349</v>
      </c>
      <c r="C1664" s="63" t="s">
        <v>13022</v>
      </c>
      <c r="D1664" s="63" t="s">
        <v>5528</v>
      </c>
      <c r="E1664" s="772" t="str">
        <f>IFERROR(VLOOKUP(D1664,Stock,3,FALSE),"")</f>
        <v>Toyota Innova 15-22 2nd Gen (Toyota)</v>
      </c>
      <c r="F1664" s="63">
        <v>2.0</v>
      </c>
      <c r="G1664" s="894">
        <v>1674000.0</v>
      </c>
      <c r="H1664" s="807">
        <f t="shared" si="93"/>
        <v>3348000</v>
      </c>
      <c r="I1664" s="895"/>
      <c r="J1664" s="82"/>
      <c r="K1664" s="59" t="s">
        <v>4262</v>
      </c>
    </row>
    <row r="1665" ht="15.0" customHeight="1">
      <c r="A1665" s="802">
        <v>46112.0</v>
      </c>
      <c r="B1665" s="771" t="s">
        <v>13350</v>
      </c>
      <c r="C1665" s="63" t="s">
        <v>13351</v>
      </c>
      <c r="D1665" s="6" t="s">
        <v>6686</v>
      </c>
      <c r="E1665" s="772" t="str">
        <f>IFERROR(VLOOKUP(D1665,Stock,3,FALSE),"")</f>
        <v>Daihatsu Gran Max / Luxio 07-</v>
      </c>
      <c r="F1665" s="63">
        <v>1.0</v>
      </c>
      <c r="G1665" s="894"/>
      <c r="H1665" s="807">
        <f t="shared" si="93"/>
        <v>0</v>
      </c>
      <c r="I1665" s="895">
        <f t="shared" ref="I1665:I1685" si="100">H1665</f>
        <v>0</v>
      </c>
      <c r="J1665" s="82"/>
      <c r="K1665" s="82"/>
      <c r="O1665" s="6" t="s">
        <v>13352</v>
      </c>
    </row>
    <row r="1666" ht="15.0" customHeight="1">
      <c r="A1666" s="789">
        <v>46121.0</v>
      </c>
      <c r="B1666" s="790" t="s">
        <v>13353</v>
      </c>
      <c r="C1666" s="791" t="s">
        <v>13082</v>
      </c>
      <c r="D1666" s="791" t="s">
        <v>11258</v>
      </c>
      <c r="E1666" s="792" t="str">
        <f>IFERROR(VLOOKUP(D1666,Stock,3,FALSE),"")</f>
        <v>Mitsubishi Strada Triton 23- (Keramik Kecil)</v>
      </c>
      <c r="F1666" s="791">
        <v>1.0</v>
      </c>
      <c r="G1666" s="842">
        <v>6000000.0</v>
      </c>
      <c r="H1666" s="811">
        <f t="shared" si="93"/>
        <v>6000000</v>
      </c>
      <c r="I1666" s="809">
        <f t="shared" si="100"/>
        <v>6000000</v>
      </c>
      <c r="J1666" s="819"/>
      <c r="K1666" s="799" t="s">
        <v>4281</v>
      </c>
      <c r="L1666" s="818" t="s">
        <v>12235</v>
      </c>
      <c r="M1666" s="818" t="s">
        <v>6675</v>
      </c>
      <c r="N1666" s="839">
        <v>46125.0</v>
      </c>
      <c r="O1666" s="823"/>
    </row>
    <row r="1667" ht="15.0" customHeight="1">
      <c r="A1667" s="802">
        <v>46108.0</v>
      </c>
      <c r="B1667" s="771" t="s">
        <v>13354</v>
      </c>
      <c r="C1667" s="63" t="s">
        <v>11484</v>
      </c>
      <c r="D1667" s="804" t="s">
        <v>3059</v>
      </c>
      <c r="E1667" s="772" t="str">
        <f>IFERROR(VLOOKUP(D1667,Stock,3,FALSE),"")</f>
        <v>Sealant Polyurethane XYG Tube</v>
      </c>
      <c r="F1667" s="63">
        <v>6.0</v>
      </c>
      <c r="G1667" s="894">
        <v>40000.0</v>
      </c>
      <c r="H1667" s="807">
        <f t="shared" si="93"/>
        <v>240000</v>
      </c>
      <c r="I1667" s="895">
        <f t="shared" si="100"/>
        <v>240000</v>
      </c>
      <c r="J1667" s="82"/>
      <c r="K1667" s="82"/>
    </row>
    <row r="1668" ht="15.0" customHeight="1">
      <c r="A1668" s="802">
        <v>46114.0</v>
      </c>
      <c r="B1668" s="771">
        <v>2604084.0</v>
      </c>
      <c r="C1668" s="63" t="s">
        <v>11484</v>
      </c>
      <c r="D1668" s="63" t="s">
        <v>3013</v>
      </c>
      <c r="E1668" s="772" t="str">
        <f>IFERROR(VLOOKUP(D1668,Stock,3,FALSE),"")</f>
        <v>Honda BR-V 16-</v>
      </c>
      <c r="F1668" s="63">
        <v>1.0</v>
      </c>
      <c r="G1668" s="894">
        <v>583550.0</v>
      </c>
      <c r="H1668" s="807">
        <f t="shared" si="93"/>
        <v>583550</v>
      </c>
      <c r="I1668" s="895">
        <f t="shared" si="100"/>
        <v>583550</v>
      </c>
      <c r="J1668" s="898">
        <v>46175.0</v>
      </c>
      <c r="K1668" s="82"/>
    </row>
    <row r="1669" ht="15.0" customHeight="1">
      <c r="A1669" s="802">
        <v>46116.0</v>
      </c>
      <c r="B1669" s="771">
        <v>2604129.0</v>
      </c>
      <c r="C1669" s="63" t="s">
        <v>11484</v>
      </c>
      <c r="D1669" s="63" t="s">
        <v>9719</v>
      </c>
      <c r="E1669" s="772" t="str">
        <f>IFERROR(VLOOKUP(D1669,Stock,3,FALSE),"")</f>
        <v>Mers-Benz Axor 98- Truck</v>
      </c>
      <c r="F1669" s="63">
        <v>1.0</v>
      </c>
      <c r="G1669" s="894">
        <v>1072500.0</v>
      </c>
      <c r="H1669" s="807">
        <f t="shared" si="93"/>
        <v>1072500</v>
      </c>
      <c r="I1669" s="895">
        <f t="shared" si="100"/>
        <v>1072500</v>
      </c>
      <c r="J1669" s="898">
        <v>46177.0</v>
      </c>
      <c r="K1669" s="82"/>
    </row>
    <row r="1670" ht="15.0" customHeight="1">
      <c r="A1670" s="802">
        <v>46118.0</v>
      </c>
      <c r="B1670" s="771">
        <v>2604143.0</v>
      </c>
      <c r="C1670" s="63" t="s">
        <v>11484</v>
      </c>
      <c r="D1670" s="63" t="s">
        <v>11240</v>
      </c>
      <c r="E1670" s="772" t="str">
        <f>IFERROR(VLOOKUP(D1670,Stock,3,FALSE),"")</f>
        <v>Nissan Livina 07-18 L10/L11 (7 Seats-Long)</v>
      </c>
      <c r="F1670" s="63">
        <v>1.0</v>
      </c>
      <c r="G1670" s="894">
        <v>356400.0</v>
      </c>
      <c r="H1670" s="807">
        <f t="shared" si="93"/>
        <v>356400</v>
      </c>
      <c r="I1670" s="895">
        <f t="shared" si="100"/>
        <v>356400</v>
      </c>
      <c r="J1670" s="898">
        <v>46179.0</v>
      </c>
      <c r="K1670" s="82"/>
    </row>
    <row r="1671" ht="15.0" customHeight="1">
      <c r="A1671" s="802">
        <v>46118.0</v>
      </c>
      <c r="B1671" s="771">
        <v>2604143.0</v>
      </c>
      <c r="C1671" s="63" t="s">
        <v>11484</v>
      </c>
      <c r="D1671" s="63" t="s">
        <v>11244</v>
      </c>
      <c r="E1671" s="772" t="str">
        <f>IFERROR(VLOOKUP(D1671,Stock,3,FALSE),"")</f>
        <v>Honda CR-V 17- 5th Gen</v>
      </c>
      <c r="F1671" s="63">
        <v>1.0</v>
      </c>
      <c r="G1671" s="894">
        <v>1375000.0</v>
      </c>
      <c r="H1671" s="807">
        <f t="shared" si="93"/>
        <v>1375000</v>
      </c>
      <c r="I1671" s="895">
        <f t="shared" si="100"/>
        <v>1375000</v>
      </c>
      <c r="J1671" s="898">
        <v>46179.0</v>
      </c>
      <c r="K1671" s="82"/>
    </row>
    <row r="1672" ht="15.0" customHeight="1">
      <c r="A1672" s="802">
        <v>46119.0</v>
      </c>
      <c r="B1672" s="771">
        <v>2604238.0</v>
      </c>
      <c r="C1672" s="63" t="s">
        <v>11484</v>
      </c>
      <c r="D1672" s="63" t="s">
        <v>2740</v>
      </c>
      <c r="E1672" s="772" t="str">
        <f>IFERROR(VLOOKUP(D1672,Stock,3,FALSE),"")</f>
        <v>Toyota Alphard 15-17 ANH30 3rd Gen (Hitam)</v>
      </c>
      <c r="F1672" s="63">
        <v>1.0</v>
      </c>
      <c r="G1672" s="894">
        <v>1413500.0</v>
      </c>
      <c r="H1672" s="807">
        <f t="shared" si="93"/>
        <v>1413500</v>
      </c>
      <c r="I1672" s="895">
        <f t="shared" si="100"/>
        <v>1413500</v>
      </c>
      <c r="J1672" s="898">
        <v>46180.0</v>
      </c>
      <c r="K1672" s="82"/>
    </row>
    <row r="1673" ht="15.0" customHeight="1">
      <c r="A1673" s="802">
        <v>46119.0</v>
      </c>
      <c r="B1673" s="771" t="s">
        <v>13355</v>
      </c>
      <c r="C1673" s="63" t="s">
        <v>11484</v>
      </c>
      <c r="D1673" s="804" t="s">
        <v>3059</v>
      </c>
      <c r="E1673" s="772" t="str">
        <f>IFERROR(VLOOKUP(D1673,Stock,3,FALSE),"")</f>
        <v>Sealant Polyurethane XYG Tube</v>
      </c>
      <c r="F1673" s="63">
        <v>40.0</v>
      </c>
      <c r="G1673" s="894">
        <v>40000.0</v>
      </c>
      <c r="H1673" s="807">
        <f t="shared" si="93"/>
        <v>1600000</v>
      </c>
      <c r="I1673" s="895">
        <f t="shared" si="100"/>
        <v>1600000</v>
      </c>
      <c r="J1673" s="898">
        <v>46180.0</v>
      </c>
      <c r="K1673" s="82"/>
    </row>
    <row r="1674" ht="15.0" customHeight="1">
      <c r="A1674" s="802">
        <v>46122.0</v>
      </c>
      <c r="B1674" s="771">
        <v>2604360.0</v>
      </c>
      <c r="C1674" s="63" t="s">
        <v>11484</v>
      </c>
      <c r="D1674" s="63" t="s">
        <v>2732</v>
      </c>
      <c r="E1674" s="772" t="str">
        <f>IFERROR(VLOOKUP(D1674,Stock,3,FALSE),"")</f>
        <v>Honda Jazz 13- 3rd Gen</v>
      </c>
      <c r="F1674" s="63">
        <v>1.0</v>
      </c>
      <c r="G1674" s="894">
        <v>636350.0</v>
      </c>
      <c r="H1674" s="807">
        <f t="shared" si="93"/>
        <v>636350</v>
      </c>
      <c r="I1674" s="895">
        <f t="shared" si="100"/>
        <v>636350</v>
      </c>
      <c r="J1674" s="898">
        <v>46183.0</v>
      </c>
      <c r="K1674" s="82"/>
    </row>
    <row r="1675" ht="15.0" customHeight="1">
      <c r="A1675" s="802">
        <v>46122.0</v>
      </c>
      <c r="B1675" s="771">
        <v>2604360.0</v>
      </c>
      <c r="C1675" s="63" t="s">
        <v>11484</v>
      </c>
      <c r="D1675" s="63" t="s">
        <v>6693</v>
      </c>
      <c r="E1675" s="772" t="str">
        <f>IFERROR(VLOOKUP(D1675,Stock,3,FALSE),"")</f>
        <v>Toyota Yaris 05-13 XP90 1st Gen</v>
      </c>
      <c r="F1675" s="63">
        <v>1.0</v>
      </c>
      <c r="G1675" s="894">
        <v>515900.0</v>
      </c>
      <c r="H1675" s="807">
        <f t="shared" si="93"/>
        <v>515900</v>
      </c>
      <c r="I1675" s="895">
        <f t="shared" si="100"/>
        <v>515900</v>
      </c>
      <c r="J1675" s="898">
        <v>46183.0</v>
      </c>
      <c r="K1675" s="82"/>
    </row>
    <row r="1676" ht="15.0" customHeight="1">
      <c r="A1676" s="802">
        <v>46122.0</v>
      </c>
      <c r="B1676" s="771">
        <v>2604360.0</v>
      </c>
      <c r="C1676" s="63" t="s">
        <v>11484</v>
      </c>
      <c r="D1676" s="63" t="s">
        <v>2702</v>
      </c>
      <c r="E1676" s="772" t="str">
        <f>IFERROR(VLOOKUP(D1676,Stock,3,FALSE),"")</f>
        <v>Toyota Sienta 15-</v>
      </c>
      <c r="F1676" s="63">
        <v>1.0</v>
      </c>
      <c r="G1676" s="894">
        <v>680900.0</v>
      </c>
      <c r="H1676" s="807">
        <f t="shared" si="93"/>
        <v>680900</v>
      </c>
      <c r="I1676" s="895">
        <f t="shared" si="100"/>
        <v>680900</v>
      </c>
      <c r="J1676" s="898">
        <v>46183.0</v>
      </c>
      <c r="K1676" s="82"/>
    </row>
    <row r="1677" ht="15.0" customHeight="1">
      <c r="A1677" s="802">
        <v>46122.0</v>
      </c>
      <c r="B1677" s="771">
        <v>2604376.0</v>
      </c>
      <c r="C1677" s="63" t="s">
        <v>11484</v>
      </c>
      <c r="D1677" s="63" t="s">
        <v>7322</v>
      </c>
      <c r="E1677" s="772" t="str">
        <f>IFERROR(VLOOKUP(D1677,Stock,3,FALSE),"")</f>
        <v>Isuzu D-Max 12-19 2nd Gen</v>
      </c>
      <c r="F1677" s="63">
        <v>2.0</v>
      </c>
      <c r="G1677" s="894">
        <v>906400.0</v>
      </c>
      <c r="H1677" s="807">
        <f t="shared" si="93"/>
        <v>1812800</v>
      </c>
      <c r="I1677" s="895">
        <f t="shared" si="100"/>
        <v>1812800</v>
      </c>
      <c r="J1677" s="898">
        <v>46183.0</v>
      </c>
      <c r="K1677" s="82"/>
    </row>
    <row r="1678" ht="15.0" customHeight="1">
      <c r="A1678" s="802">
        <v>46125.0</v>
      </c>
      <c r="B1678" s="771">
        <v>2604476.0</v>
      </c>
      <c r="C1678" s="63" t="s">
        <v>11484</v>
      </c>
      <c r="D1678" s="63" t="s">
        <v>3186</v>
      </c>
      <c r="E1678" s="772" t="str">
        <f>IFERROR(VLOOKUP(D1678,Stock,3,FALSE),"")</f>
        <v>Daihatsu Gran Max / Luxio 07-</v>
      </c>
      <c r="F1678" s="63">
        <v>10.0</v>
      </c>
      <c r="G1678" s="894">
        <v>470250.0</v>
      </c>
      <c r="H1678" s="807">
        <f t="shared" si="93"/>
        <v>4702500</v>
      </c>
      <c r="I1678" s="895">
        <f t="shared" si="100"/>
        <v>4702500</v>
      </c>
      <c r="J1678" s="898">
        <v>46186.0</v>
      </c>
      <c r="K1678" s="82"/>
    </row>
    <row r="1679" ht="15.0" customHeight="1">
      <c r="A1679" s="802">
        <v>46126.0</v>
      </c>
      <c r="B1679" s="771">
        <v>2604493.0</v>
      </c>
      <c r="C1679" s="63" t="s">
        <v>11484</v>
      </c>
      <c r="D1679" s="63" t="s">
        <v>7234</v>
      </c>
      <c r="E1679" s="772" t="str">
        <f>IFERROR(VLOOKUP(D1679,Stock,3,FALSE),"")</f>
        <v>DFSK Supercab 20-</v>
      </c>
      <c r="F1679" s="63">
        <v>1.0</v>
      </c>
      <c r="G1679" s="894">
        <v>825000.0</v>
      </c>
      <c r="H1679" s="807">
        <f t="shared" si="93"/>
        <v>825000</v>
      </c>
      <c r="I1679" s="895">
        <f t="shared" si="100"/>
        <v>825000</v>
      </c>
      <c r="J1679" s="898">
        <v>46187.0</v>
      </c>
      <c r="K1679" s="82"/>
    </row>
    <row r="1680" ht="15.0" customHeight="1">
      <c r="A1680" s="802">
        <v>46126.0</v>
      </c>
      <c r="B1680" s="771">
        <v>2604493.0</v>
      </c>
      <c r="C1680" s="63" t="s">
        <v>11484</v>
      </c>
      <c r="D1680" s="63" t="s">
        <v>3360</v>
      </c>
      <c r="E1680" s="772" t="str">
        <f>IFERROR(VLOOKUP(D1680,Stock,3,FALSE),"")</f>
        <v>Mitsubishi Xpander 17-</v>
      </c>
      <c r="F1680" s="63">
        <v>1.0</v>
      </c>
      <c r="G1680" s="894">
        <v>739200.0</v>
      </c>
      <c r="H1680" s="807">
        <f t="shared" si="93"/>
        <v>739200</v>
      </c>
      <c r="I1680" s="895">
        <f t="shared" si="100"/>
        <v>739200</v>
      </c>
      <c r="J1680" s="898">
        <v>46187.0</v>
      </c>
      <c r="K1680" s="82"/>
    </row>
    <row r="1681" ht="15.0" customHeight="1">
      <c r="A1681" s="802">
        <v>46126.0</v>
      </c>
      <c r="B1681" s="771">
        <v>2604493.0</v>
      </c>
      <c r="C1681" s="63" t="s">
        <v>11484</v>
      </c>
      <c r="D1681" s="63" t="s">
        <v>4988</v>
      </c>
      <c r="E1681" s="772" t="str">
        <f>IFERROR(VLOOKUP(D1681,Stock,3,FALSE),"")</f>
        <v>Toyota Innova 15- 2nd Gen</v>
      </c>
      <c r="F1681" s="63">
        <v>1.0</v>
      </c>
      <c r="G1681" s="894">
        <v>750200.0</v>
      </c>
      <c r="H1681" s="807">
        <f t="shared" si="93"/>
        <v>750200</v>
      </c>
      <c r="I1681" s="895">
        <f t="shared" si="100"/>
        <v>750200</v>
      </c>
      <c r="J1681" s="898">
        <v>46187.0</v>
      </c>
      <c r="K1681" s="82"/>
    </row>
    <row r="1682" ht="15.0" customHeight="1">
      <c r="A1682" s="802">
        <v>46126.0</v>
      </c>
      <c r="B1682" s="771">
        <v>2604493.0</v>
      </c>
      <c r="C1682" s="63" t="s">
        <v>11484</v>
      </c>
      <c r="D1682" s="63" t="s">
        <v>3871</v>
      </c>
      <c r="E1682" s="772" t="str">
        <f>IFERROR(VLOOKUP(D1682,Stock,3,FALSE),"")</f>
        <v>Suzuki Swift 04-11 1st Gen</v>
      </c>
      <c r="F1682" s="63">
        <v>1.0</v>
      </c>
      <c r="G1682" s="894">
        <v>711700.0</v>
      </c>
      <c r="H1682" s="807">
        <f t="shared" si="93"/>
        <v>711700</v>
      </c>
      <c r="I1682" s="895">
        <f t="shared" si="100"/>
        <v>711700</v>
      </c>
      <c r="J1682" s="898">
        <v>46187.0</v>
      </c>
      <c r="K1682" s="82"/>
    </row>
    <row r="1683" ht="15.0" customHeight="1">
      <c r="A1683" s="802">
        <v>46127.0</v>
      </c>
      <c r="B1683" s="771">
        <v>2604536.0</v>
      </c>
      <c r="C1683" s="63" t="s">
        <v>11484</v>
      </c>
      <c r="D1683" s="63" t="s">
        <v>2723</v>
      </c>
      <c r="E1683" s="772" t="str">
        <f>IFERROR(VLOOKUP(D1683,Stock,3,FALSE),"")</f>
        <v>Suzuki Carry New 19-</v>
      </c>
      <c r="F1683" s="63">
        <v>2.0</v>
      </c>
      <c r="G1683" s="894">
        <v>462000.0</v>
      </c>
      <c r="H1683" s="807">
        <f t="shared" si="93"/>
        <v>924000</v>
      </c>
      <c r="I1683" s="895">
        <f t="shared" si="100"/>
        <v>924000</v>
      </c>
      <c r="J1683" s="898">
        <v>46188.0</v>
      </c>
      <c r="K1683" s="82"/>
    </row>
    <row r="1684" ht="15.0" customHeight="1">
      <c r="A1684" s="802">
        <v>46127.0</v>
      </c>
      <c r="B1684" s="771">
        <v>2604536.0</v>
      </c>
      <c r="C1684" s="63" t="s">
        <v>11484</v>
      </c>
      <c r="D1684" s="63" t="s">
        <v>2562</v>
      </c>
      <c r="E1684" s="772" t="str">
        <f>IFERROR(VLOOKUP(D1684,Stock,3,FALSE),"")</f>
        <v>Toyota Avanza / Xenia 15-21 3rd Gen</v>
      </c>
      <c r="F1684" s="63">
        <v>3.0</v>
      </c>
      <c r="G1684" s="894">
        <v>416900.0</v>
      </c>
      <c r="H1684" s="807">
        <f t="shared" si="93"/>
        <v>1250700</v>
      </c>
      <c r="I1684" s="895">
        <f t="shared" si="100"/>
        <v>1250700</v>
      </c>
      <c r="J1684" s="898">
        <v>46188.0</v>
      </c>
      <c r="K1684" s="82"/>
    </row>
    <row r="1685" ht="15.0" customHeight="1">
      <c r="A1685" s="802">
        <v>46128.0</v>
      </c>
      <c r="B1685" s="771">
        <v>2604591.0</v>
      </c>
      <c r="C1685" s="63" t="s">
        <v>11484</v>
      </c>
      <c r="D1685" s="63" t="s">
        <v>11379</v>
      </c>
      <c r="E1685" s="772" t="str">
        <f>IFERROR(VLOOKUP(D1685,Stock,3,FALSE),"")</f>
        <v>Toyota LandCruiser 07-21 FJ200 / Lexus (1 Sensor / I I )</v>
      </c>
      <c r="F1685" s="63">
        <v>1.0</v>
      </c>
      <c r="G1685" s="894">
        <v>1694000.0</v>
      </c>
      <c r="H1685" s="807">
        <f t="shared" si="93"/>
        <v>1694000</v>
      </c>
      <c r="I1685" s="895">
        <f t="shared" si="100"/>
        <v>1694000</v>
      </c>
      <c r="J1685" s="898">
        <v>46189.0</v>
      </c>
      <c r="K1685" s="82"/>
    </row>
    <row r="1686" ht="15.0" customHeight="1">
      <c r="A1686" s="802">
        <v>46132.0</v>
      </c>
      <c r="B1686" s="771" t="s">
        <v>13356</v>
      </c>
      <c r="C1686" s="63" t="s">
        <v>13022</v>
      </c>
      <c r="D1686" s="63" t="s">
        <v>5528</v>
      </c>
      <c r="E1686" s="772" t="str">
        <f>IFERROR(VLOOKUP(D1686,Stock,3,FALSE),"")</f>
        <v>Toyota Innova 15-22 2nd Gen (Toyota)</v>
      </c>
      <c r="F1686" s="63">
        <v>1.0</v>
      </c>
      <c r="G1686" s="894">
        <v>1674000.0</v>
      </c>
      <c r="H1686" s="807">
        <f t="shared" si="93"/>
        <v>1674000</v>
      </c>
      <c r="I1686" s="895"/>
      <c r="J1686" s="82"/>
      <c r="K1686" s="82"/>
    </row>
    <row r="1687" ht="15.0" customHeight="1">
      <c r="A1687" s="802">
        <v>46132.0</v>
      </c>
      <c r="B1687" s="771" t="s">
        <v>13356</v>
      </c>
      <c r="C1687" s="63" t="s">
        <v>13022</v>
      </c>
      <c r="D1687" s="63" t="s">
        <v>9998</v>
      </c>
      <c r="E1687" s="772" t="str">
        <f>IFERROR(VLOOKUP(D1687,Stock,3,FALSE),"")</f>
        <v>Toyota Innova 04-15 1st Gen (Toyota)</v>
      </c>
      <c r="F1687" s="63">
        <v>1.0</v>
      </c>
      <c r="G1687" s="894">
        <v>1197000.0</v>
      </c>
      <c r="H1687" s="807">
        <f t="shared" si="93"/>
        <v>1197000</v>
      </c>
      <c r="I1687" s="895"/>
      <c r="J1687" s="82"/>
      <c r="K1687" s="82"/>
    </row>
    <row r="1688" ht="15.0" customHeight="1">
      <c r="A1688" s="802">
        <v>46127.0</v>
      </c>
      <c r="B1688" s="771" t="s">
        <v>13357</v>
      </c>
      <c r="C1688" s="63" t="s">
        <v>11481</v>
      </c>
      <c r="D1688" s="63" t="s">
        <v>6892</v>
      </c>
      <c r="E1688" s="772" t="str">
        <f>IFERROR(VLOOKUP(D1688,Stock,3,FALSE),"")</f>
        <v>Isuzu Elf  93- NKR NHR </v>
      </c>
      <c r="F1688" s="63">
        <v>1.0</v>
      </c>
      <c r="G1688" s="894">
        <v>350000.0</v>
      </c>
      <c r="H1688" s="807">
        <f t="shared" si="93"/>
        <v>350000</v>
      </c>
      <c r="I1688" s="895"/>
      <c r="J1688" s="82"/>
      <c r="K1688" s="82"/>
    </row>
    <row r="1689" ht="15.0" customHeight="1">
      <c r="A1689" s="802">
        <v>46121.0</v>
      </c>
      <c r="B1689" s="6" t="s">
        <v>13358</v>
      </c>
      <c r="C1689" s="63" t="s">
        <v>13230</v>
      </c>
      <c r="D1689" s="63" t="s">
        <v>11304</v>
      </c>
      <c r="E1689" s="772" t="str">
        <f>IFERROR(VLOOKUP(D1689,Stock,3,FALSE),"")</f>
        <v>Hyundai Santa Fe 18-23 (thn 21-23) (2 Sensor / /\ O)</v>
      </c>
      <c r="F1689" s="63">
        <v>1.0</v>
      </c>
      <c r="G1689" s="894"/>
      <c r="H1689" s="807">
        <f t="shared" si="93"/>
        <v>0</v>
      </c>
      <c r="I1689" s="895">
        <f t="shared" ref="I1689:I1690" si="101">H1689</f>
        <v>0</v>
      </c>
      <c r="J1689" s="82"/>
      <c r="K1689" s="82"/>
    </row>
    <row r="1690" ht="15.0" customHeight="1">
      <c r="A1690" s="802">
        <v>46121.0</v>
      </c>
      <c r="B1690" s="6" t="s">
        <v>13358</v>
      </c>
      <c r="C1690" s="63" t="s">
        <v>13230</v>
      </c>
      <c r="D1690" s="63" t="s">
        <v>11335</v>
      </c>
      <c r="E1690" s="772" t="str">
        <f>IFERROR(VLOOKUP(D1690,Stock,3,FALSE),"")</f>
        <v>Mers-Benz C-Class 14 - W205 (3 Sensor/ Δ□Δ)</v>
      </c>
      <c r="F1690" s="63">
        <v>1.0</v>
      </c>
      <c r="G1690" s="894"/>
      <c r="H1690" s="807">
        <f t="shared" si="93"/>
        <v>0</v>
      </c>
      <c r="I1690" s="895">
        <f t="shared" si="101"/>
        <v>0</v>
      </c>
      <c r="J1690" s="82"/>
      <c r="K1690" s="82"/>
    </row>
    <row r="1691" ht="15.0" customHeight="1">
      <c r="A1691" s="802">
        <v>46128.0</v>
      </c>
      <c r="B1691" s="771" t="s">
        <v>13359</v>
      </c>
      <c r="C1691" s="63" t="s">
        <v>3076</v>
      </c>
      <c r="D1691" s="63" t="s">
        <v>4644</v>
      </c>
      <c r="E1691" s="772" t="str">
        <f>IFERROR(VLOOKUP(D1691,Stock,3,FALSE),"")</f>
        <v>Toyota LandCruiser 02-07 FJ78 / FJ79</v>
      </c>
      <c r="F1691" s="63">
        <v>1.0</v>
      </c>
      <c r="G1691" s="894">
        <v>1985000.0</v>
      </c>
      <c r="H1691" s="807">
        <f t="shared" si="93"/>
        <v>1985000</v>
      </c>
      <c r="I1691" s="895"/>
      <c r="J1691" s="82"/>
      <c r="K1691" s="82"/>
    </row>
    <row r="1692" ht="15.0" customHeight="1">
      <c r="A1692" s="802">
        <v>46128.0</v>
      </c>
      <c r="B1692" s="771" t="s">
        <v>13359</v>
      </c>
      <c r="C1692" s="63" t="s">
        <v>3076</v>
      </c>
      <c r="D1692" s="63" t="s">
        <v>2934</v>
      </c>
      <c r="E1692" s="772" t="str">
        <f>IFERROR(VLOOKUP(D1692,Stock,3,FALSE),"")</f>
        <v>Peti Kayu</v>
      </c>
      <c r="F1692" s="63">
        <v>1.0</v>
      </c>
      <c r="G1692" s="894">
        <v>150000.0</v>
      </c>
      <c r="H1692" s="807">
        <f t="shared" si="93"/>
        <v>150000</v>
      </c>
      <c r="I1692" s="895"/>
      <c r="J1692" s="82"/>
      <c r="K1692" s="82"/>
    </row>
    <row r="1693" ht="15.0" customHeight="1">
      <c r="A1693" s="802">
        <v>46133.0</v>
      </c>
      <c r="B1693" s="771">
        <v>2604779.0</v>
      </c>
      <c r="C1693" s="63" t="s">
        <v>11484</v>
      </c>
      <c r="D1693" s="63" t="s">
        <v>3186</v>
      </c>
      <c r="E1693" s="772" t="str">
        <f>IFERROR(VLOOKUP(D1693,Stock,3,FALSE),"")</f>
        <v>Daihatsu Gran Max / Luxio 07-</v>
      </c>
      <c r="F1693" s="63">
        <v>2.0</v>
      </c>
      <c r="G1693" s="894">
        <v>470250.0</v>
      </c>
      <c r="H1693" s="807">
        <f t="shared" si="93"/>
        <v>940500</v>
      </c>
      <c r="I1693" s="895">
        <f t="shared" ref="I1693:I1705" si="102">H1693</f>
        <v>940500</v>
      </c>
      <c r="J1693" s="898">
        <v>46194.0</v>
      </c>
      <c r="K1693" s="82"/>
    </row>
    <row r="1694" ht="15.0" customHeight="1">
      <c r="A1694" s="802">
        <v>46133.0</v>
      </c>
      <c r="B1694" s="771">
        <v>2604779.0</v>
      </c>
      <c r="C1694" s="63" t="s">
        <v>11484</v>
      </c>
      <c r="D1694" s="63" t="s">
        <v>2691</v>
      </c>
      <c r="E1694" s="772" t="str">
        <f>IFERROR(VLOOKUP(D1694,Stock,3,FALSE),"")</f>
        <v>Suzuki Ertiga 12-18 1st Gen MPV</v>
      </c>
      <c r="F1694" s="63">
        <v>1.0</v>
      </c>
      <c r="G1694" s="894">
        <v>528000.0</v>
      </c>
      <c r="H1694" s="807">
        <f t="shared" si="93"/>
        <v>528000</v>
      </c>
      <c r="I1694" s="895">
        <f t="shared" si="102"/>
        <v>528000</v>
      </c>
      <c r="J1694" s="898">
        <v>46194.0</v>
      </c>
      <c r="K1694" s="82"/>
    </row>
    <row r="1695" ht="15.0" customHeight="1">
      <c r="A1695" s="802">
        <v>46133.0</v>
      </c>
      <c r="B1695" s="771">
        <v>2604779.0</v>
      </c>
      <c r="C1695" s="63" t="s">
        <v>11484</v>
      </c>
      <c r="D1695" s="63" t="s">
        <v>2663</v>
      </c>
      <c r="E1695" s="772" t="str">
        <f>IFERROR(VLOOKUP(D1695,Stock,3,FALSE),"")</f>
        <v>Chevrolet Captiva 06-18 1st gen C100</v>
      </c>
      <c r="F1695" s="63">
        <v>1.0</v>
      </c>
      <c r="G1695" s="894">
        <v>997150.0</v>
      </c>
      <c r="H1695" s="807">
        <f t="shared" si="93"/>
        <v>997150</v>
      </c>
      <c r="I1695" s="895">
        <f t="shared" si="102"/>
        <v>997150</v>
      </c>
      <c r="J1695" s="898">
        <v>46194.0</v>
      </c>
      <c r="K1695" s="82"/>
    </row>
    <row r="1696" ht="15.0" customHeight="1">
      <c r="A1696" s="802">
        <v>46133.0</v>
      </c>
      <c r="B1696" s="771">
        <v>2604779.0</v>
      </c>
      <c r="C1696" s="63" t="s">
        <v>11484</v>
      </c>
      <c r="D1696" s="63" t="s">
        <v>3127</v>
      </c>
      <c r="E1696" s="772" t="str">
        <f>IFERROR(VLOOKUP(D1696,Stock,3,FALSE),"")</f>
        <v>Toyota Avanza / Xenia 03-11 1st Gen</v>
      </c>
      <c r="F1696" s="63">
        <v>1.0</v>
      </c>
      <c r="G1696" s="894">
        <v>297550.0</v>
      </c>
      <c r="H1696" s="807">
        <f t="shared" si="93"/>
        <v>297550</v>
      </c>
      <c r="I1696" s="895">
        <f t="shared" si="102"/>
        <v>297550</v>
      </c>
      <c r="J1696" s="898">
        <v>46194.0</v>
      </c>
      <c r="K1696" s="82"/>
    </row>
    <row r="1697" ht="15.0" customHeight="1">
      <c r="A1697" s="802">
        <v>46134.0</v>
      </c>
      <c r="B1697" s="771">
        <v>2604819.0</v>
      </c>
      <c r="C1697" s="63" t="s">
        <v>11484</v>
      </c>
      <c r="D1697" s="63" t="s">
        <v>2576</v>
      </c>
      <c r="E1697" s="772" t="str">
        <f>IFERROR(VLOOKUP(D1697,Stock,3,FALSE),"")</f>
        <v>Toyota Camry 06-11 XV40 4th Gen</v>
      </c>
      <c r="F1697" s="63">
        <v>2.0</v>
      </c>
      <c r="G1697" s="894">
        <v>1552650.0</v>
      </c>
      <c r="H1697" s="807">
        <f t="shared" si="93"/>
        <v>3105300</v>
      </c>
      <c r="I1697" s="895">
        <f t="shared" si="102"/>
        <v>3105300</v>
      </c>
      <c r="J1697" s="898">
        <v>46195.0</v>
      </c>
      <c r="K1697" s="82"/>
    </row>
    <row r="1698" ht="15.0" customHeight="1">
      <c r="A1698" s="802">
        <v>46134.0</v>
      </c>
      <c r="B1698" s="771">
        <v>2604824.0</v>
      </c>
      <c r="C1698" s="63" t="s">
        <v>11484</v>
      </c>
      <c r="D1698" s="63" t="s">
        <v>2784</v>
      </c>
      <c r="E1698" s="772" t="str">
        <f>IFERROR(VLOOKUP(D1698,Stock,3,FALSE),"")</f>
        <v>Honda City 19- GN</v>
      </c>
      <c r="F1698" s="63">
        <v>1.0</v>
      </c>
      <c r="G1698" s="894">
        <v>1277100.0</v>
      </c>
      <c r="H1698" s="807">
        <f t="shared" si="93"/>
        <v>1277100</v>
      </c>
      <c r="I1698" s="895">
        <f t="shared" si="102"/>
        <v>1277100</v>
      </c>
      <c r="J1698" s="898">
        <v>46195.0</v>
      </c>
      <c r="K1698" s="82"/>
    </row>
    <row r="1699" ht="15.0" customHeight="1">
      <c r="A1699" s="834"/>
      <c r="B1699" s="835"/>
      <c r="C1699" s="772"/>
      <c r="D1699" s="772"/>
      <c r="E1699" s="772" t="str">
        <f>IFERROR(VLOOKUP(D1699,Stock,3,FALSE),"")</f>
        <v/>
      </c>
      <c r="F1699" s="772"/>
      <c r="G1699" s="894"/>
      <c r="H1699" s="807">
        <f t="shared" si="93"/>
        <v>0</v>
      </c>
      <c r="I1699" s="895">
        <f t="shared" si="102"/>
        <v>0</v>
      </c>
      <c r="J1699" s="82"/>
      <c r="K1699" s="82"/>
    </row>
    <row r="1700" ht="15.0" customHeight="1">
      <c r="A1700" s="834"/>
      <c r="B1700" s="835"/>
      <c r="C1700" s="772"/>
      <c r="D1700" s="772"/>
      <c r="E1700" s="772" t="str">
        <f>IFERROR(VLOOKUP(D1700,Stock,3,FALSE),"")</f>
        <v/>
      </c>
      <c r="F1700" s="772"/>
      <c r="G1700" s="894"/>
      <c r="H1700" s="807">
        <f t="shared" si="93"/>
        <v>0</v>
      </c>
      <c r="I1700" s="895">
        <f t="shared" si="102"/>
        <v>0</v>
      </c>
      <c r="J1700" s="82"/>
      <c r="K1700" s="82"/>
    </row>
    <row r="1701" ht="15.0" customHeight="1">
      <c r="A1701" s="834"/>
      <c r="B1701" s="835"/>
      <c r="C1701" s="772"/>
      <c r="D1701" s="772"/>
      <c r="E1701" s="772" t="str">
        <f>IFERROR(VLOOKUP(D1701,Stock,3,FALSE),"")</f>
        <v/>
      </c>
      <c r="F1701" s="772"/>
      <c r="G1701" s="894"/>
      <c r="H1701" s="807">
        <f t="shared" si="93"/>
        <v>0</v>
      </c>
      <c r="I1701" s="895">
        <f t="shared" si="102"/>
        <v>0</v>
      </c>
      <c r="J1701" s="82"/>
      <c r="K1701" s="82"/>
    </row>
    <row r="1702" ht="15.0" customHeight="1">
      <c r="A1702" s="834"/>
      <c r="B1702" s="835"/>
      <c r="C1702" s="772"/>
      <c r="D1702" s="772"/>
      <c r="E1702" s="772"/>
      <c r="F1702" s="772"/>
      <c r="G1702" s="894"/>
      <c r="H1702" s="807">
        <f t="shared" si="93"/>
        <v>0</v>
      </c>
      <c r="I1702" s="895">
        <f t="shared" si="102"/>
        <v>0</v>
      </c>
      <c r="J1702" s="82"/>
      <c r="K1702" s="82"/>
    </row>
    <row r="1703" ht="15.0" customHeight="1">
      <c r="A1703" s="834"/>
      <c r="B1703" s="835"/>
      <c r="C1703" s="772"/>
      <c r="D1703" s="772"/>
      <c r="E1703" s="772"/>
      <c r="F1703" s="772"/>
      <c r="G1703" s="894"/>
      <c r="H1703" s="807">
        <f t="shared" si="93"/>
        <v>0</v>
      </c>
      <c r="I1703" s="895">
        <f t="shared" si="102"/>
        <v>0</v>
      </c>
      <c r="J1703" s="82"/>
      <c r="K1703" s="82"/>
    </row>
    <row r="1704" ht="15.0" customHeight="1">
      <c r="A1704" s="834"/>
      <c r="B1704" s="835"/>
      <c r="C1704" s="772"/>
      <c r="D1704" s="772"/>
      <c r="E1704" s="772"/>
      <c r="F1704" s="772"/>
      <c r="G1704" s="894"/>
      <c r="H1704" s="807">
        <f t="shared" si="93"/>
        <v>0</v>
      </c>
      <c r="I1704" s="895">
        <f t="shared" si="102"/>
        <v>0</v>
      </c>
      <c r="J1704" s="82"/>
      <c r="K1704" s="82"/>
    </row>
    <row r="1705" ht="15.0" customHeight="1">
      <c r="A1705" s="834"/>
      <c r="B1705" s="835"/>
      <c r="C1705" s="772"/>
      <c r="D1705" s="772"/>
      <c r="E1705" s="772"/>
      <c r="F1705" s="772"/>
      <c r="G1705" s="894"/>
      <c r="H1705" s="807">
        <f t="shared" si="93"/>
        <v>0</v>
      </c>
      <c r="I1705" s="895">
        <f t="shared" si="102"/>
        <v>0</v>
      </c>
      <c r="J1705" s="82"/>
      <c r="K1705" s="82"/>
    </row>
    <row r="1706" ht="15.0" customHeight="1">
      <c r="A1706" s="834"/>
      <c r="B1706" s="835"/>
      <c r="C1706" s="772"/>
      <c r="D1706" s="772"/>
      <c r="E1706" s="772"/>
      <c r="F1706" s="772"/>
      <c r="G1706" s="894"/>
      <c r="H1706" s="807">
        <f t="shared" si="93"/>
        <v>0</v>
      </c>
      <c r="I1706" s="895"/>
      <c r="J1706" s="82"/>
      <c r="K1706" s="82"/>
    </row>
    <row r="1707" ht="15.0" customHeight="1">
      <c r="A1707" s="834"/>
      <c r="B1707" s="835"/>
      <c r="C1707" s="772"/>
      <c r="D1707" s="772"/>
      <c r="E1707" s="772"/>
      <c r="F1707" s="772"/>
      <c r="G1707" s="894"/>
      <c r="H1707" s="807">
        <f t="shared" si="93"/>
        <v>0</v>
      </c>
      <c r="I1707" s="895"/>
      <c r="J1707" s="82"/>
      <c r="K1707" s="82"/>
    </row>
    <row r="1708" ht="15.0" customHeight="1">
      <c r="A1708" s="834"/>
      <c r="B1708" s="835"/>
      <c r="C1708" s="772"/>
      <c r="D1708" s="772"/>
      <c r="E1708" s="772"/>
      <c r="F1708" s="772"/>
      <c r="G1708" s="894"/>
      <c r="H1708" s="807">
        <f t="shared" si="93"/>
        <v>0</v>
      </c>
      <c r="I1708" s="895"/>
      <c r="J1708" s="82"/>
      <c r="K1708" s="82"/>
    </row>
    <row r="1709" ht="15.0" customHeight="1">
      <c r="A1709" s="834"/>
      <c r="B1709" s="835"/>
      <c r="C1709" s="772"/>
      <c r="D1709" s="772"/>
      <c r="E1709" s="772"/>
      <c r="F1709" s="772"/>
      <c r="G1709" s="894"/>
      <c r="H1709" s="807">
        <f t="shared" si="93"/>
        <v>0</v>
      </c>
      <c r="I1709" s="895"/>
      <c r="J1709" s="82"/>
      <c r="K1709" s="82"/>
    </row>
    <row r="1710" ht="15.0" customHeight="1">
      <c r="A1710" s="834"/>
      <c r="B1710" s="835"/>
      <c r="C1710" s="772"/>
      <c r="D1710" s="772"/>
      <c r="E1710" s="772"/>
      <c r="F1710" s="772"/>
      <c r="G1710" s="894"/>
      <c r="H1710" s="807">
        <f t="shared" si="93"/>
        <v>0</v>
      </c>
      <c r="I1710" s="895"/>
      <c r="J1710" s="82"/>
      <c r="K1710" s="82"/>
    </row>
    <row r="1711" ht="15.0" customHeight="1">
      <c r="A1711" s="834"/>
      <c r="B1711" s="835"/>
      <c r="C1711" s="772"/>
      <c r="D1711" s="772"/>
      <c r="E1711" s="772"/>
      <c r="F1711" s="772"/>
      <c r="G1711" s="894"/>
      <c r="H1711" s="807"/>
      <c r="I1711" s="895"/>
      <c r="J1711" s="82"/>
      <c r="K1711" s="82"/>
    </row>
    <row r="1712" ht="15.0" customHeight="1">
      <c r="A1712" s="834"/>
      <c r="B1712" s="835"/>
      <c r="C1712" s="772"/>
      <c r="D1712" s="772"/>
      <c r="E1712" s="772"/>
      <c r="F1712" s="772"/>
      <c r="G1712" s="894"/>
      <c r="H1712" s="807"/>
      <c r="I1712" s="895"/>
      <c r="J1712" s="82"/>
      <c r="K1712" s="82"/>
    </row>
    <row r="1713" ht="15.0" customHeight="1">
      <c r="A1713" s="834"/>
      <c r="B1713" s="835"/>
      <c r="C1713" s="772"/>
      <c r="D1713" s="772"/>
      <c r="E1713" s="772"/>
      <c r="F1713" s="772"/>
      <c r="G1713" s="894"/>
      <c r="H1713" s="807"/>
      <c r="I1713" s="895"/>
      <c r="J1713" s="82"/>
      <c r="K1713" s="82"/>
    </row>
    <row r="1714" ht="15.0" customHeight="1">
      <c r="A1714" s="834"/>
      <c r="B1714" s="835"/>
      <c r="C1714" s="772"/>
      <c r="D1714" s="772"/>
      <c r="E1714" s="772"/>
      <c r="F1714" s="772"/>
      <c r="G1714" s="894"/>
      <c r="H1714" s="807"/>
      <c r="I1714" s="895"/>
      <c r="J1714" s="82"/>
      <c r="K1714" s="82"/>
    </row>
    <row r="1715" ht="15.0" customHeight="1">
      <c r="A1715" s="834"/>
      <c r="B1715" s="835"/>
      <c r="C1715" s="772"/>
      <c r="D1715" s="772"/>
      <c r="E1715" s="772"/>
      <c r="F1715" s="772"/>
      <c r="G1715" s="894"/>
      <c r="H1715" s="807"/>
      <c r="I1715" s="895"/>
      <c r="J1715" s="82"/>
      <c r="K1715" s="82"/>
    </row>
    <row r="1716" ht="15.0" customHeight="1">
      <c r="A1716" s="834"/>
      <c r="B1716" s="835"/>
      <c r="C1716" s="772"/>
      <c r="D1716" s="772"/>
      <c r="E1716" s="772"/>
      <c r="F1716" s="772"/>
      <c r="G1716" s="894"/>
      <c r="H1716" s="807"/>
      <c r="I1716" s="895"/>
      <c r="J1716" s="82"/>
      <c r="K1716" s="82"/>
    </row>
    <row r="1717" ht="15.0" customHeight="1">
      <c r="A1717" s="834"/>
      <c r="B1717" s="835"/>
      <c r="C1717" s="772"/>
      <c r="D1717" s="772"/>
      <c r="E1717" s="772"/>
      <c r="F1717" s="772"/>
      <c r="G1717" s="894"/>
      <c r="H1717" s="807"/>
      <c r="I1717" s="895"/>
      <c r="J1717" s="82"/>
      <c r="K1717" s="82"/>
    </row>
    <row r="1718" ht="15.0" customHeight="1">
      <c r="A1718" s="834"/>
      <c r="B1718" s="835"/>
      <c r="C1718" s="772"/>
      <c r="D1718" s="772"/>
      <c r="E1718" s="772"/>
      <c r="F1718" s="772"/>
      <c r="G1718" s="894"/>
      <c r="H1718" s="807"/>
      <c r="I1718" s="895"/>
      <c r="J1718" s="82"/>
      <c r="K1718" s="82"/>
    </row>
    <row r="1719" ht="15.0" customHeight="1">
      <c r="A1719" s="834"/>
      <c r="B1719" s="835"/>
      <c r="C1719" s="772"/>
      <c r="D1719" s="772"/>
      <c r="E1719" s="772"/>
      <c r="F1719" s="772"/>
      <c r="G1719" s="894"/>
      <c r="H1719" s="807"/>
      <c r="I1719" s="895"/>
      <c r="J1719" s="82"/>
      <c r="K1719" s="82"/>
    </row>
    <row r="1720" ht="15.0" customHeight="1">
      <c r="A1720" s="834"/>
      <c r="B1720" s="835"/>
      <c r="C1720" s="772"/>
      <c r="D1720" s="772"/>
      <c r="E1720" s="772"/>
      <c r="F1720" s="772"/>
      <c r="G1720" s="894"/>
      <c r="H1720" s="807"/>
      <c r="I1720" s="895"/>
      <c r="J1720" s="82"/>
      <c r="K1720" s="82"/>
    </row>
    <row r="1721" ht="15.0" customHeight="1">
      <c r="A1721" s="834"/>
      <c r="B1721" s="835"/>
      <c r="C1721" s="772"/>
      <c r="D1721" s="772"/>
      <c r="E1721" s="772"/>
      <c r="F1721" s="772"/>
      <c r="G1721" s="894"/>
      <c r="H1721" s="807"/>
      <c r="I1721" s="895"/>
      <c r="J1721" s="82"/>
      <c r="K1721" s="82"/>
    </row>
    <row r="1722" ht="15.0" customHeight="1">
      <c r="A1722" s="834"/>
      <c r="B1722" s="835"/>
      <c r="C1722" s="772"/>
      <c r="D1722" s="772"/>
      <c r="E1722" s="772"/>
      <c r="F1722" s="772"/>
      <c r="G1722" s="894"/>
      <c r="H1722" s="807"/>
      <c r="I1722" s="895"/>
      <c r="J1722" s="82"/>
      <c r="K1722" s="82"/>
    </row>
    <row r="1723" ht="15.0" customHeight="1">
      <c r="A1723" s="834"/>
      <c r="B1723" s="835"/>
      <c r="C1723" s="772"/>
      <c r="D1723" s="772"/>
      <c r="E1723" s="772"/>
      <c r="F1723" s="772"/>
      <c r="G1723" s="894"/>
      <c r="H1723" s="807"/>
      <c r="I1723" s="895"/>
      <c r="J1723" s="82"/>
      <c r="K1723" s="82"/>
    </row>
    <row r="1724" ht="15.0" customHeight="1">
      <c r="A1724" s="834"/>
      <c r="B1724" s="835"/>
      <c r="C1724" s="772"/>
      <c r="D1724" s="772"/>
      <c r="E1724" s="772"/>
      <c r="F1724" s="772"/>
      <c r="G1724" s="894"/>
      <c r="H1724" s="807"/>
      <c r="I1724" s="895"/>
      <c r="J1724" s="82"/>
      <c r="K1724" s="82"/>
    </row>
    <row r="1725" ht="15.0" customHeight="1">
      <c r="A1725" s="834"/>
      <c r="B1725" s="835"/>
      <c r="C1725" s="772"/>
      <c r="D1725" s="772"/>
      <c r="E1725" s="772"/>
      <c r="F1725" s="772"/>
      <c r="G1725" s="894"/>
      <c r="H1725" s="807"/>
      <c r="I1725" s="895"/>
      <c r="J1725" s="82"/>
      <c r="K1725" s="82"/>
    </row>
    <row r="1726" ht="15.0" customHeight="1">
      <c r="A1726" s="834"/>
      <c r="B1726" s="835"/>
      <c r="C1726" s="772"/>
      <c r="D1726" s="772"/>
      <c r="E1726" s="772"/>
      <c r="F1726" s="772"/>
      <c r="G1726" s="894"/>
      <c r="H1726" s="807"/>
      <c r="I1726" s="895"/>
      <c r="J1726" s="82"/>
      <c r="K1726" s="82"/>
    </row>
    <row r="1727" ht="15.0" customHeight="1">
      <c r="A1727" s="834"/>
      <c r="B1727" s="835"/>
      <c r="C1727" s="772"/>
      <c r="D1727" s="772"/>
      <c r="E1727" s="772"/>
      <c r="F1727" s="772"/>
      <c r="G1727" s="894"/>
      <c r="H1727" s="807"/>
      <c r="I1727" s="895"/>
      <c r="J1727" s="82"/>
      <c r="K1727" s="82"/>
    </row>
    <row r="1728" ht="15.0" customHeight="1">
      <c r="A1728" s="834"/>
      <c r="B1728" s="835"/>
      <c r="C1728" s="772"/>
      <c r="D1728" s="772"/>
      <c r="E1728" s="772"/>
      <c r="F1728" s="772"/>
      <c r="G1728" s="894"/>
      <c r="H1728" s="807"/>
      <c r="I1728" s="895"/>
      <c r="J1728" s="82"/>
      <c r="K1728" s="82"/>
    </row>
    <row r="1729" ht="15.0" customHeight="1">
      <c r="A1729" s="834"/>
      <c r="B1729" s="835"/>
      <c r="C1729" s="772"/>
      <c r="D1729" s="772"/>
      <c r="E1729" s="772"/>
      <c r="F1729" s="772"/>
      <c r="G1729" s="894"/>
      <c r="H1729" s="807"/>
      <c r="I1729" s="895"/>
      <c r="J1729" s="82"/>
      <c r="K1729" s="82"/>
    </row>
    <row r="1730" ht="15.0" customHeight="1">
      <c r="A1730" s="834"/>
      <c r="B1730" s="835"/>
      <c r="C1730" s="772"/>
      <c r="D1730" s="772"/>
      <c r="E1730" s="772"/>
      <c r="F1730" s="772"/>
      <c r="G1730" s="894"/>
      <c r="H1730" s="807"/>
      <c r="I1730" s="895"/>
      <c r="J1730" s="82"/>
      <c r="K1730" s="82"/>
    </row>
    <row r="1731" ht="15.0" customHeight="1">
      <c r="A1731" s="834"/>
      <c r="B1731" s="835"/>
      <c r="C1731" s="772"/>
      <c r="D1731" s="772"/>
      <c r="E1731" s="772"/>
      <c r="F1731" s="772"/>
      <c r="G1731" s="894"/>
      <c r="H1731" s="807"/>
      <c r="I1731" s="895"/>
      <c r="J1731" s="82"/>
      <c r="K1731" s="82"/>
    </row>
    <row r="1732" ht="15.0" customHeight="1">
      <c r="A1732" s="834"/>
      <c r="B1732" s="835"/>
      <c r="C1732" s="772"/>
      <c r="D1732" s="772"/>
      <c r="E1732" s="772"/>
      <c r="F1732" s="772"/>
      <c r="G1732" s="894"/>
      <c r="H1732" s="807"/>
      <c r="I1732" s="895"/>
      <c r="J1732" s="82"/>
      <c r="K1732" s="82"/>
    </row>
    <row r="1733" ht="15.0" customHeight="1">
      <c r="A1733" s="834"/>
      <c r="B1733" s="835"/>
      <c r="C1733" s="772"/>
      <c r="D1733" s="772"/>
      <c r="E1733" s="772"/>
      <c r="F1733" s="772"/>
      <c r="G1733" s="894"/>
      <c r="H1733" s="807"/>
      <c r="I1733" s="895"/>
      <c r="J1733" s="82"/>
      <c r="K1733" s="82"/>
    </row>
    <row r="1734" ht="15.0" customHeight="1">
      <c r="A1734" s="834"/>
      <c r="B1734" s="835"/>
      <c r="C1734" s="772"/>
      <c r="D1734" s="772"/>
      <c r="E1734" s="772"/>
      <c r="F1734" s="772"/>
      <c r="G1734" s="894"/>
      <c r="H1734" s="807"/>
      <c r="I1734" s="895"/>
      <c r="J1734" s="82"/>
      <c r="K1734" s="82"/>
    </row>
    <row r="1735" ht="15.0" customHeight="1">
      <c r="A1735" s="834"/>
      <c r="B1735" s="835"/>
      <c r="C1735" s="772"/>
      <c r="D1735" s="772"/>
      <c r="E1735" s="772"/>
      <c r="F1735" s="772"/>
      <c r="G1735" s="894"/>
      <c r="H1735" s="807"/>
      <c r="I1735" s="895"/>
      <c r="J1735" s="82"/>
      <c r="K1735" s="82"/>
    </row>
    <row r="1736" ht="15.0" customHeight="1">
      <c r="A1736" s="834"/>
      <c r="B1736" s="835"/>
      <c r="C1736" s="772"/>
      <c r="D1736" s="772"/>
      <c r="E1736" s="772"/>
      <c r="F1736" s="772"/>
      <c r="G1736" s="894"/>
      <c r="H1736" s="807"/>
      <c r="I1736" s="895"/>
      <c r="J1736" s="82"/>
      <c r="K1736" s="82"/>
    </row>
    <row r="1737" ht="15.0" customHeight="1">
      <c r="A1737" s="834"/>
      <c r="B1737" s="835"/>
      <c r="C1737" s="772"/>
      <c r="D1737" s="772"/>
      <c r="E1737" s="772"/>
      <c r="F1737" s="772"/>
      <c r="G1737" s="894"/>
      <c r="H1737" s="807"/>
      <c r="I1737" s="895"/>
      <c r="J1737" s="82"/>
      <c r="K1737" s="82"/>
    </row>
    <row r="1738" ht="15.0" customHeight="1">
      <c r="A1738" s="834"/>
      <c r="B1738" s="835"/>
      <c r="C1738" s="772"/>
      <c r="D1738" s="772"/>
      <c r="E1738" s="772"/>
      <c r="F1738" s="772"/>
      <c r="G1738" s="894"/>
      <c r="H1738" s="807"/>
      <c r="I1738" s="895"/>
      <c r="J1738" s="82"/>
      <c r="K1738" s="82"/>
    </row>
    <row r="1739" ht="15.0" customHeight="1">
      <c r="A1739" s="834"/>
      <c r="B1739" s="835"/>
      <c r="C1739" s="772"/>
      <c r="D1739" s="772"/>
      <c r="E1739" s="772"/>
      <c r="F1739" s="772"/>
      <c r="G1739" s="894"/>
      <c r="H1739" s="807"/>
      <c r="I1739" s="895"/>
      <c r="J1739" s="82"/>
      <c r="K1739" s="82"/>
    </row>
    <row r="1740" ht="15.0" customHeight="1">
      <c r="A1740" s="834"/>
      <c r="B1740" s="835"/>
      <c r="C1740" s="772"/>
      <c r="D1740" s="772"/>
      <c r="E1740" s="772"/>
      <c r="F1740" s="772"/>
      <c r="G1740" s="894"/>
      <c r="H1740" s="807"/>
      <c r="I1740" s="895"/>
      <c r="J1740" s="82"/>
      <c r="K1740" s="82"/>
    </row>
    <row r="1741" ht="15.0" customHeight="1">
      <c r="A1741" s="834"/>
      <c r="B1741" s="835"/>
      <c r="C1741" s="772"/>
      <c r="D1741" s="772"/>
      <c r="E1741" s="772"/>
      <c r="F1741" s="772"/>
      <c r="G1741" s="894"/>
      <c r="H1741" s="807"/>
      <c r="I1741" s="895"/>
      <c r="J1741" s="82"/>
      <c r="K1741" s="82"/>
    </row>
    <row r="1742" ht="15.0" customHeight="1">
      <c r="A1742" s="834"/>
      <c r="B1742" s="835"/>
      <c r="C1742" s="772"/>
      <c r="D1742" s="772"/>
      <c r="E1742" s="772"/>
      <c r="F1742" s="772"/>
      <c r="G1742" s="894"/>
      <c r="H1742" s="807"/>
      <c r="I1742" s="895"/>
      <c r="J1742" s="82"/>
      <c r="K1742" s="82"/>
    </row>
  </sheetData>
  <mergeCells count="15">
    <mergeCell ref="H3:H4"/>
    <mergeCell ref="I3:I4"/>
    <mergeCell ref="J3:J4"/>
    <mergeCell ref="K3:K4"/>
    <mergeCell ref="L3:L4"/>
    <mergeCell ref="M3:M4"/>
    <mergeCell ref="N3:N4"/>
    <mergeCell ref="O3:O4"/>
    <mergeCell ref="A3:A4"/>
    <mergeCell ref="B3:B4"/>
    <mergeCell ref="C3:C4"/>
    <mergeCell ref="D3:D4"/>
    <mergeCell ref="E3:E4"/>
    <mergeCell ref="F3:F4"/>
    <mergeCell ref="G3:G4"/>
  </mergeCells>
  <dataValidations>
    <dataValidation type="list" allowBlank="1" showErrorMessage="1" sqref="D5 D10:D12">
      <formula1>'Current Stock'!$A$3:$A$1790</formula1>
    </dataValidation>
  </dataValidations>
  <printOptions/>
  <pageMargins bottom="0.75" footer="0.0" header="0.0" left="0.7" right="0.7" top="0.75"/>
  <pageSetup orientation="portrait"/>
  <drawing r:id="rId4"/>
  <legacyDrawing r:id="rId5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30.43"/>
  </cols>
  <sheetData>
    <row r="1">
      <c r="A1" s="910" t="s">
        <v>2867</v>
      </c>
      <c r="B1" s="720" t="s">
        <v>2908</v>
      </c>
      <c r="C1" s="720" t="s">
        <v>11458</v>
      </c>
      <c r="D1" s="721" t="s">
        <v>12165</v>
      </c>
      <c r="E1" s="722" t="s">
        <v>12166</v>
      </c>
      <c r="F1" s="723" t="s">
        <v>12167</v>
      </c>
      <c r="G1" s="724" t="s">
        <v>12168</v>
      </c>
      <c r="H1" s="724" t="s">
        <v>12169</v>
      </c>
      <c r="I1" s="717" t="s">
        <v>12163</v>
      </c>
    </row>
    <row r="2">
      <c r="A2" s="726" t="s">
        <v>12176</v>
      </c>
    </row>
    <row r="3">
      <c r="A3" s="728">
        <v>45478.0</v>
      </c>
      <c r="B3" s="6" t="s">
        <v>12278</v>
      </c>
      <c r="D3" s="729">
        <v>250000.0</v>
      </c>
      <c r="E3" s="727"/>
      <c r="F3" s="727">
        <f>D3-E3</f>
        <v>250000</v>
      </c>
      <c r="G3" s="6" t="s">
        <v>3793</v>
      </c>
      <c r="H3" s="6" t="s">
        <v>12178</v>
      </c>
    </row>
    <row r="4">
      <c r="A4" s="728">
        <v>45478.0</v>
      </c>
      <c r="B4" s="6" t="s">
        <v>13360</v>
      </c>
      <c r="D4" s="729">
        <v>101000.0</v>
      </c>
      <c r="E4" s="729"/>
      <c r="F4" s="727">
        <f t="shared" ref="F4:F18" si="1">F3+D4-E4</f>
        <v>351000</v>
      </c>
      <c r="G4" s="6" t="s">
        <v>3793</v>
      </c>
      <c r="H4" s="6" t="s">
        <v>12178</v>
      </c>
    </row>
    <row r="5">
      <c r="A5" s="728">
        <v>45506.0</v>
      </c>
      <c r="B5" s="6" t="s">
        <v>13361</v>
      </c>
      <c r="C5" s="6" t="s">
        <v>13362</v>
      </c>
      <c r="D5" s="729">
        <v>148000.0</v>
      </c>
      <c r="E5" s="729"/>
      <c r="F5" s="727">
        <f t="shared" si="1"/>
        <v>499000</v>
      </c>
      <c r="H5" s="6"/>
    </row>
    <row r="6">
      <c r="A6" s="728">
        <v>45506.0</v>
      </c>
      <c r="B6" s="6" t="s">
        <v>13363</v>
      </c>
      <c r="C6" s="6" t="s">
        <v>13364</v>
      </c>
      <c r="D6" s="727"/>
      <c r="E6" s="729">
        <v>499000.0</v>
      </c>
      <c r="F6" s="727">
        <f t="shared" si="1"/>
        <v>0</v>
      </c>
      <c r="H6" s="6" t="s">
        <v>13365</v>
      </c>
    </row>
    <row r="7">
      <c r="A7" s="728">
        <v>45514.0</v>
      </c>
      <c r="B7" s="6" t="s">
        <v>12278</v>
      </c>
      <c r="C7" s="6" t="s">
        <v>6</v>
      </c>
      <c r="D7" s="729">
        <v>100000.0</v>
      </c>
      <c r="E7" s="729"/>
      <c r="F7" s="727">
        <f t="shared" si="1"/>
        <v>100000</v>
      </c>
      <c r="G7" s="6" t="s">
        <v>3793</v>
      </c>
    </row>
    <row r="8">
      <c r="A8" s="728"/>
      <c r="D8" s="727"/>
      <c r="E8" s="729"/>
      <c r="F8" s="727">
        <f t="shared" si="1"/>
        <v>100000</v>
      </c>
    </row>
    <row r="9">
      <c r="A9" s="728"/>
      <c r="D9" s="727"/>
      <c r="E9" s="729"/>
      <c r="F9" s="727">
        <f t="shared" si="1"/>
        <v>100000</v>
      </c>
    </row>
    <row r="10">
      <c r="A10" s="728"/>
      <c r="D10" s="727"/>
      <c r="E10" s="729"/>
      <c r="F10" s="727">
        <f t="shared" si="1"/>
        <v>100000</v>
      </c>
    </row>
    <row r="11">
      <c r="A11" s="728"/>
      <c r="D11" s="727"/>
      <c r="E11" s="729"/>
      <c r="F11" s="727">
        <f t="shared" si="1"/>
        <v>100000</v>
      </c>
    </row>
    <row r="12">
      <c r="A12" s="728"/>
      <c r="B12" s="307"/>
      <c r="D12" s="729"/>
      <c r="E12" s="727"/>
      <c r="F12" s="727">
        <f t="shared" si="1"/>
        <v>100000</v>
      </c>
    </row>
    <row r="13">
      <c r="A13" s="728"/>
      <c r="D13" s="727"/>
      <c r="E13" s="729"/>
      <c r="F13" s="727">
        <f t="shared" si="1"/>
        <v>100000</v>
      </c>
    </row>
    <row r="14">
      <c r="A14" s="728"/>
      <c r="D14" s="727"/>
      <c r="E14" s="729"/>
      <c r="F14" s="727">
        <f t="shared" si="1"/>
        <v>100000</v>
      </c>
    </row>
    <row r="15">
      <c r="A15" s="728"/>
      <c r="D15" s="727"/>
      <c r="E15" s="729"/>
      <c r="F15" s="727">
        <f t="shared" si="1"/>
        <v>100000</v>
      </c>
    </row>
    <row r="16">
      <c r="A16" s="728"/>
      <c r="D16" s="727"/>
      <c r="E16" s="729"/>
      <c r="F16" s="727">
        <f t="shared" si="1"/>
        <v>100000</v>
      </c>
    </row>
    <row r="17">
      <c r="A17" s="728"/>
      <c r="D17" s="729"/>
      <c r="E17" s="729"/>
      <c r="F17" s="727">
        <f t="shared" si="1"/>
        <v>100000</v>
      </c>
    </row>
    <row r="18">
      <c r="A18" s="728"/>
      <c r="D18" s="727"/>
      <c r="E18" s="729"/>
      <c r="F18" s="727">
        <f t="shared" si="1"/>
        <v>100000</v>
      </c>
    </row>
    <row r="19">
      <c r="A19" s="728"/>
      <c r="D19" s="727"/>
      <c r="E19" s="729"/>
      <c r="F19" s="727"/>
    </row>
    <row r="20">
      <c r="A20" s="728"/>
      <c r="D20" s="727"/>
      <c r="E20" s="729"/>
      <c r="F20" s="727"/>
    </row>
    <row r="21">
      <c r="A21" s="728"/>
      <c r="D21" s="727"/>
      <c r="E21" s="729"/>
      <c r="F21" s="727"/>
    </row>
    <row r="22">
      <c r="A22" s="728"/>
      <c r="D22" s="727"/>
      <c r="E22" s="729"/>
      <c r="F22" s="727"/>
    </row>
    <row r="23">
      <c r="A23" s="728"/>
      <c r="D23" s="727"/>
      <c r="E23" s="729"/>
      <c r="F23" s="727"/>
    </row>
    <row r="24">
      <c r="A24" s="728"/>
      <c r="D24" s="727"/>
      <c r="E24" s="729"/>
      <c r="F24" s="727"/>
    </row>
    <row r="25">
      <c r="A25" s="728"/>
      <c r="D25" s="727"/>
      <c r="E25" s="729"/>
      <c r="F25" s="727"/>
    </row>
    <row r="26">
      <c r="A26" s="730"/>
      <c r="D26" s="729"/>
      <c r="E26" s="727"/>
      <c r="F26" s="727"/>
    </row>
    <row r="27">
      <c r="A27" s="731"/>
      <c r="D27" s="727"/>
      <c r="E27" s="729"/>
      <c r="F27" s="727"/>
    </row>
    <row r="28">
      <c r="A28" s="113"/>
      <c r="D28" s="727"/>
      <c r="E28" s="729"/>
      <c r="F28" s="727"/>
    </row>
    <row r="29">
      <c r="A29" s="113"/>
      <c r="D29" s="727"/>
      <c r="E29" s="729"/>
      <c r="F29" s="727"/>
    </row>
    <row r="30">
      <c r="A30" s="113"/>
      <c r="D30" s="727"/>
      <c r="E30" s="729"/>
      <c r="F30" s="727"/>
    </row>
    <row r="31">
      <c r="A31" s="113"/>
      <c r="D31" s="727"/>
      <c r="E31" s="729"/>
      <c r="F31" s="727"/>
    </row>
    <row r="32">
      <c r="A32" s="113"/>
      <c r="D32" s="727"/>
      <c r="E32" s="729"/>
      <c r="F32" s="727"/>
    </row>
    <row r="33">
      <c r="A33" s="113"/>
      <c r="D33" s="729"/>
      <c r="E33" s="727"/>
      <c r="F33" s="727"/>
    </row>
    <row r="34">
      <c r="A34" s="113"/>
      <c r="D34" s="727"/>
      <c r="E34" s="729"/>
      <c r="F34" s="727"/>
    </row>
    <row r="35">
      <c r="A35" s="113"/>
      <c r="C35" s="732"/>
      <c r="D35" s="727"/>
      <c r="E35" s="729"/>
      <c r="F35" s="727"/>
    </row>
    <row r="36">
      <c r="A36" s="113"/>
      <c r="C36" s="732"/>
      <c r="D36" s="727"/>
      <c r="E36" s="729"/>
      <c r="F36" s="727"/>
    </row>
    <row r="37">
      <c r="A37" s="113"/>
      <c r="C37" s="732"/>
      <c r="D37" s="727"/>
      <c r="E37" s="729"/>
      <c r="F37" s="727"/>
    </row>
    <row r="38">
      <c r="A38" s="733"/>
      <c r="D38" s="727"/>
      <c r="E38" s="729"/>
      <c r="F38" s="727"/>
    </row>
    <row r="39">
      <c r="A39" s="113"/>
      <c r="D39" s="729"/>
      <c r="E39" s="727"/>
      <c r="F39" s="727"/>
    </row>
    <row r="40">
      <c r="A40" s="113"/>
      <c r="C40" s="732"/>
      <c r="D40" s="727"/>
      <c r="E40" s="729"/>
      <c r="F40" s="727"/>
    </row>
    <row r="41">
      <c r="D41" s="727"/>
      <c r="E41" s="729"/>
      <c r="F41" s="727"/>
    </row>
    <row r="42">
      <c r="D42" s="727"/>
      <c r="E42" s="729"/>
      <c r="F42" s="727"/>
    </row>
    <row r="43">
      <c r="A43" s="113"/>
      <c r="D43" s="727"/>
      <c r="E43" s="729"/>
      <c r="F43" s="727"/>
    </row>
    <row r="44">
      <c r="A44" s="734"/>
      <c r="D44" s="729"/>
      <c r="E44" s="727"/>
      <c r="F44" s="727"/>
    </row>
    <row r="45">
      <c r="D45" s="727"/>
      <c r="E45" s="727"/>
      <c r="F45" s="727"/>
    </row>
    <row r="46">
      <c r="D46" s="727"/>
      <c r="E46" s="727"/>
      <c r="F46" s="727"/>
    </row>
    <row r="47">
      <c r="D47" s="727"/>
      <c r="E47" s="727"/>
      <c r="F47" s="727"/>
    </row>
    <row r="48">
      <c r="D48" s="727"/>
      <c r="E48" s="727"/>
      <c r="F48" s="727"/>
    </row>
    <row r="49">
      <c r="D49" s="727"/>
      <c r="E49" s="727"/>
      <c r="F49" s="727"/>
    </row>
    <row r="50">
      <c r="D50" s="727"/>
      <c r="E50" s="727"/>
      <c r="F50" s="727"/>
    </row>
    <row r="51">
      <c r="D51" s="727"/>
      <c r="E51" s="727"/>
      <c r="F51" s="727"/>
    </row>
    <row r="52">
      <c r="D52" s="727"/>
      <c r="E52" s="727"/>
      <c r="F52" s="727"/>
    </row>
    <row r="53">
      <c r="D53" s="727"/>
      <c r="E53" s="727"/>
      <c r="F53" s="727"/>
    </row>
    <row r="54">
      <c r="D54" s="727"/>
      <c r="E54" s="727"/>
      <c r="F54" s="727"/>
    </row>
    <row r="55">
      <c r="D55" s="727"/>
      <c r="E55" s="727"/>
      <c r="F55" s="727"/>
    </row>
    <row r="56">
      <c r="D56" s="727"/>
      <c r="E56" s="727"/>
      <c r="F56" s="727"/>
    </row>
    <row r="57">
      <c r="D57" s="727"/>
      <c r="E57" s="727"/>
      <c r="F57" s="727"/>
    </row>
    <row r="58">
      <c r="D58" s="727"/>
      <c r="E58" s="727"/>
      <c r="F58" s="727"/>
    </row>
    <row r="59">
      <c r="D59" s="727"/>
      <c r="E59" s="727"/>
      <c r="F59" s="727"/>
    </row>
    <row r="60">
      <c r="D60" s="727"/>
      <c r="E60" s="727"/>
      <c r="F60" s="727"/>
    </row>
    <row r="61">
      <c r="D61" s="727"/>
      <c r="E61" s="727"/>
      <c r="F61" s="727"/>
    </row>
    <row r="62">
      <c r="D62" s="727"/>
      <c r="E62" s="727"/>
      <c r="F62" s="727"/>
    </row>
    <row r="63">
      <c r="D63" s="727"/>
      <c r="E63" s="727"/>
      <c r="F63" s="727"/>
    </row>
    <row r="64">
      <c r="D64" s="727"/>
      <c r="E64" s="727"/>
      <c r="F64" s="727"/>
    </row>
    <row r="65">
      <c r="D65" s="727"/>
      <c r="E65" s="727"/>
      <c r="F65" s="727"/>
    </row>
    <row r="66">
      <c r="D66" s="727"/>
      <c r="E66" s="727"/>
      <c r="F66" s="727"/>
    </row>
    <row r="67">
      <c r="D67" s="727"/>
      <c r="E67" s="727"/>
      <c r="F67" s="727"/>
    </row>
    <row r="68">
      <c r="D68" s="727"/>
      <c r="E68" s="727"/>
      <c r="F68" s="727"/>
    </row>
    <row r="69">
      <c r="D69" s="727"/>
      <c r="E69" s="727"/>
      <c r="F69" s="727"/>
    </row>
    <row r="70">
      <c r="D70" s="727"/>
      <c r="E70" s="727"/>
      <c r="F70" s="727"/>
    </row>
    <row r="71">
      <c r="D71" s="727"/>
      <c r="E71" s="727"/>
      <c r="F71" s="727"/>
    </row>
    <row r="72">
      <c r="D72" s="727"/>
      <c r="E72" s="727"/>
      <c r="F72" s="727"/>
    </row>
    <row r="73">
      <c r="D73" s="727"/>
      <c r="E73" s="727"/>
      <c r="F73" s="727"/>
    </row>
    <row r="74">
      <c r="D74" s="727"/>
      <c r="E74" s="727"/>
      <c r="F74" s="727"/>
    </row>
    <row r="75">
      <c r="D75" s="727"/>
      <c r="E75" s="727"/>
      <c r="F75" s="727"/>
    </row>
    <row r="76">
      <c r="D76" s="727"/>
      <c r="E76" s="727"/>
      <c r="F76" s="727"/>
    </row>
    <row r="77">
      <c r="D77" s="727"/>
      <c r="E77" s="727"/>
      <c r="F77" s="727"/>
    </row>
    <row r="78">
      <c r="D78" s="727"/>
      <c r="E78" s="727"/>
      <c r="F78" s="727"/>
    </row>
    <row r="79">
      <c r="D79" s="727"/>
      <c r="E79" s="727"/>
      <c r="F79" s="727"/>
    </row>
    <row r="80">
      <c r="D80" s="727"/>
      <c r="E80" s="727"/>
      <c r="F80" s="727"/>
    </row>
    <row r="81">
      <c r="D81" s="727"/>
      <c r="E81" s="727"/>
      <c r="F81" s="727"/>
    </row>
    <row r="82">
      <c r="D82" s="727"/>
      <c r="E82" s="727"/>
      <c r="F82" s="727"/>
    </row>
    <row r="83">
      <c r="D83" s="727"/>
      <c r="E83" s="727"/>
      <c r="F83" s="727"/>
    </row>
    <row r="84">
      <c r="D84" s="727"/>
      <c r="E84" s="727"/>
      <c r="F84" s="727"/>
    </row>
    <row r="85">
      <c r="D85" s="727"/>
      <c r="E85" s="727"/>
      <c r="F85" s="727"/>
    </row>
    <row r="86">
      <c r="D86" s="727"/>
      <c r="E86" s="727"/>
      <c r="F86" s="727"/>
    </row>
    <row r="87">
      <c r="D87" s="727"/>
      <c r="E87" s="727"/>
      <c r="F87" s="727"/>
    </row>
    <row r="88">
      <c r="D88" s="727"/>
      <c r="E88" s="727"/>
      <c r="F88" s="727"/>
    </row>
    <row r="89">
      <c r="D89" s="727"/>
      <c r="E89" s="727"/>
      <c r="F89" s="727"/>
    </row>
    <row r="90">
      <c r="D90" s="727"/>
      <c r="E90" s="727"/>
      <c r="F90" s="727"/>
    </row>
    <row r="91">
      <c r="D91" s="727"/>
      <c r="E91" s="727"/>
      <c r="F91" s="727"/>
    </row>
    <row r="92">
      <c r="D92" s="727"/>
      <c r="E92" s="727"/>
      <c r="F92" s="727"/>
    </row>
    <row r="93">
      <c r="D93" s="727"/>
      <c r="E93" s="727"/>
      <c r="F93" s="727"/>
    </row>
    <row r="94">
      <c r="D94" s="727"/>
      <c r="E94" s="727"/>
      <c r="F94" s="727"/>
    </row>
    <row r="95">
      <c r="D95" s="727"/>
      <c r="E95" s="727"/>
      <c r="F95" s="727"/>
    </row>
    <row r="96">
      <c r="D96" s="727"/>
      <c r="E96" s="727"/>
      <c r="F96" s="727"/>
    </row>
    <row r="97">
      <c r="D97" s="727"/>
      <c r="E97" s="727"/>
      <c r="F97" s="727"/>
    </row>
    <row r="98">
      <c r="D98" s="727"/>
      <c r="E98" s="727"/>
      <c r="F98" s="727"/>
    </row>
    <row r="99">
      <c r="D99" s="727"/>
      <c r="E99" s="727"/>
      <c r="F99" s="727"/>
    </row>
    <row r="100">
      <c r="D100" s="727"/>
      <c r="E100" s="727"/>
      <c r="F100" s="727"/>
    </row>
    <row r="101">
      <c r="D101" s="727"/>
      <c r="E101" s="727"/>
      <c r="F101" s="727"/>
    </row>
    <row r="102">
      <c r="D102" s="727"/>
      <c r="E102" s="727"/>
      <c r="F102" s="727"/>
    </row>
    <row r="103">
      <c r="D103" s="727"/>
      <c r="E103" s="727"/>
      <c r="F103" s="727"/>
    </row>
    <row r="104">
      <c r="D104" s="727"/>
      <c r="E104" s="727"/>
      <c r="F104" s="727"/>
    </row>
    <row r="105">
      <c r="D105" s="727"/>
      <c r="E105" s="727"/>
      <c r="F105" s="727"/>
    </row>
    <row r="106">
      <c r="D106" s="727"/>
      <c r="E106" s="727"/>
      <c r="F106" s="727"/>
    </row>
    <row r="107">
      <c r="D107" s="727"/>
      <c r="E107" s="727"/>
      <c r="F107" s="727"/>
    </row>
    <row r="108">
      <c r="D108" s="727"/>
      <c r="E108" s="727"/>
      <c r="F108" s="727"/>
    </row>
    <row r="109">
      <c r="D109" s="727"/>
      <c r="E109" s="727"/>
      <c r="F109" s="727"/>
    </row>
    <row r="110">
      <c r="D110" s="727"/>
      <c r="E110" s="727"/>
      <c r="F110" s="727"/>
    </row>
    <row r="111">
      <c r="D111" s="727"/>
      <c r="E111" s="727"/>
      <c r="F111" s="727"/>
    </row>
    <row r="112">
      <c r="D112" s="727"/>
      <c r="E112" s="727"/>
      <c r="F112" s="727"/>
    </row>
    <row r="113">
      <c r="D113" s="727"/>
      <c r="E113" s="727"/>
      <c r="F113" s="727"/>
    </row>
    <row r="114">
      <c r="D114" s="727"/>
      <c r="E114" s="727"/>
      <c r="F114" s="727"/>
    </row>
    <row r="115">
      <c r="D115" s="727"/>
      <c r="E115" s="727"/>
      <c r="F115" s="727"/>
    </row>
    <row r="116">
      <c r="D116" s="727"/>
      <c r="E116" s="727"/>
      <c r="F116" s="727"/>
    </row>
    <row r="117">
      <c r="D117" s="727"/>
      <c r="E117" s="727"/>
      <c r="F117" s="727"/>
    </row>
    <row r="118">
      <c r="D118" s="727"/>
      <c r="E118" s="727"/>
      <c r="F118" s="727"/>
    </row>
    <row r="119">
      <c r="D119" s="727"/>
      <c r="E119" s="727"/>
      <c r="F119" s="727"/>
    </row>
    <row r="120">
      <c r="D120" s="727"/>
      <c r="E120" s="727"/>
      <c r="F120" s="727"/>
    </row>
    <row r="121">
      <c r="D121" s="727"/>
      <c r="E121" s="727"/>
      <c r="F121" s="727"/>
    </row>
    <row r="122">
      <c r="D122" s="727"/>
      <c r="E122" s="727"/>
      <c r="F122" s="727"/>
    </row>
    <row r="123">
      <c r="D123" s="727"/>
      <c r="E123" s="727"/>
      <c r="F123" s="727"/>
    </row>
    <row r="124">
      <c r="D124" s="727"/>
      <c r="E124" s="727"/>
      <c r="F124" s="727"/>
    </row>
    <row r="125">
      <c r="D125" s="727"/>
      <c r="E125" s="727"/>
      <c r="F125" s="727"/>
    </row>
    <row r="126">
      <c r="D126" s="727"/>
      <c r="E126" s="727"/>
      <c r="F126" s="727"/>
    </row>
    <row r="127">
      <c r="D127" s="727"/>
      <c r="E127" s="727"/>
      <c r="F127" s="727"/>
    </row>
    <row r="128">
      <c r="D128" s="727"/>
      <c r="E128" s="727"/>
      <c r="F128" s="727"/>
    </row>
    <row r="129">
      <c r="D129" s="727"/>
      <c r="E129" s="727"/>
      <c r="F129" s="727"/>
    </row>
    <row r="130">
      <c r="D130" s="727"/>
      <c r="E130" s="727"/>
      <c r="F130" s="727"/>
    </row>
    <row r="131">
      <c r="D131" s="727"/>
      <c r="E131" s="727"/>
      <c r="F131" s="727"/>
    </row>
    <row r="132">
      <c r="D132" s="727"/>
      <c r="E132" s="727"/>
      <c r="F132" s="727"/>
    </row>
    <row r="133">
      <c r="D133" s="727"/>
      <c r="E133" s="727"/>
      <c r="F133" s="727"/>
    </row>
    <row r="134">
      <c r="D134" s="727"/>
      <c r="E134" s="727"/>
      <c r="F134" s="727"/>
    </row>
    <row r="135">
      <c r="D135" s="727"/>
      <c r="E135" s="727"/>
      <c r="F135" s="727"/>
    </row>
    <row r="136">
      <c r="D136" s="727"/>
      <c r="E136" s="727"/>
      <c r="F136" s="727"/>
    </row>
    <row r="137">
      <c r="D137" s="727"/>
      <c r="E137" s="727"/>
      <c r="F137" s="727"/>
    </row>
    <row r="138">
      <c r="D138" s="727"/>
      <c r="E138" s="727"/>
      <c r="F138" s="727"/>
    </row>
    <row r="139">
      <c r="D139" s="727"/>
      <c r="E139" s="727"/>
      <c r="F139" s="727"/>
    </row>
    <row r="140">
      <c r="D140" s="727"/>
      <c r="E140" s="727"/>
      <c r="F140" s="727"/>
    </row>
    <row r="141">
      <c r="D141" s="727"/>
      <c r="E141" s="727"/>
      <c r="F141" s="727"/>
    </row>
    <row r="142">
      <c r="D142" s="727"/>
      <c r="E142" s="727"/>
      <c r="F142" s="727"/>
    </row>
    <row r="143">
      <c r="D143" s="727"/>
      <c r="E143" s="727"/>
      <c r="F143" s="727"/>
    </row>
    <row r="144">
      <c r="D144" s="727"/>
      <c r="E144" s="727"/>
      <c r="F144" s="727"/>
    </row>
    <row r="145">
      <c r="D145" s="727"/>
      <c r="E145" s="727"/>
      <c r="F145" s="727"/>
    </row>
    <row r="146">
      <c r="D146" s="727"/>
      <c r="E146" s="727"/>
      <c r="F146" s="727"/>
    </row>
    <row r="147">
      <c r="D147" s="727"/>
      <c r="E147" s="727"/>
      <c r="F147" s="727"/>
    </row>
    <row r="148">
      <c r="D148" s="727"/>
      <c r="E148" s="727"/>
      <c r="F148" s="727"/>
    </row>
    <row r="149">
      <c r="D149" s="727"/>
      <c r="E149" s="727"/>
      <c r="F149" s="727"/>
    </row>
    <row r="150">
      <c r="D150" s="727"/>
      <c r="E150" s="727"/>
      <c r="F150" s="727"/>
    </row>
    <row r="151">
      <c r="D151" s="727"/>
      <c r="E151" s="727"/>
      <c r="F151" s="727"/>
    </row>
    <row r="152">
      <c r="D152" s="727"/>
      <c r="E152" s="727"/>
      <c r="F152" s="727"/>
    </row>
    <row r="153">
      <c r="D153" s="727"/>
      <c r="E153" s="727"/>
      <c r="F153" s="727"/>
    </row>
    <row r="154">
      <c r="D154" s="727"/>
      <c r="E154" s="727"/>
      <c r="F154" s="727"/>
    </row>
    <row r="155">
      <c r="D155" s="727"/>
      <c r="E155" s="727"/>
      <c r="F155" s="727"/>
    </row>
    <row r="156">
      <c r="D156" s="727"/>
      <c r="E156" s="727"/>
      <c r="F156" s="727"/>
    </row>
    <row r="157">
      <c r="D157" s="727"/>
      <c r="E157" s="727"/>
      <c r="F157" s="727"/>
    </row>
    <row r="158">
      <c r="D158" s="727"/>
      <c r="E158" s="727"/>
      <c r="F158" s="727"/>
    </row>
    <row r="159">
      <c r="D159" s="727"/>
      <c r="E159" s="727"/>
      <c r="F159" s="727"/>
    </row>
    <row r="160">
      <c r="D160" s="727"/>
      <c r="E160" s="727"/>
      <c r="F160" s="727"/>
    </row>
    <row r="161">
      <c r="D161" s="727"/>
      <c r="E161" s="727"/>
      <c r="F161" s="727"/>
    </row>
    <row r="162">
      <c r="D162" s="727"/>
      <c r="E162" s="727"/>
      <c r="F162" s="727"/>
    </row>
    <row r="163">
      <c r="D163" s="727"/>
      <c r="E163" s="727"/>
      <c r="F163" s="727"/>
    </row>
    <row r="164">
      <c r="D164" s="727"/>
      <c r="E164" s="727"/>
      <c r="F164" s="727"/>
    </row>
    <row r="165">
      <c r="D165" s="727"/>
      <c r="E165" s="727"/>
      <c r="F165" s="727"/>
    </row>
    <row r="166">
      <c r="D166" s="727"/>
      <c r="E166" s="727"/>
      <c r="F166" s="727"/>
    </row>
    <row r="167">
      <c r="D167" s="727"/>
      <c r="E167" s="727"/>
      <c r="F167" s="727"/>
    </row>
    <row r="168">
      <c r="D168" s="727"/>
      <c r="E168" s="727"/>
      <c r="F168" s="727"/>
    </row>
    <row r="169">
      <c r="D169" s="727"/>
      <c r="E169" s="727"/>
      <c r="F169" s="727"/>
    </row>
    <row r="170">
      <c r="D170" s="727"/>
      <c r="E170" s="727"/>
      <c r="F170" s="727"/>
    </row>
    <row r="171">
      <c r="D171" s="727"/>
      <c r="E171" s="727"/>
      <c r="F171" s="727"/>
    </row>
    <row r="172">
      <c r="D172" s="727"/>
      <c r="E172" s="727"/>
      <c r="F172" s="727"/>
    </row>
    <row r="173">
      <c r="D173" s="727"/>
      <c r="E173" s="727"/>
      <c r="F173" s="727"/>
    </row>
    <row r="174">
      <c r="D174" s="727"/>
      <c r="E174" s="727"/>
      <c r="F174" s="727"/>
    </row>
    <row r="175">
      <c r="D175" s="727"/>
      <c r="E175" s="727"/>
      <c r="F175" s="727"/>
    </row>
    <row r="176">
      <c r="D176" s="727"/>
      <c r="E176" s="727"/>
      <c r="F176" s="727"/>
    </row>
    <row r="177">
      <c r="D177" s="727"/>
      <c r="E177" s="727"/>
      <c r="F177" s="727"/>
    </row>
    <row r="178">
      <c r="D178" s="727"/>
      <c r="E178" s="727"/>
      <c r="F178" s="727"/>
    </row>
    <row r="179">
      <c r="D179" s="727"/>
      <c r="E179" s="727"/>
      <c r="F179" s="727"/>
    </row>
    <row r="180">
      <c r="D180" s="727"/>
      <c r="E180" s="727"/>
      <c r="F180" s="727"/>
    </row>
    <row r="181">
      <c r="D181" s="727"/>
      <c r="E181" s="727"/>
      <c r="F181" s="727"/>
    </row>
    <row r="182">
      <c r="D182" s="727"/>
      <c r="E182" s="727"/>
      <c r="F182" s="727"/>
    </row>
    <row r="183">
      <c r="D183" s="727"/>
      <c r="E183" s="727"/>
      <c r="F183" s="727"/>
    </row>
    <row r="184">
      <c r="D184" s="727"/>
      <c r="E184" s="727"/>
      <c r="F184" s="727"/>
    </row>
    <row r="185">
      <c r="D185" s="727"/>
      <c r="E185" s="727"/>
      <c r="F185" s="727"/>
    </row>
    <row r="186">
      <c r="D186" s="727"/>
      <c r="E186" s="727"/>
      <c r="F186" s="727"/>
    </row>
    <row r="187">
      <c r="D187" s="727"/>
      <c r="E187" s="727"/>
      <c r="F187" s="727"/>
    </row>
    <row r="188">
      <c r="D188" s="727"/>
      <c r="E188" s="727"/>
      <c r="F188" s="727"/>
    </row>
    <row r="189">
      <c r="D189" s="727"/>
      <c r="E189" s="727"/>
      <c r="F189" s="727"/>
    </row>
    <row r="190">
      <c r="D190" s="727"/>
      <c r="E190" s="727"/>
      <c r="F190" s="727"/>
    </row>
    <row r="191">
      <c r="D191" s="727"/>
      <c r="E191" s="727"/>
      <c r="F191" s="727"/>
    </row>
    <row r="192">
      <c r="D192" s="727"/>
      <c r="E192" s="727"/>
      <c r="F192" s="727"/>
    </row>
    <row r="193">
      <c r="D193" s="727"/>
      <c r="E193" s="727"/>
      <c r="F193" s="727"/>
    </row>
    <row r="194">
      <c r="D194" s="727"/>
      <c r="E194" s="727"/>
      <c r="F194" s="727"/>
    </row>
    <row r="195">
      <c r="D195" s="727"/>
      <c r="E195" s="727"/>
      <c r="F195" s="727"/>
    </row>
    <row r="196">
      <c r="D196" s="727"/>
      <c r="E196" s="727"/>
      <c r="F196" s="727"/>
    </row>
    <row r="197">
      <c r="D197" s="727"/>
      <c r="E197" s="727"/>
      <c r="F197" s="727"/>
    </row>
    <row r="198">
      <c r="D198" s="727"/>
      <c r="E198" s="727"/>
      <c r="F198" s="727"/>
    </row>
    <row r="199">
      <c r="D199" s="727"/>
      <c r="E199" s="727"/>
      <c r="F199" s="727"/>
    </row>
    <row r="200">
      <c r="D200" s="727"/>
      <c r="E200" s="727"/>
      <c r="F200" s="727"/>
    </row>
    <row r="201">
      <c r="D201" s="727"/>
      <c r="E201" s="727"/>
      <c r="F201" s="727"/>
    </row>
    <row r="202">
      <c r="D202" s="727"/>
      <c r="E202" s="727"/>
      <c r="F202" s="727"/>
    </row>
    <row r="203">
      <c r="D203" s="727"/>
      <c r="E203" s="727"/>
      <c r="F203" s="727"/>
    </row>
    <row r="204">
      <c r="D204" s="727"/>
      <c r="E204" s="727"/>
      <c r="F204" s="727"/>
    </row>
    <row r="205">
      <c r="D205" s="727"/>
      <c r="E205" s="727"/>
      <c r="F205" s="727"/>
    </row>
    <row r="206">
      <c r="D206" s="727"/>
      <c r="E206" s="727"/>
      <c r="F206" s="727"/>
    </row>
    <row r="207">
      <c r="D207" s="727"/>
      <c r="E207" s="727"/>
      <c r="F207" s="727"/>
    </row>
    <row r="208">
      <c r="D208" s="727"/>
      <c r="E208" s="727"/>
      <c r="F208" s="727"/>
    </row>
    <row r="209">
      <c r="D209" s="727"/>
      <c r="E209" s="727"/>
      <c r="F209" s="727"/>
    </row>
    <row r="210">
      <c r="D210" s="727"/>
      <c r="E210" s="727"/>
      <c r="F210" s="727"/>
    </row>
    <row r="211">
      <c r="D211" s="727"/>
      <c r="E211" s="727"/>
      <c r="F211" s="727"/>
    </row>
    <row r="212">
      <c r="D212" s="727"/>
      <c r="E212" s="727"/>
      <c r="F212" s="727"/>
    </row>
    <row r="213">
      <c r="D213" s="727"/>
      <c r="E213" s="727"/>
      <c r="F213" s="727"/>
    </row>
    <row r="214">
      <c r="D214" s="727"/>
      <c r="E214" s="727"/>
      <c r="F214" s="727"/>
    </row>
    <row r="215">
      <c r="D215" s="727"/>
      <c r="E215" s="727"/>
      <c r="F215" s="727"/>
    </row>
    <row r="216">
      <c r="D216" s="727"/>
      <c r="E216" s="727"/>
      <c r="F216" s="727"/>
    </row>
    <row r="217">
      <c r="D217" s="727"/>
      <c r="E217" s="727"/>
      <c r="F217" s="727"/>
    </row>
    <row r="218">
      <c r="D218" s="727"/>
      <c r="E218" s="727"/>
      <c r="F218" s="727"/>
    </row>
    <row r="219">
      <c r="D219" s="727"/>
      <c r="E219" s="727"/>
      <c r="F219" s="727"/>
    </row>
    <row r="220">
      <c r="D220" s="727"/>
      <c r="E220" s="727"/>
      <c r="F220" s="727"/>
    </row>
    <row r="221">
      <c r="D221" s="727"/>
      <c r="E221" s="727"/>
      <c r="F221" s="727"/>
    </row>
    <row r="222">
      <c r="D222" s="727"/>
      <c r="E222" s="727"/>
      <c r="F222" s="727"/>
    </row>
    <row r="223">
      <c r="D223" s="727"/>
      <c r="E223" s="727"/>
      <c r="F223" s="727"/>
    </row>
    <row r="224">
      <c r="D224" s="727"/>
      <c r="E224" s="727"/>
      <c r="F224" s="727"/>
    </row>
    <row r="225">
      <c r="D225" s="727"/>
      <c r="E225" s="727"/>
      <c r="F225" s="727"/>
    </row>
    <row r="226">
      <c r="D226" s="727"/>
      <c r="E226" s="727"/>
      <c r="F226" s="727"/>
    </row>
    <row r="227">
      <c r="D227" s="727"/>
      <c r="E227" s="727"/>
      <c r="F227" s="727"/>
    </row>
    <row r="228">
      <c r="D228" s="727"/>
      <c r="E228" s="727"/>
      <c r="F228" s="727"/>
    </row>
    <row r="229">
      <c r="D229" s="727"/>
      <c r="E229" s="727"/>
      <c r="F229" s="727"/>
    </row>
    <row r="230">
      <c r="D230" s="727"/>
      <c r="E230" s="727"/>
      <c r="F230" s="727"/>
    </row>
    <row r="231">
      <c r="D231" s="727"/>
      <c r="E231" s="727"/>
      <c r="F231" s="727"/>
    </row>
    <row r="232">
      <c r="D232" s="727"/>
      <c r="E232" s="727"/>
      <c r="F232" s="727"/>
    </row>
    <row r="233">
      <c r="D233" s="727"/>
      <c r="E233" s="727"/>
      <c r="F233" s="727"/>
    </row>
    <row r="234">
      <c r="D234" s="727"/>
      <c r="E234" s="727"/>
      <c r="F234" s="727"/>
    </row>
    <row r="235">
      <c r="D235" s="727"/>
      <c r="E235" s="727"/>
      <c r="F235" s="727"/>
    </row>
    <row r="236">
      <c r="D236" s="727"/>
      <c r="E236" s="727"/>
      <c r="F236" s="727"/>
    </row>
    <row r="237">
      <c r="D237" s="727"/>
      <c r="E237" s="727"/>
      <c r="F237" s="727"/>
    </row>
    <row r="238">
      <c r="D238" s="727"/>
      <c r="E238" s="727"/>
      <c r="F238" s="727"/>
    </row>
    <row r="239">
      <c r="D239" s="727"/>
      <c r="E239" s="727"/>
      <c r="F239" s="727"/>
    </row>
    <row r="240">
      <c r="D240" s="727"/>
      <c r="E240" s="727"/>
      <c r="F240" s="727"/>
    </row>
    <row r="241">
      <c r="D241" s="727"/>
      <c r="E241" s="727"/>
      <c r="F241" s="727"/>
    </row>
    <row r="242">
      <c r="D242" s="727"/>
      <c r="E242" s="727"/>
      <c r="F242" s="727"/>
    </row>
    <row r="243">
      <c r="D243" s="727"/>
      <c r="E243" s="727"/>
      <c r="F243" s="727"/>
    </row>
    <row r="244">
      <c r="D244" s="727"/>
      <c r="E244" s="727"/>
      <c r="F244" s="727"/>
    </row>
    <row r="245">
      <c r="D245" s="727"/>
      <c r="E245" s="727"/>
      <c r="F245" s="727"/>
    </row>
    <row r="246">
      <c r="D246" s="727"/>
      <c r="E246" s="727"/>
      <c r="F246" s="727"/>
    </row>
    <row r="247">
      <c r="D247" s="727"/>
      <c r="E247" s="727"/>
      <c r="F247" s="727"/>
    </row>
    <row r="248">
      <c r="D248" s="727"/>
      <c r="E248" s="727"/>
      <c r="F248" s="727"/>
    </row>
    <row r="249">
      <c r="D249" s="727"/>
      <c r="E249" s="727"/>
      <c r="F249" s="727"/>
    </row>
    <row r="250">
      <c r="D250" s="727"/>
      <c r="E250" s="727"/>
      <c r="F250" s="727"/>
    </row>
    <row r="251">
      <c r="D251" s="727"/>
      <c r="E251" s="727"/>
      <c r="F251" s="727"/>
    </row>
    <row r="252">
      <c r="D252" s="727"/>
      <c r="E252" s="727"/>
      <c r="F252" s="727"/>
    </row>
    <row r="253">
      <c r="D253" s="727"/>
      <c r="E253" s="727"/>
      <c r="F253" s="727"/>
    </row>
    <row r="254">
      <c r="D254" s="727"/>
      <c r="E254" s="727"/>
      <c r="F254" s="727"/>
    </row>
    <row r="255">
      <c r="D255" s="727"/>
      <c r="E255" s="727"/>
      <c r="F255" s="727"/>
    </row>
    <row r="256">
      <c r="D256" s="727"/>
      <c r="E256" s="727"/>
      <c r="F256" s="727"/>
    </row>
    <row r="257">
      <c r="D257" s="727"/>
      <c r="E257" s="727"/>
      <c r="F257" s="727"/>
    </row>
    <row r="258">
      <c r="D258" s="727"/>
      <c r="E258" s="727"/>
      <c r="F258" s="727"/>
    </row>
    <row r="259">
      <c r="D259" s="727"/>
      <c r="E259" s="727"/>
      <c r="F259" s="727"/>
    </row>
    <row r="260">
      <c r="D260" s="727"/>
      <c r="E260" s="727"/>
      <c r="F260" s="727"/>
    </row>
    <row r="261">
      <c r="D261" s="727"/>
      <c r="E261" s="727"/>
      <c r="F261" s="727"/>
    </row>
    <row r="262">
      <c r="D262" s="727"/>
      <c r="E262" s="727"/>
      <c r="F262" s="727"/>
    </row>
    <row r="263">
      <c r="D263" s="727"/>
      <c r="E263" s="727"/>
      <c r="F263" s="727"/>
    </row>
    <row r="264">
      <c r="D264" s="727"/>
      <c r="E264" s="727"/>
      <c r="F264" s="727"/>
    </row>
    <row r="265">
      <c r="D265" s="727"/>
      <c r="E265" s="727"/>
      <c r="F265" s="727"/>
    </row>
    <row r="266">
      <c r="D266" s="727"/>
      <c r="E266" s="727"/>
      <c r="F266" s="727"/>
    </row>
    <row r="267">
      <c r="D267" s="727"/>
      <c r="E267" s="727"/>
      <c r="F267" s="727"/>
    </row>
    <row r="268">
      <c r="D268" s="727"/>
      <c r="E268" s="727"/>
      <c r="F268" s="727"/>
    </row>
    <row r="269">
      <c r="D269" s="727"/>
      <c r="E269" s="727"/>
      <c r="F269" s="727"/>
    </row>
    <row r="270">
      <c r="D270" s="727"/>
      <c r="E270" s="727"/>
      <c r="F270" s="727"/>
    </row>
    <row r="271">
      <c r="D271" s="727"/>
      <c r="E271" s="727"/>
      <c r="F271" s="727"/>
    </row>
    <row r="272">
      <c r="D272" s="727"/>
      <c r="E272" s="727"/>
      <c r="F272" s="727"/>
    </row>
    <row r="273">
      <c r="D273" s="727"/>
      <c r="E273" s="727"/>
      <c r="F273" s="727"/>
    </row>
    <row r="274">
      <c r="D274" s="727"/>
      <c r="E274" s="727"/>
      <c r="F274" s="727"/>
    </row>
    <row r="275">
      <c r="D275" s="727"/>
      <c r="E275" s="727"/>
      <c r="F275" s="727"/>
    </row>
    <row r="276">
      <c r="D276" s="727"/>
      <c r="E276" s="727"/>
      <c r="F276" s="727"/>
    </row>
    <row r="277">
      <c r="D277" s="727"/>
      <c r="E277" s="727"/>
      <c r="F277" s="727"/>
    </row>
    <row r="278">
      <c r="D278" s="727"/>
      <c r="E278" s="727"/>
      <c r="F278" s="727"/>
    </row>
    <row r="279">
      <c r="D279" s="727"/>
      <c r="E279" s="727"/>
      <c r="F279" s="727"/>
    </row>
    <row r="280">
      <c r="D280" s="727"/>
      <c r="E280" s="727"/>
      <c r="F280" s="727"/>
    </row>
    <row r="281">
      <c r="D281" s="727"/>
      <c r="E281" s="727"/>
      <c r="F281" s="727"/>
    </row>
    <row r="282">
      <c r="D282" s="727"/>
      <c r="E282" s="727"/>
      <c r="F282" s="727"/>
    </row>
    <row r="283">
      <c r="D283" s="727"/>
      <c r="E283" s="727"/>
      <c r="F283" s="727"/>
    </row>
    <row r="284">
      <c r="D284" s="727"/>
      <c r="E284" s="727"/>
      <c r="F284" s="727"/>
    </row>
    <row r="285">
      <c r="D285" s="727"/>
      <c r="E285" s="727"/>
      <c r="F285" s="727"/>
    </row>
    <row r="286">
      <c r="D286" s="727"/>
      <c r="E286" s="727"/>
      <c r="F286" s="727"/>
    </row>
    <row r="287">
      <c r="D287" s="727"/>
      <c r="E287" s="727"/>
      <c r="F287" s="727"/>
    </row>
    <row r="288">
      <c r="D288" s="727"/>
      <c r="E288" s="727"/>
      <c r="F288" s="727"/>
    </row>
    <row r="289">
      <c r="D289" s="727"/>
      <c r="E289" s="727"/>
      <c r="F289" s="727"/>
    </row>
    <row r="290">
      <c r="D290" s="727"/>
      <c r="E290" s="727"/>
      <c r="F290" s="727"/>
    </row>
    <row r="291">
      <c r="D291" s="727"/>
      <c r="E291" s="727"/>
      <c r="F291" s="727"/>
    </row>
    <row r="292">
      <c r="D292" s="727"/>
      <c r="E292" s="727"/>
      <c r="F292" s="727"/>
    </row>
    <row r="293">
      <c r="D293" s="727"/>
      <c r="E293" s="727"/>
      <c r="F293" s="727"/>
    </row>
    <row r="294">
      <c r="D294" s="727"/>
      <c r="E294" s="727"/>
      <c r="F294" s="727"/>
    </row>
    <row r="295">
      <c r="D295" s="727"/>
      <c r="E295" s="727"/>
      <c r="F295" s="727"/>
    </row>
    <row r="296">
      <c r="D296" s="727"/>
      <c r="E296" s="727"/>
      <c r="F296" s="727"/>
    </row>
    <row r="297">
      <c r="D297" s="727"/>
      <c r="E297" s="727"/>
      <c r="F297" s="727"/>
    </row>
    <row r="298">
      <c r="D298" s="727"/>
      <c r="E298" s="727"/>
      <c r="F298" s="727"/>
    </row>
    <row r="299">
      <c r="D299" s="727"/>
      <c r="E299" s="727"/>
      <c r="F299" s="727"/>
    </row>
    <row r="300">
      <c r="D300" s="727"/>
      <c r="E300" s="727"/>
      <c r="F300" s="727"/>
    </row>
    <row r="301">
      <c r="D301" s="727"/>
      <c r="E301" s="727"/>
      <c r="F301" s="727"/>
    </row>
    <row r="302">
      <c r="D302" s="727"/>
      <c r="E302" s="727"/>
      <c r="F302" s="727"/>
    </row>
    <row r="303">
      <c r="D303" s="727"/>
      <c r="E303" s="727"/>
      <c r="F303" s="727"/>
    </row>
    <row r="304">
      <c r="D304" s="727"/>
      <c r="E304" s="727"/>
      <c r="F304" s="727"/>
    </row>
    <row r="305">
      <c r="D305" s="727"/>
      <c r="E305" s="727"/>
      <c r="F305" s="727"/>
    </row>
    <row r="306">
      <c r="D306" s="727"/>
      <c r="E306" s="727"/>
      <c r="F306" s="727"/>
    </row>
    <row r="307">
      <c r="D307" s="727"/>
      <c r="E307" s="727"/>
      <c r="F307" s="727"/>
    </row>
    <row r="308">
      <c r="D308" s="727"/>
      <c r="E308" s="727"/>
      <c r="F308" s="727"/>
    </row>
    <row r="309">
      <c r="D309" s="727"/>
      <c r="E309" s="727"/>
      <c r="F309" s="727"/>
    </row>
    <row r="310">
      <c r="D310" s="727"/>
      <c r="E310" s="727"/>
      <c r="F310" s="727"/>
    </row>
    <row r="311">
      <c r="D311" s="727"/>
      <c r="E311" s="727"/>
      <c r="F311" s="727"/>
    </row>
    <row r="312">
      <c r="D312" s="727"/>
      <c r="E312" s="727"/>
      <c r="F312" s="727"/>
    </row>
    <row r="313">
      <c r="D313" s="727"/>
      <c r="E313" s="727"/>
      <c r="F313" s="727"/>
    </row>
    <row r="314">
      <c r="D314" s="727"/>
      <c r="E314" s="727"/>
      <c r="F314" s="727"/>
    </row>
    <row r="315">
      <c r="D315" s="727"/>
      <c r="E315" s="727"/>
      <c r="F315" s="727"/>
    </row>
    <row r="316">
      <c r="D316" s="727"/>
      <c r="E316" s="727"/>
      <c r="F316" s="727"/>
    </row>
    <row r="317">
      <c r="D317" s="727"/>
      <c r="E317" s="727"/>
      <c r="F317" s="727"/>
    </row>
    <row r="318">
      <c r="D318" s="727"/>
      <c r="E318" s="727"/>
      <c r="F318" s="727"/>
    </row>
    <row r="319">
      <c r="D319" s="727"/>
      <c r="E319" s="727"/>
      <c r="F319" s="727"/>
    </row>
    <row r="320">
      <c r="D320" s="727"/>
      <c r="E320" s="727"/>
      <c r="F320" s="727"/>
    </row>
    <row r="321">
      <c r="D321" s="727"/>
      <c r="E321" s="727"/>
      <c r="F321" s="727"/>
    </row>
    <row r="322">
      <c r="D322" s="727"/>
      <c r="E322" s="727"/>
      <c r="F322" s="727"/>
    </row>
    <row r="323">
      <c r="D323" s="727"/>
      <c r="E323" s="727"/>
      <c r="F323" s="727"/>
    </row>
    <row r="324">
      <c r="D324" s="727"/>
      <c r="E324" s="727"/>
      <c r="F324" s="727"/>
    </row>
    <row r="325">
      <c r="D325" s="727"/>
      <c r="E325" s="727"/>
      <c r="F325" s="727"/>
    </row>
    <row r="326">
      <c r="D326" s="727"/>
      <c r="E326" s="727"/>
      <c r="F326" s="727"/>
    </row>
    <row r="327">
      <c r="D327" s="727"/>
      <c r="E327" s="727"/>
      <c r="F327" s="727"/>
    </row>
    <row r="328">
      <c r="D328" s="727"/>
      <c r="E328" s="727"/>
      <c r="F328" s="727"/>
    </row>
    <row r="329">
      <c r="D329" s="727"/>
      <c r="E329" s="727"/>
      <c r="F329" s="727"/>
    </row>
    <row r="330">
      <c r="D330" s="727"/>
      <c r="E330" s="727"/>
      <c r="F330" s="727"/>
    </row>
    <row r="331">
      <c r="D331" s="727"/>
      <c r="E331" s="727"/>
      <c r="F331" s="727"/>
    </row>
    <row r="332">
      <c r="D332" s="727"/>
      <c r="E332" s="727"/>
      <c r="F332" s="727"/>
    </row>
    <row r="333">
      <c r="D333" s="727"/>
      <c r="E333" s="727"/>
      <c r="F333" s="727"/>
    </row>
    <row r="334">
      <c r="D334" s="727"/>
      <c r="E334" s="727"/>
      <c r="F334" s="727"/>
    </row>
    <row r="335">
      <c r="D335" s="727"/>
      <c r="E335" s="727"/>
      <c r="F335" s="727"/>
    </row>
    <row r="336">
      <c r="D336" s="727"/>
      <c r="E336" s="727"/>
      <c r="F336" s="727"/>
    </row>
    <row r="337">
      <c r="D337" s="727"/>
      <c r="E337" s="727"/>
      <c r="F337" s="727"/>
    </row>
    <row r="338">
      <c r="D338" s="727"/>
      <c r="E338" s="727"/>
      <c r="F338" s="727"/>
    </row>
    <row r="339">
      <c r="D339" s="727"/>
      <c r="E339" s="727"/>
      <c r="F339" s="727"/>
    </row>
    <row r="340">
      <c r="D340" s="727"/>
      <c r="E340" s="727"/>
      <c r="F340" s="727"/>
    </row>
    <row r="341">
      <c r="D341" s="727"/>
      <c r="E341" s="727"/>
      <c r="F341" s="727"/>
    </row>
    <row r="342">
      <c r="D342" s="727"/>
      <c r="E342" s="727"/>
      <c r="F342" s="727"/>
    </row>
    <row r="343">
      <c r="D343" s="727"/>
      <c r="E343" s="727"/>
      <c r="F343" s="727"/>
    </row>
    <row r="344">
      <c r="D344" s="727"/>
      <c r="E344" s="727"/>
      <c r="F344" s="727"/>
    </row>
    <row r="345">
      <c r="D345" s="727"/>
      <c r="E345" s="727"/>
      <c r="F345" s="727"/>
    </row>
    <row r="346">
      <c r="D346" s="727"/>
      <c r="E346" s="727"/>
      <c r="F346" s="727"/>
    </row>
    <row r="347">
      <c r="D347" s="727"/>
      <c r="E347" s="727"/>
      <c r="F347" s="727"/>
    </row>
    <row r="348">
      <c r="D348" s="727"/>
      <c r="E348" s="727"/>
      <c r="F348" s="727"/>
    </row>
    <row r="349">
      <c r="D349" s="727"/>
      <c r="E349" s="727"/>
      <c r="F349" s="727"/>
    </row>
    <row r="350">
      <c r="D350" s="727"/>
      <c r="E350" s="727"/>
      <c r="F350" s="727"/>
    </row>
    <row r="351">
      <c r="D351" s="727"/>
      <c r="E351" s="727"/>
      <c r="F351" s="727"/>
    </row>
    <row r="352">
      <c r="D352" s="727"/>
      <c r="E352" s="727"/>
      <c r="F352" s="727"/>
    </row>
    <row r="353">
      <c r="D353" s="727"/>
      <c r="E353" s="727"/>
      <c r="F353" s="727"/>
    </row>
    <row r="354">
      <c r="D354" s="727"/>
      <c r="E354" s="727"/>
      <c r="F354" s="727"/>
    </row>
    <row r="355">
      <c r="D355" s="727"/>
      <c r="E355" s="727"/>
      <c r="F355" s="727"/>
    </row>
    <row r="356">
      <c r="D356" s="727"/>
      <c r="E356" s="727"/>
      <c r="F356" s="727"/>
    </row>
    <row r="357">
      <c r="D357" s="727"/>
      <c r="E357" s="727"/>
      <c r="F357" s="727"/>
    </row>
    <row r="358">
      <c r="D358" s="727"/>
      <c r="E358" s="727"/>
      <c r="F358" s="727"/>
    </row>
    <row r="359">
      <c r="D359" s="727"/>
      <c r="E359" s="727"/>
      <c r="F359" s="727"/>
    </row>
    <row r="360">
      <c r="D360" s="727"/>
      <c r="E360" s="727"/>
      <c r="F360" s="727"/>
    </row>
    <row r="361">
      <c r="D361" s="727"/>
      <c r="E361" s="727"/>
      <c r="F361" s="727"/>
    </row>
    <row r="362">
      <c r="D362" s="727"/>
      <c r="E362" s="727"/>
      <c r="F362" s="727"/>
    </row>
    <row r="363">
      <c r="D363" s="727"/>
      <c r="E363" s="727"/>
      <c r="F363" s="727"/>
    </row>
    <row r="364">
      <c r="D364" s="727"/>
      <c r="E364" s="727"/>
      <c r="F364" s="727"/>
    </row>
    <row r="365">
      <c r="D365" s="727"/>
      <c r="E365" s="727"/>
      <c r="F365" s="727"/>
    </row>
    <row r="366">
      <c r="D366" s="727"/>
      <c r="E366" s="727"/>
      <c r="F366" s="727"/>
    </row>
    <row r="367">
      <c r="D367" s="727"/>
      <c r="E367" s="727"/>
      <c r="F367" s="727"/>
    </row>
    <row r="368">
      <c r="D368" s="727"/>
      <c r="E368" s="727"/>
      <c r="F368" s="727"/>
    </row>
    <row r="369">
      <c r="D369" s="727"/>
      <c r="E369" s="727"/>
      <c r="F369" s="727"/>
    </row>
    <row r="370">
      <c r="D370" s="727"/>
      <c r="E370" s="727"/>
      <c r="F370" s="727"/>
    </row>
    <row r="371">
      <c r="D371" s="727"/>
      <c r="E371" s="727"/>
      <c r="F371" s="727"/>
    </row>
    <row r="372">
      <c r="D372" s="727"/>
      <c r="E372" s="727"/>
      <c r="F372" s="727"/>
    </row>
    <row r="373">
      <c r="D373" s="727"/>
      <c r="E373" s="727"/>
      <c r="F373" s="727"/>
    </row>
    <row r="374">
      <c r="D374" s="727"/>
      <c r="E374" s="727"/>
      <c r="F374" s="727"/>
    </row>
    <row r="375">
      <c r="D375" s="727"/>
      <c r="E375" s="727"/>
      <c r="F375" s="727"/>
    </row>
    <row r="376">
      <c r="D376" s="727"/>
      <c r="E376" s="727"/>
      <c r="F376" s="727"/>
    </row>
    <row r="377">
      <c r="D377" s="727"/>
      <c r="E377" s="727"/>
      <c r="F377" s="727"/>
    </row>
    <row r="378">
      <c r="D378" s="727"/>
      <c r="E378" s="727"/>
      <c r="F378" s="727"/>
    </row>
    <row r="379">
      <c r="D379" s="727"/>
      <c r="E379" s="727"/>
      <c r="F379" s="727"/>
    </row>
    <row r="380">
      <c r="D380" s="727"/>
      <c r="E380" s="727"/>
      <c r="F380" s="727"/>
    </row>
    <row r="381">
      <c r="D381" s="727"/>
      <c r="E381" s="727"/>
      <c r="F381" s="727"/>
    </row>
    <row r="382">
      <c r="D382" s="727"/>
      <c r="E382" s="727"/>
      <c r="F382" s="727"/>
    </row>
    <row r="383">
      <c r="D383" s="727"/>
      <c r="E383" s="727"/>
      <c r="F383" s="727"/>
    </row>
    <row r="384">
      <c r="D384" s="727"/>
      <c r="E384" s="727"/>
      <c r="F384" s="727"/>
    </row>
    <row r="385">
      <c r="D385" s="727"/>
      <c r="E385" s="727"/>
      <c r="F385" s="727"/>
    </row>
    <row r="386">
      <c r="D386" s="727"/>
      <c r="E386" s="727"/>
      <c r="F386" s="727"/>
    </row>
    <row r="387">
      <c r="D387" s="727"/>
      <c r="E387" s="727"/>
      <c r="F387" s="727"/>
    </row>
    <row r="388">
      <c r="D388" s="727"/>
      <c r="E388" s="727"/>
      <c r="F388" s="727"/>
    </row>
    <row r="389">
      <c r="D389" s="727"/>
      <c r="E389" s="727"/>
      <c r="F389" s="727"/>
    </row>
    <row r="390">
      <c r="D390" s="727"/>
      <c r="E390" s="727"/>
      <c r="F390" s="727"/>
    </row>
    <row r="391">
      <c r="D391" s="727"/>
      <c r="E391" s="727"/>
      <c r="F391" s="727"/>
    </row>
    <row r="392">
      <c r="D392" s="727"/>
      <c r="E392" s="727"/>
      <c r="F392" s="727"/>
    </row>
    <row r="393">
      <c r="D393" s="727"/>
      <c r="E393" s="727"/>
      <c r="F393" s="727"/>
    </row>
    <row r="394">
      <c r="D394" s="727"/>
      <c r="E394" s="727"/>
      <c r="F394" s="727"/>
    </row>
    <row r="395">
      <c r="D395" s="727"/>
      <c r="E395" s="727"/>
      <c r="F395" s="727"/>
    </row>
    <row r="396">
      <c r="D396" s="727"/>
      <c r="E396" s="727"/>
      <c r="F396" s="727"/>
    </row>
    <row r="397">
      <c r="D397" s="727"/>
      <c r="E397" s="727"/>
      <c r="F397" s="727"/>
    </row>
    <row r="398">
      <c r="D398" s="727"/>
      <c r="E398" s="727"/>
      <c r="F398" s="727"/>
    </row>
    <row r="399">
      <c r="D399" s="727"/>
      <c r="E399" s="727"/>
      <c r="F399" s="727"/>
    </row>
    <row r="400">
      <c r="D400" s="727"/>
      <c r="E400" s="727"/>
      <c r="F400" s="727"/>
    </row>
    <row r="401">
      <c r="D401" s="727"/>
      <c r="E401" s="727"/>
      <c r="F401" s="727"/>
    </row>
    <row r="402">
      <c r="D402" s="727"/>
      <c r="E402" s="727"/>
      <c r="F402" s="727"/>
    </row>
    <row r="403">
      <c r="D403" s="727"/>
      <c r="E403" s="727"/>
      <c r="F403" s="727"/>
    </row>
    <row r="404">
      <c r="D404" s="727"/>
      <c r="E404" s="727"/>
      <c r="F404" s="727"/>
    </row>
    <row r="405">
      <c r="D405" s="727"/>
      <c r="E405" s="727"/>
      <c r="F405" s="727"/>
    </row>
    <row r="406">
      <c r="D406" s="727"/>
      <c r="E406" s="727"/>
      <c r="F406" s="727"/>
    </row>
    <row r="407">
      <c r="D407" s="727"/>
      <c r="E407" s="727"/>
      <c r="F407" s="727"/>
    </row>
    <row r="408">
      <c r="D408" s="727"/>
      <c r="E408" s="727"/>
      <c r="F408" s="727"/>
    </row>
    <row r="409">
      <c r="D409" s="727"/>
      <c r="E409" s="727"/>
      <c r="F409" s="727"/>
    </row>
    <row r="410">
      <c r="D410" s="727"/>
      <c r="E410" s="727"/>
      <c r="F410" s="727"/>
    </row>
    <row r="411">
      <c r="D411" s="727"/>
      <c r="E411" s="727"/>
      <c r="F411" s="727"/>
    </row>
    <row r="412">
      <c r="D412" s="727"/>
      <c r="E412" s="727"/>
      <c r="F412" s="727"/>
    </row>
    <row r="413">
      <c r="D413" s="727"/>
      <c r="E413" s="727"/>
      <c r="F413" s="727"/>
    </row>
    <row r="414">
      <c r="D414" s="727"/>
      <c r="E414" s="727"/>
      <c r="F414" s="727"/>
    </row>
    <row r="415">
      <c r="D415" s="727"/>
      <c r="E415" s="727"/>
      <c r="F415" s="727"/>
    </row>
    <row r="416">
      <c r="D416" s="727"/>
      <c r="E416" s="727"/>
      <c r="F416" s="727"/>
    </row>
    <row r="417">
      <c r="D417" s="727"/>
      <c r="E417" s="727"/>
      <c r="F417" s="727"/>
    </row>
    <row r="418">
      <c r="D418" s="727"/>
      <c r="E418" s="727"/>
      <c r="F418" s="727"/>
    </row>
    <row r="419">
      <c r="D419" s="727"/>
      <c r="E419" s="727"/>
      <c r="F419" s="727"/>
    </row>
    <row r="420">
      <c r="D420" s="727"/>
      <c r="E420" s="727"/>
      <c r="F420" s="727"/>
    </row>
    <row r="421">
      <c r="D421" s="727"/>
      <c r="E421" s="727"/>
      <c r="F421" s="727"/>
    </row>
    <row r="422">
      <c r="D422" s="727"/>
      <c r="E422" s="727"/>
      <c r="F422" s="727"/>
    </row>
    <row r="423">
      <c r="D423" s="727"/>
      <c r="E423" s="727"/>
      <c r="F423" s="727"/>
    </row>
    <row r="424">
      <c r="D424" s="727"/>
      <c r="E424" s="727"/>
      <c r="F424" s="727"/>
    </row>
    <row r="425">
      <c r="D425" s="727"/>
      <c r="E425" s="727"/>
      <c r="F425" s="727"/>
    </row>
    <row r="426">
      <c r="D426" s="727"/>
      <c r="E426" s="727"/>
      <c r="F426" s="727"/>
    </row>
    <row r="427">
      <c r="D427" s="727"/>
      <c r="E427" s="727"/>
      <c r="F427" s="727"/>
    </row>
    <row r="428">
      <c r="D428" s="727"/>
      <c r="E428" s="727"/>
      <c r="F428" s="727"/>
    </row>
    <row r="429">
      <c r="D429" s="727"/>
      <c r="E429" s="727"/>
      <c r="F429" s="727"/>
    </row>
    <row r="430">
      <c r="D430" s="727"/>
      <c r="E430" s="727"/>
      <c r="F430" s="727"/>
    </row>
    <row r="431">
      <c r="D431" s="727"/>
      <c r="E431" s="727"/>
      <c r="F431" s="727"/>
    </row>
    <row r="432">
      <c r="D432" s="727"/>
      <c r="E432" s="727"/>
      <c r="F432" s="727"/>
    </row>
    <row r="433">
      <c r="D433" s="727"/>
      <c r="E433" s="727"/>
      <c r="F433" s="727"/>
    </row>
    <row r="434">
      <c r="D434" s="727"/>
      <c r="E434" s="727"/>
      <c r="F434" s="727"/>
    </row>
    <row r="435">
      <c r="D435" s="727"/>
      <c r="E435" s="727"/>
      <c r="F435" s="727"/>
    </row>
    <row r="436">
      <c r="D436" s="727"/>
      <c r="E436" s="727"/>
      <c r="F436" s="727"/>
    </row>
    <row r="437">
      <c r="D437" s="727"/>
      <c r="E437" s="727"/>
      <c r="F437" s="727"/>
    </row>
    <row r="438">
      <c r="D438" s="727"/>
      <c r="E438" s="727"/>
      <c r="F438" s="727"/>
    </row>
    <row r="439">
      <c r="D439" s="727"/>
      <c r="E439" s="727"/>
      <c r="F439" s="727"/>
    </row>
    <row r="440">
      <c r="D440" s="727"/>
      <c r="E440" s="727"/>
      <c r="F440" s="727"/>
    </row>
    <row r="441">
      <c r="D441" s="727"/>
      <c r="E441" s="727"/>
      <c r="F441" s="727"/>
    </row>
    <row r="442">
      <c r="D442" s="727"/>
      <c r="E442" s="727"/>
      <c r="F442" s="727"/>
    </row>
    <row r="443">
      <c r="D443" s="727"/>
      <c r="E443" s="727"/>
      <c r="F443" s="727"/>
    </row>
    <row r="444">
      <c r="D444" s="727"/>
      <c r="E444" s="727"/>
      <c r="F444" s="727"/>
    </row>
    <row r="445">
      <c r="D445" s="727"/>
      <c r="E445" s="727"/>
      <c r="F445" s="727"/>
    </row>
    <row r="446">
      <c r="D446" s="727"/>
      <c r="E446" s="727"/>
      <c r="F446" s="727"/>
    </row>
    <row r="447">
      <c r="D447" s="727"/>
      <c r="E447" s="727"/>
      <c r="F447" s="727"/>
    </row>
    <row r="448">
      <c r="D448" s="727"/>
      <c r="E448" s="727"/>
      <c r="F448" s="727"/>
    </row>
    <row r="449">
      <c r="D449" s="727"/>
      <c r="E449" s="727"/>
      <c r="F449" s="727"/>
    </row>
    <row r="450">
      <c r="D450" s="727"/>
      <c r="E450" s="727"/>
      <c r="F450" s="727"/>
    </row>
    <row r="451">
      <c r="D451" s="727"/>
      <c r="E451" s="727"/>
      <c r="F451" s="727"/>
    </row>
    <row r="452">
      <c r="D452" s="727"/>
      <c r="E452" s="727"/>
      <c r="F452" s="727"/>
    </row>
    <row r="453">
      <c r="D453" s="727"/>
      <c r="E453" s="727"/>
      <c r="F453" s="727"/>
    </row>
    <row r="454">
      <c r="D454" s="727"/>
      <c r="E454" s="727"/>
      <c r="F454" s="727"/>
    </row>
    <row r="455">
      <c r="D455" s="727"/>
      <c r="E455" s="727"/>
      <c r="F455" s="727"/>
    </row>
    <row r="456">
      <c r="D456" s="727"/>
      <c r="E456" s="727"/>
      <c r="F456" s="727"/>
    </row>
    <row r="457">
      <c r="D457" s="727"/>
      <c r="E457" s="727"/>
      <c r="F457" s="727"/>
    </row>
    <row r="458">
      <c r="D458" s="727"/>
      <c r="E458" s="727"/>
      <c r="F458" s="727"/>
    </row>
    <row r="459">
      <c r="D459" s="727"/>
      <c r="E459" s="727"/>
      <c r="F459" s="727"/>
    </row>
    <row r="460">
      <c r="D460" s="727"/>
      <c r="E460" s="727"/>
      <c r="F460" s="727"/>
    </row>
    <row r="461">
      <c r="D461" s="727"/>
      <c r="E461" s="727"/>
      <c r="F461" s="727"/>
    </row>
    <row r="462">
      <c r="D462" s="727"/>
      <c r="E462" s="727"/>
      <c r="F462" s="727"/>
    </row>
    <row r="463">
      <c r="D463" s="727"/>
      <c r="E463" s="727"/>
      <c r="F463" s="727"/>
    </row>
    <row r="464">
      <c r="D464" s="727"/>
      <c r="E464" s="727"/>
      <c r="F464" s="727"/>
    </row>
    <row r="465">
      <c r="D465" s="727"/>
      <c r="E465" s="727"/>
      <c r="F465" s="727"/>
    </row>
    <row r="466">
      <c r="D466" s="727"/>
      <c r="E466" s="727"/>
      <c r="F466" s="727"/>
    </row>
    <row r="467">
      <c r="D467" s="727"/>
      <c r="E467" s="727"/>
      <c r="F467" s="727"/>
    </row>
    <row r="468">
      <c r="D468" s="727"/>
      <c r="E468" s="727"/>
      <c r="F468" s="727"/>
    </row>
    <row r="469">
      <c r="D469" s="727"/>
      <c r="E469" s="727"/>
      <c r="F469" s="727"/>
    </row>
    <row r="470">
      <c r="D470" s="727"/>
      <c r="E470" s="727"/>
      <c r="F470" s="727"/>
    </row>
    <row r="471">
      <c r="D471" s="727"/>
      <c r="E471" s="727"/>
      <c r="F471" s="727"/>
    </row>
    <row r="472">
      <c r="D472" s="727"/>
      <c r="E472" s="727"/>
      <c r="F472" s="727"/>
    </row>
    <row r="473">
      <c r="D473" s="727"/>
      <c r="E473" s="727"/>
      <c r="F473" s="727"/>
    </row>
    <row r="474">
      <c r="D474" s="727"/>
      <c r="E474" s="727"/>
      <c r="F474" s="727"/>
    </row>
    <row r="475">
      <c r="D475" s="727"/>
      <c r="E475" s="727"/>
      <c r="F475" s="727"/>
    </row>
    <row r="476">
      <c r="D476" s="727"/>
      <c r="E476" s="727"/>
      <c r="F476" s="727"/>
    </row>
    <row r="477">
      <c r="D477" s="727"/>
      <c r="E477" s="727"/>
      <c r="F477" s="727"/>
    </row>
    <row r="478">
      <c r="D478" s="727"/>
      <c r="E478" s="727"/>
      <c r="F478" s="727"/>
    </row>
    <row r="479">
      <c r="D479" s="727"/>
      <c r="E479" s="727"/>
      <c r="F479" s="727"/>
    </row>
    <row r="480">
      <c r="D480" s="727"/>
      <c r="E480" s="727"/>
      <c r="F480" s="727"/>
    </row>
    <row r="481">
      <c r="D481" s="727"/>
      <c r="E481" s="727"/>
      <c r="F481" s="727"/>
    </row>
    <row r="482">
      <c r="D482" s="727"/>
      <c r="E482" s="727"/>
      <c r="F482" s="727"/>
    </row>
    <row r="483">
      <c r="D483" s="727"/>
      <c r="E483" s="727"/>
      <c r="F483" s="727"/>
    </row>
    <row r="484">
      <c r="D484" s="727"/>
      <c r="E484" s="727"/>
      <c r="F484" s="727"/>
    </row>
    <row r="485">
      <c r="D485" s="727"/>
      <c r="E485" s="727"/>
      <c r="F485" s="727"/>
    </row>
    <row r="486">
      <c r="D486" s="727"/>
      <c r="E486" s="727"/>
      <c r="F486" s="727"/>
    </row>
    <row r="487">
      <c r="D487" s="727"/>
      <c r="E487" s="727"/>
      <c r="F487" s="727"/>
    </row>
    <row r="488">
      <c r="D488" s="727"/>
      <c r="E488" s="727"/>
      <c r="F488" s="727"/>
    </row>
    <row r="489">
      <c r="D489" s="727"/>
      <c r="E489" s="727"/>
      <c r="F489" s="727"/>
    </row>
    <row r="490">
      <c r="D490" s="727"/>
      <c r="E490" s="727"/>
      <c r="F490" s="727"/>
    </row>
    <row r="491">
      <c r="D491" s="727"/>
      <c r="E491" s="727"/>
      <c r="F491" s="727"/>
    </row>
    <row r="492">
      <c r="D492" s="727"/>
      <c r="E492" s="727"/>
      <c r="F492" s="727"/>
    </row>
    <row r="493">
      <c r="D493" s="727"/>
      <c r="E493" s="727"/>
      <c r="F493" s="727"/>
    </row>
    <row r="494">
      <c r="D494" s="727"/>
      <c r="E494" s="727"/>
      <c r="F494" s="727"/>
    </row>
    <row r="495">
      <c r="D495" s="727"/>
      <c r="E495" s="727"/>
      <c r="F495" s="727"/>
    </row>
    <row r="496">
      <c r="D496" s="727"/>
      <c r="E496" s="727"/>
      <c r="F496" s="727"/>
    </row>
    <row r="497">
      <c r="D497" s="727"/>
      <c r="E497" s="727"/>
      <c r="F497" s="727"/>
    </row>
    <row r="498">
      <c r="D498" s="727"/>
      <c r="E498" s="727"/>
      <c r="F498" s="727"/>
    </row>
    <row r="499">
      <c r="D499" s="727"/>
      <c r="E499" s="727"/>
      <c r="F499" s="727"/>
    </row>
    <row r="500">
      <c r="D500" s="727"/>
      <c r="E500" s="727"/>
      <c r="F500" s="727"/>
    </row>
    <row r="501">
      <c r="D501" s="727"/>
      <c r="E501" s="727"/>
      <c r="F501" s="727"/>
    </row>
    <row r="502">
      <c r="D502" s="727"/>
      <c r="E502" s="727"/>
      <c r="F502" s="727"/>
    </row>
    <row r="503">
      <c r="D503" s="727"/>
      <c r="E503" s="727"/>
      <c r="F503" s="727"/>
    </row>
    <row r="504">
      <c r="D504" s="727"/>
      <c r="E504" s="727"/>
      <c r="F504" s="727"/>
    </row>
    <row r="505">
      <c r="D505" s="727"/>
      <c r="E505" s="727"/>
      <c r="F505" s="727"/>
    </row>
    <row r="506">
      <c r="D506" s="727"/>
      <c r="E506" s="727"/>
      <c r="F506" s="727"/>
    </row>
    <row r="507">
      <c r="D507" s="727"/>
      <c r="E507" s="727"/>
      <c r="F507" s="727"/>
    </row>
    <row r="508">
      <c r="D508" s="727"/>
      <c r="E508" s="727"/>
      <c r="F508" s="727"/>
    </row>
    <row r="509">
      <c r="D509" s="727"/>
      <c r="E509" s="727"/>
      <c r="F509" s="727"/>
    </row>
    <row r="510">
      <c r="D510" s="727"/>
      <c r="E510" s="727"/>
      <c r="F510" s="727"/>
    </row>
    <row r="511">
      <c r="D511" s="727"/>
      <c r="E511" s="727"/>
      <c r="F511" s="727"/>
    </row>
    <row r="512">
      <c r="D512" s="727"/>
      <c r="E512" s="727"/>
      <c r="F512" s="727"/>
    </row>
    <row r="513">
      <c r="D513" s="727"/>
      <c r="E513" s="727"/>
      <c r="F513" s="727"/>
    </row>
    <row r="514">
      <c r="D514" s="727"/>
      <c r="E514" s="727"/>
      <c r="F514" s="727"/>
    </row>
    <row r="515">
      <c r="D515" s="727"/>
      <c r="E515" s="727"/>
      <c r="F515" s="727"/>
    </row>
    <row r="516">
      <c r="D516" s="727"/>
      <c r="E516" s="727"/>
      <c r="F516" s="727"/>
    </row>
    <row r="517">
      <c r="D517" s="727"/>
      <c r="E517" s="727"/>
      <c r="F517" s="727"/>
    </row>
    <row r="518">
      <c r="D518" s="727"/>
      <c r="E518" s="727"/>
      <c r="F518" s="727"/>
    </row>
    <row r="519">
      <c r="D519" s="727"/>
      <c r="E519" s="727"/>
      <c r="F519" s="727"/>
    </row>
    <row r="520">
      <c r="D520" s="727"/>
      <c r="E520" s="727"/>
      <c r="F520" s="727"/>
    </row>
    <row r="521">
      <c r="D521" s="727"/>
      <c r="E521" s="727"/>
      <c r="F521" s="727"/>
    </row>
    <row r="522">
      <c r="D522" s="727"/>
      <c r="E522" s="727"/>
      <c r="F522" s="727"/>
    </row>
    <row r="523">
      <c r="D523" s="727"/>
      <c r="E523" s="727"/>
      <c r="F523" s="727"/>
    </row>
    <row r="524">
      <c r="D524" s="727"/>
      <c r="E524" s="727"/>
      <c r="F524" s="727"/>
    </row>
    <row r="525">
      <c r="D525" s="727"/>
      <c r="E525" s="727"/>
      <c r="F525" s="727"/>
    </row>
    <row r="526">
      <c r="D526" s="727"/>
      <c r="E526" s="727"/>
      <c r="F526" s="727"/>
    </row>
    <row r="527">
      <c r="D527" s="727"/>
      <c r="E527" s="727"/>
      <c r="F527" s="727"/>
    </row>
    <row r="528">
      <c r="D528" s="727"/>
      <c r="E528" s="727"/>
      <c r="F528" s="727"/>
    </row>
    <row r="529">
      <c r="D529" s="727"/>
      <c r="E529" s="727"/>
      <c r="F529" s="727"/>
    </row>
    <row r="530">
      <c r="D530" s="727"/>
      <c r="E530" s="727"/>
      <c r="F530" s="727"/>
    </row>
    <row r="531">
      <c r="D531" s="727"/>
      <c r="E531" s="727"/>
      <c r="F531" s="727"/>
    </row>
    <row r="532">
      <c r="D532" s="727"/>
      <c r="E532" s="727"/>
      <c r="F532" s="727"/>
    </row>
    <row r="533">
      <c r="D533" s="727"/>
      <c r="E533" s="727"/>
      <c r="F533" s="727"/>
    </row>
    <row r="534">
      <c r="D534" s="727"/>
      <c r="E534" s="727"/>
      <c r="F534" s="727"/>
    </row>
    <row r="535">
      <c r="D535" s="727"/>
      <c r="E535" s="727"/>
      <c r="F535" s="727"/>
    </row>
    <row r="536">
      <c r="D536" s="727"/>
      <c r="E536" s="727"/>
      <c r="F536" s="727"/>
    </row>
    <row r="537">
      <c r="D537" s="727"/>
      <c r="E537" s="727"/>
      <c r="F537" s="727"/>
    </row>
    <row r="538">
      <c r="D538" s="727"/>
      <c r="E538" s="727"/>
      <c r="F538" s="727"/>
    </row>
    <row r="539">
      <c r="D539" s="727"/>
      <c r="E539" s="727"/>
      <c r="F539" s="727"/>
    </row>
    <row r="540">
      <c r="D540" s="727"/>
      <c r="E540" s="727"/>
      <c r="F540" s="727"/>
    </row>
    <row r="541">
      <c r="D541" s="727"/>
      <c r="E541" s="727"/>
      <c r="F541" s="727"/>
    </row>
    <row r="542">
      <c r="D542" s="727"/>
      <c r="E542" s="727"/>
      <c r="F542" s="727"/>
    </row>
    <row r="543">
      <c r="D543" s="727"/>
      <c r="E543" s="727"/>
      <c r="F543" s="727"/>
    </row>
    <row r="544">
      <c r="D544" s="727"/>
      <c r="E544" s="727"/>
      <c r="F544" s="727"/>
    </row>
    <row r="545">
      <c r="D545" s="727"/>
      <c r="E545" s="727"/>
      <c r="F545" s="727"/>
    </row>
    <row r="546">
      <c r="D546" s="727"/>
      <c r="E546" s="727"/>
      <c r="F546" s="727"/>
    </row>
    <row r="547">
      <c r="D547" s="727"/>
      <c r="E547" s="727"/>
      <c r="F547" s="727"/>
    </row>
    <row r="548">
      <c r="D548" s="727"/>
      <c r="E548" s="727"/>
      <c r="F548" s="727"/>
    </row>
    <row r="549">
      <c r="D549" s="727"/>
      <c r="E549" s="727"/>
      <c r="F549" s="727"/>
    </row>
    <row r="550">
      <c r="D550" s="727"/>
      <c r="E550" s="727"/>
      <c r="F550" s="727"/>
    </row>
    <row r="551">
      <c r="D551" s="727"/>
      <c r="E551" s="727"/>
      <c r="F551" s="727"/>
    </row>
    <row r="552">
      <c r="D552" s="727"/>
      <c r="E552" s="727"/>
      <c r="F552" s="727"/>
    </row>
    <row r="553">
      <c r="D553" s="727"/>
      <c r="E553" s="727"/>
      <c r="F553" s="727"/>
    </row>
    <row r="554">
      <c r="D554" s="727"/>
      <c r="E554" s="727"/>
      <c r="F554" s="727"/>
    </row>
    <row r="555">
      <c r="D555" s="727"/>
      <c r="E555" s="727"/>
      <c r="F555" s="727"/>
    </row>
    <row r="556">
      <c r="D556" s="727"/>
      <c r="E556" s="727"/>
      <c r="F556" s="727"/>
    </row>
    <row r="557">
      <c r="D557" s="727"/>
      <c r="E557" s="727"/>
      <c r="F557" s="727"/>
    </row>
    <row r="558">
      <c r="D558" s="727"/>
      <c r="E558" s="727"/>
      <c r="F558" s="727"/>
    </row>
    <row r="559">
      <c r="D559" s="727"/>
      <c r="E559" s="727"/>
      <c r="F559" s="727"/>
    </row>
    <row r="560">
      <c r="D560" s="727"/>
      <c r="E560" s="727"/>
      <c r="F560" s="727"/>
    </row>
    <row r="561">
      <c r="D561" s="727"/>
      <c r="E561" s="727"/>
      <c r="F561" s="727"/>
    </row>
    <row r="562">
      <c r="D562" s="727"/>
      <c r="E562" s="727"/>
      <c r="F562" s="727"/>
    </row>
    <row r="563">
      <c r="D563" s="727"/>
      <c r="E563" s="727"/>
      <c r="F563" s="727"/>
    </row>
    <row r="564">
      <c r="D564" s="727"/>
      <c r="E564" s="727"/>
      <c r="F564" s="727"/>
    </row>
    <row r="565">
      <c r="D565" s="727"/>
      <c r="E565" s="727"/>
      <c r="F565" s="727"/>
    </row>
    <row r="566">
      <c r="D566" s="727"/>
      <c r="E566" s="727"/>
      <c r="F566" s="727"/>
    </row>
    <row r="567">
      <c r="D567" s="727"/>
      <c r="E567" s="727"/>
      <c r="F567" s="727"/>
    </row>
    <row r="568">
      <c r="D568" s="727"/>
      <c r="E568" s="727"/>
      <c r="F568" s="727"/>
    </row>
    <row r="569">
      <c r="D569" s="727"/>
      <c r="E569" s="727"/>
      <c r="F569" s="727"/>
    </row>
    <row r="570">
      <c r="D570" s="727"/>
      <c r="E570" s="727"/>
      <c r="F570" s="727"/>
    </row>
    <row r="571">
      <c r="D571" s="727"/>
      <c r="E571" s="727"/>
      <c r="F571" s="727"/>
    </row>
    <row r="572">
      <c r="D572" s="727"/>
      <c r="E572" s="727"/>
      <c r="F572" s="727"/>
    </row>
    <row r="573">
      <c r="D573" s="727"/>
      <c r="E573" s="727"/>
      <c r="F573" s="727"/>
    </row>
    <row r="574">
      <c r="D574" s="727"/>
      <c r="E574" s="727"/>
      <c r="F574" s="727"/>
    </row>
    <row r="575">
      <c r="D575" s="727"/>
      <c r="E575" s="727"/>
      <c r="F575" s="727"/>
    </row>
    <row r="576">
      <c r="D576" s="727"/>
      <c r="E576" s="727"/>
      <c r="F576" s="727"/>
    </row>
    <row r="577">
      <c r="D577" s="727"/>
      <c r="E577" s="727"/>
      <c r="F577" s="727"/>
    </row>
    <row r="578">
      <c r="D578" s="727"/>
      <c r="E578" s="727"/>
      <c r="F578" s="727"/>
    </row>
    <row r="579">
      <c r="D579" s="727"/>
      <c r="E579" s="727"/>
      <c r="F579" s="727"/>
    </row>
    <row r="580">
      <c r="D580" s="727"/>
      <c r="E580" s="727"/>
      <c r="F580" s="727"/>
    </row>
    <row r="581">
      <c r="D581" s="727"/>
      <c r="E581" s="727"/>
      <c r="F581" s="727"/>
    </row>
    <row r="582">
      <c r="D582" s="727"/>
      <c r="E582" s="727"/>
      <c r="F582" s="727"/>
    </row>
    <row r="583">
      <c r="D583" s="727"/>
      <c r="E583" s="727"/>
      <c r="F583" s="727"/>
    </row>
    <row r="584">
      <c r="D584" s="727"/>
      <c r="E584" s="727"/>
      <c r="F584" s="727"/>
    </row>
    <row r="585">
      <c r="D585" s="727"/>
      <c r="E585" s="727"/>
      <c r="F585" s="727"/>
    </row>
    <row r="586">
      <c r="D586" s="727"/>
      <c r="E586" s="727"/>
      <c r="F586" s="727"/>
    </row>
    <row r="587">
      <c r="D587" s="727"/>
      <c r="E587" s="727"/>
      <c r="F587" s="727"/>
    </row>
    <row r="588">
      <c r="D588" s="727"/>
      <c r="E588" s="727"/>
      <c r="F588" s="727"/>
    </row>
    <row r="589">
      <c r="D589" s="727"/>
      <c r="E589" s="727"/>
      <c r="F589" s="727"/>
    </row>
    <row r="590">
      <c r="D590" s="727"/>
      <c r="E590" s="727"/>
      <c r="F590" s="727"/>
    </row>
    <row r="591">
      <c r="D591" s="727"/>
      <c r="E591" s="727"/>
      <c r="F591" s="727"/>
    </row>
    <row r="592">
      <c r="D592" s="727"/>
      <c r="E592" s="727"/>
      <c r="F592" s="727"/>
    </row>
    <row r="593">
      <c r="D593" s="727"/>
      <c r="E593" s="727"/>
      <c r="F593" s="727"/>
    </row>
    <row r="594">
      <c r="D594" s="727"/>
      <c r="E594" s="727"/>
      <c r="F594" s="727"/>
    </row>
    <row r="595">
      <c r="D595" s="727"/>
      <c r="E595" s="727"/>
      <c r="F595" s="727"/>
    </row>
    <row r="596">
      <c r="D596" s="727"/>
      <c r="E596" s="727"/>
      <c r="F596" s="727"/>
    </row>
    <row r="597">
      <c r="D597" s="727"/>
      <c r="E597" s="727"/>
      <c r="F597" s="727"/>
    </row>
    <row r="598">
      <c r="D598" s="727"/>
      <c r="E598" s="727"/>
      <c r="F598" s="727"/>
    </row>
    <row r="599">
      <c r="D599" s="727"/>
      <c r="E599" s="727"/>
      <c r="F599" s="727"/>
    </row>
    <row r="600">
      <c r="D600" s="727"/>
      <c r="E600" s="727"/>
      <c r="F600" s="727"/>
    </row>
    <row r="601">
      <c r="D601" s="727"/>
      <c r="E601" s="727"/>
      <c r="F601" s="727"/>
    </row>
    <row r="602">
      <c r="D602" s="727"/>
      <c r="E602" s="727"/>
      <c r="F602" s="727"/>
    </row>
    <row r="603">
      <c r="D603" s="727"/>
      <c r="E603" s="727"/>
      <c r="F603" s="727"/>
    </row>
    <row r="604">
      <c r="D604" s="727"/>
      <c r="E604" s="727"/>
      <c r="F604" s="727"/>
    </row>
    <row r="605">
      <c r="D605" s="727"/>
      <c r="E605" s="727"/>
      <c r="F605" s="727"/>
    </row>
    <row r="606">
      <c r="D606" s="727"/>
      <c r="E606" s="727"/>
      <c r="F606" s="727"/>
    </row>
    <row r="607">
      <c r="D607" s="727"/>
      <c r="E607" s="727"/>
      <c r="F607" s="727"/>
    </row>
    <row r="608">
      <c r="D608" s="727"/>
      <c r="E608" s="727"/>
      <c r="F608" s="727"/>
    </row>
    <row r="609">
      <c r="D609" s="727"/>
      <c r="E609" s="727"/>
      <c r="F609" s="727"/>
    </row>
    <row r="610">
      <c r="D610" s="727"/>
      <c r="E610" s="727"/>
      <c r="F610" s="727"/>
    </row>
    <row r="611">
      <c r="D611" s="727"/>
      <c r="E611" s="727"/>
      <c r="F611" s="727"/>
    </row>
    <row r="612">
      <c r="D612" s="727"/>
      <c r="E612" s="727"/>
      <c r="F612" s="727"/>
    </row>
    <row r="613">
      <c r="D613" s="727"/>
      <c r="E613" s="727"/>
      <c r="F613" s="727"/>
    </row>
    <row r="614">
      <c r="D614" s="727"/>
      <c r="E614" s="727"/>
      <c r="F614" s="727"/>
    </row>
    <row r="615">
      <c r="D615" s="727"/>
      <c r="E615" s="727"/>
      <c r="F615" s="727"/>
    </row>
    <row r="616">
      <c r="D616" s="727"/>
      <c r="E616" s="727"/>
      <c r="F616" s="727"/>
    </row>
    <row r="617">
      <c r="D617" s="727"/>
      <c r="E617" s="727"/>
      <c r="F617" s="727"/>
    </row>
    <row r="618">
      <c r="D618" s="727"/>
      <c r="E618" s="727"/>
      <c r="F618" s="727"/>
    </row>
    <row r="619">
      <c r="D619" s="727"/>
      <c r="E619" s="727"/>
      <c r="F619" s="727"/>
    </row>
    <row r="620">
      <c r="D620" s="727"/>
      <c r="E620" s="727"/>
      <c r="F620" s="727"/>
    </row>
    <row r="621">
      <c r="D621" s="727"/>
      <c r="E621" s="727"/>
      <c r="F621" s="727"/>
    </row>
    <row r="622">
      <c r="D622" s="727"/>
      <c r="E622" s="727"/>
      <c r="F622" s="727"/>
    </row>
    <row r="623">
      <c r="D623" s="727"/>
      <c r="E623" s="727"/>
      <c r="F623" s="727"/>
    </row>
    <row r="624">
      <c r="D624" s="727"/>
      <c r="E624" s="727"/>
      <c r="F624" s="727"/>
    </row>
    <row r="625">
      <c r="D625" s="727"/>
      <c r="E625" s="727"/>
      <c r="F625" s="727"/>
    </row>
    <row r="626">
      <c r="D626" s="727"/>
      <c r="E626" s="727"/>
      <c r="F626" s="727"/>
    </row>
    <row r="627">
      <c r="D627" s="727"/>
      <c r="E627" s="727"/>
      <c r="F627" s="727"/>
    </row>
    <row r="628">
      <c r="D628" s="727"/>
      <c r="E628" s="727"/>
      <c r="F628" s="727"/>
    </row>
    <row r="629">
      <c r="D629" s="727"/>
      <c r="E629" s="727"/>
      <c r="F629" s="727"/>
    </row>
    <row r="630">
      <c r="D630" s="727"/>
      <c r="E630" s="727"/>
      <c r="F630" s="727"/>
    </row>
    <row r="631">
      <c r="D631" s="727"/>
      <c r="E631" s="727"/>
      <c r="F631" s="727"/>
    </row>
    <row r="632">
      <c r="D632" s="727"/>
      <c r="E632" s="727"/>
      <c r="F632" s="727"/>
    </row>
    <row r="633">
      <c r="D633" s="727"/>
      <c r="E633" s="727"/>
      <c r="F633" s="727"/>
    </row>
    <row r="634">
      <c r="D634" s="727"/>
      <c r="E634" s="727"/>
      <c r="F634" s="727"/>
    </row>
    <row r="635">
      <c r="D635" s="727"/>
      <c r="E635" s="727"/>
      <c r="F635" s="727"/>
    </row>
    <row r="636">
      <c r="D636" s="727"/>
      <c r="E636" s="727"/>
      <c r="F636" s="727"/>
    </row>
    <row r="637">
      <c r="D637" s="727"/>
      <c r="E637" s="727"/>
      <c r="F637" s="727"/>
    </row>
    <row r="638">
      <c r="D638" s="727"/>
      <c r="E638" s="727"/>
      <c r="F638" s="727"/>
    </row>
    <row r="639">
      <c r="D639" s="727"/>
      <c r="E639" s="727"/>
      <c r="F639" s="727"/>
    </row>
    <row r="640">
      <c r="D640" s="727"/>
      <c r="E640" s="727"/>
      <c r="F640" s="727"/>
    </row>
    <row r="641">
      <c r="D641" s="727"/>
      <c r="E641" s="727"/>
      <c r="F641" s="727"/>
    </row>
    <row r="642">
      <c r="D642" s="727"/>
      <c r="E642" s="727"/>
      <c r="F642" s="727"/>
    </row>
    <row r="643">
      <c r="D643" s="727"/>
      <c r="E643" s="727"/>
      <c r="F643" s="727"/>
    </row>
    <row r="644">
      <c r="D644" s="727"/>
      <c r="E644" s="727"/>
      <c r="F644" s="727"/>
    </row>
    <row r="645">
      <c r="D645" s="727"/>
      <c r="E645" s="727"/>
      <c r="F645" s="727"/>
    </row>
    <row r="646">
      <c r="D646" s="727"/>
      <c r="E646" s="727"/>
      <c r="F646" s="727"/>
    </row>
    <row r="647">
      <c r="D647" s="727"/>
      <c r="E647" s="727"/>
      <c r="F647" s="727"/>
    </row>
    <row r="648">
      <c r="D648" s="727"/>
      <c r="E648" s="727"/>
      <c r="F648" s="727"/>
    </row>
    <row r="649">
      <c r="D649" s="727"/>
      <c r="E649" s="727"/>
      <c r="F649" s="727"/>
    </row>
    <row r="650">
      <c r="D650" s="727"/>
      <c r="E650" s="727"/>
      <c r="F650" s="727"/>
    </row>
    <row r="651">
      <c r="D651" s="727"/>
      <c r="E651" s="727"/>
      <c r="F651" s="727"/>
    </row>
    <row r="652">
      <c r="D652" s="727"/>
      <c r="E652" s="727"/>
      <c r="F652" s="727"/>
    </row>
    <row r="653">
      <c r="D653" s="727"/>
      <c r="E653" s="727"/>
      <c r="F653" s="727"/>
    </row>
    <row r="654">
      <c r="D654" s="727"/>
      <c r="E654" s="727"/>
      <c r="F654" s="727"/>
    </row>
    <row r="655">
      <c r="D655" s="727"/>
      <c r="E655" s="727"/>
      <c r="F655" s="727"/>
    </row>
    <row r="656">
      <c r="D656" s="727"/>
      <c r="E656" s="727"/>
      <c r="F656" s="727"/>
    </row>
    <row r="657">
      <c r="D657" s="727"/>
      <c r="E657" s="727"/>
      <c r="F657" s="727"/>
    </row>
    <row r="658">
      <c r="D658" s="727"/>
      <c r="E658" s="727"/>
      <c r="F658" s="727"/>
    </row>
    <row r="659">
      <c r="D659" s="727"/>
      <c r="E659" s="727"/>
      <c r="F659" s="727"/>
    </row>
    <row r="660">
      <c r="D660" s="727"/>
      <c r="E660" s="727"/>
      <c r="F660" s="727"/>
    </row>
    <row r="661">
      <c r="D661" s="727"/>
      <c r="E661" s="727"/>
      <c r="F661" s="727"/>
    </row>
    <row r="662">
      <c r="D662" s="727"/>
      <c r="E662" s="727"/>
      <c r="F662" s="727"/>
    </row>
    <row r="663">
      <c r="D663" s="727"/>
      <c r="E663" s="727"/>
      <c r="F663" s="727"/>
    </row>
    <row r="664">
      <c r="D664" s="727"/>
      <c r="E664" s="727"/>
      <c r="F664" s="727"/>
    </row>
    <row r="665">
      <c r="D665" s="727"/>
      <c r="E665" s="727"/>
      <c r="F665" s="727"/>
    </row>
    <row r="666">
      <c r="D666" s="727"/>
      <c r="E666" s="727"/>
      <c r="F666" s="727"/>
    </row>
    <row r="667">
      <c r="D667" s="727"/>
      <c r="E667" s="727"/>
      <c r="F667" s="727"/>
    </row>
    <row r="668">
      <c r="D668" s="727"/>
      <c r="E668" s="727"/>
      <c r="F668" s="727"/>
    </row>
    <row r="669">
      <c r="D669" s="727"/>
      <c r="E669" s="727"/>
      <c r="F669" s="727"/>
    </row>
    <row r="670">
      <c r="D670" s="727"/>
      <c r="E670" s="727"/>
      <c r="F670" s="727"/>
    </row>
    <row r="671">
      <c r="D671" s="727"/>
      <c r="E671" s="727"/>
      <c r="F671" s="727"/>
    </row>
    <row r="672">
      <c r="D672" s="727"/>
      <c r="E672" s="727"/>
      <c r="F672" s="727"/>
    </row>
    <row r="673">
      <c r="D673" s="727"/>
      <c r="E673" s="727"/>
      <c r="F673" s="727"/>
    </row>
    <row r="674">
      <c r="D674" s="727"/>
      <c r="E674" s="727"/>
      <c r="F674" s="727"/>
    </row>
    <row r="675">
      <c r="D675" s="727"/>
      <c r="E675" s="727"/>
      <c r="F675" s="727"/>
    </row>
    <row r="676">
      <c r="D676" s="727"/>
      <c r="E676" s="727"/>
      <c r="F676" s="727"/>
    </row>
    <row r="677">
      <c r="D677" s="727"/>
      <c r="E677" s="727"/>
      <c r="F677" s="727"/>
    </row>
    <row r="678">
      <c r="D678" s="727"/>
      <c r="E678" s="727"/>
      <c r="F678" s="727"/>
    </row>
    <row r="679">
      <c r="D679" s="727"/>
      <c r="E679" s="727"/>
      <c r="F679" s="727"/>
    </row>
    <row r="680">
      <c r="D680" s="727"/>
      <c r="E680" s="727"/>
      <c r="F680" s="727"/>
    </row>
    <row r="681">
      <c r="D681" s="727"/>
      <c r="E681" s="727"/>
      <c r="F681" s="727"/>
    </row>
    <row r="682">
      <c r="D682" s="727"/>
      <c r="E682" s="727"/>
      <c r="F682" s="727"/>
    </row>
    <row r="683">
      <c r="D683" s="727"/>
      <c r="E683" s="727"/>
      <c r="F683" s="727"/>
    </row>
    <row r="684">
      <c r="D684" s="727"/>
      <c r="E684" s="727"/>
      <c r="F684" s="727"/>
    </row>
    <row r="685">
      <c r="D685" s="727"/>
      <c r="E685" s="727"/>
      <c r="F685" s="727"/>
    </row>
    <row r="686">
      <c r="D686" s="727"/>
      <c r="E686" s="727"/>
      <c r="F686" s="727"/>
    </row>
    <row r="687">
      <c r="D687" s="727"/>
      <c r="E687" s="727"/>
      <c r="F687" s="727"/>
    </row>
    <row r="688">
      <c r="D688" s="727"/>
      <c r="E688" s="727"/>
      <c r="F688" s="727"/>
    </row>
    <row r="689">
      <c r="D689" s="727"/>
      <c r="E689" s="727"/>
      <c r="F689" s="727"/>
    </row>
    <row r="690">
      <c r="D690" s="727"/>
      <c r="E690" s="727"/>
      <c r="F690" s="727"/>
    </row>
    <row r="691">
      <c r="D691" s="727"/>
      <c r="E691" s="727"/>
      <c r="F691" s="727"/>
    </row>
    <row r="692">
      <c r="D692" s="727"/>
      <c r="E692" s="727"/>
      <c r="F692" s="727"/>
    </row>
    <row r="693">
      <c r="D693" s="727"/>
      <c r="E693" s="727"/>
      <c r="F693" s="727"/>
    </row>
    <row r="694">
      <c r="D694" s="727"/>
      <c r="E694" s="727"/>
      <c r="F694" s="727"/>
    </row>
    <row r="695">
      <c r="D695" s="727"/>
      <c r="E695" s="727"/>
      <c r="F695" s="727"/>
    </row>
    <row r="696">
      <c r="D696" s="727"/>
      <c r="E696" s="727"/>
      <c r="F696" s="727"/>
    </row>
    <row r="697">
      <c r="D697" s="727"/>
      <c r="E697" s="727"/>
      <c r="F697" s="727"/>
    </row>
    <row r="698">
      <c r="D698" s="727"/>
      <c r="E698" s="727"/>
      <c r="F698" s="727"/>
    </row>
    <row r="699">
      <c r="D699" s="727"/>
      <c r="E699" s="727"/>
      <c r="F699" s="727"/>
    </row>
    <row r="700">
      <c r="D700" s="727"/>
      <c r="E700" s="727"/>
      <c r="F700" s="727"/>
    </row>
    <row r="701">
      <c r="D701" s="727"/>
      <c r="E701" s="727"/>
      <c r="F701" s="727"/>
    </row>
    <row r="702">
      <c r="D702" s="727"/>
      <c r="E702" s="727"/>
      <c r="F702" s="727"/>
    </row>
    <row r="703">
      <c r="D703" s="727"/>
      <c r="E703" s="727"/>
      <c r="F703" s="727"/>
    </row>
    <row r="704">
      <c r="D704" s="727"/>
      <c r="E704" s="727"/>
      <c r="F704" s="727"/>
    </row>
    <row r="705">
      <c r="D705" s="727"/>
      <c r="E705" s="727"/>
      <c r="F705" s="727"/>
    </row>
    <row r="706">
      <c r="D706" s="727"/>
      <c r="E706" s="727"/>
      <c r="F706" s="727"/>
    </row>
    <row r="707">
      <c r="D707" s="727"/>
      <c r="E707" s="727"/>
      <c r="F707" s="727"/>
    </row>
    <row r="708">
      <c r="D708" s="727"/>
      <c r="E708" s="727"/>
      <c r="F708" s="727"/>
    </row>
    <row r="709">
      <c r="D709" s="727"/>
      <c r="E709" s="727"/>
      <c r="F709" s="727"/>
    </row>
    <row r="710">
      <c r="D710" s="727"/>
      <c r="E710" s="727"/>
      <c r="F710" s="727"/>
    </row>
    <row r="711">
      <c r="D711" s="727"/>
      <c r="E711" s="727"/>
      <c r="F711" s="727"/>
    </row>
    <row r="712">
      <c r="D712" s="727"/>
      <c r="E712" s="727"/>
      <c r="F712" s="727"/>
    </row>
    <row r="713">
      <c r="D713" s="727"/>
      <c r="E713" s="727"/>
      <c r="F713" s="727"/>
    </row>
    <row r="714">
      <c r="D714" s="727"/>
      <c r="E714" s="727"/>
      <c r="F714" s="727"/>
    </row>
    <row r="715">
      <c r="D715" s="727"/>
      <c r="E715" s="727"/>
      <c r="F715" s="727"/>
    </row>
    <row r="716">
      <c r="D716" s="727"/>
      <c r="E716" s="727"/>
      <c r="F716" s="727"/>
    </row>
    <row r="717">
      <c r="D717" s="727"/>
      <c r="E717" s="727"/>
      <c r="F717" s="727"/>
    </row>
    <row r="718">
      <c r="D718" s="727"/>
      <c r="E718" s="727"/>
      <c r="F718" s="727"/>
    </row>
    <row r="719">
      <c r="D719" s="727"/>
      <c r="E719" s="727"/>
      <c r="F719" s="727"/>
    </row>
    <row r="720">
      <c r="D720" s="727"/>
      <c r="E720" s="727"/>
      <c r="F720" s="727"/>
    </row>
    <row r="721">
      <c r="D721" s="727"/>
      <c r="E721" s="727"/>
      <c r="F721" s="727"/>
    </row>
    <row r="722">
      <c r="D722" s="727"/>
      <c r="E722" s="727"/>
      <c r="F722" s="727"/>
    </row>
    <row r="723">
      <c r="D723" s="727"/>
      <c r="E723" s="727"/>
      <c r="F723" s="727"/>
    </row>
    <row r="724">
      <c r="D724" s="727"/>
      <c r="E724" s="727"/>
      <c r="F724" s="727"/>
    </row>
    <row r="725">
      <c r="D725" s="727"/>
      <c r="E725" s="727"/>
      <c r="F725" s="727"/>
    </row>
    <row r="726">
      <c r="D726" s="727"/>
      <c r="E726" s="727"/>
      <c r="F726" s="727"/>
    </row>
    <row r="727">
      <c r="D727" s="727"/>
      <c r="E727" s="727"/>
      <c r="F727" s="727"/>
    </row>
    <row r="728">
      <c r="D728" s="727"/>
      <c r="E728" s="727"/>
      <c r="F728" s="727"/>
    </row>
    <row r="729">
      <c r="D729" s="727"/>
      <c r="E729" s="727"/>
      <c r="F729" s="727"/>
    </row>
    <row r="730">
      <c r="D730" s="727"/>
      <c r="E730" s="727"/>
      <c r="F730" s="727"/>
    </row>
    <row r="731">
      <c r="D731" s="727"/>
      <c r="E731" s="727"/>
      <c r="F731" s="727"/>
    </row>
    <row r="732">
      <c r="D732" s="727"/>
      <c r="E732" s="727"/>
      <c r="F732" s="727"/>
    </row>
    <row r="733">
      <c r="D733" s="727"/>
      <c r="E733" s="727"/>
      <c r="F733" s="727"/>
    </row>
    <row r="734">
      <c r="D734" s="727"/>
      <c r="E734" s="727"/>
      <c r="F734" s="727"/>
    </row>
    <row r="735">
      <c r="D735" s="727"/>
      <c r="E735" s="727"/>
      <c r="F735" s="727"/>
    </row>
    <row r="736">
      <c r="D736" s="727"/>
      <c r="E736" s="727"/>
      <c r="F736" s="727"/>
    </row>
    <row r="737">
      <c r="D737" s="727"/>
      <c r="E737" s="727"/>
      <c r="F737" s="727"/>
    </row>
    <row r="738">
      <c r="D738" s="727"/>
      <c r="E738" s="727"/>
      <c r="F738" s="727"/>
    </row>
    <row r="739">
      <c r="D739" s="727"/>
      <c r="E739" s="727"/>
      <c r="F739" s="727"/>
    </row>
    <row r="740">
      <c r="D740" s="727"/>
      <c r="E740" s="727"/>
      <c r="F740" s="727"/>
    </row>
    <row r="741">
      <c r="D741" s="727"/>
      <c r="E741" s="727"/>
      <c r="F741" s="727"/>
    </row>
    <row r="742">
      <c r="D742" s="727"/>
      <c r="E742" s="727"/>
      <c r="F742" s="727"/>
    </row>
    <row r="743">
      <c r="D743" s="727"/>
      <c r="E743" s="727"/>
      <c r="F743" s="727"/>
    </row>
    <row r="744">
      <c r="D744" s="727"/>
      <c r="E744" s="727"/>
      <c r="F744" s="727"/>
    </row>
    <row r="745">
      <c r="D745" s="727"/>
      <c r="E745" s="727"/>
      <c r="F745" s="727"/>
    </row>
    <row r="746">
      <c r="D746" s="727"/>
      <c r="E746" s="727"/>
      <c r="F746" s="727"/>
    </row>
    <row r="747">
      <c r="D747" s="727"/>
      <c r="E747" s="727"/>
      <c r="F747" s="727"/>
    </row>
    <row r="748">
      <c r="D748" s="727"/>
      <c r="E748" s="727"/>
      <c r="F748" s="727"/>
    </row>
    <row r="749">
      <c r="D749" s="727"/>
      <c r="E749" s="727"/>
      <c r="F749" s="727"/>
    </row>
    <row r="750">
      <c r="D750" s="727"/>
      <c r="E750" s="727"/>
      <c r="F750" s="727"/>
    </row>
    <row r="751">
      <c r="D751" s="727"/>
      <c r="E751" s="727"/>
      <c r="F751" s="727"/>
    </row>
    <row r="752">
      <c r="D752" s="727"/>
      <c r="E752" s="727"/>
      <c r="F752" s="727"/>
    </row>
    <row r="753">
      <c r="D753" s="727"/>
      <c r="E753" s="727"/>
      <c r="F753" s="727"/>
    </row>
    <row r="754">
      <c r="D754" s="727"/>
      <c r="E754" s="727"/>
      <c r="F754" s="727"/>
    </row>
    <row r="755">
      <c r="D755" s="727"/>
      <c r="E755" s="727"/>
      <c r="F755" s="727"/>
    </row>
    <row r="756">
      <c r="D756" s="727"/>
      <c r="E756" s="727"/>
      <c r="F756" s="727"/>
    </row>
    <row r="757">
      <c r="D757" s="727"/>
      <c r="E757" s="727"/>
      <c r="F757" s="727"/>
    </row>
    <row r="758">
      <c r="D758" s="727"/>
      <c r="E758" s="727"/>
      <c r="F758" s="727"/>
    </row>
    <row r="759">
      <c r="D759" s="727"/>
      <c r="E759" s="727"/>
      <c r="F759" s="727"/>
    </row>
    <row r="760">
      <c r="D760" s="727"/>
      <c r="E760" s="727"/>
      <c r="F760" s="727"/>
    </row>
    <row r="761">
      <c r="D761" s="727"/>
      <c r="E761" s="727"/>
      <c r="F761" s="727"/>
    </row>
    <row r="762">
      <c r="D762" s="727"/>
      <c r="E762" s="727"/>
      <c r="F762" s="727"/>
    </row>
    <row r="763">
      <c r="D763" s="727"/>
      <c r="E763" s="727"/>
      <c r="F763" s="727"/>
    </row>
    <row r="764">
      <c r="D764" s="727"/>
      <c r="E764" s="727"/>
      <c r="F764" s="727"/>
    </row>
    <row r="765">
      <c r="D765" s="727"/>
      <c r="E765" s="727"/>
      <c r="F765" s="727"/>
    </row>
    <row r="766">
      <c r="D766" s="727"/>
      <c r="E766" s="727"/>
      <c r="F766" s="727"/>
    </row>
    <row r="767">
      <c r="D767" s="727"/>
      <c r="E767" s="727"/>
      <c r="F767" s="727"/>
    </row>
    <row r="768">
      <c r="D768" s="727"/>
      <c r="E768" s="727"/>
      <c r="F768" s="727"/>
    </row>
    <row r="769">
      <c r="D769" s="727"/>
      <c r="E769" s="727"/>
      <c r="F769" s="727"/>
    </row>
    <row r="770">
      <c r="D770" s="727"/>
      <c r="E770" s="727"/>
      <c r="F770" s="727"/>
    </row>
    <row r="771">
      <c r="D771" s="727"/>
      <c r="E771" s="727"/>
      <c r="F771" s="727"/>
    </row>
    <row r="772">
      <c r="D772" s="727"/>
      <c r="E772" s="727"/>
      <c r="F772" s="727"/>
    </row>
    <row r="773">
      <c r="D773" s="727"/>
      <c r="E773" s="727"/>
      <c r="F773" s="727"/>
    </row>
    <row r="774">
      <c r="D774" s="727"/>
      <c r="E774" s="727"/>
      <c r="F774" s="727"/>
    </row>
    <row r="775">
      <c r="D775" s="727"/>
      <c r="E775" s="727"/>
      <c r="F775" s="727"/>
    </row>
    <row r="776">
      <c r="D776" s="727"/>
      <c r="E776" s="727"/>
      <c r="F776" s="727"/>
    </row>
    <row r="777">
      <c r="D777" s="727"/>
      <c r="E777" s="727"/>
      <c r="F777" s="727"/>
    </row>
    <row r="778">
      <c r="D778" s="727"/>
      <c r="E778" s="727"/>
      <c r="F778" s="727"/>
    </row>
    <row r="779">
      <c r="D779" s="727"/>
      <c r="E779" s="727"/>
      <c r="F779" s="727"/>
    </row>
    <row r="780">
      <c r="D780" s="727"/>
      <c r="E780" s="727"/>
      <c r="F780" s="727"/>
    </row>
    <row r="781">
      <c r="D781" s="727"/>
      <c r="E781" s="727"/>
      <c r="F781" s="727"/>
    </row>
    <row r="782">
      <c r="D782" s="727"/>
      <c r="E782" s="727"/>
      <c r="F782" s="727"/>
    </row>
    <row r="783">
      <c r="D783" s="727"/>
      <c r="E783" s="727"/>
      <c r="F783" s="727"/>
    </row>
    <row r="784">
      <c r="D784" s="727"/>
      <c r="E784" s="727"/>
      <c r="F784" s="727"/>
    </row>
    <row r="785">
      <c r="D785" s="727"/>
      <c r="E785" s="727"/>
      <c r="F785" s="727"/>
    </row>
    <row r="786">
      <c r="D786" s="727"/>
      <c r="E786" s="727"/>
      <c r="F786" s="727"/>
    </row>
    <row r="787">
      <c r="D787" s="727"/>
      <c r="E787" s="727"/>
      <c r="F787" s="727"/>
    </row>
    <row r="788">
      <c r="D788" s="727"/>
      <c r="E788" s="727"/>
      <c r="F788" s="727"/>
    </row>
    <row r="789">
      <c r="D789" s="727"/>
      <c r="E789" s="727"/>
      <c r="F789" s="727"/>
    </row>
    <row r="790">
      <c r="D790" s="727"/>
      <c r="E790" s="727"/>
      <c r="F790" s="727"/>
    </row>
    <row r="791">
      <c r="D791" s="727"/>
      <c r="E791" s="727"/>
      <c r="F791" s="727"/>
    </row>
    <row r="792">
      <c r="D792" s="727"/>
      <c r="E792" s="727"/>
      <c r="F792" s="727"/>
    </row>
    <row r="793">
      <c r="D793" s="727"/>
      <c r="E793" s="727"/>
      <c r="F793" s="727"/>
    </row>
    <row r="794">
      <c r="D794" s="727"/>
      <c r="E794" s="727"/>
      <c r="F794" s="727"/>
    </row>
    <row r="795">
      <c r="D795" s="727"/>
      <c r="E795" s="727"/>
      <c r="F795" s="727"/>
    </row>
    <row r="796">
      <c r="D796" s="727"/>
      <c r="E796" s="727"/>
      <c r="F796" s="727"/>
    </row>
    <row r="797">
      <c r="D797" s="727"/>
      <c r="E797" s="727"/>
      <c r="F797" s="727"/>
    </row>
    <row r="798">
      <c r="D798" s="727"/>
      <c r="E798" s="727"/>
      <c r="F798" s="727"/>
    </row>
    <row r="799">
      <c r="D799" s="727"/>
      <c r="E799" s="727"/>
      <c r="F799" s="727"/>
    </row>
    <row r="800">
      <c r="D800" s="727"/>
      <c r="E800" s="727"/>
      <c r="F800" s="727"/>
    </row>
    <row r="801">
      <c r="D801" s="727"/>
      <c r="E801" s="727"/>
      <c r="F801" s="727"/>
    </row>
    <row r="802">
      <c r="D802" s="727"/>
      <c r="E802" s="727"/>
      <c r="F802" s="727"/>
    </row>
    <row r="803">
      <c r="D803" s="727"/>
      <c r="E803" s="727"/>
      <c r="F803" s="727"/>
    </row>
    <row r="804">
      <c r="D804" s="727"/>
      <c r="E804" s="727"/>
      <c r="F804" s="727"/>
    </row>
    <row r="805">
      <c r="D805" s="727"/>
      <c r="E805" s="727"/>
      <c r="F805" s="727"/>
    </row>
    <row r="806">
      <c r="D806" s="727"/>
      <c r="E806" s="727"/>
      <c r="F806" s="727"/>
    </row>
    <row r="807">
      <c r="D807" s="727"/>
      <c r="E807" s="727"/>
      <c r="F807" s="727"/>
    </row>
    <row r="808">
      <c r="D808" s="727"/>
      <c r="E808" s="727"/>
      <c r="F808" s="727"/>
    </row>
    <row r="809">
      <c r="D809" s="727"/>
      <c r="E809" s="727"/>
      <c r="F809" s="727"/>
    </row>
    <row r="810">
      <c r="D810" s="727"/>
      <c r="E810" s="727"/>
      <c r="F810" s="727"/>
    </row>
    <row r="811">
      <c r="D811" s="727"/>
      <c r="E811" s="727"/>
      <c r="F811" s="727"/>
    </row>
    <row r="812">
      <c r="D812" s="727"/>
      <c r="E812" s="727"/>
      <c r="F812" s="727"/>
    </row>
    <row r="813">
      <c r="D813" s="727"/>
      <c r="E813" s="727"/>
      <c r="F813" s="727"/>
    </row>
    <row r="814">
      <c r="D814" s="727"/>
      <c r="E814" s="727"/>
      <c r="F814" s="727"/>
    </row>
    <row r="815">
      <c r="D815" s="727"/>
      <c r="E815" s="727"/>
      <c r="F815" s="727"/>
    </row>
    <row r="816">
      <c r="D816" s="727"/>
      <c r="E816" s="727"/>
      <c r="F816" s="727"/>
    </row>
    <row r="817">
      <c r="D817" s="727"/>
      <c r="E817" s="727"/>
      <c r="F817" s="727"/>
    </row>
    <row r="818">
      <c r="D818" s="727"/>
      <c r="E818" s="727"/>
      <c r="F818" s="727"/>
    </row>
    <row r="819">
      <c r="D819" s="727"/>
      <c r="E819" s="727"/>
      <c r="F819" s="727"/>
    </row>
    <row r="820">
      <c r="D820" s="727"/>
      <c r="E820" s="727"/>
      <c r="F820" s="727"/>
    </row>
    <row r="821">
      <c r="D821" s="727"/>
      <c r="E821" s="727"/>
      <c r="F821" s="727"/>
    </row>
    <row r="822">
      <c r="D822" s="727"/>
      <c r="E822" s="727"/>
      <c r="F822" s="727"/>
    </row>
    <row r="823">
      <c r="D823" s="727"/>
      <c r="E823" s="727"/>
      <c r="F823" s="727"/>
    </row>
    <row r="824">
      <c r="D824" s="727"/>
      <c r="E824" s="727"/>
      <c r="F824" s="727"/>
    </row>
    <row r="825">
      <c r="D825" s="727"/>
      <c r="E825" s="727"/>
      <c r="F825" s="727"/>
    </row>
    <row r="826">
      <c r="D826" s="727"/>
      <c r="E826" s="727"/>
      <c r="F826" s="727"/>
    </row>
    <row r="827">
      <c r="D827" s="727"/>
      <c r="E827" s="727"/>
      <c r="F827" s="727"/>
    </row>
    <row r="828">
      <c r="D828" s="727"/>
      <c r="E828" s="727"/>
      <c r="F828" s="727"/>
    </row>
    <row r="829">
      <c r="D829" s="727"/>
      <c r="E829" s="727"/>
      <c r="F829" s="727"/>
    </row>
    <row r="830">
      <c r="D830" s="727"/>
      <c r="E830" s="727"/>
      <c r="F830" s="727"/>
    </row>
    <row r="831">
      <c r="D831" s="727"/>
      <c r="E831" s="727"/>
      <c r="F831" s="727"/>
    </row>
    <row r="832">
      <c r="D832" s="727"/>
      <c r="E832" s="727"/>
      <c r="F832" s="727"/>
    </row>
    <row r="833">
      <c r="D833" s="727"/>
      <c r="E833" s="727"/>
      <c r="F833" s="727"/>
    </row>
    <row r="834">
      <c r="D834" s="727"/>
      <c r="E834" s="727"/>
      <c r="F834" s="727"/>
    </row>
    <row r="835">
      <c r="D835" s="727"/>
      <c r="E835" s="727"/>
      <c r="F835" s="727"/>
    </row>
    <row r="836">
      <c r="D836" s="727"/>
      <c r="E836" s="727"/>
      <c r="F836" s="727"/>
    </row>
    <row r="837">
      <c r="D837" s="727"/>
      <c r="E837" s="727"/>
      <c r="F837" s="727"/>
    </row>
    <row r="838">
      <c r="D838" s="727"/>
      <c r="E838" s="727"/>
      <c r="F838" s="727"/>
    </row>
    <row r="839">
      <c r="D839" s="727"/>
      <c r="E839" s="727"/>
      <c r="F839" s="727"/>
    </row>
    <row r="840">
      <c r="D840" s="727"/>
      <c r="E840" s="727"/>
      <c r="F840" s="727"/>
    </row>
    <row r="841">
      <c r="D841" s="727"/>
      <c r="E841" s="727"/>
      <c r="F841" s="727"/>
    </row>
    <row r="842">
      <c r="D842" s="727"/>
      <c r="E842" s="727"/>
      <c r="F842" s="727"/>
    </row>
    <row r="843">
      <c r="D843" s="727"/>
      <c r="E843" s="727"/>
      <c r="F843" s="727"/>
    </row>
    <row r="844">
      <c r="D844" s="727"/>
      <c r="E844" s="727"/>
      <c r="F844" s="727"/>
    </row>
    <row r="845">
      <c r="D845" s="727"/>
      <c r="E845" s="727"/>
      <c r="F845" s="727"/>
    </row>
    <row r="846">
      <c r="D846" s="727"/>
      <c r="E846" s="727"/>
      <c r="F846" s="727"/>
    </row>
    <row r="847">
      <c r="D847" s="727"/>
      <c r="E847" s="727"/>
      <c r="F847" s="727"/>
    </row>
    <row r="848">
      <c r="D848" s="727"/>
      <c r="E848" s="727"/>
      <c r="F848" s="727"/>
    </row>
    <row r="849">
      <c r="D849" s="727"/>
      <c r="E849" s="727"/>
      <c r="F849" s="727"/>
    </row>
    <row r="850">
      <c r="D850" s="727"/>
      <c r="E850" s="727"/>
      <c r="F850" s="727"/>
    </row>
    <row r="851">
      <c r="D851" s="727"/>
      <c r="E851" s="727"/>
      <c r="F851" s="727"/>
    </row>
    <row r="852">
      <c r="D852" s="727"/>
      <c r="E852" s="727"/>
      <c r="F852" s="727"/>
    </row>
    <row r="853">
      <c r="D853" s="727"/>
      <c r="E853" s="727"/>
      <c r="F853" s="727"/>
    </row>
    <row r="854">
      <c r="D854" s="727"/>
      <c r="E854" s="727"/>
      <c r="F854" s="727"/>
    </row>
    <row r="855">
      <c r="D855" s="727"/>
      <c r="E855" s="727"/>
      <c r="F855" s="727"/>
    </row>
    <row r="856">
      <c r="D856" s="727"/>
      <c r="E856" s="727"/>
      <c r="F856" s="727"/>
    </row>
    <row r="857">
      <c r="D857" s="727"/>
      <c r="E857" s="727"/>
      <c r="F857" s="727"/>
    </row>
    <row r="858">
      <c r="D858" s="727"/>
      <c r="E858" s="727"/>
      <c r="F858" s="727"/>
    </row>
    <row r="859">
      <c r="D859" s="727"/>
      <c r="E859" s="727"/>
      <c r="F859" s="727"/>
    </row>
    <row r="860">
      <c r="D860" s="727"/>
      <c r="E860" s="727"/>
      <c r="F860" s="727"/>
    </row>
    <row r="861">
      <c r="D861" s="727"/>
      <c r="E861" s="727"/>
      <c r="F861" s="727"/>
    </row>
    <row r="862">
      <c r="D862" s="727"/>
      <c r="E862" s="727"/>
      <c r="F862" s="727"/>
    </row>
    <row r="863">
      <c r="D863" s="727"/>
      <c r="E863" s="727"/>
      <c r="F863" s="727"/>
    </row>
    <row r="864">
      <c r="D864" s="727"/>
      <c r="E864" s="727"/>
      <c r="F864" s="727"/>
    </row>
    <row r="865">
      <c r="D865" s="727"/>
      <c r="E865" s="727"/>
      <c r="F865" s="727"/>
    </row>
    <row r="866">
      <c r="D866" s="727"/>
      <c r="E866" s="727"/>
      <c r="F866" s="727"/>
    </row>
    <row r="867">
      <c r="D867" s="727"/>
      <c r="E867" s="727"/>
      <c r="F867" s="727"/>
    </row>
    <row r="868">
      <c r="D868" s="727"/>
      <c r="E868" s="727"/>
      <c r="F868" s="727"/>
    </row>
    <row r="869">
      <c r="D869" s="727"/>
      <c r="E869" s="727"/>
      <c r="F869" s="727"/>
    </row>
    <row r="870">
      <c r="D870" s="727"/>
      <c r="E870" s="727"/>
      <c r="F870" s="727"/>
    </row>
    <row r="871">
      <c r="D871" s="727"/>
      <c r="E871" s="727"/>
      <c r="F871" s="727"/>
    </row>
    <row r="872">
      <c r="D872" s="727"/>
      <c r="E872" s="727"/>
      <c r="F872" s="727"/>
    </row>
    <row r="873">
      <c r="D873" s="727"/>
      <c r="E873" s="727"/>
      <c r="F873" s="727"/>
    </row>
    <row r="874">
      <c r="D874" s="727"/>
      <c r="E874" s="727"/>
      <c r="F874" s="727"/>
    </row>
    <row r="875">
      <c r="D875" s="727"/>
      <c r="E875" s="727"/>
      <c r="F875" s="727"/>
    </row>
    <row r="876">
      <c r="D876" s="727"/>
      <c r="E876" s="727"/>
      <c r="F876" s="727"/>
    </row>
    <row r="877">
      <c r="D877" s="727"/>
      <c r="E877" s="727"/>
      <c r="F877" s="727"/>
    </row>
    <row r="878">
      <c r="D878" s="727"/>
      <c r="E878" s="727"/>
      <c r="F878" s="727"/>
    </row>
    <row r="879">
      <c r="D879" s="727"/>
      <c r="E879" s="727"/>
      <c r="F879" s="727"/>
    </row>
    <row r="880">
      <c r="D880" s="727"/>
      <c r="E880" s="727"/>
      <c r="F880" s="727"/>
    </row>
    <row r="881">
      <c r="D881" s="727"/>
      <c r="E881" s="727"/>
      <c r="F881" s="727"/>
    </row>
    <row r="882">
      <c r="D882" s="727"/>
      <c r="E882" s="727"/>
      <c r="F882" s="727"/>
    </row>
    <row r="883">
      <c r="D883" s="727"/>
      <c r="E883" s="727"/>
      <c r="F883" s="727"/>
    </row>
    <row r="884">
      <c r="D884" s="727"/>
      <c r="E884" s="727"/>
      <c r="F884" s="727"/>
    </row>
    <row r="885">
      <c r="D885" s="727"/>
      <c r="E885" s="727"/>
      <c r="F885" s="727"/>
    </row>
    <row r="886">
      <c r="D886" s="727"/>
      <c r="E886" s="727"/>
      <c r="F886" s="727"/>
    </row>
    <row r="887">
      <c r="D887" s="727"/>
      <c r="E887" s="727"/>
      <c r="F887" s="727"/>
    </row>
    <row r="888">
      <c r="D888" s="727"/>
      <c r="E888" s="727"/>
      <c r="F888" s="727"/>
    </row>
    <row r="889">
      <c r="D889" s="727"/>
      <c r="E889" s="727"/>
      <c r="F889" s="727"/>
    </row>
    <row r="890">
      <c r="D890" s="727"/>
      <c r="E890" s="727"/>
      <c r="F890" s="727"/>
    </row>
    <row r="891">
      <c r="D891" s="727"/>
      <c r="E891" s="727"/>
      <c r="F891" s="727"/>
    </row>
    <row r="892">
      <c r="D892" s="727"/>
      <c r="E892" s="727"/>
      <c r="F892" s="727"/>
    </row>
    <row r="893">
      <c r="D893" s="727"/>
      <c r="E893" s="727"/>
      <c r="F893" s="727"/>
    </row>
    <row r="894">
      <c r="D894" s="727"/>
      <c r="E894" s="727"/>
      <c r="F894" s="727"/>
    </row>
    <row r="895">
      <c r="D895" s="727"/>
      <c r="E895" s="727"/>
      <c r="F895" s="727"/>
    </row>
    <row r="896">
      <c r="D896" s="727"/>
      <c r="E896" s="727"/>
      <c r="F896" s="727"/>
    </row>
    <row r="897">
      <c r="D897" s="727"/>
      <c r="E897" s="727"/>
      <c r="F897" s="727"/>
    </row>
    <row r="898">
      <c r="D898" s="727"/>
      <c r="E898" s="727"/>
      <c r="F898" s="727"/>
    </row>
    <row r="899">
      <c r="D899" s="727"/>
      <c r="E899" s="727"/>
      <c r="F899" s="727"/>
    </row>
    <row r="900">
      <c r="D900" s="727"/>
      <c r="E900" s="727"/>
      <c r="F900" s="727"/>
    </row>
    <row r="901">
      <c r="D901" s="727"/>
      <c r="E901" s="727"/>
      <c r="F901" s="727"/>
    </row>
    <row r="902">
      <c r="D902" s="727"/>
      <c r="E902" s="727"/>
      <c r="F902" s="727"/>
    </row>
    <row r="903">
      <c r="D903" s="727"/>
      <c r="E903" s="727"/>
      <c r="F903" s="727"/>
    </row>
    <row r="904">
      <c r="D904" s="727"/>
      <c r="E904" s="727"/>
      <c r="F904" s="727"/>
    </row>
    <row r="905">
      <c r="D905" s="727"/>
      <c r="E905" s="727"/>
      <c r="F905" s="727"/>
    </row>
    <row r="906">
      <c r="D906" s="727"/>
      <c r="E906" s="727"/>
      <c r="F906" s="727"/>
    </row>
    <row r="907">
      <c r="D907" s="727"/>
      <c r="E907" s="727"/>
      <c r="F907" s="727"/>
    </row>
    <row r="908">
      <c r="D908" s="727"/>
      <c r="E908" s="727"/>
      <c r="F908" s="727"/>
    </row>
    <row r="909">
      <c r="D909" s="727"/>
      <c r="E909" s="727"/>
      <c r="F909" s="727"/>
    </row>
    <row r="910">
      <c r="D910" s="727"/>
      <c r="E910" s="727"/>
      <c r="F910" s="727"/>
    </row>
    <row r="911">
      <c r="D911" s="727"/>
      <c r="E911" s="727"/>
      <c r="F911" s="727"/>
    </row>
    <row r="912">
      <c r="D912" s="727"/>
      <c r="E912" s="727"/>
      <c r="F912" s="727"/>
    </row>
    <row r="913">
      <c r="D913" s="727"/>
      <c r="E913" s="727"/>
      <c r="F913" s="727"/>
    </row>
    <row r="914">
      <c r="D914" s="727"/>
      <c r="E914" s="727"/>
      <c r="F914" s="727"/>
    </row>
    <row r="915">
      <c r="D915" s="727"/>
      <c r="E915" s="727"/>
      <c r="F915" s="727"/>
    </row>
    <row r="916">
      <c r="D916" s="727"/>
      <c r="E916" s="727"/>
      <c r="F916" s="727"/>
    </row>
    <row r="917">
      <c r="D917" s="727"/>
      <c r="E917" s="727"/>
      <c r="F917" s="727"/>
    </row>
    <row r="918">
      <c r="D918" s="727"/>
      <c r="E918" s="727"/>
      <c r="F918" s="727"/>
    </row>
    <row r="919">
      <c r="D919" s="727"/>
      <c r="E919" s="727"/>
      <c r="F919" s="727"/>
    </row>
    <row r="920">
      <c r="D920" s="727"/>
      <c r="E920" s="727"/>
      <c r="F920" s="727"/>
    </row>
    <row r="921">
      <c r="D921" s="727"/>
      <c r="E921" s="727"/>
      <c r="F921" s="727"/>
    </row>
    <row r="922">
      <c r="D922" s="727"/>
      <c r="E922" s="727"/>
      <c r="F922" s="727"/>
    </row>
    <row r="923">
      <c r="D923" s="727"/>
      <c r="E923" s="727"/>
      <c r="F923" s="727"/>
    </row>
    <row r="924">
      <c r="D924" s="727"/>
      <c r="E924" s="727"/>
      <c r="F924" s="727"/>
    </row>
    <row r="925">
      <c r="D925" s="727"/>
      <c r="E925" s="727"/>
      <c r="F925" s="727"/>
    </row>
    <row r="926">
      <c r="D926" s="727"/>
      <c r="E926" s="727"/>
      <c r="F926" s="727"/>
    </row>
    <row r="927">
      <c r="D927" s="727"/>
      <c r="E927" s="727"/>
      <c r="F927" s="727"/>
    </row>
    <row r="928">
      <c r="D928" s="727"/>
      <c r="E928" s="727"/>
      <c r="F928" s="727"/>
    </row>
    <row r="929">
      <c r="D929" s="727"/>
      <c r="E929" s="727"/>
      <c r="F929" s="727"/>
    </row>
    <row r="930">
      <c r="D930" s="727"/>
      <c r="E930" s="727"/>
      <c r="F930" s="727"/>
    </row>
    <row r="931">
      <c r="D931" s="727"/>
      <c r="E931" s="727"/>
      <c r="F931" s="727"/>
    </row>
    <row r="932">
      <c r="D932" s="727"/>
      <c r="E932" s="727"/>
      <c r="F932" s="727"/>
    </row>
    <row r="933">
      <c r="D933" s="727"/>
      <c r="E933" s="727"/>
      <c r="F933" s="727"/>
    </row>
    <row r="934">
      <c r="D934" s="727"/>
      <c r="E934" s="727"/>
      <c r="F934" s="727"/>
    </row>
    <row r="935">
      <c r="D935" s="727"/>
      <c r="E935" s="727"/>
      <c r="F935" s="727"/>
    </row>
    <row r="936">
      <c r="D936" s="727"/>
      <c r="E936" s="727"/>
      <c r="F936" s="727"/>
    </row>
    <row r="937">
      <c r="D937" s="727"/>
      <c r="E937" s="727"/>
      <c r="F937" s="727"/>
    </row>
    <row r="938">
      <c r="D938" s="727"/>
      <c r="E938" s="727"/>
      <c r="F938" s="727"/>
    </row>
    <row r="939">
      <c r="D939" s="727"/>
      <c r="E939" s="727"/>
      <c r="F939" s="727"/>
    </row>
    <row r="940">
      <c r="D940" s="727"/>
      <c r="E940" s="727"/>
      <c r="F940" s="727"/>
    </row>
    <row r="941">
      <c r="D941" s="727"/>
      <c r="E941" s="727"/>
      <c r="F941" s="727"/>
    </row>
    <row r="942">
      <c r="D942" s="727"/>
      <c r="E942" s="727"/>
      <c r="F942" s="727"/>
    </row>
    <row r="943">
      <c r="D943" s="727"/>
      <c r="E943" s="727"/>
      <c r="F943" s="727"/>
    </row>
    <row r="944">
      <c r="D944" s="727"/>
      <c r="E944" s="727"/>
      <c r="F944" s="727"/>
    </row>
    <row r="945">
      <c r="D945" s="727"/>
      <c r="E945" s="727"/>
      <c r="F945" s="727"/>
    </row>
    <row r="946">
      <c r="D946" s="727"/>
      <c r="E946" s="727"/>
      <c r="F946" s="727"/>
    </row>
    <row r="947">
      <c r="D947" s="727"/>
      <c r="E947" s="727"/>
      <c r="F947" s="727"/>
    </row>
    <row r="948">
      <c r="D948" s="727"/>
      <c r="E948" s="727"/>
      <c r="F948" s="727"/>
    </row>
    <row r="949">
      <c r="D949" s="727"/>
      <c r="E949" s="727"/>
      <c r="F949" s="727"/>
    </row>
    <row r="950">
      <c r="D950" s="727"/>
      <c r="E950" s="727"/>
      <c r="F950" s="727"/>
    </row>
    <row r="951">
      <c r="D951" s="727"/>
      <c r="E951" s="727"/>
      <c r="F951" s="727"/>
    </row>
    <row r="952">
      <c r="D952" s="727"/>
      <c r="E952" s="727"/>
      <c r="F952" s="727"/>
    </row>
    <row r="953">
      <c r="D953" s="727"/>
      <c r="E953" s="727"/>
      <c r="F953" s="727"/>
    </row>
    <row r="954">
      <c r="D954" s="727"/>
      <c r="E954" s="727"/>
      <c r="F954" s="727"/>
    </row>
    <row r="955">
      <c r="D955" s="727"/>
      <c r="E955" s="727"/>
      <c r="F955" s="727"/>
    </row>
    <row r="956">
      <c r="D956" s="727"/>
      <c r="E956" s="727"/>
      <c r="F956" s="727"/>
    </row>
    <row r="957">
      <c r="D957" s="727"/>
      <c r="E957" s="727"/>
      <c r="F957" s="727"/>
    </row>
    <row r="958">
      <c r="D958" s="727"/>
      <c r="E958" s="727"/>
      <c r="F958" s="727"/>
    </row>
    <row r="959">
      <c r="D959" s="727"/>
      <c r="E959" s="727"/>
      <c r="F959" s="727"/>
    </row>
    <row r="960">
      <c r="D960" s="727"/>
      <c r="E960" s="727"/>
      <c r="F960" s="727"/>
    </row>
    <row r="961">
      <c r="D961" s="727"/>
      <c r="E961" s="727"/>
      <c r="F961" s="727"/>
    </row>
    <row r="962">
      <c r="D962" s="727"/>
      <c r="E962" s="727"/>
      <c r="F962" s="727"/>
    </row>
    <row r="963">
      <c r="D963" s="727"/>
      <c r="E963" s="727"/>
      <c r="F963" s="727"/>
    </row>
    <row r="964">
      <c r="D964" s="727"/>
      <c r="E964" s="727"/>
      <c r="F964" s="727"/>
    </row>
    <row r="965">
      <c r="D965" s="727"/>
      <c r="E965" s="727"/>
      <c r="F965" s="727"/>
    </row>
    <row r="966">
      <c r="D966" s="727"/>
      <c r="E966" s="727"/>
      <c r="F966" s="727"/>
    </row>
    <row r="967">
      <c r="D967" s="727"/>
      <c r="E967" s="727"/>
      <c r="F967" s="727"/>
    </row>
    <row r="968">
      <c r="D968" s="727"/>
      <c r="E968" s="727"/>
      <c r="F968" s="727"/>
    </row>
    <row r="969">
      <c r="D969" s="727"/>
      <c r="E969" s="727"/>
      <c r="F969" s="727"/>
    </row>
    <row r="970">
      <c r="D970" s="727"/>
      <c r="E970" s="727"/>
      <c r="F970" s="727"/>
    </row>
    <row r="971">
      <c r="D971" s="727"/>
      <c r="E971" s="727"/>
      <c r="F971" s="727"/>
    </row>
    <row r="972">
      <c r="D972" s="727"/>
      <c r="E972" s="727"/>
      <c r="F972" s="727"/>
    </row>
    <row r="973">
      <c r="D973" s="727"/>
      <c r="E973" s="727"/>
      <c r="F973" s="727"/>
    </row>
    <row r="974">
      <c r="D974" s="727"/>
      <c r="E974" s="727"/>
      <c r="F974" s="727"/>
    </row>
    <row r="975">
      <c r="D975" s="727"/>
      <c r="E975" s="727"/>
      <c r="F975" s="727"/>
    </row>
    <row r="976">
      <c r="D976" s="727"/>
      <c r="E976" s="727"/>
      <c r="F976" s="727"/>
    </row>
    <row r="977">
      <c r="D977" s="727"/>
      <c r="E977" s="727"/>
      <c r="F977" s="727"/>
    </row>
    <row r="978">
      <c r="D978" s="727"/>
      <c r="E978" s="727"/>
      <c r="F978" s="727"/>
    </row>
    <row r="979">
      <c r="D979" s="727"/>
      <c r="E979" s="727"/>
      <c r="F979" s="727"/>
    </row>
    <row r="980">
      <c r="D980" s="727"/>
      <c r="E980" s="727"/>
      <c r="F980" s="727"/>
    </row>
    <row r="981">
      <c r="D981" s="727"/>
      <c r="E981" s="727"/>
      <c r="F981" s="727"/>
    </row>
    <row r="982">
      <c r="D982" s="727"/>
      <c r="E982" s="727"/>
      <c r="F982" s="727"/>
    </row>
    <row r="983">
      <c r="D983" s="727"/>
      <c r="E983" s="727"/>
      <c r="F983" s="727"/>
    </row>
    <row r="984">
      <c r="D984" s="727"/>
      <c r="E984" s="727"/>
      <c r="F984" s="727"/>
    </row>
    <row r="985">
      <c r="D985" s="727"/>
      <c r="E985" s="727"/>
      <c r="F985" s="727"/>
    </row>
    <row r="986">
      <c r="D986" s="727"/>
      <c r="E986" s="727"/>
      <c r="F986" s="727"/>
    </row>
    <row r="987">
      <c r="D987" s="727"/>
      <c r="E987" s="727"/>
      <c r="F987" s="727"/>
    </row>
    <row r="988">
      <c r="D988" s="727"/>
      <c r="E988" s="727"/>
      <c r="F988" s="727"/>
    </row>
    <row r="989">
      <c r="D989" s="727"/>
      <c r="E989" s="727"/>
      <c r="F989" s="727"/>
    </row>
    <row r="990">
      <c r="D990" s="727"/>
      <c r="E990" s="727"/>
      <c r="F990" s="727"/>
    </row>
    <row r="991">
      <c r="D991" s="727"/>
      <c r="E991" s="727"/>
      <c r="F991" s="727"/>
    </row>
    <row r="992">
      <c r="D992" s="727"/>
      <c r="E992" s="727"/>
      <c r="F992" s="727"/>
    </row>
    <row r="993">
      <c r="D993" s="727"/>
      <c r="E993" s="727"/>
      <c r="F993" s="727"/>
    </row>
    <row r="994">
      <c r="D994" s="727"/>
      <c r="E994" s="727"/>
      <c r="F994" s="727"/>
    </row>
    <row r="995">
      <c r="D995" s="727"/>
      <c r="E995" s="727"/>
      <c r="F995" s="727"/>
    </row>
    <row r="996">
      <c r="D996" s="727"/>
      <c r="E996" s="727"/>
      <c r="F996" s="727"/>
    </row>
    <row r="997">
      <c r="D997" s="727"/>
      <c r="E997" s="727"/>
      <c r="F997" s="727"/>
    </row>
    <row r="998">
      <c r="D998" s="727"/>
      <c r="E998" s="727"/>
      <c r="F998" s="727"/>
    </row>
    <row r="999">
      <c r="D999" s="727"/>
      <c r="E999" s="727"/>
      <c r="F999" s="727"/>
    </row>
    <row r="1000">
      <c r="D1000" s="727"/>
      <c r="E1000" s="727"/>
      <c r="F1000" s="727"/>
    </row>
    <row r="1001">
      <c r="D1001" s="727"/>
      <c r="E1001" s="727"/>
      <c r="F1001" s="727"/>
    </row>
    <row r="1002">
      <c r="D1002" s="727"/>
      <c r="E1002" s="727"/>
      <c r="F1002" s="727"/>
    </row>
  </sheetData>
  <mergeCells count="1">
    <mergeCell ref="A2:I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43.86"/>
    <col customWidth="1" min="3" max="3" width="11.0"/>
    <col customWidth="1" min="4" max="4" width="9.71"/>
    <col customWidth="1" min="5" max="5" width="9.29"/>
    <col customWidth="1" min="6" max="6" width="8.86"/>
    <col customWidth="1" min="7" max="7" width="9.29"/>
    <col customWidth="1" min="10" max="10" width="16.71"/>
    <col customWidth="1" min="11" max="11" width="14.43"/>
    <col customWidth="1" min="12" max="12" width="13.14"/>
    <col customWidth="1" min="13" max="13" width="11.71"/>
  </cols>
  <sheetData>
    <row r="1">
      <c r="A1" s="911" t="s">
        <v>13366</v>
      </c>
      <c r="B1" s="912" t="s">
        <v>13367</v>
      </c>
      <c r="C1" s="913">
        <v>45456.0</v>
      </c>
      <c r="D1" s="914"/>
      <c r="E1" s="82"/>
      <c r="F1" s="82"/>
      <c r="G1" s="82"/>
    </row>
    <row r="2">
      <c r="A2" s="100" t="s">
        <v>13368</v>
      </c>
      <c r="B2" s="100" t="s">
        <v>13369</v>
      </c>
      <c r="C2" s="100" t="s">
        <v>13370</v>
      </c>
      <c r="D2" s="82"/>
      <c r="E2" s="82"/>
      <c r="F2" s="82"/>
      <c r="G2" s="82"/>
    </row>
    <row r="3">
      <c r="A3" s="100" t="s">
        <v>13371</v>
      </c>
      <c r="B3" s="100" t="s">
        <v>13372</v>
      </c>
      <c r="C3" s="100" t="s">
        <v>13373</v>
      </c>
      <c r="D3" s="82"/>
      <c r="E3" s="82"/>
      <c r="F3" s="82"/>
      <c r="G3" s="82"/>
    </row>
    <row r="4">
      <c r="A4" s="100" t="s">
        <v>13374</v>
      </c>
      <c r="B4" s="100" t="s">
        <v>13375</v>
      </c>
      <c r="C4" s="100" t="s">
        <v>13376</v>
      </c>
      <c r="D4" s="82"/>
      <c r="E4" s="82"/>
      <c r="F4" s="82"/>
      <c r="G4" s="82"/>
    </row>
    <row r="5">
      <c r="A5" s="100" t="s">
        <v>13377</v>
      </c>
      <c r="B5" s="100" t="s">
        <v>13378</v>
      </c>
      <c r="C5" s="100" t="s">
        <v>13379</v>
      </c>
      <c r="D5" s="82"/>
      <c r="E5" s="82"/>
      <c r="F5" s="82"/>
      <c r="G5" s="82"/>
    </row>
    <row r="6">
      <c r="A6" s="100" t="s">
        <v>13380</v>
      </c>
      <c r="B6" s="100" t="s">
        <v>13381</v>
      </c>
      <c r="C6" s="100" t="s">
        <v>13382</v>
      </c>
      <c r="D6" s="82"/>
      <c r="E6" s="82"/>
      <c r="F6" s="82"/>
      <c r="G6" s="82"/>
    </row>
    <row r="7">
      <c r="A7" s="100" t="s">
        <v>13383</v>
      </c>
      <c r="B7" s="100" t="s">
        <v>13384</v>
      </c>
      <c r="C7" s="100" t="s">
        <v>13385</v>
      </c>
      <c r="D7" s="82"/>
      <c r="E7" s="82"/>
      <c r="F7" s="82"/>
      <c r="G7" s="82"/>
    </row>
    <row r="8">
      <c r="A8" s="100" t="s">
        <v>13386</v>
      </c>
      <c r="B8" s="100" t="s">
        <v>13387</v>
      </c>
      <c r="C8" s="915" t="s">
        <v>13388</v>
      </c>
      <c r="D8" s="82"/>
      <c r="E8" s="82"/>
      <c r="F8" s="82"/>
      <c r="G8" s="82"/>
    </row>
    <row r="9">
      <c r="A9" s="100" t="s">
        <v>13389</v>
      </c>
      <c r="B9" s="100" t="s">
        <v>13390</v>
      </c>
      <c r="C9" s="100" t="s">
        <v>13391</v>
      </c>
      <c r="D9" s="82"/>
      <c r="E9" s="82"/>
      <c r="F9" s="82"/>
      <c r="G9" s="82"/>
    </row>
    <row r="10">
      <c r="A10" s="100" t="s">
        <v>13392</v>
      </c>
      <c r="B10" s="100" t="s">
        <v>13393</v>
      </c>
      <c r="C10" s="100" t="s">
        <v>13370</v>
      </c>
      <c r="D10" s="82"/>
      <c r="E10" s="82"/>
      <c r="F10" s="82"/>
      <c r="G10" s="82"/>
    </row>
    <row r="11">
      <c r="A11" s="100" t="s">
        <v>13394</v>
      </c>
      <c r="B11" s="100" t="s">
        <v>13395</v>
      </c>
      <c r="C11" s="100" t="s">
        <v>13391</v>
      </c>
      <c r="D11" s="82"/>
      <c r="E11" s="82"/>
      <c r="F11" s="82"/>
      <c r="G11" s="82"/>
    </row>
    <row r="12">
      <c r="A12" s="100" t="s">
        <v>13396</v>
      </c>
      <c r="B12" s="100" t="s">
        <v>13397</v>
      </c>
      <c r="C12" s="100" t="s">
        <v>13398</v>
      </c>
      <c r="D12" s="82"/>
      <c r="E12" s="82"/>
      <c r="F12" s="82"/>
      <c r="G12" s="82"/>
    </row>
    <row r="13">
      <c r="A13" s="100" t="s">
        <v>13399</v>
      </c>
      <c r="B13" s="100" t="s">
        <v>13400</v>
      </c>
      <c r="C13" s="100" t="s">
        <v>13401</v>
      </c>
      <c r="D13" s="82"/>
      <c r="E13" s="82"/>
      <c r="F13" s="82"/>
      <c r="G13" s="82"/>
    </row>
    <row r="14">
      <c r="A14" s="100" t="s">
        <v>13402</v>
      </c>
      <c r="B14" s="100" t="s">
        <v>13403</v>
      </c>
      <c r="C14" s="100" t="s">
        <v>13404</v>
      </c>
      <c r="D14" s="82"/>
      <c r="E14" s="82"/>
      <c r="F14" s="82"/>
      <c r="G14" s="82"/>
    </row>
    <row r="15">
      <c r="A15" s="100" t="s">
        <v>13405</v>
      </c>
      <c r="B15" s="100" t="s">
        <v>13406</v>
      </c>
      <c r="C15" s="100" t="s">
        <v>13407</v>
      </c>
      <c r="D15" s="82"/>
      <c r="E15" s="82"/>
      <c r="F15" s="82"/>
      <c r="G15" s="82"/>
    </row>
    <row r="16">
      <c r="A16" s="100" t="s">
        <v>13408</v>
      </c>
      <c r="B16" s="100" t="s">
        <v>13409</v>
      </c>
      <c r="C16" s="100" t="s">
        <v>13410</v>
      </c>
      <c r="D16" s="82"/>
      <c r="E16" s="82"/>
      <c r="F16" s="82"/>
      <c r="G16" s="82"/>
    </row>
    <row r="17">
      <c r="A17" s="100" t="s">
        <v>13411</v>
      </c>
      <c r="B17" s="100" t="s">
        <v>13412</v>
      </c>
      <c r="C17" s="100" t="s">
        <v>13413</v>
      </c>
      <c r="D17" s="82"/>
      <c r="E17" s="82"/>
      <c r="F17" s="82"/>
      <c r="G17" s="82"/>
    </row>
    <row r="18">
      <c r="A18" s="100" t="s">
        <v>13414</v>
      </c>
      <c r="B18" s="100" t="s">
        <v>13415</v>
      </c>
      <c r="C18" s="100" t="s">
        <v>13398</v>
      </c>
      <c r="D18" s="82"/>
      <c r="E18" s="82"/>
      <c r="F18" s="82"/>
      <c r="G18" s="82"/>
    </row>
    <row r="19">
      <c r="A19" s="100" t="s">
        <v>13416</v>
      </c>
      <c r="B19" s="100" t="s">
        <v>13417</v>
      </c>
      <c r="C19" s="100" t="s">
        <v>13398</v>
      </c>
      <c r="D19" s="82"/>
      <c r="E19" s="82"/>
      <c r="F19" s="82"/>
      <c r="G19" s="82"/>
    </row>
    <row r="20">
      <c r="A20" s="100" t="s">
        <v>13418</v>
      </c>
      <c r="B20" s="100" t="s">
        <v>13419</v>
      </c>
      <c r="C20" s="100" t="s">
        <v>13398</v>
      </c>
      <c r="D20" s="82"/>
      <c r="E20" s="82"/>
      <c r="F20" s="82"/>
      <c r="G20" s="82"/>
    </row>
    <row r="21">
      <c r="A21" s="100" t="s">
        <v>13420</v>
      </c>
      <c r="B21" s="100" t="s">
        <v>13421</v>
      </c>
      <c r="C21" s="100" t="s">
        <v>13422</v>
      </c>
      <c r="D21" s="82"/>
      <c r="E21" s="82"/>
      <c r="F21" s="82"/>
      <c r="G21" s="82"/>
    </row>
    <row r="22">
      <c r="A22" s="100" t="s">
        <v>13423</v>
      </c>
      <c r="B22" s="100" t="s">
        <v>13424</v>
      </c>
      <c r="C22" s="100" t="s">
        <v>13425</v>
      </c>
      <c r="D22" s="82"/>
      <c r="E22" s="82"/>
      <c r="F22" s="82"/>
      <c r="G22" s="82"/>
    </row>
    <row r="23">
      <c r="A23" s="100" t="s">
        <v>13426</v>
      </c>
      <c r="B23" s="100" t="s">
        <v>13427</v>
      </c>
      <c r="C23" s="100" t="s">
        <v>13428</v>
      </c>
      <c r="D23" s="82"/>
      <c r="E23" s="82"/>
      <c r="F23" s="82"/>
      <c r="G23" s="82"/>
    </row>
    <row r="24">
      <c r="A24" s="100" t="s">
        <v>13429</v>
      </c>
      <c r="B24" s="100" t="s">
        <v>13430</v>
      </c>
      <c r="C24" s="100" t="s">
        <v>13382</v>
      </c>
      <c r="D24" s="82"/>
      <c r="E24" s="82"/>
      <c r="F24" s="82"/>
      <c r="G24" s="82"/>
    </row>
    <row r="25">
      <c r="A25" s="100" t="s">
        <v>13431</v>
      </c>
      <c r="B25" s="100" t="s">
        <v>12202</v>
      </c>
      <c r="C25" s="100" t="s">
        <v>13398</v>
      </c>
      <c r="D25" s="82"/>
      <c r="E25" s="82"/>
      <c r="F25" s="82"/>
      <c r="G25" s="82"/>
    </row>
    <row r="26">
      <c r="A26" s="100" t="s">
        <v>13432</v>
      </c>
      <c r="B26" s="100" t="s">
        <v>13433</v>
      </c>
      <c r="C26" s="100" t="s">
        <v>13434</v>
      </c>
      <c r="D26" s="82"/>
      <c r="E26" s="82"/>
      <c r="F26" s="82"/>
      <c r="G26" s="82"/>
    </row>
    <row r="27">
      <c r="A27" s="100" t="s">
        <v>13435</v>
      </c>
      <c r="B27" s="100" t="s">
        <v>13436</v>
      </c>
      <c r="C27" s="100" t="s">
        <v>13437</v>
      </c>
      <c r="D27" s="82"/>
      <c r="E27" s="82"/>
      <c r="F27" s="82"/>
      <c r="G27" s="82"/>
    </row>
    <row r="28">
      <c r="A28" s="100" t="s">
        <v>13438</v>
      </c>
      <c r="B28" s="100" t="s">
        <v>13439</v>
      </c>
      <c r="C28" s="100" t="s">
        <v>13440</v>
      </c>
      <c r="D28" s="82"/>
      <c r="E28" s="82"/>
      <c r="F28" s="82"/>
      <c r="G28" s="82"/>
    </row>
    <row r="29">
      <c r="A29" s="100" t="s">
        <v>13441</v>
      </c>
      <c r="B29" s="100" t="s">
        <v>13442</v>
      </c>
      <c r="C29" s="100" t="s">
        <v>13398</v>
      </c>
      <c r="D29" s="82"/>
      <c r="E29" s="82"/>
      <c r="F29" s="82"/>
      <c r="G29" s="82"/>
    </row>
    <row r="30">
      <c r="A30" s="100" t="s">
        <v>13443</v>
      </c>
      <c r="B30" s="100" t="s">
        <v>13444</v>
      </c>
      <c r="C30" s="100" t="s">
        <v>13428</v>
      </c>
      <c r="D30" s="82"/>
      <c r="E30" s="82"/>
      <c r="F30" s="82"/>
      <c r="G30" s="82"/>
    </row>
    <row r="31">
      <c r="A31" s="100" t="s">
        <v>13445</v>
      </c>
      <c r="B31" s="100" t="s">
        <v>13446</v>
      </c>
      <c r="C31" s="100" t="s">
        <v>13398</v>
      </c>
      <c r="D31" s="82"/>
      <c r="E31" s="82"/>
      <c r="F31" s="82"/>
      <c r="G31" s="82"/>
    </row>
    <row r="32">
      <c r="A32" s="100" t="s">
        <v>13447</v>
      </c>
      <c r="B32" s="100" t="s">
        <v>13448</v>
      </c>
      <c r="C32" s="100" t="s">
        <v>13398</v>
      </c>
      <c r="D32" s="82"/>
      <c r="E32" s="82"/>
      <c r="F32" s="82"/>
      <c r="G32" s="82"/>
    </row>
    <row r="33">
      <c r="A33" s="100" t="s">
        <v>13449</v>
      </c>
      <c r="B33" s="100" t="s">
        <v>13450</v>
      </c>
      <c r="C33" s="100" t="s">
        <v>13398</v>
      </c>
      <c r="D33" s="82"/>
      <c r="E33" s="82"/>
      <c r="F33" s="82"/>
      <c r="G33" s="82"/>
    </row>
    <row r="34">
      <c r="A34" s="100" t="s">
        <v>13451</v>
      </c>
      <c r="B34" s="100" t="s">
        <v>13452</v>
      </c>
      <c r="C34" s="100" t="s">
        <v>13398</v>
      </c>
      <c r="D34" s="82"/>
      <c r="E34" s="82"/>
      <c r="F34" s="82"/>
      <c r="G34" s="82"/>
    </row>
    <row r="35">
      <c r="A35" s="100" t="s">
        <v>13453</v>
      </c>
      <c r="B35" s="100" t="s">
        <v>13454</v>
      </c>
      <c r="C35" s="100" t="s">
        <v>13398</v>
      </c>
      <c r="D35" s="82"/>
      <c r="E35" s="82"/>
      <c r="F35" s="82"/>
      <c r="G35" s="82"/>
    </row>
    <row r="36">
      <c r="A36" s="100" t="s">
        <v>13455</v>
      </c>
      <c r="B36" s="100" t="s">
        <v>13456</v>
      </c>
      <c r="C36" s="100" t="s">
        <v>13398</v>
      </c>
      <c r="D36" s="82"/>
      <c r="E36" s="82"/>
      <c r="F36" s="82"/>
      <c r="G36" s="82"/>
    </row>
    <row r="37">
      <c r="A37" s="100" t="s">
        <v>13457</v>
      </c>
      <c r="B37" s="100" t="s">
        <v>12511</v>
      </c>
      <c r="C37" s="100" t="s">
        <v>13398</v>
      </c>
      <c r="D37" s="82"/>
      <c r="E37" s="82"/>
      <c r="F37" s="82"/>
      <c r="G37" s="82"/>
    </row>
    <row r="38">
      <c r="A38" s="100" t="s">
        <v>13458</v>
      </c>
      <c r="B38" s="100" t="s">
        <v>13459</v>
      </c>
      <c r="C38" s="100" t="s">
        <v>13460</v>
      </c>
      <c r="D38" s="82"/>
      <c r="E38" s="82"/>
      <c r="F38" s="82"/>
      <c r="G38" s="82"/>
    </row>
    <row r="39">
      <c r="A39" s="100" t="s">
        <v>13461</v>
      </c>
      <c r="B39" s="100" t="s">
        <v>13462</v>
      </c>
      <c r="C39" s="100" t="s">
        <v>13388</v>
      </c>
      <c r="D39" s="82"/>
      <c r="E39" s="82"/>
      <c r="F39" s="82"/>
      <c r="G39" s="82"/>
    </row>
    <row r="40">
      <c r="A40" s="100" t="s">
        <v>13463</v>
      </c>
      <c r="B40" s="100" t="s">
        <v>13464</v>
      </c>
      <c r="C40" s="100" t="s">
        <v>13385</v>
      </c>
      <c r="D40" s="82"/>
      <c r="E40" s="82"/>
      <c r="F40" s="82"/>
      <c r="G40" s="82"/>
    </row>
    <row r="41">
      <c r="A41" s="100" t="s">
        <v>13465</v>
      </c>
      <c r="B41" s="100" t="s">
        <v>13466</v>
      </c>
      <c r="C41" s="100" t="s">
        <v>13398</v>
      </c>
      <c r="D41" s="82"/>
      <c r="E41" s="82"/>
      <c r="F41" s="82"/>
      <c r="G41" s="82"/>
    </row>
    <row r="42">
      <c r="A42" s="100" t="s">
        <v>13467</v>
      </c>
      <c r="B42" s="100" t="s">
        <v>13468</v>
      </c>
      <c r="C42" s="100" t="s">
        <v>13388</v>
      </c>
      <c r="D42" s="82"/>
      <c r="E42" s="82"/>
      <c r="F42" s="82"/>
      <c r="G42" s="82"/>
    </row>
    <row r="43">
      <c r="A43" s="100" t="s">
        <v>13469</v>
      </c>
      <c r="B43" s="100" t="s">
        <v>13470</v>
      </c>
      <c r="C43" s="100" t="s">
        <v>13388</v>
      </c>
      <c r="D43" s="82"/>
      <c r="E43" s="82"/>
      <c r="F43" s="82"/>
      <c r="G43" s="82"/>
    </row>
    <row r="44">
      <c r="A44" s="100" t="s">
        <v>13471</v>
      </c>
      <c r="B44" s="100" t="s">
        <v>13472</v>
      </c>
      <c r="C44" s="100" t="s">
        <v>13388</v>
      </c>
      <c r="D44" s="82"/>
      <c r="E44" s="82"/>
      <c r="F44" s="82"/>
      <c r="G44" s="82"/>
    </row>
    <row r="45">
      <c r="A45" s="100">
        <v>44.0</v>
      </c>
      <c r="B45" s="100" t="s">
        <v>13473</v>
      </c>
      <c r="C45" s="100" t="s">
        <v>13474</v>
      </c>
      <c r="D45" s="82"/>
      <c r="E45" s="82"/>
      <c r="F45" s="82"/>
      <c r="G45" s="82"/>
    </row>
    <row r="46">
      <c r="A46" s="100">
        <v>45.0</v>
      </c>
      <c r="B46" s="100" t="s">
        <v>13475</v>
      </c>
      <c r="C46" s="100" t="s">
        <v>13391</v>
      </c>
      <c r="D46" s="82"/>
      <c r="E46" s="82"/>
      <c r="F46" s="82"/>
      <c r="G46" s="82"/>
    </row>
    <row r="47">
      <c r="A47" s="100">
        <v>46.0</v>
      </c>
      <c r="B47" s="100" t="s">
        <v>13476</v>
      </c>
      <c r="C47" s="100" t="s">
        <v>13398</v>
      </c>
      <c r="D47" s="82"/>
      <c r="E47" s="82"/>
      <c r="F47" s="82"/>
      <c r="G47" s="82"/>
    </row>
    <row r="48">
      <c r="A48" s="100">
        <v>47.0</v>
      </c>
      <c r="B48" s="100" t="s">
        <v>397</v>
      </c>
      <c r="C48" s="100" t="s">
        <v>13477</v>
      </c>
      <c r="D48" s="82"/>
      <c r="E48" s="82"/>
      <c r="F48" s="82"/>
      <c r="G48" s="82"/>
    </row>
    <row r="49">
      <c r="A49" s="100">
        <v>48.0</v>
      </c>
      <c r="B49" s="100" t="s">
        <v>13478</v>
      </c>
      <c r="C49" s="100" t="s">
        <v>13479</v>
      </c>
      <c r="D49" s="82"/>
      <c r="E49" s="82"/>
      <c r="F49" s="82"/>
      <c r="G49" s="82"/>
    </row>
    <row r="50">
      <c r="A50" s="100">
        <v>49.0</v>
      </c>
      <c r="B50" s="100" t="s">
        <v>13480</v>
      </c>
      <c r="C50" s="100" t="s">
        <v>13481</v>
      </c>
      <c r="D50" s="82"/>
      <c r="E50" s="82"/>
      <c r="F50" s="82"/>
      <c r="G50" s="82"/>
    </row>
    <row r="51">
      <c r="A51" s="100">
        <v>50.0</v>
      </c>
      <c r="B51" s="100" t="s">
        <v>13482</v>
      </c>
      <c r="C51" s="100" t="s">
        <v>13483</v>
      </c>
      <c r="D51" s="82"/>
      <c r="E51" s="82"/>
      <c r="F51" s="82"/>
      <c r="G51" s="82"/>
    </row>
    <row r="52">
      <c r="A52" s="100">
        <v>51.0</v>
      </c>
      <c r="B52" s="100" t="s">
        <v>13484</v>
      </c>
      <c r="C52" s="100" t="s">
        <v>13398</v>
      </c>
      <c r="D52" s="82"/>
      <c r="E52" s="82"/>
      <c r="F52" s="82"/>
      <c r="G52" s="82"/>
    </row>
    <row r="53">
      <c r="A53" s="100">
        <v>52.0</v>
      </c>
      <c r="B53" s="100" t="s">
        <v>13485</v>
      </c>
      <c r="C53" s="100" t="s">
        <v>13486</v>
      </c>
      <c r="D53" s="82"/>
      <c r="E53" s="82"/>
      <c r="F53" s="82"/>
      <c r="G53" s="82"/>
    </row>
    <row r="54">
      <c r="A54" s="100">
        <v>53.0</v>
      </c>
      <c r="B54" s="100" t="s">
        <v>13487</v>
      </c>
      <c r="C54" s="100" t="s">
        <v>13488</v>
      </c>
      <c r="D54" s="82"/>
      <c r="E54" s="82"/>
      <c r="F54" s="82"/>
      <c r="G54" s="82"/>
    </row>
    <row r="55">
      <c r="A55" s="574">
        <v>54.0</v>
      </c>
      <c r="B55" s="100" t="s">
        <v>13489</v>
      </c>
      <c r="C55" s="100" t="s">
        <v>13398</v>
      </c>
      <c r="D55" s="82"/>
      <c r="E55" s="82"/>
      <c r="F55" s="82"/>
      <c r="G55" s="82"/>
    </row>
    <row r="56">
      <c r="A56" s="100">
        <v>55.0</v>
      </c>
      <c r="B56" s="100" t="s">
        <v>13490</v>
      </c>
      <c r="C56" s="100" t="s">
        <v>13398</v>
      </c>
      <c r="D56" s="82"/>
      <c r="E56" s="82"/>
      <c r="F56" s="82"/>
      <c r="G56" s="82"/>
    </row>
    <row r="57">
      <c r="A57" s="100">
        <v>56.0</v>
      </c>
      <c r="B57" s="100" t="s">
        <v>13491</v>
      </c>
      <c r="C57" s="100" t="s">
        <v>13398</v>
      </c>
      <c r="D57" s="82"/>
      <c r="E57" s="82"/>
      <c r="F57" s="82"/>
      <c r="G57" s="82"/>
    </row>
    <row r="58">
      <c r="A58" s="100"/>
      <c r="B58" s="100"/>
      <c r="C58" s="100"/>
      <c r="D58" s="106"/>
      <c r="E58" s="106"/>
      <c r="F58" s="106"/>
      <c r="G58" s="106"/>
    </row>
    <row r="59">
      <c r="A59" s="100"/>
      <c r="B59" s="100"/>
      <c r="C59" s="100"/>
      <c r="D59" s="106"/>
      <c r="E59" s="106"/>
      <c r="F59" s="106"/>
      <c r="G59" s="106"/>
    </row>
    <row r="60">
      <c r="A60" s="100"/>
      <c r="B60" s="100"/>
      <c r="C60" s="100"/>
      <c r="D60" s="106"/>
      <c r="E60" s="106"/>
      <c r="F60" s="106"/>
      <c r="G60" s="106"/>
    </row>
    <row r="61">
      <c r="A61" s="100"/>
      <c r="B61" s="100"/>
      <c r="C61" s="100"/>
      <c r="D61" s="106"/>
      <c r="E61" s="106"/>
      <c r="F61" s="106"/>
      <c r="G61" s="106"/>
    </row>
    <row r="62">
      <c r="A62" s="100"/>
      <c r="B62" s="100"/>
      <c r="C62" s="100"/>
      <c r="D62" s="106"/>
      <c r="E62" s="106"/>
      <c r="F62" s="106"/>
      <c r="G62" s="106"/>
    </row>
    <row r="63">
      <c r="A63" s="100"/>
      <c r="B63" s="100"/>
      <c r="C63" s="100"/>
      <c r="D63" s="106"/>
      <c r="E63" s="106"/>
      <c r="F63" s="106"/>
      <c r="G63" s="106"/>
    </row>
    <row r="64">
      <c r="A64" s="100"/>
      <c r="B64" s="100"/>
      <c r="C64" s="100"/>
      <c r="D64" s="106"/>
      <c r="E64" s="106"/>
      <c r="F64" s="106"/>
      <c r="G64" s="106"/>
    </row>
    <row r="65">
      <c r="A65" s="100"/>
      <c r="B65" s="100"/>
      <c r="C65" s="100"/>
      <c r="D65" s="106"/>
      <c r="E65" s="106"/>
      <c r="F65" s="106"/>
      <c r="G65" s="106"/>
    </row>
    <row r="66">
      <c r="A66" s="100"/>
      <c r="B66" s="100"/>
      <c r="C66" s="100"/>
      <c r="D66" s="106"/>
      <c r="E66" s="106"/>
      <c r="F66" s="106"/>
      <c r="G66" s="106"/>
    </row>
    <row r="67">
      <c r="A67" s="100"/>
      <c r="B67" s="100"/>
      <c r="C67" s="100"/>
      <c r="D67" s="106"/>
      <c r="E67" s="106"/>
      <c r="F67" s="106"/>
      <c r="G67" s="106"/>
    </row>
    <row r="68">
      <c r="A68" s="100"/>
      <c r="B68" s="100" t="s">
        <v>1484</v>
      </c>
      <c r="C68" s="100"/>
      <c r="D68" s="106"/>
      <c r="E68" s="106"/>
      <c r="F68" s="106"/>
      <c r="G68" s="106"/>
    </row>
    <row r="69">
      <c r="A69" s="100"/>
      <c r="B69" s="100"/>
      <c r="C69" s="100"/>
      <c r="D69" s="106"/>
      <c r="E69" s="106"/>
      <c r="F69" s="106"/>
      <c r="G69" s="106"/>
    </row>
    <row r="70">
      <c r="A70" s="100"/>
      <c r="B70" s="100"/>
      <c r="C70" s="100"/>
      <c r="D70" s="106"/>
      <c r="E70" s="106"/>
      <c r="F70" s="106"/>
      <c r="G70" s="106"/>
    </row>
    <row r="71">
      <c r="A71" s="100"/>
      <c r="B71" s="100"/>
      <c r="C71" s="100"/>
      <c r="D71" s="106"/>
      <c r="E71" s="106"/>
      <c r="F71" s="106"/>
      <c r="G71" s="106"/>
    </row>
    <row r="72">
      <c r="A72" s="100"/>
      <c r="B72" s="100"/>
      <c r="C72" s="100"/>
      <c r="D72" s="106"/>
      <c r="E72" s="106"/>
      <c r="F72" s="106"/>
      <c r="G72" s="106"/>
    </row>
    <row r="73">
      <c r="A73" s="100"/>
      <c r="B73" s="100"/>
      <c r="C73" s="100"/>
      <c r="D73" s="106"/>
      <c r="E73" s="106"/>
      <c r="F73" s="106"/>
      <c r="G73" s="106"/>
    </row>
    <row r="74">
      <c r="A74" s="100"/>
      <c r="B74" s="100"/>
      <c r="C74" s="100"/>
      <c r="D74" s="106"/>
      <c r="E74" s="106"/>
      <c r="F74" s="106"/>
      <c r="G74" s="106"/>
    </row>
    <row r="75">
      <c r="A75" s="100"/>
      <c r="B75" s="100"/>
      <c r="C75" s="100"/>
      <c r="D75" s="106"/>
      <c r="E75" s="106"/>
      <c r="F75" s="106"/>
      <c r="G75" s="106"/>
    </row>
    <row r="76">
      <c r="A76" s="100"/>
      <c r="B76" s="100"/>
      <c r="C76" s="100"/>
      <c r="D76" s="106"/>
      <c r="E76" s="106"/>
      <c r="F76" s="106"/>
      <c r="G76" s="106"/>
    </row>
    <row r="77">
      <c r="A77" s="100"/>
      <c r="B77" s="100"/>
      <c r="C77" s="100"/>
      <c r="D77" s="106"/>
      <c r="E77" s="106"/>
      <c r="F77" s="106"/>
      <c r="G77" s="106"/>
    </row>
    <row r="78">
      <c r="A78" s="100"/>
      <c r="B78" s="100"/>
      <c r="C78" s="100"/>
      <c r="D78" s="106"/>
      <c r="E78" s="106"/>
      <c r="F78" s="106"/>
      <c r="G78" s="106"/>
    </row>
    <row r="79">
      <c r="A79" s="100"/>
      <c r="B79" s="100"/>
      <c r="C79" s="100"/>
      <c r="D79" s="106"/>
      <c r="E79" s="106"/>
      <c r="F79" s="106"/>
      <c r="G79" s="106"/>
    </row>
    <row r="80">
      <c r="A80" s="100"/>
      <c r="B80" s="100"/>
      <c r="C80" s="100"/>
      <c r="D80" s="106"/>
      <c r="E80" s="106"/>
      <c r="F80" s="106"/>
      <c r="G80" s="106"/>
    </row>
    <row r="81">
      <c r="A81" s="100"/>
      <c r="B81" s="100"/>
      <c r="C81" s="100"/>
      <c r="D81" s="106"/>
      <c r="E81" s="106"/>
      <c r="F81" s="106"/>
      <c r="G81" s="106"/>
    </row>
    <row r="82">
      <c r="A82" s="100"/>
      <c r="B82" s="100"/>
      <c r="C82" s="100"/>
      <c r="D82" s="106"/>
      <c r="E82" s="106"/>
      <c r="F82" s="106"/>
      <c r="G82" s="106"/>
    </row>
    <row r="83">
      <c r="A83" s="100"/>
      <c r="B83" s="100"/>
      <c r="C83" s="100"/>
      <c r="D83" s="106"/>
      <c r="E83" s="106"/>
      <c r="F83" s="106"/>
      <c r="G83" s="106"/>
    </row>
    <row r="84">
      <c r="A84" s="574"/>
      <c r="B84" s="574"/>
      <c r="C84" s="574"/>
    </row>
    <row r="85">
      <c r="A85" s="574"/>
      <c r="B85" s="574"/>
      <c r="C85" s="574"/>
    </row>
    <row r="86">
      <c r="A86" s="574"/>
      <c r="B86" s="574"/>
      <c r="C86" s="574"/>
    </row>
    <row r="87">
      <c r="A87" s="574"/>
      <c r="B87" s="574"/>
      <c r="C87" s="574"/>
    </row>
    <row r="88">
      <c r="A88" s="574"/>
      <c r="B88" s="574"/>
      <c r="C88" s="574"/>
    </row>
    <row r="89">
      <c r="A89" s="574"/>
      <c r="B89" s="574"/>
      <c r="C89" s="574"/>
    </row>
    <row r="90">
      <c r="A90" s="574"/>
      <c r="B90" s="574"/>
      <c r="C90" s="574"/>
    </row>
    <row r="91">
      <c r="A91" s="574"/>
      <c r="B91" s="574"/>
      <c r="C91" s="574"/>
    </row>
    <row r="92">
      <c r="A92" s="574"/>
      <c r="B92" s="574"/>
      <c r="C92" s="574"/>
    </row>
    <row r="93">
      <c r="A93" s="574"/>
      <c r="B93" s="574"/>
      <c r="C93" s="574"/>
    </row>
    <row r="94">
      <c r="A94" s="574"/>
      <c r="B94" s="574"/>
      <c r="C94" s="574"/>
    </row>
    <row r="95">
      <c r="A95" s="574"/>
      <c r="B95" s="574"/>
      <c r="C95" s="574"/>
    </row>
    <row r="96">
      <c r="A96" s="574"/>
      <c r="B96" s="574"/>
      <c r="C96" s="574"/>
    </row>
    <row r="97">
      <c r="A97" s="574"/>
      <c r="B97" s="574"/>
      <c r="C97" s="574"/>
    </row>
    <row r="98">
      <c r="A98" s="574"/>
      <c r="B98" s="574"/>
      <c r="C98" s="574"/>
    </row>
    <row r="99">
      <c r="A99" s="574"/>
      <c r="B99" s="574"/>
      <c r="C99" s="574"/>
    </row>
    <row r="100">
      <c r="A100" s="574"/>
      <c r="B100" s="574"/>
      <c r="C100" s="574"/>
    </row>
    <row r="101">
      <c r="A101" s="574"/>
      <c r="B101" s="574"/>
      <c r="C101" s="574"/>
    </row>
    <row r="102">
      <c r="A102" s="574"/>
      <c r="B102" s="574"/>
      <c r="C102" s="574"/>
    </row>
    <row r="103">
      <c r="A103" s="574"/>
      <c r="B103" s="574"/>
      <c r="C103" s="574"/>
    </row>
    <row r="104">
      <c r="A104" s="574"/>
      <c r="B104" s="574"/>
      <c r="C104" s="574"/>
    </row>
    <row r="105">
      <c r="A105" s="574"/>
      <c r="B105" s="574"/>
      <c r="C105" s="574"/>
    </row>
    <row r="106">
      <c r="A106" s="574"/>
      <c r="B106" s="574"/>
      <c r="C106" s="574"/>
    </row>
    <row r="107">
      <c r="A107" s="574"/>
      <c r="B107" s="574"/>
      <c r="C107" s="574"/>
    </row>
    <row r="108">
      <c r="A108" s="574"/>
      <c r="B108" s="574"/>
      <c r="C108" s="574"/>
    </row>
    <row r="109">
      <c r="A109" s="574"/>
      <c r="B109" s="574"/>
      <c r="C109" s="574"/>
    </row>
    <row r="110">
      <c r="A110" s="574"/>
      <c r="B110" s="574"/>
      <c r="C110" s="574"/>
    </row>
    <row r="111">
      <c r="A111" s="574"/>
      <c r="B111" s="574"/>
      <c r="C111" s="574"/>
    </row>
    <row r="112">
      <c r="A112" s="574"/>
      <c r="B112" s="574"/>
      <c r="C112" s="574"/>
    </row>
    <row r="113">
      <c r="A113" s="574"/>
      <c r="B113" s="574"/>
      <c r="C113" s="574"/>
    </row>
    <row r="114">
      <c r="A114" s="574"/>
      <c r="B114" s="574"/>
      <c r="C114" s="574"/>
    </row>
    <row r="115">
      <c r="A115" s="574"/>
      <c r="B115" s="574"/>
      <c r="C115" s="574"/>
    </row>
    <row r="116">
      <c r="A116" s="574"/>
      <c r="B116" s="574"/>
      <c r="C116" s="574"/>
    </row>
    <row r="117">
      <c r="A117" s="574"/>
      <c r="B117" s="574"/>
      <c r="C117" s="574"/>
    </row>
    <row r="118">
      <c r="A118" s="574"/>
      <c r="B118" s="574"/>
      <c r="C118" s="574"/>
    </row>
    <row r="119">
      <c r="A119" s="574"/>
      <c r="B119" s="574"/>
      <c r="C119" s="574"/>
    </row>
    <row r="120">
      <c r="A120" s="574"/>
      <c r="B120" s="574"/>
      <c r="C120" s="574"/>
    </row>
    <row r="121">
      <c r="A121" s="574"/>
      <c r="B121" s="574"/>
      <c r="C121" s="574"/>
    </row>
    <row r="122">
      <c r="A122" s="574"/>
      <c r="B122" s="574"/>
      <c r="C122" s="574"/>
    </row>
    <row r="123">
      <c r="A123" s="574"/>
      <c r="B123" s="574"/>
      <c r="C123" s="574"/>
    </row>
    <row r="124">
      <c r="A124" s="574"/>
      <c r="B124" s="574"/>
      <c r="C124" s="574"/>
    </row>
    <row r="125">
      <c r="A125" s="574"/>
      <c r="B125" s="574"/>
      <c r="C125" s="574"/>
    </row>
    <row r="126">
      <c r="A126" s="574"/>
      <c r="B126" s="574"/>
      <c r="C126" s="574"/>
    </row>
    <row r="127">
      <c r="A127" s="574"/>
      <c r="B127" s="574"/>
      <c r="C127" s="574"/>
    </row>
    <row r="128">
      <c r="A128" s="574"/>
      <c r="B128" s="574"/>
      <c r="C128" s="574"/>
    </row>
    <row r="129">
      <c r="A129" s="574"/>
      <c r="B129" s="574"/>
      <c r="C129" s="574"/>
    </row>
    <row r="130">
      <c r="A130" s="574"/>
      <c r="B130" s="574"/>
      <c r="C130" s="574"/>
    </row>
    <row r="131">
      <c r="A131" s="574"/>
      <c r="B131" s="574"/>
      <c r="C131" s="574"/>
    </row>
    <row r="132">
      <c r="A132" s="574"/>
      <c r="B132" s="574"/>
      <c r="C132" s="574"/>
    </row>
    <row r="133">
      <c r="A133" s="574"/>
      <c r="B133" s="574"/>
      <c r="C133" s="574"/>
    </row>
    <row r="134">
      <c r="A134" s="574"/>
      <c r="B134" s="574"/>
      <c r="C134" s="574"/>
    </row>
    <row r="135">
      <c r="A135" s="574"/>
      <c r="B135" s="574"/>
      <c r="C135" s="574"/>
    </row>
    <row r="136">
      <c r="A136" s="574"/>
      <c r="B136" s="574"/>
      <c r="C136" s="574"/>
    </row>
    <row r="137">
      <c r="A137" s="574"/>
      <c r="B137" s="574"/>
      <c r="C137" s="574"/>
    </row>
    <row r="138">
      <c r="A138" s="574"/>
      <c r="B138" s="574"/>
      <c r="C138" s="574"/>
    </row>
    <row r="139">
      <c r="A139" s="574"/>
      <c r="B139" s="574"/>
      <c r="C139" s="574"/>
    </row>
    <row r="140">
      <c r="A140" s="574"/>
      <c r="B140" s="574"/>
      <c r="C140" s="574"/>
    </row>
    <row r="141">
      <c r="A141" s="574"/>
      <c r="B141" s="574"/>
      <c r="C141" s="574"/>
    </row>
    <row r="142">
      <c r="A142" s="574"/>
      <c r="B142" s="574"/>
      <c r="C142" s="574"/>
    </row>
    <row r="143">
      <c r="A143" s="574"/>
      <c r="B143" s="574"/>
      <c r="C143" s="574"/>
    </row>
    <row r="144">
      <c r="A144" s="574"/>
      <c r="B144" s="574"/>
      <c r="C144" s="574"/>
    </row>
    <row r="145">
      <c r="A145" s="574"/>
      <c r="B145" s="574"/>
      <c r="C145" s="574"/>
    </row>
    <row r="146">
      <c r="A146" s="574"/>
      <c r="B146" s="574"/>
      <c r="C146" s="574"/>
    </row>
    <row r="147">
      <c r="A147" s="574"/>
      <c r="B147" s="574"/>
      <c r="C147" s="574"/>
    </row>
    <row r="148">
      <c r="A148" s="574"/>
      <c r="B148" s="574"/>
      <c r="C148" s="574"/>
    </row>
    <row r="149">
      <c r="A149" s="574"/>
      <c r="B149" s="574"/>
      <c r="C149" s="574"/>
    </row>
    <row r="150">
      <c r="A150" s="574"/>
      <c r="B150" s="574"/>
      <c r="C150" s="574"/>
    </row>
    <row r="151">
      <c r="A151" s="574"/>
      <c r="B151" s="574"/>
      <c r="C151" s="574"/>
    </row>
    <row r="152">
      <c r="A152" s="574"/>
      <c r="B152" s="574"/>
      <c r="C152" s="574"/>
    </row>
    <row r="153">
      <c r="A153" s="574"/>
      <c r="B153" s="574"/>
      <c r="C153" s="574"/>
    </row>
    <row r="154">
      <c r="A154" s="574"/>
      <c r="B154" s="574"/>
      <c r="C154" s="574"/>
    </row>
    <row r="155">
      <c r="A155" s="574"/>
      <c r="B155" s="574"/>
      <c r="C155" s="574"/>
    </row>
    <row r="156">
      <c r="A156" s="574"/>
      <c r="B156" s="574"/>
      <c r="C156" s="574"/>
    </row>
    <row r="157">
      <c r="A157" s="574"/>
      <c r="B157" s="574"/>
      <c r="C157" s="574"/>
    </row>
    <row r="158">
      <c r="A158" s="574"/>
      <c r="B158" s="574"/>
      <c r="C158" s="574"/>
    </row>
    <row r="159">
      <c r="A159" s="574"/>
      <c r="B159" s="574"/>
      <c r="C159" s="574"/>
    </row>
    <row r="160">
      <c r="A160" s="574"/>
      <c r="B160" s="574"/>
      <c r="C160" s="574"/>
    </row>
    <row r="161">
      <c r="A161" s="574"/>
      <c r="B161" s="574"/>
      <c r="C161" s="574"/>
    </row>
    <row r="162">
      <c r="A162" s="574"/>
      <c r="B162" s="574"/>
      <c r="C162" s="574"/>
    </row>
    <row r="163">
      <c r="A163" s="574"/>
      <c r="B163" s="574"/>
      <c r="C163" s="574"/>
    </row>
    <row r="164">
      <c r="A164" s="574"/>
      <c r="B164" s="574"/>
      <c r="C164" s="574"/>
    </row>
    <row r="165">
      <c r="A165" s="574"/>
      <c r="B165" s="574"/>
      <c r="C165" s="574"/>
    </row>
    <row r="166">
      <c r="A166" s="574"/>
      <c r="B166" s="574"/>
      <c r="C166" s="574"/>
    </row>
    <row r="167">
      <c r="A167" s="574"/>
      <c r="B167" s="574"/>
      <c r="C167" s="574"/>
    </row>
    <row r="168">
      <c r="A168" s="574"/>
      <c r="B168" s="574"/>
      <c r="C168" s="574"/>
    </row>
    <row r="169">
      <c r="A169" s="574"/>
      <c r="B169" s="574"/>
      <c r="C169" s="574"/>
    </row>
    <row r="170">
      <c r="A170" s="574"/>
      <c r="B170" s="574"/>
      <c r="C170" s="574"/>
    </row>
    <row r="171">
      <c r="A171" s="574"/>
      <c r="B171" s="574"/>
      <c r="C171" s="574"/>
    </row>
    <row r="172">
      <c r="A172" s="574"/>
      <c r="B172" s="574"/>
      <c r="C172" s="574"/>
    </row>
    <row r="173">
      <c r="A173" s="574"/>
      <c r="B173" s="574"/>
      <c r="C173" s="574"/>
    </row>
    <row r="174">
      <c r="A174" s="574"/>
      <c r="B174" s="574"/>
      <c r="C174" s="574"/>
    </row>
    <row r="175">
      <c r="A175" s="574"/>
      <c r="B175" s="574"/>
      <c r="C175" s="574"/>
    </row>
    <row r="176">
      <c r="A176" s="574"/>
      <c r="B176" s="574"/>
      <c r="C176" s="574"/>
    </row>
    <row r="177">
      <c r="A177" s="574"/>
      <c r="B177" s="574"/>
      <c r="C177" s="574"/>
    </row>
    <row r="178">
      <c r="A178" s="574"/>
      <c r="B178" s="574"/>
      <c r="C178" s="574"/>
    </row>
    <row r="179">
      <c r="A179" s="574"/>
      <c r="B179" s="574"/>
      <c r="C179" s="574"/>
    </row>
    <row r="180">
      <c r="A180" s="574"/>
      <c r="B180" s="574"/>
      <c r="C180" s="574"/>
    </row>
    <row r="181">
      <c r="A181" s="574"/>
      <c r="B181" s="574"/>
      <c r="C181" s="574"/>
    </row>
    <row r="182">
      <c r="A182" s="574"/>
      <c r="B182" s="574"/>
      <c r="C182" s="574"/>
    </row>
    <row r="183">
      <c r="A183" s="574"/>
      <c r="B183" s="574"/>
      <c r="C183" s="574"/>
    </row>
    <row r="184">
      <c r="A184" s="574"/>
      <c r="B184" s="574"/>
      <c r="C184" s="574"/>
    </row>
    <row r="185">
      <c r="A185" s="574"/>
      <c r="B185" s="574"/>
      <c r="C185" s="574"/>
    </row>
    <row r="186">
      <c r="A186" s="574"/>
      <c r="B186" s="574"/>
      <c r="C186" s="574"/>
    </row>
    <row r="187">
      <c r="A187" s="574"/>
      <c r="B187" s="574"/>
      <c r="C187" s="574"/>
    </row>
    <row r="188">
      <c r="A188" s="574"/>
      <c r="B188" s="574"/>
      <c r="C188" s="574"/>
    </row>
    <row r="189">
      <c r="A189" s="574"/>
      <c r="B189" s="574"/>
      <c r="C189" s="574"/>
    </row>
    <row r="190">
      <c r="A190" s="574"/>
      <c r="B190" s="574"/>
      <c r="C190" s="574"/>
    </row>
    <row r="191">
      <c r="A191" s="574"/>
      <c r="B191" s="574"/>
      <c r="C191" s="574"/>
    </row>
    <row r="192">
      <c r="A192" s="574"/>
      <c r="B192" s="574"/>
      <c r="C192" s="574"/>
    </row>
    <row r="193">
      <c r="A193" s="574"/>
      <c r="B193" s="574"/>
      <c r="C193" s="574"/>
    </row>
    <row r="194">
      <c r="A194" s="574"/>
      <c r="B194" s="574"/>
      <c r="C194" s="574"/>
    </row>
    <row r="195">
      <c r="A195" s="574"/>
      <c r="B195" s="574"/>
      <c r="C195" s="574"/>
    </row>
    <row r="196">
      <c r="A196" s="574"/>
      <c r="B196" s="574"/>
      <c r="C196" s="574"/>
    </row>
    <row r="197">
      <c r="A197" s="574"/>
      <c r="B197" s="574"/>
      <c r="C197" s="574"/>
    </row>
    <row r="198">
      <c r="A198" s="574"/>
      <c r="B198" s="574"/>
      <c r="C198" s="574"/>
    </row>
    <row r="199">
      <c r="A199" s="574"/>
      <c r="B199" s="574"/>
      <c r="C199" s="574"/>
    </row>
    <row r="200">
      <c r="A200" s="574"/>
      <c r="B200" s="574"/>
      <c r="C200" s="574"/>
    </row>
    <row r="201">
      <c r="A201" s="574"/>
      <c r="B201" s="574"/>
      <c r="C201" s="574"/>
    </row>
    <row r="202">
      <c r="A202" s="574"/>
      <c r="B202" s="574"/>
      <c r="C202" s="574"/>
    </row>
    <row r="203">
      <c r="A203" s="574"/>
      <c r="B203" s="574"/>
      <c r="C203" s="574"/>
    </row>
    <row r="204">
      <c r="A204" s="574"/>
      <c r="B204" s="574"/>
      <c r="C204" s="574"/>
    </row>
    <row r="205">
      <c r="A205" s="574"/>
      <c r="B205" s="574"/>
      <c r="C205" s="574"/>
    </row>
    <row r="206">
      <c r="A206" s="574"/>
      <c r="B206" s="574"/>
      <c r="C206" s="574"/>
    </row>
    <row r="207">
      <c r="A207" s="574"/>
      <c r="B207" s="574"/>
      <c r="C207" s="574"/>
    </row>
    <row r="208">
      <c r="A208" s="574"/>
      <c r="B208" s="574"/>
      <c r="C208" s="574"/>
    </row>
    <row r="209">
      <c r="A209" s="574"/>
      <c r="B209" s="574"/>
      <c r="C209" s="574"/>
    </row>
    <row r="210">
      <c r="A210" s="574"/>
      <c r="B210" s="574"/>
      <c r="C210" s="574"/>
    </row>
    <row r="211">
      <c r="A211" s="574"/>
      <c r="B211" s="574"/>
      <c r="C211" s="574"/>
    </row>
    <row r="212">
      <c r="A212" s="574"/>
      <c r="B212" s="574"/>
      <c r="C212" s="574"/>
    </row>
    <row r="213">
      <c r="A213" s="574"/>
      <c r="B213" s="574"/>
      <c r="C213" s="574"/>
    </row>
    <row r="214">
      <c r="A214" s="574"/>
      <c r="B214" s="574"/>
      <c r="C214" s="574"/>
    </row>
    <row r="215">
      <c r="A215" s="574"/>
      <c r="B215" s="574"/>
      <c r="C215" s="574"/>
    </row>
    <row r="216">
      <c r="A216" s="574"/>
      <c r="B216" s="574"/>
      <c r="C216" s="574"/>
    </row>
    <row r="217">
      <c r="A217" s="574"/>
      <c r="B217" s="574"/>
      <c r="C217" s="574"/>
    </row>
    <row r="218">
      <c r="A218" s="574"/>
      <c r="B218" s="574"/>
      <c r="C218" s="574"/>
    </row>
    <row r="219">
      <c r="A219" s="574"/>
      <c r="B219" s="574"/>
      <c r="C219" s="574"/>
    </row>
    <row r="220">
      <c r="A220" s="574"/>
      <c r="B220" s="574"/>
      <c r="C220" s="574"/>
    </row>
    <row r="221">
      <c r="A221" s="574"/>
      <c r="B221" s="574"/>
      <c r="C221" s="574"/>
    </row>
    <row r="222">
      <c r="A222" s="574"/>
      <c r="B222" s="574"/>
      <c r="C222" s="574"/>
    </row>
    <row r="223">
      <c r="A223" s="574"/>
      <c r="B223" s="574"/>
      <c r="C223" s="574"/>
    </row>
    <row r="224">
      <c r="A224" s="574"/>
      <c r="B224" s="574"/>
      <c r="C224" s="574"/>
    </row>
    <row r="225">
      <c r="A225" s="574"/>
      <c r="B225" s="574"/>
      <c r="C225" s="574"/>
    </row>
    <row r="226">
      <c r="A226" s="574"/>
      <c r="B226" s="574"/>
      <c r="C226" s="574"/>
    </row>
    <row r="227">
      <c r="A227" s="574"/>
      <c r="B227" s="574"/>
      <c r="C227" s="574"/>
    </row>
    <row r="228">
      <c r="A228" s="574"/>
      <c r="B228" s="574"/>
      <c r="C228" s="574"/>
    </row>
    <row r="229">
      <c r="A229" s="574"/>
      <c r="B229" s="574"/>
      <c r="C229" s="574"/>
    </row>
    <row r="230">
      <c r="A230" s="574"/>
      <c r="B230" s="574"/>
      <c r="C230" s="574"/>
    </row>
    <row r="231">
      <c r="A231" s="574"/>
      <c r="B231" s="574"/>
      <c r="C231" s="574"/>
    </row>
    <row r="232">
      <c r="A232" s="574"/>
      <c r="B232" s="574"/>
      <c r="C232" s="574"/>
    </row>
    <row r="233">
      <c r="A233" s="574"/>
      <c r="B233" s="574"/>
      <c r="C233" s="574"/>
    </row>
    <row r="234">
      <c r="A234" s="574"/>
      <c r="B234" s="574"/>
      <c r="C234" s="574"/>
    </row>
    <row r="235">
      <c r="A235" s="574"/>
      <c r="B235" s="574"/>
      <c r="C235" s="574"/>
    </row>
    <row r="236">
      <c r="A236" s="574"/>
      <c r="B236" s="574"/>
      <c r="C236" s="574"/>
    </row>
    <row r="237">
      <c r="A237" s="574"/>
      <c r="B237" s="574"/>
      <c r="C237" s="574"/>
    </row>
    <row r="238">
      <c r="A238" s="574"/>
      <c r="B238" s="574"/>
      <c r="C238" s="574"/>
    </row>
    <row r="239">
      <c r="A239" s="574"/>
      <c r="B239" s="574"/>
      <c r="C239" s="574"/>
    </row>
    <row r="240">
      <c r="A240" s="574"/>
      <c r="B240" s="574"/>
      <c r="C240" s="574"/>
    </row>
    <row r="241">
      <c r="A241" s="574"/>
      <c r="B241" s="574"/>
      <c r="C241" s="574"/>
    </row>
    <row r="242">
      <c r="A242" s="574"/>
      <c r="B242" s="574"/>
      <c r="C242" s="574"/>
    </row>
    <row r="243">
      <c r="A243" s="574"/>
      <c r="B243" s="574"/>
      <c r="C243" s="574"/>
    </row>
    <row r="244">
      <c r="A244" s="574"/>
      <c r="B244" s="574"/>
      <c r="C244" s="574"/>
    </row>
    <row r="245">
      <c r="A245" s="574"/>
      <c r="B245" s="574"/>
      <c r="C245" s="574"/>
    </row>
    <row r="246">
      <c r="A246" s="574"/>
      <c r="B246" s="574"/>
      <c r="C246" s="574"/>
    </row>
    <row r="247">
      <c r="A247" s="574"/>
      <c r="B247" s="574"/>
      <c r="C247" s="574"/>
    </row>
    <row r="248">
      <c r="A248" s="574"/>
      <c r="B248" s="574"/>
      <c r="C248" s="574"/>
    </row>
    <row r="249">
      <c r="A249" s="574"/>
      <c r="B249" s="574"/>
      <c r="C249" s="574"/>
    </row>
    <row r="250">
      <c r="A250" s="574"/>
      <c r="B250" s="574"/>
      <c r="C250" s="574"/>
    </row>
    <row r="251">
      <c r="A251" s="574"/>
      <c r="B251" s="574"/>
      <c r="C251" s="574"/>
    </row>
    <row r="252">
      <c r="A252" s="574"/>
      <c r="B252" s="574"/>
      <c r="C252" s="574"/>
    </row>
    <row r="253">
      <c r="A253" s="574"/>
      <c r="B253" s="574"/>
      <c r="C253" s="574"/>
    </row>
    <row r="254">
      <c r="A254" s="574"/>
      <c r="B254" s="574"/>
      <c r="C254" s="574"/>
    </row>
    <row r="255">
      <c r="A255" s="574"/>
      <c r="B255" s="574"/>
      <c r="C255" s="574"/>
    </row>
    <row r="256">
      <c r="A256" s="574"/>
      <c r="B256" s="574"/>
      <c r="C256" s="574"/>
    </row>
    <row r="257">
      <c r="A257" s="574"/>
      <c r="B257" s="574"/>
      <c r="C257" s="574"/>
    </row>
    <row r="258">
      <c r="A258" s="574"/>
      <c r="B258" s="574"/>
      <c r="C258" s="574"/>
    </row>
    <row r="259">
      <c r="A259" s="574"/>
      <c r="B259" s="574"/>
      <c r="C259" s="574"/>
    </row>
    <row r="260">
      <c r="A260" s="574"/>
      <c r="B260" s="574"/>
      <c r="C260" s="574"/>
    </row>
    <row r="261">
      <c r="A261" s="574"/>
      <c r="B261" s="574"/>
      <c r="C261" s="574"/>
    </row>
    <row r="262">
      <c r="A262" s="574"/>
      <c r="B262" s="574"/>
      <c r="C262" s="574"/>
    </row>
    <row r="263">
      <c r="A263" s="574"/>
      <c r="B263" s="574"/>
      <c r="C263" s="574"/>
    </row>
    <row r="264">
      <c r="A264" s="574"/>
      <c r="B264" s="574"/>
      <c r="C264" s="574"/>
    </row>
    <row r="265">
      <c r="A265" s="574"/>
      <c r="B265" s="574"/>
      <c r="C265" s="574"/>
    </row>
    <row r="266">
      <c r="A266" s="574"/>
      <c r="B266" s="574"/>
      <c r="C266" s="574"/>
    </row>
    <row r="267">
      <c r="A267" s="574"/>
      <c r="B267" s="574"/>
      <c r="C267" s="574"/>
    </row>
    <row r="268">
      <c r="A268" s="574"/>
      <c r="B268" s="574"/>
      <c r="C268" s="574"/>
    </row>
    <row r="269">
      <c r="A269" s="574"/>
      <c r="B269" s="574"/>
      <c r="C269" s="574"/>
    </row>
    <row r="270">
      <c r="A270" s="574"/>
      <c r="B270" s="574"/>
      <c r="C270" s="574"/>
    </row>
    <row r="271">
      <c r="A271" s="574"/>
      <c r="B271" s="574"/>
      <c r="C271" s="574"/>
    </row>
    <row r="272">
      <c r="A272" s="574"/>
      <c r="B272" s="574"/>
      <c r="C272" s="574"/>
    </row>
    <row r="273">
      <c r="A273" s="574"/>
      <c r="B273" s="574"/>
      <c r="C273" s="574"/>
    </row>
    <row r="274">
      <c r="A274" s="574"/>
      <c r="B274" s="574"/>
      <c r="C274" s="574"/>
    </row>
    <row r="275">
      <c r="A275" s="574"/>
      <c r="B275" s="574"/>
      <c r="C275" s="574"/>
    </row>
    <row r="276">
      <c r="A276" s="574"/>
      <c r="B276" s="574"/>
      <c r="C276" s="574"/>
    </row>
    <row r="277">
      <c r="A277" s="574"/>
      <c r="B277" s="574"/>
      <c r="C277" s="574"/>
    </row>
    <row r="278">
      <c r="A278" s="574"/>
      <c r="B278" s="574"/>
      <c r="C278" s="574"/>
    </row>
    <row r="279">
      <c r="A279" s="574"/>
      <c r="B279" s="574"/>
      <c r="C279" s="574"/>
    </row>
    <row r="280">
      <c r="A280" s="574"/>
      <c r="B280" s="574"/>
      <c r="C280" s="574"/>
    </row>
    <row r="281">
      <c r="A281" s="574"/>
      <c r="B281" s="574"/>
      <c r="C281" s="574"/>
    </row>
    <row r="282">
      <c r="A282" s="574"/>
      <c r="B282" s="574"/>
      <c r="C282" s="574"/>
    </row>
    <row r="283">
      <c r="A283" s="574"/>
      <c r="B283" s="574"/>
      <c r="C283" s="574"/>
    </row>
    <row r="284">
      <c r="A284" s="574"/>
      <c r="B284" s="574"/>
      <c r="C284" s="574"/>
    </row>
    <row r="285">
      <c r="A285" s="574"/>
      <c r="B285" s="574"/>
      <c r="C285" s="574"/>
    </row>
    <row r="286">
      <c r="A286" s="574"/>
      <c r="B286" s="574"/>
      <c r="C286" s="574"/>
    </row>
    <row r="287">
      <c r="A287" s="574"/>
      <c r="B287" s="574"/>
      <c r="C287" s="574"/>
    </row>
    <row r="288">
      <c r="A288" s="574"/>
      <c r="B288" s="574"/>
      <c r="C288" s="574"/>
    </row>
    <row r="289">
      <c r="A289" s="574"/>
      <c r="B289" s="574"/>
      <c r="C289" s="574"/>
    </row>
    <row r="290">
      <c r="A290" s="574"/>
      <c r="B290" s="574"/>
      <c r="C290" s="574"/>
    </row>
    <row r="291">
      <c r="A291" s="574"/>
      <c r="B291" s="574"/>
      <c r="C291" s="574"/>
    </row>
    <row r="292">
      <c r="A292" s="574"/>
      <c r="B292" s="574"/>
      <c r="C292" s="574"/>
    </row>
    <row r="293">
      <c r="A293" s="574"/>
      <c r="B293" s="574"/>
      <c r="C293" s="574"/>
    </row>
    <row r="294">
      <c r="A294" s="574"/>
      <c r="B294" s="574"/>
      <c r="C294" s="574"/>
    </row>
    <row r="295">
      <c r="A295" s="574"/>
      <c r="B295" s="574"/>
      <c r="C295" s="574"/>
    </row>
    <row r="296">
      <c r="A296" s="574"/>
      <c r="B296" s="574"/>
      <c r="C296" s="574"/>
    </row>
    <row r="297">
      <c r="A297" s="574"/>
      <c r="B297" s="574"/>
      <c r="C297" s="574"/>
    </row>
    <row r="298">
      <c r="A298" s="574"/>
      <c r="B298" s="574"/>
      <c r="C298" s="574"/>
    </row>
    <row r="299">
      <c r="A299" s="574"/>
      <c r="B299" s="574"/>
      <c r="C299" s="574"/>
    </row>
    <row r="300">
      <c r="A300" s="574"/>
      <c r="B300" s="574"/>
      <c r="C300" s="574"/>
    </row>
    <row r="301">
      <c r="A301" s="574"/>
      <c r="B301" s="574"/>
      <c r="C301" s="574"/>
    </row>
    <row r="302">
      <c r="A302" s="574"/>
      <c r="B302" s="574"/>
      <c r="C302" s="574"/>
    </row>
    <row r="303">
      <c r="A303" s="574"/>
      <c r="B303" s="574"/>
      <c r="C303" s="574"/>
    </row>
    <row r="304">
      <c r="A304" s="574"/>
      <c r="B304" s="574"/>
      <c r="C304" s="574"/>
    </row>
    <row r="305">
      <c r="A305" s="574"/>
      <c r="B305" s="574"/>
      <c r="C305" s="574"/>
    </row>
    <row r="306">
      <c r="A306" s="574"/>
      <c r="B306" s="574"/>
      <c r="C306" s="574"/>
    </row>
    <row r="307">
      <c r="A307" s="574"/>
      <c r="B307" s="574"/>
      <c r="C307" s="574"/>
    </row>
    <row r="308">
      <c r="A308" s="574"/>
      <c r="B308" s="574"/>
      <c r="C308" s="574"/>
    </row>
    <row r="309">
      <c r="A309" s="574"/>
      <c r="B309" s="574"/>
      <c r="C309" s="574"/>
    </row>
    <row r="310">
      <c r="A310" s="574"/>
      <c r="B310" s="574"/>
      <c r="C310" s="574"/>
    </row>
    <row r="311">
      <c r="A311" s="574"/>
      <c r="B311" s="574"/>
      <c r="C311" s="574"/>
    </row>
    <row r="312">
      <c r="A312" s="574"/>
      <c r="B312" s="574"/>
      <c r="C312" s="574"/>
    </row>
    <row r="313">
      <c r="A313" s="574"/>
      <c r="B313" s="574"/>
      <c r="C313" s="574"/>
    </row>
    <row r="314">
      <c r="A314" s="574"/>
      <c r="B314" s="574"/>
      <c r="C314" s="574"/>
    </row>
    <row r="315">
      <c r="A315" s="574"/>
      <c r="B315" s="574"/>
      <c r="C315" s="574"/>
    </row>
    <row r="316">
      <c r="A316" s="574"/>
      <c r="B316" s="574"/>
      <c r="C316" s="574"/>
    </row>
    <row r="317">
      <c r="A317" s="574"/>
      <c r="B317" s="574"/>
      <c r="C317" s="574"/>
    </row>
    <row r="318">
      <c r="A318" s="574"/>
      <c r="B318" s="574"/>
      <c r="C318" s="574"/>
    </row>
    <row r="319">
      <c r="A319" s="574"/>
      <c r="B319" s="574"/>
      <c r="C319" s="574"/>
    </row>
    <row r="320">
      <c r="A320" s="574"/>
      <c r="B320" s="574"/>
      <c r="C320" s="574"/>
    </row>
    <row r="321">
      <c r="A321" s="574"/>
      <c r="B321" s="574"/>
      <c r="C321" s="574"/>
    </row>
    <row r="322">
      <c r="A322" s="574"/>
      <c r="B322" s="574"/>
      <c r="C322" s="574"/>
    </row>
    <row r="323">
      <c r="A323" s="574"/>
      <c r="B323" s="574"/>
      <c r="C323" s="574"/>
    </row>
    <row r="324">
      <c r="A324" s="574"/>
      <c r="B324" s="574"/>
      <c r="C324" s="574"/>
    </row>
    <row r="325">
      <c r="A325" s="574"/>
      <c r="B325" s="574"/>
      <c r="C325" s="574"/>
    </row>
    <row r="326">
      <c r="A326" s="574"/>
      <c r="B326" s="574"/>
      <c r="C326" s="574"/>
    </row>
    <row r="327">
      <c r="A327" s="574"/>
      <c r="B327" s="574"/>
      <c r="C327" s="574"/>
    </row>
    <row r="328">
      <c r="A328" s="574"/>
      <c r="B328" s="574"/>
      <c r="C328" s="574"/>
    </row>
    <row r="329">
      <c r="A329" s="574"/>
      <c r="B329" s="574"/>
      <c r="C329" s="574"/>
    </row>
    <row r="330">
      <c r="A330" s="574"/>
      <c r="B330" s="574"/>
      <c r="C330" s="574"/>
    </row>
    <row r="331">
      <c r="A331" s="574"/>
      <c r="B331" s="574"/>
      <c r="C331" s="574"/>
    </row>
    <row r="332">
      <c r="A332" s="574"/>
      <c r="B332" s="574"/>
      <c r="C332" s="574"/>
    </row>
    <row r="333">
      <c r="A333" s="574"/>
      <c r="B333" s="574"/>
      <c r="C333" s="574"/>
    </row>
    <row r="334">
      <c r="A334" s="574"/>
      <c r="B334" s="574"/>
      <c r="C334" s="574"/>
    </row>
    <row r="335">
      <c r="A335" s="574"/>
      <c r="B335" s="574"/>
      <c r="C335" s="574"/>
    </row>
    <row r="336">
      <c r="A336" s="574"/>
      <c r="B336" s="574"/>
      <c r="C336" s="574"/>
    </row>
    <row r="337">
      <c r="A337" s="574"/>
      <c r="B337" s="574"/>
      <c r="C337" s="574"/>
    </row>
    <row r="338">
      <c r="A338" s="574"/>
      <c r="B338" s="574"/>
      <c r="C338" s="574"/>
    </row>
    <row r="339">
      <c r="A339" s="574"/>
      <c r="B339" s="574"/>
      <c r="C339" s="574"/>
    </row>
    <row r="340">
      <c r="A340" s="574"/>
      <c r="B340" s="574"/>
      <c r="C340" s="574"/>
    </row>
    <row r="341">
      <c r="A341" s="574"/>
      <c r="B341" s="574"/>
      <c r="C341" s="574"/>
    </row>
    <row r="342">
      <c r="A342" s="574"/>
      <c r="B342" s="574"/>
      <c r="C342" s="574"/>
    </row>
    <row r="343">
      <c r="A343" s="574"/>
      <c r="B343" s="574"/>
      <c r="C343" s="574"/>
    </row>
    <row r="344">
      <c r="A344" s="574"/>
      <c r="B344" s="574"/>
      <c r="C344" s="574"/>
    </row>
    <row r="345">
      <c r="A345" s="574"/>
      <c r="B345" s="574"/>
      <c r="C345" s="574"/>
    </row>
    <row r="346">
      <c r="A346" s="574"/>
      <c r="B346" s="574"/>
      <c r="C346" s="574"/>
    </row>
    <row r="347">
      <c r="A347" s="574"/>
      <c r="B347" s="574"/>
      <c r="C347" s="574"/>
    </row>
    <row r="348">
      <c r="A348" s="574"/>
      <c r="B348" s="574"/>
      <c r="C348" s="574"/>
    </row>
    <row r="349">
      <c r="A349" s="574"/>
      <c r="B349" s="574"/>
      <c r="C349" s="574"/>
    </row>
    <row r="350">
      <c r="A350" s="574"/>
      <c r="B350" s="574"/>
      <c r="C350" s="574"/>
    </row>
    <row r="351">
      <c r="A351" s="574"/>
      <c r="B351" s="574"/>
      <c r="C351" s="574"/>
    </row>
    <row r="352">
      <c r="A352" s="574"/>
      <c r="B352" s="574"/>
      <c r="C352" s="574"/>
    </row>
    <row r="353">
      <c r="A353" s="574"/>
      <c r="B353" s="574"/>
      <c r="C353" s="574"/>
    </row>
    <row r="354">
      <c r="A354" s="574"/>
      <c r="B354" s="574"/>
      <c r="C354" s="574"/>
    </row>
    <row r="355">
      <c r="A355" s="574"/>
      <c r="B355" s="574"/>
      <c r="C355" s="574"/>
    </row>
    <row r="356">
      <c r="A356" s="574"/>
      <c r="B356" s="574"/>
      <c r="C356" s="574"/>
    </row>
    <row r="357">
      <c r="A357" s="574"/>
      <c r="B357" s="574"/>
      <c r="C357" s="574"/>
    </row>
    <row r="358">
      <c r="A358" s="574"/>
      <c r="B358" s="574"/>
      <c r="C358" s="574"/>
    </row>
    <row r="359">
      <c r="A359" s="574"/>
      <c r="B359" s="574"/>
      <c r="C359" s="574"/>
    </row>
    <row r="360">
      <c r="A360" s="574"/>
      <c r="B360" s="574"/>
      <c r="C360" s="574"/>
    </row>
    <row r="361">
      <c r="A361" s="574"/>
      <c r="B361" s="574"/>
      <c r="C361" s="574"/>
    </row>
    <row r="362">
      <c r="A362" s="574"/>
      <c r="B362" s="574"/>
      <c r="C362" s="574"/>
    </row>
    <row r="363">
      <c r="A363" s="574"/>
      <c r="B363" s="574"/>
      <c r="C363" s="574"/>
    </row>
    <row r="364">
      <c r="A364" s="574"/>
      <c r="B364" s="574"/>
      <c r="C364" s="574"/>
    </row>
    <row r="365">
      <c r="A365" s="574"/>
      <c r="B365" s="574"/>
      <c r="C365" s="574"/>
    </row>
    <row r="366">
      <c r="A366" s="574"/>
      <c r="B366" s="574"/>
      <c r="C366" s="574"/>
    </row>
    <row r="367">
      <c r="A367" s="574"/>
      <c r="B367" s="574"/>
      <c r="C367" s="574"/>
    </row>
    <row r="368">
      <c r="A368" s="574"/>
      <c r="B368" s="574"/>
      <c r="C368" s="574"/>
    </row>
    <row r="369">
      <c r="A369" s="574"/>
      <c r="B369" s="574"/>
      <c r="C369" s="574"/>
    </row>
    <row r="370">
      <c r="A370" s="574"/>
      <c r="B370" s="574"/>
      <c r="C370" s="574"/>
    </row>
    <row r="371">
      <c r="A371" s="574"/>
      <c r="B371" s="574"/>
      <c r="C371" s="574"/>
    </row>
    <row r="372">
      <c r="A372" s="574"/>
      <c r="B372" s="574"/>
      <c r="C372" s="574"/>
    </row>
    <row r="373">
      <c r="A373" s="574"/>
      <c r="B373" s="574"/>
      <c r="C373" s="574"/>
    </row>
    <row r="374">
      <c r="A374" s="574"/>
      <c r="B374" s="574"/>
      <c r="C374" s="574"/>
    </row>
    <row r="375">
      <c r="A375" s="574"/>
      <c r="B375" s="574"/>
      <c r="C375" s="574"/>
    </row>
    <row r="376">
      <c r="A376" s="574"/>
      <c r="B376" s="574"/>
      <c r="C376" s="574"/>
    </row>
    <row r="377">
      <c r="A377" s="574"/>
      <c r="B377" s="574"/>
      <c r="C377" s="574"/>
    </row>
    <row r="378">
      <c r="A378" s="574"/>
      <c r="B378" s="574"/>
      <c r="C378" s="574"/>
    </row>
    <row r="379">
      <c r="A379" s="574"/>
      <c r="B379" s="574"/>
      <c r="C379" s="574"/>
    </row>
    <row r="380">
      <c r="A380" s="574"/>
      <c r="B380" s="574"/>
      <c r="C380" s="574"/>
    </row>
    <row r="381">
      <c r="A381" s="574"/>
      <c r="B381" s="574"/>
      <c r="C381" s="574"/>
    </row>
    <row r="382">
      <c r="A382" s="574"/>
      <c r="B382" s="574"/>
      <c r="C382" s="574"/>
    </row>
    <row r="383">
      <c r="A383" s="574"/>
      <c r="B383" s="574"/>
      <c r="C383" s="574"/>
    </row>
    <row r="384">
      <c r="A384" s="574"/>
      <c r="B384" s="574"/>
      <c r="C384" s="574"/>
    </row>
    <row r="385">
      <c r="A385" s="574"/>
      <c r="B385" s="574"/>
      <c r="C385" s="574"/>
    </row>
    <row r="386">
      <c r="A386" s="574"/>
      <c r="B386" s="574"/>
      <c r="C386" s="574"/>
    </row>
    <row r="387">
      <c r="A387" s="574"/>
      <c r="B387" s="574"/>
      <c r="C387" s="574"/>
    </row>
    <row r="388">
      <c r="A388" s="574"/>
      <c r="B388" s="574"/>
      <c r="C388" s="574"/>
    </row>
    <row r="389">
      <c r="A389" s="574"/>
      <c r="B389" s="574"/>
      <c r="C389" s="574"/>
    </row>
    <row r="390">
      <c r="A390" s="574"/>
      <c r="B390" s="574"/>
      <c r="C390" s="574"/>
    </row>
    <row r="391">
      <c r="A391" s="574"/>
      <c r="B391" s="574"/>
      <c r="C391" s="574"/>
    </row>
    <row r="392">
      <c r="A392" s="574"/>
      <c r="B392" s="574"/>
      <c r="C392" s="574"/>
    </row>
    <row r="393">
      <c r="A393" s="574"/>
      <c r="B393" s="574"/>
      <c r="C393" s="574"/>
    </row>
    <row r="394">
      <c r="A394" s="574"/>
      <c r="B394" s="574"/>
      <c r="C394" s="574"/>
    </row>
    <row r="395">
      <c r="A395" s="574"/>
      <c r="B395" s="574"/>
      <c r="C395" s="574"/>
    </row>
    <row r="396">
      <c r="A396" s="574"/>
      <c r="B396" s="574"/>
      <c r="C396" s="574"/>
    </row>
    <row r="397">
      <c r="A397" s="574"/>
      <c r="B397" s="574"/>
      <c r="C397" s="574"/>
    </row>
    <row r="398">
      <c r="A398" s="574"/>
      <c r="B398" s="574"/>
      <c r="C398" s="574"/>
    </row>
    <row r="399">
      <c r="A399" s="574"/>
      <c r="B399" s="574"/>
      <c r="C399" s="574"/>
    </row>
    <row r="400">
      <c r="A400" s="574"/>
      <c r="B400" s="574"/>
      <c r="C400" s="574"/>
    </row>
    <row r="401">
      <c r="A401" s="574"/>
      <c r="B401" s="574"/>
      <c r="C401" s="574"/>
    </row>
    <row r="402">
      <c r="A402" s="574"/>
      <c r="B402" s="574"/>
      <c r="C402" s="574"/>
    </row>
    <row r="403">
      <c r="A403" s="574"/>
      <c r="B403" s="574"/>
      <c r="C403" s="574"/>
    </row>
    <row r="404">
      <c r="A404" s="574"/>
      <c r="B404" s="574"/>
      <c r="C404" s="574"/>
    </row>
    <row r="405">
      <c r="A405" s="574"/>
      <c r="B405" s="574"/>
      <c r="C405" s="574"/>
    </row>
    <row r="406">
      <c r="A406" s="574"/>
      <c r="B406" s="574"/>
      <c r="C406" s="574"/>
    </row>
    <row r="407">
      <c r="A407" s="574"/>
      <c r="B407" s="574"/>
      <c r="C407" s="574"/>
    </row>
    <row r="408">
      <c r="A408" s="574"/>
      <c r="B408" s="574"/>
      <c r="C408" s="574"/>
    </row>
    <row r="409">
      <c r="A409" s="574"/>
      <c r="B409" s="574"/>
      <c r="C409" s="574"/>
    </row>
    <row r="410">
      <c r="A410" s="574"/>
      <c r="B410" s="574"/>
      <c r="C410" s="574"/>
    </row>
    <row r="411">
      <c r="A411" s="574"/>
      <c r="B411" s="574"/>
      <c r="C411" s="574"/>
    </row>
    <row r="412">
      <c r="A412" s="574"/>
      <c r="B412" s="574"/>
      <c r="C412" s="574"/>
    </row>
    <row r="413">
      <c r="A413" s="574"/>
      <c r="B413" s="574"/>
      <c r="C413" s="574"/>
    </row>
    <row r="414">
      <c r="A414" s="574"/>
      <c r="B414" s="574"/>
      <c r="C414" s="574"/>
    </row>
    <row r="415">
      <c r="A415" s="574"/>
      <c r="B415" s="574"/>
      <c r="C415" s="574"/>
    </row>
    <row r="416">
      <c r="A416" s="574"/>
      <c r="B416" s="574"/>
      <c r="C416" s="574"/>
    </row>
    <row r="417">
      <c r="A417" s="574"/>
      <c r="B417" s="574"/>
      <c r="C417" s="574"/>
    </row>
    <row r="418">
      <c r="A418" s="574"/>
      <c r="B418" s="574"/>
      <c r="C418" s="574"/>
    </row>
    <row r="419">
      <c r="A419" s="574"/>
      <c r="B419" s="574"/>
      <c r="C419" s="574"/>
    </row>
    <row r="420">
      <c r="A420" s="574"/>
      <c r="B420" s="574"/>
      <c r="C420" s="574"/>
    </row>
    <row r="421">
      <c r="A421" s="574"/>
      <c r="B421" s="574"/>
      <c r="C421" s="574"/>
    </row>
    <row r="422">
      <c r="A422" s="574"/>
      <c r="B422" s="574"/>
      <c r="C422" s="574"/>
    </row>
    <row r="423">
      <c r="A423" s="574"/>
      <c r="B423" s="574"/>
      <c r="C423" s="574"/>
    </row>
    <row r="424">
      <c r="A424" s="574"/>
      <c r="B424" s="574"/>
      <c r="C424" s="574"/>
    </row>
    <row r="425">
      <c r="A425" s="574"/>
      <c r="B425" s="574"/>
      <c r="C425" s="574"/>
    </row>
    <row r="426">
      <c r="A426" s="574"/>
      <c r="B426" s="574"/>
      <c r="C426" s="574"/>
    </row>
    <row r="427">
      <c r="A427" s="574"/>
      <c r="B427" s="574"/>
      <c r="C427" s="574"/>
    </row>
    <row r="428">
      <c r="A428" s="574"/>
      <c r="B428" s="574"/>
      <c r="C428" s="574"/>
    </row>
    <row r="429">
      <c r="A429" s="574"/>
      <c r="B429" s="574"/>
      <c r="C429" s="574"/>
    </row>
    <row r="430">
      <c r="A430" s="574"/>
      <c r="B430" s="574"/>
      <c r="C430" s="574"/>
    </row>
    <row r="431">
      <c r="A431" s="574"/>
      <c r="B431" s="574"/>
      <c r="C431" s="574"/>
    </row>
    <row r="432">
      <c r="A432" s="574"/>
      <c r="B432" s="574"/>
      <c r="C432" s="574"/>
    </row>
    <row r="433">
      <c r="A433" s="574"/>
      <c r="B433" s="574"/>
      <c r="C433" s="574"/>
    </row>
    <row r="434">
      <c r="A434" s="574"/>
      <c r="B434" s="574"/>
      <c r="C434" s="574"/>
    </row>
    <row r="435">
      <c r="A435" s="574"/>
      <c r="B435" s="574"/>
      <c r="C435" s="574"/>
    </row>
    <row r="436">
      <c r="A436" s="574"/>
      <c r="B436" s="574"/>
      <c r="C436" s="574"/>
    </row>
    <row r="437">
      <c r="A437" s="574"/>
      <c r="B437" s="574"/>
      <c r="C437" s="574"/>
    </row>
    <row r="438">
      <c r="A438" s="574"/>
      <c r="B438" s="574"/>
      <c r="C438" s="574"/>
    </row>
    <row r="439">
      <c r="A439" s="574"/>
      <c r="B439" s="574"/>
      <c r="C439" s="574"/>
    </row>
    <row r="440">
      <c r="A440" s="574"/>
      <c r="B440" s="574"/>
      <c r="C440" s="574"/>
    </row>
    <row r="441">
      <c r="A441" s="574"/>
      <c r="B441" s="574"/>
      <c r="C441" s="574"/>
    </row>
    <row r="442">
      <c r="A442" s="574"/>
      <c r="B442" s="574"/>
      <c r="C442" s="574"/>
    </row>
    <row r="443">
      <c r="A443" s="574"/>
      <c r="B443" s="574"/>
      <c r="C443" s="574"/>
    </row>
    <row r="444">
      <c r="A444" s="574"/>
      <c r="B444" s="574"/>
      <c r="C444" s="574"/>
    </row>
    <row r="445">
      <c r="A445" s="574"/>
      <c r="B445" s="574"/>
      <c r="C445" s="574"/>
    </row>
    <row r="446">
      <c r="A446" s="574"/>
      <c r="B446" s="574"/>
      <c r="C446" s="574"/>
    </row>
    <row r="447">
      <c r="A447" s="574"/>
      <c r="B447" s="574"/>
      <c r="C447" s="574"/>
    </row>
    <row r="448">
      <c r="A448" s="574"/>
      <c r="B448" s="574"/>
      <c r="C448" s="574"/>
    </row>
    <row r="449">
      <c r="A449" s="574"/>
      <c r="B449" s="574"/>
      <c r="C449" s="574"/>
    </row>
    <row r="450">
      <c r="A450" s="574"/>
      <c r="B450" s="574"/>
      <c r="C450" s="574"/>
    </row>
    <row r="451">
      <c r="A451" s="574"/>
      <c r="B451" s="574"/>
      <c r="C451" s="574"/>
    </row>
    <row r="452">
      <c r="A452" s="574"/>
      <c r="B452" s="574"/>
      <c r="C452" s="574"/>
    </row>
    <row r="453">
      <c r="A453" s="574"/>
      <c r="B453" s="574"/>
      <c r="C453" s="574"/>
    </row>
    <row r="454">
      <c r="A454" s="574"/>
      <c r="B454" s="574"/>
      <c r="C454" s="574"/>
    </row>
    <row r="455">
      <c r="A455" s="574"/>
      <c r="B455" s="574"/>
      <c r="C455" s="574"/>
    </row>
    <row r="456">
      <c r="A456" s="574"/>
      <c r="B456" s="574"/>
      <c r="C456" s="574"/>
    </row>
    <row r="457">
      <c r="A457" s="574"/>
      <c r="B457" s="574"/>
      <c r="C457" s="574"/>
    </row>
    <row r="458">
      <c r="A458" s="574"/>
      <c r="B458" s="574"/>
      <c r="C458" s="574"/>
    </row>
    <row r="459">
      <c r="A459" s="574"/>
      <c r="B459" s="574"/>
      <c r="C459" s="574"/>
    </row>
    <row r="460">
      <c r="A460" s="574"/>
      <c r="B460" s="574"/>
      <c r="C460" s="574"/>
    </row>
    <row r="461">
      <c r="A461" s="574"/>
      <c r="B461" s="574"/>
      <c r="C461" s="574"/>
    </row>
    <row r="462">
      <c r="A462" s="574"/>
      <c r="B462" s="574"/>
      <c r="C462" s="574"/>
    </row>
    <row r="463">
      <c r="A463" s="574"/>
      <c r="B463" s="574"/>
      <c r="C463" s="574"/>
    </row>
    <row r="464">
      <c r="A464" s="574"/>
      <c r="B464" s="574"/>
      <c r="C464" s="574"/>
    </row>
    <row r="465">
      <c r="A465" s="574"/>
      <c r="B465" s="574"/>
      <c r="C465" s="574"/>
    </row>
    <row r="466">
      <c r="A466" s="574"/>
      <c r="B466" s="574"/>
      <c r="C466" s="574"/>
    </row>
    <row r="467">
      <c r="A467" s="574"/>
      <c r="B467" s="574"/>
      <c r="C467" s="574"/>
    </row>
    <row r="468">
      <c r="A468" s="574"/>
      <c r="B468" s="574"/>
      <c r="C468" s="574"/>
    </row>
    <row r="469">
      <c r="A469" s="574"/>
      <c r="B469" s="574"/>
      <c r="C469" s="574"/>
    </row>
    <row r="470">
      <c r="A470" s="574"/>
      <c r="B470" s="574"/>
      <c r="C470" s="574"/>
    </row>
    <row r="471">
      <c r="A471" s="574"/>
      <c r="B471" s="574"/>
      <c r="C471" s="574"/>
    </row>
    <row r="472">
      <c r="A472" s="574"/>
      <c r="B472" s="574"/>
      <c r="C472" s="574"/>
    </row>
    <row r="473">
      <c r="A473" s="574"/>
      <c r="B473" s="574"/>
      <c r="C473" s="574"/>
    </row>
    <row r="474">
      <c r="A474" s="574"/>
      <c r="B474" s="574"/>
      <c r="C474" s="574"/>
    </row>
    <row r="475">
      <c r="A475" s="574"/>
      <c r="B475" s="574"/>
      <c r="C475" s="574"/>
    </row>
    <row r="476">
      <c r="A476" s="574"/>
      <c r="B476" s="574"/>
      <c r="C476" s="574"/>
    </row>
    <row r="477">
      <c r="A477" s="574"/>
      <c r="B477" s="574"/>
      <c r="C477" s="574"/>
    </row>
    <row r="478">
      <c r="A478" s="574"/>
      <c r="B478" s="574"/>
      <c r="C478" s="574"/>
    </row>
    <row r="479">
      <c r="A479" s="574"/>
      <c r="B479" s="574"/>
      <c r="C479" s="574"/>
    </row>
    <row r="480">
      <c r="A480" s="574"/>
      <c r="B480" s="574"/>
      <c r="C480" s="574"/>
    </row>
    <row r="481">
      <c r="A481" s="574"/>
      <c r="B481" s="574"/>
      <c r="C481" s="574"/>
    </row>
    <row r="482">
      <c r="A482" s="574"/>
      <c r="B482" s="574"/>
      <c r="C482" s="574"/>
    </row>
    <row r="483">
      <c r="A483" s="574"/>
      <c r="B483" s="574"/>
      <c r="C483" s="574"/>
    </row>
    <row r="484">
      <c r="A484" s="574"/>
      <c r="B484" s="574"/>
      <c r="C484" s="574"/>
    </row>
    <row r="485">
      <c r="A485" s="574"/>
      <c r="B485" s="574"/>
      <c r="C485" s="574"/>
    </row>
    <row r="486">
      <c r="A486" s="574"/>
      <c r="B486" s="574"/>
      <c r="C486" s="574"/>
    </row>
    <row r="487">
      <c r="A487" s="574"/>
      <c r="B487" s="574"/>
      <c r="C487" s="574"/>
    </row>
    <row r="488">
      <c r="A488" s="574"/>
      <c r="B488" s="574"/>
      <c r="C488" s="574"/>
    </row>
    <row r="489">
      <c r="A489" s="574"/>
      <c r="B489" s="574"/>
      <c r="C489" s="574"/>
    </row>
    <row r="490">
      <c r="A490" s="574"/>
      <c r="B490" s="574"/>
      <c r="C490" s="574"/>
    </row>
    <row r="491">
      <c r="A491" s="574"/>
      <c r="B491" s="574"/>
      <c r="C491" s="574"/>
    </row>
    <row r="492">
      <c r="A492" s="574"/>
      <c r="B492" s="574"/>
      <c r="C492" s="574"/>
    </row>
    <row r="493">
      <c r="A493" s="574"/>
      <c r="B493" s="574"/>
      <c r="C493" s="574"/>
    </row>
    <row r="494">
      <c r="A494" s="574"/>
      <c r="B494" s="574"/>
      <c r="C494" s="574"/>
    </row>
    <row r="495">
      <c r="A495" s="574"/>
      <c r="B495" s="574"/>
      <c r="C495" s="574"/>
    </row>
    <row r="496">
      <c r="A496" s="574"/>
      <c r="B496" s="574"/>
      <c r="C496" s="574"/>
    </row>
    <row r="497">
      <c r="A497" s="574"/>
      <c r="B497" s="574"/>
      <c r="C497" s="574"/>
    </row>
    <row r="498">
      <c r="A498" s="574"/>
      <c r="B498" s="574"/>
      <c r="C498" s="574"/>
    </row>
    <row r="499">
      <c r="A499" s="574"/>
      <c r="B499" s="574"/>
      <c r="C499" s="574"/>
    </row>
    <row r="500">
      <c r="A500" s="574"/>
      <c r="B500" s="574"/>
      <c r="C500" s="574"/>
    </row>
    <row r="501">
      <c r="A501" s="574"/>
      <c r="B501" s="574"/>
      <c r="C501" s="574"/>
    </row>
    <row r="502">
      <c r="A502" s="574"/>
      <c r="B502" s="574"/>
      <c r="C502" s="574"/>
    </row>
    <row r="503">
      <c r="A503" s="574"/>
      <c r="B503" s="574"/>
      <c r="C503" s="574"/>
    </row>
    <row r="504">
      <c r="A504" s="574"/>
      <c r="B504" s="574"/>
      <c r="C504" s="574"/>
    </row>
    <row r="505">
      <c r="A505" s="574"/>
      <c r="B505" s="574"/>
      <c r="C505" s="574"/>
    </row>
    <row r="506">
      <c r="A506" s="574"/>
      <c r="B506" s="574"/>
      <c r="C506" s="574"/>
    </row>
    <row r="507">
      <c r="A507" s="574"/>
      <c r="B507" s="574"/>
      <c r="C507" s="574"/>
    </row>
    <row r="508">
      <c r="A508" s="574"/>
      <c r="B508" s="574"/>
      <c r="C508" s="574"/>
    </row>
    <row r="509">
      <c r="A509" s="574"/>
      <c r="B509" s="574"/>
      <c r="C509" s="574"/>
    </row>
    <row r="510">
      <c r="A510" s="574"/>
      <c r="B510" s="574"/>
      <c r="C510" s="574"/>
    </row>
    <row r="511">
      <c r="A511" s="574"/>
      <c r="B511" s="574"/>
      <c r="C511" s="574"/>
    </row>
    <row r="512">
      <c r="A512" s="574"/>
      <c r="B512" s="574"/>
      <c r="C512" s="574"/>
    </row>
    <row r="513">
      <c r="A513" s="574"/>
      <c r="B513" s="574"/>
      <c r="C513" s="574"/>
    </row>
    <row r="514">
      <c r="A514" s="574"/>
      <c r="B514" s="574"/>
      <c r="C514" s="574"/>
    </row>
    <row r="515">
      <c r="A515" s="574"/>
      <c r="B515" s="574"/>
      <c r="C515" s="574"/>
    </row>
    <row r="516">
      <c r="A516" s="574"/>
      <c r="B516" s="574"/>
      <c r="C516" s="574"/>
    </row>
    <row r="517">
      <c r="A517" s="574"/>
      <c r="B517" s="574"/>
      <c r="C517" s="574"/>
    </row>
    <row r="518">
      <c r="A518" s="574"/>
      <c r="B518" s="574"/>
      <c r="C518" s="574"/>
    </row>
    <row r="519">
      <c r="A519" s="574"/>
      <c r="B519" s="574"/>
      <c r="C519" s="574"/>
    </row>
    <row r="520">
      <c r="A520" s="574"/>
      <c r="B520" s="574"/>
      <c r="C520" s="574"/>
    </row>
    <row r="521">
      <c r="A521" s="574"/>
      <c r="B521" s="574"/>
      <c r="C521" s="574"/>
    </row>
    <row r="522">
      <c r="A522" s="574"/>
      <c r="B522" s="574"/>
      <c r="C522" s="574"/>
    </row>
    <row r="523">
      <c r="A523" s="574"/>
      <c r="B523" s="574"/>
      <c r="C523" s="574"/>
    </row>
    <row r="524">
      <c r="A524" s="574"/>
      <c r="B524" s="574"/>
      <c r="C524" s="574"/>
    </row>
    <row r="525">
      <c r="A525" s="574"/>
      <c r="B525" s="574"/>
      <c r="C525" s="574"/>
    </row>
    <row r="526">
      <c r="A526" s="574"/>
      <c r="B526" s="574"/>
      <c r="C526" s="574"/>
    </row>
    <row r="527">
      <c r="A527" s="574"/>
      <c r="B527" s="574"/>
      <c r="C527" s="574"/>
    </row>
    <row r="528">
      <c r="A528" s="574"/>
      <c r="B528" s="574"/>
      <c r="C528" s="574"/>
    </row>
    <row r="529">
      <c r="A529" s="574"/>
      <c r="B529" s="574"/>
      <c r="C529" s="574"/>
    </row>
    <row r="530">
      <c r="A530" s="574"/>
      <c r="B530" s="574"/>
      <c r="C530" s="574"/>
    </row>
    <row r="531">
      <c r="A531" s="574"/>
      <c r="B531" s="574"/>
      <c r="C531" s="574"/>
    </row>
    <row r="532">
      <c r="A532" s="574"/>
      <c r="B532" s="574"/>
      <c r="C532" s="574"/>
    </row>
    <row r="533">
      <c r="A533" s="574"/>
      <c r="B533" s="574"/>
      <c r="C533" s="574"/>
    </row>
    <row r="534">
      <c r="A534" s="574"/>
      <c r="B534" s="574"/>
      <c r="C534" s="574"/>
    </row>
    <row r="535">
      <c r="A535" s="574"/>
      <c r="B535" s="574"/>
      <c r="C535" s="574"/>
    </row>
    <row r="536">
      <c r="A536" s="574"/>
      <c r="B536" s="574"/>
      <c r="C536" s="574"/>
    </row>
    <row r="537">
      <c r="A537" s="574"/>
      <c r="B537" s="574"/>
      <c r="C537" s="574"/>
    </row>
    <row r="538">
      <c r="A538" s="574"/>
      <c r="B538" s="574"/>
      <c r="C538" s="574"/>
    </row>
    <row r="539">
      <c r="A539" s="574"/>
      <c r="B539" s="574"/>
      <c r="C539" s="574"/>
    </row>
    <row r="540">
      <c r="A540" s="574"/>
      <c r="B540" s="574"/>
      <c r="C540" s="574"/>
    </row>
    <row r="541">
      <c r="A541" s="574"/>
      <c r="B541" s="574"/>
      <c r="C541" s="574"/>
    </row>
    <row r="542">
      <c r="A542" s="574"/>
      <c r="B542" s="574"/>
      <c r="C542" s="574"/>
    </row>
    <row r="543">
      <c r="A543" s="574"/>
      <c r="B543" s="574"/>
      <c r="C543" s="574"/>
    </row>
    <row r="544">
      <c r="A544" s="574"/>
      <c r="B544" s="574"/>
      <c r="C544" s="574"/>
    </row>
    <row r="545">
      <c r="A545" s="574"/>
      <c r="B545" s="574"/>
      <c r="C545" s="574"/>
    </row>
    <row r="546">
      <c r="A546" s="574"/>
      <c r="B546" s="574"/>
      <c r="C546" s="574"/>
    </row>
    <row r="547">
      <c r="A547" s="574"/>
      <c r="B547" s="574"/>
      <c r="C547" s="574"/>
    </row>
    <row r="548">
      <c r="A548" s="574"/>
      <c r="B548" s="574"/>
      <c r="C548" s="574"/>
    </row>
    <row r="549">
      <c r="A549" s="574"/>
      <c r="B549" s="574"/>
      <c r="C549" s="574"/>
    </row>
    <row r="550">
      <c r="A550" s="574"/>
      <c r="B550" s="574"/>
      <c r="C550" s="574"/>
    </row>
    <row r="551">
      <c r="A551" s="574"/>
      <c r="B551" s="574"/>
      <c r="C551" s="574"/>
    </row>
    <row r="552">
      <c r="A552" s="574"/>
      <c r="B552" s="574"/>
      <c r="C552" s="574"/>
    </row>
    <row r="553">
      <c r="A553" s="574"/>
      <c r="B553" s="574"/>
      <c r="C553" s="574"/>
    </row>
    <row r="554">
      <c r="A554" s="574"/>
      <c r="B554" s="574"/>
      <c r="C554" s="574"/>
    </row>
    <row r="555">
      <c r="A555" s="574"/>
      <c r="B555" s="574"/>
      <c r="C555" s="574"/>
    </row>
    <row r="556">
      <c r="A556" s="574"/>
      <c r="B556" s="574"/>
      <c r="C556" s="574"/>
    </row>
    <row r="557">
      <c r="A557" s="574"/>
      <c r="B557" s="574"/>
      <c r="C557" s="574"/>
    </row>
    <row r="558">
      <c r="A558" s="574"/>
      <c r="B558" s="574"/>
      <c r="C558" s="574"/>
    </row>
    <row r="559">
      <c r="A559" s="574"/>
      <c r="B559" s="574"/>
      <c r="C559" s="574"/>
    </row>
    <row r="560">
      <c r="A560" s="574"/>
      <c r="B560" s="574"/>
      <c r="C560" s="574"/>
    </row>
    <row r="561">
      <c r="A561" s="574"/>
      <c r="B561" s="574"/>
      <c r="C561" s="574"/>
    </row>
    <row r="562">
      <c r="A562" s="574"/>
      <c r="B562" s="574"/>
      <c r="C562" s="574"/>
    </row>
    <row r="563">
      <c r="A563" s="574"/>
      <c r="B563" s="574"/>
      <c r="C563" s="574"/>
    </row>
    <row r="564">
      <c r="A564" s="574"/>
      <c r="B564" s="574"/>
      <c r="C564" s="574"/>
    </row>
    <row r="565">
      <c r="A565" s="574"/>
      <c r="B565" s="574"/>
      <c r="C565" s="574"/>
    </row>
    <row r="566">
      <c r="A566" s="574"/>
      <c r="B566" s="574"/>
      <c r="C566" s="574"/>
    </row>
    <row r="567">
      <c r="A567" s="574"/>
      <c r="B567" s="574"/>
      <c r="C567" s="574"/>
    </row>
    <row r="568">
      <c r="A568" s="574"/>
      <c r="B568" s="574"/>
      <c r="C568" s="574"/>
    </row>
    <row r="569">
      <c r="A569" s="574"/>
      <c r="B569" s="574"/>
      <c r="C569" s="574"/>
    </row>
    <row r="570">
      <c r="A570" s="574"/>
      <c r="B570" s="574"/>
      <c r="C570" s="574"/>
    </row>
    <row r="571">
      <c r="A571" s="574"/>
      <c r="B571" s="574"/>
      <c r="C571" s="574"/>
    </row>
    <row r="572">
      <c r="A572" s="574"/>
      <c r="B572" s="574"/>
      <c r="C572" s="574"/>
    </row>
    <row r="573">
      <c r="A573" s="574"/>
      <c r="B573" s="574"/>
      <c r="C573" s="574"/>
    </row>
    <row r="574">
      <c r="A574" s="574"/>
      <c r="B574" s="574"/>
      <c r="C574" s="574"/>
    </row>
    <row r="575">
      <c r="A575" s="574"/>
      <c r="B575" s="574"/>
      <c r="C575" s="574"/>
    </row>
    <row r="576">
      <c r="A576" s="574"/>
      <c r="B576" s="574"/>
      <c r="C576" s="574"/>
    </row>
    <row r="577">
      <c r="A577" s="574"/>
      <c r="B577" s="574"/>
      <c r="C577" s="574"/>
    </row>
    <row r="578">
      <c r="A578" s="574"/>
      <c r="B578" s="574"/>
      <c r="C578" s="574"/>
    </row>
    <row r="579">
      <c r="A579" s="574"/>
      <c r="B579" s="574"/>
      <c r="C579" s="574"/>
    </row>
    <row r="580">
      <c r="A580" s="574"/>
      <c r="B580" s="574"/>
      <c r="C580" s="574"/>
    </row>
    <row r="581">
      <c r="A581" s="574"/>
      <c r="B581" s="574"/>
      <c r="C581" s="574"/>
    </row>
    <row r="582">
      <c r="A582" s="574"/>
      <c r="B582" s="574"/>
      <c r="C582" s="574"/>
    </row>
    <row r="583">
      <c r="A583" s="574"/>
      <c r="B583" s="574"/>
      <c r="C583" s="574"/>
    </row>
    <row r="584">
      <c r="A584" s="574"/>
      <c r="B584" s="574"/>
      <c r="C584" s="574"/>
    </row>
    <row r="585">
      <c r="A585" s="574"/>
      <c r="B585" s="574"/>
      <c r="C585" s="574"/>
    </row>
    <row r="586">
      <c r="A586" s="574"/>
      <c r="B586" s="574"/>
      <c r="C586" s="574"/>
    </row>
    <row r="587">
      <c r="A587" s="574"/>
      <c r="B587" s="574"/>
      <c r="C587" s="574"/>
    </row>
    <row r="588">
      <c r="A588" s="574"/>
      <c r="B588" s="574"/>
      <c r="C588" s="574"/>
    </row>
    <row r="589">
      <c r="A589" s="574"/>
      <c r="B589" s="574"/>
      <c r="C589" s="574"/>
    </row>
    <row r="590">
      <c r="A590" s="574"/>
      <c r="B590" s="574"/>
      <c r="C590" s="574"/>
    </row>
    <row r="591">
      <c r="A591" s="574"/>
      <c r="B591" s="574"/>
      <c r="C591" s="574"/>
    </row>
    <row r="592">
      <c r="A592" s="574"/>
      <c r="B592" s="574"/>
      <c r="C592" s="574"/>
    </row>
    <row r="593">
      <c r="A593" s="574"/>
      <c r="B593" s="574"/>
      <c r="C593" s="574"/>
    </row>
    <row r="594">
      <c r="A594" s="574"/>
      <c r="B594" s="574"/>
      <c r="C594" s="574"/>
    </row>
    <row r="595">
      <c r="A595" s="574"/>
      <c r="B595" s="574"/>
      <c r="C595" s="574"/>
    </row>
    <row r="596">
      <c r="A596" s="574"/>
      <c r="B596" s="574"/>
      <c r="C596" s="574"/>
    </row>
    <row r="597">
      <c r="A597" s="574"/>
      <c r="B597" s="574"/>
      <c r="C597" s="574"/>
    </row>
    <row r="598">
      <c r="A598" s="574"/>
      <c r="B598" s="574"/>
      <c r="C598" s="574"/>
    </row>
    <row r="599">
      <c r="A599" s="574"/>
      <c r="B599" s="574"/>
      <c r="C599" s="574"/>
    </row>
    <row r="600">
      <c r="A600" s="574"/>
      <c r="B600" s="574"/>
      <c r="C600" s="574"/>
    </row>
    <row r="601">
      <c r="A601" s="574"/>
      <c r="B601" s="574"/>
      <c r="C601" s="574"/>
    </row>
    <row r="602">
      <c r="A602" s="574"/>
      <c r="B602" s="574"/>
      <c r="C602" s="574"/>
    </row>
    <row r="603">
      <c r="A603" s="574"/>
      <c r="B603" s="574"/>
      <c r="C603" s="574"/>
    </row>
    <row r="604">
      <c r="A604" s="574"/>
      <c r="B604" s="574"/>
      <c r="C604" s="574"/>
    </row>
    <row r="605">
      <c r="A605" s="574"/>
      <c r="B605" s="574"/>
      <c r="C605" s="574"/>
    </row>
    <row r="606">
      <c r="A606" s="574"/>
      <c r="B606" s="574"/>
      <c r="C606" s="574"/>
    </row>
    <row r="607">
      <c r="A607" s="574"/>
      <c r="B607" s="574"/>
      <c r="C607" s="574"/>
    </row>
    <row r="608">
      <c r="A608" s="574"/>
      <c r="B608" s="574"/>
      <c r="C608" s="574"/>
    </row>
    <row r="609">
      <c r="A609" s="574"/>
      <c r="B609" s="574"/>
      <c r="C609" s="574"/>
    </row>
    <row r="610">
      <c r="A610" s="574"/>
      <c r="B610" s="574"/>
      <c r="C610" s="574"/>
    </row>
    <row r="611">
      <c r="A611" s="574"/>
      <c r="B611" s="574"/>
      <c r="C611" s="574"/>
    </row>
    <row r="612">
      <c r="A612" s="574"/>
      <c r="B612" s="574"/>
      <c r="C612" s="574"/>
    </row>
    <row r="613">
      <c r="A613" s="574"/>
      <c r="B613" s="574"/>
      <c r="C613" s="574"/>
    </row>
    <row r="614">
      <c r="A614" s="574"/>
      <c r="B614" s="574"/>
      <c r="C614" s="574"/>
    </row>
    <row r="615">
      <c r="A615" s="574"/>
      <c r="B615" s="574"/>
      <c r="C615" s="574"/>
    </row>
    <row r="616">
      <c r="A616" s="574"/>
      <c r="B616" s="574"/>
      <c r="C616" s="574"/>
    </row>
    <row r="617">
      <c r="A617" s="574"/>
      <c r="B617" s="574"/>
      <c r="C617" s="574"/>
    </row>
    <row r="618">
      <c r="A618" s="574"/>
      <c r="B618" s="574"/>
      <c r="C618" s="574"/>
    </row>
    <row r="619">
      <c r="A619" s="574"/>
      <c r="B619" s="574"/>
      <c r="C619" s="574"/>
    </row>
    <row r="620">
      <c r="A620" s="574"/>
      <c r="B620" s="574"/>
      <c r="C620" s="574"/>
    </row>
    <row r="621">
      <c r="A621" s="574"/>
      <c r="B621" s="574"/>
      <c r="C621" s="574"/>
    </row>
    <row r="622">
      <c r="A622" s="574"/>
      <c r="B622" s="574"/>
      <c r="C622" s="574"/>
    </row>
    <row r="623">
      <c r="A623" s="574"/>
      <c r="B623" s="574"/>
      <c r="C623" s="574"/>
    </row>
    <row r="624">
      <c r="A624" s="574"/>
      <c r="B624" s="574"/>
      <c r="C624" s="574"/>
    </row>
    <row r="625">
      <c r="A625" s="574"/>
      <c r="B625" s="574"/>
      <c r="C625" s="574"/>
    </row>
    <row r="626">
      <c r="A626" s="574"/>
      <c r="B626" s="574"/>
      <c r="C626" s="574"/>
    </row>
    <row r="627">
      <c r="A627" s="574"/>
      <c r="B627" s="574"/>
      <c r="C627" s="574"/>
    </row>
    <row r="628">
      <c r="A628" s="574"/>
      <c r="B628" s="574"/>
      <c r="C628" s="574"/>
    </row>
    <row r="629">
      <c r="A629" s="574"/>
      <c r="B629" s="574"/>
      <c r="C629" s="574"/>
    </row>
    <row r="630">
      <c r="A630" s="574"/>
      <c r="B630" s="574"/>
      <c r="C630" s="574"/>
    </row>
    <row r="631">
      <c r="A631" s="574"/>
      <c r="B631" s="574"/>
      <c r="C631" s="574"/>
    </row>
    <row r="632">
      <c r="A632" s="574"/>
      <c r="B632" s="574"/>
      <c r="C632" s="574"/>
    </row>
    <row r="633">
      <c r="A633" s="574"/>
      <c r="B633" s="574"/>
      <c r="C633" s="574"/>
    </row>
    <row r="634">
      <c r="A634" s="574"/>
      <c r="B634" s="574"/>
      <c r="C634" s="574"/>
    </row>
    <row r="635">
      <c r="A635" s="574"/>
      <c r="B635" s="574"/>
      <c r="C635" s="574"/>
    </row>
    <row r="636">
      <c r="A636" s="574"/>
      <c r="B636" s="574"/>
      <c r="C636" s="574"/>
    </row>
    <row r="637">
      <c r="A637" s="574"/>
      <c r="B637" s="574"/>
      <c r="C637" s="574"/>
    </row>
    <row r="638">
      <c r="A638" s="574"/>
      <c r="B638" s="574"/>
      <c r="C638" s="574"/>
    </row>
    <row r="639">
      <c r="A639" s="574"/>
      <c r="B639" s="574"/>
      <c r="C639" s="574"/>
    </row>
    <row r="640">
      <c r="A640" s="574"/>
      <c r="B640" s="574"/>
      <c r="C640" s="574"/>
    </row>
    <row r="641">
      <c r="A641" s="574"/>
      <c r="B641" s="574"/>
      <c r="C641" s="574"/>
    </row>
    <row r="642">
      <c r="A642" s="574"/>
      <c r="B642" s="574"/>
      <c r="C642" s="574"/>
    </row>
    <row r="643">
      <c r="A643" s="574"/>
      <c r="B643" s="574"/>
      <c r="C643" s="574"/>
    </row>
    <row r="644">
      <c r="A644" s="574"/>
      <c r="B644" s="574"/>
      <c r="C644" s="574"/>
    </row>
    <row r="645">
      <c r="A645" s="574"/>
      <c r="B645" s="574"/>
      <c r="C645" s="574"/>
    </row>
    <row r="646">
      <c r="A646" s="574"/>
      <c r="B646" s="574"/>
      <c r="C646" s="574"/>
    </row>
    <row r="647">
      <c r="A647" s="574"/>
      <c r="B647" s="574"/>
      <c r="C647" s="574"/>
    </row>
    <row r="648">
      <c r="A648" s="574"/>
      <c r="B648" s="574"/>
      <c r="C648" s="574"/>
    </row>
    <row r="649">
      <c r="A649" s="574"/>
      <c r="B649" s="574"/>
      <c r="C649" s="574"/>
    </row>
    <row r="650">
      <c r="A650" s="574"/>
      <c r="B650" s="574"/>
      <c r="C650" s="574"/>
    </row>
    <row r="651">
      <c r="A651" s="574"/>
      <c r="B651" s="574"/>
      <c r="C651" s="574"/>
    </row>
    <row r="652">
      <c r="A652" s="574"/>
      <c r="B652" s="574"/>
      <c r="C652" s="574"/>
    </row>
    <row r="653">
      <c r="A653" s="574"/>
      <c r="B653" s="574"/>
      <c r="C653" s="574"/>
    </row>
    <row r="654">
      <c r="A654" s="574"/>
      <c r="B654" s="574"/>
      <c r="C654" s="574"/>
    </row>
    <row r="655">
      <c r="A655" s="574"/>
      <c r="B655" s="574"/>
      <c r="C655" s="574"/>
    </row>
    <row r="656">
      <c r="A656" s="574"/>
      <c r="B656" s="574"/>
      <c r="C656" s="574"/>
    </row>
    <row r="657">
      <c r="A657" s="574"/>
      <c r="B657" s="574"/>
      <c r="C657" s="574"/>
    </row>
    <row r="658">
      <c r="A658" s="574"/>
      <c r="B658" s="574"/>
      <c r="C658" s="574"/>
    </row>
    <row r="659">
      <c r="A659" s="574"/>
      <c r="B659" s="574"/>
      <c r="C659" s="574"/>
    </row>
    <row r="660">
      <c r="A660" s="574"/>
      <c r="B660" s="574"/>
      <c r="C660" s="574"/>
    </row>
    <row r="661">
      <c r="A661" s="574"/>
      <c r="B661" s="574"/>
      <c r="C661" s="574"/>
    </row>
    <row r="662">
      <c r="A662" s="574"/>
      <c r="B662" s="574"/>
      <c r="C662" s="574"/>
    </row>
    <row r="663">
      <c r="A663" s="574"/>
      <c r="B663" s="574"/>
      <c r="C663" s="574"/>
    </row>
    <row r="664">
      <c r="A664" s="574"/>
      <c r="B664" s="574"/>
      <c r="C664" s="574"/>
    </row>
    <row r="665">
      <c r="A665" s="574"/>
      <c r="B665" s="574"/>
      <c r="C665" s="574"/>
    </row>
    <row r="666">
      <c r="A666" s="574"/>
      <c r="B666" s="574"/>
      <c r="C666" s="574"/>
    </row>
    <row r="667">
      <c r="A667" s="574"/>
      <c r="B667" s="574"/>
      <c r="C667" s="574"/>
    </row>
    <row r="668">
      <c r="A668" s="574"/>
      <c r="B668" s="574"/>
      <c r="C668" s="574"/>
    </row>
    <row r="669">
      <c r="A669" s="574"/>
      <c r="B669" s="574"/>
      <c r="C669" s="574"/>
    </row>
    <row r="670">
      <c r="A670" s="574"/>
      <c r="B670" s="574"/>
      <c r="C670" s="574"/>
    </row>
    <row r="671">
      <c r="A671" s="574"/>
      <c r="B671" s="574"/>
      <c r="C671" s="574"/>
    </row>
    <row r="672">
      <c r="A672" s="574"/>
      <c r="B672" s="574"/>
      <c r="C672" s="574"/>
    </row>
    <row r="673">
      <c r="A673" s="574"/>
      <c r="B673" s="574"/>
      <c r="C673" s="574"/>
    </row>
    <row r="674">
      <c r="A674" s="574"/>
      <c r="B674" s="574"/>
      <c r="C674" s="574"/>
    </row>
    <row r="675">
      <c r="A675" s="574"/>
      <c r="B675" s="574"/>
      <c r="C675" s="574"/>
    </row>
    <row r="676">
      <c r="A676" s="574"/>
      <c r="B676" s="574"/>
      <c r="C676" s="574"/>
    </row>
    <row r="677">
      <c r="A677" s="574"/>
      <c r="B677" s="574"/>
      <c r="C677" s="574"/>
    </row>
    <row r="678">
      <c r="A678" s="574"/>
      <c r="B678" s="574"/>
      <c r="C678" s="574"/>
    </row>
    <row r="679">
      <c r="A679" s="574"/>
      <c r="B679" s="574"/>
      <c r="C679" s="574"/>
    </row>
    <row r="680">
      <c r="A680" s="574"/>
      <c r="B680" s="574"/>
      <c r="C680" s="574"/>
    </row>
    <row r="681">
      <c r="A681" s="574"/>
      <c r="B681" s="574"/>
      <c r="C681" s="574"/>
    </row>
    <row r="682">
      <c r="A682" s="574"/>
      <c r="B682" s="574"/>
      <c r="C682" s="574"/>
    </row>
    <row r="683">
      <c r="A683" s="574"/>
      <c r="B683" s="574"/>
      <c r="C683" s="574"/>
    </row>
    <row r="684">
      <c r="A684" s="574"/>
      <c r="B684" s="574"/>
      <c r="C684" s="574"/>
    </row>
    <row r="685">
      <c r="A685" s="574"/>
      <c r="B685" s="574"/>
      <c r="C685" s="574"/>
    </row>
    <row r="686">
      <c r="A686" s="574"/>
      <c r="B686" s="574"/>
      <c r="C686" s="574"/>
    </row>
    <row r="687">
      <c r="A687" s="574"/>
      <c r="B687" s="574"/>
      <c r="C687" s="574"/>
    </row>
    <row r="688">
      <c r="A688" s="574"/>
      <c r="B688" s="574"/>
      <c r="C688" s="574"/>
    </row>
    <row r="689">
      <c r="A689" s="574"/>
      <c r="B689" s="574"/>
      <c r="C689" s="574"/>
    </row>
    <row r="690">
      <c r="A690" s="574"/>
      <c r="B690" s="574"/>
      <c r="C690" s="574"/>
    </row>
    <row r="691">
      <c r="A691" s="574"/>
      <c r="B691" s="574"/>
      <c r="C691" s="574"/>
    </row>
    <row r="692">
      <c r="A692" s="574"/>
      <c r="B692" s="574"/>
      <c r="C692" s="574"/>
    </row>
    <row r="693">
      <c r="A693" s="574"/>
      <c r="B693" s="574"/>
      <c r="C693" s="574"/>
    </row>
    <row r="694">
      <c r="A694" s="574"/>
      <c r="B694" s="574"/>
      <c r="C694" s="574"/>
    </row>
    <row r="695">
      <c r="A695" s="574"/>
      <c r="B695" s="574"/>
      <c r="C695" s="574"/>
    </row>
    <row r="696">
      <c r="A696" s="574"/>
      <c r="B696" s="574"/>
      <c r="C696" s="574"/>
    </row>
    <row r="697">
      <c r="A697" s="574"/>
      <c r="B697" s="574"/>
      <c r="C697" s="574"/>
    </row>
    <row r="698">
      <c r="A698" s="574"/>
      <c r="B698" s="574"/>
      <c r="C698" s="574"/>
    </row>
    <row r="699">
      <c r="A699" s="574"/>
      <c r="B699" s="574"/>
      <c r="C699" s="574"/>
    </row>
    <row r="700">
      <c r="A700" s="574"/>
      <c r="B700" s="574"/>
      <c r="C700" s="574"/>
    </row>
    <row r="701">
      <c r="A701" s="574"/>
      <c r="B701" s="574"/>
      <c r="C701" s="574"/>
    </row>
    <row r="702">
      <c r="A702" s="574"/>
      <c r="B702" s="574"/>
      <c r="C702" s="574"/>
    </row>
    <row r="703">
      <c r="A703" s="574"/>
      <c r="B703" s="574"/>
      <c r="C703" s="574"/>
    </row>
    <row r="704">
      <c r="A704" s="574"/>
      <c r="B704" s="574"/>
      <c r="C704" s="574"/>
    </row>
    <row r="705">
      <c r="A705" s="574"/>
      <c r="B705" s="574"/>
      <c r="C705" s="574"/>
    </row>
    <row r="706">
      <c r="A706" s="574"/>
      <c r="B706" s="574"/>
      <c r="C706" s="574"/>
    </row>
    <row r="707">
      <c r="A707" s="574"/>
      <c r="B707" s="574"/>
      <c r="C707" s="574"/>
    </row>
    <row r="708">
      <c r="A708" s="574"/>
      <c r="B708" s="574"/>
      <c r="C708" s="574"/>
    </row>
    <row r="709">
      <c r="A709" s="574"/>
      <c r="B709" s="574"/>
      <c r="C709" s="574"/>
    </row>
    <row r="710">
      <c r="A710" s="574"/>
      <c r="B710" s="574"/>
      <c r="C710" s="574"/>
    </row>
    <row r="711">
      <c r="A711" s="574"/>
      <c r="B711" s="574"/>
      <c r="C711" s="574"/>
    </row>
    <row r="712">
      <c r="A712" s="574"/>
      <c r="B712" s="574"/>
      <c r="C712" s="574"/>
    </row>
    <row r="713">
      <c r="A713" s="574"/>
      <c r="B713" s="574"/>
      <c r="C713" s="574"/>
    </row>
    <row r="714">
      <c r="A714" s="574"/>
      <c r="B714" s="574"/>
      <c r="C714" s="574"/>
    </row>
    <row r="715">
      <c r="A715" s="574"/>
      <c r="B715" s="574"/>
      <c r="C715" s="574"/>
    </row>
    <row r="716">
      <c r="A716" s="574"/>
      <c r="B716" s="574"/>
      <c r="C716" s="574"/>
    </row>
    <row r="717">
      <c r="A717" s="574"/>
      <c r="B717" s="574"/>
      <c r="C717" s="574"/>
    </row>
    <row r="718">
      <c r="A718" s="574"/>
      <c r="B718" s="574"/>
      <c r="C718" s="574"/>
    </row>
    <row r="719">
      <c r="A719" s="574"/>
      <c r="B719" s="574"/>
      <c r="C719" s="574"/>
    </row>
    <row r="720">
      <c r="A720" s="574"/>
      <c r="B720" s="574"/>
      <c r="C720" s="574"/>
    </row>
    <row r="721">
      <c r="A721" s="574"/>
      <c r="B721" s="574"/>
      <c r="C721" s="574"/>
    </row>
    <row r="722">
      <c r="A722" s="574"/>
      <c r="B722" s="574"/>
      <c r="C722" s="574"/>
    </row>
    <row r="723">
      <c r="A723" s="574"/>
      <c r="B723" s="574"/>
      <c r="C723" s="574"/>
    </row>
    <row r="724">
      <c r="A724" s="574"/>
      <c r="B724" s="574"/>
      <c r="C724" s="574"/>
    </row>
    <row r="725">
      <c r="A725" s="574"/>
      <c r="B725" s="574"/>
      <c r="C725" s="574"/>
    </row>
    <row r="726">
      <c r="A726" s="574"/>
      <c r="B726" s="574"/>
      <c r="C726" s="574"/>
    </row>
    <row r="727">
      <c r="A727" s="574"/>
      <c r="B727" s="574"/>
      <c r="C727" s="574"/>
    </row>
    <row r="728">
      <c r="A728" s="574"/>
      <c r="B728" s="574"/>
      <c r="C728" s="574"/>
    </row>
    <row r="729">
      <c r="A729" s="574"/>
      <c r="B729" s="574"/>
      <c r="C729" s="574"/>
    </row>
    <row r="730">
      <c r="A730" s="574"/>
      <c r="B730" s="574"/>
      <c r="C730" s="574"/>
    </row>
    <row r="731">
      <c r="A731" s="574"/>
      <c r="B731" s="574"/>
      <c r="C731" s="574"/>
    </row>
    <row r="732">
      <c r="A732" s="574"/>
      <c r="B732" s="574"/>
      <c r="C732" s="574"/>
    </row>
    <row r="733">
      <c r="A733" s="574"/>
      <c r="B733" s="574"/>
      <c r="C733" s="574"/>
    </row>
    <row r="734">
      <c r="A734" s="574"/>
      <c r="B734" s="574"/>
      <c r="C734" s="574"/>
    </row>
    <row r="735">
      <c r="A735" s="574"/>
      <c r="B735" s="574"/>
      <c r="C735" s="574"/>
    </row>
    <row r="736">
      <c r="A736" s="574"/>
      <c r="B736" s="574"/>
      <c r="C736" s="574"/>
    </row>
    <row r="737">
      <c r="A737" s="574"/>
      <c r="B737" s="574"/>
      <c r="C737" s="574"/>
    </row>
    <row r="738">
      <c r="A738" s="574"/>
      <c r="B738" s="574"/>
      <c r="C738" s="574"/>
    </row>
    <row r="739">
      <c r="A739" s="574"/>
      <c r="B739" s="574"/>
      <c r="C739" s="574"/>
    </row>
    <row r="740">
      <c r="A740" s="574"/>
      <c r="B740" s="574"/>
      <c r="C740" s="574"/>
    </row>
    <row r="741">
      <c r="A741" s="574"/>
      <c r="B741" s="574"/>
      <c r="C741" s="574"/>
    </row>
    <row r="742">
      <c r="A742" s="574"/>
      <c r="B742" s="574"/>
      <c r="C742" s="574"/>
    </row>
    <row r="743">
      <c r="A743" s="574"/>
      <c r="B743" s="574"/>
      <c r="C743" s="574"/>
    </row>
    <row r="744">
      <c r="A744" s="574"/>
      <c r="B744" s="574"/>
      <c r="C744" s="574"/>
    </row>
    <row r="745">
      <c r="A745" s="574"/>
      <c r="B745" s="574"/>
      <c r="C745" s="574"/>
    </row>
    <row r="746">
      <c r="A746" s="574"/>
      <c r="B746" s="574"/>
      <c r="C746" s="574"/>
    </row>
    <row r="747">
      <c r="A747" s="574"/>
      <c r="B747" s="574"/>
      <c r="C747" s="574"/>
    </row>
    <row r="748">
      <c r="A748" s="574"/>
      <c r="B748" s="574"/>
      <c r="C748" s="574"/>
    </row>
    <row r="749">
      <c r="A749" s="574"/>
      <c r="B749" s="574"/>
      <c r="C749" s="574"/>
    </row>
    <row r="750">
      <c r="A750" s="574"/>
      <c r="B750" s="574"/>
      <c r="C750" s="574"/>
    </row>
    <row r="751">
      <c r="A751" s="574"/>
      <c r="B751" s="574"/>
      <c r="C751" s="574"/>
    </row>
    <row r="752">
      <c r="A752" s="574"/>
      <c r="B752" s="574"/>
      <c r="C752" s="574"/>
    </row>
    <row r="753">
      <c r="A753" s="574"/>
      <c r="B753" s="574"/>
      <c r="C753" s="574"/>
    </row>
    <row r="754">
      <c r="A754" s="574"/>
      <c r="B754" s="574"/>
      <c r="C754" s="574"/>
    </row>
    <row r="755">
      <c r="A755" s="574"/>
      <c r="B755" s="574"/>
      <c r="C755" s="574"/>
    </row>
    <row r="756">
      <c r="A756" s="574"/>
      <c r="B756" s="574"/>
      <c r="C756" s="574"/>
    </row>
    <row r="757">
      <c r="A757" s="574"/>
      <c r="B757" s="574"/>
      <c r="C757" s="574"/>
    </row>
    <row r="758">
      <c r="A758" s="574"/>
      <c r="B758" s="574"/>
      <c r="C758" s="574"/>
    </row>
    <row r="759">
      <c r="A759" s="574"/>
      <c r="B759" s="574"/>
      <c r="C759" s="574"/>
    </row>
    <row r="760">
      <c r="A760" s="574"/>
      <c r="B760" s="574"/>
      <c r="C760" s="574"/>
    </row>
    <row r="761">
      <c r="A761" s="574"/>
      <c r="B761" s="574"/>
      <c r="C761" s="574"/>
    </row>
    <row r="762">
      <c r="A762" s="574"/>
      <c r="B762" s="574"/>
      <c r="C762" s="574"/>
    </row>
    <row r="763">
      <c r="A763" s="574"/>
      <c r="B763" s="574"/>
      <c r="C763" s="574"/>
    </row>
    <row r="764">
      <c r="A764" s="574"/>
      <c r="B764" s="574"/>
      <c r="C764" s="574"/>
    </row>
    <row r="765">
      <c r="A765" s="574"/>
      <c r="B765" s="574"/>
      <c r="C765" s="574"/>
    </row>
    <row r="766">
      <c r="A766" s="574"/>
      <c r="B766" s="574"/>
      <c r="C766" s="574"/>
    </row>
    <row r="767">
      <c r="A767" s="574"/>
      <c r="B767" s="574"/>
      <c r="C767" s="574"/>
    </row>
    <row r="768">
      <c r="A768" s="574"/>
      <c r="B768" s="574"/>
      <c r="C768" s="574"/>
    </row>
    <row r="769">
      <c r="A769" s="574"/>
      <c r="B769" s="574"/>
      <c r="C769" s="574"/>
    </row>
    <row r="770">
      <c r="A770" s="574"/>
      <c r="B770" s="574"/>
      <c r="C770" s="574"/>
    </row>
    <row r="771">
      <c r="A771" s="574"/>
      <c r="B771" s="574"/>
      <c r="C771" s="574"/>
    </row>
    <row r="772">
      <c r="A772" s="574"/>
      <c r="B772" s="574"/>
      <c r="C772" s="574"/>
    </row>
    <row r="773">
      <c r="A773" s="574"/>
      <c r="B773" s="574"/>
      <c r="C773" s="574"/>
    </row>
    <row r="774">
      <c r="A774" s="574"/>
      <c r="B774" s="574"/>
      <c r="C774" s="574"/>
    </row>
    <row r="775">
      <c r="A775" s="574"/>
      <c r="B775" s="574"/>
      <c r="C775" s="574"/>
    </row>
    <row r="776">
      <c r="A776" s="574"/>
      <c r="B776" s="574"/>
      <c r="C776" s="574"/>
    </row>
    <row r="777">
      <c r="A777" s="574"/>
      <c r="B777" s="574"/>
      <c r="C777" s="574"/>
    </row>
    <row r="778">
      <c r="A778" s="574"/>
      <c r="B778" s="574"/>
      <c r="C778" s="574"/>
    </row>
    <row r="779">
      <c r="A779" s="574"/>
      <c r="B779" s="574"/>
      <c r="C779" s="574"/>
    </row>
    <row r="780">
      <c r="A780" s="574"/>
      <c r="B780" s="574"/>
      <c r="C780" s="574"/>
    </row>
    <row r="781">
      <c r="A781" s="574"/>
      <c r="B781" s="574"/>
      <c r="C781" s="574"/>
    </row>
    <row r="782">
      <c r="A782" s="574"/>
      <c r="B782" s="574"/>
      <c r="C782" s="574"/>
    </row>
    <row r="783">
      <c r="A783" s="574"/>
      <c r="B783" s="574"/>
      <c r="C783" s="574"/>
    </row>
    <row r="784">
      <c r="A784" s="574"/>
      <c r="B784" s="574"/>
      <c r="C784" s="574"/>
    </row>
    <row r="785">
      <c r="A785" s="574"/>
      <c r="B785" s="574"/>
      <c r="C785" s="574"/>
    </row>
    <row r="786">
      <c r="A786" s="574"/>
      <c r="B786" s="574"/>
      <c r="C786" s="574"/>
    </row>
    <row r="787">
      <c r="A787" s="574"/>
      <c r="B787" s="574"/>
      <c r="C787" s="574"/>
    </row>
    <row r="788">
      <c r="A788" s="574"/>
      <c r="B788" s="574"/>
      <c r="C788" s="574"/>
    </row>
    <row r="789">
      <c r="A789" s="574"/>
      <c r="B789" s="574"/>
      <c r="C789" s="574"/>
    </row>
    <row r="790">
      <c r="A790" s="574"/>
      <c r="B790" s="574"/>
      <c r="C790" s="574"/>
    </row>
    <row r="791">
      <c r="A791" s="574"/>
      <c r="B791" s="574"/>
      <c r="C791" s="574"/>
    </row>
    <row r="792">
      <c r="A792" s="574"/>
      <c r="B792" s="574"/>
      <c r="C792" s="574"/>
    </row>
    <row r="793">
      <c r="A793" s="574"/>
      <c r="B793" s="574"/>
      <c r="C793" s="574"/>
    </row>
    <row r="794">
      <c r="A794" s="574"/>
      <c r="B794" s="574"/>
      <c r="C794" s="574"/>
    </row>
    <row r="795">
      <c r="A795" s="574"/>
      <c r="B795" s="574"/>
      <c r="C795" s="574"/>
    </row>
    <row r="796">
      <c r="A796" s="574"/>
      <c r="B796" s="574"/>
      <c r="C796" s="574"/>
    </row>
    <row r="797">
      <c r="A797" s="574"/>
      <c r="B797" s="574"/>
      <c r="C797" s="574"/>
    </row>
    <row r="798">
      <c r="A798" s="574"/>
      <c r="B798" s="574"/>
      <c r="C798" s="574"/>
    </row>
    <row r="799">
      <c r="A799" s="574"/>
      <c r="B799" s="574"/>
      <c r="C799" s="574"/>
    </row>
    <row r="800">
      <c r="A800" s="574"/>
      <c r="B800" s="574"/>
      <c r="C800" s="574"/>
    </row>
    <row r="801">
      <c r="A801" s="574"/>
      <c r="B801" s="574"/>
      <c r="C801" s="574"/>
    </row>
    <row r="802">
      <c r="A802" s="574"/>
      <c r="B802" s="574"/>
      <c r="C802" s="574"/>
    </row>
    <row r="803">
      <c r="A803" s="574"/>
      <c r="B803" s="574"/>
      <c r="C803" s="574"/>
    </row>
    <row r="804">
      <c r="A804" s="574"/>
      <c r="B804" s="574"/>
      <c r="C804" s="574"/>
    </row>
    <row r="805">
      <c r="A805" s="574"/>
      <c r="B805" s="574"/>
      <c r="C805" s="574"/>
    </row>
    <row r="806">
      <c r="A806" s="574"/>
      <c r="B806" s="574"/>
      <c r="C806" s="574"/>
    </row>
    <row r="807">
      <c r="A807" s="574"/>
      <c r="B807" s="574"/>
      <c r="C807" s="574"/>
    </row>
    <row r="808">
      <c r="A808" s="574"/>
      <c r="B808" s="574"/>
      <c r="C808" s="574"/>
    </row>
    <row r="809">
      <c r="A809" s="574"/>
      <c r="B809" s="574"/>
      <c r="C809" s="574"/>
    </row>
    <row r="810">
      <c r="A810" s="574"/>
      <c r="B810" s="574"/>
      <c r="C810" s="574"/>
    </row>
    <row r="811">
      <c r="A811" s="574"/>
      <c r="B811" s="574"/>
      <c r="C811" s="574"/>
    </row>
    <row r="812">
      <c r="A812" s="574"/>
      <c r="B812" s="574"/>
      <c r="C812" s="574"/>
    </row>
    <row r="813">
      <c r="A813" s="574"/>
      <c r="B813" s="574"/>
      <c r="C813" s="574"/>
    </row>
    <row r="814">
      <c r="A814" s="574"/>
      <c r="B814" s="574"/>
      <c r="C814" s="574"/>
    </row>
    <row r="815">
      <c r="A815" s="574"/>
      <c r="B815" s="574"/>
      <c r="C815" s="574"/>
    </row>
    <row r="816">
      <c r="A816" s="574"/>
      <c r="B816" s="574"/>
      <c r="C816" s="574"/>
    </row>
    <row r="817">
      <c r="A817" s="574"/>
      <c r="B817" s="574"/>
      <c r="C817" s="574"/>
    </row>
    <row r="818">
      <c r="A818" s="574"/>
      <c r="B818" s="574"/>
      <c r="C818" s="574"/>
    </row>
    <row r="819">
      <c r="A819" s="574"/>
      <c r="B819" s="574"/>
      <c r="C819" s="574"/>
    </row>
    <row r="820">
      <c r="A820" s="574"/>
      <c r="B820" s="574"/>
      <c r="C820" s="574"/>
    </row>
    <row r="821">
      <c r="A821" s="574"/>
      <c r="B821" s="574"/>
      <c r="C821" s="574"/>
    </row>
    <row r="822">
      <c r="A822" s="574"/>
      <c r="B822" s="574"/>
      <c r="C822" s="574"/>
    </row>
    <row r="823">
      <c r="A823" s="574"/>
      <c r="B823" s="574"/>
      <c r="C823" s="574"/>
    </row>
    <row r="824">
      <c r="A824" s="574"/>
      <c r="B824" s="574"/>
      <c r="C824" s="574"/>
    </row>
    <row r="825">
      <c r="A825" s="574"/>
      <c r="B825" s="574"/>
      <c r="C825" s="574"/>
    </row>
    <row r="826">
      <c r="A826" s="574"/>
      <c r="B826" s="574"/>
      <c r="C826" s="574"/>
    </row>
    <row r="827">
      <c r="A827" s="574"/>
      <c r="B827" s="574"/>
      <c r="C827" s="574"/>
    </row>
    <row r="828">
      <c r="A828" s="574"/>
      <c r="B828" s="574"/>
      <c r="C828" s="574"/>
    </row>
    <row r="829">
      <c r="A829" s="574"/>
      <c r="B829" s="574"/>
      <c r="C829" s="574"/>
    </row>
    <row r="830">
      <c r="A830" s="574"/>
      <c r="B830" s="574"/>
      <c r="C830" s="574"/>
    </row>
    <row r="831">
      <c r="A831" s="574"/>
      <c r="B831" s="574"/>
      <c r="C831" s="574"/>
    </row>
    <row r="832">
      <c r="A832" s="574"/>
      <c r="B832" s="574"/>
      <c r="C832" s="574"/>
    </row>
    <row r="833">
      <c r="A833" s="574"/>
      <c r="B833" s="574"/>
      <c r="C833" s="574"/>
    </row>
    <row r="834">
      <c r="A834" s="574"/>
      <c r="B834" s="574"/>
      <c r="C834" s="574"/>
    </row>
    <row r="835">
      <c r="A835" s="574"/>
      <c r="B835" s="574"/>
      <c r="C835" s="574"/>
    </row>
    <row r="836">
      <c r="A836" s="574"/>
      <c r="B836" s="574"/>
      <c r="C836" s="574"/>
    </row>
    <row r="837">
      <c r="A837" s="574"/>
      <c r="B837" s="574"/>
      <c r="C837" s="574"/>
    </row>
    <row r="838">
      <c r="A838" s="574"/>
      <c r="B838" s="574"/>
      <c r="C838" s="574"/>
    </row>
    <row r="839">
      <c r="A839" s="574"/>
      <c r="B839" s="574"/>
      <c r="C839" s="574"/>
    </row>
    <row r="840">
      <c r="A840" s="574"/>
      <c r="B840" s="574"/>
      <c r="C840" s="574"/>
    </row>
    <row r="841">
      <c r="A841" s="574"/>
      <c r="B841" s="574"/>
      <c r="C841" s="574"/>
    </row>
    <row r="842">
      <c r="A842" s="574"/>
      <c r="B842" s="574"/>
      <c r="C842" s="574"/>
    </row>
    <row r="843">
      <c r="A843" s="574"/>
      <c r="B843" s="574"/>
      <c r="C843" s="574"/>
    </row>
    <row r="844">
      <c r="A844" s="574"/>
      <c r="B844" s="574"/>
      <c r="C844" s="574"/>
    </row>
    <row r="845">
      <c r="A845" s="574"/>
      <c r="B845" s="574"/>
      <c r="C845" s="574"/>
    </row>
    <row r="846">
      <c r="A846" s="574"/>
      <c r="B846" s="574"/>
      <c r="C846" s="574"/>
    </row>
    <row r="847">
      <c r="A847" s="574"/>
      <c r="B847" s="574"/>
      <c r="C847" s="574"/>
    </row>
    <row r="848">
      <c r="A848" s="574"/>
      <c r="B848" s="574"/>
      <c r="C848" s="574"/>
    </row>
    <row r="849">
      <c r="A849" s="574"/>
      <c r="B849" s="574"/>
      <c r="C849" s="574"/>
    </row>
    <row r="850">
      <c r="A850" s="574"/>
      <c r="B850" s="574"/>
      <c r="C850" s="574"/>
    </row>
    <row r="851">
      <c r="A851" s="574"/>
      <c r="B851" s="574"/>
      <c r="C851" s="574"/>
    </row>
    <row r="852">
      <c r="A852" s="574"/>
      <c r="B852" s="574"/>
      <c r="C852" s="574"/>
    </row>
    <row r="853">
      <c r="A853" s="574"/>
      <c r="B853" s="574"/>
      <c r="C853" s="574"/>
    </row>
    <row r="854">
      <c r="A854" s="574"/>
      <c r="B854" s="574"/>
      <c r="C854" s="574"/>
    </row>
    <row r="855">
      <c r="A855" s="574"/>
      <c r="B855" s="574"/>
      <c r="C855" s="574"/>
    </row>
    <row r="856">
      <c r="A856" s="574"/>
      <c r="B856" s="574"/>
      <c r="C856" s="574"/>
    </row>
    <row r="857">
      <c r="A857" s="574"/>
      <c r="B857" s="574"/>
      <c r="C857" s="574"/>
    </row>
    <row r="858">
      <c r="A858" s="574"/>
      <c r="B858" s="574"/>
      <c r="C858" s="574"/>
    </row>
    <row r="859">
      <c r="A859" s="574"/>
      <c r="B859" s="574"/>
      <c r="C859" s="574"/>
    </row>
    <row r="860">
      <c r="A860" s="574"/>
      <c r="B860" s="574"/>
      <c r="C860" s="574"/>
    </row>
    <row r="861">
      <c r="A861" s="574"/>
      <c r="B861" s="574"/>
      <c r="C861" s="574"/>
    </row>
    <row r="862">
      <c r="A862" s="574"/>
      <c r="B862" s="574"/>
      <c r="C862" s="574"/>
    </row>
    <row r="863">
      <c r="A863" s="574"/>
      <c r="B863" s="574"/>
      <c r="C863" s="574"/>
    </row>
    <row r="864">
      <c r="A864" s="574"/>
      <c r="B864" s="574"/>
      <c r="C864" s="574"/>
    </row>
    <row r="865">
      <c r="A865" s="574"/>
      <c r="B865" s="574"/>
      <c r="C865" s="574"/>
    </row>
    <row r="866">
      <c r="A866" s="574"/>
      <c r="B866" s="574"/>
      <c r="C866" s="574"/>
    </row>
    <row r="867">
      <c r="A867" s="574"/>
      <c r="B867" s="574"/>
      <c r="C867" s="574"/>
    </row>
    <row r="868">
      <c r="A868" s="574"/>
      <c r="B868" s="574"/>
      <c r="C868" s="574"/>
    </row>
    <row r="869">
      <c r="A869" s="574"/>
      <c r="B869" s="574"/>
      <c r="C869" s="574"/>
    </row>
    <row r="870">
      <c r="A870" s="574"/>
      <c r="B870" s="574"/>
      <c r="C870" s="574"/>
    </row>
    <row r="871">
      <c r="A871" s="574"/>
      <c r="B871" s="574"/>
      <c r="C871" s="574"/>
    </row>
    <row r="872">
      <c r="A872" s="574"/>
      <c r="B872" s="574"/>
      <c r="C872" s="574"/>
    </row>
    <row r="873">
      <c r="A873" s="574"/>
      <c r="B873" s="574"/>
      <c r="C873" s="574"/>
    </row>
    <row r="874">
      <c r="A874" s="574"/>
      <c r="B874" s="574"/>
      <c r="C874" s="574"/>
    </row>
    <row r="875">
      <c r="A875" s="574"/>
      <c r="B875" s="574"/>
      <c r="C875" s="574"/>
    </row>
    <row r="876">
      <c r="A876" s="574"/>
      <c r="B876" s="574"/>
      <c r="C876" s="574"/>
    </row>
    <row r="877">
      <c r="A877" s="574"/>
      <c r="B877" s="574"/>
      <c r="C877" s="574"/>
    </row>
    <row r="878">
      <c r="A878" s="574"/>
      <c r="B878" s="574"/>
      <c r="C878" s="574"/>
    </row>
    <row r="879">
      <c r="A879" s="574"/>
      <c r="B879" s="574"/>
      <c r="C879" s="574"/>
    </row>
    <row r="880">
      <c r="A880" s="574"/>
      <c r="B880" s="574"/>
      <c r="C880" s="574"/>
    </row>
    <row r="881">
      <c r="A881" s="574"/>
      <c r="B881" s="574"/>
      <c r="C881" s="574"/>
    </row>
    <row r="882">
      <c r="A882" s="574"/>
      <c r="B882" s="574"/>
      <c r="C882" s="574"/>
    </row>
    <row r="883">
      <c r="A883" s="574"/>
      <c r="B883" s="574"/>
      <c r="C883" s="574"/>
    </row>
    <row r="884">
      <c r="A884" s="574"/>
      <c r="B884" s="574"/>
      <c r="C884" s="574"/>
    </row>
    <row r="885">
      <c r="A885" s="574"/>
      <c r="B885" s="574"/>
      <c r="C885" s="574"/>
    </row>
    <row r="886">
      <c r="A886" s="574"/>
      <c r="B886" s="574"/>
      <c r="C886" s="574"/>
    </row>
    <row r="887">
      <c r="A887" s="574"/>
      <c r="B887" s="574"/>
      <c r="C887" s="574"/>
    </row>
    <row r="888">
      <c r="A888" s="574"/>
      <c r="B888" s="574"/>
      <c r="C888" s="574"/>
    </row>
    <row r="889">
      <c r="A889" s="574"/>
      <c r="B889" s="574"/>
      <c r="C889" s="574"/>
    </row>
    <row r="890">
      <c r="A890" s="574"/>
      <c r="B890" s="574"/>
      <c r="C890" s="574"/>
    </row>
    <row r="891">
      <c r="A891" s="574"/>
      <c r="B891" s="574"/>
      <c r="C891" s="574"/>
    </row>
    <row r="892">
      <c r="A892" s="574"/>
      <c r="B892" s="574"/>
      <c r="C892" s="574"/>
    </row>
    <row r="893">
      <c r="A893" s="574"/>
      <c r="B893" s="574"/>
      <c r="C893" s="574"/>
    </row>
    <row r="894">
      <c r="A894" s="574"/>
      <c r="B894" s="574"/>
      <c r="C894" s="574"/>
    </row>
    <row r="895">
      <c r="A895" s="574"/>
      <c r="B895" s="574"/>
      <c r="C895" s="574"/>
    </row>
    <row r="896">
      <c r="A896" s="574"/>
      <c r="B896" s="574"/>
      <c r="C896" s="574"/>
    </row>
    <row r="897">
      <c r="A897" s="574"/>
      <c r="B897" s="574"/>
      <c r="C897" s="574"/>
    </row>
    <row r="898">
      <c r="A898" s="574"/>
      <c r="B898" s="574"/>
      <c r="C898" s="574"/>
    </row>
    <row r="899">
      <c r="A899" s="574"/>
      <c r="B899" s="574"/>
      <c r="C899" s="574"/>
    </row>
    <row r="900">
      <c r="A900" s="574"/>
      <c r="B900" s="574"/>
      <c r="C900" s="574"/>
    </row>
    <row r="901">
      <c r="A901" s="574"/>
      <c r="B901" s="574"/>
      <c r="C901" s="574"/>
    </row>
    <row r="902">
      <c r="A902" s="574"/>
      <c r="B902" s="574"/>
      <c r="C902" s="574"/>
    </row>
    <row r="903">
      <c r="A903" s="574"/>
      <c r="B903" s="574"/>
      <c r="C903" s="574"/>
    </row>
    <row r="904">
      <c r="A904" s="574"/>
      <c r="B904" s="574"/>
      <c r="C904" s="574"/>
    </row>
    <row r="905">
      <c r="A905" s="574"/>
      <c r="B905" s="574"/>
      <c r="C905" s="574"/>
    </row>
    <row r="906">
      <c r="A906" s="574"/>
      <c r="B906" s="574"/>
      <c r="C906" s="574"/>
    </row>
    <row r="907">
      <c r="A907" s="574"/>
      <c r="B907" s="574"/>
      <c r="C907" s="574"/>
    </row>
    <row r="908">
      <c r="A908" s="574"/>
      <c r="B908" s="574"/>
      <c r="C908" s="574"/>
    </row>
    <row r="909">
      <c r="A909" s="574"/>
      <c r="B909" s="574"/>
      <c r="C909" s="574"/>
    </row>
    <row r="910">
      <c r="A910" s="574"/>
      <c r="B910" s="574"/>
      <c r="C910" s="574"/>
    </row>
    <row r="911">
      <c r="A911" s="574"/>
      <c r="B911" s="574"/>
      <c r="C911" s="574"/>
    </row>
    <row r="912">
      <c r="A912" s="574"/>
      <c r="B912" s="574"/>
      <c r="C912" s="574"/>
    </row>
    <row r="913">
      <c r="A913" s="574"/>
      <c r="B913" s="574"/>
      <c r="C913" s="574"/>
    </row>
    <row r="914">
      <c r="A914" s="574"/>
      <c r="B914" s="574"/>
      <c r="C914" s="574"/>
    </row>
    <row r="915">
      <c r="A915" s="574"/>
      <c r="B915" s="574"/>
      <c r="C915" s="574"/>
    </row>
    <row r="916">
      <c r="A916" s="574"/>
      <c r="B916" s="574"/>
      <c r="C916" s="574"/>
    </row>
    <row r="917">
      <c r="A917" s="574"/>
      <c r="B917" s="574"/>
      <c r="C917" s="574"/>
    </row>
    <row r="918">
      <c r="A918" s="574"/>
      <c r="B918" s="574"/>
      <c r="C918" s="574"/>
    </row>
    <row r="919">
      <c r="A919" s="574"/>
      <c r="B919" s="574"/>
      <c r="C919" s="574"/>
    </row>
    <row r="920">
      <c r="A920" s="574"/>
      <c r="B920" s="574"/>
      <c r="C920" s="574"/>
    </row>
    <row r="921">
      <c r="A921" s="574"/>
      <c r="B921" s="574"/>
      <c r="C921" s="574"/>
    </row>
    <row r="922">
      <c r="A922" s="574"/>
      <c r="B922" s="574"/>
      <c r="C922" s="574"/>
    </row>
    <row r="923">
      <c r="A923" s="574"/>
      <c r="B923" s="574"/>
      <c r="C923" s="574"/>
    </row>
    <row r="924">
      <c r="A924" s="574"/>
      <c r="B924" s="574"/>
      <c r="C924" s="574"/>
    </row>
    <row r="925">
      <c r="A925" s="574"/>
      <c r="B925" s="574"/>
      <c r="C925" s="574"/>
    </row>
    <row r="926">
      <c r="A926" s="574"/>
      <c r="B926" s="574"/>
      <c r="C926" s="574"/>
    </row>
    <row r="927">
      <c r="A927" s="574"/>
      <c r="B927" s="574"/>
      <c r="C927" s="574"/>
    </row>
    <row r="928">
      <c r="A928" s="574"/>
      <c r="B928" s="574"/>
      <c r="C928" s="574"/>
    </row>
    <row r="929">
      <c r="A929" s="574"/>
      <c r="B929" s="574"/>
      <c r="C929" s="574"/>
    </row>
    <row r="930">
      <c r="A930" s="574"/>
      <c r="B930" s="574"/>
      <c r="C930" s="574"/>
    </row>
    <row r="931">
      <c r="A931" s="574"/>
      <c r="B931" s="574"/>
      <c r="C931" s="574"/>
    </row>
    <row r="932">
      <c r="A932" s="574"/>
      <c r="B932" s="574"/>
      <c r="C932" s="574"/>
    </row>
    <row r="933">
      <c r="A933" s="574"/>
      <c r="B933" s="574"/>
      <c r="C933" s="574"/>
    </row>
    <row r="934">
      <c r="A934" s="574"/>
      <c r="B934" s="574"/>
      <c r="C934" s="574"/>
    </row>
    <row r="935">
      <c r="A935" s="574"/>
      <c r="B935" s="574"/>
      <c r="C935" s="574"/>
    </row>
    <row r="936">
      <c r="A936" s="574"/>
      <c r="B936" s="574"/>
      <c r="C936" s="574"/>
    </row>
    <row r="937">
      <c r="A937" s="574"/>
      <c r="B937" s="574"/>
      <c r="C937" s="574"/>
    </row>
    <row r="938">
      <c r="A938" s="574"/>
      <c r="B938" s="574"/>
      <c r="C938" s="574"/>
    </row>
    <row r="939">
      <c r="A939" s="574"/>
      <c r="B939" s="574"/>
      <c r="C939" s="574"/>
    </row>
    <row r="940">
      <c r="A940" s="574"/>
      <c r="B940" s="574"/>
      <c r="C940" s="574"/>
    </row>
    <row r="941">
      <c r="A941" s="574"/>
      <c r="B941" s="574"/>
      <c r="C941" s="574"/>
    </row>
    <row r="942">
      <c r="A942" s="574"/>
      <c r="B942" s="574"/>
      <c r="C942" s="574"/>
    </row>
    <row r="943">
      <c r="A943" s="574"/>
      <c r="B943" s="574"/>
      <c r="C943" s="574"/>
    </row>
    <row r="944">
      <c r="A944" s="574"/>
      <c r="B944" s="574"/>
      <c r="C944" s="574"/>
    </row>
    <row r="945">
      <c r="A945" s="574"/>
      <c r="B945" s="574"/>
      <c r="C945" s="574"/>
    </row>
    <row r="946">
      <c r="A946" s="574"/>
      <c r="B946" s="574"/>
      <c r="C946" s="574"/>
    </row>
    <row r="947">
      <c r="A947" s="574"/>
      <c r="B947" s="574"/>
      <c r="C947" s="574"/>
    </row>
    <row r="948">
      <c r="A948" s="574"/>
      <c r="B948" s="574"/>
      <c r="C948" s="574"/>
    </row>
    <row r="949">
      <c r="A949" s="574"/>
      <c r="B949" s="574"/>
      <c r="C949" s="574"/>
    </row>
    <row r="950">
      <c r="A950" s="574"/>
      <c r="B950" s="574"/>
      <c r="C950" s="574"/>
    </row>
    <row r="951">
      <c r="A951" s="574"/>
      <c r="B951" s="574"/>
      <c r="C951" s="574"/>
    </row>
    <row r="952">
      <c r="A952" s="574"/>
      <c r="B952" s="574"/>
      <c r="C952" s="574"/>
    </row>
    <row r="953">
      <c r="A953" s="574"/>
      <c r="B953" s="574"/>
      <c r="C953" s="574"/>
    </row>
    <row r="954">
      <c r="A954" s="574"/>
      <c r="B954" s="574"/>
      <c r="C954" s="574"/>
    </row>
    <row r="955">
      <c r="A955" s="574"/>
      <c r="B955" s="574"/>
      <c r="C955" s="574"/>
    </row>
    <row r="956">
      <c r="A956" s="574"/>
      <c r="B956" s="574"/>
      <c r="C956" s="574"/>
    </row>
    <row r="957">
      <c r="A957" s="574"/>
      <c r="B957" s="574"/>
      <c r="C957" s="574"/>
    </row>
    <row r="958">
      <c r="A958" s="574"/>
      <c r="B958" s="574"/>
      <c r="C958" s="574"/>
    </row>
    <row r="959">
      <c r="A959" s="574"/>
      <c r="B959" s="574"/>
      <c r="C959" s="574"/>
    </row>
    <row r="960">
      <c r="A960" s="574"/>
      <c r="B960" s="574"/>
      <c r="C960" s="574"/>
    </row>
    <row r="961">
      <c r="A961" s="574"/>
      <c r="B961" s="574"/>
      <c r="C961" s="574"/>
    </row>
    <row r="962">
      <c r="A962" s="574"/>
      <c r="B962" s="574"/>
      <c r="C962" s="574"/>
    </row>
    <row r="963">
      <c r="A963" s="574"/>
      <c r="B963" s="574"/>
      <c r="C963" s="574"/>
    </row>
    <row r="964">
      <c r="A964" s="574"/>
      <c r="B964" s="574"/>
      <c r="C964" s="574"/>
    </row>
    <row r="965">
      <c r="A965" s="574"/>
      <c r="B965" s="574"/>
      <c r="C965" s="574"/>
    </row>
    <row r="966">
      <c r="A966" s="574"/>
      <c r="B966" s="574"/>
      <c r="C966" s="574"/>
    </row>
    <row r="967">
      <c r="A967" s="574"/>
      <c r="B967" s="574"/>
      <c r="C967" s="574"/>
    </row>
    <row r="968">
      <c r="A968" s="574"/>
      <c r="B968" s="574"/>
      <c r="C968" s="574"/>
    </row>
    <row r="969">
      <c r="A969" s="574"/>
      <c r="B969" s="574"/>
      <c r="C969" s="574"/>
    </row>
    <row r="970">
      <c r="A970" s="574"/>
      <c r="B970" s="574"/>
      <c r="C970" s="574"/>
    </row>
    <row r="971">
      <c r="A971" s="574"/>
      <c r="B971" s="574"/>
      <c r="C971" s="574"/>
    </row>
    <row r="972">
      <c r="A972" s="574"/>
      <c r="B972" s="574"/>
      <c r="C972" s="574"/>
    </row>
    <row r="973">
      <c r="A973" s="574"/>
      <c r="B973" s="574"/>
      <c r="C973" s="574"/>
    </row>
    <row r="974">
      <c r="A974" s="574"/>
      <c r="B974" s="574"/>
      <c r="C974" s="574"/>
    </row>
    <row r="975">
      <c r="A975" s="574"/>
      <c r="B975" s="574"/>
      <c r="C975" s="574"/>
    </row>
    <row r="976">
      <c r="A976" s="574"/>
      <c r="B976" s="574"/>
      <c r="C976" s="574"/>
    </row>
    <row r="977">
      <c r="A977" s="574"/>
      <c r="B977" s="574"/>
      <c r="C977" s="574"/>
    </row>
    <row r="978">
      <c r="A978" s="574"/>
      <c r="B978" s="574"/>
      <c r="C978" s="574"/>
    </row>
    <row r="979">
      <c r="A979" s="574"/>
      <c r="B979" s="574"/>
      <c r="C979" s="574"/>
    </row>
    <row r="980">
      <c r="A980" s="574"/>
      <c r="B980" s="574"/>
      <c r="C980" s="574"/>
    </row>
    <row r="981">
      <c r="A981" s="574"/>
      <c r="B981" s="574"/>
      <c r="C981" s="574"/>
    </row>
    <row r="982">
      <c r="A982" s="574"/>
      <c r="B982" s="574"/>
      <c r="C982" s="574"/>
    </row>
    <row r="983">
      <c r="A983" s="574"/>
      <c r="B983" s="574"/>
      <c r="C983" s="574"/>
    </row>
    <row r="984">
      <c r="A984" s="574"/>
      <c r="B984" s="574"/>
      <c r="C984" s="574"/>
    </row>
    <row r="985">
      <c r="A985" s="574"/>
      <c r="B985" s="574"/>
      <c r="C985" s="574"/>
    </row>
    <row r="986">
      <c r="A986" s="574"/>
      <c r="B986" s="574"/>
      <c r="C986" s="574"/>
    </row>
    <row r="987">
      <c r="A987" s="574"/>
      <c r="B987" s="574"/>
      <c r="C987" s="574"/>
    </row>
    <row r="988">
      <c r="A988" s="574"/>
      <c r="B988" s="574"/>
      <c r="C988" s="574"/>
    </row>
    <row r="989">
      <c r="A989" s="574"/>
      <c r="B989" s="574"/>
      <c r="C989" s="574"/>
    </row>
    <row r="990">
      <c r="A990" s="574"/>
      <c r="B990" s="574"/>
      <c r="C990" s="574"/>
    </row>
    <row r="991">
      <c r="A991" s="574"/>
      <c r="B991" s="574"/>
      <c r="C991" s="574"/>
    </row>
    <row r="992">
      <c r="A992" s="574"/>
      <c r="B992" s="574"/>
      <c r="C992" s="574"/>
    </row>
    <row r="993">
      <c r="A993" s="574"/>
      <c r="B993" s="574"/>
      <c r="C993" s="574"/>
    </row>
    <row r="994">
      <c r="A994" s="574"/>
      <c r="B994" s="574"/>
      <c r="C994" s="574"/>
    </row>
    <row r="995">
      <c r="A995" s="574"/>
      <c r="B995" s="574"/>
      <c r="C995" s="574"/>
    </row>
    <row r="996">
      <c r="A996" s="574"/>
      <c r="B996" s="574"/>
      <c r="C996" s="574"/>
    </row>
    <row r="997">
      <c r="A997" s="574"/>
      <c r="B997" s="574"/>
      <c r="C997" s="574"/>
    </row>
    <row r="998">
      <c r="A998" s="574"/>
      <c r="B998" s="574"/>
      <c r="C998" s="574"/>
    </row>
    <row r="999">
      <c r="A999" s="574"/>
      <c r="B999" s="574"/>
      <c r="C999" s="574"/>
    </row>
    <row r="1000">
      <c r="A1000" s="574"/>
      <c r="B1000" s="574"/>
      <c r="C1000" s="574"/>
    </row>
    <row r="1001">
      <c r="A1001" s="574"/>
      <c r="B1001" s="574"/>
      <c r="C1001" s="574"/>
    </row>
    <row r="1002">
      <c r="A1002" s="574"/>
      <c r="B1002" s="574"/>
      <c r="C1002" s="574"/>
    </row>
    <row r="1003">
      <c r="A1003" s="574"/>
      <c r="B1003" s="574"/>
      <c r="C1003" s="574"/>
    </row>
    <row r="1004">
      <c r="A1004" s="574"/>
      <c r="B1004" s="574"/>
      <c r="C1004" s="574"/>
    </row>
    <row r="1005">
      <c r="A1005" s="574"/>
      <c r="B1005" s="574"/>
      <c r="C1005" s="574"/>
    </row>
    <row r="1006">
      <c r="A1006" s="574"/>
      <c r="B1006" s="574"/>
      <c r="C1006" s="574"/>
    </row>
    <row r="1007">
      <c r="A1007" s="574"/>
      <c r="B1007" s="574"/>
      <c r="C1007" s="574"/>
    </row>
    <row r="1008">
      <c r="A1008" s="574"/>
      <c r="B1008" s="574"/>
      <c r="C1008" s="574"/>
    </row>
    <row r="1009">
      <c r="A1009" s="574"/>
      <c r="B1009" s="574"/>
      <c r="C1009" s="574"/>
    </row>
    <row r="1010">
      <c r="A1010" s="574"/>
      <c r="B1010" s="574"/>
      <c r="C1010" s="574"/>
    </row>
    <row r="1011">
      <c r="A1011" s="574"/>
      <c r="B1011" s="574"/>
      <c r="C1011" s="574"/>
    </row>
    <row r="1012">
      <c r="A1012" s="574"/>
      <c r="B1012" s="574"/>
      <c r="C1012" s="574"/>
    </row>
    <row r="1013">
      <c r="A1013" s="574"/>
      <c r="B1013" s="574"/>
      <c r="C1013" s="574"/>
    </row>
    <row r="1014">
      <c r="A1014" s="574"/>
      <c r="B1014" s="574"/>
      <c r="C1014" s="574"/>
    </row>
    <row r="1015">
      <c r="A1015" s="574"/>
      <c r="B1015" s="574"/>
      <c r="C1015" s="574"/>
    </row>
    <row r="1016">
      <c r="A1016" s="574"/>
      <c r="B1016" s="574"/>
      <c r="C1016" s="574"/>
    </row>
    <row r="1017">
      <c r="A1017" s="574"/>
      <c r="B1017" s="574"/>
      <c r="C1017" s="574"/>
    </row>
    <row r="1018">
      <c r="A1018" s="574"/>
      <c r="B1018" s="574"/>
      <c r="C1018" s="574"/>
    </row>
    <row r="1019">
      <c r="A1019" s="574"/>
      <c r="B1019" s="574"/>
      <c r="C1019" s="574"/>
    </row>
    <row r="1020">
      <c r="A1020" s="574"/>
      <c r="B1020" s="574"/>
      <c r="C1020" s="574"/>
    </row>
    <row r="1021">
      <c r="A1021" s="574"/>
      <c r="B1021" s="574"/>
      <c r="C1021" s="574"/>
    </row>
    <row r="1022">
      <c r="A1022" s="574"/>
      <c r="B1022" s="574"/>
      <c r="C1022" s="574"/>
    </row>
    <row r="1023">
      <c r="A1023" s="574"/>
      <c r="B1023" s="574"/>
      <c r="C1023" s="574"/>
    </row>
    <row r="1024">
      <c r="A1024" s="574"/>
      <c r="B1024" s="574"/>
      <c r="C1024" s="574"/>
    </row>
    <row r="1025">
      <c r="A1025" s="574"/>
      <c r="B1025" s="574"/>
      <c r="C1025" s="574"/>
    </row>
    <row r="1026">
      <c r="A1026" s="574"/>
      <c r="B1026" s="574"/>
      <c r="C1026" s="574"/>
    </row>
    <row r="1027">
      <c r="A1027" s="574"/>
      <c r="B1027" s="574"/>
      <c r="C1027" s="574"/>
    </row>
    <row r="1028">
      <c r="A1028" s="574"/>
      <c r="B1028" s="574"/>
      <c r="C1028" s="574"/>
    </row>
    <row r="1029">
      <c r="A1029" s="574"/>
      <c r="B1029" s="574"/>
      <c r="C1029" s="574"/>
    </row>
    <row r="1030">
      <c r="A1030" s="574"/>
      <c r="B1030" s="574"/>
      <c r="C1030" s="574"/>
    </row>
    <row r="1031">
      <c r="A1031" s="574"/>
      <c r="B1031" s="574"/>
      <c r="C1031" s="574"/>
    </row>
    <row r="1032">
      <c r="A1032" s="574"/>
      <c r="B1032" s="574"/>
      <c r="C1032" s="574"/>
    </row>
    <row r="1033">
      <c r="A1033" s="574"/>
      <c r="B1033" s="574"/>
      <c r="C1033" s="574"/>
    </row>
    <row r="1034">
      <c r="A1034" s="574"/>
      <c r="B1034" s="574"/>
      <c r="C1034" s="574"/>
    </row>
    <row r="1035">
      <c r="A1035" s="574"/>
      <c r="B1035" s="574"/>
      <c r="C1035" s="574"/>
    </row>
    <row r="1036">
      <c r="A1036" s="574"/>
      <c r="B1036" s="574"/>
      <c r="C1036" s="574"/>
    </row>
    <row r="1037">
      <c r="A1037" s="574"/>
      <c r="B1037" s="574"/>
      <c r="C1037" s="574"/>
    </row>
    <row r="1038">
      <c r="A1038" s="574"/>
      <c r="B1038" s="574"/>
      <c r="C1038" s="574"/>
    </row>
  </sheetData>
  <printOptions horizontalCentered="1"/>
  <pageMargins bottom="0.75" footer="0.0" header="0.0" left="0.25" right="0.25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33.86"/>
  </cols>
  <sheetData>
    <row r="1">
      <c r="A1" s="916" t="s">
        <v>11448</v>
      </c>
      <c r="B1" s="912" t="s">
        <v>13367</v>
      </c>
      <c r="C1" s="916" t="s">
        <v>13492</v>
      </c>
      <c r="D1" s="916" t="s">
        <v>13493</v>
      </c>
    </row>
    <row r="2">
      <c r="A2" s="100" t="s">
        <v>13368</v>
      </c>
      <c r="B2" s="99" t="s">
        <v>13494</v>
      </c>
      <c r="C2" s="100" t="s">
        <v>13398</v>
      </c>
      <c r="D2" s="100" t="s">
        <v>13398</v>
      </c>
    </row>
    <row r="3">
      <c r="A3" s="100" t="s">
        <v>13371</v>
      </c>
      <c r="B3" s="99" t="s">
        <v>13393</v>
      </c>
      <c r="C3" s="100" t="s">
        <v>13398</v>
      </c>
      <c r="D3" s="100" t="s">
        <v>13398</v>
      </c>
    </row>
    <row r="4">
      <c r="A4" s="100" t="s">
        <v>13374</v>
      </c>
      <c r="B4" s="99" t="s">
        <v>13390</v>
      </c>
      <c r="C4" s="100" t="s">
        <v>13398</v>
      </c>
      <c r="D4" s="106"/>
    </row>
    <row r="5">
      <c r="A5" s="100" t="s">
        <v>13377</v>
      </c>
      <c r="B5" s="99" t="s">
        <v>13495</v>
      </c>
      <c r="C5" s="100" t="s">
        <v>13398</v>
      </c>
      <c r="D5" s="106"/>
    </row>
    <row r="6">
      <c r="A6" s="100" t="s">
        <v>13380</v>
      </c>
      <c r="B6" s="99" t="s">
        <v>13372</v>
      </c>
      <c r="C6" s="100" t="s">
        <v>13496</v>
      </c>
      <c r="D6" s="106"/>
    </row>
    <row r="7">
      <c r="A7" s="100" t="s">
        <v>13383</v>
      </c>
      <c r="B7" s="99" t="s">
        <v>13375</v>
      </c>
      <c r="C7" s="100" t="s">
        <v>13477</v>
      </c>
      <c r="D7" s="106"/>
    </row>
    <row r="8">
      <c r="A8" s="100" t="s">
        <v>13386</v>
      </c>
      <c r="B8" s="99" t="s">
        <v>13369</v>
      </c>
      <c r="C8" s="106"/>
      <c r="D8" s="106"/>
    </row>
    <row r="9">
      <c r="A9" s="100" t="s">
        <v>13389</v>
      </c>
      <c r="B9" s="99" t="s">
        <v>13497</v>
      </c>
      <c r="C9" s="106"/>
      <c r="D9" s="106"/>
    </row>
    <row r="10">
      <c r="A10" s="100" t="s">
        <v>13392</v>
      </c>
      <c r="B10" s="99" t="s">
        <v>13448</v>
      </c>
      <c r="C10" s="106"/>
      <c r="D10" s="106"/>
    </row>
    <row r="11">
      <c r="A11" s="100" t="s">
        <v>13394</v>
      </c>
      <c r="B11" s="99" t="s">
        <v>13498</v>
      </c>
      <c r="C11" s="106"/>
      <c r="D11" s="106"/>
    </row>
    <row r="12">
      <c r="A12" s="100" t="s">
        <v>13396</v>
      </c>
      <c r="B12" s="99" t="s">
        <v>13499</v>
      </c>
      <c r="C12" s="106"/>
      <c r="D12" s="106"/>
    </row>
    <row r="13">
      <c r="A13" s="100" t="s">
        <v>13399</v>
      </c>
      <c r="B13" s="99" t="s">
        <v>13500</v>
      </c>
      <c r="C13" s="106"/>
      <c r="D13" s="106"/>
    </row>
    <row r="14">
      <c r="A14" s="100" t="s">
        <v>13402</v>
      </c>
      <c r="B14" s="99" t="s">
        <v>13501</v>
      </c>
      <c r="C14" s="106"/>
      <c r="D14" s="106"/>
    </row>
    <row r="15">
      <c r="A15" s="100" t="s">
        <v>13405</v>
      </c>
      <c r="B15" s="99" t="s">
        <v>13502</v>
      </c>
      <c r="C15" s="106"/>
      <c r="D15" s="106"/>
    </row>
    <row r="16">
      <c r="A16" s="100" t="s">
        <v>13408</v>
      </c>
      <c r="B16" s="99" t="s">
        <v>13503</v>
      </c>
      <c r="C16" s="106"/>
      <c r="D16" s="106"/>
    </row>
    <row r="17">
      <c r="A17" s="100" t="s">
        <v>13411</v>
      </c>
      <c r="B17" s="284" t="s">
        <v>13504</v>
      </c>
      <c r="C17" s="106"/>
      <c r="D17" s="106"/>
    </row>
    <row r="18">
      <c r="A18" s="100" t="s">
        <v>13414</v>
      </c>
      <c r="B18" s="99" t="s">
        <v>13409</v>
      </c>
      <c r="C18" s="106"/>
      <c r="D18" s="106"/>
    </row>
    <row r="19">
      <c r="A19" s="100" t="s">
        <v>13416</v>
      </c>
      <c r="B19" s="99" t="s">
        <v>13505</v>
      </c>
      <c r="C19" s="106"/>
      <c r="D19" s="106"/>
    </row>
    <row r="20">
      <c r="A20" s="100" t="s">
        <v>13418</v>
      </c>
      <c r="B20" s="99" t="s">
        <v>13506</v>
      </c>
      <c r="C20" s="106"/>
      <c r="D20" s="106"/>
    </row>
    <row r="21">
      <c r="A21" s="100" t="s">
        <v>13420</v>
      </c>
      <c r="B21" s="99" t="s">
        <v>13507</v>
      </c>
      <c r="C21" s="106"/>
      <c r="D21" s="106"/>
    </row>
    <row r="22">
      <c r="A22" s="100" t="s">
        <v>13423</v>
      </c>
      <c r="B22" s="99" t="s">
        <v>13475</v>
      </c>
      <c r="C22" s="106"/>
      <c r="D22" s="106"/>
    </row>
    <row r="23">
      <c r="A23" s="100" t="s">
        <v>13426</v>
      </c>
      <c r="B23" s="99" t="s">
        <v>13400</v>
      </c>
      <c r="C23" s="106"/>
      <c r="D23" s="106"/>
    </row>
    <row r="24">
      <c r="A24" s="100" t="s">
        <v>13429</v>
      </c>
      <c r="B24" s="99" t="s">
        <v>13508</v>
      </c>
      <c r="C24" s="106"/>
      <c r="D24" s="106"/>
    </row>
    <row r="25">
      <c r="A25" s="100" t="s">
        <v>13431</v>
      </c>
      <c r="B25" s="99" t="s">
        <v>13384</v>
      </c>
      <c r="C25" s="106"/>
      <c r="D25" s="106"/>
    </row>
    <row r="26">
      <c r="A26" s="100" t="s">
        <v>13432</v>
      </c>
      <c r="B26" s="99" t="s">
        <v>13459</v>
      </c>
      <c r="C26" s="106"/>
      <c r="D26" s="106"/>
    </row>
    <row r="27">
      <c r="A27" s="100" t="s">
        <v>13435</v>
      </c>
      <c r="B27" s="99" t="s">
        <v>13509</v>
      </c>
      <c r="C27" s="106"/>
      <c r="D27" s="106"/>
    </row>
    <row r="28">
      <c r="A28" s="100" t="s">
        <v>13438</v>
      </c>
      <c r="B28" s="99" t="s">
        <v>13473</v>
      </c>
      <c r="C28" s="106"/>
      <c r="D28" s="106"/>
    </row>
    <row r="29">
      <c r="A29" s="100" t="s">
        <v>13441</v>
      </c>
      <c r="B29" s="99" t="s">
        <v>13510</v>
      </c>
      <c r="C29" s="106"/>
      <c r="D29" s="106"/>
    </row>
    <row r="30">
      <c r="A30" s="100" t="s">
        <v>13443</v>
      </c>
      <c r="B30" s="99" t="s">
        <v>13489</v>
      </c>
      <c r="C30" s="106"/>
      <c r="D30" s="106"/>
    </row>
    <row r="31">
      <c r="A31" s="100"/>
      <c r="B31" s="106"/>
      <c r="C31" s="106"/>
      <c r="D31" s="106"/>
    </row>
    <row r="32">
      <c r="A32" s="106"/>
      <c r="B32" s="106"/>
      <c r="C32" s="106"/>
      <c r="D32" s="106"/>
    </row>
    <row r="33">
      <c r="A33" s="106"/>
      <c r="B33" s="106"/>
      <c r="C33" s="106"/>
      <c r="D33" s="106"/>
    </row>
    <row r="34">
      <c r="A34" s="106"/>
      <c r="B34" s="106"/>
      <c r="C34" s="106"/>
      <c r="D34" s="106"/>
    </row>
    <row r="35">
      <c r="A35" s="106"/>
      <c r="B35" s="106"/>
      <c r="C35" s="106"/>
      <c r="D35" s="106"/>
    </row>
    <row r="36">
      <c r="A36" s="106"/>
      <c r="B36" s="106"/>
      <c r="C36" s="106"/>
      <c r="D36" s="106"/>
    </row>
    <row r="37">
      <c r="A37" s="106"/>
      <c r="B37" s="106"/>
      <c r="C37" s="106"/>
      <c r="D37" s="106"/>
    </row>
    <row r="38">
      <c r="A38" s="106"/>
      <c r="B38" s="106"/>
      <c r="C38" s="106"/>
      <c r="D38" s="106"/>
    </row>
    <row r="39">
      <c r="A39" s="106"/>
      <c r="B39" s="106"/>
      <c r="C39" s="106"/>
      <c r="D39" s="106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.57"/>
    <col customWidth="1" min="3" max="3" width="11.86"/>
    <col customWidth="1" min="4" max="5" width="5.0"/>
    <col customWidth="1" min="6" max="6" width="11.86"/>
    <col customWidth="1" min="7" max="8" width="5.0"/>
    <col customWidth="1" min="9" max="9" width="1.0"/>
    <col customWidth="1" min="10" max="10" width="20.86"/>
    <col customWidth="1" min="11" max="11" width="11.86"/>
    <col customWidth="1" min="12" max="13" width="5.0"/>
    <col customWidth="1" min="14" max="14" width="11.86"/>
    <col customWidth="1" min="15" max="16" width="5.0"/>
  </cols>
  <sheetData>
    <row r="1">
      <c r="A1" s="917" t="s">
        <v>13511</v>
      </c>
    </row>
    <row r="2">
      <c r="A2" s="917" t="s">
        <v>13512</v>
      </c>
    </row>
    <row r="3">
      <c r="A3" s="918" t="s">
        <v>13513</v>
      </c>
      <c r="B3" s="918" t="s">
        <v>13514</v>
      </c>
      <c r="C3" s="919"/>
      <c r="D3" s="920"/>
      <c r="E3" s="921" t="s">
        <v>13515</v>
      </c>
      <c r="F3" s="922"/>
      <c r="G3" s="923"/>
      <c r="H3" s="923"/>
      <c r="I3" s="924"/>
      <c r="J3" s="925" t="s">
        <v>13516</v>
      </c>
      <c r="N3" s="924"/>
      <c r="O3" s="924"/>
      <c r="P3" s="924"/>
    </row>
    <row r="4">
      <c r="A4" s="918" t="s">
        <v>13517</v>
      </c>
      <c r="B4" s="918" t="s">
        <v>13514</v>
      </c>
      <c r="C4" s="926"/>
      <c r="D4" s="926"/>
      <c r="E4" s="926"/>
      <c r="F4" s="919"/>
      <c r="G4" s="924"/>
      <c r="H4" s="924"/>
      <c r="I4" s="924"/>
      <c r="J4" s="924"/>
      <c r="K4" s="924"/>
      <c r="L4" s="924"/>
      <c r="M4" s="924"/>
      <c r="N4" s="924"/>
      <c r="O4" s="924"/>
      <c r="P4" s="924"/>
    </row>
    <row r="5">
      <c r="A5" s="918" t="s">
        <v>13518</v>
      </c>
      <c r="B5" s="918" t="s">
        <v>13514</v>
      </c>
      <c r="C5" s="926"/>
      <c r="D5" s="926"/>
      <c r="E5" s="926"/>
      <c r="F5" s="919"/>
      <c r="G5" s="924"/>
      <c r="H5" s="924"/>
      <c r="I5" s="924"/>
      <c r="J5" s="918" t="s">
        <v>13519</v>
      </c>
      <c r="K5" s="924"/>
      <c r="L5" s="924"/>
      <c r="M5" s="924"/>
      <c r="N5" s="924"/>
      <c r="O5" s="924"/>
      <c r="P5" s="924"/>
    </row>
    <row r="6">
      <c r="A6" s="918" t="s">
        <v>13520</v>
      </c>
      <c r="B6" s="918" t="s">
        <v>13514</v>
      </c>
      <c r="C6" s="926"/>
      <c r="D6" s="919"/>
      <c r="E6" s="919"/>
      <c r="F6" s="919"/>
      <c r="G6" s="924"/>
      <c r="H6" s="924"/>
      <c r="I6" s="924"/>
      <c r="J6" s="918" t="s">
        <v>13521</v>
      </c>
      <c r="K6" s="924"/>
      <c r="L6" s="924"/>
      <c r="M6" s="924"/>
      <c r="N6" s="924"/>
      <c r="O6" s="924"/>
      <c r="P6" s="924"/>
    </row>
    <row r="7">
      <c r="A7" s="918" t="s">
        <v>13522</v>
      </c>
      <c r="B7" s="918" t="s">
        <v>13514</v>
      </c>
      <c r="C7" s="926"/>
      <c r="D7" s="919"/>
      <c r="E7" s="919"/>
      <c r="F7" s="919"/>
      <c r="G7" s="924"/>
      <c r="H7" s="924"/>
      <c r="I7" s="924"/>
      <c r="J7" s="918" t="s">
        <v>13523</v>
      </c>
      <c r="K7" s="924"/>
      <c r="L7" s="924"/>
      <c r="M7" s="924"/>
      <c r="N7" s="924"/>
      <c r="O7" s="924"/>
      <c r="P7" s="924"/>
    </row>
    <row r="8">
      <c r="A8" s="918" t="s">
        <v>13524</v>
      </c>
      <c r="B8" s="918" t="s">
        <v>13514</v>
      </c>
      <c r="C8" s="927" t="s">
        <v>13525</v>
      </c>
      <c r="D8" s="927"/>
      <c r="E8" s="927"/>
      <c r="F8" s="927"/>
      <c r="G8" s="928"/>
      <c r="H8" s="928"/>
      <c r="I8" s="924"/>
      <c r="J8" s="918" t="s">
        <v>13526</v>
      </c>
      <c r="K8" s="924"/>
      <c r="L8" s="924"/>
      <c r="M8" s="924"/>
      <c r="N8" s="924"/>
      <c r="O8" s="924"/>
      <c r="P8" s="924"/>
    </row>
    <row r="9">
      <c r="A9" s="918" t="s">
        <v>13527</v>
      </c>
      <c r="B9" s="918" t="s">
        <v>13514</v>
      </c>
      <c r="C9" s="926"/>
      <c r="D9" s="919"/>
      <c r="E9" s="919"/>
      <c r="F9" s="919"/>
      <c r="G9" s="924"/>
      <c r="H9" s="924"/>
      <c r="I9" s="924"/>
      <c r="J9" s="918" t="s">
        <v>13528</v>
      </c>
      <c r="K9" s="924"/>
      <c r="L9" s="924"/>
      <c r="M9" s="924"/>
      <c r="N9" s="924"/>
      <c r="O9" s="924"/>
      <c r="P9" s="924"/>
    </row>
    <row r="10">
      <c r="A10" s="918" t="s">
        <v>13529</v>
      </c>
      <c r="B10" s="918" t="s">
        <v>13514</v>
      </c>
      <c r="C10" s="926"/>
      <c r="D10" s="919"/>
      <c r="E10" s="919"/>
      <c r="F10" s="919"/>
      <c r="G10" s="924"/>
      <c r="H10" s="924"/>
      <c r="I10" s="924"/>
      <c r="J10" s="918" t="s">
        <v>13530</v>
      </c>
      <c r="K10" s="924"/>
      <c r="L10" s="924"/>
      <c r="M10" s="924"/>
      <c r="N10" s="924"/>
      <c r="O10" s="924"/>
      <c r="P10" s="924"/>
    </row>
    <row r="11">
      <c r="A11" s="918" t="s">
        <v>13531</v>
      </c>
      <c r="B11" s="918" t="s">
        <v>13514</v>
      </c>
      <c r="C11" s="926"/>
      <c r="D11" s="919"/>
      <c r="E11" s="919"/>
      <c r="F11" s="919"/>
      <c r="G11" s="924"/>
      <c r="H11" s="924"/>
      <c r="I11" s="924"/>
      <c r="J11" s="929" t="s">
        <v>13532</v>
      </c>
      <c r="K11" s="924"/>
      <c r="L11" s="924"/>
      <c r="M11" s="924"/>
      <c r="N11" s="924"/>
      <c r="O11" s="924"/>
      <c r="P11" s="924"/>
    </row>
    <row r="12">
      <c r="A12" s="918" t="s">
        <v>13533</v>
      </c>
      <c r="B12" s="918" t="s">
        <v>13514</v>
      </c>
      <c r="C12" s="926"/>
      <c r="D12" s="919"/>
      <c r="E12" s="919"/>
      <c r="F12" s="919"/>
      <c r="G12" s="924"/>
      <c r="H12" s="924"/>
      <c r="I12" s="924"/>
      <c r="J12" s="918"/>
      <c r="K12" s="924"/>
      <c r="L12" s="924"/>
      <c r="M12" s="924"/>
      <c r="N12" s="924"/>
      <c r="O12" s="924"/>
      <c r="P12" s="924"/>
    </row>
    <row r="13">
      <c r="A13" s="918" t="s">
        <v>13534</v>
      </c>
      <c r="B13" s="918" t="s">
        <v>13514</v>
      </c>
      <c r="C13" s="930" t="s">
        <v>13535</v>
      </c>
      <c r="D13" s="919"/>
      <c r="E13" s="919"/>
      <c r="F13" s="919"/>
      <c r="G13" s="924"/>
      <c r="H13" s="924"/>
      <c r="I13" s="924"/>
      <c r="J13" s="929"/>
      <c r="K13" s="924"/>
      <c r="L13" s="924"/>
      <c r="M13" s="924"/>
      <c r="N13" s="924"/>
      <c r="O13" s="924"/>
      <c r="P13" s="924"/>
    </row>
    <row r="14">
      <c r="A14" s="918" t="s">
        <v>13536</v>
      </c>
      <c r="B14" s="918" t="s">
        <v>13514</v>
      </c>
      <c r="C14" s="926"/>
      <c r="D14" s="931" t="s">
        <v>13537</v>
      </c>
      <c r="F14" s="926"/>
      <c r="G14" s="920"/>
      <c r="H14" s="920"/>
      <c r="I14" s="924"/>
      <c r="J14" s="924"/>
      <c r="K14" s="924"/>
      <c r="L14" s="924"/>
      <c r="M14" s="924"/>
      <c r="N14" s="924"/>
      <c r="O14" s="924"/>
      <c r="P14" s="924"/>
    </row>
    <row r="15">
      <c r="A15" s="932" t="s">
        <v>13538</v>
      </c>
      <c r="B15" s="3"/>
      <c r="C15" s="933" t="s">
        <v>13539</v>
      </c>
      <c r="D15" s="2"/>
      <c r="E15" s="3"/>
      <c r="F15" s="934" t="s">
        <v>13540</v>
      </c>
      <c r="G15" s="2"/>
      <c r="H15" s="3"/>
      <c r="I15" s="924"/>
      <c r="J15" s="935" t="s">
        <v>13538</v>
      </c>
      <c r="K15" s="933" t="s">
        <v>13539</v>
      </c>
      <c r="L15" s="2"/>
      <c r="M15" s="3"/>
      <c r="N15" s="934" t="s">
        <v>13540</v>
      </c>
      <c r="O15" s="2"/>
      <c r="P15" s="3"/>
    </row>
    <row r="16">
      <c r="A16" s="936" t="s">
        <v>13541</v>
      </c>
      <c r="B16" s="3"/>
      <c r="C16" s="937" t="s">
        <v>13542</v>
      </c>
      <c r="D16" s="938" t="s">
        <v>13543</v>
      </c>
      <c r="E16" s="938" t="s">
        <v>13544</v>
      </c>
      <c r="F16" s="937" t="s">
        <v>13542</v>
      </c>
      <c r="G16" s="938" t="s">
        <v>13543</v>
      </c>
      <c r="H16" s="938" t="s">
        <v>13544</v>
      </c>
      <c r="I16" s="924"/>
      <c r="J16" s="939" t="s">
        <v>13545</v>
      </c>
      <c r="K16" s="937" t="s">
        <v>13542</v>
      </c>
      <c r="L16" s="938" t="s">
        <v>13543</v>
      </c>
      <c r="M16" s="938" t="s">
        <v>13544</v>
      </c>
      <c r="N16" s="937" t="s">
        <v>13542</v>
      </c>
      <c r="O16" s="938" t="s">
        <v>13543</v>
      </c>
      <c r="P16" s="938" t="s">
        <v>13544</v>
      </c>
    </row>
    <row r="17">
      <c r="A17" s="940" t="s">
        <v>13546</v>
      </c>
      <c r="B17" s="3"/>
      <c r="C17" s="941"/>
      <c r="D17" s="942"/>
      <c r="E17" s="942"/>
      <c r="F17" s="941"/>
      <c r="G17" s="942"/>
      <c r="H17" s="942"/>
      <c r="I17" s="924"/>
      <c r="J17" s="940" t="s">
        <v>13546</v>
      </c>
      <c r="K17" s="935"/>
      <c r="L17" s="942"/>
      <c r="M17" s="942"/>
      <c r="N17" s="941"/>
      <c r="O17" s="942"/>
      <c r="P17" s="942"/>
    </row>
    <row r="18">
      <c r="A18" s="940" t="s">
        <v>13547</v>
      </c>
      <c r="B18" s="3"/>
      <c r="C18" s="941"/>
      <c r="D18" s="943"/>
      <c r="E18" s="943"/>
      <c r="F18" s="941"/>
      <c r="G18" s="943"/>
      <c r="H18" s="943"/>
      <c r="I18" s="924"/>
      <c r="J18" s="935" t="s">
        <v>13548</v>
      </c>
      <c r="K18" s="941"/>
      <c r="L18" s="943"/>
      <c r="M18" s="943"/>
      <c r="N18" s="941"/>
      <c r="O18" s="943"/>
      <c r="P18" s="943"/>
    </row>
    <row r="19">
      <c r="A19" s="940" t="s">
        <v>13549</v>
      </c>
      <c r="B19" s="3"/>
      <c r="C19" s="941"/>
      <c r="D19" s="943"/>
      <c r="E19" s="943"/>
      <c r="F19" s="941"/>
      <c r="G19" s="943"/>
      <c r="H19" s="943"/>
      <c r="I19" s="924"/>
      <c r="J19" s="935" t="s">
        <v>13550</v>
      </c>
      <c r="K19" s="941"/>
      <c r="L19" s="943"/>
      <c r="M19" s="943"/>
      <c r="N19" s="941"/>
      <c r="O19" s="943"/>
      <c r="P19" s="943"/>
    </row>
    <row r="20">
      <c r="A20" s="940" t="s">
        <v>13551</v>
      </c>
      <c r="B20" s="3"/>
      <c r="C20" s="941"/>
      <c r="D20" s="943"/>
      <c r="E20" s="943"/>
      <c r="F20" s="941"/>
      <c r="G20" s="943"/>
      <c r="H20" s="943"/>
      <c r="I20" s="924"/>
      <c r="J20" s="935" t="s">
        <v>13552</v>
      </c>
      <c r="K20" s="941"/>
      <c r="L20" s="943"/>
      <c r="M20" s="943"/>
      <c r="N20" s="941"/>
      <c r="O20" s="943"/>
      <c r="P20" s="943"/>
    </row>
    <row r="21">
      <c r="A21" s="940" t="s">
        <v>13553</v>
      </c>
      <c r="B21" s="3"/>
      <c r="C21" s="941"/>
      <c r="D21" s="943"/>
      <c r="E21" s="943"/>
      <c r="F21" s="941"/>
      <c r="G21" s="943"/>
      <c r="H21" s="943"/>
      <c r="I21" s="924"/>
      <c r="J21" s="935" t="s">
        <v>13554</v>
      </c>
      <c r="K21" s="941"/>
      <c r="L21" s="943"/>
      <c r="M21" s="943"/>
      <c r="N21" s="941"/>
      <c r="O21" s="943"/>
      <c r="P21" s="943"/>
    </row>
    <row r="22">
      <c r="A22" s="940" t="s">
        <v>13555</v>
      </c>
      <c r="B22" s="3"/>
      <c r="C22" s="941"/>
      <c r="D22" s="943"/>
      <c r="E22" s="943"/>
      <c r="F22" s="941"/>
      <c r="G22" s="943"/>
      <c r="H22" s="943"/>
      <c r="I22" s="924"/>
      <c r="J22" s="935" t="s">
        <v>13556</v>
      </c>
      <c r="K22" s="941"/>
      <c r="L22" s="943"/>
      <c r="M22" s="943"/>
      <c r="N22" s="941"/>
      <c r="O22" s="943"/>
      <c r="P22" s="943"/>
    </row>
    <row r="23">
      <c r="A23" s="940" t="s">
        <v>13557</v>
      </c>
      <c r="B23" s="3"/>
      <c r="C23" s="941"/>
      <c r="D23" s="943"/>
      <c r="E23" s="943"/>
      <c r="F23" s="941"/>
      <c r="G23" s="943"/>
      <c r="H23" s="943"/>
      <c r="I23" s="924"/>
      <c r="J23" s="935" t="s">
        <v>13558</v>
      </c>
      <c r="K23" s="941"/>
      <c r="L23" s="943"/>
      <c r="M23" s="943"/>
      <c r="N23" s="941"/>
      <c r="O23" s="943"/>
      <c r="P23" s="943"/>
    </row>
    <row r="24">
      <c r="A24" s="940" t="s">
        <v>13559</v>
      </c>
      <c r="B24" s="3"/>
      <c r="C24" s="941"/>
      <c r="D24" s="943"/>
      <c r="E24" s="943"/>
      <c r="F24" s="941"/>
      <c r="G24" s="943"/>
      <c r="H24" s="943"/>
      <c r="I24" s="924"/>
      <c r="J24" s="935" t="s">
        <v>13560</v>
      </c>
      <c r="K24" s="941"/>
      <c r="L24" s="943"/>
      <c r="M24" s="943"/>
      <c r="N24" s="935"/>
      <c r="O24" s="943"/>
      <c r="P24" s="943"/>
    </row>
    <row r="25">
      <c r="A25" s="940" t="s">
        <v>13561</v>
      </c>
      <c r="B25" s="3"/>
      <c r="C25" s="941"/>
      <c r="D25" s="943"/>
      <c r="E25" s="943"/>
      <c r="F25" s="941"/>
      <c r="G25" s="943"/>
      <c r="H25" s="943"/>
      <c r="I25" s="924"/>
      <c r="J25" s="935" t="s">
        <v>13562</v>
      </c>
      <c r="K25" s="941"/>
      <c r="L25" s="943"/>
      <c r="M25" s="943"/>
      <c r="N25" s="941"/>
      <c r="O25" s="943"/>
      <c r="P25" s="943"/>
    </row>
    <row r="26">
      <c r="A26" s="940" t="s">
        <v>13563</v>
      </c>
      <c r="B26" s="3"/>
      <c r="C26" s="941"/>
      <c r="D26" s="943"/>
      <c r="E26" s="943"/>
      <c r="F26" s="941"/>
      <c r="G26" s="943"/>
      <c r="H26" s="943"/>
      <c r="I26" s="924"/>
      <c r="J26" s="935" t="s">
        <v>13564</v>
      </c>
      <c r="K26" s="941"/>
      <c r="L26" s="943"/>
      <c r="M26" s="943"/>
      <c r="N26" s="933"/>
      <c r="O26" s="943"/>
      <c r="P26" s="943"/>
    </row>
    <row r="27">
      <c r="A27" s="940" t="s">
        <v>13565</v>
      </c>
      <c r="B27" s="3"/>
      <c r="C27" s="941"/>
      <c r="D27" s="943"/>
      <c r="E27" s="943"/>
      <c r="F27" s="941"/>
      <c r="G27" s="943"/>
      <c r="H27" s="943"/>
      <c r="I27" s="924"/>
      <c r="J27" s="944" t="s">
        <v>13566</v>
      </c>
      <c r="K27" s="945"/>
      <c r="L27" s="153"/>
      <c r="M27" s="153"/>
      <c r="N27" s="941"/>
      <c r="O27" s="153"/>
      <c r="P27" s="153"/>
    </row>
    <row r="28">
      <c r="A28" s="940" t="s">
        <v>13567</v>
      </c>
      <c r="B28" s="3"/>
      <c r="C28" s="941"/>
      <c r="D28" s="943"/>
      <c r="E28" s="943"/>
      <c r="F28" s="941"/>
      <c r="G28" s="943"/>
      <c r="H28" s="943"/>
      <c r="I28" s="924"/>
      <c r="J28" s="946" t="s">
        <v>13568</v>
      </c>
      <c r="K28" s="622"/>
      <c r="L28" s="947" t="s">
        <v>13569</v>
      </c>
      <c r="M28" s="622"/>
      <c r="N28" s="948" t="s">
        <v>13570</v>
      </c>
      <c r="O28" s="947" t="s">
        <v>13571</v>
      </c>
      <c r="P28" s="622"/>
    </row>
    <row r="29">
      <c r="A29" s="940" t="s">
        <v>13572</v>
      </c>
      <c r="B29" s="3"/>
      <c r="C29" s="949"/>
      <c r="D29" s="943"/>
      <c r="E29" s="943"/>
      <c r="F29" s="949"/>
      <c r="G29" s="943"/>
      <c r="H29" s="943"/>
      <c r="I29" s="950"/>
      <c r="J29" s="638"/>
      <c r="K29" s="951"/>
      <c r="L29" s="638"/>
      <c r="M29" s="951"/>
      <c r="N29" s="943"/>
      <c r="O29" s="638"/>
      <c r="P29" s="951"/>
    </row>
    <row r="30">
      <c r="A30" s="952" t="s">
        <v>13566</v>
      </c>
      <c r="B30" s="3"/>
      <c r="C30" s="941"/>
      <c r="D30" s="153"/>
      <c r="E30" s="153"/>
      <c r="F30" s="941"/>
      <c r="G30" s="153"/>
      <c r="H30" s="153"/>
      <c r="I30" s="924"/>
      <c r="J30" s="623"/>
      <c r="K30" s="160"/>
      <c r="L30" s="623"/>
      <c r="M30" s="160"/>
      <c r="N30" s="153"/>
      <c r="O30" s="623"/>
      <c r="P30" s="160"/>
    </row>
    <row r="31" ht="6.0" customHeight="1">
      <c r="A31" s="917"/>
      <c r="B31" s="917"/>
      <c r="C31" s="917"/>
      <c r="D31" s="917"/>
      <c r="E31" s="917"/>
      <c r="F31" s="917"/>
      <c r="G31" s="917"/>
      <c r="H31" s="917"/>
      <c r="I31" s="917"/>
      <c r="J31" s="917"/>
      <c r="K31" s="917"/>
      <c r="L31" s="917"/>
      <c r="M31" s="917"/>
      <c r="N31" s="917"/>
      <c r="O31" s="917"/>
      <c r="P31" s="917"/>
    </row>
    <row r="32">
      <c r="A32" s="917" t="s">
        <v>13511</v>
      </c>
    </row>
    <row r="33">
      <c r="A33" s="917" t="s">
        <v>13512</v>
      </c>
    </row>
    <row r="34">
      <c r="A34" s="918" t="s">
        <v>13573</v>
      </c>
      <c r="B34" s="918" t="s">
        <v>13514</v>
      </c>
      <c r="C34" s="919"/>
      <c r="D34" s="920"/>
      <c r="E34" s="921" t="s">
        <v>13515</v>
      </c>
      <c r="F34" s="922"/>
      <c r="G34" s="923"/>
      <c r="H34" s="923"/>
      <c r="I34" s="924"/>
      <c r="J34" s="925" t="s">
        <v>13516</v>
      </c>
      <c r="N34" s="924"/>
      <c r="O34" s="924"/>
      <c r="P34" s="924"/>
    </row>
    <row r="35">
      <c r="A35" s="918" t="s">
        <v>13574</v>
      </c>
      <c r="B35" s="918" t="s">
        <v>13514</v>
      </c>
      <c r="C35" s="926"/>
      <c r="D35" s="926"/>
      <c r="E35" s="926"/>
      <c r="F35" s="919"/>
      <c r="G35" s="924"/>
      <c r="H35" s="924"/>
      <c r="I35" s="924"/>
      <c r="J35" s="924"/>
      <c r="K35" s="924"/>
      <c r="L35" s="924"/>
      <c r="M35" s="924"/>
      <c r="N35" s="924"/>
      <c r="O35" s="924"/>
      <c r="P35" s="924"/>
    </row>
    <row r="36">
      <c r="A36" s="918" t="s">
        <v>13575</v>
      </c>
      <c r="B36" s="918" t="s">
        <v>13514</v>
      </c>
      <c r="C36" s="926"/>
      <c r="D36" s="926"/>
      <c r="E36" s="926"/>
      <c r="F36" s="919"/>
      <c r="G36" s="924"/>
      <c r="H36" s="924"/>
      <c r="I36" s="924"/>
      <c r="J36" s="918" t="s">
        <v>13576</v>
      </c>
      <c r="K36" s="924"/>
      <c r="L36" s="924"/>
      <c r="M36" s="924"/>
      <c r="N36" s="924"/>
      <c r="O36" s="924"/>
      <c r="P36" s="924"/>
    </row>
    <row r="37">
      <c r="A37" s="918" t="s">
        <v>13577</v>
      </c>
      <c r="B37" s="918" t="s">
        <v>13514</v>
      </c>
      <c r="C37" s="926"/>
      <c r="D37" s="919"/>
      <c r="E37" s="919"/>
      <c r="F37" s="919"/>
      <c r="G37" s="924"/>
      <c r="H37" s="924"/>
      <c r="I37" s="924"/>
      <c r="J37" s="918" t="s">
        <v>13521</v>
      </c>
      <c r="K37" s="924"/>
      <c r="L37" s="924"/>
      <c r="M37" s="924"/>
      <c r="N37" s="924"/>
      <c r="O37" s="924"/>
      <c r="P37" s="924"/>
    </row>
    <row r="38">
      <c r="A38" s="918" t="s">
        <v>13578</v>
      </c>
      <c r="B38" s="918" t="s">
        <v>13514</v>
      </c>
      <c r="C38" s="926"/>
      <c r="D38" s="919"/>
      <c r="E38" s="919"/>
      <c r="F38" s="919"/>
      <c r="G38" s="924"/>
      <c r="H38" s="924"/>
      <c r="I38" s="924"/>
      <c r="J38" s="918" t="s">
        <v>13523</v>
      </c>
      <c r="K38" s="924"/>
      <c r="L38" s="924"/>
      <c r="M38" s="924"/>
      <c r="N38" s="924"/>
      <c r="O38" s="924"/>
      <c r="P38" s="924"/>
    </row>
    <row r="39">
      <c r="A39" s="918" t="s">
        <v>13524</v>
      </c>
      <c r="B39" s="918" t="s">
        <v>13514</v>
      </c>
      <c r="C39" s="927" t="s">
        <v>13525</v>
      </c>
      <c r="D39" s="927"/>
      <c r="E39" s="927"/>
      <c r="F39" s="927"/>
      <c r="G39" s="928"/>
      <c r="H39" s="928"/>
      <c r="I39" s="924"/>
      <c r="J39" s="918" t="s">
        <v>13526</v>
      </c>
      <c r="K39" s="924"/>
      <c r="L39" s="924"/>
      <c r="M39" s="924"/>
      <c r="N39" s="924"/>
      <c r="O39" s="924"/>
      <c r="P39" s="924"/>
    </row>
    <row r="40">
      <c r="A40" s="918" t="s">
        <v>13579</v>
      </c>
      <c r="B40" s="918" t="s">
        <v>13514</v>
      </c>
      <c r="C40" s="926"/>
      <c r="D40" s="919"/>
      <c r="E40" s="919"/>
      <c r="F40" s="919"/>
      <c r="G40" s="924"/>
      <c r="H40" s="924"/>
      <c r="I40" s="924"/>
      <c r="J40" s="918" t="s">
        <v>13528</v>
      </c>
      <c r="K40" s="924"/>
      <c r="L40" s="924"/>
      <c r="M40" s="924"/>
      <c r="N40" s="924"/>
      <c r="O40" s="924"/>
      <c r="P40" s="924"/>
    </row>
    <row r="41">
      <c r="A41" s="918" t="s">
        <v>13580</v>
      </c>
      <c r="B41" s="918" t="s">
        <v>13514</v>
      </c>
      <c r="C41" s="926"/>
      <c r="D41" s="919"/>
      <c r="E41" s="919"/>
      <c r="F41" s="919"/>
      <c r="G41" s="924"/>
      <c r="H41" s="924"/>
      <c r="I41" s="924"/>
      <c r="J41" s="918" t="s">
        <v>13530</v>
      </c>
      <c r="K41" s="924"/>
      <c r="L41" s="924"/>
      <c r="M41" s="924"/>
      <c r="N41" s="924"/>
      <c r="O41" s="924"/>
      <c r="P41" s="924"/>
    </row>
    <row r="42">
      <c r="A42" s="918" t="s">
        <v>13581</v>
      </c>
      <c r="B42" s="918" t="s">
        <v>13514</v>
      </c>
      <c r="C42" s="926"/>
      <c r="D42" s="919"/>
      <c r="E42" s="919"/>
      <c r="F42" s="919"/>
      <c r="G42" s="924"/>
      <c r="H42" s="924"/>
      <c r="I42" s="924"/>
      <c r="J42" s="918"/>
      <c r="K42" s="924"/>
      <c r="L42" s="924"/>
      <c r="M42" s="924"/>
      <c r="N42" s="924"/>
      <c r="O42" s="924"/>
      <c r="P42" s="924"/>
    </row>
    <row r="43">
      <c r="A43" s="918" t="s">
        <v>13582</v>
      </c>
      <c r="B43" s="918" t="s">
        <v>13514</v>
      </c>
      <c r="C43" s="926"/>
      <c r="D43" s="919"/>
      <c r="E43" s="919"/>
      <c r="F43" s="919"/>
      <c r="G43" s="924"/>
      <c r="H43" s="924"/>
      <c r="I43" s="924"/>
      <c r="J43" s="918"/>
      <c r="K43" s="924"/>
      <c r="L43" s="924"/>
      <c r="M43" s="924"/>
      <c r="N43" s="924"/>
      <c r="O43" s="924"/>
      <c r="P43" s="924"/>
    </row>
    <row r="44">
      <c r="A44" s="918" t="s">
        <v>13583</v>
      </c>
      <c r="B44" s="918" t="s">
        <v>13514</v>
      </c>
      <c r="C44" s="930" t="s">
        <v>13535</v>
      </c>
      <c r="D44" s="919"/>
      <c r="E44" s="919"/>
      <c r="F44" s="919"/>
      <c r="G44" s="924"/>
      <c r="H44" s="924"/>
      <c r="I44" s="924"/>
      <c r="J44" s="929" t="s">
        <v>13584</v>
      </c>
      <c r="K44" s="924"/>
      <c r="L44" s="924"/>
      <c r="M44" s="924"/>
      <c r="N44" s="924"/>
      <c r="O44" s="924"/>
      <c r="P44" s="924"/>
    </row>
    <row r="45">
      <c r="A45" s="918" t="s">
        <v>13585</v>
      </c>
      <c r="B45" s="918" t="s">
        <v>13514</v>
      </c>
      <c r="C45" s="926"/>
      <c r="D45" s="931" t="s">
        <v>13537</v>
      </c>
      <c r="F45" s="926"/>
      <c r="G45" s="920"/>
      <c r="H45" s="920"/>
      <c r="I45" s="924"/>
      <c r="J45" s="924"/>
      <c r="K45" s="924"/>
      <c r="L45" s="924"/>
      <c r="M45" s="924"/>
      <c r="N45" s="924"/>
      <c r="O45" s="924"/>
      <c r="P45" s="924"/>
    </row>
    <row r="46">
      <c r="A46" s="932" t="s">
        <v>13538</v>
      </c>
      <c r="B46" s="3"/>
      <c r="C46" s="933" t="s">
        <v>13539</v>
      </c>
      <c r="D46" s="2"/>
      <c r="E46" s="3"/>
      <c r="F46" s="934" t="s">
        <v>13540</v>
      </c>
      <c r="G46" s="2"/>
      <c r="H46" s="3"/>
      <c r="I46" s="924"/>
      <c r="J46" s="935" t="s">
        <v>13538</v>
      </c>
      <c r="K46" s="933" t="s">
        <v>13539</v>
      </c>
      <c r="L46" s="2"/>
      <c r="M46" s="3"/>
      <c r="N46" s="934" t="s">
        <v>13540</v>
      </c>
      <c r="O46" s="2"/>
      <c r="P46" s="3"/>
    </row>
    <row r="47">
      <c r="A47" s="936" t="s">
        <v>13541</v>
      </c>
      <c r="B47" s="3"/>
      <c r="C47" s="937" t="s">
        <v>13542</v>
      </c>
      <c r="D47" s="938" t="s">
        <v>13543</v>
      </c>
      <c r="E47" s="938" t="s">
        <v>13544</v>
      </c>
      <c r="F47" s="937" t="s">
        <v>13542</v>
      </c>
      <c r="G47" s="938" t="s">
        <v>13543</v>
      </c>
      <c r="H47" s="938" t="s">
        <v>13544</v>
      </c>
      <c r="I47" s="924"/>
      <c r="J47" s="939" t="s">
        <v>13545</v>
      </c>
      <c r="K47" s="937" t="s">
        <v>13542</v>
      </c>
      <c r="L47" s="938" t="s">
        <v>13543</v>
      </c>
      <c r="M47" s="938" t="s">
        <v>13544</v>
      </c>
      <c r="N47" s="937" t="s">
        <v>13542</v>
      </c>
      <c r="O47" s="938" t="s">
        <v>13543</v>
      </c>
      <c r="P47" s="938" t="s">
        <v>13544</v>
      </c>
    </row>
    <row r="48">
      <c r="A48" s="940" t="s">
        <v>13546</v>
      </c>
      <c r="B48" s="3"/>
      <c r="C48" s="941"/>
      <c r="D48" s="942"/>
      <c r="E48" s="942"/>
      <c r="F48" s="941"/>
      <c r="G48" s="942"/>
      <c r="H48" s="942"/>
      <c r="I48" s="924"/>
      <c r="J48" s="940" t="s">
        <v>13546</v>
      </c>
      <c r="K48" s="935"/>
      <c r="L48" s="942"/>
      <c r="M48" s="942"/>
      <c r="N48" s="941"/>
      <c r="O48" s="942"/>
      <c r="P48" s="942"/>
    </row>
    <row r="49">
      <c r="A49" s="940" t="s">
        <v>13547</v>
      </c>
      <c r="B49" s="3"/>
      <c r="C49" s="941"/>
      <c r="D49" s="943"/>
      <c r="E49" s="943"/>
      <c r="F49" s="941"/>
      <c r="G49" s="943"/>
      <c r="H49" s="943"/>
      <c r="I49" s="924"/>
      <c r="J49" s="935" t="s">
        <v>13548</v>
      </c>
      <c r="K49" s="941"/>
      <c r="L49" s="943"/>
      <c r="M49" s="943"/>
      <c r="N49" s="941"/>
      <c r="O49" s="943"/>
      <c r="P49" s="943"/>
    </row>
    <row r="50">
      <c r="A50" s="940" t="s">
        <v>13549</v>
      </c>
      <c r="B50" s="3"/>
      <c r="C50" s="941"/>
      <c r="D50" s="943"/>
      <c r="E50" s="943"/>
      <c r="F50" s="941"/>
      <c r="G50" s="943"/>
      <c r="H50" s="943"/>
      <c r="I50" s="924"/>
      <c r="J50" s="935" t="s">
        <v>13550</v>
      </c>
      <c r="K50" s="941"/>
      <c r="L50" s="943"/>
      <c r="M50" s="943"/>
      <c r="N50" s="941"/>
      <c r="O50" s="943"/>
      <c r="P50" s="943"/>
    </row>
    <row r="51">
      <c r="A51" s="940" t="s">
        <v>13551</v>
      </c>
      <c r="B51" s="3"/>
      <c r="C51" s="941"/>
      <c r="D51" s="943"/>
      <c r="E51" s="943"/>
      <c r="F51" s="941"/>
      <c r="G51" s="943"/>
      <c r="H51" s="943"/>
      <c r="I51" s="924"/>
      <c r="J51" s="935" t="s">
        <v>13552</v>
      </c>
      <c r="K51" s="941"/>
      <c r="L51" s="943"/>
      <c r="M51" s="943"/>
      <c r="N51" s="941"/>
      <c r="O51" s="943"/>
      <c r="P51" s="943"/>
    </row>
    <row r="52">
      <c r="A52" s="940" t="s">
        <v>13553</v>
      </c>
      <c r="B52" s="3"/>
      <c r="C52" s="941"/>
      <c r="D52" s="943"/>
      <c r="E52" s="943"/>
      <c r="F52" s="941"/>
      <c r="G52" s="943"/>
      <c r="H52" s="943"/>
      <c r="I52" s="924"/>
      <c r="J52" s="935" t="s">
        <v>13554</v>
      </c>
      <c r="K52" s="941"/>
      <c r="L52" s="943"/>
      <c r="M52" s="943"/>
      <c r="N52" s="941"/>
      <c r="O52" s="943"/>
      <c r="P52" s="943"/>
    </row>
    <row r="53">
      <c r="A53" s="940" t="s">
        <v>13555</v>
      </c>
      <c r="B53" s="3"/>
      <c r="C53" s="941"/>
      <c r="D53" s="943"/>
      <c r="E53" s="943"/>
      <c r="F53" s="941"/>
      <c r="G53" s="943"/>
      <c r="H53" s="943"/>
      <c r="I53" s="924"/>
      <c r="J53" s="935" t="s">
        <v>13556</v>
      </c>
      <c r="K53" s="941"/>
      <c r="L53" s="943"/>
      <c r="M53" s="943"/>
      <c r="N53" s="941"/>
      <c r="O53" s="943"/>
      <c r="P53" s="943"/>
    </row>
    <row r="54">
      <c r="A54" s="940" t="s">
        <v>13557</v>
      </c>
      <c r="B54" s="3"/>
      <c r="C54" s="941"/>
      <c r="D54" s="943"/>
      <c r="E54" s="943"/>
      <c r="F54" s="941"/>
      <c r="G54" s="943"/>
      <c r="H54" s="943"/>
      <c r="I54" s="924"/>
      <c r="J54" s="935" t="s">
        <v>13558</v>
      </c>
      <c r="K54" s="941"/>
      <c r="L54" s="943"/>
      <c r="M54" s="943"/>
      <c r="N54" s="941"/>
      <c r="O54" s="943"/>
      <c r="P54" s="943"/>
    </row>
    <row r="55">
      <c r="A55" s="940" t="s">
        <v>13559</v>
      </c>
      <c r="B55" s="3"/>
      <c r="C55" s="941"/>
      <c r="D55" s="943"/>
      <c r="E55" s="943"/>
      <c r="F55" s="941"/>
      <c r="G55" s="943"/>
      <c r="H55" s="943"/>
      <c r="I55" s="924"/>
      <c r="J55" s="935" t="s">
        <v>13560</v>
      </c>
      <c r="K55" s="941"/>
      <c r="L55" s="943"/>
      <c r="M55" s="943"/>
      <c r="N55" s="935"/>
      <c r="O55" s="943"/>
      <c r="P55" s="943"/>
    </row>
    <row r="56">
      <c r="A56" s="940" t="s">
        <v>13561</v>
      </c>
      <c r="B56" s="3"/>
      <c r="C56" s="941"/>
      <c r="D56" s="943"/>
      <c r="E56" s="943"/>
      <c r="F56" s="941"/>
      <c r="G56" s="943"/>
      <c r="H56" s="943"/>
      <c r="I56" s="924"/>
      <c r="J56" s="935" t="s">
        <v>13562</v>
      </c>
      <c r="K56" s="941"/>
      <c r="L56" s="943"/>
      <c r="M56" s="943"/>
      <c r="N56" s="941"/>
      <c r="O56" s="943"/>
      <c r="P56" s="943"/>
    </row>
    <row r="57">
      <c r="A57" s="940" t="s">
        <v>13563</v>
      </c>
      <c r="B57" s="3"/>
      <c r="C57" s="941"/>
      <c r="D57" s="943"/>
      <c r="E57" s="943"/>
      <c r="F57" s="941"/>
      <c r="G57" s="943"/>
      <c r="H57" s="943"/>
      <c r="I57" s="924"/>
      <c r="J57" s="935" t="s">
        <v>13564</v>
      </c>
      <c r="K57" s="941"/>
      <c r="L57" s="943"/>
      <c r="M57" s="943"/>
      <c r="N57" s="933"/>
      <c r="O57" s="943"/>
      <c r="P57" s="943"/>
    </row>
    <row r="58">
      <c r="A58" s="940" t="s">
        <v>13565</v>
      </c>
      <c r="B58" s="3"/>
      <c r="C58" s="941"/>
      <c r="D58" s="943"/>
      <c r="E58" s="943"/>
      <c r="F58" s="941"/>
      <c r="G58" s="943"/>
      <c r="H58" s="943"/>
      <c r="I58" s="924"/>
      <c r="J58" s="944" t="s">
        <v>13566</v>
      </c>
      <c r="K58" s="945"/>
      <c r="L58" s="153"/>
      <c r="M58" s="153"/>
      <c r="N58" s="941"/>
      <c r="O58" s="153"/>
      <c r="P58" s="153"/>
    </row>
    <row r="59">
      <c r="A59" s="940" t="s">
        <v>13567</v>
      </c>
      <c r="B59" s="3"/>
      <c r="C59" s="941"/>
      <c r="D59" s="943"/>
      <c r="E59" s="943"/>
      <c r="F59" s="941"/>
      <c r="G59" s="943"/>
      <c r="H59" s="943"/>
      <c r="I59" s="924"/>
      <c r="J59" s="946" t="s">
        <v>13568</v>
      </c>
      <c r="K59" s="622"/>
      <c r="L59" s="947" t="s">
        <v>13569</v>
      </c>
      <c r="M59" s="622"/>
      <c r="N59" s="948" t="s">
        <v>13570</v>
      </c>
      <c r="O59" s="947" t="s">
        <v>13571</v>
      </c>
      <c r="P59" s="622"/>
    </row>
    <row r="60">
      <c r="A60" s="940" t="s">
        <v>13572</v>
      </c>
      <c r="B60" s="3"/>
      <c r="C60" s="949"/>
      <c r="D60" s="943"/>
      <c r="E60" s="943"/>
      <c r="F60" s="949"/>
      <c r="G60" s="943"/>
      <c r="H60" s="943"/>
      <c r="I60" s="950"/>
      <c r="J60" s="638"/>
      <c r="K60" s="951"/>
      <c r="L60" s="638"/>
      <c r="M60" s="951"/>
      <c r="N60" s="943"/>
      <c r="O60" s="638"/>
      <c r="P60" s="951"/>
    </row>
    <row r="61">
      <c r="A61" s="952" t="s">
        <v>13566</v>
      </c>
      <c r="B61" s="3"/>
      <c r="C61" s="941"/>
      <c r="D61" s="153"/>
      <c r="E61" s="153"/>
      <c r="F61" s="941"/>
      <c r="G61" s="153"/>
      <c r="H61" s="153"/>
      <c r="I61" s="924"/>
      <c r="J61" s="623"/>
      <c r="K61" s="160"/>
      <c r="L61" s="623"/>
      <c r="M61" s="160"/>
      <c r="N61" s="153"/>
      <c r="O61" s="623"/>
      <c r="P61" s="160"/>
    </row>
    <row r="62">
      <c r="A62" s="953"/>
      <c r="B62" s="953"/>
      <c r="C62" s="953"/>
      <c r="D62" s="953"/>
      <c r="E62" s="953"/>
      <c r="F62" s="953"/>
      <c r="G62" s="953"/>
      <c r="H62" s="953"/>
      <c r="I62" s="953"/>
      <c r="J62" s="953"/>
      <c r="K62" s="953"/>
      <c r="L62" s="953"/>
      <c r="M62" s="953"/>
      <c r="N62" s="953"/>
      <c r="O62" s="953"/>
      <c r="P62" s="953"/>
    </row>
    <row r="63">
      <c r="A63" s="953"/>
      <c r="B63" s="953"/>
      <c r="C63" s="953"/>
      <c r="D63" s="953"/>
      <c r="E63" s="953"/>
      <c r="F63" s="953"/>
      <c r="G63" s="953"/>
      <c r="H63" s="953"/>
      <c r="I63" s="953"/>
      <c r="J63" s="953"/>
      <c r="K63" s="953"/>
      <c r="L63" s="953"/>
      <c r="M63" s="953"/>
      <c r="N63" s="953"/>
      <c r="O63" s="953"/>
      <c r="P63" s="953"/>
    </row>
    <row r="64">
      <c r="A64" s="953"/>
      <c r="B64" s="953"/>
      <c r="C64" s="953"/>
      <c r="D64" s="953"/>
      <c r="E64" s="953"/>
      <c r="F64" s="953"/>
      <c r="G64" s="953"/>
      <c r="H64" s="953"/>
      <c r="I64" s="953"/>
      <c r="J64" s="953"/>
      <c r="K64" s="953"/>
      <c r="L64" s="953"/>
      <c r="M64" s="953"/>
      <c r="N64" s="953"/>
      <c r="O64" s="953"/>
      <c r="P64" s="953"/>
    </row>
    <row r="65">
      <c r="A65" s="953"/>
      <c r="B65" s="953"/>
      <c r="C65" s="953"/>
      <c r="D65" s="953"/>
      <c r="E65" s="953"/>
      <c r="F65" s="953"/>
      <c r="G65" s="953"/>
      <c r="H65" s="953"/>
      <c r="I65" s="953"/>
      <c r="J65" s="953"/>
      <c r="K65" s="953"/>
      <c r="L65" s="953"/>
      <c r="M65" s="953"/>
      <c r="N65" s="953"/>
      <c r="O65" s="953"/>
      <c r="P65" s="953"/>
    </row>
    <row r="66">
      <c r="A66" s="953"/>
      <c r="B66" s="953"/>
      <c r="C66" s="953"/>
      <c r="D66" s="953"/>
      <c r="E66" s="953"/>
      <c r="F66" s="953"/>
      <c r="G66" s="953"/>
      <c r="H66" s="953"/>
      <c r="I66" s="953"/>
      <c r="J66" s="953"/>
      <c r="K66" s="953"/>
      <c r="L66" s="953"/>
      <c r="M66" s="953"/>
      <c r="N66" s="953"/>
      <c r="O66" s="953"/>
      <c r="P66" s="953"/>
    </row>
    <row r="67">
      <c r="A67" s="953"/>
      <c r="B67" s="953"/>
      <c r="C67" s="953"/>
      <c r="D67" s="953"/>
      <c r="E67" s="953"/>
      <c r="F67" s="953"/>
      <c r="G67" s="953"/>
      <c r="H67" s="953"/>
      <c r="I67" s="953"/>
      <c r="J67" s="953"/>
      <c r="K67" s="953"/>
      <c r="L67" s="953"/>
      <c r="M67" s="953"/>
      <c r="N67" s="953"/>
      <c r="O67" s="953"/>
      <c r="P67" s="953"/>
    </row>
    <row r="68">
      <c r="A68" s="953"/>
      <c r="B68" s="953"/>
      <c r="C68" s="953"/>
      <c r="D68" s="953"/>
      <c r="E68" s="953"/>
      <c r="F68" s="953"/>
      <c r="G68" s="953"/>
      <c r="H68" s="953"/>
      <c r="I68" s="953"/>
      <c r="J68" s="953"/>
      <c r="K68" s="953"/>
      <c r="L68" s="953"/>
      <c r="M68" s="953"/>
      <c r="N68" s="953"/>
      <c r="O68" s="953"/>
      <c r="P68" s="953"/>
    </row>
    <row r="69">
      <c r="A69" s="953"/>
      <c r="B69" s="953"/>
      <c r="C69" s="953"/>
      <c r="D69" s="953"/>
      <c r="E69" s="953"/>
      <c r="F69" s="953"/>
      <c r="G69" s="953"/>
      <c r="H69" s="953"/>
      <c r="I69" s="953"/>
      <c r="J69" s="953"/>
      <c r="K69" s="953"/>
      <c r="L69" s="953"/>
      <c r="M69" s="953"/>
      <c r="N69" s="953"/>
      <c r="O69" s="953"/>
      <c r="P69" s="953"/>
    </row>
    <row r="70">
      <c r="A70" s="953"/>
      <c r="B70" s="953"/>
      <c r="C70" s="953"/>
      <c r="D70" s="953"/>
      <c r="E70" s="953"/>
      <c r="F70" s="953"/>
      <c r="G70" s="953"/>
      <c r="H70" s="953"/>
      <c r="I70" s="953"/>
      <c r="J70" s="953"/>
      <c r="K70" s="953"/>
      <c r="L70" s="953"/>
      <c r="M70" s="953"/>
      <c r="N70" s="953"/>
      <c r="O70" s="953"/>
      <c r="P70" s="953"/>
    </row>
    <row r="71">
      <c r="A71" s="953"/>
      <c r="B71" s="953"/>
      <c r="C71" s="953"/>
      <c r="D71" s="953"/>
      <c r="E71" s="953"/>
      <c r="F71" s="953"/>
      <c r="G71" s="953"/>
      <c r="H71" s="953"/>
      <c r="I71" s="953"/>
      <c r="J71" s="953"/>
      <c r="K71" s="953"/>
      <c r="L71" s="953"/>
      <c r="M71" s="953"/>
      <c r="N71" s="953"/>
      <c r="O71" s="953"/>
      <c r="P71" s="953"/>
    </row>
    <row r="72">
      <c r="A72" s="953"/>
      <c r="B72" s="953"/>
      <c r="C72" s="953"/>
      <c r="D72" s="953"/>
      <c r="E72" s="953"/>
      <c r="F72" s="953"/>
      <c r="G72" s="953"/>
      <c r="H72" s="953"/>
      <c r="I72" s="953"/>
      <c r="J72" s="953"/>
      <c r="K72" s="953"/>
      <c r="L72" s="953"/>
      <c r="M72" s="953"/>
      <c r="N72" s="953"/>
      <c r="O72" s="953"/>
      <c r="P72" s="953"/>
    </row>
    <row r="73">
      <c r="A73" s="953"/>
      <c r="B73" s="953"/>
      <c r="C73" s="953"/>
      <c r="D73" s="953"/>
      <c r="E73" s="953"/>
      <c r="F73" s="953"/>
      <c r="G73" s="953"/>
      <c r="H73" s="953"/>
      <c r="I73" s="953"/>
      <c r="J73" s="953"/>
      <c r="K73" s="953"/>
      <c r="L73" s="953"/>
      <c r="M73" s="953"/>
      <c r="N73" s="953"/>
      <c r="O73" s="953"/>
      <c r="P73" s="953"/>
    </row>
    <row r="74">
      <c r="A74" s="953"/>
      <c r="B74" s="953"/>
      <c r="C74" s="953"/>
      <c r="D74" s="953"/>
      <c r="E74" s="953"/>
      <c r="F74" s="953"/>
      <c r="G74" s="953"/>
      <c r="H74" s="953"/>
      <c r="I74" s="953"/>
      <c r="J74" s="953"/>
      <c r="K74" s="953"/>
      <c r="L74" s="953"/>
      <c r="M74" s="953"/>
      <c r="N74" s="953"/>
      <c r="O74" s="953"/>
      <c r="P74" s="953"/>
    </row>
    <row r="75">
      <c r="A75" s="953"/>
      <c r="B75" s="953"/>
      <c r="C75" s="953"/>
      <c r="D75" s="953"/>
      <c r="E75" s="953"/>
      <c r="F75" s="953"/>
      <c r="G75" s="953"/>
      <c r="H75" s="953"/>
      <c r="I75" s="953"/>
      <c r="J75" s="953"/>
      <c r="K75" s="953"/>
      <c r="L75" s="953"/>
      <c r="M75" s="953"/>
      <c r="N75" s="953"/>
      <c r="O75" s="953"/>
      <c r="P75" s="953"/>
    </row>
    <row r="76">
      <c r="A76" s="953"/>
      <c r="B76" s="953"/>
      <c r="C76" s="953"/>
      <c r="D76" s="953"/>
      <c r="E76" s="953"/>
      <c r="F76" s="953"/>
      <c r="G76" s="953"/>
      <c r="H76" s="953"/>
      <c r="I76" s="953"/>
      <c r="J76" s="953"/>
      <c r="K76" s="953"/>
      <c r="L76" s="953"/>
      <c r="M76" s="953"/>
      <c r="N76" s="953"/>
      <c r="O76" s="953"/>
      <c r="P76" s="953"/>
    </row>
    <row r="77">
      <c r="A77" s="953"/>
      <c r="B77" s="953"/>
      <c r="C77" s="953"/>
      <c r="D77" s="953"/>
      <c r="E77" s="953"/>
      <c r="F77" s="953"/>
      <c r="G77" s="953"/>
      <c r="H77" s="953"/>
      <c r="I77" s="953"/>
      <c r="J77" s="953"/>
      <c r="K77" s="953"/>
      <c r="L77" s="953"/>
      <c r="M77" s="953"/>
      <c r="N77" s="953"/>
      <c r="O77" s="953"/>
      <c r="P77" s="953"/>
    </row>
    <row r="78">
      <c r="A78" s="953"/>
      <c r="B78" s="953"/>
      <c r="C78" s="953"/>
      <c r="D78" s="953"/>
      <c r="E78" s="953"/>
      <c r="F78" s="953"/>
      <c r="G78" s="953"/>
      <c r="H78" s="953"/>
      <c r="I78" s="953"/>
      <c r="J78" s="953"/>
      <c r="K78" s="953"/>
      <c r="L78" s="953"/>
      <c r="M78" s="953"/>
      <c r="N78" s="953"/>
      <c r="O78" s="953"/>
      <c r="P78" s="953"/>
    </row>
    <row r="79">
      <c r="A79" s="953"/>
      <c r="B79" s="953"/>
      <c r="C79" s="953"/>
      <c r="D79" s="953"/>
      <c r="E79" s="953"/>
      <c r="F79" s="953"/>
      <c r="G79" s="953"/>
      <c r="H79" s="953"/>
      <c r="I79" s="953"/>
      <c r="J79" s="953"/>
      <c r="K79" s="953"/>
      <c r="L79" s="953"/>
      <c r="M79" s="953"/>
      <c r="N79" s="953"/>
      <c r="O79" s="953"/>
      <c r="P79" s="953"/>
    </row>
    <row r="80">
      <c r="A80" s="953"/>
      <c r="B80" s="953"/>
      <c r="C80" s="953"/>
      <c r="D80" s="953"/>
      <c r="E80" s="953"/>
      <c r="F80" s="953"/>
      <c r="G80" s="953"/>
      <c r="H80" s="953"/>
      <c r="I80" s="953"/>
      <c r="J80" s="953"/>
      <c r="K80" s="953"/>
      <c r="L80" s="953"/>
      <c r="M80" s="953"/>
      <c r="N80" s="953"/>
      <c r="O80" s="953"/>
      <c r="P80" s="953"/>
    </row>
    <row r="81">
      <c r="A81" s="953"/>
      <c r="B81" s="953"/>
      <c r="C81" s="953"/>
      <c r="D81" s="953"/>
      <c r="E81" s="953"/>
      <c r="F81" s="953"/>
      <c r="G81" s="953"/>
      <c r="H81" s="953"/>
      <c r="I81" s="953"/>
      <c r="J81" s="953"/>
      <c r="K81" s="953"/>
      <c r="L81" s="953"/>
      <c r="M81" s="953"/>
      <c r="N81" s="953"/>
      <c r="O81" s="953"/>
      <c r="P81" s="953"/>
    </row>
    <row r="82">
      <c r="A82" s="953"/>
      <c r="B82" s="953"/>
      <c r="C82" s="953"/>
      <c r="D82" s="953"/>
      <c r="E82" s="953"/>
      <c r="F82" s="953"/>
      <c r="G82" s="953"/>
      <c r="H82" s="953"/>
      <c r="I82" s="953"/>
      <c r="J82" s="953"/>
      <c r="K82" s="953"/>
      <c r="L82" s="953"/>
      <c r="M82" s="953"/>
      <c r="N82" s="953"/>
      <c r="O82" s="953"/>
      <c r="P82" s="953"/>
    </row>
    <row r="83">
      <c r="A83" s="953"/>
      <c r="B83" s="953"/>
      <c r="C83" s="953"/>
      <c r="D83" s="953"/>
      <c r="E83" s="953"/>
      <c r="F83" s="953"/>
      <c r="G83" s="953"/>
      <c r="H83" s="953"/>
      <c r="I83" s="953"/>
      <c r="J83" s="953"/>
      <c r="K83" s="953"/>
      <c r="L83" s="953"/>
      <c r="M83" s="953"/>
      <c r="N83" s="953"/>
      <c r="O83" s="953"/>
      <c r="P83" s="953"/>
    </row>
    <row r="84">
      <c r="A84" s="953"/>
      <c r="B84" s="953"/>
      <c r="C84" s="953"/>
      <c r="D84" s="953"/>
      <c r="E84" s="953"/>
      <c r="F84" s="953"/>
      <c r="G84" s="953"/>
      <c r="H84" s="953"/>
      <c r="I84" s="953"/>
      <c r="J84" s="953"/>
      <c r="K84" s="953"/>
      <c r="L84" s="953"/>
      <c r="M84" s="953"/>
      <c r="N84" s="953"/>
      <c r="O84" s="953"/>
      <c r="P84" s="953"/>
    </row>
    <row r="85">
      <c r="A85" s="953"/>
      <c r="B85" s="953"/>
      <c r="C85" s="953"/>
      <c r="D85" s="953"/>
      <c r="E85" s="953"/>
      <c r="F85" s="953"/>
      <c r="G85" s="953"/>
      <c r="H85" s="953"/>
      <c r="I85" s="953"/>
      <c r="J85" s="953"/>
      <c r="K85" s="953"/>
      <c r="L85" s="953"/>
      <c r="M85" s="953"/>
      <c r="N85" s="953"/>
      <c r="O85" s="953"/>
      <c r="P85" s="953"/>
    </row>
    <row r="86">
      <c r="A86" s="953"/>
      <c r="B86" s="953"/>
      <c r="C86" s="953"/>
      <c r="D86" s="953"/>
      <c r="E86" s="953"/>
      <c r="F86" s="953"/>
      <c r="G86" s="953"/>
      <c r="H86" s="953"/>
      <c r="I86" s="953"/>
      <c r="J86" s="953"/>
      <c r="K86" s="953"/>
      <c r="L86" s="953"/>
      <c r="M86" s="953"/>
      <c r="N86" s="953"/>
      <c r="O86" s="953"/>
      <c r="P86" s="953"/>
    </row>
    <row r="87">
      <c r="A87" s="953"/>
      <c r="B87" s="953"/>
      <c r="C87" s="953"/>
      <c r="D87" s="953"/>
      <c r="E87" s="953"/>
      <c r="F87" s="953"/>
      <c r="G87" s="953"/>
      <c r="H87" s="953"/>
      <c r="I87" s="953"/>
      <c r="J87" s="953"/>
      <c r="K87" s="953"/>
      <c r="L87" s="953"/>
      <c r="M87" s="953"/>
      <c r="N87" s="953"/>
      <c r="O87" s="953"/>
      <c r="P87" s="953"/>
    </row>
    <row r="88">
      <c r="A88" s="953"/>
      <c r="B88" s="953"/>
      <c r="C88" s="953"/>
      <c r="D88" s="953"/>
      <c r="E88" s="953"/>
      <c r="F88" s="953"/>
      <c r="G88" s="953"/>
      <c r="H88" s="953"/>
      <c r="I88" s="953"/>
      <c r="J88" s="953"/>
      <c r="K88" s="953"/>
      <c r="L88" s="953"/>
      <c r="M88" s="953"/>
      <c r="N88" s="953"/>
      <c r="O88" s="953"/>
      <c r="P88" s="953"/>
    </row>
    <row r="89">
      <c r="A89" s="953"/>
      <c r="B89" s="953"/>
      <c r="C89" s="953"/>
      <c r="D89" s="953"/>
      <c r="E89" s="953"/>
      <c r="F89" s="953"/>
      <c r="G89" s="953"/>
      <c r="H89" s="953"/>
      <c r="I89" s="953"/>
      <c r="J89" s="953"/>
      <c r="K89" s="953"/>
      <c r="L89" s="953"/>
      <c r="M89" s="953"/>
      <c r="N89" s="953"/>
      <c r="O89" s="953"/>
      <c r="P89" s="953"/>
    </row>
    <row r="90">
      <c r="A90" s="953"/>
      <c r="B90" s="953"/>
      <c r="C90" s="953"/>
      <c r="D90" s="953"/>
      <c r="E90" s="953"/>
      <c r="F90" s="953"/>
      <c r="G90" s="953"/>
      <c r="H90" s="953"/>
      <c r="I90" s="953"/>
      <c r="J90" s="953"/>
      <c r="K90" s="953"/>
      <c r="L90" s="953"/>
      <c r="M90" s="953"/>
      <c r="N90" s="953"/>
      <c r="O90" s="953"/>
      <c r="P90" s="953"/>
    </row>
    <row r="91">
      <c r="A91" s="953"/>
      <c r="B91" s="953"/>
      <c r="C91" s="953"/>
      <c r="D91" s="953"/>
      <c r="E91" s="953"/>
      <c r="F91" s="953"/>
      <c r="G91" s="953"/>
      <c r="H91" s="953"/>
      <c r="I91" s="953"/>
      <c r="J91" s="953"/>
      <c r="K91" s="953"/>
      <c r="L91" s="953"/>
      <c r="M91" s="953"/>
      <c r="N91" s="953"/>
      <c r="O91" s="953"/>
      <c r="P91" s="953"/>
    </row>
    <row r="92">
      <c r="A92" s="953"/>
      <c r="B92" s="953"/>
      <c r="C92" s="953"/>
      <c r="D92" s="953"/>
      <c r="E92" s="953"/>
      <c r="F92" s="953"/>
      <c r="G92" s="953"/>
      <c r="H92" s="953"/>
      <c r="I92" s="953"/>
      <c r="J92" s="953"/>
      <c r="K92" s="953"/>
      <c r="L92" s="953"/>
      <c r="M92" s="953"/>
      <c r="N92" s="953"/>
      <c r="O92" s="953"/>
      <c r="P92" s="953"/>
    </row>
    <row r="93">
      <c r="A93" s="953"/>
      <c r="B93" s="953"/>
      <c r="C93" s="953"/>
      <c r="D93" s="953"/>
      <c r="E93" s="953"/>
      <c r="F93" s="953"/>
      <c r="G93" s="953"/>
      <c r="H93" s="953"/>
      <c r="I93" s="953"/>
      <c r="J93" s="953"/>
      <c r="K93" s="953"/>
      <c r="L93" s="953"/>
      <c r="M93" s="953"/>
      <c r="N93" s="953"/>
      <c r="O93" s="953"/>
      <c r="P93" s="953"/>
    </row>
    <row r="94">
      <c r="A94" s="953"/>
      <c r="B94" s="953"/>
      <c r="C94" s="953"/>
      <c r="D94" s="953"/>
      <c r="E94" s="953"/>
      <c r="F94" s="953"/>
      <c r="G94" s="953"/>
      <c r="H94" s="953"/>
      <c r="I94" s="953"/>
      <c r="J94" s="953"/>
      <c r="K94" s="953"/>
      <c r="L94" s="953"/>
      <c r="M94" s="953"/>
      <c r="N94" s="953"/>
      <c r="O94" s="953"/>
      <c r="P94" s="953"/>
    </row>
    <row r="95">
      <c r="A95" s="953"/>
      <c r="B95" s="953"/>
      <c r="C95" s="953"/>
      <c r="D95" s="953"/>
      <c r="E95" s="953"/>
      <c r="F95" s="953"/>
      <c r="G95" s="953"/>
      <c r="H95" s="953"/>
      <c r="I95" s="953"/>
      <c r="J95" s="953"/>
      <c r="K95" s="953"/>
      <c r="L95" s="953"/>
      <c r="M95" s="953"/>
      <c r="N95" s="953"/>
      <c r="O95" s="953"/>
      <c r="P95" s="953"/>
    </row>
    <row r="96">
      <c r="A96" s="953"/>
      <c r="B96" s="953"/>
      <c r="C96" s="953"/>
      <c r="D96" s="953"/>
      <c r="E96" s="953"/>
      <c r="F96" s="953"/>
      <c r="G96" s="953"/>
      <c r="H96" s="953"/>
      <c r="I96" s="953"/>
      <c r="J96" s="953"/>
      <c r="K96" s="953"/>
      <c r="L96" s="953"/>
      <c r="M96" s="953"/>
      <c r="N96" s="953"/>
      <c r="O96" s="953"/>
      <c r="P96" s="953"/>
    </row>
    <row r="97">
      <c r="A97" s="953"/>
      <c r="B97" s="953"/>
      <c r="C97" s="953"/>
      <c r="D97" s="953"/>
      <c r="E97" s="953"/>
      <c r="F97" s="953"/>
      <c r="G97" s="953"/>
      <c r="H97" s="953"/>
      <c r="I97" s="953"/>
      <c r="J97" s="953"/>
      <c r="K97" s="953"/>
      <c r="L97" s="953"/>
      <c r="M97" s="953"/>
      <c r="N97" s="953"/>
      <c r="O97" s="953"/>
      <c r="P97" s="953"/>
    </row>
    <row r="98">
      <c r="A98" s="953"/>
      <c r="B98" s="953"/>
      <c r="C98" s="953"/>
      <c r="D98" s="953"/>
      <c r="E98" s="953"/>
      <c r="F98" s="953"/>
      <c r="G98" s="953"/>
      <c r="H98" s="953"/>
      <c r="I98" s="953"/>
      <c r="J98" s="953"/>
      <c r="K98" s="953"/>
      <c r="L98" s="953"/>
      <c r="M98" s="953"/>
      <c r="N98" s="953"/>
      <c r="O98" s="953"/>
      <c r="P98" s="953"/>
    </row>
    <row r="99">
      <c r="A99" s="953"/>
      <c r="B99" s="953"/>
      <c r="C99" s="953"/>
      <c r="D99" s="953"/>
      <c r="E99" s="953"/>
      <c r="F99" s="953"/>
      <c r="G99" s="953"/>
      <c r="H99" s="953"/>
      <c r="I99" s="953"/>
      <c r="J99" s="953"/>
      <c r="K99" s="953"/>
      <c r="L99" s="953"/>
      <c r="M99" s="953"/>
      <c r="N99" s="953"/>
      <c r="O99" s="953"/>
      <c r="P99" s="953"/>
    </row>
    <row r="100">
      <c r="A100" s="953"/>
      <c r="B100" s="953"/>
      <c r="C100" s="953"/>
      <c r="D100" s="953"/>
      <c r="E100" s="953"/>
      <c r="F100" s="953"/>
      <c r="G100" s="953"/>
      <c r="H100" s="953"/>
      <c r="I100" s="953"/>
      <c r="J100" s="953"/>
      <c r="K100" s="953"/>
      <c r="L100" s="953"/>
      <c r="M100" s="953"/>
      <c r="N100" s="953"/>
      <c r="O100" s="953"/>
      <c r="P100" s="953"/>
    </row>
    <row r="101">
      <c r="A101" s="953"/>
      <c r="B101" s="953"/>
      <c r="C101" s="953"/>
      <c r="D101" s="953"/>
      <c r="E101" s="953"/>
      <c r="F101" s="953"/>
      <c r="G101" s="953"/>
      <c r="H101" s="953"/>
      <c r="I101" s="953"/>
      <c r="J101" s="953"/>
      <c r="K101" s="953"/>
      <c r="L101" s="953"/>
      <c r="M101" s="953"/>
      <c r="N101" s="953"/>
      <c r="O101" s="953"/>
      <c r="P101" s="953"/>
    </row>
    <row r="102">
      <c r="A102" s="953"/>
      <c r="B102" s="953"/>
      <c r="C102" s="953"/>
      <c r="D102" s="953"/>
      <c r="E102" s="953"/>
      <c r="F102" s="953"/>
      <c r="G102" s="953"/>
      <c r="H102" s="953"/>
      <c r="I102" s="953"/>
      <c r="J102" s="953"/>
      <c r="K102" s="953"/>
      <c r="L102" s="953"/>
      <c r="M102" s="953"/>
      <c r="N102" s="953"/>
      <c r="O102" s="953"/>
      <c r="P102" s="953"/>
    </row>
    <row r="103">
      <c r="A103" s="953"/>
      <c r="B103" s="953"/>
      <c r="C103" s="953"/>
      <c r="D103" s="953"/>
      <c r="E103" s="953"/>
      <c r="F103" s="953"/>
      <c r="G103" s="953"/>
      <c r="H103" s="953"/>
      <c r="I103" s="953"/>
      <c r="J103" s="953"/>
      <c r="K103" s="953"/>
      <c r="L103" s="953"/>
      <c r="M103" s="953"/>
      <c r="N103" s="953"/>
      <c r="O103" s="953"/>
      <c r="P103" s="953"/>
    </row>
    <row r="104">
      <c r="A104" s="953"/>
      <c r="B104" s="953"/>
      <c r="C104" s="953"/>
      <c r="D104" s="953"/>
      <c r="E104" s="953"/>
      <c r="F104" s="953"/>
      <c r="G104" s="953"/>
      <c r="H104" s="953"/>
      <c r="I104" s="953"/>
      <c r="J104" s="953"/>
      <c r="K104" s="953"/>
      <c r="L104" s="953"/>
      <c r="M104" s="953"/>
      <c r="N104" s="953"/>
      <c r="O104" s="953"/>
      <c r="P104" s="953"/>
    </row>
    <row r="105">
      <c r="A105" s="953"/>
      <c r="B105" s="953"/>
      <c r="C105" s="953"/>
      <c r="D105" s="953"/>
      <c r="E105" s="953"/>
      <c r="F105" s="953"/>
      <c r="G105" s="953"/>
      <c r="H105" s="953"/>
      <c r="I105" s="953"/>
      <c r="J105" s="953"/>
      <c r="K105" s="953"/>
      <c r="L105" s="953"/>
      <c r="M105" s="953"/>
      <c r="N105" s="953"/>
      <c r="O105" s="953"/>
      <c r="P105" s="953"/>
    </row>
    <row r="106">
      <c r="A106" s="953"/>
      <c r="B106" s="953"/>
      <c r="C106" s="953"/>
      <c r="D106" s="953"/>
      <c r="E106" s="953"/>
      <c r="F106" s="953"/>
      <c r="G106" s="953"/>
      <c r="H106" s="953"/>
      <c r="I106" s="953"/>
      <c r="J106" s="953"/>
      <c r="K106" s="953"/>
      <c r="L106" s="953"/>
      <c r="M106" s="953"/>
      <c r="N106" s="953"/>
      <c r="O106" s="953"/>
      <c r="P106" s="953"/>
    </row>
    <row r="107">
      <c r="A107" s="953"/>
      <c r="B107" s="953"/>
      <c r="C107" s="953"/>
      <c r="D107" s="953"/>
      <c r="E107" s="953"/>
      <c r="F107" s="953"/>
      <c r="G107" s="953"/>
      <c r="H107" s="953"/>
      <c r="I107" s="953"/>
      <c r="J107" s="953"/>
      <c r="K107" s="953"/>
      <c r="L107" s="953"/>
      <c r="M107" s="953"/>
      <c r="N107" s="953"/>
      <c r="O107" s="953"/>
      <c r="P107" s="953"/>
    </row>
    <row r="108">
      <c r="A108" s="953"/>
      <c r="B108" s="953"/>
      <c r="C108" s="953"/>
      <c r="D108" s="953"/>
      <c r="E108" s="953"/>
      <c r="F108" s="953"/>
      <c r="G108" s="953"/>
      <c r="H108" s="953"/>
      <c r="I108" s="953"/>
      <c r="J108" s="953"/>
      <c r="K108" s="953"/>
      <c r="L108" s="953"/>
      <c r="M108" s="953"/>
      <c r="N108" s="953"/>
      <c r="O108" s="953"/>
      <c r="P108" s="953"/>
    </row>
    <row r="109">
      <c r="A109" s="953"/>
      <c r="B109" s="953"/>
      <c r="C109" s="953"/>
      <c r="D109" s="953"/>
      <c r="E109" s="953"/>
      <c r="F109" s="953"/>
      <c r="G109" s="953"/>
      <c r="H109" s="953"/>
      <c r="I109" s="953"/>
      <c r="J109" s="953"/>
      <c r="K109" s="953"/>
      <c r="L109" s="953"/>
      <c r="M109" s="953"/>
      <c r="N109" s="953"/>
      <c r="O109" s="953"/>
      <c r="P109" s="953"/>
    </row>
    <row r="110">
      <c r="A110" s="953"/>
      <c r="B110" s="953"/>
      <c r="C110" s="953"/>
      <c r="D110" s="953"/>
      <c r="E110" s="953"/>
      <c r="F110" s="953"/>
      <c r="G110" s="953"/>
      <c r="H110" s="953"/>
      <c r="I110" s="953"/>
      <c r="J110" s="953"/>
      <c r="K110" s="953"/>
      <c r="L110" s="953"/>
      <c r="M110" s="953"/>
      <c r="N110" s="953"/>
      <c r="O110" s="953"/>
      <c r="P110" s="953"/>
    </row>
    <row r="111">
      <c r="A111" s="953"/>
      <c r="B111" s="953"/>
      <c r="C111" s="953"/>
      <c r="D111" s="953"/>
      <c r="E111" s="953"/>
      <c r="F111" s="953"/>
      <c r="G111" s="953"/>
      <c r="H111" s="953"/>
      <c r="I111" s="953"/>
      <c r="J111" s="953"/>
      <c r="K111" s="953"/>
      <c r="L111" s="953"/>
      <c r="M111" s="953"/>
      <c r="N111" s="953"/>
      <c r="O111" s="953"/>
      <c r="P111" s="953"/>
    </row>
    <row r="112">
      <c r="A112" s="953"/>
      <c r="B112" s="953"/>
      <c r="C112" s="953"/>
      <c r="D112" s="953"/>
      <c r="E112" s="953"/>
      <c r="F112" s="953"/>
      <c r="G112" s="953"/>
      <c r="H112" s="953"/>
      <c r="I112" s="953"/>
      <c r="J112" s="953"/>
      <c r="K112" s="953"/>
      <c r="L112" s="953"/>
      <c r="M112" s="953"/>
      <c r="N112" s="953"/>
      <c r="O112" s="953"/>
      <c r="P112" s="953"/>
    </row>
    <row r="113">
      <c r="A113" s="953"/>
      <c r="B113" s="953"/>
      <c r="C113" s="953"/>
      <c r="D113" s="953"/>
      <c r="E113" s="953"/>
      <c r="F113" s="953"/>
      <c r="G113" s="953"/>
      <c r="H113" s="953"/>
      <c r="I113" s="953"/>
      <c r="J113" s="953"/>
      <c r="K113" s="953"/>
      <c r="L113" s="953"/>
      <c r="M113" s="953"/>
      <c r="N113" s="953"/>
      <c r="O113" s="953"/>
      <c r="P113" s="953"/>
    </row>
    <row r="114">
      <c r="A114" s="953"/>
      <c r="B114" s="953"/>
      <c r="C114" s="953"/>
      <c r="D114" s="953"/>
      <c r="E114" s="953"/>
      <c r="F114" s="953"/>
      <c r="G114" s="953"/>
      <c r="H114" s="953"/>
      <c r="I114" s="953"/>
      <c r="J114" s="953"/>
      <c r="K114" s="953"/>
      <c r="L114" s="953"/>
      <c r="M114" s="953"/>
      <c r="N114" s="953"/>
      <c r="O114" s="953"/>
      <c r="P114" s="953"/>
    </row>
    <row r="115">
      <c r="A115" s="953"/>
      <c r="B115" s="953"/>
      <c r="C115" s="953"/>
      <c r="D115" s="953"/>
      <c r="E115" s="953"/>
      <c r="F115" s="953"/>
      <c r="G115" s="953"/>
      <c r="H115" s="953"/>
      <c r="I115" s="953"/>
      <c r="J115" s="953"/>
      <c r="K115" s="953"/>
      <c r="L115" s="953"/>
      <c r="M115" s="953"/>
      <c r="N115" s="953"/>
      <c r="O115" s="953"/>
      <c r="P115" s="953"/>
    </row>
    <row r="116">
      <c r="A116" s="953"/>
      <c r="B116" s="953"/>
      <c r="C116" s="953"/>
      <c r="D116" s="953"/>
      <c r="E116" s="953"/>
      <c r="F116" s="953"/>
      <c r="G116" s="953"/>
      <c r="H116" s="953"/>
      <c r="I116" s="953"/>
      <c r="J116" s="953"/>
      <c r="K116" s="953"/>
      <c r="L116" s="953"/>
      <c r="M116" s="953"/>
      <c r="N116" s="953"/>
      <c r="O116" s="953"/>
      <c r="P116" s="953"/>
    </row>
    <row r="117">
      <c r="A117" s="953"/>
      <c r="B117" s="953"/>
      <c r="C117" s="953"/>
      <c r="D117" s="953"/>
      <c r="E117" s="953"/>
      <c r="F117" s="953"/>
      <c r="G117" s="953"/>
      <c r="H117" s="953"/>
      <c r="I117" s="953"/>
      <c r="J117" s="953"/>
      <c r="K117" s="953"/>
      <c r="L117" s="953"/>
      <c r="M117" s="953"/>
      <c r="N117" s="953"/>
      <c r="O117" s="953"/>
      <c r="P117" s="953"/>
    </row>
    <row r="118">
      <c r="A118" s="953"/>
      <c r="B118" s="953"/>
      <c r="C118" s="953"/>
      <c r="D118" s="953"/>
      <c r="E118" s="953"/>
      <c r="F118" s="953"/>
      <c r="G118" s="953"/>
      <c r="H118" s="953"/>
      <c r="I118" s="953"/>
      <c r="J118" s="953"/>
      <c r="K118" s="953"/>
      <c r="L118" s="953"/>
      <c r="M118" s="953"/>
      <c r="N118" s="953"/>
      <c r="O118" s="953"/>
      <c r="P118" s="953"/>
    </row>
    <row r="119">
      <c r="A119" s="953"/>
      <c r="B119" s="953"/>
      <c r="C119" s="953"/>
      <c r="D119" s="953"/>
      <c r="E119" s="953"/>
      <c r="F119" s="953"/>
      <c r="G119" s="953"/>
      <c r="H119" s="953"/>
      <c r="I119" s="953"/>
      <c r="J119" s="953"/>
      <c r="K119" s="953"/>
      <c r="L119" s="953"/>
      <c r="M119" s="953"/>
      <c r="N119" s="953"/>
      <c r="O119" s="953"/>
      <c r="P119" s="953"/>
    </row>
    <row r="120">
      <c r="A120" s="953"/>
      <c r="B120" s="953"/>
      <c r="C120" s="953"/>
      <c r="D120" s="953"/>
      <c r="E120" s="953"/>
      <c r="F120" s="953"/>
      <c r="G120" s="953"/>
      <c r="H120" s="953"/>
      <c r="I120" s="953"/>
      <c r="J120" s="953"/>
      <c r="K120" s="953"/>
      <c r="L120" s="953"/>
      <c r="M120" s="953"/>
      <c r="N120" s="953"/>
      <c r="O120" s="953"/>
      <c r="P120" s="953"/>
    </row>
    <row r="121">
      <c r="A121" s="953"/>
      <c r="B121" s="953"/>
      <c r="C121" s="953"/>
      <c r="D121" s="953"/>
      <c r="E121" s="953"/>
      <c r="F121" s="953"/>
      <c r="G121" s="953"/>
      <c r="H121" s="953"/>
      <c r="I121" s="953"/>
      <c r="J121" s="953"/>
      <c r="K121" s="953"/>
      <c r="L121" s="953"/>
      <c r="M121" s="953"/>
      <c r="N121" s="953"/>
      <c r="O121" s="953"/>
      <c r="P121" s="953"/>
    </row>
    <row r="122">
      <c r="A122" s="953"/>
      <c r="B122" s="953"/>
      <c r="C122" s="953"/>
      <c r="D122" s="953"/>
      <c r="E122" s="953"/>
      <c r="F122" s="953"/>
      <c r="G122" s="953"/>
      <c r="H122" s="953"/>
      <c r="I122" s="953"/>
      <c r="J122" s="953"/>
      <c r="K122" s="953"/>
      <c r="L122" s="953"/>
      <c r="M122" s="953"/>
      <c r="N122" s="953"/>
      <c r="O122" s="953"/>
      <c r="P122" s="953"/>
    </row>
    <row r="123">
      <c r="A123" s="953"/>
      <c r="B123" s="953"/>
      <c r="C123" s="953"/>
      <c r="D123" s="953"/>
      <c r="E123" s="953"/>
      <c r="F123" s="953"/>
      <c r="G123" s="953"/>
      <c r="H123" s="953"/>
      <c r="I123" s="953"/>
      <c r="J123" s="953"/>
      <c r="K123" s="953"/>
      <c r="L123" s="953"/>
      <c r="M123" s="953"/>
      <c r="N123" s="953"/>
      <c r="O123" s="953"/>
      <c r="P123" s="953"/>
    </row>
    <row r="124">
      <c r="A124" s="953"/>
      <c r="B124" s="953"/>
      <c r="C124" s="953"/>
      <c r="D124" s="953"/>
      <c r="E124" s="953"/>
      <c r="F124" s="953"/>
      <c r="G124" s="953"/>
      <c r="H124" s="953"/>
      <c r="I124" s="953"/>
      <c r="J124" s="953"/>
      <c r="K124" s="953"/>
      <c r="L124" s="953"/>
      <c r="M124" s="953"/>
      <c r="N124" s="953"/>
      <c r="O124" s="953"/>
      <c r="P124" s="953"/>
    </row>
    <row r="125">
      <c r="A125" s="953"/>
      <c r="B125" s="953"/>
      <c r="C125" s="953"/>
      <c r="D125" s="953"/>
      <c r="E125" s="953"/>
      <c r="F125" s="953"/>
      <c r="G125" s="953"/>
      <c r="H125" s="953"/>
      <c r="I125" s="953"/>
      <c r="J125" s="953"/>
      <c r="K125" s="953"/>
      <c r="L125" s="953"/>
      <c r="M125" s="953"/>
      <c r="N125" s="953"/>
      <c r="O125" s="953"/>
      <c r="P125" s="953"/>
    </row>
    <row r="126">
      <c r="A126" s="953"/>
      <c r="B126" s="953"/>
      <c r="C126" s="953"/>
      <c r="D126" s="953"/>
      <c r="E126" s="953"/>
      <c r="F126" s="953"/>
      <c r="G126" s="953"/>
      <c r="H126" s="953"/>
      <c r="I126" s="953"/>
      <c r="J126" s="953"/>
      <c r="K126" s="953"/>
      <c r="L126" s="953"/>
      <c r="M126" s="953"/>
      <c r="N126" s="953"/>
      <c r="O126" s="953"/>
      <c r="P126" s="953"/>
    </row>
    <row r="127">
      <c r="A127" s="953"/>
      <c r="B127" s="953"/>
      <c r="C127" s="953"/>
      <c r="D127" s="953"/>
      <c r="E127" s="953"/>
      <c r="F127" s="953"/>
      <c r="G127" s="953"/>
      <c r="H127" s="953"/>
      <c r="I127" s="953"/>
      <c r="J127" s="953"/>
      <c r="K127" s="953"/>
      <c r="L127" s="953"/>
      <c r="M127" s="953"/>
      <c r="N127" s="953"/>
      <c r="O127" s="953"/>
      <c r="P127" s="953"/>
    </row>
    <row r="128">
      <c r="A128" s="953"/>
      <c r="B128" s="953"/>
      <c r="C128" s="953"/>
      <c r="D128" s="953"/>
      <c r="E128" s="953"/>
      <c r="F128" s="953"/>
      <c r="G128" s="953"/>
      <c r="H128" s="953"/>
      <c r="I128" s="953"/>
      <c r="J128" s="953"/>
      <c r="K128" s="953"/>
      <c r="L128" s="953"/>
      <c r="M128" s="953"/>
      <c r="N128" s="953"/>
      <c r="O128" s="953"/>
      <c r="P128" s="953"/>
    </row>
    <row r="129">
      <c r="A129" s="953"/>
      <c r="B129" s="953"/>
      <c r="C129" s="953"/>
      <c r="D129" s="953"/>
      <c r="E129" s="953"/>
      <c r="F129" s="953"/>
      <c r="G129" s="953"/>
      <c r="H129" s="953"/>
      <c r="I129" s="953"/>
      <c r="J129" s="953"/>
      <c r="K129" s="953"/>
      <c r="L129" s="953"/>
      <c r="M129" s="953"/>
      <c r="N129" s="953"/>
      <c r="O129" s="953"/>
      <c r="P129" s="953"/>
    </row>
    <row r="130">
      <c r="A130" s="953"/>
      <c r="B130" s="953"/>
      <c r="C130" s="953"/>
      <c r="D130" s="953"/>
      <c r="E130" s="953"/>
      <c r="F130" s="953"/>
      <c r="G130" s="953"/>
      <c r="H130" s="953"/>
      <c r="I130" s="953"/>
      <c r="J130" s="953"/>
      <c r="K130" s="953"/>
      <c r="L130" s="953"/>
      <c r="M130" s="953"/>
      <c r="N130" s="953"/>
      <c r="O130" s="953"/>
      <c r="P130" s="953"/>
    </row>
    <row r="131">
      <c r="A131" s="953"/>
      <c r="B131" s="953"/>
      <c r="C131" s="953"/>
      <c r="D131" s="953"/>
      <c r="E131" s="953"/>
      <c r="F131" s="953"/>
      <c r="G131" s="953"/>
      <c r="H131" s="953"/>
      <c r="I131" s="953"/>
      <c r="J131" s="953"/>
      <c r="K131" s="953"/>
      <c r="L131" s="953"/>
      <c r="M131" s="953"/>
      <c r="N131" s="953"/>
      <c r="O131" s="953"/>
      <c r="P131" s="953"/>
    </row>
    <row r="132">
      <c r="A132" s="953"/>
      <c r="B132" s="953"/>
      <c r="C132" s="953"/>
      <c r="D132" s="953"/>
      <c r="E132" s="953"/>
      <c r="F132" s="953"/>
      <c r="G132" s="953"/>
      <c r="H132" s="953"/>
      <c r="I132" s="953"/>
      <c r="J132" s="953"/>
      <c r="K132" s="953"/>
      <c r="L132" s="953"/>
      <c r="M132" s="953"/>
      <c r="N132" s="953"/>
      <c r="O132" s="953"/>
      <c r="P132" s="953"/>
    </row>
    <row r="133">
      <c r="A133" s="953"/>
      <c r="B133" s="953"/>
      <c r="C133" s="953"/>
      <c r="D133" s="953"/>
      <c r="E133" s="953"/>
      <c r="F133" s="953"/>
      <c r="G133" s="953"/>
      <c r="H133" s="953"/>
      <c r="I133" s="953"/>
      <c r="J133" s="953"/>
      <c r="K133" s="953"/>
      <c r="L133" s="953"/>
      <c r="M133" s="953"/>
      <c r="N133" s="953"/>
      <c r="O133" s="953"/>
      <c r="P133" s="953"/>
    </row>
    <row r="134">
      <c r="A134" s="953"/>
      <c r="B134" s="953"/>
      <c r="C134" s="953"/>
      <c r="D134" s="953"/>
      <c r="E134" s="953"/>
      <c r="F134" s="953"/>
      <c r="G134" s="953"/>
      <c r="H134" s="953"/>
      <c r="I134" s="953"/>
      <c r="J134" s="953"/>
      <c r="K134" s="953"/>
      <c r="L134" s="953"/>
      <c r="M134" s="953"/>
      <c r="N134" s="953"/>
      <c r="O134" s="953"/>
      <c r="P134" s="953"/>
    </row>
    <row r="135">
      <c r="A135" s="953"/>
      <c r="B135" s="953"/>
      <c r="C135" s="953"/>
      <c r="D135" s="953"/>
      <c r="E135" s="953"/>
      <c r="F135" s="953"/>
      <c r="G135" s="953"/>
      <c r="H135" s="953"/>
      <c r="I135" s="953"/>
      <c r="J135" s="953"/>
      <c r="K135" s="953"/>
      <c r="L135" s="953"/>
      <c r="M135" s="953"/>
      <c r="N135" s="953"/>
      <c r="O135" s="953"/>
      <c r="P135" s="953"/>
    </row>
    <row r="136">
      <c r="A136" s="953"/>
      <c r="B136" s="953"/>
      <c r="C136" s="953"/>
      <c r="D136" s="953"/>
      <c r="E136" s="953"/>
      <c r="F136" s="953"/>
      <c r="G136" s="953"/>
      <c r="H136" s="953"/>
      <c r="I136" s="953"/>
      <c r="J136" s="953"/>
      <c r="K136" s="953"/>
      <c r="L136" s="953"/>
      <c r="M136" s="953"/>
      <c r="N136" s="953"/>
      <c r="O136" s="953"/>
      <c r="P136" s="953"/>
    </row>
    <row r="137">
      <c r="A137" s="953"/>
      <c r="B137" s="953"/>
      <c r="C137" s="953"/>
      <c r="D137" s="953"/>
      <c r="E137" s="953"/>
      <c r="F137" s="953"/>
      <c r="G137" s="953"/>
      <c r="H137" s="953"/>
      <c r="I137" s="953"/>
      <c r="J137" s="953"/>
      <c r="K137" s="953"/>
      <c r="L137" s="953"/>
      <c r="M137" s="953"/>
      <c r="N137" s="953"/>
      <c r="O137" s="953"/>
      <c r="P137" s="953"/>
    </row>
    <row r="138">
      <c r="A138" s="953"/>
      <c r="B138" s="953"/>
      <c r="C138" s="953"/>
      <c r="D138" s="953"/>
      <c r="E138" s="953"/>
      <c r="F138" s="953"/>
      <c r="G138" s="953"/>
      <c r="H138" s="953"/>
      <c r="I138" s="953"/>
      <c r="J138" s="953"/>
      <c r="K138" s="953"/>
      <c r="L138" s="953"/>
      <c r="M138" s="953"/>
      <c r="N138" s="953"/>
      <c r="O138" s="953"/>
      <c r="P138" s="953"/>
    </row>
    <row r="139">
      <c r="A139" s="953"/>
      <c r="B139" s="953"/>
      <c r="C139" s="953"/>
      <c r="D139" s="953"/>
      <c r="E139" s="953"/>
      <c r="F139" s="953"/>
      <c r="G139" s="953"/>
      <c r="H139" s="953"/>
      <c r="I139" s="953"/>
      <c r="J139" s="953"/>
      <c r="K139" s="953"/>
      <c r="L139" s="953"/>
      <c r="M139" s="953"/>
      <c r="N139" s="953"/>
      <c r="O139" s="953"/>
      <c r="P139" s="953"/>
    </row>
    <row r="140">
      <c r="A140" s="953"/>
      <c r="B140" s="953"/>
      <c r="C140" s="953"/>
      <c r="D140" s="953"/>
      <c r="E140" s="953"/>
      <c r="F140" s="953"/>
      <c r="G140" s="953"/>
      <c r="H140" s="953"/>
      <c r="I140" s="953"/>
      <c r="J140" s="953"/>
      <c r="K140" s="953"/>
      <c r="L140" s="953"/>
      <c r="M140" s="953"/>
      <c r="N140" s="953"/>
      <c r="O140" s="953"/>
      <c r="P140" s="953"/>
    </row>
    <row r="141">
      <c r="A141" s="953"/>
      <c r="B141" s="953"/>
      <c r="C141" s="953"/>
      <c r="D141" s="953"/>
      <c r="E141" s="953"/>
      <c r="F141" s="953"/>
      <c r="G141" s="953"/>
      <c r="H141" s="953"/>
      <c r="I141" s="953"/>
      <c r="J141" s="953"/>
      <c r="K141" s="953"/>
      <c r="L141" s="953"/>
      <c r="M141" s="953"/>
      <c r="N141" s="953"/>
      <c r="O141" s="953"/>
      <c r="P141" s="953"/>
    </row>
    <row r="142">
      <c r="A142" s="953"/>
      <c r="B142" s="953"/>
      <c r="C142" s="953"/>
      <c r="D142" s="953"/>
      <c r="E142" s="953"/>
      <c r="F142" s="953"/>
      <c r="G142" s="953"/>
      <c r="H142" s="953"/>
      <c r="I142" s="953"/>
      <c r="J142" s="953"/>
      <c r="K142" s="953"/>
      <c r="L142" s="953"/>
      <c r="M142" s="953"/>
      <c r="N142" s="953"/>
      <c r="O142" s="953"/>
      <c r="P142" s="953"/>
    </row>
    <row r="143">
      <c r="A143" s="953"/>
      <c r="B143" s="953"/>
      <c r="C143" s="953"/>
      <c r="D143" s="953"/>
      <c r="E143" s="953"/>
      <c r="F143" s="953"/>
      <c r="G143" s="953"/>
      <c r="H143" s="953"/>
      <c r="I143" s="953"/>
      <c r="J143" s="953"/>
      <c r="K143" s="953"/>
      <c r="L143" s="953"/>
      <c r="M143" s="953"/>
      <c r="N143" s="953"/>
      <c r="O143" s="953"/>
      <c r="P143" s="953"/>
    </row>
    <row r="144">
      <c r="A144" s="953"/>
      <c r="B144" s="953"/>
      <c r="C144" s="953"/>
      <c r="D144" s="953"/>
      <c r="E144" s="953"/>
      <c r="F144" s="953"/>
      <c r="G144" s="953"/>
      <c r="H144" s="953"/>
      <c r="I144" s="953"/>
      <c r="J144" s="953"/>
      <c r="K144" s="953"/>
      <c r="L144" s="953"/>
      <c r="M144" s="953"/>
      <c r="N144" s="953"/>
      <c r="O144" s="953"/>
      <c r="P144" s="953"/>
    </row>
    <row r="145">
      <c r="A145" s="953"/>
      <c r="B145" s="953"/>
      <c r="C145" s="953"/>
      <c r="D145" s="953"/>
      <c r="E145" s="953"/>
      <c r="F145" s="953"/>
      <c r="G145" s="953"/>
      <c r="H145" s="953"/>
      <c r="I145" s="953"/>
      <c r="J145" s="953"/>
      <c r="K145" s="953"/>
      <c r="L145" s="953"/>
      <c r="M145" s="953"/>
      <c r="N145" s="953"/>
      <c r="O145" s="953"/>
      <c r="P145" s="953"/>
    </row>
    <row r="146">
      <c r="A146" s="953"/>
      <c r="B146" s="953"/>
      <c r="C146" s="953"/>
      <c r="D146" s="953"/>
      <c r="E146" s="953"/>
      <c r="F146" s="953"/>
      <c r="G146" s="953"/>
      <c r="H146" s="953"/>
      <c r="I146" s="953"/>
      <c r="J146" s="953"/>
      <c r="K146" s="953"/>
      <c r="L146" s="953"/>
      <c r="M146" s="953"/>
      <c r="N146" s="953"/>
      <c r="O146" s="953"/>
      <c r="P146" s="953"/>
    </row>
    <row r="147">
      <c r="A147" s="953"/>
      <c r="B147" s="953"/>
      <c r="C147" s="953"/>
      <c r="D147" s="953"/>
      <c r="E147" s="953"/>
      <c r="F147" s="953"/>
      <c r="G147" s="953"/>
      <c r="H147" s="953"/>
      <c r="I147" s="953"/>
      <c r="J147" s="953"/>
      <c r="K147" s="953"/>
      <c r="L147" s="953"/>
      <c r="M147" s="953"/>
      <c r="N147" s="953"/>
      <c r="O147" s="953"/>
      <c r="P147" s="953"/>
    </row>
    <row r="148">
      <c r="A148" s="953"/>
      <c r="B148" s="953"/>
      <c r="C148" s="953"/>
      <c r="D148" s="953"/>
      <c r="E148" s="953"/>
      <c r="F148" s="953"/>
      <c r="G148" s="953"/>
      <c r="H148" s="953"/>
      <c r="I148" s="953"/>
      <c r="J148" s="953"/>
      <c r="K148" s="953"/>
      <c r="L148" s="953"/>
      <c r="M148" s="953"/>
      <c r="N148" s="953"/>
      <c r="O148" s="953"/>
      <c r="P148" s="953"/>
    </row>
    <row r="149">
      <c r="A149" s="953"/>
      <c r="B149" s="953"/>
      <c r="C149" s="953"/>
      <c r="D149" s="953"/>
      <c r="E149" s="953"/>
      <c r="F149" s="953"/>
      <c r="G149" s="953"/>
      <c r="H149" s="953"/>
      <c r="I149" s="953"/>
      <c r="J149" s="953"/>
      <c r="K149" s="953"/>
      <c r="L149" s="953"/>
      <c r="M149" s="953"/>
      <c r="N149" s="953"/>
      <c r="O149" s="953"/>
      <c r="P149" s="953"/>
    </row>
    <row r="150">
      <c r="A150" s="953"/>
      <c r="B150" s="953"/>
      <c r="C150" s="953"/>
      <c r="D150" s="953"/>
      <c r="E150" s="953"/>
      <c r="F150" s="953"/>
      <c r="G150" s="953"/>
      <c r="H150" s="953"/>
      <c r="I150" s="953"/>
      <c r="J150" s="953"/>
      <c r="K150" s="953"/>
      <c r="L150" s="953"/>
      <c r="M150" s="953"/>
      <c r="N150" s="953"/>
      <c r="O150" s="953"/>
      <c r="P150" s="953"/>
    </row>
    <row r="151">
      <c r="A151" s="953"/>
      <c r="B151" s="953"/>
      <c r="C151" s="953"/>
      <c r="D151" s="953"/>
      <c r="E151" s="953"/>
      <c r="F151" s="953"/>
      <c r="G151" s="953"/>
      <c r="H151" s="953"/>
      <c r="I151" s="953"/>
      <c r="J151" s="953"/>
      <c r="K151" s="953"/>
      <c r="L151" s="953"/>
      <c r="M151" s="953"/>
      <c r="N151" s="953"/>
      <c r="O151" s="953"/>
      <c r="P151" s="953"/>
    </row>
    <row r="152">
      <c r="A152" s="953"/>
      <c r="B152" s="953"/>
      <c r="C152" s="953"/>
      <c r="D152" s="953"/>
      <c r="E152" s="953"/>
      <c r="F152" s="953"/>
      <c r="G152" s="953"/>
      <c r="H152" s="953"/>
      <c r="I152" s="953"/>
      <c r="J152" s="953"/>
      <c r="K152" s="953"/>
      <c r="L152" s="953"/>
      <c r="M152" s="953"/>
      <c r="N152" s="953"/>
      <c r="O152" s="953"/>
      <c r="P152" s="953"/>
    </row>
    <row r="153">
      <c r="A153" s="953"/>
      <c r="B153" s="953"/>
      <c r="C153" s="953"/>
      <c r="D153" s="953"/>
      <c r="E153" s="953"/>
      <c r="F153" s="953"/>
      <c r="G153" s="953"/>
      <c r="H153" s="953"/>
      <c r="I153" s="953"/>
      <c r="J153" s="953"/>
      <c r="K153" s="953"/>
      <c r="L153" s="953"/>
      <c r="M153" s="953"/>
      <c r="N153" s="953"/>
      <c r="O153" s="953"/>
      <c r="P153" s="953"/>
    </row>
    <row r="154">
      <c r="A154" s="953"/>
      <c r="B154" s="953"/>
      <c r="C154" s="953"/>
      <c r="D154" s="953"/>
      <c r="E154" s="953"/>
      <c r="F154" s="953"/>
      <c r="G154" s="953"/>
      <c r="H154" s="953"/>
      <c r="I154" s="953"/>
      <c r="J154" s="953"/>
      <c r="K154" s="953"/>
      <c r="L154" s="953"/>
      <c r="M154" s="953"/>
      <c r="N154" s="953"/>
      <c r="O154" s="953"/>
      <c r="P154" s="953"/>
    </row>
    <row r="155">
      <c r="A155" s="953"/>
      <c r="B155" s="953"/>
      <c r="C155" s="953"/>
      <c r="D155" s="953"/>
      <c r="E155" s="953"/>
      <c r="F155" s="953"/>
      <c r="G155" s="953"/>
      <c r="H155" s="953"/>
      <c r="I155" s="953"/>
      <c r="J155" s="953"/>
      <c r="K155" s="953"/>
      <c r="L155" s="953"/>
      <c r="M155" s="953"/>
      <c r="N155" s="953"/>
      <c r="O155" s="953"/>
      <c r="P155" s="953"/>
    </row>
    <row r="156">
      <c r="A156" s="953"/>
      <c r="B156" s="953"/>
      <c r="C156" s="953"/>
      <c r="D156" s="953"/>
      <c r="E156" s="953"/>
      <c r="F156" s="953"/>
      <c r="G156" s="953"/>
      <c r="H156" s="953"/>
      <c r="I156" s="953"/>
      <c r="J156" s="953"/>
      <c r="K156" s="953"/>
      <c r="L156" s="953"/>
      <c r="M156" s="953"/>
      <c r="N156" s="953"/>
      <c r="O156" s="953"/>
      <c r="P156" s="953"/>
    </row>
    <row r="157">
      <c r="A157" s="953"/>
      <c r="B157" s="953"/>
      <c r="C157" s="953"/>
      <c r="D157" s="953"/>
      <c r="E157" s="953"/>
      <c r="F157" s="953"/>
      <c r="G157" s="953"/>
      <c r="H157" s="953"/>
      <c r="I157" s="953"/>
      <c r="J157" s="953"/>
      <c r="K157" s="953"/>
      <c r="L157" s="953"/>
      <c r="M157" s="953"/>
      <c r="N157" s="953"/>
      <c r="O157" s="953"/>
      <c r="P157" s="953"/>
    </row>
    <row r="158">
      <c r="A158" s="953"/>
      <c r="B158" s="953"/>
      <c r="C158" s="953"/>
      <c r="D158" s="953"/>
      <c r="E158" s="953"/>
      <c r="F158" s="953"/>
      <c r="G158" s="953"/>
      <c r="H158" s="953"/>
      <c r="I158" s="953"/>
      <c r="J158" s="953"/>
      <c r="K158" s="953"/>
      <c r="L158" s="953"/>
      <c r="M158" s="953"/>
      <c r="N158" s="953"/>
      <c r="O158" s="953"/>
      <c r="P158" s="953"/>
    </row>
    <row r="159">
      <c r="A159" s="953"/>
      <c r="B159" s="953"/>
      <c r="C159" s="953"/>
      <c r="D159" s="953"/>
      <c r="E159" s="953"/>
      <c r="F159" s="953"/>
      <c r="G159" s="953"/>
      <c r="H159" s="953"/>
      <c r="I159" s="953"/>
      <c r="J159" s="953"/>
      <c r="K159" s="953"/>
      <c r="L159" s="953"/>
      <c r="M159" s="953"/>
      <c r="N159" s="953"/>
      <c r="O159" s="953"/>
      <c r="P159" s="953"/>
    </row>
    <row r="160">
      <c r="A160" s="953"/>
      <c r="B160" s="953"/>
      <c r="C160" s="953"/>
      <c r="D160" s="953"/>
      <c r="E160" s="953"/>
      <c r="F160" s="953"/>
      <c r="G160" s="953"/>
      <c r="H160" s="953"/>
      <c r="I160" s="953"/>
      <c r="J160" s="953"/>
      <c r="K160" s="953"/>
      <c r="L160" s="953"/>
      <c r="M160" s="953"/>
      <c r="N160" s="953"/>
      <c r="O160" s="953"/>
      <c r="P160" s="953"/>
    </row>
    <row r="161">
      <c r="A161" s="953"/>
      <c r="B161" s="953"/>
      <c r="C161" s="953"/>
      <c r="D161" s="953"/>
      <c r="E161" s="953"/>
      <c r="F161" s="953"/>
      <c r="G161" s="953"/>
      <c r="H161" s="953"/>
      <c r="I161" s="953"/>
      <c r="J161" s="953"/>
      <c r="K161" s="953"/>
      <c r="L161" s="953"/>
      <c r="M161" s="953"/>
      <c r="N161" s="953"/>
      <c r="O161" s="953"/>
      <c r="P161" s="953"/>
    </row>
    <row r="162">
      <c r="A162" s="953"/>
      <c r="B162" s="953"/>
      <c r="C162" s="953"/>
      <c r="D162" s="953"/>
      <c r="E162" s="953"/>
      <c r="F162" s="953"/>
      <c r="G162" s="953"/>
      <c r="H162" s="953"/>
      <c r="I162" s="953"/>
      <c r="J162" s="953"/>
      <c r="K162" s="953"/>
      <c r="L162" s="953"/>
      <c r="M162" s="953"/>
      <c r="N162" s="953"/>
      <c r="O162" s="953"/>
      <c r="P162" s="953"/>
    </row>
    <row r="163">
      <c r="A163" s="953"/>
      <c r="B163" s="953"/>
      <c r="C163" s="953"/>
      <c r="D163" s="953"/>
      <c r="E163" s="953"/>
      <c r="F163" s="953"/>
      <c r="G163" s="953"/>
      <c r="H163" s="953"/>
      <c r="I163" s="953"/>
      <c r="J163" s="953"/>
      <c r="K163" s="953"/>
      <c r="L163" s="953"/>
      <c r="M163" s="953"/>
      <c r="N163" s="953"/>
      <c r="O163" s="953"/>
      <c r="P163" s="953"/>
    </row>
    <row r="164">
      <c r="A164" s="953"/>
      <c r="B164" s="953"/>
      <c r="C164" s="953"/>
      <c r="D164" s="953"/>
      <c r="E164" s="953"/>
      <c r="F164" s="953"/>
      <c r="G164" s="953"/>
      <c r="H164" s="953"/>
      <c r="I164" s="953"/>
      <c r="J164" s="953"/>
      <c r="K164" s="953"/>
      <c r="L164" s="953"/>
      <c r="M164" s="953"/>
      <c r="N164" s="953"/>
      <c r="O164" s="953"/>
      <c r="P164" s="953"/>
    </row>
    <row r="165">
      <c r="A165" s="953"/>
      <c r="B165" s="953"/>
      <c r="C165" s="953"/>
      <c r="D165" s="953"/>
      <c r="E165" s="953"/>
      <c r="F165" s="953"/>
      <c r="G165" s="953"/>
      <c r="H165" s="953"/>
      <c r="I165" s="953"/>
      <c r="J165" s="953"/>
      <c r="K165" s="953"/>
      <c r="L165" s="953"/>
      <c r="M165" s="953"/>
      <c r="N165" s="953"/>
      <c r="O165" s="953"/>
      <c r="P165" s="953"/>
    </row>
    <row r="166">
      <c r="A166" s="953"/>
      <c r="B166" s="953"/>
      <c r="C166" s="953"/>
      <c r="D166" s="953"/>
      <c r="E166" s="953"/>
      <c r="F166" s="953"/>
      <c r="G166" s="953"/>
      <c r="H166" s="953"/>
      <c r="I166" s="953"/>
      <c r="J166" s="953"/>
      <c r="K166" s="953"/>
      <c r="L166" s="953"/>
      <c r="M166" s="953"/>
      <c r="N166" s="953"/>
      <c r="O166" s="953"/>
      <c r="P166" s="953"/>
    </row>
    <row r="167">
      <c r="A167" s="953"/>
      <c r="B167" s="953"/>
      <c r="C167" s="953"/>
      <c r="D167" s="953"/>
      <c r="E167" s="953"/>
      <c r="F167" s="953"/>
      <c r="G167" s="953"/>
      <c r="H167" s="953"/>
      <c r="I167" s="953"/>
      <c r="J167" s="953"/>
      <c r="K167" s="953"/>
      <c r="L167" s="953"/>
      <c r="M167" s="953"/>
      <c r="N167" s="953"/>
      <c r="O167" s="953"/>
      <c r="P167" s="953"/>
    </row>
    <row r="168">
      <c r="A168" s="953"/>
      <c r="B168" s="953"/>
      <c r="C168" s="953"/>
      <c r="D168" s="953"/>
      <c r="E168" s="953"/>
      <c r="F168" s="953"/>
      <c r="G168" s="953"/>
      <c r="H168" s="953"/>
      <c r="I168" s="953"/>
      <c r="J168" s="953"/>
      <c r="K168" s="953"/>
      <c r="L168" s="953"/>
      <c r="M168" s="953"/>
      <c r="N168" s="953"/>
      <c r="O168" s="953"/>
      <c r="P168" s="953"/>
    </row>
    <row r="169">
      <c r="A169" s="953"/>
      <c r="B169" s="953"/>
      <c r="C169" s="953"/>
      <c r="D169" s="953"/>
      <c r="E169" s="953"/>
      <c r="F169" s="953"/>
      <c r="G169" s="953"/>
      <c r="H169" s="953"/>
      <c r="I169" s="953"/>
      <c r="J169" s="953"/>
      <c r="K169" s="953"/>
      <c r="L169" s="953"/>
      <c r="M169" s="953"/>
      <c r="N169" s="953"/>
      <c r="O169" s="953"/>
      <c r="P169" s="953"/>
    </row>
    <row r="170">
      <c r="A170" s="953"/>
      <c r="B170" s="953"/>
      <c r="C170" s="953"/>
      <c r="D170" s="953"/>
      <c r="E170" s="953"/>
      <c r="F170" s="953"/>
      <c r="G170" s="953"/>
      <c r="H170" s="953"/>
      <c r="I170" s="953"/>
      <c r="J170" s="953"/>
      <c r="K170" s="953"/>
      <c r="L170" s="953"/>
      <c r="M170" s="953"/>
      <c r="N170" s="953"/>
      <c r="O170" s="953"/>
      <c r="P170" s="953"/>
    </row>
    <row r="171">
      <c r="A171" s="953"/>
      <c r="B171" s="953"/>
      <c r="C171" s="953"/>
      <c r="D171" s="953"/>
      <c r="E171" s="953"/>
      <c r="F171" s="953"/>
      <c r="G171" s="953"/>
      <c r="H171" s="953"/>
      <c r="I171" s="953"/>
      <c r="J171" s="953"/>
      <c r="K171" s="953"/>
      <c r="L171" s="953"/>
      <c r="M171" s="953"/>
      <c r="N171" s="953"/>
      <c r="O171" s="953"/>
      <c r="P171" s="953"/>
    </row>
    <row r="172">
      <c r="A172" s="953"/>
      <c r="B172" s="953"/>
      <c r="C172" s="953"/>
      <c r="D172" s="953"/>
      <c r="E172" s="953"/>
      <c r="F172" s="953"/>
      <c r="G172" s="953"/>
      <c r="H172" s="953"/>
      <c r="I172" s="953"/>
      <c r="J172" s="953"/>
      <c r="K172" s="953"/>
      <c r="L172" s="953"/>
      <c r="M172" s="953"/>
      <c r="N172" s="953"/>
      <c r="O172" s="953"/>
      <c r="P172" s="953"/>
    </row>
    <row r="173">
      <c r="A173" s="953"/>
      <c r="B173" s="953"/>
      <c r="C173" s="953"/>
      <c r="D173" s="953"/>
      <c r="E173" s="953"/>
      <c r="F173" s="953"/>
      <c r="G173" s="953"/>
      <c r="H173" s="953"/>
      <c r="I173" s="953"/>
      <c r="J173" s="953"/>
      <c r="K173" s="953"/>
      <c r="L173" s="953"/>
      <c r="M173" s="953"/>
      <c r="N173" s="953"/>
      <c r="O173" s="953"/>
      <c r="P173" s="953"/>
    </row>
    <row r="174">
      <c r="A174" s="953"/>
      <c r="B174" s="953"/>
      <c r="C174" s="953"/>
      <c r="D174" s="953"/>
      <c r="E174" s="953"/>
      <c r="F174" s="953"/>
      <c r="G174" s="953"/>
      <c r="H174" s="953"/>
      <c r="I174" s="953"/>
      <c r="J174" s="953"/>
      <c r="K174" s="953"/>
      <c r="L174" s="953"/>
      <c r="M174" s="953"/>
      <c r="N174" s="953"/>
      <c r="O174" s="953"/>
      <c r="P174" s="953"/>
    </row>
    <row r="175">
      <c r="A175" s="953"/>
      <c r="B175" s="953"/>
      <c r="C175" s="953"/>
      <c r="D175" s="953"/>
      <c r="E175" s="953"/>
      <c r="F175" s="953"/>
      <c r="G175" s="953"/>
      <c r="H175" s="953"/>
      <c r="I175" s="953"/>
      <c r="J175" s="953"/>
      <c r="K175" s="953"/>
      <c r="L175" s="953"/>
      <c r="M175" s="953"/>
      <c r="N175" s="953"/>
      <c r="O175" s="953"/>
      <c r="P175" s="953"/>
    </row>
    <row r="176">
      <c r="A176" s="953"/>
      <c r="B176" s="953"/>
      <c r="C176" s="953"/>
      <c r="D176" s="953"/>
      <c r="E176" s="953"/>
      <c r="F176" s="953"/>
      <c r="G176" s="953"/>
      <c r="H176" s="953"/>
      <c r="I176" s="953"/>
      <c r="J176" s="953"/>
      <c r="K176" s="953"/>
      <c r="L176" s="953"/>
      <c r="M176" s="953"/>
      <c r="N176" s="953"/>
      <c r="O176" s="953"/>
      <c r="P176" s="953"/>
    </row>
    <row r="177">
      <c r="A177" s="953"/>
      <c r="B177" s="953"/>
      <c r="C177" s="953"/>
      <c r="D177" s="953"/>
      <c r="E177" s="953"/>
      <c r="F177" s="953"/>
      <c r="G177" s="953"/>
      <c r="H177" s="953"/>
      <c r="I177" s="953"/>
      <c r="J177" s="953"/>
      <c r="K177" s="953"/>
      <c r="L177" s="953"/>
      <c r="M177" s="953"/>
      <c r="N177" s="953"/>
      <c r="O177" s="953"/>
      <c r="P177" s="953"/>
    </row>
    <row r="178">
      <c r="A178" s="953"/>
      <c r="B178" s="953"/>
      <c r="C178" s="953"/>
      <c r="D178" s="953"/>
      <c r="E178" s="953"/>
      <c r="F178" s="953"/>
      <c r="G178" s="953"/>
      <c r="H178" s="953"/>
      <c r="I178" s="953"/>
      <c r="J178" s="953"/>
      <c r="K178" s="953"/>
      <c r="L178" s="953"/>
      <c r="M178" s="953"/>
      <c r="N178" s="953"/>
      <c r="O178" s="953"/>
      <c r="P178" s="953"/>
    </row>
    <row r="179">
      <c r="A179" s="953"/>
      <c r="B179" s="953"/>
      <c r="C179" s="953"/>
      <c r="D179" s="953"/>
      <c r="E179" s="953"/>
      <c r="F179" s="953"/>
      <c r="G179" s="953"/>
      <c r="H179" s="953"/>
      <c r="I179" s="953"/>
      <c r="J179" s="953"/>
      <c r="K179" s="953"/>
      <c r="L179" s="953"/>
      <c r="M179" s="953"/>
      <c r="N179" s="953"/>
      <c r="O179" s="953"/>
      <c r="P179" s="953"/>
    </row>
    <row r="180">
      <c r="A180" s="953"/>
      <c r="B180" s="953"/>
      <c r="C180" s="953"/>
      <c r="D180" s="953"/>
      <c r="E180" s="953"/>
      <c r="F180" s="953"/>
      <c r="G180" s="953"/>
      <c r="H180" s="953"/>
      <c r="I180" s="953"/>
      <c r="J180" s="953"/>
      <c r="K180" s="953"/>
      <c r="L180" s="953"/>
      <c r="M180" s="953"/>
      <c r="N180" s="953"/>
      <c r="O180" s="953"/>
      <c r="P180" s="953"/>
    </row>
    <row r="181">
      <c r="A181" s="953"/>
      <c r="B181" s="953"/>
      <c r="C181" s="953"/>
      <c r="D181" s="953"/>
      <c r="E181" s="953"/>
      <c r="F181" s="953"/>
      <c r="G181" s="953"/>
      <c r="H181" s="953"/>
      <c r="I181" s="953"/>
      <c r="J181" s="953"/>
      <c r="K181" s="953"/>
      <c r="L181" s="953"/>
      <c r="M181" s="953"/>
      <c r="N181" s="953"/>
      <c r="O181" s="953"/>
      <c r="P181" s="953"/>
    </row>
    <row r="182">
      <c r="A182" s="953"/>
      <c r="B182" s="953"/>
      <c r="C182" s="953"/>
      <c r="D182" s="953"/>
      <c r="E182" s="953"/>
      <c r="F182" s="953"/>
      <c r="G182" s="953"/>
      <c r="H182" s="953"/>
      <c r="I182" s="953"/>
      <c r="J182" s="953"/>
      <c r="K182" s="953"/>
      <c r="L182" s="953"/>
      <c r="M182" s="953"/>
      <c r="N182" s="953"/>
      <c r="O182" s="953"/>
      <c r="P182" s="953"/>
    </row>
    <row r="183">
      <c r="A183" s="953"/>
      <c r="B183" s="953"/>
      <c r="C183" s="953"/>
      <c r="D183" s="953"/>
      <c r="E183" s="953"/>
      <c r="F183" s="953"/>
      <c r="G183" s="953"/>
      <c r="H183" s="953"/>
      <c r="I183" s="953"/>
      <c r="J183" s="953"/>
      <c r="K183" s="953"/>
      <c r="L183" s="953"/>
      <c r="M183" s="953"/>
      <c r="N183" s="953"/>
      <c r="O183" s="953"/>
      <c r="P183" s="953"/>
    </row>
    <row r="184">
      <c r="A184" s="953"/>
      <c r="B184" s="953"/>
      <c r="C184" s="953"/>
      <c r="D184" s="953"/>
      <c r="E184" s="953"/>
      <c r="F184" s="953"/>
      <c r="G184" s="953"/>
      <c r="H184" s="953"/>
      <c r="I184" s="953"/>
      <c r="J184" s="953"/>
      <c r="K184" s="953"/>
      <c r="L184" s="953"/>
      <c r="M184" s="953"/>
      <c r="N184" s="953"/>
      <c r="O184" s="953"/>
      <c r="P184" s="953"/>
    </row>
    <row r="185">
      <c r="A185" s="953"/>
      <c r="B185" s="953"/>
      <c r="C185" s="953"/>
      <c r="D185" s="953"/>
      <c r="E185" s="953"/>
      <c r="F185" s="953"/>
      <c r="G185" s="953"/>
      <c r="H185" s="953"/>
      <c r="I185" s="953"/>
      <c r="J185" s="953"/>
      <c r="K185" s="953"/>
      <c r="L185" s="953"/>
      <c r="M185" s="953"/>
      <c r="N185" s="953"/>
      <c r="O185" s="953"/>
      <c r="P185" s="953"/>
    </row>
    <row r="186">
      <c r="A186" s="953"/>
      <c r="B186" s="953"/>
      <c r="C186" s="953"/>
      <c r="D186" s="953"/>
      <c r="E186" s="953"/>
      <c r="F186" s="953"/>
      <c r="G186" s="953"/>
      <c r="H186" s="953"/>
      <c r="I186" s="953"/>
      <c r="J186" s="953"/>
      <c r="K186" s="953"/>
      <c r="L186" s="953"/>
      <c r="M186" s="953"/>
      <c r="N186" s="953"/>
      <c r="O186" s="953"/>
      <c r="P186" s="953"/>
    </row>
    <row r="187">
      <c r="A187" s="953"/>
      <c r="B187" s="953"/>
      <c r="C187" s="953"/>
      <c r="D187" s="953"/>
      <c r="E187" s="953"/>
      <c r="F187" s="953"/>
      <c r="G187" s="953"/>
      <c r="H187" s="953"/>
      <c r="I187" s="953"/>
      <c r="J187" s="953"/>
      <c r="K187" s="953"/>
      <c r="L187" s="953"/>
      <c r="M187" s="953"/>
      <c r="N187" s="953"/>
      <c r="O187" s="953"/>
      <c r="P187" s="953"/>
    </row>
    <row r="188">
      <c r="A188" s="953"/>
      <c r="B188" s="953"/>
      <c r="C188" s="953"/>
      <c r="D188" s="953"/>
      <c r="E188" s="953"/>
      <c r="F188" s="953"/>
      <c r="G188" s="953"/>
      <c r="H188" s="953"/>
      <c r="I188" s="953"/>
      <c r="J188" s="953"/>
      <c r="K188" s="953"/>
      <c r="L188" s="953"/>
      <c r="M188" s="953"/>
      <c r="N188" s="953"/>
      <c r="O188" s="953"/>
      <c r="P188" s="953"/>
    </row>
    <row r="189">
      <c r="A189" s="953"/>
      <c r="B189" s="953"/>
      <c r="C189" s="953"/>
      <c r="D189" s="953"/>
      <c r="E189" s="953"/>
      <c r="F189" s="953"/>
      <c r="G189" s="953"/>
      <c r="H189" s="953"/>
      <c r="I189" s="953"/>
      <c r="J189" s="953"/>
      <c r="K189" s="953"/>
      <c r="L189" s="953"/>
      <c r="M189" s="953"/>
      <c r="N189" s="953"/>
      <c r="O189" s="953"/>
      <c r="P189" s="953"/>
    </row>
    <row r="190">
      <c r="A190" s="953"/>
      <c r="B190" s="953"/>
      <c r="C190" s="953"/>
      <c r="D190" s="953"/>
      <c r="E190" s="953"/>
      <c r="F190" s="953"/>
      <c r="G190" s="953"/>
      <c r="H190" s="953"/>
      <c r="I190" s="953"/>
      <c r="J190" s="953"/>
      <c r="K190" s="953"/>
      <c r="L190" s="953"/>
      <c r="M190" s="953"/>
      <c r="N190" s="953"/>
      <c r="O190" s="953"/>
      <c r="P190" s="953"/>
    </row>
    <row r="191">
      <c r="A191" s="953"/>
      <c r="B191" s="953"/>
      <c r="C191" s="953"/>
      <c r="D191" s="953"/>
      <c r="E191" s="953"/>
      <c r="F191" s="953"/>
      <c r="G191" s="953"/>
      <c r="H191" s="953"/>
      <c r="I191" s="953"/>
      <c r="J191" s="953"/>
      <c r="K191" s="953"/>
      <c r="L191" s="953"/>
      <c r="M191" s="953"/>
      <c r="N191" s="953"/>
      <c r="O191" s="953"/>
      <c r="P191" s="953"/>
    </row>
    <row r="192">
      <c r="A192" s="953"/>
      <c r="B192" s="953"/>
      <c r="C192" s="953"/>
      <c r="D192" s="953"/>
      <c r="E192" s="953"/>
      <c r="F192" s="953"/>
      <c r="G192" s="953"/>
      <c r="H192" s="953"/>
      <c r="I192" s="953"/>
      <c r="J192" s="953"/>
      <c r="K192" s="953"/>
      <c r="L192" s="953"/>
      <c r="M192" s="953"/>
      <c r="N192" s="953"/>
      <c r="O192" s="953"/>
      <c r="P192" s="953"/>
    </row>
    <row r="193">
      <c r="A193" s="953"/>
      <c r="B193" s="953"/>
      <c r="C193" s="953"/>
      <c r="D193" s="953"/>
      <c r="E193" s="953"/>
      <c r="F193" s="953"/>
      <c r="G193" s="953"/>
      <c r="H193" s="953"/>
      <c r="I193" s="953"/>
      <c r="J193" s="953"/>
      <c r="K193" s="953"/>
      <c r="L193" s="953"/>
      <c r="M193" s="953"/>
      <c r="N193" s="953"/>
      <c r="O193" s="953"/>
      <c r="P193" s="953"/>
    </row>
    <row r="194">
      <c r="A194" s="953"/>
      <c r="B194" s="953"/>
      <c r="C194" s="953"/>
      <c r="D194" s="953"/>
      <c r="E194" s="953"/>
      <c r="F194" s="953"/>
      <c r="G194" s="953"/>
      <c r="H194" s="953"/>
      <c r="I194" s="953"/>
      <c r="J194" s="953"/>
      <c r="K194" s="953"/>
      <c r="L194" s="953"/>
      <c r="M194" s="953"/>
      <c r="N194" s="953"/>
      <c r="O194" s="953"/>
      <c r="P194" s="953"/>
    </row>
    <row r="195">
      <c r="A195" s="953"/>
      <c r="B195" s="953"/>
      <c r="C195" s="953"/>
      <c r="D195" s="953"/>
      <c r="E195" s="953"/>
      <c r="F195" s="953"/>
      <c r="G195" s="953"/>
      <c r="H195" s="953"/>
      <c r="I195" s="953"/>
      <c r="J195" s="953"/>
      <c r="K195" s="953"/>
      <c r="L195" s="953"/>
      <c r="M195" s="953"/>
      <c r="N195" s="953"/>
      <c r="O195" s="953"/>
      <c r="P195" s="953"/>
    </row>
    <row r="196">
      <c r="A196" s="953"/>
      <c r="B196" s="953"/>
      <c r="C196" s="953"/>
      <c r="D196" s="953"/>
      <c r="E196" s="953"/>
      <c r="F196" s="953"/>
      <c r="G196" s="953"/>
      <c r="H196" s="953"/>
      <c r="I196" s="953"/>
      <c r="J196" s="953"/>
      <c r="K196" s="953"/>
      <c r="L196" s="953"/>
      <c r="M196" s="953"/>
      <c r="N196" s="953"/>
      <c r="O196" s="953"/>
      <c r="P196" s="953"/>
    </row>
    <row r="197">
      <c r="A197" s="953"/>
      <c r="B197" s="953"/>
      <c r="C197" s="953"/>
      <c r="D197" s="953"/>
      <c r="E197" s="953"/>
      <c r="F197" s="953"/>
      <c r="G197" s="953"/>
      <c r="H197" s="953"/>
      <c r="I197" s="953"/>
      <c r="J197" s="953"/>
      <c r="K197" s="953"/>
      <c r="L197" s="953"/>
      <c r="M197" s="953"/>
      <c r="N197" s="953"/>
      <c r="O197" s="953"/>
      <c r="P197" s="953"/>
    </row>
    <row r="198">
      <c r="A198" s="953"/>
      <c r="B198" s="953"/>
      <c r="C198" s="953"/>
      <c r="D198" s="953"/>
      <c r="E198" s="953"/>
      <c r="F198" s="953"/>
      <c r="G198" s="953"/>
      <c r="H198" s="953"/>
      <c r="I198" s="953"/>
      <c r="J198" s="953"/>
      <c r="K198" s="953"/>
      <c r="L198" s="953"/>
      <c r="M198" s="953"/>
      <c r="N198" s="953"/>
      <c r="O198" s="953"/>
      <c r="P198" s="953"/>
    </row>
    <row r="199">
      <c r="A199" s="953"/>
      <c r="B199" s="953"/>
      <c r="C199" s="953"/>
      <c r="D199" s="953"/>
      <c r="E199" s="953"/>
      <c r="F199" s="953"/>
      <c r="G199" s="953"/>
      <c r="H199" s="953"/>
      <c r="I199" s="953"/>
      <c r="J199" s="953"/>
      <c r="K199" s="953"/>
      <c r="L199" s="953"/>
      <c r="M199" s="953"/>
      <c r="N199" s="953"/>
      <c r="O199" s="953"/>
      <c r="P199" s="953"/>
    </row>
    <row r="200">
      <c r="A200" s="953"/>
      <c r="B200" s="953"/>
      <c r="C200" s="953"/>
      <c r="D200" s="953"/>
      <c r="E200" s="953"/>
      <c r="F200" s="953"/>
      <c r="G200" s="953"/>
      <c r="H200" s="953"/>
      <c r="I200" s="953"/>
      <c r="J200" s="953"/>
      <c r="K200" s="953"/>
      <c r="L200" s="953"/>
      <c r="M200" s="953"/>
      <c r="N200" s="953"/>
      <c r="O200" s="953"/>
      <c r="P200" s="953"/>
    </row>
    <row r="201">
      <c r="A201" s="953"/>
      <c r="B201" s="953"/>
      <c r="C201" s="953"/>
      <c r="D201" s="953"/>
      <c r="E201" s="953"/>
      <c r="F201" s="953"/>
      <c r="G201" s="953"/>
      <c r="H201" s="953"/>
      <c r="I201" s="953"/>
      <c r="J201" s="953"/>
      <c r="K201" s="953"/>
      <c r="L201" s="953"/>
      <c r="M201" s="953"/>
      <c r="N201" s="953"/>
      <c r="O201" s="953"/>
      <c r="P201" s="953"/>
    </row>
    <row r="202">
      <c r="A202" s="953"/>
      <c r="B202" s="953"/>
      <c r="C202" s="953"/>
      <c r="D202" s="953"/>
      <c r="E202" s="953"/>
      <c r="F202" s="953"/>
      <c r="G202" s="953"/>
      <c r="H202" s="953"/>
      <c r="I202" s="953"/>
      <c r="J202" s="953"/>
      <c r="K202" s="953"/>
      <c r="L202" s="953"/>
      <c r="M202" s="953"/>
      <c r="N202" s="953"/>
      <c r="O202" s="953"/>
      <c r="P202" s="953"/>
    </row>
    <row r="203">
      <c r="A203" s="953"/>
      <c r="B203" s="953"/>
      <c r="C203" s="953"/>
      <c r="D203" s="953"/>
      <c r="E203" s="953"/>
      <c r="F203" s="953"/>
      <c r="G203" s="953"/>
      <c r="H203" s="953"/>
      <c r="I203" s="953"/>
      <c r="J203" s="953"/>
      <c r="K203" s="953"/>
      <c r="L203" s="953"/>
      <c r="M203" s="953"/>
      <c r="N203" s="953"/>
      <c r="O203" s="953"/>
      <c r="P203" s="953"/>
    </row>
    <row r="204">
      <c r="A204" s="953"/>
      <c r="B204" s="953"/>
      <c r="C204" s="953"/>
      <c r="D204" s="953"/>
      <c r="E204" s="953"/>
      <c r="F204" s="953"/>
      <c r="G204" s="953"/>
      <c r="H204" s="953"/>
      <c r="I204" s="953"/>
      <c r="J204" s="953"/>
      <c r="K204" s="953"/>
      <c r="L204" s="953"/>
      <c r="M204" s="953"/>
      <c r="N204" s="953"/>
      <c r="O204" s="953"/>
      <c r="P204" s="953"/>
    </row>
    <row r="205">
      <c r="A205" s="953"/>
      <c r="B205" s="953"/>
      <c r="C205" s="953"/>
      <c r="D205" s="953"/>
      <c r="E205" s="953"/>
      <c r="F205" s="953"/>
      <c r="G205" s="953"/>
      <c r="H205" s="953"/>
      <c r="I205" s="953"/>
      <c r="J205" s="953"/>
      <c r="K205" s="953"/>
      <c r="L205" s="953"/>
      <c r="M205" s="953"/>
      <c r="N205" s="953"/>
      <c r="O205" s="953"/>
      <c r="P205" s="953"/>
    </row>
    <row r="206">
      <c r="A206" s="953"/>
      <c r="B206" s="953"/>
      <c r="C206" s="953"/>
      <c r="D206" s="953"/>
      <c r="E206" s="953"/>
      <c r="F206" s="953"/>
      <c r="G206" s="953"/>
      <c r="H206" s="953"/>
      <c r="I206" s="953"/>
      <c r="J206" s="953"/>
      <c r="K206" s="953"/>
      <c r="L206" s="953"/>
      <c r="M206" s="953"/>
      <c r="N206" s="953"/>
      <c r="O206" s="953"/>
      <c r="P206" s="953"/>
    </row>
    <row r="207">
      <c r="A207" s="953"/>
      <c r="B207" s="953"/>
      <c r="C207" s="953"/>
      <c r="D207" s="953"/>
      <c r="E207" s="953"/>
      <c r="F207" s="953"/>
      <c r="G207" s="953"/>
      <c r="H207" s="953"/>
      <c r="I207" s="953"/>
      <c r="J207" s="953"/>
      <c r="K207" s="953"/>
      <c r="L207" s="953"/>
      <c r="M207" s="953"/>
      <c r="N207" s="953"/>
      <c r="O207" s="953"/>
      <c r="P207" s="953"/>
    </row>
    <row r="208">
      <c r="A208" s="953"/>
      <c r="B208" s="953"/>
      <c r="C208" s="953"/>
      <c r="D208" s="953"/>
      <c r="E208" s="953"/>
      <c r="F208" s="953"/>
      <c r="G208" s="953"/>
      <c r="H208" s="953"/>
      <c r="I208" s="953"/>
      <c r="J208" s="953"/>
      <c r="K208" s="953"/>
      <c r="L208" s="953"/>
      <c r="M208" s="953"/>
      <c r="N208" s="953"/>
      <c r="O208" s="953"/>
      <c r="P208" s="953"/>
    </row>
    <row r="209">
      <c r="A209" s="953"/>
      <c r="B209" s="953"/>
      <c r="C209" s="953"/>
      <c r="D209" s="953"/>
      <c r="E209" s="953"/>
      <c r="F209" s="953"/>
      <c r="G209" s="953"/>
      <c r="H209" s="953"/>
      <c r="I209" s="953"/>
      <c r="J209" s="953"/>
      <c r="K209" s="953"/>
      <c r="L209" s="953"/>
      <c r="M209" s="953"/>
      <c r="N209" s="953"/>
      <c r="O209" s="953"/>
      <c r="P209" s="953"/>
    </row>
    <row r="210">
      <c r="A210" s="953"/>
      <c r="B210" s="953"/>
      <c r="C210" s="953"/>
      <c r="D210" s="953"/>
      <c r="E210" s="953"/>
      <c r="F210" s="953"/>
      <c r="G210" s="953"/>
      <c r="H210" s="953"/>
      <c r="I210" s="953"/>
      <c r="J210" s="953"/>
      <c r="K210" s="953"/>
      <c r="L210" s="953"/>
      <c r="M210" s="953"/>
      <c r="N210" s="953"/>
      <c r="O210" s="953"/>
      <c r="P210" s="953"/>
    </row>
    <row r="211">
      <c r="A211" s="953"/>
      <c r="B211" s="953"/>
      <c r="C211" s="953"/>
      <c r="D211" s="953"/>
      <c r="E211" s="953"/>
      <c r="F211" s="953"/>
      <c r="G211" s="953"/>
      <c r="H211" s="953"/>
      <c r="I211" s="953"/>
      <c r="J211" s="953"/>
      <c r="K211" s="953"/>
      <c r="L211" s="953"/>
      <c r="M211" s="953"/>
      <c r="N211" s="953"/>
      <c r="O211" s="953"/>
      <c r="P211" s="953"/>
    </row>
    <row r="212">
      <c r="A212" s="953"/>
      <c r="B212" s="953"/>
      <c r="C212" s="953"/>
      <c r="D212" s="953"/>
      <c r="E212" s="953"/>
      <c r="F212" s="953"/>
      <c r="G212" s="953"/>
      <c r="H212" s="953"/>
      <c r="I212" s="953"/>
      <c r="J212" s="953"/>
      <c r="K212" s="953"/>
      <c r="L212" s="953"/>
      <c r="M212" s="953"/>
      <c r="N212" s="953"/>
      <c r="O212" s="953"/>
      <c r="P212" s="953"/>
    </row>
    <row r="213">
      <c r="A213" s="953"/>
      <c r="B213" s="953"/>
      <c r="C213" s="953"/>
      <c r="D213" s="953"/>
      <c r="E213" s="953"/>
      <c r="F213" s="953"/>
      <c r="G213" s="953"/>
      <c r="H213" s="953"/>
      <c r="I213" s="953"/>
      <c r="J213" s="953"/>
      <c r="K213" s="953"/>
      <c r="L213" s="953"/>
      <c r="M213" s="953"/>
      <c r="N213" s="953"/>
      <c r="O213" s="953"/>
      <c r="P213" s="953"/>
    </row>
    <row r="214">
      <c r="A214" s="953"/>
      <c r="B214" s="953"/>
      <c r="C214" s="953"/>
      <c r="D214" s="953"/>
      <c r="E214" s="953"/>
      <c r="F214" s="953"/>
      <c r="G214" s="953"/>
      <c r="H214" s="953"/>
      <c r="I214" s="953"/>
      <c r="J214" s="953"/>
      <c r="K214" s="953"/>
      <c r="L214" s="953"/>
      <c r="M214" s="953"/>
      <c r="N214" s="953"/>
      <c r="O214" s="953"/>
      <c r="P214" s="953"/>
    </row>
    <row r="215">
      <c r="A215" s="953"/>
      <c r="B215" s="953"/>
      <c r="C215" s="953"/>
      <c r="D215" s="953"/>
      <c r="E215" s="953"/>
      <c r="F215" s="953"/>
      <c r="G215" s="953"/>
      <c r="H215" s="953"/>
      <c r="I215" s="953"/>
      <c r="J215" s="953"/>
      <c r="K215" s="953"/>
      <c r="L215" s="953"/>
      <c r="M215" s="953"/>
      <c r="N215" s="953"/>
      <c r="O215" s="953"/>
      <c r="P215" s="953"/>
    </row>
    <row r="216">
      <c r="A216" s="953"/>
      <c r="B216" s="953"/>
      <c r="C216" s="953"/>
      <c r="D216" s="953"/>
      <c r="E216" s="953"/>
      <c r="F216" s="953"/>
      <c r="G216" s="953"/>
      <c r="H216" s="953"/>
      <c r="I216" s="953"/>
      <c r="J216" s="953"/>
      <c r="K216" s="953"/>
      <c r="L216" s="953"/>
      <c r="M216" s="953"/>
      <c r="N216" s="953"/>
      <c r="O216" s="953"/>
      <c r="P216" s="953"/>
    </row>
    <row r="217">
      <c r="A217" s="953"/>
      <c r="B217" s="953"/>
      <c r="C217" s="953"/>
      <c r="D217" s="953"/>
      <c r="E217" s="953"/>
      <c r="F217" s="953"/>
      <c r="G217" s="953"/>
      <c r="H217" s="953"/>
      <c r="I217" s="953"/>
      <c r="J217" s="953"/>
      <c r="K217" s="953"/>
      <c r="L217" s="953"/>
      <c r="M217" s="953"/>
      <c r="N217" s="953"/>
      <c r="O217" s="953"/>
      <c r="P217" s="953"/>
    </row>
    <row r="218">
      <c r="A218" s="953"/>
      <c r="B218" s="953"/>
      <c r="C218" s="953"/>
      <c r="D218" s="953"/>
      <c r="E218" s="953"/>
      <c r="F218" s="953"/>
      <c r="G218" s="953"/>
      <c r="H218" s="953"/>
      <c r="I218" s="953"/>
      <c r="J218" s="953"/>
      <c r="K218" s="953"/>
      <c r="L218" s="953"/>
      <c r="M218" s="953"/>
      <c r="N218" s="953"/>
      <c r="O218" s="953"/>
      <c r="P218" s="953"/>
    </row>
    <row r="219">
      <c r="A219" s="953"/>
      <c r="B219" s="953"/>
      <c r="C219" s="953"/>
      <c r="D219" s="953"/>
      <c r="E219" s="953"/>
      <c r="F219" s="953"/>
      <c r="G219" s="953"/>
      <c r="H219" s="953"/>
      <c r="I219" s="953"/>
      <c r="J219" s="953"/>
      <c r="K219" s="953"/>
      <c r="L219" s="953"/>
      <c r="M219" s="953"/>
      <c r="N219" s="953"/>
      <c r="O219" s="953"/>
      <c r="P219" s="953"/>
    </row>
    <row r="220">
      <c r="A220" s="953"/>
      <c r="B220" s="953"/>
      <c r="C220" s="953"/>
      <c r="D220" s="953"/>
      <c r="E220" s="953"/>
      <c r="F220" s="953"/>
      <c r="G220" s="953"/>
      <c r="H220" s="953"/>
      <c r="I220" s="953"/>
      <c r="J220" s="953"/>
      <c r="K220" s="953"/>
      <c r="L220" s="953"/>
      <c r="M220" s="953"/>
      <c r="N220" s="953"/>
      <c r="O220" s="953"/>
      <c r="P220" s="953"/>
    </row>
    <row r="221">
      <c r="A221" s="953"/>
      <c r="B221" s="953"/>
      <c r="C221" s="953"/>
      <c r="D221" s="953"/>
      <c r="E221" s="953"/>
      <c r="F221" s="953"/>
      <c r="G221" s="953"/>
      <c r="H221" s="953"/>
      <c r="I221" s="953"/>
      <c r="J221" s="953"/>
      <c r="K221" s="953"/>
      <c r="L221" s="953"/>
      <c r="M221" s="953"/>
      <c r="N221" s="953"/>
      <c r="O221" s="953"/>
      <c r="P221" s="953"/>
    </row>
    <row r="222">
      <c r="A222" s="953"/>
      <c r="B222" s="953"/>
      <c r="C222" s="953"/>
      <c r="D222" s="953"/>
      <c r="E222" s="953"/>
      <c r="F222" s="953"/>
      <c r="G222" s="953"/>
      <c r="H222" s="953"/>
      <c r="I222" s="953"/>
      <c r="J222" s="953"/>
      <c r="K222" s="953"/>
      <c r="L222" s="953"/>
      <c r="M222" s="953"/>
      <c r="N222" s="953"/>
      <c r="O222" s="953"/>
      <c r="P222" s="953"/>
    </row>
    <row r="223">
      <c r="A223" s="953"/>
      <c r="B223" s="953"/>
      <c r="C223" s="953"/>
      <c r="D223" s="953"/>
      <c r="E223" s="953"/>
      <c r="F223" s="953"/>
      <c r="G223" s="953"/>
      <c r="H223" s="953"/>
      <c r="I223" s="953"/>
      <c r="J223" s="953"/>
      <c r="K223" s="953"/>
      <c r="L223" s="953"/>
      <c r="M223" s="953"/>
      <c r="N223" s="953"/>
      <c r="O223" s="953"/>
      <c r="P223" s="953"/>
    </row>
    <row r="224">
      <c r="A224" s="953"/>
      <c r="B224" s="953"/>
      <c r="C224" s="953"/>
      <c r="D224" s="953"/>
      <c r="E224" s="953"/>
      <c r="F224" s="953"/>
      <c r="G224" s="953"/>
      <c r="H224" s="953"/>
      <c r="I224" s="953"/>
      <c r="J224" s="953"/>
      <c r="K224" s="953"/>
      <c r="L224" s="953"/>
      <c r="M224" s="953"/>
      <c r="N224" s="953"/>
      <c r="O224" s="953"/>
      <c r="P224" s="953"/>
    </row>
    <row r="225">
      <c r="A225" s="953"/>
      <c r="B225" s="953"/>
      <c r="C225" s="953"/>
      <c r="D225" s="953"/>
      <c r="E225" s="953"/>
      <c r="F225" s="953"/>
      <c r="G225" s="953"/>
      <c r="H225" s="953"/>
      <c r="I225" s="953"/>
      <c r="J225" s="953"/>
      <c r="K225" s="953"/>
      <c r="L225" s="953"/>
      <c r="M225" s="953"/>
      <c r="N225" s="953"/>
      <c r="O225" s="953"/>
      <c r="P225" s="953"/>
    </row>
    <row r="226">
      <c r="A226" s="953"/>
      <c r="B226" s="953"/>
      <c r="C226" s="953"/>
      <c r="D226" s="953"/>
      <c r="E226" s="953"/>
      <c r="F226" s="953"/>
      <c r="G226" s="953"/>
      <c r="H226" s="953"/>
      <c r="I226" s="953"/>
      <c r="J226" s="953"/>
      <c r="K226" s="953"/>
      <c r="L226" s="953"/>
      <c r="M226" s="953"/>
      <c r="N226" s="953"/>
      <c r="O226" s="953"/>
      <c r="P226" s="953"/>
    </row>
    <row r="227">
      <c r="A227" s="953"/>
      <c r="B227" s="953"/>
      <c r="C227" s="953"/>
      <c r="D227" s="953"/>
      <c r="E227" s="953"/>
      <c r="F227" s="953"/>
      <c r="G227" s="953"/>
      <c r="H227" s="953"/>
      <c r="I227" s="953"/>
      <c r="J227" s="953"/>
      <c r="K227" s="953"/>
      <c r="L227" s="953"/>
      <c r="M227" s="953"/>
      <c r="N227" s="953"/>
      <c r="O227" s="953"/>
      <c r="P227" s="953"/>
    </row>
    <row r="228">
      <c r="A228" s="953"/>
      <c r="B228" s="953"/>
      <c r="C228" s="953"/>
      <c r="D228" s="953"/>
      <c r="E228" s="953"/>
      <c r="F228" s="953"/>
      <c r="G228" s="953"/>
      <c r="H228" s="953"/>
      <c r="I228" s="953"/>
      <c r="J228" s="953"/>
      <c r="K228" s="953"/>
      <c r="L228" s="953"/>
      <c r="M228" s="953"/>
      <c r="N228" s="953"/>
      <c r="O228" s="953"/>
      <c r="P228" s="953"/>
    </row>
    <row r="229">
      <c r="A229" s="953"/>
      <c r="B229" s="953"/>
      <c r="C229" s="953"/>
      <c r="D229" s="953"/>
      <c r="E229" s="953"/>
      <c r="F229" s="953"/>
      <c r="G229" s="953"/>
      <c r="H229" s="953"/>
      <c r="I229" s="953"/>
      <c r="J229" s="953"/>
      <c r="K229" s="953"/>
      <c r="L229" s="953"/>
      <c r="M229" s="953"/>
      <c r="N229" s="953"/>
      <c r="O229" s="953"/>
      <c r="P229" s="953"/>
    </row>
    <row r="230">
      <c r="A230" s="953"/>
      <c r="B230" s="953"/>
      <c r="C230" s="953"/>
      <c r="D230" s="953"/>
      <c r="E230" s="953"/>
      <c r="F230" s="953"/>
      <c r="G230" s="953"/>
      <c r="H230" s="953"/>
      <c r="I230" s="953"/>
      <c r="J230" s="953"/>
      <c r="K230" s="953"/>
      <c r="L230" s="953"/>
      <c r="M230" s="953"/>
      <c r="N230" s="953"/>
      <c r="O230" s="953"/>
      <c r="P230" s="953"/>
    </row>
    <row r="231">
      <c r="A231" s="953"/>
      <c r="B231" s="953"/>
      <c r="C231" s="953"/>
      <c r="D231" s="953"/>
      <c r="E231" s="953"/>
      <c r="F231" s="953"/>
      <c r="G231" s="953"/>
      <c r="H231" s="953"/>
      <c r="I231" s="953"/>
      <c r="J231" s="953"/>
      <c r="K231" s="953"/>
      <c r="L231" s="953"/>
      <c r="M231" s="953"/>
      <c r="N231" s="953"/>
      <c r="O231" s="953"/>
      <c r="P231" s="953"/>
    </row>
    <row r="232">
      <c r="A232" s="953"/>
      <c r="B232" s="953"/>
      <c r="C232" s="953"/>
      <c r="D232" s="953"/>
      <c r="E232" s="953"/>
      <c r="F232" s="953"/>
      <c r="G232" s="953"/>
      <c r="H232" s="953"/>
      <c r="I232" s="953"/>
      <c r="J232" s="953"/>
      <c r="K232" s="953"/>
      <c r="L232" s="953"/>
      <c r="M232" s="953"/>
      <c r="N232" s="953"/>
      <c r="O232" s="953"/>
      <c r="P232" s="953"/>
    </row>
    <row r="233">
      <c r="A233" s="953"/>
      <c r="B233" s="953"/>
      <c r="C233" s="953"/>
      <c r="D233" s="953"/>
      <c r="E233" s="953"/>
      <c r="F233" s="953"/>
      <c r="G233" s="953"/>
      <c r="H233" s="953"/>
      <c r="I233" s="953"/>
      <c r="J233" s="953"/>
      <c r="K233" s="953"/>
      <c r="L233" s="953"/>
      <c r="M233" s="953"/>
      <c r="N233" s="953"/>
      <c r="O233" s="953"/>
      <c r="P233" s="953"/>
    </row>
    <row r="234">
      <c r="A234" s="953"/>
      <c r="B234" s="953"/>
      <c r="C234" s="953"/>
      <c r="D234" s="953"/>
      <c r="E234" s="953"/>
      <c r="F234" s="953"/>
      <c r="G234" s="953"/>
      <c r="H234" s="953"/>
      <c r="I234" s="953"/>
      <c r="J234" s="953"/>
      <c r="K234" s="953"/>
      <c r="L234" s="953"/>
      <c r="M234" s="953"/>
      <c r="N234" s="953"/>
      <c r="O234" s="953"/>
      <c r="P234" s="953"/>
    </row>
    <row r="235">
      <c r="A235" s="953"/>
      <c r="B235" s="953"/>
      <c r="C235" s="953"/>
      <c r="D235" s="953"/>
      <c r="E235" s="953"/>
      <c r="F235" s="953"/>
      <c r="G235" s="953"/>
      <c r="H235" s="953"/>
      <c r="I235" s="953"/>
      <c r="J235" s="953"/>
      <c r="K235" s="953"/>
      <c r="L235" s="953"/>
      <c r="M235" s="953"/>
      <c r="N235" s="953"/>
      <c r="O235" s="953"/>
      <c r="P235" s="953"/>
    </row>
    <row r="236">
      <c r="A236" s="953"/>
      <c r="B236" s="953"/>
      <c r="C236" s="953"/>
      <c r="D236" s="953"/>
      <c r="E236" s="953"/>
      <c r="F236" s="953"/>
      <c r="G236" s="953"/>
      <c r="H236" s="953"/>
      <c r="I236" s="953"/>
      <c r="J236" s="953"/>
      <c r="K236" s="953"/>
      <c r="L236" s="953"/>
      <c r="M236" s="953"/>
      <c r="N236" s="953"/>
      <c r="O236" s="953"/>
      <c r="P236" s="953"/>
    </row>
    <row r="237">
      <c r="A237" s="953"/>
      <c r="B237" s="953"/>
      <c r="C237" s="953"/>
      <c r="D237" s="953"/>
      <c r="E237" s="953"/>
      <c r="F237" s="953"/>
      <c r="G237" s="953"/>
      <c r="H237" s="953"/>
      <c r="I237" s="953"/>
      <c r="J237" s="953"/>
      <c r="K237" s="953"/>
      <c r="L237" s="953"/>
      <c r="M237" s="953"/>
      <c r="N237" s="953"/>
      <c r="O237" s="953"/>
      <c r="P237" s="953"/>
    </row>
    <row r="238">
      <c r="A238" s="953"/>
      <c r="B238" s="953"/>
      <c r="C238" s="953"/>
      <c r="D238" s="953"/>
      <c r="E238" s="953"/>
      <c r="F238" s="953"/>
      <c r="G238" s="953"/>
      <c r="H238" s="953"/>
      <c r="I238" s="953"/>
      <c r="J238" s="953"/>
      <c r="K238" s="953"/>
      <c r="L238" s="953"/>
      <c r="M238" s="953"/>
      <c r="N238" s="953"/>
      <c r="O238" s="953"/>
      <c r="P238" s="953"/>
    </row>
    <row r="239">
      <c r="A239" s="953"/>
      <c r="B239" s="953"/>
      <c r="C239" s="953"/>
      <c r="D239" s="953"/>
      <c r="E239" s="953"/>
      <c r="F239" s="953"/>
      <c r="G239" s="953"/>
      <c r="H239" s="953"/>
      <c r="I239" s="953"/>
      <c r="J239" s="953"/>
      <c r="K239" s="953"/>
      <c r="L239" s="953"/>
      <c r="M239" s="953"/>
      <c r="N239" s="953"/>
      <c r="O239" s="953"/>
      <c r="P239" s="953"/>
    </row>
    <row r="240">
      <c r="A240" s="953"/>
      <c r="B240" s="953"/>
      <c r="C240" s="953"/>
      <c r="D240" s="953"/>
      <c r="E240" s="953"/>
      <c r="F240" s="953"/>
      <c r="G240" s="953"/>
      <c r="H240" s="953"/>
      <c r="I240" s="953"/>
      <c r="J240" s="953"/>
      <c r="K240" s="953"/>
      <c r="L240" s="953"/>
      <c r="M240" s="953"/>
      <c r="N240" s="953"/>
      <c r="O240" s="953"/>
      <c r="P240" s="953"/>
    </row>
    <row r="241">
      <c r="A241" s="953"/>
      <c r="B241" s="953"/>
      <c r="C241" s="953"/>
      <c r="D241" s="953"/>
      <c r="E241" s="953"/>
      <c r="F241" s="953"/>
      <c r="G241" s="953"/>
      <c r="H241" s="953"/>
      <c r="I241" s="953"/>
      <c r="J241" s="953"/>
      <c r="K241" s="953"/>
      <c r="L241" s="953"/>
      <c r="M241" s="953"/>
      <c r="N241" s="953"/>
      <c r="O241" s="953"/>
      <c r="P241" s="953"/>
    </row>
    <row r="242">
      <c r="A242" s="953"/>
      <c r="B242" s="953"/>
      <c r="C242" s="953"/>
      <c r="D242" s="953"/>
      <c r="E242" s="953"/>
      <c r="F242" s="953"/>
      <c r="G242" s="953"/>
      <c r="H242" s="953"/>
      <c r="I242" s="953"/>
      <c r="J242" s="953"/>
      <c r="K242" s="953"/>
      <c r="L242" s="953"/>
      <c r="M242" s="953"/>
      <c r="N242" s="953"/>
      <c r="O242" s="953"/>
      <c r="P242" s="953"/>
    </row>
    <row r="243">
      <c r="A243" s="953"/>
      <c r="B243" s="953"/>
      <c r="C243" s="953"/>
      <c r="D243" s="953"/>
      <c r="E243" s="953"/>
      <c r="F243" s="953"/>
      <c r="G243" s="953"/>
      <c r="H243" s="953"/>
      <c r="I243" s="953"/>
      <c r="J243" s="953"/>
      <c r="K243" s="953"/>
      <c r="L243" s="953"/>
      <c r="M243" s="953"/>
      <c r="N243" s="953"/>
      <c r="O243" s="953"/>
      <c r="P243" s="953"/>
    </row>
    <row r="244">
      <c r="A244" s="953"/>
      <c r="B244" s="953"/>
      <c r="C244" s="953"/>
      <c r="D244" s="953"/>
      <c r="E244" s="953"/>
      <c r="F244" s="953"/>
      <c r="G244" s="953"/>
      <c r="H244" s="953"/>
      <c r="I244" s="953"/>
      <c r="J244" s="953"/>
      <c r="K244" s="953"/>
      <c r="L244" s="953"/>
      <c r="M244" s="953"/>
      <c r="N244" s="953"/>
      <c r="O244" s="953"/>
      <c r="P244" s="953"/>
    </row>
    <row r="245">
      <c r="A245" s="953"/>
      <c r="B245" s="953"/>
      <c r="C245" s="953"/>
      <c r="D245" s="953"/>
      <c r="E245" s="953"/>
      <c r="F245" s="953"/>
      <c r="G245" s="953"/>
      <c r="H245" s="953"/>
      <c r="I245" s="953"/>
      <c r="J245" s="953"/>
      <c r="K245" s="953"/>
      <c r="L245" s="953"/>
      <c r="M245" s="953"/>
      <c r="N245" s="953"/>
      <c r="O245" s="953"/>
      <c r="P245" s="953"/>
    </row>
    <row r="246">
      <c r="A246" s="953"/>
      <c r="B246" s="953"/>
      <c r="C246" s="953"/>
      <c r="D246" s="953"/>
      <c r="E246" s="953"/>
      <c r="F246" s="953"/>
      <c r="G246" s="953"/>
      <c r="H246" s="953"/>
      <c r="I246" s="953"/>
      <c r="J246" s="953"/>
      <c r="K246" s="953"/>
      <c r="L246" s="953"/>
      <c r="M246" s="953"/>
      <c r="N246" s="953"/>
      <c r="O246" s="953"/>
      <c r="P246" s="953"/>
    </row>
    <row r="247">
      <c r="A247" s="953"/>
      <c r="B247" s="953"/>
      <c r="C247" s="953"/>
      <c r="D247" s="953"/>
      <c r="E247" s="953"/>
      <c r="F247" s="953"/>
      <c r="G247" s="953"/>
      <c r="H247" s="953"/>
      <c r="I247" s="953"/>
      <c r="J247" s="953"/>
      <c r="K247" s="953"/>
      <c r="L247" s="953"/>
      <c r="M247" s="953"/>
      <c r="N247" s="953"/>
      <c r="O247" s="953"/>
      <c r="P247" s="953"/>
    </row>
    <row r="248">
      <c r="A248" s="953"/>
      <c r="B248" s="953"/>
      <c r="C248" s="953"/>
      <c r="D248" s="953"/>
      <c r="E248" s="953"/>
      <c r="F248" s="953"/>
      <c r="G248" s="953"/>
      <c r="H248" s="953"/>
      <c r="I248" s="953"/>
      <c r="J248" s="953"/>
      <c r="K248" s="953"/>
      <c r="L248" s="953"/>
      <c r="M248" s="953"/>
      <c r="N248" s="953"/>
      <c r="O248" s="953"/>
      <c r="P248" s="953"/>
    </row>
    <row r="249">
      <c r="A249" s="953"/>
      <c r="B249" s="953"/>
      <c r="C249" s="953"/>
      <c r="D249" s="953"/>
      <c r="E249" s="953"/>
      <c r="F249" s="953"/>
      <c r="G249" s="953"/>
      <c r="H249" s="953"/>
      <c r="I249" s="953"/>
      <c r="J249" s="953"/>
      <c r="K249" s="953"/>
      <c r="L249" s="953"/>
      <c r="M249" s="953"/>
      <c r="N249" s="953"/>
      <c r="O249" s="953"/>
      <c r="P249" s="953"/>
    </row>
    <row r="250">
      <c r="A250" s="953"/>
      <c r="B250" s="953"/>
      <c r="C250" s="953"/>
      <c r="D250" s="953"/>
      <c r="E250" s="953"/>
      <c r="F250" s="953"/>
      <c r="G250" s="953"/>
      <c r="H250" s="953"/>
      <c r="I250" s="953"/>
      <c r="J250" s="953"/>
      <c r="K250" s="953"/>
      <c r="L250" s="953"/>
      <c r="M250" s="953"/>
      <c r="N250" s="953"/>
      <c r="O250" s="953"/>
      <c r="P250" s="953"/>
    </row>
    <row r="251">
      <c r="A251" s="953"/>
      <c r="B251" s="953"/>
      <c r="C251" s="953"/>
      <c r="D251" s="953"/>
      <c r="E251" s="953"/>
      <c r="F251" s="953"/>
      <c r="G251" s="953"/>
      <c r="H251" s="953"/>
      <c r="I251" s="953"/>
      <c r="J251" s="953"/>
      <c r="K251" s="953"/>
      <c r="L251" s="953"/>
      <c r="M251" s="953"/>
      <c r="N251" s="953"/>
      <c r="O251" s="953"/>
      <c r="P251" s="953"/>
    </row>
    <row r="252">
      <c r="A252" s="953"/>
      <c r="B252" s="953"/>
      <c r="C252" s="953"/>
      <c r="D252" s="953"/>
      <c r="E252" s="953"/>
      <c r="F252" s="953"/>
      <c r="G252" s="953"/>
      <c r="H252" s="953"/>
      <c r="I252" s="953"/>
      <c r="J252" s="953"/>
      <c r="K252" s="953"/>
      <c r="L252" s="953"/>
      <c r="M252" s="953"/>
      <c r="N252" s="953"/>
      <c r="O252" s="953"/>
      <c r="P252" s="953"/>
    </row>
    <row r="253">
      <c r="A253" s="953"/>
      <c r="B253" s="953"/>
      <c r="C253" s="953"/>
      <c r="D253" s="953"/>
      <c r="E253" s="953"/>
      <c r="F253" s="953"/>
      <c r="G253" s="953"/>
      <c r="H253" s="953"/>
      <c r="I253" s="953"/>
      <c r="J253" s="953"/>
      <c r="K253" s="953"/>
      <c r="L253" s="953"/>
      <c r="M253" s="953"/>
      <c r="N253" s="953"/>
      <c r="O253" s="953"/>
      <c r="P253" s="953"/>
    </row>
    <row r="254">
      <c r="A254" s="953"/>
      <c r="B254" s="953"/>
      <c r="C254" s="953"/>
      <c r="D254" s="953"/>
      <c r="E254" s="953"/>
      <c r="F254" s="953"/>
      <c r="G254" s="953"/>
      <c r="H254" s="953"/>
      <c r="I254" s="953"/>
      <c r="J254" s="953"/>
      <c r="K254" s="953"/>
      <c r="L254" s="953"/>
      <c r="M254" s="953"/>
      <c r="N254" s="953"/>
      <c r="O254" s="953"/>
      <c r="P254" s="953"/>
    </row>
    <row r="255">
      <c r="A255" s="953"/>
      <c r="B255" s="953"/>
      <c r="C255" s="953"/>
      <c r="D255" s="953"/>
      <c r="E255" s="953"/>
      <c r="F255" s="953"/>
      <c r="G255" s="953"/>
      <c r="H255" s="953"/>
      <c r="I255" s="953"/>
      <c r="J255" s="953"/>
      <c r="K255" s="953"/>
      <c r="L255" s="953"/>
      <c r="M255" s="953"/>
      <c r="N255" s="953"/>
      <c r="O255" s="953"/>
      <c r="P255" s="953"/>
    </row>
    <row r="256">
      <c r="A256" s="953"/>
      <c r="B256" s="953"/>
      <c r="C256" s="953"/>
      <c r="D256" s="953"/>
      <c r="E256" s="953"/>
      <c r="F256" s="953"/>
      <c r="G256" s="953"/>
      <c r="H256" s="953"/>
      <c r="I256" s="953"/>
      <c r="J256" s="953"/>
      <c r="K256" s="953"/>
      <c r="L256" s="953"/>
      <c r="M256" s="953"/>
      <c r="N256" s="953"/>
      <c r="O256" s="953"/>
      <c r="P256" s="953"/>
    </row>
    <row r="257">
      <c r="A257" s="953"/>
      <c r="B257" s="953"/>
      <c r="C257" s="953"/>
      <c r="D257" s="953"/>
      <c r="E257" s="953"/>
      <c r="F257" s="953"/>
      <c r="G257" s="953"/>
      <c r="H257" s="953"/>
      <c r="I257" s="953"/>
      <c r="J257" s="953"/>
      <c r="K257" s="953"/>
      <c r="L257" s="953"/>
      <c r="M257" s="953"/>
      <c r="N257" s="953"/>
      <c r="O257" s="953"/>
      <c r="P257" s="953"/>
    </row>
    <row r="258">
      <c r="A258" s="953"/>
      <c r="B258" s="953"/>
      <c r="C258" s="953"/>
      <c r="D258" s="953"/>
      <c r="E258" s="953"/>
      <c r="F258" s="953"/>
      <c r="G258" s="953"/>
      <c r="H258" s="953"/>
      <c r="I258" s="953"/>
      <c r="J258" s="953"/>
      <c r="K258" s="953"/>
      <c r="L258" s="953"/>
      <c r="M258" s="953"/>
      <c r="N258" s="953"/>
      <c r="O258" s="953"/>
      <c r="P258" s="953"/>
    </row>
    <row r="259">
      <c r="A259" s="953"/>
      <c r="B259" s="953"/>
      <c r="C259" s="953"/>
      <c r="D259" s="953"/>
      <c r="E259" s="953"/>
      <c r="F259" s="953"/>
      <c r="G259" s="953"/>
      <c r="H259" s="953"/>
      <c r="I259" s="953"/>
      <c r="J259" s="953"/>
      <c r="K259" s="953"/>
      <c r="L259" s="953"/>
      <c r="M259" s="953"/>
      <c r="N259" s="953"/>
      <c r="O259" s="953"/>
      <c r="P259" s="953"/>
    </row>
    <row r="260">
      <c r="A260" s="953"/>
      <c r="B260" s="953"/>
      <c r="C260" s="953"/>
      <c r="D260" s="953"/>
      <c r="E260" s="953"/>
      <c r="F260" s="953"/>
      <c r="G260" s="953"/>
      <c r="H260" s="953"/>
      <c r="I260" s="953"/>
      <c r="J260" s="953"/>
      <c r="K260" s="953"/>
      <c r="L260" s="953"/>
      <c r="M260" s="953"/>
      <c r="N260" s="953"/>
      <c r="O260" s="953"/>
      <c r="P260" s="953"/>
    </row>
    <row r="261">
      <c r="A261" s="953"/>
      <c r="B261" s="953"/>
      <c r="C261" s="953"/>
      <c r="D261" s="953"/>
      <c r="E261" s="953"/>
      <c r="F261" s="953"/>
      <c r="G261" s="953"/>
      <c r="H261" s="953"/>
      <c r="I261" s="953"/>
      <c r="J261" s="953"/>
      <c r="K261" s="953"/>
      <c r="L261" s="953"/>
      <c r="M261" s="953"/>
      <c r="N261" s="953"/>
      <c r="O261" s="953"/>
      <c r="P261" s="953"/>
    </row>
    <row r="262">
      <c r="A262" s="953"/>
      <c r="B262" s="953"/>
      <c r="C262" s="953"/>
      <c r="D262" s="953"/>
      <c r="E262" s="953"/>
      <c r="F262" s="953"/>
      <c r="G262" s="953"/>
      <c r="H262" s="953"/>
      <c r="I262" s="953"/>
      <c r="J262" s="953"/>
      <c r="K262" s="953"/>
      <c r="L262" s="953"/>
      <c r="M262" s="953"/>
      <c r="N262" s="953"/>
      <c r="O262" s="953"/>
      <c r="P262" s="953"/>
    </row>
    <row r="263">
      <c r="A263" s="953"/>
      <c r="B263" s="953"/>
      <c r="C263" s="953"/>
      <c r="D263" s="953"/>
      <c r="E263" s="953"/>
      <c r="F263" s="953"/>
      <c r="G263" s="953"/>
      <c r="H263" s="953"/>
      <c r="I263" s="953"/>
      <c r="J263" s="953"/>
      <c r="K263" s="953"/>
      <c r="L263" s="953"/>
      <c r="M263" s="953"/>
      <c r="N263" s="953"/>
      <c r="O263" s="953"/>
      <c r="P263" s="953"/>
    </row>
    <row r="264">
      <c r="A264" s="953"/>
      <c r="B264" s="953"/>
      <c r="C264" s="953"/>
      <c r="D264" s="953"/>
      <c r="E264" s="953"/>
      <c r="F264" s="953"/>
      <c r="G264" s="953"/>
      <c r="H264" s="953"/>
      <c r="I264" s="953"/>
      <c r="J264" s="953"/>
      <c r="K264" s="953"/>
      <c r="L264" s="953"/>
      <c r="M264" s="953"/>
      <c r="N264" s="953"/>
      <c r="O264" s="953"/>
      <c r="P264" s="953"/>
    </row>
    <row r="265">
      <c r="A265" s="953"/>
      <c r="B265" s="953"/>
      <c r="C265" s="953"/>
      <c r="D265" s="953"/>
      <c r="E265" s="953"/>
      <c r="F265" s="953"/>
      <c r="G265" s="953"/>
      <c r="H265" s="953"/>
      <c r="I265" s="953"/>
      <c r="J265" s="953"/>
      <c r="K265" s="953"/>
      <c r="L265" s="953"/>
      <c r="M265" s="953"/>
      <c r="N265" s="953"/>
      <c r="O265" s="953"/>
      <c r="P265" s="953"/>
    </row>
    <row r="266">
      <c r="A266" s="953"/>
      <c r="B266" s="953"/>
      <c r="C266" s="953"/>
      <c r="D266" s="953"/>
      <c r="E266" s="953"/>
      <c r="F266" s="953"/>
      <c r="G266" s="953"/>
      <c r="H266" s="953"/>
      <c r="I266" s="953"/>
      <c r="J266" s="953"/>
      <c r="K266" s="953"/>
      <c r="L266" s="953"/>
      <c r="M266" s="953"/>
      <c r="N266" s="953"/>
      <c r="O266" s="953"/>
      <c r="P266" s="953"/>
    </row>
    <row r="267">
      <c r="A267" s="953"/>
      <c r="B267" s="953"/>
      <c r="C267" s="953"/>
      <c r="D267" s="953"/>
      <c r="E267" s="953"/>
      <c r="F267" s="953"/>
      <c r="G267" s="953"/>
      <c r="H267" s="953"/>
      <c r="I267" s="953"/>
      <c r="J267" s="953"/>
      <c r="K267" s="953"/>
      <c r="L267" s="953"/>
      <c r="M267" s="953"/>
      <c r="N267" s="953"/>
      <c r="O267" s="953"/>
      <c r="P267" s="953"/>
    </row>
    <row r="268">
      <c r="A268" s="953"/>
      <c r="B268" s="953"/>
      <c r="C268" s="953"/>
      <c r="D268" s="953"/>
      <c r="E268" s="953"/>
      <c r="F268" s="953"/>
      <c r="G268" s="953"/>
      <c r="H268" s="953"/>
      <c r="I268" s="953"/>
      <c r="J268" s="953"/>
      <c r="K268" s="953"/>
      <c r="L268" s="953"/>
      <c r="M268" s="953"/>
      <c r="N268" s="953"/>
      <c r="O268" s="953"/>
      <c r="P268" s="953"/>
    </row>
    <row r="269">
      <c r="A269" s="953"/>
      <c r="B269" s="953"/>
      <c r="C269" s="953"/>
      <c r="D269" s="953"/>
      <c r="E269" s="953"/>
      <c r="F269" s="953"/>
      <c r="G269" s="953"/>
      <c r="H269" s="953"/>
      <c r="I269" s="953"/>
      <c r="J269" s="953"/>
      <c r="K269" s="953"/>
      <c r="L269" s="953"/>
      <c r="M269" s="953"/>
      <c r="N269" s="953"/>
      <c r="O269" s="953"/>
      <c r="P269" s="953"/>
    </row>
    <row r="270">
      <c r="A270" s="953"/>
      <c r="B270" s="953"/>
      <c r="C270" s="953"/>
      <c r="D270" s="953"/>
      <c r="E270" s="953"/>
      <c r="F270" s="953"/>
      <c r="G270" s="953"/>
      <c r="H270" s="953"/>
      <c r="I270" s="953"/>
      <c r="J270" s="953"/>
      <c r="K270" s="953"/>
      <c r="L270" s="953"/>
      <c r="M270" s="953"/>
      <c r="N270" s="953"/>
      <c r="O270" s="953"/>
      <c r="P270" s="953"/>
    </row>
    <row r="271">
      <c r="A271" s="953"/>
      <c r="B271" s="953"/>
      <c r="C271" s="953"/>
      <c r="D271" s="953"/>
      <c r="E271" s="953"/>
      <c r="F271" s="953"/>
      <c r="G271" s="953"/>
      <c r="H271" s="953"/>
      <c r="I271" s="953"/>
      <c r="J271" s="953"/>
      <c r="K271" s="953"/>
      <c r="L271" s="953"/>
      <c r="M271" s="953"/>
      <c r="N271" s="953"/>
      <c r="O271" s="953"/>
      <c r="P271" s="953"/>
    </row>
    <row r="272">
      <c r="A272" s="953"/>
      <c r="B272" s="953"/>
      <c r="C272" s="953"/>
      <c r="D272" s="953"/>
      <c r="E272" s="953"/>
      <c r="F272" s="953"/>
      <c r="G272" s="953"/>
      <c r="H272" s="953"/>
      <c r="I272" s="953"/>
      <c r="J272" s="953"/>
      <c r="K272" s="953"/>
      <c r="L272" s="953"/>
      <c r="M272" s="953"/>
      <c r="N272" s="953"/>
      <c r="O272" s="953"/>
      <c r="P272" s="953"/>
    </row>
    <row r="273">
      <c r="A273" s="953"/>
      <c r="B273" s="953"/>
      <c r="C273" s="953"/>
      <c r="D273" s="953"/>
      <c r="E273" s="953"/>
      <c r="F273" s="953"/>
      <c r="G273" s="953"/>
      <c r="H273" s="953"/>
      <c r="I273" s="953"/>
      <c r="J273" s="953"/>
      <c r="K273" s="953"/>
      <c r="L273" s="953"/>
      <c r="M273" s="953"/>
      <c r="N273" s="953"/>
      <c r="O273" s="953"/>
      <c r="P273" s="953"/>
    </row>
    <row r="274">
      <c r="A274" s="953"/>
      <c r="B274" s="953"/>
      <c r="C274" s="953"/>
      <c r="D274" s="953"/>
      <c r="E274" s="953"/>
      <c r="F274" s="953"/>
      <c r="G274" s="953"/>
      <c r="H274" s="953"/>
      <c r="I274" s="953"/>
      <c r="J274" s="953"/>
      <c r="K274" s="953"/>
      <c r="L274" s="953"/>
      <c r="M274" s="953"/>
      <c r="N274" s="953"/>
      <c r="O274" s="953"/>
      <c r="P274" s="953"/>
    </row>
    <row r="275">
      <c r="A275" s="953"/>
      <c r="B275" s="953"/>
      <c r="C275" s="953"/>
      <c r="D275" s="953"/>
      <c r="E275" s="953"/>
      <c r="F275" s="953"/>
      <c r="G275" s="953"/>
      <c r="H275" s="953"/>
      <c r="I275" s="953"/>
      <c r="J275" s="953"/>
      <c r="K275" s="953"/>
      <c r="L275" s="953"/>
      <c r="M275" s="953"/>
      <c r="N275" s="953"/>
      <c r="O275" s="953"/>
      <c r="P275" s="953"/>
    </row>
    <row r="276">
      <c r="A276" s="953"/>
      <c r="B276" s="953"/>
      <c r="C276" s="953"/>
      <c r="D276" s="953"/>
      <c r="E276" s="953"/>
      <c r="F276" s="953"/>
      <c r="G276" s="953"/>
      <c r="H276" s="953"/>
      <c r="I276" s="953"/>
      <c r="J276" s="953"/>
      <c r="K276" s="953"/>
      <c r="L276" s="953"/>
      <c r="M276" s="953"/>
      <c r="N276" s="953"/>
      <c r="O276" s="953"/>
      <c r="P276" s="953"/>
    </row>
    <row r="277">
      <c r="A277" s="953"/>
      <c r="B277" s="953"/>
      <c r="C277" s="953"/>
      <c r="D277" s="953"/>
      <c r="E277" s="953"/>
      <c r="F277" s="953"/>
      <c r="G277" s="953"/>
      <c r="H277" s="953"/>
      <c r="I277" s="953"/>
      <c r="J277" s="953"/>
      <c r="K277" s="953"/>
      <c r="L277" s="953"/>
      <c r="M277" s="953"/>
      <c r="N277" s="953"/>
      <c r="O277" s="953"/>
      <c r="P277" s="953"/>
    </row>
    <row r="278">
      <c r="A278" s="953"/>
      <c r="B278" s="953"/>
      <c r="C278" s="953"/>
      <c r="D278" s="953"/>
      <c r="E278" s="953"/>
      <c r="F278" s="953"/>
      <c r="G278" s="953"/>
      <c r="H278" s="953"/>
      <c r="I278" s="953"/>
      <c r="J278" s="953"/>
      <c r="K278" s="953"/>
      <c r="L278" s="953"/>
      <c r="M278" s="953"/>
      <c r="N278" s="953"/>
      <c r="O278" s="953"/>
      <c r="P278" s="953"/>
    </row>
    <row r="279">
      <c r="A279" s="953"/>
      <c r="B279" s="953"/>
      <c r="C279" s="953"/>
      <c r="D279" s="953"/>
      <c r="E279" s="953"/>
      <c r="F279" s="953"/>
      <c r="G279" s="953"/>
      <c r="H279" s="953"/>
      <c r="I279" s="953"/>
      <c r="J279" s="953"/>
      <c r="K279" s="953"/>
      <c r="L279" s="953"/>
      <c r="M279" s="953"/>
      <c r="N279" s="953"/>
      <c r="O279" s="953"/>
      <c r="P279" s="953"/>
    </row>
    <row r="280">
      <c r="A280" s="953"/>
      <c r="B280" s="953"/>
      <c r="C280" s="953"/>
      <c r="D280" s="953"/>
      <c r="E280" s="953"/>
      <c r="F280" s="953"/>
      <c r="G280" s="953"/>
      <c r="H280" s="953"/>
      <c r="I280" s="953"/>
      <c r="J280" s="953"/>
      <c r="K280" s="953"/>
      <c r="L280" s="953"/>
      <c r="M280" s="953"/>
      <c r="N280" s="953"/>
      <c r="O280" s="953"/>
      <c r="P280" s="953"/>
    </row>
    <row r="281">
      <c r="A281" s="953"/>
      <c r="B281" s="953"/>
      <c r="C281" s="953"/>
      <c r="D281" s="953"/>
      <c r="E281" s="953"/>
      <c r="F281" s="953"/>
      <c r="G281" s="953"/>
      <c r="H281" s="953"/>
      <c r="I281" s="953"/>
      <c r="J281" s="953"/>
      <c r="K281" s="953"/>
      <c r="L281" s="953"/>
      <c r="M281" s="953"/>
      <c r="N281" s="953"/>
      <c r="O281" s="953"/>
      <c r="P281" s="953"/>
    </row>
    <row r="282">
      <c r="A282" s="953"/>
      <c r="B282" s="953"/>
      <c r="C282" s="953"/>
      <c r="D282" s="953"/>
      <c r="E282" s="953"/>
      <c r="F282" s="953"/>
      <c r="G282" s="953"/>
      <c r="H282" s="953"/>
      <c r="I282" s="953"/>
      <c r="J282" s="953"/>
      <c r="K282" s="953"/>
      <c r="L282" s="953"/>
      <c r="M282" s="953"/>
      <c r="N282" s="953"/>
      <c r="O282" s="953"/>
      <c r="P282" s="953"/>
    </row>
    <row r="283">
      <c r="A283" s="953"/>
      <c r="B283" s="953"/>
      <c r="C283" s="953"/>
      <c r="D283" s="953"/>
      <c r="E283" s="953"/>
      <c r="F283" s="953"/>
      <c r="G283" s="953"/>
      <c r="H283" s="953"/>
      <c r="I283" s="953"/>
      <c r="J283" s="953"/>
      <c r="K283" s="953"/>
      <c r="L283" s="953"/>
      <c r="M283" s="953"/>
      <c r="N283" s="953"/>
      <c r="O283" s="953"/>
      <c r="P283" s="953"/>
    </row>
    <row r="284">
      <c r="A284" s="953"/>
      <c r="B284" s="953"/>
      <c r="C284" s="953"/>
      <c r="D284" s="953"/>
      <c r="E284" s="953"/>
      <c r="F284" s="953"/>
      <c r="G284" s="953"/>
      <c r="H284" s="953"/>
      <c r="I284" s="953"/>
      <c r="J284" s="953"/>
      <c r="K284" s="953"/>
      <c r="L284" s="953"/>
      <c r="M284" s="953"/>
      <c r="N284" s="953"/>
      <c r="O284" s="953"/>
      <c r="P284" s="953"/>
    </row>
    <row r="285">
      <c r="A285" s="953"/>
      <c r="B285" s="953"/>
      <c r="C285" s="953"/>
      <c r="D285" s="953"/>
      <c r="E285" s="953"/>
      <c r="F285" s="953"/>
      <c r="G285" s="953"/>
      <c r="H285" s="953"/>
      <c r="I285" s="953"/>
      <c r="J285" s="953"/>
      <c r="K285" s="953"/>
      <c r="L285" s="953"/>
      <c r="M285" s="953"/>
      <c r="N285" s="953"/>
      <c r="O285" s="953"/>
      <c r="P285" s="953"/>
    </row>
    <row r="286">
      <c r="A286" s="953"/>
      <c r="B286" s="953"/>
      <c r="C286" s="953"/>
      <c r="D286" s="953"/>
      <c r="E286" s="953"/>
      <c r="F286" s="953"/>
      <c r="G286" s="953"/>
      <c r="H286" s="953"/>
      <c r="I286" s="953"/>
      <c r="J286" s="953"/>
      <c r="K286" s="953"/>
      <c r="L286" s="953"/>
      <c r="M286" s="953"/>
      <c r="N286" s="953"/>
      <c r="O286" s="953"/>
      <c r="P286" s="953"/>
    </row>
    <row r="287">
      <c r="A287" s="953"/>
      <c r="B287" s="953"/>
      <c r="C287" s="953"/>
      <c r="D287" s="953"/>
      <c r="E287" s="953"/>
      <c r="F287" s="953"/>
      <c r="G287" s="953"/>
      <c r="H287" s="953"/>
      <c r="I287" s="953"/>
      <c r="J287" s="953"/>
      <c r="K287" s="953"/>
      <c r="L287" s="953"/>
      <c r="M287" s="953"/>
      <c r="N287" s="953"/>
      <c r="O287" s="953"/>
      <c r="P287" s="953"/>
    </row>
    <row r="288">
      <c r="A288" s="953"/>
      <c r="B288" s="953"/>
      <c r="C288" s="953"/>
      <c r="D288" s="953"/>
      <c r="E288" s="953"/>
      <c r="F288" s="953"/>
      <c r="G288" s="953"/>
      <c r="H288" s="953"/>
      <c r="I288" s="953"/>
      <c r="J288" s="953"/>
      <c r="K288" s="953"/>
      <c r="L288" s="953"/>
      <c r="M288" s="953"/>
      <c r="N288" s="953"/>
      <c r="O288" s="953"/>
      <c r="P288" s="953"/>
    </row>
    <row r="289">
      <c r="A289" s="953"/>
      <c r="B289" s="953"/>
      <c r="C289" s="953"/>
      <c r="D289" s="953"/>
      <c r="E289" s="953"/>
      <c r="F289" s="953"/>
      <c r="G289" s="953"/>
      <c r="H289" s="953"/>
      <c r="I289" s="953"/>
      <c r="J289" s="953"/>
      <c r="K289" s="953"/>
      <c r="L289" s="953"/>
      <c r="M289" s="953"/>
      <c r="N289" s="953"/>
      <c r="O289" s="953"/>
      <c r="P289" s="953"/>
    </row>
    <row r="290">
      <c r="A290" s="953"/>
      <c r="B290" s="953"/>
      <c r="C290" s="953"/>
      <c r="D290" s="953"/>
      <c r="E290" s="953"/>
      <c r="F290" s="953"/>
      <c r="G290" s="953"/>
      <c r="H290" s="953"/>
      <c r="I290" s="953"/>
      <c r="J290" s="953"/>
      <c r="K290" s="953"/>
      <c r="L290" s="953"/>
      <c r="M290" s="953"/>
      <c r="N290" s="953"/>
      <c r="O290" s="953"/>
      <c r="P290" s="953"/>
    </row>
    <row r="291">
      <c r="A291" s="953"/>
      <c r="B291" s="953"/>
      <c r="C291" s="953"/>
      <c r="D291" s="953"/>
      <c r="E291" s="953"/>
      <c r="F291" s="953"/>
      <c r="G291" s="953"/>
      <c r="H291" s="953"/>
      <c r="I291" s="953"/>
      <c r="J291" s="953"/>
      <c r="K291" s="953"/>
      <c r="L291" s="953"/>
      <c r="M291" s="953"/>
      <c r="N291" s="953"/>
      <c r="O291" s="953"/>
      <c r="P291" s="953"/>
    </row>
    <row r="292">
      <c r="A292" s="953"/>
      <c r="B292" s="953"/>
      <c r="C292" s="953"/>
      <c r="D292" s="953"/>
      <c r="E292" s="953"/>
      <c r="F292" s="953"/>
      <c r="G292" s="953"/>
      <c r="H292" s="953"/>
      <c r="I292" s="953"/>
      <c r="J292" s="953"/>
      <c r="K292" s="953"/>
      <c r="L292" s="953"/>
      <c r="M292" s="953"/>
      <c r="N292" s="953"/>
      <c r="O292" s="953"/>
      <c r="P292" s="953"/>
    </row>
    <row r="293">
      <c r="A293" s="953"/>
      <c r="B293" s="953"/>
      <c r="C293" s="953"/>
      <c r="D293" s="953"/>
      <c r="E293" s="953"/>
      <c r="F293" s="953"/>
      <c r="G293" s="953"/>
      <c r="H293" s="953"/>
      <c r="I293" s="953"/>
      <c r="J293" s="953"/>
      <c r="K293" s="953"/>
      <c r="L293" s="953"/>
      <c r="M293" s="953"/>
      <c r="N293" s="953"/>
      <c r="O293" s="953"/>
      <c r="P293" s="953"/>
    </row>
    <row r="294">
      <c r="A294" s="953"/>
      <c r="B294" s="953"/>
      <c r="C294" s="953"/>
      <c r="D294" s="953"/>
      <c r="E294" s="953"/>
      <c r="F294" s="953"/>
      <c r="G294" s="953"/>
      <c r="H294" s="953"/>
      <c r="I294" s="953"/>
      <c r="J294" s="953"/>
      <c r="K294" s="953"/>
      <c r="L294" s="953"/>
      <c r="M294" s="953"/>
      <c r="N294" s="953"/>
      <c r="O294" s="953"/>
      <c r="P294" s="953"/>
    </row>
    <row r="295">
      <c r="A295" s="953"/>
      <c r="B295" s="953"/>
      <c r="C295" s="953"/>
      <c r="D295" s="953"/>
      <c r="E295" s="953"/>
      <c r="F295" s="953"/>
      <c r="G295" s="953"/>
      <c r="H295" s="953"/>
      <c r="I295" s="953"/>
      <c r="J295" s="953"/>
      <c r="K295" s="953"/>
      <c r="L295" s="953"/>
      <c r="M295" s="953"/>
      <c r="N295" s="953"/>
      <c r="O295" s="953"/>
      <c r="P295" s="953"/>
    </row>
    <row r="296">
      <c r="A296" s="953"/>
      <c r="B296" s="953"/>
      <c r="C296" s="953"/>
      <c r="D296" s="953"/>
      <c r="E296" s="953"/>
      <c r="F296" s="953"/>
      <c r="G296" s="953"/>
      <c r="H296" s="953"/>
      <c r="I296" s="953"/>
      <c r="J296" s="953"/>
      <c r="K296" s="953"/>
      <c r="L296" s="953"/>
      <c r="M296" s="953"/>
      <c r="N296" s="953"/>
      <c r="O296" s="953"/>
      <c r="P296" s="953"/>
    </row>
    <row r="297">
      <c r="A297" s="953"/>
      <c r="B297" s="953"/>
      <c r="C297" s="953"/>
      <c r="D297" s="953"/>
      <c r="E297" s="953"/>
      <c r="F297" s="953"/>
      <c r="G297" s="953"/>
      <c r="H297" s="953"/>
      <c r="I297" s="953"/>
      <c r="J297" s="953"/>
      <c r="K297" s="953"/>
      <c r="L297" s="953"/>
      <c r="M297" s="953"/>
      <c r="N297" s="953"/>
      <c r="O297" s="953"/>
      <c r="P297" s="953"/>
    </row>
    <row r="298">
      <c r="A298" s="953"/>
      <c r="B298" s="953"/>
      <c r="C298" s="953"/>
      <c r="D298" s="953"/>
      <c r="E298" s="953"/>
      <c r="F298" s="953"/>
      <c r="G298" s="953"/>
      <c r="H298" s="953"/>
      <c r="I298" s="953"/>
      <c r="J298" s="953"/>
      <c r="K298" s="953"/>
      <c r="L298" s="953"/>
      <c r="M298" s="953"/>
      <c r="N298" s="953"/>
      <c r="O298" s="953"/>
      <c r="P298" s="953"/>
    </row>
    <row r="299">
      <c r="A299" s="953"/>
      <c r="B299" s="953"/>
      <c r="C299" s="953"/>
      <c r="D299" s="953"/>
      <c r="E299" s="953"/>
      <c r="F299" s="953"/>
      <c r="G299" s="953"/>
      <c r="H299" s="953"/>
      <c r="I299" s="953"/>
      <c r="J299" s="953"/>
      <c r="K299" s="953"/>
      <c r="L299" s="953"/>
      <c r="M299" s="953"/>
      <c r="N299" s="953"/>
      <c r="O299" s="953"/>
      <c r="P299" s="953"/>
    </row>
    <row r="300">
      <c r="A300" s="953"/>
      <c r="B300" s="953"/>
      <c r="C300" s="953"/>
      <c r="D300" s="953"/>
      <c r="E300" s="953"/>
      <c r="F300" s="953"/>
      <c r="G300" s="953"/>
      <c r="H300" s="953"/>
      <c r="I300" s="953"/>
      <c r="J300" s="953"/>
      <c r="K300" s="953"/>
      <c r="L300" s="953"/>
      <c r="M300" s="953"/>
      <c r="N300" s="953"/>
      <c r="O300" s="953"/>
      <c r="P300" s="953"/>
    </row>
    <row r="301">
      <c r="A301" s="953"/>
      <c r="B301" s="953"/>
      <c r="C301" s="953"/>
      <c r="D301" s="953"/>
      <c r="E301" s="953"/>
      <c r="F301" s="953"/>
      <c r="G301" s="953"/>
      <c r="H301" s="953"/>
      <c r="I301" s="953"/>
      <c r="J301" s="953"/>
      <c r="K301" s="953"/>
      <c r="L301" s="953"/>
      <c r="M301" s="953"/>
      <c r="N301" s="953"/>
      <c r="O301" s="953"/>
      <c r="P301" s="953"/>
    </row>
    <row r="302">
      <c r="A302" s="953"/>
      <c r="B302" s="953"/>
      <c r="C302" s="953"/>
      <c r="D302" s="953"/>
      <c r="E302" s="953"/>
      <c r="F302" s="953"/>
      <c r="G302" s="953"/>
      <c r="H302" s="953"/>
      <c r="I302" s="953"/>
      <c r="J302" s="953"/>
      <c r="K302" s="953"/>
      <c r="L302" s="953"/>
      <c r="M302" s="953"/>
      <c r="N302" s="953"/>
      <c r="O302" s="953"/>
      <c r="P302" s="953"/>
    </row>
    <row r="303">
      <c r="A303" s="953"/>
      <c r="B303" s="953"/>
      <c r="C303" s="953"/>
      <c r="D303" s="953"/>
      <c r="E303" s="953"/>
      <c r="F303" s="953"/>
      <c r="G303" s="953"/>
      <c r="H303" s="953"/>
      <c r="I303" s="953"/>
      <c r="J303" s="953"/>
      <c r="K303" s="953"/>
      <c r="L303" s="953"/>
      <c r="M303" s="953"/>
      <c r="N303" s="953"/>
      <c r="O303" s="953"/>
      <c r="P303" s="953"/>
    </row>
    <row r="304">
      <c r="A304" s="953"/>
      <c r="B304" s="953"/>
      <c r="C304" s="953"/>
      <c r="D304" s="953"/>
      <c r="E304" s="953"/>
      <c r="F304" s="953"/>
      <c r="G304" s="953"/>
      <c r="H304" s="953"/>
      <c r="I304" s="953"/>
      <c r="J304" s="953"/>
      <c r="K304" s="953"/>
      <c r="L304" s="953"/>
      <c r="M304" s="953"/>
      <c r="N304" s="953"/>
      <c r="O304" s="953"/>
      <c r="P304" s="953"/>
    </row>
    <row r="305">
      <c r="A305" s="953"/>
      <c r="B305" s="953"/>
      <c r="C305" s="953"/>
      <c r="D305" s="953"/>
      <c r="E305" s="953"/>
      <c r="F305" s="953"/>
      <c r="G305" s="953"/>
      <c r="H305" s="953"/>
      <c r="I305" s="953"/>
      <c r="J305" s="953"/>
      <c r="K305" s="953"/>
      <c r="L305" s="953"/>
      <c r="M305" s="953"/>
      <c r="N305" s="953"/>
      <c r="O305" s="953"/>
      <c r="P305" s="953"/>
    </row>
    <row r="306">
      <c r="A306" s="953"/>
      <c r="B306" s="953"/>
      <c r="C306" s="953"/>
      <c r="D306" s="953"/>
      <c r="E306" s="953"/>
      <c r="F306" s="953"/>
      <c r="G306" s="953"/>
      <c r="H306" s="953"/>
      <c r="I306" s="953"/>
      <c r="J306" s="953"/>
      <c r="K306" s="953"/>
      <c r="L306" s="953"/>
      <c r="M306" s="953"/>
      <c r="N306" s="953"/>
      <c r="O306" s="953"/>
      <c r="P306" s="953"/>
    </row>
    <row r="307">
      <c r="A307" s="953"/>
      <c r="B307" s="953"/>
      <c r="C307" s="953"/>
      <c r="D307" s="953"/>
      <c r="E307" s="953"/>
      <c r="F307" s="953"/>
      <c r="G307" s="953"/>
      <c r="H307" s="953"/>
      <c r="I307" s="953"/>
      <c r="J307" s="953"/>
      <c r="K307" s="953"/>
      <c r="L307" s="953"/>
      <c r="M307" s="953"/>
      <c r="N307" s="953"/>
      <c r="O307" s="953"/>
      <c r="P307" s="953"/>
    </row>
    <row r="308">
      <c r="A308" s="953"/>
      <c r="B308" s="953"/>
      <c r="C308" s="953"/>
      <c r="D308" s="953"/>
      <c r="E308" s="953"/>
      <c r="F308" s="953"/>
      <c r="G308" s="953"/>
      <c r="H308" s="953"/>
      <c r="I308" s="953"/>
      <c r="J308" s="953"/>
      <c r="K308" s="953"/>
      <c r="L308" s="953"/>
      <c r="M308" s="953"/>
      <c r="N308" s="953"/>
      <c r="O308" s="953"/>
      <c r="P308" s="953"/>
    </row>
    <row r="309">
      <c r="A309" s="953"/>
      <c r="B309" s="953"/>
      <c r="C309" s="953"/>
      <c r="D309" s="953"/>
      <c r="E309" s="953"/>
      <c r="F309" s="953"/>
      <c r="G309" s="953"/>
      <c r="H309" s="953"/>
      <c r="I309" s="953"/>
      <c r="J309" s="953"/>
      <c r="K309" s="953"/>
      <c r="L309" s="953"/>
      <c r="M309" s="953"/>
      <c r="N309" s="953"/>
      <c r="O309" s="953"/>
      <c r="P309" s="953"/>
    </row>
    <row r="310">
      <c r="A310" s="953"/>
      <c r="B310" s="953"/>
      <c r="C310" s="953"/>
      <c r="D310" s="953"/>
      <c r="E310" s="953"/>
      <c r="F310" s="953"/>
      <c r="G310" s="953"/>
      <c r="H310" s="953"/>
      <c r="I310" s="953"/>
      <c r="J310" s="953"/>
      <c r="K310" s="953"/>
      <c r="L310" s="953"/>
      <c r="M310" s="953"/>
      <c r="N310" s="953"/>
      <c r="O310" s="953"/>
      <c r="P310" s="953"/>
    </row>
    <row r="311">
      <c r="A311" s="953"/>
      <c r="B311" s="953"/>
      <c r="C311" s="953"/>
      <c r="D311" s="953"/>
      <c r="E311" s="953"/>
      <c r="F311" s="953"/>
      <c r="G311" s="953"/>
      <c r="H311" s="953"/>
      <c r="I311" s="953"/>
      <c r="J311" s="953"/>
      <c r="K311" s="953"/>
      <c r="L311" s="953"/>
      <c r="M311" s="953"/>
      <c r="N311" s="953"/>
      <c r="O311" s="953"/>
      <c r="P311" s="953"/>
    </row>
    <row r="312">
      <c r="A312" s="953"/>
      <c r="B312" s="953"/>
      <c r="C312" s="953"/>
      <c r="D312" s="953"/>
      <c r="E312" s="953"/>
      <c r="F312" s="953"/>
      <c r="G312" s="953"/>
      <c r="H312" s="953"/>
      <c r="I312" s="953"/>
      <c r="J312" s="953"/>
      <c r="K312" s="953"/>
      <c r="L312" s="953"/>
      <c r="M312" s="953"/>
      <c r="N312" s="953"/>
      <c r="O312" s="953"/>
      <c r="P312" s="953"/>
    </row>
    <row r="313">
      <c r="A313" s="953"/>
      <c r="B313" s="953"/>
      <c r="C313" s="953"/>
      <c r="D313" s="953"/>
      <c r="E313" s="953"/>
      <c r="F313" s="953"/>
      <c r="G313" s="953"/>
      <c r="H313" s="953"/>
      <c r="I313" s="953"/>
      <c r="J313" s="953"/>
      <c r="K313" s="953"/>
      <c r="L313" s="953"/>
      <c r="M313" s="953"/>
      <c r="N313" s="953"/>
      <c r="O313" s="953"/>
      <c r="P313" s="953"/>
    </row>
    <row r="314">
      <c r="A314" s="953"/>
      <c r="B314" s="953"/>
      <c r="C314" s="953"/>
      <c r="D314" s="953"/>
      <c r="E314" s="953"/>
      <c r="F314" s="953"/>
      <c r="G314" s="953"/>
      <c r="H314" s="953"/>
      <c r="I314" s="953"/>
      <c r="J314" s="953"/>
      <c r="K314" s="953"/>
      <c r="L314" s="953"/>
      <c r="M314" s="953"/>
      <c r="N314" s="953"/>
      <c r="O314" s="953"/>
      <c r="P314" s="953"/>
    </row>
    <row r="315">
      <c r="A315" s="953"/>
      <c r="B315" s="953"/>
      <c r="C315" s="953"/>
      <c r="D315" s="953"/>
      <c r="E315" s="953"/>
      <c r="F315" s="953"/>
      <c r="G315" s="953"/>
      <c r="H315" s="953"/>
      <c r="I315" s="953"/>
      <c r="J315" s="953"/>
      <c r="K315" s="953"/>
      <c r="L315" s="953"/>
      <c r="M315" s="953"/>
      <c r="N315" s="953"/>
      <c r="O315" s="953"/>
      <c r="P315" s="953"/>
    </row>
    <row r="316">
      <c r="A316" s="953"/>
      <c r="B316" s="953"/>
      <c r="C316" s="953"/>
      <c r="D316" s="953"/>
      <c r="E316" s="953"/>
      <c r="F316" s="953"/>
      <c r="G316" s="953"/>
      <c r="H316" s="953"/>
      <c r="I316" s="953"/>
      <c r="J316" s="953"/>
      <c r="K316" s="953"/>
      <c r="L316" s="953"/>
      <c r="M316" s="953"/>
      <c r="N316" s="953"/>
      <c r="O316" s="953"/>
      <c r="P316" s="953"/>
    </row>
    <row r="317">
      <c r="A317" s="953"/>
      <c r="B317" s="953"/>
      <c r="C317" s="953"/>
      <c r="D317" s="953"/>
      <c r="E317" s="953"/>
      <c r="F317" s="953"/>
      <c r="G317" s="953"/>
      <c r="H317" s="953"/>
      <c r="I317" s="953"/>
      <c r="J317" s="953"/>
      <c r="K317" s="953"/>
      <c r="L317" s="953"/>
      <c r="M317" s="953"/>
      <c r="N317" s="953"/>
      <c r="O317" s="953"/>
      <c r="P317" s="953"/>
    </row>
    <row r="318">
      <c r="A318" s="953"/>
      <c r="B318" s="953"/>
      <c r="C318" s="953"/>
      <c r="D318" s="953"/>
      <c r="E318" s="953"/>
      <c r="F318" s="953"/>
      <c r="G318" s="953"/>
      <c r="H318" s="953"/>
      <c r="I318" s="953"/>
      <c r="J318" s="953"/>
      <c r="K318" s="953"/>
      <c r="L318" s="953"/>
      <c r="M318" s="953"/>
      <c r="N318" s="953"/>
      <c r="O318" s="953"/>
      <c r="P318" s="953"/>
    </row>
    <row r="319">
      <c r="A319" s="953"/>
      <c r="B319" s="953"/>
      <c r="C319" s="953"/>
      <c r="D319" s="953"/>
      <c r="E319" s="953"/>
      <c r="F319" s="953"/>
      <c r="G319" s="953"/>
      <c r="H319" s="953"/>
      <c r="I319" s="953"/>
      <c r="J319" s="953"/>
      <c r="K319" s="953"/>
      <c r="L319" s="953"/>
      <c r="M319" s="953"/>
      <c r="N319" s="953"/>
      <c r="O319" s="953"/>
      <c r="P319" s="953"/>
    </row>
    <row r="320">
      <c r="A320" s="953"/>
      <c r="B320" s="953"/>
      <c r="C320" s="953"/>
      <c r="D320" s="953"/>
      <c r="E320" s="953"/>
      <c r="F320" s="953"/>
      <c r="G320" s="953"/>
      <c r="H320" s="953"/>
      <c r="I320" s="953"/>
      <c r="J320" s="953"/>
      <c r="K320" s="953"/>
      <c r="L320" s="953"/>
      <c r="M320" s="953"/>
      <c r="N320" s="953"/>
      <c r="O320" s="953"/>
      <c r="P320" s="953"/>
    </row>
    <row r="321">
      <c r="A321" s="953"/>
      <c r="B321" s="953"/>
      <c r="C321" s="953"/>
      <c r="D321" s="953"/>
      <c r="E321" s="953"/>
      <c r="F321" s="953"/>
      <c r="G321" s="953"/>
      <c r="H321" s="953"/>
      <c r="I321" s="953"/>
      <c r="J321" s="953"/>
      <c r="K321" s="953"/>
      <c r="L321" s="953"/>
      <c r="M321" s="953"/>
      <c r="N321" s="953"/>
      <c r="O321" s="953"/>
      <c r="P321" s="953"/>
    </row>
    <row r="322">
      <c r="A322" s="953"/>
      <c r="B322" s="953"/>
      <c r="C322" s="953"/>
      <c r="D322" s="953"/>
      <c r="E322" s="953"/>
      <c r="F322" s="953"/>
      <c r="G322" s="953"/>
      <c r="H322" s="953"/>
      <c r="I322" s="953"/>
      <c r="J322" s="953"/>
      <c r="K322" s="953"/>
      <c r="L322" s="953"/>
      <c r="M322" s="953"/>
      <c r="N322" s="953"/>
      <c r="O322" s="953"/>
      <c r="P322" s="953"/>
    </row>
    <row r="323">
      <c r="A323" s="953"/>
      <c r="B323" s="953"/>
      <c r="C323" s="953"/>
      <c r="D323" s="953"/>
      <c r="E323" s="953"/>
      <c r="F323" s="953"/>
      <c r="G323" s="953"/>
      <c r="H323" s="953"/>
      <c r="I323" s="953"/>
      <c r="J323" s="953"/>
      <c r="K323" s="953"/>
      <c r="L323" s="953"/>
      <c r="M323" s="953"/>
      <c r="N323" s="953"/>
      <c r="O323" s="953"/>
      <c r="P323" s="953"/>
    </row>
    <row r="324">
      <c r="A324" s="953"/>
      <c r="B324" s="953"/>
      <c r="C324" s="953"/>
      <c r="D324" s="953"/>
      <c r="E324" s="953"/>
      <c r="F324" s="953"/>
      <c r="G324" s="953"/>
      <c r="H324" s="953"/>
      <c r="I324" s="953"/>
      <c r="J324" s="953"/>
      <c r="K324" s="953"/>
      <c r="L324" s="953"/>
      <c r="M324" s="953"/>
      <c r="N324" s="953"/>
      <c r="O324" s="953"/>
      <c r="P324" s="953"/>
    </row>
    <row r="325">
      <c r="A325" s="953"/>
      <c r="B325" s="953"/>
      <c r="C325" s="953"/>
      <c r="D325" s="953"/>
      <c r="E325" s="953"/>
      <c r="F325" s="953"/>
      <c r="G325" s="953"/>
      <c r="H325" s="953"/>
      <c r="I325" s="953"/>
      <c r="J325" s="953"/>
      <c r="K325" s="953"/>
      <c r="L325" s="953"/>
      <c r="M325" s="953"/>
      <c r="N325" s="953"/>
      <c r="O325" s="953"/>
      <c r="P325" s="953"/>
    </row>
    <row r="326">
      <c r="A326" s="953"/>
      <c r="B326" s="953"/>
      <c r="C326" s="953"/>
      <c r="D326" s="953"/>
      <c r="E326" s="953"/>
      <c r="F326" s="953"/>
      <c r="G326" s="953"/>
      <c r="H326" s="953"/>
      <c r="I326" s="953"/>
      <c r="J326" s="953"/>
      <c r="K326" s="953"/>
      <c r="L326" s="953"/>
      <c r="M326" s="953"/>
      <c r="N326" s="953"/>
      <c r="O326" s="953"/>
      <c r="P326" s="953"/>
    </row>
    <row r="327">
      <c r="A327" s="953"/>
      <c r="B327" s="953"/>
      <c r="C327" s="953"/>
      <c r="D327" s="953"/>
      <c r="E327" s="953"/>
      <c r="F327" s="953"/>
      <c r="G327" s="953"/>
      <c r="H327" s="953"/>
      <c r="I327" s="953"/>
      <c r="J327" s="953"/>
      <c r="K327" s="953"/>
      <c r="L327" s="953"/>
      <c r="M327" s="953"/>
      <c r="N327" s="953"/>
      <c r="O327" s="953"/>
      <c r="P327" s="953"/>
    </row>
    <row r="328">
      <c r="A328" s="953"/>
      <c r="B328" s="953"/>
      <c r="C328" s="953"/>
      <c r="D328" s="953"/>
      <c r="E328" s="953"/>
      <c r="F328" s="953"/>
      <c r="G328" s="953"/>
      <c r="H328" s="953"/>
      <c r="I328" s="953"/>
      <c r="J328" s="953"/>
      <c r="K328" s="953"/>
      <c r="L328" s="953"/>
      <c r="M328" s="953"/>
      <c r="N328" s="953"/>
      <c r="O328" s="953"/>
      <c r="P328" s="953"/>
    </row>
    <row r="329">
      <c r="A329" s="953"/>
      <c r="B329" s="953"/>
      <c r="C329" s="953"/>
      <c r="D329" s="953"/>
      <c r="E329" s="953"/>
      <c r="F329" s="953"/>
      <c r="G329" s="953"/>
      <c r="H329" s="953"/>
      <c r="I329" s="953"/>
      <c r="J329" s="953"/>
      <c r="K329" s="953"/>
      <c r="L329" s="953"/>
      <c r="M329" s="953"/>
      <c r="N329" s="953"/>
      <c r="O329" s="953"/>
      <c r="P329" s="953"/>
    </row>
    <row r="330">
      <c r="A330" s="953"/>
      <c r="B330" s="953"/>
      <c r="C330" s="953"/>
      <c r="D330" s="953"/>
      <c r="E330" s="953"/>
      <c r="F330" s="953"/>
      <c r="G330" s="953"/>
      <c r="H330" s="953"/>
      <c r="I330" s="953"/>
      <c r="J330" s="953"/>
      <c r="K330" s="953"/>
      <c r="L330" s="953"/>
      <c r="M330" s="953"/>
      <c r="N330" s="953"/>
      <c r="O330" s="953"/>
      <c r="P330" s="953"/>
    </row>
    <row r="331">
      <c r="A331" s="953"/>
      <c r="B331" s="953"/>
      <c r="C331" s="953"/>
      <c r="D331" s="953"/>
      <c r="E331" s="953"/>
      <c r="F331" s="953"/>
      <c r="G331" s="953"/>
      <c r="H331" s="953"/>
      <c r="I331" s="953"/>
      <c r="J331" s="953"/>
      <c r="K331" s="953"/>
      <c r="L331" s="953"/>
      <c r="M331" s="953"/>
      <c r="N331" s="953"/>
      <c r="O331" s="953"/>
      <c r="P331" s="953"/>
    </row>
    <row r="332">
      <c r="A332" s="953"/>
      <c r="B332" s="953"/>
      <c r="C332" s="953"/>
      <c r="D332" s="953"/>
      <c r="E332" s="953"/>
      <c r="F332" s="953"/>
      <c r="G332" s="953"/>
      <c r="H332" s="953"/>
      <c r="I332" s="953"/>
      <c r="J332" s="953"/>
      <c r="K332" s="953"/>
      <c r="L332" s="953"/>
      <c r="M332" s="953"/>
      <c r="N332" s="953"/>
      <c r="O332" s="953"/>
      <c r="P332" s="953"/>
    </row>
    <row r="333">
      <c r="A333" s="953"/>
      <c r="B333" s="953"/>
      <c r="C333" s="953"/>
      <c r="D333" s="953"/>
      <c r="E333" s="953"/>
      <c r="F333" s="953"/>
      <c r="G333" s="953"/>
      <c r="H333" s="953"/>
      <c r="I333" s="953"/>
      <c r="J333" s="953"/>
      <c r="K333" s="953"/>
      <c r="L333" s="953"/>
      <c r="M333" s="953"/>
      <c r="N333" s="953"/>
      <c r="O333" s="953"/>
      <c r="P333" s="953"/>
    </row>
    <row r="334">
      <c r="A334" s="953"/>
      <c r="B334" s="953"/>
      <c r="C334" s="953"/>
      <c r="D334" s="953"/>
      <c r="E334" s="953"/>
      <c r="F334" s="953"/>
      <c r="G334" s="953"/>
      <c r="H334" s="953"/>
      <c r="I334" s="953"/>
      <c r="J334" s="953"/>
      <c r="K334" s="953"/>
      <c r="L334" s="953"/>
      <c r="M334" s="953"/>
      <c r="N334" s="953"/>
      <c r="O334" s="953"/>
      <c r="P334" s="953"/>
    </row>
    <row r="335">
      <c r="A335" s="953"/>
      <c r="B335" s="953"/>
      <c r="C335" s="953"/>
      <c r="D335" s="953"/>
      <c r="E335" s="953"/>
      <c r="F335" s="953"/>
      <c r="G335" s="953"/>
      <c r="H335" s="953"/>
      <c r="I335" s="953"/>
      <c r="J335" s="953"/>
      <c r="K335" s="953"/>
      <c r="L335" s="953"/>
      <c r="M335" s="953"/>
      <c r="N335" s="953"/>
      <c r="O335" s="953"/>
      <c r="P335" s="953"/>
    </row>
    <row r="336">
      <c r="A336" s="953"/>
      <c r="B336" s="953"/>
      <c r="C336" s="953"/>
      <c r="D336" s="953"/>
      <c r="E336" s="953"/>
      <c r="F336" s="953"/>
      <c r="G336" s="953"/>
      <c r="H336" s="953"/>
      <c r="I336" s="953"/>
      <c r="J336" s="953"/>
      <c r="K336" s="953"/>
      <c r="L336" s="953"/>
      <c r="M336" s="953"/>
      <c r="N336" s="953"/>
      <c r="O336" s="953"/>
      <c r="P336" s="953"/>
    </row>
    <row r="337">
      <c r="A337" s="953"/>
      <c r="B337" s="953"/>
      <c r="C337" s="953"/>
      <c r="D337" s="953"/>
      <c r="E337" s="953"/>
      <c r="F337" s="953"/>
      <c r="G337" s="953"/>
      <c r="H337" s="953"/>
      <c r="I337" s="953"/>
      <c r="J337" s="953"/>
      <c r="K337" s="953"/>
      <c r="L337" s="953"/>
      <c r="M337" s="953"/>
      <c r="N337" s="953"/>
      <c r="O337" s="953"/>
      <c r="P337" s="953"/>
    </row>
    <row r="338">
      <c r="A338" s="953"/>
      <c r="B338" s="953"/>
      <c r="C338" s="953"/>
      <c r="D338" s="953"/>
      <c r="E338" s="953"/>
      <c r="F338" s="953"/>
      <c r="G338" s="953"/>
      <c r="H338" s="953"/>
      <c r="I338" s="953"/>
      <c r="J338" s="953"/>
      <c r="K338" s="953"/>
      <c r="L338" s="953"/>
      <c r="M338" s="953"/>
      <c r="N338" s="953"/>
      <c r="O338" s="953"/>
      <c r="P338" s="953"/>
    </row>
    <row r="339">
      <c r="A339" s="953"/>
      <c r="B339" s="953"/>
      <c r="C339" s="953"/>
      <c r="D339" s="953"/>
      <c r="E339" s="953"/>
      <c r="F339" s="953"/>
      <c r="G339" s="953"/>
      <c r="H339" s="953"/>
      <c r="I339" s="953"/>
      <c r="J339" s="953"/>
      <c r="K339" s="953"/>
      <c r="L339" s="953"/>
      <c r="M339" s="953"/>
      <c r="N339" s="953"/>
      <c r="O339" s="953"/>
      <c r="P339" s="953"/>
    </row>
    <row r="340">
      <c r="A340" s="953"/>
      <c r="B340" s="953"/>
      <c r="C340" s="953"/>
      <c r="D340" s="953"/>
      <c r="E340" s="953"/>
      <c r="F340" s="953"/>
      <c r="G340" s="953"/>
      <c r="H340" s="953"/>
      <c r="I340" s="953"/>
      <c r="J340" s="953"/>
      <c r="K340" s="953"/>
      <c r="L340" s="953"/>
      <c r="M340" s="953"/>
      <c r="N340" s="953"/>
      <c r="O340" s="953"/>
      <c r="P340" s="953"/>
    </row>
    <row r="341">
      <c r="A341" s="953"/>
      <c r="B341" s="953"/>
      <c r="C341" s="953"/>
      <c r="D341" s="953"/>
      <c r="E341" s="953"/>
      <c r="F341" s="953"/>
      <c r="G341" s="953"/>
      <c r="H341" s="953"/>
      <c r="I341" s="953"/>
      <c r="J341" s="953"/>
      <c r="K341" s="953"/>
      <c r="L341" s="953"/>
      <c r="M341" s="953"/>
      <c r="N341" s="953"/>
      <c r="O341" s="953"/>
      <c r="P341" s="953"/>
    </row>
    <row r="342">
      <c r="A342" s="953"/>
      <c r="B342" s="953"/>
      <c r="C342" s="953"/>
      <c r="D342" s="953"/>
      <c r="E342" s="953"/>
      <c r="F342" s="953"/>
      <c r="G342" s="953"/>
      <c r="H342" s="953"/>
      <c r="I342" s="953"/>
      <c r="J342" s="953"/>
      <c r="K342" s="953"/>
      <c r="L342" s="953"/>
      <c r="M342" s="953"/>
      <c r="N342" s="953"/>
      <c r="O342" s="953"/>
      <c r="P342" s="953"/>
    </row>
    <row r="343">
      <c r="A343" s="953"/>
      <c r="B343" s="953"/>
      <c r="C343" s="953"/>
      <c r="D343" s="953"/>
      <c r="E343" s="953"/>
      <c r="F343" s="953"/>
      <c r="G343" s="953"/>
      <c r="H343" s="953"/>
      <c r="I343" s="953"/>
      <c r="J343" s="953"/>
      <c r="K343" s="953"/>
      <c r="L343" s="953"/>
      <c r="M343" s="953"/>
      <c r="N343" s="953"/>
      <c r="O343" s="953"/>
      <c r="P343" s="953"/>
    </row>
    <row r="344">
      <c r="A344" s="953"/>
      <c r="B344" s="953"/>
      <c r="C344" s="953"/>
      <c r="D344" s="953"/>
      <c r="E344" s="953"/>
      <c r="F344" s="953"/>
      <c r="G344" s="953"/>
      <c r="H344" s="953"/>
      <c r="I344" s="953"/>
      <c r="J344" s="953"/>
      <c r="K344" s="953"/>
      <c r="L344" s="953"/>
      <c r="M344" s="953"/>
      <c r="N344" s="953"/>
      <c r="O344" s="953"/>
      <c r="P344" s="953"/>
    </row>
    <row r="345">
      <c r="A345" s="953"/>
      <c r="B345" s="953"/>
      <c r="C345" s="953"/>
      <c r="D345" s="953"/>
      <c r="E345" s="953"/>
      <c r="F345" s="953"/>
      <c r="G345" s="953"/>
      <c r="H345" s="953"/>
      <c r="I345" s="953"/>
      <c r="J345" s="953"/>
      <c r="K345" s="953"/>
      <c r="L345" s="953"/>
      <c r="M345" s="953"/>
      <c r="N345" s="953"/>
      <c r="O345" s="953"/>
      <c r="P345" s="953"/>
    </row>
    <row r="346">
      <c r="A346" s="953"/>
      <c r="B346" s="953"/>
      <c r="C346" s="953"/>
      <c r="D346" s="953"/>
      <c r="E346" s="953"/>
      <c r="F346" s="953"/>
      <c r="G346" s="953"/>
      <c r="H346" s="953"/>
      <c r="I346" s="953"/>
      <c r="J346" s="953"/>
      <c r="K346" s="953"/>
      <c r="L346" s="953"/>
      <c r="M346" s="953"/>
      <c r="N346" s="953"/>
      <c r="O346" s="953"/>
      <c r="P346" s="953"/>
    </row>
    <row r="347">
      <c r="A347" s="953"/>
      <c r="B347" s="953"/>
      <c r="C347" s="953"/>
      <c r="D347" s="953"/>
      <c r="E347" s="953"/>
      <c r="F347" s="953"/>
      <c r="G347" s="953"/>
      <c r="H347" s="953"/>
      <c r="I347" s="953"/>
      <c r="J347" s="953"/>
      <c r="K347" s="953"/>
      <c r="L347" s="953"/>
      <c r="M347" s="953"/>
      <c r="N347" s="953"/>
      <c r="O347" s="953"/>
      <c r="P347" s="953"/>
    </row>
    <row r="348">
      <c r="A348" s="953"/>
      <c r="B348" s="953"/>
      <c r="C348" s="953"/>
      <c r="D348" s="953"/>
      <c r="E348" s="953"/>
      <c r="F348" s="953"/>
      <c r="G348" s="953"/>
      <c r="H348" s="953"/>
      <c r="I348" s="953"/>
      <c r="J348" s="953"/>
      <c r="K348" s="953"/>
      <c r="L348" s="953"/>
      <c r="M348" s="953"/>
      <c r="N348" s="953"/>
      <c r="O348" s="953"/>
      <c r="P348" s="953"/>
    </row>
    <row r="349">
      <c r="A349" s="953"/>
      <c r="B349" s="953"/>
      <c r="C349" s="953"/>
      <c r="D349" s="953"/>
      <c r="E349" s="953"/>
      <c r="F349" s="953"/>
      <c r="G349" s="953"/>
      <c r="H349" s="953"/>
      <c r="I349" s="953"/>
      <c r="J349" s="953"/>
      <c r="K349" s="953"/>
      <c r="L349" s="953"/>
      <c r="M349" s="953"/>
      <c r="N349" s="953"/>
      <c r="O349" s="953"/>
      <c r="P349" s="953"/>
    </row>
    <row r="350">
      <c r="A350" s="953"/>
      <c r="B350" s="953"/>
      <c r="C350" s="953"/>
      <c r="D350" s="953"/>
      <c r="E350" s="953"/>
      <c r="F350" s="953"/>
      <c r="G350" s="953"/>
      <c r="H350" s="953"/>
      <c r="I350" s="953"/>
      <c r="J350" s="953"/>
      <c r="K350" s="953"/>
      <c r="L350" s="953"/>
      <c r="M350" s="953"/>
      <c r="N350" s="953"/>
      <c r="O350" s="953"/>
      <c r="P350" s="953"/>
    </row>
    <row r="351">
      <c r="A351" s="953"/>
      <c r="B351" s="953"/>
      <c r="C351" s="953"/>
      <c r="D351" s="953"/>
      <c r="E351" s="953"/>
      <c r="F351" s="953"/>
      <c r="G351" s="953"/>
      <c r="H351" s="953"/>
      <c r="I351" s="953"/>
      <c r="J351" s="953"/>
      <c r="K351" s="953"/>
      <c r="L351" s="953"/>
      <c r="M351" s="953"/>
      <c r="N351" s="953"/>
      <c r="O351" s="953"/>
      <c r="P351" s="953"/>
    </row>
    <row r="352">
      <c r="A352" s="953"/>
      <c r="B352" s="953"/>
      <c r="C352" s="953"/>
      <c r="D352" s="953"/>
      <c r="E352" s="953"/>
      <c r="F352" s="953"/>
      <c r="G352" s="953"/>
      <c r="H352" s="953"/>
      <c r="I352" s="953"/>
      <c r="J352" s="953"/>
      <c r="K352" s="953"/>
      <c r="L352" s="953"/>
      <c r="M352" s="953"/>
      <c r="N352" s="953"/>
      <c r="O352" s="953"/>
      <c r="P352" s="953"/>
    </row>
    <row r="353">
      <c r="A353" s="953"/>
      <c r="B353" s="953"/>
      <c r="C353" s="953"/>
      <c r="D353" s="953"/>
      <c r="E353" s="953"/>
      <c r="F353" s="953"/>
      <c r="G353" s="953"/>
      <c r="H353" s="953"/>
      <c r="I353" s="953"/>
      <c r="J353" s="953"/>
      <c r="K353" s="953"/>
      <c r="L353" s="953"/>
      <c r="M353" s="953"/>
      <c r="N353" s="953"/>
      <c r="O353" s="953"/>
      <c r="P353" s="953"/>
    </row>
    <row r="354">
      <c r="A354" s="953"/>
      <c r="B354" s="953"/>
      <c r="C354" s="953"/>
      <c r="D354" s="953"/>
      <c r="E354" s="953"/>
      <c r="F354" s="953"/>
      <c r="G354" s="953"/>
      <c r="H354" s="953"/>
      <c r="I354" s="953"/>
      <c r="J354" s="953"/>
      <c r="K354" s="953"/>
      <c r="L354" s="953"/>
      <c r="M354" s="953"/>
      <c r="N354" s="953"/>
      <c r="O354" s="953"/>
      <c r="P354" s="953"/>
    </row>
    <row r="355">
      <c r="A355" s="953"/>
      <c r="B355" s="953"/>
      <c r="C355" s="953"/>
      <c r="D355" s="953"/>
      <c r="E355" s="953"/>
      <c r="F355" s="953"/>
      <c r="G355" s="953"/>
      <c r="H355" s="953"/>
      <c r="I355" s="953"/>
      <c r="J355" s="953"/>
      <c r="K355" s="953"/>
      <c r="L355" s="953"/>
      <c r="M355" s="953"/>
      <c r="N355" s="953"/>
      <c r="O355" s="953"/>
      <c r="P355" s="953"/>
    </row>
    <row r="356">
      <c r="A356" s="953"/>
      <c r="B356" s="953"/>
      <c r="C356" s="953"/>
      <c r="D356" s="953"/>
      <c r="E356" s="953"/>
      <c r="F356" s="953"/>
      <c r="G356" s="953"/>
      <c r="H356" s="953"/>
      <c r="I356" s="953"/>
      <c r="J356" s="953"/>
      <c r="K356" s="953"/>
      <c r="L356" s="953"/>
      <c r="M356" s="953"/>
      <c r="N356" s="953"/>
      <c r="O356" s="953"/>
      <c r="P356" s="953"/>
    </row>
    <row r="357">
      <c r="A357" s="953"/>
      <c r="B357" s="953"/>
      <c r="C357" s="953"/>
      <c r="D357" s="953"/>
      <c r="E357" s="953"/>
      <c r="F357" s="953"/>
      <c r="G357" s="953"/>
      <c r="H357" s="953"/>
      <c r="I357" s="953"/>
      <c r="J357" s="953"/>
      <c r="K357" s="953"/>
      <c r="L357" s="953"/>
      <c r="M357" s="953"/>
      <c r="N357" s="953"/>
      <c r="O357" s="953"/>
      <c r="P357" s="953"/>
    </row>
    <row r="358">
      <c r="A358" s="953"/>
      <c r="B358" s="953"/>
      <c r="C358" s="953"/>
      <c r="D358" s="953"/>
      <c r="E358" s="953"/>
      <c r="F358" s="953"/>
      <c r="G358" s="953"/>
      <c r="H358" s="953"/>
      <c r="I358" s="953"/>
      <c r="J358" s="953"/>
      <c r="K358" s="953"/>
      <c r="L358" s="953"/>
      <c r="M358" s="953"/>
      <c r="N358" s="953"/>
      <c r="O358" s="953"/>
      <c r="P358" s="953"/>
    </row>
    <row r="359">
      <c r="A359" s="953"/>
      <c r="B359" s="953"/>
      <c r="C359" s="953"/>
      <c r="D359" s="953"/>
      <c r="E359" s="953"/>
      <c r="F359" s="953"/>
      <c r="G359" s="953"/>
      <c r="H359" s="953"/>
      <c r="I359" s="953"/>
      <c r="J359" s="953"/>
      <c r="K359" s="953"/>
      <c r="L359" s="953"/>
      <c r="M359" s="953"/>
      <c r="N359" s="953"/>
      <c r="O359" s="953"/>
      <c r="P359" s="953"/>
    </row>
    <row r="360">
      <c r="A360" s="953"/>
      <c r="B360" s="953"/>
      <c r="C360" s="953"/>
      <c r="D360" s="953"/>
      <c r="E360" s="953"/>
      <c r="F360" s="953"/>
      <c r="G360" s="953"/>
      <c r="H360" s="953"/>
      <c r="I360" s="953"/>
      <c r="J360" s="953"/>
      <c r="K360" s="953"/>
      <c r="L360" s="953"/>
      <c r="M360" s="953"/>
      <c r="N360" s="953"/>
      <c r="O360" s="953"/>
      <c r="P360" s="953"/>
    </row>
    <row r="361">
      <c r="A361" s="953"/>
      <c r="B361" s="953"/>
      <c r="C361" s="953"/>
      <c r="D361" s="953"/>
      <c r="E361" s="953"/>
      <c r="F361" s="953"/>
      <c r="G361" s="953"/>
      <c r="H361" s="953"/>
      <c r="I361" s="953"/>
      <c r="J361" s="953"/>
      <c r="K361" s="953"/>
      <c r="L361" s="953"/>
      <c r="M361" s="953"/>
      <c r="N361" s="953"/>
      <c r="O361" s="953"/>
      <c r="P361" s="953"/>
    </row>
    <row r="362">
      <c r="A362" s="953"/>
      <c r="B362" s="953"/>
      <c r="C362" s="953"/>
      <c r="D362" s="953"/>
      <c r="E362" s="953"/>
      <c r="F362" s="953"/>
      <c r="G362" s="953"/>
      <c r="H362" s="953"/>
      <c r="I362" s="953"/>
      <c r="J362" s="953"/>
      <c r="K362" s="953"/>
      <c r="L362" s="953"/>
      <c r="M362" s="953"/>
      <c r="N362" s="953"/>
      <c r="O362" s="953"/>
      <c r="P362" s="953"/>
    </row>
    <row r="363">
      <c r="A363" s="953"/>
      <c r="B363" s="953"/>
      <c r="C363" s="953"/>
      <c r="D363" s="953"/>
      <c r="E363" s="953"/>
      <c r="F363" s="953"/>
      <c r="G363" s="953"/>
      <c r="H363" s="953"/>
      <c r="I363" s="953"/>
      <c r="J363" s="953"/>
      <c r="K363" s="953"/>
      <c r="L363" s="953"/>
      <c r="M363" s="953"/>
      <c r="N363" s="953"/>
      <c r="O363" s="953"/>
      <c r="P363" s="953"/>
    </row>
    <row r="364">
      <c r="A364" s="953"/>
      <c r="B364" s="953"/>
      <c r="C364" s="953"/>
      <c r="D364" s="953"/>
      <c r="E364" s="953"/>
      <c r="F364" s="953"/>
      <c r="G364" s="953"/>
      <c r="H364" s="953"/>
      <c r="I364" s="953"/>
      <c r="J364" s="953"/>
      <c r="K364" s="953"/>
      <c r="L364" s="953"/>
      <c r="M364" s="953"/>
      <c r="N364" s="953"/>
      <c r="O364" s="953"/>
      <c r="P364" s="953"/>
    </row>
    <row r="365">
      <c r="A365" s="953"/>
      <c r="B365" s="953"/>
      <c r="C365" s="953"/>
      <c r="D365" s="953"/>
      <c r="E365" s="953"/>
      <c r="F365" s="953"/>
      <c r="G365" s="953"/>
      <c r="H365" s="953"/>
      <c r="I365" s="953"/>
      <c r="J365" s="953"/>
      <c r="K365" s="953"/>
      <c r="L365" s="953"/>
      <c r="M365" s="953"/>
      <c r="N365" s="953"/>
      <c r="O365" s="953"/>
      <c r="P365" s="953"/>
    </row>
    <row r="366">
      <c r="A366" s="953"/>
      <c r="B366" s="953"/>
      <c r="C366" s="953"/>
      <c r="D366" s="953"/>
      <c r="E366" s="953"/>
      <c r="F366" s="953"/>
      <c r="G366" s="953"/>
      <c r="H366" s="953"/>
      <c r="I366" s="953"/>
      <c r="J366" s="953"/>
      <c r="K366" s="953"/>
      <c r="L366" s="953"/>
      <c r="M366" s="953"/>
      <c r="N366" s="953"/>
      <c r="O366" s="953"/>
      <c r="P366" s="953"/>
    </row>
    <row r="367">
      <c r="A367" s="953"/>
      <c r="B367" s="953"/>
      <c r="C367" s="953"/>
      <c r="D367" s="953"/>
      <c r="E367" s="953"/>
      <c r="F367" s="953"/>
      <c r="G367" s="953"/>
      <c r="H367" s="953"/>
      <c r="I367" s="953"/>
      <c r="J367" s="953"/>
      <c r="K367" s="953"/>
      <c r="L367" s="953"/>
      <c r="M367" s="953"/>
      <c r="N367" s="953"/>
      <c r="O367" s="953"/>
      <c r="P367" s="953"/>
    </row>
    <row r="368">
      <c r="A368" s="953"/>
      <c r="B368" s="953"/>
      <c r="C368" s="953"/>
      <c r="D368" s="953"/>
      <c r="E368" s="953"/>
      <c r="F368" s="953"/>
      <c r="G368" s="953"/>
      <c r="H368" s="953"/>
      <c r="I368" s="953"/>
      <c r="J368" s="953"/>
      <c r="K368" s="953"/>
      <c r="L368" s="953"/>
      <c r="M368" s="953"/>
      <c r="N368" s="953"/>
      <c r="O368" s="953"/>
      <c r="P368" s="953"/>
    </row>
    <row r="369">
      <c r="A369" s="953"/>
      <c r="B369" s="953"/>
      <c r="C369" s="953"/>
      <c r="D369" s="953"/>
      <c r="E369" s="953"/>
      <c r="F369" s="953"/>
      <c r="G369" s="953"/>
      <c r="H369" s="953"/>
      <c r="I369" s="953"/>
      <c r="J369" s="953"/>
      <c r="K369" s="953"/>
      <c r="L369" s="953"/>
      <c r="M369" s="953"/>
      <c r="N369" s="953"/>
      <c r="O369" s="953"/>
      <c r="P369" s="953"/>
    </row>
    <row r="370">
      <c r="A370" s="953"/>
      <c r="B370" s="953"/>
      <c r="C370" s="953"/>
      <c r="D370" s="953"/>
      <c r="E370" s="953"/>
      <c r="F370" s="953"/>
      <c r="G370" s="953"/>
      <c r="H370" s="953"/>
      <c r="I370" s="953"/>
      <c r="J370" s="953"/>
      <c r="K370" s="953"/>
      <c r="L370" s="953"/>
      <c r="M370" s="953"/>
      <c r="N370" s="953"/>
      <c r="O370" s="953"/>
      <c r="P370" s="953"/>
    </row>
    <row r="371">
      <c r="A371" s="953"/>
      <c r="B371" s="953"/>
      <c r="C371" s="953"/>
      <c r="D371" s="953"/>
      <c r="E371" s="953"/>
      <c r="F371" s="953"/>
      <c r="G371" s="953"/>
      <c r="H371" s="953"/>
      <c r="I371" s="953"/>
      <c r="J371" s="953"/>
      <c r="K371" s="953"/>
      <c r="L371" s="953"/>
      <c r="M371" s="953"/>
      <c r="N371" s="953"/>
      <c r="O371" s="953"/>
      <c r="P371" s="953"/>
    </row>
    <row r="372">
      <c r="A372" s="953"/>
      <c r="B372" s="953"/>
      <c r="C372" s="953"/>
      <c r="D372" s="953"/>
      <c r="E372" s="953"/>
      <c r="F372" s="953"/>
      <c r="G372" s="953"/>
      <c r="H372" s="953"/>
      <c r="I372" s="953"/>
      <c r="J372" s="953"/>
      <c r="K372" s="953"/>
      <c r="L372" s="953"/>
      <c r="M372" s="953"/>
      <c r="N372" s="953"/>
      <c r="O372" s="953"/>
      <c r="P372" s="953"/>
    </row>
    <row r="373">
      <c r="A373" s="953"/>
      <c r="B373" s="953"/>
      <c r="C373" s="953"/>
      <c r="D373" s="953"/>
      <c r="E373" s="953"/>
      <c r="F373" s="953"/>
      <c r="G373" s="953"/>
      <c r="H373" s="953"/>
      <c r="I373" s="953"/>
      <c r="J373" s="953"/>
      <c r="K373" s="953"/>
      <c r="L373" s="953"/>
      <c r="M373" s="953"/>
      <c r="N373" s="953"/>
      <c r="O373" s="953"/>
      <c r="P373" s="953"/>
    </row>
    <row r="374">
      <c r="A374" s="953"/>
      <c r="B374" s="953"/>
      <c r="C374" s="953"/>
      <c r="D374" s="953"/>
      <c r="E374" s="953"/>
      <c r="F374" s="953"/>
      <c r="G374" s="953"/>
      <c r="H374" s="953"/>
      <c r="I374" s="953"/>
      <c r="J374" s="953"/>
      <c r="K374" s="953"/>
      <c r="L374" s="953"/>
      <c r="M374" s="953"/>
      <c r="N374" s="953"/>
      <c r="O374" s="953"/>
      <c r="P374" s="953"/>
    </row>
    <row r="375">
      <c r="A375" s="953"/>
      <c r="B375" s="953"/>
      <c r="C375" s="953"/>
      <c r="D375" s="953"/>
      <c r="E375" s="953"/>
      <c r="F375" s="953"/>
      <c r="G375" s="953"/>
      <c r="H375" s="953"/>
      <c r="I375" s="953"/>
      <c r="J375" s="953"/>
      <c r="K375" s="953"/>
      <c r="L375" s="953"/>
      <c r="M375" s="953"/>
      <c r="N375" s="953"/>
      <c r="O375" s="953"/>
      <c r="P375" s="953"/>
    </row>
    <row r="376">
      <c r="A376" s="953"/>
      <c r="B376" s="953"/>
      <c r="C376" s="953"/>
      <c r="D376" s="953"/>
      <c r="E376" s="953"/>
      <c r="F376" s="953"/>
      <c r="G376" s="953"/>
      <c r="H376" s="953"/>
      <c r="I376" s="953"/>
      <c r="J376" s="953"/>
      <c r="K376" s="953"/>
      <c r="L376" s="953"/>
      <c r="M376" s="953"/>
      <c r="N376" s="953"/>
      <c r="O376" s="953"/>
      <c r="P376" s="953"/>
    </row>
    <row r="377">
      <c r="A377" s="953"/>
      <c r="B377" s="953"/>
      <c r="C377" s="953"/>
      <c r="D377" s="953"/>
      <c r="E377" s="953"/>
      <c r="F377" s="953"/>
      <c r="G377" s="953"/>
      <c r="H377" s="953"/>
      <c r="I377" s="953"/>
      <c r="J377" s="953"/>
      <c r="K377" s="953"/>
      <c r="L377" s="953"/>
      <c r="M377" s="953"/>
      <c r="N377" s="953"/>
      <c r="O377" s="953"/>
      <c r="P377" s="953"/>
    </row>
    <row r="378">
      <c r="A378" s="953"/>
      <c r="B378" s="953"/>
      <c r="C378" s="953"/>
      <c r="D378" s="953"/>
      <c r="E378" s="953"/>
      <c r="F378" s="953"/>
      <c r="G378" s="953"/>
      <c r="H378" s="953"/>
      <c r="I378" s="953"/>
      <c r="J378" s="953"/>
      <c r="K378" s="953"/>
      <c r="L378" s="953"/>
      <c r="M378" s="953"/>
      <c r="N378" s="953"/>
      <c r="O378" s="953"/>
      <c r="P378" s="953"/>
    </row>
    <row r="379">
      <c r="A379" s="953"/>
      <c r="B379" s="953"/>
      <c r="C379" s="953"/>
      <c r="D379" s="953"/>
      <c r="E379" s="953"/>
      <c r="F379" s="953"/>
      <c r="G379" s="953"/>
      <c r="H379" s="953"/>
      <c r="I379" s="953"/>
      <c r="J379" s="953"/>
      <c r="K379" s="953"/>
      <c r="L379" s="953"/>
      <c r="M379" s="953"/>
      <c r="N379" s="953"/>
      <c r="O379" s="953"/>
      <c r="P379" s="953"/>
    </row>
    <row r="380">
      <c r="A380" s="953"/>
      <c r="B380" s="953"/>
      <c r="C380" s="953"/>
      <c r="D380" s="953"/>
      <c r="E380" s="953"/>
      <c r="F380" s="953"/>
      <c r="G380" s="953"/>
      <c r="H380" s="953"/>
      <c r="I380" s="953"/>
      <c r="J380" s="953"/>
      <c r="K380" s="953"/>
      <c r="L380" s="953"/>
      <c r="M380" s="953"/>
      <c r="N380" s="953"/>
      <c r="O380" s="953"/>
      <c r="P380" s="953"/>
    </row>
    <row r="381">
      <c r="A381" s="953"/>
      <c r="B381" s="953"/>
      <c r="C381" s="953"/>
      <c r="D381" s="953"/>
      <c r="E381" s="953"/>
      <c r="F381" s="953"/>
      <c r="G381" s="953"/>
      <c r="H381" s="953"/>
      <c r="I381" s="953"/>
      <c r="J381" s="953"/>
      <c r="K381" s="953"/>
      <c r="L381" s="953"/>
      <c r="M381" s="953"/>
      <c r="N381" s="953"/>
      <c r="O381" s="953"/>
      <c r="P381" s="953"/>
    </row>
    <row r="382">
      <c r="A382" s="953"/>
      <c r="B382" s="953"/>
      <c r="C382" s="953"/>
      <c r="D382" s="953"/>
      <c r="E382" s="953"/>
      <c r="F382" s="953"/>
      <c r="G382" s="953"/>
      <c r="H382" s="953"/>
      <c r="I382" s="953"/>
      <c r="J382" s="953"/>
      <c r="K382" s="953"/>
      <c r="L382" s="953"/>
      <c r="M382" s="953"/>
      <c r="N382" s="953"/>
      <c r="O382" s="953"/>
      <c r="P382" s="953"/>
    </row>
    <row r="383">
      <c r="A383" s="953"/>
      <c r="B383" s="953"/>
      <c r="C383" s="953"/>
      <c r="D383" s="953"/>
      <c r="E383" s="953"/>
      <c r="F383" s="953"/>
      <c r="G383" s="953"/>
      <c r="H383" s="953"/>
      <c r="I383" s="953"/>
      <c r="J383" s="953"/>
      <c r="K383" s="953"/>
      <c r="L383" s="953"/>
      <c r="M383" s="953"/>
      <c r="N383" s="953"/>
      <c r="O383" s="953"/>
      <c r="P383" s="953"/>
    </row>
    <row r="384">
      <c r="A384" s="953"/>
      <c r="B384" s="953"/>
      <c r="C384" s="953"/>
      <c r="D384" s="953"/>
      <c r="E384" s="953"/>
      <c r="F384" s="953"/>
      <c r="G384" s="953"/>
      <c r="H384" s="953"/>
      <c r="I384" s="953"/>
      <c r="J384" s="953"/>
      <c r="K384" s="953"/>
      <c r="L384" s="953"/>
      <c r="M384" s="953"/>
      <c r="N384" s="953"/>
      <c r="O384" s="953"/>
      <c r="P384" s="953"/>
    </row>
    <row r="385">
      <c r="A385" s="953"/>
      <c r="B385" s="953"/>
      <c r="C385" s="953"/>
      <c r="D385" s="953"/>
      <c r="E385" s="953"/>
      <c r="F385" s="953"/>
      <c r="G385" s="953"/>
      <c r="H385" s="953"/>
      <c r="I385" s="953"/>
      <c r="J385" s="953"/>
      <c r="K385" s="953"/>
      <c r="L385" s="953"/>
      <c r="M385" s="953"/>
      <c r="N385" s="953"/>
      <c r="O385" s="953"/>
      <c r="P385" s="953"/>
    </row>
    <row r="386">
      <c r="A386" s="953"/>
      <c r="B386" s="953"/>
      <c r="C386" s="953"/>
      <c r="D386" s="953"/>
      <c r="E386" s="953"/>
      <c r="F386" s="953"/>
      <c r="G386" s="953"/>
      <c r="H386" s="953"/>
      <c r="I386" s="953"/>
      <c r="J386" s="953"/>
      <c r="K386" s="953"/>
      <c r="L386" s="953"/>
      <c r="M386" s="953"/>
      <c r="N386" s="953"/>
      <c r="O386" s="953"/>
      <c r="P386" s="953"/>
    </row>
    <row r="387">
      <c r="A387" s="953"/>
      <c r="B387" s="953"/>
      <c r="C387" s="953"/>
      <c r="D387" s="953"/>
      <c r="E387" s="953"/>
      <c r="F387" s="953"/>
      <c r="G387" s="953"/>
      <c r="H387" s="953"/>
      <c r="I387" s="953"/>
      <c r="J387" s="953"/>
      <c r="K387" s="953"/>
      <c r="L387" s="953"/>
      <c r="M387" s="953"/>
      <c r="N387" s="953"/>
      <c r="O387" s="953"/>
      <c r="P387" s="953"/>
    </row>
    <row r="388">
      <c r="A388" s="953"/>
      <c r="B388" s="953"/>
      <c r="C388" s="953"/>
      <c r="D388" s="953"/>
      <c r="E388" s="953"/>
      <c r="F388" s="953"/>
      <c r="G388" s="953"/>
      <c r="H388" s="953"/>
      <c r="I388" s="953"/>
      <c r="J388" s="953"/>
      <c r="K388" s="953"/>
      <c r="L388" s="953"/>
      <c r="M388" s="953"/>
      <c r="N388" s="953"/>
      <c r="O388" s="953"/>
      <c r="P388" s="953"/>
    </row>
    <row r="389">
      <c r="A389" s="953"/>
      <c r="B389" s="953"/>
      <c r="C389" s="953"/>
      <c r="D389" s="953"/>
      <c r="E389" s="953"/>
      <c r="F389" s="953"/>
      <c r="G389" s="953"/>
      <c r="H389" s="953"/>
      <c r="I389" s="953"/>
      <c r="J389" s="953"/>
      <c r="K389" s="953"/>
      <c r="L389" s="953"/>
      <c r="M389" s="953"/>
      <c r="N389" s="953"/>
      <c r="O389" s="953"/>
      <c r="P389" s="953"/>
    </row>
    <row r="390">
      <c r="A390" s="953"/>
      <c r="B390" s="953"/>
      <c r="C390" s="953"/>
      <c r="D390" s="953"/>
      <c r="E390" s="953"/>
      <c r="F390" s="953"/>
      <c r="G390" s="953"/>
      <c r="H390" s="953"/>
      <c r="I390" s="953"/>
      <c r="J390" s="953"/>
      <c r="K390" s="953"/>
      <c r="L390" s="953"/>
      <c r="M390" s="953"/>
      <c r="N390" s="953"/>
      <c r="O390" s="953"/>
      <c r="P390" s="953"/>
    </row>
    <row r="391">
      <c r="A391" s="953"/>
      <c r="B391" s="953"/>
      <c r="C391" s="953"/>
      <c r="D391" s="953"/>
      <c r="E391" s="953"/>
      <c r="F391" s="953"/>
      <c r="G391" s="953"/>
      <c r="H391" s="953"/>
      <c r="I391" s="953"/>
      <c r="J391" s="953"/>
      <c r="K391" s="953"/>
      <c r="L391" s="953"/>
      <c r="M391" s="953"/>
      <c r="N391" s="953"/>
      <c r="O391" s="953"/>
      <c r="P391" s="953"/>
    </row>
    <row r="392">
      <c r="A392" s="953"/>
      <c r="B392" s="953"/>
      <c r="C392" s="953"/>
      <c r="D392" s="953"/>
      <c r="E392" s="953"/>
      <c r="F392" s="953"/>
      <c r="G392" s="953"/>
      <c r="H392" s="953"/>
      <c r="I392" s="953"/>
      <c r="J392" s="953"/>
      <c r="K392" s="953"/>
      <c r="L392" s="953"/>
      <c r="M392" s="953"/>
      <c r="N392" s="953"/>
      <c r="O392" s="953"/>
      <c r="P392" s="953"/>
    </row>
    <row r="393">
      <c r="A393" s="953"/>
      <c r="B393" s="953"/>
      <c r="C393" s="953"/>
      <c r="D393" s="953"/>
      <c r="E393" s="953"/>
      <c r="F393" s="953"/>
      <c r="G393" s="953"/>
      <c r="H393" s="953"/>
      <c r="I393" s="953"/>
      <c r="J393" s="953"/>
      <c r="K393" s="953"/>
      <c r="L393" s="953"/>
      <c r="M393" s="953"/>
      <c r="N393" s="953"/>
      <c r="O393" s="953"/>
      <c r="P393" s="953"/>
    </row>
    <row r="394">
      <c r="A394" s="953"/>
      <c r="B394" s="953"/>
      <c r="C394" s="953"/>
      <c r="D394" s="953"/>
      <c r="E394" s="953"/>
      <c r="F394" s="953"/>
      <c r="G394" s="953"/>
      <c r="H394" s="953"/>
      <c r="I394" s="953"/>
      <c r="J394" s="953"/>
      <c r="K394" s="953"/>
      <c r="L394" s="953"/>
      <c r="M394" s="953"/>
      <c r="N394" s="953"/>
      <c r="O394" s="953"/>
      <c r="P394" s="953"/>
    </row>
    <row r="395">
      <c r="A395" s="953"/>
      <c r="B395" s="953"/>
      <c r="C395" s="953"/>
      <c r="D395" s="953"/>
      <c r="E395" s="953"/>
      <c r="F395" s="953"/>
      <c r="G395" s="953"/>
      <c r="H395" s="953"/>
      <c r="I395" s="953"/>
      <c r="J395" s="953"/>
      <c r="K395" s="953"/>
      <c r="L395" s="953"/>
      <c r="M395" s="953"/>
      <c r="N395" s="953"/>
      <c r="O395" s="953"/>
      <c r="P395" s="953"/>
    </row>
    <row r="396">
      <c r="A396" s="953"/>
      <c r="B396" s="953"/>
      <c r="C396" s="953"/>
      <c r="D396" s="953"/>
      <c r="E396" s="953"/>
      <c r="F396" s="953"/>
      <c r="G396" s="953"/>
      <c r="H396" s="953"/>
      <c r="I396" s="953"/>
      <c r="J396" s="953"/>
      <c r="K396" s="953"/>
      <c r="L396" s="953"/>
      <c r="M396" s="953"/>
      <c r="N396" s="953"/>
      <c r="O396" s="953"/>
      <c r="P396" s="953"/>
    </row>
    <row r="397">
      <c r="A397" s="953"/>
      <c r="B397" s="953"/>
      <c r="C397" s="953"/>
      <c r="D397" s="953"/>
      <c r="E397" s="953"/>
      <c r="F397" s="953"/>
      <c r="G397" s="953"/>
      <c r="H397" s="953"/>
      <c r="I397" s="953"/>
      <c r="J397" s="953"/>
      <c r="K397" s="953"/>
      <c r="L397" s="953"/>
      <c r="M397" s="953"/>
      <c r="N397" s="953"/>
      <c r="O397" s="953"/>
      <c r="P397" s="953"/>
    </row>
    <row r="398">
      <c r="A398" s="953"/>
      <c r="B398" s="953"/>
      <c r="C398" s="953"/>
      <c r="D398" s="953"/>
      <c r="E398" s="953"/>
      <c r="F398" s="953"/>
      <c r="G398" s="953"/>
      <c r="H398" s="953"/>
      <c r="I398" s="953"/>
      <c r="J398" s="953"/>
      <c r="K398" s="953"/>
      <c r="L398" s="953"/>
      <c r="M398" s="953"/>
      <c r="N398" s="953"/>
      <c r="O398" s="953"/>
      <c r="P398" s="953"/>
    </row>
    <row r="399">
      <c r="A399" s="953"/>
      <c r="B399" s="953"/>
      <c r="C399" s="953"/>
      <c r="D399" s="953"/>
      <c r="E399" s="953"/>
      <c r="F399" s="953"/>
      <c r="G399" s="953"/>
      <c r="H399" s="953"/>
      <c r="I399" s="953"/>
      <c r="J399" s="953"/>
      <c r="K399" s="953"/>
      <c r="L399" s="953"/>
      <c r="M399" s="953"/>
      <c r="N399" s="953"/>
      <c r="O399" s="953"/>
      <c r="P399" s="953"/>
    </row>
    <row r="400">
      <c r="A400" s="953"/>
      <c r="B400" s="953"/>
      <c r="C400" s="953"/>
      <c r="D400" s="953"/>
      <c r="E400" s="953"/>
      <c r="F400" s="953"/>
      <c r="G400" s="953"/>
      <c r="H400" s="953"/>
      <c r="I400" s="953"/>
      <c r="J400" s="953"/>
      <c r="K400" s="953"/>
      <c r="L400" s="953"/>
      <c r="M400" s="953"/>
      <c r="N400" s="953"/>
      <c r="O400" s="953"/>
      <c r="P400" s="953"/>
    </row>
    <row r="401">
      <c r="A401" s="953"/>
      <c r="B401" s="953"/>
      <c r="C401" s="953"/>
      <c r="D401" s="953"/>
      <c r="E401" s="953"/>
      <c r="F401" s="953"/>
      <c r="G401" s="953"/>
      <c r="H401" s="953"/>
      <c r="I401" s="953"/>
      <c r="J401" s="953"/>
      <c r="K401" s="953"/>
      <c r="L401" s="953"/>
      <c r="M401" s="953"/>
      <c r="N401" s="953"/>
      <c r="O401" s="953"/>
      <c r="P401" s="953"/>
    </row>
    <row r="402">
      <c r="A402" s="953"/>
      <c r="B402" s="953"/>
      <c r="C402" s="953"/>
      <c r="D402" s="953"/>
      <c r="E402" s="953"/>
      <c r="F402" s="953"/>
      <c r="G402" s="953"/>
      <c r="H402" s="953"/>
      <c r="I402" s="953"/>
      <c r="J402" s="953"/>
      <c r="K402" s="953"/>
      <c r="L402" s="953"/>
      <c r="M402" s="953"/>
      <c r="N402" s="953"/>
      <c r="O402" s="953"/>
      <c r="P402" s="953"/>
    </row>
    <row r="403">
      <c r="A403" s="953"/>
      <c r="B403" s="953"/>
      <c r="C403" s="953"/>
      <c r="D403" s="953"/>
      <c r="E403" s="953"/>
      <c r="F403" s="953"/>
      <c r="G403" s="953"/>
      <c r="H403" s="953"/>
      <c r="I403" s="953"/>
      <c r="J403" s="953"/>
      <c r="K403" s="953"/>
      <c r="L403" s="953"/>
      <c r="M403" s="953"/>
      <c r="N403" s="953"/>
      <c r="O403" s="953"/>
      <c r="P403" s="953"/>
    </row>
    <row r="404">
      <c r="A404" s="953"/>
      <c r="B404" s="953"/>
      <c r="C404" s="953"/>
      <c r="D404" s="953"/>
      <c r="E404" s="953"/>
      <c r="F404" s="953"/>
      <c r="G404" s="953"/>
      <c r="H404" s="953"/>
      <c r="I404" s="953"/>
      <c r="J404" s="953"/>
      <c r="K404" s="953"/>
      <c r="L404" s="953"/>
      <c r="M404" s="953"/>
      <c r="N404" s="953"/>
      <c r="O404" s="953"/>
      <c r="P404" s="953"/>
    </row>
    <row r="405">
      <c r="A405" s="953"/>
      <c r="B405" s="953"/>
      <c r="C405" s="953"/>
      <c r="D405" s="953"/>
      <c r="E405" s="953"/>
      <c r="F405" s="953"/>
      <c r="G405" s="953"/>
      <c r="H405" s="953"/>
      <c r="I405" s="953"/>
      <c r="J405" s="953"/>
      <c r="K405" s="953"/>
      <c r="L405" s="953"/>
      <c r="M405" s="953"/>
      <c r="N405" s="953"/>
      <c r="O405" s="953"/>
      <c r="P405" s="953"/>
    </row>
    <row r="406">
      <c r="A406" s="953"/>
      <c r="B406" s="953"/>
      <c r="C406" s="953"/>
      <c r="D406" s="953"/>
      <c r="E406" s="953"/>
      <c r="F406" s="953"/>
      <c r="G406" s="953"/>
      <c r="H406" s="953"/>
      <c r="I406" s="953"/>
      <c r="J406" s="953"/>
      <c r="K406" s="953"/>
      <c r="L406" s="953"/>
      <c r="M406" s="953"/>
      <c r="N406" s="953"/>
      <c r="O406" s="953"/>
      <c r="P406" s="953"/>
    </row>
    <row r="407">
      <c r="A407" s="953"/>
      <c r="B407" s="953"/>
      <c r="C407" s="953"/>
      <c r="D407" s="953"/>
      <c r="E407" s="953"/>
      <c r="F407" s="953"/>
      <c r="G407" s="953"/>
      <c r="H407" s="953"/>
      <c r="I407" s="953"/>
      <c r="J407" s="953"/>
      <c r="K407" s="953"/>
      <c r="L407" s="953"/>
      <c r="M407" s="953"/>
      <c r="N407" s="953"/>
      <c r="O407" s="953"/>
      <c r="P407" s="953"/>
    </row>
    <row r="408">
      <c r="A408" s="953"/>
      <c r="B408" s="953"/>
      <c r="C408" s="953"/>
      <c r="D408" s="953"/>
      <c r="E408" s="953"/>
      <c r="F408" s="953"/>
      <c r="G408" s="953"/>
      <c r="H408" s="953"/>
      <c r="I408" s="953"/>
      <c r="J408" s="953"/>
      <c r="K408" s="953"/>
      <c r="L408" s="953"/>
      <c r="M408" s="953"/>
      <c r="N408" s="953"/>
      <c r="O408" s="953"/>
      <c r="P408" s="953"/>
    </row>
    <row r="409">
      <c r="A409" s="953"/>
      <c r="B409" s="953"/>
      <c r="C409" s="953"/>
      <c r="D409" s="953"/>
      <c r="E409" s="953"/>
      <c r="F409" s="953"/>
      <c r="G409" s="953"/>
      <c r="H409" s="953"/>
      <c r="I409" s="953"/>
      <c r="J409" s="953"/>
      <c r="K409" s="953"/>
      <c r="L409" s="953"/>
      <c r="M409" s="953"/>
      <c r="N409" s="953"/>
      <c r="O409" s="953"/>
      <c r="P409" s="953"/>
    </row>
    <row r="410">
      <c r="A410" s="953"/>
      <c r="B410" s="953"/>
      <c r="C410" s="953"/>
      <c r="D410" s="953"/>
      <c r="E410" s="953"/>
      <c r="F410" s="953"/>
      <c r="G410" s="953"/>
      <c r="H410" s="953"/>
      <c r="I410" s="953"/>
      <c r="J410" s="953"/>
      <c r="K410" s="953"/>
      <c r="L410" s="953"/>
      <c r="M410" s="953"/>
      <c r="N410" s="953"/>
      <c r="O410" s="953"/>
      <c r="P410" s="953"/>
    </row>
    <row r="411">
      <c r="A411" s="953"/>
      <c r="B411" s="953"/>
      <c r="C411" s="953"/>
      <c r="D411" s="953"/>
      <c r="E411" s="953"/>
      <c r="F411" s="953"/>
      <c r="G411" s="953"/>
      <c r="H411" s="953"/>
      <c r="I411" s="953"/>
      <c r="J411" s="953"/>
      <c r="K411" s="953"/>
      <c r="L411" s="953"/>
      <c r="M411" s="953"/>
      <c r="N411" s="953"/>
      <c r="O411" s="953"/>
      <c r="P411" s="953"/>
    </row>
    <row r="412">
      <c r="A412" s="953"/>
      <c r="B412" s="953"/>
      <c r="C412" s="953"/>
      <c r="D412" s="953"/>
      <c r="E412" s="953"/>
      <c r="F412" s="953"/>
      <c r="G412" s="953"/>
      <c r="H412" s="953"/>
      <c r="I412" s="953"/>
      <c r="J412" s="953"/>
      <c r="K412" s="953"/>
      <c r="L412" s="953"/>
      <c r="M412" s="953"/>
      <c r="N412" s="953"/>
      <c r="O412" s="953"/>
      <c r="P412" s="953"/>
    </row>
    <row r="413">
      <c r="A413" s="953"/>
      <c r="B413" s="953"/>
      <c r="C413" s="953"/>
      <c r="D413" s="953"/>
      <c r="E413" s="953"/>
      <c r="F413" s="953"/>
      <c r="G413" s="953"/>
      <c r="H413" s="953"/>
      <c r="I413" s="953"/>
      <c r="J413" s="953"/>
      <c r="K413" s="953"/>
      <c r="L413" s="953"/>
      <c r="M413" s="953"/>
      <c r="N413" s="953"/>
      <c r="O413" s="953"/>
      <c r="P413" s="953"/>
    </row>
    <row r="414">
      <c r="A414" s="953"/>
      <c r="B414" s="953"/>
      <c r="C414" s="953"/>
      <c r="D414" s="953"/>
      <c r="E414" s="953"/>
      <c r="F414" s="953"/>
      <c r="G414" s="953"/>
      <c r="H414" s="953"/>
      <c r="I414" s="953"/>
      <c r="J414" s="953"/>
      <c r="K414" s="953"/>
      <c r="L414" s="953"/>
      <c r="M414" s="953"/>
      <c r="N414" s="953"/>
      <c r="O414" s="953"/>
      <c r="P414" s="953"/>
    </row>
    <row r="415">
      <c r="A415" s="953"/>
      <c r="B415" s="953"/>
      <c r="C415" s="953"/>
      <c r="D415" s="953"/>
      <c r="E415" s="953"/>
      <c r="F415" s="953"/>
      <c r="G415" s="953"/>
      <c r="H415" s="953"/>
      <c r="I415" s="953"/>
      <c r="J415" s="953"/>
      <c r="K415" s="953"/>
      <c r="L415" s="953"/>
      <c r="M415" s="953"/>
      <c r="N415" s="953"/>
      <c r="O415" s="953"/>
      <c r="P415" s="953"/>
    </row>
    <row r="416">
      <c r="A416" s="953"/>
      <c r="B416" s="953"/>
      <c r="C416" s="953"/>
      <c r="D416" s="953"/>
      <c r="E416" s="953"/>
      <c r="F416" s="953"/>
      <c r="G416" s="953"/>
      <c r="H416" s="953"/>
      <c r="I416" s="953"/>
      <c r="J416" s="953"/>
      <c r="K416" s="953"/>
      <c r="L416" s="953"/>
      <c r="M416" s="953"/>
      <c r="N416" s="953"/>
      <c r="O416" s="953"/>
      <c r="P416" s="953"/>
    </row>
    <row r="417">
      <c r="A417" s="953"/>
      <c r="B417" s="953"/>
      <c r="C417" s="953"/>
      <c r="D417" s="953"/>
      <c r="E417" s="953"/>
      <c r="F417" s="953"/>
      <c r="G417" s="953"/>
      <c r="H417" s="953"/>
      <c r="I417" s="953"/>
      <c r="J417" s="953"/>
      <c r="K417" s="953"/>
      <c r="L417" s="953"/>
      <c r="M417" s="953"/>
      <c r="N417" s="953"/>
      <c r="O417" s="953"/>
      <c r="P417" s="953"/>
    </row>
    <row r="418">
      <c r="A418" s="953"/>
      <c r="B418" s="953"/>
      <c r="C418" s="953"/>
      <c r="D418" s="953"/>
      <c r="E418" s="953"/>
      <c r="F418" s="953"/>
      <c r="G418" s="953"/>
      <c r="H418" s="953"/>
      <c r="I418" s="953"/>
      <c r="J418" s="953"/>
      <c r="K418" s="953"/>
      <c r="L418" s="953"/>
      <c r="M418" s="953"/>
      <c r="N418" s="953"/>
      <c r="O418" s="953"/>
      <c r="P418" s="953"/>
    </row>
    <row r="419">
      <c r="A419" s="953"/>
      <c r="B419" s="953"/>
      <c r="C419" s="953"/>
      <c r="D419" s="953"/>
      <c r="E419" s="953"/>
      <c r="F419" s="953"/>
      <c r="G419" s="953"/>
      <c r="H419" s="953"/>
      <c r="I419" s="953"/>
      <c r="J419" s="953"/>
      <c r="K419" s="953"/>
      <c r="L419" s="953"/>
      <c r="M419" s="953"/>
      <c r="N419" s="953"/>
      <c r="O419" s="953"/>
      <c r="P419" s="953"/>
    </row>
    <row r="420">
      <c r="A420" s="953"/>
      <c r="B420" s="953"/>
      <c r="C420" s="953"/>
      <c r="D420" s="953"/>
      <c r="E420" s="953"/>
      <c r="F420" s="953"/>
      <c r="G420" s="953"/>
      <c r="H420" s="953"/>
      <c r="I420" s="953"/>
      <c r="J420" s="953"/>
      <c r="K420" s="953"/>
      <c r="L420" s="953"/>
      <c r="M420" s="953"/>
      <c r="N420" s="953"/>
      <c r="O420" s="953"/>
      <c r="P420" s="953"/>
    </row>
    <row r="421">
      <c r="A421" s="953"/>
      <c r="B421" s="953"/>
      <c r="C421" s="953"/>
      <c r="D421" s="953"/>
      <c r="E421" s="953"/>
      <c r="F421" s="953"/>
      <c r="G421" s="953"/>
      <c r="H421" s="953"/>
      <c r="I421" s="953"/>
      <c r="J421" s="953"/>
      <c r="K421" s="953"/>
      <c r="L421" s="953"/>
      <c r="M421" s="953"/>
      <c r="N421" s="953"/>
      <c r="O421" s="953"/>
      <c r="P421" s="953"/>
    </row>
    <row r="422">
      <c r="A422" s="953"/>
      <c r="B422" s="953"/>
      <c r="C422" s="953"/>
      <c r="D422" s="953"/>
      <c r="E422" s="953"/>
      <c r="F422" s="953"/>
      <c r="G422" s="953"/>
      <c r="H422" s="953"/>
      <c r="I422" s="953"/>
      <c r="J422" s="953"/>
      <c r="K422" s="953"/>
      <c r="L422" s="953"/>
      <c r="M422" s="953"/>
      <c r="N422" s="953"/>
      <c r="O422" s="953"/>
      <c r="P422" s="953"/>
    </row>
    <row r="423">
      <c r="A423" s="953"/>
      <c r="B423" s="953"/>
      <c r="C423" s="953"/>
      <c r="D423" s="953"/>
      <c r="E423" s="953"/>
      <c r="F423" s="953"/>
      <c r="G423" s="953"/>
      <c r="H423" s="953"/>
      <c r="I423" s="953"/>
      <c r="J423" s="953"/>
      <c r="K423" s="953"/>
      <c r="L423" s="953"/>
      <c r="M423" s="953"/>
      <c r="N423" s="953"/>
      <c r="O423" s="953"/>
      <c r="P423" s="953"/>
    </row>
    <row r="424">
      <c r="A424" s="953"/>
      <c r="B424" s="953"/>
      <c r="C424" s="953"/>
      <c r="D424" s="953"/>
      <c r="E424" s="953"/>
      <c r="F424" s="953"/>
      <c r="G424" s="953"/>
      <c r="H424" s="953"/>
      <c r="I424" s="953"/>
      <c r="J424" s="953"/>
      <c r="K424" s="953"/>
      <c r="L424" s="953"/>
      <c r="M424" s="953"/>
      <c r="N424" s="953"/>
      <c r="O424" s="953"/>
      <c r="P424" s="953"/>
    </row>
    <row r="425">
      <c r="A425" s="953"/>
      <c r="B425" s="953"/>
      <c r="C425" s="953"/>
      <c r="D425" s="953"/>
      <c r="E425" s="953"/>
      <c r="F425" s="953"/>
      <c r="G425" s="953"/>
      <c r="H425" s="953"/>
      <c r="I425" s="953"/>
      <c r="J425" s="953"/>
      <c r="K425" s="953"/>
      <c r="L425" s="953"/>
      <c r="M425" s="953"/>
      <c r="N425" s="953"/>
      <c r="O425" s="953"/>
      <c r="P425" s="953"/>
    </row>
    <row r="426">
      <c r="A426" s="953"/>
      <c r="B426" s="953"/>
      <c r="C426" s="953"/>
      <c r="D426" s="953"/>
      <c r="E426" s="953"/>
      <c r="F426" s="953"/>
      <c r="G426" s="953"/>
      <c r="H426" s="953"/>
      <c r="I426" s="953"/>
      <c r="J426" s="953"/>
      <c r="K426" s="953"/>
      <c r="L426" s="953"/>
      <c r="M426" s="953"/>
      <c r="N426" s="953"/>
      <c r="O426" s="953"/>
      <c r="P426" s="953"/>
    </row>
    <row r="427">
      <c r="A427" s="953"/>
      <c r="B427" s="953"/>
      <c r="C427" s="953"/>
      <c r="D427" s="953"/>
      <c r="E427" s="953"/>
      <c r="F427" s="953"/>
      <c r="G427" s="953"/>
      <c r="H427" s="953"/>
      <c r="I427" s="953"/>
      <c r="J427" s="953"/>
      <c r="K427" s="953"/>
      <c r="L427" s="953"/>
      <c r="M427" s="953"/>
      <c r="N427" s="953"/>
      <c r="O427" s="953"/>
      <c r="P427" s="953"/>
    </row>
    <row r="428">
      <c r="A428" s="953"/>
      <c r="B428" s="953"/>
      <c r="C428" s="953"/>
      <c r="D428" s="953"/>
      <c r="E428" s="953"/>
      <c r="F428" s="953"/>
      <c r="G428" s="953"/>
      <c r="H428" s="953"/>
      <c r="I428" s="953"/>
      <c r="J428" s="953"/>
      <c r="K428" s="953"/>
      <c r="L428" s="953"/>
      <c r="M428" s="953"/>
      <c r="N428" s="953"/>
      <c r="O428" s="953"/>
      <c r="P428" s="953"/>
    </row>
    <row r="429">
      <c r="A429" s="953"/>
      <c r="B429" s="953"/>
      <c r="C429" s="953"/>
      <c r="D429" s="953"/>
      <c r="E429" s="953"/>
      <c r="F429" s="953"/>
      <c r="G429" s="953"/>
      <c r="H429" s="953"/>
      <c r="I429" s="953"/>
      <c r="J429" s="953"/>
      <c r="K429" s="953"/>
      <c r="L429" s="953"/>
      <c r="M429" s="953"/>
      <c r="N429" s="953"/>
      <c r="O429" s="953"/>
      <c r="P429" s="953"/>
    </row>
    <row r="430">
      <c r="A430" s="953"/>
      <c r="B430" s="953"/>
      <c r="C430" s="953"/>
      <c r="D430" s="953"/>
      <c r="E430" s="953"/>
      <c r="F430" s="953"/>
      <c r="G430" s="953"/>
      <c r="H430" s="953"/>
      <c r="I430" s="953"/>
      <c r="J430" s="953"/>
      <c r="K430" s="953"/>
      <c r="L430" s="953"/>
      <c r="M430" s="953"/>
      <c r="N430" s="953"/>
      <c r="O430" s="953"/>
      <c r="P430" s="953"/>
    </row>
    <row r="431">
      <c r="A431" s="953"/>
      <c r="B431" s="953"/>
      <c r="C431" s="953"/>
      <c r="D431" s="953"/>
      <c r="E431" s="953"/>
      <c r="F431" s="953"/>
      <c r="G431" s="953"/>
      <c r="H431" s="953"/>
      <c r="I431" s="953"/>
      <c r="J431" s="953"/>
      <c r="K431" s="953"/>
      <c r="L431" s="953"/>
      <c r="M431" s="953"/>
      <c r="N431" s="953"/>
      <c r="O431" s="953"/>
      <c r="P431" s="953"/>
    </row>
    <row r="432">
      <c r="A432" s="953"/>
      <c r="B432" s="953"/>
      <c r="C432" s="953"/>
      <c r="D432" s="953"/>
      <c r="E432" s="953"/>
      <c r="F432" s="953"/>
      <c r="G432" s="953"/>
      <c r="H432" s="953"/>
      <c r="I432" s="953"/>
      <c r="J432" s="953"/>
      <c r="K432" s="953"/>
      <c r="L432" s="953"/>
      <c r="M432" s="953"/>
      <c r="N432" s="953"/>
      <c r="O432" s="953"/>
      <c r="P432" s="953"/>
    </row>
    <row r="433">
      <c r="A433" s="953"/>
      <c r="B433" s="953"/>
      <c r="C433" s="953"/>
      <c r="D433" s="953"/>
      <c r="E433" s="953"/>
      <c r="F433" s="953"/>
      <c r="G433" s="953"/>
      <c r="H433" s="953"/>
      <c r="I433" s="953"/>
      <c r="J433" s="953"/>
      <c r="K433" s="953"/>
      <c r="L433" s="953"/>
      <c r="M433" s="953"/>
      <c r="N433" s="953"/>
      <c r="O433" s="953"/>
      <c r="P433" s="953"/>
    </row>
    <row r="434">
      <c r="A434" s="953"/>
      <c r="B434" s="953"/>
      <c r="C434" s="953"/>
      <c r="D434" s="953"/>
      <c r="E434" s="953"/>
      <c r="F434" s="953"/>
      <c r="G434" s="953"/>
      <c r="H434" s="953"/>
      <c r="I434" s="953"/>
      <c r="J434" s="953"/>
      <c r="K434" s="953"/>
      <c r="L434" s="953"/>
      <c r="M434" s="953"/>
      <c r="N434" s="953"/>
      <c r="O434" s="953"/>
      <c r="P434" s="953"/>
    </row>
    <row r="435">
      <c r="A435" s="953"/>
      <c r="B435" s="953"/>
      <c r="C435" s="953"/>
      <c r="D435" s="953"/>
      <c r="E435" s="953"/>
      <c r="F435" s="953"/>
      <c r="G435" s="953"/>
      <c r="H435" s="953"/>
      <c r="I435" s="953"/>
      <c r="J435" s="953"/>
      <c r="K435" s="953"/>
      <c r="L435" s="953"/>
      <c r="M435" s="953"/>
      <c r="N435" s="953"/>
      <c r="O435" s="953"/>
      <c r="P435" s="953"/>
    </row>
    <row r="436">
      <c r="A436" s="953"/>
      <c r="B436" s="953"/>
      <c r="C436" s="953"/>
      <c r="D436" s="953"/>
      <c r="E436" s="953"/>
      <c r="F436" s="953"/>
      <c r="G436" s="953"/>
      <c r="H436" s="953"/>
      <c r="I436" s="953"/>
      <c r="J436" s="953"/>
      <c r="K436" s="953"/>
      <c r="L436" s="953"/>
      <c r="M436" s="953"/>
      <c r="N436" s="953"/>
      <c r="O436" s="953"/>
      <c r="P436" s="953"/>
    </row>
    <row r="437">
      <c r="A437" s="953"/>
      <c r="B437" s="953"/>
      <c r="C437" s="953"/>
      <c r="D437" s="953"/>
      <c r="E437" s="953"/>
      <c r="F437" s="953"/>
      <c r="G437" s="953"/>
      <c r="H437" s="953"/>
      <c r="I437" s="953"/>
      <c r="J437" s="953"/>
      <c r="K437" s="953"/>
      <c r="L437" s="953"/>
      <c r="M437" s="953"/>
      <c r="N437" s="953"/>
      <c r="O437" s="953"/>
      <c r="P437" s="953"/>
    </row>
    <row r="438">
      <c r="A438" s="953"/>
      <c r="B438" s="953"/>
      <c r="C438" s="953"/>
      <c r="D438" s="953"/>
      <c r="E438" s="953"/>
      <c r="F438" s="953"/>
      <c r="G438" s="953"/>
      <c r="H438" s="953"/>
      <c r="I438" s="953"/>
      <c r="J438" s="953"/>
      <c r="K438" s="953"/>
      <c r="L438" s="953"/>
      <c r="M438" s="953"/>
      <c r="N438" s="953"/>
      <c r="O438" s="953"/>
      <c r="P438" s="953"/>
    </row>
    <row r="439">
      <c r="A439" s="953"/>
      <c r="B439" s="953"/>
      <c r="C439" s="953"/>
      <c r="D439" s="953"/>
      <c r="E439" s="953"/>
      <c r="F439" s="953"/>
      <c r="G439" s="953"/>
      <c r="H439" s="953"/>
      <c r="I439" s="953"/>
      <c r="J439" s="953"/>
      <c r="K439" s="953"/>
      <c r="L439" s="953"/>
      <c r="M439" s="953"/>
      <c r="N439" s="953"/>
      <c r="O439" s="953"/>
      <c r="P439" s="953"/>
    </row>
    <row r="440">
      <c r="A440" s="953"/>
      <c r="B440" s="953"/>
      <c r="C440" s="953"/>
      <c r="D440" s="953"/>
      <c r="E440" s="953"/>
      <c r="F440" s="953"/>
      <c r="G440" s="953"/>
      <c r="H440" s="953"/>
      <c r="I440" s="953"/>
      <c r="J440" s="953"/>
      <c r="K440" s="953"/>
      <c r="L440" s="953"/>
      <c r="M440" s="953"/>
      <c r="N440" s="953"/>
      <c r="O440" s="953"/>
      <c r="P440" s="953"/>
    </row>
    <row r="441">
      <c r="A441" s="953"/>
      <c r="B441" s="953"/>
      <c r="C441" s="953"/>
      <c r="D441" s="953"/>
      <c r="E441" s="953"/>
      <c r="F441" s="953"/>
      <c r="G441" s="953"/>
      <c r="H441" s="953"/>
      <c r="I441" s="953"/>
      <c r="J441" s="953"/>
      <c r="K441" s="953"/>
      <c r="L441" s="953"/>
      <c r="M441" s="953"/>
      <c r="N441" s="953"/>
      <c r="O441" s="953"/>
      <c r="P441" s="953"/>
    </row>
    <row r="442">
      <c r="A442" s="953"/>
      <c r="B442" s="953"/>
      <c r="C442" s="953"/>
      <c r="D442" s="953"/>
      <c r="E442" s="953"/>
      <c r="F442" s="953"/>
      <c r="G442" s="953"/>
      <c r="H442" s="953"/>
      <c r="I442" s="953"/>
      <c r="J442" s="953"/>
      <c r="K442" s="953"/>
      <c r="L442" s="953"/>
      <c r="M442" s="953"/>
      <c r="N442" s="953"/>
      <c r="O442" s="953"/>
      <c r="P442" s="953"/>
    </row>
    <row r="443">
      <c r="A443" s="953"/>
      <c r="B443" s="953"/>
      <c r="C443" s="953"/>
      <c r="D443" s="953"/>
      <c r="E443" s="953"/>
      <c r="F443" s="953"/>
      <c r="G443" s="953"/>
      <c r="H443" s="953"/>
      <c r="I443" s="953"/>
      <c r="J443" s="953"/>
      <c r="K443" s="953"/>
      <c r="L443" s="953"/>
      <c r="M443" s="953"/>
      <c r="N443" s="953"/>
      <c r="O443" s="953"/>
      <c r="P443" s="953"/>
    </row>
    <row r="444">
      <c r="A444" s="953"/>
      <c r="B444" s="953"/>
      <c r="C444" s="953"/>
      <c r="D444" s="953"/>
      <c r="E444" s="953"/>
      <c r="F444" s="953"/>
      <c r="G444" s="953"/>
      <c r="H444" s="953"/>
      <c r="I444" s="953"/>
      <c r="J444" s="953"/>
      <c r="K444" s="953"/>
      <c r="L444" s="953"/>
      <c r="M444" s="953"/>
      <c r="N444" s="953"/>
      <c r="O444" s="953"/>
      <c r="P444" s="953"/>
    </row>
    <row r="445">
      <c r="A445" s="953"/>
      <c r="B445" s="953"/>
      <c r="C445" s="953"/>
      <c r="D445" s="953"/>
      <c r="E445" s="953"/>
      <c r="F445" s="953"/>
      <c r="G445" s="953"/>
      <c r="H445" s="953"/>
      <c r="I445" s="953"/>
      <c r="J445" s="953"/>
      <c r="K445" s="953"/>
      <c r="L445" s="953"/>
      <c r="M445" s="953"/>
      <c r="N445" s="953"/>
      <c r="O445" s="953"/>
      <c r="P445" s="953"/>
    </row>
    <row r="446">
      <c r="A446" s="953"/>
      <c r="B446" s="953"/>
      <c r="C446" s="953"/>
      <c r="D446" s="953"/>
      <c r="E446" s="953"/>
      <c r="F446" s="953"/>
      <c r="G446" s="953"/>
      <c r="H446" s="953"/>
      <c r="I446" s="953"/>
      <c r="J446" s="953"/>
      <c r="K446" s="953"/>
      <c r="L446" s="953"/>
      <c r="M446" s="953"/>
      <c r="N446" s="953"/>
      <c r="O446" s="953"/>
      <c r="P446" s="953"/>
    </row>
    <row r="447">
      <c r="A447" s="953"/>
      <c r="B447" s="953"/>
      <c r="C447" s="953"/>
      <c r="D447" s="953"/>
      <c r="E447" s="953"/>
      <c r="F447" s="953"/>
      <c r="G447" s="953"/>
      <c r="H447" s="953"/>
      <c r="I447" s="953"/>
      <c r="J447" s="953"/>
      <c r="K447" s="953"/>
      <c r="L447" s="953"/>
      <c r="M447" s="953"/>
      <c r="N447" s="953"/>
      <c r="O447" s="953"/>
      <c r="P447" s="953"/>
    </row>
    <row r="448">
      <c r="A448" s="953"/>
      <c r="B448" s="953"/>
      <c r="C448" s="953"/>
      <c r="D448" s="953"/>
      <c r="E448" s="953"/>
      <c r="F448" s="953"/>
      <c r="G448" s="953"/>
      <c r="H448" s="953"/>
      <c r="I448" s="953"/>
      <c r="J448" s="953"/>
      <c r="K448" s="953"/>
      <c r="L448" s="953"/>
      <c r="M448" s="953"/>
      <c r="N448" s="953"/>
      <c r="O448" s="953"/>
      <c r="P448" s="953"/>
    </row>
    <row r="449">
      <c r="A449" s="953"/>
      <c r="B449" s="953"/>
      <c r="C449" s="953"/>
      <c r="D449" s="953"/>
      <c r="E449" s="953"/>
      <c r="F449" s="953"/>
      <c r="G449" s="953"/>
      <c r="H449" s="953"/>
      <c r="I449" s="953"/>
      <c r="J449" s="953"/>
      <c r="K449" s="953"/>
      <c r="L449" s="953"/>
      <c r="M449" s="953"/>
      <c r="N449" s="953"/>
      <c r="O449" s="953"/>
      <c r="P449" s="953"/>
    </row>
    <row r="450">
      <c r="A450" s="953"/>
      <c r="B450" s="953"/>
      <c r="C450" s="953"/>
      <c r="D450" s="953"/>
      <c r="E450" s="953"/>
      <c r="F450" s="953"/>
      <c r="G450" s="953"/>
      <c r="H450" s="953"/>
      <c r="I450" s="953"/>
      <c r="J450" s="953"/>
      <c r="K450" s="953"/>
      <c r="L450" s="953"/>
      <c r="M450" s="953"/>
      <c r="N450" s="953"/>
      <c r="O450" s="953"/>
      <c r="P450" s="953"/>
    </row>
    <row r="451">
      <c r="A451" s="953"/>
      <c r="B451" s="953"/>
      <c r="C451" s="953"/>
      <c r="D451" s="953"/>
      <c r="E451" s="953"/>
      <c r="F451" s="953"/>
      <c r="G451" s="953"/>
      <c r="H451" s="953"/>
      <c r="I451" s="953"/>
      <c r="J451" s="953"/>
      <c r="K451" s="953"/>
      <c r="L451" s="953"/>
      <c r="M451" s="953"/>
      <c r="N451" s="953"/>
      <c r="O451" s="953"/>
      <c r="P451" s="953"/>
    </row>
    <row r="452">
      <c r="A452" s="953"/>
      <c r="B452" s="953"/>
      <c r="C452" s="953"/>
      <c r="D452" s="953"/>
      <c r="E452" s="953"/>
      <c r="F452" s="953"/>
      <c r="G452" s="953"/>
      <c r="H452" s="953"/>
      <c r="I452" s="953"/>
      <c r="J452" s="953"/>
      <c r="K452" s="953"/>
      <c r="L452" s="953"/>
      <c r="M452" s="953"/>
      <c r="N452" s="953"/>
      <c r="O452" s="953"/>
      <c r="P452" s="953"/>
    </row>
    <row r="453">
      <c r="A453" s="953"/>
      <c r="B453" s="953"/>
      <c r="C453" s="953"/>
      <c r="D453" s="953"/>
      <c r="E453" s="953"/>
      <c r="F453" s="953"/>
      <c r="G453" s="953"/>
      <c r="H453" s="953"/>
      <c r="I453" s="953"/>
      <c r="J453" s="953"/>
      <c r="K453" s="953"/>
      <c r="L453" s="953"/>
      <c r="M453" s="953"/>
      <c r="N453" s="953"/>
      <c r="O453" s="953"/>
      <c r="P453" s="953"/>
    </row>
    <row r="454">
      <c r="A454" s="953"/>
      <c r="B454" s="953"/>
      <c r="C454" s="953"/>
      <c r="D454" s="953"/>
      <c r="E454" s="953"/>
      <c r="F454" s="953"/>
      <c r="G454" s="953"/>
      <c r="H454" s="953"/>
      <c r="I454" s="953"/>
      <c r="J454" s="953"/>
      <c r="K454" s="953"/>
      <c r="L454" s="953"/>
      <c r="M454" s="953"/>
      <c r="N454" s="953"/>
      <c r="O454" s="953"/>
      <c r="P454" s="953"/>
    </row>
    <row r="455">
      <c r="A455" s="953"/>
      <c r="B455" s="953"/>
      <c r="C455" s="953"/>
      <c r="D455" s="953"/>
      <c r="E455" s="953"/>
      <c r="F455" s="953"/>
      <c r="G455" s="953"/>
      <c r="H455" s="953"/>
      <c r="I455" s="953"/>
      <c r="J455" s="953"/>
      <c r="K455" s="953"/>
      <c r="L455" s="953"/>
      <c r="M455" s="953"/>
      <c r="N455" s="953"/>
      <c r="O455" s="953"/>
      <c r="P455" s="953"/>
    </row>
    <row r="456">
      <c r="A456" s="953"/>
      <c r="B456" s="953"/>
      <c r="C456" s="953"/>
      <c r="D456" s="953"/>
      <c r="E456" s="953"/>
      <c r="F456" s="953"/>
      <c r="G456" s="953"/>
      <c r="H456" s="953"/>
      <c r="I456" s="953"/>
      <c r="J456" s="953"/>
      <c r="K456" s="953"/>
      <c r="L456" s="953"/>
      <c r="M456" s="953"/>
      <c r="N456" s="953"/>
      <c r="O456" s="953"/>
      <c r="P456" s="953"/>
    </row>
    <row r="457">
      <c r="A457" s="953"/>
      <c r="B457" s="953"/>
      <c r="C457" s="953"/>
      <c r="D457" s="953"/>
      <c r="E457" s="953"/>
      <c r="F457" s="953"/>
      <c r="G457" s="953"/>
      <c r="H457" s="953"/>
      <c r="I457" s="953"/>
      <c r="J457" s="953"/>
      <c r="K457" s="953"/>
      <c r="L457" s="953"/>
      <c r="M457" s="953"/>
      <c r="N457" s="953"/>
      <c r="O457" s="953"/>
      <c r="P457" s="953"/>
    </row>
    <row r="458">
      <c r="A458" s="953"/>
      <c r="B458" s="953"/>
      <c r="C458" s="953"/>
      <c r="D458" s="953"/>
      <c r="E458" s="953"/>
      <c r="F458" s="953"/>
      <c r="G458" s="953"/>
      <c r="H458" s="953"/>
      <c r="I458" s="953"/>
      <c r="J458" s="953"/>
      <c r="K458" s="953"/>
      <c r="L458" s="953"/>
      <c r="M458" s="953"/>
      <c r="N458" s="953"/>
      <c r="O458" s="953"/>
      <c r="P458" s="953"/>
    </row>
    <row r="459">
      <c r="A459" s="953"/>
      <c r="B459" s="953"/>
      <c r="C459" s="953"/>
      <c r="D459" s="953"/>
      <c r="E459" s="953"/>
      <c r="F459" s="953"/>
      <c r="G459" s="953"/>
      <c r="H459" s="953"/>
      <c r="I459" s="953"/>
      <c r="J459" s="953"/>
      <c r="K459" s="953"/>
      <c r="L459" s="953"/>
      <c r="M459" s="953"/>
      <c r="N459" s="953"/>
      <c r="O459" s="953"/>
      <c r="P459" s="953"/>
    </row>
    <row r="460">
      <c r="A460" s="953"/>
      <c r="B460" s="953"/>
      <c r="C460" s="953"/>
      <c r="D460" s="953"/>
      <c r="E460" s="953"/>
      <c r="F460" s="953"/>
      <c r="G460" s="953"/>
      <c r="H460" s="953"/>
      <c r="I460" s="953"/>
      <c r="J460" s="953"/>
      <c r="K460" s="953"/>
      <c r="L460" s="953"/>
      <c r="M460" s="953"/>
      <c r="N460" s="953"/>
      <c r="O460" s="953"/>
      <c r="P460" s="953"/>
    </row>
    <row r="461">
      <c r="A461" s="953"/>
      <c r="B461" s="953"/>
      <c r="C461" s="953"/>
      <c r="D461" s="953"/>
      <c r="E461" s="953"/>
      <c r="F461" s="953"/>
      <c r="G461" s="953"/>
      <c r="H461" s="953"/>
      <c r="I461" s="953"/>
      <c r="J461" s="953"/>
      <c r="K461" s="953"/>
      <c r="L461" s="953"/>
      <c r="M461" s="953"/>
      <c r="N461" s="953"/>
      <c r="O461" s="953"/>
      <c r="P461" s="953"/>
    </row>
    <row r="462">
      <c r="A462" s="953"/>
      <c r="B462" s="953"/>
      <c r="C462" s="953"/>
      <c r="D462" s="953"/>
      <c r="E462" s="953"/>
      <c r="F462" s="953"/>
      <c r="G462" s="953"/>
      <c r="H462" s="953"/>
      <c r="I462" s="953"/>
      <c r="J462" s="953"/>
      <c r="K462" s="953"/>
      <c r="L462" s="953"/>
      <c r="M462" s="953"/>
      <c r="N462" s="953"/>
      <c r="O462" s="953"/>
      <c r="P462" s="953"/>
    </row>
    <row r="463">
      <c r="A463" s="953"/>
      <c r="B463" s="953"/>
      <c r="C463" s="953"/>
      <c r="D463" s="953"/>
      <c r="E463" s="953"/>
      <c r="F463" s="953"/>
      <c r="G463" s="953"/>
      <c r="H463" s="953"/>
      <c r="I463" s="953"/>
      <c r="J463" s="953"/>
      <c r="K463" s="953"/>
      <c r="L463" s="953"/>
      <c r="M463" s="953"/>
      <c r="N463" s="953"/>
      <c r="O463" s="953"/>
      <c r="P463" s="953"/>
    </row>
    <row r="464">
      <c r="A464" s="953"/>
      <c r="B464" s="953"/>
      <c r="C464" s="953"/>
      <c r="D464" s="953"/>
      <c r="E464" s="953"/>
      <c r="F464" s="953"/>
      <c r="G464" s="953"/>
      <c r="H464" s="953"/>
      <c r="I464" s="953"/>
      <c r="J464" s="953"/>
      <c r="K464" s="953"/>
      <c r="L464" s="953"/>
      <c r="M464" s="953"/>
      <c r="N464" s="953"/>
      <c r="O464" s="953"/>
      <c r="P464" s="953"/>
    </row>
    <row r="465">
      <c r="A465" s="953"/>
      <c r="B465" s="953"/>
      <c r="C465" s="953"/>
      <c r="D465" s="953"/>
      <c r="E465" s="953"/>
      <c r="F465" s="953"/>
      <c r="G465" s="953"/>
      <c r="H465" s="953"/>
      <c r="I465" s="953"/>
      <c r="J465" s="953"/>
      <c r="K465" s="953"/>
      <c r="L465" s="953"/>
      <c r="M465" s="953"/>
      <c r="N465" s="953"/>
      <c r="O465" s="953"/>
      <c r="P465" s="953"/>
    </row>
    <row r="466">
      <c r="A466" s="953"/>
      <c r="B466" s="953"/>
      <c r="C466" s="953"/>
      <c r="D466" s="953"/>
      <c r="E466" s="953"/>
      <c r="F466" s="953"/>
      <c r="G466" s="953"/>
      <c r="H466" s="953"/>
      <c r="I466" s="953"/>
      <c r="J466" s="953"/>
      <c r="K466" s="953"/>
      <c r="L466" s="953"/>
      <c r="M466" s="953"/>
      <c r="N466" s="953"/>
      <c r="O466" s="953"/>
      <c r="P466" s="953"/>
    </row>
    <row r="467">
      <c r="A467" s="953"/>
      <c r="B467" s="953"/>
      <c r="C467" s="953"/>
      <c r="D467" s="953"/>
      <c r="E467" s="953"/>
      <c r="F467" s="953"/>
      <c r="G467" s="953"/>
      <c r="H467" s="953"/>
      <c r="I467" s="953"/>
      <c r="J467" s="953"/>
      <c r="K467" s="953"/>
      <c r="L467" s="953"/>
      <c r="M467" s="953"/>
      <c r="N467" s="953"/>
      <c r="O467" s="953"/>
      <c r="P467" s="953"/>
    </row>
    <row r="468">
      <c r="A468" s="953"/>
      <c r="B468" s="953"/>
      <c r="C468" s="953"/>
      <c r="D468" s="953"/>
      <c r="E468" s="953"/>
      <c r="F468" s="953"/>
      <c r="G468" s="953"/>
      <c r="H468" s="953"/>
      <c r="I468" s="953"/>
      <c r="J468" s="953"/>
      <c r="K468" s="953"/>
      <c r="L468" s="953"/>
      <c r="M468" s="953"/>
      <c r="N468" s="953"/>
      <c r="O468" s="953"/>
      <c r="P468" s="953"/>
    </row>
    <row r="469">
      <c r="A469" s="953"/>
      <c r="B469" s="953"/>
      <c r="C469" s="953"/>
      <c r="D469" s="953"/>
      <c r="E469" s="953"/>
      <c r="F469" s="953"/>
      <c r="G469" s="953"/>
      <c r="H469" s="953"/>
      <c r="I469" s="953"/>
      <c r="J469" s="953"/>
      <c r="K469" s="953"/>
      <c r="L469" s="953"/>
      <c r="M469" s="953"/>
      <c r="N469" s="953"/>
      <c r="O469" s="953"/>
      <c r="P469" s="953"/>
    </row>
    <row r="470">
      <c r="A470" s="953"/>
      <c r="B470" s="953"/>
      <c r="C470" s="953"/>
      <c r="D470" s="953"/>
      <c r="E470" s="953"/>
      <c r="F470" s="953"/>
      <c r="G470" s="953"/>
      <c r="H470" s="953"/>
      <c r="I470" s="953"/>
      <c r="J470" s="953"/>
      <c r="K470" s="953"/>
      <c r="L470" s="953"/>
      <c r="M470" s="953"/>
      <c r="N470" s="953"/>
      <c r="O470" s="953"/>
      <c r="P470" s="953"/>
    </row>
    <row r="471">
      <c r="A471" s="953"/>
      <c r="B471" s="953"/>
      <c r="C471" s="953"/>
      <c r="D471" s="953"/>
      <c r="E471" s="953"/>
      <c r="F471" s="953"/>
      <c r="G471" s="953"/>
      <c r="H471" s="953"/>
      <c r="I471" s="953"/>
      <c r="J471" s="953"/>
      <c r="K471" s="953"/>
      <c r="L471" s="953"/>
      <c r="M471" s="953"/>
      <c r="N471" s="953"/>
      <c r="O471" s="953"/>
      <c r="P471" s="953"/>
    </row>
    <row r="472">
      <c r="A472" s="953"/>
      <c r="B472" s="953"/>
      <c r="C472" s="953"/>
      <c r="D472" s="953"/>
      <c r="E472" s="953"/>
      <c r="F472" s="953"/>
      <c r="G472" s="953"/>
      <c r="H472" s="953"/>
      <c r="I472" s="953"/>
      <c r="J472" s="953"/>
      <c r="K472" s="953"/>
      <c r="L472" s="953"/>
      <c r="M472" s="953"/>
      <c r="N472" s="953"/>
      <c r="O472" s="953"/>
      <c r="P472" s="953"/>
    </row>
    <row r="473">
      <c r="A473" s="953"/>
      <c r="B473" s="953"/>
      <c r="C473" s="953"/>
      <c r="D473" s="953"/>
      <c r="E473" s="953"/>
      <c r="F473" s="953"/>
      <c r="G473" s="953"/>
      <c r="H473" s="953"/>
      <c r="I473" s="953"/>
      <c r="J473" s="953"/>
      <c r="K473" s="953"/>
      <c r="L473" s="953"/>
      <c r="M473" s="953"/>
      <c r="N473" s="953"/>
      <c r="O473" s="953"/>
      <c r="P473" s="953"/>
    </row>
    <row r="474">
      <c r="A474" s="953"/>
      <c r="B474" s="953"/>
      <c r="C474" s="953"/>
      <c r="D474" s="953"/>
      <c r="E474" s="953"/>
      <c r="F474" s="953"/>
      <c r="G474" s="953"/>
      <c r="H474" s="953"/>
      <c r="I474" s="953"/>
      <c r="J474" s="953"/>
      <c r="K474" s="953"/>
      <c r="L474" s="953"/>
      <c r="M474" s="953"/>
      <c r="N474" s="953"/>
      <c r="O474" s="953"/>
      <c r="P474" s="953"/>
    </row>
    <row r="475">
      <c r="A475" s="953"/>
      <c r="B475" s="953"/>
      <c r="C475" s="953"/>
      <c r="D475" s="953"/>
      <c r="E475" s="953"/>
      <c r="F475" s="953"/>
      <c r="G475" s="953"/>
      <c r="H475" s="953"/>
      <c r="I475" s="953"/>
      <c r="J475" s="953"/>
      <c r="K475" s="953"/>
      <c r="L475" s="953"/>
      <c r="M475" s="953"/>
      <c r="N475" s="953"/>
      <c r="O475" s="953"/>
      <c r="P475" s="953"/>
    </row>
    <row r="476">
      <c r="A476" s="953"/>
      <c r="B476" s="953"/>
      <c r="C476" s="953"/>
      <c r="D476" s="953"/>
      <c r="E476" s="953"/>
      <c r="F476" s="953"/>
      <c r="G476" s="953"/>
      <c r="H476" s="953"/>
      <c r="I476" s="953"/>
      <c r="J476" s="953"/>
      <c r="K476" s="953"/>
      <c r="L476" s="953"/>
      <c r="M476" s="953"/>
      <c r="N476" s="953"/>
      <c r="O476" s="953"/>
      <c r="P476" s="953"/>
    </row>
    <row r="477">
      <c r="A477" s="953"/>
      <c r="B477" s="953"/>
      <c r="C477" s="953"/>
      <c r="D477" s="953"/>
      <c r="E477" s="953"/>
      <c r="F477" s="953"/>
      <c r="G477" s="953"/>
      <c r="H477" s="953"/>
      <c r="I477" s="953"/>
      <c r="J477" s="953"/>
      <c r="K477" s="953"/>
      <c r="L477" s="953"/>
      <c r="M477" s="953"/>
      <c r="N477" s="953"/>
      <c r="O477" s="953"/>
      <c r="P477" s="953"/>
    </row>
    <row r="478">
      <c r="A478" s="953"/>
      <c r="B478" s="953"/>
      <c r="C478" s="953"/>
      <c r="D478" s="953"/>
      <c r="E478" s="953"/>
      <c r="F478" s="953"/>
      <c r="G478" s="953"/>
      <c r="H478" s="953"/>
      <c r="I478" s="953"/>
      <c r="J478" s="953"/>
      <c r="K478" s="953"/>
      <c r="L478" s="953"/>
      <c r="M478" s="953"/>
      <c r="N478" s="953"/>
      <c r="O478" s="953"/>
      <c r="P478" s="953"/>
    </row>
    <row r="479">
      <c r="A479" s="953"/>
      <c r="B479" s="953"/>
      <c r="C479" s="953"/>
      <c r="D479" s="953"/>
      <c r="E479" s="953"/>
      <c r="F479" s="953"/>
      <c r="G479" s="953"/>
      <c r="H479" s="953"/>
      <c r="I479" s="953"/>
      <c r="J479" s="953"/>
      <c r="K479" s="953"/>
      <c r="L479" s="953"/>
      <c r="M479" s="953"/>
      <c r="N479" s="953"/>
      <c r="O479" s="953"/>
      <c r="P479" s="953"/>
    </row>
    <row r="480">
      <c r="A480" s="953"/>
      <c r="B480" s="953"/>
      <c r="C480" s="953"/>
      <c r="D480" s="953"/>
      <c r="E480" s="953"/>
      <c r="F480" s="953"/>
      <c r="G480" s="953"/>
      <c r="H480" s="953"/>
      <c r="I480" s="953"/>
      <c r="J480" s="953"/>
      <c r="K480" s="953"/>
      <c r="L480" s="953"/>
      <c r="M480" s="953"/>
      <c r="N480" s="953"/>
      <c r="O480" s="953"/>
      <c r="P480" s="953"/>
    </row>
    <row r="481">
      <c r="A481" s="953"/>
      <c r="B481" s="953"/>
      <c r="C481" s="953"/>
      <c r="D481" s="953"/>
      <c r="E481" s="953"/>
      <c r="F481" s="953"/>
      <c r="G481" s="953"/>
      <c r="H481" s="953"/>
      <c r="I481" s="953"/>
      <c r="J481" s="953"/>
      <c r="K481" s="953"/>
      <c r="L481" s="953"/>
      <c r="M481" s="953"/>
      <c r="N481" s="953"/>
      <c r="O481" s="953"/>
      <c r="P481" s="953"/>
    </row>
    <row r="482">
      <c r="A482" s="953"/>
      <c r="B482" s="953"/>
      <c r="C482" s="953"/>
      <c r="D482" s="953"/>
      <c r="E482" s="953"/>
      <c r="F482" s="953"/>
      <c r="G482" s="953"/>
      <c r="H482" s="953"/>
      <c r="I482" s="953"/>
      <c r="J482" s="953"/>
      <c r="K482" s="953"/>
      <c r="L482" s="953"/>
      <c r="M482" s="953"/>
      <c r="N482" s="953"/>
      <c r="O482" s="953"/>
      <c r="P482" s="953"/>
    </row>
    <row r="483">
      <c r="A483" s="953"/>
      <c r="B483" s="953"/>
      <c r="C483" s="953"/>
      <c r="D483" s="953"/>
      <c r="E483" s="953"/>
      <c r="F483" s="953"/>
      <c r="G483" s="953"/>
      <c r="H483" s="953"/>
      <c r="I483" s="953"/>
      <c r="J483" s="953"/>
      <c r="K483" s="953"/>
      <c r="L483" s="953"/>
      <c r="M483" s="953"/>
      <c r="N483" s="953"/>
      <c r="O483" s="953"/>
      <c r="P483" s="953"/>
    </row>
    <row r="484">
      <c r="A484" s="953"/>
      <c r="B484" s="953"/>
      <c r="C484" s="953"/>
      <c r="D484" s="953"/>
      <c r="E484" s="953"/>
      <c r="F484" s="953"/>
      <c r="G484" s="953"/>
      <c r="H484" s="953"/>
      <c r="I484" s="953"/>
      <c r="J484" s="953"/>
      <c r="K484" s="953"/>
      <c r="L484" s="953"/>
      <c r="M484" s="953"/>
      <c r="N484" s="953"/>
      <c r="O484" s="953"/>
      <c r="P484" s="953"/>
    </row>
    <row r="485">
      <c r="A485" s="953"/>
      <c r="B485" s="953"/>
      <c r="C485" s="953"/>
      <c r="D485" s="953"/>
      <c r="E485" s="953"/>
      <c r="F485" s="953"/>
      <c r="G485" s="953"/>
      <c r="H485" s="953"/>
      <c r="I485" s="953"/>
      <c r="J485" s="953"/>
      <c r="K485" s="953"/>
      <c r="L485" s="953"/>
      <c r="M485" s="953"/>
      <c r="N485" s="953"/>
      <c r="O485" s="953"/>
      <c r="P485" s="953"/>
    </row>
    <row r="486">
      <c r="A486" s="953"/>
      <c r="B486" s="953"/>
      <c r="C486" s="953"/>
      <c r="D486" s="953"/>
      <c r="E486" s="953"/>
      <c r="F486" s="953"/>
      <c r="G486" s="953"/>
      <c r="H486" s="953"/>
      <c r="I486" s="953"/>
      <c r="J486" s="953"/>
      <c r="K486" s="953"/>
      <c r="L486" s="953"/>
      <c r="M486" s="953"/>
      <c r="N486" s="953"/>
      <c r="O486" s="953"/>
      <c r="P486" s="953"/>
    </row>
    <row r="487">
      <c r="A487" s="953"/>
      <c r="B487" s="953"/>
      <c r="C487" s="953"/>
      <c r="D487" s="953"/>
      <c r="E487" s="953"/>
      <c r="F487" s="953"/>
      <c r="G487" s="953"/>
      <c r="H487" s="953"/>
      <c r="I487" s="953"/>
      <c r="J487" s="953"/>
      <c r="K487" s="953"/>
      <c r="L487" s="953"/>
      <c r="M487" s="953"/>
      <c r="N487" s="953"/>
      <c r="O487" s="953"/>
      <c r="P487" s="953"/>
    </row>
    <row r="488">
      <c r="A488" s="953"/>
      <c r="B488" s="953"/>
      <c r="C488" s="953"/>
      <c r="D488" s="953"/>
      <c r="E488" s="953"/>
      <c r="F488" s="953"/>
      <c r="G488" s="953"/>
      <c r="H488" s="953"/>
      <c r="I488" s="953"/>
      <c r="J488" s="953"/>
      <c r="K488" s="953"/>
      <c r="L488" s="953"/>
      <c r="M488" s="953"/>
      <c r="N488" s="953"/>
      <c r="O488" s="953"/>
      <c r="P488" s="953"/>
    </row>
    <row r="489">
      <c r="A489" s="953"/>
      <c r="B489" s="953"/>
      <c r="C489" s="953"/>
      <c r="D489" s="953"/>
      <c r="E489" s="953"/>
      <c r="F489" s="953"/>
      <c r="G489" s="953"/>
      <c r="H489" s="953"/>
      <c r="I489" s="953"/>
      <c r="J489" s="953"/>
      <c r="K489" s="953"/>
      <c r="L489" s="953"/>
      <c r="M489" s="953"/>
      <c r="N489" s="953"/>
      <c r="O489" s="953"/>
      <c r="P489" s="953"/>
    </row>
    <row r="490">
      <c r="A490" s="953"/>
      <c r="B490" s="953"/>
      <c r="C490" s="953"/>
      <c r="D490" s="953"/>
      <c r="E490" s="953"/>
      <c r="F490" s="953"/>
      <c r="G490" s="953"/>
      <c r="H490" s="953"/>
      <c r="I490" s="953"/>
      <c r="J490" s="953"/>
      <c r="K490" s="953"/>
      <c r="L490" s="953"/>
      <c r="M490" s="953"/>
      <c r="N490" s="953"/>
      <c r="O490" s="953"/>
      <c r="P490" s="953"/>
    </row>
    <row r="491">
      <c r="A491" s="953"/>
      <c r="B491" s="953"/>
      <c r="C491" s="953"/>
      <c r="D491" s="953"/>
      <c r="E491" s="953"/>
      <c r="F491" s="953"/>
      <c r="G491" s="953"/>
      <c r="H491" s="953"/>
      <c r="I491" s="953"/>
      <c r="J491" s="953"/>
      <c r="K491" s="953"/>
      <c r="L491" s="953"/>
      <c r="M491" s="953"/>
      <c r="N491" s="953"/>
      <c r="O491" s="953"/>
      <c r="P491" s="953"/>
    </row>
    <row r="492">
      <c r="A492" s="953"/>
      <c r="B492" s="953"/>
      <c r="C492" s="953"/>
      <c r="D492" s="953"/>
      <c r="E492" s="953"/>
      <c r="F492" s="953"/>
      <c r="G492" s="953"/>
      <c r="H492" s="953"/>
      <c r="I492" s="953"/>
      <c r="J492" s="953"/>
      <c r="K492" s="953"/>
      <c r="L492" s="953"/>
      <c r="M492" s="953"/>
      <c r="N492" s="953"/>
      <c r="O492" s="953"/>
      <c r="P492" s="953"/>
    </row>
    <row r="493">
      <c r="A493" s="953"/>
      <c r="B493" s="953"/>
      <c r="C493" s="953"/>
      <c r="D493" s="953"/>
      <c r="E493" s="953"/>
      <c r="F493" s="953"/>
      <c r="G493" s="953"/>
      <c r="H493" s="953"/>
      <c r="I493" s="953"/>
      <c r="J493" s="953"/>
      <c r="K493" s="953"/>
      <c r="L493" s="953"/>
      <c r="M493" s="953"/>
      <c r="N493" s="953"/>
      <c r="O493" s="953"/>
      <c r="P493" s="953"/>
    </row>
    <row r="494">
      <c r="A494" s="953"/>
      <c r="B494" s="953"/>
      <c r="C494" s="953"/>
      <c r="D494" s="953"/>
      <c r="E494" s="953"/>
      <c r="F494" s="953"/>
      <c r="G494" s="953"/>
      <c r="H494" s="953"/>
      <c r="I494" s="953"/>
      <c r="J494" s="953"/>
      <c r="K494" s="953"/>
      <c r="L494" s="953"/>
      <c r="M494" s="953"/>
      <c r="N494" s="953"/>
      <c r="O494" s="953"/>
      <c r="P494" s="953"/>
    </row>
    <row r="495">
      <c r="A495" s="953"/>
      <c r="B495" s="953"/>
      <c r="C495" s="953"/>
      <c r="D495" s="953"/>
      <c r="E495" s="953"/>
      <c r="F495" s="953"/>
      <c r="G495" s="953"/>
      <c r="H495" s="953"/>
      <c r="I495" s="953"/>
      <c r="J495" s="953"/>
      <c r="K495" s="953"/>
      <c r="L495" s="953"/>
      <c r="M495" s="953"/>
      <c r="N495" s="953"/>
      <c r="O495" s="953"/>
      <c r="P495" s="953"/>
    </row>
    <row r="496">
      <c r="A496" s="953"/>
      <c r="B496" s="953"/>
      <c r="C496" s="953"/>
      <c r="D496" s="953"/>
      <c r="E496" s="953"/>
      <c r="F496" s="953"/>
      <c r="G496" s="953"/>
      <c r="H496" s="953"/>
      <c r="I496" s="953"/>
      <c r="J496" s="953"/>
      <c r="K496" s="953"/>
      <c r="L496" s="953"/>
      <c r="M496" s="953"/>
      <c r="N496" s="953"/>
      <c r="O496" s="953"/>
      <c r="P496" s="953"/>
    </row>
    <row r="497">
      <c r="A497" s="953"/>
      <c r="B497" s="953"/>
      <c r="C497" s="953"/>
      <c r="D497" s="953"/>
      <c r="E497" s="953"/>
      <c r="F497" s="953"/>
      <c r="G497" s="953"/>
      <c r="H497" s="953"/>
      <c r="I497" s="953"/>
      <c r="J497" s="953"/>
      <c r="K497" s="953"/>
      <c r="L497" s="953"/>
      <c r="M497" s="953"/>
      <c r="N497" s="953"/>
      <c r="O497" s="953"/>
      <c r="P497" s="953"/>
    </row>
    <row r="498">
      <c r="A498" s="953"/>
      <c r="B498" s="953"/>
      <c r="C498" s="953"/>
      <c r="D498" s="953"/>
      <c r="E498" s="953"/>
      <c r="F498" s="953"/>
      <c r="G498" s="953"/>
      <c r="H498" s="953"/>
      <c r="I498" s="953"/>
      <c r="J498" s="953"/>
      <c r="K498" s="953"/>
      <c r="L498" s="953"/>
      <c r="M498" s="953"/>
      <c r="N498" s="953"/>
      <c r="O498" s="953"/>
      <c r="P498" s="953"/>
    </row>
    <row r="499">
      <c r="A499" s="953"/>
      <c r="B499" s="953"/>
      <c r="C499" s="953"/>
      <c r="D499" s="953"/>
      <c r="E499" s="953"/>
      <c r="F499" s="953"/>
      <c r="G499" s="953"/>
      <c r="H499" s="953"/>
      <c r="I499" s="953"/>
      <c r="J499" s="953"/>
      <c r="K499" s="953"/>
      <c r="L499" s="953"/>
      <c r="M499" s="953"/>
      <c r="N499" s="953"/>
      <c r="O499" s="953"/>
      <c r="P499" s="953"/>
    </row>
    <row r="500">
      <c r="A500" s="953"/>
      <c r="B500" s="953"/>
      <c r="C500" s="953"/>
      <c r="D500" s="953"/>
      <c r="E500" s="953"/>
      <c r="F500" s="953"/>
      <c r="G500" s="953"/>
      <c r="H500" s="953"/>
      <c r="I500" s="953"/>
      <c r="J500" s="953"/>
      <c r="K500" s="953"/>
      <c r="L500" s="953"/>
      <c r="M500" s="953"/>
      <c r="N500" s="953"/>
      <c r="O500" s="953"/>
      <c r="P500" s="953"/>
    </row>
    <row r="501">
      <c r="A501" s="953"/>
      <c r="B501" s="953"/>
      <c r="C501" s="953"/>
      <c r="D501" s="953"/>
      <c r="E501" s="953"/>
      <c r="F501" s="953"/>
      <c r="G501" s="953"/>
      <c r="H501" s="953"/>
      <c r="I501" s="953"/>
      <c r="J501" s="953"/>
      <c r="K501" s="953"/>
      <c r="L501" s="953"/>
      <c r="M501" s="953"/>
      <c r="N501" s="953"/>
      <c r="O501" s="953"/>
      <c r="P501" s="953"/>
    </row>
    <row r="502">
      <c r="A502" s="953"/>
      <c r="B502" s="953"/>
      <c r="C502" s="953"/>
      <c r="D502" s="953"/>
      <c r="E502" s="953"/>
      <c r="F502" s="953"/>
      <c r="G502" s="953"/>
      <c r="H502" s="953"/>
      <c r="I502" s="953"/>
      <c r="J502" s="953"/>
      <c r="K502" s="953"/>
      <c r="L502" s="953"/>
      <c r="M502" s="953"/>
      <c r="N502" s="953"/>
      <c r="O502" s="953"/>
      <c r="P502" s="953"/>
    </row>
    <row r="503">
      <c r="A503" s="953"/>
      <c r="B503" s="953"/>
      <c r="C503" s="953"/>
      <c r="D503" s="953"/>
      <c r="E503" s="953"/>
      <c r="F503" s="953"/>
      <c r="G503" s="953"/>
      <c r="H503" s="953"/>
      <c r="I503" s="953"/>
      <c r="J503" s="953"/>
      <c r="K503" s="953"/>
      <c r="L503" s="953"/>
      <c r="M503" s="953"/>
      <c r="N503" s="953"/>
      <c r="O503" s="953"/>
      <c r="P503" s="953"/>
    </row>
    <row r="504">
      <c r="A504" s="953"/>
      <c r="B504" s="953"/>
      <c r="C504" s="953"/>
      <c r="D504" s="953"/>
      <c r="E504" s="953"/>
      <c r="F504" s="953"/>
      <c r="G504" s="953"/>
      <c r="H504" s="953"/>
      <c r="I504" s="953"/>
      <c r="J504" s="953"/>
      <c r="K504" s="953"/>
      <c r="L504" s="953"/>
      <c r="M504" s="953"/>
      <c r="N504" s="953"/>
      <c r="O504" s="953"/>
      <c r="P504" s="953"/>
    </row>
    <row r="505">
      <c r="A505" s="953"/>
      <c r="B505" s="953"/>
      <c r="C505" s="953"/>
      <c r="D505" s="953"/>
      <c r="E505" s="953"/>
      <c r="F505" s="953"/>
      <c r="G505" s="953"/>
      <c r="H505" s="953"/>
      <c r="I505" s="953"/>
      <c r="J505" s="953"/>
      <c r="K505" s="953"/>
      <c r="L505" s="953"/>
      <c r="M505" s="953"/>
      <c r="N505" s="953"/>
      <c r="O505" s="953"/>
      <c r="P505" s="953"/>
    </row>
    <row r="506">
      <c r="A506" s="953"/>
      <c r="B506" s="953"/>
      <c r="C506" s="953"/>
      <c r="D506" s="953"/>
      <c r="E506" s="953"/>
      <c r="F506" s="953"/>
      <c r="G506" s="953"/>
      <c r="H506" s="953"/>
      <c r="I506" s="953"/>
      <c r="J506" s="953"/>
      <c r="K506" s="953"/>
      <c r="L506" s="953"/>
      <c r="M506" s="953"/>
      <c r="N506" s="953"/>
      <c r="O506" s="953"/>
      <c r="P506" s="953"/>
    </row>
    <row r="507">
      <c r="A507" s="953"/>
      <c r="B507" s="953"/>
      <c r="C507" s="953"/>
      <c r="D507" s="953"/>
      <c r="E507" s="953"/>
      <c r="F507" s="953"/>
      <c r="G507" s="953"/>
      <c r="H507" s="953"/>
      <c r="I507" s="953"/>
      <c r="J507" s="953"/>
      <c r="K507" s="953"/>
      <c r="L507" s="953"/>
      <c r="M507" s="953"/>
      <c r="N507" s="953"/>
      <c r="O507" s="953"/>
      <c r="P507" s="953"/>
    </row>
    <row r="508">
      <c r="A508" s="953"/>
      <c r="B508" s="953"/>
      <c r="C508" s="953"/>
      <c r="D508" s="953"/>
      <c r="E508" s="953"/>
      <c r="F508" s="953"/>
      <c r="G508" s="953"/>
      <c r="H508" s="953"/>
      <c r="I508" s="953"/>
      <c r="J508" s="953"/>
      <c r="K508" s="953"/>
      <c r="L508" s="953"/>
      <c r="M508" s="953"/>
      <c r="N508" s="953"/>
      <c r="O508" s="953"/>
      <c r="P508" s="953"/>
    </row>
    <row r="509">
      <c r="A509" s="953"/>
      <c r="B509" s="953"/>
      <c r="C509" s="953"/>
      <c r="D509" s="953"/>
      <c r="E509" s="953"/>
      <c r="F509" s="953"/>
      <c r="G509" s="953"/>
      <c r="H509" s="953"/>
      <c r="I509" s="953"/>
      <c r="J509" s="953"/>
      <c r="K509" s="953"/>
      <c r="L509" s="953"/>
      <c r="M509" s="953"/>
      <c r="N509" s="953"/>
      <c r="O509" s="953"/>
      <c r="P509" s="953"/>
    </row>
    <row r="510">
      <c r="A510" s="953"/>
      <c r="B510" s="953"/>
      <c r="C510" s="953"/>
      <c r="D510" s="953"/>
      <c r="E510" s="953"/>
      <c r="F510" s="953"/>
      <c r="G510" s="953"/>
      <c r="H510" s="953"/>
      <c r="I510" s="953"/>
      <c r="J510" s="953"/>
      <c r="K510" s="953"/>
      <c r="L510" s="953"/>
      <c r="M510" s="953"/>
      <c r="N510" s="953"/>
      <c r="O510" s="953"/>
      <c r="P510" s="953"/>
    </row>
    <row r="511">
      <c r="A511" s="953"/>
      <c r="B511" s="953"/>
      <c r="C511" s="953"/>
      <c r="D511" s="953"/>
      <c r="E511" s="953"/>
      <c r="F511" s="953"/>
      <c r="G511" s="953"/>
      <c r="H511" s="953"/>
      <c r="I511" s="953"/>
      <c r="J511" s="953"/>
      <c r="K511" s="953"/>
      <c r="L511" s="953"/>
      <c r="M511" s="953"/>
      <c r="N511" s="953"/>
      <c r="O511" s="953"/>
      <c r="P511" s="953"/>
    </row>
    <row r="512">
      <c r="A512" s="953"/>
      <c r="B512" s="953"/>
      <c r="C512" s="953"/>
      <c r="D512" s="953"/>
      <c r="E512" s="953"/>
      <c r="F512" s="953"/>
      <c r="G512" s="953"/>
      <c r="H512" s="953"/>
      <c r="I512" s="953"/>
      <c r="J512" s="953"/>
      <c r="K512" s="953"/>
      <c r="L512" s="953"/>
      <c r="M512" s="953"/>
      <c r="N512" s="953"/>
      <c r="O512" s="953"/>
      <c r="P512" s="953"/>
    </row>
    <row r="513">
      <c r="A513" s="953"/>
      <c r="B513" s="953"/>
      <c r="C513" s="953"/>
      <c r="D513" s="953"/>
      <c r="E513" s="953"/>
      <c r="F513" s="953"/>
      <c r="G513" s="953"/>
      <c r="H513" s="953"/>
      <c r="I513" s="953"/>
      <c r="J513" s="953"/>
      <c r="K513" s="953"/>
      <c r="L513" s="953"/>
      <c r="M513" s="953"/>
      <c r="N513" s="953"/>
      <c r="O513" s="953"/>
      <c r="P513" s="953"/>
    </row>
    <row r="514">
      <c r="A514" s="953"/>
      <c r="B514" s="953"/>
      <c r="C514" s="953"/>
      <c r="D514" s="953"/>
      <c r="E514" s="953"/>
      <c r="F514" s="953"/>
      <c r="G514" s="953"/>
      <c r="H514" s="953"/>
      <c r="I514" s="953"/>
      <c r="J514" s="953"/>
      <c r="K514" s="953"/>
      <c r="L514" s="953"/>
      <c r="M514" s="953"/>
      <c r="N514" s="953"/>
      <c r="O514" s="953"/>
      <c r="P514" s="953"/>
    </row>
    <row r="515">
      <c r="A515" s="953"/>
      <c r="B515" s="953"/>
      <c r="C515" s="953"/>
      <c r="D515" s="953"/>
      <c r="E515" s="953"/>
      <c r="F515" s="953"/>
      <c r="G515" s="953"/>
      <c r="H515" s="953"/>
      <c r="I515" s="953"/>
      <c r="J515" s="953"/>
      <c r="K515" s="953"/>
      <c r="L515" s="953"/>
      <c r="M515" s="953"/>
      <c r="N515" s="953"/>
      <c r="O515" s="953"/>
      <c r="P515" s="953"/>
    </row>
    <row r="516">
      <c r="A516" s="953"/>
      <c r="B516" s="953"/>
      <c r="C516" s="953"/>
      <c r="D516" s="953"/>
      <c r="E516" s="953"/>
      <c r="F516" s="953"/>
      <c r="G516" s="953"/>
      <c r="H516" s="953"/>
      <c r="I516" s="953"/>
      <c r="J516" s="953"/>
      <c r="K516" s="953"/>
      <c r="L516" s="953"/>
      <c r="M516" s="953"/>
      <c r="N516" s="953"/>
      <c r="O516" s="953"/>
      <c r="P516" s="953"/>
    </row>
    <row r="517">
      <c r="A517" s="953"/>
      <c r="B517" s="953"/>
      <c r="C517" s="953"/>
      <c r="D517" s="953"/>
      <c r="E517" s="953"/>
      <c r="F517" s="953"/>
      <c r="G517" s="953"/>
      <c r="H517" s="953"/>
      <c r="I517" s="953"/>
      <c r="J517" s="953"/>
      <c r="K517" s="953"/>
      <c r="L517" s="953"/>
      <c r="M517" s="953"/>
      <c r="N517" s="953"/>
      <c r="O517" s="953"/>
      <c r="P517" s="953"/>
    </row>
    <row r="518">
      <c r="A518" s="953"/>
      <c r="B518" s="953"/>
      <c r="C518" s="953"/>
      <c r="D518" s="953"/>
      <c r="E518" s="953"/>
      <c r="F518" s="953"/>
      <c r="G518" s="953"/>
      <c r="H518" s="953"/>
      <c r="I518" s="953"/>
      <c r="J518" s="953"/>
      <c r="K518" s="953"/>
      <c r="L518" s="953"/>
      <c r="M518" s="953"/>
      <c r="N518" s="953"/>
      <c r="O518" s="953"/>
      <c r="P518" s="953"/>
    </row>
    <row r="519">
      <c r="A519" s="953"/>
      <c r="B519" s="953"/>
      <c r="C519" s="953"/>
      <c r="D519" s="953"/>
      <c r="E519" s="953"/>
      <c r="F519" s="953"/>
      <c r="G519" s="953"/>
      <c r="H519" s="953"/>
      <c r="I519" s="953"/>
      <c r="J519" s="953"/>
      <c r="K519" s="953"/>
      <c r="L519" s="953"/>
      <c r="M519" s="953"/>
      <c r="N519" s="953"/>
      <c r="O519" s="953"/>
      <c r="P519" s="953"/>
    </row>
    <row r="520">
      <c r="A520" s="953"/>
      <c r="B520" s="953"/>
      <c r="C520" s="953"/>
      <c r="D520" s="953"/>
      <c r="E520" s="953"/>
      <c r="F520" s="953"/>
      <c r="G520" s="953"/>
      <c r="H520" s="953"/>
      <c r="I520" s="953"/>
      <c r="J520" s="953"/>
      <c r="K520" s="953"/>
      <c r="L520" s="953"/>
      <c r="M520" s="953"/>
      <c r="N520" s="953"/>
      <c r="O520" s="953"/>
      <c r="P520" s="953"/>
    </row>
    <row r="521">
      <c r="A521" s="953"/>
      <c r="B521" s="953"/>
      <c r="C521" s="953"/>
      <c r="D521" s="953"/>
      <c r="E521" s="953"/>
      <c r="F521" s="953"/>
      <c r="G521" s="953"/>
      <c r="H521" s="953"/>
      <c r="I521" s="953"/>
      <c r="J521" s="953"/>
      <c r="K521" s="953"/>
      <c r="L521" s="953"/>
      <c r="M521" s="953"/>
      <c r="N521" s="953"/>
      <c r="O521" s="953"/>
      <c r="P521" s="953"/>
    </row>
    <row r="522">
      <c r="A522" s="953"/>
      <c r="B522" s="953"/>
      <c r="C522" s="953"/>
      <c r="D522" s="953"/>
      <c r="E522" s="953"/>
      <c r="F522" s="953"/>
      <c r="G522" s="953"/>
      <c r="H522" s="953"/>
      <c r="I522" s="953"/>
      <c r="J522" s="953"/>
      <c r="K522" s="953"/>
      <c r="L522" s="953"/>
      <c r="M522" s="953"/>
      <c r="N522" s="953"/>
      <c r="O522" s="953"/>
      <c r="P522" s="953"/>
    </row>
    <row r="523">
      <c r="A523" s="953"/>
      <c r="B523" s="953"/>
      <c r="C523" s="953"/>
      <c r="D523" s="953"/>
      <c r="E523" s="953"/>
      <c r="F523" s="953"/>
      <c r="G523" s="953"/>
      <c r="H523" s="953"/>
      <c r="I523" s="953"/>
      <c r="J523" s="953"/>
      <c r="K523" s="953"/>
      <c r="L523" s="953"/>
      <c r="M523" s="953"/>
      <c r="N523" s="953"/>
      <c r="O523" s="953"/>
      <c r="P523" s="953"/>
    </row>
    <row r="524">
      <c r="A524" s="953"/>
      <c r="B524" s="953"/>
      <c r="C524" s="953"/>
      <c r="D524" s="953"/>
      <c r="E524" s="953"/>
      <c r="F524" s="953"/>
      <c r="G524" s="953"/>
      <c r="H524" s="953"/>
      <c r="I524" s="953"/>
      <c r="J524" s="953"/>
      <c r="K524" s="953"/>
      <c r="L524" s="953"/>
      <c r="M524" s="953"/>
      <c r="N524" s="953"/>
      <c r="O524" s="953"/>
      <c r="P524" s="953"/>
    </row>
    <row r="525">
      <c r="A525" s="953"/>
      <c r="B525" s="953"/>
      <c r="C525" s="953"/>
      <c r="D525" s="953"/>
      <c r="E525" s="953"/>
      <c r="F525" s="953"/>
      <c r="G525" s="953"/>
      <c r="H525" s="953"/>
      <c r="I525" s="953"/>
      <c r="J525" s="953"/>
      <c r="K525" s="953"/>
      <c r="L525" s="953"/>
      <c r="M525" s="953"/>
      <c r="N525" s="953"/>
      <c r="O525" s="953"/>
      <c r="P525" s="953"/>
    </row>
    <row r="526">
      <c r="A526" s="953"/>
      <c r="B526" s="953"/>
      <c r="C526" s="953"/>
      <c r="D526" s="953"/>
      <c r="E526" s="953"/>
      <c r="F526" s="953"/>
      <c r="G526" s="953"/>
      <c r="H526" s="953"/>
      <c r="I526" s="953"/>
      <c r="J526" s="953"/>
      <c r="K526" s="953"/>
      <c r="L526" s="953"/>
      <c r="M526" s="953"/>
      <c r="N526" s="953"/>
      <c r="O526" s="953"/>
      <c r="P526" s="953"/>
    </row>
    <row r="527">
      <c r="A527" s="953"/>
      <c r="B527" s="953"/>
      <c r="C527" s="953"/>
      <c r="D527" s="953"/>
      <c r="E527" s="953"/>
      <c r="F527" s="953"/>
      <c r="G527" s="953"/>
      <c r="H527" s="953"/>
      <c r="I527" s="953"/>
      <c r="J527" s="953"/>
      <c r="K527" s="953"/>
      <c r="L527" s="953"/>
      <c r="M527" s="953"/>
      <c r="N527" s="953"/>
      <c r="O527" s="953"/>
      <c r="P527" s="953"/>
    </row>
    <row r="528">
      <c r="A528" s="953"/>
      <c r="B528" s="953"/>
      <c r="C528" s="953"/>
      <c r="D528" s="953"/>
      <c r="E528" s="953"/>
      <c r="F528" s="953"/>
      <c r="G528" s="953"/>
      <c r="H528" s="953"/>
      <c r="I528" s="953"/>
      <c r="J528" s="953"/>
      <c r="K528" s="953"/>
      <c r="L528" s="953"/>
      <c r="M528" s="953"/>
      <c r="N528" s="953"/>
      <c r="O528" s="953"/>
      <c r="P528" s="953"/>
    </row>
    <row r="529">
      <c r="A529" s="953"/>
      <c r="B529" s="953"/>
      <c r="C529" s="953"/>
      <c r="D529" s="953"/>
      <c r="E529" s="953"/>
      <c r="F529" s="953"/>
      <c r="G529" s="953"/>
      <c r="H529" s="953"/>
      <c r="I529" s="953"/>
      <c r="J529" s="953"/>
      <c r="K529" s="953"/>
      <c r="L529" s="953"/>
      <c r="M529" s="953"/>
      <c r="N529" s="953"/>
      <c r="O529" s="953"/>
      <c r="P529" s="953"/>
    </row>
    <row r="530">
      <c r="A530" s="953"/>
      <c r="B530" s="953"/>
      <c r="C530" s="953"/>
      <c r="D530" s="953"/>
      <c r="E530" s="953"/>
      <c r="F530" s="953"/>
      <c r="G530" s="953"/>
      <c r="H530" s="953"/>
      <c r="I530" s="953"/>
      <c r="J530" s="953"/>
      <c r="K530" s="953"/>
      <c r="L530" s="953"/>
      <c r="M530" s="953"/>
      <c r="N530" s="953"/>
      <c r="O530" s="953"/>
      <c r="P530" s="953"/>
    </row>
    <row r="531">
      <c r="A531" s="953"/>
      <c r="B531" s="953"/>
      <c r="C531" s="953"/>
      <c r="D531" s="953"/>
      <c r="E531" s="953"/>
      <c r="F531" s="953"/>
      <c r="G531" s="953"/>
      <c r="H531" s="953"/>
      <c r="I531" s="953"/>
      <c r="J531" s="953"/>
      <c r="K531" s="953"/>
      <c r="L531" s="953"/>
      <c r="M531" s="953"/>
      <c r="N531" s="953"/>
      <c r="O531" s="953"/>
      <c r="P531" s="953"/>
    </row>
    <row r="532">
      <c r="A532" s="953"/>
      <c r="B532" s="953"/>
      <c r="C532" s="953"/>
      <c r="D532" s="953"/>
      <c r="E532" s="953"/>
      <c r="F532" s="953"/>
      <c r="G532" s="953"/>
      <c r="H532" s="953"/>
      <c r="I532" s="953"/>
      <c r="J532" s="953"/>
      <c r="K532" s="953"/>
      <c r="L532" s="953"/>
      <c r="M532" s="953"/>
      <c r="N532" s="953"/>
      <c r="O532" s="953"/>
      <c r="P532" s="953"/>
    </row>
    <row r="533">
      <c r="A533" s="953"/>
      <c r="B533" s="953"/>
      <c r="C533" s="953"/>
      <c r="D533" s="953"/>
      <c r="E533" s="953"/>
      <c r="F533" s="953"/>
      <c r="G533" s="953"/>
      <c r="H533" s="953"/>
      <c r="I533" s="953"/>
      <c r="J533" s="953"/>
      <c r="K533" s="953"/>
      <c r="L533" s="953"/>
      <c r="M533" s="953"/>
      <c r="N533" s="953"/>
      <c r="O533" s="953"/>
      <c r="P533" s="953"/>
    </row>
    <row r="534">
      <c r="A534" s="953"/>
      <c r="B534" s="953"/>
      <c r="C534" s="953"/>
      <c r="D534" s="953"/>
      <c r="E534" s="953"/>
      <c r="F534" s="953"/>
      <c r="G534" s="953"/>
      <c r="H534" s="953"/>
      <c r="I534" s="953"/>
      <c r="J534" s="953"/>
      <c r="K534" s="953"/>
      <c r="L534" s="953"/>
      <c r="M534" s="953"/>
      <c r="N534" s="953"/>
      <c r="O534" s="953"/>
      <c r="P534" s="953"/>
    </row>
    <row r="535">
      <c r="A535" s="953"/>
      <c r="B535" s="953"/>
      <c r="C535" s="953"/>
      <c r="D535" s="953"/>
      <c r="E535" s="953"/>
      <c r="F535" s="953"/>
      <c r="G535" s="953"/>
      <c r="H535" s="953"/>
      <c r="I535" s="953"/>
      <c r="J535" s="953"/>
      <c r="K535" s="953"/>
      <c r="L535" s="953"/>
      <c r="M535" s="953"/>
      <c r="N535" s="953"/>
      <c r="O535" s="953"/>
      <c r="P535" s="953"/>
    </row>
    <row r="536">
      <c r="A536" s="953"/>
      <c r="B536" s="953"/>
      <c r="C536" s="953"/>
      <c r="D536" s="953"/>
      <c r="E536" s="953"/>
      <c r="F536" s="953"/>
      <c r="G536" s="953"/>
      <c r="H536" s="953"/>
      <c r="I536" s="953"/>
      <c r="J536" s="953"/>
      <c r="K536" s="953"/>
      <c r="L536" s="953"/>
      <c r="M536" s="953"/>
      <c r="N536" s="953"/>
      <c r="O536" s="953"/>
      <c r="P536" s="953"/>
    </row>
    <row r="537">
      <c r="A537" s="953"/>
      <c r="B537" s="953"/>
      <c r="C537" s="953"/>
      <c r="D537" s="953"/>
      <c r="E537" s="953"/>
      <c r="F537" s="953"/>
      <c r="G537" s="953"/>
      <c r="H537" s="953"/>
      <c r="I537" s="953"/>
      <c r="J537" s="953"/>
      <c r="K537" s="953"/>
      <c r="L537" s="953"/>
      <c r="M537" s="953"/>
      <c r="N537" s="953"/>
      <c r="O537" s="953"/>
      <c r="P537" s="953"/>
    </row>
    <row r="538">
      <c r="A538" s="953"/>
      <c r="B538" s="953"/>
      <c r="C538" s="953"/>
      <c r="D538" s="953"/>
      <c r="E538" s="953"/>
      <c r="F538" s="953"/>
      <c r="G538" s="953"/>
      <c r="H538" s="953"/>
      <c r="I538" s="953"/>
      <c r="J538" s="953"/>
      <c r="K538" s="953"/>
      <c r="L538" s="953"/>
      <c r="M538" s="953"/>
      <c r="N538" s="953"/>
      <c r="O538" s="953"/>
      <c r="P538" s="953"/>
    </row>
    <row r="539">
      <c r="A539" s="953"/>
      <c r="B539" s="953"/>
      <c r="C539" s="953"/>
      <c r="D539" s="953"/>
      <c r="E539" s="953"/>
      <c r="F539" s="953"/>
      <c r="G539" s="953"/>
      <c r="H539" s="953"/>
      <c r="I539" s="953"/>
      <c r="J539" s="953"/>
      <c r="K539" s="953"/>
      <c r="L539" s="953"/>
      <c r="M539" s="953"/>
      <c r="N539" s="953"/>
      <c r="O539" s="953"/>
      <c r="P539" s="953"/>
    </row>
    <row r="540">
      <c r="A540" s="953"/>
      <c r="B540" s="953"/>
      <c r="C540" s="953"/>
      <c r="D540" s="953"/>
      <c r="E540" s="953"/>
      <c r="F540" s="953"/>
      <c r="G540" s="953"/>
      <c r="H540" s="953"/>
      <c r="I540" s="953"/>
      <c r="J540" s="953"/>
      <c r="K540" s="953"/>
      <c r="L540" s="953"/>
      <c r="M540" s="953"/>
      <c r="N540" s="953"/>
      <c r="O540" s="953"/>
      <c r="P540" s="953"/>
    </row>
    <row r="541">
      <c r="A541" s="953"/>
      <c r="B541" s="953"/>
      <c r="C541" s="953"/>
      <c r="D541" s="953"/>
      <c r="E541" s="953"/>
      <c r="F541" s="953"/>
      <c r="G541" s="953"/>
      <c r="H541" s="953"/>
      <c r="I541" s="953"/>
      <c r="J541" s="953"/>
      <c r="K541" s="953"/>
      <c r="L541" s="953"/>
      <c r="M541" s="953"/>
      <c r="N541" s="953"/>
      <c r="O541" s="953"/>
      <c r="P541" s="953"/>
    </row>
    <row r="542">
      <c r="A542" s="953"/>
      <c r="B542" s="953"/>
      <c r="C542" s="953"/>
      <c r="D542" s="953"/>
      <c r="E542" s="953"/>
      <c r="F542" s="953"/>
      <c r="G542" s="953"/>
      <c r="H542" s="953"/>
      <c r="I542" s="953"/>
      <c r="J542" s="953"/>
      <c r="K542" s="953"/>
      <c r="L542" s="953"/>
      <c r="M542" s="953"/>
      <c r="N542" s="953"/>
      <c r="O542" s="953"/>
      <c r="P542" s="953"/>
    </row>
    <row r="543">
      <c r="A543" s="953"/>
      <c r="B543" s="953"/>
      <c r="C543" s="953"/>
      <c r="D543" s="953"/>
      <c r="E543" s="953"/>
      <c r="F543" s="953"/>
      <c r="G543" s="953"/>
      <c r="H543" s="953"/>
      <c r="I543" s="953"/>
      <c r="J543" s="953"/>
      <c r="K543" s="953"/>
      <c r="L543" s="953"/>
      <c r="M543" s="953"/>
      <c r="N543" s="953"/>
      <c r="O543" s="953"/>
      <c r="P543" s="953"/>
    </row>
    <row r="544">
      <c r="A544" s="953"/>
      <c r="B544" s="953"/>
      <c r="C544" s="953"/>
      <c r="D544" s="953"/>
      <c r="E544" s="953"/>
      <c r="F544" s="953"/>
      <c r="G544" s="953"/>
      <c r="H544" s="953"/>
      <c r="I544" s="953"/>
      <c r="J544" s="953"/>
      <c r="K544" s="953"/>
      <c r="L544" s="953"/>
      <c r="M544" s="953"/>
      <c r="N544" s="953"/>
      <c r="O544" s="953"/>
      <c r="P544" s="953"/>
    </row>
    <row r="545">
      <c r="A545" s="953"/>
      <c r="B545" s="953"/>
      <c r="C545" s="953"/>
      <c r="D545" s="953"/>
      <c r="E545" s="953"/>
      <c r="F545" s="953"/>
      <c r="G545" s="953"/>
      <c r="H545" s="953"/>
      <c r="I545" s="953"/>
      <c r="J545" s="953"/>
      <c r="K545" s="953"/>
      <c r="L545" s="953"/>
      <c r="M545" s="953"/>
      <c r="N545" s="953"/>
      <c r="O545" s="953"/>
      <c r="P545" s="953"/>
    </row>
    <row r="546">
      <c r="A546" s="953"/>
      <c r="B546" s="953"/>
      <c r="C546" s="953"/>
      <c r="D546" s="953"/>
      <c r="E546" s="953"/>
      <c r="F546" s="953"/>
      <c r="G546" s="953"/>
      <c r="H546" s="953"/>
      <c r="I546" s="953"/>
      <c r="J546" s="953"/>
      <c r="K546" s="953"/>
      <c r="L546" s="953"/>
      <c r="M546" s="953"/>
      <c r="N546" s="953"/>
      <c r="O546" s="953"/>
      <c r="P546" s="953"/>
    </row>
    <row r="547">
      <c r="A547" s="953"/>
      <c r="B547" s="953"/>
      <c r="C547" s="953"/>
      <c r="D547" s="953"/>
      <c r="E547" s="953"/>
      <c r="F547" s="953"/>
      <c r="G547" s="953"/>
      <c r="H547" s="953"/>
      <c r="I547" s="953"/>
      <c r="J547" s="953"/>
      <c r="K547" s="953"/>
      <c r="L547" s="953"/>
      <c r="M547" s="953"/>
      <c r="N547" s="953"/>
      <c r="O547" s="953"/>
      <c r="P547" s="953"/>
    </row>
    <row r="548">
      <c r="A548" s="953"/>
      <c r="B548" s="953"/>
      <c r="C548" s="953"/>
      <c r="D548" s="953"/>
      <c r="E548" s="953"/>
      <c r="F548" s="953"/>
      <c r="G548" s="953"/>
      <c r="H548" s="953"/>
      <c r="I548" s="953"/>
      <c r="J548" s="953"/>
      <c r="K548" s="953"/>
      <c r="L548" s="953"/>
      <c r="M548" s="953"/>
      <c r="N548" s="953"/>
      <c r="O548" s="953"/>
      <c r="P548" s="953"/>
    </row>
    <row r="549">
      <c r="A549" s="953"/>
      <c r="B549" s="953"/>
      <c r="C549" s="953"/>
      <c r="D549" s="953"/>
      <c r="E549" s="953"/>
      <c r="F549" s="953"/>
      <c r="G549" s="953"/>
      <c r="H549" s="953"/>
      <c r="I549" s="953"/>
      <c r="J549" s="953"/>
      <c r="K549" s="953"/>
      <c r="L549" s="953"/>
      <c r="M549" s="953"/>
      <c r="N549" s="953"/>
      <c r="O549" s="953"/>
      <c r="P549" s="953"/>
    </row>
    <row r="550">
      <c r="A550" s="953"/>
      <c r="B550" s="953"/>
      <c r="C550" s="953"/>
      <c r="D550" s="953"/>
      <c r="E550" s="953"/>
      <c r="F550" s="953"/>
      <c r="G550" s="953"/>
      <c r="H550" s="953"/>
      <c r="I550" s="953"/>
      <c r="J550" s="953"/>
      <c r="K550" s="953"/>
      <c r="L550" s="953"/>
      <c r="M550" s="953"/>
      <c r="N550" s="953"/>
      <c r="O550" s="953"/>
      <c r="P550" s="953"/>
    </row>
    <row r="551">
      <c r="A551" s="953"/>
      <c r="B551" s="953"/>
      <c r="C551" s="953"/>
      <c r="D551" s="953"/>
      <c r="E551" s="953"/>
      <c r="F551" s="953"/>
      <c r="G551" s="953"/>
      <c r="H551" s="953"/>
      <c r="I551" s="953"/>
      <c r="J551" s="953"/>
      <c r="K551" s="953"/>
      <c r="L551" s="953"/>
      <c r="M551" s="953"/>
      <c r="N551" s="953"/>
      <c r="O551" s="953"/>
      <c r="P551" s="953"/>
    </row>
    <row r="552">
      <c r="A552" s="953"/>
      <c r="B552" s="953"/>
      <c r="C552" s="953"/>
      <c r="D552" s="953"/>
      <c r="E552" s="953"/>
      <c r="F552" s="953"/>
      <c r="G552" s="953"/>
      <c r="H552" s="953"/>
      <c r="I552" s="953"/>
      <c r="J552" s="953"/>
      <c r="K552" s="953"/>
      <c r="L552" s="953"/>
      <c r="M552" s="953"/>
      <c r="N552" s="953"/>
      <c r="O552" s="953"/>
      <c r="P552" s="953"/>
    </row>
    <row r="553">
      <c r="A553" s="953"/>
      <c r="B553" s="953"/>
      <c r="C553" s="953"/>
      <c r="D553" s="953"/>
      <c r="E553" s="953"/>
      <c r="F553" s="953"/>
      <c r="G553" s="953"/>
      <c r="H553" s="953"/>
      <c r="I553" s="953"/>
      <c r="J553" s="953"/>
      <c r="K553" s="953"/>
      <c r="L553" s="953"/>
      <c r="M553" s="953"/>
      <c r="N553" s="953"/>
      <c r="O553" s="953"/>
      <c r="P553" s="953"/>
    </row>
    <row r="554">
      <c r="A554" s="953"/>
      <c r="B554" s="953"/>
      <c r="C554" s="953"/>
      <c r="D554" s="953"/>
      <c r="E554" s="953"/>
      <c r="F554" s="953"/>
      <c r="G554" s="953"/>
      <c r="H554" s="953"/>
      <c r="I554" s="953"/>
      <c r="J554" s="953"/>
      <c r="K554" s="953"/>
      <c r="L554" s="953"/>
      <c r="M554" s="953"/>
      <c r="N554" s="953"/>
      <c r="O554" s="953"/>
      <c r="P554" s="953"/>
    </row>
    <row r="555">
      <c r="A555" s="953"/>
      <c r="B555" s="953"/>
      <c r="C555" s="953"/>
      <c r="D555" s="953"/>
      <c r="E555" s="953"/>
      <c r="F555" s="953"/>
      <c r="G555" s="953"/>
      <c r="H555" s="953"/>
      <c r="I555" s="953"/>
      <c r="J555" s="953"/>
      <c r="K555" s="953"/>
      <c r="L555" s="953"/>
      <c r="M555" s="953"/>
      <c r="N555" s="953"/>
      <c r="O555" s="953"/>
      <c r="P555" s="953"/>
    </row>
    <row r="556">
      <c r="A556" s="953"/>
      <c r="B556" s="953"/>
      <c r="C556" s="953"/>
      <c r="D556" s="953"/>
      <c r="E556" s="953"/>
      <c r="F556" s="953"/>
      <c r="G556" s="953"/>
      <c r="H556" s="953"/>
      <c r="I556" s="953"/>
      <c r="J556" s="953"/>
      <c r="K556" s="953"/>
      <c r="L556" s="953"/>
      <c r="M556" s="953"/>
      <c r="N556" s="953"/>
      <c r="O556" s="953"/>
      <c r="P556" s="953"/>
    </row>
    <row r="557">
      <c r="A557" s="953"/>
      <c r="B557" s="953"/>
      <c r="C557" s="953"/>
      <c r="D557" s="953"/>
      <c r="E557" s="953"/>
      <c r="F557" s="953"/>
      <c r="G557" s="953"/>
      <c r="H557" s="953"/>
      <c r="I557" s="953"/>
      <c r="J557" s="953"/>
      <c r="K557" s="953"/>
      <c r="L557" s="953"/>
      <c r="M557" s="953"/>
      <c r="N557" s="953"/>
      <c r="O557" s="953"/>
      <c r="P557" s="953"/>
    </row>
    <row r="558">
      <c r="A558" s="953"/>
      <c r="B558" s="953"/>
      <c r="C558" s="953"/>
      <c r="D558" s="953"/>
      <c r="E558" s="953"/>
      <c r="F558" s="953"/>
      <c r="G558" s="953"/>
      <c r="H558" s="953"/>
      <c r="I558" s="953"/>
      <c r="J558" s="953"/>
      <c r="K558" s="953"/>
      <c r="L558" s="953"/>
      <c r="M558" s="953"/>
      <c r="N558" s="953"/>
      <c r="O558" s="953"/>
      <c r="P558" s="953"/>
    </row>
    <row r="559">
      <c r="A559" s="953"/>
      <c r="B559" s="953"/>
      <c r="C559" s="953"/>
      <c r="D559" s="953"/>
      <c r="E559" s="953"/>
      <c r="F559" s="953"/>
      <c r="G559" s="953"/>
      <c r="H559" s="953"/>
      <c r="I559" s="953"/>
      <c r="J559" s="953"/>
      <c r="K559" s="953"/>
      <c r="L559" s="953"/>
      <c r="M559" s="953"/>
      <c r="N559" s="953"/>
      <c r="O559" s="953"/>
      <c r="P559" s="953"/>
    </row>
    <row r="560">
      <c r="A560" s="953"/>
      <c r="B560" s="953"/>
      <c r="C560" s="953"/>
      <c r="D560" s="953"/>
      <c r="E560" s="953"/>
      <c r="F560" s="953"/>
      <c r="G560" s="953"/>
      <c r="H560" s="953"/>
      <c r="I560" s="953"/>
      <c r="J560" s="953"/>
      <c r="K560" s="953"/>
      <c r="L560" s="953"/>
      <c r="M560" s="953"/>
      <c r="N560" s="953"/>
      <c r="O560" s="953"/>
      <c r="P560" s="953"/>
    </row>
    <row r="561">
      <c r="A561" s="953"/>
      <c r="B561" s="953"/>
      <c r="C561" s="953"/>
      <c r="D561" s="953"/>
      <c r="E561" s="953"/>
      <c r="F561" s="953"/>
      <c r="G561" s="953"/>
      <c r="H561" s="953"/>
      <c r="I561" s="953"/>
      <c r="J561" s="953"/>
      <c r="K561" s="953"/>
      <c r="L561" s="953"/>
      <c r="M561" s="953"/>
      <c r="N561" s="953"/>
      <c r="O561" s="953"/>
      <c r="P561" s="953"/>
    </row>
    <row r="562">
      <c r="A562" s="953"/>
      <c r="B562" s="953"/>
      <c r="C562" s="953"/>
      <c r="D562" s="953"/>
      <c r="E562" s="953"/>
      <c r="F562" s="953"/>
      <c r="G562" s="953"/>
      <c r="H562" s="953"/>
      <c r="I562" s="953"/>
      <c r="J562" s="953"/>
      <c r="K562" s="953"/>
      <c r="L562" s="953"/>
      <c r="M562" s="953"/>
      <c r="N562" s="953"/>
      <c r="O562" s="953"/>
      <c r="P562" s="953"/>
    </row>
    <row r="563">
      <c r="A563" s="953"/>
      <c r="B563" s="953"/>
      <c r="C563" s="953"/>
      <c r="D563" s="953"/>
      <c r="E563" s="953"/>
      <c r="F563" s="953"/>
      <c r="G563" s="953"/>
      <c r="H563" s="953"/>
      <c r="I563" s="953"/>
      <c r="J563" s="953"/>
      <c r="K563" s="953"/>
      <c r="L563" s="953"/>
      <c r="M563" s="953"/>
      <c r="N563" s="953"/>
      <c r="O563" s="953"/>
      <c r="P563" s="953"/>
    </row>
    <row r="564">
      <c r="A564" s="953"/>
      <c r="B564" s="953"/>
      <c r="C564" s="953"/>
      <c r="D564" s="953"/>
      <c r="E564" s="953"/>
      <c r="F564" s="953"/>
      <c r="G564" s="953"/>
      <c r="H564" s="953"/>
      <c r="I564" s="953"/>
      <c r="J564" s="953"/>
      <c r="K564" s="953"/>
      <c r="L564" s="953"/>
      <c r="M564" s="953"/>
      <c r="N564" s="953"/>
      <c r="O564" s="953"/>
      <c r="P564" s="953"/>
    </row>
    <row r="565">
      <c r="A565" s="953"/>
      <c r="B565" s="953"/>
      <c r="C565" s="953"/>
      <c r="D565" s="953"/>
      <c r="E565" s="953"/>
      <c r="F565" s="953"/>
      <c r="G565" s="953"/>
      <c r="H565" s="953"/>
      <c r="I565" s="953"/>
      <c r="J565" s="953"/>
      <c r="K565" s="953"/>
      <c r="L565" s="953"/>
      <c r="M565" s="953"/>
      <c r="N565" s="953"/>
      <c r="O565" s="953"/>
      <c r="P565" s="953"/>
    </row>
    <row r="566">
      <c r="A566" s="953"/>
      <c r="B566" s="953"/>
      <c r="C566" s="953"/>
      <c r="D566" s="953"/>
      <c r="E566" s="953"/>
      <c r="F566" s="953"/>
      <c r="G566" s="953"/>
      <c r="H566" s="953"/>
      <c r="I566" s="953"/>
      <c r="J566" s="953"/>
      <c r="K566" s="953"/>
      <c r="L566" s="953"/>
      <c r="M566" s="953"/>
      <c r="N566" s="953"/>
      <c r="O566" s="953"/>
      <c r="P566" s="953"/>
    </row>
    <row r="567">
      <c r="A567" s="953"/>
      <c r="B567" s="953"/>
      <c r="C567" s="953"/>
      <c r="D567" s="953"/>
      <c r="E567" s="953"/>
      <c r="F567" s="953"/>
      <c r="G567" s="953"/>
      <c r="H567" s="953"/>
      <c r="I567" s="953"/>
      <c r="J567" s="953"/>
      <c r="K567" s="953"/>
      <c r="L567" s="953"/>
      <c r="M567" s="953"/>
      <c r="N567" s="953"/>
      <c r="O567" s="953"/>
      <c r="P567" s="953"/>
    </row>
    <row r="568">
      <c r="A568" s="953"/>
      <c r="B568" s="953"/>
      <c r="C568" s="953"/>
      <c r="D568" s="953"/>
      <c r="E568" s="953"/>
      <c r="F568" s="953"/>
      <c r="G568" s="953"/>
      <c r="H568" s="953"/>
      <c r="I568" s="953"/>
      <c r="J568" s="953"/>
      <c r="K568" s="953"/>
      <c r="L568" s="953"/>
      <c r="M568" s="953"/>
      <c r="N568" s="953"/>
      <c r="O568" s="953"/>
      <c r="P568" s="953"/>
    </row>
    <row r="569">
      <c r="A569" s="953"/>
      <c r="B569" s="953"/>
      <c r="C569" s="953"/>
      <c r="D569" s="953"/>
      <c r="E569" s="953"/>
      <c r="F569" s="953"/>
      <c r="G569" s="953"/>
      <c r="H569" s="953"/>
      <c r="I569" s="953"/>
      <c r="J569" s="953"/>
      <c r="K569" s="953"/>
      <c r="L569" s="953"/>
      <c r="M569" s="953"/>
      <c r="N569" s="953"/>
      <c r="O569" s="953"/>
      <c r="P569" s="953"/>
    </row>
    <row r="570">
      <c r="A570" s="953"/>
      <c r="B570" s="953"/>
      <c r="C570" s="953"/>
      <c r="D570" s="953"/>
      <c r="E570" s="953"/>
      <c r="F570" s="953"/>
      <c r="G570" s="953"/>
      <c r="H570" s="953"/>
      <c r="I570" s="953"/>
      <c r="J570" s="953"/>
      <c r="K570" s="953"/>
      <c r="L570" s="953"/>
      <c r="M570" s="953"/>
      <c r="N570" s="953"/>
      <c r="O570" s="953"/>
      <c r="P570" s="953"/>
    </row>
    <row r="571">
      <c r="A571" s="953"/>
      <c r="B571" s="953"/>
      <c r="C571" s="953"/>
      <c r="D571" s="953"/>
      <c r="E571" s="953"/>
      <c r="F571" s="953"/>
      <c r="G571" s="953"/>
      <c r="H571" s="953"/>
      <c r="I571" s="953"/>
      <c r="J571" s="953"/>
      <c r="K571" s="953"/>
      <c r="L571" s="953"/>
      <c r="M571" s="953"/>
      <c r="N571" s="953"/>
      <c r="O571" s="953"/>
      <c r="P571" s="953"/>
    </row>
    <row r="572">
      <c r="A572" s="953"/>
      <c r="B572" s="953"/>
      <c r="C572" s="953"/>
      <c r="D572" s="953"/>
      <c r="E572" s="953"/>
      <c r="F572" s="953"/>
      <c r="G572" s="953"/>
      <c r="H572" s="953"/>
      <c r="I572" s="953"/>
      <c r="J572" s="953"/>
      <c r="K572" s="953"/>
      <c r="L572" s="953"/>
      <c r="M572" s="953"/>
      <c r="N572" s="953"/>
      <c r="O572" s="953"/>
      <c r="P572" s="953"/>
    </row>
    <row r="573">
      <c r="A573" s="953"/>
      <c r="B573" s="953"/>
      <c r="C573" s="953"/>
      <c r="D573" s="953"/>
      <c r="E573" s="953"/>
      <c r="F573" s="953"/>
      <c r="G573" s="953"/>
      <c r="H573" s="953"/>
      <c r="I573" s="953"/>
      <c r="J573" s="953"/>
      <c r="K573" s="953"/>
      <c r="L573" s="953"/>
      <c r="M573" s="953"/>
      <c r="N573" s="953"/>
      <c r="O573" s="953"/>
      <c r="P573" s="953"/>
    </row>
    <row r="574">
      <c r="A574" s="953"/>
      <c r="B574" s="953"/>
      <c r="C574" s="953"/>
      <c r="D574" s="953"/>
      <c r="E574" s="953"/>
      <c r="F574" s="953"/>
      <c r="G574" s="953"/>
      <c r="H574" s="953"/>
      <c r="I574" s="953"/>
      <c r="J574" s="953"/>
      <c r="K574" s="953"/>
      <c r="L574" s="953"/>
      <c r="M574" s="953"/>
      <c r="N574" s="953"/>
      <c r="O574" s="953"/>
      <c r="P574" s="953"/>
    </row>
    <row r="575">
      <c r="A575" s="953"/>
      <c r="B575" s="953"/>
      <c r="C575" s="953"/>
      <c r="D575" s="953"/>
      <c r="E575" s="953"/>
      <c r="F575" s="953"/>
      <c r="G575" s="953"/>
      <c r="H575" s="953"/>
      <c r="I575" s="953"/>
      <c r="J575" s="953"/>
      <c r="K575" s="953"/>
      <c r="L575" s="953"/>
      <c r="M575" s="953"/>
      <c r="N575" s="953"/>
      <c r="O575" s="953"/>
      <c r="P575" s="953"/>
    </row>
    <row r="576">
      <c r="A576" s="953"/>
      <c r="B576" s="953"/>
      <c r="C576" s="953"/>
      <c r="D576" s="953"/>
      <c r="E576" s="953"/>
      <c r="F576" s="953"/>
      <c r="G576" s="953"/>
      <c r="H576" s="953"/>
      <c r="I576" s="953"/>
      <c r="J576" s="953"/>
      <c r="K576" s="953"/>
      <c r="L576" s="953"/>
      <c r="M576" s="953"/>
      <c r="N576" s="953"/>
      <c r="O576" s="953"/>
      <c r="P576" s="953"/>
    </row>
    <row r="577">
      <c r="A577" s="953"/>
      <c r="B577" s="953"/>
      <c r="C577" s="953"/>
      <c r="D577" s="953"/>
      <c r="E577" s="953"/>
      <c r="F577" s="953"/>
      <c r="G577" s="953"/>
      <c r="H577" s="953"/>
      <c r="I577" s="953"/>
      <c r="J577" s="953"/>
      <c r="K577" s="953"/>
      <c r="L577" s="953"/>
      <c r="M577" s="953"/>
      <c r="N577" s="953"/>
      <c r="O577" s="953"/>
      <c r="P577" s="953"/>
    </row>
    <row r="578">
      <c r="A578" s="953"/>
      <c r="B578" s="953"/>
      <c r="C578" s="953"/>
      <c r="D578" s="953"/>
      <c r="E578" s="953"/>
      <c r="F578" s="953"/>
      <c r="G578" s="953"/>
      <c r="H578" s="953"/>
      <c r="I578" s="953"/>
      <c r="J578" s="953"/>
      <c r="K578" s="953"/>
      <c r="L578" s="953"/>
      <c r="M578" s="953"/>
      <c r="N578" s="953"/>
      <c r="O578" s="953"/>
      <c r="P578" s="953"/>
    </row>
    <row r="579">
      <c r="A579" s="953"/>
      <c r="B579" s="953"/>
      <c r="C579" s="953"/>
      <c r="D579" s="953"/>
      <c r="E579" s="953"/>
      <c r="F579" s="953"/>
      <c r="G579" s="953"/>
      <c r="H579" s="953"/>
      <c r="I579" s="953"/>
      <c r="J579" s="953"/>
      <c r="K579" s="953"/>
      <c r="L579" s="953"/>
      <c r="M579" s="953"/>
      <c r="N579" s="953"/>
      <c r="O579" s="953"/>
      <c r="P579" s="953"/>
    </row>
    <row r="580">
      <c r="A580" s="953"/>
      <c r="B580" s="953"/>
      <c r="C580" s="953"/>
      <c r="D580" s="953"/>
      <c r="E580" s="953"/>
      <c r="F580" s="953"/>
      <c r="G580" s="953"/>
      <c r="H580" s="953"/>
      <c r="I580" s="953"/>
      <c r="J580" s="953"/>
      <c r="K580" s="953"/>
      <c r="L580" s="953"/>
      <c r="M580" s="953"/>
      <c r="N580" s="953"/>
      <c r="O580" s="953"/>
      <c r="P580" s="953"/>
    </row>
    <row r="581">
      <c r="A581" s="953"/>
      <c r="B581" s="953"/>
      <c r="C581" s="953"/>
      <c r="D581" s="953"/>
      <c r="E581" s="953"/>
      <c r="F581" s="953"/>
      <c r="G581" s="953"/>
      <c r="H581" s="953"/>
      <c r="I581" s="953"/>
      <c r="J581" s="953"/>
      <c r="K581" s="953"/>
      <c r="L581" s="953"/>
      <c r="M581" s="953"/>
      <c r="N581" s="953"/>
      <c r="O581" s="953"/>
      <c r="P581" s="953"/>
    </row>
    <row r="582">
      <c r="A582" s="953"/>
      <c r="B582" s="953"/>
      <c r="C582" s="953"/>
      <c r="D582" s="953"/>
      <c r="E582" s="953"/>
      <c r="F582" s="953"/>
      <c r="G582" s="953"/>
      <c r="H582" s="953"/>
      <c r="I582" s="953"/>
      <c r="J582" s="953"/>
      <c r="K582" s="953"/>
      <c r="L582" s="953"/>
      <c r="M582" s="953"/>
      <c r="N582" s="953"/>
      <c r="O582" s="953"/>
      <c r="P582" s="953"/>
    </row>
    <row r="583">
      <c r="A583" s="953"/>
      <c r="B583" s="953"/>
      <c r="C583" s="953"/>
      <c r="D583" s="953"/>
      <c r="E583" s="953"/>
      <c r="F583" s="953"/>
      <c r="G583" s="953"/>
      <c r="H583" s="953"/>
      <c r="I583" s="953"/>
      <c r="J583" s="953"/>
      <c r="K583" s="953"/>
      <c r="L583" s="953"/>
      <c r="M583" s="953"/>
      <c r="N583" s="953"/>
      <c r="O583" s="953"/>
      <c r="P583" s="953"/>
    </row>
    <row r="584">
      <c r="A584" s="953"/>
      <c r="B584" s="953"/>
      <c r="C584" s="953"/>
      <c r="D584" s="953"/>
      <c r="E584" s="953"/>
      <c r="F584" s="953"/>
      <c r="G584" s="953"/>
      <c r="H584" s="953"/>
      <c r="I584" s="953"/>
      <c r="J584" s="953"/>
      <c r="K584" s="953"/>
      <c r="L584" s="953"/>
      <c r="M584" s="953"/>
      <c r="N584" s="953"/>
      <c r="O584" s="953"/>
      <c r="P584" s="953"/>
    </row>
    <row r="585">
      <c r="A585" s="953"/>
      <c r="B585" s="953"/>
      <c r="C585" s="953"/>
      <c r="D585" s="953"/>
      <c r="E585" s="953"/>
      <c r="F585" s="953"/>
      <c r="G585" s="953"/>
      <c r="H585" s="953"/>
      <c r="I585" s="953"/>
      <c r="J585" s="953"/>
      <c r="K585" s="953"/>
      <c r="L585" s="953"/>
      <c r="M585" s="953"/>
      <c r="N585" s="953"/>
      <c r="O585" s="953"/>
      <c r="P585" s="953"/>
    </row>
    <row r="586">
      <c r="A586" s="953"/>
      <c r="B586" s="953"/>
      <c r="C586" s="953"/>
      <c r="D586" s="953"/>
      <c r="E586" s="953"/>
      <c r="F586" s="953"/>
      <c r="G586" s="953"/>
      <c r="H586" s="953"/>
      <c r="I586" s="953"/>
      <c r="J586" s="953"/>
      <c r="K586" s="953"/>
      <c r="L586" s="953"/>
      <c r="M586" s="953"/>
      <c r="N586" s="953"/>
      <c r="O586" s="953"/>
      <c r="P586" s="953"/>
    </row>
    <row r="587">
      <c r="A587" s="953"/>
      <c r="B587" s="953"/>
      <c r="C587" s="953"/>
      <c r="D587" s="953"/>
      <c r="E587" s="953"/>
      <c r="F587" s="953"/>
      <c r="G587" s="953"/>
      <c r="H587" s="953"/>
      <c r="I587" s="953"/>
      <c r="J587" s="953"/>
      <c r="K587" s="953"/>
      <c r="L587" s="953"/>
      <c r="M587" s="953"/>
      <c r="N587" s="953"/>
      <c r="O587" s="953"/>
      <c r="P587" s="953"/>
    </row>
    <row r="588">
      <c r="A588" s="953"/>
      <c r="B588" s="953"/>
      <c r="C588" s="953"/>
      <c r="D588" s="953"/>
      <c r="E588" s="953"/>
      <c r="F588" s="953"/>
      <c r="G588" s="953"/>
      <c r="H588" s="953"/>
      <c r="I588" s="953"/>
      <c r="J588" s="953"/>
      <c r="K588" s="953"/>
      <c r="L588" s="953"/>
      <c r="M588" s="953"/>
      <c r="N588" s="953"/>
      <c r="O588" s="953"/>
      <c r="P588" s="953"/>
    </row>
    <row r="589">
      <c r="A589" s="953"/>
      <c r="B589" s="953"/>
      <c r="C589" s="953"/>
      <c r="D589" s="953"/>
      <c r="E589" s="953"/>
      <c r="F589" s="953"/>
      <c r="G589" s="953"/>
      <c r="H589" s="953"/>
      <c r="I589" s="953"/>
      <c r="J589" s="953"/>
      <c r="K589" s="953"/>
      <c r="L589" s="953"/>
      <c r="M589" s="953"/>
      <c r="N589" s="953"/>
      <c r="O589" s="953"/>
      <c r="P589" s="953"/>
    </row>
    <row r="590">
      <c r="A590" s="953"/>
      <c r="B590" s="953"/>
      <c r="C590" s="953"/>
      <c r="D590" s="953"/>
      <c r="E590" s="953"/>
      <c r="F590" s="953"/>
      <c r="G590" s="953"/>
      <c r="H590" s="953"/>
      <c r="I590" s="953"/>
      <c r="J590" s="953"/>
      <c r="K590" s="953"/>
      <c r="L590" s="953"/>
      <c r="M590" s="953"/>
      <c r="N590" s="953"/>
      <c r="O590" s="953"/>
      <c r="P590" s="953"/>
    </row>
    <row r="591">
      <c r="A591" s="953"/>
      <c r="B591" s="953"/>
      <c r="C591" s="953"/>
      <c r="D591" s="953"/>
      <c r="E591" s="953"/>
      <c r="F591" s="953"/>
      <c r="G591" s="953"/>
      <c r="H591" s="953"/>
      <c r="I591" s="953"/>
      <c r="J591" s="953"/>
      <c r="K591" s="953"/>
      <c r="L591" s="953"/>
      <c r="M591" s="953"/>
      <c r="N591" s="953"/>
      <c r="O591" s="953"/>
      <c r="P591" s="953"/>
    </row>
    <row r="592">
      <c r="A592" s="953"/>
      <c r="B592" s="953"/>
      <c r="C592" s="953"/>
      <c r="D592" s="953"/>
      <c r="E592" s="953"/>
      <c r="F592" s="953"/>
      <c r="G592" s="953"/>
      <c r="H592" s="953"/>
      <c r="I592" s="953"/>
      <c r="J592" s="953"/>
      <c r="K592" s="953"/>
      <c r="L592" s="953"/>
      <c r="M592" s="953"/>
      <c r="N592" s="953"/>
      <c r="O592" s="953"/>
      <c r="P592" s="953"/>
    </row>
    <row r="593">
      <c r="A593" s="953"/>
      <c r="B593" s="953"/>
      <c r="C593" s="953"/>
      <c r="D593" s="953"/>
      <c r="E593" s="953"/>
      <c r="F593" s="953"/>
      <c r="G593" s="953"/>
      <c r="H593" s="953"/>
      <c r="I593" s="953"/>
      <c r="J593" s="953"/>
      <c r="K593" s="953"/>
      <c r="L593" s="953"/>
      <c r="M593" s="953"/>
      <c r="N593" s="953"/>
      <c r="O593" s="953"/>
      <c r="P593" s="953"/>
    </row>
    <row r="594">
      <c r="A594" s="953"/>
      <c r="B594" s="953"/>
      <c r="C594" s="953"/>
      <c r="D594" s="953"/>
      <c r="E594" s="953"/>
      <c r="F594" s="953"/>
      <c r="G594" s="953"/>
      <c r="H594" s="953"/>
      <c r="I594" s="953"/>
      <c r="J594" s="953"/>
      <c r="K594" s="953"/>
      <c r="L594" s="953"/>
      <c r="M594" s="953"/>
      <c r="N594" s="953"/>
      <c r="O594" s="953"/>
      <c r="P594" s="953"/>
    </row>
    <row r="595">
      <c r="A595" s="953"/>
      <c r="B595" s="953"/>
      <c r="C595" s="953"/>
      <c r="D595" s="953"/>
      <c r="E595" s="953"/>
      <c r="F595" s="953"/>
      <c r="G595" s="953"/>
      <c r="H595" s="953"/>
      <c r="I595" s="953"/>
      <c r="J595" s="953"/>
      <c r="K595" s="953"/>
      <c r="L595" s="953"/>
      <c r="M595" s="953"/>
      <c r="N595" s="953"/>
      <c r="O595" s="953"/>
      <c r="P595" s="953"/>
    </row>
    <row r="596">
      <c r="A596" s="953"/>
      <c r="B596" s="953"/>
      <c r="C596" s="953"/>
      <c r="D596" s="953"/>
      <c r="E596" s="953"/>
      <c r="F596" s="953"/>
      <c r="G596" s="953"/>
      <c r="H596" s="953"/>
      <c r="I596" s="953"/>
      <c r="J596" s="953"/>
      <c r="K596" s="953"/>
      <c r="L596" s="953"/>
      <c r="M596" s="953"/>
      <c r="N596" s="953"/>
      <c r="O596" s="953"/>
      <c r="P596" s="953"/>
    </row>
    <row r="597">
      <c r="A597" s="953"/>
      <c r="B597" s="953"/>
      <c r="C597" s="953"/>
      <c r="D597" s="953"/>
      <c r="E597" s="953"/>
      <c r="F597" s="953"/>
      <c r="G597" s="953"/>
      <c r="H597" s="953"/>
      <c r="I597" s="953"/>
      <c r="J597" s="953"/>
      <c r="K597" s="953"/>
      <c r="L597" s="953"/>
      <c r="M597" s="953"/>
      <c r="N597" s="953"/>
      <c r="O597" s="953"/>
      <c r="P597" s="953"/>
    </row>
    <row r="598">
      <c r="A598" s="953"/>
      <c r="B598" s="953"/>
      <c r="C598" s="953"/>
      <c r="D598" s="953"/>
      <c r="E598" s="953"/>
      <c r="F598" s="953"/>
      <c r="G598" s="953"/>
      <c r="H598" s="953"/>
      <c r="I598" s="953"/>
      <c r="J598" s="953"/>
      <c r="K598" s="953"/>
      <c r="L598" s="953"/>
      <c r="M598" s="953"/>
      <c r="N598" s="953"/>
      <c r="O598" s="953"/>
      <c r="P598" s="953"/>
    </row>
    <row r="599">
      <c r="A599" s="953"/>
      <c r="B599" s="953"/>
      <c r="C599" s="953"/>
      <c r="D599" s="953"/>
      <c r="E599" s="953"/>
      <c r="F599" s="953"/>
      <c r="G599" s="953"/>
      <c r="H599" s="953"/>
      <c r="I599" s="953"/>
      <c r="J599" s="953"/>
      <c r="K599" s="953"/>
      <c r="L599" s="953"/>
      <c r="M599" s="953"/>
      <c r="N599" s="953"/>
      <c r="O599" s="953"/>
      <c r="P599" s="953"/>
    </row>
    <row r="600">
      <c r="A600" s="953"/>
      <c r="B600" s="953"/>
      <c r="C600" s="953"/>
      <c r="D600" s="953"/>
      <c r="E600" s="953"/>
      <c r="F600" s="953"/>
      <c r="G600" s="953"/>
      <c r="H600" s="953"/>
      <c r="I600" s="953"/>
      <c r="J600" s="953"/>
      <c r="K600" s="953"/>
      <c r="L600" s="953"/>
      <c r="M600" s="953"/>
      <c r="N600" s="953"/>
      <c r="O600" s="953"/>
      <c r="P600" s="953"/>
    </row>
    <row r="601">
      <c r="A601" s="953"/>
      <c r="B601" s="953"/>
      <c r="C601" s="953"/>
      <c r="D601" s="953"/>
      <c r="E601" s="953"/>
      <c r="F601" s="953"/>
      <c r="G601" s="953"/>
      <c r="H601" s="953"/>
      <c r="I601" s="953"/>
      <c r="J601" s="953"/>
      <c r="K601" s="953"/>
      <c r="L601" s="953"/>
      <c r="M601" s="953"/>
      <c r="N601" s="953"/>
      <c r="O601" s="953"/>
      <c r="P601" s="953"/>
    </row>
    <row r="602">
      <c r="A602" s="953"/>
      <c r="B602" s="953"/>
      <c r="C602" s="953"/>
      <c r="D602" s="953"/>
      <c r="E602" s="953"/>
      <c r="F602" s="953"/>
      <c r="G602" s="953"/>
      <c r="H602" s="953"/>
      <c r="I602" s="953"/>
      <c r="J602" s="953"/>
      <c r="K602" s="953"/>
      <c r="L602" s="953"/>
      <c r="M602" s="953"/>
      <c r="N602" s="953"/>
      <c r="O602" s="953"/>
      <c r="P602" s="953"/>
    </row>
    <row r="603">
      <c r="A603" s="953"/>
      <c r="B603" s="953"/>
      <c r="C603" s="953"/>
      <c r="D603" s="953"/>
      <c r="E603" s="953"/>
      <c r="F603" s="953"/>
      <c r="G603" s="953"/>
      <c r="H603" s="953"/>
      <c r="I603" s="953"/>
      <c r="J603" s="953"/>
      <c r="K603" s="953"/>
      <c r="L603" s="953"/>
      <c r="M603" s="953"/>
      <c r="N603" s="953"/>
      <c r="O603" s="953"/>
      <c r="P603" s="953"/>
    </row>
    <row r="604">
      <c r="A604" s="953"/>
      <c r="B604" s="953"/>
      <c r="C604" s="953"/>
      <c r="D604" s="953"/>
      <c r="E604" s="953"/>
      <c r="F604" s="953"/>
      <c r="G604" s="953"/>
      <c r="H604" s="953"/>
      <c r="I604" s="953"/>
      <c r="J604" s="953"/>
      <c r="K604" s="953"/>
      <c r="L604" s="953"/>
      <c r="M604" s="953"/>
      <c r="N604" s="953"/>
      <c r="O604" s="953"/>
      <c r="P604" s="953"/>
    </row>
    <row r="605">
      <c r="A605" s="953"/>
      <c r="B605" s="953"/>
      <c r="C605" s="953"/>
      <c r="D605" s="953"/>
      <c r="E605" s="953"/>
      <c r="F605" s="953"/>
      <c r="G605" s="953"/>
      <c r="H605" s="953"/>
      <c r="I605" s="953"/>
      <c r="J605" s="953"/>
      <c r="K605" s="953"/>
      <c r="L605" s="953"/>
      <c r="M605" s="953"/>
      <c r="N605" s="953"/>
      <c r="O605" s="953"/>
      <c r="P605" s="953"/>
    </row>
    <row r="606">
      <c r="A606" s="953"/>
      <c r="B606" s="953"/>
      <c r="C606" s="953"/>
      <c r="D606" s="953"/>
      <c r="E606" s="953"/>
      <c r="F606" s="953"/>
      <c r="G606" s="953"/>
      <c r="H606" s="953"/>
      <c r="I606" s="953"/>
      <c r="J606" s="953"/>
      <c r="K606" s="953"/>
      <c r="L606" s="953"/>
      <c r="M606" s="953"/>
      <c r="N606" s="953"/>
      <c r="O606" s="953"/>
      <c r="P606" s="953"/>
    </row>
    <row r="607">
      <c r="A607" s="953"/>
      <c r="B607" s="953"/>
      <c r="C607" s="953"/>
      <c r="D607" s="953"/>
      <c r="E607" s="953"/>
      <c r="F607" s="953"/>
      <c r="G607" s="953"/>
      <c r="H607" s="953"/>
      <c r="I607" s="953"/>
      <c r="J607" s="953"/>
      <c r="K607" s="953"/>
      <c r="L607" s="953"/>
      <c r="M607" s="953"/>
      <c r="N607" s="953"/>
      <c r="O607" s="953"/>
      <c r="P607" s="953"/>
    </row>
    <row r="608">
      <c r="A608" s="953"/>
      <c r="B608" s="953"/>
      <c r="C608" s="953"/>
      <c r="D608" s="953"/>
      <c r="E608" s="953"/>
      <c r="F608" s="953"/>
      <c r="G608" s="953"/>
      <c r="H608" s="953"/>
      <c r="I608" s="953"/>
      <c r="J608" s="953"/>
      <c r="K608" s="953"/>
      <c r="L608" s="953"/>
      <c r="M608" s="953"/>
      <c r="N608" s="953"/>
      <c r="O608" s="953"/>
      <c r="P608" s="953"/>
    </row>
    <row r="609">
      <c r="A609" s="953"/>
      <c r="B609" s="953"/>
      <c r="C609" s="953"/>
      <c r="D609" s="953"/>
      <c r="E609" s="953"/>
      <c r="F609" s="953"/>
      <c r="G609" s="953"/>
      <c r="H609" s="953"/>
      <c r="I609" s="953"/>
      <c r="J609" s="953"/>
      <c r="K609" s="953"/>
      <c r="L609" s="953"/>
      <c r="M609" s="953"/>
      <c r="N609" s="953"/>
      <c r="O609" s="953"/>
      <c r="P609" s="953"/>
    </row>
    <row r="610">
      <c r="A610" s="953"/>
      <c r="B610" s="953"/>
      <c r="C610" s="953"/>
      <c r="D610" s="953"/>
      <c r="E610" s="953"/>
      <c r="F610" s="953"/>
      <c r="G610" s="953"/>
      <c r="H610" s="953"/>
      <c r="I610" s="953"/>
      <c r="J610" s="953"/>
      <c r="K610" s="953"/>
      <c r="L610" s="953"/>
      <c r="M610" s="953"/>
      <c r="N610" s="953"/>
      <c r="O610" s="953"/>
      <c r="P610" s="953"/>
    </row>
    <row r="611">
      <c r="A611" s="953"/>
      <c r="B611" s="953"/>
      <c r="C611" s="953"/>
      <c r="D611" s="953"/>
      <c r="E611" s="953"/>
      <c r="F611" s="953"/>
      <c r="G611" s="953"/>
      <c r="H611" s="953"/>
      <c r="I611" s="953"/>
      <c r="J611" s="953"/>
      <c r="K611" s="953"/>
      <c r="L611" s="953"/>
      <c r="M611" s="953"/>
      <c r="N611" s="953"/>
      <c r="O611" s="953"/>
      <c r="P611" s="953"/>
    </row>
    <row r="612">
      <c r="A612" s="953"/>
      <c r="B612" s="953"/>
      <c r="C612" s="953"/>
      <c r="D612" s="953"/>
      <c r="E612" s="953"/>
      <c r="F612" s="953"/>
      <c r="G612" s="953"/>
      <c r="H612" s="953"/>
      <c r="I612" s="953"/>
      <c r="J612" s="953"/>
      <c r="K612" s="953"/>
      <c r="L612" s="953"/>
      <c r="M612" s="953"/>
      <c r="N612" s="953"/>
      <c r="O612" s="953"/>
      <c r="P612" s="953"/>
    </row>
    <row r="613">
      <c r="A613" s="953"/>
      <c r="B613" s="953"/>
      <c r="C613" s="953"/>
      <c r="D613" s="953"/>
      <c r="E613" s="953"/>
      <c r="F613" s="953"/>
      <c r="G613" s="953"/>
      <c r="H613" s="953"/>
      <c r="I613" s="953"/>
      <c r="J613" s="953"/>
      <c r="K613" s="953"/>
      <c r="L613" s="953"/>
      <c r="M613" s="953"/>
      <c r="N613" s="953"/>
      <c r="O613" s="953"/>
      <c r="P613" s="953"/>
    </row>
    <row r="614">
      <c r="A614" s="953"/>
      <c r="B614" s="953"/>
      <c r="C614" s="953"/>
      <c r="D614" s="953"/>
      <c r="E614" s="953"/>
      <c r="F614" s="953"/>
      <c r="G614" s="953"/>
      <c r="H614" s="953"/>
      <c r="I614" s="953"/>
      <c r="J614" s="953"/>
      <c r="K614" s="953"/>
      <c r="L614" s="953"/>
      <c r="M614" s="953"/>
      <c r="N614" s="953"/>
      <c r="O614" s="953"/>
      <c r="P614" s="953"/>
    </row>
    <row r="615">
      <c r="A615" s="953"/>
      <c r="B615" s="953"/>
      <c r="C615" s="953"/>
      <c r="D615" s="953"/>
      <c r="E615" s="953"/>
      <c r="F615" s="953"/>
      <c r="G615" s="953"/>
      <c r="H615" s="953"/>
      <c r="I615" s="953"/>
      <c r="J615" s="953"/>
      <c r="K615" s="953"/>
      <c r="L615" s="953"/>
      <c r="M615" s="953"/>
      <c r="N615" s="953"/>
      <c r="O615" s="953"/>
      <c r="P615" s="953"/>
    </row>
    <row r="616">
      <c r="A616" s="953"/>
      <c r="B616" s="953"/>
      <c r="C616" s="953"/>
      <c r="D616" s="953"/>
      <c r="E616" s="953"/>
      <c r="F616" s="953"/>
      <c r="G616" s="953"/>
      <c r="H616" s="953"/>
      <c r="I616" s="953"/>
      <c r="J616" s="953"/>
      <c r="K616" s="953"/>
      <c r="L616" s="953"/>
      <c r="M616" s="953"/>
      <c r="N616" s="953"/>
      <c r="O616" s="953"/>
      <c r="P616" s="953"/>
    </row>
    <row r="617">
      <c r="A617" s="953"/>
      <c r="B617" s="953"/>
      <c r="C617" s="953"/>
      <c r="D617" s="953"/>
      <c r="E617" s="953"/>
      <c r="F617" s="953"/>
      <c r="G617" s="953"/>
      <c r="H617" s="953"/>
      <c r="I617" s="953"/>
      <c r="J617" s="953"/>
      <c r="K617" s="953"/>
      <c r="L617" s="953"/>
      <c r="M617" s="953"/>
      <c r="N617" s="953"/>
      <c r="O617" s="953"/>
      <c r="P617" s="953"/>
    </row>
    <row r="618">
      <c r="A618" s="953"/>
      <c r="B618" s="953"/>
      <c r="C618" s="953"/>
      <c r="D618" s="953"/>
      <c r="E618" s="953"/>
      <c r="F618" s="953"/>
      <c r="G618" s="953"/>
      <c r="H618" s="953"/>
      <c r="I618" s="953"/>
      <c r="J618" s="953"/>
      <c r="K618" s="953"/>
      <c r="L618" s="953"/>
      <c r="M618" s="953"/>
      <c r="N618" s="953"/>
      <c r="O618" s="953"/>
      <c r="P618" s="953"/>
    </row>
    <row r="619">
      <c r="A619" s="953"/>
      <c r="B619" s="953"/>
      <c r="C619" s="953"/>
      <c r="D619" s="953"/>
      <c r="E619" s="953"/>
      <c r="F619" s="953"/>
      <c r="G619" s="953"/>
      <c r="H619" s="953"/>
      <c r="I619" s="953"/>
      <c r="J619" s="953"/>
      <c r="K619" s="953"/>
      <c r="L619" s="953"/>
      <c r="M619" s="953"/>
      <c r="N619" s="953"/>
      <c r="O619" s="953"/>
      <c r="P619" s="953"/>
    </row>
    <row r="620">
      <c r="A620" s="953"/>
      <c r="B620" s="953"/>
      <c r="C620" s="953"/>
      <c r="D620" s="953"/>
      <c r="E620" s="953"/>
      <c r="F620" s="953"/>
      <c r="G620" s="953"/>
      <c r="H620" s="953"/>
      <c r="I620" s="953"/>
      <c r="J620" s="953"/>
      <c r="K620" s="953"/>
      <c r="L620" s="953"/>
      <c r="M620" s="953"/>
      <c r="N620" s="953"/>
      <c r="O620" s="953"/>
      <c r="P620" s="953"/>
    </row>
    <row r="621">
      <c r="A621" s="953"/>
      <c r="B621" s="953"/>
      <c r="C621" s="953"/>
      <c r="D621" s="953"/>
      <c r="E621" s="953"/>
      <c r="F621" s="953"/>
      <c r="G621" s="953"/>
      <c r="H621" s="953"/>
      <c r="I621" s="953"/>
      <c r="J621" s="953"/>
      <c r="K621" s="953"/>
      <c r="L621" s="953"/>
      <c r="M621" s="953"/>
      <c r="N621" s="953"/>
      <c r="O621" s="953"/>
      <c r="P621" s="953"/>
    </row>
    <row r="622">
      <c r="A622" s="953"/>
      <c r="B622" s="953"/>
      <c r="C622" s="953"/>
      <c r="D622" s="953"/>
      <c r="E622" s="953"/>
      <c r="F622" s="953"/>
      <c r="G622" s="953"/>
      <c r="H622" s="953"/>
      <c r="I622" s="953"/>
      <c r="J622" s="953"/>
      <c r="K622" s="953"/>
      <c r="L622" s="953"/>
      <c r="M622" s="953"/>
      <c r="N622" s="953"/>
      <c r="O622" s="953"/>
      <c r="P622" s="953"/>
    </row>
    <row r="623">
      <c r="A623" s="953"/>
      <c r="B623" s="953"/>
      <c r="C623" s="953"/>
      <c r="D623" s="953"/>
      <c r="E623" s="953"/>
      <c r="F623" s="953"/>
      <c r="G623" s="953"/>
      <c r="H623" s="953"/>
      <c r="I623" s="953"/>
      <c r="J623" s="953"/>
      <c r="K623" s="953"/>
      <c r="L623" s="953"/>
      <c r="M623" s="953"/>
      <c r="N623" s="953"/>
      <c r="O623" s="953"/>
      <c r="P623" s="953"/>
    </row>
    <row r="624">
      <c r="A624" s="953"/>
      <c r="B624" s="953"/>
      <c r="C624" s="953"/>
      <c r="D624" s="953"/>
      <c r="E624" s="953"/>
      <c r="F624" s="953"/>
      <c r="G624" s="953"/>
      <c r="H624" s="953"/>
      <c r="I624" s="953"/>
      <c r="J624" s="953"/>
      <c r="K624" s="953"/>
      <c r="L624" s="953"/>
      <c r="M624" s="953"/>
      <c r="N624" s="953"/>
      <c r="O624" s="953"/>
      <c r="P624" s="953"/>
    </row>
    <row r="625">
      <c r="A625" s="953"/>
      <c r="B625" s="953"/>
      <c r="C625" s="953"/>
      <c r="D625" s="953"/>
      <c r="E625" s="953"/>
      <c r="F625" s="953"/>
      <c r="G625" s="953"/>
      <c r="H625" s="953"/>
      <c r="I625" s="953"/>
      <c r="J625" s="953"/>
      <c r="K625" s="953"/>
      <c r="L625" s="953"/>
      <c r="M625" s="953"/>
      <c r="N625" s="953"/>
      <c r="O625" s="953"/>
      <c r="P625" s="953"/>
    </row>
    <row r="626">
      <c r="A626" s="953"/>
      <c r="B626" s="953"/>
      <c r="C626" s="953"/>
      <c r="D626" s="953"/>
      <c r="E626" s="953"/>
      <c r="F626" s="953"/>
      <c r="G626" s="953"/>
      <c r="H626" s="953"/>
      <c r="I626" s="953"/>
      <c r="J626" s="953"/>
      <c r="K626" s="953"/>
      <c r="L626" s="953"/>
      <c r="M626" s="953"/>
      <c r="N626" s="953"/>
      <c r="O626" s="953"/>
      <c r="P626" s="953"/>
    </row>
    <row r="627">
      <c r="A627" s="953"/>
      <c r="B627" s="953"/>
      <c r="C627" s="953"/>
      <c r="D627" s="953"/>
      <c r="E627" s="953"/>
      <c r="F627" s="953"/>
      <c r="G627" s="953"/>
      <c r="H627" s="953"/>
      <c r="I627" s="953"/>
      <c r="J627" s="953"/>
      <c r="K627" s="953"/>
      <c r="L627" s="953"/>
      <c r="M627" s="953"/>
      <c r="N627" s="953"/>
      <c r="O627" s="953"/>
      <c r="P627" s="953"/>
    </row>
    <row r="628">
      <c r="A628" s="953"/>
      <c r="B628" s="953"/>
      <c r="C628" s="953"/>
      <c r="D628" s="953"/>
      <c r="E628" s="953"/>
      <c r="F628" s="953"/>
      <c r="G628" s="953"/>
      <c r="H628" s="953"/>
      <c r="I628" s="953"/>
      <c r="J628" s="953"/>
      <c r="K628" s="953"/>
      <c r="L628" s="953"/>
      <c r="M628" s="953"/>
      <c r="N628" s="953"/>
      <c r="O628" s="953"/>
      <c r="P628" s="953"/>
    </row>
    <row r="629">
      <c r="A629" s="953"/>
      <c r="B629" s="953"/>
      <c r="C629" s="953"/>
      <c r="D629" s="953"/>
      <c r="E629" s="953"/>
      <c r="F629" s="953"/>
      <c r="G629" s="953"/>
      <c r="H629" s="953"/>
      <c r="I629" s="953"/>
      <c r="J629" s="953"/>
      <c r="K629" s="953"/>
      <c r="L629" s="953"/>
      <c r="M629" s="953"/>
      <c r="N629" s="953"/>
      <c r="O629" s="953"/>
      <c r="P629" s="953"/>
    </row>
    <row r="630">
      <c r="A630" s="953"/>
      <c r="B630" s="953"/>
      <c r="C630" s="953"/>
      <c r="D630" s="953"/>
      <c r="E630" s="953"/>
      <c r="F630" s="953"/>
      <c r="G630" s="953"/>
      <c r="H630" s="953"/>
      <c r="I630" s="953"/>
      <c r="J630" s="953"/>
      <c r="K630" s="953"/>
      <c r="L630" s="953"/>
      <c r="M630" s="953"/>
      <c r="N630" s="953"/>
      <c r="O630" s="953"/>
      <c r="P630" s="953"/>
    </row>
    <row r="631">
      <c r="A631" s="953"/>
      <c r="B631" s="953"/>
      <c r="C631" s="953"/>
      <c r="D631" s="953"/>
      <c r="E631" s="953"/>
      <c r="F631" s="953"/>
      <c r="G631" s="953"/>
      <c r="H631" s="953"/>
      <c r="I631" s="953"/>
      <c r="J631" s="953"/>
      <c r="K631" s="953"/>
      <c r="L631" s="953"/>
      <c r="M631" s="953"/>
      <c r="N631" s="953"/>
      <c r="O631" s="953"/>
      <c r="P631" s="953"/>
    </row>
    <row r="632">
      <c r="A632" s="953"/>
      <c r="B632" s="953"/>
      <c r="C632" s="953"/>
      <c r="D632" s="953"/>
      <c r="E632" s="953"/>
      <c r="F632" s="953"/>
      <c r="G632" s="953"/>
      <c r="H632" s="953"/>
      <c r="I632" s="953"/>
      <c r="J632" s="953"/>
      <c r="K632" s="953"/>
      <c r="L632" s="953"/>
      <c r="M632" s="953"/>
      <c r="N632" s="953"/>
      <c r="O632" s="953"/>
      <c r="P632" s="953"/>
    </row>
    <row r="633">
      <c r="A633" s="953"/>
      <c r="B633" s="953"/>
      <c r="C633" s="953"/>
      <c r="D633" s="953"/>
      <c r="E633" s="953"/>
      <c r="F633" s="953"/>
      <c r="G633" s="953"/>
      <c r="H633" s="953"/>
      <c r="I633" s="953"/>
      <c r="J633" s="953"/>
      <c r="K633" s="953"/>
      <c r="L633" s="953"/>
      <c r="M633" s="953"/>
      <c r="N633" s="953"/>
      <c r="O633" s="953"/>
      <c r="P633" s="953"/>
    </row>
    <row r="634">
      <c r="A634" s="953"/>
      <c r="B634" s="953"/>
      <c r="C634" s="953"/>
      <c r="D634" s="953"/>
      <c r="E634" s="953"/>
      <c r="F634" s="953"/>
      <c r="G634" s="953"/>
      <c r="H634" s="953"/>
      <c r="I634" s="953"/>
      <c r="J634" s="953"/>
      <c r="K634" s="953"/>
      <c r="L634" s="953"/>
      <c r="M634" s="953"/>
      <c r="N634" s="953"/>
      <c r="O634" s="953"/>
      <c r="P634" s="953"/>
    </row>
    <row r="635">
      <c r="A635" s="953"/>
      <c r="B635" s="953"/>
      <c r="C635" s="953"/>
      <c r="D635" s="953"/>
      <c r="E635" s="953"/>
      <c r="F635" s="953"/>
      <c r="G635" s="953"/>
      <c r="H635" s="953"/>
      <c r="I635" s="953"/>
      <c r="J635" s="953"/>
      <c r="K635" s="953"/>
      <c r="L635" s="953"/>
      <c r="M635" s="953"/>
      <c r="N635" s="953"/>
      <c r="O635" s="953"/>
      <c r="P635" s="953"/>
    </row>
    <row r="636">
      <c r="A636" s="953"/>
      <c r="B636" s="953"/>
      <c r="C636" s="953"/>
      <c r="D636" s="953"/>
      <c r="E636" s="953"/>
      <c r="F636" s="953"/>
      <c r="G636" s="953"/>
      <c r="H636" s="953"/>
      <c r="I636" s="953"/>
      <c r="J636" s="953"/>
      <c r="K636" s="953"/>
      <c r="L636" s="953"/>
      <c r="M636" s="953"/>
      <c r="N636" s="953"/>
      <c r="O636" s="953"/>
      <c r="P636" s="953"/>
    </row>
    <row r="637">
      <c r="A637" s="953"/>
      <c r="B637" s="953"/>
      <c r="C637" s="953"/>
      <c r="D637" s="953"/>
      <c r="E637" s="953"/>
      <c r="F637" s="953"/>
      <c r="G637" s="953"/>
      <c r="H637" s="953"/>
      <c r="I637" s="953"/>
      <c r="J637" s="953"/>
      <c r="K637" s="953"/>
      <c r="L637" s="953"/>
      <c r="M637" s="953"/>
      <c r="N637" s="953"/>
      <c r="O637" s="953"/>
      <c r="P637" s="953"/>
    </row>
    <row r="638">
      <c r="A638" s="953"/>
      <c r="B638" s="953"/>
      <c r="C638" s="953"/>
      <c r="D638" s="953"/>
      <c r="E638" s="953"/>
      <c r="F638" s="953"/>
      <c r="G638" s="953"/>
      <c r="H638" s="953"/>
      <c r="I638" s="953"/>
      <c r="J638" s="953"/>
      <c r="K638" s="953"/>
      <c r="L638" s="953"/>
      <c r="M638" s="953"/>
      <c r="N638" s="953"/>
      <c r="O638" s="953"/>
      <c r="P638" s="953"/>
    </row>
    <row r="639">
      <c r="A639" s="953"/>
      <c r="B639" s="953"/>
      <c r="C639" s="953"/>
      <c r="D639" s="953"/>
      <c r="E639" s="953"/>
      <c r="F639" s="953"/>
      <c r="G639" s="953"/>
      <c r="H639" s="953"/>
      <c r="I639" s="953"/>
      <c r="J639" s="953"/>
      <c r="K639" s="953"/>
      <c r="L639" s="953"/>
      <c r="M639" s="953"/>
      <c r="N639" s="953"/>
      <c r="O639" s="953"/>
      <c r="P639" s="953"/>
    </row>
    <row r="640">
      <c r="A640" s="953"/>
      <c r="B640" s="953"/>
      <c r="C640" s="953"/>
      <c r="D640" s="953"/>
      <c r="E640" s="953"/>
      <c r="F640" s="953"/>
      <c r="G640" s="953"/>
      <c r="H640" s="953"/>
      <c r="I640" s="953"/>
      <c r="J640" s="953"/>
      <c r="K640" s="953"/>
      <c r="L640" s="953"/>
      <c r="M640" s="953"/>
      <c r="N640" s="953"/>
      <c r="O640" s="953"/>
      <c r="P640" s="953"/>
    </row>
    <row r="641">
      <c r="A641" s="953"/>
      <c r="B641" s="953"/>
      <c r="C641" s="953"/>
      <c r="D641" s="953"/>
      <c r="E641" s="953"/>
      <c r="F641" s="953"/>
      <c r="G641" s="953"/>
      <c r="H641" s="953"/>
      <c r="I641" s="953"/>
      <c r="J641" s="953"/>
      <c r="K641" s="953"/>
      <c r="L641" s="953"/>
      <c r="M641" s="953"/>
      <c r="N641" s="953"/>
      <c r="O641" s="953"/>
      <c r="P641" s="953"/>
    </row>
    <row r="642">
      <c r="A642" s="953"/>
      <c r="B642" s="953"/>
      <c r="C642" s="953"/>
      <c r="D642" s="953"/>
      <c r="E642" s="953"/>
      <c r="F642" s="953"/>
      <c r="G642" s="953"/>
      <c r="H642" s="953"/>
      <c r="I642" s="953"/>
      <c r="J642" s="953"/>
      <c r="K642" s="953"/>
      <c r="L642" s="953"/>
      <c r="M642" s="953"/>
      <c r="N642" s="953"/>
      <c r="O642" s="953"/>
      <c r="P642" s="953"/>
    </row>
    <row r="643">
      <c r="A643" s="953"/>
      <c r="B643" s="953"/>
      <c r="C643" s="953"/>
      <c r="D643" s="953"/>
      <c r="E643" s="953"/>
      <c r="F643" s="953"/>
      <c r="G643" s="953"/>
      <c r="H643" s="953"/>
      <c r="I643" s="953"/>
      <c r="J643" s="953"/>
      <c r="K643" s="953"/>
      <c r="L643" s="953"/>
      <c r="M643" s="953"/>
      <c r="N643" s="953"/>
      <c r="O643" s="953"/>
      <c r="P643" s="953"/>
    </row>
    <row r="644">
      <c r="A644" s="953"/>
      <c r="B644" s="953"/>
      <c r="C644" s="953"/>
      <c r="D644" s="953"/>
      <c r="E644" s="953"/>
      <c r="F644" s="953"/>
      <c r="G644" s="953"/>
      <c r="H644" s="953"/>
      <c r="I644" s="953"/>
      <c r="J644" s="953"/>
      <c r="K644" s="953"/>
      <c r="L644" s="953"/>
      <c r="M644" s="953"/>
      <c r="N644" s="953"/>
      <c r="O644" s="953"/>
      <c r="P644" s="953"/>
    </row>
    <row r="645">
      <c r="A645" s="953"/>
      <c r="B645" s="953"/>
      <c r="C645" s="953"/>
      <c r="D645" s="953"/>
      <c r="E645" s="953"/>
      <c r="F645" s="953"/>
      <c r="G645" s="953"/>
      <c r="H645" s="953"/>
      <c r="I645" s="953"/>
      <c r="J645" s="953"/>
      <c r="K645" s="953"/>
      <c r="L645" s="953"/>
      <c r="M645" s="953"/>
      <c r="N645" s="953"/>
      <c r="O645" s="953"/>
      <c r="P645" s="953"/>
    </row>
    <row r="646">
      <c r="A646" s="953"/>
      <c r="B646" s="953"/>
      <c r="C646" s="953"/>
      <c r="D646" s="953"/>
      <c r="E646" s="953"/>
      <c r="F646" s="953"/>
      <c r="G646" s="953"/>
      <c r="H646" s="953"/>
      <c r="I646" s="953"/>
      <c r="J646" s="953"/>
      <c r="K646" s="953"/>
      <c r="L646" s="953"/>
      <c r="M646" s="953"/>
      <c r="N646" s="953"/>
      <c r="O646" s="953"/>
      <c r="P646" s="953"/>
    </row>
    <row r="647">
      <c r="A647" s="953"/>
      <c r="B647" s="953"/>
      <c r="C647" s="953"/>
      <c r="D647" s="953"/>
      <c r="E647" s="953"/>
      <c r="F647" s="953"/>
      <c r="G647" s="953"/>
      <c r="H647" s="953"/>
      <c r="I647" s="953"/>
      <c r="J647" s="953"/>
      <c r="K647" s="953"/>
      <c r="L647" s="953"/>
      <c r="M647" s="953"/>
      <c r="N647" s="953"/>
      <c r="O647" s="953"/>
      <c r="P647" s="953"/>
    </row>
    <row r="648">
      <c r="A648" s="953"/>
      <c r="B648" s="953"/>
      <c r="C648" s="953"/>
      <c r="D648" s="953"/>
      <c r="E648" s="953"/>
      <c r="F648" s="953"/>
      <c r="G648" s="953"/>
      <c r="H648" s="953"/>
      <c r="I648" s="953"/>
      <c r="J648" s="953"/>
      <c r="K648" s="953"/>
      <c r="L648" s="953"/>
      <c r="M648" s="953"/>
      <c r="N648" s="953"/>
      <c r="O648" s="953"/>
      <c r="P648" s="953"/>
    </row>
    <row r="649">
      <c r="A649" s="953"/>
      <c r="B649" s="953"/>
      <c r="C649" s="953"/>
      <c r="D649" s="953"/>
      <c r="E649" s="953"/>
      <c r="F649" s="953"/>
      <c r="G649" s="953"/>
      <c r="H649" s="953"/>
      <c r="I649" s="953"/>
      <c r="J649" s="953"/>
      <c r="K649" s="953"/>
      <c r="L649" s="953"/>
      <c r="M649" s="953"/>
      <c r="N649" s="953"/>
      <c r="O649" s="953"/>
      <c r="P649" s="953"/>
    </row>
    <row r="650">
      <c r="A650" s="953"/>
      <c r="B650" s="953"/>
      <c r="C650" s="953"/>
      <c r="D650" s="953"/>
      <c r="E650" s="953"/>
      <c r="F650" s="953"/>
      <c r="G650" s="953"/>
      <c r="H650" s="953"/>
      <c r="I650" s="953"/>
      <c r="J650" s="953"/>
      <c r="K650" s="953"/>
      <c r="L650" s="953"/>
      <c r="M650" s="953"/>
      <c r="N650" s="953"/>
      <c r="O650" s="953"/>
      <c r="P650" s="953"/>
    </row>
    <row r="651">
      <c r="A651" s="953"/>
      <c r="B651" s="953"/>
      <c r="C651" s="953"/>
      <c r="D651" s="953"/>
      <c r="E651" s="953"/>
      <c r="F651" s="953"/>
      <c r="G651" s="953"/>
      <c r="H651" s="953"/>
      <c r="I651" s="953"/>
      <c r="J651" s="953"/>
      <c r="K651" s="953"/>
      <c r="L651" s="953"/>
      <c r="M651" s="953"/>
      <c r="N651" s="953"/>
      <c r="O651" s="953"/>
      <c r="P651" s="953"/>
    </row>
    <row r="652">
      <c r="A652" s="953"/>
      <c r="B652" s="953"/>
      <c r="C652" s="953"/>
      <c r="D652" s="953"/>
      <c r="E652" s="953"/>
      <c r="F652" s="953"/>
      <c r="G652" s="953"/>
      <c r="H652" s="953"/>
      <c r="I652" s="953"/>
      <c r="J652" s="953"/>
      <c r="K652" s="953"/>
      <c r="L652" s="953"/>
      <c r="M652" s="953"/>
      <c r="N652" s="953"/>
      <c r="O652" s="953"/>
      <c r="P652" s="953"/>
    </row>
    <row r="653">
      <c r="A653" s="953"/>
      <c r="B653" s="953"/>
      <c r="C653" s="953"/>
      <c r="D653" s="953"/>
      <c r="E653" s="953"/>
      <c r="F653" s="953"/>
      <c r="G653" s="953"/>
      <c r="H653" s="953"/>
      <c r="I653" s="953"/>
      <c r="J653" s="953"/>
      <c r="K653" s="953"/>
      <c r="L653" s="953"/>
      <c r="M653" s="953"/>
      <c r="N653" s="953"/>
      <c r="O653" s="953"/>
      <c r="P653" s="953"/>
    </row>
    <row r="654">
      <c r="A654" s="953"/>
      <c r="B654" s="953"/>
      <c r="C654" s="953"/>
      <c r="D654" s="953"/>
      <c r="E654" s="953"/>
      <c r="F654" s="953"/>
      <c r="G654" s="953"/>
      <c r="H654" s="953"/>
      <c r="I654" s="953"/>
      <c r="J654" s="953"/>
      <c r="K654" s="953"/>
      <c r="L654" s="953"/>
      <c r="M654" s="953"/>
      <c r="N654" s="953"/>
      <c r="O654" s="953"/>
      <c r="P654" s="953"/>
    </row>
    <row r="655">
      <c r="A655" s="953"/>
      <c r="B655" s="953"/>
      <c r="C655" s="953"/>
      <c r="D655" s="953"/>
      <c r="E655" s="953"/>
      <c r="F655" s="953"/>
      <c r="G655" s="953"/>
      <c r="H655" s="953"/>
      <c r="I655" s="953"/>
      <c r="J655" s="953"/>
      <c r="K655" s="953"/>
      <c r="L655" s="953"/>
      <c r="M655" s="953"/>
      <c r="N655" s="953"/>
      <c r="O655" s="953"/>
      <c r="P655" s="953"/>
    </row>
    <row r="656">
      <c r="A656" s="953"/>
      <c r="B656" s="953"/>
      <c r="C656" s="953"/>
      <c r="D656" s="953"/>
      <c r="E656" s="953"/>
      <c r="F656" s="953"/>
      <c r="G656" s="953"/>
      <c r="H656" s="953"/>
      <c r="I656" s="953"/>
      <c r="J656" s="953"/>
      <c r="K656" s="953"/>
      <c r="L656" s="953"/>
      <c r="M656" s="953"/>
      <c r="N656" s="953"/>
      <c r="O656" s="953"/>
      <c r="P656" s="953"/>
    </row>
    <row r="657">
      <c r="A657" s="953"/>
      <c r="B657" s="953"/>
      <c r="C657" s="953"/>
      <c r="D657" s="953"/>
      <c r="E657" s="953"/>
      <c r="F657" s="953"/>
      <c r="G657" s="953"/>
      <c r="H657" s="953"/>
      <c r="I657" s="953"/>
      <c r="J657" s="953"/>
      <c r="K657" s="953"/>
      <c r="L657" s="953"/>
      <c r="M657" s="953"/>
      <c r="N657" s="953"/>
      <c r="O657" s="953"/>
      <c r="P657" s="953"/>
    </row>
    <row r="658">
      <c r="A658" s="953"/>
      <c r="B658" s="953"/>
      <c r="C658" s="953"/>
      <c r="D658" s="953"/>
      <c r="E658" s="953"/>
      <c r="F658" s="953"/>
      <c r="G658" s="953"/>
      <c r="H658" s="953"/>
      <c r="I658" s="953"/>
      <c r="J658" s="953"/>
      <c r="K658" s="953"/>
      <c r="L658" s="953"/>
      <c r="M658" s="953"/>
      <c r="N658" s="953"/>
      <c r="O658" s="953"/>
      <c r="P658" s="953"/>
    </row>
    <row r="659">
      <c r="A659" s="953"/>
      <c r="B659" s="953"/>
      <c r="C659" s="953"/>
      <c r="D659" s="953"/>
      <c r="E659" s="953"/>
      <c r="F659" s="953"/>
      <c r="G659" s="953"/>
      <c r="H659" s="953"/>
      <c r="I659" s="953"/>
      <c r="J659" s="953"/>
      <c r="K659" s="953"/>
      <c r="L659" s="953"/>
      <c r="M659" s="953"/>
      <c r="N659" s="953"/>
      <c r="O659" s="953"/>
      <c r="P659" s="953"/>
    </row>
    <row r="660">
      <c r="A660" s="953"/>
      <c r="B660" s="953"/>
      <c r="C660" s="953"/>
      <c r="D660" s="953"/>
      <c r="E660" s="953"/>
      <c r="F660" s="953"/>
      <c r="G660" s="953"/>
      <c r="H660" s="953"/>
      <c r="I660" s="953"/>
      <c r="J660" s="953"/>
      <c r="K660" s="953"/>
      <c r="L660" s="953"/>
      <c r="M660" s="953"/>
      <c r="N660" s="953"/>
      <c r="O660" s="953"/>
      <c r="P660" s="953"/>
    </row>
    <row r="661">
      <c r="A661" s="953"/>
      <c r="B661" s="953"/>
      <c r="C661" s="953"/>
      <c r="D661" s="953"/>
      <c r="E661" s="953"/>
      <c r="F661" s="953"/>
      <c r="G661" s="953"/>
      <c r="H661" s="953"/>
      <c r="I661" s="953"/>
      <c r="J661" s="953"/>
      <c r="K661" s="953"/>
      <c r="L661" s="953"/>
      <c r="M661" s="953"/>
      <c r="N661" s="953"/>
      <c r="O661" s="953"/>
      <c r="P661" s="953"/>
    </row>
    <row r="662">
      <c r="A662" s="953"/>
      <c r="B662" s="953"/>
      <c r="C662" s="953"/>
      <c r="D662" s="953"/>
      <c r="E662" s="953"/>
      <c r="F662" s="953"/>
      <c r="G662" s="953"/>
      <c r="H662" s="953"/>
      <c r="I662" s="953"/>
      <c r="J662" s="953"/>
      <c r="K662" s="953"/>
      <c r="L662" s="953"/>
      <c r="M662" s="953"/>
      <c r="N662" s="953"/>
      <c r="O662" s="953"/>
      <c r="P662" s="953"/>
    </row>
    <row r="663">
      <c r="A663" s="953"/>
      <c r="B663" s="953"/>
      <c r="C663" s="953"/>
      <c r="D663" s="953"/>
      <c r="E663" s="953"/>
      <c r="F663" s="953"/>
      <c r="G663" s="953"/>
      <c r="H663" s="953"/>
      <c r="I663" s="953"/>
      <c r="J663" s="953"/>
      <c r="K663" s="953"/>
      <c r="L663" s="953"/>
      <c r="M663" s="953"/>
      <c r="N663" s="953"/>
      <c r="O663" s="953"/>
      <c r="P663" s="953"/>
    </row>
    <row r="664">
      <c r="A664" s="953"/>
      <c r="B664" s="953"/>
      <c r="C664" s="953"/>
      <c r="D664" s="953"/>
      <c r="E664" s="953"/>
      <c r="F664" s="953"/>
      <c r="G664" s="953"/>
      <c r="H664" s="953"/>
      <c r="I664" s="953"/>
      <c r="J664" s="953"/>
      <c r="K664" s="953"/>
      <c r="L664" s="953"/>
      <c r="M664" s="953"/>
      <c r="N664" s="953"/>
      <c r="O664" s="953"/>
      <c r="P664" s="953"/>
    </row>
    <row r="665">
      <c r="A665" s="953"/>
      <c r="B665" s="953"/>
      <c r="C665" s="953"/>
      <c r="D665" s="953"/>
      <c r="E665" s="953"/>
      <c r="F665" s="953"/>
      <c r="G665" s="953"/>
      <c r="H665" s="953"/>
      <c r="I665" s="953"/>
      <c r="J665" s="953"/>
      <c r="K665" s="953"/>
      <c r="L665" s="953"/>
      <c r="M665" s="953"/>
      <c r="N665" s="953"/>
      <c r="O665" s="953"/>
      <c r="P665" s="953"/>
    </row>
    <row r="666">
      <c r="A666" s="953"/>
      <c r="B666" s="953"/>
      <c r="C666" s="953"/>
      <c r="D666" s="953"/>
      <c r="E666" s="953"/>
      <c r="F666" s="953"/>
      <c r="G666" s="953"/>
      <c r="H666" s="953"/>
      <c r="I666" s="953"/>
      <c r="J666" s="953"/>
      <c r="K666" s="953"/>
      <c r="L666" s="953"/>
      <c r="M666" s="953"/>
      <c r="N666" s="953"/>
      <c r="O666" s="953"/>
      <c r="P666" s="953"/>
    </row>
    <row r="667">
      <c r="A667" s="953"/>
      <c r="B667" s="953"/>
      <c r="C667" s="953"/>
      <c r="D667" s="953"/>
      <c r="E667" s="953"/>
      <c r="F667" s="953"/>
      <c r="G667" s="953"/>
      <c r="H667" s="953"/>
      <c r="I667" s="953"/>
      <c r="J667" s="953"/>
      <c r="K667" s="953"/>
      <c r="L667" s="953"/>
      <c r="M667" s="953"/>
      <c r="N667" s="953"/>
      <c r="O667" s="953"/>
      <c r="P667" s="953"/>
    </row>
    <row r="668">
      <c r="A668" s="953"/>
      <c r="B668" s="953"/>
      <c r="C668" s="953"/>
      <c r="D668" s="953"/>
      <c r="E668" s="953"/>
      <c r="F668" s="953"/>
      <c r="G668" s="953"/>
      <c r="H668" s="953"/>
      <c r="I668" s="953"/>
      <c r="J668" s="953"/>
      <c r="K668" s="953"/>
      <c r="L668" s="953"/>
      <c r="M668" s="953"/>
      <c r="N668" s="953"/>
      <c r="O668" s="953"/>
      <c r="P668" s="953"/>
    </row>
    <row r="669">
      <c r="A669" s="953"/>
      <c r="B669" s="953"/>
      <c r="C669" s="953"/>
      <c r="D669" s="953"/>
      <c r="E669" s="953"/>
      <c r="F669" s="953"/>
      <c r="G669" s="953"/>
      <c r="H669" s="953"/>
      <c r="I669" s="953"/>
      <c r="J669" s="953"/>
      <c r="K669" s="953"/>
      <c r="L669" s="953"/>
      <c r="M669" s="953"/>
      <c r="N669" s="953"/>
      <c r="O669" s="953"/>
      <c r="P669" s="953"/>
    </row>
    <row r="670">
      <c r="A670" s="953"/>
      <c r="B670" s="953"/>
      <c r="C670" s="953"/>
      <c r="D670" s="953"/>
      <c r="E670" s="953"/>
      <c r="F670" s="953"/>
      <c r="G670" s="953"/>
      <c r="H670" s="953"/>
      <c r="I670" s="953"/>
      <c r="J670" s="953"/>
      <c r="K670" s="953"/>
      <c r="L670" s="953"/>
      <c r="M670" s="953"/>
      <c r="N670" s="953"/>
      <c r="O670" s="953"/>
      <c r="P670" s="953"/>
    </row>
    <row r="671">
      <c r="A671" s="953"/>
      <c r="B671" s="953"/>
      <c r="C671" s="953"/>
      <c r="D671" s="953"/>
      <c r="E671" s="953"/>
      <c r="F671" s="953"/>
      <c r="G671" s="953"/>
      <c r="H671" s="953"/>
      <c r="I671" s="953"/>
      <c r="J671" s="953"/>
      <c r="K671" s="953"/>
      <c r="L671" s="953"/>
      <c r="M671" s="953"/>
      <c r="N671" s="953"/>
      <c r="O671" s="953"/>
      <c r="P671" s="953"/>
    </row>
    <row r="672">
      <c r="A672" s="953"/>
      <c r="B672" s="953"/>
      <c r="C672" s="953"/>
      <c r="D672" s="953"/>
      <c r="E672" s="953"/>
      <c r="F672" s="953"/>
      <c r="G672" s="953"/>
      <c r="H672" s="953"/>
      <c r="I672" s="953"/>
      <c r="J672" s="953"/>
      <c r="K672" s="953"/>
      <c r="L672" s="953"/>
      <c r="M672" s="953"/>
      <c r="N672" s="953"/>
      <c r="O672" s="953"/>
      <c r="P672" s="953"/>
    </row>
    <row r="673">
      <c r="A673" s="953"/>
      <c r="B673" s="953"/>
      <c r="C673" s="953"/>
      <c r="D673" s="953"/>
      <c r="E673" s="953"/>
      <c r="F673" s="953"/>
      <c r="G673" s="953"/>
      <c r="H673" s="953"/>
      <c r="I673" s="953"/>
      <c r="J673" s="953"/>
      <c r="K673" s="953"/>
      <c r="L673" s="953"/>
      <c r="M673" s="953"/>
      <c r="N673" s="953"/>
      <c r="O673" s="953"/>
      <c r="P673" s="953"/>
    </row>
    <row r="674">
      <c r="A674" s="953"/>
      <c r="B674" s="953"/>
      <c r="C674" s="953"/>
      <c r="D674" s="953"/>
      <c r="E674" s="953"/>
      <c r="F674" s="953"/>
      <c r="G674" s="953"/>
      <c r="H674" s="953"/>
      <c r="I674" s="953"/>
      <c r="J674" s="953"/>
      <c r="K674" s="953"/>
      <c r="L674" s="953"/>
      <c r="M674" s="953"/>
      <c r="N674" s="953"/>
      <c r="O674" s="953"/>
      <c r="P674" s="953"/>
    </row>
    <row r="675">
      <c r="A675" s="953"/>
      <c r="B675" s="953"/>
      <c r="C675" s="953"/>
      <c r="D675" s="953"/>
      <c r="E675" s="953"/>
      <c r="F675" s="953"/>
      <c r="G675" s="953"/>
      <c r="H675" s="953"/>
      <c r="I675" s="953"/>
      <c r="J675" s="953"/>
      <c r="K675" s="953"/>
      <c r="L675" s="953"/>
      <c r="M675" s="953"/>
      <c r="N675" s="953"/>
      <c r="O675" s="953"/>
      <c r="P675" s="953"/>
    </row>
    <row r="676">
      <c r="A676" s="953"/>
      <c r="B676" s="953"/>
      <c r="C676" s="953"/>
      <c r="D676" s="953"/>
      <c r="E676" s="953"/>
      <c r="F676" s="953"/>
      <c r="G676" s="953"/>
      <c r="H676" s="953"/>
      <c r="I676" s="953"/>
      <c r="J676" s="953"/>
      <c r="K676" s="953"/>
      <c r="L676" s="953"/>
      <c r="M676" s="953"/>
      <c r="N676" s="953"/>
      <c r="O676" s="953"/>
      <c r="P676" s="953"/>
    </row>
    <row r="677">
      <c r="A677" s="953"/>
      <c r="B677" s="953"/>
      <c r="C677" s="953"/>
      <c r="D677" s="953"/>
      <c r="E677" s="953"/>
      <c r="F677" s="953"/>
      <c r="G677" s="953"/>
      <c r="H677" s="953"/>
      <c r="I677" s="953"/>
      <c r="J677" s="953"/>
      <c r="K677" s="953"/>
      <c r="L677" s="953"/>
      <c r="M677" s="953"/>
      <c r="N677" s="953"/>
      <c r="O677" s="953"/>
      <c r="P677" s="953"/>
    </row>
    <row r="678">
      <c r="A678" s="953"/>
      <c r="B678" s="953"/>
      <c r="C678" s="953"/>
      <c r="D678" s="953"/>
      <c r="E678" s="953"/>
      <c r="F678" s="953"/>
      <c r="G678" s="953"/>
      <c r="H678" s="953"/>
      <c r="I678" s="953"/>
      <c r="J678" s="953"/>
      <c r="K678" s="953"/>
      <c r="L678" s="953"/>
      <c r="M678" s="953"/>
      <c r="N678" s="953"/>
      <c r="O678" s="953"/>
      <c r="P678" s="953"/>
    </row>
    <row r="679">
      <c r="A679" s="953"/>
      <c r="B679" s="953"/>
      <c r="C679" s="953"/>
      <c r="D679" s="953"/>
      <c r="E679" s="953"/>
      <c r="F679" s="953"/>
      <c r="G679" s="953"/>
      <c r="H679" s="953"/>
      <c r="I679" s="953"/>
      <c r="J679" s="953"/>
      <c r="K679" s="953"/>
      <c r="L679" s="953"/>
      <c r="M679" s="953"/>
      <c r="N679" s="953"/>
      <c r="O679" s="953"/>
      <c r="P679" s="953"/>
    </row>
    <row r="680">
      <c r="A680" s="953"/>
      <c r="B680" s="953"/>
      <c r="C680" s="953"/>
      <c r="D680" s="953"/>
      <c r="E680" s="953"/>
      <c r="F680" s="953"/>
      <c r="G680" s="953"/>
      <c r="H680" s="953"/>
      <c r="I680" s="953"/>
      <c r="J680" s="953"/>
      <c r="K680" s="953"/>
      <c r="L680" s="953"/>
      <c r="M680" s="953"/>
      <c r="N680" s="953"/>
      <c r="O680" s="953"/>
      <c r="P680" s="953"/>
    </row>
    <row r="681">
      <c r="A681" s="953"/>
      <c r="B681" s="953"/>
      <c r="C681" s="953"/>
      <c r="D681" s="953"/>
      <c r="E681" s="953"/>
      <c r="F681" s="953"/>
      <c r="G681" s="953"/>
      <c r="H681" s="953"/>
      <c r="I681" s="953"/>
      <c r="J681" s="953"/>
      <c r="K681" s="953"/>
      <c r="L681" s="953"/>
      <c r="M681" s="953"/>
      <c r="N681" s="953"/>
      <c r="O681" s="953"/>
      <c r="P681" s="953"/>
    </row>
    <row r="682">
      <c r="A682" s="953"/>
      <c r="B682" s="953"/>
      <c r="C682" s="953"/>
      <c r="D682" s="953"/>
      <c r="E682" s="953"/>
      <c r="F682" s="953"/>
      <c r="G682" s="953"/>
      <c r="H682" s="953"/>
      <c r="I682" s="953"/>
      <c r="J682" s="953"/>
      <c r="K682" s="953"/>
      <c r="L682" s="953"/>
      <c r="M682" s="953"/>
      <c r="N682" s="953"/>
      <c r="O682" s="953"/>
      <c r="P682" s="953"/>
    </row>
    <row r="683">
      <c r="A683" s="953"/>
      <c r="B683" s="953"/>
      <c r="C683" s="953"/>
      <c r="D683" s="953"/>
      <c r="E683" s="953"/>
      <c r="F683" s="953"/>
      <c r="G683" s="953"/>
      <c r="H683" s="953"/>
      <c r="I683" s="953"/>
      <c r="J683" s="953"/>
      <c r="K683" s="953"/>
      <c r="L683" s="953"/>
      <c r="M683" s="953"/>
      <c r="N683" s="953"/>
      <c r="O683" s="953"/>
      <c r="P683" s="953"/>
    </row>
    <row r="684">
      <c r="A684" s="953"/>
      <c r="B684" s="953"/>
      <c r="C684" s="953"/>
      <c r="D684" s="953"/>
      <c r="E684" s="953"/>
      <c r="F684" s="953"/>
      <c r="G684" s="953"/>
      <c r="H684" s="953"/>
      <c r="I684" s="953"/>
      <c r="J684" s="953"/>
      <c r="K684" s="953"/>
      <c r="L684" s="953"/>
      <c r="M684" s="953"/>
      <c r="N684" s="953"/>
      <c r="O684" s="953"/>
      <c r="P684" s="953"/>
    </row>
    <row r="685">
      <c r="A685" s="953"/>
      <c r="B685" s="953"/>
      <c r="C685" s="953"/>
      <c r="D685" s="953"/>
      <c r="E685" s="953"/>
      <c r="F685" s="953"/>
      <c r="G685" s="953"/>
      <c r="H685" s="953"/>
      <c r="I685" s="953"/>
      <c r="J685" s="953"/>
      <c r="K685" s="953"/>
      <c r="L685" s="953"/>
      <c r="M685" s="953"/>
      <c r="N685" s="953"/>
      <c r="O685" s="953"/>
      <c r="P685" s="953"/>
    </row>
    <row r="686">
      <c r="A686" s="953"/>
      <c r="B686" s="953"/>
      <c r="C686" s="953"/>
      <c r="D686" s="953"/>
      <c r="E686" s="953"/>
      <c r="F686" s="953"/>
      <c r="G686" s="953"/>
      <c r="H686" s="953"/>
      <c r="I686" s="953"/>
      <c r="J686" s="953"/>
      <c r="K686" s="953"/>
      <c r="L686" s="953"/>
      <c r="M686" s="953"/>
      <c r="N686" s="953"/>
      <c r="O686" s="953"/>
      <c r="P686" s="953"/>
    </row>
    <row r="687">
      <c r="A687" s="953"/>
      <c r="B687" s="953"/>
      <c r="C687" s="953"/>
      <c r="D687" s="953"/>
      <c r="E687" s="953"/>
      <c r="F687" s="953"/>
      <c r="G687" s="953"/>
      <c r="H687" s="953"/>
      <c r="I687" s="953"/>
      <c r="J687" s="953"/>
      <c r="K687" s="953"/>
      <c r="L687" s="953"/>
      <c r="M687" s="953"/>
      <c r="N687" s="953"/>
      <c r="O687" s="953"/>
      <c r="P687" s="953"/>
    </row>
    <row r="688">
      <c r="A688" s="953"/>
      <c r="B688" s="953"/>
      <c r="C688" s="953"/>
      <c r="D688" s="953"/>
      <c r="E688" s="953"/>
      <c r="F688" s="953"/>
      <c r="G688" s="953"/>
      <c r="H688" s="953"/>
      <c r="I688" s="953"/>
      <c r="J688" s="953"/>
      <c r="K688" s="953"/>
      <c r="L688" s="953"/>
      <c r="M688" s="953"/>
      <c r="N688" s="953"/>
      <c r="O688" s="953"/>
      <c r="P688" s="953"/>
    </row>
    <row r="689">
      <c r="A689" s="953"/>
      <c r="B689" s="953"/>
      <c r="C689" s="953"/>
      <c r="D689" s="953"/>
      <c r="E689" s="953"/>
      <c r="F689" s="953"/>
      <c r="G689" s="953"/>
      <c r="H689" s="953"/>
      <c r="I689" s="953"/>
      <c r="J689" s="953"/>
      <c r="K689" s="953"/>
      <c r="L689" s="953"/>
      <c r="M689" s="953"/>
      <c r="N689" s="953"/>
      <c r="O689" s="953"/>
      <c r="P689" s="953"/>
    </row>
    <row r="690">
      <c r="A690" s="953"/>
      <c r="B690" s="953"/>
      <c r="C690" s="953"/>
      <c r="D690" s="953"/>
      <c r="E690" s="953"/>
      <c r="F690" s="953"/>
      <c r="G690" s="953"/>
      <c r="H690" s="953"/>
      <c r="I690" s="953"/>
      <c r="J690" s="953"/>
      <c r="K690" s="953"/>
      <c r="L690" s="953"/>
      <c r="M690" s="953"/>
      <c r="N690" s="953"/>
      <c r="O690" s="953"/>
      <c r="P690" s="953"/>
    </row>
    <row r="691">
      <c r="A691" s="953"/>
      <c r="B691" s="953"/>
      <c r="C691" s="953"/>
      <c r="D691" s="953"/>
      <c r="E691" s="953"/>
      <c r="F691" s="953"/>
      <c r="G691" s="953"/>
      <c r="H691" s="953"/>
      <c r="I691" s="953"/>
      <c r="J691" s="953"/>
      <c r="K691" s="953"/>
      <c r="L691" s="953"/>
      <c r="M691" s="953"/>
      <c r="N691" s="953"/>
      <c r="O691" s="953"/>
      <c r="P691" s="953"/>
    </row>
    <row r="692">
      <c r="A692" s="953"/>
      <c r="B692" s="953"/>
      <c r="C692" s="953"/>
      <c r="D692" s="953"/>
      <c r="E692" s="953"/>
      <c r="F692" s="953"/>
      <c r="G692" s="953"/>
      <c r="H692" s="953"/>
      <c r="I692" s="953"/>
      <c r="J692" s="953"/>
      <c r="K692" s="953"/>
      <c r="L692" s="953"/>
      <c r="M692" s="953"/>
      <c r="N692" s="953"/>
      <c r="O692" s="953"/>
      <c r="P692" s="953"/>
    </row>
    <row r="693">
      <c r="A693" s="953"/>
      <c r="B693" s="953"/>
      <c r="C693" s="953"/>
      <c r="D693" s="953"/>
      <c r="E693" s="953"/>
      <c r="F693" s="953"/>
      <c r="G693" s="953"/>
      <c r="H693" s="953"/>
      <c r="I693" s="953"/>
      <c r="J693" s="953"/>
      <c r="K693" s="953"/>
      <c r="L693" s="953"/>
      <c r="M693" s="953"/>
      <c r="N693" s="953"/>
      <c r="O693" s="953"/>
      <c r="P693" s="953"/>
    </row>
    <row r="694">
      <c r="A694" s="953"/>
      <c r="B694" s="953"/>
      <c r="C694" s="953"/>
      <c r="D694" s="953"/>
      <c r="E694" s="953"/>
      <c r="F694" s="953"/>
      <c r="G694" s="953"/>
      <c r="H694" s="953"/>
      <c r="I694" s="953"/>
      <c r="J694" s="953"/>
      <c r="K694" s="953"/>
      <c r="L694" s="953"/>
      <c r="M694" s="953"/>
      <c r="N694" s="953"/>
      <c r="O694" s="953"/>
      <c r="P694" s="953"/>
    </row>
    <row r="695">
      <c r="A695" s="953"/>
      <c r="B695" s="953"/>
      <c r="C695" s="953"/>
      <c r="D695" s="953"/>
      <c r="E695" s="953"/>
      <c r="F695" s="953"/>
      <c r="G695" s="953"/>
      <c r="H695" s="953"/>
      <c r="I695" s="953"/>
      <c r="J695" s="953"/>
      <c r="K695" s="953"/>
      <c r="L695" s="953"/>
      <c r="M695" s="953"/>
      <c r="N695" s="953"/>
      <c r="O695" s="953"/>
      <c r="P695" s="953"/>
    </row>
    <row r="696">
      <c r="A696" s="953"/>
      <c r="B696" s="953"/>
      <c r="C696" s="953"/>
      <c r="D696" s="953"/>
      <c r="E696" s="953"/>
      <c r="F696" s="953"/>
      <c r="G696" s="953"/>
      <c r="H696" s="953"/>
      <c r="I696" s="953"/>
      <c r="J696" s="953"/>
      <c r="K696" s="953"/>
      <c r="L696" s="953"/>
      <c r="M696" s="953"/>
      <c r="N696" s="953"/>
      <c r="O696" s="953"/>
      <c r="P696" s="953"/>
    </row>
    <row r="697">
      <c r="A697" s="953"/>
      <c r="B697" s="953"/>
      <c r="C697" s="953"/>
      <c r="D697" s="953"/>
      <c r="E697" s="953"/>
      <c r="F697" s="953"/>
      <c r="G697" s="953"/>
      <c r="H697" s="953"/>
      <c r="I697" s="953"/>
      <c r="J697" s="953"/>
      <c r="K697" s="953"/>
      <c r="L697" s="953"/>
      <c r="M697" s="953"/>
      <c r="N697" s="953"/>
      <c r="O697" s="953"/>
      <c r="P697" s="953"/>
    </row>
    <row r="698">
      <c r="A698" s="953"/>
      <c r="B698" s="953"/>
      <c r="C698" s="953"/>
      <c r="D698" s="953"/>
      <c r="E698" s="953"/>
      <c r="F698" s="953"/>
      <c r="G698" s="953"/>
      <c r="H698" s="953"/>
      <c r="I698" s="953"/>
      <c r="J698" s="953"/>
      <c r="K698" s="953"/>
      <c r="L698" s="953"/>
      <c r="M698" s="953"/>
      <c r="N698" s="953"/>
      <c r="O698" s="953"/>
      <c r="P698" s="953"/>
    </row>
    <row r="699">
      <c r="A699" s="953"/>
      <c r="B699" s="953"/>
      <c r="C699" s="953"/>
      <c r="D699" s="953"/>
      <c r="E699" s="953"/>
      <c r="F699" s="953"/>
      <c r="G699" s="953"/>
      <c r="H699" s="953"/>
      <c r="I699" s="953"/>
      <c r="J699" s="953"/>
      <c r="K699" s="953"/>
      <c r="L699" s="953"/>
      <c r="M699" s="953"/>
      <c r="N699" s="953"/>
      <c r="O699" s="953"/>
      <c r="P699" s="953"/>
    </row>
    <row r="700">
      <c r="A700" s="953"/>
      <c r="B700" s="953"/>
      <c r="C700" s="953"/>
      <c r="D700" s="953"/>
      <c r="E700" s="953"/>
      <c r="F700" s="953"/>
      <c r="G700" s="953"/>
      <c r="H700" s="953"/>
      <c r="I700" s="953"/>
      <c r="J700" s="953"/>
      <c r="K700" s="953"/>
      <c r="L700" s="953"/>
      <c r="M700" s="953"/>
      <c r="N700" s="953"/>
      <c r="O700" s="953"/>
      <c r="P700" s="953"/>
    </row>
    <row r="701">
      <c r="A701" s="953"/>
      <c r="B701" s="953"/>
      <c r="C701" s="953"/>
      <c r="D701" s="953"/>
      <c r="E701" s="953"/>
      <c r="F701" s="953"/>
      <c r="G701" s="953"/>
      <c r="H701" s="953"/>
      <c r="I701" s="953"/>
      <c r="J701" s="953"/>
      <c r="K701" s="953"/>
      <c r="L701" s="953"/>
      <c r="M701" s="953"/>
      <c r="N701" s="953"/>
      <c r="O701" s="953"/>
      <c r="P701" s="953"/>
    </row>
    <row r="702">
      <c r="A702" s="953"/>
      <c r="B702" s="953"/>
      <c r="C702" s="953"/>
      <c r="D702" s="953"/>
      <c r="E702" s="953"/>
      <c r="F702" s="953"/>
      <c r="G702" s="953"/>
      <c r="H702" s="953"/>
      <c r="I702" s="953"/>
      <c r="J702" s="953"/>
      <c r="K702" s="953"/>
      <c r="L702" s="953"/>
      <c r="M702" s="953"/>
      <c r="N702" s="953"/>
      <c r="O702" s="953"/>
      <c r="P702" s="953"/>
    </row>
    <row r="703">
      <c r="A703" s="953"/>
      <c r="B703" s="953"/>
      <c r="C703" s="953"/>
      <c r="D703" s="953"/>
      <c r="E703" s="953"/>
      <c r="F703" s="953"/>
      <c r="G703" s="953"/>
      <c r="H703" s="953"/>
      <c r="I703" s="953"/>
      <c r="J703" s="953"/>
      <c r="K703" s="953"/>
      <c r="L703" s="953"/>
      <c r="M703" s="953"/>
      <c r="N703" s="953"/>
      <c r="O703" s="953"/>
      <c r="P703" s="953"/>
    </row>
    <row r="704">
      <c r="A704" s="953"/>
      <c r="B704" s="953"/>
      <c r="C704" s="953"/>
      <c r="D704" s="953"/>
      <c r="E704" s="953"/>
      <c r="F704" s="953"/>
      <c r="G704" s="953"/>
      <c r="H704" s="953"/>
      <c r="I704" s="953"/>
      <c r="J704" s="953"/>
      <c r="K704" s="953"/>
      <c r="L704" s="953"/>
      <c r="M704" s="953"/>
      <c r="N704" s="953"/>
      <c r="O704" s="953"/>
      <c r="P704" s="953"/>
    </row>
    <row r="705">
      <c r="A705" s="953"/>
      <c r="B705" s="953"/>
      <c r="C705" s="953"/>
      <c r="D705" s="953"/>
      <c r="E705" s="953"/>
      <c r="F705" s="953"/>
      <c r="G705" s="953"/>
      <c r="H705" s="953"/>
      <c r="I705" s="953"/>
      <c r="J705" s="953"/>
      <c r="K705" s="953"/>
      <c r="L705" s="953"/>
      <c r="M705" s="953"/>
      <c r="N705" s="953"/>
      <c r="O705" s="953"/>
      <c r="P705" s="953"/>
    </row>
    <row r="706">
      <c r="A706" s="953"/>
      <c r="B706" s="953"/>
      <c r="C706" s="953"/>
      <c r="D706" s="953"/>
      <c r="E706" s="953"/>
      <c r="F706" s="953"/>
      <c r="G706" s="953"/>
      <c r="H706" s="953"/>
      <c r="I706" s="953"/>
      <c r="J706" s="953"/>
      <c r="K706" s="953"/>
      <c r="L706" s="953"/>
      <c r="M706" s="953"/>
      <c r="N706" s="953"/>
      <c r="O706" s="953"/>
      <c r="P706" s="953"/>
    </row>
    <row r="707">
      <c r="A707" s="953"/>
      <c r="B707" s="953"/>
      <c r="C707" s="953"/>
      <c r="D707" s="953"/>
      <c r="E707" s="953"/>
      <c r="F707" s="953"/>
      <c r="G707" s="953"/>
      <c r="H707" s="953"/>
      <c r="I707" s="953"/>
      <c r="J707" s="953"/>
      <c r="K707" s="953"/>
      <c r="L707" s="953"/>
      <c r="M707" s="953"/>
      <c r="N707" s="953"/>
      <c r="O707" s="953"/>
      <c r="P707" s="953"/>
    </row>
    <row r="708">
      <c r="A708" s="953"/>
      <c r="B708" s="953"/>
      <c r="C708" s="953"/>
      <c r="D708" s="953"/>
      <c r="E708" s="953"/>
      <c r="F708" s="953"/>
      <c r="G708" s="953"/>
      <c r="H708" s="953"/>
      <c r="I708" s="953"/>
      <c r="J708" s="953"/>
      <c r="K708" s="953"/>
      <c r="L708" s="953"/>
      <c r="M708" s="953"/>
      <c r="N708" s="953"/>
      <c r="O708" s="953"/>
      <c r="P708" s="953"/>
    </row>
    <row r="709">
      <c r="A709" s="953"/>
      <c r="B709" s="953"/>
      <c r="C709" s="953"/>
      <c r="D709" s="953"/>
      <c r="E709" s="953"/>
      <c r="F709" s="953"/>
      <c r="G709" s="953"/>
      <c r="H709" s="953"/>
      <c r="I709" s="953"/>
      <c r="J709" s="953"/>
      <c r="K709" s="953"/>
      <c r="L709" s="953"/>
      <c r="M709" s="953"/>
      <c r="N709" s="953"/>
      <c r="O709" s="953"/>
      <c r="P709" s="953"/>
    </row>
    <row r="710">
      <c r="A710" s="953"/>
      <c r="B710" s="953"/>
      <c r="C710" s="953"/>
      <c r="D710" s="953"/>
      <c r="E710" s="953"/>
      <c r="F710" s="953"/>
      <c r="G710" s="953"/>
      <c r="H710" s="953"/>
      <c r="I710" s="953"/>
      <c r="J710" s="953"/>
      <c r="K710" s="953"/>
      <c r="L710" s="953"/>
      <c r="M710" s="953"/>
      <c r="N710" s="953"/>
      <c r="O710" s="953"/>
      <c r="P710" s="953"/>
    </row>
    <row r="711">
      <c r="A711" s="953"/>
      <c r="B711" s="953"/>
      <c r="C711" s="953"/>
      <c r="D711" s="953"/>
      <c r="E711" s="953"/>
      <c r="F711" s="953"/>
      <c r="G711" s="953"/>
      <c r="H711" s="953"/>
      <c r="I711" s="953"/>
      <c r="J711" s="953"/>
      <c r="K711" s="953"/>
      <c r="L711" s="953"/>
      <c r="M711" s="953"/>
      <c r="N711" s="953"/>
      <c r="O711" s="953"/>
      <c r="P711" s="953"/>
    </row>
    <row r="712">
      <c r="A712" s="953"/>
      <c r="B712" s="953"/>
      <c r="C712" s="953"/>
      <c r="D712" s="953"/>
      <c r="E712" s="953"/>
      <c r="F712" s="953"/>
      <c r="G712" s="953"/>
      <c r="H712" s="953"/>
      <c r="I712" s="953"/>
      <c r="J712" s="953"/>
      <c r="K712" s="953"/>
      <c r="L712" s="953"/>
      <c r="M712" s="953"/>
      <c r="N712" s="953"/>
      <c r="O712" s="953"/>
      <c r="P712" s="953"/>
    </row>
    <row r="713">
      <c r="A713" s="953"/>
      <c r="B713" s="953"/>
      <c r="C713" s="953"/>
      <c r="D713" s="953"/>
      <c r="E713" s="953"/>
      <c r="F713" s="953"/>
      <c r="G713" s="953"/>
      <c r="H713" s="953"/>
      <c r="I713" s="953"/>
      <c r="J713" s="953"/>
      <c r="K713" s="953"/>
      <c r="L713" s="953"/>
      <c r="M713" s="953"/>
      <c r="N713" s="953"/>
      <c r="O713" s="953"/>
      <c r="P713" s="953"/>
    </row>
    <row r="714">
      <c r="A714" s="953"/>
      <c r="B714" s="953"/>
      <c r="C714" s="953"/>
      <c r="D714" s="953"/>
      <c r="E714" s="953"/>
      <c r="F714" s="953"/>
      <c r="G714" s="953"/>
      <c r="H714" s="953"/>
      <c r="I714" s="953"/>
      <c r="J714" s="953"/>
      <c r="K714" s="953"/>
      <c r="L714" s="953"/>
      <c r="M714" s="953"/>
      <c r="N714" s="953"/>
      <c r="O714" s="953"/>
      <c r="P714" s="953"/>
    </row>
    <row r="715">
      <c r="A715" s="953"/>
      <c r="B715" s="953"/>
      <c r="C715" s="953"/>
      <c r="D715" s="953"/>
      <c r="E715" s="953"/>
      <c r="F715" s="953"/>
      <c r="G715" s="953"/>
      <c r="H715" s="953"/>
      <c r="I715" s="953"/>
      <c r="J715" s="953"/>
      <c r="K715" s="953"/>
      <c r="L715" s="953"/>
      <c r="M715" s="953"/>
      <c r="N715" s="953"/>
      <c r="O715" s="953"/>
      <c r="P715" s="953"/>
    </row>
    <row r="716">
      <c r="A716" s="953"/>
      <c r="B716" s="953"/>
      <c r="C716" s="953"/>
      <c r="D716" s="953"/>
      <c r="E716" s="953"/>
      <c r="F716" s="953"/>
      <c r="G716" s="953"/>
      <c r="H716" s="953"/>
      <c r="I716" s="953"/>
      <c r="J716" s="953"/>
      <c r="K716" s="953"/>
      <c r="L716" s="953"/>
      <c r="M716" s="953"/>
      <c r="N716" s="953"/>
      <c r="O716" s="953"/>
      <c r="P716" s="953"/>
    </row>
    <row r="717">
      <c r="A717" s="953"/>
      <c r="B717" s="953"/>
      <c r="C717" s="953"/>
      <c r="D717" s="953"/>
      <c r="E717" s="953"/>
      <c r="F717" s="953"/>
      <c r="G717" s="953"/>
      <c r="H717" s="953"/>
      <c r="I717" s="953"/>
      <c r="J717" s="953"/>
      <c r="K717" s="953"/>
      <c r="L717" s="953"/>
      <c r="M717" s="953"/>
      <c r="N717" s="953"/>
      <c r="O717" s="953"/>
      <c r="P717" s="953"/>
    </row>
    <row r="718">
      <c r="A718" s="953"/>
      <c r="B718" s="953"/>
      <c r="C718" s="953"/>
      <c r="D718" s="953"/>
      <c r="E718" s="953"/>
      <c r="F718" s="953"/>
      <c r="G718" s="953"/>
      <c r="H718" s="953"/>
      <c r="I718" s="953"/>
      <c r="J718" s="953"/>
      <c r="K718" s="953"/>
      <c r="L718" s="953"/>
      <c r="M718" s="953"/>
      <c r="N718" s="953"/>
      <c r="O718" s="953"/>
      <c r="P718" s="953"/>
    </row>
    <row r="719">
      <c r="A719" s="953"/>
      <c r="B719" s="953"/>
      <c r="C719" s="953"/>
      <c r="D719" s="953"/>
      <c r="E719" s="953"/>
      <c r="F719" s="953"/>
      <c r="G719" s="953"/>
      <c r="H719" s="953"/>
      <c r="I719" s="953"/>
      <c r="J719" s="953"/>
      <c r="K719" s="953"/>
      <c r="L719" s="953"/>
      <c r="M719" s="953"/>
      <c r="N719" s="953"/>
      <c r="O719" s="953"/>
      <c r="P719" s="953"/>
    </row>
    <row r="720">
      <c r="A720" s="953"/>
      <c r="B720" s="953"/>
      <c r="C720" s="953"/>
      <c r="D720" s="953"/>
      <c r="E720" s="953"/>
      <c r="F720" s="953"/>
      <c r="G720" s="953"/>
      <c r="H720" s="953"/>
      <c r="I720" s="953"/>
      <c r="J720" s="953"/>
      <c r="K720" s="953"/>
      <c r="L720" s="953"/>
      <c r="M720" s="953"/>
      <c r="N720" s="953"/>
      <c r="O720" s="953"/>
      <c r="P720" s="953"/>
    </row>
    <row r="721">
      <c r="A721" s="953"/>
      <c r="B721" s="953"/>
      <c r="C721" s="953"/>
      <c r="D721" s="953"/>
      <c r="E721" s="953"/>
      <c r="F721" s="953"/>
      <c r="G721" s="953"/>
      <c r="H721" s="953"/>
      <c r="I721" s="953"/>
      <c r="J721" s="953"/>
      <c r="K721" s="953"/>
      <c r="L721" s="953"/>
      <c r="M721" s="953"/>
      <c r="N721" s="953"/>
      <c r="O721" s="953"/>
      <c r="P721" s="953"/>
    </row>
    <row r="722">
      <c r="A722" s="953"/>
      <c r="B722" s="953"/>
      <c r="C722" s="953"/>
      <c r="D722" s="953"/>
      <c r="E722" s="953"/>
      <c r="F722" s="953"/>
      <c r="G722" s="953"/>
      <c r="H722" s="953"/>
      <c r="I722" s="953"/>
      <c r="J722" s="953"/>
      <c r="K722" s="953"/>
      <c r="L722" s="953"/>
      <c r="M722" s="953"/>
      <c r="N722" s="953"/>
      <c r="O722" s="953"/>
      <c r="P722" s="953"/>
    </row>
    <row r="723">
      <c r="A723" s="953"/>
      <c r="B723" s="953"/>
      <c r="C723" s="953"/>
      <c r="D723" s="953"/>
      <c r="E723" s="953"/>
      <c r="F723" s="953"/>
      <c r="G723" s="953"/>
      <c r="H723" s="953"/>
      <c r="I723" s="953"/>
      <c r="J723" s="953"/>
      <c r="K723" s="953"/>
      <c r="L723" s="953"/>
      <c r="M723" s="953"/>
      <c r="N723" s="953"/>
      <c r="O723" s="953"/>
      <c r="P723" s="953"/>
    </row>
    <row r="724">
      <c r="A724" s="953"/>
      <c r="B724" s="953"/>
      <c r="C724" s="953"/>
      <c r="D724" s="953"/>
      <c r="E724" s="953"/>
      <c r="F724" s="953"/>
      <c r="G724" s="953"/>
      <c r="H724" s="953"/>
      <c r="I724" s="953"/>
      <c r="J724" s="953"/>
      <c r="K724" s="953"/>
      <c r="L724" s="953"/>
      <c r="M724" s="953"/>
      <c r="N724" s="953"/>
      <c r="O724" s="953"/>
      <c r="P724" s="953"/>
    </row>
    <row r="725">
      <c r="A725" s="953"/>
      <c r="B725" s="953"/>
      <c r="C725" s="953"/>
      <c r="D725" s="953"/>
      <c r="E725" s="953"/>
      <c r="F725" s="953"/>
      <c r="G725" s="953"/>
      <c r="H725" s="953"/>
      <c r="I725" s="953"/>
      <c r="J725" s="953"/>
      <c r="K725" s="953"/>
      <c r="L725" s="953"/>
      <c r="M725" s="953"/>
      <c r="N725" s="953"/>
      <c r="O725" s="953"/>
      <c r="P725" s="953"/>
    </row>
    <row r="726">
      <c r="A726" s="953"/>
      <c r="B726" s="953"/>
      <c r="C726" s="953"/>
      <c r="D726" s="953"/>
      <c r="E726" s="953"/>
      <c r="F726" s="953"/>
      <c r="G726" s="953"/>
      <c r="H726" s="953"/>
      <c r="I726" s="953"/>
      <c r="J726" s="953"/>
      <c r="K726" s="953"/>
      <c r="L726" s="953"/>
      <c r="M726" s="953"/>
      <c r="N726" s="953"/>
      <c r="O726" s="953"/>
      <c r="P726" s="953"/>
    </row>
    <row r="727">
      <c r="A727" s="953"/>
      <c r="B727" s="953"/>
      <c r="C727" s="953"/>
      <c r="D727" s="953"/>
      <c r="E727" s="953"/>
      <c r="F727" s="953"/>
      <c r="G727" s="953"/>
      <c r="H727" s="953"/>
      <c r="I727" s="953"/>
      <c r="J727" s="953"/>
      <c r="K727" s="953"/>
      <c r="L727" s="953"/>
      <c r="M727" s="953"/>
      <c r="N727" s="953"/>
      <c r="O727" s="953"/>
      <c r="P727" s="953"/>
    </row>
    <row r="728">
      <c r="A728" s="953"/>
      <c r="B728" s="953"/>
      <c r="C728" s="953"/>
      <c r="D728" s="953"/>
      <c r="E728" s="953"/>
      <c r="F728" s="953"/>
      <c r="G728" s="953"/>
      <c r="H728" s="953"/>
      <c r="I728" s="953"/>
      <c r="J728" s="953"/>
      <c r="K728" s="953"/>
      <c r="L728" s="953"/>
      <c r="M728" s="953"/>
      <c r="N728" s="953"/>
      <c r="O728" s="953"/>
      <c r="P728" s="953"/>
    </row>
    <row r="729">
      <c r="A729" s="953"/>
      <c r="B729" s="953"/>
      <c r="C729" s="953"/>
      <c r="D729" s="953"/>
      <c r="E729" s="953"/>
      <c r="F729" s="953"/>
      <c r="G729" s="953"/>
      <c r="H729" s="953"/>
      <c r="I729" s="953"/>
      <c r="J729" s="953"/>
      <c r="K729" s="953"/>
      <c r="L729" s="953"/>
      <c r="M729" s="953"/>
      <c r="N729" s="953"/>
      <c r="O729" s="953"/>
      <c r="P729" s="953"/>
    </row>
    <row r="730">
      <c r="A730" s="953"/>
      <c r="B730" s="953"/>
      <c r="C730" s="953"/>
      <c r="D730" s="953"/>
      <c r="E730" s="953"/>
      <c r="F730" s="953"/>
      <c r="G730" s="953"/>
      <c r="H730" s="953"/>
      <c r="I730" s="953"/>
      <c r="J730" s="953"/>
      <c r="K730" s="953"/>
      <c r="L730" s="953"/>
      <c r="M730" s="953"/>
      <c r="N730" s="953"/>
      <c r="O730" s="953"/>
      <c r="P730" s="953"/>
    </row>
    <row r="731">
      <c r="A731" s="953"/>
      <c r="B731" s="953"/>
      <c r="C731" s="953"/>
      <c r="D731" s="953"/>
      <c r="E731" s="953"/>
      <c r="F731" s="953"/>
      <c r="G731" s="953"/>
      <c r="H731" s="953"/>
      <c r="I731" s="953"/>
      <c r="J731" s="953"/>
      <c r="K731" s="953"/>
      <c r="L731" s="953"/>
      <c r="M731" s="953"/>
      <c r="N731" s="953"/>
      <c r="O731" s="953"/>
      <c r="P731" s="953"/>
    </row>
    <row r="732">
      <c r="A732" s="953"/>
      <c r="B732" s="953"/>
      <c r="C732" s="953"/>
      <c r="D732" s="953"/>
      <c r="E732" s="953"/>
      <c r="F732" s="953"/>
      <c r="G732" s="953"/>
      <c r="H732" s="953"/>
      <c r="I732" s="953"/>
      <c r="J732" s="953"/>
      <c r="K732" s="953"/>
      <c r="L732" s="953"/>
      <c r="M732" s="953"/>
      <c r="N732" s="953"/>
      <c r="O732" s="953"/>
      <c r="P732" s="953"/>
    </row>
    <row r="733">
      <c r="A733" s="953"/>
      <c r="B733" s="953"/>
      <c r="C733" s="953"/>
      <c r="D733" s="953"/>
      <c r="E733" s="953"/>
      <c r="F733" s="953"/>
      <c r="G733" s="953"/>
      <c r="H733" s="953"/>
      <c r="I733" s="953"/>
      <c r="J733" s="953"/>
      <c r="K733" s="953"/>
      <c r="L733" s="953"/>
      <c r="M733" s="953"/>
      <c r="N733" s="953"/>
      <c r="O733" s="953"/>
      <c r="P733" s="953"/>
    </row>
    <row r="734">
      <c r="A734" s="953"/>
      <c r="B734" s="953"/>
      <c r="C734" s="953"/>
      <c r="D734" s="953"/>
      <c r="E734" s="953"/>
      <c r="F734" s="953"/>
      <c r="G734" s="953"/>
      <c r="H734" s="953"/>
      <c r="I734" s="953"/>
      <c r="J734" s="953"/>
      <c r="K734" s="953"/>
      <c r="L734" s="953"/>
      <c r="M734" s="953"/>
      <c r="N734" s="953"/>
      <c r="O734" s="953"/>
      <c r="P734" s="953"/>
    </row>
    <row r="735">
      <c r="A735" s="953"/>
      <c r="B735" s="953"/>
      <c r="C735" s="953"/>
      <c r="D735" s="953"/>
      <c r="E735" s="953"/>
      <c r="F735" s="953"/>
      <c r="G735" s="953"/>
      <c r="H735" s="953"/>
      <c r="I735" s="953"/>
      <c r="J735" s="953"/>
      <c r="K735" s="953"/>
      <c r="L735" s="953"/>
      <c r="M735" s="953"/>
      <c r="N735" s="953"/>
      <c r="O735" s="953"/>
      <c r="P735" s="953"/>
    </row>
    <row r="736">
      <c r="A736" s="953"/>
      <c r="B736" s="953"/>
      <c r="C736" s="953"/>
      <c r="D736" s="953"/>
      <c r="E736" s="953"/>
      <c r="F736" s="953"/>
      <c r="G736" s="953"/>
      <c r="H736" s="953"/>
      <c r="I736" s="953"/>
      <c r="J736" s="953"/>
      <c r="K736" s="953"/>
      <c r="L736" s="953"/>
      <c r="M736" s="953"/>
      <c r="N736" s="953"/>
      <c r="O736" s="953"/>
      <c r="P736" s="953"/>
    </row>
    <row r="737">
      <c r="A737" s="953"/>
      <c r="B737" s="953"/>
      <c r="C737" s="953"/>
      <c r="D737" s="953"/>
      <c r="E737" s="953"/>
      <c r="F737" s="953"/>
      <c r="G737" s="953"/>
      <c r="H737" s="953"/>
      <c r="I737" s="953"/>
      <c r="J737" s="953"/>
      <c r="K737" s="953"/>
      <c r="L737" s="953"/>
      <c r="M737" s="953"/>
      <c r="N737" s="953"/>
      <c r="O737" s="953"/>
      <c r="P737" s="953"/>
    </row>
    <row r="738">
      <c r="A738" s="953"/>
      <c r="B738" s="953"/>
      <c r="C738" s="953"/>
      <c r="D738" s="953"/>
      <c r="E738" s="953"/>
      <c r="F738" s="953"/>
      <c r="G738" s="953"/>
      <c r="H738" s="953"/>
      <c r="I738" s="953"/>
      <c r="J738" s="953"/>
      <c r="K738" s="953"/>
      <c r="L738" s="953"/>
      <c r="M738" s="953"/>
      <c r="N738" s="953"/>
      <c r="O738" s="953"/>
      <c r="P738" s="953"/>
    </row>
    <row r="739">
      <c r="A739" s="953"/>
      <c r="B739" s="953"/>
      <c r="C739" s="953"/>
      <c r="D739" s="953"/>
      <c r="E739" s="953"/>
      <c r="F739" s="953"/>
      <c r="G739" s="953"/>
      <c r="H739" s="953"/>
      <c r="I739" s="953"/>
      <c r="J739" s="953"/>
      <c r="K739" s="953"/>
      <c r="L739" s="953"/>
      <c r="M739" s="953"/>
      <c r="N739" s="953"/>
      <c r="O739" s="953"/>
      <c r="P739" s="953"/>
    </row>
    <row r="740">
      <c r="A740" s="953"/>
      <c r="B740" s="953"/>
      <c r="C740" s="953"/>
      <c r="D740" s="953"/>
      <c r="E740" s="953"/>
      <c r="F740" s="953"/>
      <c r="G740" s="953"/>
      <c r="H740" s="953"/>
      <c r="I740" s="953"/>
      <c r="J740" s="953"/>
      <c r="K740" s="953"/>
      <c r="L740" s="953"/>
      <c r="M740" s="953"/>
      <c r="N740" s="953"/>
      <c r="O740" s="953"/>
      <c r="P740" s="953"/>
    </row>
    <row r="741">
      <c r="A741" s="953"/>
      <c r="B741" s="953"/>
      <c r="C741" s="953"/>
      <c r="D741" s="953"/>
      <c r="E741" s="953"/>
      <c r="F741" s="953"/>
      <c r="G741" s="953"/>
      <c r="H741" s="953"/>
      <c r="I741" s="953"/>
      <c r="J741" s="953"/>
      <c r="K741" s="953"/>
      <c r="L741" s="953"/>
      <c r="M741" s="953"/>
      <c r="N741" s="953"/>
      <c r="O741" s="953"/>
      <c r="P741" s="953"/>
    </row>
    <row r="742">
      <c r="A742" s="953"/>
      <c r="B742" s="953"/>
      <c r="C742" s="953"/>
      <c r="D742" s="953"/>
      <c r="E742" s="953"/>
      <c r="F742" s="953"/>
      <c r="G742" s="953"/>
      <c r="H742" s="953"/>
      <c r="I742" s="953"/>
      <c r="J742" s="953"/>
      <c r="K742" s="953"/>
      <c r="L742" s="953"/>
      <c r="M742" s="953"/>
      <c r="N742" s="953"/>
      <c r="O742" s="953"/>
      <c r="P742" s="953"/>
    </row>
    <row r="743">
      <c r="A743" s="953"/>
      <c r="B743" s="953"/>
      <c r="C743" s="953"/>
      <c r="D743" s="953"/>
      <c r="E743" s="953"/>
      <c r="F743" s="953"/>
      <c r="G743" s="953"/>
      <c r="H743" s="953"/>
      <c r="I743" s="953"/>
      <c r="J743" s="953"/>
      <c r="K743" s="953"/>
      <c r="L743" s="953"/>
      <c r="M743" s="953"/>
      <c r="N743" s="953"/>
      <c r="O743" s="953"/>
      <c r="P743" s="953"/>
    </row>
    <row r="744">
      <c r="A744" s="953"/>
      <c r="B744" s="953"/>
      <c r="C744" s="953"/>
      <c r="D744" s="953"/>
      <c r="E744" s="953"/>
      <c r="F744" s="953"/>
      <c r="G744" s="953"/>
      <c r="H744" s="953"/>
      <c r="I744" s="953"/>
      <c r="J744" s="953"/>
      <c r="K744" s="953"/>
      <c r="L744" s="953"/>
      <c r="M744" s="953"/>
      <c r="N744" s="953"/>
      <c r="O744" s="953"/>
      <c r="P744" s="953"/>
    </row>
    <row r="745">
      <c r="A745" s="953"/>
      <c r="B745" s="953"/>
      <c r="C745" s="953"/>
      <c r="D745" s="953"/>
      <c r="E745" s="953"/>
      <c r="F745" s="953"/>
      <c r="G745" s="953"/>
      <c r="H745" s="953"/>
      <c r="I745" s="953"/>
      <c r="J745" s="953"/>
      <c r="K745" s="953"/>
      <c r="L745" s="953"/>
      <c r="M745" s="953"/>
      <c r="N745" s="953"/>
      <c r="O745" s="953"/>
      <c r="P745" s="953"/>
    </row>
    <row r="746">
      <c r="A746" s="953"/>
      <c r="B746" s="953"/>
      <c r="C746" s="953"/>
      <c r="D746" s="953"/>
      <c r="E746" s="953"/>
      <c r="F746" s="953"/>
      <c r="G746" s="953"/>
      <c r="H746" s="953"/>
      <c r="I746" s="953"/>
      <c r="J746" s="953"/>
      <c r="K746" s="953"/>
      <c r="L746" s="953"/>
      <c r="M746" s="953"/>
      <c r="N746" s="953"/>
      <c r="O746" s="953"/>
      <c r="P746" s="953"/>
    </row>
    <row r="747">
      <c r="A747" s="953"/>
      <c r="B747" s="953"/>
      <c r="C747" s="953"/>
      <c r="D747" s="953"/>
      <c r="E747" s="953"/>
      <c r="F747" s="953"/>
      <c r="G747" s="953"/>
      <c r="H747" s="953"/>
      <c r="I747" s="953"/>
      <c r="J747" s="953"/>
      <c r="K747" s="953"/>
      <c r="L747" s="953"/>
      <c r="M747" s="953"/>
      <c r="N747" s="953"/>
      <c r="O747" s="953"/>
      <c r="P747" s="953"/>
    </row>
    <row r="748">
      <c r="A748" s="953"/>
      <c r="B748" s="953"/>
      <c r="C748" s="953"/>
      <c r="D748" s="953"/>
      <c r="E748" s="953"/>
      <c r="F748" s="953"/>
      <c r="G748" s="953"/>
      <c r="H748" s="953"/>
      <c r="I748" s="953"/>
      <c r="J748" s="953"/>
      <c r="K748" s="953"/>
      <c r="L748" s="953"/>
      <c r="M748" s="953"/>
      <c r="N748" s="953"/>
      <c r="O748" s="953"/>
      <c r="P748" s="953"/>
    </row>
    <row r="749">
      <c r="A749" s="953"/>
      <c r="B749" s="953"/>
      <c r="C749" s="953"/>
      <c r="D749" s="953"/>
      <c r="E749" s="953"/>
      <c r="F749" s="953"/>
      <c r="G749" s="953"/>
      <c r="H749" s="953"/>
      <c r="I749" s="953"/>
      <c r="J749" s="953"/>
      <c r="K749" s="953"/>
      <c r="L749" s="953"/>
      <c r="M749" s="953"/>
      <c r="N749" s="953"/>
      <c r="O749" s="953"/>
      <c r="P749" s="953"/>
    </row>
    <row r="750">
      <c r="A750" s="953"/>
      <c r="B750" s="953"/>
      <c r="C750" s="953"/>
      <c r="D750" s="953"/>
      <c r="E750" s="953"/>
      <c r="F750" s="953"/>
      <c r="G750" s="953"/>
      <c r="H750" s="953"/>
      <c r="I750" s="953"/>
      <c r="J750" s="953"/>
      <c r="K750" s="953"/>
      <c r="L750" s="953"/>
      <c r="M750" s="953"/>
      <c r="N750" s="953"/>
      <c r="O750" s="953"/>
      <c r="P750" s="953"/>
    </row>
    <row r="751">
      <c r="A751" s="953"/>
      <c r="B751" s="953"/>
      <c r="C751" s="953"/>
      <c r="D751" s="953"/>
      <c r="E751" s="953"/>
      <c r="F751" s="953"/>
      <c r="G751" s="953"/>
      <c r="H751" s="953"/>
      <c r="I751" s="953"/>
      <c r="J751" s="953"/>
      <c r="K751" s="953"/>
      <c r="L751" s="953"/>
      <c r="M751" s="953"/>
      <c r="N751" s="953"/>
      <c r="O751" s="953"/>
      <c r="P751" s="953"/>
    </row>
    <row r="752">
      <c r="A752" s="953"/>
      <c r="B752" s="953"/>
      <c r="C752" s="953"/>
      <c r="D752" s="953"/>
      <c r="E752" s="953"/>
      <c r="F752" s="953"/>
      <c r="G752" s="953"/>
      <c r="H752" s="953"/>
      <c r="I752" s="953"/>
      <c r="J752" s="953"/>
      <c r="K752" s="953"/>
      <c r="L752" s="953"/>
      <c r="M752" s="953"/>
      <c r="N752" s="953"/>
      <c r="O752" s="953"/>
      <c r="P752" s="953"/>
    </row>
    <row r="753">
      <c r="A753" s="953"/>
      <c r="B753" s="953"/>
      <c r="C753" s="953"/>
      <c r="D753" s="953"/>
      <c r="E753" s="953"/>
      <c r="F753" s="953"/>
      <c r="G753" s="953"/>
      <c r="H753" s="953"/>
      <c r="I753" s="953"/>
      <c r="J753" s="953"/>
      <c r="K753" s="953"/>
      <c r="L753" s="953"/>
      <c r="M753" s="953"/>
      <c r="N753" s="953"/>
      <c r="O753" s="953"/>
      <c r="P753" s="953"/>
    </row>
    <row r="754">
      <c r="A754" s="953"/>
      <c r="B754" s="953"/>
      <c r="C754" s="953"/>
      <c r="D754" s="953"/>
      <c r="E754" s="953"/>
      <c r="F754" s="953"/>
      <c r="G754" s="953"/>
      <c r="H754" s="953"/>
      <c r="I754" s="953"/>
      <c r="J754" s="953"/>
      <c r="K754" s="953"/>
      <c r="L754" s="953"/>
      <c r="M754" s="953"/>
      <c r="N754" s="953"/>
      <c r="O754" s="953"/>
      <c r="P754" s="953"/>
    </row>
    <row r="755">
      <c r="A755" s="953"/>
      <c r="B755" s="953"/>
      <c r="C755" s="953"/>
      <c r="D755" s="953"/>
      <c r="E755" s="953"/>
      <c r="F755" s="953"/>
      <c r="G755" s="953"/>
      <c r="H755" s="953"/>
      <c r="I755" s="953"/>
      <c r="J755" s="953"/>
      <c r="K755" s="953"/>
      <c r="L755" s="953"/>
      <c r="M755" s="953"/>
      <c r="N755" s="953"/>
      <c r="O755" s="953"/>
      <c r="P755" s="953"/>
    </row>
    <row r="756">
      <c r="A756" s="953"/>
      <c r="B756" s="953"/>
      <c r="C756" s="953"/>
      <c r="D756" s="953"/>
      <c r="E756" s="953"/>
      <c r="F756" s="953"/>
      <c r="G756" s="953"/>
      <c r="H756" s="953"/>
      <c r="I756" s="953"/>
      <c r="J756" s="953"/>
      <c r="K756" s="953"/>
      <c r="L756" s="953"/>
      <c r="M756" s="953"/>
      <c r="N756" s="953"/>
      <c r="O756" s="953"/>
      <c r="P756" s="953"/>
    </row>
    <row r="757">
      <c r="A757" s="953"/>
      <c r="B757" s="953"/>
      <c r="C757" s="953"/>
      <c r="D757" s="953"/>
      <c r="E757" s="953"/>
      <c r="F757" s="953"/>
      <c r="G757" s="953"/>
      <c r="H757" s="953"/>
      <c r="I757" s="953"/>
      <c r="J757" s="953"/>
      <c r="K757" s="953"/>
      <c r="L757" s="953"/>
      <c r="M757" s="953"/>
      <c r="N757" s="953"/>
      <c r="O757" s="953"/>
      <c r="P757" s="953"/>
    </row>
    <row r="758">
      <c r="A758" s="953"/>
      <c r="B758" s="953"/>
      <c r="C758" s="953"/>
      <c r="D758" s="953"/>
      <c r="E758" s="953"/>
      <c r="F758" s="953"/>
      <c r="G758" s="953"/>
      <c r="H758" s="953"/>
      <c r="I758" s="953"/>
      <c r="J758" s="953"/>
      <c r="K758" s="953"/>
      <c r="L758" s="953"/>
      <c r="M758" s="953"/>
      <c r="N758" s="953"/>
      <c r="O758" s="953"/>
      <c r="P758" s="953"/>
    </row>
    <row r="759">
      <c r="A759" s="953"/>
      <c r="B759" s="953"/>
      <c r="C759" s="953"/>
      <c r="D759" s="953"/>
      <c r="E759" s="953"/>
      <c r="F759" s="953"/>
      <c r="G759" s="953"/>
      <c r="H759" s="953"/>
      <c r="I759" s="953"/>
      <c r="J759" s="953"/>
      <c r="K759" s="953"/>
      <c r="L759" s="953"/>
      <c r="M759" s="953"/>
      <c r="N759" s="953"/>
      <c r="O759" s="953"/>
      <c r="P759" s="953"/>
    </row>
    <row r="760">
      <c r="A760" s="953"/>
      <c r="B760" s="953"/>
      <c r="C760" s="953"/>
      <c r="D760" s="953"/>
      <c r="E760" s="953"/>
      <c r="F760" s="953"/>
      <c r="G760" s="953"/>
      <c r="H760" s="953"/>
      <c r="I760" s="953"/>
      <c r="J760" s="953"/>
      <c r="K760" s="953"/>
      <c r="L760" s="953"/>
      <c r="M760" s="953"/>
      <c r="N760" s="953"/>
      <c r="O760" s="953"/>
      <c r="P760" s="953"/>
    </row>
    <row r="761">
      <c r="A761" s="953"/>
      <c r="B761" s="953"/>
      <c r="C761" s="953"/>
      <c r="D761" s="953"/>
      <c r="E761" s="953"/>
      <c r="F761" s="953"/>
      <c r="G761" s="953"/>
      <c r="H761" s="953"/>
      <c r="I761" s="953"/>
      <c r="J761" s="953"/>
      <c r="K761" s="953"/>
      <c r="L761" s="953"/>
      <c r="M761" s="953"/>
      <c r="N761" s="953"/>
      <c r="O761" s="953"/>
      <c r="P761" s="953"/>
    </row>
    <row r="762">
      <c r="A762" s="953"/>
      <c r="B762" s="953"/>
      <c r="C762" s="953"/>
      <c r="D762" s="953"/>
      <c r="E762" s="953"/>
      <c r="F762" s="953"/>
      <c r="G762" s="953"/>
      <c r="H762" s="953"/>
      <c r="I762" s="953"/>
      <c r="J762" s="953"/>
      <c r="K762" s="953"/>
      <c r="L762" s="953"/>
      <c r="M762" s="953"/>
      <c r="N762" s="953"/>
      <c r="O762" s="953"/>
      <c r="P762" s="953"/>
    </row>
    <row r="763">
      <c r="A763" s="953"/>
      <c r="B763" s="953"/>
      <c r="C763" s="953"/>
      <c r="D763" s="953"/>
      <c r="E763" s="953"/>
      <c r="F763" s="953"/>
      <c r="G763" s="953"/>
      <c r="H763" s="953"/>
      <c r="I763" s="953"/>
      <c r="J763" s="953"/>
      <c r="K763" s="953"/>
      <c r="L763" s="953"/>
      <c r="M763" s="953"/>
      <c r="N763" s="953"/>
      <c r="O763" s="953"/>
      <c r="P763" s="953"/>
    </row>
    <row r="764">
      <c r="A764" s="953"/>
      <c r="B764" s="953"/>
      <c r="C764" s="953"/>
      <c r="D764" s="953"/>
      <c r="E764" s="953"/>
      <c r="F764" s="953"/>
      <c r="G764" s="953"/>
      <c r="H764" s="953"/>
      <c r="I764" s="953"/>
      <c r="J764" s="953"/>
      <c r="K764" s="953"/>
      <c r="L764" s="953"/>
      <c r="M764" s="953"/>
      <c r="N764" s="953"/>
      <c r="O764" s="953"/>
      <c r="P764" s="953"/>
    </row>
    <row r="765">
      <c r="A765" s="953"/>
      <c r="B765" s="953"/>
      <c r="C765" s="953"/>
      <c r="D765" s="953"/>
      <c r="E765" s="953"/>
      <c r="F765" s="953"/>
      <c r="G765" s="953"/>
      <c r="H765" s="953"/>
      <c r="I765" s="953"/>
      <c r="J765" s="953"/>
      <c r="K765" s="953"/>
      <c r="L765" s="953"/>
      <c r="M765" s="953"/>
      <c r="N765" s="953"/>
      <c r="O765" s="953"/>
      <c r="P765" s="953"/>
    </row>
    <row r="766">
      <c r="A766" s="953"/>
      <c r="B766" s="953"/>
      <c r="C766" s="953"/>
      <c r="D766" s="953"/>
      <c r="E766" s="953"/>
      <c r="F766" s="953"/>
      <c r="G766" s="953"/>
      <c r="H766" s="953"/>
      <c r="I766" s="953"/>
      <c r="J766" s="953"/>
      <c r="K766" s="953"/>
      <c r="L766" s="953"/>
      <c r="M766" s="953"/>
      <c r="N766" s="953"/>
      <c r="O766" s="953"/>
      <c r="P766" s="953"/>
    </row>
    <row r="767">
      <c r="A767" s="953"/>
      <c r="B767" s="953"/>
      <c r="C767" s="953"/>
      <c r="D767" s="953"/>
      <c r="E767" s="953"/>
      <c r="F767" s="953"/>
      <c r="G767" s="953"/>
      <c r="H767" s="953"/>
      <c r="I767" s="953"/>
      <c r="J767" s="953"/>
      <c r="K767" s="953"/>
      <c r="L767" s="953"/>
      <c r="M767" s="953"/>
      <c r="N767" s="953"/>
      <c r="O767" s="953"/>
      <c r="P767" s="953"/>
    </row>
    <row r="768">
      <c r="A768" s="953"/>
      <c r="B768" s="953"/>
      <c r="C768" s="953"/>
      <c r="D768" s="953"/>
      <c r="E768" s="953"/>
      <c r="F768" s="953"/>
      <c r="G768" s="953"/>
      <c r="H768" s="953"/>
      <c r="I768" s="953"/>
      <c r="J768" s="953"/>
      <c r="K768" s="953"/>
      <c r="L768" s="953"/>
      <c r="M768" s="953"/>
      <c r="N768" s="953"/>
      <c r="O768" s="953"/>
      <c r="P768" s="953"/>
    </row>
    <row r="769">
      <c r="A769" s="953"/>
      <c r="B769" s="953"/>
      <c r="C769" s="953"/>
      <c r="D769" s="953"/>
      <c r="E769" s="953"/>
      <c r="F769" s="953"/>
      <c r="G769" s="953"/>
      <c r="H769" s="953"/>
      <c r="I769" s="953"/>
      <c r="J769" s="953"/>
      <c r="K769" s="953"/>
      <c r="L769" s="953"/>
      <c r="M769" s="953"/>
      <c r="N769" s="953"/>
      <c r="O769" s="953"/>
      <c r="P769" s="953"/>
    </row>
    <row r="770">
      <c r="A770" s="953"/>
      <c r="B770" s="953"/>
      <c r="C770" s="953"/>
      <c r="D770" s="953"/>
      <c r="E770" s="953"/>
      <c r="F770" s="953"/>
      <c r="G770" s="953"/>
      <c r="H770" s="953"/>
      <c r="I770" s="953"/>
      <c r="J770" s="953"/>
      <c r="K770" s="953"/>
      <c r="L770" s="953"/>
      <c r="M770" s="953"/>
      <c r="N770" s="953"/>
      <c r="O770" s="953"/>
      <c r="P770" s="953"/>
    </row>
    <row r="771">
      <c r="A771" s="953"/>
      <c r="B771" s="953"/>
      <c r="C771" s="953"/>
      <c r="D771" s="953"/>
      <c r="E771" s="953"/>
      <c r="F771" s="953"/>
      <c r="G771" s="953"/>
      <c r="H771" s="953"/>
      <c r="I771" s="953"/>
      <c r="J771" s="953"/>
      <c r="K771" s="953"/>
      <c r="L771" s="953"/>
      <c r="M771" s="953"/>
      <c r="N771" s="953"/>
      <c r="O771" s="953"/>
      <c r="P771" s="953"/>
    </row>
    <row r="772">
      <c r="A772" s="953"/>
      <c r="B772" s="953"/>
      <c r="C772" s="953"/>
      <c r="D772" s="953"/>
      <c r="E772" s="953"/>
      <c r="F772" s="953"/>
      <c r="G772" s="953"/>
      <c r="H772" s="953"/>
      <c r="I772" s="953"/>
      <c r="J772" s="953"/>
      <c r="K772" s="953"/>
      <c r="L772" s="953"/>
      <c r="M772" s="953"/>
      <c r="N772" s="953"/>
      <c r="O772" s="953"/>
      <c r="P772" s="953"/>
    </row>
    <row r="773">
      <c r="A773" s="953"/>
      <c r="B773" s="953"/>
      <c r="C773" s="953"/>
      <c r="D773" s="953"/>
      <c r="E773" s="953"/>
      <c r="F773" s="953"/>
      <c r="G773" s="953"/>
      <c r="H773" s="953"/>
      <c r="I773" s="953"/>
      <c r="J773" s="953"/>
      <c r="K773" s="953"/>
      <c r="L773" s="953"/>
      <c r="M773" s="953"/>
      <c r="N773" s="953"/>
      <c r="O773" s="953"/>
      <c r="P773" s="953"/>
    </row>
    <row r="774">
      <c r="A774" s="953"/>
      <c r="B774" s="953"/>
      <c r="C774" s="953"/>
      <c r="D774" s="953"/>
      <c r="E774" s="953"/>
      <c r="F774" s="953"/>
      <c r="G774" s="953"/>
      <c r="H774" s="953"/>
      <c r="I774" s="953"/>
      <c r="J774" s="953"/>
      <c r="K774" s="953"/>
      <c r="L774" s="953"/>
      <c r="M774" s="953"/>
      <c r="N774" s="953"/>
      <c r="O774" s="953"/>
      <c r="P774" s="953"/>
    </row>
    <row r="775">
      <c r="A775" s="953"/>
      <c r="B775" s="953"/>
      <c r="C775" s="953"/>
      <c r="D775" s="953"/>
      <c r="E775" s="953"/>
      <c r="F775" s="953"/>
      <c r="G775" s="953"/>
      <c r="H775" s="953"/>
      <c r="I775" s="953"/>
      <c r="J775" s="953"/>
      <c r="K775" s="953"/>
      <c r="L775" s="953"/>
      <c r="M775" s="953"/>
      <c r="N775" s="953"/>
      <c r="O775" s="953"/>
      <c r="P775" s="953"/>
    </row>
    <row r="776">
      <c r="A776" s="953"/>
      <c r="B776" s="953"/>
      <c r="C776" s="953"/>
      <c r="D776" s="953"/>
      <c r="E776" s="953"/>
      <c r="F776" s="953"/>
      <c r="G776" s="953"/>
      <c r="H776" s="953"/>
      <c r="I776" s="953"/>
      <c r="J776" s="953"/>
      <c r="K776" s="953"/>
      <c r="L776" s="953"/>
      <c r="M776" s="953"/>
      <c r="N776" s="953"/>
      <c r="O776" s="953"/>
      <c r="P776" s="953"/>
    </row>
    <row r="777">
      <c r="A777" s="953"/>
      <c r="B777" s="953"/>
      <c r="C777" s="953"/>
      <c r="D777" s="953"/>
      <c r="E777" s="953"/>
      <c r="F777" s="953"/>
      <c r="G777" s="953"/>
      <c r="H777" s="953"/>
      <c r="I777" s="953"/>
      <c r="J777" s="953"/>
      <c r="K777" s="953"/>
      <c r="L777" s="953"/>
      <c r="M777" s="953"/>
      <c r="N777" s="953"/>
      <c r="O777" s="953"/>
      <c r="P777" s="953"/>
    </row>
    <row r="778">
      <c r="A778" s="953"/>
      <c r="B778" s="953"/>
      <c r="C778" s="953"/>
      <c r="D778" s="953"/>
      <c r="E778" s="953"/>
      <c r="F778" s="953"/>
      <c r="G778" s="953"/>
      <c r="H778" s="953"/>
      <c r="I778" s="953"/>
      <c r="J778" s="953"/>
      <c r="K778" s="953"/>
      <c r="L778" s="953"/>
      <c r="M778" s="953"/>
      <c r="N778" s="953"/>
      <c r="O778" s="953"/>
      <c r="P778" s="953"/>
    </row>
    <row r="779">
      <c r="A779" s="953"/>
      <c r="B779" s="953"/>
      <c r="C779" s="953"/>
      <c r="D779" s="953"/>
      <c r="E779" s="953"/>
      <c r="F779" s="953"/>
      <c r="G779" s="953"/>
      <c r="H779" s="953"/>
      <c r="I779" s="953"/>
      <c r="J779" s="953"/>
      <c r="K779" s="953"/>
      <c r="L779" s="953"/>
      <c r="M779" s="953"/>
      <c r="N779" s="953"/>
      <c r="O779" s="953"/>
      <c r="P779" s="953"/>
    </row>
    <row r="780">
      <c r="A780" s="953"/>
      <c r="B780" s="953"/>
      <c r="C780" s="953"/>
      <c r="D780" s="953"/>
      <c r="E780" s="953"/>
      <c r="F780" s="953"/>
      <c r="G780" s="953"/>
      <c r="H780" s="953"/>
      <c r="I780" s="953"/>
      <c r="J780" s="953"/>
      <c r="K780" s="953"/>
      <c r="L780" s="953"/>
      <c r="M780" s="953"/>
      <c r="N780" s="953"/>
      <c r="O780" s="953"/>
      <c r="P780" s="953"/>
    </row>
    <row r="781">
      <c r="A781" s="953"/>
      <c r="B781" s="953"/>
      <c r="C781" s="953"/>
      <c r="D781" s="953"/>
      <c r="E781" s="953"/>
      <c r="F781" s="953"/>
      <c r="G781" s="953"/>
      <c r="H781" s="953"/>
      <c r="I781" s="953"/>
      <c r="J781" s="953"/>
      <c r="K781" s="953"/>
      <c r="L781" s="953"/>
      <c r="M781" s="953"/>
      <c r="N781" s="953"/>
      <c r="O781" s="953"/>
      <c r="P781" s="953"/>
    </row>
    <row r="782">
      <c r="A782" s="953"/>
      <c r="B782" s="953"/>
      <c r="C782" s="953"/>
      <c r="D782" s="953"/>
      <c r="E782" s="953"/>
      <c r="F782" s="953"/>
      <c r="G782" s="953"/>
      <c r="H782" s="953"/>
      <c r="I782" s="953"/>
      <c r="J782" s="953"/>
      <c r="K782" s="953"/>
      <c r="L782" s="953"/>
      <c r="M782" s="953"/>
      <c r="N782" s="953"/>
      <c r="O782" s="953"/>
      <c r="P782" s="953"/>
    </row>
    <row r="783">
      <c r="A783" s="953"/>
      <c r="B783" s="953"/>
      <c r="C783" s="953"/>
      <c r="D783" s="953"/>
      <c r="E783" s="953"/>
      <c r="F783" s="953"/>
      <c r="G783" s="953"/>
      <c r="H783" s="953"/>
      <c r="I783" s="953"/>
      <c r="J783" s="953"/>
      <c r="K783" s="953"/>
      <c r="L783" s="953"/>
      <c r="M783" s="953"/>
      <c r="N783" s="953"/>
      <c r="O783" s="953"/>
      <c r="P783" s="953"/>
    </row>
    <row r="784">
      <c r="A784" s="953"/>
      <c r="B784" s="953"/>
      <c r="C784" s="953"/>
      <c r="D784" s="953"/>
      <c r="E784" s="953"/>
      <c r="F784" s="953"/>
      <c r="G784" s="953"/>
      <c r="H784" s="953"/>
      <c r="I784" s="953"/>
      <c r="J784" s="953"/>
      <c r="K784" s="953"/>
      <c r="L784" s="953"/>
      <c r="M784" s="953"/>
      <c r="N784" s="953"/>
      <c r="O784" s="953"/>
      <c r="P784" s="953"/>
    </row>
    <row r="785">
      <c r="A785" s="953"/>
      <c r="B785" s="953"/>
      <c r="C785" s="953"/>
      <c r="D785" s="953"/>
      <c r="E785" s="953"/>
      <c r="F785" s="953"/>
      <c r="G785" s="953"/>
      <c r="H785" s="953"/>
      <c r="I785" s="953"/>
      <c r="J785" s="953"/>
      <c r="K785" s="953"/>
      <c r="L785" s="953"/>
      <c r="M785" s="953"/>
      <c r="N785" s="953"/>
      <c r="O785" s="953"/>
      <c r="P785" s="953"/>
    </row>
    <row r="786">
      <c r="A786" s="953"/>
      <c r="B786" s="953"/>
      <c r="C786" s="953"/>
      <c r="D786" s="953"/>
      <c r="E786" s="953"/>
      <c r="F786" s="953"/>
      <c r="G786" s="953"/>
      <c r="H786" s="953"/>
      <c r="I786" s="953"/>
      <c r="J786" s="953"/>
      <c r="K786" s="953"/>
      <c r="L786" s="953"/>
      <c r="M786" s="953"/>
      <c r="N786" s="953"/>
      <c r="O786" s="953"/>
      <c r="P786" s="953"/>
    </row>
    <row r="787">
      <c r="A787" s="953"/>
      <c r="B787" s="953"/>
      <c r="C787" s="953"/>
      <c r="D787" s="953"/>
      <c r="E787" s="953"/>
      <c r="F787" s="953"/>
      <c r="G787" s="953"/>
      <c r="H787" s="953"/>
      <c r="I787" s="953"/>
      <c r="J787" s="953"/>
      <c r="K787" s="953"/>
      <c r="L787" s="953"/>
      <c r="M787" s="953"/>
      <c r="N787" s="953"/>
      <c r="O787" s="953"/>
      <c r="P787" s="953"/>
    </row>
    <row r="788">
      <c r="A788" s="953"/>
      <c r="B788" s="953"/>
      <c r="C788" s="953"/>
      <c r="D788" s="953"/>
      <c r="E788" s="953"/>
      <c r="F788" s="953"/>
      <c r="G788" s="953"/>
      <c r="H788" s="953"/>
      <c r="I788" s="953"/>
      <c r="J788" s="953"/>
      <c r="K788" s="953"/>
      <c r="L788" s="953"/>
      <c r="M788" s="953"/>
      <c r="N788" s="953"/>
      <c r="O788" s="953"/>
      <c r="P788" s="953"/>
    </row>
    <row r="789">
      <c r="A789" s="953"/>
      <c r="B789" s="953"/>
      <c r="C789" s="953"/>
      <c r="D789" s="953"/>
      <c r="E789" s="953"/>
      <c r="F789" s="953"/>
      <c r="G789" s="953"/>
      <c r="H789" s="953"/>
      <c r="I789" s="953"/>
      <c r="J789" s="953"/>
      <c r="K789" s="953"/>
      <c r="L789" s="953"/>
      <c r="M789" s="953"/>
      <c r="N789" s="953"/>
      <c r="O789" s="953"/>
      <c r="P789" s="953"/>
    </row>
    <row r="790">
      <c r="A790" s="953"/>
      <c r="B790" s="953"/>
      <c r="C790" s="953"/>
      <c r="D790" s="953"/>
      <c r="E790" s="953"/>
      <c r="F790" s="953"/>
      <c r="G790" s="953"/>
      <c r="H790" s="953"/>
      <c r="I790" s="953"/>
      <c r="J790" s="953"/>
      <c r="K790" s="953"/>
      <c r="L790" s="953"/>
      <c r="M790" s="953"/>
      <c r="N790" s="953"/>
      <c r="O790" s="953"/>
      <c r="P790" s="953"/>
    </row>
    <row r="791">
      <c r="A791" s="953"/>
      <c r="B791" s="953"/>
      <c r="C791" s="953"/>
      <c r="D791" s="953"/>
      <c r="E791" s="953"/>
      <c r="F791" s="953"/>
      <c r="G791" s="953"/>
      <c r="H791" s="953"/>
      <c r="I791" s="953"/>
      <c r="J791" s="953"/>
      <c r="K791" s="953"/>
      <c r="L791" s="953"/>
      <c r="M791" s="953"/>
      <c r="N791" s="953"/>
      <c r="O791" s="953"/>
      <c r="P791" s="953"/>
    </row>
    <row r="792">
      <c r="A792" s="953"/>
      <c r="B792" s="953"/>
      <c r="C792" s="953"/>
      <c r="D792" s="953"/>
      <c r="E792" s="953"/>
      <c r="F792" s="953"/>
      <c r="G792" s="953"/>
      <c r="H792" s="953"/>
      <c r="I792" s="953"/>
      <c r="J792" s="953"/>
      <c r="K792" s="953"/>
      <c r="L792" s="953"/>
      <c r="M792" s="953"/>
      <c r="N792" s="953"/>
      <c r="O792" s="953"/>
      <c r="P792" s="953"/>
    </row>
    <row r="793">
      <c r="A793" s="953"/>
      <c r="B793" s="953"/>
      <c r="C793" s="953"/>
      <c r="D793" s="953"/>
      <c r="E793" s="953"/>
      <c r="F793" s="953"/>
      <c r="G793" s="953"/>
      <c r="H793" s="953"/>
      <c r="I793" s="953"/>
      <c r="J793" s="953"/>
      <c r="K793" s="953"/>
      <c r="L793" s="953"/>
      <c r="M793" s="953"/>
      <c r="N793" s="953"/>
      <c r="O793" s="953"/>
      <c r="P793" s="953"/>
    </row>
    <row r="794">
      <c r="A794" s="953"/>
      <c r="B794" s="953"/>
      <c r="C794" s="953"/>
      <c r="D794" s="953"/>
      <c r="E794" s="953"/>
      <c r="F794" s="953"/>
      <c r="G794" s="953"/>
      <c r="H794" s="953"/>
      <c r="I794" s="953"/>
      <c r="J794" s="953"/>
      <c r="K794" s="953"/>
      <c r="L794" s="953"/>
      <c r="M794" s="953"/>
      <c r="N794" s="953"/>
      <c r="O794" s="953"/>
      <c r="P794" s="953"/>
    </row>
    <row r="795">
      <c r="A795" s="953"/>
      <c r="B795" s="953"/>
      <c r="C795" s="953"/>
      <c r="D795" s="953"/>
      <c r="E795" s="953"/>
      <c r="F795" s="953"/>
      <c r="G795" s="953"/>
      <c r="H795" s="953"/>
      <c r="I795" s="953"/>
      <c r="J795" s="953"/>
      <c r="K795" s="953"/>
      <c r="L795" s="953"/>
      <c r="M795" s="953"/>
      <c r="N795" s="953"/>
      <c r="O795" s="953"/>
      <c r="P795" s="953"/>
    </row>
    <row r="796">
      <c r="A796" s="953"/>
      <c r="B796" s="953"/>
      <c r="C796" s="953"/>
      <c r="D796" s="953"/>
      <c r="E796" s="953"/>
      <c r="F796" s="953"/>
      <c r="G796" s="953"/>
      <c r="H796" s="953"/>
      <c r="I796" s="953"/>
      <c r="J796" s="953"/>
      <c r="K796" s="953"/>
      <c r="L796" s="953"/>
      <c r="M796" s="953"/>
      <c r="N796" s="953"/>
      <c r="O796" s="953"/>
      <c r="P796" s="953"/>
    </row>
    <row r="797">
      <c r="A797" s="953"/>
      <c r="B797" s="953"/>
      <c r="C797" s="953"/>
      <c r="D797" s="953"/>
      <c r="E797" s="953"/>
      <c r="F797" s="953"/>
      <c r="G797" s="953"/>
      <c r="H797" s="953"/>
      <c r="I797" s="953"/>
      <c r="J797" s="953"/>
      <c r="K797" s="953"/>
      <c r="L797" s="953"/>
      <c r="M797" s="953"/>
      <c r="N797" s="953"/>
      <c r="O797" s="953"/>
      <c r="P797" s="953"/>
    </row>
    <row r="798">
      <c r="A798" s="953"/>
      <c r="B798" s="953"/>
      <c r="C798" s="953"/>
      <c r="D798" s="953"/>
      <c r="E798" s="953"/>
      <c r="F798" s="953"/>
      <c r="G798" s="953"/>
      <c r="H798" s="953"/>
      <c r="I798" s="953"/>
      <c r="J798" s="953"/>
      <c r="K798" s="953"/>
      <c r="L798" s="953"/>
      <c r="M798" s="953"/>
      <c r="N798" s="953"/>
      <c r="O798" s="953"/>
      <c r="P798" s="953"/>
    </row>
    <row r="799">
      <c r="A799" s="953"/>
      <c r="B799" s="953"/>
      <c r="C799" s="953"/>
      <c r="D799" s="953"/>
      <c r="E799" s="953"/>
      <c r="F799" s="953"/>
      <c r="G799" s="953"/>
      <c r="H799" s="953"/>
      <c r="I799" s="953"/>
      <c r="J799" s="953"/>
      <c r="K799" s="953"/>
      <c r="L799" s="953"/>
      <c r="M799" s="953"/>
      <c r="N799" s="953"/>
      <c r="O799" s="953"/>
      <c r="P799" s="953"/>
    </row>
    <row r="800">
      <c r="A800" s="953"/>
      <c r="B800" s="953"/>
      <c r="C800" s="953"/>
      <c r="D800" s="953"/>
      <c r="E800" s="953"/>
      <c r="F800" s="953"/>
      <c r="G800" s="953"/>
      <c r="H800" s="953"/>
      <c r="I800" s="953"/>
      <c r="J800" s="953"/>
      <c r="K800" s="953"/>
      <c r="L800" s="953"/>
      <c r="M800" s="953"/>
      <c r="N800" s="953"/>
      <c r="O800" s="953"/>
      <c r="P800" s="953"/>
    </row>
    <row r="801">
      <c r="A801" s="953"/>
      <c r="B801" s="953"/>
      <c r="C801" s="953"/>
      <c r="D801" s="953"/>
      <c r="E801" s="953"/>
      <c r="F801" s="953"/>
      <c r="G801" s="953"/>
      <c r="H801" s="953"/>
      <c r="I801" s="953"/>
      <c r="J801" s="953"/>
      <c r="K801" s="953"/>
      <c r="L801" s="953"/>
      <c r="M801" s="953"/>
      <c r="N801" s="953"/>
      <c r="O801" s="953"/>
      <c r="P801" s="953"/>
    </row>
    <row r="802">
      <c r="A802" s="953"/>
      <c r="B802" s="953"/>
      <c r="C802" s="953"/>
      <c r="D802" s="953"/>
      <c r="E802" s="953"/>
      <c r="F802" s="953"/>
      <c r="G802" s="953"/>
      <c r="H802" s="953"/>
      <c r="I802" s="953"/>
      <c r="J802" s="953"/>
      <c r="K802" s="953"/>
      <c r="L802" s="953"/>
      <c r="M802" s="953"/>
      <c r="N802" s="953"/>
      <c r="O802" s="953"/>
      <c r="P802" s="953"/>
    </row>
    <row r="803">
      <c r="A803" s="953"/>
      <c r="B803" s="953"/>
      <c r="C803" s="953"/>
      <c r="D803" s="953"/>
      <c r="E803" s="953"/>
      <c r="F803" s="953"/>
      <c r="G803" s="953"/>
      <c r="H803" s="953"/>
      <c r="I803" s="953"/>
      <c r="J803" s="953"/>
      <c r="K803" s="953"/>
      <c r="L803" s="953"/>
      <c r="M803" s="953"/>
      <c r="N803" s="953"/>
      <c r="O803" s="953"/>
      <c r="P803" s="953"/>
    </row>
    <row r="804">
      <c r="A804" s="953"/>
      <c r="B804" s="953"/>
      <c r="C804" s="953"/>
      <c r="D804" s="953"/>
      <c r="E804" s="953"/>
      <c r="F804" s="953"/>
      <c r="G804" s="953"/>
      <c r="H804" s="953"/>
      <c r="I804" s="953"/>
      <c r="J804" s="953"/>
      <c r="K804" s="953"/>
      <c r="L804" s="953"/>
      <c r="M804" s="953"/>
      <c r="N804" s="953"/>
      <c r="O804" s="953"/>
      <c r="P804" s="953"/>
    </row>
    <row r="805">
      <c r="A805" s="953"/>
      <c r="B805" s="953"/>
      <c r="C805" s="953"/>
      <c r="D805" s="953"/>
      <c r="E805" s="953"/>
      <c r="F805" s="953"/>
      <c r="G805" s="953"/>
      <c r="H805" s="953"/>
      <c r="I805" s="953"/>
      <c r="J805" s="953"/>
      <c r="K805" s="953"/>
      <c r="L805" s="953"/>
      <c r="M805" s="953"/>
      <c r="N805" s="953"/>
      <c r="O805" s="953"/>
      <c r="P805" s="953"/>
    </row>
    <row r="806">
      <c r="A806" s="953"/>
      <c r="B806" s="953"/>
      <c r="C806" s="953"/>
      <c r="D806" s="953"/>
      <c r="E806" s="953"/>
      <c r="F806" s="953"/>
      <c r="G806" s="953"/>
      <c r="H806" s="953"/>
      <c r="I806" s="953"/>
      <c r="J806" s="953"/>
      <c r="K806" s="953"/>
      <c r="L806" s="953"/>
      <c r="M806" s="953"/>
      <c r="N806" s="953"/>
      <c r="O806" s="953"/>
      <c r="P806" s="953"/>
    </row>
    <row r="807">
      <c r="A807" s="953"/>
      <c r="B807" s="953"/>
      <c r="C807" s="953"/>
      <c r="D807" s="953"/>
      <c r="E807" s="953"/>
      <c r="F807" s="953"/>
      <c r="G807" s="953"/>
      <c r="H807" s="953"/>
      <c r="I807" s="953"/>
      <c r="J807" s="953"/>
      <c r="K807" s="953"/>
      <c r="L807" s="953"/>
      <c r="M807" s="953"/>
      <c r="N807" s="953"/>
      <c r="O807" s="953"/>
      <c r="P807" s="953"/>
    </row>
    <row r="808">
      <c r="A808" s="953"/>
      <c r="B808" s="953"/>
      <c r="C808" s="953"/>
      <c r="D808" s="953"/>
      <c r="E808" s="953"/>
      <c r="F808" s="953"/>
      <c r="G808" s="953"/>
      <c r="H808" s="953"/>
      <c r="I808" s="953"/>
      <c r="J808" s="953"/>
      <c r="K808" s="953"/>
      <c r="L808" s="953"/>
      <c r="M808" s="953"/>
      <c r="N808" s="953"/>
      <c r="O808" s="953"/>
      <c r="P808" s="953"/>
    </row>
    <row r="809">
      <c r="A809" s="953"/>
      <c r="B809" s="953"/>
      <c r="C809" s="953"/>
      <c r="D809" s="953"/>
      <c r="E809" s="953"/>
      <c r="F809" s="953"/>
      <c r="G809" s="953"/>
      <c r="H809" s="953"/>
      <c r="I809" s="953"/>
      <c r="J809" s="953"/>
      <c r="K809" s="953"/>
      <c r="L809" s="953"/>
      <c r="M809" s="953"/>
      <c r="N809" s="953"/>
      <c r="O809" s="953"/>
      <c r="P809" s="953"/>
    </row>
    <row r="810">
      <c r="A810" s="953"/>
      <c r="B810" s="953"/>
      <c r="C810" s="953"/>
      <c r="D810" s="953"/>
      <c r="E810" s="953"/>
      <c r="F810" s="953"/>
      <c r="G810" s="953"/>
      <c r="H810" s="953"/>
      <c r="I810" s="953"/>
      <c r="J810" s="953"/>
      <c r="K810" s="953"/>
      <c r="L810" s="953"/>
      <c r="M810" s="953"/>
      <c r="N810" s="953"/>
      <c r="O810" s="953"/>
      <c r="P810" s="953"/>
    </row>
    <row r="811">
      <c r="A811" s="953"/>
      <c r="B811" s="953"/>
      <c r="C811" s="953"/>
      <c r="D811" s="953"/>
      <c r="E811" s="953"/>
      <c r="F811" s="953"/>
      <c r="G811" s="953"/>
      <c r="H811" s="953"/>
      <c r="I811" s="953"/>
      <c r="J811" s="953"/>
      <c r="K811" s="953"/>
      <c r="L811" s="953"/>
      <c r="M811" s="953"/>
      <c r="N811" s="953"/>
      <c r="O811" s="953"/>
      <c r="P811" s="953"/>
    </row>
    <row r="812">
      <c r="A812" s="953"/>
      <c r="B812" s="953"/>
      <c r="C812" s="953"/>
      <c r="D812" s="953"/>
      <c r="E812" s="953"/>
      <c r="F812" s="953"/>
      <c r="G812" s="953"/>
      <c r="H812" s="953"/>
      <c r="I812" s="953"/>
      <c r="J812" s="953"/>
      <c r="K812" s="953"/>
      <c r="L812" s="953"/>
      <c r="M812" s="953"/>
      <c r="N812" s="953"/>
      <c r="O812" s="953"/>
      <c r="P812" s="953"/>
    </row>
    <row r="813">
      <c r="A813" s="953"/>
      <c r="B813" s="953"/>
      <c r="C813" s="953"/>
      <c r="D813" s="953"/>
      <c r="E813" s="953"/>
      <c r="F813" s="953"/>
      <c r="G813" s="953"/>
      <c r="H813" s="953"/>
      <c r="I813" s="953"/>
      <c r="J813" s="953"/>
      <c r="K813" s="953"/>
      <c r="L813" s="953"/>
      <c r="M813" s="953"/>
      <c r="N813" s="953"/>
      <c r="O813" s="953"/>
      <c r="P813" s="953"/>
    </row>
    <row r="814">
      <c r="A814" s="953"/>
      <c r="B814" s="953"/>
      <c r="C814" s="953"/>
      <c r="D814" s="953"/>
      <c r="E814" s="953"/>
      <c r="F814" s="953"/>
      <c r="G814" s="953"/>
      <c r="H814" s="953"/>
      <c r="I814" s="953"/>
      <c r="J814" s="953"/>
      <c r="K814" s="953"/>
      <c r="L814" s="953"/>
      <c r="M814" s="953"/>
      <c r="N814" s="953"/>
      <c r="O814" s="953"/>
      <c r="P814" s="953"/>
    </row>
    <row r="815">
      <c r="A815" s="953"/>
      <c r="B815" s="953"/>
      <c r="C815" s="953"/>
      <c r="D815" s="953"/>
      <c r="E815" s="953"/>
      <c r="F815" s="953"/>
      <c r="G815" s="953"/>
      <c r="H815" s="953"/>
      <c r="I815" s="953"/>
      <c r="J815" s="953"/>
      <c r="K815" s="953"/>
      <c r="L815" s="953"/>
      <c r="M815" s="953"/>
      <c r="N815" s="953"/>
      <c r="O815" s="953"/>
      <c r="P815" s="953"/>
    </row>
    <row r="816">
      <c r="A816" s="953"/>
      <c r="B816" s="953"/>
      <c r="C816" s="953"/>
      <c r="D816" s="953"/>
      <c r="E816" s="953"/>
      <c r="F816" s="953"/>
      <c r="G816" s="953"/>
      <c r="H816" s="953"/>
      <c r="I816" s="953"/>
      <c r="J816" s="953"/>
      <c r="K816" s="953"/>
      <c r="L816" s="953"/>
      <c r="M816" s="953"/>
      <c r="N816" s="953"/>
      <c r="O816" s="953"/>
      <c r="P816" s="953"/>
    </row>
    <row r="817">
      <c r="A817" s="953"/>
      <c r="B817" s="953"/>
      <c r="C817" s="953"/>
      <c r="D817" s="953"/>
      <c r="E817" s="953"/>
      <c r="F817" s="953"/>
      <c r="G817" s="953"/>
      <c r="H817" s="953"/>
      <c r="I817" s="953"/>
      <c r="J817" s="953"/>
      <c r="K817" s="953"/>
      <c r="L817" s="953"/>
      <c r="M817" s="953"/>
      <c r="N817" s="953"/>
      <c r="O817" s="953"/>
      <c r="P817" s="953"/>
    </row>
    <row r="818">
      <c r="A818" s="953"/>
      <c r="B818" s="953"/>
      <c r="C818" s="953"/>
      <c r="D818" s="953"/>
      <c r="E818" s="953"/>
      <c r="F818" s="953"/>
      <c r="G818" s="953"/>
      <c r="H818" s="953"/>
      <c r="I818" s="953"/>
      <c r="J818" s="953"/>
      <c r="K818" s="953"/>
      <c r="L818" s="953"/>
      <c r="M818" s="953"/>
      <c r="N818" s="953"/>
      <c r="O818" s="953"/>
      <c r="P818" s="953"/>
    </row>
    <row r="819">
      <c r="A819" s="953"/>
      <c r="B819" s="953"/>
      <c r="C819" s="953"/>
      <c r="D819" s="953"/>
      <c r="E819" s="953"/>
      <c r="F819" s="953"/>
      <c r="G819" s="953"/>
      <c r="H819" s="953"/>
      <c r="I819" s="953"/>
      <c r="J819" s="953"/>
      <c r="K819" s="953"/>
      <c r="L819" s="953"/>
      <c r="M819" s="953"/>
      <c r="N819" s="953"/>
      <c r="O819" s="953"/>
      <c r="P819" s="953"/>
    </row>
    <row r="820">
      <c r="A820" s="953"/>
      <c r="B820" s="953"/>
      <c r="C820" s="953"/>
      <c r="D820" s="953"/>
      <c r="E820" s="953"/>
      <c r="F820" s="953"/>
      <c r="G820" s="953"/>
      <c r="H820" s="953"/>
      <c r="I820" s="953"/>
      <c r="J820" s="953"/>
      <c r="K820" s="953"/>
      <c r="L820" s="953"/>
      <c r="M820" s="953"/>
      <c r="N820" s="953"/>
      <c r="O820" s="953"/>
      <c r="P820" s="953"/>
    </row>
    <row r="821">
      <c r="A821" s="953"/>
      <c r="B821" s="953"/>
      <c r="C821" s="953"/>
      <c r="D821" s="953"/>
      <c r="E821" s="953"/>
      <c r="F821" s="953"/>
      <c r="G821" s="953"/>
      <c r="H821" s="953"/>
      <c r="I821" s="953"/>
      <c r="J821" s="953"/>
      <c r="K821" s="953"/>
      <c r="L821" s="953"/>
      <c r="M821" s="953"/>
      <c r="N821" s="953"/>
      <c r="O821" s="953"/>
      <c r="P821" s="953"/>
    </row>
    <row r="822">
      <c r="A822" s="953"/>
      <c r="B822" s="953"/>
      <c r="C822" s="953"/>
      <c r="D822" s="953"/>
      <c r="E822" s="953"/>
      <c r="F822" s="953"/>
      <c r="G822" s="953"/>
      <c r="H822" s="953"/>
      <c r="I822" s="953"/>
      <c r="J822" s="953"/>
      <c r="K822" s="953"/>
      <c r="L822" s="953"/>
      <c r="M822" s="953"/>
      <c r="N822" s="953"/>
      <c r="O822" s="953"/>
      <c r="P822" s="953"/>
    </row>
    <row r="823">
      <c r="A823" s="953"/>
      <c r="B823" s="953"/>
      <c r="C823" s="953"/>
      <c r="D823" s="953"/>
      <c r="E823" s="953"/>
      <c r="F823" s="953"/>
      <c r="G823" s="953"/>
      <c r="H823" s="953"/>
      <c r="I823" s="953"/>
      <c r="J823" s="953"/>
      <c r="K823" s="953"/>
      <c r="L823" s="953"/>
      <c r="M823" s="953"/>
      <c r="N823" s="953"/>
      <c r="O823" s="953"/>
      <c r="P823" s="953"/>
    </row>
    <row r="824">
      <c r="A824" s="953"/>
      <c r="B824" s="953"/>
      <c r="C824" s="953"/>
      <c r="D824" s="953"/>
      <c r="E824" s="953"/>
      <c r="F824" s="953"/>
      <c r="G824" s="953"/>
      <c r="H824" s="953"/>
      <c r="I824" s="953"/>
      <c r="J824" s="953"/>
      <c r="K824" s="953"/>
      <c r="L824" s="953"/>
      <c r="M824" s="953"/>
      <c r="N824" s="953"/>
      <c r="O824" s="953"/>
      <c r="P824" s="953"/>
    </row>
    <row r="825">
      <c r="A825" s="953"/>
      <c r="B825" s="953"/>
      <c r="C825" s="953"/>
      <c r="D825" s="953"/>
      <c r="E825" s="953"/>
      <c r="F825" s="953"/>
      <c r="G825" s="953"/>
      <c r="H825" s="953"/>
      <c r="I825" s="953"/>
      <c r="J825" s="953"/>
      <c r="K825" s="953"/>
      <c r="L825" s="953"/>
      <c r="M825" s="953"/>
      <c r="N825" s="953"/>
      <c r="O825" s="953"/>
      <c r="P825" s="953"/>
    </row>
    <row r="826">
      <c r="A826" s="953"/>
      <c r="B826" s="953"/>
      <c r="C826" s="953"/>
      <c r="D826" s="953"/>
      <c r="E826" s="953"/>
      <c r="F826" s="953"/>
      <c r="G826" s="953"/>
      <c r="H826" s="953"/>
      <c r="I826" s="953"/>
      <c r="J826" s="953"/>
      <c r="K826" s="953"/>
      <c r="L826" s="953"/>
      <c r="M826" s="953"/>
      <c r="N826" s="953"/>
      <c r="O826" s="953"/>
      <c r="P826" s="953"/>
    </row>
    <row r="827">
      <c r="A827" s="953"/>
      <c r="B827" s="953"/>
      <c r="C827" s="953"/>
      <c r="D827" s="953"/>
      <c r="E827" s="953"/>
      <c r="F827" s="953"/>
      <c r="G827" s="953"/>
      <c r="H827" s="953"/>
      <c r="I827" s="953"/>
      <c r="J827" s="953"/>
      <c r="K827" s="953"/>
      <c r="L827" s="953"/>
      <c r="M827" s="953"/>
      <c r="N827" s="953"/>
      <c r="O827" s="953"/>
      <c r="P827" s="953"/>
    </row>
    <row r="828">
      <c r="A828" s="953"/>
      <c r="B828" s="953"/>
      <c r="C828" s="953"/>
      <c r="D828" s="953"/>
      <c r="E828" s="953"/>
      <c r="F828" s="953"/>
      <c r="G828" s="953"/>
      <c r="H828" s="953"/>
      <c r="I828" s="953"/>
      <c r="J828" s="953"/>
      <c r="K828" s="953"/>
      <c r="L828" s="953"/>
      <c r="M828" s="953"/>
      <c r="N828" s="953"/>
      <c r="O828" s="953"/>
      <c r="P828" s="953"/>
    </row>
    <row r="829">
      <c r="A829" s="953"/>
      <c r="B829" s="953"/>
      <c r="C829" s="953"/>
      <c r="D829" s="953"/>
      <c r="E829" s="953"/>
      <c r="F829" s="953"/>
      <c r="G829" s="953"/>
      <c r="H829" s="953"/>
      <c r="I829" s="953"/>
      <c r="J829" s="953"/>
      <c r="K829" s="953"/>
      <c r="L829" s="953"/>
      <c r="M829" s="953"/>
      <c r="N829" s="953"/>
      <c r="O829" s="953"/>
      <c r="P829" s="953"/>
    </row>
    <row r="830">
      <c r="A830" s="953"/>
      <c r="B830" s="953"/>
      <c r="C830" s="953"/>
      <c r="D830" s="953"/>
      <c r="E830" s="953"/>
      <c r="F830" s="953"/>
      <c r="G830" s="953"/>
      <c r="H830" s="953"/>
      <c r="I830" s="953"/>
      <c r="J830" s="953"/>
      <c r="K830" s="953"/>
      <c r="L830" s="953"/>
      <c r="M830" s="953"/>
      <c r="N830" s="953"/>
      <c r="O830" s="953"/>
      <c r="P830" s="953"/>
    </row>
    <row r="831">
      <c r="A831" s="953"/>
      <c r="B831" s="953"/>
      <c r="C831" s="953"/>
      <c r="D831" s="953"/>
      <c r="E831" s="953"/>
      <c r="F831" s="953"/>
      <c r="G831" s="953"/>
      <c r="H831" s="953"/>
      <c r="I831" s="953"/>
      <c r="J831" s="953"/>
      <c r="K831" s="953"/>
      <c r="L831" s="953"/>
      <c r="M831" s="953"/>
      <c r="N831" s="953"/>
      <c r="O831" s="953"/>
      <c r="P831" s="953"/>
    </row>
    <row r="832">
      <c r="A832" s="953"/>
      <c r="B832" s="953"/>
      <c r="C832" s="953"/>
      <c r="D832" s="953"/>
      <c r="E832" s="953"/>
      <c r="F832" s="953"/>
      <c r="G832" s="953"/>
      <c r="H832" s="953"/>
      <c r="I832" s="953"/>
      <c r="J832" s="953"/>
      <c r="K832" s="953"/>
      <c r="L832" s="953"/>
      <c r="M832" s="953"/>
      <c r="N832" s="953"/>
      <c r="O832" s="953"/>
      <c r="P832" s="953"/>
    </row>
    <row r="833">
      <c r="A833" s="953"/>
      <c r="B833" s="953"/>
      <c r="C833" s="953"/>
      <c r="D833" s="953"/>
      <c r="E833" s="953"/>
      <c r="F833" s="953"/>
      <c r="G833" s="953"/>
      <c r="H833" s="953"/>
      <c r="I833" s="953"/>
      <c r="J833" s="953"/>
      <c r="K833" s="953"/>
      <c r="L833" s="953"/>
      <c r="M833" s="953"/>
      <c r="N833" s="953"/>
      <c r="O833" s="953"/>
      <c r="P833" s="953"/>
    </row>
    <row r="834">
      <c r="A834" s="953"/>
      <c r="B834" s="953"/>
      <c r="C834" s="953"/>
      <c r="D834" s="953"/>
      <c r="E834" s="953"/>
      <c r="F834" s="953"/>
      <c r="G834" s="953"/>
      <c r="H834" s="953"/>
      <c r="I834" s="953"/>
      <c r="J834" s="953"/>
      <c r="K834" s="953"/>
      <c r="L834" s="953"/>
      <c r="M834" s="953"/>
      <c r="N834" s="953"/>
      <c r="O834" s="953"/>
      <c r="P834" s="953"/>
    </row>
    <row r="835">
      <c r="A835" s="953"/>
      <c r="B835" s="953"/>
      <c r="C835" s="953"/>
      <c r="D835" s="953"/>
      <c r="E835" s="953"/>
      <c r="F835" s="953"/>
      <c r="G835" s="953"/>
      <c r="H835" s="953"/>
      <c r="I835" s="953"/>
      <c r="J835" s="953"/>
      <c r="K835" s="953"/>
      <c r="L835" s="953"/>
      <c r="M835" s="953"/>
      <c r="N835" s="953"/>
      <c r="O835" s="953"/>
      <c r="P835" s="953"/>
    </row>
    <row r="836">
      <c r="A836" s="953"/>
      <c r="B836" s="953"/>
      <c r="C836" s="953"/>
      <c r="D836" s="953"/>
      <c r="E836" s="953"/>
      <c r="F836" s="953"/>
      <c r="G836" s="953"/>
      <c r="H836" s="953"/>
      <c r="I836" s="953"/>
      <c r="J836" s="953"/>
      <c r="K836" s="953"/>
      <c r="L836" s="953"/>
      <c r="M836" s="953"/>
      <c r="N836" s="953"/>
      <c r="O836" s="953"/>
      <c r="P836" s="953"/>
    </row>
    <row r="837">
      <c r="A837" s="953"/>
      <c r="B837" s="953"/>
      <c r="C837" s="953"/>
      <c r="D837" s="953"/>
      <c r="E837" s="953"/>
      <c r="F837" s="953"/>
      <c r="G837" s="953"/>
      <c r="H837" s="953"/>
      <c r="I837" s="953"/>
      <c r="J837" s="953"/>
      <c r="K837" s="953"/>
      <c r="L837" s="953"/>
      <c r="M837" s="953"/>
      <c r="N837" s="953"/>
      <c r="O837" s="953"/>
      <c r="P837" s="953"/>
    </row>
    <row r="838">
      <c r="A838" s="953"/>
      <c r="B838" s="953"/>
      <c r="C838" s="953"/>
      <c r="D838" s="953"/>
      <c r="E838" s="953"/>
      <c r="F838" s="953"/>
      <c r="G838" s="953"/>
      <c r="H838" s="953"/>
      <c r="I838" s="953"/>
      <c r="J838" s="953"/>
      <c r="K838" s="953"/>
      <c r="L838" s="953"/>
      <c r="M838" s="953"/>
      <c r="N838" s="953"/>
      <c r="O838" s="953"/>
      <c r="P838" s="953"/>
    </row>
    <row r="839">
      <c r="A839" s="953"/>
      <c r="B839" s="953"/>
      <c r="C839" s="953"/>
      <c r="D839" s="953"/>
      <c r="E839" s="953"/>
      <c r="F839" s="953"/>
      <c r="G839" s="953"/>
      <c r="H839" s="953"/>
      <c r="I839" s="953"/>
      <c r="J839" s="953"/>
      <c r="K839" s="953"/>
      <c r="L839" s="953"/>
      <c r="M839" s="953"/>
      <c r="N839" s="953"/>
      <c r="O839" s="953"/>
      <c r="P839" s="953"/>
    </row>
    <row r="840">
      <c r="A840" s="953"/>
      <c r="B840" s="953"/>
      <c r="C840" s="953"/>
      <c r="D840" s="953"/>
      <c r="E840" s="953"/>
      <c r="F840" s="953"/>
      <c r="G840" s="953"/>
      <c r="H840" s="953"/>
      <c r="I840" s="953"/>
      <c r="J840" s="953"/>
      <c r="K840" s="953"/>
      <c r="L840" s="953"/>
      <c r="M840" s="953"/>
      <c r="N840" s="953"/>
      <c r="O840" s="953"/>
      <c r="P840" s="953"/>
    </row>
    <row r="841">
      <c r="A841" s="953"/>
      <c r="B841" s="953"/>
      <c r="C841" s="953"/>
      <c r="D841" s="953"/>
      <c r="E841" s="953"/>
      <c r="F841" s="953"/>
      <c r="G841" s="953"/>
      <c r="H841" s="953"/>
      <c r="I841" s="953"/>
      <c r="J841" s="953"/>
      <c r="K841" s="953"/>
      <c r="L841" s="953"/>
      <c r="M841" s="953"/>
      <c r="N841" s="953"/>
      <c r="O841" s="953"/>
      <c r="P841" s="953"/>
    </row>
    <row r="842">
      <c r="A842" s="953"/>
      <c r="B842" s="953"/>
      <c r="C842" s="953"/>
      <c r="D842" s="953"/>
      <c r="E842" s="953"/>
      <c r="F842" s="953"/>
      <c r="G842" s="953"/>
      <c r="H842" s="953"/>
      <c r="I842" s="953"/>
      <c r="J842" s="953"/>
      <c r="K842" s="953"/>
      <c r="L842" s="953"/>
      <c r="M842" s="953"/>
      <c r="N842" s="953"/>
      <c r="O842" s="953"/>
      <c r="P842" s="953"/>
    </row>
    <row r="843">
      <c r="A843" s="953"/>
      <c r="B843" s="953"/>
      <c r="C843" s="953"/>
      <c r="D843" s="953"/>
      <c r="E843" s="953"/>
      <c r="F843" s="953"/>
      <c r="G843" s="953"/>
      <c r="H843" s="953"/>
      <c r="I843" s="953"/>
      <c r="J843" s="953"/>
      <c r="K843" s="953"/>
      <c r="L843" s="953"/>
      <c r="M843" s="953"/>
      <c r="N843" s="953"/>
      <c r="O843" s="953"/>
      <c r="P843" s="953"/>
    </row>
    <row r="844">
      <c r="A844" s="953"/>
      <c r="B844" s="953"/>
      <c r="C844" s="953"/>
      <c r="D844" s="953"/>
      <c r="E844" s="953"/>
      <c r="F844" s="953"/>
      <c r="G844" s="953"/>
      <c r="H844" s="953"/>
      <c r="I844" s="953"/>
      <c r="J844" s="953"/>
      <c r="K844" s="953"/>
      <c r="L844" s="953"/>
      <c r="M844" s="953"/>
      <c r="N844" s="953"/>
      <c r="O844" s="953"/>
      <c r="P844" s="953"/>
    </row>
    <row r="845">
      <c r="A845" s="953"/>
      <c r="B845" s="953"/>
      <c r="C845" s="953"/>
      <c r="D845" s="953"/>
      <c r="E845" s="953"/>
      <c r="F845" s="953"/>
      <c r="G845" s="953"/>
      <c r="H845" s="953"/>
      <c r="I845" s="953"/>
      <c r="J845" s="953"/>
      <c r="K845" s="953"/>
      <c r="L845" s="953"/>
      <c r="M845" s="953"/>
      <c r="N845" s="953"/>
      <c r="O845" s="953"/>
      <c r="P845" s="953"/>
    </row>
    <row r="846">
      <c r="A846" s="953"/>
      <c r="B846" s="953"/>
      <c r="C846" s="953"/>
      <c r="D846" s="953"/>
      <c r="E846" s="953"/>
      <c r="F846" s="953"/>
      <c r="G846" s="953"/>
      <c r="H846" s="953"/>
      <c r="I846" s="953"/>
      <c r="J846" s="953"/>
      <c r="K846" s="953"/>
      <c r="L846" s="953"/>
      <c r="M846" s="953"/>
      <c r="N846" s="953"/>
      <c r="O846" s="953"/>
      <c r="P846" s="953"/>
    </row>
    <row r="847">
      <c r="A847" s="953"/>
      <c r="B847" s="953"/>
      <c r="C847" s="953"/>
      <c r="D847" s="953"/>
      <c r="E847" s="953"/>
      <c r="F847" s="953"/>
      <c r="G847" s="953"/>
      <c r="H847" s="953"/>
      <c r="I847" s="953"/>
      <c r="J847" s="953"/>
      <c r="K847" s="953"/>
      <c r="L847" s="953"/>
      <c r="M847" s="953"/>
      <c r="N847" s="953"/>
      <c r="O847" s="953"/>
      <c r="P847" s="953"/>
    </row>
    <row r="848">
      <c r="A848" s="953"/>
      <c r="B848" s="953"/>
      <c r="C848" s="953"/>
      <c r="D848" s="953"/>
      <c r="E848" s="953"/>
      <c r="F848" s="953"/>
      <c r="G848" s="953"/>
      <c r="H848" s="953"/>
      <c r="I848" s="953"/>
      <c r="J848" s="953"/>
      <c r="K848" s="953"/>
      <c r="L848" s="953"/>
      <c r="M848" s="953"/>
      <c r="N848" s="953"/>
      <c r="O848" s="953"/>
      <c r="P848" s="953"/>
    </row>
    <row r="849">
      <c r="A849" s="953"/>
      <c r="B849" s="953"/>
      <c r="C849" s="953"/>
      <c r="D849" s="953"/>
      <c r="E849" s="953"/>
      <c r="F849" s="953"/>
      <c r="G849" s="953"/>
      <c r="H849" s="953"/>
      <c r="I849" s="953"/>
      <c r="J849" s="953"/>
      <c r="K849" s="953"/>
      <c r="L849" s="953"/>
      <c r="M849" s="953"/>
      <c r="N849" s="953"/>
      <c r="O849" s="953"/>
      <c r="P849" s="953"/>
    </row>
    <row r="850">
      <c r="A850" s="953"/>
      <c r="B850" s="953"/>
      <c r="C850" s="953"/>
      <c r="D850" s="953"/>
      <c r="E850" s="953"/>
      <c r="F850" s="953"/>
      <c r="G850" s="953"/>
      <c r="H850" s="953"/>
      <c r="I850" s="953"/>
      <c r="J850" s="953"/>
      <c r="K850" s="953"/>
      <c r="L850" s="953"/>
      <c r="M850" s="953"/>
      <c r="N850" s="953"/>
      <c r="O850" s="953"/>
      <c r="P850" s="953"/>
    </row>
    <row r="851">
      <c r="A851" s="953"/>
      <c r="B851" s="953"/>
      <c r="C851" s="953"/>
      <c r="D851" s="953"/>
      <c r="E851" s="953"/>
      <c r="F851" s="953"/>
      <c r="G851" s="953"/>
      <c r="H851" s="953"/>
      <c r="I851" s="953"/>
      <c r="J851" s="953"/>
      <c r="K851" s="953"/>
      <c r="L851" s="953"/>
      <c r="M851" s="953"/>
      <c r="N851" s="953"/>
      <c r="O851" s="953"/>
      <c r="P851" s="953"/>
    </row>
    <row r="852">
      <c r="A852" s="953"/>
      <c r="B852" s="953"/>
      <c r="C852" s="953"/>
      <c r="D852" s="953"/>
      <c r="E852" s="953"/>
      <c r="F852" s="953"/>
      <c r="G852" s="953"/>
      <c r="H852" s="953"/>
      <c r="I852" s="953"/>
      <c r="J852" s="953"/>
      <c r="K852" s="953"/>
      <c r="L852" s="953"/>
      <c r="M852" s="953"/>
      <c r="N852" s="953"/>
      <c r="O852" s="953"/>
      <c r="P852" s="953"/>
    </row>
    <row r="853">
      <c r="A853" s="953"/>
      <c r="B853" s="953"/>
      <c r="C853" s="953"/>
      <c r="D853" s="953"/>
      <c r="E853" s="953"/>
      <c r="F853" s="953"/>
      <c r="G853" s="953"/>
      <c r="H853" s="953"/>
      <c r="I853" s="953"/>
      <c r="J853" s="953"/>
      <c r="K853" s="953"/>
      <c r="L853" s="953"/>
      <c r="M853" s="953"/>
      <c r="N853" s="953"/>
      <c r="O853" s="953"/>
      <c r="P853" s="953"/>
    </row>
    <row r="854">
      <c r="A854" s="953"/>
      <c r="B854" s="953"/>
      <c r="C854" s="953"/>
      <c r="D854" s="953"/>
      <c r="E854" s="953"/>
      <c r="F854" s="953"/>
      <c r="G854" s="953"/>
      <c r="H854" s="953"/>
      <c r="I854" s="953"/>
      <c r="J854" s="953"/>
      <c r="K854" s="953"/>
      <c r="L854" s="953"/>
      <c r="M854" s="953"/>
      <c r="N854" s="953"/>
      <c r="O854" s="953"/>
      <c r="P854" s="953"/>
    </row>
    <row r="855">
      <c r="A855" s="953"/>
      <c r="B855" s="953"/>
      <c r="C855" s="953"/>
      <c r="D855" s="953"/>
      <c r="E855" s="953"/>
      <c r="F855" s="953"/>
      <c r="G855" s="953"/>
      <c r="H855" s="953"/>
      <c r="I855" s="953"/>
      <c r="J855" s="953"/>
      <c r="K855" s="953"/>
      <c r="L855" s="953"/>
      <c r="M855" s="953"/>
      <c r="N855" s="953"/>
      <c r="O855" s="953"/>
      <c r="P855" s="953"/>
    </row>
    <row r="856">
      <c r="A856" s="953"/>
      <c r="B856" s="953"/>
      <c r="C856" s="953"/>
      <c r="D856" s="953"/>
      <c r="E856" s="953"/>
      <c r="F856" s="953"/>
      <c r="G856" s="953"/>
      <c r="H856" s="953"/>
      <c r="I856" s="953"/>
      <c r="J856" s="953"/>
      <c r="K856" s="953"/>
      <c r="L856" s="953"/>
      <c r="M856" s="953"/>
      <c r="N856" s="953"/>
      <c r="O856" s="953"/>
      <c r="P856" s="953"/>
    </row>
    <row r="857">
      <c r="A857" s="953"/>
      <c r="B857" s="953"/>
      <c r="C857" s="953"/>
      <c r="D857" s="953"/>
      <c r="E857" s="953"/>
      <c r="F857" s="953"/>
      <c r="G857" s="953"/>
      <c r="H857" s="953"/>
      <c r="I857" s="953"/>
      <c r="J857" s="953"/>
      <c r="K857" s="953"/>
      <c r="L857" s="953"/>
      <c r="M857" s="953"/>
      <c r="N857" s="953"/>
      <c r="O857" s="953"/>
      <c r="P857" s="953"/>
    </row>
    <row r="858">
      <c r="A858" s="953"/>
      <c r="B858" s="953"/>
      <c r="C858" s="953"/>
      <c r="D858" s="953"/>
      <c r="E858" s="953"/>
      <c r="F858" s="953"/>
      <c r="G858" s="953"/>
      <c r="H858" s="953"/>
      <c r="I858" s="953"/>
      <c r="J858" s="953"/>
      <c r="K858" s="953"/>
      <c r="L858" s="953"/>
      <c r="M858" s="953"/>
      <c r="N858" s="953"/>
      <c r="O858" s="953"/>
      <c r="P858" s="953"/>
    </row>
    <row r="859">
      <c r="A859" s="953"/>
      <c r="B859" s="953"/>
      <c r="C859" s="953"/>
      <c r="D859" s="953"/>
      <c r="E859" s="953"/>
      <c r="F859" s="953"/>
      <c r="G859" s="953"/>
      <c r="H859" s="953"/>
      <c r="I859" s="953"/>
      <c r="J859" s="953"/>
      <c r="K859" s="953"/>
      <c r="L859" s="953"/>
      <c r="M859" s="953"/>
      <c r="N859" s="953"/>
      <c r="O859" s="953"/>
      <c r="P859" s="953"/>
    </row>
    <row r="860">
      <c r="A860" s="953"/>
      <c r="B860" s="953"/>
      <c r="C860" s="953"/>
      <c r="D860" s="953"/>
      <c r="E860" s="953"/>
      <c r="F860" s="953"/>
      <c r="G860" s="953"/>
      <c r="H860" s="953"/>
      <c r="I860" s="953"/>
      <c r="J860" s="953"/>
      <c r="K860" s="953"/>
      <c r="L860" s="953"/>
      <c r="M860" s="953"/>
      <c r="N860" s="953"/>
      <c r="O860" s="953"/>
      <c r="P860" s="953"/>
    </row>
    <row r="861">
      <c r="A861" s="953"/>
      <c r="B861" s="953"/>
      <c r="C861" s="953"/>
      <c r="D861" s="953"/>
      <c r="E861" s="953"/>
      <c r="F861" s="953"/>
      <c r="G861" s="953"/>
      <c r="H861" s="953"/>
      <c r="I861" s="953"/>
      <c r="J861" s="953"/>
      <c r="K861" s="953"/>
      <c r="L861" s="953"/>
      <c r="M861" s="953"/>
      <c r="N861" s="953"/>
      <c r="O861" s="953"/>
      <c r="P861" s="953"/>
    </row>
    <row r="862">
      <c r="A862" s="953"/>
      <c r="B862" s="953"/>
      <c r="C862" s="953"/>
      <c r="D862" s="953"/>
      <c r="E862" s="953"/>
      <c r="F862" s="953"/>
      <c r="G862" s="953"/>
      <c r="H862" s="953"/>
      <c r="I862" s="953"/>
      <c r="J862" s="953"/>
      <c r="K862" s="953"/>
      <c r="L862" s="953"/>
      <c r="M862" s="953"/>
      <c r="N862" s="953"/>
      <c r="O862" s="953"/>
      <c r="P862" s="953"/>
    </row>
    <row r="863">
      <c r="A863" s="953"/>
      <c r="B863" s="953"/>
      <c r="C863" s="953"/>
      <c r="D863" s="953"/>
      <c r="E863" s="953"/>
      <c r="F863" s="953"/>
      <c r="G863" s="953"/>
      <c r="H863" s="953"/>
      <c r="I863" s="953"/>
      <c r="J863" s="953"/>
      <c r="K863" s="953"/>
      <c r="L863" s="953"/>
      <c r="M863" s="953"/>
      <c r="N863" s="953"/>
      <c r="O863" s="953"/>
      <c r="P863" s="953"/>
    </row>
    <row r="864">
      <c r="A864" s="953"/>
      <c r="B864" s="953"/>
      <c r="C864" s="953"/>
      <c r="D864" s="953"/>
      <c r="E864" s="953"/>
      <c r="F864" s="953"/>
      <c r="G864" s="953"/>
      <c r="H864" s="953"/>
      <c r="I864" s="953"/>
      <c r="J864" s="953"/>
      <c r="K864" s="953"/>
      <c r="L864" s="953"/>
      <c r="M864" s="953"/>
      <c r="N864" s="953"/>
      <c r="O864" s="953"/>
      <c r="P864" s="953"/>
    </row>
    <row r="865">
      <c r="A865" s="953"/>
      <c r="B865" s="953"/>
      <c r="C865" s="953"/>
      <c r="D865" s="953"/>
      <c r="E865" s="953"/>
      <c r="F865" s="953"/>
      <c r="G865" s="953"/>
      <c r="H865" s="953"/>
      <c r="I865" s="953"/>
      <c r="J865" s="953"/>
      <c r="K865" s="953"/>
      <c r="L865" s="953"/>
      <c r="M865" s="953"/>
      <c r="N865" s="953"/>
      <c r="O865" s="953"/>
      <c r="P865" s="953"/>
    </row>
    <row r="866">
      <c r="A866" s="953"/>
      <c r="B866" s="953"/>
      <c r="C866" s="953"/>
      <c r="D866" s="953"/>
      <c r="E866" s="953"/>
      <c r="F866" s="953"/>
      <c r="G866" s="953"/>
      <c r="H866" s="953"/>
      <c r="I866" s="953"/>
      <c r="J866" s="953"/>
      <c r="K866" s="953"/>
      <c r="L866" s="953"/>
      <c r="M866" s="953"/>
      <c r="N866" s="953"/>
      <c r="O866" s="953"/>
      <c r="P866" s="953"/>
    </row>
    <row r="867">
      <c r="A867" s="953"/>
      <c r="B867" s="953"/>
      <c r="C867" s="953"/>
      <c r="D867" s="953"/>
      <c r="E867" s="953"/>
      <c r="F867" s="953"/>
      <c r="G867" s="953"/>
      <c r="H867" s="953"/>
      <c r="I867" s="953"/>
      <c r="J867" s="953"/>
      <c r="K867" s="953"/>
      <c r="L867" s="953"/>
      <c r="M867" s="953"/>
      <c r="N867" s="953"/>
      <c r="O867" s="953"/>
      <c r="P867" s="953"/>
    </row>
    <row r="868">
      <c r="A868" s="953"/>
      <c r="B868" s="953"/>
      <c r="C868" s="953"/>
      <c r="D868" s="953"/>
      <c r="E868" s="953"/>
      <c r="F868" s="953"/>
      <c r="G868" s="953"/>
      <c r="H868" s="953"/>
      <c r="I868" s="953"/>
      <c r="J868" s="953"/>
      <c r="K868" s="953"/>
      <c r="L868" s="953"/>
      <c r="M868" s="953"/>
      <c r="N868" s="953"/>
      <c r="O868" s="953"/>
      <c r="P868" s="953"/>
    </row>
    <row r="869">
      <c r="A869" s="953"/>
      <c r="B869" s="953"/>
      <c r="C869" s="953"/>
      <c r="D869" s="953"/>
      <c r="E869" s="953"/>
      <c r="F869" s="953"/>
      <c r="G869" s="953"/>
      <c r="H869" s="953"/>
      <c r="I869" s="953"/>
      <c r="J869" s="953"/>
      <c r="K869" s="953"/>
      <c r="L869" s="953"/>
      <c r="M869" s="953"/>
      <c r="N869" s="953"/>
      <c r="O869" s="953"/>
      <c r="P869" s="953"/>
    </row>
    <row r="870">
      <c r="A870" s="953"/>
      <c r="B870" s="953"/>
      <c r="C870" s="953"/>
      <c r="D870" s="953"/>
      <c r="E870" s="953"/>
      <c r="F870" s="953"/>
      <c r="G870" s="953"/>
      <c r="H870" s="953"/>
      <c r="I870" s="953"/>
      <c r="J870" s="953"/>
      <c r="K870" s="953"/>
      <c r="L870" s="953"/>
      <c r="M870" s="953"/>
      <c r="N870" s="953"/>
      <c r="O870" s="953"/>
      <c r="P870" s="953"/>
    </row>
    <row r="871">
      <c r="A871" s="953"/>
      <c r="B871" s="953"/>
      <c r="C871" s="953"/>
      <c r="D871" s="953"/>
      <c r="E871" s="953"/>
      <c r="F871" s="953"/>
      <c r="G871" s="953"/>
      <c r="H871" s="953"/>
      <c r="I871" s="953"/>
      <c r="J871" s="953"/>
      <c r="K871" s="953"/>
      <c r="L871" s="953"/>
      <c r="M871" s="953"/>
      <c r="N871" s="953"/>
      <c r="O871" s="953"/>
      <c r="P871" s="953"/>
    </row>
  </sheetData>
  <mergeCells count="72">
    <mergeCell ref="K15:M15"/>
    <mergeCell ref="N15:P15"/>
    <mergeCell ref="A1:P1"/>
    <mergeCell ref="A2:P2"/>
    <mergeCell ref="J3:M3"/>
    <mergeCell ref="D14:E14"/>
    <mergeCell ref="A15:B15"/>
    <mergeCell ref="C15:E15"/>
    <mergeCell ref="F15:H15"/>
    <mergeCell ref="M17:M27"/>
    <mergeCell ref="O17:O27"/>
    <mergeCell ref="P17:P27"/>
    <mergeCell ref="A18:B18"/>
    <mergeCell ref="A19:B19"/>
    <mergeCell ref="A20:B20"/>
    <mergeCell ref="A21:B21"/>
    <mergeCell ref="A22:B22"/>
    <mergeCell ref="A23:B23"/>
    <mergeCell ref="A24:B24"/>
    <mergeCell ref="A25:B25"/>
    <mergeCell ref="A53:B53"/>
    <mergeCell ref="A54:B54"/>
    <mergeCell ref="A55:B55"/>
    <mergeCell ref="A56:B56"/>
    <mergeCell ref="A57:B57"/>
    <mergeCell ref="A58:B58"/>
    <mergeCell ref="A59:B59"/>
    <mergeCell ref="A60:B60"/>
    <mergeCell ref="A46:B46"/>
    <mergeCell ref="A47:B47"/>
    <mergeCell ref="A48:B48"/>
    <mergeCell ref="D48:D61"/>
    <mergeCell ref="E48:E61"/>
    <mergeCell ref="G48:G61"/>
    <mergeCell ref="H48:H61"/>
    <mergeCell ref="A61:B61"/>
    <mergeCell ref="A16:B16"/>
    <mergeCell ref="A17:B17"/>
    <mergeCell ref="D17:D30"/>
    <mergeCell ref="E17:E30"/>
    <mergeCell ref="G17:G30"/>
    <mergeCell ref="H17:H30"/>
    <mergeCell ref="L17:L27"/>
    <mergeCell ref="A32:P32"/>
    <mergeCell ref="A33:P33"/>
    <mergeCell ref="J34:M34"/>
    <mergeCell ref="A28:B28"/>
    <mergeCell ref="J28:K30"/>
    <mergeCell ref="L28:M30"/>
    <mergeCell ref="N28:N30"/>
    <mergeCell ref="O28:P30"/>
    <mergeCell ref="A29:B29"/>
    <mergeCell ref="A30:B30"/>
    <mergeCell ref="A26:B26"/>
    <mergeCell ref="A27:B27"/>
    <mergeCell ref="D45:E45"/>
    <mergeCell ref="C46:E46"/>
    <mergeCell ref="F46:H46"/>
    <mergeCell ref="K46:M46"/>
    <mergeCell ref="N46:P46"/>
    <mergeCell ref="L48:L58"/>
    <mergeCell ref="M48:M58"/>
    <mergeCell ref="O48:O58"/>
    <mergeCell ref="P48:P58"/>
    <mergeCell ref="J59:K61"/>
    <mergeCell ref="L59:M61"/>
    <mergeCell ref="N59:N61"/>
    <mergeCell ref="O59:P61"/>
    <mergeCell ref="A49:B49"/>
    <mergeCell ref="A50:B50"/>
    <mergeCell ref="A51:B51"/>
    <mergeCell ref="A52:B52"/>
  </mergeCells>
  <printOptions horizontalCentered="1"/>
  <pageMargins bottom="0.75" footer="0.0" header="0.0" left="0.25" right="0.25" top="0.75"/>
  <pageSetup paperSize="13" scale="85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4.0"/>
    <col customWidth="1" min="3" max="3" width="15.57"/>
    <col customWidth="1" min="4" max="4" width="12.86"/>
    <col customWidth="1" min="5" max="5" width="8.71"/>
    <col customWidth="1" min="6" max="6" width="0.86"/>
    <col customWidth="1" min="7" max="7" width="7.57"/>
    <col customWidth="1" min="8" max="9" width="0.43"/>
    <col customWidth="1" min="10" max="11" width="6.43"/>
    <col customWidth="1" min="12" max="12" width="13.86"/>
    <col customWidth="1" min="13" max="20" width="8.71"/>
  </cols>
  <sheetData>
    <row r="1" ht="13.5" customHeight="1">
      <c r="A1" s="507"/>
      <c r="B1" s="954" t="s">
        <v>13586</v>
      </c>
      <c r="C1" s="509"/>
      <c r="D1" s="56" t="s">
        <v>11488</v>
      </c>
      <c r="E1" s="73"/>
      <c r="F1" s="509"/>
      <c r="G1" s="509"/>
      <c r="H1" s="509"/>
      <c r="I1" s="509"/>
      <c r="J1" s="511"/>
      <c r="L1" s="541"/>
    </row>
    <row r="2" ht="13.5" customHeight="1">
      <c r="A2" s="73"/>
      <c r="B2" s="518"/>
      <c r="C2" s="509"/>
      <c r="D2" s="955" t="s">
        <v>13587</v>
      </c>
      <c r="E2" s="517"/>
      <c r="F2" s="509"/>
      <c r="G2" s="509"/>
      <c r="H2" s="509"/>
      <c r="I2" s="509"/>
      <c r="J2" s="511"/>
      <c r="L2" s="516"/>
    </row>
    <row r="3" ht="15.0" customHeight="1">
      <c r="A3" s="956"/>
      <c r="B3" s="514"/>
      <c r="C3" s="515"/>
      <c r="D3" s="957"/>
      <c r="E3" s="957"/>
      <c r="F3" s="957"/>
      <c r="G3" s="957"/>
      <c r="H3" s="957"/>
      <c r="I3" s="957"/>
      <c r="J3" s="958"/>
      <c r="K3" s="536"/>
      <c r="L3" s="536"/>
    </row>
    <row r="4" ht="17.25" customHeight="1">
      <c r="A4" s="520"/>
      <c r="B4" s="959"/>
      <c r="C4" s="960" t="s">
        <v>13588</v>
      </c>
      <c r="F4" s="960"/>
      <c r="G4" s="519"/>
      <c r="H4" s="519"/>
      <c r="I4" s="519"/>
      <c r="J4" s="511"/>
      <c r="K4" s="527"/>
      <c r="L4" s="961"/>
    </row>
    <row r="5" ht="13.5" customHeight="1">
      <c r="A5" s="520"/>
      <c r="B5" s="520"/>
      <c r="C5" s="509"/>
      <c r="D5" s="519"/>
      <c r="E5" s="519"/>
      <c r="F5" s="519"/>
      <c r="G5" s="519"/>
      <c r="H5" s="519"/>
      <c r="I5" s="519"/>
      <c r="J5" s="511"/>
      <c r="K5" s="527"/>
      <c r="L5" s="961"/>
    </row>
    <row r="6" ht="13.5" customHeight="1">
      <c r="A6" s="520"/>
      <c r="B6" s="520"/>
      <c r="C6" s="509"/>
      <c r="D6" s="519"/>
      <c r="E6" s="519"/>
      <c r="F6" s="519"/>
      <c r="G6" s="519"/>
      <c r="H6" s="519"/>
      <c r="I6" s="519"/>
      <c r="J6" s="511" t="s">
        <v>2867</v>
      </c>
      <c r="K6" s="527"/>
      <c r="L6" s="962">
        <v>46094.0</v>
      </c>
    </row>
    <row r="7" ht="13.5" customHeight="1">
      <c r="A7" s="520"/>
      <c r="B7" s="520"/>
      <c r="C7" s="509"/>
      <c r="D7" s="519"/>
      <c r="E7" s="519"/>
      <c r="F7" s="519"/>
      <c r="G7" s="519"/>
      <c r="H7" s="519"/>
      <c r="I7" s="519"/>
      <c r="J7" s="511" t="s">
        <v>11444</v>
      </c>
      <c r="K7" s="527"/>
      <c r="L7" s="527"/>
    </row>
    <row r="8" ht="13.5" customHeight="1">
      <c r="A8" s="520"/>
      <c r="B8" s="520"/>
      <c r="C8" s="509"/>
      <c r="D8" s="519"/>
      <c r="E8" s="519"/>
      <c r="F8" s="519"/>
      <c r="G8" s="519"/>
      <c r="H8" s="519"/>
      <c r="I8" s="519"/>
      <c r="J8" s="647" t="s">
        <v>13589</v>
      </c>
    </row>
    <row r="9" ht="13.5" customHeight="1">
      <c r="A9" s="520"/>
      <c r="B9" s="520"/>
      <c r="C9" s="509"/>
      <c r="D9" s="519"/>
      <c r="E9" s="519"/>
      <c r="F9" s="519"/>
      <c r="G9" s="519"/>
      <c r="H9" s="519"/>
      <c r="I9" s="519"/>
      <c r="J9" s="647" t="s">
        <v>13590</v>
      </c>
    </row>
    <row r="10" ht="13.5" customHeight="1">
      <c r="A10" s="520"/>
      <c r="B10" s="520"/>
      <c r="C10" s="509"/>
      <c r="D10" s="519"/>
      <c r="E10" s="519"/>
      <c r="F10" s="519"/>
      <c r="G10" s="519"/>
      <c r="H10" s="519"/>
      <c r="I10" s="519"/>
      <c r="J10" s="963"/>
      <c r="K10" s="527"/>
      <c r="L10" s="527"/>
    </row>
    <row r="11" ht="13.5" customHeight="1">
      <c r="A11" s="520"/>
      <c r="B11" s="964" t="s">
        <v>13591</v>
      </c>
      <c r="C11" s="509"/>
      <c r="D11" s="657"/>
      <c r="G11" s="519"/>
      <c r="H11" s="519"/>
      <c r="I11" s="519"/>
      <c r="J11" s="527"/>
      <c r="K11" s="527"/>
      <c r="L11" s="527"/>
    </row>
    <row r="12" ht="13.5" customHeight="1">
      <c r="A12" s="520"/>
      <c r="B12" s="965"/>
      <c r="C12" s="509"/>
      <c r="D12" s="657"/>
      <c r="E12" s="657"/>
      <c r="F12" s="657"/>
      <c r="G12" s="519"/>
      <c r="H12" s="519"/>
      <c r="I12" s="519"/>
      <c r="J12" s="527"/>
      <c r="K12" s="527"/>
      <c r="L12" s="527"/>
    </row>
    <row r="13" ht="13.5" customHeight="1">
      <c r="A13" s="73"/>
      <c r="B13" s="966" t="s">
        <v>13592</v>
      </c>
      <c r="C13" s="73"/>
      <c r="D13" s="526"/>
      <c r="E13" s="526"/>
      <c r="F13" s="526"/>
      <c r="G13" s="73"/>
      <c r="H13" s="73"/>
      <c r="I13" s="73"/>
      <c r="J13" s="527"/>
      <c r="K13" s="527"/>
      <c r="L13" s="527"/>
    </row>
    <row r="14" ht="13.5" customHeight="1">
      <c r="A14" s="581"/>
      <c r="B14" s="967" t="s">
        <v>13593</v>
      </c>
      <c r="C14" s="56"/>
      <c r="D14" s="526"/>
      <c r="E14" s="73"/>
      <c r="F14" s="73"/>
      <c r="G14" s="73"/>
      <c r="H14" s="557"/>
      <c r="J14" s="557"/>
      <c r="L14" s="557"/>
    </row>
    <row r="15" ht="13.5" customHeight="1">
      <c r="A15" s="557"/>
      <c r="B15" s="56" t="s">
        <v>13594</v>
      </c>
      <c r="D15" s="557"/>
      <c r="F15" s="524"/>
      <c r="G15" s="968"/>
      <c r="H15" s="620"/>
      <c r="I15" s="969"/>
      <c r="J15" s="541"/>
      <c r="K15" s="969"/>
      <c r="L15" s="540"/>
    </row>
    <row r="16" ht="13.5" customHeight="1">
      <c r="A16" s="557"/>
      <c r="B16" s="56" t="s">
        <v>13595</v>
      </c>
      <c r="C16" s="646"/>
      <c r="D16" s="557"/>
      <c r="F16" s="524"/>
      <c r="G16" s="968"/>
      <c r="H16" s="620"/>
      <c r="I16" s="969"/>
      <c r="J16" s="541"/>
      <c r="K16" s="969"/>
      <c r="L16" s="540"/>
    </row>
    <row r="17" ht="13.5" customHeight="1">
      <c r="A17" s="557"/>
      <c r="B17" s="56" t="s">
        <v>13596</v>
      </c>
      <c r="C17" s="646"/>
      <c r="D17" s="557"/>
      <c r="F17" s="524"/>
      <c r="G17" s="968"/>
      <c r="H17" s="620"/>
      <c r="I17" s="969"/>
      <c r="J17" s="541"/>
      <c r="K17" s="969"/>
      <c r="L17" s="540"/>
    </row>
    <row r="18" ht="13.5" customHeight="1">
      <c r="A18" s="557"/>
      <c r="B18" s="56" t="s">
        <v>13597</v>
      </c>
      <c r="C18" s="516"/>
      <c r="D18" s="557"/>
      <c r="F18" s="524"/>
      <c r="G18" s="968"/>
      <c r="H18" s="620"/>
      <c r="I18" s="969"/>
      <c r="J18" s="541"/>
      <c r="K18" s="969"/>
      <c r="L18" s="540"/>
    </row>
    <row r="19" ht="13.5" customHeight="1">
      <c r="A19" s="557"/>
      <c r="B19" s="56" t="s">
        <v>13598</v>
      </c>
      <c r="C19" s="646"/>
      <c r="D19" s="557"/>
      <c r="F19" s="524"/>
      <c r="G19" s="968"/>
      <c r="H19" s="620"/>
      <c r="I19" s="969"/>
      <c r="J19" s="541"/>
      <c r="K19" s="969"/>
      <c r="L19" s="540"/>
    </row>
    <row r="20" ht="13.5" customHeight="1">
      <c r="A20" s="557"/>
      <c r="B20" s="56" t="s">
        <v>13599</v>
      </c>
      <c r="C20" s="646"/>
      <c r="D20" s="557"/>
      <c r="F20" s="524"/>
      <c r="G20" s="968"/>
      <c r="H20" s="620"/>
      <c r="I20" s="969"/>
      <c r="J20" s="541"/>
      <c r="K20" s="969"/>
      <c r="L20" s="540"/>
    </row>
    <row r="21" ht="13.5" customHeight="1">
      <c r="A21" s="557"/>
      <c r="B21" s="56"/>
      <c r="C21" s="516"/>
      <c r="D21" s="557"/>
      <c r="F21" s="524"/>
      <c r="G21" s="968"/>
      <c r="H21" s="620"/>
      <c r="I21" s="969"/>
      <c r="J21" s="541"/>
      <c r="K21" s="969"/>
      <c r="L21" s="540"/>
    </row>
    <row r="22" ht="13.5" customHeight="1">
      <c r="A22" s="557"/>
      <c r="B22" s="955" t="s">
        <v>13600</v>
      </c>
      <c r="C22" s="73"/>
      <c r="D22" s="526"/>
      <c r="E22" s="203"/>
      <c r="F22" s="203"/>
      <c r="G22" s="203"/>
      <c r="H22" s="203"/>
      <c r="I22" s="203"/>
      <c r="J22" s="203"/>
      <c r="K22" s="203"/>
      <c r="L22" s="540"/>
    </row>
    <row r="23" ht="13.5" customHeight="1">
      <c r="A23" s="557"/>
      <c r="B23" s="955"/>
      <c r="C23" s="73"/>
      <c r="D23" s="526"/>
      <c r="E23" s="692"/>
      <c r="F23" s="692"/>
      <c r="G23" s="692"/>
      <c r="H23" s="692"/>
      <c r="I23" s="692"/>
      <c r="J23" s="692"/>
      <c r="K23" s="692"/>
      <c r="L23" s="540"/>
    </row>
    <row r="24" ht="13.5" customHeight="1">
      <c r="A24" s="693"/>
      <c r="B24" s="955" t="s">
        <v>13601</v>
      </c>
      <c r="C24" s="73"/>
      <c r="D24" s="526"/>
      <c r="E24" s="203"/>
      <c r="F24" s="203"/>
      <c r="G24" s="203"/>
      <c r="H24" s="203"/>
      <c r="I24" s="203"/>
      <c r="J24" s="203"/>
      <c r="K24" s="203"/>
      <c r="L24" s="540"/>
    </row>
    <row r="25" ht="13.5" customHeight="1">
      <c r="A25" s="588"/>
      <c r="B25" s="955" t="s">
        <v>13602</v>
      </c>
      <c r="C25" s="73"/>
      <c r="D25" s="526"/>
      <c r="E25" s="692"/>
      <c r="F25" s="692"/>
      <c r="G25" s="692"/>
      <c r="H25" s="692"/>
      <c r="I25" s="692"/>
      <c r="J25" s="692"/>
      <c r="K25" s="692"/>
      <c r="L25" s="970"/>
    </row>
    <row r="26" ht="13.5" customHeight="1">
      <c r="A26" s="516"/>
      <c r="B26" s="56"/>
      <c r="C26" s="692"/>
      <c r="L26" s="971"/>
    </row>
    <row r="27" ht="13.5" customHeight="1">
      <c r="A27" s="509"/>
      <c r="B27" s="73"/>
      <c r="C27" s="516"/>
      <c r="D27" s="557"/>
      <c r="F27" s="524"/>
      <c r="G27" s="968"/>
      <c r="H27" s="620"/>
      <c r="I27" s="969"/>
      <c r="J27" s="541" t="s">
        <v>13603</v>
      </c>
      <c r="K27" s="969"/>
      <c r="L27" s="971"/>
      <c r="X27" s="6" t="s">
        <v>13604</v>
      </c>
    </row>
    <row r="28" ht="13.5" customHeight="1">
      <c r="A28" s="509"/>
      <c r="B28" s="73"/>
      <c r="C28" s="972"/>
      <c r="L28" s="565"/>
    </row>
    <row r="29" ht="13.5" customHeight="1">
      <c r="A29" s="509"/>
      <c r="B29" s="73"/>
      <c r="C29" s="972"/>
      <c r="L29" s="627"/>
    </row>
    <row r="30" ht="13.5" customHeight="1">
      <c r="A30" s="509"/>
      <c r="B30" s="73"/>
      <c r="C30" s="973"/>
      <c r="L30" s="629"/>
    </row>
    <row r="31" ht="13.5" customHeight="1">
      <c r="B31" s="588"/>
      <c r="C31" s="588"/>
      <c r="D31" s="588"/>
      <c r="E31" s="588"/>
      <c r="F31" s="588"/>
      <c r="G31" s="588"/>
      <c r="H31" s="618"/>
      <c r="I31" s="516"/>
      <c r="J31" s="520" t="s">
        <v>11460</v>
      </c>
      <c r="K31" s="200"/>
      <c r="L31" s="559"/>
    </row>
    <row r="32" ht="13.5" customHeight="1">
      <c r="B32" s="605"/>
      <c r="L32" s="631"/>
    </row>
    <row r="33" ht="13.5" customHeight="1">
      <c r="B33" s="605"/>
      <c r="L33" s="632"/>
    </row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1">
    <mergeCell ref="C26:K26"/>
    <mergeCell ref="C28:K28"/>
    <mergeCell ref="C29:K29"/>
    <mergeCell ref="C30:K30"/>
    <mergeCell ref="J3:L3"/>
    <mergeCell ref="C4:E4"/>
    <mergeCell ref="J8:L8"/>
    <mergeCell ref="J9:L9"/>
    <mergeCell ref="D11:F11"/>
    <mergeCell ref="H14:I14"/>
    <mergeCell ref="J14:K14"/>
  </mergeCells>
  <printOptions/>
  <pageMargins bottom="0.75" footer="0.0" header="0.0" left="0.7" right="0.7" top="0.75"/>
  <pageSetup paperSize="9" scale="85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9.57"/>
    <col customWidth="1" min="3" max="3" width="8.71"/>
    <col customWidth="1" min="4" max="4" width="11.43"/>
    <col customWidth="1" min="5" max="5" width="8.71"/>
    <col customWidth="1" min="6" max="6" width="6.71"/>
    <col customWidth="1" min="7" max="7" width="7.57"/>
    <col customWidth="1" min="8" max="8" width="3.57"/>
    <col customWidth="1" min="9" max="9" width="6.43"/>
    <col customWidth="1" min="10" max="18" width="8.71"/>
  </cols>
  <sheetData>
    <row r="1" ht="25.5" customHeight="1">
      <c r="A1" s="974" t="s">
        <v>13605</v>
      </c>
      <c r="J1" s="974" t="s">
        <v>13605</v>
      </c>
    </row>
    <row r="2" ht="13.5" customHeight="1"/>
    <row r="3" ht="13.5" customHeight="1">
      <c r="A3" s="975"/>
      <c r="B3" s="975"/>
      <c r="C3" s="975"/>
      <c r="D3" s="975"/>
      <c r="E3" s="975"/>
      <c r="F3" s="975"/>
      <c r="G3" s="975"/>
      <c r="H3" s="975"/>
      <c r="I3" s="975"/>
      <c r="J3" s="975"/>
      <c r="K3" s="975"/>
      <c r="L3" s="975"/>
      <c r="M3" s="975"/>
      <c r="N3" s="975"/>
      <c r="O3" s="975"/>
      <c r="P3" s="975"/>
      <c r="Q3" s="975"/>
      <c r="R3" s="975"/>
    </row>
    <row r="4" ht="13.5" customHeight="1">
      <c r="A4" s="975"/>
      <c r="B4" s="975"/>
      <c r="C4" s="975"/>
      <c r="D4" s="975"/>
      <c r="E4" s="975"/>
      <c r="F4" s="975"/>
      <c r="G4" s="975"/>
      <c r="H4" s="975"/>
      <c r="I4" s="975"/>
      <c r="J4" s="975"/>
      <c r="K4" s="975"/>
      <c r="L4" s="975"/>
      <c r="M4" s="975"/>
      <c r="N4" s="975"/>
      <c r="O4" s="975"/>
      <c r="P4" s="975"/>
      <c r="Q4" s="975"/>
      <c r="R4" s="975"/>
    </row>
    <row r="5" ht="13.5" customHeight="1">
      <c r="A5" s="975"/>
      <c r="B5" s="975"/>
      <c r="C5" s="975"/>
      <c r="D5" s="975"/>
      <c r="E5" s="975"/>
      <c r="F5" s="975"/>
      <c r="G5" s="975"/>
      <c r="H5" s="975"/>
      <c r="I5" s="975"/>
      <c r="J5" s="975"/>
      <c r="K5" s="975"/>
      <c r="L5" s="975"/>
      <c r="M5" s="975"/>
      <c r="N5" s="975"/>
      <c r="O5" s="975"/>
      <c r="P5" s="975"/>
      <c r="Q5" s="975"/>
      <c r="R5" s="975"/>
    </row>
    <row r="6" ht="13.5" customHeight="1">
      <c r="A6" s="975"/>
      <c r="B6" s="975"/>
      <c r="C6" s="975"/>
      <c r="D6" s="975"/>
      <c r="E6" s="975"/>
      <c r="F6" s="975"/>
      <c r="G6" s="975"/>
      <c r="H6" s="975"/>
      <c r="I6" s="975"/>
      <c r="J6" s="975"/>
      <c r="K6" s="975"/>
      <c r="L6" s="975"/>
      <c r="M6" s="975"/>
      <c r="N6" s="975"/>
      <c r="O6" s="975"/>
      <c r="P6" s="975"/>
      <c r="Q6" s="975"/>
      <c r="R6" s="975"/>
    </row>
    <row r="7" ht="13.5" customHeight="1">
      <c r="A7" s="975"/>
      <c r="B7" s="975"/>
      <c r="C7" s="975"/>
      <c r="D7" s="975"/>
      <c r="E7" s="975"/>
      <c r="F7" s="975"/>
      <c r="G7" s="975"/>
      <c r="H7" s="975"/>
      <c r="I7" s="975"/>
      <c r="J7" s="975"/>
      <c r="K7" s="975"/>
      <c r="L7" s="975"/>
      <c r="M7" s="975"/>
      <c r="N7" s="975"/>
      <c r="O7" s="975"/>
      <c r="P7" s="975"/>
      <c r="Q7" s="975"/>
      <c r="R7" s="975"/>
    </row>
    <row r="8" ht="13.5" customHeight="1">
      <c r="A8" s="975"/>
      <c r="B8" s="975"/>
      <c r="C8" s="975"/>
      <c r="D8" s="975"/>
      <c r="E8" s="975"/>
      <c r="F8" s="975"/>
      <c r="G8" s="975"/>
      <c r="H8" s="975"/>
      <c r="I8" s="975"/>
      <c r="J8" s="975"/>
      <c r="K8" s="975"/>
      <c r="L8" s="975"/>
      <c r="M8" s="975"/>
      <c r="N8" s="975"/>
      <c r="O8" s="975"/>
      <c r="P8" s="975"/>
      <c r="Q8" s="975"/>
      <c r="R8" s="975"/>
    </row>
    <row r="9" ht="13.5" customHeight="1">
      <c r="A9" s="975"/>
      <c r="B9" s="975"/>
      <c r="C9" s="975"/>
      <c r="D9" s="975"/>
      <c r="E9" s="975"/>
      <c r="F9" s="975"/>
      <c r="G9" s="975"/>
      <c r="H9" s="975"/>
      <c r="I9" s="975"/>
      <c r="J9" s="975"/>
      <c r="K9" s="975"/>
      <c r="L9" s="975"/>
      <c r="M9" s="975"/>
      <c r="N9" s="975"/>
      <c r="O9" s="975"/>
      <c r="P9" s="975"/>
      <c r="Q9" s="975"/>
      <c r="R9" s="975"/>
    </row>
    <row r="10" ht="13.5" customHeight="1">
      <c r="A10" s="975"/>
      <c r="B10" s="975"/>
      <c r="C10" s="975"/>
      <c r="D10" s="975"/>
      <c r="E10" s="975"/>
      <c r="F10" s="975"/>
      <c r="G10" s="975"/>
      <c r="H10" s="975"/>
      <c r="I10" s="975"/>
      <c r="J10" s="975"/>
      <c r="K10" s="975"/>
      <c r="L10" s="975"/>
      <c r="M10" s="975"/>
      <c r="N10" s="975"/>
      <c r="O10" s="975"/>
      <c r="P10" s="975"/>
      <c r="Q10" s="975"/>
      <c r="R10" s="975"/>
    </row>
    <row r="11" ht="13.5" customHeight="1">
      <c r="A11" s="975"/>
      <c r="B11" s="975"/>
      <c r="C11" s="975"/>
      <c r="D11" s="975"/>
      <c r="E11" s="975"/>
      <c r="F11" s="975"/>
      <c r="G11" s="975"/>
      <c r="H11" s="975"/>
      <c r="I11" s="975"/>
      <c r="J11" s="975"/>
      <c r="K11" s="975"/>
      <c r="L11" s="975"/>
      <c r="M11" s="975"/>
      <c r="N11" s="975"/>
      <c r="O11" s="975"/>
      <c r="P11" s="975"/>
      <c r="Q11" s="975"/>
      <c r="R11" s="975"/>
    </row>
    <row r="12" ht="13.5" customHeight="1">
      <c r="A12" s="975"/>
      <c r="B12" s="975"/>
      <c r="C12" s="975"/>
      <c r="D12" s="975"/>
      <c r="E12" s="975"/>
      <c r="F12" s="975"/>
      <c r="G12" s="975"/>
      <c r="H12" s="975"/>
      <c r="I12" s="975"/>
      <c r="J12" s="975"/>
      <c r="K12" s="975"/>
      <c r="L12" s="975"/>
      <c r="M12" s="975"/>
      <c r="N12" s="975"/>
      <c r="O12" s="975"/>
      <c r="P12" s="975"/>
      <c r="Q12" s="975"/>
      <c r="R12" s="975"/>
    </row>
    <row r="13" ht="13.5" customHeight="1">
      <c r="A13" s="975"/>
      <c r="B13" s="975"/>
      <c r="C13" s="975"/>
      <c r="D13" s="975"/>
      <c r="E13" s="975"/>
      <c r="F13" s="975"/>
      <c r="G13" s="975"/>
      <c r="H13" s="975"/>
      <c r="I13" s="975"/>
      <c r="J13" s="975"/>
      <c r="K13" s="975"/>
      <c r="L13" s="975"/>
      <c r="M13" s="975"/>
      <c r="N13" s="975"/>
      <c r="O13" s="975"/>
      <c r="P13" s="975"/>
      <c r="Q13" s="975"/>
      <c r="R13" s="975"/>
    </row>
    <row r="14" ht="13.5" customHeight="1">
      <c r="A14" s="976" t="s">
        <v>13606</v>
      </c>
      <c r="J14" s="976" t="s">
        <v>13606</v>
      </c>
    </row>
    <row r="15" ht="13.5" customHeight="1"/>
    <row r="16" ht="13.5" customHeight="1">
      <c r="A16" s="977" t="s">
        <v>13607</v>
      </c>
      <c r="J16" s="977" t="s">
        <v>13607</v>
      </c>
    </row>
    <row r="17" ht="13.5" customHeight="1"/>
    <row r="18" ht="13.5" customHeight="1">
      <c r="A18" s="975"/>
      <c r="B18" s="975"/>
      <c r="C18" s="975"/>
      <c r="D18" s="975"/>
      <c r="E18" s="975"/>
      <c r="F18" s="975"/>
      <c r="G18" s="975"/>
      <c r="H18" s="975"/>
      <c r="I18" s="975"/>
    </row>
    <row r="19" ht="13.5" customHeight="1">
      <c r="A19" s="974" t="s">
        <v>13605</v>
      </c>
      <c r="J19" s="974" t="s">
        <v>13605</v>
      </c>
    </row>
    <row r="20" ht="13.5" customHeight="1"/>
    <row r="21" ht="13.5" customHeight="1">
      <c r="A21" s="975"/>
      <c r="B21" s="975"/>
      <c r="C21" s="975"/>
      <c r="D21" s="975"/>
      <c r="E21" s="975"/>
      <c r="F21" s="975"/>
      <c r="G21" s="975"/>
      <c r="H21" s="975"/>
      <c r="I21" s="975"/>
      <c r="J21" s="975"/>
      <c r="K21" s="975"/>
      <c r="L21" s="975"/>
      <c r="M21" s="975"/>
      <c r="N21" s="975"/>
      <c r="O21" s="975"/>
      <c r="P21" s="975"/>
      <c r="Q21" s="975"/>
      <c r="R21" s="975"/>
    </row>
    <row r="22" ht="13.5" customHeight="1">
      <c r="A22" s="975"/>
      <c r="B22" s="975"/>
      <c r="C22" s="975"/>
      <c r="D22" s="975"/>
      <c r="E22" s="975"/>
      <c r="F22" s="975"/>
      <c r="G22" s="975"/>
      <c r="H22" s="975"/>
      <c r="I22" s="975"/>
      <c r="J22" s="975"/>
      <c r="K22" s="975"/>
      <c r="L22" s="975"/>
      <c r="M22" s="975"/>
      <c r="N22" s="975"/>
      <c r="O22" s="975"/>
      <c r="P22" s="975"/>
      <c r="Q22" s="975"/>
      <c r="R22" s="975"/>
    </row>
    <row r="23" ht="13.5" customHeight="1">
      <c r="A23" s="975"/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975"/>
    </row>
    <row r="24" ht="13.5" customHeight="1">
      <c r="A24" s="975"/>
      <c r="B24" s="975"/>
      <c r="C24" s="975"/>
      <c r="D24" s="975"/>
      <c r="E24" s="975"/>
      <c r="F24" s="975"/>
      <c r="G24" s="975"/>
      <c r="H24" s="975"/>
      <c r="I24" s="975"/>
      <c r="J24" s="975"/>
      <c r="K24" s="975"/>
      <c r="L24" s="975"/>
      <c r="M24" s="975"/>
      <c r="N24" s="975"/>
      <c r="O24" s="975"/>
      <c r="P24" s="975"/>
      <c r="Q24" s="975"/>
      <c r="R24" s="975"/>
    </row>
    <row r="25" ht="13.5" customHeight="1">
      <c r="A25" s="975"/>
      <c r="B25" s="975"/>
      <c r="C25" s="975"/>
      <c r="D25" s="975"/>
      <c r="E25" s="975"/>
      <c r="F25" s="975"/>
      <c r="G25" s="975"/>
      <c r="H25" s="975"/>
      <c r="I25" s="975"/>
      <c r="J25" s="975"/>
      <c r="K25" s="975"/>
      <c r="L25" s="975"/>
      <c r="M25" s="975"/>
      <c r="N25" s="975"/>
      <c r="O25" s="975"/>
      <c r="P25" s="975"/>
      <c r="Q25" s="975"/>
      <c r="R25" s="975"/>
    </row>
    <row r="26" ht="13.5" customHeight="1">
      <c r="A26" s="975"/>
      <c r="B26" s="975"/>
      <c r="C26" s="975"/>
      <c r="D26" s="975"/>
      <c r="E26" s="975"/>
      <c r="F26" s="975"/>
      <c r="G26" s="975"/>
      <c r="H26" s="975"/>
      <c r="I26" s="975"/>
      <c r="J26" s="975"/>
      <c r="K26" s="975"/>
      <c r="L26" s="975"/>
      <c r="M26" s="975"/>
      <c r="N26" s="975"/>
      <c r="O26" s="975"/>
      <c r="P26" s="975"/>
      <c r="Q26" s="975"/>
      <c r="R26" s="975"/>
    </row>
    <row r="27" ht="13.5" customHeight="1">
      <c r="A27" s="975"/>
      <c r="B27" s="975"/>
      <c r="C27" s="975"/>
      <c r="D27" s="975"/>
      <c r="E27" s="975"/>
      <c r="F27" s="975"/>
      <c r="G27" s="975"/>
      <c r="H27" s="975"/>
      <c r="I27" s="975"/>
      <c r="J27" s="975"/>
      <c r="K27" s="975"/>
      <c r="L27" s="975"/>
      <c r="M27" s="975"/>
      <c r="N27" s="975"/>
      <c r="O27" s="975"/>
      <c r="P27" s="975"/>
      <c r="Q27" s="975"/>
      <c r="R27" s="975"/>
    </row>
    <row r="28" ht="13.5" customHeight="1">
      <c r="A28" s="975"/>
      <c r="B28" s="975"/>
      <c r="C28" s="975"/>
      <c r="D28" s="975"/>
      <c r="E28" s="975"/>
      <c r="F28" s="975"/>
      <c r="G28" s="975"/>
      <c r="H28" s="975"/>
      <c r="I28" s="975"/>
      <c r="J28" s="975"/>
      <c r="K28" s="975"/>
      <c r="L28" s="975"/>
      <c r="M28" s="975"/>
      <c r="N28" s="975"/>
      <c r="O28" s="975"/>
      <c r="P28" s="975"/>
      <c r="Q28" s="975"/>
      <c r="R28" s="975"/>
    </row>
    <row r="29" ht="13.5" customHeight="1">
      <c r="A29" s="975"/>
      <c r="B29" s="975"/>
      <c r="C29" s="975"/>
      <c r="D29" s="975"/>
      <c r="E29" s="975"/>
      <c r="F29" s="975"/>
      <c r="G29" s="975"/>
      <c r="H29" s="975"/>
      <c r="I29" s="975"/>
      <c r="J29" s="975"/>
      <c r="K29" s="975"/>
      <c r="L29" s="975"/>
      <c r="M29" s="975"/>
      <c r="N29" s="975"/>
      <c r="O29" s="975"/>
      <c r="P29" s="975"/>
      <c r="Q29" s="975"/>
      <c r="R29" s="975"/>
    </row>
    <row r="30" ht="13.5" customHeight="1">
      <c r="A30" s="975"/>
      <c r="B30" s="975"/>
      <c r="C30" s="975"/>
      <c r="D30" s="975"/>
      <c r="E30" s="975"/>
      <c r="F30" s="975"/>
      <c r="G30" s="975"/>
      <c r="H30" s="975"/>
      <c r="I30" s="975"/>
      <c r="J30" s="975"/>
      <c r="K30" s="975"/>
      <c r="L30" s="975"/>
      <c r="M30" s="975"/>
      <c r="N30" s="975"/>
      <c r="O30" s="975"/>
      <c r="P30" s="975"/>
      <c r="Q30" s="975"/>
      <c r="R30" s="975"/>
    </row>
    <row r="31" ht="13.5" customHeight="1">
      <c r="A31" s="975"/>
      <c r="B31" s="975"/>
      <c r="C31" s="975"/>
      <c r="D31" s="975"/>
      <c r="E31" s="975"/>
      <c r="F31" s="975"/>
      <c r="G31" s="975"/>
      <c r="H31" s="975"/>
      <c r="I31" s="975"/>
      <c r="J31" s="975"/>
      <c r="K31" s="975"/>
      <c r="L31" s="975"/>
      <c r="M31" s="975"/>
      <c r="N31" s="975"/>
      <c r="O31" s="975"/>
      <c r="P31" s="975"/>
      <c r="Q31" s="975"/>
      <c r="R31" s="975"/>
    </row>
    <row r="32" ht="13.5" customHeight="1">
      <c r="A32" s="976" t="s">
        <v>13606</v>
      </c>
      <c r="J32" s="976" t="s">
        <v>13606</v>
      </c>
    </row>
    <row r="33" ht="13.5" customHeight="1"/>
    <row r="34" ht="13.5" customHeight="1">
      <c r="A34" s="977" t="s">
        <v>13607</v>
      </c>
      <c r="J34" s="977" t="s">
        <v>13607</v>
      </c>
    </row>
    <row r="35" ht="13.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</sheetData>
  <mergeCells count="12">
    <mergeCell ref="A19:I20"/>
    <mergeCell ref="A32:I33"/>
    <mergeCell ref="J32:R33"/>
    <mergeCell ref="A34:I35"/>
    <mergeCell ref="J34:R35"/>
    <mergeCell ref="A1:I2"/>
    <mergeCell ref="J1:R2"/>
    <mergeCell ref="A14:I15"/>
    <mergeCell ref="J14:R15"/>
    <mergeCell ref="A16:I17"/>
    <mergeCell ref="J16:R17"/>
    <mergeCell ref="J19:R20"/>
  </mergeCells>
  <printOptions/>
  <pageMargins bottom="0.75" footer="0.0" header="0.0" left="0.25" right="0.25" top="0.75"/>
  <pageSetup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0"/>
    <col customWidth="1" min="3" max="3" width="36.0"/>
  </cols>
  <sheetData>
    <row r="1">
      <c r="A1" s="978" t="s">
        <v>2902</v>
      </c>
      <c r="B1" s="978" t="s">
        <v>13608</v>
      </c>
      <c r="C1" s="978" t="s">
        <v>13609</v>
      </c>
      <c r="D1" s="978" t="s">
        <v>11466</v>
      </c>
      <c r="E1" s="979" t="s">
        <v>12146</v>
      </c>
      <c r="F1" s="686" t="s">
        <v>3671</v>
      </c>
      <c r="G1" s="686" t="s">
        <v>4544</v>
      </c>
      <c r="H1" s="686"/>
      <c r="I1" s="980">
        <v>3.69153862E8</v>
      </c>
      <c r="J1" s="981">
        <f>I1-sum(I2:I131)</f>
        <v>270660587</v>
      </c>
      <c r="K1" s="980">
        <f>sum(I2:I131)</f>
        <v>98493275</v>
      </c>
    </row>
    <row r="2" hidden="1">
      <c r="A2" s="982" t="s">
        <v>2562</v>
      </c>
      <c r="B2" s="983">
        <v>10.0</v>
      </c>
      <c r="C2" s="984">
        <f>IFERROR(VLOOKUP(A2,stockKJD,9,FALSE)," ")</f>
        <v>3</v>
      </c>
      <c r="D2" s="985" t="s">
        <v>13610</v>
      </c>
      <c r="E2" s="985"/>
      <c r="F2" s="686" t="s">
        <v>11527</v>
      </c>
      <c r="G2" s="686"/>
      <c r="H2" s="686"/>
      <c r="I2" s="980">
        <f t="shared" ref="I2:I131" si="1">E2*H2</f>
        <v>0</v>
      </c>
      <c r="J2" s="686"/>
      <c r="K2" s="686"/>
    </row>
    <row r="3" hidden="1">
      <c r="A3" s="982" t="s">
        <v>3099</v>
      </c>
      <c r="B3" s="983">
        <v>10.0</v>
      </c>
      <c r="C3" s="984">
        <f>IFERROR(VLOOKUP(A3,stockKJD,9,FALSE)," ")</f>
        <v>1</v>
      </c>
      <c r="D3" s="985" t="s">
        <v>13610</v>
      </c>
      <c r="E3" s="985"/>
      <c r="F3" s="686" t="s">
        <v>13611</v>
      </c>
      <c r="G3" s="686"/>
      <c r="H3" s="986"/>
      <c r="I3" s="980">
        <f t="shared" si="1"/>
        <v>0</v>
      </c>
      <c r="J3" s="686"/>
      <c r="K3" s="686"/>
    </row>
    <row r="4" hidden="1">
      <c r="A4" s="982" t="s">
        <v>2565</v>
      </c>
      <c r="B4" s="983">
        <v>10.0</v>
      </c>
      <c r="C4" s="984">
        <f>IFERROR(VLOOKUP(A4,stockKJD,9,FALSE)," ")</f>
        <v>3</v>
      </c>
      <c r="D4" s="985" t="s">
        <v>13610</v>
      </c>
      <c r="E4" s="985"/>
      <c r="F4" s="686" t="s">
        <v>11527</v>
      </c>
      <c r="G4" s="686"/>
      <c r="H4" s="986"/>
      <c r="I4" s="980">
        <f t="shared" si="1"/>
        <v>0</v>
      </c>
      <c r="J4" s="686"/>
      <c r="K4" s="686"/>
    </row>
    <row r="5" hidden="1">
      <c r="A5" s="982" t="s">
        <v>3817</v>
      </c>
      <c r="B5" s="983">
        <v>10.0</v>
      </c>
      <c r="C5" s="984">
        <f>IFERROR(VLOOKUP(A5,stockKJD,9,FALSE)," ")</f>
        <v>0</v>
      </c>
      <c r="D5" s="985" t="s">
        <v>13610</v>
      </c>
      <c r="E5" s="985"/>
      <c r="F5" s="686"/>
      <c r="G5" s="686"/>
      <c r="H5" s="686"/>
      <c r="I5" s="980">
        <f t="shared" si="1"/>
        <v>0</v>
      </c>
      <c r="J5" s="686"/>
      <c r="K5" s="686"/>
    </row>
    <row r="6" hidden="1">
      <c r="A6" s="982" t="s">
        <v>3451</v>
      </c>
      <c r="B6" s="983">
        <v>10.0</v>
      </c>
      <c r="C6" s="984">
        <f>IFERROR(VLOOKUP(A6,stockKJD,9,FALSE)," ")</f>
        <v>5</v>
      </c>
      <c r="D6" s="985" t="s">
        <v>13610</v>
      </c>
      <c r="E6" s="985"/>
      <c r="F6" s="686"/>
      <c r="G6" s="686"/>
      <c r="H6" s="686"/>
      <c r="I6" s="980">
        <f t="shared" si="1"/>
        <v>0</v>
      </c>
      <c r="J6" s="686"/>
      <c r="K6" s="686"/>
    </row>
    <row r="7" hidden="1">
      <c r="A7" s="982" t="s">
        <v>2549</v>
      </c>
      <c r="B7" s="983">
        <v>10.0</v>
      </c>
      <c r="C7" s="984">
        <f>IFERROR(VLOOKUP(A7,stockKJD,9,FALSE)," ")</f>
        <v>5</v>
      </c>
      <c r="D7" s="985" t="s">
        <v>13610</v>
      </c>
      <c r="E7" s="985"/>
      <c r="F7" s="686" t="s">
        <v>13612</v>
      </c>
      <c r="G7" s="686"/>
      <c r="H7" s="686"/>
      <c r="I7" s="980">
        <f t="shared" si="1"/>
        <v>0</v>
      </c>
      <c r="J7" s="686"/>
      <c r="K7" s="686"/>
    </row>
    <row r="8" hidden="1">
      <c r="A8" s="982" t="s">
        <v>2926</v>
      </c>
      <c r="B8" s="983">
        <v>10.0</v>
      </c>
      <c r="C8" s="984">
        <f>IFERROR(VLOOKUP(A8,stockKJD,9,FALSE)," ")</f>
        <v>2</v>
      </c>
      <c r="D8" s="985" t="s">
        <v>13610</v>
      </c>
      <c r="E8" s="985"/>
      <c r="F8" s="686" t="s">
        <v>13613</v>
      </c>
      <c r="G8" s="686"/>
      <c r="H8" s="686"/>
      <c r="I8" s="980">
        <f t="shared" si="1"/>
        <v>0</v>
      </c>
      <c r="J8" s="686"/>
      <c r="K8" s="686"/>
    </row>
    <row r="9">
      <c r="A9" s="987" t="s">
        <v>2720</v>
      </c>
      <c r="B9" s="988">
        <v>10.0</v>
      </c>
      <c r="C9" s="989">
        <f>IFERROR(VLOOKUP(A9,stockKJD,9,FALSE)," ")</f>
        <v>1</v>
      </c>
      <c r="D9" s="990" t="s">
        <v>13614</v>
      </c>
      <c r="E9" s="989">
        <v>5.0</v>
      </c>
      <c r="F9" s="686"/>
      <c r="G9" s="686"/>
      <c r="H9" s="991">
        <v>488400.0</v>
      </c>
      <c r="I9" s="980">
        <f t="shared" si="1"/>
        <v>2442000</v>
      </c>
      <c r="J9" s="686"/>
      <c r="K9" s="686"/>
    </row>
    <row r="10">
      <c r="A10" s="987" t="s">
        <v>6734</v>
      </c>
      <c r="B10" s="988">
        <v>3.0</v>
      </c>
      <c r="C10" s="989" t="str">
        <f>IFERROR(VLOOKUP(A10,stockKJD,9,FALSE)," ")</f>
        <v> </v>
      </c>
      <c r="D10" s="990" t="s">
        <v>11466</v>
      </c>
      <c r="E10" s="989">
        <v>3.0</v>
      </c>
      <c r="F10" s="686"/>
      <c r="G10" s="686"/>
      <c r="H10" s="992">
        <v>273504.0</v>
      </c>
      <c r="I10" s="980">
        <f t="shared" si="1"/>
        <v>820512</v>
      </c>
      <c r="J10" s="686"/>
      <c r="K10" s="686"/>
    </row>
    <row r="11">
      <c r="A11" s="987" t="s">
        <v>6735</v>
      </c>
      <c r="B11" s="988">
        <v>2.0</v>
      </c>
      <c r="C11" s="989">
        <f>IFERROR(VLOOKUP(A11,stockKJD,9,FALSE)," ")</f>
        <v>0</v>
      </c>
      <c r="D11" s="990" t="s">
        <v>11466</v>
      </c>
      <c r="E11" s="989">
        <v>1.0</v>
      </c>
      <c r="F11" s="686"/>
      <c r="G11" s="686"/>
      <c r="H11" s="992">
        <v>273504.0</v>
      </c>
      <c r="I11" s="980">
        <f t="shared" si="1"/>
        <v>273504</v>
      </c>
      <c r="J11" s="686"/>
      <c r="K11" s="686"/>
    </row>
    <row r="12">
      <c r="A12" s="987" t="s">
        <v>6043</v>
      </c>
      <c r="B12" s="988">
        <v>5.0</v>
      </c>
      <c r="C12" s="989">
        <f>IFERROR(VLOOKUP(A12,stockKJD,9,FALSE)," ")</f>
        <v>1</v>
      </c>
      <c r="D12" s="990" t="s">
        <v>13614</v>
      </c>
      <c r="E12" s="989">
        <v>3.0</v>
      </c>
      <c r="F12" s="686"/>
      <c r="G12" s="686"/>
      <c r="H12" s="991">
        <v>472527.0</v>
      </c>
      <c r="I12" s="980">
        <f t="shared" si="1"/>
        <v>1417581</v>
      </c>
      <c r="J12" s="686"/>
      <c r="K12" s="686"/>
    </row>
    <row r="13" hidden="1">
      <c r="A13" s="982" t="s">
        <v>2637</v>
      </c>
      <c r="B13" s="983">
        <v>5.0</v>
      </c>
      <c r="C13" s="984">
        <f>IFERROR(VLOOKUP(A13,stockKJD,9,FALSE)," ")</f>
        <v>0</v>
      </c>
      <c r="D13" s="985" t="s">
        <v>13610</v>
      </c>
      <c r="E13" s="985"/>
      <c r="F13" s="686"/>
      <c r="G13" s="686"/>
      <c r="H13" s="986"/>
      <c r="I13" s="980">
        <f t="shared" si="1"/>
        <v>0</v>
      </c>
      <c r="J13" s="686"/>
      <c r="K13" s="686"/>
    </row>
    <row r="14">
      <c r="A14" s="987" t="s">
        <v>6544</v>
      </c>
      <c r="B14" s="988">
        <v>5.0</v>
      </c>
      <c r="C14" s="989">
        <f>IFERROR(VLOOKUP(A14,stockKJD,9,FALSE)," ")</f>
        <v>0</v>
      </c>
      <c r="D14" s="990" t="s">
        <v>13614</v>
      </c>
      <c r="E14" s="989">
        <v>3.0</v>
      </c>
      <c r="F14" s="686"/>
      <c r="G14" s="686"/>
      <c r="H14" s="991">
        <v>557997.0</v>
      </c>
      <c r="I14" s="980">
        <f t="shared" si="1"/>
        <v>1673991</v>
      </c>
      <c r="J14" s="686"/>
      <c r="K14" s="686"/>
    </row>
    <row r="15">
      <c r="A15" s="987" t="s">
        <v>3865</v>
      </c>
      <c r="B15" s="988">
        <v>5.0</v>
      </c>
      <c r="C15" s="989">
        <f>IFERROR(VLOOKUP(A15,stockKJD,9,FALSE)," ")</f>
        <v>0</v>
      </c>
      <c r="D15" s="990" t="s">
        <v>13610</v>
      </c>
      <c r="E15" s="989">
        <v>2.0</v>
      </c>
      <c r="F15" s="686"/>
      <c r="G15" s="686"/>
      <c r="H15" s="991">
        <v>570207.0</v>
      </c>
      <c r="I15" s="980">
        <f t="shared" si="1"/>
        <v>1140414</v>
      </c>
      <c r="J15" s="686"/>
      <c r="K15" s="686"/>
    </row>
    <row r="16">
      <c r="A16" s="987" t="s">
        <v>5546</v>
      </c>
      <c r="B16" s="988">
        <v>5.0</v>
      </c>
      <c r="C16" s="989">
        <f>IFERROR(VLOOKUP(A16,stockKJD,9,FALSE)," ")</f>
        <v>0</v>
      </c>
      <c r="D16" s="990" t="s">
        <v>13610</v>
      </c>
      <c r="E16" s="989">
        <v>2.0</v>
      </c>
      <c r="F16" s="686"/>
      <c r="G16" s="686"/>
      <c r="H16" s="991">
        <v>641025.0</v>
      </c>
      <c r="I16" s="980">
        <f t="shared" si="1"/>
        <v>1282050</v>
      </c>
      <c r="J16" s="686"/>
      <c r="K16" s="686"/>
    </row>
    <row r="17" hidden="1">
      <c r="A17" s="982" t="s">
        <v>3391</v>
      </c>
      <c r="B17" s="983">
        <v>10.0</v>
      </c>
      <c r="C17" s="984">
        <f>IFERROR(VLOOKUP(A17,stockKJD,9,FALSE)," ")</f>
        <v>0</v>
      </c>
      <c r="D17" s="985" t="s">
        <v>13610</v>
      </c>
      <c r="E17" s="985"/>
      <c r="F17" s="686"/>
      <c r="G17" s="686"/>
      <c r="H17" s="986"/>
      <c r="I17" s="980">
        <f t="shared" si="1"/>
        <v>0</v>
      </c>
      <c r="J17" s="686"/>
      <c r="K17" s="686"/>
    </row>
    <row r="18" hidden="1">
      <c r="A18" s="982" t="s">
        <v>3622</v>
      </c>
      <c r="B18" s="983">
        <v>10.0</v>
      </c>
      <c r="C18" s="984">
        <f>IFERROR(VLOOKUP(A18,stockKJD,9,FALSE)," ")</f>
        <v>0</v>
      </c>
      <c r="D18" s="985" t="s">
        <v>13610</v>
      </c>
      <c r="E18" s="985"/>
      <c r="F18" s="686"/>
      <c r="G18" s="686"/>
      <c r="H18" s="986"/>
      <c r="I18" s="980">
        <f t="shared" si="1"/>
        <v>0</v>
      </c>
      <c r="J18" s="686"/>
      <c r="K18" s="686"/>
    </row>
    <row r="19" hidden="1">
      <c r="A19" s="982" t="s">
        <v>3118</v>
      </c>
      <c r="B19" s="983">
        <v>10.0</v>
      </c>
      <c r="C19" s="984">
        <f>IFERROR(VLOOKUP(A19,stockKJD,9,FALSE)," ")</f>
        <v>0</v>
      </c>
      <c r="D19" s="985" t="s">
        <v>13610</v>
      </c>
      <c r="E19" s="985"/>
      <c r="F19" s="686"/>
      <c r="G19" s="686"/>
      <c r="H19" s="986"/>
      <c r="I19" s="980">
        <f t="shared" si="1"/>
        <v>0</v>
      </c>
      <c r="J19" s="686"/>
      <c r="K19" s="686"/>
    </row>
    <row r="20" hidden="1">
      <c r="A20" s="982" t="s">
        <v>3176</v>
      </c>
      <c r="B20" s="983">
        <v>20.0</v>
      </c>
      <c r="C20" s="984">
        <f>IFERROR(VLOOKUP(A20,stockKJD,9,FALSE)," ")</f>
        <v>9</v>
      </c>
      <c r="D20" s="985" t="s">
        <v>13610</v>
      </c>
      <c r="E20" s="985"/>
      <c r="F20" s="686"/>
      <c r="G20" s="686"/>
      <c r="H20" s="986"/>
      <c r="I20" s="980">
        <f t="shared" si="1"/>
        <v>0</v>
      </c>
      <c r="J20" s="686"/>
      <c r="K20" s="686"/>
    </row>
    <row r="21">
      <c r="A21" s="987" t="s">
        <v>3127</v>
      </c>
      <c r="B21" s="988">
        <v>20.0</v>
      </c>
      <c r="C21" s="989">
        <f>IFERROR(VLOOKUP(A21,stockKJD,9,FALSE)," ")</f>
        <v>2</v>
      </c>
      <c r="D21" s="990" t="s">
        <v>11466</v>
      </c>
      <c r="E21" s="989">
        <v>10.0</v>
      </c>
      <c r="F21" s="686"/>
      <c r="G21" s="686"/>
      <c r="H21" s="992">
        <v>327305.0</v>
      </c>
      <c r="I21" s="980">
        <f t="shared" si="1"/>
        <v>3273050</v>
      </c>
      <c r="J21" s="686"/>
      <c r="K21" s="686"/>
    </row>
    <row r="22" hidden="1">
      <c r="A22" s="982" t="s">
        <v>4608</v>
      </c>
      <c r="B22" s="983">
        <v>5.0</v>
      </c>
      <c r="C22" s="984">
        <f>IFERROR(VLOOKUP(A22,stockKJD,9,FALSE)," ")</f>
        <v>2</v>
      </c>
      <c r="D22" s="985" t="s">
        <v>13610</v>
      </c>
      <c r="E22" s="985"/>
      <c r="F22" s="686"/>
      <c r="G22" s="686"/>
      <c r="H22" s="986"/>
      <c r="I22" s="980">
        <f t="shared" si="1"/>
        <v>0</v>
      </c>
      <c r="J22" s="686"/>
      <c r="K22" s="686"/>
    </row>
    <row r="23" hidden="1">
      <c r="A23" s="982" t="s">
        <v>3543</v>
      </c>
      <c r="B23" s="983">
        <v>10.0</v>
      </c>
      <c r="C23" s="984">
        <f>IFERROR(VLOOKUP(A23,stockKJD,9,FALSE)," ")</f>
        <v>5</v>
      </c>
      <c r="D23" s="985" t="s">
        <v>13610</v>
      </c>
      <c r="E23" s="985"/>
      <c r="F23" s="686"/>
      <c r="G23" s="686"/>
      <c r="H23" s="986"/>
      <c r="I23" s="980">
        <f t="shared" si="1"/>
        <v>0</v>
      </c>
      <c r="J23" s="686"/>
      <c r="K23" s="686"/>
    </row>
    <row r="24" hidden="1">
      <c r="A24" s="982" t="s">
        <v>6736</v>
      </c>
      <c r="B24" s="983">
        <v>5.0</v>
      </c>
      <c r="C24" s="984">
        <f>IFERROR(VLOOKUP(A24,stockKJD,9,FALSE)," ")</f>
        <v>0</v>
      </c>
      <c r="D24" s="985" t="s">
        <v>13610</v>
      </c>
      <c r="E24" s="985"/>
      <c r="F24" s="686"/>
      <c r="G24" s="686"/>
      <c r="H24" s="986"/>
      <c r="I24" s="980">
        <f t="shared" si="1"/>
        <v>0</v>
      </c>
      <c r="J24" s="686"/>
      <c r="K24" s="686"/>
    </row>
    <row r="25" hidden="1">
      <c r="A25" s="982" t="s">
        <v>6737</v>
      </c>
      <c r="B25" s="983">
        <v>5.0</v>
      </c>
      <c r="C25" s="984">
        <f>IFERROR(VLOOKUP(A25,stockKJD,9,FALSE)," ")</f>
        <v>0</v>
      </c>
      <c r="D25" s="985" t="s">
        <v>13610</v>
      </c>
      <c r="E25" s="985"/>
      <c r="F25" s="686"/>
      <c r="G25" s="686"/>
      <c r="H25" s="986"/>
      <c r="I25" s="980">
        <f t="shared" si="1"/>
        <v>0</v>
      </c>
      <c r="J25" s="686"/>
      <c r="K25" s="686"/>
    </row>
    <row r="26" hidden="1">
      <c r="A26" s="982" t="s">
        <v>3934</v>
      </c>
      <c r="B26" s="983">
        <v>5.0</v>
      </c>
      <c r="C26" s="984">
        <f>IFERROR(VLOOKUP(A26,stockKJD,9,FALSE)," ")</f>
        <v>5</v>
      </c>
      <c r="D26" s="985" t="s">
        <v>13610</v>
      </c>
      <c r="E26" s="985"/>
      <c r="F26" s="686"/>
      <c r="G26" s="686"/>
      <c r="H26" s="986"/>
      <c r="I26" s="980">
        <f t="shared" si="1"/>
        <v>0</v>
      </c>
      <c r="J26" s="686"/>
      <c r="K26" s="686"/>
    </row>
    <row r="27" hidden="1">
      <c r="A27" s="982" t="s">
        <v>3382</v>
      </c>
      <c r="B27" s="983">
        <v>5.0</v>
      </c>
      <c r="C27" s="984">
        <f>IFERROR(VLOOKUP(A27,stockKJD,9,FALSE)," ")</f>
        <v>2</v>
      </c>
      <c r="D27" s="985" t="s">
        <v>13610</v>
      </c>
      <c r="E27" s="985"/>
      <c r="F27" s="686"/>
      <c r="G27" s="686"/>
      <c r="H27" s="986"/>
      <c r="I27" s="980">
        <f t="shared" si="1"/>
        <v>0</v>
      </c>
      <c r="J27" s="686"/>
      <c r="K27" s="686"/>
    </row>
    <row r="28">
      <c r="A28" s="987" t="s">
        <v>2753</v>
      </c>
      <c r="B28" s="988">
        <v>5.0</v>
      </c>
      <c r="C28" s="989">
        <f>IFERROR(VLOOKUP(A28,stockKJD,9,FALSE)," ")</f>
        <v>5</v>
      </c>
      <c r="D28" s="990" t="s">
        <v>13614</v>
      </c>
      <c r="E28" s="989">
        <v>2.0</v>
      </c>
      <c r="F28" s="686"/>
      <c r="G28" s="686"/>
      <c r="H28" s="991">
        <v>300000.0</v>
      </c>
      <c r="I28" s="980">
        <f t="shared" si="1"/>
        <v>600000</v>
      </c>
      <c r="J28" s="686"/>
      <c r="K28" s="686"/>
    </row>
    <row r="29" hidden="1">
      <c r="A29" s="982" t="s">
        <v>4901</v>
      </c>
      <c r="B29" s="983">
        <v>5.0</v>
      </c>
      <c r="C29" s="984">
        <f>IFERROR(VLOOKUP(A29,stockKJD,9,FALSE)," ")</f>
        <v>2</v>
      </c>
      <c r="D29" s="985" t="s">
        <v>13610</v>
      </c>
      <c r="E29" s="985"/>
      <c r="F29" s="686"/>
      <c r="G29" s="686"/>
      <c r="H29" s="986"/>
      <c r="I29" s="980">
        <f t="shared" si="1"/>
        <v>0</v>
      </c>
      <c r="J29" s="686"/>
      <c r="K29" s="686"/>
    </row>
    <row r="30" hidden="1">
      <c r="A30" s="982" t="s">
        <v>4386</v>
      </c>
      <c r="B30" s="983">
        <v>5.0</v>
      </c>
      <c r="C30" s="984">
        <f>IFERROR(VLOOKUP(A30,stockKJD,9,FALSE)," ")</f>
        <v>7</v>
      </c>
      <c r="D30" s="985" t="s">
        <v>13610</v>
      </c>
      <c r="E30" s="985"/>
      <c r="F30" s="686"/>
      <c r="G30" s="686"/>
      <c r="H30" s="986"/>
      <c r="I30" s="980">
        <f t="shared" si="1"/>
        <v>0</v>
      </c>
      <c r="J30" s="686"/>
      <c r="K30" s="686"/>
    </row>
    <row r="31" hidden="1">
      <c r="A31" s="982" t="s">
        <v>3564</v>
      </c>
      <c r="B31" s="983">
        <v>5.0</v>
      </c>
      <c r="C31" s="984">
        <f>IFERROR(VLOOKUP(A31,stockKJD,9,FALSE)," ")</f>
        <v>6</v>
      </c>
      <c r="D31" s="985" t="s">
        <v>13610</v>
      </c>
      <c r="E31" s="985"/>
      <c r="F31" s="686" t="s">
        <v>13615</v>
      </c>
      <c r="G31" s="686"/>
      <c r="H31" s="986"/>
      <c r="I31" s="980">
        <f t="shared" si="1"/>
        <v>0</v>
      </c>
      <c r="J31" s="686"/>
      <c r="K31" s="686"/>
    </row>
    <row r="32" hidden="1">
      <c r="A32" s="982" t="s">
        <v>2936</v>
      </c>
      <c r="B32" s="983">
        <v>20.0</v>
      </c>
      <c r="C32" s="984">
        <f>IFERROR(VLOOKUP(A32,stockKJD,9,FALSE)," ")</f>
        <v>4</v>
      </c>
      <c r="D32" s="985" t="s">
        <v>13610</v>
      </c>
      <c r="E32" s="985"/>
      <c r="F32" s="686"/>
      <c r="G32" s="686"/>
      <c r="H32" s="686"/>
      <c r="I32" s="980">
        <f t="shared" si="1"/>
        <v>0</v>
      </c>
      <c r="J32" s="686"/>
      <c r="K32" s="686"/>
    </row>
    <row r="33" hidden="1">
      <c r="A33" s="982" t="s">
        <v>6797</v>
      </c>
      <c r="B33" s="983">
        <v>5.0</v>
      </c>
      <c r="C33" s="984">
        <f>IFERROR(VLOOKUP(A33,stockKJD,9,FALSE)," ")</f>
        <v>3</v>
      </c>
      <c r="D33" s="985" t="s">
        <v>13610</v>
      </c>
      <c r="E33" s="985"/>
      <c r="F33" s="686"/>
      <c r="G33" s="686"/>
      <c r="H33" s="986"/>
      <c r="I33" s="980">
        <f t="shared" si="1"/>
        <v>0</v>
      </c>
      <c r="J33" s="686"/>
      <c r="K33" s="686"/>
    </row>
    <row r="34">
      <c r="A34" s="987" t="s">
        <v>6738</v>
      </c>
      <c r="B34" s="988">
        <v>2.0</v>
      </c>
      <c r="C34" s="989">
        <f>IFERROR(VLOOKUP(A34,stockKJD,9,FALSE)," ")</f>
        <v>1</v>
      </c>
      <c r="D34" s="990" t="s">
        <v>11466</v>
      </c>
      <c r="E34" s="989">
        <f>C34</f>
        <v>1</v>
      </c>
      <c r="F34" s="686"/>
      <c r="G34" s="686"/>
      <c r="H34" s="992">
        <v>589600.0</v>
      </c>
      <c r="I34" s="980">
        <f t="shared" si="1"/>
        <v>589600</v>
      </c>
      <c r="J34" s="686"/>
      <c r="K34" s="686"/>
    </row>
    <row r="35">
      <c r="A35" s="987" t="s">
        <v>4782</v>
      </c>
      <c r="B35" s="988">
        <v>2.0</v>
      </c>
      <c r="C35" s="989">
        <f>IFERROR(VLOOKUP(A35,stockKJD,9,FALSE)," ")</f>
        <v>1</v>
      </c>
      <c r="D35" s="990" t="s">
        <v>11466</v>
      </c>
      <c r="E35" s="989">
        <v>2.0</v>
      </c>
      <c r="F35" s="686"/>
      <c r="G35" s="686"/>
      <c r="H35" s="992">
        <v>531300.0</v>
      </c>
      <c r="I35" s="980">
        <f t="shared" si="1"/>
        <v>1062600</v>
      </c>
      <c r="J35" s="686"/>
      <c r="K35" s="686"/>
    </row>
    <row r="36">
      <c r="A36" s="987" t="s">
        <v>4183</v>
      </c>
      <c r="B36" s="988">
        <v>2.0</v>
      </c>
      <c r="C36" s="989">
        <f>IFERROR(VLOOKUP(A36,stockKJD,9,FALSE)," ")</f>
        <v>3</v>
      </c>
      <c r="D36" s="990" t="s">
        <v>11466</v>
      </c>
      <c r="E36" s="989">
        <v>2.0</v>
      </c>
      <c r="F36" s="686"/>
      <c r="G36" s="686"/>
      <c r="H36" s="992">
        <v>363000.0</v>
      </c>
      <c r="I36" s="980">
        <f t="shared" si="1"/>
        <v>726000</v>
      </c>
      <c r="J36" s="686"/>
      <c r="K36" s="686"/>
    </row>
    <row r="37">
      <c r="A37" s="987" t="s">
        <v>3638</v>
      </c>
      <c r="B37" s="988">
        <v>2.0</v>
      </c>
      <c r="C37" s="989">
        <f>IFERROR(VLOOKUP(A37,stockKJD,9,FALSE)," ")</f>
        <v>1</v>
      </c>
      <c r="D37" s="990" t="s">
        <v>11466</v>
      </c>
      <c r="E37" s="989">
        <f>C37</f>
        <v>1</v>
      </c>
      <c r="F37" s="686"/>
      <c r="G37" s="686"/>
      <c r="H37" s="992">
        <v>321255.0</v>
      </c>
      <c r="I37" s="980">
        <f t="shared" si="1"/>
        <v>321255</v>
      </c>
      <c r="J37" s="686"/>
      <c r="K37" s="686"/>
    </row>
    <row r="38">
      <c r="A38" s="987" t="s">
        <v>3877</v>
      </c>
      <c r="B38" s="988">
        <v>2.0</v>
      </c>
      <c r="C38" s="989">
        <f>IFERROR(VLOOKUP(A38,stockKJD,9,FALSE)," ")</f>
        <v>2</v>
      </c>
      <c r="D38" s="990" t="s">
        <v>11466</v>
      </c>
      <c r="E38" s="989">
        <v>1.0</v>
      </c>
      <c r="F38" s="686"/>
      <c r="G38" s="686"/>
      <c r="H38" s="992">
        <v>566500.0</v>
      </c>
      <c r="I38" s="980">
        <f t="shared" si="1"/>
        <v>566500</v>
      </c>
      <c r="J38" s="686"/>
      <c r="K38" s="686"/>
    </row>
    <row r="39">
      <c r="A39" s="987" t="s">
        <v>6739</v>
      </c>
      <c r="B39" s="988">
        <v>2.0</v>
      </c>
      <c r="C39" s="989">
        <f>IFERROR(VLOOKUP(A39,stockKJD,9,FALSE)," ")</f>
        <v>0</v>
      </c>
      <c r="D39" s="990" t="s">
        <v>11466</v>
      </c>
      <c r="E39" s="989">
        <f>C39</f>
        <v>0</v>
      </c>
      <c r="F39" s="686"/>
      <c r="G39" s="686"/>
      <c r="H39" s="992">
        <v>566500.0</v>
      </c>
      <c r="I39" s="980">
        <f t="shared" si="1"/>
        <v>0</v>
      </c>
      <c r="J39" s="686"/>
      <c r="K39" s="686"/>
    </row>
    <row r="40">
      <c r="A40" s="987" t="s">
        <v>2744</v>
      </c>
      <c r="B40" s="988">
        <v>2.0</v>
      </c>
      <c r="C40" s="989">
        <f>IFERROR(VLOOKUP(A40,stockKJD,9,FALSE)," ")</f>
        <v>2</v>
      </c>
      <c r="D40" s="990" t="s">
        <v>11466</v>
      </c>
      <c r="E40" s="989">
        <v>1.0</v>
      </c>
      <c r="F40" s="686"/>
      <c r="G40" s="686" t="s">
        <v>13616</v>
      </c>
      <c r="H40" s="992">
        <v>863500.0</v>
      </c>
      <c r="I40" s="980">
        <f t="shared" si="1"/>
        <v>863500</v>
      </c>
      <c r="J40" s="686"/>
      <c r="K40" s="686"/>
    </row>
    <row r="41">
      <c r="A41" s="987" t="s">
        <v>3031</v>
      </c>
      <c r="B41" s="988">
        <v>2.0</v>
      </c>
      <c r="C41" s="989">
        <f>IFERROR(VLOOKUP(A41,stockKJD,9,FALSE)," ")</f>
        <v>1</v>
      </c>
      <c r="D41" s="990" t="s">
        <v>11466</v>
      </c>
      <c r="E41" s="989">
        <v>1.0</v>
      </c>
      <c r="F41" s="686"/>
      <c r="G41" s="686"/>
      <c r="H41" s="992">
        <v>769560.0</v>
      </c>
      <c r="I41" s="980">
        <f t="shared" si="1"/>
        <v>769560</v>
      </c>
      <c r="J41" s="686"/>
      <c r="K41" s="686"/>
    </row>
    <row r="42">
      <c r="A42" s="987" t="s">
        <v>6740</v>
      </c>
      <c r="B42" s="988">
        <v>2.0</v>
      </c>
      <c r="C42" s="989">
        <f>IFERROR(VLOOKUP(A42,stockKJD,9,FALSE)," ")</f>
        <v>1</v>
      </c>
      <c r="D42" s="990" t="s">
        <v>11466</v>
      </c>
      <c r="E42" s="989">
        <f t="shared" ref="E42:E43" si="2">C42</f>
        <v>1</v>
      </c>
      <c r="F42" s="686"/>
      <c r="G42" s="686"/>
      <c r="H42" s="992">
        <v>654500.0</v>
      </c>
      <c r="I42" s="980">
        <f t="shared" si="1"/>
        <v>654500</v>
      </c>
      <c r="J42" s="686"/>
      <c r="K42" s="686"/>
    </row>
    <row r="43">
      <c r="A43" s="987" t="s">
        <v>6319</v>
      </c>
      <c r="B43" s="988">
        <v>2.0</v>
      </c>
      <c r="C43" s="989">
        <f>IFERROR(VLOOKUP(A43,stockKJD,9,FALSE)," ")</f>
        <v>1</v>
      </c>
      <c r="D43" s="990" t="s">
        <v>11466</v>
      </c>
      <c r="E43" s="989">
        <f t="shared" si="2"/>
        <v>1</v>
      </c>
      <c r="F43" s="686"/>
      <c r="G43" s="686"/>
      <c r="H43" s="992">
        <v>676995.0</v>
      </c>
      <c r="I43" s="980">
        <f t="shared" si="1"/>
        <v>676995</v>
      </c>
      <c r="J43" s="686"/>
      <c r="K43" s="686"/>
    </row>
    <row r="44" hidden="1">
      <c r="A44" s="982" t="s">
        <v>5493</v>
      </c>
      <c r="B44" s="983">
        <v>5.0</v>
      </c>
      <c r="C44" s="984">
        <f>IFERROR(VLOOKUP(A44,stockKJD,9,FALSE)," ")</f>
        <v>0</v>
      </c>
      <c r="D44" s="985" t="s">
        <v>13610</v>
      </c>
      <c r="E44" s="985"/>
      <c r="F44" s="686"/>
      <c r="G44" s="686"/>
      <c r="H44" s="686"/>
      <c r="I44" s="980">
        <f t="shared" si="1"/>
        <v>0</v>
      </c>
      <c r="J44" s="686"/>
      <c r="K44" s="686"/>
    </row>
    <row r="45">
      <c r="A45" s="987" t="s">
        <v>3050</v>
      </c>
      <c r="B45" s="988">
        <v>2.0</v>
      </c>
      <c r="C45" s="989">
        <f>IFERROR(VLOOKUP(A45,stockKJD,9,FALSE)," ")</f>
        <v>1</v>
      </c>
      <c r="D45" s="990" t="s">
        <v>11466</v>
      </c>
      <c r="E45" s="989">
        <f t="shared" ref="E45:E46" si="3">C45</f>
        <v>1</v>
      </c>
      <c r="F45" s="686"/>
      <c r="G45" s="686"/>
      <c r="H45" s="992">
        <v>315700.0</v>
      </c>
      <c r="I45" s="980">
        <f t="shared" si="1"/>
        <v>315700</v>
      </c>
      <c r="J45" s="686"/>
      <c r="K45" s="686"/>
    </row>
    <row r="46">
      <c r="A46" s="987" t="s">
        <v>5308</v>
      </c>
      <c r="B46" s="988">
        <v>2.0</v>
      </c>
      <c r="C46" s="989">
        <f>IFERROR(VLOOKUP(A46,stockKJD,9,FALSE)," ")</f>
        <v>1</v>
      </c>
      <c r="D46" s="990" t="s">
        <v>11466</v>
      </c>
      <c r="E46" s="989">
        <f t="shared" si="3"/>
        <v>1</v>
      </c>
      <c r="F46" s="686"/>
      <c r="G46" s="686"/>
      <c r="H46" s="992">
        <v>572000.0</v>
      </c>
      <c r="I46" s="980">
        <f t="shared" si="1"/>
        <v>572000</v>
      </c>
      <c r="J46" s="686"/>
      <c r="K46" s="686"/>
    </row>
    <row r="47">
      <c r="A47" s="987" t="s">
        <v>3168</v>
      </c>
      <c r="B47" s="988">
        <v>2.0</v>
      </c>
      <c r="C47" s="989">
        <f>IFERROR(VLOOKUP(A47,stockKJD,9,FALSE)," ")</f>
        <v>1</v>
      </c>
      <c r="D47" s="990" t="s">
        <v>11466</v>
      </c>
      <c r="E47" s="989">
        <v>2.0</v>
      </c>
      <c r="F47" s="686"/>
      <c r="G47" s="686"/>
      <c r="H47" s="992">
        <v>420000.0</v>
      </c>
      <c r="I47" s="980">
        <f t="shared" si="1"/>
        <v>840000</v>
      </c>
      <c r="J47" s="686"/>
      <c r="K47" s="686"/>
    </row>
    <row r="48">
      <c r="A48" s="987" t="s">
        <v>3426</v>
      </c>
      <c r="B48" s="988">
        <v>2.0</v>
      </c>
      <c r="C48" s="989">
        <f>IFERROR(VLOOKUP(A48,stockKJD,9,FALSE)," ")</f>
        <v>2</v>
      </c>
      <c r="D48" s="990" t="s">
        <v>11466</v>
      </c>
      <c r="E48" s="989">
        <v>2.0</v>
      </c>
      <c r="F48" s="686"/>
      <c r="G48" s="686"/>
      <c r="H48" s="992">
        <v>361900.0</v>
      </c>
      <c r="I48" s="980">
        <f t="shared" si="1"/>
        <v>723800</v>
      </c>
      <c r="J48" s="686"/>
      <c r="K48" s="686"/>
    </row>
    <row r="49">
      <c r="A49" s="987" t="s">
        <v>3574</v>
      </c>
      <c r="B49" s="988">
        <v>2.0</v>
      </c>
      <c r="C49" s="989">
        <f>IFERROR(VLOOKUP(A49,stockKJD,9,FALSE)," ")</f>
        <v>2</v>
      </c>
      <c r="D49" s="990" t="s">
        <v>11466</v>
      </c>
      <c r="E49" s="989">
        <v>1.0</v>
      </c>
      <c r="F49" s="686"/>
      <c r="G49" s="686"/>
      <c r="H49" s="992">
        <v>385000.0</v>
      </c>
      <c r="I49" s="980">
        <f t="shared" si="1"/>
        <v>385000</v>
      </c>
      <c r="J49" s="686"/>
      <c r="K49" s="686"/>
    </row>
    <row r="50">
      <c r="A50" s="987" t="s">
        <v>3227</v>
      </c>
      <c r="B50" s="988">
        <v>2.0</v>
      </c>
      <c r="C50" s="989">
        <f>IFERROR(VLOOKUP(A50,stockKJD,9,FALSE)," ")</f>
        <v>1</v>
      </c>
      <c r="D50" s="990" t="s">
        <v>11466</v>
      </c>
      <c r="E50" s="989">
        <v>2.0</v>
      </c>
      <c r="F50" s="686"/>
      <c r="G50" s="686"/>
      <c r="H50" s="992">
        <v>409200.0</v>
      </c>
      <c r="I50" s="980">
        <f t="shared" si="1"/>
        <v>818400</v>
      </c>
      <c r="J50" s="686"/>
      <c r="K50" s="686"/>
    </row>
    <row r="51">
      <c r="A51" s="987" t="s">
        <v>3033</v>
      </c>
      <c r="B51" s="988">
        <v>2.0</v>
      </c>
      <c r="C51" s="989">
        <f>IFERROR(VLOOKUP(A51,stockKJD,9,FALSE)," ")</f>
        <v>2</v>
      </c>
      <c r="D51" s="990" t="s">
        <v>11466</v>
      </c>
      <c r="E51" s="989">
        <v>2.0</v>
      </c>
      <c r="F51" s="686"/>
      <c r="G51" s="686"/>
      <c r="H51" s="992">
        <v>572000.0</v>
      </c>
      <c r="I51" s="980">
        <f t="shared" si="1"/>
        <v>1144000</v>
      </c>
      <c r="J51" s="686"/>
      <c r="K51" s="686"/>
    </row>
    <row r="52">
      <c r="A52" s="987" t="s">
        <v>5241</v>
      </c>
      <c r="B52" s="988">
        <v>2.0</v>
      </c>
      <c r="C52" s="989">
        <f>IFERROR(VLOOKUP(A52,stockKJD,9,FALSE)," ")</f>
        <v>3</v>
      </c>
      <c r="D52" s="990" t="s">
        <v>11466</v>
      </c>
      <c r="E52" s="989">
        <v>1.0</v>
      </c>
      <c r="F52" s="686"/>
      <c r="G52" s="686"/>
      <c r="H52" s="992">
        <v>508200.0</v>
      </c>
      <c r="I52" s="980">
        <f t="shared" si="1"/>
        <v>508200</v>
      </c>
      <c r="J52" s="686"/>
      <c r="K52" s="686"/>
    </row>
    <row r="53">
      <c r="A53" s="993" t="s">
        <v>6741</v>
      </c>
      <c r="B53" s="988">
        <v>2.0</v>
      </c>
      <c r="C53" s="989">
        <f>IFERROR(VLOOKUP(A53,stockKJD,9,FALSE)," ")</f>
        <v>1</v>
      </c>
      <c r="D53" s="990" t="s">
        <v>11466</v>
      </c>
      <c r="E53" s="989">
        <v>2.0</v>
      </c>
      <c r="F53" s="686"/>
      <c r="G53" s="686"/>
      <c r="H53" s="992">
        <v>513700.0</v>
      </c>
      <c r="I53" s="980">
        <f t="shared" si="1"/>
        <v>1027400</v>
      </c>
      <c r="J53" s="686"/>
      <c r="K53" s="686"/>
    </row>
    <row r="54">
      <c r="A54" s="987" t="s">
        <v>3104</v>
      </c>
      <c r="B54" s="988">
        <v>2.0</v>
      </c>
      <c r="C54" s="989">
        <f>IFERROR(VLOOKUP(A54,stockKJD,9,FALSE)," ")</f>
        <v>2</v>
      </c>
      <c r="D54" s="990" t="s">
        <v>11466</v>
      </c>
      <c r="E54" s="989">
        <v>2.0</v>
      </c>
      <c r="F54" s="686"/>
      <c r="G54" s="686"/>
      <c r="H54" s="992">
        <v>554400.0</v>
      </c>
      <c r="I54" s="980">
        <f t="shared" si="1"/>
        <v>1108800</v>
      </c>
      <c r="J54" s="686"/>
      <c r="K54" s="686"/>
    </row>
    <row r="55">
      <c r="A55" s="987" t="s">
        <v>4623</v>
      </c>
      <c r="B55" s="988">
        <v>2.0</v>
      </c>
      <c r="C55" s="989">
        <f>IFERROR(VLOOKUP(A55,stockKJD,9,FALSE)," ")</f>
        <v>2</v>
      </c>
      <c r="D55" s="990" t="s">
        <v>11466</v>
      </c>
      <c r="E55" s="989">
        <v>1.0</v>
      </c>
      <c r="F55" s="686"/>
      <c r="G55" s="686"/>
      <c r="H55" s="992">
        <v>584100.0</v>
      </c>
      <c r="I55" s="980">
        <f t="shared" si="1"/>
        <v>584100</v>
      </c>
      <c r="J55" s="686"/>
      <c r="K55" s="686"/>
    </row>
    <row r="56" hidden="1">
      <c r="A56" s="982" t="s">
        <v>3186</v>
      </c>
      <c r="B56" s="983">
        <v>10.0</v>
      </c>
      <c r="C56" s="984">
        <f>IFERROR(VLOOKUP(A56,stockKJD,9,FALSE)," ")</f>
        <v>2</v>
      </c>
      <c r="D56" s="985" t="s">
        <v>13610</v>
      </c>
      <c r="E56" s="985"/>
      <c r="F56" s="686" t="s">
        <v>13617</v>
      </c>
      <c r="G56" s="686"/>
      <c r="H56" s="686"/>
      <c r="I56" s="980">
        <f t="shared" si="1"/>
        <v>0</v>
      </c>
      <c r="J56" s="686"/>
      <c r="K56" s="686"/>
    </row>
    <row r="57" hidden="1">
      <c r="A57" s="982" t="s">
        <v>3837</v>
      </c>
      <c r="B57" s="983">
        <v>10.0</v>
      </c>
      <c r="C57" s="984">
        <f>IFERROR(VLOOKUP(A57,stockKJD,9,FALSE)," ")</f>
        <v>0</v>
      </c>
      <c r="D57" s="985" t="s">
        <v>13610</v>
      </c>
      <c r="E57" s="985"/>
      <c r="F57" s="686" t="s">
        <v>13618</v>
      </c>
      <c r="G57" s="686"/>
      <c r="H57" s="686"/>
      <c r="I57" s="980">
        <f t="shared" si="1"/>
        <v>0</v>
      </c>
      <c r="J57" s="686"/>
      <c r="K57" s="686"/>
    </row>
    <row r="58" hidden="1">
      <c r="A58" s="982" t="s">
        <v>2643</v>
      </c>
      <c r="B58" s="983">
        <v>10.0</v>
      </c>
      <c r="C58" s="984">
        <f>IFERROR(VLOOKUP(A58,stockKJD,9,FALSE)," ")</f>
        <v>0</v>
      </c>
      <c r="D58" s="985" t="s">
        <v>13610</v>
      </c>
      <c r="E58" s="985"/>
      <c r="F58" s="686" t="s">
        <v>13618</v>
      </c>
      <c r="G58" s="686"/>
      <c r="H58" s="686"/>
      <c r="I58" s="980">
        <f t="shared" si="1"/>
        <v>0</v>
      </c>
      <c r="J58" s="686"/>
      <c r="K58" s="686"/>
    </row>
    <row r="59" hidden="1">
      <c r="A59" s="982" t="s">
        <v>2721</v>
      </c>
      <c r="B59" s="983">
        <v>10.0</v>
      </c>
      <c r="C59" s="984">
        <f>IFERROR(VLOOKUP(A59,stockKJD,9,FALSE)," ")</f>
        <v>1</v>
      </c>
      <c r="D59" s="985" t="s">
        <v>13610</v>
      </c>
      <c r="E59" s="985"/>
      <c r="F59" s="686"/>
      <c r="G59" s="686"/>
      <c r="H59" s="686"/>
      <c r="I59" s="980">
        <f t="shared" si="1"/>
        <v>0</v>
      </c>
      <c r="J59" s="686"/>
      <c r="K59" s="686"/>
    </row>
    <row r="60" hidden="1">
      <c r="A60" s="982" t="s">
        <v>2692</v>
      </c>
      <c r="B60" s="983">
        <v>10.0</v>
      </c>
      <c r="C60" s="984">
        <f>IFERROR(VLOOKUP(A60,stockKJD,9,FALSE)," ")</f>
        <v>2</v>
      </c>
      <c r="D60" s="985" t="s">
        <v>13610</v>
      </c>
      <c r="E60" s="985"/>
      <c r="F60" s="686"/>
      <c r="G60" s="686"/>
      <c r="H60" s="686"/>
      <c r="I60" s="980">
        <f t="shared" si="1"/>
        <v>0</v>
      </c>
      <c r="J60" s="686"/>
      <c r="K60" s="686"/>
    </row>
    <row r="61" hidden="1">
      <c r="A61" s="982" t="s">
        <v>3235</v>
      </c>
      <c r="B61" s="983">
        <v>10.0</v>
      </c>
      <c r="C61" s="984">
        <f>IFERROR(VLOOKUP(A61,stockKJD,9,FALSE)," ")</f>
        <v>1</v>
      </c>
      <c r="D61" s="985" t="s">
        <v>13610</v>
      </c>
      <c r="E61" s="985"/>
      <c r="F61" s="686" t="s">
        <v>13618</v>
      </c>
      <c r="G61" s="686"/>
      <c r="H61" s="686"/>
      <c r="I61" s="980">
        <f t="shared" si="1"/>
        <v>0</v>
      </c>
      <c r="J61" s="686"/>
      <c r="K61" s="686"/>
    </row>
    <row r="62">
      <c r="A62" s="987" t="s">
        <v>2932</v>
      </c>
      <c r="B62" s="988">
        <v>5.0</v>
      </c>
      <c r="C62" s="989">
        <f>IFERROR(VLOOKUP(A62,stockKJD,9,FALSE)," ")</f>
        <v>0</v>
      </c>
      <c r="D62" s="990" t="s">
        <v>13614</v>
      </c>
      <c r="E62" s="989">
        <v>2.0</v>
      </c>
      <c r="F62" s="686"/>
      <c r="G62" s="686"/>
      <c r="H62" s="688">
        <v>365079.0</v>
      </c>
      <c r="I62" s="980">
        <f t="shared" si="1"/>
        <v>730158</v>
      </c>
      <c r="J62" s="686"/>
      <c r="K62" s="686"/>
    </row>
    <row r="63" hidden="1">
      <c r="A63" s="982" t="s">
        <v>3964</v>
      </c>
      <c r="B63" s="983">
        <v>5.0</v>
      </c>
      <c r="C63" s="984">
        <f>IFERROR(VLOOKUP(A63,stockKJD,9,FALSE)," ")</f>
        <v>1</v>
      </c>
      <c r="D63" s="985" t="s">
        <v>13610</v>
      </c>
      <c r="E63" s="985"/>
      <c r="F63" s="686"/>
      <c r="G63" s="686"/>
      <c r="H63" s="686"/>
      <c r="I63" s="980">
        <f t="shared" si="1"/>
        <v>0</v>
      </c>
      <c r="J63" s="686"/>
      <c r="K63" s="686"/>
    </row>
    <row r="64">
      <c r="A64" s="987" t="s">
        <v>2944</v>
      </c>
      <c r="B64" s="988">
        <v>2.0</v>
      </c>
      <c r="C64" s="989">
        <f>IFERROR(VLOOKUP(A64,stockKJD,9,FALSE)," ")</f>
        <v>3</v>
      </c>
      <c r="D64" s="990" t="s">
        <v>11466</v>
      </c>
      <c r="E64" s="989">
        <v>2.0</v>
      </c>
      <c r="F64" s="686"/>
      <c r="G64" s="686"/>
      <c r="H64" s="992">
        <v>1349755.0</v>
      </c>
      <c r="I64" s="980">
        <f t="shared" si="1"/>
        <v>2699510</v>
      </c>
      <c r="J64" s="686"/>
      <c r="K64" s="686"/>
    </row>
    <row r="65">
      <c r="A65" s="987" t="s">
        <v>4628</v>
      </c>
      <c r="B65" s="988">
        <v>2.0</v>
      </c>
      <c r="C65" s="989">
        <f>IFERROR(VLOOKUP(A65,stockKJD,9,FALSE)," ")</f>
        <v>0</v>
      </c>
      <c r="D65" s="990" t="s">
        <v>11466</v>
      </c>
      <c r="E65" s="989">
        <v>2.0</v>
      </c>
      <c r="F65" s="686"/>
      <c r="G65" s="686"/>
      <c r="H65" s="992">
        <v>612700.0</v>
      </c>
      <c r="I65" s="980">
        <f t="shared" si="1"/>
        <v>1225400</v>
      </c>
      <c r="J65" s="686"/>
      <c r="K65" s="686"/>
    </row>
    <row r="66">
      <c r="A66" s="987" t="s">
        <v>6742</v>
      </c>
      <c r="B66" s="988">
        <v>2.0</v>
      </c>
      <c r="C66" s="989">
        <f>IFERROR(VLOOKUP(A66,stockKJD,9,FALSE)," ")</f>
        <v>1</v>
      </c>
      <c r="D66" s="990" t="s">
        <v>11466</v>
      </c>
      <c r="E66" s="989">
        <f t="shared" ref="E66:E67" si="4">C66</f>
        <v>1</v>
      </c>
      <c r="F66" s="686"/>
      <c r="G66" s="686"/>
      <c r="H66" s="992">
        <v>392040.0</v>
      </c>
      <c r="I66" s="980">
        <f t="shared" si="1"/>
        <v>392040</v>
      </c>
      <c r="J66" s="686"/>
      <c r="K66" s="686"/>
    </row>
    <row r="67">
      <c r="A67" s="987" t="s">
        <v>2862</v>
      </c>
      <c r="B67" s="988">
        <v>2.0</v>
      </c>
      <c r="C67" s="989">
        <f>IFERROR(VLOOKUP(A67,stockKJD,9,FALSE)," ")</f>
        <v>0</v>
      </c>
      <c r="D67" s="990" t="s">
        <v>11466</v>
      </c>
      <c r="E67" s="989">
        <f t="shared" si="4"/>
        <v>0</v>
      </c>
      <c r="F67" s="686"/>
      <c r="G67" s="686"/>
      <c r="H67" s="992">
        <v>245000.0</v>
      </c>
      <c r="I67" s="980">
        <f t="shared" si="1"/>
        <v>0</v>
      </c>
      <c r="J67" s="686"/>
      <c r="K67" s="686"/>
    </row>
    <row r="68">
      <c r="A68" s="987" t="s">
        <v>6199</v>
      </c>
      <c r="B68" s="988">
        <v>2.0</v>
      </c>
      <c r="C68" s="989">
        <f>IFERROR(VLOOKUP(A68,stockKJD,9,FALSE)," ")</f>
        <v>1</v>
      </c>
      <c r="D68" s="990" t="s">
        <v>11466</v>
      </c>
      <c r="E68" s="989">
        <v>1.0</v>
      </c>
      <c r="F68" s="686"/>
      <c r="G68" s="686"/>
      <c r="H68" s="992">
        <v>577775.0</v>
      </c>
      <c r="I68" s="980">
        <f t="shared" si="1"/>
        <v>577775</v>
      </c>
      <c r="J68" s="686"/>
      <c r="K68" s="686"/>
    </row>
    <row r="69" hidden="1">
      <c r="A69" s="982" t="s">
        <v>2785</v>
      </c>
      <c r="B69" s="983">
        <v>3.0</v>
      </c>
      <c r="C69" s="984">
        <f>IFERROR(VLOOKUP(A69,stockKJD,9,FALSE)," ")</f>
        <v>0</v>
      </c>
      <c r="D69" s="985" t="s">
        <v>13610</v>
      </c>
      <c r="E69" s="985"/>
      <c r="F69" s="686"/>
      <c r="G69" s="686"/>
      <c r="H69" s="986"/>
      <c r="I69" s="980">
        <f t="shared" si="1"/>
        <v>0</v>
      </c>
      <c r="J69" s="686"/>
      <c r="K69" s="686"/>
    </row>
    <row r="70">
      <c r="A70" s="987" t="s">
        <v>5002</v>
      </c>
      <c r="B70" s="988">
        <v>2.0</v>
      </c>
      <c r="C70" s="989">
        <f>IFERROR(VLOOKUP(A70,stockKJD,9,FALSE)," ")</f>
        <v>1</v>
      </c>
      <c r="D70" s="990" t="s">
        <v>11466</v>
      </c>
      <c r="E70" s="989">
        <v>1.0</v>
      </c>
      <c r="F70" s="686"/>
      <c r="G70" s="686"/>
      <c r="H70" s="992">
        <v>615890.0</v>
      </c>
      <c r="I70" s="980">
        <f t="shared" si="1"/>
        <v>615890</v>
      </c>
      <c r="J70" s="686"/>
      <c r="K70" s="686"/>
    </row>
    <row r="71">
      <c r="A71" s="987" t="s">
        <v>3136</v>
      </c>
      <c r="B71" s="988">
        <v>2.0</v>
      </c>
      <c r="C71" s="989">
        <f>IFERROR(VLOOKUP(A71,stockKJD,9,FALSE)," ")</f>
        <v>1</v>
      </c>
      <c r="D71" s="990" t="s">
        <v>11466</v>
      </c>
      <c r="E71" s="989">
        <v>1.0</v>
      </c>
      <c r="F71" s="686"/>
      <c r="G71" s="686"/>
      <c r="H71" s="992">
        <v>737000.0</v>
      </c>
      <c r="I71" s="980">
        <f t="shared" si="1"/>
        <v>737000</v>
      </c>
      <c r="J71" s="686"/>
      <c r="K71" s="686"/>
    </row>
    <row r="72" hidden="1">
      <c r="A72" s="982" t="s">
        <v>3068</v>
      </c>
      <c r="B72" s="983">
        <v>10.0</v>
      </c>
      <c r="C72" s="984">
        <f>IFERROR(VLOOKUP(A72,stockKJD,9,FALSE)," ")</f>
        <v>2</v>
      </c>
      <c r="D72" s="985" t="s">
        <v>13610</v>
      </c>
      <c r="E72" s="985"/>
      <c r="F72" s="686"/>
      <c r="G72" s="686"/>
      <c r="H72" s="686"/>
      <c r="I72" s="980">
        <f t="shared" si="1"/>
        <v>0</v>
      </c>
      <c r="J72" s="686"/>
      <c r="K72" s="686"/>
    </row>
    <row r="73" hidden="1">
      <c r="A73" s="982" t="s">
        <v>4038</v>
      </c>
      <c r="B73" s="983">
        <v>10.0</v>
      </c>
      <c r="C73" s="984">
        <f>IFERROR(VLOOKUP(A73,stockKJD,9,FALSE)," ")</f>
        <v>0</v>
      </c>
      <c r="D73" s="985" t="s">
        <v>13610</v>
      </c>
      <c r="E73" s="985"/>
      <c r="F73" s="686"/>
      <c r="G73" s="686"/>
      <c r="H73" s="686"/>
      <c r="I73" s="980">
        <f t="shared" si="1"/>
        <v>0</v>
      </c>
      <c r="J73" s="686"/>
      <c r="K73" s="686"/>
    </row>
    <row r="74" hidden="1">
      <c r="A74" s="982" t="s">
        <v>3025</v>
      </c>
      <c r="B74" s="983">
        <v>10.0</v>
      </c>
      <c r="C74" s="984">
        <f>IFERROR(VLOOKUP(A74,stockKJD,9,FALSE)," ")</f>
        <v>2</v>
      </c>
      <c r="D74" s="985" t="s">
        <v>13610</v>
      </c>
      <c r="E74" s="985"/>
      <c r="F74" s="686" t="s">
        <v>13618</v>
      </c>
      <c r="G74" s="686"/>
      <c r="H74" s="686"/>
      <c r="I74" s="980">
        <f t="shared" si="1"/>
        <v>0</v>
      </c>
      <c r="J74" s="686"/>
      <c r="K74" s="686"/>
    </row>
    <row r="75" hidden="1">
      <c r="A75" s="982" t="s">
        <v>3707</v>
      </c>
      <c r="B75" s="983">
        <v>10.0</v>
      </c>
      <c r="C75" s="984">
        <f>IFERROR(VLOOKUP(A75,stockKJD,9,FALSE)," ")</f>
        <v>2</v>
      </c>
      <c r="D75" s="985" t="s">
        <v>13610</v>
      </c>
      <c r="E75" s="985"/>
      <c r="F75" s="686"/>
      <c r="G75" s="686"/>
      <c r="H75" s="686"/>
      <c r="I75" s="980">
        <f t="shared" si="1"/>
        <v>0</v>
      </c>
      <c r="J75" s="686"/>
      <c r="K75" s="686"/>
    </row>
    <row r="76">
      <c r="A76" s="987" t="s">
        <v>3223</v>
      </c>
      <c r="B76" s="988">
        <v>10.0</v>
      </c>
      <c r="C76" s="989">
        <f>IFERROR(VLOOKUP(A76,stockKJD,9,FALSE)," ")</f>
        <v>0</v>
      </c>
      <c r="D76" s="990" t="s">
        <v>11466</v>
      </c>
      <c r="E76" s="989">
        <f>C76</f>
        <v>0</v>
      </c>
      <c r="F76" s="686"/>
      <c r="G76" s="686"/>
      <c r="H76" s="688">
        <v>456654.0</v>
      </c>
      <c r="I76" s="980">
        <f t="shared" si="1"/>
        <v>0</v>
      </c>
      <c r="J76" s="686"/>
      <c r="K76" s="686"/>
    </row>
    <row r="77" hidden="1">
      <c r="A77" s="982" t="s">
        <v>2682</v>
      </c>
      <c r="B77" s="983">
        <v>10.0</v>
      </c>
      <c r="C77" s="984">
        <f>IFERROR(VLOOKUP(A77,stockKJD,9,FALSE)," ")</f>
        <v>1</v>
      </c>
      <c r="D77" s="985" t="s">
        <v>13610</v>
      </c>
      <c r="E77" s="985"/>
      <c r="F77" s="686"/>
      <c r="G77" s="686"/>
      <c r="H77" s="686"/>
      <c r="I77" s="980">
        <f t="shared" si="1"/>
        <v>0</v>
      </c>
      <c r="J77" s="686"/>
      <c r="K77" s="686"/>
    </row>
    <row r="78">
      <c r="A78" s="987" t="s">
        <v>3313</v>
      </c>
      <c r="B78" s="988">
        <v>10.0</v>
      </c>
      <c r="C78" s="989">
        <f>IFERROR(VLOOKUP(A78,stockKJD,9,FALSE)," ")</f>
        <v>2</v>
      </c>
      <c r="D78" s="990" t="s">
        <v>13614</v>
      </c>
      <c r="E78" s="989">
        <v>2.0</v>
      </c>
      <c r="F78" s="686"/>
      <c r="G78" s="686"/>
      <c r="H78" s="688">
        <v>604395.0</v>
      </c>
      <c r="I78" s="980">
        <f t="shared" si="1"/>
        <v>1208790</v>
      </c>
      <c r="J78" s="686"/>
      <c r="K78" s="686"/>
    </row>
    <row r="79" hidden="1">
      <c r="A79" s="982" t="s">
        <v>3290</v>
      </c>
      <c r="B79" s="983">
        <v>10.0</v>
      </c>
      <c r="C79" s="984">
        <f>IFERROR(VLOOKUP(A79,stockKJD,9,FALSE)," ")</f>
        <v>3</v>
      </c>
      <c r="D79" s="985" t="s">
        <v>13610</v>
      </c>
      <c r="E79" s="985"/>
      <c r="F79" s="686"/>
      <c r="G79" s="686"/>
      <c r="H79" s="686"/>
      <c r="I79" s="980">
        <f t="shared" si="1"/>
        <v>0</v>
      </c>
      <c r="J79" s="686"/>
      <c r="K79" s="686"/>
    </row>
    <row r="80" hidden="1">
      <c r="A80" s="982" t="s">
        <v>3360</v>
      </c>
      <c r="B80" s="983">
        <v>10.0</v>
      </c>
      <c r="C80" s="984">
        <f>IFERROR(VLOOKUP(A80,stockKJD,9,FALSE)," ")</f>
        <v>2</v>
      </c>
      <c r="D80" s="985" t="s">
        <v>13610</v>
      </c>
      <c r="E80" s="985"/>
      <c r="F80" s="686"/>
      <c r="G80" s="686"/>
      <c r="H80" s="686"/>
      <c r="I80" s="980">
        <f t="shared" si="1"/>
        <v>0</v>
      </c>
      <c r="J80" s="686"/>
      <c r="K80" s="686"/>
    </row>
    <row r="81">
      <c r="A81" s="987" t="s">
        <v>2734</v>
      </c>
      <c r="B81" s="988">
        <v>10.0</v>
      </c>
      <c r="C81" s="989">
        <f>IFERROR(VLOOKUP(A81,stockKJD,9,FALSE)," ")</f>
        <v>0</v>
      </c>
      <c r="D81" s="990" t="s">
        <v>13614</v>
      </c>
      <c r="E81" s="989">
        <v>2.0</v>
      </c>
      <c r="F81" s="686"/>
      <c r="G81" s="686"/>
      <c r="H81" s="688">
        <v>628815.0</v>
      </c>
      <c r="I81" s="980">
        <f t="shared" si="1"/>
        <v>1257630</v>
      </c>
      <c r="J81" s="686"/>
      <c r="K81" s="686"/>
    </row>
    <row r="82">
      <c r="A82" s="987" t="s">
        <v>2722</v>
      </c>
      <c r="B82" s="988">
        <v>10.0</v>
      </c>
      <c r="C82" s="989">
        <f>IFERROR(VLOOKUP(A82,stockKJD,9,FALSE)," ")</f>
        <v>1</v>
      </c>
      <c r="D82" s="990" t="s">
        <v>13614</v>
      </c>
      <c r="E82" s="989">
        <v>7.0</v>
      </c>
      <c r="F82" s="686"/>
      <c r="G82" s="686"/>
      <c r="H82" s="992">
        <v>329670.0</v>
      </c>
      <c r="I82" s="980">
        <f t="shared" si="1"/>
        <v>2307690</v>
      </c>
      <c r="J82" s="686"/>
      <c r="K82" s="686"/>
    </row>
    <row r="83" hidden="1">
      <c r="A83" s="982" t="s">
        <v>3411</v>
      </c>
      <c r="B83" s="983">
        <v>10.0</v>
      </c>
      <c r="C83" s="984">
        <f>IFERROR(VLOOKUP(A83,stockKJD,9,FALSE)," ")</f>
        <v>6</v>
      </c>
      <c r="D83" s="985" t="s">
        <v>13610</v>
      </c>
      <c r="E83" s="985"/>
      <c r="F83" s="686" t="s">
        <v>13618</v>
      </c>
      <c r="G83" s="686"/>
      <c r="H83" s="686"/>
      <c r="I83" s="980">
        <f t="shared" si="1"/>
        <v>0</v>
      </c>
      <c r="J83" s="686"/>
      <c r="K83" s="686"/>
    </row>
    <row r="84">
      <c r="A84" s="987" t="s">
        <v>6743</v>
      </c>
      <c r="B84" s="988">
        <v>5.0</v>
      </c>
      <c r="C84" s="989">
        <f>IFERROR(VLOOKUP(A84,stockKJD,9,FALSE)," ")</f>
        <v>0</v>
      </c>
      <c r="D84" s="990" t="s">
        <v>13614</v>
      </c>
      <c r="E84" s="989">
        <v>3.0</v>
      </c>
      <c r="F84" s="686"/>
      <c r="G84" s="686"/>
      <c r="H84" s="688">
        <v>693528.0</v>
      </c>
      <c r="I84" s="980">
        <f t="shared" si="1"/>
        <v>2080584</v>
      </c>
      <c r="J84" s="686"/>
      <c r="K84" s="686"/>
    </row>
    <row r="85">
      <c r="A85" s="987" t="s">
        <v>2585</v>
      </c>
      <c r="B85" s="988">
        <v>5.0</v>
      </c>
      <c r="C85" s="989">
        <f>IFERROR(VLOOKUP(A85,stockKJD,9,FALSE)," ")</f>
        <v>1</v>
      </c>
      <c r="D85" s="990" t="s">
        <v>13614</v>
      </c>
      <c r="E85" s="989">
        <v>4.0</v>
      </c>
      <c r="F85" s="686"/>
      <c r="G85" s="686"/>
      <c r="H85" s="688">
        <v>660561.0</v>
      </c>
      <c r="I85" s="980">
        <f t="shared" si="1"/>
        <v>2642244</v>
      </c>
      <c r="J85" s="686"/>
      <c r="K85" s="686"/>
    </row>
    <row r="86">
      <c r="A86" s="987" t="s">
        <v>6557</v>
      </c>
      <c r="B86" s="988">
        <v>5.0</v>
      </c>
      <c r="C86" s="989">
        <f>IFERROR(VLOOKUP(A86,stockKJD,9,FALSE)," ")</f>
        <v>0</v>
      </c>
      <c r="D86" s="990" t="s">
        <v>13614</v>
      </c>
      <c r="E86" s="989">
        <v>4.0</v>
      </c>
      <c r="F86" s="686"/>
      <c r="G86" s="686"/>
      <c r="H86" s="688">
        <v>703296.0</v>
      </c>
      <c r="I86" s="980">
        <f t="shared" si="1"/>
        <v>2813184</v>
      </c>
      <c r="J86" s="686"/>
      <c r="K86" s="686"/>
    </row>
    <row r="87" hidden="1">
      <c r="A87" s="982" t="s">
        <v>2997</v>
      </c>
      <c r="B87" s="983">
        <v>5.0</v>
      </c>
      <c r="C87" s="984">
        <f>IFERROR(VLOOKUP(A87,stockKJD,9,FALSE)," ")</f>
        <v>0</v>
      </c>
      <c r="D87" s="985" t="s">
        <v>13610</v>
      </c>
      <c r="E87" s="985"/>
      <c r="F87" s="686" t="s">
        <v>13618</v>
      </c>
      <c r="G87" s="686"/>
      <c r="H87" s="686"/>
      <c r="I87" s="980">
        <f t="shared" si="1"/>
        <v>0</v>
      </c>
      <c r="J87" s="686"/>
      <c r="K87" s="686"/>
    </row>
    <row r="88">
      <c r="A88" s="987" t="s">
        <v>2588</v>
      </c>
      <c r="B88" s="988">
        <v>10.0</v>
      </c>
      <c r="C88" s="989">
        <f>IFERROR(VLOOKUP(A88,stockKJD,9,FALSE)," ")</f>
        <v>0</v>
      </c>
      <c r="D88" s="990" t="s">
        <v>13614</v>
      </c>
      <c r="E88" s="989">
        <v>4.0</v>
      </c>
      <c r="F88" s="686"/>
      <c r="G88" s="686"/>
      <c r="H88" s="688">
        <v>570207.0</v>
      </c>
      <c r="I88" s="980">
        <f t="shared" si="1"/>
        <v>2280828</v>
      </c>
      <c r="J88" s="686"/>
      <c r="K88" s="686"/>
    </row>
    <row r="89">
      <c r="A89" s="987" t="s">
        <v>4936</v>
      </c>
      <c r="B89" s="988">
        <v>10.0</v>
      </c>
      <c r="C89" s="989">
        <f>IFERROR(VLOOKUP(A89,stockKJD,9,FALSE)," ")</f>
        <v>0</v>
      </c>
      <c r="D89" s="990" t="s">
        <v>13614</v>
      </c>
      <c r="E89" s="989">
        <v>5.0</v>
      </c>
      <c r="F89" s="686"/>
      <c r="G89" s="686"/>
      <c r="H89" s="688">
        <v>822954.0</v>
      </c>
      <c r="I89" s="980">
        <f t="shared" si="1"/>
        <v>4114770</v>
      </c>
      <c r="J89" s="686"/>
      <c r="K89" s="686"/>
    </row>
    <row r="90" hidden="1">
      <c r="A90" s="982" t="s">
        <v>3159</v>
      </c>
      <c r="B90" s="983">
        <v>10.0</v>
      </c>
      <c r="C90" s="984">
        <f>IFERROR(VLOOKUP(A90,stockKJD,9,FALSE)," ")</f>
        <v>0</v>
      </c>
      <c r="D90" s="985" t="s">
        <v>13610</v>
      </c>
      <c r="E90" s="985"/>
      <c r="F90" s="686"/>
      <c r="G90" s="686"/>
      <c r="H90" s="686"/>
      <c r="I90" s="980">
        <f t="shared" si="1"/>
        <v>0</v>
      </c>
      <c r="J90" s="686"/>
      <c r="K90" s="686"/>
    </row>
    <row r="91">
      <c r="A91" s="987" t="s">
        <v>6744</v>
      </c>
      <c r="B91" s="988">
        <v>5.0</v>
      </c>
      <c r="C91" s="989">
        <f>IFERROR(VLOOKUP(A91,stockKJD,9,FALSE)," ")</f>
        <v>0</v>
      </c>
      <c r="D91" s="990" t="s">
        <v>13614</v>
      </c>
      <c r="E91" s="989">
        <v>4.0</v>
      </c>
      <c r="F91" s="686"/>
      <c r="G91" s="686"/>
      <c r="H91" s="992">
        <v>675213.0</v>
      </c>
      <c r="I91" s="980">
        <f t="shared" si="1"/>
        <v>2700852</v>
      </c>
      <c r="J91" s="686"/>
      <c r="K91" s="686"/>
    </row>
    <row r="92">
      <c r="A92" s="987" t="s">
        <v>6502</v>
      </c>
      <c r="B92" s="988">
        <v>5.0</v>
      </c>
      <c r="C92" s="989">
        <f>IFERROR(VLOOKUP(A92,stockKJD,9,FALSE)," ")</f>
        <v>0</v>
      </c>
      <c r="D92" s="990" t="s">
        <v>13614</v>
      </c>
      <c r="E92" s="989">
        <v>4.0</v>
      </c>
      <c r="F92" s="686"/>
      <c r="G92" s="686"/>
      <c r="H92" s="992">
        <v>653235.0</v>
      </c>
      <c r="I92" s="980">
        <f t="shared" si="1"/>
        <v>2612940</v>
      </c>
      <c r="J92" s="686"/>
      <c r="K92" s="686"/>
    </row>
    <row r="93">
      <c r="A93" s="987" t="s">
        <v>6745</v>
      </c>
      <c r="B93" s="988">
        <v>5.0</v>
      </c>
      <c r="C93" s="989">
        <f>IFERROR(VLOOKUP(A93,stockKJD,9,FALSE)," ")</f>
        <v>0</v>
      </c>
      <c r="D93" s="990" t="s">
        <v>13614</v>
      </c>
      <c r="E93" s="989">
        <v>4.0</v>
      </c>
      <c r="F93" s="686"/>
      <c r="G93" s="686"/>
      <c r="H93" s="992">
        <v>553113.0</v>
      </c>
      <c r="I93" s="980">
        <f t="shared" si="1"/>
        <v>2212452</v>
      </c>
      <c r="J93" s="686"/>
      <c r="K93" s="686"/>
    </row>
    <row r="94">
      <c r="A94" s="987" t="s">
        <v>6145</v>
      </c>
      <c r="B94" s="988">
        <v>5.0</v>
      </c>
      <c r="C94" s="989" t="str">
        <f>IFERROR(VLOOKUP(A94,stockKJD,9,FALSE)," ")</f>
        <v> </v>
      </c>
      <c r="D94" s="990" t="s">
        <v>13614</v>
      </c>
      <c r="E94" s="989">
        <v>2.0</v>
      </c>
      <c r="F94" s="686"/>
      <c r="G94" s="686"/>
      <c r="H94" s="992">
        <v>736263.0</v>
      </c>
      <c r="I94" s="980">
        <f t="shared" si="1"/>
        <v>1472526</v>
      </c>
      <c r="J94" s="686"/>
      <c r="K94" s="686"/>
    </row>
    <row r="95" hidden="1">
      <c r="A95" s="982" t="s">
        <v>2546</v>
      </c>
      <c r="B95" s="983">
        <v>5.0</v>
      </c>
      <c r="C95" s="984">
        <f>IFERROR(VLOOKUP(A95,stockKJD,9,FALSE)," ")</f>
        <v>0</v>
      </c>
      <c r="D95" s="985" t="s">
        <v>13610</v>
      </c>
      <c r="E95" s="985"/>
      <c r="F95" s="686"/>
      <c r="G95" s="686"/>
      <c r="H95" s="686"/>
      <c r="I95" s="980">
        <f t="shared" si="1"/>
        <v>0</v>
      </c>
      <c r="J95" s="686"/>
      <c r="K95" s="686"/>
    </row>
    <row r="96">
      <c r="A96" s="987" t="s">
        <v>5303</v>
      </c>
      <c r="B96" s="988">
        <v>5.0</v>
      </c>
      <c r="C96" s="989">
        <f>IFERROR(VLOOKUP(A96,stockKJD,9,FALSE)," ")</f>
        <v>0</v>
      </c>
      <c r="D96" s="990" t="s">
        <v>11466</v>
      </c>
      <c r="E96" s="989">
        <f>C96</f>
        <v>0</v>
      </c>
      <c r="F96" s="686"/>
      <c r="G96" s="686"/>
      <c r="H96" s="686"/>
      <c r="I96" s="980">
        <f t="shared" si="1"/>
        <v>0</v>
      </c>
      <c r="J96" s="686"/>
      <c r="K96" s="686"/>
    </row>
    <row r="97">
      <c r="A97" s="987" t="s">
        <v>6689</v>
      </c>
      <c r="B97" s="988">
        <v>5.0</v>
      </c>
      <c r="C97" s="989">
        <f>IFERROR(VLOOKUP(A97,stockKJD,9,FALSE)," ")</f>
        <v>0</v>
      </c>
      <c r="D97" s="990" t="s">
        <v>13614</v>
      </c>
      <c r="E97" s="989">
        <v>3.0</v>
      </c>
      <c r="F97" s="686"/>
      <c r="G97" s="686"/>
      <c r="H97" s="688">
        <v>605616.0</v>
      </c>
      <c r="I97" s="980">
        <f t="shared" si="1"/>
        <v>1816848</v>
      </c>
      <c r="J97" s="686"/>
      <c r="K97" s="686"/>
    </row>
    <row r="98">
      <c r="A98" s="987" t="s">
        <v>4323</v>
      </c>
      <c r="B98" s="988">
        <v>5.0</v>
      </c>
      <c r="C98" s="989">
        <f>IFERROR(VLOOKUP(A98,stockKJD,9,FALSE)," ")</f>
        <v>1</v>
      </c>
      <c r="D98" s="990" t="s">
        <v>13610</v>
      </c>
      <c r="E98" s="989">
        <v>2.0</v>
      </c>
      <c r="F98" s="686"/>
      <c r="G98" s="686"/>
      <c r="H98" s="688">
        <v>617826.0</v>
      </c>
      <c r="I98" s="980">
        <f t="shared" si="1"/>
        <v>1235652</v>
      </c>
      <c r="J98" s="686"/>
      <c r="K98" s="686"/>
    </row>
    <row r="99">
      <c r="A99" s="987" t="s">
        <v>6746</v>
      </c>
      <c r="B99" s="988">
        <v>5.0</v>
      </c>
      <c r="C99" s="989">
        <f>IFERROR(VLOOKUP(A99,stockKJD,9,FALSE)," ")</f>
        <v>0</v>
      </c>
      <c r="D99" s="990" t="s">
        <v>13614</v>
      </c>
      <c r="E99" s="989">
        <v>3.0</v>
      </c>
      <c r="F99" s="686"/>
      <c r="G99" s="686"/>
      <c r="H99" s="688">
        <v>503052.0</v>
      </c>
      <c r="I99" s="980">
        <f t="shared" si="1"/>
        <v>1509156</v>
      </c>
      <c r="J99" s="686"/>
      <c r="K99" s="686"/>
    </row>
    <row r="100" hidden="1">
      <c r="A100" s="982" t="s">
        <v>2669</v>
      </c>
      <c r="B100" s="983">
        <v>5.0</v>
      </c>
      <c r="C100" s="984">
        <f>IFERROR(VLOOKUP(A100,stockKJD,9,FALSE)," ")</f>
        <v>0</v>
      </c>
      <c r="D100" s="985" t="s">
        <v>13610</v>
      </c>
      <c r="E100" s="985"/>
      <c r="F100" s="686"/>
      <c r="G100" s="686"/>
      <c r="H100" s="686"/>
      <c r="I100" s="980">
        <f t="shared" si="1"/>
        <v>0</v>
      </c>
      <c r="J100" s="686"/>
      <c r="K100" s="686"/>
    </row>
    <row r="101">
      <c r="A101" s="987" t="s">
        <v>3712</v>
      </c>
      <c r="B101" s="988">
        <v>5.0</v>
      </c>
      <c r="C101" s="989">
        <f>IFERROR(VLOOKUP(A101,stockKJD,9,FALSE)," ")</f>
        <v>-1</v>
      </c>
      <c r="D101" s="990" t="s">
        <v>13614</v>
      </c>
      <c r="E101" s="989">
        <v>2.0</v>
      </c>
      <c r="F101" s="686"/>
      <c r="G101" s="686"/>
      <c r="H101" s="686"/>
      <c r="I101" s="980">
        <f t="shared" si="1"/>
        <v>0</v>
      </c>
      <c r="J101" s="686"/>
      <c r="K101" s="686"/>
    </row>
    <row r="102">
      <c r="A102" s="987" t="s">
        <v>2677</v>
      </c>
      <c r="B102" s="988">
        <v>5.0</v>
      </c>
      <c r="C102" s="989">
        <f>IFERROR(VLOOKUP(A102,stockKJD,9,FALSE)," ")</f>
        <v>1</v>
      </c>
      <c r="D102" s="990" t="s">
        <v>13614</v>
      </c>
      <c r="E102" s="989">
        <v>1.0</v>
      </c>
      <c r="F102" s="686"/>
      <c r="G102" s="686"/>
      <c r="H102" s="688">
        <v>499389.0</v>
      </c>
      <c r="I102" s="980">
        <f t="shared" si="1"/>
        <v>499389</v>
      </c>
      <c r="J102" s="686"/>
      <c r="K102" s="686"/>
    </row>
    <row r="103">
      <c r="A103" s="987" t="s">
        <v>2693</v>
      </c>
      <c r="B103" s="988">
        <v>5.0</v>
      </c>
      <c r="C103" s="989">
        <f>IFERROR(VLOOKUP(A103,stockKJD,9,FALSE)," ")</f>
        <v>0</v>
      </c>
      <c r="D103" s="990" t="s">
        <v>13614</v>
      </c>
      <c r="E103" s="989">
        <v>2.0</v>
      </c>
      <c r="F103" s="686"/>
      <c r="G103" s="686"/>
      <c r="H103" s="688">
        <v>692307.0</v>
      </c>
      <c r="I103" s="980">
        <f t="shared" si="1"/>
        <v>1384614</v>
      </c>
      <c r="J103" s="686"/>
      <c r="K103" s="686"/>
    </row>
    <row r="104">
      <c r="A104" s="987" t="s">
        <v>3948</v>
      </c>
      <c r="B104" s="988">
        <v>10.0</v>
      </c>
      <c r="C104" s="989">
        <f>IFERROR(VLOOKUP(A104,stockKJD,9,FALSE)," ")</f>
        <v>0</v>
      </c>
      <c r="D104" s="990" t="s">
        <v>13614</v>
      </c>
      <c r="E104" s="989">
        <v>5.0</v>
      </c>
      <c r="F104" s="686"/>
      <c r="G104" s="686"/>
      <c r="H104" s="688">
        <v>598290.0</v>
      </c>
      <c r="I104" s="980">
        <f t="shared" si="1"/>
        <v>2991450</v>
      </c>
      <c r="J104" s="686"/>
      <c r="K104" s="686"/>
    </row>
    <row r="105">
      <c r="A105" s="987" t="s">
        <v>5084</v>
      </c>
      <c r="B105" s="988">
        <v>3.0</v>
      </c>
      <c r="C105" s="989">
        <f>IFERROR(VLOOKUP(A105,stockKJD,9,FALSE)," ")</f>
        <v>0</v>
      </c>
      <c r="D105" s="990" t="s">
        <v>13614</v>
      </c>
      <c r="E105" s="989">
        <v>1.0</v>
      </c>
      <c r="F105" s="686"/>
      <c r="G105" s="686"/>
      <c r="H105" s="688">
        <v>638583.0</v>
      </c>
      <c r="I105" s="980">
        <f t="shared" si="1"/>
        <v>638583</v>
      </c>
      <c r="J105" s="686"/>
      <c r="K105" s="686"/>
    </row>
    <row r="106" hidden="1">
      <c r="A106" s="982" t="s">
        <v>6747</v>
      </c>
      <c r="B106" s="983">
        <v>1.0</v>
      </c>
      <c r="C106" s="984">
        <f>IFERROR(VLOOKUP(A106,stockKJD,9,FALSE)," ")</f>
        <v>0</v>
      </c>
      <c r="D106" s="985" t="s">
        <v>13610</v>
      </c>
      <c r="E106" s="985"/>
      <c r="F106" s="686"/>
      <c r="G106" s="686"/>
      <c r="H106" s="686"/>
      <c r="I106" s="980">
        <f t="shared" si="1"/>
        <v>0</v>
      </c>
      <c r="J106" s="686"/>
      <c r="K106" s="686"/>
    </row>
    <row r="107">
      <c r="A107" s="987" t="s">
        <v>6748</v>
      </c>
      <c r="B107" s="988">
        <v>10.0</v>
      </c>
      <c r="C107" s="989">
        <f>IFERROR(VLOOKUP(A107,stockKJD,9,FALSE)," ")</f>
        <v>0</v>
      </c>
      <c r="D107" s="990" t="s">
        <v>11466</v>
      </c>
      <c r="E107" s="989">
        <f>C107</f>
        <v>0</v>
      </c>
      <c r="F107" s="686"/>
      <c r="G107" s="686"/>
      <c r="H107" s="688">
        <v>485958.0</v>
      </c>
      <c r="I107" s="980">
        <f t="shared" si="1"/>
        <v>0</v>
      </c>
      <c r="J107" s="686"/>
      <c r="K107" s="686"/>
    </row>
    <row r="108">
      <c r="A108" s="987" t="s">
        <v>6749</v>
      </c>
      <c r="B108" s="988">
        <v>3.0</v>
      </c>
      <c r="C108" s="989">
        <f>IFERROR(VLOOKUP(A108,stockKJD,9,FALSE)," ")</f>
        <v>0</v>
      </c>
      <c r="D108" s="990" t="s">
        <v>13614</v>
      </c>
      <c r="E108" s="989">
        <v>2.0</v>
      </c>
      <c r="F108" s="686"/>
      <c r="G108" s="686"/>
      <c r="H108" s="688">
        <v>642246.0</v>
      </c>
      <c r="I108" s="980">
        <f t="shared" si="1"/>
        <v>1284492</v>
      </c>
      <c r="J108" s="686"/>
      <c r="K108" s="686"/>
    </row>
    <row r="109">
      <c r="A109" s="987" t="s">
        <v>2781</v>
      </c>
      <c r="B109" s="988">
        <v>3.0</v>
      </c>
      <c r="C109" s="989">
        <f>IFERROR(VLOOKUP(A109,stockKJD,9,FALSE)," ")</f>
        <v>1</v>
      </c>
      <c r="D109" s="990" t="s">
        <v>13614</v>
      </c>
      <c r="E109" s="989">
        <v>2.0</v>
      </c>
      <c r="F109" s="686"/>
      <c r="G109" s="686"/>
      <c r="H109" s="688">
        <v>783882.0</v>
      </c>
      <c r="I109" s="980">
        <f t="shared" si="1"/>
        <v>1567764</v>
      </c>
      <c r="J109" s="686"/>
      <c r="K109" s="686"/>
    </row>
    <row r="110">
      <c r="A110" s="987" t="s">
        <v>6750</v>
      </c>
      <c r="B110" s="988">
        <v>3.0</v>
      </c>
      <c r="C110" s="989">
        <f>IFERROR(VLOOKUP(A110,stockKJD,9,FALSE)," ")</f>
        <v>0</v>
      </c>
      <c r="D110" s="990" t="s">
        <v>13614</v>
      </c>
      <c r="E110" s="989">
        <v>2.0</v>
      </c>
      <c r="F110" s="686"/>
      <c r="G110" s="686"/>
      <c r="H110" s="688">
        <v>611721.0</v>
      </c>
      <c r="I110" s="980">
        <f t="shared" si="1"/>
        <v>1223442</v>
      </c>
      <c r="J110" s="686"/>
      <c r="K110" s="686"/>
    </row>
    <row r="111">
      <c r="A111" s="987" t="s">
        <v>6751</v>
      </c>
      <c r="B111" s="988">
        <v>5.0</v>
      </c>
      <c r="C111" s="989">
        <f>IFERROR(VLOOKUP(A111,stockKJD,9,FALSE)," ")</f>
        <v>0</v>
      </c>
      <c r="D111" s="990" t="s">
        <v>13614</v>
      </c>
      <c r="E111" s="989">
        <v>4.0</v>
      </c>
      <c r="F111" s="686"/>
      <c r="G111" s="686"/>
      <c r="H111" s="992">
        <v>761904.0</v>
      </c>
      <c r="I111" s="980">
        <f t="shared" si="1"/>
        <v>3047616</v>
      </c>
      <c r="J111" s="686"/>
      <c r="K111" s="686"/>
    </row>
    <row r="112" hidden="1">
      <c r="A112" s="982" t="s">
        <v>2712</v>
      </c>
      <c r="B112" s="983">
        <v>5.0</v>
      </c>
      <c r="C112" s="984">
        <f>IFERROR(VLOOKUP(A112,stockKJD,9,FALSE)," ")</f>
        <v>1</v>
      </c>
      <c r="D112" s="985" t="s">
        <v>13610</v>
      </c>
      <c r="E112" s="985"/>
      <c r="F112" s="686" t="s">
        <v>13618</v>
      </c>
      <c r="G112" s="686"/>
      <c r="H112" s="686"/>
      <c r="I112" s="980">
        <f t="shared" si="1"/>
        <v>0</v>
      </c>
      <c r="J112" s="686"/>
      <c r="K112" s="686"/>
    </row>
    <row r="113">
      <c r="A113" s="987" t="s">
        <v>6752</v>
      </c>
      <c r="B113" s="988">
        <v>3.0</v>
      </c>
      <c r="C113" s="989">
        <f>IFERROR(VLOOKUP(A113,stockKJD,9,FALSE)," ")</f>
        <v>0</v>
      </c>
      <c r="D113" s="990" t="s">
        <v>13614</v>
      </c>
      <c r="E113" s="989">
        <v>2.0</v>
      </c>
      <c r="F113" s="686"/>
      <c r="G113" s="686"/>
      <c r="H113" s="992">
        <v>663003.0</v>
      </c>
      <c r="I113" s="980">
        <f t="shared" si="1"/>
        <v>1326006</v>
      </c>
      <c r="J113" s="686"/>
      <c r="K113" s="686"/>
    </row>
    <row r="114">
      <c r="A114" s="987" t="s">
        <v>6753</v>
      </c>
      <c r="B114" s="988">
        <v>5.0</v>
      </c>
      <c r="C114" s="989">
        <f>IFERROR(VLOOKUP(A114,stockKJD,9,FALSE)," ")</f>
        <v>0</v>
      </c>
      <c r="D114" s="990" t="s">
        <v>13614</v>
      </c>
      <c r="E114" s="989">
        <v>4.0</v>
      </c>
      <c r="F114" s="686"/>
      <c r="G114" s="686"/>
      <c r="H114" s="992">
        <v>587301.0</v>
      </c>
      <c r="I114" s="980">
        <f t="shared" si="1"/>
        <v>2349204</v>
      </c>
      <c r="J114" s="686"/>
      <c r="K114" s="686"/>
    </row>
    <row r="115">
      <c r="A115" s="987" t="s">
        <v>6754</v>
      </c>
      <c r="B115" s="988">
        <v>5.0</v>
      </c>
      <c r="C115" s="989">
        <f>IFERROR(VLOOKUP(A115,stockKJD,9,FALSE)," ")</f>
        <v>0</v>
      </c>
      <c r="D115" s="990" t="s">
        <v>13614</v>
      </c>
      <c r="E115" s="989">
        <v>4.0</v>
      </c>
      <c r="F115" s="686"/>
      <c r="G115" s="686"/>
      <c r="H115" s="992">
        <v>474969.0</v>
      </c>
      <c r="I115" s="980">
        <f t="shared" si="1"/>
        <v>1899876</v>
      </c>
      <c r="J115" s="686"/>
      <c r="K115" s="686"/>
    </row>
    <row r="116">
      <c r="A116" s="987" t="s">
        <v>4964</v>
      </c>
      <c r="B116" s="988">
        <v>5.0</v>
      </c>
      <c r="C116" s="989">
        <f>IFERROR(VLOOKUP(A116,stockKJD,9,FALSE)," ")</f>
        <v>0</v>
      </c>
      <c r="D116" s="990" t="s">
        <v>13614</v>
      </c>
      <c r="E116" s="989">
        <v>3.0</v>
      </c>
      <c r="F116" s="686"/>
      <c r="G116" s="686"/>
      <c r="H116" s="688">
        <v>653235.0</v>
      </c>
      <c r="I116" s="980">
        <f t="shared" si="1"/>
        <v>1959705</v>
      </c>
      <c r="J116" s="686"/>
      <c r="K116" s="686"/>
    </row>
    <row r="117">
      <c r="A117" s="987" t="s">
        <v>4512</v>
      </c>
      <c r="B117" s="988">
        <v>5.0</v>
      </c>
      <c r="C117" s="989">
        <f>IFERROR(VLOOKUP(A117,stockKJD,9,FALSE)," ")</f>
        <v>0</v>
      </c>
      <c r="D117" s="990" t="s">
        <v>13614</v>
      </c>
      <c r="E117" s="989">
        <v>3.0</v>
      </c>
      <c r="F117" s="686"/>
      <c r="G117" s="686"/>
      <c r="H117" s="688">
        <v>634920.0</v>
      </c>
      <c r="I117" s="980">
        <f t="shared" si="1"/>
        <v>1904760</v>
      </c>
      <c r="J117" s="686"/>
      <c r="K117" s="686"/>
    </row>
    <row r="118">
      <c r="A118" s="987" t="s">
        <v>3594</v>
      </c>
      <c r="B118" s="988">
        <v>5.0</v>
      </c>
      <c r="C118" s="989">
        <f>IFERROR(VLOOKUP(A118,stockKJD,9,FALSE)," ")</f>
        <v>0</v>
      </c>
      <c r="D118" s="990" t="s">
        <v>13614</v>
      </c>
      <c r="E118" s="989">
        <v>3.0</v>
      </c>
      <c r="F118" s="686"/>
      <c r="G118" s="686"/>
      <c r="H118" s="688">
        <v>719169.0</v>
      </c>
      <c r="I118" s="980">
        <f t="shared" si="1"/>
        <v>2157507</v>
      </c>
      <c r="J118" s="686"/>
      <c r="K118" s="686"/>
    </row>
    <row r="119" hidden="1">
      <c r="A119" s="982" t="s">
        <v>12965</v>
      </c>
      <c r="B119" s="983">
        <v>3.0</v>
      </c>
      <c r="C119" s="984">
        <f>IFERROR(VLOOKUP(A119,stockKJD,9,FALSE)," ")</f>
        <v>3</v>
      </c>
      <c r="D119" s="985" t="s">
        <v>13610</v>
      </c>
      <c r="E119" s="985"/>
      <c r="F119" s="686"/>
      <c r="G119" s="686"/>
      <c r="H119" s="686"/>
      <c r="I119" s="980">
        <f t="shared" si="1"/>
        <v>0</v>
      </c>
      <c r="J119" s="686"/>
      <c r="K119" s="686"/>
    </row>
    <row r="120" hidden="1">
      <c r="A120" s="994" t="s">
        <v>12966</v>
      </c>
      <c r="B120" s="983">
        <v>5.0</v>
      </c>
      <c r="C120" s="984">
        <f>IFERROR(VLOOKUP(A120,stockKJD,9,FALSE)," ")</f>
        <v>5</v>
      </c>
      <c r="D120" s="985" t="s">
        <v>13610</v>
      </c>
      <c r="E120" s="985"/>
      <c r="F120" s="686"/>
      <c r="G120" s="686"/>
      <c r="H120" s="686"/>
      <c r="I120" s="980">
        <f t="shared" si="1"/>
        <v>0</v>
      </c>
      <c r="J120" s="686"/>
      <c r="K120" s="686"/>
    </row>
    <row r="121" hidden="1">
      <c r="A121" s="994" t="s">
        <v>12967</v>
      </c>
      <c r="B121" s="983">
        <v>3.0</v>
      </c>
      <c r="C121" s="984">
        <f>IFERROR(VLOOKUP(A121,stockKJD,9,FALSE)," ")</f>
        <v>3</v>
      </c>
      <c r="D121" s="985" t="s">
        <v>13610</v>
      </c>
      <c r="E121" s="985"/>
      <c r="F121" s="686"/>
      <c r="G121" s="686"/>
      <c r="H121" s="686"/>
      <c r="I121" s="980">
        <f t="shared" si="1"/>
        <v>0</v>
      </c>
      <c r="J121" s="686"/>
      <c r="K121" s="686"/>
    </row>
    <row r="122" hidden="1">
      <c r="A122" s="994" t="s">
        <v>12968</v>
      </c>
      <c r="B122" s="983">
        <v>3.0</v>
      </c>
      <c r="C122" s="984">
        <f>IFERROR(VLOOKUP(A122,stockKJD,9,FALSE)," ")</f>
        <v>3</v>
      </c>
      <c r="D122" s="985" t="s">
        <v>13610</v>
      </c>
      <c r="E122" s="985"/>
      <c r="F122" s="686"/>
      <c r="G122" s="686"/>
      <c r="H122" s="686"/>
      <c r="I122" s="980">
        <f t="shared" si="1"/>
        <v>0</v>
      </c>
      <c r="J122" s="686"/>
      <c r="K122" s="686"/>
    </row>
    <row r="123" hidden="1">
      <c r="A123" s="982" t="s">
        <v>2718</v>
      </c>
      <c r="B123" s="983">
        <v>5.0</v>
      </c>
      <c r="C123" s="984">
        <f>IFERROR(VLOOKUP(A123,stockKJD,9,FALSE)," ")</f>
        <v>0</v>
      </c>
      <c r="D123" s="985" t="s">
        <v>13610</v>
      </c>
      <c r="E123" s="985"/>
      <c r="F123" s="686" t="s">
        <v>13618</v>
      </c>
      <c r="G123" s="686"/>
      <c r="H123" s="686"/>
      <c r="I123" s="980">
        <f t="shared" si="1"/>
        <v>0</v>
      </c>
      <c r="J123" s="686"/>
      <c r="K123" s="686"/>
    </row>
    <row r="124">
      <c r="A124" s="987" t="s">
        <v>4178</v>
      </c>
      <c r="B124" s="988">
        <v>10.0</v>
      </c>
      <c r="C124" s="989">
        <f>IFERROR(VLOOKUP(A124,stockKJD,9,FALSE)," ")</f>
        <v>2</v>
      </c>
      <c r="D124" s="990" t="s">
        <v>13614</v>
      </c>
      <c r="E124" s="989">
        <v>3.0</v>
      </c>
      <c r="F124" s="686"/>
      <c r="G124" s="686"/>
      <c r="H124" s="688">
        <v>575091.0</v>
      </c>
      <c r="I124" s="980">
        <f t="shared" si="1"/>
        <v>1725273</v>
      </c>
      <c r="J124" s="686"/>
      <c r="K124" s="686"/>
    </row>
    <row r="125">
      <c r="A125" s="987" t="s">
        <v>6755</v>
      </c>
      <c r="B125" s="988">
        <v>5.0</v>
      </c>
      <c r="C125" s="989">
        <f>IFERROR(VLOOKUP(A125,stockKJD,9,FALSE)," ")</f>
        <v>0</v>
      </c>
      <c r="D125" s="990" t="s">
        <v>13614</v>
      </c>
      <c r="E125" s="989">
        <v>4.0</v>
      </c>
      <c r="F125" s="686"/>
      <c r="G125" s="686"/>
      <c r="H125" s="688">
        <v>583638.0</v>
      </c>
      <c r="I125" s="980">
        <f t="shared" si="1"/>
        <v>2334552</v>
      </c>
      <c r="J125" s="686"/>
      <c r="K125" s="686"/>
    </row>
    <row r="126">
      <c r="A126" s="987" t="s">
        <v>6756</v>
      </c>
      <c r="B126" s="988">
        <v>5.0</v>
      </c>
      <c r="C126" s="989">
        <f>IFERROR(VLOOKUP(A126,stockKJD,9,FALSE)," ")</f>
        <v>2</v>
      </c>
      <c r="D126" s="990" t="s">
        <v>13614</v>
      </c>
      <c r="E126" s="989">
        <v>3.0</v>
      </c>
      <c r="F126" s="686"/>
      <c r="G126" s="686"/>
      <c r="H126" s="688">
        <v>604395.0</v>
      </c>
      <c r="I126" s="980">
        <f t="shared" si="1"/>
        <v>1813185</v>
      </c>
      <c r="J126" s="686"/>
      <c r="K126" s="686"/>
    </row>
    <row r="127" hidden="1">
      <c r="A127" s="982" t="s">
        <v>3526</v>
      </c>
      <c r="B127" s="983">
        <v>5.0</v>
      </c>
      <c r="C127" s="984">
        <f>IFERROR(VLOOKUP(A127,stockKJD,9,FALSE)," ")</f>
        <v>0</v>
      </c>
      <c r="D127" s="985" t="s">
        <v>13610</v>
      </c>
      <c r="E127" s="985"/>
      <c r="F127" s="686"/>
      <c r="G127" s="686"/>
      <c r="H127" s="686"/>
      <c r="I127" s="980">
        <f t="shared" si="1"/>
        <v>0</v>
      </c>
      <c r="J127" s="686"/>
      <c r="K127" s="686"/>
    </row>
    <row r="128" hidden="1">
      <c r="A128" s="982" t="s">
        <v>5907</v>
      </c>
      <c r="B128" s="983">
        <v>5.0</v>
      </c>
      <c r="C128" s="984">
        <f>IFERROR(VLOOKUP(A128,stockKJD,9,FALSE)," ")</f>
        <v>0</v>
      </c>
      <c r="D128" s="985" t="s">
        <v>13610</v>
      </c>
      <c r="E128" s="985"/>
      <c r="F128" s="686"/>
      <c r="G128" s="686"/>
      <c r="H128" s="686"/>
      <c r="I128" s="980">
        <f t="shared" si="1"/>
        <v>0</v>
      </c>
      <c r="J128" s="686"/>
      <c r="K128" s="686"/>
    </row>
    <row r="129">
      <c r="A129" s="987" t="s">
        <v>6757</v>
      </c>
      <c r="B129" s="988">
        <v>5.0</v>
      </c>
      <c r="C129" s="989">
        <f>IFERROR(VLOOKUP(A129,stockKJD,9,FALSE)," ")</f>
        <v>1</v>
      </c>
      <c r="D129" s="990" t="s">
        <v>13614</v>
      </c>
      <c r="E129" s="989">
        <v>2.0</v>
      </c>
      <c r="F129" s="686" t="s">
        <v>11527</v>
      </c>
      <c r="G129" s="686"/>
      <c r="H129" s="688">
        <v>488400.0</v>
      </c>
      <c r="I129" s="980">
        <f t="shared" si="1"/>
        <v>976800</v>
      </c>
      <c r="J129" s="686"/>
      <c r="K129" s="686"/>
    </row>
    <row r="130" hidden="1">
      <c r="A130" s="982" t="s">
        <v>2541</v>
      </c>
      <c r="B130" s="983">
        <v>5.0</v>
      </c>
      <c r="C130" s="984">
        <f>IFERROR(VLOOKUP(A130,stockKJD,9,FALSE)," ")</f>
        <v>7</v>
      </c>
      <c r="D130" s="985" t="s">
        <v>13610</v>
      </c>
      <c r="E130" s="985"/>
      <c r="F130" s="686"/>
      <c r="G130" s="686"/>
      <c r="H130" s="686"/>
      <c r="I130" s="980">
        <f t="shared" si="1"/>
        <v>0</v>
      </c>
      <c r="J130" s="686"/>
      <c r="K130" s="686"/>
    </row>
    <row r="131">
      <c r="A131" s="987" t="s">
        <v>2651</v>
      </c>
      <c r="B131" s="988">
        <v>5.0</v>
      </c>
      <c r="C131" s="989">
        <f>IFERROR(VLOOKUP(A131,stockKJD,9,FALSE)," ")</f>
        <v>2</v>
      </c>
      <c r="D131" s="990" t="s">
        <v>13610</v>
      </c>
      <c r="E131" s="989">
        <v>2.0</v>
      </c>
      <c r="F131" s="686"/>
      <c r="G131" s="686"/>
      <c r="H131" s="688">
        <v>492063.0</v>
      </c>
      <c r="I131" s="980">
        <f t="shared" si="1"/>
        <v>984126</v>
      </c>
      <c r="J131" s="686"/>
      <c r="K131" s="686"/>
    </row>
  </sheetData>
  <autoFilter ref="$A$1:$Z$131">
    <filterColumn colId="4">
      <filters>
        <filter val="0"/>
        <filter val="1"/>
        <filter val="2"/>
        <filter val="3"/>
        <filter val="4"/>
        <filter val="5"/>
        <filter val="7"/>
        <filter val="10"/>
      </filters>
    </filterColumn>
  </autoFilter>
  <dataValidations>
    <dataValidation type="list" allowBlank="1" showErrorMessage="1" sqref="A2 A7:A9">
      <formula1>'Current Stock'!$A$3:$A$1790</formula1>
    </dataValidation>
    <dataValidation type="list" allowBlank="1" showErrorMessage="1" sqref="D2:D131">
      <formula1>"KIRIM,KEEP,PRORATE"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2.43"/>
    <col customWidth="1" min="3" max="5" width="18.43"/>
    <col customWidth="1" min="12" max="12" width="22.0"/>
  </cols>
  <sheetData>
    <row r="1">
      <c r="A1" s="978" t="s">
        <v>2902</v>
      </c>
      <c r="B1" s="978" t="s">
        <v>13608</v>
      </c>
      <c r="C1" s="995" t="s">
        <v>13619</v>
      </c>
      <c r="D1" s="978" t="s">
        <v>13609</v>
      </c>
      <c r="E1" s="995" t="s">
        <v>13620</v>
      </c>
      <c r="F1" s="978" t="s">
        <v>11466</v>
      </c>
      <c r="G1" s="979" t="s">
        <v>12146</v>
      </c>
      <c r="H1" s="686" t="s">
        <v>3671</v>
      </c>
      <c r="I1" s="686" t="s">
        <v>4544</v>
      </c>
      <c r="J1" s="996" t="s">
        <v>13621</v>
      </c>
      <c r="K1" s="997" t="s">
        <v>13622</v>
      </c>
      <c r="L1" s="998" t="s">
        <v>13623</v>
      </c>
      <c r="M1" s="980"/>
    </row>
    <row r="2">
      <c r="A2" s="987" t="s">
        <v>2720</v>
      </c>
      <c r="B2" s="988">
        <v>10.0</v>
      </c>
      <c r="C2" s="989">
        <f>IFERROR(VLOOKUP(A2,stockKJD,8,FALSE)," ")</f>
        <v>10</v>
      </c>
      <c r="D2" s="989">
        <f>IFERROR(VLOOKUP(A2,stockKJD,9,FALSE)," ")</f>
        <v>1</v>
      </c>
      <c r="E2" s="989" t="str">
        <f t="shared" ref="E2:E78" si="1">IF(B2&lt;=C2,"Sold","No")</f>
        <v>Sold</v>
      </c>
      <c r="F2" s="990" t="s">
        <v>13614</v>
      </c>
      <c r="G2" s="989">
        <v>5.0</v>
      </c>
      <c r="H2" s="686"/>
      <c r="I2" s="686"/>
      <c r="J2" s="991">
        <v>488400.0</v>
      </c>
      <c r="K2" s="980">
        <f t="shared" ref="K2:K78" si="2">G2*J2</f>
        <v>2442000</v>
      </c>
      <c r="L2" s="999">
        <f t="shared" ref="L2:L78" si="3">C2*J2</f>
        <v>4884000</v>
      </c>
      <c r="M2" s="686"/>
    </row>
    <row r="3">
      <c r="A3" s="987" t="s">
        <v>6734</v>
      </c>
      <c r="B3" s="988">
        <v>3.0</v>
      </c>
      <c r="C3" s="989" t="str">
        <f>IFERROR(VLOOKUP(A3,stockKJD,8,FALSE)," ")</f>
        <v> </v>
      </c>
      <c r="D3" s="989" t="str">
        <f>IFERROR(VLOOKUP(A3,stockKJD,9,FALSE)," ")</f>
        <v> </v>
      </c>
      <c r="E3" s="989" t="str">
        <f t="shared" si="1"/>
        <v>Sold</v>
      </c>
      <c r="F3" s="990" t="s">
        <v>11466</v>
      </c>
      <c r="G3" s="989">
        <v>3.0</v>
      </c>
      <c r="H3" s="686"/>
      <c r="I3" s="686"/>
      <c r="J3" s="992">
        <v>273504.0</v>
      </c>
      <c r="K3" s="980">
        <f t="shared" si="2"/>
        <v>820512</v>
      </c>
      <c r="L3" s="999" t="str">
        <f t="shared" si="3"/>
        <v>#VALUE!</v>
      </c>
      <c r="M3" s="686"/>
    </row>
    <row r="4">
      <c r="A4" s="987" t="s">
        <v>6735</v>
      </c>
      <c r="B4" s="988">
        <v>2.0</v>
      </c>
      <c r="C4" s="989">
        <f>IFERROR(VLOOKUP(A4,stockKJD,8,FALSE)," ")</f>
        <v>2</v>
      </c>
      <c r="D4" s="989">
        <f>IFERROR(VLOOKUP(A4,stockKJD,9,FALSE)," ")</f>
        <v>0</v>
      </c>
      <c r="E4" s="989" t="str">
        <f t="shared" si="1"/>
        <v>Sold</v>
      </c>
      <c r="F4" s="990" t="s">
        <v>11466</v>
      </c>
      <c r="G4" s="989">
        <v>1.0</v>
      </c>
      <c r="H4" s="686"/>
      <c r="I4" s="686"/>
      <c r="J4" s="992">
        <v>273504.0</v>
      </c>
      <c r="K4" s="980">
        <f t="shared" si="2"/>
        <v>273504</v>
      </c>
      <c r="L4" s="999">
        <f t="shared" si="3"/>
        <v>547008</v>
      </c>
      <c r="M4" s="686"/>
    </row>
    <row r="5">
      <c r="A5" s="987" t="s">
        <v>6043</v>
      </c>
      <c r="B5" s="988">
        <v>5.0</v>
      </c>
      <c r="C5" s="989">
        <f>IFERROR(VLOOKUP(A5,stockKJD,8,FALSE)," ")</f>
        <v>7</v>
      </c>
      <c r="D5" s="989">
        <f>IFERROR(VLOOKUP(A5,stockKJD,9,FALSE)," ")</f>
        <v>1</v>
      </c>
      <c r="E5" s="989" t="str">
        <f t="shared" si="1"/>
        <v>Sold</v>
      </c>
      <c r="F5" s="990" t="s">
        <v>13614</v>
      </c>
      <c r="G5" s="989">
        <v>3.0</v>
      </c>
      <c r="H5" s="686"/>
      <c r="I5" s="686"/>
      <c r="J5" s="991">
        <v>472527.0</v>
      </c>
      <c r="K5" s="980">
        <f t="shared" si="2"/>
        <v>1417581</v>
      </c>
      <c r="L5" s="999">
        <f t="shared" si="3"/>
        <v>3307689</v>
      </c>
      <c r="M5" s="686"/>
    </row>
    <row r="6">
      <c r="A6" s="987" t="s">
        <v>6544</v>
      </c>
      <c r="B6" s="988">
        <v>5.0</v>
      </c>
      <c r="C6" s="989">
        <f>IFERROR(VLOOKUP(A6,stockKJD,8,FALSE)," ")</f>
        <v>7</v>
      </c>
      <c r="D6" s="989">
        <f>IFERROR(VLOOKUP(A6,stockKJD,9,FALSE)," ")</f>
        <v>0</v>
      </c>
      <c r="E6" s="989" t="str">
        <f t="shared" si="1"/>
        <v>Sold</v>
      </c>
      <c r="F6" s="990" t="s">
        <v>13614</v>
      </c>
      <c r="G6" s="989">
        <v>3.0</v>
      </c>
      <c r="H6" s="686"/>
      <c r="I6" s="686"/>
      <c r="J6" s="991">
        <v>557997.0</v>
      </c>
      <c r="K6" s="980">
        <f t="shared" si="2"/>
        <v>1673991</v>
      </c>
      <c r="L6" s="999">
        <f t="shared" si="3"/>
        <v>3905979</v>
      </c>
      <c r="M6" s="686"/>
    </row>
    <row r="7">
      <c r="A7" s="987" t="s">
        <v>3865</v>
      </c>
      <c r="B7" s="988">
        <v>5.0</v>
      </c>
      <c r="C7" s="989">
        <f>IFERROR(VLOOKUP(A7,stockKJD,8,FALSE)," ")</f>
        <v>5</v>
      </c>
      <c r="D7" s="989">
        <f>IFERROR(VLOOKUP(A7,stockKJD,9,FALSE)," ")</f>
        <v>0</v>
      </c>
      <c r="E7" s="989" t="str">
        <f t="shared" si="1"/>
        <v>Sold</v>
      </c>
      <c r="F7" s="1000" t="s">
        <v>13614</v>
      </c>
      <c r="G7" s="989">
        <v>2.0</v>
      </c>
      <c r="H7" s="686"/>
      <c r="I7" s="686"/>
      <c r="J7" s="991">
        <v>570207.0</v>
      </c>
      <c r="K7" s="980">
        <f t="shared" si="2"/>
        <v>1140414</v>
      </c>
      <c r="L7" s="999">
        <f t="shared" si="3"/>
        <v>2851035</v>
      </c>
      <c r="M7" s="686"/>
    </row>
    <row r="8">
      <c r="A8" s="987" t="s">
        <v>5546</v>
      </c>
      <c r="B8" s="988">
        <v>5.0</v>
      </c>
      <c r="C8" s="989">
        <f>IFERROR(VLOOKUP(A8,stockKJD,8,FALSE)," ")</f>
        <v>5</v>
      </c>
      <c r="D8" s="989">
        <f>IFERROR(VLOOKUP(A8,stockKJD,9,FALSE)," ")</f>
        <v>0</v>
      </c>
      <c r="E8" s="989" t="str">
        <f t="shared" si="1"/>
        <v>Sold</v>
      </c>
      <c r="F8" s="1000" t="s">
        <v>13614</v>
      </c>
      <c r="G8" s="989">
        <v>2.0</v>
      </c>
      <c r="H8" s="686"/>
      <c r="I8" s="686"/>
      <c r="J8" s="991">
        <v>641025.0</v>
      </c>
      <c r="K8" s="980">
        <f t="shared" si="2"/>
        <v>1282050</v>
      </c>
      <c r="L8" s="999">
        <f t="shared" si="3"/>
        <v>3205125</v>
      </c>
      <c r="M8" s="686"/>
    </row>
    <row r="9">
      <c r="A9" s="987" t="s">
        <v>3127</v>
      </c>
      <c r="B9" s="988">
        <v>20.0</v>
      </c>
      <c r="C9" s="989">
        <f>IFERROR(VLOOKUP(A9,stockKJD,8,FALSE)," ")</f>
        <v>40</v>
      </c>
      <c r="D9" s="989">
        <f>IFERROR(VLOOKUP(A9,stockKJD,9,FALSE)," ")</f>
        <v>2</v>
      </c>
      <c r="E9" s="989" t="str">
        <f t="shared" si="1"/>
        <v>Sold</v>
      </c>
      <c r="F9" s="990" t="s">
        <v>11466</v>
      </c>
      <c r="G9" s="989">
        <v>10.0</v>
      </c>
      <c r="H9" s="686"/>
      <c r="I9" s="686"/>
      <c r="J9" s="992">
        <v>327305.0</v>
      </c>
      <c r="K9" s="980">
        <f t="shared" si="2"/>
        <v>3273050</v>
      </c>
      <c r="L9" s="999">
        <f t="shared" si="3"/>
        <v>13092200</v>
      </c>
      <c r="M9" s="686"/>
    </row>
    <row r="10">
      <c r="A10" s="987" t="s">
        <v>2753</v>
      </c>
      <c r="B10" s="988">
        <v>5.0</v>
      </c>
      <c r="C10" s="989">
        <f>IFERROR(VLOOKUP(A10,stockKJD,8,FALSE)," ")</f>
        <v>7</v>
      </c>
      <c r="D10" s="989">
        <f>IFERROR(VLOOKUP(A10,stockKJD,9,FALSE)," ")</f>
        <v>5</v>
      </c>
      <c r="E10" s="989" t="str">
        <f t="shared" si="1"/>
        <v>Sold</v>
      </c>
      <c r="F10" s="990" t="s">
        <v>13614</v>
      </c>
      <c r="G10" s="989">
        <v>2.0</v>
      </c>
      <c r="H10" s="686"/>
      <c r="I10" s="686"/>
      <c r="J10" s="991">
        <v>300000.0</v>
      </c>
      <c r="K10" s="980">
        <f t="shared" si="2"/>
        <v>600000</v>
      </c>
      <c r="L10" s="999">
        <f t="shared" si="3"/>
        <v>2100000</v>
      </c>
      <c r="M10" s="686"/>
    </row>
    <row r="11">
      <c r="A11" s="987" t="s">
        <v>6738</v>
      </c>
      <c r="B11" s="988">
        <v>2.0</v>
      </c>
      <c r="C11" s="989">
        <f>IFERROR(VLOOKUP(A11,stockKJD,8,FALSE)," ")</f>
        <v>4</v>
      </c>
      <c r="D11" s="989">
        <f>IFERROR(VLOOKUP(A11,stockKJD,9,FALSE)," ")</f>
        <v>1</v>
      </c>
      <c r="E11" s="989" t="str">
        <f t="shared" si="1"/>
        <v>Sold</v>
      </c>
      <c r="F11" s="990" t="s">
        <v>11466</v>
      </c>
      <c r="G11" s="989">
        <f>D11</f>
        <v>1</v>
      </c>
      <c r="H11" s="686"/>
      <c r="I11" s="686"/>
      <c r="J11" s="992">
        <v>589600.0</v>
      </c>
      <c r="K11" s="980">
        <f t="shared" si="2"/>
        <v>589600</v>
      </c>
      <c r="L11" s="999">
        <f t="shared" si="3"/>
        <v>2358400</v>
      </c>
      <c r="M11" s="686"/>
    </row>
    <row r="12">
      <c r="A12" s="987" t="s">
        <v>4782</v>
      </c>
      <c r="B12" s="988">
        <v>2.0</v>
      </c>
      <c r="C12" s="989">
        <f>IFERROR(VLOOKUP(A12,stockKJD,8,FALSE)," ")</f>
        <v>7</v>
      </c>
      <c r="D12" s="1001">
        <v>2.0</v>
      </c>
      <c r="E12" s="989" t="str">
        <f t="shared" si="1"/>
        <v>Sold</v>
      </c>
      <c r="F12" s="990" t="s">
        <v>11466</v>
      </c>
      <c r="G12" s="989">
        <v>2.0</v>
      </c>
      <c r="H12" s="686"/>
      <c r="I12" s="686"/>
      <c r="J12" s="992">
        <v>531300.0</v>
      </c>
      <c r="K12" s="980">
        <f t="shared" si="2"/>
        <v>1062600</v>
      </c>
      <c r="L12" s="999">
        <f t="shared" si="3"/>
        <v>3719100</v>
      </c>
      <c r="M12" s="686"/>
    </row>
    <row r="13">
      <c r="A13" s="987" t="s">
        <v>4183</v>
      </c>
      <c r="B13" s="988">
        <v>2.0</v>
      </c>
      <c r="C13" s="989">
        <f>IFERROR(VLOOKUP(A13,stockKJD,8,FALSE)," ")</f>
        <v>6</v>
      </c>
      <c r="D13" s="1001">
        <v>2.0</v>
      </c>
      <c r="E13" s="989" t="str">
        <f t="shared" si="1"/>
        <v>Sold</v>
      </c>
      <c r="F13" s="990" t="s">
        <v>11466</v>
      </c>
      <c r="G13" s="989">
        <v>2.0</v>
      </c>
      <c r="H13" s="686"/>
      <c r="I13" s="686"/>
      <c r="J13" s="992">
        <v>363000.0</v>
      </c>
      <c r="K13" s="980">
        <f t="shared" si="2"/>
        <v>726000</v>
      </c>
      <c r="L13" s="999">
        <f t="shared" si="3"/>
        <v>2178000</v>
      </c>
      <c r="M13" s="686"/>
    </row>
    <row r="14">
      <c r="A14" s="987" t="s">
        <v>3638</v>
      </c>
      <c r="B14" s="988">
        <v>2.0</v>
      </c>
      <c r="C14" s="989">
        <f>IFERROR(VLOOKUP(A14,stockKJD,8,FALSE)," ")</f>
        <v>8</v>
      </c>
      <c r="D14" s="989">
        <f>IFERROR(VLOOKUP(A14,stockKJD,9,FALSE)," ")</f>
        <v>1</v>
      </c>
      <c r="E14" s="989" t="str">
        <f t="shared" si="1"/>
        <v>Sold</v>
      </c>
      <c r="F14" s="990" t="s">
        <v>11466</v>
      </c>
      <c r="G14" s="989">
        <f>D14</f>
        <v>1</v>
      </c>
      <c r="H14" s="686"/>
      <c r="I14" s="686"/>
      <c r="J14" s="992">
        <v>321255.0</v>
      </c>
      <c r="K14" s="980">
        <f t="shared" si="2"/>
        <v>321255</v>
      </c>
      <c r="L14" s="999">
        <f t="shared" si="3"/>
        <v>2570040</v>
      </c>
      <c r="M14" s="686"/>
    </row>
    <row r="15">
      <c r="A15" s="987" t="s">
        <v>3877</v>
      </c>
      <c r="B15" s="988">
        <v>2.0</v>
      </c>
      <c r="C15" s="989">
        <f>IFERROR(VLOOKUP(A15,stockKJD,8,FALSE)," ")</f>
        <v>5</v>
      </c>
      <c r="D15" s="989">
        <f>IFERROR(VLOOKUP(A15,stockKJD,9,FALSE)," ")</f>
        <v>2</v>
      </c>
      <c r="E15" s="989" t="str">
        <f t="shared" si="1"/>
        <v>Sold</v>
      </c>
      <c r="F15" s="990" t="s">
        <v>11466</v>
      </c>
      <c r="G15" s="1001">
        <v>0.0</v>
      </c>
      <c r="H15" s="686"/>
      <c r="I15" s="686"/>
      <c r="J15" s="992">
        <v>566500.0</v>
      </c>
      <c r="K15" s="980">
        <f t="shared" si="2"/>
        <v>0</v>
      </c>
      <c r="L15" s="999">
        <f t="shared" si="3"/>
        <v>2832500</v>
      </c>
      <c r="M15" s="686"/>
    </row>
    <row r="16">
      <c r="A16" s="987" t="s">
        <v>6739</v>
      </c>
      <c r="B16" s="988">
        <v>2.0</v>
      </c>
      <c r="C16" s="989">
        <f>IFERROR(VLOOKUP(A16,stockKJD,8,FALSE)," ")</f>
        <v>2</v>
      </c>
      <c r="D16" s="989">
        <f>IFERROR(VLOOKUP(A16,stockKJD,9,FALSE)," ")</f>
        <v>0</v>
      </c>
      <c r="E16" s="989" t="str">
        <f t="shared" si="1"/>
        <v>Sold</v>
      </c>
      <c r="F16" s="990" t="s">
        <v>11466</v>
      </c>
      <c r="G16" s="989">
        <f>D16</f>
        <v>0</v>
      </c>
      <c r="H16" s="686"/>
      <c r="I16" s="686"/>
      <c r="J16" s="992">
        <v>566500.0</v>
      </c>
      <c r="K16" s="980">
        <f t="shared" si="2"/>
        <v>0</v>
      </c>
      <c r="L16" s="999">
        <f t="shared" si="3"/>
        <v>1133000</v>
      </c>
      <c r="M16" s="686"/>
    </row>
    <row r="17">
      <c r="A17" s="987" t="s">
        <v>2744</v>
      </c>
      <c r="B17" s="988">
        <v>2.0</v>
      </c>
      <c r="C17" s="989">
        <f>IFERROR(VLOOKUP(A17,stockKJD,8,FALSE)," ")</f>
        <v>9</v>
      </c>
      <c r="D17" s="989">
        <f>IFERROR(VLOOKUP(A17,stockKJD,9,FALSE)," ")</f>
        <v>2</v>
      </c>
      <c r="E17" s="989" t="str">
        <f t="shared" si="1"/>
        <v>Sold</v>
      </c>
      <c r="F17" s="990" t="s">
        <v>11466</v>
      </c>
      <c r="G17" s="1001">
        <v>0.0</v>
      </c>
      <c r="H17" s="686"/>
      <c r="I17" s="686" t="s">
        <v>13616</v>
      </c>
      <c r="J17" s="992">
        <v>863500.0</v>
      </c>
      <c r="K17" s="980">
        <f t="shared" si="2"/>
        <v>0</v>
      </c>
      <c r="L17" s="999">
        <f t="shared" si="3"/>
        <v>7771500</v>
      </c>
      <c r="M17" s="686"/>
    </row>
    <row r="18">
      <c r="A18" s="987" t="s">
        <v>3031</v>
      </c>
      <c r="B18" s="988">
        <v>2.0</v>
      </c>
      <c r="C18" s="989">
        <f>IFERROR(VLOOKUP(A18,stockKJD,8,FALSE)," ")</f>
        <v>2</v>
      </c>
      <c r="D18" s="989">
        <f>IFERROR(VLOOKUP(A18,stockKJD,9,FALSE)," ")</f>
        <v>1</v>
      </c>
      <c r="E18" s="989" t="str">
        <f t="shared" si="1"/>
        <v>Sold</v>
      </c>
      <c r="F18" s="990" t="s">
        <v>11466</v>
      </c>
      <c r="G18" s="1001">
        <v>0.0</v>
      </c>
      <c r="H18" s="686"/>
      <c r="I18" s="686"/>
      <c r="J18" s="992">
        <v>769560.0</v>
      </c>
      <c r="K18" s="980">
        <f t="shared" si="2"/>
        <v>0</v>
      </c>
      <c r="L18" s="999">
        <f t="shared" si="3"/>
        <v>1539120</v>
      </c>
      <c r="M18" s="686"/>
    </row>
    <row r="19">
      <c r="A19" s="987" t="s">
        <v>6740</v>
      </c>
      <c r="B19" s="988">
        <v>2.0</v>
      </c>
      <c r="C19" s="989">
        <f>IFERROR(VLOOKUP(A19,stockKJD,8,FALSE)," ")</f>
        <v>2</v>
      </c>
      <c r="D19" s="989">
        <f>IFERROR(VLOOKUP(A19,stockKJD,9,FALSE)," ")</f>
        <v>1</v>
      </c>
      <c r="E19" s="989" t="str">
        <f t="shared" si="1"/>
        <v>Sold</v>
      </c>
      <c r="F19" s="990" t="s">
        <v>11466</v>
      </c>
      <c r="G19" s="989">
        <f>D19</f>
        <v>1</v>
      </c>
      <c r="H19" s="686"/>
      <c r="I19" s="686"/>
      <c r="J19" s="992">
        <v>654500.0</v>
      </c>
      <c r="K19" s="980">
        <f t="shared" si="2"/>
        <v>654500</v>
      </c>
      <c r="L19" s="999">
        <f t="shared" si="3"/>
        <v>1309000</v>
      </c>
      <c r="M19" s="686"/>
    </row>
    <row r="20">
      <c r="A20" s="987" t="s">
        <v>6319</v>
      </c>
      <c r="B20" s="988">
        <v>2.0</v>
      </c>
      <c r="C20" s="989">
        <f>IFERROR(VLOOKUP(A20,stockKJD,8,FALSE)," ")</f>
        <v>2</v>
      </c>
      <c r="D20" s="989">
        <f>IFERROR(VLOOKUP(A20,stockKJD,9,FALSE)," ")</f>
        <v>1</v>
      </c>
      <c r="E20" s="989" t="str">
        <f t="shared" si="1"/>
        <v>Sold</v>
      </c>
      <c r="F20" s="990" t="s">
        <v>11466</v>
      </c>
      <c r="G20" s="1001">
        <v>0.0</v>
      </c>
      <c r="H20" s="686"/>
      <c r="I20" s="686"/>
      <c r="J20" s="992">
        <v>676995.0</v>
      </c>
      <c r="K20" s="980">
        <f t="shared" si="2"/>
        <v>0</v>
      </c>
      <c r="L20" s="999">
        <f t="shared" si="3"/>
        <v>1353990</v>
      </c>
      <c r="M20" s="686"/>
    </row>
    <row r="21">
      <c r="A21" s="987" t="s">
        <v>3050</v>
      </c>
      <c r="B21" s="988">
        <v>2.0</v>
      </c>
      <c r="C21" s="989">
        <f>IFERROR(VLOOKUP(A21,stockKJD,8,FALSE)," ")</f>
        <v>5</v>
      </c>
      <c r="D21" s="989">
        <f>IFERROR(VLOOKUP(A21,stockKJD,9,FALSE)," ")</f>
        <v>1</v>
      </c>
      <c r="E21" s="989" t="str">
        <f t="shared" si="1"/>
        <v>Sold</v>
      </c>
      <c r="F21" s="990" t="s">
        <v>11466</v>
      </c>
      <c r="G21" s="989">
        <f t="shared" ref="G21:G22" si="4">D21</f>
        <v>1</v>
      </c>
      <c r="H21" s="686"/>
      <c r="I21" s="686"/>
      <c r="J21" s="992">
        <v>315700.0</v>
      </c>
      <c r="K21" s="980">
        <f t="shared" si="2"/>
        <v>315700</v>
      </c>
      <c r="L21" s="999">
        <f t="shared" si="3"/>
        <v>1578500</v>
      </c>
      <c r="M21" s="686"/>
    </row>
    <row r="22">
      <c r="A22" s="987" t="s">
        <v>5308</v>
      </c>
      <c r="B22" s="988">
        <v>2.0</v>
      </c>
      <c r="C22" s="989">
        <f>IFERROR(VLOOKUP(A22,stockKJD,8,FALSE)," ")</f>
        <v>3</v>
      </c>
      <c r="D22" s="989">
        <f>IFERROR(VLOOKUP(A22,stockKJD,9,FALSE)," ")</f>
        <v>1</v>
      </c>
      <c r="E22" s="989" t="str">
        <f t="shared" si="1"/>
        <v>Sold</v>
      </c>
      <c r="F22" s="990" t="s">
        <v>11466</v>
      </c>
      <c r="G22" s="989">
        <f t="shared" si="4"/>
        <v>1</v>
      </c>
      <c r="H22" s="686"/>
      <c r="I22" s="686"/>
      <c r="J22" s="992">
        <v>572000.0</v>
      </c>
      <c r="K22" s="980">
        <f t="shared" si="2"/>
        <v>572000</v>
      </c>
      <c r="L22" s="999">
        <f t="shared" si="3"/>
        <v>1716000</v>
      </c>
      <c r="M22" s="686"/>
    </row>
    <row r="23">
      <c r="A23" s="987" t="s">
        <v>3168</v>
      </c>
      <c r="B23" s="988">
        <v>2.0</v>
      </c>
      <c r="C23" s="989">
        <f>IFERROR(VLOOKUP(A23,stockKJD,8,FALSE)," ")</f>
        <v>11</v>
      </c>
      <c r="D23" s="1001">
        <v>2.0</v>
      </c>
      <c r="E23" s="989" t="str">
        <f t="shared" si="1"/>
        <v>Sold</v>
      </c>
      <c r="F23" s="990" t="s">
        <v>11466</v>
      </c>
      <c r="G23" s="989">
        <v>2.0</v>
      </c>
      <c r="H23" s="686"/>
      <c r="I23" s="686"/>
      <c r="J23" s="992">
        <v>420000.0</v>
      </c>
      <c r="K23" s="980">
        <f t="shared" si="2"/>
        <v>840000</v>
      </c>
      <c r="L23" s="999">
        <f t="shared" si="3"/>
        <v>4620000</v>
      </c>
      <c r="M23" s="686"/>
    </row>
    <row r="24">
      <c r="A24" s="987" t="s">
        <v>3426</v>
      </c>
      <c r="B24" s="988">
        <v>2.0</v>
      </c>
      <c r="C24" s="989">
        <f>IFERROR(VLOOKUP(A24,stockKJD,8,FALSE)," ")</f>
        <v>4</v>
      </c>
      <c r="D24" s="1001">
        <v>2.0</v>
      </c>
      <c r="E24" s="989" t="str">
        <f t="shared" si="1"/>
        <v>Sold</v>
      </c>
      <c r="F24" s="990" t="s">
        <v>11466</v>
      </c>
      <c r="G24" s="989">
        <v>2.0</v>
      </c>
      <c r="H24" s="686"/>
      <c r="I24" s="686"/>
      <c r="J24" s="992">
        <v>361900.0</v>
      </c>
      <c r="K24" s="980">
        <f t="shared" si="2"/>
        <v>723800</v>
      </c>
      <c r="L24" s="999">
        <f t="shared" si="3"/>
        <v>1447600</v>
      </c>
      <c r="M24" s="686"/>
    </row>
    <row r="25">
      <c r="A25" s="987" t="s">
        <v>3574</v>
      </c>
      <c r="B25" s="988">
        <v>2.0</v>
      </c>
      <c r="C25" s="989">
        <f>IFERROR(VLOOKUP(A25,stockKJD,8,FALSE)," ")</f>
        <v>8</v>
      </c>
      <c r="D25" s="989">
        <f>IFERROR(VLOOKUP(A25,stockKJD,9,FALSE)," ")</f>
        <v>2</v>
      </c>
      <c r="E25" s="989" t="str">
        <f t="shared" si="1"/>
        <v>Sold</v>
      </c>
      <c r="F25" s="990" t="s">
        <v>11466</v>
      </c>
      <c r="G25" s="1001">
        <v>0.0</v>
      </c>
      <c r="H25" s="686"/>
      <c r="I25" s="686"/>
      <c r="J25" s="992">
        <v>385000.0</v>
      </c>
      <c r="K25" s="980">
        <f t="shared" si="2"/>
        <v>0</v>
      </c>
      <c r="L25" s="999">
        <f t="shared" si="3"/>
        <v>3080000</v>
      </c>
      <c r="M25" s="686"/>
    </row>
    <row r="26">
      <c r="A26" s="987" t="s">
        <v>3227</v>
      </c>
      <c r="B26" s="988">
        <v>2.0</v>
      </c>
      <c r="C26" s="989">
        <f>IFERROR(VLOOKUP(A26,stockKJD,8,FALSE)," ")</f>
        <v>5</v>
      </c>
      <c r="D26" s="1001">
        <v>2.0</v>
      </c>
      <c r="E26" s="989" t="str">
        <f t="shared" si="1"/>
        <v>Sold</v>
      </c>
      <c r="F26" s="990" t="s">
        <v>11466</v>
      </c>
      <c r="G26" s="989">
        <v>2.0</v>
      </c>
      <c r="H26" s="686"/>
      <c r="I26" s="686"/>
      <c r="J26" s="992">
        <v>409200.0</v>
      </c>
      <c r="K26" s="980">
        <f t="shared" si="2"/>
        <v>818400</v>
      </c>
      <c r="L26" s="999">
        <f t="shared" si="3"/>
        <v>2046000</v>
      </c>
      <c r="M26" s="686"/>
    </row>
    <row r="27">
      <c r="A27" s="987" t="s">
        <v>3033</v>
      </c>
      <c r="B27" s="988">
        <v>2.0</v>
      </c>
      <c r="C27" s="989">
        <f>IFERROR(VLOOKUP(A27,stockKJD,8,FALSE)," ")</f>
        <v>11</v>
      </c>
      <c r="D27" s="1001">
        <v>2.0</v>
      </c>
      <c r="E27" s="989" t="str">
        <f t="shared" si="1"/>
        <v>Sold</v>
      </c>
      <c r="F27" s="990" t="s">
        <v>11466</v>
      </c>
      <c r="G27" s="989">
        <v>2.0</v>
      </c>
      <c r="H27" s="686"/>
      <c r="I27" s="686"/>
      <c r="J27" s="992">
        <v>572000.0</v>
      </c>
      <c r="K27" s="980">
        <f t="shared" si="2"/>
        <v>1144000</v>
      </c>
      <c r="L27" s="999">
        <f t="shared" si="3"/>
        <v>6292000</v>
      </c>
      <c r="M27" s="686"/>
    </row>
    <row r="28">
      <c r="A28" s="987" t="s">
        <v>5241</v>
      </c>
      <c r="B28" s="988">
        <v>2.0</v>
      </c>
      <c r="C28" s="989">
        <f>IFERROR(VLOOKUP(A28,stockKJD,8,FALSE)," ")</f>
        <v>3</v>
      </c>
      <c r="D28" s="989">
        <f>IFERROR(VLOOKUP(A28,stockKJD,9,FALSE)," ")</f>
        <v>3</v>
      </c>
      <c r="E28" s="989" t="str">
        <f t="shared" si="1"/>
        <v>Sold</v>
      </c>
      <c r="F28" s="990" t="s">
        <v>11466</v>
      </c>
      <c r="G28" s="1001">
        <v>0.0</v>
      </c>
      <c r="H28" s="686"/>
      <c r="I28" s="686"/>
      <c r="J28" s="992">
        <v>508200.0</v>
      </c>
      <c r="K28" s="980">
        <f t="shared" si="2"/>
        <v>0</v>
      </c>
      <c r="L28" s="999">
        <f t="shared" si="3"/>
        <v>1524600</v>
      </c>
      <c r="M28" s="686"/>
    </row>
    <row r="29">
      <c r="A29" s="993" t="s">
        <v>6741</v>
      </c>
      <c r="B29" s="988">
        <v>2.0</v>
      </c>
      <c r="C29" s="989">
        <f>IFERROR(VLOOKUP(A29,stockKJD,8,FALSE)," ")</f>
        <v>3</v>
      </c>
      <c r="D29" s="989">
        <f>IFERROR(VLOOKUP(A29,stockKJD,9,FALSE)," ")</f>
        <v>1</v>
      </c>
      <c r="E29" s="989" t="str">
        <f t="shared" si="1"/>
        <v>Sold</v>
      </c>
      <c r="F29" s="990" t="s">
        <v>11466</v>
      </c>
      <c r="G29" s="989">
        <v>2.0</v>
      </c>
      <c r="H29" s="686"/>
      <c r="I29" s="686"/>
      <c r="J29" s="992">
        <v>513700.0</v>
      </c>
      <c r="K29" s="980">
        <f t="shared" si="2"/>
        <v>1027400</v>
      </c>
      <c r="L29" s="999">
        <f t="shared" si="3"/>
        <v>1541100</v>
      </c>
      <c r="M29" s="686"/>
    </row>
    <row r="30">
      <c r="A30" s="987" t="s">
        <v>3104</v>
      </c>
      <c r="B30" s="988">
        <v>2.0</v>
      </c>
      <c r="C30" s="989">
        <f>IFERROR(VLOOKUP(A30,stockKJD,8,FALSE)," ")</f>
        <v>7</v>
      </c>
      <c r="D30" s="1001">
        <v>2.0</v>
      </c>
      <c r="E30" s="989" t="str">
        <f t="shared" si="1"/>
        <v>Sold</v>
      </c>
      <c r="F30" s="990" t="s">
        <v>11466</v>
      </c>
      <c r="G30" s="989">
        <v>2.0</v>
      </c>
      <c r="H30" s="686"/>
      <c r="I30" s="686"/>
      <c r="J30" s="992">
        <v>554400.0</v>
      </c>
      <c r="K30" s="980">
        <f t="shared" si="2"/>
        <v>1108800</v>
      </c>
      <c r="L30" s="999">
        <f t="shared" si="3"/>
        <v>3880800</v>
      </c>
      <c r="M30" s="686"/>
    </row>
    <row r="31">
      <c r="A31" s="987" t="s">
        <v>4623</v>
      </c>
      <c r="B31" s="988">
        <v>2.0</v>
      </c>
      <c r="C31" s="989">
        <f>IFERROR(VLOOKUP(A31,stockKJD,8,FALSE)," ")</f>
        <v>5</v>
      </c>
      <c r="D31" s="989">
        <f>IFERROR(VLOOKUP(A31,stockKJD,9,FALSE)," ")</f>
        <v>2</v>
      </c>
      <c r="E31" s="989" t="str">
        <f t="shared" si="1"/>
        <v>Sold</v>
      </c>
      <c r="F31" s="990" t="s">
        <v>11466</v>
      </c>
      <c r="G31" s="1001">
        <v>0.0</v>
      </c>
      <c r="H31" s="686"/>
      <c r="I31" s="686"/>
      <c r="J31" s="992">
        <v>584100.0</v>
      </c>
      <c r="K31" s="980">
        <f t="shared" si="2"/>
        <v>0</v>
      </c>
      <c r="L31" s="999">
        <f t="shared" si="3"/>
        <v>2920500</v>
      </c>
      <c r="M31" s="686"/>
    </row>
    <row r="32">
      <c r="A32" s="987" t="s">
        <v>2932</v>
      </c>
      <c r="B32" s="988">
        <v>5.0</v>
      </c>
      <c r="C32" s="989">
        <f>IFERROR(VLOOKUP(A32,stockKJD,8,FALSE)," ")</f>
        <v>5</v>
      </c>
      <c r="D32" s="989">
        <f>IFERROR(VLOOKUP(A32,stockKJD,9,FALSE)," ")</f>
        <v>0</v>
      </c>
      <c r="E32" s="989" t="str">
        <f t="shared" si="1"/>
        <v>Sold</v>
      </c>
      <c r="F32" s="990" t="s">
        <v>13614</v>
      </c>
      <c r="G32" s="989">
        <v>2.0</v>
      </c>
      <c r="H32" s="686"/>
      <c r="I32" s="686"/>
      <c r="J32" s="688">
        <v>365079.0</v>
      </c>
      <c r="K32" s="980">
        <f t="shared" si="2"/>
        <v>730158</v>
      </c>
      <c r="L32" s="999">
        <f t="shared" si="3"/>
        <v>1825395</v>
      </c>
      <c r="M32" s="686"/>
    </row>
    <row r="33">
      <c r="A33" s="987" t="s">
        <v>2944</v>
      </c>
      <c r="B33" s="988">
        <v>2.0</v>
      </c>
      <c r="C33" s="989">
        <f>IFERROR(VLOOKUP(A33,stockKJD,8,FALSE)," ")</f>
        <v>2</v>
      </c>
      <c r="D33" s="1001">
        <v>2.0</v>
      </c>
      <c r="E33" s="989" t="str">
        <f t="shared" si="1"/>
        <v>Sold</v>
      </c>
      <c r="F33" s="990" t="s">
        <v>11466</v>
      </c>
      <c r="G33" s="989">
        <v>2.0</v>
      </c>
      <c r="H33" s="686"/>
      <c r="I33" s="686"/>
      <c r="J33" s="992">
        <v>1349755.0</v>
      </c>
      <c r="K33" s="980">
        <f t="shared" si="2"/>
        <v>2699510</v>
      </c>
      <c r="L33" s="999">
        <f t="shared" si="3"/>
        <v>2699510</v>
      </c>
      <c r="M33" s="686"/>
    </row>
    <row r="34">
      <c r="A34" s="987" t="s">
        <v>4628</v>
      </c>
      <c r="B34" s="988">
        <v>2.0</v>
      </c>
      <c r="C34" s="989">
        <f>IFERROR(VLOOKUP(A34,stockKJD,8,FALSE)," ")</f>
        <v>3</v>
      </c>
      <c r="D34" s="989">
        <f>IFERROR(VLOOKUP(A34,stockKJD,9,FALSE)," ")</f>
        <v>0</v>
      </c>
      <c r="E34" s="989" t="str">
        <f t="shared" si="1"/>
        <v>Sold</v>
      </c>
      <c r="F34" s="990" t="s">
        <v>11466</v>
      </c>
      <c r="G34" s="1001">
        <v>0.0</v>
      </c>
      <c r="H34" s="686"/>
      <c r="I34" s="686"/>
      <c r="J34" s="992">
        <v>612700.0</v>
      </c>
      <c r="K34" s="980">
        <f t="shared" si="2"/>
        <v>0</v>
      </c>
      <c r="L34" s="999">
        <f t="shared" si="3"/>
        <v>1838100</v>
      </c>
      <c r="M34" s="686"/>
    </row>
    <row r="35">
      <c r="A35" s="987" t="s">
        <v>6742</v>
      </c>
      <c r="B35" s="988">
        <v>2.0</v>
      </c>
      <c r="C35" s="989">
        <f>IFERROR(VLOOKUP(A35,stockKJD,8,FALSE)," ")</f>
        <v>3</v>
      </c>
      <c r="D35" s="989">
        <f>IFERROR(VLOOKUP(A35,stockKJD,9,FALSE)," ")</f>
        <v>1</v>
      </c>
      <c r="E35" s="989" t="str">
        <f t="shared" si="1"/>
        <v>Sold</v>
      </c>
      <c r="F35" s="990" t="s">
        <v>11466</v>
      </c>
      <c r="G35" s="989">
        <f t="shared" ref="G35:G36" si="5">D35</f>
        <v>1</v>
      </c>
      <c r="H35" s="686"/>
      <c r="I35" s="686"/>
      <c r="J35" s="992">
        <v>392040.0</v>
      </c>
      <c r="K35" s="980">
        <f t="shared" si="2"/>
        <v>392040</v>
      </c>
      <c r="L35" s="999">
        <f t="shared" si="3"/>
        <v>1176120</v>
      </c>
      <c r="M35" s="686"/>
    </row>
    <row r="36">
      <c r="A36" s="987" t="s">
        <v>2862</v>
      </c>
      <c r="B36" s="988">
        <v>2.0</v>
      </c>
      <c r="C36" s="989">
        <f>IFERROR(VLOOKUP(A36,stockKJD,8,FALSE)," ")</f>
        <v>2</v>
      </c>
      <c r="D36" s="989">
        <f>IFERROR(VLOOKUP(A36,stockKJD,9,FALSE)," ")</f>
        <v>0</v>
      </c>
      <c r="E36" s="989" t="str">
        <f t="shared" si="1"/>
        <v>Sold</v>
      </c>
      <c r="F36" s="990" t="s">
        <v>11466</v>
      </c>
      <c r="G36" s="989">
        <f t="shared" si="5"/>
        <v>0</v>
      </c>
      <c r="H36" s="686"/>
      <c r="I36" s="686"/>
      <c r="J36" s="992">
        <v>245000.0</v>
      </c>
      <c r="K36" s="980">
        <f t="shared" si="2"/>
        <v>0</v>
      </c>
      <c r="L36" s="999">
        <f t="shared" si="3"/>
        <v>490000</v>
      </c>
      <c r="M36" s="686"/>
    </row>
    <row r="37">
      <c r="A37" s="987" t="s">
        <v>6199</v>
      </c>
      <c r="B37" s="988">
        <v>2.0</v>
      </c>
      <c r="C37" s="989">
        <f>IFERROR(VLOOKUP(A37,stockKJD,8,FALSE)," ")</f>
        <v>2</v>
      </c>
      <c r="D37" s="989">
        <f>IFERROR(VLOOKUP(A37,stockKJD,9,FALSE)," ")</f>
        <v>1</v>
      </c>
      <c r="E37" s="989" t="str">
        <f t="shared" si="1"/>
        <v>Sold</v>
      </c>
      <c r="F37" s="990" t="s">
        <v>11466</v>
      </c>
      <c r="G37" s="1001">
        <v>0.0</v>
      </c>
      <c r="H37" s="686"/>
      <c r="I37" s="686"/>
      <c r="J37" s="992">
        <v>577775.0</v>
      </c>
      <c r="K37" s="980">
        <f t="shared" si="2"/>
        <v>0</v>
      </c>
      <c r="L37" s="999">
        <f t="shared" si="3"/>
        <v>1155550</v>
      </c>
      <c r="M37" s="686"/>
    </row>
    <row r="38">
      <c r="A38" s="987" t="s">
        <v>5002</v>
      </c>
      <c r="B38" s="988">
        <v>2.0</v>
      </c>
      <c r="C38" s="989">
        <f>IFERROR(VLOOKUP(A38,stockKJD,8,FALSE)," ")</f>
        <v>2</v>
      </c>
      <c r="D38" s="989">
        <f>IFERROR(VLOOKUP(A38,stockKJD,9,FALSE)," ")</f>
        <v>1</v>
      </c>
      <c r="E38" s="989" t="str">
        <f t="shared" si="1"/>
        <v>Sold</v>
      </c>
      <c r="F38" s="990" t="s">
        <v>11466</v>
      </c>
      <c r="G38" s="1001">
        <v>0.0</v>
      </c>
      <c r="H38" s="686"/>
      <c r="I38" s="686"/>
      <c r="J38" s="992">
        <v>615890.0</v>
      </c>
      <c r="K38" s="980">
        <f t="shared" si="2"/>
        <v>0</v>
      </c>
      <c r="L38" s="999">
        <f t="shared" si="3"/>
        <v>1231780</v>
      </c>
      <c r="M38" s="686"/>
    </row>
    <row r="39">
      <c r="A39" s="987" t="s">
        <v>3136</v>
      </c>
      <c r="B39" s="988">
        <v>2.0</v>
      </c>
      <c r="C39" s="989">
        <f>IFERROR(VLOOKUP(A39,stockKJD,8,FALSE)," ")</f>
        <v>3</v>
      </c>
      <c r="D39" s="989">
        <f>IFERROR(VLOOKUP(A39,stockKJD,9,FALSE)," ")</f>
        <v>1</v>
      </c>
      <c r="E39" s="989" t="str">
        <f t="shared" si="1"/>
        <v>Sold</v>
      </c>
      <c r="F39" s="990" t="s">
        <v>11466</v>
      </c>
      <c r="G39" s="1001">
        <v>0.0</v>
      </c>
      <c r="H39" s="686"/>
      <c r="I39" s="686"/>
      <c r="J39" s="992">
        <v>737000.0</v>
      </c>
      <c r="K39" s="980">
        <f t="shared" si="2"/>
        <v>0</v>
      </c>
      <c r="L39" s="999">
        <f t="shared" si="3"/>
        <v>2211000</v>
      </c>
      <c r="M39" s="686"/>
    </row>
    <row r="40">
      <c r="A40" s="987" t="s">
        <v>3223</v>
      </c>
      <c r="B40" s="988">
        <v>10.0</v>
      </c>
      <c r="C40" s="989">
        <f>IFERROR(VLOOKUP(A40,stockKJD,8,FALSE)," ")</f>
        <v>11</v>
      </c>
      <c r="D40" s="989">
        <f>IFERROR(VLOOKUP(A40,stockKJD,9,FALSE)," ")</f>
        <v>0</v>
      </c>
      <c r="E40" s="989" t="str">
        <f t="shared" si="1"/>
        <v>Sold</v>
      </c>
      <c r="F40" s="990" t="s">
        <v>11466</v>
      </c>
      <c r="G40" s="989">
        <f>D40</f>
        <v>0</v>
      </c>
      <c r="H40" s="686"/>
      <c r="I40" s="686"/>
      <c r="J40" s="688">
        <v>456654.0</v>
      </c>
      <c r="K40" s="980">
        <f t="shared" si="2"/>
        <v>0</v>
      </c>
      <c r="L40" s="999">
        <f t="shared" si="3"/>
        <v>5023194</v>
      </c>
      <c r="M40" s="686"/>
    </row>
    <row r="41">
      <c r="A41" s="987" t="s">
        <v>3313</v>
      </c>
      <c r="B41" s="988">
        <v>10.0</v>
      </c>
      <c r="C41" s="989">
        <f>IFERROR(VLOOKUP(A41,stockKJD,8,FALSE)," ")</f>
        <v>22</v>
      </c>
      <c r="D41" s="989">
        <f>IFERROR(VLOOKUP(A41,stockKJD,9,FALSE)," ")</f>
        <v>2</v>
      </c>
      <c r="E41" s="989" t="str">
        <f t="shared" si="1"/>
        <v>Sold</v>
      </c>
      <c r="F41" s="990" t="s">
        <v>13614</v>
      </c>
      <c r="G41" s="989">
        <v>2.0</v>
      </c>
      <c r="H41" s="686"/>
      <c r="I41" s="686"/>
      <c r="J41" s="688">
        <v>604395.0</v>
      </c>
      <c r="K41" s="980">
        <f t="shared" si="2"/>
        <v>1208790</v>
      </c>
      <c r="L41" s="999">
        <f t="shared" si="3"/>
        <v>13296690</v>
      </c>
      <c r="M41" s="686"/>
    </row>
    <row r="42">
      <c r="A42" s="987" t="s">
        <v>2734</v>
      </c>
      <c r="B42" s="988">
        <v>10.0</v>
      </c>
      <c r="C42" s="989">
        <f>IFERROR(VLOOKUP(A42,stockKJD,8,FALSE)," ")</f>
        <v>17</v>
      </c>
      <c r="D42" s="989">
        <f>IFERROR(VLOOKUP(A42,stockKJD,9,FALSE)," ")</f>
        <v>0</v>
      </c>
      <c r="E42" s="989" t="str">
        <f t="shared" si="1"/>
        <v>Sold</v>
      </c>
      <c r="F42" s="990" t="s">
        <v>13614</v>
      </c>
      <c r="G42" s="989">
        <v>2.0</v>
      </c>
      <c r="H42" s="686"/>
      <c r="I42" s="686"/>
      <c r="J42" s="688">
        <v>628815.0</v>
      </c>
      <c r="K42" s="980">
        <f t="shared" si="2"/>
        <v>1257630</v>
      </c>
      <c r="L42" s="999">
        <f t="shared" si="3"/>
        <v>10689855</v>
      </c>
      <c r="M42" s="686"/>
    </row>
    <row r="43">
      <c r="A43" s="987" t="s">
        <v>2722</v>
      </c>
      <c r="B43" s="988">
        <v>10.0</v>
      </c>
      <c r="C43" s="989">
        <f>IFERROR(VLOOKUP(A43,stockKJD,8,FALSE)," ")</f>
        <v>10</v>
      </c>
      <c r="D43" s="989">
        <f>IFERROR(VLOOKUP(A43,stockKJD,9,FALSE)," ")</f>
        <v>1</v>
      </c>
      <c r="E43" s="989" t="str">
        <f t="shared" si="1"/>
        <v>Sold</v>
      </c>
      <c r="F43" s="990" t="s">
        <v>13614</v>
      </c>
      <c r="G43" s="989">
        <v>7.0</v>
      </c>
      <c r="H43" s="686"/>
      <c r="I43" s="686"/>
      <c r="J43" s="992">
        <v>329670.0</v>
      </c>
      <c r="K43" s="980">
        <f t="shared" si="2"/>
        <v>2307690</v>
      </c>
      <c r="L43" s="999">
        <f t="shared" si="3"/>
        <v>3296700</v>
      </c>
      <c r="M43" s="686"/>
    </row>
    <row r="44">
      <c r="A44" s="987" t="s">
        <v>6743</v>
      </c>
      <c r="B44" s="988">
        <v>5.0</v>
      </c>
      <c r="C44" s="989">
        <f>IFERROR(VLOOKUP(A44,stockKJD,8,FALSE)," ")</f>
        <v>5</v>
      </c>
      <c r="D44" s="989">
        <f>IFERROR(VLOOKUP(A44,stockKJD,9,FALSE)," ")</f>
        <v>0</v>
      </c>
      <c r="E44" s="989" t="str">
        <f t="shared" si="1"/>
        <v>Sold</v>
      </c>
      <c r="F44" s="990" t="s">
        <v>13614</v>
      </c>
      <c r="G44" s="989">
        <v>3.0</v>
      </c>
      <c r="H44" s="686"/>
      <c r="I44" s="686"/>
      <c r="J44" s="688">
        <v>693528.0</v>
      </c>
      <c r="K44" s="980">
        <f t="shared" si="2"/>
        <v>2080584</v>
      </c>
      <c r="L44" s="999">
        <f t="shared" si="3"/>
        <v>3467640</v>
      </c>
      <c r="M44" s="686"/>
    </row>
    <row r="45">
      <c r="A45" s="987" t="s">
        <v>2585</v>
      </c>
      <c r="B45" s="988">
        <v>5.0</v>
      </c>
      <c r="C45" s="989">
        <f>IFERROR(VLOOKUP(A45,stockKJD,8,FALSE)," ")</f>
        <v>5</v>
      </c>
      <c r="D45" s="989">
        <f>IFERROR(VLOOKUP(A45,stockKJD,9,FALSE)," ")</f>
        <v>1</v>
      </c>
      <c r="E45" s="989" t="str">
        <f t="shared" si="1"/>
        <v>Sold</v>
      </c>
      <c r="F45" s="990" t="s">
        <v>13614</v>
      </c>
      <c r="G45" s="989">
        <v>4.0</v>
      </c>
      <c r="H45" s="686"/>
      <c r="I45" s="686"/>
      <c r="J45" s="688">
        <v>660561.0</v>
      </c>
      <c r="K45" s="980">
        <f t="shared" si="2"/>
        <v>2642244</v>
      </c>
      <c r="L45" s="999">
        <f t="shared" si="3"/>
        <v>3302805</v>
      </c>
      <c r="M45" s="686"/>
    </row>
    <row r="46">
      <c r="A46" s="987" t="s">
        <v>6557</v>
      </c>
      <c r="B46" s="988">
        <v>5.0</v>
      </c>
      <c r="C46" s="989">
        <f>IFERROR(VLOOKUP(A46,stockKJD,8,FALSE)," ")</f>
        <v>6</v>
      </c>
      <c r="D46" s="989">
        <f>IFERROR(VLOOKUP(A46,stockKJD,9,FALSE)," ")</f>
        <v>0</v>
      </c>
      <c r="E46" s="989" t="str">
        <f t="shared" si="1"/>
        <v>Sold</v>
      </c>
      <c r="F46" s="990" t="s">
        <v>13614</v>
      </c>
      <c r="G46" s="1001">
        <v>3.0</v>
      </c>
      <c r="H46" s="686"/>
      <c r="I46" s="686"/>
      <c r="J46" s="688">
        <v>703296.0</v>
      </c>
      <c r="K46" s="980">
        <f t="shared" si="2"/>
        <v>2109888</v>
      </c>
      <c r="L46" s="999">
        <f t="shared" si="3"/>
        <v>4219776</v>
      </c>
      <c r="M46" s="686"/>
    </row>
    <row r="47">
      <c r="A47" s="987" t="s">
        <v>2588</v>
      </c>
      <c r="B47" s="988">
        <v>10.0</v>
      </c>
      <c r="C47" s="989">
        <f>IFERROR(VLOOKUP(A47,stockKJD,8,FALSE)," ")</f>
        <v>12</v>
      </c>
      <c r="D47" s="989">
        <f>IFERROR(VLOOKUP(A47,stockKJD,9,FALSE)," ")</f>
        <v>0</v>
      </c>
      <c r="E47" s="989" t="str">
        <f t="shared" si="1"/>
        <v>Sold</v>
      </c>
      <c r="F47" s="990" t="s">
        <v>13614</v>
      </c>
      <c r="G47" s="989">
        <v>4.0</v>
      </c>
      <c r="H47" s="686"/>
      <c r="I47" s="686"/>
      <c r="J47" s="688">
        <v>570207.0</v>
      </c>
      <c r="K47" s="980">
        <f t="shared" si="2"/>
        <v>2280828</v>
      </c>
      <c r="L47" s="999">
        <f t="shared" si="3"/>
        <v>6842484</v>
      </c>
      <c r="M47" s="686"/>
    </row>
    <row r="48">
      <c r="A48" s="987" t="s">
        <v>4936</v>
      </c>
      <c r="B48" s="988">
        <v>10.0</v>
      </c>
      <c r="C48" s="989">
        <f>IFERROR(VLOOKUP(A48,stockKJD,8,FALSE)," ")</f>
        <v>10</v>
      </c>
      <c r="D48" s="989">
        <f>IFERROR(VLOOKUP(A48,stockKJD,9,FALSE)," ")</f>
        <v>0</v>
      </c>
      <c r="E48" s="989" t="str">
        <f t="shared" si="1"/>
        <v>Sold</v>
      </c>
      <c r="F48" s="990" t="s">
        <v>13614</v>
      </c>
      <c r="G48" s="989">
        <v>5.0</v>
      </c>
      <c r="H48" s="686"/>
      <c r="I48" s="686"/>
      <c r="J48" s="688">
        <v>822954.0</v>
      </c>
      <c r="K48" s="980">
        <f t="shared" si="2"/>
        <v>4114770</v>
      </c>
      <c r="L48" s="999">
        <f t="shared" si="3"/>
        <v>8229540</v>
      </c>
      <c r="M48" s="686"/>
    </row>
    <row r="49">
      <c r="A49" s="987" t="s">
        <v>6744</v>
      </c>
      <c r="B49" s="988">
        <v>5.0</v>
      </c>
      <c r="C49" s="989">
        <f>IFERROR(VLOOKUP(A49,stockKJD,8,FALSE)," ")</f>
        <v>5</v>
      </c>
      <c r="D49" s="989">
        <f>IFERROR(VLOOKUP(A49,stockKJD,9,FALSE)," ")</f>
        <v>0</v>
      </c>
      <c r="E49" s="989" t="str">
        <f t="shared" si="1"/>
        <v>Sold</v>
      </c>
      <c r="F49" s="990" t="s">
        <v>13614</v>
      </c>
      <c r="G49" s="989">
        <v>4.0</v>
      </c>
      <c r="H49" s="686"/>
      <c r="I49" s="686"/>
      <c r="J49" s="992">
        <v>675213.0</v>
      </c>
      <c r="K49" s="980">
        <f t="shared" si="2"/>
        <v>2700852</v>
      </c>
      <c r="L49" s="999">
        <f t="shared" si="3"/>
        <v>3376065</v>
      </c>
      <c r="M49" s="686"/>
    </row>
    <row r="50">
      <c r="A50" s="987" t="s">
        <v>6502</v>
      </c>
      <c r="B50" s="988">
        <v>5.0</v>
      </c>
      <c r="C50" s="989">
        <f>IFERROR(VLOOKUP(A50,stockKJD,8,FALSE)," ")</f>
        <v>5</v>
      </c>
      <c r="D50" s="989">
        <f>IFERROR(VLOOKUP(A50,stockKJD,9,FALSE)," ")</f>
        <v>0</v>
      </c>
      <c r="E50" s="989" t="str">
        <f t="shared" si="1"/>
        <v>Sold</v>
      </c>
      <c r="F50" s="990" t="s">
        <v>13614</v>
      </c>
      <c r="G50" s="989">
        <v>4.0</v>
      </c>
      <c r="H50" s="686"/>
      <c r="I50" s="686"/>
      <c r="J50" s="992">
        <v>653235.0</v>
      </c>
      <c r="K50" s="980">
        <f t="shared" si="2"/>
        <v>2612940</v>
      </c>
      <c r="L50" s="999">
        <f t="shared" si="3"/>
        <v>3266175</v>
      </c>
      <c r="M50" s="686"/>
    </row>
    <row r="51">
      <c r="A51" s="987" t="s">
        <v>6745</v>
      </c>
      <c r="B51" s="988">
        <v>5.0</v>
      </c>
      <c r="C51" s="989">
        <f>IFERROR(VLOOKUP(A51,stockKJD,8,FALSE)," ")</f>
        <v>5</v>
      </c>
      <c r="D51" s="989">
        <f>IFERROR(VLOOKUP(A51,stockKJD,9,FALSE)," ")</f>
        <v>0</v>
      </c>
      <c r="E51" s="989" t="str">
        <f t="shared" si="1"/>
        <v>Sold</v>
      </c>
      <c r="F51" s="990" t="s">
        <v>13614</v>
      </c>
      <c r="G51" s="989">
        <v>4.0</v>
      </c>
      <c r="H51" s="686"/>
      <c r="I51" s="686"/>
      <c r="J51" s="992">
        <v>553113.0</v>
      </c>
      <c r="K51" s="980">
        <f t="shared" si="2"/>
        <v>2212452</v>
      </c>
      <c r="L51" s="999">
        <f t="shared" si="3"/>
        <v>2765565</v>
      </c>
      <c r="M51" s="686"/>
    </row>
    <row r="52">
      <c r="A52" s="987" t="s">
        <v>6145</v>
      </c>
      <c r="B52" s="988">
        <v>5.0</v>
      </c>
      <c r="C52" s="989" t="str">
        <f>IFERROR(VLOOKUP(A52,stockKJD,8,FALSE)," ")</f>
        <v> </v>
      </c>
      <c r="D52" s="989" t="str">
        <f>IFERROR(VLOOKUP(A52,stockKJD,9,FALSE)," ")</f>
        <v> </v>
      </c>
      <c r="E52" s="989" t="str">
        <f t="shared" si="1"/>
        <v>Sold</v>
      </c>
      <c r="F52" s="990" t="s">
        <v>13614</v>
      </c>
      <c r="G52" s="989">
        <v>2.0</v>
      </c>
      <c r="H52" s="686"/>
      <c r="I52" s="686"/>
      <c r="J52" s="992">
        <v>736263.0</v>
      </c>
      <c r="K52" s="980">
        <f t="shared" si="2"/>
        <v>1472526</v>
      </c>
      <c r="L52" s="999" t="str">
        <f t="shared" si="3"/>
        <v>#VALUE!</v>
      </c>
      <c r="M52" s="686"/>
    </row>
    <row r="53">
      <c r="A53" s="987" t="s">
        <v>5303</v>
      </c>
      <c r="B53" s="988">
        <v>5.0</v>
      </c>
      <c r="C53" s="989">
        <f>IFERROR(VLOOKUP(A53,stockKJD,8,FALSE)," ")</f>
        <v>5</v>
      </c>
      <c r="D53" s="989">
        <f>IFERROR(VLOOKUP(A53,stockKJD,9,FALSE)," ")</f>
        <v>0</v>
      </c>
      <c r="E53" s="989" t="str">
        <f t="shared" si="1"/>
        <v>Sold</v>
      </c>
      <c r="F53" s="1000" t="s">
        <v>13614</v>
      </c>
      <c r="G53" s="1001">
        <v>3.0</v>
      </c>
      <c r="H53" s="686"/>
      <c r="I53" s="686"/>
      <c r="J53" s="686">
        <v>611721.0</v>
      </c>
      <c r="K53" s="980">
        <f t="shared" si="2"/>
        <v>1835163</v>
      </c>
      <c r="L53" s="999">
        <f t="shared" si="3"/>
        <v>3058605</v>
      </c>
      <c r="M53" s="686"/>
    </row>
    <row r="54">
      <c r="A54" s="987" t="s">
        <v>6689</v>
      </c>
      <c r="B54" s="988">
        <v>5.0</v>
      </c>
      <c r="C54" s="989">
        <f>IFERROR(VLOOKUP(A54,stockKJD,8,FALSE)," ")</f>
        <v>5</v>
      </c>
      <c r="D54" s="989">
        <f>IFERROR(VLOOKUP(A54,stockKJD,9,FALSE)," ")</f>
        <v>0</v>
      </c>
      <c r="E54" s="989" t="str">
        <f t="shared" si="1"/>
        <v>Sold</v>
      </c>
      <c r="F54" s="990" t="s">
        <v>13614</v>
      </c>
      <c r="G54" s="989">
        <v>3.0</v>
      </c>
      <c r="H54" s="686"/>
      <c r="I54" s="686"/>
      <c r="J54" s="688">
        <v>605616.0</v>
      </c>
      <c r="K54" s="980">
        <f t="shared" si="2"/>
        <v>1816848</v>
      </c>
      <c r="L54" s="999">
        <f t="shared" si="3"/>
        <v>3028080</v>
      </c>
      <c r="M54" s="686"/>
    </row>
    <row r="55">
      <c r="A55" s="987" t="s">
        <v>4323</v>
      </c>
      <c r="B55" s="988">
        <v>5.0</v>
      </c>
      <c r="C55" s="989">
        <f>IFERROR(VLOOKUP(A55,stockKJD,8,FALSE)," ")</f>
        <v>6</v>
      </c>
      <c r="D55" s="989">
        <f>IFERROR(VLOOKUP(A55,stockKJD,9,FALSE)," ")</f>
        <v>1</v>
      </c>
      <c r="E55" s="989" t="str">
        <f t="shared" si="1"/>
        <v>Sold</v>
      </c>
      <c r="F55" s="1000" t="s">
        <v>13614</v>
      </c>
      <c r="G55" s="989">
        <v>2.0</v>
      </c>
      <c r="H55" s="686"/>
      <c r="I55" s="686"/>
      <c r="J55" s="688">
        <v>617826.0</v>
      </c>
      <c r="K55" s="980">
        <f t="shared" si="2"/>
        <v>1235652</v>
      </c>
      <c r="L55" s="999">
        <f t="shared" si="3"/>
        <v>3706956</v>
      </c>
      <c r="M55" s="686"/>
    </row>
    <row r="56">
      <c r="A56" s="987" t="s">
        <v>6746</v>
      </c>
      <c r="B56" s="988">
        <v>5.0</v>
      </c>
      <c r="C56" s="989">
        <f>IFERROR(VLOOKUP(A56,stockKJD,8,FALSE)," ")</f>
        <v>5</v>
      </c>
      <c r="D56" s="989">
        <f>IFERROR(VLOOKUP(A56,stockKJD,9,FALSE)," ")</f>
        <v>0</v>
      </c>
      <c r="E56" s="989" t="str">
        <f t="shared" si="1"/>
        <v>Sold</v>
      </c>
      <c r="F56" s="990" t="s">
        <v>13614</v>
      </c>
      <c r="G56" s="989">
        <v>3.0</v>
      </c>
      <c r="H56" s="686"/>
      <c r="I56" s="686"/>
      <c r="J56" s="688">
        <v>503052.0</v>
      </c>
      <c r="K56" s="980">
        <f t="shared" si="2"/>
        <v>1509156</v>
      </c>
      <c r="L56" s="999">
        <f t="shared" si="3"/>
        <v>2515260</v>
      </c>
      <c r="M56" s="686"/>
    </row>
    <row r="57">
      <c r="A57" s="987" t="s">
        <v>3712</v>
      </c>
      <c r="B57" s="988">
        <v>5.0</v>
      </c>
      <c r="C57" s="989">
        <f>IFERROR(VLOOKUP(A57,stockKJD,8,FALSE)," ")</f>
        <v>6</v>
      </c>
      <c r="D57" s="989">
        <f>IFERROR(VLOOKUP(A57,stockKJD,9,FALSE)," ")</f>
        <v>-1</v>
      </c>
      <c r="E57" s="989" t="str">
        <f t="shared" si="1"/>
        <v>Sold</v>
      </c>
      <c r="F57" s="990" t="s">
        <v>13614</v>
      </c>
      <c r="G57" s="989">
        <v>2.0</v>
      </c>
      <c r="H57" s="686"/>
      <c r="I57" s="686"/>
      <c r="J57" s="686">
        <v>509157.0</v>
      </c>
      <c r="K57" s="980">
        <f t="shared" si="2"/>
        <v>1018314</v>
      </c>
      <c r="L57" s="999">
        <f t="shared" si="3"/>
        <v>3054942</v>
      </c>
      <c r="M57" s="686"/>
    </row>
    <row r="58">
      <c r="A58" s="987" t="s">
        <v>2677</v>
      </c>
      <c r="B58" s="988">
        <v>5.0</v>
      </c>
      <c r="C58" s="989">
        <f>IFERROR(VLOOKUP(A58,stockKJD,8,FALSE)," ")</f>
        <v>7</v>
      </c>
      <c r="D58" s="989">
        <f>IFERROR(VLOOKUP(A58,stockKJD,9,FALSE)," ")</f>
        <v>1</v>
      </c>
      <c r="E58" s="989" t="str">
        <f t="shared" si="1"/>
        <v>Sold</v>
      </c>
      <c r="F58" s="990" t="s">
        <v>13614</v>
      </c>
      <c r="G58" s="1001">
        <v>0.0</v>
      </c>
      <c r="H58" s="686"/>
      <c r="I58" s="686"/>
      <c r="J58" s="688">
        <v>499389.0</v>
      </c>
      <c r="K58" s="980">
        <f t="shared" si="2"/>
        <v>0</v>
      </c>
      <c r="L58" s="999">
        <f t="shared" si="3"/>
        <v>3495723</v>
      </c>
      <c r="M58" s="686"/>
    </row>
    <row r="59">
      <c r="A59" s="987" t="s">
        <v>2693</v>
      </c>
      <c r="B59" s="988">
        <v>5.0</v>
      </c>
      <c r="C59" s="989">
        <f>IFERROR(VLOOKUP(A59,stockKJD,8,FALSE)," ")</f>
        <v>7</v>
      </c>
      <c r="D59" s="989">
        <f>IFERROR(VLOOKUP(A59,stockKJD,9,FALSE)," ")</f>
        <v>0</v>
      </c>
      <c r="E59" s="989" t="str">
        <f t="shared" si="1"/>
        <v>Sold</v>
      </c>
      <c r="F59" s="990" t="s">
        <v>13614</v>
      </c>
      <c r="G59" s="989">
        <v>2.0</v>
      </c>
      <c r="H59" s="686"/>
      <c r="I59" s="686"/>
      <c r="J59" s="688">
        <v>692307.0</v>
      </c>
      <c r="K59" s="980">
        <f t="shared" si="2"/>
        <v>1384614</v>
      </c>
      <c r="L59" s="999">
        <f t="shared" si="3"/>
        <v>4846149</v>
      </c>
      <c r="M59" s="686"/>
    </row>
    <row r="60">
      <c r="A60" s="987" t="s">
        <v>3948</v>
      </c>
      <c r="B60" s="988">
        <v>10.0</v>
      </c>
      <c r="C60" s="989">
        <f>IFERROR(VLOOKUP(A60,stockKJD,8,FALSE)," ")</f>
        <v>10</v>
      </c>
      <c r="D60" s="989">
        <f>IFERROR(VLOOKUP(A60,stockKJD,9,FALSE)," ")</f>
        <v>0</v>
      </c>
      <c r="E60" s="989" t="str">
        <f t="shared" si="1"/>
        <v>Sold</v>
      </c>
      <c r="F60" s="990" t="s">
        <v>13614</v>
      </c>
      <c r="G60" s="989">
        <v>5.0</v>
      </c>
      <c r="H60" s="686"/>
      <c r="I60" s="686"/>
      <c r="J60" s="688">
        <v>598290.0</v>
      </c>
      <c r="K60" s="980">
        <f t="shared" si="2"/>
        <v>2991450</v>
      </c>
      <c r="L60" s="999">
        <f t="shared" si="3"/>
        <v>5982900</v>
      </c>
      <c r="M60" s="686"/>
    </row>
    <row r="61">
      <c r="A61" s="987" t="s">
        <v>5084</v>
      </c>
      <c r="B61" s="988">
        <v>3.0</v>
      </c>
      <c r="C61" s="989">
        <f>IFERROR(VLOOKUP(A61,stockKJD,8,FALSE)," ")</f>
        <v>3</v>
      </c>
      <c r="D61" s="989">
        <f>IFERROR(VLOOKUP(A61,stockKJD,9,FALSE)," ")</f>
        <v>0</v>
      </c>
      <c r="E61" s="989" t="str">
        <f t="shared" si="1"/>
        <v>Sold</v>
      </c>
      <c r="F61" s="990" t="s">
        <v>13614</v>
      </c>
      <c r="G61" s="989">
        <v>1.0</v>
      </c>
      <c r="H61" s="686"/>
      <c r="I61" s="686"/>
      <c r="J61" s="688">
        <v>638583.0</v>
      </c>
      <c r="K61" s="980">
        <f t="shared" si="2"/>
        <v>638583</v>
      </c>
      <c r="L61" s="999">
        <f t="shared" si="3"/>
        <v>1915749</v>
      </c>
      <c r="M61" s="686"/>
    </row>
    <row r="62">
      <c r="A62" s="987" t="s">
        <v>6748</v>
      </c>
      <c r="B62" s="988">
        <v>10.0</v>
      </c>
      <c r="C62" s="989">
        <f>IFERROR(VLOOKUP(A62,stockKJD,8,FALSE)," ")</f>
        <v>10</v>
      </c>
      <c r="D62" s="989">
        <f>IFERROR(VLOOKUP(A62,stockKJD,9,FALSE)," ")</f>
        <v>0</v>
      </c>
      <c r="E62" s="989" t="str">
        <f t="shared" si="1"/>
        <v>Sold</v>
      </c>
      <c r="F62" s="990" t="s">
        <v>11466</v>
      </c>
      <c r="G62" s="989">
        <f>D62</f>
        <v>0</v>
      </c>
      <c r="H62" s="686"/>
      <c r="I62" s="686"/>
      <c r="J62" s="688">
        <v>485958.0</v>
      </c>
      <c r="K62" s="980">
        <f t="shared" si="2"/>
        <v>0</v>
      </c>
      <c r="L62" s="999">
        <f t="shared" si="3"/>
        <v>4859580</v>
      </c>
      <c r="M62" s="686"/>
    </row>
    <row r="63">
      <c r="A63" s="987" t="s">
        <v>6749</v>
      </c>
      <c r="B63" s="988">
        <v>3.0</v>
      </c>
      <c r="C63" s="989">
        <f>IFERROR(VLOOKUP(A63,stockKJD,8,FALSE)," ")</f>
        <v>3</v>
      </c>
      <c r="D63" s="989">
        <f>IFERROR(VLOOKUP(A63,stockKJD,9,FALSE)," ")</f>
        <v>0</v>
      </c>
      <c r="E63" s="989" t="str">
        <f t="shared" si="1"/>
        <v>Sold</v>
      </c>
      <c r="F63" s="990" t="s">
        <v>13614</v>
      </c>
      <c r="G63" s="989">
        <v>2.0</v>
      </c>
      <c r="H63" s="686"/>
      <c r="I63" s="686"/>
      <c r="J63" s="688">
        <v>642246.0</v>
      </c>
      <c r="K63" s="980">
        <f t="shared" si="2"/>
        <v>1284492</v>
      </c>
      <c r="L63" s="999">
        <f t="shared" si="3"/>
        <v>1926738</v>
      </c>
      <c r="M63" s="686"/>
    </row>
    <row r="64">
      <c r="A64" s="987" t="s">
        <v>2781</v>
      </c>
      <c r="B64" s="988">
        <v>3.0</v>
      </c>
      <c r="C64" s="989">
        <f>IFERROR(VLOOKUP(A64,stockKJD,8,FALSE)," ")</f>
        <v>3</v>
      </c>
      <c r="D64" s="989">
        <f>IFERROR(VLOOKUP(A64,stockKJD,9,FALSE)," ")</f>
        <v>1</v>
      </c>
      <c r="E64" s="989" t="str">
        <f t="shared" si="1"/>
        <v>Sold</v>
      </c>
      <c r="F64" s="990" t="s">
        <v>13614</v>
      </c>
      <c r="G64" s="989">
        <v>2.0</v>
      </c>
      <c r="H64" s="686"/>
      <c r="I64" s="686"/>
      <c r="J64" s="688">
        <v>783882.0</v>
      </c>
      <c r="K64" s="980">
        <f t="shared" si="2"/>
        <v>1567764</v>
      </c>
      <c r="L64" s="999">
        <f t="shared" si="3"/>
        <v>2351646</v>
      </c>
      <c r="M64" s="686"/>
    </row>
    <row r="65">
      <c r="A65" s="987" t="s">
        <v>6750</v>
      </c>
      <c r="B65" s="988">
        <v>3.0</v>
      </c>
      <c r="C65" s="989">
        <f>IFERROR(VLOOKUP(A65,stockKJD,8,FALSE)," ")</f>
        <v>3</v>
      </c>
      <c r="D65" s="989">
        <f>IFERROR(VLOOKUP(A65,stockKJD,9,FALSE)," ")</f>
        <v>0</v>
      </c>
      <c r="E65" s="989" t="str">
        <f t="shared" si="1"/>
        <v>Sold</v>
      </c>
      <c r="F65" s="990" t="s">
        <v>13614</v>
      </c>
      <c r="G65" s="989">
        <v>2.0</v>
      </c>
      <c r="H65" s="686"/>
      <c r="I65" s="686"/>
      <c r="J65" s="688">
        <v>611721.0</v>
      </c>
      <c r="K65" s="980">
        <f t="shared" si="2"/>
        <v>1223442</v>
      </c>
      <c r="L65" s="999">
        <f t="shared" si="3"/>
        <v>1835163</v>
      </c>
      <c r="M65" s="686"/>
    </row>
    <row r="66">
      <c r="A66" s="987" t="s">
        <v>6751</v>
      </c>
      <c r="B66" s="988">
        <v>5.0</v>
      </c>
      <c r="C66" s="989">
        <f>IFERROR(VLOOKUP(A66,stockKJD,8,FALSE)," ")</f>
        <v>7</v>
      </c>
      <c r="D66" s="989">
        <f>IFERROR(VLOOKUP(A66,stockKJD,9,FALSE)," ")</f>
        <v>0</v>
      </c>
      <c r="E66" s="989" t="str">
        <f t="shared" si="1"/>
        <v>Sold</v>
      </c>
      <c r="F66" s="990" t="s">
        <v>13614</v>
      </c>
      <c r="G66" s="989">
        <v>4.0</v>
      </c>
      <c r="H66" s="686"/>
      <c r="I66" s="686"/>
      <c r="J66" s="992">
        <v>761904.0</v>
      </c>
      <c r="K66" s="980">
        <f t="shared" si="2"/>
        <v>3047616</v>
      </c>
      <c r="L66" s="999">
        <f t="shared" si="3"/>
        <v>5333328</v>
      </c>
      <c r="M66" s="686"/>
    </row>
    <row r="67">
      <c r="A67" s="987" t="s">
        <v>6752</v>
      </c>
      <c r="B67" s="988">
        <v>3.0</v>
      </c>
      <c r="C67" s="989">
        <f>IFERROR(VLOOKUP(A67,stockKJD,8,FALSE)," ")</f>
        <v>3</v>
      </c>
      <c r="D67" s="989">
        <f>IFERROR(VLOOKUP(A67,stockKJD,9,FALSE)," ")</f>
        <v>0</v>
      </c>
      <c r="E67" s="989" t="str">
        <f t="shared" si="1"/>
        <v>Sold</v>
      </c>
      <c r="F67" s="990" t="s">
        <v>13614</v>
      </c>
      <c r="G67" s="989">
        <v>2.0</v>
      </c>
      <c r="H67" s="686"/>
      <c r="I67" s="686"/>
      <c r="J67" s="992">
        <v>663003.0</v>
      </c>
      <c r="K67" s="980">
        <f t="shared" si="2"/>
        <v>1326006</v>
      </c>
      <c r="L67" s="999">
        <f t="shared" si="3"/>
        <v>1989009</v>
      </c>
      <c r="M67" s="686"/>
    </row>
    <row r="68">
      <c r="A68" s="987" t="s">
        <v>6753</v>
      </c>
      <c r="B68" s="988">
        <v>5.0</v>
      </c>
      <c r="C68" s="989">
        <f>IFERROR(VLOOKUP(A68,stockKJD,8,FALSE)," ")</f>
        <v>5</v>
      </c>
      <c r="D68" s="989">
        <f>IFERROR(VLOOKUP(A68,stockKJD,9,FALSE)," ")</f>
        <v>0</v>
      </c>
      <c r="E68" s="989" t="str">
        <f t="shared" si="1"/>
        <v>Sold</v>
      </c>
      <c r="F68" s="990" t="s">
        <v>13614</v>
      </c>
      <c r="G68" s="989">
        <v>4.0</v>
      </c>
      <c r="H68" s="686"/>
      <c r="I68" s="686"/>
      <c r="J68" s="992">
        <v>587301.0</v>
      </c>
      <c r="K68" s="980">
        <f t="shared" si="2"/>
        <v>2349204</v>
      </c>
      <c r="L68" s="999">
        <f t="shared" si="3"/>
        <v>2936505</v>
      </c>
      <c r="M68" s="686"/>
    </row>
    <row r="69">
      <c r="A69" s="987" t="s">
        <v>6754</v>
      </c>
      <c r="B69" s="988">
        <v>5.0</v>
      </c>
      <c r="C69" s="989">
        <f>IFERROR(VLOOKUP(A69,stockKJD,8,FALSE)," ")</f>
        <v>5</v>
      </c>
      <c r="D69" s="989">
        <f>IFERROR(VLOOKUP(A69,stockKJD,9,FALSE)," ")</f>
        <v>0</v>
      </c>
      <c r="E69" s="989" t="str">
        <f t="shared" si="1"/>
        <v>Sold</v>
      </c>
      <c r="F69" s="990" t="s">
        <v>13614</v>
      </c>
      <c r="G69" s="989">
        <v>4.0</v>
      </c>
      <c r="H69" s="686"/>
      <c r="I69" s="686"/>
      <c r="J69" s="992">
        <v>474969.0</v>
      </c>
      <c r="K69" s="980">
        <f t="shared" si="2"/>
        <v>1899876</v>
      </c>
      <c r="L69" s="999">
        <f t="shared" si="3"/>
        <v>2374845</v>
      </c>
      <c r="M69" s="686"/>
    </row>
    <row r="70">
      <c r="A70" s="987" t="s">
        <v>4964</v>
      </c>
      <c r="B70" s="988">
        <v>5.0</v>
      </c>
      <c r="C70" s="989">
        <f>IFERROR(VLOOKUP(A70,stockKJD,8,FALSE)," ")</f>
        <v>5</v>
      </c>
      <c r="D70" s="989">
        <f>IFERROR(VLOOKUP(A70,stockKJD,9,FALSE)," ")</f>
        <v>0</v>
      </c>
      <c r="E70" s="989" t="str">
        <f t="shared" si="1"/>
        <v>Sold</v>
      </c>
      <c r="F70" s="990" t="s">
        <v>13614</v>
      </c>
      <c r="G70" s="989">
        <v>3.0</v>
      </c>
      <c r="H70" s="686"/>
      <c r="I70" s="686"/>
      <c r="J70" s="688">
        <v>653235.0</v>
      </c>
      <c r="K70" s="980">
        <f t="shared" si="2"/>
        <v>1959705</v>
      </c>
      <c r="L70" s="999">
        <f t="shared" si="3"/>
        <v>3266175</v>
      </c>
      <c r="M70" s="686"/>
    </row>
    <row r="71">
      <c r="A71" s="987" t="s">
        <v>4512</v>
      </c>
      <c r="B71" s="988">
        <v>5.0</v>
      </c>
      <c r="C71" s="989">
        <f>IFERROR(VLOOKUP(A71,stockKJD,8,FALSE)," ")</f>
        <v>5</v>
      </c>
      <c r="D71" s="989">
        <f>IFERROR(VLOOKUP(A71,stockKJD,9,FALSE)," ")</f>
        <v>0</v>
      </c>
      <c r="E71" s="989" t="str">
        <f t="shared" si="1"/>
        <v>Sold</v>
      </c>
      <c r="F71" s="990" t="s">
        <v>13614</v>
      </c>
      <c r="G71" s="989">
        <v>3.0</v>
      </c>
      <c r="H71" s="686"/>
      <c r="I71" s="686"/>
      <c r="J71" s="688">
        <v>634920.0</v>
      </c>
      <c r="K71" s="980">
        <f t="shared" si="2"/>
        <v>1904760</v>
      </c>
      <c r="L71" s="999">
        <f t="shared" si="3"/>
        <v>3174600</v>
      </c>
      <c r="M71" s="686"/>
    </row>
    <row r="72">
      <c r="A72" s="987" t="s">
        <v>3594</v>
      </c>
      <c r="B72" s="988">
        <v>5.0</v>
      </c>
      <c r="C72" s="989">
        <f>IFERROR(VLOOKUP(A72,stockKJD,8,FALSE)," ")</f>
        <v>5</v>
      </c>
      <c r="D72" s="989">
        <f>IFERROR(VLOOKUP(A72,stockKJD,9,FALSE)," ")</f>
        <v>0</v>
      </c>
      <c r="E72" s="989" t="str">
        <f t="shared" si="1"/>
        <v>Sold</v>
      </c>
      <c r="F72" s="990" t="s">
        <v>13614</v>
      </c>
      <c r="G72" s="989">
        <v>3.0</v>
      </c>
      <c r="H72" s="686"/>
      <c r="I72" s="686"/>
      <c r="J72" s="688">
        <v>719169.0</v>
      </c>
      <c r="K72" s="980">
        <f t="shared" si="2"/>
        <v>2157507</v>
      </c>
      <c r="L72" s="999">
        <f t="shared" si="3"/>
        <v>3595845</v>
      </c>
      <c r="M72" s="686"/>
    </row>
    <row r="73">
      <c r="A73" s="987" t="s">
        <v>4178</v>
      </c>
      <c r="B73" s="988">
        <v>10.0</v>
      </c>
      <c r="C73" s="989">
        <f>IFERROR(VLOOKUP(A73,stockKJD,8,FALSE)," ")</f>
        <v>13</v>
      </c>
      <c r="D73" s="989">
        <f>IFERROR(VLOOKUP(A73,stockKJD,9,FALSE)," ")</f>
        <v>2</v>
      </c>
      <c r="E73" s="989" t="str">
        <f t="shared" si="1"/>
        <v>Sold</v>
      </c>
      <c r="F73" s="990" t="s">
        <v>13614</v>
      </c>
      <c r="G73" s="989">
        <v>3.0</v>
      </c>
      <c r="H73" s="686"/>
      <c r="I73" s="686"/>
      <c r="J73" s="688">
        <v>575091.0</v>
      </c>
      <c r="K73" s="980">
        <f t="shared" si="2"/>
        <v>1725273</v>
      </c>
      <c r="L73" s="999">
        <f t="shared" si="3"/>
        <v>7476183</v>
      </c>
      <c r="M73" s="686"/>
    </row>
    <row r="74">
      <c r="A74" s="987" t="s">
        <v>6755</v>
      </c>
      <c r="B74" s="988">
        <v>5.0</v>
      </c>
      <c r="C74" s="989">
        <f>IFERROR(VLOOKUP(A74,stockKJD,8,FALSE)," ")</f>
        <v>7</v>
      </c>
      <c r="D74" s="989">
        <f>IFERROR(VLOOKUP(A74,stockKJD,9,FALSE)," ")</f>
        <v>0</v>
      </c>
      <c r="E74" s="989" t="str">
        <f t="shared" si="1"/>
        <v>Sold</v>
      </c>
      <c r="F74" s="990" t="s">
        <v>13614</v>
      </c>
      <c r="G74" s="989">
        <v>4.0</v>
      </c>
      <c r="H74" s="686"/>
      <c r="I74" s="686"/>
      <c r="J74" s="688">
        <v>583638.0</v>
      </c>
      <c r="K74" s="980">
        <f t="shared" si="2"/>
        <v>2334552</v>
      </c>
      <c r="L74" s="999">
        <f t="shared" si="3"/>
        <v>4085466</v>
      </c>
      <c r="M74" s="686"/>
    </row>
    <row r="75">
      <c r="A75" s="987" t="s">
        <v>6756</v>
      </c>
      <c r="B75" s="988">
        <v>5.0</v>
      </c>
      <c r="C75" s="989">
        <f>IFERROR(VLOOKUP(A75,stockKJD,8,FALSE)," ")</f>
        <v>7</v>
      </c>
      <c r="D75" s="989">
        <f>IFERROR(VLOOKUP(A75,stockKJD,9,FALSE)," ")</f>
        <v>2</v>
      </c>
      <c r="E75" s="989" t="str">
        <f t="shared" si="1"/>
        <v>Sold</v>
      </c>
      <c r="F75" s="990" t="s">
        <v>13614</v>
      </c>
      <c r="G75" s="989">
        <v>3.0</v>
      </c>
      <c r="H75" s="686"/>
      <c r="I75" s="686"/>
      <c r="J75" s="688">
        <v>604395.0</v>
      </c>
      <c r="K75" s="980">
        <f t="shared" si="2"/>
        <v>1813185</v>
      </c>
      <c r="L75" s="999">
        <f t="shared" si="3"/>
        <v>4230765</v>
      </c>
      <c r="M75" s="686"/>
    </row>
    <row r="76">
      <c r="A76" s="987" t="s">
        <v>6757</v>
      </c>
      <c r="B76" s="988">
        <v>5.0</v>
      </c>
      <c r="C76" s="989">
        <f>IFERROR(VLOOKUP(A76,stockKJD,8,FALSE)," ")</f>
        <v>5</v>
      </c>
      <c r="D76" s="989">
        <f>IFERROR(VLOOKUP(A76,stockKJD,9,FALSE)," ")</f>
        <v>1</v>
      </c>
      <c r="E76" s="989" t="str">
        <f t="shared" si="1"/>
        <v>Sold</v>
      </c>
      <c r="F76" s="990" t="s">
        <v>13614</v>
      </c>
      <c r="G76" s="989">
        <v>2.0</v>
      </c>
      <c r="H76" s="686" t="s">
        <v>11527</v>
      </c>
      <c r="I76" s="686"/>
      <c r="J76" s="688">
        <v>488400.0</v>
      </c>
      <c r="K76" s="980">
        <f t="shared" si="2"/>
        <v>976800</v>
      </c>
      <c r="L76" s="999">
        <f t="shared" si="3"/>
        <v>2442000</v>
      </c>
      <c r="M76" s="686"/>
    </row>
    <row r="77">
      <c r="A77" s="987" t="s">
        <v>2651</v>
      </c>
      <c r="B77" s="988">
        <v>5.0</v>
      </c>
      <c r="C77" s="989">
        <f>IFERROR(VLOOKUP(A77,stockKJD,8,FALSE)," ")</f>
        <v>3</v>
      </c>
      <c r="D77" s="989">
        <f>IFERROR(VLOOKUP(A77,stockKJD,9,FALSE)," ")</f>
        <v>2</v>
      </c>
      <c r="E77" s="989" t="str">
        <f t="shared" si="1"/>
        <v>No</v>
      </c>
      <c r="F77" s="1000" t="s">
        <v>13614</v>
      </c>
      <c r="G77" s="989">
        <v>2.0</v>
      </c>
      <c r="H77" s="686"/>
      <c r="I77" s="686"/>
      <c r="J77" s="688">
        <v>492063.0</v>
      </c>
      <c r="K77" s="980">
        <f t="shared" si="2"/>
        <v>984126</v>
      </c>
      <c r="L77" s="999">
        <f t="shared" si="3"/>
        <v>1476189</v>
      </c>
      <c r="M77" s="686"/>
    </row>
    <row r="78">
      <c r="A78" s="59" t="s">
        <v>2703</v>
      </c>
      <c r="B78" s="100" t="s">
        <v>2939</v>
      </c>
      <c r="C78" s="989">
        <f>IFERROR(VLOOKUP(A78,stockKJD,8,FALSE)," ")</f>
        <v>54</v>
      </c>
      <c r="D78" s="989">
        <f>IFERROR(VLOOKUP(A78,stockKJD,9,FALSE)," ")</f>
        <v>5</v>
      </c>
      <c r="E78" s="989" t="str">
        <f t="shared" si="1"/>
        <v>No</v>
      </c>
      <c r="F78" s="1000" t="s">
        <v>11466</v>
      </c>
      <c r="G78" s="59">
        <v>30.0</v>
      </c>
      <c r="J78" s="6">
        <v>500000.0</v>
      </c>
      <c r="K78" s="980">
        <f t="shared" si="2"/>
        <v>15000000</v>
      </c>
      <c r="L78" s="999">
        <f t="shared" si="3"/>
        <v>27000000</v>
      </c>
    </row>
    <row r="79">
      <c r="A79" s="1002" t="s">
        <v>11471</v>
      </c>
      <c r="B79" s="2"/>
      <c r="C79" s="2"/>
      <c r="D79" s="2"/>
      <c r="E79" s="2"/>
      <c r="F79" s="2"/>
      <c r="G79" s="3"/>
      <c r="K79" s="727">
        <f>SUM(K2:K78)</f>
        <v>107634147</v>
      </c>
      <c r="L79" s="1003" t="str">
        <f>SUM(L2:L77)</f>
        <v>#VALUE!</v>
      </c>
    </row>
    <row r="80">
      <c r="A80" s="980">
        <v>3.69153862E8</v>
      </c>
      <c r="L80" s="1003"/>
    </row>
    <row r="81">
      <c r="L81" s="1003"/>
    </row>
    <row r="82">
      <c r="L82" s="1003"/>
    </row>
    <row r="83">
      <c r="L83" s="1003"/>
    </row>
    <row r="84">
      <c r="L84" s="1003"/>
    </row>
    <row r="85">
      <c r="L85" s="1003"/>
    </row>
    <row r="86">
      <c r="L86" s="1003"/>
    </row>
    <row r="87">
      <c r="L87" s="1003"/>
    </row>
    <row r="88">
      <c r="L88" s="1003"/>
    </row>
    <row r="89">
      <c r="L89" s="1003"/>
    </row>
    <row r="90">
      <c r="L90" s="1003"/>
    </row>
    <row r="91">
      <c r="L91" s="1003"/>
    </row>
    <row r="92">
      <c r="L92" s="1003"/>
    </row>
    <row r="93">
      <c r="L93" s="1003"/>
    </row>
    <row r="94">
      <c r="L94" s="1003"/>
    </row>
    <row r="95">
      <c r="L95" s="1003"/>
    </row>
    <row r="96">
      <c r="L96" s="1003"/>
    </row>
    <row r="97">
      <c r="L97" s="1003"/>
    </row>
    <row r="98">
      <c r="L98" s="1003"/>
    </row>
    <row r="99">
      <c r="L99" s="1003"/>
    </row>
    <row r="100">
      <c r="L100" s="1003"/>
    </row>
    <row r="101">
      <c r="L101" s="1003"/>
    </row>
    <row r="102">
      <c r="L102" s="1003"/>
    </row>
    <row r="103">
      <c r="L103" s="1003"/>
    </row>
    <row r="104">
      <c r="L104" s="1003"/>
    </row>
    <row r="105">
      <c r="L105" s="1003"/>
    </row>
    <row r="106">
      <c r="L106" s="1003"/>
    </row>
    <row r="107">
      <c r="L107" s="1003"/>
    </row>
    <row r="108">
      <c r="L108" s="1003"/>
    </row>
    <row r="109">
      <c r="L109" s="1003"/>
    </row>
    <row r="110">
      <c r="L110" s="1003"/>
    </row>
    <row r="111">
      <c r="L111" s="1003"/>
    </row>
    <row r="112">
      <c r="L112" s="1003"/>
    </row>
    <row r="113">
      <c r="L113" s="1003"/>
    </row>
    <row r="114">
      <c r="L114" s="1003"/>
    </row>
    <row r="115">
      <c r="L115" s="1003"/>
    </row>
    <row r="116">
      <c r="L116" s="1003"/>
    </row>
    <row r="117">
      <c r="L117" s="1003"/>
    </row>
    <row r="118">
      <c r="L118" s="1003"/>
    </row>
    <row r="119">
      <c r="L119" s="1003"/>
    </row>
    <row r="120">
      <c r="L120" s="1003"/>
    </row>
    <row r="121">
      <c r="L121" s="1003"/>
    </row>
    <row r="122">
      <c r="L122" s="1003"/>
    </row>
    <row r="123">
      <c r="L123" s="1003"/>
    </row>
    <row r="124">
      <c r="L124" s="1003"/>
    </row>
    <row r="125">
      <c r="L125" s="1003"/>
    </row>
    <row r="126">
      <c r="L126" s="1003"/>
    </row>
    <row r="127">
      <c r="L127" s="1003"/>
    </row>
    <row r="128">
      <c r="L128" s="1003"/>
    </row>
    <row r="129">
      <c r="L129" s="1003"/>
    </row>
    <row r="130">
      <c r="L130" s="1003"/>
    </row>
    <row r="131">
      <c r="L131" s="1003"/>
    </row>
    <row r="132">
      <c r="L132" s="1003"/>
    </row>
    <row r="133">
      <c r="L133" s="1003"/>
    </row>
    <row r="134">
      <c r="L134" s="1003"/>
    </row>
    <row r="135">
      <c r="L135" s="1003"/>
    </row>
    <row r="136">
      <c r="L136" s="1003"/>
    </row>
    <row r="137">
      <c r="L137" s="1003"/>
    </row>
    <row r="138">
      <c r="L138" s="1003"/>
    </row>
    <row r="139">
      <c r="L139" s="1003"/>
    </row>
    <row r="140">
      <c r="L140" s="1003"/>
    </row>
    <row r="141">
      <c r="L141" s="1003"/>
    </row>
    <row r="142">
      <c r="L142" s="1003"/>
    </row>
    <row r="143">
      <c r="L143" s="1003"/>
    </row>
    <row r="144">
      <c r="L144" s="1003"/>
    </row>
    <row r="145">
      <c r="L145" s="1003"/>
    </row>
    <row r="146">
      <c r="L146" s="1003"/>
    </row>
    <row r="147">
      <c r="L147" s="1003"/>
    </row>
    <row r="148">
      <c r="L148" s="1003"/>
    </row>
    <row r="149">
      <c r="L149" s="1003"/>
    </row>
    <row r="150">
      <c r="L150" s="1003"/>
    </row>
    <row r="151">
      <c r="L151" s="1003"/>
    </row>
    <row r="152">
      <c r="L152" s="1003"/>
    </row>
    <row r="153">
      <c r="L153" s="1003"/>
    </row>
    <row r="154">
      <c r="L154" s="1003"/>
    </row>
    <row r="155">
      <c r="L155" s="1003"/>
    </row>
    <row r="156">
      <c r="L156" s="1003"/>
    </row>
    <row r="157">
      <c r="L157" s="1003"/>
    </row>
    <row r="158">
      <c r="L158" s="1003"/>
    </row>
    <row r="159">
      <c r="L159" s="1003"/>
    </row>
    <row r="160">
      <c r="L160" s="1003"/>
    </row>
    <row r="161">
      <c r="L161" s="1003"/>
    </row>
    <row r="162">
      <c r="L162" s="1003"/>
    </row>
    <row r="163">
      <c r="L163" s="1003"/>
    </row>
    <row r="164">
      <c r="L164" s="1003"/>
    </row>
    <row r="165">
      <c r="L165" s="1003"/>
    </row>
    <row r="166">
      <c r="L166" s="1003"/>
    </row>
    <row r="167">
      <c r="L167" s="1003"/>
    </row>
    <row r="168">
      <c r="L168" s="1003"/>
    </row>
    <row r="169">
      <c r="L169" s="1003"/>
    </row>
    <row r="170">
      <c r="L170" s="1003"/>
    </row>
    <row r="171">
      <c r="L171" s="1003"/>
    </row>
    <row r="172">
      <c r="L172" s="1003"/>
    </row>
    <row r="173">
      <c r="L173" s="1003"/>
    </row>
    <row r="174">
      <c r="L174" s="1003"/>
    </row>
    <row r="175">
      <c r="L175" s="1003"/>
    </row>
    <row r="176">
      <c r="L176" s="1003"/>
    </row>
    <row r="177">
      <c r="L177" s="1003"/>
    </row>
    <row r="178">
      <c r="L178" s="1003"/>
    </row>
    <row r="179">
      <c r="L179" s="1003"/>
    </row>
    <row r="180">
      <c r="L180" s="1003"/>
    </row>
    <row r="181">
      <c r="L181" s="1003"/>
    </row>
    <row r="182">
      <c r="L182" s="1003"/>
    </row>
    <row r="183">
      <c r="L183" s="1003"/>
    </row>
    <row r="184">
      <c r="L184" s="1003"/>
    </row>
    <row r="185">
      <c r="L185" s="1003"/>
    </row>
    <row r="186">
      <c r="L186" s="1003"/>
    </row>
    <row r="187">
      <c r="L187" s="1003"/>
    </row>
    <row r="188">
      <c r="L188" s="1003"/>
    </row>
    <row r="189">
      <c r="L189" s="1003"/>
    </row>
    <row r="190">
      <c r="L190" s="1003"/>
    </row>
    <row r="191">
      <c r="L191" s="1003"/>
    </row>
    <row r="192">
      <c r="L192" s="1003"/>
    </row>
    <row r="193">
      <c r="L193" s="1003"/>
    </row>
    <row r="194">
      <c r="L194" s="1003"/>
    </row>
    <row r="195">
      <c r="L195" s="1003"/>
    </row>
    <row r="196">
      <c r="L196" s="1003"/>
    </row>
    <row r="197">
      <c r="L197" s="1003"/>
    </row>
    <row r="198">
      <c r="L198" s="1003"/>
    </row>
    <row r="199">
      <c r="L199" s="1003"/>
    </row>
    <row r="200">
      <c r="L200" s="1003"/>
    </row>
    <row r="201">
      <c r="L201" s="1003"/>
    </row>
    <row r="202">
      <c r="L202" s="1003"/>
    </row>
    <row r="203">
      <c r="L203" s="1003"/>
    </row>
    <row r="204">
      <c r="L204" s="1003"/>
    </row>
    <row r="205">
      <c r="L205" s="1003"/>
    </row>
    <row r="206">
      <c r="L206" s="1003"/>
    </row>
    <row r="207">
      <c r="L207" s="1003"/>
    </row>
    <row r="208">
      <c r="L208" s="1003"/>
    </row>
    <row r="209">
      <c r="L209" s="1003"/>
    </row>
    <row r="210">
      <c r="L210" s="1003"/>
    </row>
    <row r="211">
      <c r="L211" s="1003"/>
    </row>
    <row r="212">
      <c r="L212" s="1003"/>
    </row>
    <row r="213">
      <c r="L213" s="1003"/>
    </row>
    <row r="214">
      <c r="L214" s="1003"/>
    </row>
    <row r="215">
      <c r="L215" s="1003"/>
    </row>
    <row r="216">
      <c r="L216" s="1003"/>
    </row>
    <row r="217">
      <c r="L217" s="1003"/>
    </row>
    <row r="218">
      <c r="L218" s="1003"/>
    </row>
    <row r="219">
      <c r="L219" s="1003"/>
    </row>
    <row r="220">
      <c r="L220" s="1003"/>
    </row>
    <row r="221">
      <c r="L221" s="1003"/>
    </row>
    <row r="222">
      <c r="L222" s="1003"/>
    </row>
    <row r="223">
      <c r="L223" s="1003"/>
    </row>
    <row r="224">
      <c r="L224" s="1003"/>
    </row>
    <row r="225">
      <c r="L225" s="1003"/>
    </row>
    <row r="226">
      <c r="L226" s="1003"/>
    </row>
    <row r="227">
      <c r="L227" s="1003"/>
    </row>
    <row r="228">
      <c r="L228" s="1003"/>
    </row>
    <row r="229">
      <c r="L229" s="1003"/>
    </row>
    <row r="230">
      <c r="L230" s="1003"/>
    </row>
    <row r="231">
      <c r="L231" s="1003"/>
    </row>
    <row r="232">
      <c r="L232" s="1003"/>
    </row>
    <row r="233">
      <c r="L233" s="1003"/>
    </row>
    <row r="234">
      <c r="L234" s="1003"/>
    </row>
    <row r="235">
      <c r="L235" s="1003"/>
    </row>
    <row r="236">
      <c r="L236" s="1003"/>
    </row>
    <row r="237">
      <c r="L237" s="1003"/>
    </row>
    <row r="238">
      <c r="L238" s="1003"/>
    </row>
    <row r="239">
      <c r="L239" s="1003"/>
    </row>
    <row r="240">
      <c r="L240" s="1003"/>
    </row>
    <row r="241">
      <c r="L241" s="1003"/>
    </row>
    <row r="242">
      <c r="L242" s="1003"/>
    </row>
    <row r="243">
      <c r="L243" s="1003"/>
    </row>
    <row r="244">
      <c r="L244" s="1003"/>
    </row>
    <row r="245">
      <c r="L245" s="1003"/>
    </row>
    <row r="246">
      <c r="L246" s="1003"/>
    </row>
    <row r="247">
      <c r="L247" s="1003"/>
    </row>
    <row r="248">
      <c r="L248" s="1003"/>
    </row>
    <row r="249">
      <c r="L249" s="1003"/>
    </row>
    <row r="250">
      <c r="L250" s="1003"/>
    </row>
    <row r="251">
      <c r="L251" s="1003"/>
    </row>
    <row r="252">
      <c r="L252" s="1003"/>
    </row>
    <row r="253">
      <c r="L253" s="1003"/>
    </row>
    <row r="254">
      <c r="L254" s="1003"/>
    </row>
    <row r="255">
      <c r="L255" s="1003"/>
    </row>
    <row r="256">
      <c r="L256" s="1003"/>
    </row>
    <row r="257">
      <c r="L257" s="1003"/>
    </row>
    <row r="258">
      <c r="L258" s="1003"/>
    </row>
    <row r="259">
      <c r="L259" s="1003"/>
    </row>
    <row r="260">
      <c r="L260" s="1003"/>
    </row>
    <row r="261">
      <c r="L261" s="1003"/>
    </row>
    <row r="262">
      <c r="L262" s="1003"/>
    </row>
    <row r="263">
      <c r="L263" s="1003"/>
    </row>
    <row r="264">
      <c r="L264" s="1003"/>
    </row>
    <row r="265">
      <c r="L265" s="1003"/>
    </row>
    <row r="266">
      <c r="L266" s="1003"/>
    </row>
    <row r="267">
      <c r="L267" s="1003"/>
    </row>
    <row r="268">
      <c r="L268" s="1003"/>
    </row>
    <row r="269">
      <c r="L269" s="1003"/>
    </row>
    <row r="270">
      <c r="L270" s="1003"/>
    </row>
    <row r="271">
      <c r="L271" s="1003"/>
    </row>
    <row r="272">
      <c r="L272" s="1003"/>
    </row>
    <row r="273">
      <c r="L273" s="1003"/>
    </row>
    <row r="274">
      <c r="L274" s="1003"/>
    </row>
    <row r="275">
      <c r="L275" s="1003"/>
    </row>
    <row r="276">
      <c r="L276" s="1003"/>
    </row>
    <row r="277">
      <c r="L277" s="1003"/>
    </row>
    <row r="278">
      <c r="L278" s="1003"/>
    </row>
    <row r="279">
      <c r="L279" s="1003"/>
    </row>
    <row r="280">
      <c r="L280" s="1003"/>
    </row>
    <row r="281">
      <c r="L281" s="1003"/>
    </row>
    <row r="282">
      <c r="L282" s="1003"/>
    </row>
    <row r="283">
      <c r="L283" s="1003"/>
    </row>
    <row r="284">
      <c r="L284" s="1003"/>
    </row>
    <row r="285">
      <c r="L285" s="1003"/>
    </row>
    <row r="286">
      <c r="L286" s="1003"/>
    </row>
    <row r="287">
      <c r="L287" s="1003"/>
    </row>
    <row r="288">
      <c r="L288" s="1003"/>
    </row>
    <row r="289">
      <c r="L289" s="1003"/>
    </row>
    <row r="290">
      <c r="L290" s="1003"/>
    </row>
    <row r="291">
      <c r="L291" s="1003"/>
    </row>
    <row r="292">
      <c r="L292" s="1003"/>
    </row>
    <row r="293">
      <c r="L293" s="1003"/>
    </row>
    <row r="294">
      <c r="L294" s="1003"/>
    </row>
    <row r="295">
      <c r="L295" s="1003"/>
    </row>
    <row r="296">
      <c r="L296" s="1003"/>
    </row>
    <row r="297">
      <c r="L297" s="1003"/>
    </row>
    <row r="298">
      <c r="L298" s="1003"/>
    </row>
    <row r="299">
      <c r="L299" s="1003"/>
    </row>
    <row r="300">
      <c r="L300" s="1003"/>
    </row>
    <row r="301">
      <c r="L301" s="1003"/>
    </row>
    <row r="302">
      <c r="L302" s="1003"/>
    </row>
    <row r="303">
      <c r="L303" s="1003"/>
    </row>
    <row r="304">
      <c r="L304" s="1003"/>
    </row>
    <row r="305">
      <c r="L305" s="1003"/>
    </row>
    <row r="306">
      <c r="L306" s="1003"/>
    </row>
    <row r="307">
      <c r="L307" s="1003"/>
    </row>
    <row r="308">
      <c r="L308" s="1003"/>
    </row>
    <row r="309">
      <c r="L309" s="1003"/>
    </row>
    <row r="310">
      <c r="L310" s="1003"/>
    </row>
    <row r="311">
      <c r="L311" s="1003"/>
    </row>
    <row r="312">
      <c r="L312" s="1003"/>
    </row>
    <row r="313">
      <c r="L313" s="1003"/>
    </row>
    <row r="314">
      <c r="L314" s="1003"/>
    </row>
    <row r="315">
      <c r="L315" s="1003"/>
    </row>
    <row r="316">
      <c r="L316" s="1003"/>
    </row>
    <row r="317">
      <c r="L317" s="1003"/>
    </row>
    <row r="318">
      <c r="L318" s="1003"/>
    </row>
    <row r="319">
      <c r="L319" s="1003"/>
    </row>
    <row r="320">
      <c r="L320" s="1003"/>
    </row>
    <row r="321">
      <c r="L321" s="1003"/>
    </row>
    <row r="322">
      <c r="L322" s="1003"/>
    </row>
    <row r="323">
      <c r="L323" s="1003"/>
    </row>
    <row r="324">
      <c r="L324" s="1003"/>
    </row>
    <row r="325">
      <c r="L325" s="1003"/>
    </row>
    <row r="326">
      <c r="L326" s="1003"/>
    </row>
    <row r="327">
      <c r="L327" s="1003"/>
    </row>
    <row r="328">
      <c r="L328" s="1003"/>
    </row>
    <row r="329">
      <c r="L329" s="1003"/>
    </row>
    <row r="330">
      <c r="L330" s="1003"/>
    </row>
    <row r="331">
      <c r="L331" s="1003"/>
    </row>
    <row r="332">
      <c r="L332" s="1003"/>
    </row>
    <row r="333">
      <c r="L333" s="1003"/>
    </row>
    <row r="334">
      <c r="L334" s="1003"/>
    </row>
    <row r="335">
      <c r="L335" s="1003"/>
    </row>
    <row r="336">
      <c r="L336" s="1003"/>
    </row>
    <row r="337">
      <c r="L337" s="1003"/>
    </row>
    <row r="338">
      <c r="L338" s="1003"/>
    </row>
    <row r="339">
      <c r="L339" s="1003"/>
    </row>
    <row r="340">
      <c r="L340" s="1003"/>
    </row>
    <row r="341">
      <c r="L341" s="1003"/>
    </row>
    <row r="342">
      <c r="L342" s="1003"/>
    </row>
    <row r="343">
      <c r="L343" s="1003"/>
    </row>
    <row r="344">
      <c r="L344" s="1003"/>
    </row>
    <row r="345">
      <c r="L345" s="1003"/>
    </row>
    <row r="346">
      <c r="L346" s="1003"/>
    </row>
    <row r="347">
      <c r="L347" s="1003"/>
    </row>
    <row r="348">
      <c r="L348" s="1003"/>
    </row>
    <row r="349">
      <c r="L349" s="1003"/>
    </row>
    <row r="350">
      <c r="L350" s="1003"/>
    </row>
    <row r="351">
      <c r="L351" s="1003"/>
    </row>
    <row r="352">
      <c r="L352" s="1003"/>
    </row>
    <row r="353">
      <c r="L353" s="1003"/>
    </row>
    <row r="354">
      <c r="L354" s="1003"/>
    </row>
    <row r="355">
      <c r="L355" s="1003"/>
    </row>
    <row r="356">
      <c r="L356" s="1003"/>
    </row>
    <row r="357">
      <c r="L357" s="1003"/>
    </row>
    <row r="358">
      <c r="L358" s="1003"/>
    </row>
    <row r="359">
      <c r="L359" s="1003"/>
    </row>
    <row r="360">
      <c r="L360" s="1003"/>
    </row>
    <row r="361">
      <c r="L361" s="1003"/>
    </row>
    <row r="362">
      <c r="L362" s="1003"/>
    </row>
    <row r="363">
      <c r="L363" s="1003"/>
    </row>
    <row r="364">
      <c r="L364" s="1003"/>
    </row>
    <row r="365">
      <c r="L365" s="1003"/>
    </row>
    <row r="366">
      <c r="L366" s="1003"/>
    </row>
    <row r="367">
      <c r="L367" s="1003"/>
    </row>
    <row r="368">
      <c r="L368" s="1003"/>
    </row>
    <row r="369">
      <c r="L369" s="1003"/>
    </row>
    <row r="370">
      <c r="L370" s="1003"/>
    </row>
    <row r="371">
      <c r="L371" s="1003"/>
    </row>
    <row r="372">
      <c r="L372" s="1003"/>
    </row>
    <row r="373">
      <c r="L373" s="1003"/>
    </row>
    <row r="374">
      <c r="L374" s="1003"/>
    </row>
    <row r="375">
      <c r="L375" s="1003"/>
    </row>
    <row r="376">
      <c r="L376" s="1003"/>
    </row>
    <row r="377">
      <c r="L377" s="1003"/>
    </row>
    <row r="378">
      <c r="L378" s="1003"/>
    </row>
    <row r="379">
      <c r="L379" s="1003"/>
    </row>
    <row r="380">
      <c r="L380" s="1003"/>
    </row>
    <row r="381">
      <c r="L381" s="1003"/>
    </row>
    <row r="382">
      <c r="L382" s="1003"/>
    </row>
    <row r="383">
      <c r="L383" s="1003"/>
    </row>
    <row r="384">
      <c r="L384" s="1003"/>
    </row>
    <row r="385">
      <c r="L385" s="1003"/>
    </row>
    <row r="386">
      <c r="L386" s="1003"/>
    </row>
    <row r="387">
      <c r="L387" s="1003"/>
    </row>
    <row r="388">
      <c r="L388" s="1003"/>
    </row>
    <row r="389">
      <c r="L389" s="1003"/>
    </row>
    <row r="390">
      <c r="L390" s="1003"/>
    </row>
    <row r="391">
      <c r="L391" s="1003"/>
    </row>
    <row r="392">
      <c r="L392" s="1003"/>
    </row>
    <row r="393">
      <c r="L393" s="1003"/>
    </row>
    <row r="394">
      <c r="L394" s="1003"/>
    </row>
    <row r="395">
      <c r="L395" s="1003"/>
    </row>
    <row r="396">
      <c r="L396" s="1003"/>
    </row>
    <row r="397">
      <c r="L397" s="1003"/>
    </row>
    <row r="398">
      <c r="L398" s="1003"/>
    </row>
    <row r="399">
      <c r="L399" s="1003"/>
    </row>
    <row r="400">
      <c r="L400" s="1003"/>
    </row>
    <row r="401">
      <c r="L401" s="1003"/>
    </row>
    <row r="402">
      <c r="L402" s="1003"/>
    </row>
    <row r="403">
      <c r="L403" s="1003"/>
    </row>
    <row r="404">
      <c r="L404" s="1003"/>
    </row>
    <row r="405">
      <c r="L405" s="1003"/>
    </row>
    <row r="406">
      <c r="L406" s="1003"/>
    </row>
    <row r="407">
      <c r="L407" s="1003"/>
    </row>
    <row r="408">
      <c r="L408" s="1003"/>
    </row>
    <row r="409">
      <c r="L409" s="1003"/>
    </row>
    <row r="410">
      <c r="L410" s="1003"/>
    </row>
    <row r="411">
      <c r="L411" s="1003"/>
    </row>
    <row r="412">
      <c r="L412" s="1003"/>
    </row>
    <row r="413">
      <c r="L413" s="1003"/>
    </row>
    <row r="414">
      <c r="L414" s="1003"/>
    </row>
    <row r="415">
      <c r="L415" s="1003"/>
    </row>
    <row r="416">
      <c r="L416" s="1003"/>
    </row>
    <row r="417">
      <c r="L417" s="1003"/>
    </row>
    <row r="418">
      <c r="L418" s="1003"/>
    </row>
    <row r="419">
      <c r="L419" s="1003"/>
    </row>
    <row r="420">
      <c r="L420" s="1003"/>
    </row>
    <row r="421">
      <c r="L421" s="1003"/>
    </row>
    <row r="422">
      <c r="L422" s="1003"/>
    </row>
    <row r="423">
      <c r="L423" s="1003"/>
    </row>
    <row r="424">
      <c r="L424" s="1003"/>
    </row>
    <row r="425">
      <c r="L425" s="1003"/>
    </row>
    <row r="426">
      <c r="L426" s="1003"/>
    </row>
    <row r="427">
      <c r="L427" s="1003"/>
    </row>
    <row r="428">
      <c r="L428" s="1003"/>
    </row>
    <row r="429">
      <c r="L429" s="1003"/>
    </row>
    <row r="430">
      <c r="L430" s="1003"/>
    </row>
    <row r="431">
      <c r="L431" s="1003"/>
    </row>
    <row r="432">
      <c r="L432" s="1003"/>
    </row>
    <row r="433">
      <c r="L433" s="1003"/>
    </row>
    <row r="434">
      <c r="L434" s="1003"/>
    </row>
    <row r="435">
      <c r="L435" s="1003"/>
    </row>
    <row r="436">
      <c r="L436" s="1003"/>
    </row>
    <row r="437">
      <c r="L437" s="1003"/>
    </row>
    <row r="438">
      <c r="L438" s="1003"/>
    </row>
    <row r="439">
      <c r="L439" s="1003"/>
    </row>
    <row r="440">
      <c r="L440" s="1003"/>
    </row>
    <row r="441">
      <c r="L441" s="1003"/>
    </row>
    <row r="442">
      <c r="L442" s="1003"/>
    </row>
    <row r="443">
      <c r="L443" s="1003"/>
    </row>
    <row r="444">
      <c r="L444" s="1003"/>
    </row>
    <row r="445">
      <c r="L445" s="1003"/>
    </row>
    <row r="446">
      <c r="L446" s="1003"/>
    </row>
    <row r="447">
      <c r="L447" s="1003"/>
    </row>
    <row r="448">
      <c r="L448" s="1003"/>
    </row>
    <row r="449">
      <c r="L449" s="1003"/>
    </row>
    <row r="450">
      <c r="L450" s="1003"/>
    </row>
    <row r="451">
      <c r="L451" s="1003"/>
    </row>
    <row r="452">
      <c r="L452" s="1003"/>
    </row>
    <row r="453">
      <c r="L453" s="1003"/>
    </row>
    <row r="454">
      <c r="L454" s="1003"/>
    </row>
    <row r="455">
      <c r="L455" s="1003"/>
    </row>
    <row r="456">
      <c r="L456" s="1003"/>
    </row>
    <row r="457">
      <c r="L457" s="1003"/>
    </row>
    <row r="458">
      <c r="L458" s="1003"/>
    </row>
    <row r="459">
      <c r="L459" s="1003"/>
    </row>
    <row r="460">
      <c r="L460" s="1003"/>
    </row>
    <row r="461">
      <c r="L461" s="1003"/>
    </row>
    <row r="462">
      <c r="L462" s="1003"/>
    </row>
    <row r="463">
      <c r="L463" s="1003"/>
    </row>
    <row r="464">
      <c r="L464" s="1003"/>
    </row>
    <row r="465">
      <c r="L465" s="1003"/>
    </row>
    <row r="466">
      <c r="L466" s="1003"/>
    </row>
    <row r="467">
      <c r="L467" s="1003"/>
    </row>
    <row r="468">
      <c r="L468" s="1003"/>
    </row>
    <row r="469">
      <c r="L469" s="1003"/>
    </row>
    <row r="470">
      <c r="L470" s="1003"/>
    </row>
    <row r="471">
      <c r="L471" s="1003"/>
    </row>
    <row r="472">
      <c r="L472" s="1003"/>
    </row>
    <row r="473">
      <c r="L473" s="1003"/>
    </row>
    <row r="474">
      <c r="L474" s="1003"/>
    </row>
    <row r="475">
      <c r="L475" s="1003"/>
    </row>
    <row r="476">
      <c r="L476" s="1003"/>
    </row>
    <row r="477">
      <c r="L477" s="1003"/>
    </row>
    <row r="478">
      <c r="L478" s="1003"/>
    </row>
    <row r="479">
      <c r="L479" s="1003"/>
    </row>
    <row r="480">
      <c r="L480" s="1003"/>
    </row>
    <row r="481">
      <c r="L481" s="1003"/>
    </row>
    <row r="482">
      <c r="L482" s="1003"/>
    </row>
    <row r="483">
      <c r="L483" s="1003"/>
    </row>
    <row r="484">
      <c r="L484" s="1003"/>
    </row>
    <row r="485">
      <c r="L485" s="1003"/>
    </row>
    <row r="486">
      <c r="L486" s="1003"/>
    </row>
    <row r="487">
      <c r="L487" s="1003"/>
    </row>
    <row r="488">
      <c r="L488" s="1003"/>
    </row>
    <row r="489">
      <c r="L489" s="1003"/>
    </row>
    <row r="490">
      <c r="L490" s="1003"/>
    </row>
    <row r="491">
      <c r="L491" s="1003"/>
    </row>
    <row r="492">
      <c r="L492" s="1003"/>
    </row>
    <row r="493">
      <c r="L493" s="1003"/>
    </row>
    <row r="494">
      <c r="L494" s="1003"/>
    </row>
    <row r="495">
      <c r="L495" s="1003"/>
    </row>
    <row r="496">
      <c r="L496" s="1003"/>
    </row>
    <row r="497">
      <c r="L497" s="1003"/>
    </row>
    <row r="498">
      <c r="L498" s="1003"/>
    </row>
    <row r="499">
      <c r="L499" s="1003"/>
    </row>
    <row r="500">
      <c r="L500" s="1003"/>
    </row>
    <row r="501">
      <c r="L501" s="1003"/>
    </row>
    <row r="502">
      <c r="L502" s="1003"/>
    </row>
    <row r="503">
      <c r="L503" s="1003"/>
    </row>
    <row r="504">
      <c r="L504" s="1003"/>
    </row>
    <row r="505">
      <c r="L505" s="1003"/>
    </row>
    <row r="506">
      <c r="L506" s="1003"/>
    </row>
    <row r="507">
      <c r="L507" s="1003"/>
    </row>
    <row r="508">
      <c r="L508" s="1003"/>
    </row>
    <row r="509">
      <c r="L509" s="1003"/>
    </row>
    <row r="510">
      <c r="L510" s="1003"/>
    </row>
    <row r="511">
      <c r="L511" s="1003"/>
    </row>
    <row r="512">
      <c r="L512" s="1003"/>
    </row>
    <row r="513">
      <c r="L513" s="1003"/>
    </row>
    <row r="514">
      <c r="L514" s="1003"/>
    </row>
    <row r="515">
      <c r="L515" s="1003"/>
    </row>
    <row r="516">
      <c r="L516" s="1003"/>
    </row>
    <row r="517">
      <c r="L517" s="1003"/>
    </row>
    <row r="518">
      <c r="L518" s="1003"/>
    </row>
    <row r="519">
      <c r="L519" s="1003"/>
    </row>
    <row r="520">
      <c r="L520" s="1003"/>
    </row>
    <row r="521">
      <c r="L521" s="1003"/>
    </row>
    <row r="522">
      <c r="L522" s="1003"/>
    </row>
    <row r="523">
      <c r="L523" s="1003"/>
    </row>
    <row r="524">
      <c r="L524" s="1003"/>
    </row>
    <row r="525">
      <c r="L525" s="1003"/>
    </row>
    <row r="526">
      <c r="L526" s="1003"/>
    </row>
    <row r="527">
      <c r="L527" s="1003"/>
    </row>
    <row r="528">
      <c r="L528" s="1003"/>
    </row>
    <row r="529">
      <c r="L529" s="1003"/>
    </row>
    <row r="530">
      <c r="L530" s="1003"/>
    </row>
    <row r="531">
      <c r="L531" s="1003"/>
    </row>
    <row r="532">
      <c r="L532" s="1003"/>
    </row>
    <row r="533">
      <c r="L533" s="1003"/>
    </row>
    <row r="534">
      <c r="L534" s="1003"/>
    </row>
    <row r="535">
      <c r="L535" s="1003"/>
    </row>
    <row r="536">
      <c r="L536" s="1003"/>
    </row>
    <row r="537">
      <c r="L537" s="1003"/>
    </row>
    <row r="538">
      <c r="L538" s="1003"/>
    </row>
    <row r="539">
      <c r="L539" s="1003"/>
    </row>
    <row r="540">
      <c r="L540" s="1003"/>
    </row>
    <row r="541">
      <c r="L541" s="1003"/>
    </row>
    <row r="542">
      <c r="L542" s="1003"/>
    </row>
    <row r="543">
      <c r="L543" s="1003"/>
    </row>
    <row r="544">
      <c r="L544" s="1003"/>
    </row>
    <row r="545">
      <c r="L545" s="1003"/>
    </row>
    <row r="546">
      <c r="L546" s="1003"/>
    </row>
    <row r="547">
      <c r="L547" s="1003"/>
    </row>
    <row r="548">
      <c r="L548" s="1003"/>
    </row>
    <row r="549">
      <c r="L549" s="1003"/>
    </row>
    <row r="550">
      <c r="L550" s="1003"/>
    </row>
    <row r="551">
      <c r="L551" s="1003"/>
    </row>
    <row r="552">
      <c r="L552" s="1003"/>
    </row>
    <row r="553">
      <c r="L553" s="1003"/>
    </row>
    <row r="554">
      <c r="L554" s="1003"/>
    </row>
    <row r="555">
      <c r="L555" s="1003"/>
    </row>
    <row r="556">
      <c r="L556" s="1003"/>
    </row>
    <row r="557">
      <c r="L557" s="1003"/>
    </row>
    <row r="558">
      <c r="L558" s="1003"/>
    </row>
    <row r="559">
      <c r="L559" s="1003"/>
    </row>
    <row r="560">
      <c r="L560" s="1003"/>
    </row>
    <row r="561">
      <c r="L561" s="1003"/>
    </row>
    <row r="562">
      <c r="L562" s="1003"/>
    </row>
    <row r="563">
      <c r="L563" s="1003"/>
    </row>
    <row r="564">
      <c r="L564" s="1003"/>
    </row>
    <row r="565">
      <c r="L565" s="1003"/>
    </row>
    <row r="566">
      <c r="L566" s="1003"/>
    </row>
    <row r="567">
      <c r="L567" s="1003"/>
    </row>
    <row r="568">
      <c r="L568" s="1003"/>
    </row>
    <row r="569">
      <c r="L569" s="1003"/>
    </row>
    <row r="570">
      <c r="L570" s="1003"/>
    </row>
    <row r="571">
      <c r="L571" s="1003"/>
    </row>
    <row r="572">
      <c r="L572" s="1003"/>
    </row>
    <row r="573">
      <c r="L573" s="1003"/>
    </row>
    <row r="574">
      <c r="L574" s="1003"/>
    </row>
    <row r="575">
      <c r="L575" s="1003"/>
    </row>
    <row r="576">
      <c r="L576" s="1003"/>
    </row>
    <row r="577">
      <c r="L577" s="1003"/>
    </row>
    <row r="578">
      <c r="L578" s="1003"/>
    </row>
    <row r="579">
      <c r="L579" s="1003"/>
    </row>
    <row r="580">
      <c r="L580" s="1003"/>
    </row>
    <row r="581">
      <c r="L581" s="1003"/>
    </row>
    <row r="582">
      <c r="L582" s="1003"/>
    </row>
    <row r="583">
      <c r="L583" s="1003"/>
    </row>
    <row r="584">
      <c r="L584" s="1003"/>
    </row>
    <row r="585">
      <c r="L585" s="1003"/>
    </row>
    <row r="586">
      <c r="L586" s="1003"/>
    </row>
    <row r="587">
      <c r="L587" s="1003"/>
    </row>
    <row r="588">
      <c r="L588" s="1003"/>
    </row>
    <row r="589">
      <c r="L589" s="1003"/>
    </row>
    <row r="590">
      <c r="L590" s="1003"/>
    </row>
    <row r="591">
      <c r="L591" s="1003"/>
    </row>
    <row r="592">
      <c r="L592" s="1003"/>
    </row>
    <row r="593">
      <c r="L593" s="1003"/>
    </row>
    <row r="594">
      <c r="L594" s="1003"/>
    </row>
    <row r="595">
      <c r="L595" s="1003"/>
    </row>
    <row r="596">
      <c r="L596" s="1003"/>
    </row>
    <row r="597">
      <c r="L597" s="1003"/>
    </row>
    <row r="598">
      <c r="L598" s="1003"/>
    </row>
    <row r="599">
      <c r="L599" s="1003"/>
    </row>
    <row r="600">
      <c r="L600" s="1003"/>
    </row>
    <row r="601">
      <c r="L601" s="1003"/>
    </row>
    <row r="602">
      <c r="L602" s="1003"/>
    </row>
    <row r="603">
      <c r="L603" s="1003"/>
    </row>
    <row r="604">
      <c r="L604" s="1003"/>
    </row>
    <row r="605">
      <c r="L605" s="1003"/>
    </row>
    <row r="606">
      <c r="L606" s="1003"/>
    </row>
    <row r="607">
      <c r="L607" s="1003"/>
    </row>
    <row r="608">
      <c r="L608" s="1003"/>
    </row>
    <row r="609">
      <c r="L609" s="1003"/>
    </row>
    <row r="610">
      <c r="L610" s="1003"/>
    </row>
    <row r="611">
      <c r="L611" s="1003"/>
    </row>
    <row r="612">
      <c r="L612" s="1003"/>
    </row>
    <row r="613">
      <c r="L613" s="1003"/>
    </row>
    <row r="614">
      <c r="L614" s="1003"/>
    </row>
    <row r="615">
      <c r="L615" s="1003"/>
    </row>
    <row r="616">
      <c r="L616" s="1003"/>
    </row>
    <row r="617">
      <c r="L617" s="1003"/>
    </row>
    <row r="618">
      <c r="L618" s="1003"/>
    </row>
    <row r="619">
      <c r="L619" s="1003"/>
    </row>
    <row r="620">
      <c r="L620" s="1003"/>
    </row>
    <row r="621">
      <c r="L621" s="1003"/>
    </row>
    <row r="622">
      <c r="L622" s="1003"/>
    </row>
    <row r="623">
      <c r="L623" s="1003"/>
    </row>
    <row r="624">
      <c r="L624" s="1003"/>
    </row>
    <row r="625">
      <c r="L625" s="1003"/>
    </row>
    <row r="626">
      <c r="L626" s="1003"/>
    </row>
    <row r="627">
      <c r="L627" s="1003"/>
    </row>
    <row r="628">
      <c r="L628" s="1003"/>
    </row>
    <row r="629">
      <c r="L629" s="1003"/>
    </row>
    <row r="630">
      <c r="L630" s="1003"/>
    </row>
    <row r="631">
      <c r="L631" s="1003"/>
    </row>
    <row r="632">
      <c r="L632" s="1003"/>
    </row>
    <row r="633">
      <c r="L633" s="1003"/>
    </row>
    <row r="634">
      <c r="L634" s="1003"/>
    </row>
    <row r="635">
      <c r="L635" s="1003"/>
    </row>
    <row r="636">
      <c r="L636" s="1003"/>
    </row>
    <row r="637">
      <c r="L637" s="1003"/>
    </row>
    <row r="638">
      <c r="L638" s="1003"/>
    </row>
    <row r="639">
      <c r="L639" s="1003"/>
    </row>
    <row r="640">
      <c r="L640" s="1003"/>
    </row>
    <row r="641">
      <c r="L641" s="1003"/>
    </row>
    <row r="642">
      <c r="L642" s="1003"/>
    </row>
    <row r="643">
      <c r="L643" s="1003"/>
    </row>
    <row r="644">
      <c r="L644" s="1003"/>
    </row>
    <row r="645">
      <c r="L645" s="1003"/>
    </row>
    <row r="646">
      <c r="L646" s="1003"/>
    </row>
    <row r="647">
      <c r="L647" s="1003"/>
    </row>
    <row r="648">
      <c r="L648" s="1003"/>
    </row>
    <row r="649">
      <c r="L649" s="1003"/>
    </row>
    <row r="650">
      <c r="L650" s="1003"/>
    </row>
    <row r="651">
      <c r="L651" s="1003"/>
    </row>
    <row r="652">
      <c r="L652" s="1003"/>
    </row>
    <row r="653">
      <c r="L653" s="1003"/>
    </row>
    <row r="654">
      <c r="L654" s="1003"/>
    </row>
    <row r="655">
      <c r="L655" s="1003"/>
    </row>
    <row r="656">
      <c r="L656" s="1003"/>
    </row>
    <row r="657">
      <c r="L657" s="1003"/>
    </row>
    <row r="658">
      <c r="L658" s="1003"/>
    </row>
    <row r="659">
      <c r="L659" s="1003"/>
    </row>
    <row r="660">
      <c r="L660" s="1003"/>
    </row>
    <row r="661">
      <c r="L661" s="1003"/>
    </row>
    <row r="662">
      <c r="L662" s="1003"/>
    </row>
    <row r="663">
      <c r="L663" s="1003"/>
    </row>
    <row r="664">
      <c r="L664" s="1003"/>
    </row>
    <row r="665">
      <c r="L665" s="1003"/>
    </row>
    <row r="666">
      <c r="L666" s="1003"/>
    </row>
    <row r="667">
      <c r="L667" s="1003"/>
    </row>
    <row r="668">
      <c r="L668" s="1003"/>
    </row>
    <row r="669">
      <c r="L669" s="1003"/>
    </row>
    <row r="670">
      <c r="L670" s="1003"/>
    </row>
    <row r="671">
      <c r="L671" s="1003"/>
    </row>
    <row r="672">
      <c r="L672" s="1003"/>
    </row>
    <row r="673">
      <c r="L673" s="1003"/>
    </row>
    <row r="674">
      <c r="L674" s="1003"/>
    </row>
    <row r="675">
      <c r="L675" s="1003"/>
    </row>
    <row r="676">
      <c r="L676" s="1003"/>
    </row>
    <row r="677">
      <c r="L677" s="1003"/>
    </row>
    <row r="678">
      <c r="L678" s="1003"/>
    </row>
    <row r="679">
      <c r="L679" s="1003"/>
    </row>
    <row r="680">
      <c r="L680" s="1003"/>
    </row>
    <row r="681">
      <c r="L681" s="1003"/>
    </row>
    <row r="682">
      <c r="L682" s="1003"/>
    </row>
    <row r="683">
      <c r="L683" s="1003"/>
    </row>
    <row r="684">
      <c r="L684" s="1003"/>
    </row>
    <row r="685">
      <c r="L685" s="1003"/>
    </row>
    <row r="686">
      <c r="L686" s="1003"/>
    </row>
    <row r="687">
      <c r="L687" s="1003"/>
    </row>
    <row r="688">
      <c r="L688" s="1003"/>
    </row>
    <row r="689">
      <c r="L689" s="1003"/>
    </row>
    <row r="690">
      <c r="L690" s="1003"/>
    </row>
    <row r="691">
      <c r="L691" s="1003"/>
    </row>
    <row r="692">
      <c r="L692" s="1003"/>
    </row>
    <row r="693">
      <c r="L693" s="1003"/>
    </row>
    <row r="694">
      <c r="L694" s="1003"/>
    </row>
    <row r="695">
      <c r="L695" s="1003"/>
    </row>
    <row r="696">
      <c r="L696" s="1003"/>
    </row>
    <row r="697">
      <c r="L697" s="1003"/>
    </row>
    <row r="698">
      <c r="L698" s="1003"/>
    </row>
    <row r="699">
      <c r="L699" s="1003"/>
    </row>
    <row r="700">
      <c r="L700" s="1003"/>
    </row>
    <row r="701">
      <c r="L701" s="1003"/>
    </row>
    <row r="702">
      <c r="L702" s="1003"/>
    </row>
    <row r="703">
      <c r="L703" s="1003"/>
    </row>
    <row r="704">
      <c r="L704" s="1003"/>
    </row>
    <row r="705">
      <c r="L705" s="1003"/>
    </row>
    <row r="706">
      <c r="L706" s="1003"/>
    </row>
    <row r="707">
      <c r="L707" s="1003"/>
    </row>
    <row r="708">
      <c r="L708" s="1003"/>
    </row>
    <row r="709">
      <c r="L709" s="1003"/>
    </row>
    <row r="710">
      <c r="L710" s="1003"/>
    </row>
    <row r="711">
      <c r="L711" s="1003"/>
    </row>
    <row r="712">
      <c r="L712" s="1003"/>
    </row>
    <row r="713">
      <c r="L713" s="1003"/>
    </row>
    <row r="714">
      <c r="L714" s="1003"/>
    </row>
    <row r="715">
      <c r="L715" s="1003"/>
    </row>
    <row r="716">
      <c r="L716" s="1003"/>
    </row>
    <row r="717">
      <c r="L717" s="1003"/>
    </row>
    <row r="718">
      <c r="L718" s="1003"/>
    </row>
    <row r="719">
      <c r="L719" s="1003"/>
    </row>
    <row r="720">
      <c r="L720" s="1003"/>
    </row>
    <row r="721">
      <c r="L721" s="1003"/>
    </row>
    <row r="722">
      <c r="L722" s="1003"/>
    </row>
    <row r="723">
      <c r="L723" s="1003"/>
    </row>
    <row r="724">
      <c r="L724" s="1003"/>
    </row>
    <row r="725">
      <c r="L725" s="1003"/>
    </row>
    <row r="726">
      <c r="L726" s="1003"/>
    </row>
    <row r="727">
      <c r="L727" s="1003"/>
    </row>
    <row r="728">
      <c r="L728" s="1003"/>
    </row>
    <row r="729">
      <c r="L729" s="1003"/>
    </row>
    <row r="730">
      <c r="L730" s="1003"/>
    </row>
    <row r="731">
      <c r="L731" s="1003"/>
    </row>
    <row r="732">
      <c r="L732" s="1003"/>
    </row>
    <row r="733">
      <c r="L733" s="1003"/>
    </row>
    <row r="734">
      <c r="L734" s="1003"/>
    </row>
    <row r="735">
      <c r="L735" s="1003"/>
    </row>
    <row r="736">
      <c r="L736" s="1003"/>
    </row>
    <row r="737">
      <c r="L737" s="1003"/>
    </row>
    <row r="738">
      <c r="L738" s="1003"/>
    </row>
    <row r="739">
      <c r="L739" s="1003"/>
    </row>
    <row r="740">
      <c r="L740" s="1003"/>
    </row>
    <row r="741">
      <c r="L741" s="1003"/>
    </row>
    <row r="742">
      <c r="L742" s="1003"/>
    </row>
    <row r="743">
      <c r="L743" s="1003"/>
    </row>
    <row r="744">
      <c r="L744" s="1003"/>
    </row>
    <row r="745">
      <c r="L745" s="1003"/>
    </row>
    <row r="746">
      <c r="L746" s="1003"/>
    </row>
    <row r="747">
      <c r="L747" s="1003"/>
    </row>
    <row r="748">
      <c r="L748" s="1003"/>
    </row>
    <row r="749">
      <c r="L749" s="1003"/>
    </row>
    <row r="750">
      <c r="L750" s="1003"/>
    </row>
    <row r="751">
      <c r="L751" s="1003"/>
    </row>
    <row r="752">
      <c r="L752" s="1003"/>
    </row>
    <row r="753">
      <c r="L753" s="1003"/>
    </row>
    <row r="754">
      <c r="L754" s="1003"/>
    </row>
    <row r="755">
      <c r="L755" s="1003"/>
    </row>
    <row r="756">
      <c r="L756" s="1003"/>
    </row>
    <row r="757">
      <c r="L757" s="1003"/>
    </row>
    <row r="758">
      <c r="L758" s="1003"/>
    </row>
    <row r="759">
      <c r="L759" s="1003"/>
    </row>
    <row r="760">
      <c r="L760" s="1003"/>
    </row>
    <row r="761">
      <c r="L761" s="1003"/>
    </row>
    <row r="762">
      <c r="L762" s="1003"/>
    </row>
    <row r="763">
      <c r="L763" s="1003"/>
    </row>
    <row r="764">
      <c r="L764" s="1003"/>
    </row>
    <row r="765">
      <c r="L765" s="1003"/>
    </row>
    <row r="766">
      <c r="L766" s="1003"/>
    </row>
    <row r="767">
      <c r="L767" s="1003"/>
    </row>
    <row r="768">
      <c r="L768" s="1003"/>
    </row>
    <row r="769">
      <c r="L769" s="1003"/>
    </row>
    <row r="770">
      <c r="L770" s="1003"/>
    </row>
    <row r="771">
      <c r="L771" s="1003"/>
    </row>
    <row r="772">
      <c r="L772" s="1003"/>
    </row>
    <row r="773">
      <c r="L773" s="1003"/>
    </row>
    <row r="774">
      <c r="L774" s="1003"/>
    </row>
    <row r="775">
      <c r="L775" s="1003"/>
    </row>
    <row r="776">
      <c r="L776" s="1003"/>
    </row>
    <row r="777">
      <c r="L777" s="1003"/>
    </row>
    <row r="778">
      <c r="L778" s="1003"/>
    </row>
    <row r="779">
      <c r="L779" s="1003"/>
    </row>
    <row r="780">
      <c r="L780" s="1003"/>
    </row>
    <row r="781">
      <c r="L781" s="1003"/>
    </row>
    <row r="782">
      <c r="L782" s="1003"/>
    </row>
    <row r="783">
      <c r="L783" s="1003"/>
    </row>
    <row r="784">
      <c r="L784" s="1003"/>
    </row>
    <row r="785">
      <c r="L785" s="1003"/>
    </row>
    <row r="786">
      <c r="L786" s="1003"/>
    </row>
    <row r="787">
      <c r="L787" s="1003"/>
    </row>
    <row r="788">
      <c r="L788" s="1003"/>
    </row>
    <row r="789">
      <c r="L789" s="1003"/>
    </row>
    <row r="790">
      <c r="L790" s="1003"/>
    </row>
    <row r="791">
      <c r="L791" s="1003"/>
    </row>
    <row r="792">
      <c r="L792" s="1003"/>
    </row>
    <row r="793">
      <c r="L793" s="1003"/>
    </row>
    <row r="794">
      <c r="L794" s="1003"/>
    </row>
    <row r="795">
      <c r="L795" s="1003"/>
    </row>
    <row r="796">
      <c r="L796" s="1003"/>
    </row>
    <row r="797">
      <c r="L797" s="1003"/>
    </row>
    <row r="798">
      <c r="L798" s="1003"/>
    </row>
    <row r="799">
      <c r="L799" s="1003"/>
    </row>
    <row r="800">
      <c r="L800" s="1003"/>
    </row>
    <row r="801">
      <c r="L801" s="1003"/>
    </row>
    <row r="802">
      <c r="L802" s="1003"/>
    </row>
    <row r="803">
      <c r="L803" s="1003"/>
    </row>
    <row r="804">
      <c r="L804" s="1003"/>
    </row>
    <row r="805">
      <c r="L805" s="1003"/>
    </row>
    <row r="806">
      <c r="L806" s="1003"/>
    </row>
    <row r="807">
      <c r="L807" s="1003"/>
    </row>
    <row r="808">
      <c r="L808" s="1003"/>
    </row>
    <row r="809">
      <c r="L809" s="1003"/>
    </row>
    <row r="810">
      <c r="L810" s="1003"/>
    </row>
    <row r="811">
      <c r="L811" s="1003"/>
    </row>
    <row r="812">
      <c r="L812" s="1003"/>
    </row>
    <row r="813">
      <c r="L813" s="1003"/>
    </row>
    <row r="814">
      <c r="L814" s="1003"/>
    </row>
    <row r="815">
      <c r="L815" s="1003"/>
    </row>
    <row r="816">
      <c r="L816" s="1003"/>
    </row>
    <row r="817">
      <c r="L817" s="1003"/>
    </row>
    <row r="818">
      <c r="L818" s="1003"/>
    </row>
    <row r="819">
      <c r="L819" s="1003"/>
    </row>
    <row r="820">
      <c r="L820" s="1003"/>
    </row>
    <row r="821">
      <c r="L821" s="1003"/>
    </row>
    <row r="822">
      <c r="L822" s="1003"/>
    </row>
    <row r="823">
      <c r="L823" s="1003"/>
    </row>
    <row r="824">
      <c r="L824" s="1003"/>
    </row>
    <row r="825">
      <c r="L825" s="1003"/>
    </row>
    <row r="826">
      <c r="L826" s="1003"/>
    </row>
    <row r="827">
      <c r="L827" s="1003"/>
    </row>
    <row r="828">
      <c r="L828" s="1003"/>
    </row>
    <row r="829">
      <c r="L829" s="1003"/>
    </row>
    <row r="830">
      <c r="L830" s="1003"/>
    </row>
    <row r="831">
      <c r="L831" s="1003"/>
    </row>
    <row r="832">
      <c r="L832" s="1003"/>
    </row>
    <row r="833">
      <c r="L833" s="1003"/>
    </row>
    <row r="834">
      <c r="L834" s="1003"/>
    </row>
    <row r="835">
      <c r="L835" s="1003"/>
    </row>
    <row r="836">
      <c r="L836" s="1003"/>
    </row>
    <row r="837">
      <c r="L837" s="1003"/>
    </row>
    <row r="838">
      <c r="L838" s="1003"/>
    </row>
    <row r="839">
      <c r="L839" s="1003"/>
    </row>
    <row r="840">
      <c r="L840" s="1003"/>
    </row>
    <row r="841">
      <c r="L841" s="1003"/>
    </row>
    <row r="842">
      <c r="L842" s="1003"/>
    </row>
    <row r="843">
      <c r="L843" s="1003"/>
    </row>
    <row r="844">
      <c r="L844" s="1003"/>
    </row>
    <row r="845">
      <c r="L845" s="1003"/>
    </row>
    <row r="846">
      <c r="L846" s="1003"/>
    </row>
    <row r="847">
      <c r="L847" s="1003"/>
    </row>
    <row r="848">
      <c r="L848" s="1003"/>
    </row>
    <row r="849">
      <c r="L849" s="1003"/>
    </row>
    <row r="850">
      <c r="L850" s="1003"/>
    </row>
    <row r="851">
      <c r="L851" s="1003"/>
    </row>
    <row r="852">
      <c r="L852" s="1003"/>
    </row>
    <row r="853">
      <c r="L853" s="1003"/>
    </row>
    <row r="854">
      <c r="L854" s="1003"/>
    </row>
    <row r="855">
      <c r="L855" s="1003"/>
    </row>
    <row r="856">
      <c r="L856" s="1003"/>
    </row>
    <row r="857">
      <c r="L857" s="1003"/>
    </row>
    <row r="858">
      <c r="L858" s="1003"/>
    </row>
    <row r="859">
      <c r="L859" s="1003"/>
    </row>
    <row r="860">
      <c r="L860" s="1003"/>
    </row>
    <row r="861">
      <c r="L861" s="1003"/>
    </row>
    <row r="862">
      <c r="L862" s="1003"/>
    </row>
    <row r="863">
      <c r="L863" s="1003"/>
    </row>
    <row r="864">
      <c r="L864" s="1003"/>
    </row>
    <row r="865">
      <c r="L865" s="1003"/>
    </row>
    <row r="866">
      <c r="L866" s="1003"/>
    </row>
    <row r="867">
      <c r="L867" s="1003"/>
    </row>
    <row r="868">
      <c r="L868" s="1003"/>
    </row>
    <row r="869">
      <c r="L869" s="1003"/>
    </row>
    <row r="870">
      <c r="L870" s="1003"/>
    </row>
    <row r="871">
      <c r="L871" s="1003"/>
    </row>
    <row r="872">
      <c r="L872" s="1003"/>
    </row>
    <row r="873">
      <c r="L873" s="1003"/>
    </row>
    <row r="874">
      <c r="L874" s="1003"/>
    </row>
    <row r="875">
      <c r="L875" s="1003"/>
    </row>
    <row r="876">
      <c r="L876" s="1003"/>
    </row>
    <row r="877">
      <c r="L877" s="1003"/>
    </row>
    <row r="878">
      <c r="L878" s="1003"/>
    </row>
    <row r="879">
      <c r="L879" s="1003"/>
    </row>
    <row r="880">
      <c r="L880" s="1003"/>
    </row>
    <row r="881">
      <c r="L881" s="1003"/>
    </row>
    <row r="882">
      <c r="L882" s="1003"/>
    </row>
    <row r="883">
      <c r="L883" s="1003"/>
    </row>
    <row r="884">
      <c r="L884" s="1003"/>
    </row>
    <row r="885">
      <c r="L885" s="1003"/>
    </row>
    <row r="886">
      <c r="L886" s="1003"/>
    </row>
    <row r="887">
      <c r="L887" s="1003"/>
    </row>
    <row r="888">
      <c r="L888" s="1003"/>
    </row>
    <row r="889">
      <c r="L889" s="1003"/>
    </row>
    <row r="890">
      <c r="L890" s="1003"/>
    </row>
    <row r="891">
      <c r="L891" s="1003"/>
    </row>
    <row r="892">
      <c r="L892" s="1003"/>
    </row>
    <row r="893">
      <c r="L893" s="1003"/>
    </row>
    <row r="894">
      <c r="L894" s="1003"/>
    </row>
    <row r="895">
      <c r="L895" s="1003"/>
    </row>
    <row r="896">
      <c r="L896" s="1003"/>
    </row>
    <row r="897">
      <c r="L897" s="1003"/>
    </row>
    <row r="898">
      <c r="L898" s="1003"/>
    </row>
    <row r="899">
      <c r="L899" s="1003"/>
    </row>
    <row r="900">
      <c r="L900" s="1003"/>
    </row>
    <row r="901">
      <c r="L901" s="1003"/>
    </row>
    <row r="902">
      <c r="L902" s="1003"/>
    </row>
    <row r="903">
      <c r="L903" s="1003"/>
    </row>
    <row r="904">
      <c r="L904" s="1003"/>
    </row>
    <row r="905">
      <c r="L905" s="1003"/>
    </row>
    <row r="906">
      <c r="L906" s="1003"/>
    </row>
    <row r="907">
      <c r="L907" s="1003"/>
    </row>
    <row r="908">
      <c r="L908" s="1003"/>
    </row>
    <row r="909">
      <c r="L909" s="1003"/>
    </row>
    <row r="910">
      <c r="L910" s="1003"/>
    </row>
    <row r="911">
      <c r="L911" s="1003"/>
    </row>
    <row r="912">
      <c r="L912" s="1003"/>
    </row>
    <row r="913">
      <c r="L913" s="1003"/>
    </row>
    <row r="914">
      <c r="L914" s="1003"/>
    </row>
    <row r="915">
      <c r="L915" s="1003"/>
    </row>
    <row r="916">
      <c r="L916" s="1003"/>
    </row>
    <row r="917">
      <c r="L917" s="1003"/>
    </row>
    <row r="918">
      <c r="L918" s="1003"/>
    </row>
    <row r="919">
      <c r="L919" s="1003"/>
    </row>
    <row r="920">
      <c r="L920" s="1003"/>
    </row>
    <row r="921">
      <c r="L921" s="1003"/>
    </row>
    <row r="922">
      <c r="L922" s="1003"/>
    </row>
    <row r="923">
      <c r="L923" s="1003"/>
    </row>
    <row r="924">
      <c r="L924" s="1003"/>
    </row>
    <row r="925">
      <c r="L925" s="1003"/>
    </row>
    <row r="926">
      <c r="L926" s="1003"/>
    </row>
    <row r="927">
      <c r="L927" s="1003"/>
    </row>
    <row r="928">
      <c r="L928" s="1003"/>
    </row>
    <row r="929">
      <c r="L929" s="1003"/>
    </row>
    <row r="930">
      <c r="L930" s="1003"/>
    </row>
    <row r="931">
      <c r="L931" s="1003"/>
    </row>
    <row r="932">
      <c r="L932" s="1003"/>
    </row>
    <row r="933">
      <c r="L933" s="1003"/>
    </row>
    <row r="934">
      <c r="L934" s="1003"/>
    </row>
    <row r="935">
      <c r="L935" s="1003"/>
    </row>
    <row r="936">
      <c r="L936" s="1003"/>
    </row>
    <row r="937">
      <c r="L937" s="1003"/>
    </row>
    <row r="938">
      <c r="L938" s="1003"/>
    </row>
    <row r="939">
      <c r="L939" s="1003"/>
    </row>
    <row r="940">
      <c r="L940" s="1003"/>
    </row>
    <row r="941">
      <c r="L941" s="1003"/>
    </row>
    <row r="942">
      <c r="L942" s="1003"/>
    </row>
    <row r="943">
      <c r="L943" s="1003"/>
    </row>
    <row r="944">
      <c r="L944" s="1003"/>
    </row>
    <row r="945">
      <c r="L945" s="1003"/>
    </row>
    <row r="946">
      <c r="L946" s="1003"/>
    </row>
    <row r="947">
      <c r="L947" s="1003"/>
    </row>
    <row r="948">
      <c r="L948" s="1003"/>
    </row>
    <row r="949">
      <c r="L949" s="1003"/>
    </row>
    <row r="950">
      <c r="L950" s="1003"/>
    </row>
    <row r="951">
      <c r="L951" s="1003"/>
    </row>
    <row r="952">
      <c r="L952" s="1003"/>
    </row>
    <row r="953">
      <c r="L953" s="1003"/>
    </row>
    <row r="954">
      <c r="L954" s="1003"/>
    </row>
    <row r="955">
      <c r="L955" s="1003"/>
    </row>
    <row r="956">
      <c r="L956" s="1003"/>
    </row>
    <row r="957">
      <c r="L957" s="1003"/>
    </row>
    <row r="958">
      <c r="L958" s="1003"/>
    </row>
    <row r="959">
      <c r="L959" s="1003"/>
    </row>
    <row r="960">
      <c r="L960" s="1003"/>
    </row>
    <row r="961">
      <c r="L961" s="1003"/>
    </row>
    <row r="962">
      <c r="L962" s="1003"/>
    </row>
    <row r="963">
      <c r="L963" s="1003"/>
    </row>
    <row r="964">
      <c r="L964" s="1003"/>
    </row>
    <row r="965">
      <c r="L965" s="1003"/>
    </row>
    <row r="966">
      <c r="L966" s="1003"/>
    </row>
    <row r="967">
      <c r="L967" s="1003"/>
    </row>
    <row r="968">
      <c r="L968" s="1003"/>
    </row>
    <row r="969">
      <c r="L969" s="1003"/>
    </row>
    <row r="970">
      <c r="L970" s="1003"/>
    </row>
    <row r="971">
      <c r="L971" s="1003"/>
    </row>
    <row r="972">
      <c r="L972" s="1003"/>
    </row>
    <row r="973">
      <c r="L973" s="1003"/>
    </row>
    <row r="974">
      <c r="L974" s="1003"/>
    </row>
    <row r="975">
      <c r="L975" s="1003"/>
    </row>
    <row r="976">
      <c r="L976" s="1003"/>
    </row>
    <row r="977">
      <c r="L977" s="1003"/>
    </row>
    <row r="978">
      <c r="L978" s="1003"/>
    </row>
    <row r="979">
      <c r="L979" s="1003"/>
    </row>
    <row r="980">
      <c r="L980" s="1003"/>
    </row>
    <row r="981">
      <c r="L981" s="1003"/>
    </row>
    <row r="982">
      <c r="L982" s="1003"/>
    </row>
    <row r="983">
      <c r="L983" s="1003"/>
    </row>
    <row r="984">
      <c r="L984" s="1003"/>
    </row>
    <row r="985">
      <c r="L985" s="1003"/>
    </row>
    <row r="986">
      <c r="L986" s="1003"/>
    </row>
    <row r="987">
      <c r="L987" s="1003"/>
    </row>
    <row r="988">
      <c r="L988" s="1003"/>
    </row>
    <row r="989">
      <c r="L989" s="1003"/>
    </row>
    <row r="990">
      <c r="L990" s="1003"/>
    </row>
    <row r="991">
      <c r="L991" s="1003"/>
    </row>
    <row r="992">
      <c r="L992" s="1003"/>
    </row>
    <row r="993">
      <c r="L993" s="1003"/>
    </row>
    <row r="994">
      <c r="L994" s="1003"/>
    </row>
    <row r="995">
      <c r="L995" s="1003"/>
    </row>
    <row r="996">
      <c r="L996" s="1003"/>
    </row>
    <row r="997">
      <c r="L997" s="1003"/>
    </row>
    <row r="998">
      <c r="L998" s="1003"/>
    </row>
    <row r="999">
      <c r="L999" s="1003"/>
    </row>
    <row r="1000">
      <c r="L1000" s="1003"/>
    </row>
  </sheetData>
  <mergeCells count="1">
    <mergeCell ref="A79:G79"/>
  </mergeCells>
  <dataValidations>
    <dataValidation type="list" allowBlank="1" showErrorMessage="1" sqref="A2">
      <formula1>'Current Stock'!$A$3:$A$1790</formula1>
    </dataValidation>
    <dataValidation type="list" allowBlank="1" showErrorMessage="1" sqref="F2:F78">
      <formula1>"KIRIM,KEEP,PRORATE"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29"/>
    <col customWidth="1" min="2" max="2" width="7.14"/>
    <col customWidth="1" min="3" max="3" width="15.43"/>
    <col customWidth="1" min="4" max="4" width="13.71"/>
    <col customWidth="1" min="5" max="6" width="15.43"/>
    <col customWidth="1" min="7" max="7" width="9.71"/>
    <col customWidth="1" min="8" max="8" width="12.29"/>
    <col customWidth="1" min="9" max="9" width="13.14"/>
    <col customWidth="1" min="10" max="10" width="13.71"/>
    <col customWidth="1" min="11" max="11" width="12.86"/>
    <col customWidth="1" min="12" max="13" width="19.43"/>
    <col customWidth="1" min="14" max="17" width="13.0"/>
    <col customWidth="1" min="18" max="18" width="16.57"/>
    <col customWidth="1" min="19" max="19" width="16.86"/>
    <col customWidth="1" min="20" max="20" width="16.43"/>
    <col customWidth="1" min="21" max="21" width="14.43"/>
    <col customWidth="1" min="22" max="22" width="42.57"/>
  </cols>
  <sheetData>
    <row r="1">
      <c r="A1" s="1004" t="s">
        <v>13624</v>
      </c>
      <c r="B1" s="1005"/>
      <c r="C1" s="1005"/>
      <c r="D1" s="1005"/>
      <c r="E1" s="1005"/>
      <c r="F1" s="1005"/>
      <c r="G1" s="1005"/>
      <c r="H1" s="1005"/>
      <c r="I1" s="1004"/>
      <c r="J1" s="1006"/>
      <c r="K1" s="1007"/>
      <c r="L1" s="1008"/>
      <c r="M1" s="1009">
        <f>SUM(O6:O140)</f>
        <v>369153862</v>
      </c>
      <c r="N1" s="1010"/>
      <c r="O1" s="1010"/>
      <c r="P1" s="1010"/>
      <c r="Q1" s="1010"/>
      <c r="U1" s="1011"/>
      <c r="V1" s="1012"/>
      <c r="W1" s="1013"/>
      <c r="X1" s="1014"/>
      <c r="Y1" s="1012"/>
      <c r="Z1" s="1012"/>
      <c r="AA1" s="1012"/>
      <c r="AB1" s="1012"/>
      <c r="AC1" s="1012"/>
      <c r="AD1" s="1012"/>
      <c r="AE1" s="1012"/>
      <c r="AF1" s="1012"/>
      <c r="AG1" s="1012"/>
      <c r="AH1" s="1012"/>
      <c r="AI1" s="1012"/>
      <c r="AJ1" s="1012"/>
      <c r="AK1" s="1012"/>
    </row>
    <row r="2">
      <c r="A2" s="1015" t="s">
        <v>13625</v>
      </c>
      <c r="B2" s="2"/>
      <c r="C2" s="2"/>
      <c r="D2" s="2"/>
      <c r="E2" s="2"/>
      <c r="F2" s="2"/>
      <c r="G2" s="2"/>
      <c r="H2" s="2"/>
      <c r="I2" s="1015"/>
      <c r="J2" s="1016"/>
      <c r="K2" s="1017"/>
      <c r="L2" s="1018"/>
      <c r="M2" s="1019">
        <f>SUM(Q6:Q140)</f>
        <v>365650813</v>
      </c>
      <c r="N2" s="1020"/>
      <c r="O2" s="1020"/>
      <c r="P2" s="1020"/>
      <c r="Q2" s="1021">
        <v>1.67867973E8</v>
      </c>
      <c r="R2" s="1022">
        <f>M2-Q2</f>
        <v>197782840</v>
      </c>
      <c r="S2" s="1023" t="s">
        <v>13626</v>
      </c>
      <c r="T2" s="1024">
        <f>SUM(T6:T140)</f>
        <v>21836322</v>
      </c>
      <c r="U2" s="1025"/>
      <c r="V2" s="1026">
        <f>R2+T2+R3</f>
        <v>220784062</v>
      </c>
      <c r="W2" s="1013"/>
      <c r="X2" s="1014"/>
      <c r="Y2" s="1012"/>
      <c r="Z2" s="1012"/>
      <c r="AA2" s="1012"/>
      <c r="AB2" s="1012"/>
      <c r="AC2" s="1012"/>
      <c r="AD2" s="1012"/>
      <c r="AE2" s="1012"/>
      <c r="AF2" s="1012"/>
      <c r="AG2" s="1012"/>
      <c r="AH2" s="1012"/>
      <c r="AI2" s="1012"/>
      <c r="AJ2" s="1012"/>
      <c r="AK2" s="1012"/>
    </row>
    <row r="3">
      <c r="A3" s="1027" t="s">
        <v>13627</v>
      </c>
      <c r="B3" s="2"/>
      <c r="C3" s="2"/>
      <c r="D3" s="2"/>
      <c r="E3" s="2"/>
      <c r="F3" s="2"/>
      <c r="G3" s="2"/>
      <c r="H3" s="2"/>
      <c r="I3" s="1027"/>
      <c r="J3" s="1028"/>
      <c r="K3" s="1029"/>
      <c r="L3" s="1030"/>
      <c r="M3" s="1031">
        <f>sum(S6:S140)</f>
        <v>189688849</v>
      </c>
      <c r="N3" s="1032"/>
      <c r="O3" s="1032"/>
      <c r="P3" s="1032"/>
      <c r="Q3" s="1032"/>
      <c r="R3" s="110">
        <v>1164900.0</v>
      </c>
      <c r="S3" s="1033"/>
      <c r="T3" s="1033"/>
      <c r="U3" s="1025"/>
      <c r="V3" s="1034" t="s">
        <v>13628</v>
      </c>
      <c r="W3" s="1013"/>
      <c r="X3" s="1014"/>
      <c r="Y3" s="1012"/>
      <c r="Z3" s="1012"/>
      <c r="AA3" s="1012"/>
      <c r="AB3" s="1012"/>
      <c r="AC3" s="1012"/>
      <c r="AD3" s="1012"/>
      <c r="AE3" s="1012"/>
      <c r="AF3" s="1012"/>
      <c r="AG3" s="1012"/>
      <c r="AH3" s="1012"/>
      <c r="AI3" s="1012"/>
      <c r="AJ3" s="1012"/>
      <c r="AK3" s="1012"/>
    </row>
    <row r="4">
      <c r="A4" s="1035" t="s">
        <v>13629</v>
      </c>
      <c r="B4" s="536"/>
      <c r="C4" s="536"/>
      <c r="D4" s="536"/>
      <c r="E4" s="536"/>
      <c r="F4" s="536"/>
      <c r="G4" s="536"/>
      <c r="H4" s="536"/>
      <c r="I4" s="1035"/>
      <c r="J4" s="1036"/>
      <c r="K4" s="1037"/>
      <c r="L4" s="1038"/>
      <c r="M4" s="1039">
        <f>SUM(T6:T140)</f>
        <v>21836322</v>
      </c>
      <c r="N4" s="1040"/>
      <c r="O4" s="1040"/>
      <c r="P4" s="1040"/>
      <c r="Q4" s="1040"/>
      <c r="R4" s="1033"/>
      <c r="S4" s="1033"/>
      <c r="T4" s="1033"/>
      <c r="U4" s="1025"/>
      <c r="V4" s="1041"/>
      <c r="W4" s="1013"/>
      <c r="X4" s="1014"/>
      <c r="Y4" s="1012"/>
      <c r="Z4" s="1012"/>
      <c r="AA4" s="1012"/>
      <c r="AB4" s="1012"/>
      <c r="AC4" s="1012"/>
      <c r="AD4" s="1012"/>
      <c r="AE4" s="1012"/>
      <c r="AF4" s="1012"/>
      <c r="AG4" s="1012"/>
      <c r="AH4" s="1012"/>
      <c r="AI4" s="1012"/>
      <c r="AJ4" s="1012"/>
      <c r="AK4" s="1012"/>
    </row>
    <row r="5">
      <c r="A5" s="1042" t="s">
        <v>2902</v>
      </c>
      <c r="B5" s="1043" t="s">
        <v>13630</v>
      </c>
      <c r="C5" s="1044" t="s">
        <v>13619</v>
      </c>
      <c r="D5" s="1044" t="s">
        <v>13631</v>
      </c>
      <c r="E5" s="1045" t="s">
        <v>13609</v>
      </c>
      <c r="F5" s="1046" t="s">
        <v>11466</v>
      </c>
      <c r="G5" s="1043" t="s">
        <v>13632</v>
      </c>
      <c r="H5" s="1047" t="s">
        <v>13633</v>
      </c>
      <c r="I5" s="1048" t="s">
        <v>13634</v>
      </c>
      <c r="J5" s="1045" t="s">
        <v>13635</v>
      </c>
      <c r="K5" s="1044" t="s">
        <v>13636</v>
      </c>
      <c r="L5" s="1049" t="s">
        <v>12801</v>
      </c>
      <c r="M5" s="1050" t="s">
        <v>13637</v>
      </c>
      <c r="N5" s="1051" t="s">
        <v>13638</v>
      </c>
      <c r="O5" s="1052" t="s">
        <v>13639</v>
      </c>
      <c r="P5" s="1051" t="s">
        <v>13640</v>
      </c>
      <c r="Q5" s="1053" t="s">
        <v>13641</v>
      </c>
      <c r="R5" s="1054" t="s">
        <v>13642</v>
      </c>
      <c r="S5" s="1054" t="s">
        <v>13643</v>
      </c>
      <c r="T5" s="1055" t="s">
        <v>13644</v>
      </c>
      <c r="U5" s="1056" t="s">
        <v>9</v>
      </c>
      <c r="V5" s="1057" t="s">
        <v>11458</v>
      </c>
      <c r="W5" s="1058" t="s">
        <v>13645</v>
      </c>
      <c r="X5" s="1059" t="s">
        <v>13646</v>
      </c>
      <c r="Y5" s="1060" t="s">
        <v>11453</v>
      </c>
      <c r="Z5" s="1041"/>
      <c r="AA5" s="1041"/>
      <c r="AB5" s="1041"/>
      <c r="AC5" s="1041"/>
      <c r="AD5" s="1041"/>
      <c r="AE5" s="1041"/>
      <c r="AF5" s="1041"/>
      <c r="AG5" s="1041"/>
      <c r="AH5" s="1041"/>
      <c r="AI5" s="1041"/>
      <c r="AJ5" s="1041"/>
      <c r="AK5" s="1041"/>
    </row>
    <row r="6" hidden="1">
      <c r="A6" s="982" t="s">
        <v>2562</v>
      </c>
      <c r="B6" s="983">
        <v>10.0</v>
      </c>
      <c r="C6" s="1061">
        <f>IFERROR(VLOOKUP(A6,stockKJD,8,FALSE)," ")</f>
        <v>63</v>
      </c>
      <c r="D6" s="1062">
        <f t="shared" ref="D6:D139" si="1">IF(C6&gt;=B6,B6,C6)</f>
        <v>10</v>
      </c>
      <c r="E6" s="1061">
        <f>IFERROR(VLOOKUP(A6,stockKJD,9,FALSE)," ")</f>
        <v>3</v>
      </c>
      <c r="F6" s="987" t="s">
        <v>13610</v>
      </c>
      <c r="G6" s="1063">
        <f t="shared" ref="G6:G139" si="2">B6-D6-H6</f>
        <v>0</v>
      </c>
      <c r="H6" s="1064">
        <v>0.0</v>
      </c>
      <c r="I6" s="1064">
        <f t="shared" ref="I6:I140" si="3">J6+K6</f>
        <v>0</v>
      </c>
      <c r="J6" s="1063"/>
      <c r="K6" s="1063"/>
      <c r="L6" s="1065"/>
      <c r="M6" s="1065">
        <v>396825.0</v>
      </c>
      <c r="N6" s="1063">
        <f>IFERROR(VLOOKUP(A6,hpp,3,FALSE)," ")</f>
        <v>401289</v>
      </c>
      <c r="O6" s="1063">
        <f t="shared" ref="O6:O140" si="4">M6*B6</f>
        <v>3968250</v>
      </c>
      <c r="P6" s="1063">
        <f t="shared" ref="P6:P140" si="5">N6*B6</f>
        <v>4012890</v>
      </c>
      <c r="Q6" s="1066">
        <f t="shared" ref="Q6:Q140" si="6">M6*D6</f>
        <v>3968250</v>
      </c>
      <c r="R6" s="1067">
        <f t="shared" ref="R6:R140" si="7">I6*M6</f>
        <v>0</v>
      </c>
      <c r="S6" s="1067">
        <f t="shared" ref="S6:S140" si="8">I6*M6</f>
        <v>0</v>
      </c>
      <c r="T6" s="1068">
        <f t="shared" ref="T6:T140" si="9">H6*M6</f>
        <v>0</v>
      </c>
      <c r="U6" s="1069" t="str">
        <f>IFERROR(VLOOKUP(A6,StockAll,10,FALSE)," ")</f>
        <v>B2T1</v>
      </c>
      <c r="V6" s="1070"/>
      <c r="W6" s="1071">
        <f t="shared" ref="W6:W139" si="10">B6-J6-K6</f>
        <v>10</v>
      </c>
      <c r="X6" s="1072">
        <f t="shared" ref="X6:X140" si="11">W6*M6</f>
        <v>3968250</v>
      </c>
      <c r="Y6" s="1073">
        <f t="shared" ref="Y6:Y140" si="12">J6+K6</f>
        <v>0</v>
      </c>
      <c r="Z6" s="1012"/>
      <c r="AA6" s="1012"/>
      <c r="AB6" s="1012"/>
      <c r="AC6" s="1012"/>
      <c r="AD6" s="1012"/>
      <c r="AE6" s="1012"/>
      <c r="AF6" s="1012"/>
      <c r="AG6" s="1012"/>
      <c r="AH6" s="1012"/>
      <c r="AI6" s="1012"/>
      <c r="AJ6" s="1012"/>
      <c r="AK6" s="1012"/>
    </row>
    <row r="7" hidden="1">
      <c r="A7" s="982" t="s">
        <v>3099</v>
      </c>
      <c r="B7" s="983">
        <v>10.0</v>
      </c>
      <c r="C7" s="1061">
        <f>IFERROR(VLOOKUP(A7,stockKJD,8,FALSE)," ")</f>
        <v>55</v>
      </c>
      <c r="D7" s="1062">
        <f t="shared" si="1"/>
        <v>10</v>
      </c>
      <c r="E7" s="1061">
        <f>IFERROR(VLOOKUP(A7,stockKJD,9,FALSE)," ")</f>
        <v>1</v>
      </c>
      <c r="F7" s="987" t="s">
        <v>13610</v>
      </c>
      <c r="G7" s="1063">
        <f t="shared" si="2"/>
        <v>0</v>
      </c>
      <c r="H7" s="1064">
        <v>0.0</v>
      </c>
      <c r="I7" s="1064">
        <f t="shared" si="3"/>
        <v>0</v>
      </c>
      <c r="J7" s="1063"/>
      <c r="K7" s="1063"/>
      <c r="L7" s="1065"/>
      <c r="M7" s="1065">
        <v>449328.0</v>
      </c>
      <c r="N7" s="1063">
        <f>IFERROR(VLOOKUP(A7,hpp,3,FALSE)," ")</f>
        <v>455740</v>
      </c>
      <c r="O7" s="1063">
        <f t="shared" si="4"/>
        <v>4493280</v>
      </c>
      <c r="P7" s="1063">
        <f t="shared" si="5"/>
        <v>4557400</v>
      </c>
      <c r="Q7" s="1066">
        <f t="shared" si="6"/>
        <v>4493280</v>
      </c>
      <c r="R7" s="1067">
        <f t="shared" si="7"/>
        <v>0</v>
      </c>
      <c r="S7" s="1067">
        <f t="shared" si="8"/>
        <v>0</v>
      </c>
      <c r="T7" s="1068">
        <f t="shared" si="9"/>
        <v>0</v>
      </c>
      <c r="U7" s="1074" t="str">
        <f>IFERROR(VLOOKUP(A7,StockAll,10,FALSE)," ")</f>
        <v>B1T1</v>
      </c>
      <c r="V7" s="1070"/>
      <c r="W7" s="1071">
        <f t="shared" si="10"/>
        <v>10</v>
      </c>
      <c r="X7" s="1072">
        <f t="shared" si="11"/>
        <v>4493280</v>
      </c>
      <c r="Y7" s="1073">
        <f t="shared" si="12"/>
        <v>0</v>
      </c>
      <c r="Z7" s="1012"/>
      <c r="AA7" s="1012"/>
      <c r="AB7" s="1012"/>
      <c r="AC7" s="1012"/>
      <c r="AD7" s="1012"/>
      <c r="AE7" s="1012"/>
      <c r="AF7" s="1012"/>
      <c r="AG7" s="1012"/>
      <c r="AH7" s="1012"/>
      <c r="AI7" s="1012"/>
      <c r="AJ7" s="1012"/>
      <c r="AK7" s="1012"/>
    </row>
    <row r="8" hidden="1">
      <c r="A8" s="982" t="s">
        <v>2565</v>
      </c>
      <c r="B8" s="983">
        <v>10.0</v>
      </c>
      <c r="C8" s="1061">
        <f>IFERROR(VLOOKUP(A8,stockKJD,8,FALSE)," ")</f>
        <v>32</v>
      </c>
      <c r="D8" s="1062">
        <f t="shared" si="1"/>
        <v>10</v>
      </c>
      <c r="E8" s="1061">
        <f>IFERROR(VLOOKUP(A8,stockKJD,9,FALSE)," ")</f>
        <v>3</v>
      </c>
      <c r="F8" s="987" t="s">
        <v>13610</v>
      </c>
      <c r="G8" s="1063">
        <f t="shared" si="2"/>
        <v>0</v>
      </c>
      <c r="H8" s="1064">
        <v>0.0</v>
      </c>
      <c r="I8" s="1064">
        <f t="shared" si="3"/>
        <v>0</v>
      </c>
      <c r="J8" s="1063"/>
      <c r="K8" s="1063"/>
      <c r="L8" s="1065"/>
      <c r="M8" s="1065">
        <v>396825.0</v>
      </c>
      <c r="N8" s="1063">
        <f>IFERROR(VLOOKUP(A8,hpp,3,FALSE)," ")</f>
        <v>400992</v>
      </c>
      <c r="O8" s="1063">
        <f t="shared" si="4"/>
        <v>3968250</v>
      </c>
      <c r="P8" s="1063">
        <f t="shared" si="5"/>
        <v>4009920</v>
      </c>
      <c r="Q8" s="1066">
        <f t="shared" si="6"/>
        <v>3968250</v>
      </c>
      <c r="R8" s="1067">
        <f t="shared" si="7"/>
        <v>0</v>
      </c>
      <c r="S8" s="1067">
        <f t="shared" si="8"/>
        <v>0</v>
      </c>
      <c r="T8" s="1068">
        <f t="shared" si="9"/>
        <v>0</v>
      </c>
      <c r="U8" s="1069" t="str">
        <f>IFERROR(VLOOKUP(A8,StockAll,10,FALSE)," ")</f>
        <v>B2T1</v>
      </c>
      <c r="V8" s="1070"/>
      <c r="W8" s="1071">
        <f t="shared" si="10"/>
        <v>10</v>
      </c>
      <c r="X8" s="1072">
        <f t="shared" si="11"/>
        <v>3968250</v>
      </c>
      <c r="Y8" s="1073">
        <f t="shared" si="12"/>
        <v>0</v>
      </c>
      <c r="Z8" s="1012"/>
      <c r="AA8" s="1012"/>
      <c r="AB8" s="1012"/>
      <c r="AC8" s="1012"/>
      <c r="AD8" s="1012"/>
      <c r="AE8" s="1012"/>
      <c r="AF8" s="1012"/>
      <c r="AG8" s="1012"/>
      <c r="AH8" s="1012"/>
      <c r="AI8" s="1012"/>
      <c r="AJ8" s="1012"/>
      <c r="AK8" s="1012"/>
    </row>
    <row r="9">
      <c r="A9" s="982" t="s">
        <v>3817</v>
      </c>
      <c r="B9" s="983">
        <v>10.0</v>
      </c>
      <c r="C9" s="1061">
        <f>IFERROR(VLOOKUP(A9,stockKJD,8,FALSE)," ")</f>
        <v>10</v>
      </c>
      <c r="D9" s="1062">
        <f t="shared" si="1"/>
        <v>10</v>
      </c>
      <c r="E9" s="1061">
        <f>IFERROR(VLOOKUP(A9,stockKJD,9,FALSE)," ")</f>
        <v>0</v>
      </c>
      <c r="F9" s="987" t="s">
        <v>13610</v>
      </c>
      <c r="G9" s="1063">
        <f t="shared" si="2"/>
        <v>-2</v>
      </c>
      <c r="H9" s="1075">
        <v>2.0</v>
      </c>
      <c r="I9" s="1064">
        <f t="shared" si="3"/>
        <v>4</v>
      </c>
      <c r="J9" s="1063">
        <v>4.0</v>
      </c>
      <c r="K9" s="1063"/>
      <c r="L9" s="1076" t="s">
        <v>13647</v>
      </c>
      <c r="M9" s="1065">
        <v>483516.0</v>
      </c>
      <c r="N9" s="1063">
        <f>IFERROR(VLOOKUP(A9,hpp,3,FALSE)," ")</f>
        <v>496016</v>
      </c>
      <c r="O9" s="1063">
        <f t="shared" si="4"/>
        <v>4835160</v>
      </c>
      <c r="P9" s="1063">
        <f t="shared" si="5"/>
        <v>4960160</v>
      </c>
      <c r="Q9" s="1066">
        <f t="shared" si="6"/>
        <v>4835160</v>
      </c>
      <c r="R9" s="1067">
        <f t="shared" si="7"/>
        <v>1934064</v>
      </c>
      <c r="S9" s="1067">
        <f t="shared" si="8"/>
        <v>1934064</v>
      </c>
      <c r="T9" s="1068">
        <f t="shared" si="9"/>
        <v>967032</v>
      </c>
      <c r="U9" s="1069" t="str">
        <f>IFERROR(VLOOKUP(A9,StockAll,10,FALSE)," ")</f>
        <v>B12T2</v>
      </c>
      <c r="V9" s="1070"/>
      <c r="W9" s="1071">
        <f t="shared" si="10"/>
        <v>6</v>
      </c>
      <c r="X9" s="1072">
        <f t="shared" si="11"/>
        <v>2901096</v>
      </c>
      <c r="Y9" s="1073">
        <f t="shared" si="12"/>
        <v>4</v>
      </c>
      <c r="Z9" s="388">
        <v>4.0</v>
      </c>
      <c r="AA9" s="1012"/>
      <c r="AB9" s="1012"/>
      <c r="AC9" s="1012"/>
      <c r="AD9" s="1012"/>
      <c r="AE9" s="1012"/>
      <c r="AF9" s="1012"/>
      <c r="AG9" s="1012"/>
      <c r="AH9" s="1012"/>
      <c r="AI9" s="1012"/>
      <c r="AJ9" s="1012"/>
      <c r="AK9" s="1012"/>
    </row>
    <row r="10">
      <c r="A10" s="982" t="s">
        <v>3451</v>
      </c>
      <c r="B10" s="983">
        <v>10.0</v>
      </c>
      <c r="C10" s="1061">
        <f>IFERROR(VLOOKUP(A10,stockKJD,8,FALSE)," ")</f>
        <v>20</v>
      </c>
      <c r="D10" s="1062">
        <f t="shared" si="1"/>
        <v>10</v>
      </c>
      <c r="E10" s="1061">
        <f>IFERROR(VLOOKUP(A10,stockKJD,9,FALSE)," ")</f>
        <v>5</v>
      </c>
      <c r="F10" s="987" t="s">
        <v>13610</v>
      </c>
      <c r="G10" s="1063">
        <f t="shared" si="2"/>
        <v>0</v>
      </c>
      <c r="H10" s="1075">
        <v>0.0</v>
      </c>
      <c r="I10" s="1064">
        <f t="shared" si="3"/>
        <v>5</v>
      </c>
      <c r="J10" s="1063">
        <v>5.0</v>
      </c>
      <c r="K10" s="1063"/>
      <c r="L10" s="1076" t="s">
        <v>13647</v>
      </c>
      <c r="M10" s="1065">
        <v>493284.0</v>
      </c>
      <c r="N10" s="1063">
        <f>IFERROR(VLOOKUP(A10,hpp,3,FALSE)," ")</f>
        <v>505784</v>
      </c>
      <c r="O10" s="1063">
        <f t="shared" si="4"/>
        <v>4932840</v>
      </c>
      <c r="P10" s="1063">
        <f t="shared" si="5"/>
        <v>5057840</v>
      </c>
      <c r="Q10" s="1066">
        <f t="shared" si="6"/>
        <v>4932840</v>
      </c>
      <c r="R10" s="1067">
        <f t="shared" si="7"/>
        <v>2466420</v>
      </c>
      <c r="S10" s="1067">
        <f t="shared" si="8"/>
        <v>2466420</v>
      </c>
      <c r="T10" s="1068">
        <f t="shared" si="9"/>
        <v>0</v>
      </c>
      <c r="U10" s="1069" t="str">
        <f>IFERROR(VLOOKUP(A10,StockAll,10,FALSE)," ")</f>
        <v>B2T2</v>
      </c>
      <c r="V10" s="1070"/>
      <c r="W10" s="1071">
        <f t="shared" si="10"/>
        <v>5</v>
      </c>
      <c r="X10" s="1072">
        <f t="shared" si="11"/>
        <v>2466420</v>
      </c>
      <c r="Y10" s="1073">
        <f t="shared" si="12"/>
        <v>5</v>
      </c>
      <c r="Z10" s="388">
        <v>5.0</v>
      </c>
      <c r="AA10" s="1012"/>
      <c r="AB10" s="1012"/>
      <c r="AC10" s="1012"/>
      <c r="AD10" s="1012"/>
      <c r="AE10" s="1012"/>
      <c r="AF10" s="1012"/>
      <c r="AG10" s="1012"/>
      <c r="AH10" s="1012"/>
      <c r="AI10" s="1012"/>
      <c r="AJ10" s="1012"/>
      <c r="AK10" s="1012"/>
    </row>
    <row r="11" hidden="1">
      <c r="A11" s="982" t="s">
        <v>2549</v>
      </c>
      <c r="B11" s="983">
        <v>10.0</v>
      </c>
      <c r="C11" s="1061">
        <f>IFERROR(VLOOKUP(A11,stockKJD,8,FALSE)," ")</f>
        <v>41</v>
      </c>
      <c r="D11" s="1062">
        <f t="shared" si="1"/>
        <v>10</v>
      </c>
      <c r="E11" s="1061">
        <f>IFERROR(VLOOKUP(A11,stockKJD,9,FALSE)," ")</f>
        <v>5</v>
      </c>
      <c r="F11" s="987" t="s">
        <v>13610</v>
      </c>
      <c r="G11" s="1063">
        <f t="shared" si="2"/>
        <v>0</v>
      </c>
      <c r="H11" s="1064">
        <v>0.0</v>
      </c>
      <c r="I11" s="1064">
        <f t="shared" si="3"/>
        <v>0</v>
      </c>
      <c r="J11" s="1063"/>
      <c r="K11" s="1063"/>
      <c r="L11" s="1065"/>
      <c r="M11" s="1065">
        <v>396825.0</v>
      </c>
      <c r="N11" s="1063">
        <f>IFERROR(VLOOKUP(A11,hpp,3,FALSE)," ")</f>
        <v>400992</v>
      </c>
      <c r="O11" s="1063">
        <f t="shared" si="4"/>
        <v>3968250</v>
      </c>
      <c r="P11" s="1063">
        <f t="shared" si="5"/>
        <v>4009920</v>
      </c>
      <c r="Q11" s="1066">
        <f t="shared" si="6"/>
        <v>3968250</v>
      </c>
      <c r="R11" s="1067">
        <f t="shared" si="7"/>
        <v>0</v>
      </c>
      <c r="S11" s="1067">
        <f t="shared" si="8"/>
        <v>0</v>
      </c>
      <c r="T11" s="1068">
        <f t="shared" si="9"/>
        <v>0</v>
      </c>
      <c r="U11" s="1069" t="str">
        <f>IFERROR(VLOOKUP(A11,StockAll,10,FALSE)," ")</f>
        <v>A5T1</v>
      </c>
      <c r="V11" s="1070"/>
      <c r="W11" s="1071">
        <f t="shared" si="10"/>
        <v>10</v>
      </c>
      <c r="X11" s="1072">
        <f t="shared" si="11"/>
        <v>3968250</v>
      </c>
      <c r="Y11" s="1073">
        <f t="shared" si="12"/>
        <v>0</v>
      </c>
      <c r="Z11" s="1012"/>
      <c r="AA11" s="1012"/>
      <c r="AB11" s="1012"/>
      <c r="AC11" s="1012"/>
      <c r="AD11" s="1012"/>
      <c r="AE11" s="1012"/>
      <c r="AF11" s="1012"/>
      <c r="AG11" s="1012"/>
      <c r="AH11" s="1012"/>
      <c r="AI11" s="1012"/>
      <c r="AJ11" s="1012"/>
      <c r="AK11" s="1012"/>
    </row>
    <row r="12">
      <c r="A12" s="982" t="s">
        <v>2926</v>
      </c>
      <c r="B12" s="983">
        <v>10.0</v>
      </c>
      <c r="C12" s="1061">
        <f>IFERROR(VLOOKUP(A12,stockKJD,8,FALSE)," ")</f>
        <v>16</v>
      </c>
      <c r="D12" s="1062">
        <f t="shared" si="1"/>
        <v>10</v>
      </c>
      <c r="E12" s="1061">
        <f>IFERROR(VLOOKUP(A12,stockKJD,9,FALSE)," ")</f>
        <v>2</v>
      </c>
      <c r="F12" s="987" t="s">
        <v>13610</v>
      </c>
      <c r="G12" s="1063">
        <f t="shared" si="2"/>
        <v>0</v>
      </c>
      <c r="H12" s="1064">
        <v>0.0</v>
      </c>
      <c r="I12" s="1064">
        <f t="shared" si="3"/>
        <v>5</v>
      </c>
      <c r="J12" s="1063">
        <v>5.0</v>
      </c>
      <c r="K12" s="1063"/>
      <c r="L12" s="1076" t="s">
        <v>13647</v>
      </c>
      <c r="M12" s="1065">
        <v>538461.0</v>
      </c>
      <c r="N12" s="1063">
        <f>IFERROR(VLOOKUP(A12,hpp,3,FALSE)," ")</f>
        <v>550961</v>
      </c>
      <c r="O12" s="1063">
        <f t="shared" si="4"/>
        <v>5384610</v>
      </c>
      <c r="P12" s="1063">
        <f t="shared" si="5"/>
        <v>5509610</v>
      </c>
      <c r="Q12" s="1066">
        <f t="shared" si="6"/>
        <v>5384610</v>
      </c>
      <c r="R12" s="1067">
        <f t="shared" si="7"/>
        <v>2692305</v>
      </c>
      <c r="S12" s="1067">
        <f t="shared" si="8"/>
        <v>2692305</v>
      </c>
      <c r="T12" s="1068">
        <f t="shared" si="9"/>
        <v>0</v>
      </c>
      <c r="U12" s="1069" t="str">
        <f>IFERROR(VLOOKUP(A12,StockAll,10,FALSE)," ")</f>
        <v>B4T1</v>
      </c>
      <c r="V12" s="1070"/>
      <c r="W12" s="1071">
        <f t="shared" si="10"/>
        <v>5</v>
      </c>
      <c r="X12" s="1072">
        <f t="shared" si="11"/>
        <v>2692305</v>
      </c>
      <c r="Y12" s="1073">
        <f t="shared" si="12"/>
        <v>5</v>
      </c>
      <c r="Z12" s="388">
        <v>5.0</v>
      </c>
      <c r="AA12" s="1012"/>
      <c r="AB12" s="1012"/>
      <c r="AC12" s="1012"/>
      <c r="AD12" s="1012"/>
      <c r="AE12" s="1012"/>
      <c r="AF12" s="1012"/>
      <c r="AG12" s="1012"/>
      <c r="AH12" s="1012"/>
      <c r="AI12" s="1012"/>
      <c r="AJ12" s="1012"/>
      <c r="AK12" s="1012"/>
    </row>
    <row r="13">
      <c r="A13" s="982" t="s">
        <v>2720</v>
      </c>
      <c r="B13" s="983">
        <v>10.0</v>
      </c>
      <c r="C13" s="1061">
        <f>IFERROR(VLOOKUP(A13,stockKJD,8,FALSE)," ")</f>
        <v>10</v>
      </c>
      <c r="D13" s="1062">
        <f t="shared" si="1"/>
        <v>10</v>
      </c>
      <c r="E13" s="1061">
        <f>IFERROR(VLOOKUP(A13,stockKJD,9,FALSE)," ")</f>
        <v>1</v>
      </c>
      <c r="F13" s="987" t="s">
        <v>13614</v>
      </c>
      <c r="G13" s="1063">
        <f t="shared" si="2"/>
        <v>-2</v>
      </c>
      <c r="H13" s="1075">
        <v>2.0</v>
      </c>
      <c r="I13" s="1064">
        <f t="shared" si="3"/>
        <v>6</v>
      </c>
      <c r="J13" s="1063">
        <v>0.0</v>
      </c>
      <c r="K13" s="1063">
        <v>6.0</v>
      </c>
      <c r="L13" s="1076" t="s">
        <v>12534</v>
      </c>
      <c r="M13" s="1065">
        <v>415140.0</v>
      </c>
      <c r="N13" s="1063">
        <f>IFERROR(VLOOKUP(A13,hpp,3,FALSE)," ")</f>
        <v>427640</v>
      </c>
      <c r="O13" s="1063">
        <f t="shared" si="4"/>
        <v>4151400</v>
      </c>
      <c r="P13" s="1063">
        <f t="shared" si="5"/>
        <v>4276400</v>
      </c>
      <c r="Q13" s="1066">
        <f t="shared" si="6"/>
        <v>4151400</v>
      </c>
      <c r="R13" s="1067">
        <f t="shared" si="7"/>
        <v>2490840</v>
      </c>
      <c r="S13" s="1067">
        <f t="shared" si="8"/>
        <v>2490840</v>
      </c>
      <c r="T13" s="1068">
        <f t="shared" si="9"/>
        <v>830280</v>
      </c>
      <c r="U13" s="1069" t="str">
        <f>IFERROR(VLOOKUP(A13,StockAll,10,FALSE)," ")</f>
        <v>B13T2</v>
      </c>
      <c r="V13" s="1070"/>
      <c r="W13" s="1071">
        <f t="shared" si="10"/>
        <v>4</v>
      </c>
      <c r="X13" s="1072">
        <f t="shared" si="11"/>
        <v>1660560</v>
      </c>
      <c r="Y13" s="1073">
        <f t="shared" si="12"/>
        <v>6</v>
      </c>
      <c r="Z13" s="388">
        <v>6.0</v>
      </c>
      <c r="AA13" s="1012"/>
      <c r="AB13" s="1012"/>
      <c r="AC13" s="1012"/>
      <c r="AD13" s="1012"/>
      <c r="AE13" s="1012"/>
      <c r="AF13" s="1012"/>
      <c r="AG13" s="1012"/>
      <c r="AH13" s="1012"/>
      <c r="AI13" s="1012"/>
      <c r="AJ13" s="1012"/>
      <c r="AK13" s="1012"/>
    </row>
    <row r="14">
      <c r="A14" s="982" t="s">
        <v>6734</v>
      </c>
      <c r="B14" s="983">
        <v>3.0</v>
      </c>
      <c r="C14" s="1061" t="str">
        <f>IFERROR(VLOOKUP(A14,stockKJD,8,FALSE)," ")</f>
        <v> </v>
      </c>
      <c r="D14" s="1062">
        <f t="shared" si="1"/>
        <v>3</v>
      </c>
      <c r="E14" s="1061" t="str">
        <f>IFERROR(VLOOKUP(A14,stockKJD,9,FALSE)," ")</f>
        <v> </v>
      </c>
      <c r="F14" s="987" t="s">
        <v>11466</v>
      </c>
      <c r="G14" s="1063">
        <f t="shared" si="2"/>
        <v>0</v>
      </c>
      <c r="H14" s="1064">
        <v>0.0</v>
      </c>
      <c r="I14" s="1064">
        <f t="shared" si="3"/>
        <v>3</v>
      </c>
      <c r="J14" s="1063">
        <v>3.0</v>
      </c>
      <c r="K14" s="1063"/>
      <c r="L14" s="1076" t="s">
        <v>13647</v>
      </c>
      <c r="M14" s="1065">
        <v>273504.0</v>
      </c>
      <c r="N14" s="1063">
        <f>IFERROR(VLOOKUP(A14,hpp,3,FALSE)," ")</f>
        <v>286004</v>
      </c>
      <c r="O14" s="1063">
        <f t="shared" si="4"/>
        <v>820512</v>
      </c>
      <c r="P14" s="1063">
        <f t="shared" si="5"/>
        <v>858012</v>
      </c>
      <c r="Q14" s="1066">
        <f t="shared" si="6"/>
        <v>820512</v>
      </c>
      <c r="R14" s="1067">
        <f t="shared" si="7"/>
        <v>820512</v>
      </c>
      <c r="S14" s="1067">
        <f t="shared" si="8"/>
        <v>820512</v>
      </c>
      <c r="T14" s="1068">
        <f t="shared" si="9"/>
        <v>0</v>
      </c>
      <c r="U14" s="1069" t="str">
        <f>IFERROR(VLOOKUP(A14,StockAll,10,FALSE)," ")</f>
        <v>B12T3</v>
      </c>
      <c r="V14" s="1070"/>
      <c r="W14" s="1071">
        <f t="shared" si="10"/>
        <v>0</v>
      </c>
      <c r="X14" s="1072">
        <f t="shared" si="11"/>
        <v>0</v>
      </c>
      <c r="Y14" s="1073">
        <f t="shared" si="12"/>
        <v>3</v>
      </c>
      <c r="Z14" s="388">
        <v>3.0</v>
      </c>
      <c r="AA14" s="1012"/>
      <c r="AB14" s="1012"/>
      <c r="AC14" s="1012"/>
      <c r="AD14" s="1012"/>
      <c r="AE14" s="1012"/>
      <c r="AF14" s="1012"/>
      <c r="AG14" s="1012"/>
      <c r="AH14" s="1012"/>
      <c r="AI14" s="1012"/>
      <c r="AJ14" s="1012"/>
      <c r="AK14" s="1012"/>
    </row>
    <row r="15">
      <c r="A15" s="982" t="s">
        <v>6735</v>
      </c>
      <c r="B15" s="983">
        <v>2.0</v>
      </c>
      <c r="C15" s="1061">
        <f>IFERROR(VLOOKUP(A15,stockKJD,8,FALSE)," ")</f>
        <v>2</v>
      </c>
      <c r="D15" s="1062">
        <f t="shared" si="1"/>
        <v>2</v>
      </c>
      <c r="E15" s="1061">
        <f>IFERROR(VLOOKUP(A15,stockKJD,9,FALSE)," ")</f>
        <v>0</v>
      </c>
      <c r="F15" s="987" t="s">
        <v>11466</v>
      </c>
      <c r="G15" s="1063">
        <f t="shared" si="2"/>
        <v>0</v>
      </c>
      <c r="H15" s="1064">
        <v>0.0</v>
      </c>
      <c r="I15" s="1064">
        <f t="shared" si="3"/>
        <v>2</v>
      </c>
      <c r="J15" s="1063">
        <v>2.0</v>
      </c>
      <c r="K15" s="1063"/>
      <c r="L15" s="1076" t="s">
        <v>13647</v>
      </c>
      <c r="M15" s="1065">
        <v>273504.0</v>
      </c>
      <c r="N15" s="1063">
        <f>IFERROR(VLOOKUP(A15,hpp,3,FALSE)," ")</f>
        <v>286004</v>
      </c>
      <c r="O15" s="1063">
        <f t="shared" si="4"/>
        <v>547008</v>
      </c>
      <c r="P15" s="1063">
        <f t="shared" si="5"/>
        <v>572008</v>
      </c>
      <c r="Q15" s="1066">
        <f t="shared" si="6"/>
        <v>547008</v>
      </c>
      <c r="R15" s="1067">
        <f t="shared" si="7"/>
        <v>547008</v>
      </c>
      <c r="S15" s="1067">
        <f t="shared" si="8"/>
        <v>547008</v>
      </c>
      <c r="T15" s="1068">
        <f t="shared" si="9"/>
        <v>0</v>
      </c>
      <c r="U15" s="1069" t="str">
        <f>IFERROR(VLOOKUP(A15,StockAll,10,FALSE)," ")</f>
        <v>B12T3</v>
      </c>
      <c r="V15" s="1070"/>
      <c r="W15" s="1071">
        <f t="shared" si="10"/>
        <v>0</v>
      </c>
      <c r="X15" s="1072">
        <f t="shared" si="11"/>
        <v>0</v>
      </c>
      <c r="Y15" s="1073">
        <f t="shared" si="12"/>
        <v>2</v>
      </c>
      <c r="Z15" s="388">
        <v>2.0</v>
      </c>
      <c r="AA15" s="1012"/>
      <c r="AB15" s="1012"/>
      <c r="AC15" s="1012"/>
      <c r="AD15" s="1012"/>
      <c r="AE15" s="1012"/>
      <c r="AF15" s="1012"/>
      <c r="AG15" s="1012"/>
      <c r="AH15" s="1012"/>
      <c r="AI15" s="1012"/>
      <c r="AJ15" s="1012"/>
      <c r="AK15" s="1012"/>
    </row>
    <row r="16">
      <c r="A16" s="982" t="s">
        <v>6043</v>
      </c>
      <c r="B16" s="983">
        <v>5.0</v>
      </c>
      <c r="C16" s="1061">
        <f>IFERROR(VLOOKUP(A16,stockKJD,8,FALSE)," ")</f>
        <v>7</v>
      </c>
      <c r="D16" s="1062">
        <f t="shared" si="1"/>
        <v>5</v>
      </c>
      <c r="E16" s="1061">
        <f>IFERROR(VLOOKUP(A16,stockKJD,9,FALSE)," ")</f>
        <v>1</v>
      </c>
      <c r="F16" s="1077" t="s">
        <v>13614</v>
      </c>
      <c r="G16" s="1063">
        <f t="shared" si="2"/>
        <v>0</v>
      </c>
      <c r="H16" s="1075">
        <v>0.0</v>
      </c>
      <c r="I16" s="1064">
        <f t="shared" si="3"/>
        <v>4</v>
      </c>
      <c r="J16" s="1063">
        <v>0.0</v>
      </c>
      <c r="K16" s="1063">
        <v>4.0</v>
      </c>
      <c r="L16" s="1076" t="s">
        <v>12534</v>
      </c>
      <c r="M16" s="1065">
        <v>472527.0</v>
      </c>
      <c r="N16" s="1063">
        <f>IFERROR(VLOOKUP(A16,hpp,3,FALSE)," ")</f>
        <v>514098</v>
      </c>
      <c r="O16" s="1063">
        <f t="shared" si="4"/>
        <v>2362635</v>
      </c>
      <c r="P16" s="1063">
        <f t="shared" si="5"/>
        <v>2570490</v>
      </c>
      <c r="Q16" s="1066">
        <f t="shared" si="6"/>
        <v>2362635</v>
      </c>
      <c r="R16" s="1067">
        <f t="shared" si="7"/>
        <v>1890108</v>
      </c>
      <c r="S16" s="1067">
        <f t="shared" si="8"/>
        <v>1890108</v>
      </c>
      <c r="T16" s="1068">
        <f t="shared" si="9"/>
        <v>0</v>
      </c>
      <c r="U16" s="1069" t="str">
        <f>IFERROR(VLOOKUP(A16,StockAll,10,FALSE)," ")</f>
        <v>B12T2</v>
      </c>
      <c r="V16" s="1070"/>
      <c r="W16" s="1071">
        <f t="shared" si="10"/>
        <v>1</v>
      </c>
      <c r="X16" s="1072">
        <f t="shared" si="11"/>
        <v>472527</v>
      </c>
      <c r="Y16" s="1073">
        <f t="shared" si="12"/>
        <v>4</v>
      </c>
      <c r="Z16" s="388">
        <v>4.0</v>
      </c>
      <c r="AA16" s="1012"/>
      <c r="AB16" s="1012"/>
      <c r="AC16" s="1012"/>
      <c r="AD16" s="1012"/>
      <c r="AE16" s="1012"/>
      <c r="AF16" s="1012"/>
      <c r="AG16" s="1012"/>
      <c r="AH16" s="1012"/>
      <c r="AI16" s="1012"/>
      <c r="AJ16" s="1012"/>
      <c r="AK16" s="1012"/>
    </row>
    <row r="17">
      <c r="A17" s="982" t="s">
        <v>2637</v>
      </c>
      <c r="B17" s="983">
        <v>5.0</v>
      </c>
      <c r="C17" s="1061">
        <f>IFERROR(VLOOKUP(A17,stockKJD,8,FALSE)," ")</f>
        <v>11</v>
      </c>
      <c r="D17" s="1062">
        <f t="shared" si="1"/>
        <v>5</v>
      </c>
      <c r="E17" s="1061">
        <f>IFERROR(VLOOKUP(A17,stockKJD,9,FALSE)," ")</f>
        <v>0</v>
      </c>
      <c r="F17" s="1077" t="s">
        <v>13610</v>
      </c>
      <c r="G17" s="1063">
        <f t="shared" si="2"/>
        <v>0</v>
      </c>
      <c r="H17" s="1064">
        <v>0.0</v>
      </c>
      <c r="I17" s="1064">
        <f t="shared" si="3"/>
        <v>1</v>
      </c>
      <c r="J17" s="1063">
        <v>0.0</v>
      </c>
      <c r="K17" s="1063">
        <v>1.0</v>
      </c>
      <c r="L17" s="1076" t="s">
        <v>12534</v>
      </c>
      <c r="M17" s="1065">
        <v>463980.0</v>
      </c>
      <c r="N17" s="1063">
        <f>IFERROR(VLOOKUP(A17,hpp,3,FALSE)," ")</f>
        <v>467551</v>
      </c>
      <c r="O17" s="1063">
        <f t="shared" si="4"/>
        <v>2319900</v>
      </c>
      <c r="P17" s="1063">
        <f t="shared" si="5"/>
        <v>2337755</v>
      </c>
      <c r="Q17" s="1066">
        <f t="shared" si="6"/>
        <v>2319900</v>
      </c>
      <c r="R17" s="1067">
        <f t="shared" si="7"/>
        <v>463980</v>
      </c>
      <c r="S17" s="1067">
        <f t="shared" si="8"/>
        <v>463980</v>
      </c>
      <c r="T17" s="1068">
        <f t="shared" si="9"/>
        <v>0</v>
      </c>
      <c r="U17" s="1069" t="str">
        <f>IFERROR(VLOOKUP(A17,StockAll,10,FALSE)," ")</f>
        <v>A3T2</v>
      </c>
      <c r="V17" s="1070"/>
      <c r="W17" s="1071">
        <f t="shared" si="10"/>
        <v>4</v>
      </c>
      <c r="X17" s="1072">
        <f t="shared" si="11"/>
        <v>1855920</v>
      </c>
      <c r="Y17" s="1073">
        <f t="shared" si="12"/>
        <v>1</v>
      </c>
      <c r="Z17" s="388">
        <v>1.0</v>
      </c>
      <c r="AA17" s="1012"/>
      <c r="AB17" s="1012"/>
      <c r="AC17" s="1012"/>
      <c r="AD17" s="1012"/>
      <c r="AE17" s="1012"/>
      <c r="AF17" s="1012"/>
      <c r="AG17" s="1012"/>
      <c r="AH17" s="1012"/>
      <c r="AI17" s="1012"/>
      <c r="AJ17" s="1012"/>
      <c r="AK17" s="1012"/>
    </row>
    <row r="18">
      <c r="A18" s="982" t="s">
        <v>6544</v>
      </c>
      <c r="B18" s="983">
        <v>5.0</v>
      </c>
      <c r="C18" s="1061">
        <f>IFERROR(VLOOKUP(A18,stockKJD,8,FALSE)," ")</f>
        <v>7</v>
      </c>
      <c r="D18" s="1062">
        <f t="shared" si="1"/>
        <v>5</v>
      </c>
      <c r="E18" s="1061">
        <f>IFERROR(VLOOKUP(A18,stockKJD,9,FALSE)," ")</f>
        <v>0</v>
      </c>
      <c r="F18" s="987" t="s">
        <v>13614</v>
      </c>
      <c r="G18" s="1063">
        <f t="shared" si="2"/>
        <v>0</v>
      </c>
      <c r="H18" s="1064">
        <v>0.0</v>
      </c>
      <c r="I18" s="1064">
        <f t="shared" si="3"/>
        <v>4</v>
      </c>
      <c r="J18" s="1063">
        <v>4.0</v>
      </c>
      <c r="K18" s="1063"/>
      <c r="L18" s="1076" t="s">
        <v>13647</v>
      </c>
      <c r="M18" s="1065">
        <v>557997.0</v>
      </c>
      <c r="N18" s="1063">
        <f>IFERROR(VLOOKUP(A18,hpp,3,FALSE)," ")</f>
        <v>570497</v>
      </c>
      <c r="O18" s="1063">
        <f t="shared" si="4"/>
        <v>2789985</v>
      </c>
      <c r="P18" s="1063">
        <f t="shared" si="5"/>
        <v>2852485</v>
      </c>
      <c r="Q18" s="1066">
        <f t="shared" si="6"/>
        <v>2789985</v>
      </c>
      <c r="R18" s="1067">
        <f t="shared" si="7"/>
        <v>2231988</v>
      </c>
      <c r="S18" s="1067">
        <f t="shared" si="8"/>
        <v>2231988</v>
      </c>
      <c r="T18" s="1068">
        <f t="shared" si="9"/>
        <v>0</v>
      </c>
      <c r="U18" s="1069" t="str">
        <f>IFERROR(VLOOKUP(A18,StockAll,10,FALSE)," ")</f>
        <v>B8T2</v>
      </c>
      <c r="V18" s="1070"/>
      <c r="W18" s="1071">
        <f t="shared" si="10"/>
        <v>1</v>
      </c>
      <c r="X18" s="1072">
        <f t="shared" si="11"/>
        <v>557997</v>
      </c>
      <c r="Y18" s="1073">
        <f t="shared" si="12"/>
        <v>4</v>
      </c>
      <c r="Z18" s="56">
        <v>4.0</v>
      </c>
      <c r="AA18" s="1012"/>
      <c r="AB18" s="1012"/>
      <c r="AC18" s="1012"/>
      <c r="AD18" s="1012"/>
      <c r="AE18" s="1012"/>
      <c r="AF18" s="1012"/>
      <c r="AG18" s="1012"/>
      <c r="AH18" s="1012"/>
      <c r="AI18" s="1012"/>
      <c r="AJ18" s="1012"/>
      <c r="AK18" s="1012"/>
    </row>
    <row r="19">
      <c r="A19" s="982" t="s">
        <v>3865</v>
      </c>
      <c r="B19" s="983">
        <v>5.0</v>
      </c>
      <c r="C19" s="1061">
        <f>IFERROR(VLOOKUP(A19,stockKJD,8,FALSE)," ")</f>
        <v>5</v>
      </c>
      <c r="D19" s="1062">
        <f t="shared" si="1"/>
        <v>5</v>
      </c>
      <c r="E19" s="1061">
        <f>IFERROR(VLOOKUP(A19,stockKJD,9,FALSE)," ")</f>
        <v>0</v>
      </c>
      <c r="F19" s="987" t="s">
        <v>13614</v>
      </c>
      <c r="G19" s="1063">
        <f t="shared" si="2"/>
        <v>0</v>
      </c>
      <c r="H19" s="1064">
        <v>0.0</v>
      </c>
      <c r="I19" s="1064">
        <f t="shared" si="3"/>
        <v>4</v>
      </c>
      <c r="J19" s="1063">
        <v>4.0</v>
      </c>
      <c r="K19" s="1063"/>
      <c r="L19" s="1076" t="s">
        <v>13647</v>
      </c>
      <c r="M19" s="1065">
        <v>570207.0</v>
      </c>
      <c r="N19" s="1063">
        <f>IFERROR(VLOOKUP(A19,hpp,3,FALSE)," ")</f>
        <v>582707</v>
      </c>
      <c r="O19" s="1063">
        <f t="shared" si="4"/>
        <v>2851035</v>
      </c>
      <c r="P19" s="1063">
        <f t="shared" si="5"/>
        <v>2913535</v>
      </c>
      <c r="Q19" s="1066">
        <f t="shared" si="6"/>
        <v>2851035</v>
      </c>
      <c r="R19" s="1067">
        <f t="shared" si="7"/>
        <v>2280828</v>
      </c>
      <c r="S19" s="1067">
        <f t="shared" si="8"/>
        <v>2280828</v>
      </c>
      <c r="T19" s="1068">
        <f t="shared" si="9"/>
        <v>0</v>
      </c>
      <c r="U19" s="1069" t="str">
        <f>IFERROR(VLOOKUP(A19,StockAll,10,FALSE)," ")</f>
        <v>B13T2</v>
      </c>
      <c r="V19" s="1070"/>
      <c r="W19" s="1071">
        <f t="shared" si="10"/>
        <v>1</v>
      </c>
      <c r="X19" s="1072">
        <f t="shared" si="11"/>
        <v>570207</v>
      </c>
      <c r="Y19" s="1073">
        <f t="shared" si="12"/>
        <v>4</v>
      </c>
      <c r="Z19" s="56">
        <v>4.0</v>
      </c>
      <c r="AA19" s="1012"/>
      <c r="AB19" s="1012"/>
      <c r="AC19" s="1012"/>
      <c r="AD19" s="1012"/>
      <c r="AE19" s="1012"/>
      <c r="AF19" s="1012"/>
      <c r="AG19" s="1012"/>
      <c r="AH19" s="1012"/>
      <c r="AI19" s="1012"/>
      <c r="AJ19" s="1012"/>
      <c r="AK19" s="1012"/>
    </row>
    <row r="20">
      <c r="A20" s="982" t="s">
        <v>5546</v>
      </c>
      <c r="B20" s="983">
        <v>5.0</v>
      </c>
      <c r="C20" s="1061">
        <f>IFERROR(VLOOKUP(A20,stockKJD,8,FALSE)," ")</f>
        <v>5</v>
      </c>
      <c r="D20" s="1062">
        <f t="shared" si="1"/>
        <v>5</v>
      </c>
      <c r="E20" s="1061">
        <f>IFERROR(VLOOKUP(A20,stockKJD,9,FALSE)," ")</f>
        <v>0</v>
      </c>
      <c r="F20" s="987" t="s">
        <v>13614</v>
      </c>
      <c r="G20" s="1063">
        <f t="shared" si="2"/>
        <v>0</v>
      </c>
      <c r="H20" s="1075">
        <v>0.0</v>
      </c>
      <c r="I20" s="1064">
        <f t="shared" si="3"/>
        <v>4</v>
      </c>
      <c r="J20" s="1063">
        <v>3.0</v>
      </c>
      <c r="K20" s="1078">
        <v>1.0</v>
      </c>
      <c r="L20" s="1076" t="s">
        <v>13648</v>
      </c>
      <c r="M20" s="1065">
        <v>641025.0</v>
      </c>
      <c r="N20" s="1063">
        <f>IFERROR(VLOOKUP(A20,hpp,3,FALSE)," ")</f>
        <v>653525</v>
      </c>
      <c r="O20" s="1063">
        <f t="shared" si="4"/>
        <v>3205125</v>
      </c>
      <c r="P20" s="1063">
        <f t="shared" si="5"/>
        <v>3267625</v>
      </c>
      <c r="Q20" s="1066">
        <f t="shared" si="6"/>
        <v>3205125</v>
      </c>
      <c r="R20" s="1067">
        <f t="shared" si="7"/>
        <v>2564100</v>
      </c>
      <c r="S20" s="1067">
        <f t="shared" si="8"/>
        <v>2564100</v>
      </c>
      <c r="T20" s="1068">
        <f t="shared" si="9"/>
        <v>0</v>
      </c>
      <c r="U20" s="1069" t="str">
        <f>IFERROR(VLOOKUP(A20,StockAll,10,FALSE)," ")</f>
        <v>A9T2</v>
      </c>
      <c r="V20" s="1070"/>
      <c r="W20" s="1071">
        <f t="shared" si="10"/>
        <v>1</v>
      </c>
      <c r="X20" s="1072">
        <f t="shared" si="11"/>
        <v>641025</v>
      </c>
      <c r="Y20" s="1073">
        <f t="shared" si="12"/>
        <v>4</v>
      </c>
      <c r="Z20" s="56">
        <v>4.0</v>
      </c>
      <c r="AA20" s="1012"/>
      <c r="AB20" s="1012"/>
      <c r="AC20" s="1012"/>
      <c r="AD20" s="1012"/>
      <c r="AE20" s="1012"/>
      <c r="AF20" s="1012"/>
      <c r="AG20" s="1012"/>
      <c r="AH20" s="1012"/>
      <c r="AI20" s="1012"/>
      <c r="AJ20" s="1012"/>
      <c r="AK20" s="1012"/>
    </row>
    <row r="21">
      <c r="A21" s="982" t="s">
        <v>3391</v>
      </c>
      <c r="B21" s="983">
        <v>10.0</v>
      </c>
      <c r="C21" s="1061">
        <f>IFERROR(VLOOKUP(A21,stockKJD,8,FALSE)," ")</f>
        <v>22</v>
      </c>
      <c r="D21" s="1062">
        <f t="shared" si="1"/>
        <v>10</v>
      </c>
      <c r="E21" s="1061">
        <f>IFERROR(VLOOKUP(A21,stockKJD,9,FALSE)," ")</f>
        <v>0</v>
      </c>
      <c r="F21" s="987" t="s">
        <v>13610</v>
      </c>
      <c r="G21" s="1063">
        <f t="shared" si="2"/>
        <v>0</v>
      </c>
      <c r="H21" s="1075">
        <v>0.0</v>
      </c>
      <c r="I21" s="1064">
        <f t="shared" si="3"/>
        <v>6</v>
      </c>
      <c r="J21" s="1063">
        <v>6.0</v>
      </c>
      <c r="K21" s="1063"/>
      <c r="L21" s="1076" t="s">
        <v>13647</v>
      </c>
      <c r="M21" s="1065">
        <v>493284.0</v>
      </c>
      <c r="N21" s="1063">
        <f>IFERROR(VLOOKUP(A21,hpp,3,FALSE)," ")</f>
        <v>505784</v>
      </c>
      <c r="O21" s="1063">
        <f t="shared" si="4"/>
        <v>4932840</v>
      </c>
      <c r="P21" s="1063">
        <f t="shared" si="5"/>
        <v>5057840</v>
      </c>
      <c r="Q21" s="1066">
        <f t="shared" si="6"/>
        <v>4932840</v>
      </c>
      <c r="R21" s="1067">
        <f t="shared" si="7"/>
        <v>2959704</v>
      </c>
      <c r="S21" s="1067">
        <f t="shared" si="8"/>
        <v>2959704</v>
      </c>
      <c r="T21" s="1068">
        <f t="shared" si="9"/>
        <v>0</v>
      </c>
      <c r="U21" s="1069" t="str">
        <f>IFERROR(VLOOKUP(A21,StockAll,10,FALSE)," ")</f>
        <v>B3T2</v>
      </c>
      <c r="V21" s="1070"/>
      <c r="W21" s="1071">
        <f t="shared" si="10"/>
        <v>4</v>
      </c>
      <c r="X21" s="1072">
        <f t="shared" si="11"/>
        <v>1973136</v>
      </c>
      <c r="Y21" s="1073">
        <f t="shared" si="12"/>
        <v>6</v>
      </c>
      <c r="Z21" s="56">
        <v>6.0</v>
      </c>
      <c r="AA21" s="1012"/>
      <c r="AB21" s="1012"/>
      <c r="AC21" s="1012"/>
      <c r="AD21" s="1012"/>
      <c r="AE21" s="1012"/>
      <c r="AF21" s="1012"/>
      <c r="AG21" s="1012"/>
      <c r="AH21" s="1012"/>
      <c r="AI21" s="1012"/>
      <c r="AJ21" s="1012"/>
      <c r="AK21" s="1012"/>
    </row>
    <row r="22">
      <c r="A22" s="982" t="s">
        <v>3622</v>
      </c>
      <c r="B22" s="983">
        <v>10.0</v>
      </c>
      <c r="C22" s="1061">
        <f>IFERROR(VLOOKUP(A22,stockKJD,8,FALSE)," ")</f>
        <v>19</v>
      </c>
      <c r="D22" s="1062">
        <f t="shared" si="1"/>
        <v>10</v>
      </c>
      <c r="E22" s="1061">
        <f>IFERROR(VLOOKUP(A22,stockKJD,9,FALSE)," ")</f>
        <v>0</v>
      </c>
      <c r="F22" s="987" t="s">
        <v>13610</v>
      </c>
      <c r="G22" s="1063">
        <f t="shared" si="2"/>
        <v>-2</v>
      </c>
      <c r="H22" s="1075">
        <v>2.0</v>
      </c>
      <c r="I22" s="1064">
        <f t="shared" si="3"/>
        <v>3</v>
      </c>
      <c r="J22" s="1063">
        <v>3.0</v>
      </c>
      <c r="K22" s="1063"/>
      <c r="L22" s="1076" t="s">
        <v>13647</v>
      </c>
      <c r="M22" s="1065">
        <v>456654.0</v>
      </c>
      <c r="N22" s="1063">
        <f>IFERROR(VLOOKUP(A22,hpp,3,FALSE)," ")</f>
        <v>469154</v>
      </c>
      <c r="O22" s="1063">
        <f t="shared" si="4"/>
        <v>4566540</v>
      </c>
      <c r="P22" s="1063">
        <f t="shared" si="5"/>
        <v>4691540</v>
      </c>
      <c r="Q22" s="1066">
        <f t="shared" si="6"/>
        <v>4566540</v>
      </c>
      <c r="R22" s="1067">
        <f t="shared" si="7"/>
        <v>1369962</v>
      </c>
      <c r="S22" s="1067">
        <f t="shared" si="8"/>
        <v>1369962</v>
      </c>
      <c r="T22" s="1068">
        <f t="shared" si="9"/>
        <v>913308</v>
      </c>
      <c r="U22" s="1069" t="str">
        <f>IFERROR(VLOOKUP(A22,StockAll,10,FALSE)," ")</f>
        <v>B12T1</v>
      </c>
      <c r="V22" s="1070"/>
      <c r="W22" s="1071">
        <f t="shared" si="10"/>
        <v>7</v>
      </c>
      <c r="X22" s="1072">
        <f t="shared" si="11"/>
        <v>3196578</v>
      </c>
      <c r="Y22" s="1073">
        <f t="shared" si="12"/>
        <v>3</v>
      </c>
      <c r="Z22" s="56">
        <v>3.0</v>
      </c>
      <c r="AA22" s="1012"/>
      <c r="AB22" s="1012"/>
      <c r="AC22" s="1012"/>
      <c r="AD22" s="1012"/>
      <c r="AE22" s="1012"/>
      <c r="AF22" s="1012"/>
      <c r="AG22" s="1012"/>
      <c r="AH22" s="1012"/>
      <c r="AI22" s="1012"/>
      <c r="AJ22" s="1012"/>
      <c r="AK22" s="1012"/>
    </row>
    <row r="23">
      <c r="A23" s="982" t="s">
        <v>3118</v>
      </c>
      <c r="B23" s="983">
        <v>10.0</v>
      </c>
      <c r="C23" s="1061">
        <f>IFERROR(VLOOKUP(A23,stockKJD,8,FALSE)," ")</f>
        <v>10</v>
      </c>
      <c r="D23" s="1062">
        <f t="shared" si="1"/>
        <v>10</v>
      </c>
      <c r="E23" s="1061">
        <f>IFERROR(VLOOKUP(A23,stockKJD,9,FALSE)," ")</f>
        <v>0</v>
      </c>
      <c r="F23" s="987" t="s">
        <v>13610</v>
      </c>
      <c r="G23" s="1063">
        <f t="shared" si="2"/>
        <v>0</v>
      </c>
      <c r="H23" s="1064">
        <v>0.0</v>
      </c>
      <c r="I23" s="1064">
        <f t="shared" si="3"/>
        <v>3</v>
      </c>
      <c r="J23" s="1063">
        <v>3.0</v>
      </c>
      <c r="K23" s="1063"/>
      <c r="L23" s="1076" t="s">
        <v>13647</v>
      </c>
      <c r="M23" s="1065">
        <v>523809.0</v>
      </c>
      <c r="N23" s="1063">
        <f>IFERROR(VLOOKUP(A23,hpp,3,FALSE)," ")</f>
        <v>536309</v>
      </c>
      <c r="O23" s="1063">
        <f t="shared" si="4"/>
        <v>5238090</v>
      </c>
      <c r="P23" s="1063">
        <f t="shared" si="5"/>
        <v>5363090</v>
      </c>
      <c r="Q23" s="1066">
        <f t="shared" si="6"/>
        <v>5238090</v>
      </c>
      <c r="R23" s="1067">
        <f t="shared" si="7"/>
        <v>1571427</v>
      </c>
      <c r="S23" s="1067">
        <f t="shared" si="8"/>
        <v>1571427</v>
      </c>
      <c r="T23" s="1068">
        <f t="shared" si="9"/>
        <v>0</v>
      </c>
      <c r="U23" s="1069" t="str">
        <f>IFERROR(VLOOKUP(A23,StockAll,10,FALSE)," ")</f>
        <v>B3T2</v>
      </c>
      <c r="V23" s="1070"/>
      <c r="W23" s="1071">
        <f t="shared" si="10"/>
        <v>7</v>
      </c>
      <c r="X23" s="1072">
        <f t="shared" si="11"/>
        <v>3666663</v>
      </c>
      <c r="Y23" s="1073">
        <f t="shared" si="12"/>
        <v>3</v>
      </c>
      <c r="Z23" s="56">
        <v>3.0</v>
      </c>
      <c r="AA23" s="1012"/>
      <c r="AB23" s="1012"/>
      <c r="AC23" s="1012"/>
      <c r="AD23" s="1012"/>
      <c r="AE23" s="1012"/>
      <c r="AF23" s="1012"/>
      <c r="AG23" s="1012"/>
      <c r="AH23" s="1012"/>
      <c r="AI23" s="1012"/>
      <c r="AJ23" s="1012"/>
      <c r="AK23" s="1012"/>
    </row>
    <row r="24" hidden="1">
      <c r="A24" s="982" t="s">
        <v>3176</v>
      </c>
      <c r="B24" s="983">
        <v>20.0</v>
      </c>
      <c r="C24" s="1061">
        <f>IFERROR(VLOOKUP(A24,stockKJD,8,FALSE)," ")</f>
        <v>25</v>
      </c>
      <c r="D24" s="1062">
        <f t="shared" si="1"/>
        <v>20</v>
      </c>
      <c r="E24" s="1061">
        <f>IFERROR(VLOOKUP(A24,stockKJD,9,FALSE)," ")</f>
        <v>9</v>
      </c>
      <c r="F24" s="987" t="s">
        <v>13610</v>
      </c>
      <c r="G24" s="1063">
        <f t="shared" si="2"/>
        <v>-4</v>
      </c>
      <c r="H24" s="1079">
        <v>4.0</v>
      </c>
      <c r="I24" s="1064">
        <f t="shared" si="3"/>
        <v>0</v>
      </c>
      <c r="J24" s="1063"/>
      <c r="K24" s="1063"/>
      <c r="L24" s="1065"/>
      <c r="M24" s="1065">
        <v>290598.0</v>
      </c>
      <c r="N24" s="1063">
        <f>IFERROR(VLOOKUP(A24,hpp,3,FALSE)," ")</f>
        <v>298251</v>
      </c>
      <c r="O24" s="1063">
        <f t="shared" si="4"/>
        <v>5811960</v>
      </c>
      <c r="P24" s="1063">
        <f t="shared" si="5"/>
        <v>5965020</v>
      </c>
      <c r="Q24" s="1066">
        <f t="shared" si="6"/>
        <v>5811960</v>
      </c>
      <c r="R24" s="1067">
        <f t="shared" si="7"/>
        <v>0</v>
      </c>
      <c r="S24" s="1067">
        <f t="shared" si="8"/>
        <v>0</v>
      </c>
      <c r="T24" s="1068">
        <f t="shared" si="9"/>
        <v>1162392</v>
      </c>
      <c r="U24" s="1069" t="str">
        <f>IFERROR(VLOOKUP(A24,StockAll,10,FALSE)," ")</f>
        <v> B3T3</v>
      </c>
      <c r="V24" s="1070"/>
      <c r="W24" s="1071">
        <f t="shared" si="10"/>
        <v>20</v>
      </c>
      <c r="X24" s="1072">
        <f t="shared" si="11"/>
        <v>5811960</v>
      </c>
      <c r="Y24" s="1073">
        <f t="shared" si="12"/>
        <v>0</v>
      </c>
      <c r="Z24" s="1012"/>
      <c r="AA24" s="1012"/>
      <c r="AB24" s="1012"/>
      <c r="AC24" s="1012"/>
      <c r="AD24" s="1012"/>
      <c r="AE24" s="1012"/>
      <c r="AF24" s="1012"/>
      <c r="AG24" s="1012"/>
      <c r="AH24" s="1012"/>
      <c r="AI24" s="1012"/>
      <c r="AJ24" s="1012"/>
      <c r="AK24" s="1012"/>
    </row>
    <row r="25">
      <c r="A25" s="982" t="s">
        <v>3127</v>
      </c>
      <c r="B25" s="983">
        <v>20.0</v>
      </c>
      <c r="C25" s="1061">
        <f>IFERROR(VLOOKUP(A25,stockKJD,8,FALSE)," ")</f>
        <v>40</v>
      </c>
      <c r="D25" s="1062">
        <f t="shared" si="1"/>
        <v>20</v>
      </c>
      <c r="E25" s="1061">
        <f>IFERROR(VLOOKUP(A25,stockKJD,9,FALSE)," ")</f>
        <v>2</v>
      </c>
      <c r="F25" s="987" t="s">
        <v>11466</v>
      </c>
      <c r="G25" s="1063">
        <f t="shared" si="2"/>
        <v>0</v>
      </c>
      <c r="H25" s="1064">
        <v>0.0</v>
      </c>
      <c r="I25" s="1064">
        <f t="shared" si="3"/>
        <v>10</v>
      </c>
      <c r="J25" s="1063">
        <v>0.0</v>
      </c>
      <c r="K25" s="1063">
        <v>10.0</v>
      </c>
      <c r="L25" s="1076" t="s">
        <v>12534</v>
      </c>
      <c r="M25" s="1065">
        <v>289300.0</v>
      </c>
      <c r="N25" s="1063">
        <f>IFERROR(VLOOKUP(A25,hpp,3,FALSE)," ")</f>
        <v>296953</v>
      </c>
      <c r="O25" s="1063">
        <f t="shared" si="4"/>
        <v>5786000</v>
      </c>
      <c r="P25" s="1063">
        <f t="shared" si="5"/>
        <v>5939060</v>
      </c>
      <c r="Q25" s="1066">
        <f t="shared" si="6"/>
        <v>5786000</v>
      </c>
      <c r="R25" s="1067">
        <f t="shared" si="7"/>
        <v>2893000</v>
      </c>
      <c r="S25" s="1067">
        <f t="shared" si="8"/>
        <v>2893000</v>
      </c>
      <c r="T25" s="1068">
        <f t="shared" si="9"/>
        <v>0</v>
      </c>
      <c r="U25" s="1069" t="str">
        <f>IFERROR(VLOOKUP(A25,StockAll,10,FALSE)," ")</f>
        <v>B4T3</v>
      </c>
      <c r="V25" s="1070"/>
      <c r="W25" s="1071">
        <f t="shared" si="10"/>
        <v>10</v>
      </c>
      <c r="X25" s="1072">
        <f t="shared" si="11"/>
        <v>2893000</v>
      </c>
      <c r="Y25" s="1073">
        <f t="shared" si="12"/>
        <v>10</v>
      </c>
      <c r="Z25" s="56">
        <v>10.0</v>
      </c>
      <c r="AA25" s="1012"/>
      <c r="AB25" s="1012"/>
      <c r="AC25" s="1012"/>
      <c r="AD25" s="1012"/>
      <c r="AE25" s="1012"/>
      <c r="AF25" s="1012"/>
      <c r="AG25" s="1012"/>
      <c r="AH25" s="1012"/>
      <c r="AI25" s="1012"/>
      <c r="AJ25" s="1012"/>
      <c r="AK25" s="1012"/>
    </row>
    <row r="26" hidden="1">
      <c r="A26" s="982" t="s">
        <v>4608</v>
      </c>
      <c r="B26" s="983">
        <v>5.0</v>
      </c>
      <c r="C26" s="1061">
        <f>IFERROR(VLOOKUP(A26,stockKJD,8,FALSE)," ")</f>
        <v>3</v>
      </c>
      <c r="D26" s="1062">
        <f t="shared" si="1"/>
        <v>3</v>
      </c>
      <c r="E26" s="1061">
        <f>IFERROR(VLOOKUP(A26,stockKJD,9,FALSE)," ")</f>
        <v>2</v>
      </c>
      <c r="F26" s="987" t="s">
        <v>13610</v>
      </c>
      <c r="G26" s="1063">
        <f t="shared" si="2"/>
        <v>-1</v>
      </c>
      <c r="H26" s="1075">
        <v>3.0</v>
      </c>
      <c r="I26" s="1064">
        <f t="shared" si="3"/>
        <v>0</v>
      </c>
      <c r="J26" s="1063"/>
      <c r="K26" s="1063"/>
      <c r="L26" s="1065"/>
      <c r="M26" s="1065">
        <v>224664.0</v>
      </c>
      <c r="N26" s="1063">
        <f>IFERROR(VLOOKUP(A26,hpp,3,FALSE)," ")</f>
        <v>232317</v>
      </c>
      <c r="O26" s="1063">
        <f t="shared" si="4"/>
        <v>1123320</v>
      </c>
      <c r="P26" s="1063">
        <f t="shared" si="5"/>
        <v>1161585</v>
      </c>
      <c r="Q26" s="1066">
        <f t="shared" si="6"/>
        <v>673992</v>
      </c>
      <c r="R26" s="1067">
        <f t="shared" si="7"/>
        <v>0</v>
      </c>
      <c r="S26" s="1067">
        <f t="shared" si="8"/>
        <v>0</v>
      </c>
      <c r="T26" s="1068">
        <f t="shared" si="9"/>
        <v>673992</v>
      </c>
      <c r="U26" s="1069" t="str">
        <f>IFERROR(VLOOKUP(A26,StockAll,10,FALSE)," ")</f>
        <v>B8T3</v>
      </c>
      <c r="V26" s="1070"/>
      <c r="W26" s="1071">
        <f t="shared" si="10"/>
        <v>5</v>
      </c>
      <c r="X26" s="1072">
        <f t="shared" si="11"/>
        <v>1123320</v>
      </c>
      <c r="Y26" s="1073">
        <f t="shared" si="12"/>
        <v>0</v>
      </c>
      <c r="Z26" s="1012"/>
      <c r="AA26" s="1012"/>
      <c r="AB26" s="1012"/>
      <c r="AC26" s="1012"/>
      <c r="AD26" s="1012"/>
      <c r="AE26" s="1012"/>
      <c r="AF26" s="1012"/>
      <c r="AG26" s="1012"/>
      <c r="AH26" s="1012"/>
      <c r="AI26" s="1012"/>
      <c r="AJ26" s="1012"/>
      <c r="AK26" s="1012"/>
    </row>
    <row r="27" hidden="1">
      <c r="A27" s="982" t="s">
        <v>3543</v>
      </c>
      <c r="B27" s="983">
        <v>10.0</v>
      </c>
      <c r="C27" s="1061">
        <f>IFERROR(VLOOKUP(A27,stockKJD,8,FALSE)," ")</f>
        <v>13</v>
      </c>
      <c r="D27" s="1062">
        <f t="shared" si="1"/>
        <v>10</v>
      </c>
      <c r="E27" s="1061">
        <f>IFERROR(VLOOKUP(A27,stockKJD,9,FALSE)," ")</f>
        <v>5</v>
      </c>
      <c r="F27" s="1077" t="s">
        <v>13610</v>
      </c>
      <c r="G27" s="1063">
        <f t="shared" si="2"/>
        <v>-5</v>
      </c>
      <c r="H27" s="1075">
        <v>5.0</v>
      </c>
      <c r="I27" s="1064">
        <f t="shared" si="3"/>
        <v>0</v>
      </c>
      <c r="J27" s="1063"/>
      <c r="K27" s="1063"/>
      <c r="L27" s="1065"/>
      <c r="M27" s="1065">
        <v>233211.0</v>
      </c>
      <c r="N27" s="1063">
        <f>IFERROR(VLOOKUP(A27,hpp,3,FALSE)," ")</f>
        <v>240864</v>
      </c>
      <c r="O27" s="1063">
        <f t="shared" si="4"/>
        <v>2332110</v>
      </c>
      <c r="P27" s="1063">
        <f t="shared" si="5"/>
        <v>2408640</v>
      </c>
      <c r="Q27" s="1066">
        <f t="shared" si="6"/>
        <v>2332110</v>
      </c>
      <c r="R27" s="1067">
        <f t="shared" si="7"/>
        <v>0</v>
      </c>
      <c r="S27" s="1067">
        <f t="shared" si="8"/>
        <v>0</v>
      </c>
      <c r="T27" s="1068">
        <f t="shared" si="9"/>
        <v>1166055</v>
      </c>
      <c r="U27" s="1069" t="str">
        <f>IFERROR(VLOOKUP(A27,StockAll,10,FALSE)," ")</f>
        <v>B8T3</v>
      </c>
      <c r="V27" s="1070"/>
      <c r="W27" s="1071">
        <f t="shared" si="10"/>
        <v>10</v>
      </c>
      <c r="X27" s="1072">
        <f t="shared" si="11"/>
        <v>2332110</v>
      </c>
      <c r="Y27" s="1073">
        <f t="shared" si="12"/>
        <v>0</v>
      </c>
      <c r="Z27" s="1012"/>
      <c r="AA27" s="1012"/>
      <c r="AB27" s="1012"/>
      <c r="AC27" s="1012"/>
      <c r="AD27" s="1012"/>
      <c r="AE27" s="1012"/>
      <c r="AF27" s="1012"/>
      <c r="AG27" s="1012"/>
      <c r="AH27" s="1012"/>
      <c r="AI27" s="1012"/>
      <c r="AJ27" s="1012"/>
      <c r="AK27" s="1012"/>
    </row>
    <row r="28">
      <c r="A28" s="982" t="s">
        <v>6736</v>
      </c>
      <c r="B28" s="983">
        <v>5.0</v>
      </c>
      <c r="C28" s="1061">
        <f>IFERROR(VLOOKUP(A28,stockKJD,8,FALSE)," ")</f>
        <v>5</v>
      </c>
      <c r="D28" s="1062">
        <f t="shared" si="1"/>
        <v>5</v>
      </c>
      <c r="E28" s="1061">
        <f>IFERROR(VLOOKUP(A28,stockKJD,9,FALSE)," ")</f>
        <v>0</v>
      </c>
      <c r="F28" s="1077" t="s">
        <v>13610</v>
      </c>
      <c r="G28" s="1063">
        <f t="shared" si="2"/>
        <v>0</v>
      </c>
      <c r="H28" s="1064">
        <v>0.0</v>
      </c>
      <c r="I28" s="1064">
        <f t="shared" si="3"/>
        <v>5</v>
      </c>
      <c r="J28" s="1063">
        <v>0.0</v>
      </c>
      <c r="K28" s="1063">
        <v>5.0</v>
      </c>
      <c r="L28" s="1076" t="s">
        <v>12534</v>
      </c>
      <c r="M28" s="1065">
        <v>63492.0</v>
      </c>
      <c r="N28" s="1063">
        <f>IFERROR(VLOOKUP(A28,hpp,3,FALSE)," ")</f>
        <v>71145</v>
      </c>
      <c r="O28" s="1063">
        <f t="shared" si="4"/>
        <v>317460</v>
      </c>
      <c r="P28" s="1063">
        <f t="shared" si="5"/>
        <v>355725</v>
      </c>
      <c r="Q28" s="1066">
        <f t="shared" si="6"/>
        <v>317460</v>
      </c>
      <c r="R28" s="1067">
        <f t="shared" si="7"/>
        <v>317460</v>
      </c>
      <c r="S28" s="1067">
        <f t="shared" si="8"/>
        <v>317460</v>
      </c>
      <c r="T28" s="1068">
        <f t="shared" si="9"/>
        <v>0</v>
      </c>
      <c r="U28" s="1069" t="str">
        <f>IFERROR(VLOOKUP(A28,StockAll,10,FALSE)," ")</f>
        <v>B5T4</v>
      </c>
      <c r="V28" s="1070"/>
      <c r="W28" s="1071">
        <f t="shared" si="10"/>
        <v>0</v>
      </c>
      <c r="X28" s="1072">
        <f t="shared" si="11"/>
        <v>0</v>
      </c>
      <c r="Y28" s="1073">
        <f t="shared" si="12"/>
        <v>5</v>
      </c>
      <c r="Z28" s="56">
        <v>5.0</v>
      </c>
      <c r="AA28" s="1012"/>
      <c r="AB28" s="1012"/>
      <c r="AC28" s="1012"/>
      <c r="AD28" s="1012"/>
      <c r="AE28" s="1012"/>
      <c r="AF28" s="1012"/>
      <c r="AG28" s="1012"/>
      <c r="AH28" s="1012"/>
      <c r="AI28" s="1012"/>
      <c r="AJ28" s="1012"/>
      <c r="AK28" s="1012"/>
    </row>
    <row r="29">
      <c r="A29" s="982" t="s">
        <v>6737</v>
      </c>
      <c r="B29" s="983">
        <v>5.0</v>
      </c>
      <c r="C29" s="1061">
        <f>IFERROR(VLOOKUP(A29,stockKJD,8,FALSE)," ")</f>
        <v>5</v>
      </c>
      <c r="D29" s="1062">
        <f t="shared" si="1"/>
        <v>5</v>
      </c>
      <c r="E29" s="1061">
        <f>IFERROR(VLOOKUP(A29,stockKJD,9,FALSE)," ")</f>
        <v>0</v>
      </c>
      <c r="F29" s="987" t="s">
        <v>13610</v>
      </c>
      <c r="G29" s="1063">
        <f t="shared" si="2"/>
        <v>0</v>
      </c>
      <c r="H29" s="1064">
        <v>0.0</v>
      </c>
      <c r="I29" s="1064">
        <f t="shared" si="3"/>
        <v>5</v>
      </c>
      <c r="J29" s="1063">
        <v>0.0</v>
      </c>
      <c r="K29" s="1063">
        <v>5.0</v>
      </c>
      <c r="L29" s="1076" t="s">
        <v>12534</v>
      </c>
      <c r="M29" s="1065">
        <v>63492.0</v>
      </c>
      <c r="N29" s="1063">
        <f>IFERROR(VLOOKUP(A29,hpp,3,FALSE)," ")</f>
        <v>71145</v>
      </c>
      <c r="O29" s="1063">
        <f t="shared" si="4"/>
        <v>317460</v>
      </c>
      <c r="P29" s="1063">
        <f t="shared" si="5"/>
        <v>355725</v>
      </c>
      <c r="Q29" s="1066">
        <f t="shared" si="6"/>
        <v>317460</v>
      </c>
      <c r="R29" s="1067">
        <f t="shared" si="7"/>
        <v>317460</v>
      </c>
      <c r="S29" s="1067">
        <f t="shared" si="8"/>
        <v>317460</v>
      </c>
      <c r="T29" s="1068">
        <f t="shared" si="9"/>
        <v>0</v>
      </c>
      <c r="U29" s="1069" t="str">
        <f>IFERROR(VLOOKUP(A29,StockAll,10,FALSE)," ")</f>
        <v>B5T4</v>
      </c>
      <c r="V29" s="1070"/>
      <c r="W29" s="1071">
        <f t="shared" si="10"/>
        <v>0</v>
      </c>
      <c r="X29" s="1072">
        <f t="shared" si="11"/>
        <v>0</v>
      </c>
      <c r="Y29" s="1073">
        <f t="shared" si="12"/>
        <v>5</v>
      </c>
      <c r="Z29" s="56">
        <v>5.0</v>
      </c>
      <c r="AA29" s="1012"/>
      <c r="AB29" s="1012"/>
      <c r="AC29" s="1012"/>
      <c r="AD29" s="1012"/>
      <c r="AE29" s="1012"/>
      <c r="AF29" s="1012"/>
      <c r="AG29" s="1012"/>
      <c r="AH29" s="1012"/>
      <c r="AI29" s="1012"/>
      <c r="AJ29" s="1012"/>
      <c r="AK29" s="1012"/>
    </row>
    <row r="30" hidden="1">
      <c r="A30" s="982" t="s">
        <v>3934</v>
      </c>
      <c r="B30" s="983">
        <v>5.0</v>
      </c>
      <c r="C30" s="1061">
        <f>IFERROR(VLOOKUP(A30,stockKJD,8,FALSE)," ")</f>
        <v>5</v>
      </c>
      <c r="D30" s="1062">
        <f t="shared" si="1"/>
        <v>5</v>
      </c>
      <c r="E30" s="1061">
        <f>IFERROR(VLOOKUP(A30,stockKJD,9,FALSE)," ")</f>
        <v>5</v>
      </c>
      <c r="F30" s="1077" t="s">
        <v>13610</v>
      </c>
      <c r="G30" s="1063">
        <f t="shared" si="2"/>
        <v>-1</v>
      </c>
      <c r="H30" s="1075">
        <v>1.0</v>
      </c>
      <c r="I30" s="1064">
        <f t="shared" si="3"/>
        <v>0</v>
      </c>
      <c r="J30" s="1063"/>
      <c r="K30" s="1063"/>
      <c r="L30" s="1065"/>
      <c r="M30" s="1065">
        <v>84249.0</v>
      </c>
      <c r="N30" s="1063">
        <f>IFERROR(VLOOKUP(A30,hpp,3,FALSE)," ")</f>
        <v>91902</v>
      </c>
      <c r="O30" s="1063">
        <f t="shared" si="4"/>
        <v>421245</v>
      </c>
      <c r="P30" s="1063">
        <f t="shared" si="5"/>
        <v>459510</v>
      </c>
      <c r="Q30" s="1066">
        <f t="shared" si="6"/>
        <v>421245</v>
      </c>
      <c r="R30" s="1067">
        <f t="shared" si="7"/>
        <v>0</v>
      </c>
      <c r="S30" s="1067">
        <f t="shared" si="8"/>
        <v>0</v>
      </c>
      <c r="T30" s="1068">
        <f t="shared" si="9"/>
        <v>84249</v>
      </c>
      <c r="U30" s="1069" t="str">
        <f>IFERROR(VLOOKUP(A30,StockAll,10,FALSE)," ")</f>
        <v>B5T4</v>
      </c>
      <c r="V30" s="1070"/>
      <c r="W30" s="1071">
        <f t="shared" si="10"/>
        <v>5</v>
      </c>
      <c r="X30" s="1072">
        <f t="shared" si="11"/>
        <v>421245</v>
      </c>
      <c r="Y30" s="1073">
        <f t="shared" si="12"/>
        <v>0</v>
      </c>
      <c r="Z30" s="1012"/>
      <c r="AA30" s="1012"/>
      <c r="AB30" s="1012"/>
      <c r="AC30" s="1012"/>
      <c r="AD30" s="1012"/>
      <c r="AE30" s="1012"/>
      <c r="AF30" s="1012"/>
      <c r="AG30" s="1012"/>
      <c r="AH30" s="1012"/>
      <c r="AI30" s="1012"/>
      <c r="AJ30" s="1012"/>
      <c r="AK30" s="1012"/>
    </row>
    <row r="31" hidden="1">
      <c r="A31" s="982" t="s">
        <v>3382</v>
      </c>
      <c r="B31" s="983">
        <v>5.0</v>
      </c>
      <c r="C31" s="1061">
        <f>IFERROR(VLOOKUP(A31,stockKJD,8,FALSE)," ")</f>
        <v>8</v>
      </c>
      <c r="D31" s="1062">
        <f t="shared" si="1"/>
        <v>5</v>
      </c>
      <c r="E31" s="1061">
        <f>IFERROR(VLOOKUP(A31,stockKJD,9,FALSE)," ")</f>
        <v>2</v>
      </c>
      <c r="F31" s="1077" t="s">
        <v>13610</v>
      </c>
      <c r="G31" s="1063">
        <f t="shared" si="2"/>
        <v>-3</v>
      </c>
      <c r="H31" s="1075">
        <v>3.0</v>
      </c>
      <c r="I31" s="1064">
        <f t="shared" si="3"/>
        <v>0</v>
      </c>
      <c r="J31" s="1063"/>
      <c r="K31" s="1063"/>
      <c r="L31" s="1065"/>
      <c r="M31" s="1065">
        <v>84249.0</v>
      </c>
      <c r="N31" s="1063">
        <f>IFERROR(VLOOKUP(A31,hpp,3,FALSE)," ")</f>
        <v>91902</v>
      </c>
      <c r="O31" s="1063">
        <f t="shared" si="4"/>
        <v>421245</v>
      </c>
      <c r="P31" s="1063">
        <f t="shared" si="5"/>
        <v>459510</v>
      </c>
      <c r="Q31" s="1066">
        <f t="shared" si="6"/>
        <v>421245</v>
      </c>
      <c r="R31" s="1067">
        <f t="shared" si="7"/>
        <v>0</v>
      </c>
      <c r="S31" s="1067">
        <f t="shared" si="8"/>
        <v>0</v>
      </c>
      <c r="T31" s="1068">
        <f t="shared" si="9"/>
        <v>252747</v>
      </c>
      <c r="U31" s="1069" t="str">
        <f>IFERROR(VLOOKUP(A31,StockAll,10,FALSE)," ")</f>
        <v>B5T4/PETI</v>
      </c>
      <c r="V31" s="1070"/>
      <c r="W31" s="1071">
        <f t="shared" si="10"/>
        <v>5</v>
      </c>
      <c r="X31" s="1072">
        <f t="shared" si="11"/>
        <v>421245</v>
      </c>
      <c r="Y31" s="1073">
        <f t="shared" si="12"/>
        <v>0</v>
      </c>
      <c r="Z31" s="1012"/>
      <c r="AA31" s="1012"/>
      <c r="AB31" s="1012"/>
      <c r="AC31" s="1012"/>
      <c r="AD31" s="1012"/>
      <c r="AE31" s="1012"/>
      <c r="AF31" s="1012"/>
      <c r="AG31" s="1012"/>
      <c r="AH31" s="1012"/>
      <c r="AI31" s="1012"/>
      <c r="AJ31" s="1012"/>
      <c r="AK31" s="1012"/>
    </row>
    <row r="32">
      <c r="A32" s="982" t="s">
        <v>2753</v>
      </c>
      <c r="B32" s="983">
        <v>5.0</v>
      </c>
      <c r="C32" s="1061">
        <f>IFERROR(VLOOKUP(A32,stockKJD,8,FALSE)," ")</f>
        <v>7</v>
      </c>
      <c r="D32" s="1062">
        <f t="shared" si="1"/>
        <v>5</v>
      </c>
      <c r="E32" s="1061">
        <f>IFERROR(VLOOKUP(A32,stockKJD,9,FALSE)," ")</f>
        <v>5</v>
      </c>
      <c r="F32" s="987" t="s">
        <v>13614</v>
      </c>
      <c r="G32" s="1063">
        <f t="shared" si="2"/>
        <v>0</v>
      </c>
      <c r="H32" s="1064">
        <v>0.0</v>
      </c>
      <c r="I32" s="1064">
        <f t="shared" si="3"/>
        <v>4</v>
      </c>
      <c r="J32" s="1063">
        <v>4.0</v>
      </c>
      <c r="K32" s="1063"/>
      <c r="L32" s="1076" t="s">
        <v>13647</v>
      </c>
      <c r="M32" s="1065">
        <v>302170.0</v>
      </c>
      <c r="N32" s="1063">
        <f>IFERROR(VLOOKUP(A32,hpp,3,FALSE)," ")</f>
        <v>309823</v>
      </c>
      <c r="O32" s="1063">
        <f t="shared" si="4"/>
        <v>1510850</v>
      </c>
      <c r="P32" s="1063">
        <f t="shared" si="5"/>
        <v>1549115</v>
      </c>
      <c r="Q32" s="1066">
        <f t="shared" si="6"/>
        <v>1510850</v>
      </c>
      <c r="R32" s="1067">
        <f t="shared" si="7"/>
        <v>1208680</v>
      </c>
      <c r="S32" s="1067">
        <f t="shared" si="8"/>
        <v>1208680</v>
      </c>
      <c r="T32" s="1068">
        <f t="shared" si="9"/>
        <v>0</v>
      </c>
      <c r="U32" s="1069" t="str">
        <f>IFERROR(VLOOKUP(A32,StockAll,10,FALSE)," ")</f>
        <v>B8T3</v>
      </c>
      <c r="V32" s="1070"/>
      <c r="W32" s="1071">
        <f t="shared" si="10"/>
        <v>1</v>
      </c>
      <c r="X32" s="1072">
        <f t="shared" si="11"/>
        <v>302170</v>
      </c>
      <c r="Y32" s="1073">
        <f t="shared" si="12"/>
        <v>4</v>
      </c>
      <c r="Z32" s="56">
        <v>4.0</v>
      </c>
      <c r="AA32" s="1012"/>
      <c r="AB32" s="1012"/>
      <c r="AC32" s="1012"/>
      <c r="AD32" s="1012"/>
      <c r="AE32" s="1012"/>
      <c r="AF32" s="1012"/>
      <c r="AG32" s="1012"/>
      <c r="AH32" s="1012"/>
      <c r="AI32" s="1012"/>
      <c r="AJ32" s="1012"/>
      <c r="AK32" s="1012"/>
    </row>
    <row r="33" hidden="1">
      <c r="A33" s="1080" t="s">
        <v>4901</v>
      </c>
      <c r="B33" s="983">
        <v>5.0</v>
      </c>
      <c r="C33" s="1061">
        <f>IFERROR(VLOOKUP(A33,stockKJD,8,FALSE)," ")</f>
        <v>13</v>
      </c>
      <c r="D33" s="1062">
        <f t="shared" si="1"/>
        <v>5</v>
      </c>
      <c r="E33" s="1061">
        <f>IFERROR(VLOOKUP(A33,stockKJD,9,FALSE)," ")</f>
        <v>2</v>
      </c>
      <c r="F33" s="987" t="s">
        <v>13610</v>
      </c>
      <c r="G33" s="1063">
        <f t="shared" si="2"/>
        <v>-1</v>
      </c>
      <c r="H33" s="1075">
        <v>1.0</v>
      </c>
      <c r="I33" s="1064">
        <f t="shared" si="3"/>
        <v>0</v>
      </c>
      <c r="J33" s="1063"/>
      <c r="K33" s="1063"/>
      <c r="L33" s="1065"/>
      <c r="M33" s="1065">
        <v>339438.0</v>
      </c>
      <c r="N33" s="1063">
        <f>IFERROR(VLOOKUP(A33,hpp,3,FALSE)," ")</f>
        <v>347091</v>
      </c>
      <c r="O33" s="1063">
        <f t="shared" si="4"/>
        <v>1697190</v>
      </c>
      <c r="P33" s="1063">
        <f t="shared" si="5"/>
        <v>1735455</v>
      </c>
      <c r="Q33" s="1066">
        <f t="shared" si="6"/>
        <v>1697190</v>
      </c>
      <c r="R33" s="1067">
        <f t="shared" si="7"/>
        <v>0</v>
      </c>
      <c r="S33" s="1067">
        <f t="shared" si="8"/>
        <v>0</v>
      </c>
      <c r="T33" s="1068">
        <f t="shared" si="9"/>
        <v>339438</v>
      </c>
      <c r="U33" s="1069" t="str">
        <f>IFERROR(VLOOKUP(A33,StockAll,10,FALSE)," ")</f>
        <v>B1T3</v>
      </c>
      <c r="V33" s="1070"/>
      <c r="W33" s="1071">
        <f t="shared" si="10"/>
        <v>5</v>
      </c>
      <c r="X33" s="1072">
        <f t="shared" si="11"/>
        <v>1697190</v>
      </c>
      <c r="Y33" s="1073">
        <f t="shared" si="12"/>
        <v>0</v>
      </c>
      <c r="Z33" s="1012"/>
      <c r="AA33" s="1012"/>
      <c r="AB33" s="1012"/>
      <c r="AC33" s="1012"/>
      <c r="AD33" s="1012"/>
      <c r="AE33" s="1012"/>
      <c r="AF33" s="1012"/>
      <c r="AG33" s="1012"/>
      <c r="AH33" s="1012"/>
      <c r="AI33" s="1012"/>
      <c r="AJ33" s="1012"/>
      <c r="AK33" s="1012"/>
    </row>
    <row r="34" hidden="1">
      <c r="A34" s="982" t="s">
        <v>4386</v>
      </c>
      <c r="B34" s="983">
        <v>5.0</v>
      </c>
      <c r="C34" s="1061">
        <f>IFERROR(VLOOKUP(A34,stockKJD,8,FALSE)," ")</f>
        <v>3</v>
      </c>
      <c r="D34" s="1062">
        <f t="shared" si="1"/>
        <v>3</v>
      </c>
      <c r="E34" s="1061">
        <f>IFERROR(VLOOKUP(A34,stockKJD,9,FALSE)," ")</f>
        <v>7</v>
      </c>
      <c r="F34" s="1077" t="s">
        <v>13610</v>
      </c>
      <c r="G34" s="1063">
        <f t="shared" si="2"/>
        <v>-2</v>
      </c>
      <c r="H34" s="1075">
        <v>4.0</v>
      </c>
      <c r="I34" s="1064">
        <f t="shared" si="3"/>
        <v>0</v>
      </c>
      <c r="J34" s="1063"/>
      <c r="K34" s="1063"/>
      <c r="L34" s="1065"/>
      <c r="M34" s="1065">
        <v>63492.0</v>
      </c>
      <c r="N34" s="1063">
        <f>IFERROR(VLOOKUP(A34,hpp,3,FALSE)," ")</f>
        <v>71145</v>
      </c>
      <c r="O34" s="1063">
        <f t="shared" si="4"/>
        <v>317460</v>
      </c>
      <c r="P34" s="1063">
        <f t="shared" si="5"/>
        <v>355725</v>
      </c>
      <c r="Q34" s="1066">
        <f t="shared" si="6"/>
        <v>190476</v>
      </c>
      <c r="R34" s="1067">
        <f t="shared" si="7"/>
        <v>0</v>
      </c>
      <c r="S34" s="1067">
        <f t="shared" si="8"/>
        <v>0</v>
      </c>
      <c r="T34" s="1068">
        <f t="shared" si="9"/>
        <v>253968</v>
      </c>
      <c r="U34" s="1069" t="str">
        <f>IFERROR(VLOOKUP(A34,StockAll,10,FALSE)," ")</f>
        <v>B5T4</v>
      </c>
      <c r="V34" s="1070"/>
      <c r="W34" s="1071">
        <f t="shared" si="10"/>
        <v>5</v>
      </c>
      <c r="X34" s="1072">
        <f t="shared" si="11"/>
        <v>317460</v>
      </c>
      <c r="Y34" s="1073">
        <f t="shared" si="12"/>
        <v>0</v>
      </c>
      <c r="Z34" s="1012"/>
      <c r="AA34" s="1012"/>
      <c r="AB34" s="1012"/>
      <c r="AC34" s="1012"/>
      <c r="AD34" s="1012"/>
      <c r="AE34" s="1012"/>
      <c r="AF34" s="1012"/>
      <c r="AG34" s="1012"/>
      <c r="AH34" s="1012"/>
      <c r="AI34" s="1012"/>
      <c r="AJ34" s="1012"/>
      <c r="AK34" s="1012"/>
    </row>
    <row r="35" hidden="1">
      <c r="A35" s="982" t="s">
        <v>3564</v>
      </c>
      <c r="B35" s="983">
        <v>5.0</v>
      </c>
      <c r="C35" s="1061">
        <f>IFERROR(VLOOKUP(A35,stockKJD,8,FALSE)," ")</f>
        <v>4</v>
      </c>
      <c r="D35" s="1062">
        <f t="shared" si="1"/>
        <v>4</v>
      </c>
      <c r="E35" s="1061">
        <f>IFERROR(VLOOKUP(A35,stockKJD,9,FALSE)," ")</f>
        <v>6</v>
      </c>
      <c r="F35" s="987" t="s">
        <v>13610</v>
      </c>
      <c r="G35" s="1063">
        <f t="shared" si="2"/>
        <v>-1</v>
      </c>
      <c r="H35" s="1075">
        <v>2.0</v>
      </c>
      <c r="I35" s="1064">
        <f t="shared" si="3"/>
        <v>0</v>
      </c>
      <c r="J35" s="1063"/>
      <c r="K35" s="1063"/>
      <c r="L35" s="1065"/>
      <c r="M35" s="1065">
        <v>63492.0</v>
      </c>
      <c r="N35" s="1063">
        <f>IFERROR(VLOOKUP(A35,hpp,3,FALSE)," ")</f>
        <v>71145</v>
      </c>
      <c r="O35" s="1063">
        <f t="shared" si="4"/>
        <v>317460</v>
      </c>
      <c r="P35" s="1063">
        <f t="shared" si="5"/>
        <v>355725</v>
      </c>
      <c r="Q35" s="1066">
        <f t="shared" si="6"/>
        <v>253968</v>
      </c>
      <c r="R35" s="1067">
        <f t="shared" si="7"/>
        <v>0</v>
      </c>
      <c r="S35" s="1067">
        <f t="shared" si="8"/>
        <v>0</v>
      </c>
      <c r="T35" s="1068">
        <f t="shared" si="9"/>
        <v>126984</v>
      </c>
      <c r="U35" s="1069" t="str">
        <f>IFERROR(VLOOKUP(A35,StockAll,10,FALSE)," ")</f>
        <v>B5T4</v>
      </c>
      <c r="V35" s="1070"/>
      <c r="W35" s="1071">
        <f t="shared" si="10"/>
        <v>5</v>
      </c>
      <c r="X35" s="1072">
        <f t="shared" si="11"/>
        <v>317460</v>
      </c>
      <c r="Y35" s="1073">
        <f t="shared" si="12"/>
        <v>0</v>
      </c>
      <c r="Z35" s="1012"/>
      <c r="AA35" s="1012"/>
      <c r="AB35" s="1012"/>
      <c r="AC35" s="1012"/>
      <c r="AD35" s="1012"/>
      <c r="AE35" s="1012"/>
      <c r="AF35" s="1012"/>
      <c r="AG35" s="1012"/>
      <c r="AH35" s="1012"/>
      <c r="AI35" s="1012"/>
      <c r="AJ35" s="1012"/>
      <c r="AK35" s="1012"/>
    </row>
    <row r="36" hidden="1">
      <c r="A36" s="982" t="s">
        <v>2936</v>
      </c>
      <c r="B36" s="983">
        <v>20.0</v>
      </c>
      <c r="C36" s="1061">
        <f>IFERROR(VLOOKUP(A36,stockKJD,8,FALSE)," ")</f>
        <v>36</v>
      </c>
      <c r="D36" s="1062">
        <f t="shared" si="1"/>
        <v>20</v>
      </c>
      <c r="E36" s="1061">
        <f>IFERROR(VLOOKUP(A36,stockKJD,9,FALSE)," ")</f>
        <v>4</v>
      </c>
      <c r="F36" s="987" t="s">
        <v>13610</v>
      </c>
      <c r="G36" s="1063">
        <f t="shared" si="2"/>
        <v>-4</v>
      </c>
      <c r="H36" s="1075">
        <v>4.0</v>
      </c>
      <c r="I36" s="1064">
        <f t="shared" si="3"/>
        <v>0</v>
      </c>
      <c r="J36" s="1063"/>
      <c r="K36" s="1063"/>
      <c r="L36" s="1065"/>
      <c r="M36" s="1065">
        <v>299145.0</v>
      </c>
      <c r="N36" s="1063">
        <f>IFERROR(VLOOKUP(A36,hpp,3,FALSE)," ")</f>
        <v>308374</v>
      </c>
      <c r="O36" s="1063">
        <f t="shared" si="4"/>
        <v>5982900</v>
      </c>
      <c r="P36" s="1063">
        <f t="shared" si="5"/>
        <v>6167480</v>
      </c>
      <c r="Q36" s="1066">
        <f t="shared" si="6"/>
        <v>5982900</v>
      </c>
      <c r="R36" s="1067">
        <f t="shared" si="7"/>
        <v>0</v>
      </c>
      <c r="S36" s="1067">
        <f t="shared" si="8"/>
        <v>0</v>
      </c>
      <c r="T36" s="1068">
        <f t="shared" si="9"/>
        <v>1196580</v>
      </c>
      <c r="U36" s="1069" t="str">
        <f>IFERROR(VLOOKUP(A36,StockAll,10,FALSE)," ")</f>
        <v>B1T3</v>
      </c>
      <c r="V36" s="1070"/>
      <c r="W36" s="1071">
        <f t="shared" si="10"/>
        <v>20</v>
      </c>
      <c r="X36" s="1072">
        <f t="shared" si="11"/>
        <v>5982900</v>
      </c>
      <c r="Y36" s="1073">
        <f t="shared" si="12"/>
        <v>0</v>
      </c>
      <c r="Z36" s="1012"/>
      <c r="AA36" s="1012"/>
      <c r="AB36" s="1012"/>
      <c r="AC36" s="1012"/>
      <c r="AD36" s="1012"/>
      <c r="AE36" s="1012"/>
      <c r="AF36" s="1012"/>
      <c r="AG36" s="1012"/>
      <c r="AH36" s="1012"/>
      <c r="AI36" s="1012"/>
      <c r="AJ36" s="1012"/>
      <c r="AK36" s="1012"/>
    </row>
    <row r="37" hidden="1">
      <c r="A37" s="982" t="s">
        <v>6797</v>
      </c>
      <c r="B37" s="983">
        <v>5.0</v>
      </c>
      <c r="C37" s="1061">
        <f>IFERROR(VLOOKUP(A37,stockKJD,8,FALSE)," ")</f>
        <v>2</v>
      </c>
      <c r="D37" s="1062">
        <f t="shared" si="1"/>
        <v>2</v>
      </c>
      <c r="E37" s="1061">
        <f>IFERROR(VLOOKUP(A37,stockKJD,9,FALSE)," ")</f>
        <v>3</v>
      </c>
      <c r="F37" s="1077" t="s">
        <v>13610</v>
      </c>
      <c r="G37" s="1063">
        <f t="shared" si="2"/>
        <v>-2</v>
      </c>
      <c r="H37" s="1075">
        <v>5.0</v>
      </c>
      <c r="I37" s="1064">
        <f t="shared" si="3"/>
        <v>0</v>
      </c>
      <c r="J37" s="1063"/>
      <c r="K37" s="1063"/>
      <c r="L37" s="1065"/>
      <c r="M37" s="1065">
        <v>125763.0</v>
      </c>
      <c r="N37" s="1063">
        <f>IFERROR(VLOOKUP(A37,hpp,3,FALSE)," ")</f>
        <v>133416</v>
      </c>
      <c r="O37" s="1063">
        <f t="shared" si="4"/>
        <v>628815</v>
      </c>
      <c r="P37" s="1063">
        <f t="shared" si="5"/>
        <v>667080</v>
      </c>
      <c r="Q37" s="1066">
        <f t="shared" si="6"/>
        <v>251526</v>
      </c>
      <c r="R37" s="1067">
        <f t="shared" si="7"/>
        <v>0</v>
      </c>
      <c r="S37" s="1067">
        <f t="shared" si="8"/>
        <v>0</v>
      </c>
      <c r="T37" s="1068">
        <f t="shared" si="9"/>
        <v>628815</v>
      </c>
      <c r="U37" s="1069" t="str">
        <f>IFERROR(VLOOKUP(A37,StockAll,10,FALSE)," ")</f>
        <v>B10T4</v>
      </c>
      <c r="V37" s="1070"/>
      <c r="W37" s="1071">
        <f t="shared" si="10"/>
        <v>5</v>
      </c>
      <c r="X37" s="1072">
        <f t="shared" si="11"/>
        <v>628815</v>
      </c>
      <c r="Y37" s="1073">
        <f t="shared" si="12"/>
        <v>0</v>
      </c>
      <c r="Z37" s="1012"/>
      <c r="AA37" s="1012"/>
      <c r="AB37" s="1012"/>
      <c r="AC37" s="1012"/>
      <c r="AD37" s="1012"/>
      <c r="AE37" s="1012"/>
      <c r="AF37" s="1012"/>
      <c r="AG37" s="1012"/>
      <c r="AH37" s="1012"/>
      <c r="AI37" s="1012"/>
      <c r="AJ37" s="1012"/>
      <c r="AK37" s="1012"/>
    </row>
    <row r="38">
      <c r="A38" s="982" t="s">
        <v>6738</v>
      </c>
      <c r="B38" s="983">
        <v>2.0</v>
      </c>
      <c r="C38" s="1061">
        <f>IFERROR(VLOOKUP(A38,stockKJD,8,FALSE)," ")</f>
        <v>4</v>
      </c>
      <c r="D38" s="1062">
        <f t="shared" si="1"/>
        <v>2</v>
      </c>
      <c r="E38" s="1061">
        <f>IFERROR(VLOOKUP(A38,stockKJD,9,FALSE)," ")</f>
        <v>1</v>
      </c>
      <c r="F38" s="987" t="s">
        <v>11466</v>
      </c>
      <c r="G38" s="1063">
        <f t="shared" si="2"/>
        <v>0</v>
      </c>
      <c r="H38" s="1064">
        <v>0.0</v>
      </c>
      <c r="I38" s="1064">
        <f t="shared" si="3"/>
        <v>2</v>
      </c>
      <c r="J38" s="1063">
        <v>0.0</v>
      </c>
      <c r="K38" s="1063">
        <v>2.0</v>
      </c>
      <c r="L38" s="1076" t="s">
        <v>12534</v>
      </c>
      <c r="M38" s="1065">
        <v>589600.0</v>
      </c>
      <c r="N38" s="1063">
        <f>IFERROR(VLOOKUP(A38,hpp,3,FALSE)," ")</f>
        <v>597253</v>
      </c>
      <c r="O38" s="1063">
        <f t="shared" si="4"/>
        <v>1179200</v>
      </c>
      <c r="P38" s="1063">
        <f t="shared" si="5"/>
        <v>1194506</v>
      </c>
      <c r="Q38" s="1066">
        <f t="shared" si="6"/>
        <v>1179200</v>
      </c>
      <c r="R38" s="1067">
        <f t="shared" si="7"/>
        <v>1179200</v>
      </c>
      <c r="S38" s="1067">
        <f t="shared" si="8"/>
        <v>1179200</v>
      </c>
      <c r="T38" s="1068">
        <f t="shared" si="9"/>
        <v>0</v>
      </c>
      <c r="U38" s="1069" t="str">
        <f>IFERROR(VLOOKUP(A38,StockAll,10,FALSE)," ")</f>
        <v>B7T3</v>
      </c>
      <c r="V38" s="1070"/>
      <c r="W38" s="1071">
        <f t="shared" si="10"/>
        <v>0</v>
      </c>
      <c r="X38" s="1072">
        <f t="shared" si="11"/>
        <v>0</v>
      </c>
      <c r="Y38" s="1073">
        <f t="shared" si="12"/>
        <v>2</v>
      </c>
      <c r="Z38" s="56">
        <v>2.0</v>
      </c>
      <c r="AA38" s="1012"/>
      <c r="AB38" s="1012"/>
      <c r="AC38" s="1012"/>
      <c r="AD38" s="1012"/>
      <c r="AE38" s="1012"/>
      <c r="AF38" s="1012"/>
      <c r="AG38" s="1012"/>
      <c r="AH38" s="1012"/>
      <c r="AI38" s="1012"/>
      <c r="AJ38" s="1012"/>
      <c r="AK38" s="1012"/>
    </row>
    <row r="39" hidden="1">
      <c r="A39" s="982" t="s">
        <v>4782</v>
      </c>
      <c r="B39" s="983">
        <v>2.0</v>
      </c>
      <c r="C39" s="1061">
        <f>IFERROR(VLOOKUP(A39,stockKJD,8,FALSE)," ")</f>
        <v>7</v>
      </c>
      <c r="D39" s="1062">
        <f t="shared" si="1"/>
        <v>2</v>
      </c>
      <c r="E39" s="1061">
        <f>IFERROR(VLOOKUP(A39,stockKJD,9,FALSE)," ")</f>
        <v>1</v>
      </c>
      <c r="F39" s="987" t="s">
        <v>11466</v>
      </c>
      <c r="G39" s="1063">
        <f t="shared" si="2"/>
        <v>0</v>
      </c>
      <c r="H39" s="1064">
        <v>0.0</v>
      </c>
      <c r="I39" s="1064">
        <f t="shared" si="3"/>
        <v>0</v>
      </c>
      <c r="J39" s="1063"/>
      <c r="K39" s="1063"/>
      <c r="L39" s="1065"/>
      <c r="M39" s="1065">
        <v>531300.0</v>
      </c>
      <c r="N39" s="1063">
        <f>IFERROR(VLOOKUP(A39,hpp,3,FALSE)," ")</f>
        <v>483000</v>
      </c>
      <c r="O39" s="1063">
        <f t="shared" si="4"/>
        <v>1062600</v>
      </c>
      <c r="P39" s="1063">
        <f t="shared" si="5"/>
        <v>966000</v>
      </c>
      <c r="Q39" s="1066">
        <f t="shared" si="6"/>
        <v>1062600</v>
      </c>
      <c r="R39" s="1067">
        <f t="shared" si="7"/>
        <v>0</v>
      </c>
      <c r="S39" s="1067">
        <f t="shared" si="8"/>
        <v>0</v>
      </c>
      <c r="T39" s="1068">
        <f t="shared" si="9"/>
        <v>0</v>
      </c>
      <c r="U39" s="1069" t="str">
        <f>IFERROR(VLOOKUP(A39,StockAll,10,FALSE)," ")</f>
        <v>B9T3</v>
      </c>
      <c r="V39" s="1070"/>
      <c r="W39" s="1071">
        <f t="shared" si="10"/>
        <v>2</v>
      </c>
      <c r="X39" s="1072">
        <f t="shared" si="11"/>
        <v>1062600</v>
      </c>
      <c r="Y39" s="1073">
        <f t="shared" si="12"/>
        <v>0</v>
      </c>
      <c r="Z39" s="1012"/>
      <c r="AA39" s="1012"/>
      <c r="AB39" s="1012"/>
      <c r="AC39" s="1012"/>
      <c r="AD39" s="1012"/>
      <c r="AE39" s="1012"/>
      <c r="AF39" s="1012"/>
      <c r="AG39" s="1012"/>
      <c r="AH39" s="1012"/>
      <c r="AI39" s="1012"/>
      <c r="AJ39" s="1012"/>
      <c r="AK39" s="1012"/>
    </row>
    <row r="40" hidden="1">
      <c r="A40" s="982" t="s">
        <v>4183</v>
      </c>
      <c r="B40" s="983">
        <v>2.0</v>
      </c>
      <c r="C40" s="1061">
        <f>IFERROR(VLOOKUP(A40,stockKJD,8,FALSE)," ")</f>
        <v>6</v>
      </c>
      <c r="D40" s="1062">
        <f t="shared" si="1"/>
        <v>2</v>
      </c>
      <c r="E40" s="1061">
        <f>IFERROR(VLOOKUP(A40,stockKJD,9,FALSE)," ")</f>
        <v>3</v>
      </c>
      <c r="F40" s="987" t="s">
        <v>11466</v>
      </c>
      <c r="G40" s="1063">
        <f t="shared" si="2"/>
        <v>0</v>
      </c>
      <c r="H40" s="1064">
        <v>0.0</v>
      </c>
      <c r="I40" s="1064">
        <f t="shared" si="3"/>
        <v>0</v>
      </c>
      <c r="J40" s="1063"/>
      <c r="K40" s="1063"/>
      <c r="L40" s="1065"/>
      <c r="M40" s="1065">
        <v>363000.0</v>
      </c>
      <c r="N40" s="1063">
        <f>IFERROR(VLOOKUP(A40,hpp,3,FALSE)," ")</f>
        <v>330000</v>
      </c>
      <c r="O40" s="1063">
        <f t="shared" si="4"/>
        <v>726000</v>
      </c>
      <c r="P40" s="1063">
        <f t="shared" si="5"/>
        <v>660000</v>
      </c>
      <c r="Q40" s="1066">
        <f t="shared" si="6"/>
        <v>726000</v>
      </c>
      <c r="R40" s="1067">
        <f t="shared" si="7"/>
        <v>0</v>
      </c>
      <c r="S40" s="1067">
        <f t="shared" si="8"/>
        <v>0</v>
      </c>
      <c r="T40" s="1068">
        <f t="shared" si="9"/>
        <v>0</v>
      </c>
      <c r="U40" s="1069" t="str">
        <f>IFERROR(VLOOKUP(A40,StockAll,10,FALSE)," ")</f>
        <v>B13T3</v>
      </c>
      <c r="V40" s="1070"/>
      <c r="W40" s="1071">
        <f t="shared" si="10"/>
        <v>2</v>
      </c>
      <c r="X40" s="1072">
        <f t="shared" si="11"/>
        <v>726000</v>
      </c>
      <c r="Y40" s="1073">
        <f t="shared" si="12"/>
        <v>0</v>
      </c>
      <c r="Z40" s="1012"/>
      <c r="AA40" s="1012"/>
      <c r="AB40" s="1012"/>
      <c r="AC40" s="1012"/>
      <c r="AD40" s="1012"/>
      <c r="AE40" s="1012"/>
      <c r="AF40" s="1012"/>
      <c r="AG40" s="1012"/>
      <c r="AH40" s="1012"/>
      <c r="AI40" s="1012"/>
      <c r="AJ40" s="1012"/>
      <c r="AK40" s="1012"/>
    </row>
    <row r="41" hidden="1">
      <c r="A41" s="982" t="s">
        <v>3638</v>
      </c>
      <c r="B41" s="983">
        <v>2.0</v>
      </c>
      <c r="C41" s="1061">
        <f>IFERROR(VLOOKUP(A41,stockKJD,8,FALSE)," ")</f>
        <v>8</v>
      </c>
      <c r="D41" s="1062">
        <f t="shared" si="1"/>
        <v>2</v>
      </c>
      <c r="E41" s="1061">
        <f>IFERROR(VLOOKUP(A41,stockKJD,9,FALSE)," ")</f>
        <v>1</v>
      </c>
      <c r="F41" s="987" t="s">
        <v>11466</v>
      </c>
      <c r="G41" s="1063">
        <f t="shared" si="2"/>
        <v>0</v>
      </c>
      <c r="H41" s="1064">
        <v>0.0</v>
      </c>
      <c r="I41" s="1064">
        <f t="shared" si="3"/>
        <v>0</v>
      </c>
      <c r="J41" s="1063"/>
      <c r="K41" s="1063"/>
      <c r="L41" s="1065"/>
      <c r="M41" s="1065">
        <v>321255.0</v>
      </c>
      <c r="N41" s="1063">
        <f>IFERROR(VLOOKUP(A41,hpp,3,FALSE)," ")</f>
        <v>299382</v>
      </c>
      <c r="O41" s="1063">
        <f t="shared" si="4"/>
        <v>642510</v>
      </c>
      <c r="P41" s="1063">
        <f t="shared" si="5"/>
        <v>598764</v>
      </c>
      <c r="Q41" s="1066">
        <f t="shared" si="6"/>
        <v>642510</v>
      </c>
      <c r="R41" s="1067">
        <f t="shared" si="7"/>
        <v>0</v>
      </c>
      <c r="S41" s="1067">
        <f t="shared" si="8"/>
        <v>0</v>
      </c>
      <c r="T41" s="1068">
        <f t="shared" si="9"/>
        <v>0</v>
      </c>
      <c r="U41" s="1069" t="str">
        <f>IFERROR(VLOOKUP(A41,StockAll,10,FALSE)," ")</f>
        <v>B10T3/B9T3</v>
      </c>
      <c r="V41" s="1070"/>
      <c r="W41" s="1071">
        <f t="shared" si="10"/>
        <v>2</v>
      </c>
      <c r="X41" s="1072">
        <f t="shared" si="11"/>
        <v>642510</v>
      </c>
      <c r="Y41" s="1073">
        <f t="shared" si="12"/>
        <v>0</v>
      </c>
      <c r="Z41" s="1012"/>
      <c r="AA41" s="1012"/>
      <c r="AB41" s="1012"/>
      <c r="AC41" s="1012"/>
      <c r="AD41" s="1012"/>
      <c r="AE41" s="1012"/>
      <c r="AF41" s="1012"/>
      <c r="AG41" s="1012"/>
      <c r="AH41" s="1012"/>
      <c r="AI41" s="1012"/>
      <c r="AJ41" s="1012"/>
      <c r="AK41" s="1012"/>
    </row>
    <row r="42">
      <c r="A42" s="982" t="s">
        <v>3877</v>
      </c>
      <c r="B42" s="983">
        <v>2.0</v>
      </c>
      <c r="C42" s="1061">
        <f>IFERROR(VLOOKUP(A42,stockKJD,8,FALSE)," ")</f>
        <v>5</v>
      </c>
      <c r="D42" s="1062">
        <f t="shared" si="1"/>
        <v>2</v>
      </c>
      <c r="E42" s="1061">
        <f>IFERROR(VLOOKUP(A42,stockKJD,9,FALSE)," ")</f>
        <v>2</v>
      </c>
      <c r="F42" s="987" t="s">
        <v>11466</v>
      </c>
      <c r="G42" s="1063">
        <f t="shared" si="2"/>
        <v>0</v>
      </c>
      <c r="H42" s="1064">
        <v>0.0</v>
      </c>
      <c r="I42" s="1064">
        <f t="shared" si="3"/>
        <v>1</v>
      </c>
      <c r="J42" s="1063">
        <v>1.0</v>
      </c>
      <c r="K42" s="1063"/>
      <c r="L42" s="1076" t="s">
        <v>13647</v>
      </c>
      <c r="M42" s="1065">
        <v>566500.0</v>
      </c>
      <c r="N42" s="1063">
        <f>IFERROR(VLOOKUP(A42,hpp,3,FALSE)," ")</f>
        <v>574153</v>
      </c>
      <c r="O42" s="1063">
        <f t="shared" si="4"/>
        <v>1133000</v>
      </c>
      <c r="P42" s="1063">
        <f t="shared" si="5"/>
        <v>1148306</v>
      </c>
      <c r="Q42" s="1066">
        <f t="shared" si="6"/>
        <v>1133000</v>
      </c>
      <c r="R42" s="1067">
        <f t="shared" si="7"/>
        <v>566500</v>
      </c>
      <c r="S42" s="1067">
        <f t="shared" si="8"/>
        <v>566500</v>
      </c>
      <c r="T42" s="1068">
        <f t="shared" si="9"/>
        <v>0</v>
      </c>
      <c r="U42" s="1069" t="str">
        <f>IFERROR(VLOOKUP(A42,StockAll,10,FALSE)," ")</f>
        <v>B9T3</v>
      </c>
      <c r="V42" s="1070"/>
      <c r="W42" s="1071">
        <f t="shared" si="10"/>
        <v>1</v>
      </c>
      <c r="X42" s="1072">
        <f t="shared" si="11"/>
        <v>566500</v>
      </c>
      <c r="Y42" s="1073">
        <f t="shared" si="12"/>
        <v>1</v>
      </c>
      <c r="Z42" s="56">
        <v>1.0</v>
      </c>
      <c r="AA42" s="1012"/>
      <c r="AB42" s="1012"/>
      <c r="AC42" s="1012"/>
      <c r="AD42" s="1012"/>
      <c r="AE42" s="1012"/>
      <c r="AF42" s="1012"/>
      <c r="AG42" s="1012"/>
      <c r="AH42" s="1012"/>
      <c r="AI42" s="1012"/>
      <c r="AJ42" s="1012"/>
      <c r="AK42" s="1012"/>
    </row>
    <row r="43">
      <c r="A43" s="982" t="s">
        <v>6739</v>
      </c>
      <c r="B43" s="983">
        <v>2.0</v>
      </c>
      <c r="C43" s="1061">
        <f>IFERROR(VLOOKUP(A43,stockKJD,8,FALSE)," ")</f>
        <v>2</v>
      </c>
      <c r="D43" s="1062">
        <f t="shared" si="1"/>
        <v>2</v>
      </c>
      <c r="E43" s="1061">
        <f>IFERROR(VLOOKUP(A43,stockKJD,9,FALSE)," ")</f>
        <v>0</v>
      </c>
      <c r="F43" s="987" t="s">
        <v>11466</v>
      </c>
      <c r="G43" s="1063">
        <f t="shared" si="2"/>
        <v>0</v>
      </c>
      <c r="H43" s="1064">
        <v>0.0</v>
      </c>
      <c r="I43" s="1064">
        <f t="shared" si="3"/>
        <v>2</v>
      </c>
      <c r="J43" s="1063">
        <v>0.0</v>
      </c>
      <c r="K43" s="1063">
        <v>2.0</v>
      </c>
      <c r="L43" s="1076" t="s">
        <v>12534</v>
      </c>
      <c r="M43" s="1065">
        <v>566500.0</v>
      </c>
      <c r="N43" s="1063">
        <f>IFERROR(VLOOKUP(A43,hpp,3,FALSE)," ")</f>
        <v>574153</v>
      </c>
      <c r="O43" s="1063">
        <f t="shared" si="4"/>
        <v>1133000</v>
      </c>
      <c r="P43" s="1063">
        <f t="shared" si="5"/>
        <v>1148306</v>
      </c>
      <c r="Q43" s="1066">
        <f t="shared" si="6"/>
        <v>1133000</v>
      </c>
      <c r="R43" s="1067">
        <f t="shared" si="7"/>
        <v>1133000</v>
      </c>
      <c r="S43" s="1067">
        <f t="shared" si="8"/>
        <v>1133000</v>
      </c>
      <c r="T43" s="1068">
        <f t="shared" si="9"/>
        <v>0</v>
      </c>
      <c r="U43" s="1069" t="str">
        <f>IFERROR(VLOOKUP(A43,StockAll,10,FALSE)," ")</f>
        <v/>
      </c>
      <c r="V43" s="1070"/>
      <c r="W43" s="1071">
        <f t="shared" si="10"/>
        <v>0</v>
      </c>
      <c r="X43" s="1072">
        <f t="shared" si="11"/>
        <v>0</v>
      </c>
      <c r="Y43" s="1073">
        <f t="shared" si="12"/>
        <v>2</v>
      </c>
      <c r="Z43" s="56">
        <v>2.0</v>
      </c>
      <c r="AA43" s="1012"/>
      <c r="AB43" s="1012"/>
      <c r="AC43" s="1012"/>
      <c r="AD43" s="1012"/>
      <c r="AE43" s="1012"/>
      <c r="AF43" s="1012"/>
      <c r="AG43" s="1012"/>
      <c r="AH43" s="1012"/>
      <c r="AI43" s="1012"/>
      <c r="AJ43" s="1012"/>
      <c r="AK43" s="1012"/>
    </row>
    <row r="44" hidden="1">
      <c r="A44" s="982" t="s">
        <v>2744</v>
      </c>
      <c r="B44" s="983">
        <v>2.0</v>
      </c>
      <c r="C44" s="1061">
        <f>IFERROR(VLOOKUP(A44,stockKJD,8,FALSE)," ")</f>
        <v>9</v>
      </c>
      <c r="D44" s="1062">
        <f t="shared" si="1"/>
        <v>2</v>
      </c>
      <c r="E44" s="1061">
        <f>IFERROR(VLOOKUP(A44,stockKJD,9,FALSE)," ")</f>
        <v>2</v>
      </c>
      <c r="F44" s="987" t="s">
        <v>11466</v>
      </c>
      <c r="G44" s="1063">
        <f t="shared" si="2"/>
        <v>0</v>
      </c>
      <c r="H44" s="1064">
        <v>0.0</v>
      </c>
      <c r="I44" s="1064">
        <f t="shared" si="3"/>
        <v>0</v>
      </c>
      <c r="J44" s="1063"/>
      <c r="K44" s="1063"/>
      <c r="L44" s="1065"/>
      <c r="M44" s="1065">
        <v>863500.0</v>
      </c>
      <c r="N44" s="1063">
        <f>IFERROR(VLOOKUP(A44,hpp,3,FALSE)," ")</f>
        <v>813718</v>
      </c>
      <c r="O44" s="1063">
        <f t="shared" si="4"/>
        <v>1727000</v>
      </c>
      <c r="P44" s="1063">
        <f t="shared" si="5"/>
        <v>1627436</v>
      </c>
      <c r="Q44" s="1066">
        <f t="shared" si="6"/>
        <v>1727000</v>
      </c>
      <c r="R44" s="1067">
        <f t="shared" si="7"/>
        <v>0</v>
      </c>
      <c r="S44" s="1067">
        <f t="shared" si="8"/>
        <v>0</v>
      </c>
      <c r="T44" s="1068">
        <f t="shared" si="9"/>
        <v>0</v>
      </c>
      <c r="U44" s="1069" t="str">
        <f>IFERROR(VLOOKUP(A44,StockAll,10,FALSE)," ")</f>
        <v>B2T3</v>
      </c>
      <c r="V44" s="1070"/>
      <c r="W44" s="1071">
        <f t="shared" si="10"/>
        <v>2</v>
      </c>
      <c r="X44" s="1072">
        <f t="shared" si="11"/>
        <v>1727000</v>
      </c>
      <c r="Y44" s="1073">
        <f t="shared" si="12"/>
        <v>0</v>
      </c>
      <c r="Z44" s="1012"/>
      <c r="AA44" s="1012"/>
      <c r="AB44" s="1012"/>
      <c r="AC44" s="1012"/>
      <c r="AD44" s="1012"/>
      <c r="AE44" s="1012"/>
      <c r="AF44" s="1012"/>
      <c r="AG44" s="1012"/>
      <c r="AH44" s="1012"/>
      <c r="AI44" s="1012"/>
      <c r="AJ44" s="1012"/>
      <c r="AK44" s="1012"/>
    </row>
    <row r="45">
      <c r="A45" s="982" t="s">
        <v>3031</v>
      </c>
      <c r="B45" s="983">
        <v>2.0</v>
      </c>
      <c r="C45" s="1061">
        <f>IFERROR(VLOOKUP(A45,stockKJD,8,FALSE)," ")</f>
        <v>2</v>
      </c>
      <c r="D45" s="1062">
        <f t="shared" si="1"/>
        <v>2</v>
      </c>
      <c r="E45" s="1061">
        <f>IFERROR(VLOOKUP(A45,stockKJD,9,FALSE)," ")</f>
        <v>1</v>
      </c>
      <c r="F45" s="987" t="s">
        <v>11466</v>
      </c>
      <c r="G45" s="1063">
        <f t="shared" si="2"/>
        <v>0</v>
      </c>
      <c r="H45" s="1064">
        <v>0.0</v>
      </c>
      <c r="I45" s="1064">
        <f t="shared" si="3"/>
        <v>1</v>
      </c>
      <c r="J45" s="1063">
        <v>1.0</v>
      </c>
      <c r="K45" s="1063"/>
      <c r="L45" s="1076" t="s">
        <v>13647</v>
      </c>
      <c r="M45" s="1065">
        <v>769560.0</v>
      </c>
      <c r="N45" s="1063">
        <f>IFERROR(VLOOKUP(A45,hpp,3,FALSE)," ")</f>
        <v>777213</v>
      </c>
      <c r="O45" s="1063">
        <f t="shared" si="4"/>
        <v>1539120</v>
      </c>
      <c r="P45" s="1063">
        <f t="shared" si="5"/>
        <v>1554426</v>
      </c>
      <c r="Q45" s="1066">
        <f t="shared" si="6"/>
        <v>1539120</v>
      </c>
      <c r="R45" s="1067">
        <f t="shared" si="7"/>
        <v>769560</v>
      </c>
      <c r="S45" s="1067">
        <f t="shared" si="8"/>
        <v>769560</v>
      </c>
      <c r="T45" s="1068">
        <f t="shared" si="9"/>
        <v>0</v>
      </c>
      <c r="U45" s="1069" t="str">
        <f>IFERROR(VLOOKUP(A45,StockAll,10,FALSE)," ")</f>
        <v>A4T2</v>
      </c>
      <c r="V45" s="1070"/>
      <c r="W45" s="1071">
        <f t="shared" si="10"/>
        <v>1</v>
      </c>
      <c r="X45" s="1072">
        <f t="shared" si="11"/>
        <v>769560</v>
      </c>
      <c r="Y45" s="1073">
        <f t="shared" si="12"/>
        <v>1</v>
      </c>
      <c r="Z45" s="56">
        <v>1.0</v>
      </c>
      <c r="AA45" s="1012"/>
      <c r="AB45" s="1012"/>
      <c r="AC45" s="1012"/>
      <c r="AD45" s="1012"/>
      <c r="AE45" s="1012"/>
      <c r="AF45" s="1012"/>
      <c r="AG45" s="1012"/>
      <c r="AH45" s="1012"/>
      <c r="AI45" s="1012"/>
      <c r="AJ45" s="1012"/>
      <c r="AK45" s="1012"/>
    </row>
    <row r="46">
      <c r="A46" s="982" t="s">
        <v>6740</v>
      </c>
      <c r="B46" s="983">
        <v>2.0</v>
      </c>
      <c r="C46" s="1061">
        <f>IFERROR(VLOOKUP(A46,stockKJD,8,FALSE)," ")</f>
        <v>2</v>
      </c>
      <c r="D46" s="1062">
        <f t="shared" si="1"/>
        <v>2</v>
      </c>
      <c r="E46" s="1061">
        <f>IFERROR(VLOOKUP(A46,stockKJD,9,FALSE)," ")</f>
        <v>1</v>
      </c>
      <c r="F46" s="987" t="s">
        <v>11466</v>
      </c>
      <c r="G46" s="1063">
        <f t="shared" si="2"/>
        <v>0</v>
      </c>
      <c r="H46" s="1064">
        <v>0.0</v>
      </c>
      <c r="I46" s="1064">
        <f t="shared" si="3"/>
        <v>2</v>
      </c>
      <c r="J46" s="1063">
        <v>2.0</v>
      </c>
      <c r="K46" s="1063"/>
      <c r="L46" s="1076" t="s">
        <v>13647</v>
      </c>
      <c r="M46" s="1065">
        <v>654500.0</v>
      </c>
      <c r="N46" s="1063">
        <f>IFERROR(VLOOKUP(A46,hpp,3,FALSE)," ")</f>
        <v>662153</v>
      </c>
      <c r="O46" s="1063">
        <f t="shared" si="4"/>
        <v>1309000</v>
      </c>
      <c r="P46" s="1063">
        <f t="shared" si="5"/>
        <v>1324306</v>
      </c>
      <c r="Q46" s="1066">
        <f t="shared" si="6"/>
        <v>1309000</v>
      </c>
      <c r="R46" s="1067">
        <f t="shared" si="7"/>
        <v>1309000</v>
      </c>
      <c r="S46" s="1067">
        <f t="shared" si="8"/>
        <v>1309000</v>
      </c>
      <c r="T46" s="1068">
        <f t="shared" si="9"/>
        <v>0</v>
      </c>
      <c r="U46" s="1069" t="str">
        <f>IFERROR(VLOOKUP(A46,StockAll,10,FALSE)," ")</f>
        <v>B6T3</v>
      </c>
      <c r="V46" s="1070"/>
      <c r="W46" s="1071">
        <f t="shared" si="10"/>
        <v>0</v>
      </c>
      <c r="X46" s="1072">
        <f t="shared" si="11"/>
        <v>0</v>
      </c>
      <c r="Y46" s="1073">
        <f t="shared" si="12"/>
        <v>2</v>
      </c>
      <c r="Z46" s="56">
        <v>2.0</v>
      </c>
      <c r="AA46" s="1012"/>
      <c r="AB46" s="1012"/>
      <c r="AC46" s="1012"/>
      <c r="AD46" s="1012"/>
      <c r="AE46" s="1012"/>
      <c r="AF46" s="1012"/>
      <c r="AG46" s="1012"/>
      <c r="AH46" s="1012"/>
      <c r="AI46" s="1012"/>
      <c r="AJ46" s="1012"/>
      <c r="AK46" s="1012"/>
    </row>
    <row r="47">
      <c r="A47" s="982" t="s">
        <v>6319</v>
      </c>
      <c r="B47" s="983">
        <v>2.0</v>
      </c>
      <c r="C47" s="1061">
        <f>IFERROR(VLOOKUP(A47,stockKJD,8,FALSE)," ")</f>
        <v>2</v>
      </c>
      <c r="D47" s="1062">
        <f t="shared" si="1"/>
        <v>2</v>
      </c>
      <c r="E47" s="1061">
        <f>IFERROR(VLOOKUP(A47,stockKJD,9,FALSE)," ")</f>
        <v>1</v>
      </c>
      <c r="F47" s="987" t="s">
        <v>11466</v>
      </c>
      <c r="G47" s="1063">
        <f t="shared" si="2"/>
        <v>0</v>
      </c>
      <c r="H47" s="1064">
        <v>0.0</v>
      </c>
      <c r="I47" s="1064">
        <f t="shared" si="3"/>
        <v>1</v>
      </c>
      <c r="J47" s="1063">
        <v>1.0</v>
      </c>
      <c r="K47" s="1063"/>
      <c r="L47" s="1076" t="s">
        <v>13647</v>
      </c>
      <c r="M47" s="1065">
        <v>676995.0</v>
      </c>
      <c r="N47" s="1063">
        <f>IFERROR(VLOOKUP(A47,hpp,3,FALSE)," ")</f>
        <v>684648</v>
      </c>
      <c r="O47" s="1063">
        <f t="shared" si="4"/>
        <v>1353990</v>
      </c>
      <c r="P47" s="1063">
        <f t="shared" si="5"/>
        <v>1369296</v>
      </c>
      <c r="Q47" s="1066">
        <f t="shared" si="6"/>
        <v>1353990</v>
      </c>
      <c r="R47" s="1067">
        <f t="shared" si="7"/>
        <v>676995</v>
      </c>
      <c r="S47" s="1067">
        <f t="shared" si="8"/>
        <v>676995</v>
      </c>
      <c r="T47" s="1068">
        <f t="shared" si="9"/>
        <v>0</v>
      </c>
      <c r="U47" s="1069" t="str">
        <f>IFERROR(VLOOKUP(A47,StockAll,10,FALSE)," ")</f>
        <v>B13T3</v>
      </c>
      <c r="V47" s="1070"/>
      <c r="W47" s="1071">
        <f t="shared" si="10"/>
        <v>1</v>
      </c>
      <c r="X47" s="1072">
        <f t="shared" si="11"/>
        <v>676995</v>
      </c>
      <c r="Y47" s="1073">
        <f t="shared" si="12"/>
        <v>1</v>
      </c>
      <c r="Z47" s="56">
        <v>1.0</v>
      </c>
      <c r="AA47" s="1012"/>
      <c r="AB47" s="1012"/>
      <c r="AC47" s="1012"/>
      <c r="AD47" s="1012"/>
      <c r="AE47" s="1012"/>
      <c r="AF47" s="1012"/>
      <c r="AG47" s="1012"/>
      <c r="AH47" s="1012"/>
      <c r="AI47" s="1012"/>
      <c r="AJ47" s="1012"/>
      <c r="AK47" s="1012"/>
    </row>
    <row r="48" hidden="1">
      <c r="A48" s="982" t="s">
        <v>5493</v>
      </c>
      <c r="B48" s="983">
        <v>5.0</v>
      </c>
      <c r="C48" s="1061">
        <f>IFERROR(VLOOKUP(A48,stockKJD,8,FALSE)," ")</f>
        <v>5</v>
      </c>
      <c r="D48" s="1062">
        <f t="shared" si="1"/>
        <v>5</v>
      </c>
      <c r="E48" s="1061">
        <f>IFERROR(VLOOKUP(A48,stockKJD,9,FALSE)," ")</f>
        <v>0</v>
      </c>
      <c r="F48" s="987" t="s">
        <v>13610</v>
      </c>
      <c r="G48" s="1063">
        <f t="shared" si="2"/>
        <v>-3</v>
      </c>
      <c r="H48" s="1075">
        <v>3.0</v>
      </c>
      <c r="I48" s="1064">
        <f t="shared" si="3"/>
        <v>0</v>
      </c>
      <c r="J48" s="1063"/>
      <c r="K48" s="1063"/>
      <c r="L48" s="1065"/>
      <c r="M48" s="1065">
        <v>125763.0</v>
      </c>
      <c r="N48" s="1063">
        <f>IFERROR(VLOOKUP(A48,hpp,3,FALSE)," ")</f>
        <v>133416</v>
      </c>
      <c r="O48" s="1063">
        <f t="shared" si="4"/>
        <v>628815</v>
      </c>
      <c r="P48" s="1063">
        <f t="shared" si="5"/>
        <v>667080</v>
      </c>
      <c r="Q48" s="1066">
        <f t="shared" si="6"/>
        <v>628815</v>
      </c>
      <c r="R48" s="1067">
        <f t="shared" si="7"/>
        <v>0</v>
      </c>
      <c r="S48" s="1067">
        <f t="shared" si="8"/>
        <v>0</v>
      </c>
      <c r="T48" s="1068">
        <f t="shared" si="9"/>
        <v>377289</v>
      </c>
      <c r="U48" s="1069" t="str">
        <f>IFERROR(VLOOKUP(A48,StockAll,10,FALSE)," ")</f>
        <v>A9T4</v>
      </c>
      <c r="V48" s="1070"/>
      <c r="W48" s="1071">
        <f t="shared" si="10"/>
        <v>5</v>
      </c>
      <c r="X48" s="1072">
        <f t="shared" si="11"/>
        <v>628815</v>
      </c>
      <c r="Y48" s="1073">
        <f t="shared" si="12"/>
        <v>0</v>
      </c>
      <c r="Z48" s="1012"/>
      <c r="AA48" s="1012"/>
      <c r="AB48" s="1012"/>
      <c r="AC48" s="1012"/>
      <c r="AD48" s="1012"/>
      <c r="AE48" s="1012"/>
      <c r="AF48" s="1012"/>
      <c r="AG48" s="1012"/>
      <c r="AH48" s="1012"/>
      <c r="AI48" s="1012"/>
      <c r="AJ48" s="1012"/>
      <c r="AK48" s="1012"/>
    </row>
    <row r="49" hidden="1">
      <c r="A49" s="982" t="s">
        <v>3050</v>
      </c>
      <c r="B49" s="983">
        <v>2.0</v>
      </c>
      <c r="C49" s="1061">
        <f>IFERROR(VLOOKUP(A49,stockKJD,8,FALSE)," ")</f>
        <v>5</v>
      </c>
      <c r="D49" s="1062">
        <f t="shared" si="1"/>
        <v>2</v>
      </c>
      <c r="E49" s="1061">
        <f>IFERROR(VLOOKUP(A49,stockKJD,9,FALSE)," ")</f>
        <v>1</v>
      </c>
      <c r="F49" s="987" t="s">
        <v>11466</v>
      </c>
      <c r="G49" s="1063">
        <f t="shared" si="2"/>
        <v>0</v>
      </c>
      <c r="H49" s="1064">
        <v>0.0</v>
      </c>
      <c r="I49" s="1064">
        <f t="shared" si="3"/>
        <v>0</v>
      </c>
      <c r="J49" s="1063"/>
      <c r="K49" s="1063"/>
      <c r="L49" s="1065"/>
      <c r="M49" s="1065">
        <v>315700.0</v>
      </c>
      <c r="N49" s="1063">
        <f>IFERROR(VLOOKUP(A49,hpp,3,FALSE)," ")</f>
        <v>299118</v>
      </c>
      <c r="O49" s="1063">
        <f t="shared" si="4"/>
        <v>631400</v>
      </c>
      <c r="P49" s="1063">
        <f t="shared" si="5"/>
        <v>598236</v>
      </c>
      <c r="Q49" s="1066">
        <f t="shared" si="6"/>
        <v>631400</v>
      </c>
      <c r="R49" s="1067">
        <f t="shared" si="7"/>
        <v>0</v>
      </c>
      <c r="S49" s="1067">
        <f t="shared" si="8"/>
        <v>0</v>
      </c>
      <c r="T49" s="1068">
        <f t="shared" si="9"/>
        <v>0</v>
      </c>
      <c r="U49" s="1069" t="str">
        <f>IFERROR(VLOOKUP(A49,StockAll,10,FALSE)," ")</f>
        <v>B1T4</v>
      </c>
      <c r="V49" s="1070"/>
      <c r="W49" s="1071">
        <f t="shared" si="10"/>
        <v>2</v>
      </c>
      <c r="X49" s="1072">
        <f t="shared" si="11"/>
        <v>631400</v>
      </c>
      <c r="Y49" s="1073">
        <f t="shared" si="12"/>
        <v>0</v>
      </c>
      <c r="Z49" s="1012"/>
      <c r="AA49" s="1012"/>
      <c r="AB49" s="1012"/>
      <c r="AC49" s="1012"/>
      <c r="AD49" s="1012"/>
      <c r="AE49" s="1012"/>
      <c r="AF49" s="1012"/>
      <c r="AG49" s="1012"/>
      <c r="AH49" s="1012"/>
      <c r="AI49" s="1012"/>
      <c r="AJ49" s="1012"/>
      <c r="AK49" s="1012"/>
    </row>
    <row r="50" hidden="1">
      <c r="A50" s="982" t="s">
        <v>5308</v>
      </c>
      <c r="B50" s="983">
        <v>2.0</v>
      </c>
      <c r="C50" s="1061">
        <f>IFERROR(VLOOKUP(A50,stockKJD,8,FALSE)," ")</f>
        <v>3</v>
      </c>
      <c r="D50" s="1062">
        <f t="shared" si="1"/>
        <v>2</v>
      </c>
      <c r="E50" s="1061">
        <f>IFERROR(VLOOKUP(A50,stockKJD,9,FALSE)," ")</f>
        <v>1</v>
      </c>
      <c r="F50" s="987" t="s">
        <v>11466</v>
      </c>
      <c r="G50" s="1063">
        <f t="shared" si="2"/>
        <v>0</v>
      </c>
      <c r="H50" s="1064">
        <v>0.0</v>
      </c>
      <c r="I50" s="1064">
        <f t="shared" si="3"/>
        <v>0</v>
      </c>
      <c r="J50" s="1063"/>
      <c r="K50" s="1063"/>
      <c r="L50" s="1065"/>
      <c r="M50" s="1065">
        <v>572000.0</v>
      </c>
      <c r="N50" s="1063">
        <f>IFERROR(VLOOKUP(A50,hpp,3,FALSE)," ")</f>
        <v>539884</v>
      </c>
      <c r="O50" s="1063">
        <f t="shared" si="4"/>
        <v>1144000</v>
      </c>
      <c r="P50" s="1063">
        <f t="shared" si="5"/>
        <v>1079768</v>
      </c>
      <c r="Q50" s="1066">
        <f t="shared" si="6"/>
        <v>1144000</v>
      </c>
      <c r="R50" s="1067">
        <f t="shared" si="7"/>
        <v>0</v>
      </c>
      <c r="S50" s="1067">
        <f t="shared" si="8"/>
        <v>0</v>
      </c>
      <c r="T50" s="1068">
        <f t="shared" si="9"/>
        <v>0</v>
      </c>
      <c r="U50" s="1069" t="str">
        <f>IFERROR(VLOOKUP(A50,StockAll,10,FALSE)," ")</f>
        <v>B1T4</v>
      </c>
      <c r="V50" s="1070"/>
      <c r="W50" s="1071">
        <f t="shared" si="10"/>
        <v>2</v>
      </c>
      <c r="X50" s="1072">
        <f t="shared" si="11"/>
        <v>1144000</v>
      </c>
      <c r="Y50" s="1073">
        <f t="shared" si="12"/>
        <v>0</v>
      </c>
      <c r="Z50" s="1012"/>
      <c r="AA50" s="1012"/>
      <c r="AB50" s="1012"/>
      <c r="AC50" s="1012"/>
      <c r="AD50" s="1012"/>
      <c r="AE50" s="1012"/>
      <c r="AF50" s="1012"/>
      <c r="AG50" s="1012"/>
      <c r="AH50" s="1012"/>
      <c r="AI50" s="1012"/>
      <c r="AJ50" s="1012"/>
      <c r="AK50" s="1012"/>
    </row>
    <row r="51" hidden="1">
      <c r="A51" s="982" t="s">
        <v>3168</v>
      </c>
      <c r="B51" s="983">
        <v>2.0</v>
      </c>
      <c r="C51" s="1061">
        <f>IFERROR(VLOOKUP(A51,stockKJD,8,FALSE)," ")</f>
        <v>11</v>
      </c>
      <c r="D51" s="1062">
        <f t="shared" si="1"/>
        <v>2</v>
      </c>
      <c r="E51" s="1061">
        <f>IFERROR(VLOOKUP(A51,stockKJD,9,FALSE)," ")</f>
        <v>1</v>
      </c>
      <c r="F51" s="987" t="s">
        <v>11466</v>
      </c>
      <c r="G51" s="1063">
        <f t="shared" si="2"/>
        <v>0</v>
      </c>
      <c r="H51" s="1064">
        <v>0.0</v>
      </c>
      <c r="I51" s="1064">
        <f t="shared" si="3"/>
        <v>0</v>
      </c>
      <c r="J51" s="1063"/>
      <c r="K51" s="1063"/>
      <c r="L51" s="1065"/>
      <c r="M51" s="1065">
        <v>420000.0</v>
      </c>
      <c r="N51" s="1063">
        <f>IFERROR(VLOOKUP(A51,hpp,3,FALSE)," ")</f>
        <v>226949</v>
      </c>
      <c r="O51" s="1063">
        <f t="shared" si="4"/>
        <v>840000</v>
      </c>
      <c r="P51" s="1063">
        <f t="shared" si="5"/>
        <v>453898</v>
      </c>
      <c r="Q51" s="1066">
        <f t="shared" si="6"/>
        <v>840000</v>
      </c>
      <c r="R51" s="1067">
        <f t="shared" si="7"/>
        <v>0</v>
      </c>
      <c r="S51" s="1067">
        <f t="shared" si="8"/>
        <v>0</v>
      </c>
      <c r="T51" s="1068">
        <f t="shared" si="9"/>
        <v>0</v>
      </c>
      <c r="U51" s="1069" t="str">
        <f>IFERROR(VLOOKUP(A51,StockAll,10,FALSE)," ")</f>
        <v>B4T3</v>
      </c>
      <c r="V51" s="1070"/>
      <c r="W51" s="1071">
        <f t="shared" si="10"/>
        <v>2</v>
      </c>
      <c r="X51" s="1072">
        <f t="shared" si="11"/>
        <v>840000</v>
      </c>
      <c r="Y51" s="1073">
        <f t="shared" si="12"/>
        <v>0</v>
      </c>
      <c r="Z51" s="1012"/>
      <c r="AA51" s="1012"/>
      <c r="AB51" s="1012"/>
      <c r="AC51" s="1012"/>
      <c r="AD51" s="1012"/>
      <c r="AE51" s="1012"/>
      <c r="AF51" s="1012"/>
      <c r="AG51" s="1012"/>
      <c r="AH51" s="1012"/>
      <c r="AI51" s="1012"/>
      <c r="AJ51" s="1012"/>
      <c r="AK51" s="1012"/>
    </row>
    <row r="52">
      <c r="A52" s="982" t="s">
        <v>3426</v>
      </c>
      <c r="B52" s="983">
        <v>2.0</v>
      </c>
      <c r="C52" s="1061">
        <f>IFERROR(VLOOKUP(A52,stockKJD,8,FALSE)," ")</f>
        <v>4</v>
      </c>
      <c r="D52" s="1062">
        <f t="shared" si="1"/>
        <v>2</v>
      </c>
      <c r="E52" s="1061">
        <f>IFERROR(VLOOKUP(A52,stockKJD,9,FALSE)," ")</f>
        <v>2</v>
      </c>
      <c r="F52" s="987" t="s">
        <v>11466</v>
      </c>
      <c r="G52" s="1063">
        <f t="shared" si="2"/>
        <v>0</v>
      </c>
      <c r="H52" s="1064">
        <v>0.0</v>
      </c>
      <c r="I52" s="1064">
        <f t="shared" si="3"/>
        <v>1</v>
      </c>
      <c r="J52" s="1063">
        <v>1.0</v>
      </c>
      <c r="K52" s="1063"/>
      <c r="L52" s="1076" t="s">
        <v>13647</v>
      </c>
      <c r="M52" s="1065">
        <v>361900.0</v>
      </c>
      <c r="N52" s="1063">
        <f>IFERROR(VLOOKUP(A52,hpp,3,FALSE)," ")</f>
        <v>349277</v>
      </c>
      <c r="O52" s="1063">
        <f t="shared" si="4"/>
        <v>723800</v>
      </c>
      <c r="P52" s="1063">
        <f t="shared" si="5"/>
        <v>698554</v>
      </c>
      <c r="Q52" s="1066">
        <f t="shared" si="6"/>
        <v>723800</v>
      </c>
      <c r="R52" s="1067">
        <f t="shared" si="7"/>
        <v>361900</v>
      </c>
      <c r="S52" s="1067">
        <f t="shared" si="8"/>
        <v>361900</v>
      </c>
      <c r="T52" s="1068">
        <f t="shared" si="9"/>
        <v>0</v>
      </c>
      <c r="U52" s="1069" t="str">
        <f>IFERROR(VLOOKUP(A52,StockAll,10,FALSE)," ")</f>
        <v>B2T3 </v>
      </c>
      <c r="V52" s="1070"/>
      <c r="W52" s="1071">
        <f t="shared" si="10"/>
        <v>1</v>
      </c>
      <c r="X52" s="1072">
        <f t="shared" si="11"/>
        <v>361900</v>
      </c>
      <c r="Y52" s="1073">
        <f t="shared" si="12"/>
        <v>1</v>
      </c>
      <c r="Z52" s="56">
        <v>1.0</v>
      </c>
      <c r="AA52" s="1012"/>
      <c r="AB52" s="1012"/>
      <c r="AC52" s="1012"/>
      <c r="AD52" s="1012"/>
      <c r="AE52" s="1012"/>
      <c r="AF52" s="1012"/>
      <c r="AG52" s="1012"/>
      <c r="AH52" s="1012"/>
      <c r="AI52" s="1012"/>
      <c r="AJ52" s="1012"/>
      <c r="AK52" s="1012"/>
    </row>
    <row r="53" hidden="1">
      <c r="A53" s="982" t="s">
        <v>3574</v>
      </c>
      <c r="B53" s="983">
        <v>2.0</v>
      </c>
      <c r="C53" s="1061">
        <f>IFERROR(VLOOKUP(A53,stockKJD,8,FALSE)," ")</f>
        <v>8</v>
      </c>
      <c r="D53" s="1062">
        <f t="shared" si="1"/>
        <v>2</v>
      </c>
      <c r="E53" s="1061">
        <f>IFERROR(VLOOKUP(A53,stockKJD,9,FALSE)," ")</f>
        <v>2</v>
      </c>
      <c r="F53" s="987" t="s">
        <v>11466</v>
      </c>
      <c r="G53" s="1063">
        <f t="shared" si="2"/>
        <v>0</v>
      </c>
      <c r="H53" s="1064">
        <v>0.0</v>
      </c>
      <c r="I53" s="1064">
        <f t="shared" si="3"/>
        <v>0</v>
      </c>
      <c r="J53" s="1063"/>
      <c r="K53" s="1063"/>
      <c r="L53" s="1065"/>
      <c r="M53" s="1065">
        <v>385000.0</v>
      </c>
      <c r="N53" s="1063">
        <f>IFERROR(VLOOKUP(A53,hpp,3,FALSE)," ")</f>
        <v>362187</v>
      </c>
      <c r="O53" s="1063">
        <f t="shared" si="4"/>
        <v>770000</v>
      </c>
      <c r="P53" s="1063">
        <f t="shared" si="5"/>
        <v>724374</v>
      </c>
      <c r="Q53" s="1066">
        <f t="shared" si="6"/>
        <v>770000</v>
      </c>
      <c r="R53" s="1067">
        <f t="shared" si="7"/>
        <v>0</v>
      </c>
      <c r="S53" s="1067">
        <f t="shared" si="8"/>
        <v>0</v>
      </c>
      <c r="T53" s="1068">
        <f t="shared" si="9"/>
        <v>0</v>
      </c>
      <c r="U53" s="1069" t="str">
        <f>IFERROR(VLOOKUP(A53,StockAll,10,FALSE)," ")</f>
        <v>B2T3/B1T3</v>
      </c>
      <c r="V53" s="1070"/>
      <c r="W53" s="1071">
        <f t="shared" si="10"/>
        <v>2</v>
      </c>
      <c r="X53" s="1072">
        <f t="shared" si="11"/>
        <v>770000</v>
      </c>
      <c r="Y53" s="1073">
        <f t="shared" si="12"/>
        <v>0</v>
      </c>
      <c r="Z53" s="1012"/>
      <c r="AA53" s="1012"/>
      <c r="AB53" s="1012"/>
      <c r="AC53" s="1012"/>
      <c r="AD53" s="1012"/>
      <c r="AE53" s="1012"/>
      <c r="AF53" s="1012"/>
      <c r="AG53" s="1012"/>
      <c r="AH53" s="1012"/>
      <c r="AI53" s="1012"/>
      <c r="AJ53" s="1012"/>
      <c r="AK53" s="1012"/>
    </row>
    <row r="54" hidden="1">
      <c r="A54" s="982" t="s">
        <v>3227</v>
      </c>
      <c r="B54" s="983">
        <v>2.0</v>
      </c>
      <c r="C54" s="1061">
        <f>IFERROR(VLOOKUP(A54,stockKJD,8,FALSE)," ")</f>
        <v>5</v>
      </c>
      <c r="D54" s="1062">
        <f t="shared" si="1"/>
        <v>2</v>
      </c>
      <c r="E54" s="1061">
        <f>IFERROR(VLOOKUP(A54,stockKJD,9,FALSE)," ")</f>
        <v>1</v>
      </c>
      <c r="F54" s="987" t="s">
        <v>11466</v>
      </c>
      <c r="G54" s="1063">
        <f t="shared" si="2"/>
        <v>0</v>
      </c>
      <c r="H54" s="1064">
        <v>0.0</v>
      </c>
      <c r="I54" s="1064">
        <f t="shared" si="3"/>
        <v>0</v>
      </c>
      <c r="J54" s="1063"/>
      <c r="K54" s="1063"/>
      <c r="L54" s="1065"/>
      <c r="M54" s="1065">
        <v>409200.0</v>
      </c>
      <c r="N54" s="1063">
        <f>IFERROR(VLOOKUP(A54,hpp,3,FALSE)," ")</f>
        <v>389941</v>
      </c>
      <c r="O54" s="1063">
        <f t="shared" si="4"/>
        <v>818400</v>
      </c>
      <c r="P54" s="1063">
        <f t="shared" si="5"/>
        <v>779882</v>
      </c>
      <c r="Q54" s="1066">
        <f t="shared" si="6"/>
        <v>818400</v>
      </c>
      <c r="R54" s="1067">
        <f t="shared" si="7"/>
        <v>0</v>
      </c>
      <c r="S54" s="1067">
        <f t="shared" si="8"/>
        <v>0</v>
      </c>
      <c r="T54" s="1068">
        <f t="shared" si="9"/>
        <v>0</v>
      </c>
      <c r="U54" s="1069" t="str">
        <f>IFERROR(VLOOKUP(A54,StockAll,10,FALSE)," ")</f>
        <v>B1T4</v>
      </c>
      <c r="V54" s="1070"/>
      <c r="W54" s="1071">
        <f t="shared" si="10"/>
        <v>2</v>
      </c>
      <c r="X54" s="1072">
        <f t="shared" si="11"/>
        <v>818400</v>
      </c>
      <c r="Y54" s="1073">
        <f t="shared" si="12"/>
        <v>0</v>
      </c>
      <c r="Z54" s="1012"/>
      <c r="AA54" s="1012"/>
      <c r="AB54" s="1012"/>
      <c r="AC54" s="1012"/>
      <c r="AD54" s="1012"/>
      <c r="AE54" s="1012"/>
      <c r="AF54" s="1012"/>
      <c r="AG54" s="1012"/>
      <c r="AH54" s="1012"/>
      <c r="AI54" s="1012"/>
      <c r="AJ54" s="1012"/>
      <c r="AK54" s="1012"/>
    </row>
    <row r="55" hidden="1">
      <c r="A55" s="982" t="s">
        <v>3033</v>
      </c>
      <c r="B55" s="983">
        <v>2.0</v>
      </c>
      <c r="C55" s="1061">
        <f>IFERROR(VLOOKUP(A55,stockKJD,8,FALSE)," ")</f>
        <v>11</v>
      </c>
      <c r="D55" s="1062">
        <f t="shared" si="1"/>
        <v>2</v>
      </c>
      <c r="E55" s="1061">
        <f>IFERROR(VLOOKUP(A55,stockKJD,9,FALSE)," ")</f>
        <v>2</v>
      </c>
      <c r="F55" s="987" t="s">
        <v>11466</v>
      </c>
      <c r="G55" s="1063">
        <f t="shared" si="2"/>
        <v>0</v>
      </c>
      <c r="H55" s="1064">
        <v>0.0</v>
      </c>
      <c r="I55" s="1064">
        <f t="shared" si="3"/>
        <v>0</v>
      </c>
      <c r="J55" s="1063"/>
      <c r="K55" s="1063"/>
      <c r="L55" s="1065"/>
      <c r="M55" s="1065">
        <v>572000.0</v>
      </c>
      <c r="N55" s="1063">
        <f>IFERROR(VLOOKUP(A55,hpp,3,FALSE)," ")</f>
        <v>520000</v>
      </c>
      <c r="O55" s="1063">
        <f t="shared" si="4"/>
        <v>1144000</v>
      </c>
      <c r="P55" s="1063">
        <f t="shared" si="5"/>
        <v>1040000</v>
      </c>
      <c r="Q55" s="1066">
        <f t="shared" si="6"/>
        <v>1144000</v>
      </c>
      <c r="R55" s="1067">
        <f t="shared" si="7"/>
        <v>0</v>
      </c>
      <c r="S55" s="1067">
        <f t="shared" si="8"/>
        <v>0</v>
      </c>
      <c r="T55" s="1068">
        <f t="shared" si="9"/>
        <v>0</v>
      </c>
      <c r="U55" s="1069" t="str">
        <f>IFERROR(VLOOKUP(A55,StockAll,10,FALSE)," ")</f>
        <v>A3T3</v>
      </c>
      <c r="V55" s="1070"/>
      <c r="W55" s="1071">
        <f t="shared" si="10"/>
        <v>2</v>
      </c>
      <c r="X55" s="1072">
        <f t="shared" si="11"/>
        <v>1144000</v>
      </c>
      <c r="Y55" s="1073">
        <f t="shared" si="12"/>
        <v>0</v>
      </c>
      <c r="Z55" s="1012"/>
      <c r="AA55" s="1012"/>
      <c r="AB55" s="1012"/>
      <c r="AC55" s="1012"/>
      <c r="AD55" s="1012"/>
      <c r="AE55" s="1012"/>
      <c r="AF55" s="1012"/>
      <c r="AG55" s="1012"/>
      <c r="AH55" s="1012"/>
      <c r="AI55" s="1012"/>
      <c r="AJ55" s="1012"/>
      <c r="AK55" s="1012"/>
    </row>
    <row r="56" hidden="1">
      <c r="A56" s="982" t="s">
        <v>5241</v>
      </c>
      <c r="B56" s="983">
        <v>2.0</v>
      </c>
      <c r="C56" s="1061">
        <f>IFERROR(VLOOKUP(A56,stockKJD,8,FALSE)," ")</f>
        <v>3</v>
      </c>
      <c r="D56" s="1062">
        <f t="shared" si="1"/>
        <v>2</v>
      </c>
      <c r="E56" s="1061">
        <f>IFERROR(VLOOKUP(A56,stockKJD,9,FALSE)," ")</f>
        <v>3</v>
      </c>
      <c r="F56" s="987" t="s">
        <v>11466</v>
      </c>
      <c r="G56" s="1063">
        <f t="shared" si="2"/>
        <v>0</v>
      </c>
      <c r="H56" s="1064">
        <v>0.0</v>
      </c>
      <c r="I56" s="1064">
        <f t="shared" si="3"/>
        <v>0</v>
      </c>
      <c r="J56" s="1063"/>
      <c r="K56" s="1063"/>
      <c r="L56" s="1065"/>
      <c r="M56" s="1065">
        <v>508200.0</v>
      </c>
      <c r="N56" s="1063">
        <f>IFERROR(VLOOKUP(A56,hpp,3,FALSE)," ")</f>
        <v>515853</v>
      </c>
      <c r="O56" s="1063">
        <f t="shared" si="4"/>
        <v>1016400</v>
      </c>
      <c r="P56" s="1063">
        <f t="shared" si="5"/>
        <v>1031706</v>
      </c>
      <c r="Q56" s="1066">
        <f t="shared" si="6"/>
        <v>1016400</v>
      </c>
      <c r="R56" s="1067">
        <f t="shared" si="7"/>
        <v>0</v>
      </c>
      <c r="S56" s="1067">
        <f t="shared" si="8"/>
        <v>0</v>
      </c>
      <c r="T56" s="1068">
        <f t="shared" si="9"/>
        <v>0</v>
      </c>
      <c r="U56" s="1069" t="str">
        <f>IFERROR(VLOOKUP(A56,StockAll,10,FALSE)," ")</f>
        <v>B7T3</v>
      </c>
      <c r="V56" s="1070"/>
      <c r="W56" s="1071">
        <f t="shared" si="10"/>
        <v>2</v>
      </c>
      <c r="X56" s="1072">
        <f t="shared" si="11"/>
        <v>1016400</v>
      </c>
      <c r="Y56" s="1073">
        <f t="shared" si="12"/>
        <v>0</v>
      </c>
      <c r="Z56" s="1012"/>
      <c r="AA56" s="1012"/>
      <c r="AB56" s="1012"/>
      <c r="AC56" s="1012"/>
      <c r="AD56" s="1012"/>
      <c r="AE56" s="1012"/>
      <c r="AF56" s="1012"/>
      <c r="AG56" s="1012"/>
      <c r="AH56" s="1012"/>
      <c r="AI56" s="1012"/>
      <c r="AJ56" s="1012"/>
      <c r="AK56" s="1012"/>
    </row>
    <row r="57" hidden="1">
      <c r="A57" s="982" t="s">
        <v>3104</v>
      </c>
      <c r="B57" s="983">
        <v>2.0</v>
      </c>
      <c r="C57" s="1061">
        <f>IFERROR(VLOOKUP(A57,stockKJD,8,FALSE)," ")</f>
        <v>7</v>
      </c>
      <c r="D57" s="1062">
        <f t="shared" si="1"/>
        <v>2</v>
      </c>
      <c r="E57" s="1061">
        <f>IFERROR(VLOOKUP(A57,stockKJD,9,FALSE)," ")</f>
        <v>2</v>
      </c>
      <c r="F57" s="987" t="s">
        <v>11466</v>
      </c>
      <c r="G57" s="1063">
        <f t="shared" si="2"/>
        <v>0</v>
      </c>
      <c r="H57" s="1064">
        <v>0.0</v>
      </c>
      <c r="I57" s="1064">
        <f t="shared" si="3"/>
        <v>0</v>
      </c>
      <c r="J57" s="1063"/>
      <c r="K57" s="1063"/>
      <c r="L57" s="1065"/>
      <c r="M57" s="1065">
        <v>513700.0</v>
      </c>
      <c r="N57" s="1063">
        <f>IFERROR(VLOOKUP(A57,hpp,3,FALSE)," ")</f>
        <v>482529</v>
      </c>
      <c r="O57" s="1063">
        <f t="shared" si="4"/>
        <v>1027400</v>
      </c>
      <c r="P57" s="1063">
        <f t="shared" si="5"/>
        <v>965058</v>
      </c>
      <c r="Q57" s="1066">
        <f t="shared" si="6"/>
        <v>1027400</v>
      </c>
      <c r="R57" s="1067">
        <f t="shared" si="7"/>
        <v>0</v>
      </c>
      <c r="S57" s="1067">
        <f t="shared" si="8"/>
        <v>0</v>
      </c>
      <c r="T57" s="1068">
        <f t="shared" si="9"/>
        <v>0</v>
      </c>
      <c r="U57" s="1069" t="str">
        <f>IFERROR(VLOOKUP(A57,StockAll,10,FALSE)," ")</f>
        <v>A3T3</v>
      </c>
      <c r="V57" s="1070"/>
      <c r="W57" s="1071">
        <f t="shared" si="10"/>
        <v>2</v>
      </c>
      <c r="X57" s="1072">
        <f t="shared" si="11"/>
        <v>1027400</v>
      </c>
      <c r="Y57" s="1073">
        <f t="shared" si="12"/>
        <v>0</v>
      </c>
      <c r="Z57" s="1012"/>
      <c r="AA57" s="1012"/>
      <c r="AB57" s="1012"/>
      <c r="AC57" s="1012"/>
      <c r="AD57" s="1012"/>
      <c r="AE57" s="1012"/>
      <c r="AF57" s="1012"/>
      <c r="AG57" s="1012"/>
      <c r="AH57" s="1012"/>
      <c r="AI57" s="1012"/>
      <c r="AJ57" s="1012"/>
      <c r="AK57" s="1012"/>
    </row>
    <row r="58">
      <c r="A58" s="982" t="s">
        <v>6741</v>
      </c>
      <c r="B58" s="983">
        <v>2.0</v>
      </c>
      <c r="C58" s="1061">
        <f>IFERROR(VLOOKUP(A58,stockKJD,8,FALSE)," ")</f>
        <v>3</v>
      </c>
      <c r="D58" s="1062">
        <f t="shared" si="1"/>
        <v>2</v>
      </c>
      <c r="E58" s="1061">
        <f>IFERROR(VLOOKUP(A58,stockKJD,9,FALSE)," ")</f>
        <v>1</v>
      </c>
      <c r="F58" s="987" t="s">
        <v>11466</v>
      </c>
      <c r="G58" s="1063">
        <f t="shared" si="2"/>
        <v>0</v>
      </c>
      <c r="H58" s="1064">
        <v>0.0</v>
      </c>
      <c r="I58" s="1064">
        <f t="shared" si="3"/>
        <v>2</v>
      </c>
      <c r="J58" s="1063">
        <v>2.0</v>
      </c>
      <c r="K58" s="1063"/>
      <c r="L58" s="1076" t="s">
        <v>13647</v>
      </c>
      <c r="M58" s="1065">
        <v>554400.0</v>
      </c>
      <c r="N58" s="1063">
        <f>IFERROR(VLOOKUP(A58,hpp,3,FALSE)," ")</f>
        <v>562053</v>
      </c>
      <c r="O58" s="1063">
        <f t="shared" si="4"/>
        <v>1108800</v>
      </c>
      <c r="P58" s="1063">
        <f t="shared" si="5"/>
        <v>1124106</v>
      </c>
      <c r="Q58" s="1066">
        <f t="shared" si="6"/>
        <v>1108800</v>
      </c>
      <c r="R58" s="1067">
        <f t="shared" si="7"/>
        <v>1108800</v>
      </c>
      <c r="S58" s="1067">
        <f t="shared" si="8"/>
        <v>1108800</v>
      </c>
      <c r="T58" s="1068">
        <f t="shared" si="9"/>
        <v>0</v>
      </c>
      <c r="U58" s="1069" t="str">
        <f>IFERROR(VLOOKUP(A58,StockAll,10,FALSE)," ")</f>
        <v>B7T3</v>
      </c>
      <c r="V58" s="1070"/>
      <c r="W58" s="1071">
        <f t="shared" si="10"/>
        <v>0</v>
      </c>
      <c r="X58" s="1072">
        <f t="shared" si="11"/>
        <v>0</v>
      </c>
      <c r="Y58" s="1073">
        <f t="shared" si="12"/>
        <v>2</v>
      </c>
      <c r="Z58" s="56">
        <v>2.0</v>
      </c>
      <c r="AA58" s="1012"/>
      <c r="AB58" s="1012"/>
      <c r="AC58" s="1012"/>
      <c r="AD58" s="1012"/>
      <c r="AE58" s="1012"/>
      <c r="AF58" s="1012"/>
      <c r="AG58" s="1012"/>
      <c r="AH58" s="1012"/>
      <c r="AI58" s="1012"/>
      <c r="AJ58" s="1012"/>
      <c r="AK58" s="1012"/>
    </row>
    <row r="59">
      <c r="A59" s="982" t="s">
        <v>4623</v>
      </c>
      <c r="B59" s="983">
        <v>2.0</v>
      </c>
      <c r="C59" s="1061">
        <f>IFERROR(VLOOKUP(A59,stockKJD,8,FALSE)," ")</f>
        <v>5</v>
      </c>
      <c r="D59" s="1062">
        <f t="shared" si="1"/>
        <v>2</v>
      </c>
      <c r="E59" s="1061">
        <f>IFERROR(VLOOKUP(A59,stockKJD,9,FALSE)," ")</f>
        <v>2</v>
      </c>
      <c r="F59" s="987" t="s">
        <v>11466</v>
      </c>
      <c r="G59" s="1063">
        <f t="shared" si="2"/>
        <v>0</v>
      </c>
      <c r="H59" s="1064">
        <v>0.0</v>
      </c>
      <c r="I59" s="1064">
        <f t="shared" si="3"/>
        <v>1</v>
      </c>
      <c r="J59" s="1063">
        <v>1.0</v>
      </c>
      <c r="K59" s="1063"/>
      <c r="L59" s="1076" t="s">
        <v>13647</v>
      </c>
      <c r="M59" s="1065">
        <v>584100.0</v>
      </c>
      <c r="N59" s="1063">
        <f>IFERROR(VLOOKUP(A59,hpp,3,FALSE)," ")</f>
        <v>591753</v>
      </c>
      <c r="O59" s="1063">
        <f t="shared" si="4"/>
        <v>1168200</v>
      </c>
      <c r="P59" s="1063">
        <f t="shared" si="5"/>
        <v>1183506</v>
      </c>
      <c r="Q59" s="1066">
        <f t="shared" si="6"/>
        <v>1168200</v>
      </c>
      <c r="R59" s="1067">
        <f t="shared" si="7"/>
        <v>584100</v>
      </c>
      <c r="S59" s="1067">
        <f t="shared" si="8"/>
        <v>584100</v>
      </c>
      <c r="T59" s="1068">
        <f t="shared" si="9"/>
        <v>0</v>
      </c>
      <c r="U59" s="1069" t="str">
        <f>IFERROR(VLOOKUP(A59,StockAll,10,FALSE)," ")</f>
        <v>A3T3</v>
      </c>
      <c r="V59" s="1070"/>
      <c r="W59" s="1071">
        <f t="shared" si="10"/>
        <v>1</v>
      </c>
      <c r="X59" s="1072">
        <f t="shared" si="11"/>
        <v>584100</v>
      </c>
      <c r="Y59" s="1073">
        <f t="shared" si="12"/>
        <v>1</v>
      </c>
      <c r="Z59" s="56">
        <v>1.0</v>
      </c>
      <c r="AA59" s="1012"/>
      <c r="AB59" s="1012"/>
      <c r="AC59" s="1012"/>
      <c r="AD59" s="1012"/>
      <c r="AE59" s="1012"/>
      <c r="AF59" s="1012"/>
      <c r="AG59" s="1012"/>
      <c r="AH59" s="1012"/>
      <c r="AI59" s="1012"/>
      <c r="AJ59" s="1012"/>
      <c r="AK59" s="1012"/>
    </row>
    <row r="60" hidden="1">
      <c r="A60" s="982" t="s">
        <v>3186</v>
      </c>
      <c r="B60" s="983">
        <v>10.0</v>
      </c>
      <c r="C60" s="1061">
        <f>IFERROR(VLOOKUP(A60,stockKJD,8,FALSE)," ")</f>
        <v>117</v>
      </c>
      <c r="D60" s="1062">
        <f t="shared" si="1"/>
        <v>10</v>
      </c>
      <c r="E60" s="1061">
        <f>IFERROR(VLOOKUP(A60,stockKJD,9,FALSE)," ")</f>
        <v>2</v>
      </c>
      <c r="F60" s="987" t="s">
        <v>13610</v>
      </c>
      <c r="G60" s="1063">
        <f t="shared" si="2"/>
        <v>0</v>
      </c>
      <c r="H60" s="1064">
        <v>0.0</v>
      </c>
      <c r="I60" s="1064">
        <f t="shared" si="3"/>
        <v>0</v>
      </c>
      <c r="J60" s="1063"/>
      <c r="K60" s="1063"/>
      <c r="L60" s="1065"/>
      <c r="M60" s="1065">
        <v>396825.0</v>
      </c>
      <c r="N60" s="1063">
        <f>IFERROR(VLOOKUP(A60,hpp,3,FALSE)," ")</f>
        <v>397959</v>
      </c>
      <c r="O60" s="1063">
        <f t="shared" si="4"/>
        <v>3968250</v>
      </c>
      <c r="P60" s="1063">
        <f t="shared" si="5"/>
        <v>3979590</v>
      </c>
      <c r="Q60" s="1066">
        <f t="shared" si="6"/>
        <v>3968250</v>
      </c>
      <c r="R60" s="1067">
        <f t="shared" si="7"/>
        <v>0</v>
      </c>
      <c r="S60" s="1067">
        <f t="shared" si="8"/>
        <v>0</v>
      </c>
      <c r="T60" s="1068">
        <f t="shared" si="9"/>
        <v>0</v>
      </c>
      <c r="U60" s="1069" t="str">
        <f>IFERROR(VLOOKUP(A60,StockAll,10,FALSE)," ")</f>
        <v>B8T1</v>
      </c>
      <c r="V60" s="1070"/>
      <c r="W60" s="1071">
        <f t="shared" si="10"/>
        <v>10</v>
      </c>
      <c r="X60" s="1072">
        <f t="shared" si="11"/>
        <v>3968250</v>
      </c>
      <c r="Y60" s="1073">
        <f t="shared" si="12"/>
        <v>0</v>
      </c>
      <c r="Z60" s="1012"/>
      <c r="AA60" s="1012"/>
      <c r="AB60" s="1012"/>
      <c r="AC60" s="1012"/>
      <c r="AD60" s="1012"/>
      <c r="AE60" s="1012"/>
      <c r="AF60" s="1012"/>
      <c r="AG60" s="1012"/>
      <c r="AH60" s="1012"/>
      <c r="AI60" s="1012"/>
      <c r="AJ60" s="1012"/>
      <c r="AK60" s="1012"/>
    </row>
    <row r="61" hidden="1">
      <c r="A61" s="982" t="s">
        <v>3837</v>
      </c>
      <c r="B61" s="983">
        <v>10.0</v>
      </c>
      <c r="C61" s="1061">
        <f>IFERROR(VLOOKUP(A61,stockKJD,8,FALSE)," ")</f>
        <v>21</v>
      </c>
      <c r="D61" s="1062">
        <f t="shared" si="1"/>
        <v>10</v>
      </c>
      <c r="E61" s="1061">
        <f>IFERROR(VLOOKUP(A61,stockKJD,9,FALSE)," ")</f>
        <v>0</v>
      </c>
      <c r="F61" s="987" t="s">
        <v>13610</v>
      </c>
      <c r="G61" s="1063">
        <f t="shared" si="2"/>
        <v>-2</v>
      </c>
      <c r="H61" s="1075">
        <v>2.0</v>
      </c>
      <c r="I61" s="1064">
        <f t="shared" si="3"/>
        <v>0</v>
      </c>
      <c r="J61" s="1063"/>
      <c r="K61" s="1063"/>
      <c r="L61" s="1065"/>
      <c r="M61" s="1065">
        <v>560439.0</v>
      </c>
      <c r="N61" s="1063">
        <f>IFERROR(VLOOKUP(A61,hpp,3,FALSE)," ")</f>
        <v>568092</v>
      </c>
      <c r="O61" s="1063">
        <f t="shared" si="4"/>
        <v>5604390</v>
      </c>
      <c r="P61" s="1063">
        <f t="shared" si="5"/>
        <v>5680920</v>
      </c>
      <c r="Q61" s="1066">
        <f t="shared" si="6"/>
        <v>5604390</v>
      </c>
      <c r="R61" s="1067">
        <f t="shared" si="7"/>
        <v>0</v>
      </c>
      <c r="S61" s="1067">
        <f t="shared" si="8"/>
        <v>0</v>
      </c>
      <c r="T61" s="1068">
        <f t="shared" si="9"/>
        <v>1120878</v>
      </c>
      <c r="U61" s="1069" t="str">
        <f>IFERROR(VLOOKUP(A61,StockAll,10,FALSE)," ")</f>
        <v>B4T1</v>
      </c>
      <c r="V61" s="1070"/>
      <c r="W61" s="1071">
        <f t="shared" si="10"/>
        <v>10</v>
      </c>
      <c r="X61" s="1072">
        <f t="shared" si="11"/>
        <v>5604390</v>
      </c>
      <c r="Y61" s="1073">
        <f t="shared" si="12"/>
        <v>0</v>
      </c>
      <c r="Z61" s="1012"/>
      <c r="AA61" s="1012"/>
      <c r="AB61" s="1012"/>
      <c r="AC61" s="1012"/>
      <c r="AD61" s="1012"/>
      <c r="AE61" s="1012"/>
      <c r="AF61" s="1012"/>
      <c r="AG61" s="1012"/>
      <c r="AH61" s="1012"/>
      <c r="AI61" s="1012"/>
      <c r="AJ61" s="1012"/>
      <c r="AK61" s="1012"/>
    </row>
    <row r="62">
      <c r="A62" s="982" t="s">
        <v>2643</v>
      </c>
      <c r="B62" s="983">
        <v>10.0</v>
      </c>
      <c r="C62" s="1061">
        <f>IFERROR(VLOOKUP(A62,stockKJD,8,FALSE)," ")</f>
        <v>15</v>
      </c>
      <c r="D62" s="1062">
        <f t="shared" si="1"/>
        <v>10</v>
      </c>
      <c r="E62" s="1061">
        <f>IFERROR(VLOOKUP(A62,stockKJD,9,FALSE)," ")</f>
        <v>0</v>
      </c>
      <c r="F62" s="987" t="s">
        <v>13610</v>
      </c>
      <c r="G62" s="1063">
        <f t="shared" si="2"/>
        <v>0</v>
      </c>
      <c r="H62" s="1075">
        <v>0.0</v>
      </c>
      <c r="I62" s="1064">
        <f t="shared" si="3"/>
        <v>3</v>
      </c>
      <c r="J62" s="1063">
        <v>3.0</v>
      </c>
      <c r="K62" s="1063"/>
      <c r="L62" s="1076" t="s">
        <v>13647</v>
      </c>
      <c r="M62" s="1065">
        <v>553113.0</v>
      </c>
      <c r="N62" s="1063">
        <f>IFERROR(VLOOKUP(A62,hpp,3,FALSE)," ")</f>
        <v>560766</v>
      </c>
      <c r="O62" s="1063">
        <f t="shared" si="4"/>
        <v>5531130</v>
      </c>
      <c r="P62" s="1063">
        <f t="shared" si="5"/>
        <v>5607660</v>
      </c>
      <c r="Q62" s="1066">
        <f t="shared" si="6"/>
        <v>5531130</v>
      </c>
      <c r="R62" s="1067">
        <f t="shared" si="7"/>
        <v>1659339</v>
      </c>
      <c r="S62" s="1067">
        <f t="shared" si="8"/>
        <v>1659339</v>
      </c>
      <c r="T62" s="1068">
        <f t="shared" si="9"/>
        <v>0</v>
      </c>
      <c r="U62" s="1069" t="str">
        <f>IFERROR(VLOOKUP(A62,StockAll,10,FALSE)," ")</f>
        <v>B4T2</v>
      </c>
      <c r="V62" s="1070"/>
      <c r="W62" s="1071">
        <f t="shared" si="10"/>
        <v>7</v>
      </c>
      <c r="X62" s="1072">
        <f t="shared" si="11"/>
        <v>3871791</v>
      </c>
      <c r="Y62" s="1073">
        <f t="shared" si="12"/>
        <v>3</v>
      </c>
      <c r="Z62" s="56">
        <v>3.0</v>
      </c>
      <c r="AA62" s="1012"/>
      <c r="AB62" s="1012"/>
      <c r="AC62" s="1012"/>
      <c r="AD62" s="1012"/>
      <c r="AE62" s="1012"/>
      <c r="AF62" s="1012"/>
      <c r="AG62" s="1012"/>
      <c r="AH62" s="1012"/>
      <c r="AI62" s="1012"/>
      <c r="AJ62" s="1012"/>
      <c r="AK62" s="1012"/>
    </row>
    <row r="63">
      <c r="A63" s="982" t="s">
        <v>2721</v>
      </c>
      <c r="B63" s="983">
        <v>10.0</v>
      </c>
      <c r="C63" s="1061">
        <f>IFERROR(VLOOKUP(A63,stockKJD,8,FALSE)," ")</f>
        <v>17</v>
      </c>
      <c r="D63" s="1062">
        <f t="shared" si="1"/>
        <v>10</v>
      </c>
      <c r="E63" s="1061">
        <f>IFERROR(VLOOKUP(A63,stockKJD,9,FALSE)," ")</f>
        <v>1</v>
      </c>
      <c r="F63" s="987" t="s">
        <v>13610</v>
      </c>
      <c r="G63" s="1063">
        <f t="shared" si="2"/>
        <v>-2</v>
      </c>
      <c r="H63" s="1075">
        <v>2.0</v>
      </c>
      <c r="I63" s="1064">
        <f t="shared" si="3"/>
        <v>4</v>
      </c>
      <c r="J63" s="1063">
        <v>0.0</v>
      </c>
      <c r="K63" s="1063">
        <v>4.0</v>
      </c>
      <c r="L63" s="1076" t="s">
        <v>12534</v>
      </c>
      <c r="M63" s="1065">
        <v>396825.0</v>
      </c>
      <c r="N63" s="1063">
        <f>IFERROR(VLOOKUP(A63,hpp,3,FALSE)," ")</f>
        <v>404478</v>
      </c>
      <c r="O63" s="1063">
        <f t="shared" si="4"/>
        <v>3968250</v>
      </c>
      <c r="P63" s="1063">
        <f t="shared" si="5"/>
        <v>4044780</v>
      </c>
      <c r="Q63" s="1066">
        <f t="shared" si="6"/>
        <v>3968250</v>
      </c>
      <c r="R63" s="1067">
        <f t="shared" si="7"/>
        <v>1587300</v>
      </c>
      <c r="S63" s="1067">
        <f t="shared" si="8"/>
        <v>1587300</v>
      </c>
      <c r="T63" s="1068">
        <f t="shared" si="9"/>
        <v>793650</v>
      </c>
      <c r="U63" s="1069" t="str">
        <f>IFERROR(VLOOKUP(A63,StockAll,10,FALSE)," ")</f>
        <v>B13T2</v>
      </c>
      <c r="V63" s="1070"/>
      <c r="W63" s="1071">
        <f t="shared" si="10"/>
        <v>6</v>
      </c>
      <c r="X63" s="1072">
        <f t="shared" si="11"/>
        <v>2380950</v>
      </c>
      <c r="Y63" s="1073">
        <f t="shared" si="12"/>
        <v>4</v>
      </c>
      <c r="Z63" s="56">
        <v>4.0</v>
      </c>
      <c r="AA63" s="1012"/>
      <c r="AB63" s="1012"/>
      <c r="AC63" s="1012"/>
      <c r="AD63" s="1012"/>
      <c r="AE63" s="1012"/>
      <c r="AF63" s="1012"/>
      <c r="AG63" s="1012"/>
      <c r="AH63" s="1012"/>
      <c r="AI63" s="1012"/>
      <c r="AJ63" s="1012"/>
      <c r="AK63" s="1012"/>
    </row>
    <row r="64">
      <c r="A64" s="982" t="s">
        <v>2692</v>
      </c>
      <c r="B64" s="983">
        <v>10.0</v>
      </c>
      <c r="C64" s="1061">
        <f>IFERROR(VLOOKUP(A64,stockKJD,8,FALSE)," ")</f>
        <v>18</v>
      </c>
      <c r="D64" s="1062">
        <f t="shared" si="1"/>
        <v>10</v>
      </c>
      <c r="E64" s="1061">
        <f>IFERROR(VLOOKUP(A64,stockKJD,9,FALSE)," ")</f>
        <v>2</v>
      </c>
      <c r="F64" s="987" t="s">
        <v>13610</v>
      </c>
      <c r="G64" s="1063">
        <f t="shared" si="2"/>
        <v>0</v>
      </c>
      <c r="H64" s="1064">
        <v>0.0</v>
      </c>
      <c r="I64" s="1064">
        <f t="shared" si="3"/>
        <v>6</v>
      </c>
      <c r="J64" s="1063">
        <v>6.0</v>
      </c>
      <c r="K64" s="1063"/>
      <c r="L64" s="1076" t="s">
        <v>13647</v>
      </c>
      <c r="M64" s="1065">
        <v>616605.0</v>
      </c>
      <c r="N64" s="1063">
        <f>IFERROR(VLOOKUP(A64,hpp,3,FALSE)," ")</f>
        <v>624258</v>
      </c>
      <c r="O64" s="1063">
        <f t="shared" si="4"/>
        <v>6166050</v>
      </c>
      <c r="P64" s="1063">
        <f t="shared" si="5"/>
        <v>6242580</v>
      </c>
      <c r="Q64" s="1066">
        <f t="shared" si="6"/>
        <v>6166050</v>
      </c>
      <c r="R64" s="1067">
        <f t="shared" si="7"/>
        <v>3699630</v>
      </c>
      <c r="S64" s="1067">
        <f t="shared" si="8"/>
        <v>3699630</v>
      </c>
      <c r="T64" s="1068">
        <f t="shared" si="9"/>
        <v>0</v>
      </c>
      <c r="U64" s="1069" t="str">
        <f>IFERROR(VLOOKUP(A64,StockAll,10,FALSE)," ")</f>
        <v>B11T1</v>
      </c>
      <c r="V64" s="1070"/>
      <c r="W64" s="1071">
        <f t="shared" si="10"/>
        <v>4</v>
      </c>
      <c r="X64" s="1072">
        <f t="shared" si="11"/>
        <v>2466420</v>
      </c>
      <c r="Y64" s="1073">
        <f t="shared" si="12"/>
        <v>6</v>
      </c>
      <c r="Z64" s="56">
        <v>6.0</v>
      </c>
      <c r="AA64" s="1012"/>
      <c r="AB64" s="1012"/>
      <c r="AC64" s="1012"/>
      <c r="AD64" s="1012"/>
      <c r="AE64" s="1012"/>
      <c r="AF64" s="1012"/>
      <c r="AG64" s="1012"/>
      <c r="AH64" s="1012"/>
      <c r="AI64" s="1012"/>
      <c r="AJ64" s="1012"/>
      <c r="AK64" s="1012"/>
    </row>
    <row r="65">
      <c r="A65" s="982" t="s">
        <v>3235</v>
      </c>
      <c r="B65" s="983">
        <v>10.0</v>
      </c>
      <c r="C65" s="1061">
        <f>IFERROR(VLOOKUP(A65,stockKJD,8,FALSE)," ")</f>
        <v>12</v>
      </c>
      <c r="D65" s="1062">
        <f t="shared" si="1"/>
        <v>10</v>
      </c>
      <c r="E65" s="1061">
        <f>IFERROR(VLOOKUP(A65,stockKJD,9,FALSE)," ")</f>
        <v>1</v>
      </c>
      <c r="F65" s="987" t="s">
        <v>13610</v>
      </c>
      <c r="G65" s="1063">
        <f t="shared" si="2"/>
        <v>0</v>
      </c>
      <c r="H65" s="1064">
        <v>0.0</v>
      </c>
      <c r="I65" s="1064">
        <f t="shared" si="3"/>
        <v>5</v>
      </c>
      <c r="J65" s="1063">
        <v>5.0</v>
      </c>
      <c r="K65" s="1063"/>
      <c r="L65" s="1076" t="s">
        <v>13647</v>
      </c>
      <c r="M65" s="1065">
        <v>531135.0</v>
      </c>
      <c r="N65" s="1063">
        <f>IFERROR(VLOOKUP(A65,hpp,3,FALSE)," ")</f>
        <v>538788</v>
      </c>
      <c r="O65" s="1063">
        <f t="shared" si="4"/>
        <v>5311350</v>
      </c>
      <c r="P65" s="1063">
        <f t="shared" si="5"/>
        <v>5387880</v>
      </c>
      <c r="Q65" s="1066">
        <f t="shared" si="6"/>
        <v>5311350</v>
      </c>
      <c r="R65" s="1067">
        <f t="shared" si="7"/>
        <v>2655675</v>
      </c>
      <c r="S65" s="1067">
        <f t="shared" si="8"/>
        <v>2655675</v>
      </c>
      <c r="T65" s="1068">
        <f t="shared" si="9"/>
        <v>0</v>
      </c>
      <c r="U65" s="1069" t="str">
        <f>IFERROR(VLOOKUP(A65,StockAll,10,FALSE)," ")</f>
        <v>B4T2</v>
      </c>
      <c r="V65" s="1070"/>
      <c r="W65" s="1071">
        <f t="shared" si="10"/>
        <v>5</v>
      </c>
      <c r="X65" s="1072">
        <f t="shared" si="11"/>
        <v>2655675</v>
      </c>
      <c r="Y65" s="1073">
        <f t="shared" si="12"/>
        <v>5</v>
      </c>
      <c r="Z65" s="56">
        <v>5.0</v>
      </c>
      <c r="AA65" s="1012"/>
      <c r="AB65" s="1012"/>
      <c r="AC65" s="1012"/>
      <c r="AD65" s="1012"/>
      <c r="AE65" s="1012"/>
      <c r="AF65" s="1012"/>
      <c r="AG65" s="1012"/>
      <c r="AH65" s="1012"/>
      <c r="AI65" s="1012"/>
      <c r="AJ65" s="1012"/>
      <c r="AK65" s="1012"/>
    </row>
    <row r="66">
      <c r="A66" s="982" t="s">
        <v>2932</v>
      </c>
      <c r="B66" s="983">
        <v>5.0</v>
      </c>
      <c r="C66" s="1061">
        <f>IFERROR(VLOOKUP(A66,stockKJD,8,FALSE)," ")</f>
        <v>5</v>
      </c>
      <c r="D66" s="1062">
        <f t="shared" si="1"/>
        <v>5</v>
      </c>
      <c r="E66" s="1061">
        <f>IFERROR(VLOOKUP(A66,stockKJD,9,FALSE)," ")</f>
        <v>0</v>
      </c>
      <c r="F66" s="987" t="s">
        <v>13614</v>
      </c>
      <c r="G66" s="1063">
        <f t="shared" si="2"/>
        <v>0</v>
      </c>
      <c r="H66" s="1064">
        <v>0.0</v>
      </c>
      <c r="I66" s="1064">
        <f t="shared" si="3"/>
        <v>4</v>
      </c>
      <c r="J66" s="1063">
        <v>4.0</v>
      </c>
      <c r="K66" s="1063"/>
      <c r="L66" s="1076" t="s">
        <v>13647</v>
      </c>
      <c r="M66" s="1065">
        <v>365079.0</v>
      </c>
      <c r="N66" s="1063">
        <f>IFERROR(VLOOKUP(A66,hpp,3,FALSE)," ")</f>
        <v>372732</v>
      </c>
      <c r="O66" s="1063">
        <f t="shared" si="4"/>
        <v>1825395</v>
      </c>
      <c r="P66" s="1063">
        <f t="shared" si="5"/>
        <v>1863660</v>
      </c>
      <c r="Q66" s="1066">
        <f t="shared" si="6"/>
        <v>1825395</v>
      </c>
      <c r="R66" s="1067">
        <f t="shared" si="7"/>
        <v>1460316</v>
      </c>
      <c r="S66" s="1067">
        <f t="shared" si="8"/>
        <v>1460316</v>
      </c>
      <c r="T66" s="1068">
        <f t="shared" si="9"/>
        <v>0</v>
      </c>
      <c r="U66" s="1069" t="str">
        <f>IFERROR(VLOOKUP(A66,StockAll,10,FALSE)," ")</f>
        <v>B2T4</v>
      </c>
      <c r="V66" s="1070"/>
      <c r="W66" s="1071">
        <f t="shared" si="10"/>
        <v>1</v>
      </c>
      <c r="X66" s="1072">
        <f t="shared" si="11"/>
        <v>365079</v>
      </c>
      <c r="Y66" s="1073">
        <f t="shared" si="12"/>
        <v>4</v>
      </c>
      <c r="Z66" s="56">
        <v>4.0</v>
      </c>
      <c r="AA66" s="1012"/>
      <c r="AB66" s="1012"/>
      <c r="AC66" s="1012"/>
      <c r="AD66" s="1012"/>
      <c r="AE66" s="1012"/>
      <c r="AF66" s="1012"/>
      <c r="AG66" s="1012"/>
      <c r="AH66" s="1012"/>
      <c r="AI66" s="1012"/>
      <c r="AJ66" s="1012"/>
      <c r="AK66" s="1012"/>
    </row>
    <row r="67">
      <c r="A67" s="982" t="s">
        <v>3964</v>
      </c>
      <c r="B67" s="983">
        <v>5.0</v>
      </c>
      <c r="C67" s="1061">
        <f>IFERROR(VLOOKUP(A67,stockKJD,8,FALSE)," ")</f>
        <v>6</v>
      </c>
      <c r="D67" s="1062">
        <f t="shared" si="1"/>
        <v>5</v>
      </c>
      <c r="E67" s="1061">
        <f>IFERROR(VLOOKUP(A67,stockKJD,9,FALSE)," ")</f>
        <v>1</v>
      </c>
      <c r="F67" s="987" t="s">
        <v>13610</v>
      </c>
      <c r="G67" s="1063">
        <f t="shared" si="2"/>
        <v>0</v>
      </c>
      <c r="H67" s="1064">
        <v>0.0</v>
      </c>
      <c r="I67" s="1064">
        <f t="shared" si="3"/>
        <v>3</v>
      </c>
      <c r="J67" s="1063">
        <v>3.0</v>
      </c>
      <c r="K67" s="1063"/>
      <c r="L67" s="1076" t="s">
        <v>13647</v>
      </c>
      <c r="M67" s="1065">
        <v>564102.0</v>
      </c>
      <c r="N67" s="1063">
        <f>IFERROR(VLOOKUP(A67,hpp,3,FALSE)," ")</f>
        <v>571755</v>
      </c>
      <c r="O67" s="1063">
        <f t="shared" si="4"/>
        <v>2820510</v>
      </c>
      <c r="P67" s="1063">
        <f t="shared" si="5"/>
        <v>2858775</v>
      </c>
      <c r="Q67" s="1066">
        <f t="shared" si="6"/>
        <v>2820510</v>
      </c>
      <c r="R67" s="1067">
        <f t="shared" si="7"/>
        <v>1692306</v>
      </c>
      <c r="S67" s="1067">
        <f t="shared" si="8"/>
        <v>1692306</v>
      </c>
      <c r="T67" s="1068">
        <f t="shared" si="9"/>
        <v>0</v>
      </c>
      <c r="U67" s="1069" t="str">
        <f>IFERROR(VLOOKUP(A67,StockAll,10,FALSE)," ")</f>
        <v>B8T2</v>
      </c>
      <c r="V67" s="1070"/>
      <c r="W67" s="1071">
        <f t="shared" si="10"/>
        <v>2</v>
      </c>
      <c r="X67" s="1072">
        <f t="shared" si="11"/>
        <v>1128204</v>
      </c>
      <c r="Y67" s="1073">
        <f t="shared" si="12"/>
        <v>3</v>
      </c>
      <c r="Z67" s="56">
        <v>3.0</v>
      </c>
      <c r="AA67" s="1012"/>
      <c r="AB67" s="1012"/>
      <c r="AC67" s="1012"/>
      <c r="AD67" s="1012"/>
      <c r="AE67" s="1012"/>
      <c r="AF67" s="1012"/>
      <c r="AG67" s="1012"/>
      <c r="AH67" s="1012"/>
      <c r="AI67" s="1012"/>
      <c r="AJ67" s="1012"/>
      <c r="AK67" s="1012"/>
    </row>
    <row r="68" hidden="1">
      <c r="A68" s="982" t="s">
        <v>2944</v>
      </c>
      <c r="B68" s="983">
        <v>2.0</v>
      </c>
      <c r="C68" s="1061">
        <f>IFERROR(VLOOKUP(A68,stockKJD,8,FALSE)," ")</f>
        <v>2</v>
      </c>
      <c r="D68" s="1062">
        <f t="shared" si="1"/>
        <v>2</v>
      </c>
      <c r="E68" s="1061">
        <f>IFERROR(VLOOKUP(A68,stockKJD,9,FALSE)," ")</f>
        <v>3</v>
      </c>
      <c r="F68" s="987" t="s">
        <v>11466</v>
      </c>
      <c r="G68" s="1063">
        <f t="shared" si="2"/>
        <v>0</v>
      </c>
      <c r="H68" s="1064">
        <v>0.0</v>
      </c>
      <c r="I68" s="1064">
        <f t="shared" si="3"/>
        <v>0</v>
      </c>
      <c r="J68" s="1063"/>
      <c r="K68" s="1063"/>
      <c r="L68" s="1065"/>
      <c r="M68" s="1065">
        <v>1349755.0</v>
      </c>
      <c r="N68" s="1063">
        <f>IFERROR(VLOOKUP(A68,hpp,3,FALSE)," ")</f>
        <v>1357408</v>
      </c>
      <c r="O68" s="1063">
        <f t="shared" si="4"/>
        <v>2699510</v>
      </c>
      <c r="P68" s="1063">
        <f t="shared" si="5"/>
        <v>2714816</v>
      </c>
      <c r="Q68" s="1066">
        <f t="shared" si="6"/>
        <v>2699510</v>
      </c>
      <c r="R68" s="1067">
        <f t="shared" si="7"/>
        <v>0</v>
      </c>
      <c r="S68" s="1067">
        <f t="shared" si="8"/>
        <v>0</v>
      </c>
      <c r="T68" s="1068">
        <f t="shared" si="9"/>
        <v>0</v>
      </c>
      <c r="U68" s="1069" t="str">
        <f>IFERROR(VLOOKUP(A68,StockAll,10,FALSE)," ")</f>
        <v>B10T3 2PC | 1PC B12T3</v>
      </c>
      <c r="V68" s="1070"/>
      <c r="W68" s="1071">
        <f t="shared" si="10"/>
        <v>2</v>
      </c>
      <c r="X68" s="1072">
        <f t="shared" si="11"/>
        <v>2699510</v>
      </c>
      <c r="Y68" s="1073">
        <f t="shared" si="12"/>
        <v>0</v>
      </c>
      <c r="Z68" s="1012"/>
      <c r="AA68" s="1012"/>
      <c r="AB68" s="1012"/>
      <c r="AC68" s="1012"/>
      <c r="AD68" s="1012"/>
      <c r="AE68" s="1012"/>
      <c r="AF68" s="1012"/>
      <c r="AG68" s="1012"/>
      <c r="AH68" s="1012"/>
      <c r="AI68" s="1012"/>
      <c r="AJ68" s="1012"/>
      <c r="AK68" s="1012"/>
    </row>
    <row r="69" hidden="1">
      <c r="A69" s="982" t="s">
        <v>4628</v>
      </c>
      <c r="B69" s="983">
        <v>2.0</v>
      </c>
      <c r="C69" s="1061">
        <f>IFERROR(VLOOKUP(A69,stockKJD,8,FALSE)," ")</f>
        <v>3</v>
      </c>
      <c r="D69" s="1062">
        <f t="shared" si="1"/>
        <v>2</v>
      </c>
      <c r="E69" s="1061">
        <f>IFERROR(VLOOKUP(A69,stockKJD,9,FALSE)," ")</f>
        <v>0</v>
      </c>
      <c r="F69" s="987" t="s">
        <v>11466</v>
      </c>
      <c r="G69" s="1063">
        <f t="shared" si="2"/>
        <v>0</v>
      </c>
      <c r="H69" s="1064">
        <v>0.0</v>
      </c>
      <c r="I69" s="1064">
        <f t="shared" si="3"/>
        <v>0</v>
      </c>
      <c r="J69" s="1063"/>
      <c r="K69" s="1063"/>
      <c r="L69" s="1065"/>
      <c r="M69" s="1065">
        <v>612700.0</v>
      </c>
      <c r="N69" s="1063">
        <f>IFERROR(VLOOKUP(A69,hpp,3,FALSE)," ")</f>
        <v>620353</v>
      </c>
      <c r="O69" s="1063">
        <f t="shared" si="4"/>
        <v>1225400</v>
      </c>
      <c r="P69" s="1063">
        <f t="shared" si="5"/>
        <v>1240706</v>
      </c>
      <c r="Q69" s="1066">
        <f t="shared" si="6"/>
        <v>1225400</v>
      </c>
      <c r="R69" s="1067">
        <f t="shared" si="7"/>
        <v>0</v>
      </c>
      <c r="S69" s="1067">
        <f t="shared" si="8"/>
        <v>0</v>
      </c>
      <c r="T69" s="1068">
        <f t="shared" si="9"/>
        <v>0</v>
      </c>
      <c r="U69" s="1069" t="str">
        <f>IFERROR(VLOOKUP(A69,StockAll,10,FALSE)," ")</f>
        <v>A7T3</v>
      </c>
      <c r="V69" s="1070"/>
      <c r="W69" s="1071">
        <f t="shared" si="10"/>
        <v>2</v>
      </c>
      <c r="X69" s="1072">
        <f t="shared" si="11"/>
        <v>1225400</v>
      </c>
      <c r="Y69" s="1073">
        <f t="shared" si="12"/>
        <v>0</v>
      </c>
      <c r="Z69" s="1012"/>
      <c r="AA69" s="1012"/>
      <c r="AB69" s="1012"/>
      <c r="AC69" s="1012"/>
      <c r="AD69" s="1012"/>
      <c r="AE69" s="1012"/>
      <c r="AF69" s="1012"/>
      <c r="AG69" s="1012"/>
      <c r="AH69" s="1012"/>
      <c r="AI69" s="1012"/>
      <c r="AJ69" s="1012"/>
      <c r="AK69" s="1012"/>
    </row>
    <row r="70">
      <c r="A70" s="982" t="s">
        <v>6742</v>
      </c>
      <c r="B70" s="983">
        <v>2.0</v>
      </c>
      <c r="C70" s="1061">
        <f>IFERROR(VLOOKUP(A70,stockKJD,8,FALSE)," ")</f>
        <v>3</v>
      </c>
      <c r="D70" s="1062">
        <f t="shared" si="1"/>
        <v>2</v>
      </c>
      <c r="E70" s="1061">
        <f>IFERROR(VLOOKUP(A70,stockKJD,9,FALSE)," ")</f>
        <v>1</v>
      </c>
      <c r="F70" s="987" t="s">
        <v>11466</v>
      </c>
      <c r="G70" s="1063">
        <f t="shared" si="2"/>
        <v>0</v>
      </c>
      <c r="H70" s="1064">
        <v>0.0</v>
      </c>
      <c r="I70" s="1064">
        <f t="shared" si="3"/>
        <v>2</v>
      </c>
      <c r="J70" s="1063">
        <v>2.0</v>
      </c>
      <c r="K70" s="1063"/>
      <c r="L70" s="1076" t="s">
        <v>13647</v>
      </c>
      <c r="M70" s="1065">
        <v>392040.0</v>
      </c>
      <c r="N70" s="1063">
        <f>IFERROR(VLOOKUP(A70,hpp,3,FALSE)," ")</f>
        <v>399693</v>
      </c>
      <c r="O70" s="1063">
        <f t="shared" si="4"/>
        <v>784080</v>
      </c>
      <c r="P70" s="1063">
        <f t="shared" si="5"/>
        <v>799386</v>
      </c>
      <c r="Q70" s="1066">
        <f t="shared" si="6"/>
        <v>784080</v>
      </c>
      <c r="R70" s="1067">
        <f t="shared" si="7"/>
        <v>784080</v>
      </c>
      <c r="S70" s="1067">
        <f t="shared" si="8"/>
        <v>784080</v>
      </c>
      <c r="T70" s="1068">
        <f t="shared" si="9"/>
        <v>0</v>
      </c>
      <c r="U70" s="1069" t="str">
        <f>IFERROR(VLOOKUP(A70,StockAll,10,FALSE)," ")</f>
        <v>B10T3</v>
      </c>
      <c r="V70" s="1070"/>
      <c r="W70" s="1071">
        <f t="shared" si="10"/>
        <v>0</v>
      </c>
      <c r="X70" s="1072">
        <f t="shared" si="11"/>
        <v>0</v>
      </c>
      <c r="Y70" s="1073">
        <f t="shared" si="12"/>
        <v>2</v>
      </c>
      <c r="Z70" s="56">
        <v>2.0</v>
      </c>
      <c r="AA70" s="1012"/>
      <c r="AB70" s="1012"/>
      <c r="AC70" s="1012"/>
      <c r="AD70" s="1012"/>
      <c r="AE70" s="1012"/>
      <c r="AF70" s="1012"/>
      <c r="AG70" s="1012"/>
      <c r="AH70" s="1012"/>
      <c r="AI70" s="1012"/>
      <c r="AJ70" s="1012"/>
      <c r="AK70" s="1012"/>
    </row>
    <row r="71">
      <c r="A71" s="982" t="s">
        <v>2862</v>
      </c>
      <c r="B71" s="983">
        <v>2.0</v>
      </c>
      <c r="C71" s="1061">
        <f>IFERROR(VLOOKUP(A71,stockKJD,8,FALSE)," ")</f>
        <v>2</v>
      </c>
      <c r="D71" s="1062">
        <f t="shared" si="1"/>
        <v>2</v>
      </c>
      <c r="E71" s="1061">
        <f>IFERROR(VLOOKUP(A71,stockKJD,9,FALSE)," ")</f>
        <v>0</v>
      </c>
      <c r="F71" s="987" t="s">
        <v>11466</v>
      </c>
      <c r="G71" s="1063">
        <f t="shared" si="2"/>
        <v>0</v>
      </c>
      <c r="H71" s="1064">
        <v>0.0</v>
      </c>
      <c r="I71" s="1064">
        <f t="shared" si="3"/>
        <v>2</v>
      </c>
      <c r="J71" s="1063">
        <v>2.0</v>
      </c>
      <c r="K71" s="1063"/>
      <c r="L71" s="1076" t="s">
        <v>13647</v>
      </c>
      <c r="M71" s="1065">
        <v>245000.0</v>
      </c>
      <c r="N71" s="1063">
        <f>IFERROR(VLOOKUP(A71,hpp,3,FALSE)," ")</f>
        <v>252653</v>
      </c>
      <c r="O71" s="1063">
        <f t="shared" si="4"/>
        <v>490000</v>
      </c>
      <c r="P71" s="1063">
        <f t="shared" si="5"/>
        <v>505306</v>
      </c>
      <c r="Q71" s="1066">
        <f t="shared" si="6"/>
        <v>490000</v>
      </c>
      <c r="R71" s="1067">
        <f t="shared" si="7"/>
        <v>490000</v>
      </c>
      <c r="S71" s="1067">
        <f t="shared" si="8"/>
        <v>490000</v>
      </c>
      <c r="T71" s="1068">
        <f t="shared" si="9"/>
        <v>0</v>
      </c>
      <c r="U71" s="1069" t="str">
        <f>IFERROR(VLOOKUP(A71,StockAll,10,FALSE)," ")</f>
        <v>B10T3</v>
      </c>
      <c r="V71" s="1070"/>
      <c r="W71" s="1071">
        <f t="shared" si="10"/>
        <v>0</v>
      </c>
      <c r="X71" s="1072">
        <f t="shared" si="11"/>
        <v>0</v>
      </c>
      <c r="Y71" s="1073">
        <f t="shared" si="12"/>
        <v>2</v>
      </c>
      <c r="Z71" s="56">
        <v>2.0</v>
      </c>
      <c r="AA71" s="1012"/>
      <c r="AB71" s="1012"/>
      <c r="AC71" s="1012"/>
      <c r="AD71" s="1012"/>
      <c r="AE71" s="1012"/>
      <c r="AF71" s="1012"/>
      <c r="AG71" s="1012"/>
      <c r="AH71" s="1012"/>
      <c r="AI71" s="1012"/>
      <c r="AJ71" s="1012"/>
      <c r="AK71" s="1012"/>
    </row>
    <row r="72">
      <c r="A72" s="982" t="s">
        <v>6199</v>
      </c>
      <c r="B72" s="983">
        <v>2.0</v>
      </c>
      <c r="C72" s="1061">
        <f>IFERROR(VLOOKUP(A72,stockKJD,8,FALSE)," ")</f>
        <v>2</v>
      </c>
      <c r="D72" s="1062">
        <f t="shared" si="1"/>
        <v>2</v>
      </c>
      <c r="E72" s="1061">
        <f>IFERROR(VLOOKUP(A72,stockKJD,9,FALSE)," ")</f>
        <v>1</v>
      </c>
      <c r="F72" s="987" t="s">
        <v>11466</v>
      </c>
      <c r="G72" s="1063">
        <f t="shared" si="2"/>
        <v>0</v>
      </c>
      <c r="H72" s="1064">
        <v>0.0</v>
      </c>
      <c r="I72" s="1064">
        <f t="shared" si="3"/>
        <v>1</v>
      </c>
      <c r="J72" s="1063">
        <v>0.0</v>
      </c>
      <c r="K72" s="1063">
        <v>1.0</v>
      </c>
      <c r="L72" s="1076" t="s">
        <v>12534</v>
      </c>
      <c r="M72" s="1065">
        <v>577775.0</v>
      </c>
      <c r="N72" s="1063">
        <f>IFERROR(VLOOKUP(A72,hpp,3,FALSE)," ")</f>
        <v>585428</v>
      </c>
      <c r="O72" s="1063">
        <f t="shared" si="4"/>
        <v>1155550</v>
      </c>
      <c r="P72" s="1063">
        <f t="shared" si="5"/>
        <v>1170856</v>
      </c>
      <c r="Q72" s="1066">
        <f t="shared" si="6"/>
        <v>1155550</v>
      </c>
      <c r="R72" s="1067">
        <f t="shared" si="7"/>
        <v>577775</v>
      </c>
      <c r="S72" s="1067">
        <f t="shared" si="8"/>
        <v>577775</v>
      </c>
      <c r="T72" s="1068">
        <f t="shared" si="9"/>
        <v>0</v>
      </c>
      <c r="U72" s="1069" t="str">
        <f>IFERROR(VLOOKUP(A72,StockAll,10,FALSE)," ")</f>
        <v>A5T3</v>
      </c>
      <c r="V72" s="1070"/>
      <c r="W72" s="1071">
        <f t="shared" si="10"/>
        <v>1</v>
      </c>
      <c r="X72" s="1072">
        <f t="shared" si="11"/>
        <v>577775</v>
      </c>
      <c r="Y72" s="1073">
        <f t="shared" si="12"/>
        <v>1</v>
      </c>
      <c r="Z72" s="56">
        <v>1.0</v>
      </c>
      <c r="AA72" s="1012"/>
      <c r="AB72" s="1012"/>
      <c r="AC72" s="1012"/>
      <c r="AD72" s="1012"/>
      <c r="AE72" s="1012"/>
      <c r="AF72" s="1012"/>
      <c r="AG72" s="1012"/>
      <c r="AH72" s="1012"/>
      <c r="AI72" s="1012"/>
      <c r="AJ72" s="1012"/>
      <c r="AK72" s="1012"/>
    </row>
    <row r="73" hidden="1">
      <c r="A73" s="982" t="s">
        <v>2785</v>
      </c>
      <c r="B73" s="983">
        <v>3.0</v>
      </c>
      <c r="C73" s="1061">
        <f>IFERROR(VLOOKUP(A73,stockKJD,8,FALSE)," ")</f>
        <v>5</v>
      </c>
      <c r="D73" s="1062">
        <f t="shared" si="1"/>
        <v>3</v>
      </c>
      <c r="E73" s="1061">
        <f>IFERROR(VLOOKUP(A73,stockKJD,9,FALSE)," ")</f>
        <v>0</v>
      </c>
      <c r="F73" s="987" t="s">
        <v>13610</v>
      </c>
      <c r="G73" s="1063">
        <f t="shared" si="2"/>
        <v>0</v>
      </c>
      <c r="H73" s="1064">
        <v>0.0</v>
      </c>
      <c r="I73" s="1064">
        <f t="shared" si="3"/>
        <v>0</v>
      </c>
      <c r="J73" s="1063"/>
      <c r="K73" s="1063"/>
      <c r="L73" s="1065"/>
      <c r="M73" s="1065">
        <v>600732.0</v>
      </c>
      <c r="N73" s="1063">
        <f>IFERROR(VLOOKUP(A73,hpp,3,FALSE)," ")</f>
        <v>634489</v>
      </c>
      <c r="O73" s="1063">
        <f t="shared" si="4"/>
        <v>1802196</v>
      </c>
      <c r="P73" s="1063">
        <f t="shared" si="5"/>
        <v>1903467</v>
      </c>
      <c r="Q73" s="1066">
        <f t="shared" si="6"/>
        <v>1802196</v>
      </c>
      <c r="R73" s="1067">
        <f t="shared" si="7"/>
        <v>0</v>
      </c>
      <c r="S73" s="1067">
        <f t="shared" si="8"/>
        <v>0</v>
      </c>
      <c r="T73" s="1068">
        <f t="shared" si="9"/>
        <v>0</v>
      </c>
      <c r="U73" s="1069" t="str">
        <f>IFERROR(VLOOKUP(A73,StockAll,10,FALSE)," ")</f>
        <v>B11T2</v>
      </c>
      <c r="V73" s="1070"/>
      <c r="W73" s="1071">
        <f t="shared" si="10"/>
        <v>3</v>
      </c>
      <c r="X73" s="1072">
        <f t="shared" si="11"/>
        <v>1802196</v>
      </c>
      <c r="Y73" s="1073">
        <f t="shared" si="12"/>
        <v>0</v>
      </c>
      <c r="Z73" s="1012"/>
      <c r="AA73" s="1012"/>
      <c r="AB73" s="1012"/>
      <c r="AC73" s="1012"/>
      <c r="AD73" s="1012"/>
      <c r="AE73" s="1012"/>
      <c r="AF73" s="1012"/>
      <c r="AG73" s="1012"/>
      <c r="AH73" s="1012"/>
      <c r="AI73" s="1012"/>
      <c r="AJ73" s="1012"/>
      <c r="AK73" s="1012"/>
    </row>
    <row r="74">
      <c r="A74" s="982" t="s">
        <v>5002</v>
      </c>
      <c r="B74" s="983">
        <v>2.0</v>
      </c>
      <c r="C74" s="1061">
        <f>IFERROR(VLOOKUP(A74,stockKJD,8,FALSE)," ")</f>
        <v>2</v>
      </c>
      <c r="D74" s="1062">
        <f t="shared" si="1"/>
        <v>2</v>
      </c>
      <c r="E74" s="1061">
        <f>IFERROR(VLOOKUP(A74,stockKJD,9,FALSE)," ")</f>
        <v>1</v>
      </c>
      <c r="F74" s="987" t="s">
        <v>11466</v>
      </c>
      <c r="G74" s="1063">
        <f t="shared" si="2"/>
        <v>0</v>
      </c>
      <c r="H74" s="1064">
        <v>0.0</v>
      </c>
      <c r="I74" s="1064">
        <f t="shared" si="3"/>
        <v>1</v>
      </c>
      <c r="J74" s="1063">
        <v>0.0</v>
      </c>
      <c r="K74" s="1063">
        <v>1.0</v>
      </c>
      <c r="L74" s="1076" t="s">
        <v>12534</v>
      </c>
      <c r="M74" s="1065">
        <v>615890.0</v>
      </c>
      <c r="N74" s="1063">
        <f>IFERROR(VLOOKUP(A74,hpp,3,FALSE)," ")</f>
        <v>623543</v>
      </c>
      <c r="O74" s="1063">
        <f t="shared" si="4"/>
        <v>1231780</v>
      </c>
      <c r="P74" s="1063">
        <f t="shared" si="5"/>
        <v>1247086</v>
      </c>
      <c r="Q74" s="1066">
        <f t="shared" si="6"/>
        <v>1231780</v>
      </c>
      <c r="R74" s="1067">
        <f t="shared" si="7"/>
        <v>615890</v>
      </c>
      <c r="S74" s="1067">
        <f t="shared" si="8"/>
        <v>615890</v>
      </c>
      <c r="T74" s="1068">
        <f t="shared" si="9"/>
        <v>0</v>
      </c>
      <c r="U74" s="1069" t="str">
        <f>IFERROR(VLOOKUP(A74,StockAll,10,FALSE)," ")</f>
        <v>A5T3</v>
      </c>
      <c r="V74" s="1070"/>
      <c r="W74" s="1071">
        <f t="shared" si="10"/>
        <v>1</v>
      </c>
      <c r="X74" s="1072">
        <f t="shared" si="11"/>
        <v>615890</v>
      </c>
      <c r="Y74" s="1073">
        <f t="shared" si="12"/>
        <v>1</v>
      </c>
      <c r="Z74" s="56">
        <v>1.0</v>
      </c>
      <c r="AA74" s="1012"/>
      <c r="AB74" s="1012"/>
      <c r="AC74" s="1012"/>
      <c r="AD74" s="1012"/>
      <c r="AE74" s="1012"/>
      <c r="AF74" s="1012"/>
      <c r="AG74" s="1012"/>
      <c r="AH74" s="1012"/>
      <c r="AI74" s="1012"/>
      <c r="AJ74" s="1012"/>
      <c r="AK74" s="1012"/>
    </row>
    <row r="75" hidden="1">
      <c r="A75" s="1081" t="s">
        <v>3059</v>
      </c>
      <c r="B75" s="1082">
        <v>20.0</v>
      </c>
      <c r="C75" s="1061">
        <f>IFERROR(VLOOKUP(A75,stockKJD,8,FALSE)," ")</f>
        <v>271</v>
      </c>
      <c r="D75" s="1062">
        <f t="shared" si="1"/>
        <v>20</v>
      </c>
      <c r="E75" s="1061">
        <f>IFERROR(VLOOKUP(A75,stockKJD,9,FALSE)," ")</f>
        <v>796</v>
      </c>
      <c r="F75" s="993" t="s">
        <v>13610</v>
      </c>
      <c r="G75" s="1063">
        <f t="shared" si="2"/>
        <v>0</v>
      </c>
      <c r="H75" s="1064">
        <v>0.0</v>
      </c>
      <c r="I75" s="1064">
        <f t="shared" si="3"/>
        <v>0</v>
      </c>
      <c r="J75" s="1063"/>
      <c r="K75" s="1063"/>
      <c r="L75" s="1065"/>
      <c r="M75" s="1083">
        <v>36300.0</v>
      </c>
      <c r="N75" s="1063">
        <f>IFERROR(VLOOKUP(A75,hpp,3,FALSE)," ")</f>
        <v>31262</v>
      </c>
      <c r="O75" s="1063">
        <f t="shared" si="4"/>
        <v>726000</v>
      </c>
      <c r="P75" s="1063">
        <f t="shared" si="5"/>
        <v>625240</v>
      </c>
      <c r="Q75" s="1066">
        <f t="shared" si="6"/>
        <v>726000</v>
      </c>
      <c r="R75" s="1067">
        <f t="shared" si="7"/>
        <v>0</v>
      </c>
      <c r="S75" s="1067">
        <f t="shared" si="8"/>
        <v>0</v>
      </c>
      <c r="T75" s="1068">
        <f t="shared" si="9"/>
        <v>0</v>
      </c>
      <c r="U75" s="1069" t="str">
        <f>IFERROR(VLOOKUP(A75,StockAll,10,FALSE)," ")</f>
        <v/>
      </c>
      <c r="V75" s="1070"/>
      <c r="W75" s="1071">
        <f t="shared" si="10"/>
        <v>20</v>
      </c>
      <c r="X75" s="1072">
        <f t="shared" si="11"/>
        <v>726000</v>
      </c>
      <c r="Y75" s="1073">
        <f t="shared" si="12"/>
        <v>0</v>
      </c>
      <c r="Z75" s="1012"/>
      <c r="AA75" s="1012"/>
      <c r="AB75" s="1012"/>
      <c r="AC75" s="1012"/>
      <c r="AD75" s="1012"/>
      <c r="AE75" s="1012"/>
      <c r="AF75" s="1012"/>
      <c r="AG75" s="1012"/>
      <c r="AH75" s="1012"/>
      <c r="AI75" s="1012"/>
      <c r="AJ75" s="1012"/>
      <c r="AK75" s="1012"/>
    </row>
    <row r="76">
      <c r="A76" s="982" t="s">
        <v>3136</v>
      </c>
      <c r="B76" s="983">
        <v>2.0</v>
      </c>
      <c r="C76" s="1061">
        <f>IFERROR(VLOOKUP(A76,stockKJD,8,FALSE)," ")</f>
        <v>3</v>
      </c>
      <c r="D76" s="1062">
        <f t="shared" si="1"/>
        <v>2</v>
      </c>
      <c r="E76" s="1061">
        <f>IFERROR(VLOOKUP(A76,stockKJD,9,FALSE)," ")</f>
        <v>1</v>
      </c>
      <c r="F76" s="987" t="s">
        <v>11466</v>
      </c>
      <c r="G76" s="1063">
        <f t="shared" si="2"/>
        <v>0</v>
      </c>
      <c r="H76" s="1064">
        <v>0.0</v>
      </c>
      <c r="I76" s="1064">
        <f t="shared" si="3"/>
        <v>1</v>
      </c>
      <c r="J76" s="1063">
        <v>1.0</v>
      </c>
      <c r="K76" s="1063"/>
      <c r="L76" s="1076" t="s">
        <v>13647</v>
      </c>
      <c r="M76" s="1065">
        <v>737000.0</v>
      </c>
      <c r="N76" s="1063">
        <f>IFERROR(VLOOKUP(A76,hpp,3,FALSE)," ")</f>
        <v>744653</v>
      </c>
      <c r="O76" s="1063">
        <f t="shared" si="4"/>
        <v>1474000</v>
      </c>
      <c r="P76" s="1063">
        <f t="shared" si="5"/>
        <v>1489306</v>
      </c>
      <c r="Q76" s="1066">
        <f t="shared" si="6"/>
        <v>1474000</v>
      </c>
      <c r="R76" s="1067">
        <f t="shared" si="7"/>
        <v>737000</v>
      </c>
      <c r="S76" s="1067">
        <f t="shared" si="8"/>
        <v>737000</v>
      </c>
      <c r="T76" s="1068">
        <f t="shared" si="9"/>
        <v>0</v>
      </c>
      <c r="U76" s="1069" t="str">
        <f>IFERROR(VLOOKUP(A76,StockAll,10,FALSE)," ")</f>
        <v>B13T3</v>
      </c>
      <c r="V76" s="1070"/>
      <c r="W76" s="1071">
        <f t="shared" si="10"/>
        <v>1</v>
      </c>
      <c r="X76" s="1072">
        <f t="shared" si="11"/>
        <v>737000</v>
      </c>
      <c r="Y76" s="1073">
        <f t="shared" si="12"/>
        <v>1</v>
      </c>
      <c r="Z76" s="56">
        <v>1.0</v>
      </c>
      <c r="AA76" s="1012"/>
      <c r="AB76" s="1012"/>
      <c r="AC76" s="1012"/>
      <c r="AD76" s="1012"/>
      <c r="AE76" s="1012"/>
      <c r="AF76" s="1012"/>
      <c r="AG76" s="1012"/>
      <c r="AH76" s="1012"/>
      <c r="AI76" s="1012"/>
      <c r="AJ76" s="1012"/>
      <c r="AK76" s="1012"/>
    </row>
    <row r="77">
      <c r="A77" s="982" t="s">
        <v>3068</v>
      </c>
      <c r="B77" s="983">
        <v>10.0</v>
      </c>
      <c r="C77" s="1061">
        <f>IFERROR(VLOOKUP(A77,stockKJD,8,FALSE)," ")</f>
        <v>20</v>
      </c>
      <c r="D77" s="1062">
        <f t="shared" si="1"/>
        <v>10</v>
      </c>
      <c r="E77" s="1061">
        <f>IFERROR(VLOOKUP(A77,stockKJD,9,FALSE)," ")</f>
        <v>2</v>
      </c>
      <c r="F77" s="987" t="s">
        <v>13610</v>
      </c>
      <c r="G77" s="1063">
        <f t="shared" si="2"/>
        <v>0</v>
      </c>
      <c r="H77" s="1064">
        <v>0.0</v>
      </c>
      <c r="I77" s="1064">
        <f t="shared" si="3"/>
        <v>1</v>
      </c>
      <c r="J77" s="1063">
        <v>1.0</v>
      </c>
      <c r="K77" s="1078"/>
      <c r="L77" s="1076" t="s">
        <v>13647</v>
      </c>
      <c r="M77" s="1065">
        <v>485958.0</v>
      </c>
      <c r="N77" s="1063">
        <f>IFERROR(VLOOKUP(A77,hpp,3,FALSE)," ")</f>
        <v>488145</v>
      </c>
      <c r="O77" s="1063">
        <f t="shared" si="4"/>
        <v>4859580</v>
      </c>
      <c r="P77" s="1063">
        <f t="shared" si="5"/>
        <v>4881450</v>
      </c>
      <c r="Q77" s="1066">
        <f t="shared" si="6"/>
        <v>4859580</v>
      </c>
      <c r="R77" s="1067">
        <f t="shared" si="7"/>
        <v>485958</v>
      </c>
      <c r="S77" s="1067">
        <f t="shared" si="8"/>
        <v>485958</v>
      </c>
      <c r="T77" s="1068">
        <f t="shared" si="9"/>
        <v>0</v>
      </c>
      <c r="U77" s="1069" t="str">
        <f>IFERROR(VLOOKUP(A77,StockAll,10,FALSE)," ")</f>
        <v> B4T1</v>
      </c>
      <c r="V77" s="1070"/>
      <c r="W77" s="1071">
        <f t="shared" si="10"/>
        <v>9</v>
      </c>
      <c r="X77" s="1072">
        <f t="shared" si="11"/>
        <v>4373622</v>
      </c>
      <c r="Y77" s="1073">
        <f t="shared" si="12"/>
        <v>1</v>
      </c>
      <c r="Z77" s="56">
        <v>1.0</v>
      </c>
      <c r="AA77" s="1012"/>
      <c r="AB77" s="1012"/>
      <c r="AC77" s="1012"/>
      <c r="AD77" s="1012"/>
      <c r="AE77" s="1012"/>
      <c r="AF77" s="1012"/>
      <c r="AG77" s="1012"/>
      <c r="AH77" s="1012"/>
      <c r="AI77" s="1012"/>
      <c r="AJ77" s="1012"/>
      <c r="AK77" s="1012"/>
    </row>
    <row r="78">
      <c r="A78" s="982" t="s">
        <v>4038</v>
      </c>
      <c r="B78" s="983">
        <v>10.0</v>
      </c>
      <c r="C78" s="1061">
        <f>IFERROR(VLOOKUP(A78,stockKJD,8,FALSE)," ")</f>
        <v>10</v>
      </c>
      <c r="D78" s="1062">
        <f t="shared" si="1"/>
        <v>10</v>
      </c>
      <c r="E78" s="1061">
        <f>IFERROR(VLOOKUP(A78,stockKJD,9,FALSE)," ")</f>
        <v>0</v>
      </c>
      <c r="F78" s="987" t="s">
        <v>13610</v>
      </c>
      <c r="G78" s="1063">
        <f t="shared" si="2"/>
        <v>-2</v>
      </c>
      <c r="H78" s="1075">
        <v>2.0</v>
      </c>
      <c r="I78" s="1064">
        <f t="shared" si="3"/>
        <v>4</v>
      </c>
      <c r="J78" s="1063">
        <v>4.0</v>
      </c>
      <c r="K78" s="1063"/>
      <c r="L78" s="1076" t="s">
        <v>13647</v>
      </c>
      <c r="M78" s="1065">
        <v>493284.0</v>
      </c>
      <c r="N78" s="1063">
        <f>IFERROR(VLOOKUP(A78,hpp,3,FALSE)," ")</f>
        <v>500937</v>
      </c>
      <c r="O78" s="1063">
        <f t="shared" si="4"/>
        <v>4932840</v>
      </c>
      <c r="P78" s="1063">
        <f t="shared" si="5"/>
        <v>5009370</v>
      </c>
      <c r="Q78" s="1066">
        <f t="shared" si="6"/>
        <v>4932840</v>
      </c>
      <c r="R78" s="1067">
        <f t="shared" si="7"/>
        <v>1973136</v>
      </c>
      <c r="S78" s="1067">
        <f t="shared" si="8"/>
        <v>1973136</v>
      </c>
      <c r="T78" s="1068">
        <f t="shared" si="9"/>
        <v>986568</v>
      </c>
      <c r="U78" s="1069" t="str">
        <f>IFERROR(VLOOKUP(A78,StockAll,10,FALSE)," ")</f>
        <v>B10T1</v>
      </c>
      <c r="V78" s="1070"/>
      <c r="W78" s="1071">
        <f t="shared" si="10"/>
        <v>6</v>
      </c>
      <c r="X78" s="1072">
        <f t="shared" si="11"/>
        <v>2959704</v>
      </c>
      <c r="Y78" s="1073">
        <f t="shared" si="12"/>
        <v>4</v>
      </c>
      <c r="Z78" s="56">
        <v>4.0</v>
      </c>
      <c r="AA78" s="1012"/>
      <c r="AB78" s="1012"/>
      <c r="AC78" s="1012"/>
      <c r="AD78" s="1012"/>
      <c r="AE78" s="1012"/>
      <c r="AF78" s="1012"/>
      <c r="AG78" s="1012"/>
      <c r="AH78" s="1012"/>
      <c r="AI78" s="1012"/>
      <c r="AJ78" s="1012"/>
      <c r="AK78" s="1012"/>
    </row>
    <row r="79" hidden="1">
      <c r="A79" s="982" t="s">
        <v>3025</v>
      </c>
      <c r="B79" s="983">
        <v>10.0</v>
      </c>
      <c r="C79" s="1061">
        <f>IFERROR(VLOOKUP(A79,stockKJD,8,FALSE)," ")</f>
        <v>17</v>
      </c>
      <c r="D79" s="1062">
        <f t="shared" si="1"/>
        <v>10</v>
      </c>
      <c r="E79" s="1061">
        <f>IFERROR(VLOOKUP(A79,stockKJD,9,FALSE)," ")</f>
        <v>2</v>
      </c>
      <c r="F79" s="987" t="s">
        <v>13610</v>
      </c>
      <c r="G79" s="1063">
        <f t="shared" si="2"/>
        <v>-2</v>
      </c>
      <c r="H79" s="1075">
        <v>2.0</v>
      </c>
      <c r="I79" s="1064">
        <f t="shared" si="3"/>
        <v>0</v>
      </c>
      <c r="J79" s="1063"/>
      <c r="K79" s="1063"/>
      <c r="L79" s="1065"/>
      <c r="M79" s="1084">
        <v>485958.0</v>
      </c>
      <c r="N79" s="1063">
        <f>IFERROR(VLOOKUP(A79,hpp,3,FALSE)," ")</f>
        <v>495333</v>
      </c>
      <c r="O79" s="1063">
        <f t="shared" si="4"/>
        <v>4859580</v>
      </c>
      <c r="P79" s="1063">
        <f t="shared" si="5"/>
        <v>4953330</v>
      </c>
      <c r="Q79" s="1066">
        <f t="shared" si="6"/>
        <v>4859580</v>
      </c>
      <c r="R79" s="1067">
        <f t="shared" si="7"/>
        <v>0</v>
      </c>
      <c r="S79" s="1067">
        <f t="shared" si="8"/>
        <v>0</v>
      </c>
      <c r="T79" s="1068">
        <f t="shared" si="9"/>
        <v>971916</v>
      </c>
      <c r="U79" s="1069" t="str">
        <f>IFERROR(VLOOKUP(A79,StockAll,10,FALSE)," ")</f>
        <v>B2T2</v>
      </c>
      <c r="V79" s="1070"/>
      <c r="W79" s="1071">
        <f t="shared" si="10"/>
        <v>10</v>
      </c>
      <c r="X79" s="1072">
        <f t="shared" si="11"/>
        <v>4859580</v>
      </c>
      <c r="Y79" s="1073">
        <f t="shared" si="12"/>
        <v>0</v>
      </c>
      <c r="Z79" s="1012"/>
      <c r="AA79" s="1012"/>
      <c r="AB79" s="1012"/>
      <c r="AC79" s="1012"/>
      <c r="AD79" s="1012"/>
      <c r="AE79" s="1012"/>
      <c r="AF79" s="1012"/>
      <c r="AG79" s="1012"/>
      <c r="AH79" s="1012"/>
      <c r="AI79" s="1012"/>
      <c r="AJ79" s="1012"/>
      <c r="AK79" s="1012"/>
    </row>
    <row r="80">
      <c r="A80" s="982" t="s">
        <v>3707</v>
      </c>
      <c r="B80" s="983">
        <v>10.0</v>
      </c>
      <c r="C80" s="1061">
        <f>IFERROR(VLOOKUP(A80,stockKJD,8,FALSE)," ")</f>
        <v>15</v>
      </c>
      <c r="D80" s="1062">
        <f t="shared" si="1"/>
        <v>10</v>
      </c>
      <c r="E80" s="1061">
        <f>IFERROR(VLOOKUP(A80,stockKJD,9,FALSE)," ")</f>
        <v>2</v>
      </c>
      <c r="F80" s="987" t="s">
        <v>13610</v>
      </c>
      <c r="G80" s="1063">
        <f t="shared" si="2"/>
        <v>-2</v>
      </c>
      <c r="H80" s="1075">
        <v>2.0</v>
      </c>
      <c r="I80" s="1064">
        <f t="shared" si="3"/>
        <v>2</v>
      </c>
      <c r="J80" s="1063">
        <v>2.0</v>
      </c>
      <c r="K80" s="1063"/>
      <c r="L80" s="1076" t="s">
        <v>13647</v>
      </c>
      <c r="M80" s="1084">
        <v>485958.0</v>
      </c>
      <c r="N80" s="1063">
        <f>IFERROR(VLOOKUP(A80,hpp,3,FALSE)," ")</f>
        <v>495333</v>
      </c>
      <c r="O80" s="1063">
        <f t="shared" si="4"/>
        <v>4859580</v>
      </c>
      <c r="P80" s="1063">
        <f t="shared" si="5"/>
        <v>4953330</v>
      </c>
      <c r="Q80" s="1066">
        <f t="shared" si="6"/>
        <v>4859580</v>
      </c>
      <c r="R80" s="1067">
        <f t="shared" si="7"/>
        <v>971916</v>
      </c>
      <c r="S80" s="1067">
        <f t="shared" si="8"/>
        <v>971916</v>
      </c>
      <c r="T80" s="1068">
        <f t="shared" si="9"/>
        <v>971916</v>
      </c>
      <c r="U80" s="1069" t="str">
        <f>IFERROR(VLOOKUP(A80,StockAll,10,FALSE)," ")</f>
        <v>B12T1</v>
      </c>
      <c r="V80" s="1070"/>
      <c r="W80" s="1071">
        <f t="shared" si="10"/>
        <v>8</v>
      </c>
      <c r="X80" s="1072">
        <f t="shared" si="11"/>
        <v>3887664</v>
      </c>
      <c r="Y80" s="1073">
        <f t="shared" si="12"/>
        <v>2</v>
      </c>
      <c r="Z80" s="56">
        <v>2.0</v>
      </c>
      <c r="AA80" s="1012"/>
      <c r="AB80" s="1012"/>
      <c r="AC80" s="1012"/>
      <c r="AD80" s="1012"/>
      <c r="AE80" s="1012"/>
      <c r="AF80" s="1012"/>
      <c r="AG80" s="1012"/>
      <c r="AH80" s="1012"/>
      <c r="AI80" s="1012"/>
      <c r="AJ80" s="1012"/>
      <c r="AK80" s="1012"/>
    </row>
    <row r="81">
      <c r="A81" s="982" t="s">
        <v>3223</v>
      </c>
      <c r="B81" s="983">
        <v>10.0</v>
      </c>
      <c r="C81" s="1061">
        <f>IFERROR(VLOOKUP(A81,stockKJD,8,FALSE)," ")</f>
        <v>11</v>
      </c>
      <c r="D81" s="1062">
        <f t="shared" si="1"/>
        <v>10</v>
      </c>
      <c r="E81" s="1061">
        <f>IFERROR(VLOOKUP(A81,stockKJD,9,FALSE)," ")</f>
        <v>0</v>
      </c>
      <c r="F81" s="987" t="s">
        <v>11466</v>
      </c>
      <c r="G81" s="1063">
        <f t="shared" si="2"/>
        <v>0</v>
      </c>
      <c r="H81" s="1064">
        <v>0.0</v>
      </c>
      <c r="I81" s="1064">
        <f t="shared" si="3"/>
        <v>7</v>
      </c>
      <c r="J81" s="1063">
        <v>7.0</v>
      </c>
      <c r="K81" s="1063"/>
      <c r="L81" s="1076" t="s">
        <v>13647</v>
      </c>
      <c r="M81" s="1084">
        <v>456654.0</v>
      </c>
      <c r="N81" s="1063">
        <f>IFERROR(VLOOKUP(A81,hpp,3,FALSE)," ")</f>
        <v>466029</v>
      </c>
      <c r="O81" s="1063">
        <f t="shared" si="4"/>
        <v>4566540</v>
      </c>
      <c r="P81" s="1063">
        <f t="shared" si="5"/>
        <v>4660290</v>
      </c>
      <c r="Q81" s="1066">
        <f t="shared" si="6"/>
        <v>4566540</v>
      </c>
      <c r="R81" s="1067">
        <f t="shared" si="7"/>
        <v>3196578</v>
      </c>
      <c r="S81" s="1067">
        <f t="shared" si="8"/>
        <v>3196578</v>
      </c>
      <c r="T81" s="1068">
        <f t="shared" si="9"/>
        <v>0</v>
      </c>
      <c r="U81" s="1069" t="str">
        <f>IFERROR(VLOOKUP(A81,StockAll,10,FALSE)," ")</f>
        <v>B14T1</v>
      </c>
      <c r="V81" s="1070"/>
      <c r="W81" s="1071">
        <f t="shared" si="10"/>
        <v>3</v>
      </c>
      <c r="X81" s="1072">
        <f t="shared" si="11"/>
        <v>1369962</v>
      </c>
      <c r="Y81" s="1073">
        <f t="shared" si="12"/>
        <v>7</v>
      </c>
      <c r="Z81" s="56">
        <v>7.0</v>
      </c>
      <c r="AA81" s="1012"/>
      <c r="AB81" s="1012"/>
      <c r="AC81" s="1012"/>
      <c r="AD81" s="1012"/>
      <c r="AE81" s="1012"/>
      <c r="AF81" s="1012"/>
      <c r="AG81" s="1012"/>
      <c r="AH81" s="1012"/>
      <c r="AI81" s="1012"/>
      <c r="AJ81" s="1012"/>
      <c r="AK81" s="1012"/>
    </row>
    <row r="82">
      <c r="A82" s="982" t="s">
        <v>2682</v>
      </c>
      <c r="B82" s="983">
        <v>10.0</v>
      </c>
      <c r="C82" s="1061">
        <f>IFERROR(VLOOKUP(A82,stockKJD,8,FALSE)," ")</f>
        <v>14</v>
      </c>
      <c r="D82" s="1062">
        <f t="shared" si="1"/>
        <v>10</v>
      </c>
      <c r="E82" s="1061">
        <f>IFERROR(VLOOKUP(A82,stockKJD,9,FALSE)," ")</f>
        <v>1</v>
      </c>
      <c r="F82" s="987" t="s">
        <v>13610</v>
      </c>
      <c r="G82" s="1063">
        <f t="shared" si="2"/>
        <v>0</v>
      </c>
      <c r="H82" s="1064">
        <v>0.0</v>
      </c>
      <c r="I82" s="1064">
        <f t="shared" si="3"/>
        <v>4</v>
      </c>
      <c r="J82" s="1063">
        <v>4.0</v>
      </c>
      <c r="K82" s="1063"/>
      <c r="L82" s="1076" t="s">
        <v>13647</v>
      </c>
      <c r="M82" s="1084">
        <v>568986.0</v>
      </c>
      <c r="N82" s="1063">
        <f>IFERROR(VLOOKUP(A82,hpp,3,FALSE)," ")</f>
        <v>578361</v>
      </c>
      <c r="O82" s="1063">
        <f t="shared" si="4"/>
        <v>5689860</v>
      </c>
      <c r="P82" s="1063">
        <f t="shared" si="5"/>
        <v>5783610</v>
      </c>
      <c r="Q82" s="1066">
        <f t="shared" si="6"/>
        <v>5689860</v>
      </c>
      <c r="R82" s="1067">
        <f t="shared" si="7"/>
        <v>2275944</v>
      </c>
      <c r="S82" s="1067">
        <f t="shared" si="8"/>
        <v>2275944</v>
      </c>
      <c r="T82" s="1068">
        <f t="shared" si="9"/>
        <v>0</v>
      </c>
      <c r="U82" s="1069" t="str">
        <f>IFERROR(VLOOKUP(A82,StockAll,10,FALSE)," ")</f>
        <v>B3T1</v>
      </c>
      <c r="V82" s="1070"/>
      <c r="W82" s="1071">
        <f t="shared" si="10"/>
        <v>6</v>
      </c>
      <c r="X82" s="1072">
        <f t="shared" si="11"/>
        <v>3413916</v>
      </c>
      <c r="Y82" s="1073">
        <f t="shared" si="12"/>
        <v>4</v>
      </c>
      <c r="Z82" s="56">
        <v>4.0</v>
      </c>
      <c r="AA82" s="1012"/>
      <c r="AB82" s="1012"/>
      <c r="AC82" s="1012"/>
      <c r="AD82" s="1012"/>
      <c r="AE82" s="1012"/>
      <c r="AF82" s="1012"/>
      <c r="AG82" s="1012"/>
      <c r="AH82" s="1012"/>
      <c r="AI82" s="1012"/>
      <c r="AJ82" s="1012"/>
      <c r="AK82" s="1012"/>
    </row>
    <row r="83">
      <c r="A83" s="1080" t="s">
        <v>3313</v>
      </c>
      <c r="B83" s="1085">
        <v>10.0</v>
      </c>
      <c r="C83" s="1061">
        <f>IFERROR(VLOOKUP(A83,stockKJD,8,FALSE)," ")</f>
        <v>22</v>
      </c>
      <c r="D83" s="1062">
        <f t="shared" si="1"/>
        <v>10</v>
      </c>
      <c r="E83" s="1061">
        <f>IFERROR(VLOOKUP(A83,stockKJD,9,FALSE)," ")</f>
        <v>2</v>
      </c>
      <c r="F83" s="987" t="s">
        <v>13614</v>
      </c>
      <c r="G83" s="1063">
        <f t="shared" si="2"/>
        <v>-5</v>
      </c>
      <c r="H83" s="1075">
        <v>5.0</v>
      </c>
      <c r="I83" s="1064">
        <f t="shared" si="3"/>
        <v>2</v>
      </c>
      <c r="J83" s="1063">
        <v>2.0</v>
      </c>
      <c r="K83" s="1063"/>
      <c r="L83" s="1076" t="s">
        <v>13647</v>
      </c>
      <c r="M83" s="1084">
        <v>604395.0</v>
      </c>
      <c r="N83" s="1063">
        <f>IFERROR(VLOOKUP(A83,hpp,3,FALSE)," ")</f>
        <v>613770</v>
      </c>
      <c r="O83" s="1063">
        <f t="shared" si="4"/>
        <v>6043950</v>
      </c>
      <c r="P83" s="1063">
        <f t="shared" si="5"/>
        <v>6137700</v>
      </c>
      <c r="Q83" s="1066">
        <f t="shared" si="6"/>
        <v>6043950</v>
      </c>
      <c r="R83" s="1067">
        <f t="shared" si="7"/>
        <v>1208790</v>
      </c>
      <c r="S83" s="1067">
        <f t="shared" si="8"/>
        <v>1208790</v>
      </c>
      <c r="T83" s="1068">
        <f t="shared" si="9"/>
        <v>3021975</v>
      </c>
      <c r="U83" s="1069" t="str">
        <f>IFERROR(VLOOKUP(A83,StockAll,10,FALSE)," ")</f>
        <v>B1T2</v>
      </c>
      <c r="V83" s="1086"/>
      <c r="W83" s="1071">
        <f t="shared" si="10"/>
        <v>8</v>
      </c>
      <c r="X83" s="1072">
        <f t="shared" si="11"/>
        <v>4835160</v>
      </c>
      <c r="Y83" s="1073">
        <f t="shared" si="12"/>
        <v>2</v>
      </c>
      <c r="Z83" s="56">
        <v>2.0</v>
      </c>
      <c r="AA83" s="1012"/>
      <c r="AB83" s="1012"/>
      <c r="AC83" s="1012"/>
      <c r="AD83" s="1012"/>
      <c r="AE83" s="1012"/>
      <c r="AF83" s="1012"/>
      <c r="AG83" s="1012"/>
      <c r="AH83" s="1012"/>
      <c r="AI83" s="1012"/>
      <c r="AJ83" s="1012"/>
      <c r="AK83" s="1012"/>
    </row>
    <row r="84" hidden="1">
      <c r="A84" s="1080" t="s">
        <v>3290</v>
      </c>
      <c r="B84" s="1085">
        <v>10.0</v>
      </c>
      <c r="C84" s="1061">
        <f>IFERROR(VLOOKUP(A84,stockKJD,8,FALSE)," ")</f>
        <v>30</v>
      </c>
      <c r="D84" s="1062">
        <f t="shared" si="1"/>
        <v>10</v>
      </c>
      <c r="E84" s="1061">
        <f>IFERROR(VLOOKUP(A84,stockKJD,9,FALSE)," ")</f>
        <v>3</v>
      </c>
      <c r="F84" s="1077" t="s">
        <v>13610</v>
      </c>
      <c r="G84" s="1063">
        <f t="shared" si="2"/>
        <v>0</v>
      </c>
      <c r="H84" s="1064">
        <v>0.0</v>
      </c>
      <c r="I84" s="1064">
        <f t="shared" si="3"/>
        <v>0</v>
      </c>
      <c r="J84" s="1063"/>
      <c r="K84" s="1063"/>
      <c r="L84" s="1065"/>
      <c r="M84" s="1084">
        <v>478632.0</v>
      </c>
      <c r="N84" s="1063">
        <f>IFERROR(VLOOKUP(A84,hpp,3,FALSE)," ")</f>
        <v>478632</v>
      </c>
      <c r="O84" s="1063">
        <f t="shared" si="4"/>
        <v>4786320</v>
      </c>
      <c r="P84" s="1063">
        <f t="shared" si="5"/>
        <v>4786320</v>
      </c>
      <c r="Q84" s="1066">
        <f t="shared" si="6"/>
        <v>4786320</v>
      </c>
      <c r="R84" s="1067">
        <f t="shared" si="7"/>
        <v>0</v>
      </c>
      <c r="S84" s="1067">
        <f t="shared" si="8"/>
        <v>0</v>
      </c>
      <c r="T84" s="1068">
        <f t="shared" si="9"/>
        <v>0</v>
      </c>
      <c r="U84" s="1069" t="str">
        <f>IFERROR(VLOOKUP(A84,StockAll,10,FALSE)," ")</f>
        <v>A2T1</v>
      </c>
      <c r="V84" s="1086"/>
      <c r="W84" s="1071">
        <f t="shared" si="10"/>
        <v>10</v>
      </c>
      <c r="X84" s="1072">
        <f t="shared" si="11"/>
        <v>4786320</v>
      </c>
      <c r="Y84" s="1073">
        <f t="shared" si="12"/>
        <v>0</v>
      </c>
      <c r="Z84" s="1012"/>
      <c r="AA84" s="1012"/>
      <c r="AB84" s="1012"/>
      <c r="AC84" s="1012"/>
      <c r="AD84" s="1012"/>
      <c r="AE84" s="1012"/>
      <c r="AF84" s="1012"/>
      <c r="AG84" s="1012"/>
      <c r="AH84" s="1012"/>
      <c r="AI84" s="1012"/>
      <c r="AJ84" s="1012"/>
      <c r="AK84" s="1012"/>
    </row>
    <row r="85" hidden="1">
      <c r="A85" s="1087" t="s">
        <v>3360</v>
      </c>
      <c r="B85" s="983">
        <v>10.0</v>
      </c>
      <c r="C85" s="1061">
        <f>IFERROR(VLOOKUP(A85,stockKJD,8,FALSE)," ")</f>
        <v>28</v>
      </c>
      <c r="D85" s="1062">
        <f t="shared" si="1"/>
        <v>10</v>
      </c>
      <c r="E85" s="1061">
        <f>IFERROR(VLOOKUP(A85,stockKJD,9,FALSE)," ")</f>
        <v>2</v>
      </c>
      <c r="F85" s="987" t="s">
        <v>13610</v>
      </c>
      <c r="G85" s="1063">
        <f t="shared" si="2"/>
        <v>0</v>
      </c>
      <c r="H85" s="1064">
        <v>0.0</v>
      </c>
      <c r="I85" s="1064">
        <f t="shared" si="3"/>
        <v>0</v>
      </c>
      <c r="J85" s="1063"/>
      <c r="K85" s="1063"/>
      <c r="L85" s="1065"/>
      <c r="M85" s="1084">
        <v>672771.0</v>
      </c>
      <c r="N85" s="1063">
        <f>IFERROR(VLOOKUP(A85,hpp,3,FALSE)," ")</f>
        <v>676521</v>
      </c>
      <c r="O85" s="1063">
        <f t="shared" si="4"/>
        <v>6727710</v>
      </c>
      <c r="P85" s="1063">
        <f t="shared" si="5"/>
        <v>6765210</v>
      </c>
      <c r="Q85" s="1066">
        <f t="shared" si="6"/>
        <v>6727710</v>
      </c>
      <c r="R85" s="1067">
        <f t="shared" si="7"/>
        <v>0</v>
      </c>
      <c r="S85" s="1067">
        <f t="shared" si="8"/>
        <v>0</v>
      </c>
      <c r="T85" s="1068">
        <f t="shared" si="9"/>
        <v>0</v>
      </c>
      <c r="U85" s="1069" t="str">
        <f>IFERROR(VLOOKUP(A85,StockAll,10,FALSE)," ")</f>
        <v>B13T1</v>
      </c>
      <c r="V85" s="1086"/>
      <c r="W85" s="1071">
        <f t="shared" si="10"/>
        <v>10</v>
      </c>
      <c r="X85" s="1072">
        <f t="shared" si="11"/>
        <v>6727710</v>
      </c>
      <c r="Y85" s="1073">
        <f t="shared" si="12"/>
        <v>0</v>
      </c>
      <c r="Z85" s="1012"/>
      <c r="AA85" s="1012"/>
      <c r="AB85" s="1012"/>
      <c r="AC85" s="1012"/>
      <c r="AD85" s="1012"/>
      <c r="AE85" s="1012"/>
      <c r="AF85" s="1012"/>
      <c r="AG85" s="1012"/>
      <c r="AH85" s="1012"/>
      <c r="AI85" s="1012"/>
      <c r="AJ85" s="1012"/>
      <c r="AK85" s="1012"/>
    </row>
    <row r="86">
      <c r="A86" s="982" t="s">
        <v>2734</v>
      </c>
      <c r="B86" s="983">
        <v>10.0</v>
      </c>
      <c r="C86" s="1061">
        <f>IFERROR(VLOOKUP(A86,stockKJD,8,FALSE)," ")</f>
        <v>17</v>
      </c>
      <c r="D86" s="1062">
        <f t="shared" si="1"/>
        <v>10</v>
      </c>
      <c r="E86" s="1061">
        <f>IFERROR(VLOOKUP(A86,stockKJD,9,FALSE)," ")</f>
        <v>0</v>
      </c>
      <c r="F86" s="987" t="s">
        <v>13614</v>
      </c>
      <c r="G86" s="1063">
        <f t="shared" si="2"/>
        <v>-2</v>
      </c>
      <c r="H86" s="1075">
        <v>2.0</v>
      </c>
      <c r="I86" s="1064">
        <f t="shared" si="3"/>
        <v>4</v>
      </c>
      <c r="J86" s="1063">
        <v>4.0</v>
      </c>
      <c r="K86" s="1063"/>
      <c r="L86" s="1076" t="s">
        <v>13647</v>
      </c>
      <c r="M86" s="1084">
        <v>628815.0</v>
      </c>
      <c r="N86" s="1063">
        <f>IFERROR(VLOOKUP(A86,hpp,3,FALSE)," ")</f>
        <v>638190</v>
      </c>
      <c r="O86" s="1063">
        <f t="shared" si="4"/>
        <v>6288150</v>
      </c>
      <c r="P86" s="1063">
        <f t="shared" si="5"/>
        <v>6381900</v>
      </c>
      <c r="Q86" s="1066">
        <f t="shared" si="6"/>
        <v>6288150</v>
      </c>
      <c r="R86" s="1067">
        <f t="shared" si="7"/>
        <v>2515260</v>
      </c>
      <c r="S86" s="1067">
        <f t="shared" si="8"/>
        <v>2515260</v>
      </c>
      <c r="T86" s="1068">
        <f t="shared" si="9"/>
        <v>1257630</v>
      </c>
      <c r="U86" s="1069" t="str">
        <f>IFERROR(VLOOKUP(A86,StockAll,10,FALSE)," ")</f>
        <v>B6T1</v>
      </c>
      <c r="V86" s="1086"/>
      <c r="W86" s="1071">
        <f t="shared" si="10"/>
        <v>6</v>
      </c>
      <c r="X86" s="1072">
        <f t="shared" si="11"/>
        <v>3772890</v>
      </c>
      <c r="Y86" s="1073">
        <f t="shared" si="12"/>
        <v>4</v>
      </c>
      <c r="Z86" s="56">
        <v>4.0</v>
      </c>
      <c r="AA86" s="1012"/>
      <c r="AB86" s="1012"/>
      <c r="AC86" s="1012"/>
      <c r="AD86" s="1012"/>
      <c r="AE86" s="1012"/>
      <c r="AF86" s="1012"/>
      <c r="AG86" s="1012"/>
      <c r="AH86" s="1012"/>
      <c r="AI86" s="1012"/>
      <c r="AJ86" s="1012"/>
      <c r="AK86" s="1012"/>
    </row>
    <row r="87">
      <c r="A87" s="982" t="s">
        <v>2722</v>
      </c>
      <c r="B87" s="983">
        <v>10.0</v>
      </c>
      <c r="C87" s="1061">
        <f>IFERROR(VLOOKUP(A87,stockKJD,8,FALSE)," ")</f>
        <v>10</v>
      </c>
      <c r="D87" s="1062">
        <f t="shared" si="1"/>
        <v>10</v>
      </c>
      <c r="E87" s="1061">
        <f>IFERROR(VLOOKUP(A87,stockKJD,9,FALSE)," ")</f>
        <v>1</v>
      </c>
      <c r="F87" s="987" t="s">
        <v>13614</v>
      </c>
      <c r="G87" s="1063">
        <f t="shared" si="2"/>
        <v>0</v>
      </c>
      <c r="H87" s="1064">
        <v>0.0</v>
      </c>
      <c r="I87" s="1064">
        <f t="shared" si="3"/>
        <v>9</v>
      </c>
      <c r="J87" s="1063">
        <v>9.0</v>
      </c>
      <c r="K87" s="1063"/>
      <c r="L87" s="1076" t="s">
        <v>13647</v>
      </c>
      <c r="M87" s="1084">
        <v>329670.0</v>
      </c>
      <c r="N87" s="1063">
        <f>IFERROR(VLOOKUP(A87,hpp,3,FALSE)," ")</f>
        <v>339045</v>
      </c>
      <c r="O87" s="1063">
        <f t="shared" si="4"/>
        <v>3296700</v>
      </c>
      <c r="P87" s="1063">
        <f t="shared" si="5"/>
        <v>3390450</v>
      </c>
      <c r="Q87" s="1066">
        <f t="shared" si="6"/>
        <v>3296700</v>
      </c>
      <c r="R87" s="1067">
        <f t="shared" si="7"/>
        <v>2967030</v>
      </c>
      <c r="S87" s="1067">
        <f t="shared" si="8"/>
        <v>2967030</v>
      </c>
      <c r="T87" s="1068">
        <f t="shared" si="9"/>
        <v>0</v>
      </c>
      <c r="U87" s="1069" t="str">
        <f>IFERROR(VLOOKUP(A87,StockAll,10,FALSE)," ")</f>
        <v>B10T1</v>
      </c>
      <c r="V87" s="1086"/>
      <c r="W87" s="1071">
        <f t="shared" si="10"/>
        <v>1</v>
      </c>
      <c r="X87" s="1072">
        <f t="shared" si="11"/>
        <v>329670</v>
      </c>
      <c r="Y87" s="1073">
        <f t="shared" si="12"/>
        <v>9</v>
      </c>
      <c r="Z87" s="56">
        <v>9.0</v>
      </c>
      <c r="AA87" s="1012"/>
      <c r="AB87" s="1012"/>
      <c r="AC87" s="1012"/>
      <c r="AD87" s="1012"/>
      <c r="AE87" s="1012"/>
      <c r="AF87" s="1012"/>
      <c r="AG87" s="1012"/>
      <c r="AH87" s="1012"/>
      <c r="AI87" s="1012"/>
      <c r="AJ87" s="1012"/>
      <c r="AK87" s="1012"/>
    </row>
    <row r="88" hidden="1">
      <c r="A88" s="982" t="s">
        <v>3411</v>
      </c>
      <c r="B88" s="983">
        <v>10.0</v>
      </c>
      <c r="C88" s="1061">
        <f>IFERROR(VLOOKUP(A88,stockKJD,8,FALSE)," ")</f>
        <v>33</v>
      </c>
      <c r="D88" s="1062">
        <f t="shared" si="1"/>
        <v>10</v>
      </c>
      <c r="E88" s="1061">
        <f>IFERROR(VLOOKUP(A88,stockKJD,9,FALSE)," ")</f>
        <v>6</v>
      </c>
      <c r="F88" s="987" t="s">
        <v>13610</v>
      </c>
      <c r="G88" s="1063">
        <f t="shared" si="2"/>
        <v>0</v>
      </c>
      <c r="H88" s="1064">
        <v>0.0</v>
      </c>
      <c r="I88" s="1064">
        <f t="shared" si="3"/>
        <v>0</v>
      </c>
      <c r="J88" s="1063"/>
      <c r="K88" s="1063"/>
      <c r="L88" s="1065"/>
      <c r="M88" s="1084">
        <v>338217.0</v>
      </c>
      <c r="N88" s="1063">
        <f>IFERROR(VLOOKUP(A88,hpp,3,FALSE)," ")</f>
        <v>341733</v>
      </c>
      <c r="O88" s="1063">
        <f t="shared" si="4"/>
        <v>3382170</v>
      </c>
      <c r="P88" s="1063">
        <f t="shared" si="5"/>
        <v>3417330</v>
      </c>
      <c r="Q88" s="1066">
        <f t="shared" si="6"/>
        <v>3382170</v>
      </c>
      <c r="R88" s="1067">
        <f t="shared" si="7"/>
        <v>0</v>
      </c>
      <c r="S88" s="1067">
        <f t="shared" si="8"/>
        <v>0</v>
      </c>
      <c r="T88" s="1068">
        <f t="shared" si="9"/>
        <v>0</v>
      </c>
      <c r="U88" s="1069" t="str">
        <f>IFERROR(VLOOKUP(A88,StockAll,10,FALSE)," ")</f>
        <v>B1T1</v>
      </c>
      <c r="V88" s="1086"/>
      <c r="W88" s="1071">
        <f t="shared" si="10"/>
        <v>10</v>
      </c>
      <c r="X88" s="1072">
        <f t="shared" si="11"/>
        <v>3382170</v>
      </c>
      <c r="Y88" s="1073">
        <f t="shared" si="12"/>
        <v>0</v>
      </c>
      <c r="Z88" s="1012"/>
      <c r="AA88" s="1012"/>
      <c r="AB88" s="1012"/>
      <c r="AC88" s="1012"/>
      <c r="AD88" s="1012"/>
      <c r="AE88" s="1012"/>
      <c r="AF88" s="1012"/>
      <c r="AG88" s="1012"/>
      <c r="AH88" s="1012"/>
      <c r="AI88" s="1012"/>
      <c r="AJ88" s="1012"/>
      <c r="AK88" s="1012"/>
    </row>
    <row r="89">
      <c r="A89" s="982" t="s">
        <v>6743</v>
      </c>
      <c r="B89" s="983">
        <v>5.0</v>
      </c>
      <c r="C89" s="1061">
        <f>IFERROR(VLOOKUP(A89,stockKJD,8,FALSE)," ")</f>
        <v>5</v>
      </c>
      <c r="D89" s="1062">
        <f t="shared" si="1"/>
        <v>5</v>
      </c>
      <c r="E89" s="1061">
        <f>IFERROR(VLOOKUP(A89,stockKJD,9,FALSE)," ")</f>
        <v>0</v>
      </c>
      <c r="F89" s="987" t="s">
        <v>13614</v>
      </c>
      <c r="G89" s="1063">
        <f t="shared" si="2"/>
        <v>0</v>
      </c>
      <c r="H89" s="1064">
        <v>0.0</v>
      </c>
      <c r="I89" s="1064">
        <f t="shared" si="3"/>
        <v>5</v>
      </c>
      <c r="J89" s="1063">
        <v>5.0</v>
      </c>
      <c r="K89" s="1063"/>
      <c r="L89" s="1076" t="s">
        <v>13647</v>
      </c>
      <c r="M89" s="1084">
        <v>693528.0</v>
      </c>
      <c r="N89" s="1063">
        <f>IFERROR(VLOOKUP(A89,hpp,3,FALSE)," ")</f>
        <v>702903</v>
      </c>
      <c r="O89" s="1063">
        <f t="shared" si="4"/>
        <v>3467640</v>
      </c>
      <c r="P89" s="1063">
        <f t="shared" si="5"/>
        <v>3514515</v>
      </c>
      <c r="Q89" s="1066">
        <f t="shared" si="6"/>
        <v>3467640</v>
      </c>
      <c r="R89" s="1067">
        <f t="shared" si="7"/>
        <v>3467640</v>
      </c>
      <c r="S89" s="1067">
        <f t="shared" si="8"/>
        <v>3467640</v>
      </c>
      <c r="T89" s="1068">
        <f t="shared" si="9"/>
        <v>0</v>
      </c>
      <c r="U89" s="1069" t="str">
        <f>IFERROR(VLOOKUP(A89,StockAll,10,FALSE)," ")</f>
        <v>B10T2</v>
      </c>
      <c r="V89" s="1086"/>
      <c r="W89" s="1071">
        <f t="shared" si="10"/>
        <v>0</v>
      </c>
      <c r="X89" s="1072">
        <f t="shared" si="11"/>
        <v>0</v>
      </c>
      <c r="Y89" s="1073">
        <f t="shared" si="12"/>
        <v>5</v>
      </c>
      <c r="Z89" s="56">
        <v>5.0</v>
      </c>
      <c r="AA89" s="1012"/>
      <c r="AB89" s="1012"/>
      <c r="AC89" s="1012"/>
      <c r="AD89" s="1012"/>
      <c r="AE89" s="1012"/>
      <c r="AF89" s="1012"/>
      <c r="AG89" s="1012"/>
      <c r="AH89" s="1012"/>
      <c r="AI89" s="1012"/>
      <c r="AJ89" s="1012"/>
      <c r="AK89" s="1012"/>
    </row>
    <row r="90">
      <c r="A90" s="982" t="s">
        <v>2585</v>
      </c>
      <c r="B90" s="983">
        <v>5.0</v>
      </c>
      <c r="C90" s="1061">
        <f>IFERROR(VLOOKUP(A90,stockKJD,8,FALSE)," ")</f>
        <v>5</v>
      </c>
      <c r="D90" s="1062">
        <f t="shared" si="1"/>
        <v>5</v>
      </c>
      <c r="E90" s="1061">
        <f>IFERROR(VLOOKUP(A90,stockKJD,9,FALSE)," ")</f>
        <v>1</v>
      </c>
      <c r="F90" s="987" t="s">
        <v>13614</v>
      </c>
      <c r="G90" s="1063">
        <f t="shared" si="2"/>
        <v>0</v>
      </c>
      <c r="H90" s="1064">
        <v>0.0</v>
      </c>
      <c r="I90" s="1064">
        <f t="shared" si="3"/>
        <v>5</v>
      </c>
      <c r="J90" s="1063">
        <v>5.0</v>
      </c>
      <c r="K90" s="1063"/>
      <c r="L90" s="1076" t="s">
        <v>13647</v>
      </c>
      <c r="M90" s="1084">
        <v>660561.0</v>
      </c>
      <c r="N90" s="1063">
        <f>IFERROR(VLOOKUP(A90,hpp,3,FALSE)," ")</f>
        <v>669936</v>
      </c>
      <c r="O90" s="1063">
        <f t="shared" si="4"/>
        <v>3302805</v>
      </c>
      <c r="P90" s="1063">
        <f t="shared" si="5"/>
        <v>3349680</v>
      </c>
      <c r="Q90" s="1066">
        <f t="shared" si="6"/>
        <v>3302805</v>
      </c>
      <c r="R90" s="1067">
        <f t="shared" si="7"/>
        <v>3302805</v>
      </c>
      <c r="S90" s="1067">
        <f t="shared" si="8"/>
        <v>3302805</v>
      </c>
      <c r="T90" s="1068">
        <f t="shared" si="9"/>
        <v>0</v>
      </c>
      <c r="U90" s="1069" t="str">
        <f>IFERROR(VLOOKUP(A90,StockAll,10,FALSE)," ")</f>
        <v>A3T2</v>
      </c>
      <c r="V90" s="1086"/>
      <c r="W90" s="1071">
        <f t="shared" si="10"/>
        <v>0</v>
      </c>
      <c r="X90" s="1072">
        <f t="shared" si="11"/>
        <v>0</v>
      </c>
      <c r="Y90" s="1073">
        <f t="shared" si="12"/>
        <v>5</v>
      </c>
      <c r="Z90" s="56">
        <v>5.0</v>
      </c>
      <c r="AA90" s="1012"/>
      <c r="AB90" s="1012"/>
      <c r="AC90" s="1012"/>
      <c r="AD90" s="1012"/>
      <c r="AE90" s="1012"/>
      <c r="AF90" s="1012"/>
      <c r="AG90" s="1012"/>
      <c r="AH90" s="1012"/>
      <c r="AI90" s="1012"/>
      <c r="AJ90" s="1012"/>
      <c r="AK90" s="1012"/>
    </row>
    <row r="91">
      <c r="A91" s="982" t="s">
        <v>6557</v>
      </c>
      <c r="B91" s="983">
        <v>5.0</v>
      </c>
      <c r="C91" s="1061">
        <f>IFERROR(VLOOKUP(A91,stockKJD,8,FALSE)," ")</f>
        <v>6</v>
      </c>
      <c r="D91" s="1062">
        <f t="shared" si="1"/>
        <v>5</v>
      </c>
      <c r="E91" s="1061">
        <f>IFERROR(VLOOKUP(A91,stockKJD,9,FALSE)," ")</f>
        <v>0</v>
      </c>
      <c r="F91" s="987" t="s">
        <v>13614</v>
      </c>
      <c r="G91" s="1063">
        <f t="shared" si="2"/>
        <v>0</v>
      </c>
      <c r="H91" s="1064">
        <v>0.0</v>
      </c>
      <c r="I91" s="1064">
        <f t="shared" si="3"/>
        <v>4</v>
      </c>
      <c r="J91" s="1063">
        <v>4.0</v>
      </c>
      <c r="K91" s="1063"/>
      <c r="L91" s="1076" t="s">
        <v>13647</v>
      </c>
      <c r="M91" s="1084">
        <v>703296.0</v>
      </c>
      <c r="N91" s="1063">
        <f>IFERROR(VLOOKUP(A91,hpp,3,FALSE)," ")</f>
        <v>712671</v>
      </c>
      <c r="O91" s="1063">
        <f t="shared" si="4"/>
        <v>3516480</v>
      </c>
      <c r="P91" s="1063">
        <f t="shared" si="5"/>
        <v>3563355</v>
      </c>
      <c r="Q91" s="1066">
        <f t="shared" si="6"/>
        <v>3516480</v>
      </c>
      <c r="R91" s="1067">
        <f t="shared" si="7"/>
        <v>2813184</v>
      </c>
      <c r="S91" s="1067">
        <f t="shared" si="8"/>
        <v>2813184</v>
      </c>
      <c r="T91" s="1068">
        <f t="shared" si="9"/>
        <v>0</v>
      </c>
      <c r="U91" s="1069" t="str">
        <f>IFERROR(VLOOKUP(A91,StockAll,10,FALSE)," ")</f>
        <v>B9T1</v>
      </c>
      <c r="V91" s="1086"/>
      <c r="W91" s="1071">
        <f t="shared" si="10"/>
        <v>1</v>
      </c>
      <c r="X91" s="1072">
        <f t="shared" si="11"/>
        <v>703296</v>
      </c>
      <c r="Y91" s="1073">
        <f t="shared" si="12"/>
        <v>4</v>
      </c>
      <c r="Z91" s="56">
        <v>4.0</v>
      </c>
      <c r="AA91" s="1012"/>
      <c r="AB91" s="1012"/>
      <c r="AC91" s="1012"/>
      <c r="AD91" s="1012"/>
      <c r="AE91" s="1012"/>
      <c r="AF91" s="1012"/>
      <c r="AG91" s="1012"/>
      <c r="AH91" s="1012"/>
      <c r="AI91" s="1012"/>
      <c r="AJ91" s="1012"/>
      <c r="AK91" s="1012"/>
    </row>
    <row r="92" hidden="1">
      <c r="A92" s="982" t="s">
        <v>2997</v>
      </c>
      <c r="B92" s="983">
        <v>5.0</v>
      </c>
      <c r="C92" s="1061">
        <f>IFERROR(VLOOKUP(A92,stockKJD,8,FALSE)," ")</f>
        <v>10</v>
      </c>
      <c r="D92" s="1062">
        <f t="shared" si="1"/>
        <v>5</v>
      </c>
      <c r="E92" s="1061">
        <f>IFERROR(VLOOKUP(A92,stockKJD,9,FALSE)," ")</f>
        <v>0</v>
      </c>
      <c r="F92" s="987" t="s">
        <v>13610</v>
      </c>
      <c r="G92" s="1063">
        <f t="shared" si="2"/>
        <v>0</v>
      </c>
      <c r="H92" s="1064">
        <v>0.0</v>
      </c>
      <c r="I92" s="1064">
        <f t="shared" si="3"/>
        <v>0</v>
      </c>
      <c r="J92" s="1063"/>
      <c r="K92" s="1063"/>
      <c r="L92" s="1065"/>
      <c r="M92" s="1084">
        <v>605616.0</v>
      </c>
      <c r="N92" s="1063">
        <f>IFERROR(VLOOKUP(A92,hpp,3,FALSE)," ")</f>
        <v>608295</v>
      </c>
      <c r="O92" s="1063">
        <f t="shared" si="4"/>
        <v>3028080</v>
      </c>
      <c r="P92" s="1063">
        <f t="shared" si="5"/>
        <v>3041475</v>
      </c>
      <c r="Q92" s="1066">
        <f t="shared" si="6"/>
        <v>3028080</v>
      </c>
      <c r="R92" s="1067">
        <f t="shared" si="7"/>
        <v>0</v>
      </c>
      <c r="S92" s="1067">
        <f t="shared" si="8"/>
        <v>0</v>
      </c>
      <c r="T92" s="1068">
        <f t="shared" si="9"/>
        <v>0</v>
      </c>
      <c r="U92" s="1069" t="str">
        <f>IFERROR(VLOOKUP(A92,StockAll,10,FALSE)," ")</f>
        <v>B5T1</v>
      </c>
      <c r="V92" s="1086"/>
      <c r="W92" s="1071">
        <f t="shared" si="10"/>
        <v>5</v>
      </c>
      <c r="X92" s="1072">
        <f t="shared" si="11"/>
        <v>3028080</v>
      </c>
      <c r="Y92" s="1073">
        <f t="shared" si="12"/>
        <v>0</v>
      </c>
      <c r="Z92" s="1012"/>
      <c r="AA92" s="1012"/>
      <c r="AB92" s="1012"/>
      <c r="AC92" s="1012"/>
      <c r="AD92" s="1012"/>
      <c r="AE92" s="1012"/>
      <c r="AF92" s="1012"/>
      <c r="AG92" s="1012"/>
      <c r="AH92" s="1012"/>
      <c r="AI92" s="1012"/>
      <c r="AJ92" s="1012"/>
      <c r="AK92" s="1012"/>
    </row>
    <row r="93">
      <c r="A93" s="982" t="s">
        <v>2588</v>
      </c>
      <c r="B93" s="983">
        <v>10.0</v>
      </c>
      <c r="C93" s="1061">
        <f>IFERROR(VLOOKUP(A93,stockKJD,8,FALSE)," ")</f>
        <v>12</v>
      </c>
      <c r="D93" s="1062">
        <f t="shared" si="1"/>
        <v>10</v>
      </c>
      <c r="E93" s="1061">
        <f>IFERROR(VLOOKUP(A93,stockKJD,9,FALSE)," ")</f>
        <v>0</v>
      </c>
      <c r="F93" s="987" t="s">
        <v>13614</v>
      </c>
      <c r="G93" s="1063">
        <f t="shared" si="2"/>
        <v>0</v>
      </c>
      <c r="H93" s="1064">
        <v>0.0</v>
      </c>
      <c r="I93" s="1064">
        <f t="shared" si="3"/>
        <v>7</v>
      </c>
      <c r="J93" s="1063">
        <v>7.0</v>
      </c>
      <c r="K93" s="1063"/>
      <c r="L93" s="1076" t="s">
        <v>13647</v>
      </c>
      <c r="M93" s="1065">
        <v>570207.0</v>
      </c>
      <c r="N93" s="1063">
        <f>IFERROR(VLOOKUP(A93,hpp,3,FALSE)," ")</f>
        <v>574895</v>
      </c>
      <c r="O93" s="1063">
        <f t="shared" si="4"/>
        <v>5702070</v>
      </c>
      <c r="P93" s="1063">
        <f t="shared" si="5"/>
        <v>5748950</v>
      </c>
      <c r="Q93" s="1066">
        <f t="shared" si="6"/>
        <v>5702070</v>
      </c>
      <c r="R93" s="1067">
        <f t="shared" si="7"/>
        <v>3991449</v>
      </c>
      <c r="S93" s="1067">
        <f t="shared" si="8"/>
        <v>3991449</v>
      </c>
      <c r="T93" s="1068">
        <f t="shared" si="9"/>
        <v>0</v>
      </c>
      <c r="U93" s="1069" t="str">
        <f>IFERROR(VLOOKUP(A93,StockAll,10,FALSE)," ")</f>
        <v>A3T1</v>
      </c>
      <c r="V93" s="1086"/>
      <c r="W93" s="1071">
        <f t="shared" si="10"/>
        <v>3</v>
      </c>
      <c r="X93" s="1072">
        <f t="shared" si="11"/>
        <v>1710621</v>
      </c>
      <c r="Y93" s="1073">
        <f t="shared" si="12"/>
        <v>7</v>
      </c>
      <c r="Z93" s="56">
        <v>7.0</v>
      </c>
      <c r="AA93" s="1012"/>
      <c r="AB93" s="1012"/>
      <c r="AC93" s="1012"/>
      <c r="AD93" s="1012"/>
      <c r="AE93" s="1012"/>
      <c r="AF93" s="1012"/>
      <c r="AG93" s="1012"/>
      <c r="AH93" s="1012"/>
      <c r="AI93" s="1012"/>
      <c r="AJ93" s="1012"/>
      <c r="AK93" s="1012"/>
    </row>
    <row r="94">
      <c r="A94" s="982" t="s">
        <v>4936</v>
      </c>
      <c r="B94" s="983">
        <v>10.0</v>
      </c>
      <c r="C94" s="1061">
        <f>IFERROR(VLOOKUP(A94,stockKJD,8,FALSE)," ")</f>
        <v>10</v>
      </c>
      <c r="D94" s="1062">
        <f t="shared" si="1"/>
        <v>10</v>
      </c>
      <c r="E94" s="1061">
        <f>IFERROR(VLOOKUP(A94,stockKJD,9,FALSE)," ")</f>
        <v>0</v>
      </c>
      <c r="F94" s="987" t="s">
        <v>13614</v>
      </c>
      <c r="G94" s="1063">
        <f t="shared" si="2"/>
        <v>0</v>
      </c>
      <c r="H94" s="1064">
        <v>0.0</v>
      </c>
      <c r="I94" s="1064">
        <f t="shared" si="3"/>
        <v>9</v>
      </c>
      <c r="J94" s="1063">
        <v>9.0</v>
      </c>
      <c r="K94" s="1063"/>
      <c r="L94" s="1076" t="s">
        <v>13647</v>
      </c>
      <c r="M94" s="1065">
        <v>822954.0</v>
      </c>
      <c r="N94" s="1063">
        <f>IFERROR(VLOOKUP(A94,hpp,3,FALSE)," ")</f>
        <v>827642</v>
      </c>
      <c r="O94" s="1063">
        <f t="shared" si="4"/>
        <v>8229540</v>
      </c>
      <c r="P94" s="1063">
        <f t="shared" si="5"/>
        <v>8276420</v>
      </c>
      <c r="Q94" s="1066">
        <f t="shared" si="6"/>
        <v>8229540</v>
      </c>
      <c r="R94" s="1067">
        <f t="shared" si="7"/>
        <v>7406586</v>
      </c>
      <c r="S94" s="1067">
        <f t="shared" si="8"/>
        <v>7406586</v>
      </c>
      <c r="T94" s="1068">
        <f t="shared" si="9"/>
        <v>0</v>
      </c>
      <c r="U94" s="1069" t="str">
        <f>IFERROR(VLOOKUP(A94,StockAll,10,FALSE)," ")</f>
        <v>B6T2</v>
      </c>
      <c r="V94" s="1086"/>
      <c r="W94" s="1071">
        <f t="shared" si="10"/>
        <v>1</v>
      </c>
      <c r="X94" s="1072">
        <f t="shared" si="11"/>
        <v>822954</v>
      </c>
      <c r="Y94" s="1073">
        <f t="shared" si="12"/>
        <v>9</v>
      </c>
      <c r="Z94" s="56">
        <v>9.0</v>
      </c>
      <c r="AA94" s="1012"/>
      <c r="AB94" s="1012"/>
      <c r="AC94" s="1012"/>
      <c r="AD94" s="1012"/>
      <c r="AE94" s="1012"/>
      <c r="AF94" s="1012"/>
      <c r="AG94" s="1012"/>
      <c r="AH94" s="1012"/>
      <c r="AI94" s="1012"/>
      <c r="AJ94" s="1012"/>
      <c r="AK94" s="1012"/>
    </row>
    <row r="95">
      <c r="A95" s="982" t="s">
        <v>3159</v>
      </c>
      <c r="B95" s="983">
        <v>10.0</v>
      </c>
      <c r="C95" s="1061">
        <f>IFERROR(VLOOKUP(A95,stockKJD,8,FALSE)," ")</f>
        <v>10</v>
      </c>
      <c r="D95" s="1062">
        <f t="shared" si="1"/>
        <v>10</v>
      </c>
      <c r="E95" s="1061">
        <f>IFERROR(VLOOKUP(A95,stockKJD,9,FALSE)," ")</f>
        <v>0</v>
      </c>
      <c r="F95" s="987" t="s">
        <v>13610</v>
      </c>
      <c r="G95" s="1063">
        <f t="shared" si="2"/>
        <v>0</v>
      </c>
      <c r="H95" s="1075">
        <v>0.0</v>
      </c>
      <c r="I95" s="1064">
        <f t="shared" si="3"/>
        <v>3</v>
      </c>
      <c r="J95" s="1063">
        <v>3.0</v>
      </c>
      <c r="K95" s="1063"/>
      <c r="L95" s="1076" t="s">
        <v>13647</v>
      </c>
      <c r="M95" s="1065">
        <v>670329.0</v>
      </c>
      <c r="N95" s="1063">
        <f>IFERROR(VLOOKUP(A95,hpp,3,FALSE)," ")</f>
        <v>675017</v>
      </c>
      <c r="O95" s="1063">
        <f t="shared" si="4"/>
        <v>6703290</v>
      </c>
      <c r="P95" s="1063">
        <f t="shared" si="5"/>
        <v>6750170</v>
      </c>
      <c r="Q95" s="1066">
        <f t="shared" si="6"/>
        <v>6703290</v>
      </c>
      <c r="R95" s="1067">
        <f t="shared" si="7"/>
        <v>2010987</v>
      </c>
      <c r="S95" s="1067">
        <f t="shared" si="8"/>
        <v>2010987</v>
      </c>
      <c r="T95" s="1068">
        <f t="shared" si="9"/>
        <v>0</v>
      </c>
      <c r="U95" s="1069" t="str">
        <f>IFERROR(VLOOKUP(A95,StockAll,10,FALSE)," ")</f>
        <v>B6T1</v>
      </c>
      <c r="V95" s="1086"/>
      <c r="W95" s="1071">
        <f t="shared" si="10"/>
        <v>7</v>
      </c>
      <c r="X95" s="1072">
        <f t="shared" si="11"/>
        <v>4692303</v>
      </c>
      <c r="Y95" s="1073">
        <f t="shared" si="12"/>
        <v>3</v>
      </c>
      <c r="Z95" s="56">
        <v>3.0</v>
      </c>
      <c r="AA95" s="1012"/>
      <c r="AB95" s="1012"/>
      <c r="AC95" s="1012"/>
      <c r="AD95" s="1012"/>
      <c r="AE95" s="1012"/>
      <c r="AF95" s="1012"/>
      <c r="AG95" s="1012"/>
      <c r="AH95" s="1012"/>
      <c r="AI95" s="1012"/>
      <c r="AJ95" s="1012"/>
      <c r="AK95" s="1012"/>
    </row>
    <row r="96" hidden="1">
      <c r="A96" s="982" t="s">
        <v>3083</v>
      </c>
      <c r="B96" s="983">
        <v>30.0</v>
      </c>
      <c r="C96" s="1061">
        <f>IFERROR(VLOOKUP(A96,stockKJD,8,FALSE)," ")</f>
        <v>58</v>
      </c>
      <c r="D96" s="1062">
        <f t="shared" si="1"/>
        <v>30</v>
      </c>
      <c r="E96" s="1061">
        <f>IFERROR(VLOOKUP(A96,stockKJD,9,FALSE)," ")</f>
        <v>2</v>
      </c>
      <c r="F96" s="993" t="s">
        <v>13610</v>
      </c>
      <c r="G96" s="1063">
        <f t="shared" si="2"/>
        <v>-11</v>
      </c>
      <c r="H96" s="1075">
        <v>11.0</v>
      </c>
      <c r="I96" s="1064">
        <f t="shared" si="3"/>
        <v>0</v>
      </c>
      <c r="J96" s="1063"/>
      <c r="K96" s="1063"/>
      <c r="L96" s="1065"/>
      <c r="M96" s="1065">
        <v>50000.0</v>
      </c>
      <c r="N96" s="1063">
        <f>IFERROR(VLOOKUP(A96,hpp,3,FALSE)," ")</f>
        <v>54688</v>
      </c>
      <c r="O96" s="1063">
        <f t="shared" si="4"/>
        <v>1500000</v>
      </c>
      <c r="P96" s="1063">
        <f t="shared" si="5"/>
        <v>1640640</v>
      </c>
      <c r="Q96" s="1066">
        <f t="shared" si="6"/>
        <v>1500000</v>
      </c>
      <c r="R96" s="1067">
        <f t="shared" si="7"/>
        <v>0</v>
      </c>
      <c r="S96" s="1067">
        <f t="shared" si="8"/>
        <v>0</v>
      </c>
      <c r="T96" s="1068">
        <f t="shared" si="9"/>
        <v>550000</v>
      </c>
      <c r="U96" s="1069" t="str">
        <f>IFERROR(VLOOKUP(A96,StockAll,10,FALSE)," ")</f>
        <v/>
      </c>
      <c r="V96" s="1086"/>
      <c r="W96" s="1071">
        <f t="shared" si="10"/>
        <v>30</v>
      </c>
      <c r="X96" s="1072">
        <f t="shared" si="11"/>
        <v>1500000</v>
      </c>
      <c r="Y96" s="1073">
        <f t="shared" si="12"/>
        <v>0</v>
      </c>
      <c r="Z96" s="1012"/>
      <c r="AA96" s="1012"/>
      <c r="AB96" s="1012"/>
      <c r="AC96" s="1012"/>
      <c r="AD96" s="1012"/>
      <c r="AE96" s="1012"/>
      <c r="AF96" s="1012"/>
      <c r="AG96" s="1012"/>
      <c r="AH96" s="1012"/>
      <c r="AI96" s="1012"/>
      <c r="AJ96" s="1012"/>
      <c r="AK96" s="1012"/>
    </row>
    <row r="97" hidden="1">
      <c r="A97" s="982" t="s">
        <v>3826</v>
      </c>
      <c r="B97" s="983">
        <v>10.0</v>
      </c>
      <c r="C97" s="1061">
        <f>IFERROR(VLOOKUP(A97,stockKJD,8,FALSE)," ")</f>
        <v>32</v>
      </c>
      <c r="D97" s="1062">
        <f t="shared" si="1"/>
        <v>10</v>
      </c>
      <c r="E97" s="1061">
        <f>IFERROR(VLOOKUP(A97,stockKJD,9,FALSE)," ")</f>
        <v>5</v>
      </c>
      <c r="F97" s="993" t="s">
        <v>13610</v>
      </c>
      <c r="G97" s="1063">
        <f t="shared" si="2"/>
        <v>-2</v>
      </c>
      <c r="H97" s="1075">
        <v>2.0</v>
      </c>
      <c r="I97" s="1064">
        <f t="shared" si="3"/>
        <v>0</v>
      </c>
      <c r="J97" s="1063"/>
      <c r="K97" s="1063"/>
      <c r="L97" s="1065"/>
      <c r="M97" s="1065">
        <v>50000.0</v>
      </c>
      <c r="N97" s="1063">
        <f>IFERROR(VLOOKUP(A97,hpp,3,FALSE)," ")</f>
        <v>54688</v>
      </c>
      <c r="O97" s="1063">
        <f t="shared" si="4"/>
        <v>500000</v>
      </c>
      <c r="P97" s="1063">
        <f t="shared" si="5"/>
        <v>546880</v>
      </c>
      <c r="Q97" s="1066">
        <f t="shared" si="6"/>
        <v>500000</v>
      </c>
      <c r="R97" s="1067">
        <f t="shared" si="7"/>
        <v>0</v>
      </c>
      <c r="S97" s="1067">
        <f t="shared" si="8"/>
        <v>0</v>
      </c>
      <c r="T97" s="1068">
        <f t="shared" si="9"/>
        <v>100000</v>
      </c>
      <c r="U97" s="1069" t="str">
        <f>IFERROR(VLOOKUP(A97,StockAll,10,FALSE)," ")</f>
        <v/>
      </c>
      <c r="V97" s="1086"/>
      <c r="W97" s="1071">
        <f t="shared" si="10"/>
        <v>10</v>
      </c>
      <c r="X97" s="1072">
        <f t="shared" si="11"/>
        <v>500000</v>
      </c>
      <c r="Y97" s="1073">
        <f t="shared" si="12"/>
        <v>0</v>
      </c>
      <c r="Z97" s="1012"/>
      <c r="AA97" s="1012"/>
      <c r="AB97" s="1012"/>
      <c r="AC97" s="1012"/>
      <c r="AD97" s="1012"/>
      <c r="AE97" s="1012"/>
      <c r="AF97" s="1012"/>
      <c r="AG97" s="1012"/>
      <c r="AH97" s="1012"/>
      <c r="AI97" s="1012"/>
      <c r="AJ97" s="1012"/>
      <c r="AK97" s="1012"/>
    </row>
    <row r="98" hidden="1">
      <c r="A98" s="982" t="s">
        <v>3355</v>
      </c>
      <c r="B98" s="983">
        <v>10.0</v>
      </c>
      <c r="C98" s="1061">
        <f>IFERROR(VLOOKUP(A98,stockKJD,8,FALSE)," ")</f>
        <v>27</v>
      </c>
      <c r="D98" s="1062">
        <f t="shared" si="1"/>
        <v>10</v>
      </c>
      <c r="E98" s="1061">
        <f>IFERROR(VLOOKUP(A98,stockKJD,9,FALSE)," ")</f>
        <v>3</v>
      </c>
      <c r="F98" s="993" t="s">
        <v>13610</v>
      </c>
      <c r="G98" s="1063">
        <f t="shared" si="2"/>
        <v>-1</v>
      </c>
      <c r="H98" s="1075">
        <v>1.0</v>
      </c>
      <c r="I98" s="1064">
        <f t="shared" si="3"/>
        <v>0</v>
      </c>
      <c r="J98" s="1063"/>
      <c r="K98" s="1063"/>
      <c r="L98" s="1065"/>
      <c r="M98" s="1065">
        <v>85000.0</v>
      </c>
      <c r="N98" s="1063">
        <f>IFERROR(VLOOKUP(A98,hpp,3,FALSE)," ")</f>
        <v>89688</v>
      </c>
      <c r="O98" s="1063">
        <f t="shared" si="4"/>
        <v>850000</v>
      </c>
      <c r="P98" s="1063">
        <f t="shared" si="5"/>
        <v>896880</v>
      </c>
      <c r="Q98" s="1066">
        <f t="shared" si="6"/>
        <v>850000</v>
      </c>
      <c r="R98" s="1067">
        <f t="shared" si="7"/>
        <v>0</v>
      </c>
      <c r="S98" s="1067">
        <f t="shared" si="8"/>
        <v>0</v>
      </c>
      <c r="T98" s="1068">
        <f t="shared" si="9"/>
        <v>85000</v>
      </c>
      <c r="U98" s="1069" t="str">
        <f>IFERROR(VLOOKUP(A98,StockAll,10,FALSE)," ")</f>
        <v/>
      </c>
      <c r="V98" s="1086"/>
      <c r="W98" s="1071">
        <f t="shared" si="10"/>
        <v>10</v>
      </c>
      <c r="X98" s="1072">
        <f t="shared" si="11"/>
        <v>850000</v>
      </c>
      <c r="Y98" s="1073">
        <f t="shared" si="12"/>
        <v>0</v>
      </c>
      <c r="Z98" s="1012"/>
      <c r="AA98" s="1012"/>
      <c r="AB98" s="1012"/>
      <c r="AC98" s="1012"/>
      <c r="AD98" s="1012"/>
      <c r="AE98" s="1012"/>
      <c r="AF98" s="1012"/>
      <c r="AG98" s="1012"/>
      <c r="AH98" s="1012"/>
      <c r="AI98" s="1012"/>
      <c r="AJ98" s="1012"/>
      <c r="AK98" s="1012"/>
    </row>
    <row r="99">
      <c r="A99" s="982" t="s">
        <v>6744</v>
      </c>
      <c r="B99" s="983">
        <v>5.0</v>
      </c>
      <c r="C99" s="1061">
        <f>IFERROR(VLOOKUP(A99,stockKJD,8,FALSE)," ")</f>
        <v>5</v>
      </c>
      <c r="D99" s="1062">
        <f t="shared" si="1"/>
        <v>5</v>
      </c>
      <c r="E99" s="1061">
        <f>IFERROR(VLOOKUP(A99,stockKJD,9,FALSE)," ")</f>
        <v>0</v>
      </c>
      <c r="F99" s="987" t="s">
        <v>13614</v>
      </c>
      <c r="G99" s="1063">
        <f t="shared" si="2"/>
        <v>0</v>
      </c>
      <c r="H99" s="1064">
        <v>0.0</v>
      </c>
      <c r="I99" s="1064">
        <f t="shared" si="3"/>
        <v>5</v>
      </c>
      <c r="J99" s="1063">
        <v>5.0</v>
      </c>
      <c r="K99" s="1063"/>
      <c r="L99" s="1076" t="s">
        <v>13647</v>
      </c>
      <c r="M99" s="1065">
        <v>675213.0</v>
      </c>
      <c r="N99" s="1063">
        <f>IFERROR(VLOOKUP(A99,hpp,3,FALSE)," ")</f>
        <v>675213</v>
      </c>
      <c r="O99" s="1063">
        <f t="shared" si="4"/>
        <v>3376065</v>
      </c>
      <c r="P99" s="1063">
        <f t="shared" si="5"/>
        <v>3376065</v>
      </c>
      <c r="Q99" s="1066">
        <f t="shared" si="6"/>
        <v>3376065</v>
      </c>
      <c r="R99" s="1067">
        <f t="shared" si="7"/>
        <v>3376065</v>
      </c>
      <c r="S99" s="1067">
        <f t="shared" si="8"/>
        <v>3376065</v>
      </c>
      <c r="T99" s="1068">
        <f t="shared" si="9"/>
        <v>0</v>
      </c>
      <c r="U99" s="1069" t="str">
        <f>IFERROR(VLOOKUP(A99,StockAll,10,FALSE)," ")</f>
        <v>A7T2</v>
      </c>
      <c r="V99" s="1086"/>
      <c r="W99" s="1071">
        <f t="shared" si="10"/>
        <v>0</v>
      </c>
      <c r="X99" s="1072">
        <f t="shared" si="11"/>
        <v>0</v>
      </c>
      <c r="Y99" s="1073">
        <f t="shared" si="12"/>
        <v>5</v>
      </c>
      <c r="Z99" s="56">
        <v>5.0</v>
      </c>
      <c r="AA99" s="1012"/>
      <c r="AB99" s="1012"/>
      <c r="AC99" s="1012"/>
      <c r="AD99" s="1012"/>
      <c r="AE99" s="1012"/>
      <c r="AF99" s="1012"/>
      <c r="AG99" s="1012"/>
      <c r="AH99" s="1012"/>
      <c r="AI99" s="1012"/>
      <c r="AJ99" s="1012"/>
      <c r="AK99" s="1012"/>
    </row>
    <row r="100">
      <c r="A100" s="982" t="s">
        <v>6502</v>
      </c>
      <c r="B100" s="983">
        <v>5.0</v>
      </c>
      <c r="C100" s="1061">
        <f>IFERROR(VLOOKUP(A100,stockKJD,8,FALSE)," ")</f>
        <v>5</v>
      </c>
      <c r="D100" s="1062">
        <f t="shared" si="1"/>
        <v>5</v>
      </c>
      <c r="E100" s="1061">
        <f>IFERROR(VLOOKUP(A100,stockKJD,9,FALSE)," ")</f>
        <v>0</v>
      </c>
      <c r="F100" s="987" t="s">
        <v>13614</v>
      </c>
      <c r="G100" s="1063">
        <f t="shared" si="2"/>
        <v>0</v>
      </c>
      <c r="H100" s="1064">
        <v>0.0</v>
      </c>
      <c r="I100" s="1064">
        <f t="shared" si="3"/>
        <v>4</v>
      </c>
      <c r="J100" s="1063">
        <v>4.0</v>
      </c>
      <c r="K100" s="1063"/>
      <c r="L100" s="1076" t="s">
        <v>13647</v>
      </c>
      <c r="M100" s="1065">
        <v>653235.0</v>
      </c>
      <c r="N100" s="1063">
        <f>IFERROR(VLOOKUP(A100,hpp,3,FALSE)," ")</f>
        <v>653235</v>
      </c>
      <c r="O100" s="1063">
        <f t="shared" si="4"/>
        <v>3266175</v>
      </c>
      <c r="P100" s="1063">
        <f t="shared" si="5"/>
        <v>3266175</v>
      </c>
      <c r="Q100" s="1066">
        <f t="shared" si="6"/>
        <v>3266175</v>
      </c>
      <c r="R100" s="1067">
        <f t="shared" si="7"/>
        <v>2612940</v>
      </c>
      <c r="S100" s="1067">
        <f t="shared" si="8"/>
        <v>2612940</v>
      </c>
      <c r="T100" s="1068">
        <f t="shared" si="9"/>
        <v>0</v>
      </c>
      <c r="U100" s="1069" t="str">
        <f>IFERROR(VLOOKUP(A100,StockAll,10,FALSE)," ")</f>
        <v>A7T1</v>
      </c>
      <c r="V100" s="1086"/>
      <c r="W100" s="1071">
        <f t="shared" si="10"/>
        <v>1</v>
      </c>
      <c r="X100" s="1072">
        <f t="shared" si="11"/>
        <v>653235</v>
      </c>
      <c r="Y100" s="1073">
        <f t="shared" si="12"/>
        <v>4</v>
      </c>
      <c r="Z100" s="56">
        <v>4.0</v>
      </c>
      <c r="AA100" s="1012"/>
      <c r="AB100" s="1012"/>
      <c r="AC100" s="1012"/>
      <c r="AD100" s="1012"/>
      <c r="AE100" s="1012"/>
      <c r="AF100" s="1012"/>
      <c r="AG100" s="1012"/>
      <c r="AH100" s="1012"/>
      <c r="AI100" s="1012"/>
      <c r="AJ100" s="1012"/>
      <c r="AK100" s="1012"/>
    </row>
    <row r="101">
      <c r="A101" s="982" t="s">
        <v>6745</v>
      </c>
      <c r="B101" s="983">
        <v>5.0</v>
      </c>
      <c r="C101" s="1061">
        <f>IFERROR(VLOOKUP(A101,stockKJD,8,FALSE)," ")</f>
        <v>5</v>
      </c>
      <c r="D101" s="1062">
        <f t="shared" si="1"/>
        <v>5</v>
      </c>
      <c r="E101" s="1061">
        <f>IFERROR(VLOOKUP(A101,stockKJD,9,FALSE)," ")</f>
        <v>0</v>
      </c>
      <c r="F101" s="987" t="s">
        <v>13614</v>
      </c>
      <c r="G101" s="1063">
        <f t="shared" si="2"/>
        <v>0</v>
      </c>
      <c r="H101" s="1064">
        <v>0.0</v>
      </c>
      <c r="I101" s="1064">
        <f t="shared" si="3"/>
        <v>5</v>
      </c>
      <c r="J101" s="1063">
        <v>5.0</v>
      </c>
      <c r="K101" s="1063"/>
      <c r="L101" s="1076" t="s">
        <v>13647</v>
      </c>
      <c r="M101" s="1065">
        <v>553113.0</v>
      </c>
      <c r="N101" s="1063">
        <f>IFERROR(VLOOKUP(A101,hpp,3,FALSE)," ")</f>
        <v>553113</v>
      </c>
      <c r="O101" s="1063">
        <f t="shared" si="4"/>
        <v>2765565</v>
      </c>
      <c r="P101" s="1063">
        <f t="shared" si="5"/>
        <v>2765565</v>
      </c>
      <c r="Q101" s="1066">
        <f t="shared" si="6"/>
        <v>2765565</v>
      </c>
      <c r="R101" s="1067">
        <f t="shared" si="7"/>
        <v>2765565</v>
      </c>
      <c r="S101" s="1067">
        <f t="shared" si="8"/>
        <v>2765565</v>
      </c>
      <c r="T101" s="1068">
        <f t="shared" si="9"/>
        <v>0</v>
      </c>
      <c r="U101" s="1069" t="str">
        <f>IFERROR(VLOOKUP(A101,StockAll,10,FALSE)," ")</f>
        <v>A5T2</v>
      </c>
      <c r="V101" s="1086"/>
      <c r="W101" s="1071">
        <f t="shared" si="10"/>
        <v>0</v>
      </c>
      <c r="X101" s="1072">
        <f t="shared" si="11"/>
        <v>0</v>
      </c>
      <c r="Y101" s="1073">
        <f t="shared" si="12"/>
        <v>5</v>
      </c>
      <c r="Z101" s="56">
        <v>5.0</v>
      </c>
      <c r="AA101" s="1012"/>
      <c r="AB101" s="1012"/>
      <c r="AC101" s="1012"/>
      <c r="AD101" s="1012"/>
      <c r="AE101" s="1012"/>
      <c r="AF101" s="1012"/>
      <c r="AG101" s="1012"/>
      <c r="AH101" s="1012"/>
      <c r="AI101" s="1012"/>
      <c r="AJ101" s="1012"/>
      <c r="AK101" s="1012"/>
    </row>
    <row r="102">
      <c r="A102" s="982" t="s">
        <v>6145</v>
      </c>
      <c r="B102" s="983">
        <v>5.0</v>
      </c>
      <c r="C102" s="1061" t="str">
        <f>IFERROR(VLOOKUP(A102,stockKJD,8,FALSE)," ")</f>
        <v> </v>
      </c>
      <c r="D102" s="1062">
        <f t="shared" si="1"/>
        <v>5</v>
      </c>
      <c r="E102" s="1061" t="str">
        <f>IFERROR(VLOOKUP(A102,stockKJD,9,FALSE)," ")</f>
        <v> </v>
      </c>
      <c r="F102" s="987" t="s">
        <v>13614</v>
      </c>
      <c r="G102" s="1063">
        <f t="shared" si="2"/>
        <v>0</v>
      </c>
      <c r="H102" s="1064">
        <v>0.0</v>
      </c>
      <c r="I102" s="1064">
        <f t="shared" si="3"/>
        <v>4</v>
      </c>
      <c r="J102" s="1063">
        <v>2.0</v>
      </c>
      <c r="K102" s="1078">
        <v>2.0</v>
      </c>
      <c r="L102" s="1076" t="s">
        <v>13648</v>
      </c>
      <c r="M102" s="1065">
        <v>736263.0</v>
      </c>
      <c r="N102" s="1063">
        <f>IFERROR(VLOOKUP(A102,hpp,3,FALSE)," ")</f>
        <v>736263</v>
      </c>
      <c r="O102" s="1063">
        <f t="shared" si="4"/>
        <v>3681315</v>
      </c>
      <c r="P102" s="1063">
        <f t="shared" si="5"/>
        <v>3681315</v>
      </c>
      <c r="Q102" s="1066">
        <f t="shared" si="6"/>
        <v>3681315</v>
      </c>
      <c r="R102" s="1067">
        <f t="shared" si="7"/>
        <v>2945052</v>
      </c>
      <c r="S102" s="1067">
        <f t="shared" si="8"/>
        <v>2945052</v>
      </c>
      <c r="T102" s="1068">
        <f t="shared" si="9"/>
        <v>0</v>
      </c>
      <c r="U102" s="1069" t="str">
        <f>IFERROR(VLOOKUP(A102,StockAll,10,FALSE)," ")</f>
        <v>A6T2</v>
      </c>
      <c r="V102" s="1086"/>
      <c r="W102" s="1071">
        <f t="shared" si="10"/>
        <v>1</v>
      </c>
      <c r="X102" s="1072">
        <f t="shared" si="11"/>
        <v>736263</v>
      </c>
      <c r="Y102" s="1073">
        <f t="shared" si="12"/>
        <v>4</v>
      </c>
      <c r="Z102" s="56">
        <v>4.0</v>
      </c>
      <c r="AA102" s="1012"/>
      <c r="AB102" s="1012"/>
      <c r="AC102" s="1012"/>
      <c r="AD102" s="1012"/>
      <c r="AE102" s="1012"/>
      <c r="AF102" s="1012"/>
      <c r="AG102" s="1012"/>
      <c r="AH102" s="1012"/>
      <c r="AI102" s="1012"/>
      <c r="AJ102" s="1012"/>
      <c r="AK102" s="1012"/>
    </row>
    <row r="103">
      <c r="A103" s="982" t="s">
        <v>2546</v>
      </c>
      <c r="B103" s="983">
        <v>5.0</v>
      </c>
      <c r="C103" s="1061">
        <f>IFERROR(VLOOKUP(A103,stockKJD,8,FALSE)," ")</f>
        <v>14</v>
      </c>
      <c r="D103" s="1062">
        <f t="shared" si="1"/>
        <v>5</v>
      </c>
      <c r="E103" s="1061">
        <f>IFERROR(VLOOKUP(A103,stockKJD,9,FALSE)," ")</f>
        <v>0</v>
      </c>
      <c r="F103" s="987" t="s">
        <v>13610</v>
      </c>
      <c r="G103" s="1063">
        <f t="shared" si="2"/>
        <v>0</v>
      </c>
      <c r="H103" s="1064">
        <v>0.0</v>
      </c>
      <c r="I103" s="1064">
        <f t="shared" si="3"/>
        <v>2</v>
      </c>
      <c r="J103" s="1063">
        <v>2.0</v>
      </c>
      <c r="K103" s="1063"/>
      <c r="L103" s="1076" t="s">
        <v>13647</v>
      </c>
      <c r="M103" s="1065">
        <v>499389.0</v>
      </c>
      <c r="N103" s="1063">
        <f>IFERROR(VLOOKUP(A103,hpp,3,FALSE)," ")</f>
        <v>499389</v>
      </c>
      <c r="O103" s="1063">
        <f t="shared" si="4"/>
        <v>2496945</v>
      </c>
      <c r="P103" s="1063">
        <f t="shared" si="5"/>
        <v>2496945</v>
      </c>
      <c r="Q103" s="1066">
        <f t="shared" si="6"/>
        <v>2496945</v>
      </c>
      <c r="R103" s="1067">
        <f t="shared" si="7"/>
        <v>998778</v>
      </c>
      <c r="S103" s="1067">
        <f t="shared" si="8"/>
        <v>998778</v>
      </c>
      <c r="T103" s="1068">
        <f t="shared" si="9"/>
        <v>0</v>
      </c>
      <c r="U103" s="1069" t="str">
        <f>IFERROR(VLOOKUP(A103,StockAll,10,FALSE)," ")</f>
        <v>A8T1</v>
      </c>
      <c r="V103" s="1086"/>
      <c r="W103" s="1071">
        <f t="shared" si="10"/>
        <v>3</v>
      </c>
      <c r="X103" s="1072">
        <f t="shared" si="11"/>
        <v>1498167</v>
      </c>
      <c r="Y103" s="1073">
        <f t="shared" si="12"/>
        <v>2</v>
      </c>
      <c r="Z103" s="56">
        <v>2.0</v>
      </c>
      <c r="AA103" s="1012"/>
      <c r="AB103" s="1012"/>
      <c r="AC103" s="1012"/>
      <c r="AD103" s="1012"/>
      <c r="AE103" s="1012"/>
      <c r="AF103" s="1012"/>
      <c r="AG103" s="1012"/>
      <c r="AH103" s="1012"/>
      <c r="AI103" s="1012"/>
      <c r="AJ103" s="1012"/>
      <c r="AK103" s="1012"/>
    </row>
    <row r="104">
      <c r="A104" s="982" t="s">
        <v>5303</v>
      </c>
      <c r="B104" s="983">
        <v>5.0</v>
      </c>
      <c r="C104" s="1061">
        <f>IFERROR(VLOOKUP(A104,stockKJD,8,FALSE)," ")</f>
        <v>5</v>
      </c>
      <c r="D104" s="1062">
        <f t="shared" si="1"/>
        <v>5</v>
      </c>
      <c r="E104" s="1061">
        <f>IFERROR(VLOOKUP(A104,stockKJD,9,FALSE)," ")</f>
        <v>0</v>
      </c>
      <c r="F104" s="987" t="s">
        <v>11466</v>
      </c>
      <c r="G104" s="1063">
        <f t="shared" si="2"/>
        <v>0</v>
      </c>
      <c r="H104" s="1064">
        <v>0.0</v>
      </c>
      <c r="I104" s="1064">
        <f t="shared" si="3"/>
        <v>4</v>
      </c>
      <c r="J104" s="1063">
        <v>4.0</v>
      </c>
      <c r="K104" s="1063"/>
      <c r="L104" s="1076" t="s">
        <v>13647</v>
      </c>
      <c r="M104" s="1065">
        <v>611721.0</v>
      </c>
      <c r="N104" s="1063">
        <f>IFERROR(VLOOKUP(A104,hpp,3,FALSE)," ")</f>
        <v>611721</v>
      </c>
      <c r="O104" s="1063">
        <f t="shared" si="4"/>
        <v>3058605</v>
      </c>
      <c r="P104" s="1063">
        <f t="shared" si="5"/>
        <v>3058605</v>
      </c>
      <c r="Q104" s="1066">
        <f t="shared" si="6"/>
        <v>3058605</v>
      </c>
      <c r="R104" s="1067">
        <f t="shared" si="7"/>
        <v>2446884</v>
      </c>
      <c r="S104" s="1067">
        <f t="shared" si="8"/>
        <v>2446884</v>
      </c>
      <c r="T104" s="1068">
        <f t="shared" si="9"/>
        <v>0</v>
      </c>
      <c r="U104" s="1069" t="str">
        <f>IFERROR(VLOOKUP(A104,StockAll,10,FALSE)," ")</f>
        <v>B9T2</v>
      </c>
      <c r="V104" s="1086"/>
      <c r="W104" s="1071">
        <f t="shared" si="10"/>
        <v>1</v>
      </c>
      <c r="X104" s="1072">
        <f t="shared" si="11"/>
        <v>611721</v>
      </c>
      <c r="Y104" s="1073">
        <f t="shared" si="12"/>
        <v>4</v>
      </c>
      <c r="Z104" s="56">
        <v>4.0</v>
      </c>
      <c r="AA104" s="1012"/>
      <c r="AB104" s="1012"/>
      <c r="AC104" s="1012"/>
      <c r="AD104" s="1012"/>
      <c r="AE104" s="1012"/>
      <c r="AF104" s="1012"/>
      <c r="AG104" s="1012"/>
      <c r="AH104" s="1012"/>
      <c r="AI104" s="1012"/>
      <c r="AJ104" s="1012"/>
      <c r="AK104" s="1012"/>
    </row>
    <row r="105">
      <c r="A105" s="982" t="s">
        <v>6689</v>
      </c>
      <c r="B105" s="983">
        <v>5.0</v>
      </c>
      <c r="C105" s="1061">
        <f>IFERROR(VLOOKUP(A105,stockKJD,8,FALSE)," ")</f>
        <v>5</v>
      </c>
      <c r="D105" s="1062">
        <f t="shared" si="1"/>
        <v>5</v>
      </c>
      <c r="E105" s="1061">
        <f>IFERROR(VLOOKUP(A105,stockKJD,9,FALSE)," ")</f>
        <v>0</v>
      </c>
      <c r="F105" s="987" t="s">
        <v>13614</v>
      </c>
      <c r="G105" s="1063">
        <f t="shared" si="2"/>
        <v>0</v>
      </c>
      <c r="H105" s="1075">
        <v>0.0</v>
      </c>
      <c r="I105" s="1064">
        <f t="shared" si="3"/>
        <v>4</v>
      </c>
      <c r="J105" s="1063">
        <v>4.0</v>
      </c>
      <c r="K105" s="1063"/>
      <c r="L105" s="1076" t="s">
        <v>13647</v>
      </c>
      <c r="M105" s="1065">
        <v>605616.0</v>
      </c>
      <c r="N105" s="1063">
        <f>IFERROR(VLOOKUP(A105,hpp,3,FALSE)," ")</f>
        <v>605616</v>
      </c>
      <c r="O105" s="1063">
        <f t="shared" si="4"/>
        <v>3028080</v>
      </c>
      <c r="P105" s="1063">
        <f t="shared" si="5"/>
        <v>3028080</v>
      </c>
      <c r="Q105" s="1066">
        <f t="shared" si="6"/>
        <v>3028080</v>
      </c>
      <c r="R105" s="1067">
        <f t="shared" si="7"/>
        <v>2422464</v>
      </c>
      <c r="S105" s="1067">
        <f t="shared" si="8"/>
        <v>2422464</v>
      </c>
      <c r="T105" s="1068">
        <f t="shared" si="9"/>
        <v>0</v>
      </c>
      <c r="U105" s="1069" t="str">
        <f>IFERROR(VLOOKUP(A105,StockAll,10,FALSE)," ")</f>
        <v>A4T1</v>
      </c>
      <c r="V105" s="1086"/>
      <c r="W105" s="1071">
        <f t="shared" si="10"/>
        <v>1</v>
      </c>
      <c r="X105" s="1072">
        <f t="shared" si="11"/>
        <v>605616</v>
      </c>
      <c r="Y105" s="1073">
        <f t="shared" si="12"/>
        <v>4</v>
      </c>
      <c r="Z105" s="56">
        <v>4.0</v>
      </c>
      <c r="AA105" s="1012"/>
      <c r="AB105" s="1012"/>
      <c r="AC105" s="1012"/>
      <c r="AD105" s="1012"/>
      <c r="AE105" s="1012"/>
      <c r="AF105" s="1012"/>
      <c r="AG105" s="1012"/>
      <c r="AH105" s="1012"/>
      <c r="AI105" s="1012"/>
      <c r="AJ105" s="1012"/>
      <c r="AK105" s="1012"/>
    </row>
    <row r="106">
      <c r="A106" s="982" t="s">
        <v>4323</v>
      </c>
      <c r="B106" s="983">
        <v>5.0</v>
      </c>
      <c r="C106" s="1061">
        <f>IFERROR(VLOOKUP(A106,stockKJD,8,FALSE)," ")</f>
        <v>6</v>
      </c>
      <c r="D106" s="1062">
        <f t="shared" si="1"/>
        <v>5</v>
      </c>
      <c r="E106" s="1061">
        <f>IFERROR(VLOOKUP(A106,stockKJD,9,FALSE)," ")</f>
        <v>1</v>
      </c>
      <c r="F106" s="987" t="s">
        <v>13614</v>
      </c>
      <c r="G106" s="1063">
        <f t="shared" si="2"/>
        <v>0</v>
      </c>
      <c r="H106" s="1064">
        <v>0.0</v>
      </c>
      <c r="I106" s="1064">
        <f t="shared" si="3"/>
        <v>4</v>
      </c>
      <c r="J106" s="1063">
        <v>4.0</v>
      </c>
      <c r="K106" s="1063"/>
      <c r="L106" s="1076" t="s">
        <v>13647</v>
      </c>
      <c r="M106" s="1065">
        <v>617826.0</v>
      </c>
      <c r="N106" s="1063">
        <f>IFERROR(VLOOKUP(A106,hpp,3,FALSE)," ")</f>
        <v>617826</v>
      </c>
      <c r="O106" s="1063">
        <f t="shared" si="4"/>
        <v>3089130</v>
      </c>
      <c r="P106" s="1063">
        <f t="shared" si="5"/>
        <v>3089130</v>
      </c>
      <c r="Q106" s="1066">
        <f t="shared" si="6"/>
        <v>3089130</v>
      </c>
      <c r="R106" s="1067">
        <f t="shared" si="7"/>
        <v>2471304</v>
      </c>
      <c r="S106" s="1067">
        <f t="shared" si="8"/>
        <v>2471304</v>
      </c>
      <c r="T106" s="1068">
        <f t="shared" si="9"/>
        <v>0</v>
      </c>
      <c r="U106" s="1069" t="str">
        <f>IFERROR(VLOOKUP(A106,StockAll,10,FALSE)," ")</f>
        <v> B8T2</v>
      </c>
      <c r="V106" s="1086"/>
      <c r="W106" s="1071">
        <f t="shared" si="10"/>
        <v>1</v>
      </c>
      <c r="X106" s="1072">
        <f t="shared" si="11"/>
        <v>617826</v>
      </c>
      <c r="Y106" s="1073">
        <f t="shared" si="12"/>
        <v>4</v>
      </c>
      <c r="Z106" s="56">
        <v>4.0</v>
      </c>
      <c r="AA106" s="1012"/>
      <c r="AB106" s="1012"/>
      <c r="AC106" s="1012"/>
      <c r="AD106" s="1012"/>
      <c r="AE106" s="1012"/>
      <c r="AF106" s="1012"/>
      <c r="AG106" s="1012"/>
      <c r="AH106" s="1012"/>
      <c r="AI106" s="1012"/>
      <c r="AJ106" s="1012"/>
      <c r="AK106" s="1012"/>
    </row>
    <row r="107">
      <c r="A107" s="982" t="s">
        <v>6746</v>
      </c>
      <c r="B107" s="983">
        <v>5.0</v>
      </c>
      <c r="C107" s="1061">
        <f>IFERROR(VLOOKUP(A107,stockKJD,8,FALSE)," ")</f>
        <v>5</v>
      </c>
      <c r="D107" s="1062">
        <f t="shared" si="1"/>
        <v>5</v>
      </c>
      <c r="E107" s="1061">
        <f>IFERROR(VLOOKUP(A107,stockKJD,9,FALSE)," ")</f>
        <v>0</v>
      </c>
      <c r="F107" s="987" t="s">
        <v>13614</v>
      </c>
      <c r="G107" s="1063">
        <f t="shared" si="2"/>
        <v>0</v>
      </c>
      <c r="H107" s="1064">
        <v>0.0</v>
      </c>
      <c r="I107" s="1064">
        <f t="shared" si="3"/>
        <v>5</v>
      </c>
      <c r="J107" s="1063">
        <v>5.0</v>
      </c>
      <c r="K107" s="1063"/>
      <c r="L107" s="1076" t="s">
        <v>13647</v>
      </c>
      <c r="M107" s="1065">
        <v>503052.0</v>
      </c>
      <c r="N107" s="1063">
        <f>IFERROR(VLOOKUP(A107,hpp,3,FALSE)," ")</f>
        <v>503052</v>
      </c>
      <c r="O107" s="1063">
        <f t="shared" si="4"/>
        <v>2515260</v>
      </c>
      <c r="P107" s="1063">
        <f t="shared" si="5"/>
        <v>2515260</v>
      </c>
      <c r="Q107" s="1066">
        <f t="shared" si="6"/>
        <v>2515260</v>
      </c>
      <c r="R107" s="1067">
        <f t="shared" si="7"/>
        <v>2515260</v>
      </c>
      <c r="S107" s="1067">
        <f t="shared" si="8"/>
        <v>2515260</v>
      </c>
      <c r="T107" s="1068">
        <f t="shared" si="9"/>
        <v>0</v>
      </c>
      <c r="U107" s="1069" t="str">
        <f>IFERROR(VLOOKUP(A107,StockAll,10,FALSE)," ")</f>
        <v>A5T2</v>
      </c>
      <c r="V107" s="1086"/>
      <c r="W107" s="1071">
        <f t="shared" si="10"/>
        <v>0</v>
      </c>
      <c r="X107" s="1072">
        <f t="shared" si="11"/>
        <v>0</v>
      </c>
      <c r="Y107" s="1073">
        <f t="shared" si="12"/>
        <v>5</v>
      </c>
      <c r="Z107" s="56">
        <v>5.0</v>
      </c>
      <c r="AA107" s="1012"/>
      <c r="AB107" s="1012"/>
      <c r="AC107" s="1012"/>
      <c r="AD107" s="1012"/>
      <c r="AE107" s="1012"/>
      <c r="AF107" s="1012"/>
      <c r="AG107" s="1012"/>
      <c r="AH107" s="1012"/>
      <c r="AI107" s="1012"/>
      <c r="AJ107" s="1012"/>
      <c r="AK107" s="1012"/>
    </row>
    <row r="108" hidden="1">
      <c r="A108" s="982" t="s">
        <v>2669</v>
      </c>
      <c r="B108" s="983">
        <v>5.0</v>
      </c>
      <c r="C108" s="1061">
        <f>IFERROR(VLOOKUP(A108,stockKJD,8,FALSE)," ")</f>
        <v>14</v>
      </c>
      <c r="D108" s="1062">
        <f t="shared" si="1"/>
        <v>5</v>
      </c>
      <c r="E108" s="1061">
        <f>IFERROR(VLOOKUP(A108,stockKJD,9,FALSE)," ")</f>
        <v>0</v>
      </c>
      <c r="F108" s="987" t="s">
        <v>13610</v>
      </c>
      <c r="G108" s="1063">
        <f t="shared" si="2"/>
        <v>0</v>
      </c>
      <c r="H108" s="1064">
        <v>0.0</v>
      </c>
      <c r="I108" s="1064">
        <f t="shared" si="3"/>
        <v>0</v>
      </c>
      <c r="J108" s="1063"/>
      <c r="K108" s="1063"/>
      <c r="L108" s="1065"/>
      <c r="M108" s="1065">
        <v>553113.0</v>
      </c>
      <c r="N108" s="1063">
        <f>IFERROR(VLOOKUP(A108,hpp,3,FALSE)," ")</f>
        <v>570421</v>
      </c>
      <c r="O108" s="1063">
        <f t="shared" si="4"/>
        <v>2765565</v>
      </c>
      <c r="P108" s="1063">
        <f t="shared" si="5"/>
        <v>2852105</v>
      </c>
      <c r="Q108" s="1066">
        <f t="shared" si="6"/>
        <v>2765565</v>
      </c>
      <c r="R108" s="1067">
        <f t="shared" si="7"/>
        <v>0</v>
      </c>
      <c r="S108" s="1067">
        <f t="shared" si="8"/>
        <v>0</v>
      </c>
      <c r="T108" s="1068">
        <f t="shared" si="9"/>
        <v>0</v>
      </c>
      <c r="U108" s="1069" t="str">
        <f>IFERROR(VLOOKUP(A108,StockAll,10,FALSE)," ")</f>
        <v>B8T2</v>
      </c>
      <c r="V108" s="1086"/>
      <c r="W108" s="1071">
        <f t="shared" si="10"/>
        <v>5</v>
      </c>
      <c r="X108" s="1072">
        <f t="shared" si="11"/>
        <v>2765565</v>
      </c>
      <c r="Y108" s="1073">
        <f t="shared" si="12"/>
        <v>0</v>
      </c>
      <c r="Z108" s="1012"/>
      <c r="AA108" s="1012"/>
      <c r="AB108" s="1012"/>
      <c r="AC108" s="1012"/>
      <c r="AD108" s="1012"/>
      <c r="AE108" s="1012"/>
      <c r="AF108" s="1012"/>
      <c r="AG108" s="1012"/>
      <c r="AH108" s="1012"/>
      <c r="AI108" s="1012"/>
      <c r="AJ108" s="1012"/>
      <c r="AK108" s="1012"/>
    </row>
    <row r="109">
      <c r="A109" s="982" t="s">
        <v>3712</v>
      </c>
      <c r="B109" s="983">
        <v>5.0</v>
      </c>
      <c r="C109" s="1061">
        <f>IFERROR(VLOOKUP(A109,stockKJD,8,FALSE)," ")</f>
        <v>6</v>
      </c>
      <c r="D109" s="1062">
        <f t="shared" si="1"/>
        <v>5</v>
      </c>
      <c r="E109" s="1061">
        <f>IFERROR(VLOOKUP(A109,stockKJD,9,FALSE)," ")</f>
        <v>-1</v>
      </c>
      <c r="F109" s="987" t="s">
        <v>13614</v>
      </c>
      <c r="G109" s="1063">
        <f t="shared" si="2"/>
        <v>0</v>
      </c>
      <c r="H109" s="1064">
        <v>0.0</v>
      </c>
      <c r="I109" s="1064">
        <f t="shared" si="3"/>
        <v>4</v>
      </c>
      <c r="J109" s="1063">
        <v>4.0</v>
      </c>
      <c r="K109" s="1063"/>
      <c r="L109" s="1076" t="s">
        <v>13647</v>
      </c>
      <c r="M109" s="1065">
        <v>509157.0</v>
      </c>
      <c r="N109" s="1063">
        <f>IFERROR(VLOOKUP(A109,hpp,3,FALSE)," ")</f>
        <v>509157</v>
      </c>
      <c r="O109" s="1063">
        <f t="shared" si="4"/>
        <v>2545785</v>
      </c>
      <c r="P109" s="1063">
        <f t="shared" si="5"/>
        <v>2545785</v>
      </c>
      <c r="Q109" s="1066">
        <f t="shared" si="6"/>
        <v>2545785</v>
      </c>
      <c r="R109" s="1067">
        <f t="shared" si="7"/>
        <v>2036628</v>
      </c>
      <c r="S109" s="1067">
        <f t="shared" si="8"/>
        <v>2036628</v>
      </c>
      <c r="T109" s="1068">
        <f t="shared" si="9"/>
        <v>0</v>
      </c>
      <c r="U109" s="1069" t="str">
        <f>IFERROR(VLOOKUP(A109,StockAll,10,FALSE)," ")</f>
        <v>A5T2</v>
      </c>
      <c r="V109" s="1086"/>
      <c r="W109" s="1071">
        <f t="shared" si="10"/>
        <v>1</v>
      </c>
      <c r="X109" s="1072">
        <f t="shared" si="11"/>
        <v>509157</v>
      </c>
      <c r="Y109" s="1073">
        <f t="shared" si="12"/>
        <v>4</v>
      </c>
      <c r="Z109" s="56">
        <v>4.0</v>
      </c>
      <c r="AA109" s="1012"/>
      <c r="AB109" s="1012"/>
      <c r="AC109" s="1012"/>
      <c r="AD109" s="1012"/>
      <c r="AE109" s="1012"/>
      <c r="AF109" s="1012"/>
      <c r="AG109" s="1012"/>
      <c r="AH109" s="1012"/>
      <c r="AI109" s="1012"/>
      <c r="AJ109" s="1012"/>
      <c r="AK109" s="1012"/>
    </row>
    <row r="110">
      <c r="A110" s="982" t="s">
        <v>2677</v>
      </c>
      <c r="B110" s="983">
        <v>5.0</v>
      </c>
      <c r="C110" s="1061">
        <f>IFERROR(VLOOKUP(A110,stockKJD,8,FALSE)," ")</f>
        <v>7</v>
      </c>
      <c r="D110" s="1062">
        <f t="shared" si="1"/>
        <v>5</v>
      </c>
      <c r="E110" s="1061">
        <f>IFERROR(VLOOKUP(A110,stockKJD,9,FALSE)," ")</f>
        <v>1</v>
      </c>
      <c r="F110" s="987" t="s">
        <v>13614</v>
      </c>
      <c r="G110" s="1063">
        <f t="shared" si="2"/>
        <v>0</v>
      </c>
      <c r="H110" s="1064">
        <v>0.0</v>
      </c>
      <c r="I110" s="1064">
        <f t="shared" si="3"/>
        <v>2</v>
      </c>
      <c r="J110" s="1063">
        <v>2.0</v>
      </c>
      <c r="K110" s="1063"/>
      <c r="L110" s="1076" t="s">
        <v>13647</v>
      </c>
      <c r="M110" s="1065">
        <v>499389.0</v>
      </c>
      <c r="N110" s="1063">
        <f>IFERROR(VLOOKUP(A110,hpp,3,FALSE)," ")</f>
        <v>499389</v>
      </c>
      <c r="O110" s="1063">
        <f t="shared" si="4"/>
        <v>2496945</v>
      </c>
      <c r="P110" s="1063">
        <f t="shared" si="5"/>
        <v>2496945</v>
      </c>
      <c r="Q110" s="1066">
        <f t="shared" si="6"/>
        <v>2496945</v>
      </c>
      <c r="R110" s="1067">
        <f t="shared" si="7"/>
        <v>998778</v>
      </c>
      <c r="S110" s="1067">
        <f t="shared" si="8"/>
        <v>998778</v>
      </c>
      <c r="T110" s="1068">
        <f t="shared" si="9"/>
        <v>0</v>
      </c>
      <c r="U110" s="1069" t="str">
        <f>IFERROR(VLOOKUP(A110,StockAll,10,FALSE)," ")</f>
        <v>B11T2</v>
      </c>
      <c r="V110" s="1086"/>
      <c r="W110" s="1071">
        <f t="shared" si="10"/>
        <v>3</v>
      </c>
      <c r="X110" s="1072">
        <f t="shared" si="11"/>
        <v>1498167</v>
      </c>
      <c r="Y110" s="1073">
        <f t="shared" si="12"/>
        <v>2</v>
      </c>
      <c r="Z110" s="56">
        <v>2.0</v>
      </c>
      <c r="AA110" s="1012"/>
      <c r="AB110" s="1012"/>
      <c r="AC110" s="1012"/>
      <c r="AD110" s="1012"/>
      <c r="AE110" s="1012"/>
      <c r="AF110" s="1012"/>
      <c r="AG110" s="1012"/>
      <c r="AH110" s="1012"/>
      <c r="AI110" s="1012"/>
      <c r="AJ110" s="1012"/>
      <c r="AK110" s="1012"/>
    </row>
    <row r="111">
      <c r="A111" s="982" t="s">
        <v>2693</v>
      </c>
      <c r="B111" s="983">
        <v>5.0</v>
      </c>
      <c r="C111" s="1061">
        <f>IFERROR(VLOOKUP(A111,stockKJD,8,FALSE)," ")</f>
        <v>7</v>
      </c>
      <c r="D111" s="1062">
        <f t="shared" si="1"/>
        <v>5</v>
      </c>
      <c r="E111" s="1061">
        <f>IFERROR(VLOOKUP(A111,stockKJD,9,FALSE)," ")</f>
        <v>0</v>
      </c>
      <c r="F111" s="987" t="s">
        <v>13614</v>
      </c>
      <c r="G111" s="1063">
        <f t="shared" si="2"/>
        <v>0</v>
      </c>
      <c r="H111" s="1075">
        <v>0.0</v>
      </c>
      <c r="I111" s="1064">
        <f t="shared" si="3"/>
        <v>4</v>
      </c>
      <c r="J111" s="1063">
        <v>4.0</v>
      </c>
      <c r="K111" s="1063"/>
      <c r="L111" s="1076" t="s">
        <v>13647</v>
      </c>
      <c r="M111" s="1065">
        <v>692307.0</v>
      </c>
      <c r="N111" s="1063">
        <f>IFERROR(VLOOKUP(A111,hpp,3,FALSE)," ")</f>
        <v>692307</v>
      </c>
      <c r="O111" s="1063">
        <f t="shared" si="4"/>
        <v>3461535</v>
      </c>
      <c r="P111" s="1063">
        <f t="shared" si="5"/>
        <v>3461535</v>
      </c>
      <c r="Q111" s="1066">
        <f t="shared" si="6"/>
        <v>3461535</v>
      </c>
      <c r="R111" s="1067">
        <f t="shared" si="7"/>
        <v>2769228</v>
      </c>
      <c r="S111" s="1067">
        <f t="shared" si="8"/>
        <v>2769228</v>
      </c>
      <c r="T111" s="1068">
        <f t="shared" si="9"/>
        <v>0</v>
      </c>
      <c r="U111" s="1069" t="str">
        <f>IFERROR(VLOOKUP(A111,StockAll,10,FALSE)," ")</f>
        <v>B9T1</v>
      </c>
      <c r="V111" s="1086"/>
      <c r="W111" s="1071">
        <f t="shared" si="10"/>
        <v>1</v>
      </c>
      <c r="X111" s="1072">
        <f t="shared" si="11"/>
        <v>692307</v>
      </c>
      <c r="Y111" s="1073">
        <f t="shared" si="12"/>
        <v>4</v>
      </c>
      <c r="Z111" s="56">
        <v>4.0</v>
      </c>
      <c r="AA111" s="1012"/>
      <c r="AB111" s="1012"/>
      <c r="AC111" s="1012"/>
      <c r="AD111" s="1012"/>
      <c r="AE111" s="1012"/>
      <c r="AF111" s="1012"/>
      <c r="AG111" s="1012"/>
      <c r="AH111" s="1012"/>
      <c r="AI111" s="1012"/>
      <c r="AJ111" s="1012"/>
      <c r="AK111" s="1012"/>
    </row>
    <row r="112">
      <c r="A112" s="982" t="s">
        <v>3948</v>
      </c>
      <c r="B112" s="983">
        <v>10.0</v>
      </c>
      <c r="C112" s="1061">
        <f>IFERROR(VLOOKUP(A112,stockKJD,8,FALSE)," ")</f>
        <v>10</v>
      </c>
      <c r="D112" s="1062">
        <f t="shared" si="1"/>
        <v>10</v>
      </c>
      <c r="E112" s="1061">
        <f>IFERROR(VLOOKUP(A112,stockKJD,9,FALSE)," ")</f>
        <v>0</v>
      </c>
      <c r="F112" s="987" t="s">
        <v>13614</v>
      </c>
      <c r="G112" s="1063">
        <f t="shared" si="2"/>
        <v>0</v>
      </c>
      <c r="H112" s="1064">
        <v>0.0</v>
      </c>
      <c r="I112" s="1064">
        <f t="shared" si="3"/>
        <v>8</v>
      </c>
      <c r="J112" s="1063">
        <v>0.0</v>
      </c>
      <c r="K112" s="1078">
        <v>8.0</v>
      </c>
      <c r="L112" s="1076" t="s">
        <v>12534</v>
      </c>
      <c r="M112" s="1065">
        <v>598290.0</v>
      </c>
      <c r="N112" s="1063">
        <f>IFERROR(VLOOKUP(A112,hpp,3,FALSE)," ")</f>
        <v>598290</v>
      </c>
      <c r="O112" s="1063">
        <f t="shared" si="4"/>
        <v>5982900</v>
      </c>
      <c r="P112" s="1063">
        <f t="shared" si="5"/>
        <v>5982900</v>
      </c>
      <c r="Q112" s="1066">
        <f t="shared" si="6"/>
        <v>5982900</v>
      </c>
      <c r="R112" s="1067">
        <f t="shared" si="7"/>
        <v>4786320</v>
      </c>
      <c r="S112" s="1067">
        <f t="shared" si="8"/>
        <v>4786320</v>
      </c>
      <c r="T112" s="1068">
        <f t="shared" si="9"/>
        <v>0</v>
      </c>
      <c r="U112" s="1069" t="str">
        <f>IFERROR(VLOOKUP(A112,StockAll,10,FALSE)," ")</f>
        <v>A6T2</v>
      </c>
      <c r="V112" s="1086"/>
      <c r="W112" s="1071">
        <f t="shared" si="10"/>
        <v>2</v>
      </c>
      <c r="X112" s="1072">
        <f t="shared" si="11"/>
        <v>1196580</v>
      </c>
      <c r="Y112" s="1073">
        <f t="shared" si="12"/>
        <v>8</v>
      </c>
      <c r="Z112" s="56">
        <v>8.0</v>
      </c>
      <c r="AA112" s="1012"/>
      <c r="AB112" s="1012"/>
      <c r="AC112" s="1012"/>
      <c r="AD112" s="1012"/>
      <c r="AE112" s="1012"/>
      <c r="AF112" s="1012"/>
      <c r="AG112" s="1012"/>
      <c r="AH112" s="1012"/>
      <c r="AI112" s="1012"/>
      <c r="AJ112" s="1012"/>
      <c r="AK112" s="1012"/>
    </row>
    <row r="113">
      <c r="A113" s="982" t="s">
        <v>5084</v>
      </c>
      <c r="B113" s="983">
        <v>3.0</v>
      </c>
      <c r="C113" s="1061">
        <f>IFERROR(VLOOKUP(A113,stockKJD,8,FALSE)," ")</f>
        <v>3</v>
      </c>
      <c r="D113" s="1062">
        <f t="shared" si="1"/>
        <v>3</v>
      </c>
      <c r="E113" s="1061">
        <f>IFERROR(VLOOKUP(A113,stockKJD,9,FALSE)," ")</f>
        <v>0</v>
      </c>
      <c r="F113" s="987" t="s">
        <v>13614</v>
      </c>
      <c r="G113" s="1063">
        <f t="shared" si="2"/>
        <v>0</v>
      </c>
      <c r="H113" s="1064">
        <v>0.0</v>
      </c>
      <c r="I113" s="1064">
        <f t="shared" si="3"/>
        <v>2</v>
      </c>
      <c r="J113" s="1063">
        <v>2.0</v>
      </c>
      <c r="K113" s="1063"/>
      <c r="L113" s="1076" t="s">
        <v>13647</v>
      </c>
      <c r="M113" s="1065">
        <v>638583.0</v>
      </c>
      <c r="N113" s="1063">
        <f>IFERROR(VLOOKUP(A113,hpp,3,FALSE)," ")</f>
        <v>638583</v>
      </c>
      <c r="O113" s="1063">
        <f t="shared" si="4"/>
        <v>1915749</v>
      </c>
      <c r="P113" s="1063">
        <f t="shared" si="5"/>
        <v>1915749</v>
      </c>
      <c r="Q113" s="1066">
        <f t="shared" si="6"/>
        <v>1915749</v>
      </c>
      <c r="R113" s="1067">
        <f t="shared" si="7"/>
        <v>1277166</v>
      </c>
      <c r="S113" s="1067">
        <f t="shared" si="8"/>
        <v>1277166</v>
      </c>
      <c r="T113" s="1068">
        <f t="shared" si="9"/>
        <v>0</v>
      </c>
      <c r="U113" s="1069" t="str">
        <f>IFERROR(VLOOKUP(A113,StockAll,10,FALSE)," ")</f>
        <v>A4T2</v>
      </c>
      <c r="V113" s="1086"/>
      <c r="W113" s="1071">
        <f t="shared" si="10"/>
        <v>1</v>
      </c>
      <c r="X113" s="1072">
        <f t="shared" si="11"/>
        <v>638583</v>
      </c>
      <c r="Y113" s="1073">
        <f t="shared" si="12"/>
        <v>2</v>
      </c>
      <c r="Z113" s="56">
        <v>2.0</v>
      </c>
      <c r="AA113" s="1012"/>
      <c r="AB113" s="1012"/>
      <c r="AC113" s="1012"/>
      <c r="AD113" s="1012"/>
      <c r="AE113" s="1012"/>
      <c r="AF113" s="1012"/>
      <c r="AG113" s="1012"/>
      <c r="AH113" s="1012"/>
      <c r="AI113" s="1012"/>
      <c r="AJ113" s="1012"/>
      <c r="AK113" s="1012"/>
    </row>
    <row r="114">
      <c r="A114" s="982" t="s">
        <v>6747</v>
      </c>
      <c r="B114" s="983">
        <v>1.0</v>
      </c>
      <c r="C114" s="1061">
        <f>IFERROR(VLOOKUP(A114,stockKJD,8,FALSE)," ")</f>
        <v>1</v>
      </c>
      <c r="D114" s="1062">
        <f t="shared" si="1"/>
        <v>1</v>
      </c>
      <c r="E114" s="1061">
        <f>IFERROR(VLOOKUP(A114,stockKJD,9,FALSE)," ")</f>
        <v>0</v>
      </c>
      <c r="F114" s="987" t="s">
        <v>13610</v>
      </c>
      <c r="G114" s="1063">
        <f t="shared" si="2"/>
        <v>0</v>
      </c>
      <c r="H114" s="1064">
        <v>0.0</v>
      </c>
      <c r="I114" s="1064">
        <f t="shared" si="3"/>
        <v>1</v>
      </c>
      <c r="J114" s="1063">
        <v>1.0</v>
      </c>
      <c r="K114" s="1063"/>
      <c r="L114" s="1076" t="s">
        <v>13647</v>
      </c>
      <c r="M114" s="1065">
        <v>611721.0</v>
      </c>
      <c r="N114" s="1063">
        <f>IFERROR(VLOOKUP(A114,hpp,3,FALSE)," ")</f>
        <v>611721</v>
      </c>
      <c r="O114" s="1063">
        <f t="shared" si="4"/>
        <v>611721</v>
      </c>
      <c r="P114" s="1063">
        <f t="shared" si="5"/>
        <v>611721</v>
      </c>
      <c r="Q114" s="1066">
        <f t="shared" si="6"/>
        <v>611721</v>
      </c>
      <c r="R114" s="1067">
        <f t="shared" si="7"/>
        <v>611721</v>
      </c>
      <c r="S114" s="1067">
        <f t="shared" si="8"/>
        <v>611721</v>
      </c>
      <c r="T114" s="1068">
        <f t="shared" si="9"/>
        <v>0</v>
      </c>
      <c r="U114" s="1069" t="str">
        <f>IFERROR(VLOOKUP(A114,StockAll,10,FALSE)," ")</f>
        <v>A10T2</v>
      </c>
      <c r="V114" s="1086"/>
      <c r="W114" s="1071">
        <f t="shared" si="10"/>
        <v>0</v>
      </c>
      <c r="X114" s="1072">
        <f t="shared" si="11"/>
        <v>0</v>
      </c>
      <c r="Y114" s="1073">
        <f t="shared" si="12"/>
        <v>1</v>
      </c>
      <c r="Z114" s="56">
        <v>1.0</v>
      </c>
      <c r="AA114" s="1012"/>
      <c r="AB114" s="1012"/>
      <c r="AC114" s="1012"/>
      <c r="AD114" s="1012"/>
      <c r="AE114" s="1012"/>
      <c r="AF114" s="1012"/>
      <c r="AG114" s="1012"/>
      <c r="AH114" s="1012"/>
      <c r="AI114" s="1012"/>
      <c r="AJ114" s="1012"/>
      <c r="AK114" s="1012"/>
    </row>
    <row r="115">
      <c r="A115" s="982" t="s">
        <v>6748</v>
      </c>
      <c r="B115" s="983">
        <v>10.0</v>
      </c>
      <c r="C115" s="1061">
        <f>IFERROR(VLOOKUP(A115,stockKJD,8,FALSE)," ")</f>
        <v>10</v>
      </c>
      <c r="D115" s="1062">
        <f t="shared" si="1"/>
        <v>10</v>
      </c>
      <c r="E115" s="1061">
        <f>IFERROR(VLOOKUP(A115,stockKJD,9,FALSE)," ")</f>
        <v>0</v>
      </c>
      <c r="F115" s="987" t="s">
        <v>11466</v>
      </c>
      <c r="G115" s="1063">
        <f t="shared" si="2"/>
        <v>0</v>
      </c>
      <c r="H115" s="1064">
        <v>0.0</v>
      </c>
      <c r="I115" s="1064">
        <f t="shared" si="3"/>
        <v>10</v>
      </c>
      <c r="J115" s="1063">
        <v>10.0</v>
      </c>
      <c r="K115" s="1063"/>
      <c r="L115" s="1076" t="s">
        <v>13647</v>
      </c>
      <c r="M115" s="1065">
        <v>485958.0</v>
      </c>
      <c r="N115" s="1063">
        <f>IFERROR(VLOOKUP(A115,hpp,3,FALSE)," ")</f>
        <v>485958</v>
      </c>
      <c r="O115" s="1063">
        <f t="shared" si="4"/>
        <v>4859580</v>
      </c>
      <c r="P115" s="1063">
        <f t="shared" si="5"/>
        <v>4859580</v>
      </c>
      <c r="Q115" s="1066">
        <f t="shared" si="6"/>
        <v>4859580</v>
      </c>
      <c r="R115" s="1067">
        <f t="shared" si="7"/>
        <v>4859580</v>
      </c>
      <c r="S115" s="1067">
        <f t="shared" si="8"/>
        <v>4859580</v>
      </c>
      <c r="T115" s="1068">
        <f t="shared" si="9"/>
        <v>0</v>
      </c>
      <c r="U115" s="1069" t="str">
        <f>IFERROR(VLOOKUP(A115,StockAll,10,FALSE)," ")</f>
        <v>B12T1</v>
      </c>
      <c r="V115" s="1086"/>
      <c r="W115" s="1071">
        <f t="shared" si="10"/>
        <v>0</v>
      </c>
      <c r="X115" s="1072">
        <f t="shared" si="11"/>
        <v>0</v>
      </c>
      <c r="Y115" s="1073">
        <f t="shared" si="12"/>
        <v>10</v>
      </c>
      <c r="Z115" s="56">
        <v>10.0</v>
      </c>
      <c r="AA115" s="1012"/>
      <c r="AB115" s="1012"/>
      <c r="AC115" s="1012"/>
      <c r="AD115" s="1012"/>
      <c r="AE115" s="1012"/>
      <c r="AF115" s="1012"/>
      <c r="AG115" s="1012"/>
      <c r="AH115" s="1012"/>
      <c r="AI115" s="1012"/>
      <c r="AJ115" s="1012"/>
      <c r="AK115" s="1012"/>
    </row>
    <row r="116">
      <c r="A116" s="982" t="s">
        <v>6749</v>
      </c>
      <c r="B116" s="983">
        <v>3.0</v>
      </c>
      <c r="C116" s="1061">
        <f>IFERROR(VLOOKUP(A116,stockKJD,8,FALSE)," ")</f>
        <v>3</v>
      </c>
      <c r="D116" s="1062">
        <f t="shared" si="1"/>
        <v>3</v>
      </c>
      <c r="E116" s="1061">
        <f>IFERROR(VLOOKUP(A116,stockKJD,9,FALSE)," ")</f>
        <v>0</v>
      </c>
      <c r="F116" s="987" t="s">
        <v>13614</v>
      </c>
      <c r="G116" s="1063">
        <f t="shared" si="2"/>
        <v>0</v>
      </c>
      <c r="H116" s="1064">
        <v>0.0</v>
      </c>
      <c r="I116" s="1064">
        <f t="shared" si="3"/>
        <v>3</v>
      </c>
      <c r="J116" s="1063">
        <v>3.0</v>
      </c>
      <c r="K116" s="1063"/>
      <c r="L116" s="1076" t="s">
        <v>13647</v>
      </c>
      <c r="M116" s="1065">
        <v>620268.0</v>
      </c>
      <c r="N116" s="1063">
        <f>IFERROR(VLOOKUP(A116,hpp,3,FALSE)," ")</f>
        <v>620268</v>
      </c>
      <c r="O116" s="1063">
        <f t="shared" si="4"/>
        <v>1860804</v>
      </c>
      <c r="P116" s="1063">
        <f t="shared" si="5"/>
        <v>1860804</v>
      </c>
      <c r="Q116" s="1066">
        <f t="shared" si="6"/>
        <v>1860804</v>
      </c>
      <c r="R116" s="1067">
        <f t="shared" si="7"/>
        <v>1860804</v>
      </c>
      <c r="S116" s="1067">
        <f t="shared" si="8"/>
        <v>1860804</v>
      </c>
      <c r="T116" s="1068">
        <f t="shared" si="9"/>
        <v>0</v>
      </c>
      <c r="U116" s="1069" t="str">
        <f>IFERROR(VLOOKUP(A116,StockAll,10,FALSE)," ")</f>
        <v>B13T2</v>
      </c>
      <c r="V116" s="1086"/>
      <c r="W116" s="1071">
        <f t="shared" si="10"/>
        <v>0</v>
      </c>
      <c r="X116" s="1072">
        <f t="shared" si="11"/>
        <v>0</v>
      </c>
      <c r="Y116" s="1073">
        <f t="shared" si="12"/>
        <v>3</v>
      </c>
      <c r="Z116" s="56">
        <v>3.0</v>
      </c>
      <c r="AA116" s="1012"/>
      <c r="AB116" s="1012"/>
      <c r="AC116" s="1012"/>
      <c r="AD116" s="1012"/>
      <c r="AE116" s="1012"/>
      <c r="AF116" s="1012"/>
      <c r="AG116" s="1012"/>
      <c r="AH116" s="1012"/>
      <c r="AI116" s="1012"/>
      <c r="AJ116" s="1012"/>
      <c r="AK116" s="1012"/>
    </row>
    <row r="117">
      <c r="A117" s="982" t="s">
        <v>2781</v>
      </c>
      <c r="B117" s="983">
        <v>3.0</v>
      </c>
      <c r="C117" s="1061">
        <f>IFERROR(VLOOKUP(A117,stockKJD,8,FALSE)," ")</f>
        <v>3</v>
      </c>
      <c r="D117" s="1062">
        <f t="shared" si="1"/>
        <v>3</v>
      </c>
      <c r="E117" s="1061">
        <f>IFERROR(VLOOKUP(A117,stockKJD,9,FALSE)," ")</f>
        <v>1</v>
      </c>
      <c r="F117" s="987" t="s">
        <v>13614</v>
      </c>
      <c r="G117" s="1063">
        <f t="shared" si="2"/>
        <v>0</v>
      </c>
      <c r="H117" s="1064">
        <v>0.0</v>
      </c>
      <c r="I117" s="1064">
        <f t="shared" si="3"/>
        <v>3</v>
      </c>
      <c r="J117" s="1063">
        <v>3.0</v>
      </c>
      <c r="K117" s="1063"/>
      <c r="L117" s="1076" t="s">
        <v>13647</v>
      </c>
      <c r="M117" s="1065">
        <v>783882.0</v>
      </c>
      <c r="N117" s="1063">
        <f>IFERROR(VLOOKUP(A117,hpp,3,FALSE)," ")</f>
        <v>783882</v>
      </c>
      <c r="O117" s="1063">
        <f t="shared" si="4"/>
        <v>2351646</v>
      </c>
      <c r="P117" s="1063">
        <f t="shared" si="5"/>
        <v>2351646</v>
      </c>
      <c r="Q117" s="1066">
        <f t="shared" si="6"/>
        <v>2351646</v>
      </c>
      <c r="R117" s="1067">
        <f t="shared" si="7"/>
        <v>2351646</v>
      </c>
      <c r="S117" s="1067">
        <f t="shared" si="8"/>
        <v>2351646</v>
      </c>
      <c r="T117" s="1068">
        <f t="shared" si="9"/>
        <v>0</v>
      </c>
      <c r="U117" s="1069" t="str">
        <f>IFERROR(VLOOKUP(A117,StockAll,10,FALSE)," ")</f>
        <v>A7T1</v>
      </c>
      <c r="V117" s="1086"/>
      <c r="W117" s="1071">
        <f t="shared" si="10"/>
        <v>0</v>
      </c>
      <c r="X117" s="1072">
        <f t="shared" si="11"/>
        <v>0</v>
      </c>
      <c r="Y117" s="1073">
        <f t="shared" si="12"/>
        <v>3</v>
      </c>
      <c r="Z117" s="56">
        <v>3.0</v>
      </c>
      <c r="AA117" s="1012"/>
      <c r="AB117" s="1012"/>
      <c r="AC117" s="1012"/>
      <c r="AD117" s="1012"/>
      <c r="AE117" s="1012"/>
      <c r="AF117" s="1012"/>
      <c r="AG117" s="1012"/>
      <c r="AH117" s="1012"/>
      <c r="AI117" s="1012"/>
      <c r="AJ117" s="1012"/>
      <c r="AK117" s="1012"/>
    </row>
    <row r="118">
      <c r="A118" s="982" t="s">
        <v>6750</v>
      </c>
      <c r="B118" s="983">
        <v>3.0</v>
      </c>
      <c r="C118" s="1061">
        <f>IFERROR(VLOOKUP(A118,stockKJD,8,FALSE)," ")</f>
        <v>3</v>
      </c>
      <c r="D118" s="1062">
        <f t="shared" si="1"/>
        <v>3</v>
      </c>
      <c r="E118" s="1061">
        <f>IFERROR(VLOOKUP(A118,stockKJD,9,FALSE)," ")</f>
        <v>0</v>
      </c>
      <c r="F118" s="987" t="s">
        <v>13614</v>
      </c>
      <c r="G118" s="1063">
        <f t="shared" si="2"/>
        <v>0</v>
      </c>
      <c r="H118" s="1064">
        <v>0.0</v>
      </c>
      <c r="I118" s="1064">
        <f t="shared" si="3"/>
        <v>3</v>
      </c>
      <c r="J118" s="1063">
        <v>2.0</v>
      </c>
      <c r="K118" s="1078">
        <v>1.0</v>
      </c>
      <c r="L118" s="1076" t="s">
        <v>13648</v>
      </c>
      <c r="M118" s="1065">
        <v>611721.0</v>
      </c>
      <c r="N118" s="1063">
        <f>IFERROR(VLOOKUP(A118,hpp,3,FALSE)," ")</f>
        <v>611721</v>
      </c>
      <c r="O118" s="1063">
        <f t="shared" si="4"/>
        <v>1835163</v>
      </c>
      <c r="P118" s="1063">
        <f t="shared" si="5"/>
        <v>1835163</v>
      </c>
      <c r="Q118" s="1066">
        <f t="shared" si="6"/>
        <v>1835163</v>
      </c>
      <c r="R118" s="1067">
        <f t="shared" si="7"/>
        <v>1835163</v>
      </c>
      <c r="S118" s="1067">
        <f t="shared" si="8"/>
        <v>1835163</v>
      </c>
      <c r="T118" s="1068">
        <f t="shared" si="9"/>
        <v>0</v>
      </c>
      <c r="U118" s="1069" t="str">
        <f>IFERROR(VLOOKUP(A118,StockAll,10,FALSE)," ")</f>
        <v>A7T1</v>
      </c>
      <c r="V118" s="1086"/>
      <c r="W118" s="1071">
        <f t="shared" si="10"/>
        <v>0</v>
      </c>
      <c r="X118" s="1072">
        <f t="shared" si="11"/>
        <v>0</v>
      </c>
      <c r="Y118" s="1073">
        <f t="shared" si="12"/>
        <v>3</v>
      </c>
      <c r="Z118" s="56">
        <v>3.0</v>
      </c>
      <c r="AA118" s="1012"/>
      <c r="AB118" s="1012"/>
      <c r="AC118" s="1012"/>
      <c r="AD118" s="1012"/>
      <c r="AE118" s="1012"/>
      <c r="AF118" s="1012"/>
      <c r="AG118" s="1012"/>
      <c r="AH118" s="1012"/>
      <c r="AI118" s="1012"/>
      <c r="AJ118" s="1012"/>
      <c r="AK118" s="1012"/>
    </row>
    <row r="119">
      <c r="A119" s="982" t="s">
        <v>6751</v>
      </c>
      <c r="B119" s="983">
        <v>5.0</v>
      </c>
      <c r="C119" s="1061">
        <f>IFERROR(VLOOKUP(A119,stockKJD,8,FALSE)," ")</f>
        <v>7</v>
      </c>
      <c r="D119" s="1062">
        <f t="shared" si="1"/>
        <v>5</v>
      </c>
      <c r="E119" s="1061">
        <f>IFERROR(VLOOKUP(A119,stockKJD,9,FALSE)," ")</f>
        <v>0</v>
      </c>
      <c r="F119" s="987" t="s">
        <v>13614</v>
      </c>
      <c r="G119" s="1063">
        <f t="shared" si="2"/>
        <v>0</v>
      </c>
      <c r="H119" s="1064">
        <v>0.0</v>
      </c>
      <c r="I119" s="1064">
        <f t="shared" si="3"/>
        <v>5</v>
      </c>
      <c r="J119" s="1063">
        <v>5.0</v>
      </c>
      <c r="K119" s="1063"/>
      <c r="L119" s="1076" t="s">
        <v>13647</v>
      </c>
      <c r="M119" s="1065">
        <v>761904.0</v>
      </c>
      <c r="N119" s="1063">
        <f>IFERROR(VLOOKUP(A119,hpp,3,FALSE)," ")</f>
        <v>761904</v>
      </c>
      <c r="O119" s="1063">
        <f t="shared" si="4"/>
        <v>3809520</v>
      </c>
      <c r="P119" s="1063">
        <f t="shared" si="5"/>
        <v>3809520</v>
      </c>
      <c r="Q119" s="1066">
        <f t="shared" si="6"/>
        <v>3809520</v>
      </c>
      <c r="R119" s="1067">
        <f t="shared" si="7"/>
        <v>3809520</v>
      </c>
      <c r="S119" s="1067">
        <f t="shared" si="8"/>
        <v>3809520</v>
      </c>
      <c r="T119" s="1068">
        <f t="shared" si="9"/>
        <v>0</v>
      </c>
      <c r="U119" s="1069" t="str">
        <f>IFERROR(VLOOKUP(A119,StockAll,10,FALSE)," ")</f>
        <v>A7T1</v>
      </c>
      <c r="V119" s="1086"/>
      <c r="W119" s="1071">
        <f t="shared" si="10"/>
        <v>0</v>
      </c>
      <c r="X119" s="1072">
        <f t="shared" si="11"/>
        <v>0</v>
      </c>
      <c r="Y119" s="1073">
        <f t="shared" si="12"/>
        <v>5</v>
      </c>
      <c r="Z119" s="56">
        <v>5.0</v>
      </c>
      <c r="AA119" s="1012"/>
      <c r="AB119" s="1012"/>
      <c r="AC119" s="1012"/>
      <c r="AD119" s="1012"/>
      <c r="AE119" s="1012"/>
      <c r="AF119" s="1012"/>
      <c r="AG119" s="1012"/>
      <c r="AH119" s="1012"/>
      <c r="AI119" s="1012"/>
      <c r="AJ119" s="1012"/>
      <c r="AK119" s="1012"/>
    </row>
    <row r="120">
      <c r="A120" s="982" t="s">
        <v>2712</v>
      </c>
      <c r="B120" s="983">
        <v>5.0</v>
      </c>
      <c r="C120" s="1061">
        <f>IFERROR(VLOOKUP(A120,stockKJD,8,FALSE)," ")</f>
        <v>9</v>
      </c>
      <c r="D120" s="1062">
        <f t="shared" si="1"/>
        <v>5</v>
      </c>
      <c r="E120" s="1061">
        <f>IFERROR(VLOOKUP(A120,stockKJD,9,FALSE)," ")</f>
        <v>1</v>
      </c>
      <c r="F120" s="987" t="s">
        <v>13610</v>
      </c>
      <c r="G120" s="1063">
        <f t="shared" si="2"/>
        <v>0</v>
      </c>
      <c r="H120" s="1064">
        <v>0.0</v>
      </c>
      <c r="I120" s="1064">
        <f t="shared" si="3"/>
        <v>2</v>
      </c>
      <c r="J120" s="1063">
        <v>2.0</v>
      </c>
      <c r="K120" s="1063"/>
      <c r="L120" s="1076" t="s">
        <v>13647</v>
      </c>
      <c r="M120" s="1065">
        <v>434676.0</v>
      </c>
      <c r="N120" s="1063">
        <f>IFERROR(VLOOKUP(A120,hpp,3,FALSE)," ")</f>
        <v>434676</v>
      </c>
      <c r="O120" s="1063">
        <f t="shared" si="4"/>
        <v>2173380</v>
      </c>
      <c r="P120" s="1063">
        <f t="shared" si="5"/>
        <v>2173380</v>
      </c>
      <c r="Q120" s="1066">
        <f t="shared" si="6"/>
        <v>2173380</v>
      </c>
      <c r="R120" s="1067">
        <f t="shared" si="7"/>
        <v>869352</v>
      </c>
      <c r="S120" s="1067">
        <f t="shared" si="8"/>
        <v>869352</v>
      </c>
      <c r="T120" s="1068">
        <f t="shared" si="9"/>
        <v>0</v>
      </c>
      <c r="U120" s="1069" t="str">
        <f>IFERROR(VLOOKUP(A120,StockAll,10,FALSE)," ")</f>
        <v>A12T1</v>
      </c>
      <c r="V120" s="1086"/>
      <c r="W120" s="1071">
        <f t="shared" si="10"/>
        <v>3</v>
      </c>
      <c r="X120" s="1072">
        <f t="shared" si="11"/>
        <v>1304028</v>
      </c>
      <c r="Y120" s="1073">
        <f t="shared" si="12"/>
        <v>2</v>
      </c>
      <c r="Z120" s="56">
        <v>2.0</v>
      </c>
      <c r="AA120" s="1012"/>
      <c r="AB120" s="1012"/>
      <c r="AC120" s="1012"/>
      <c r="AD120" s="1012"/>
      <c r="AE120" s="1012"/>
      <c r="AF120" s="1012"/>
      <c r="AG120" s="1012"/>
      <c r="AH120" s="1012"/>
      <c r="AI120" s="1012"/>
      <c r="AJ120" s="1012"/>
      <c r="AK120" s="1012"/>
    </row>
    <row r="121">
      <c r="A121" s="982" t="s">
        <v>6752</v>
      </c>
      <c r="B121" s="983">
        <v>3.0</v>
      </c>
      <c r="C121" s="1061">
        <f>IFERROR(VLOOKUP(A121,stockKJD,8,FALSE)," ")</f>
        <v>3</v>
      </c>
      <c r="D121" s="1062">
        <f t="shared" si="1"/>
        <v>3</v>
      </c>
      <c r="E121" s="1061">
        <f>IFERROR(VLOOKUP(A121,stockKJD,9,FALSE)," ")</f>
        <v>0</v>
      </c>
      <c r="F121" s="987" t="s">
        <v>13614</v>
      </c>
      <c r="G121" s="1063">
        <f t="shared" si="2"/>
        <v>0</v>
      </c>
      <c r="H121" s="1064">
        <v>0.0</v>
      </c>
      <c r="I121" s="1064">
        <f t="shared" si="3"/>
        <v>3</v>
      </c>
      <c r="J121" s="1063">
        <v>3.0</v>
      </c>
      <c r="K121" s="1063"/>
      <c r="L121" s="1076" t="s">
        <v>13647</v>
      </c>
      <c r="M121" s="1065">
        <v>663003.0</v>
      </c>
      <c r="N121" s="1063">
        <f>IFERROR(VLOOKUP(A121,hpp,3,FALSE)," ")</f>
        <v>663003</v>
      </c>
      <c r="O121" s="1063">
        <f t="shared" si="4"/>
        <v>1989009</v>
      </c>
      <c r="P121" s="1063">
        <f t="shared" si="5"/>
        <v>1989009</v>
      </c>
      <c r="Q121" s="1066">
        <f t="shared" si="6"/>
        <v>1989009</v>
      </c>
      <c r="R121" s="1067">
        <f t="shared" si="7"/>
        <v>1989009</v>
      </c>
      <c r="S121" s="1067">
        <f t="shared" si="8"/>
        <v>1989009</v>
      </c>
      <c r="T121" s="1068">
        <f t="shared" si="9"/>
        <v>0</v>
      </c>
      <c r="U121" s="1069" t="str">
        <f>IFERROR(VLOOKUP(A121,StockAll,10,FALSE)," ")</f>
        <v>A4T2</v>
      </c>
      <c r="V121" s="1086"/>
      <c r="W121" s="1071">
        <f t="shared" si="10"/>
        <v>0</v>
      </c>
      <c r="X121" s="1072">
        <f t="shared" si="11"/>
        <v>0</v>
      </c>
      <c r="Y121" s="1073">
        <f t="shared" si="12"/>
        <v>3</v>
      </c>
      <c r="Z121" s="56">
        <v>3.0</v>
      </c>
      <c r="AA121" s="1012"/>
      <c r="AB121" s="1012"/>
      <c r="AC121" s="1012"/>
      <c r="AD121" s="1012"/>
      <c r="AE121" s="1012"/>
      <c r="AF121" s="1012"/>
      <c r="AG121" s="1012"/>
      <c r="AH121" s="1012"/>
      <c r="AI121" s="1012"/>
      <c r="AJ121" s="1012"/>
      <c r="AK121" s="1012"/>
    </row>
    <row r="122">
      <c r="A122" s="982" t="s">
        <v>6753</v>
      </c>
      <c r="B122" s="983">
        <v>5.0</v>
      </c>
      <c r="C122" s="1061">
        <f>IFERROR(VLOOKUP(A122,stockKJD,8,FALSE)," ")</f>
        <v>5</v>
      </c>
      <c r="D122" s="1062">
        <f t="shared" si="1"/>
        <v>5</v>
      </c>
      <c r="E122" s="1061">
        <f>IFERROR(VLOOKUP(A122,stockKJD,9,FALSE)," ")</f>
        <v>0</v>
      </c>
      <c r="F122" s="987" t="s">
        <v>13614</v>
      </c>
      <c r="G122" s="1063">
        <f t="shared" si="2"/>
        <v>0</v>
      </c>
      <c r="H122" s="1064">
        <v>0.0</v>
      </c>
      <c r="I122" s="1064">
        <f t="shared" si="3"/>
        <v>5</v>
      </c>
      <c r="J122" s="1063">
        <v>5.0</v>
      </c>
      <c r="K122" s="1063"/>
      <c r="L122" s="1076" t="s">
        <v>13647</v>
      </c>
      <c r="M122" s="1065">
        <v>587301.0</v>
      </c>
      <c r="N122" s="1063">
        <f>IFERROR(VLOOKUP(A122,hpp,3,FALSE)," ")</f>
        <v>587301</v>
      </c>
      <c r="O122" s="1063">
        <f t="shared" si="4"/>
        <v>2936505</v>
      </c>
      <c r="P122" s="1063">
        <f t="shared" si="5"/>
        <v>2936505</v>
      </c>
      <c r="Q122" s="1066">
        <f t="shared" si="6"/>
        <v>2936505</v>
      </c>
      <c r="R122" s="1067">
        <f t="shared" si="7"/>
        <v>2936505</v>
      </c>
      <c r="S122" s="1067">
        <f t="shared" si="8"/>
        <v>2936505</v>
      </c>
      <c r="T122" s="1068">
        <f t="shared" si="9"/>
        <v>0</v>
      </c>
      <c r="U122" s="1069" t="str">
        <f>IFERROR(VLOOKUP(A122,StockAll,10,FALSE)," ")</f>
        <v>A4T2</v>
      </c>
      <c r="V122" s="1086"/>
      <c r="W122" s="1071">
        <f t="shared" si="10"/>
        <v>0</v>
      </c>
      <c r="X122" s="1072">
        <f t="shared" si="11"/>
        <v>0</v>
      </c>
      <c r="Y122" s="1073">
        <f t="shared" si="12"/>
        <v>5</v>
      </c>
      <c r="Z122" s="56">
        <v>5.0</v>
      </c>
      <c r="AA122" s="1012"/>
      <c r="AB122" s="1012"/>
      <c r="AC122" s="1012"/>
      <c r="AD122" s="1012"/>
      <c r="AE122" s="1012"/>
      <c r="AF122" s="1012"/>
      <c r="AG122" s="1012"/>
      <c r="AH122" s="1012"/>
      <c r="AI122" s="1012"/>
      <c r="AJ122" s="1012"/>
      <c r="AK122" s="1012"/>
    </row>
    <row r="123">
      <c r="A123" s="982" t="s">
        <v>6754</v>
      </c>
      <c r="B123" s="983">
        <v>5.0</v>
      </c>
      <c r="C123" s="1061">
        <f>IFERROR(VLOOKUP(A123,stockKJD,8,FALSE)," ")</f>
        <v>5</v>
      </c>
      <c r="D123" s="1062">
        <f t="shared" si="1"/>
        <v>5</v>
      </c>
      <c r="E123" s="1061">
        <f>IFERROR(VLOOKUP(A123,stockKJD,9,FALSE)," ")</f>
        <v>0</v>
      </c>
      <c r="F123" s="987" t="s">
        <v>13614</v>
      </c>
      <c r="G123" s="1063">
        <f t="shared" si="2"/>
        <v>0</v>
      </c>
      <c r="H123" s="1064">
        <v>0.0</v>
      </c>
      <c r="I123" s="1064">
        <f t="shared" si="3"/>
        <v>5</v>
      </c>
      <c r="J123" s="1063">
        <v>5.0</v>
      </c>
      <c r="K123" s="1063"/>
      <c r="L123" s="1076" t="s">
        <v>13647</v>
      </c>
      <c r="M123" s="1065">
        <v>474969.0</v>
      </c>
      <c r="N123" s="1063">
        <f>IFERROR(VLOOKUP(A123,hpp,3,FALSE)," ")</f>
        <v>474969</v>
      </c>
      <c r="O123" s="1063">
        <f t="shared" si="4"/>
        <v>2374845</v>
      </c>
      <c r="P123" s="1063">
        <f t="shared" si="5"/>
        <v>2374845</v>
      </c>
      <c r="Q123" s="1066">
        <f t="shared" si="6"/>
        <v>2374845</v>
      </c>
      <c r="R123" s="1067">
        <f t="shared" si="7"/>
        <v>2374845</v>
      </c>
      <c r="S123" s="1067">
        <f t="shared" si="8"/>
        <v>2374845</v>
      </c>
      <c r="T123" s="1068">
        <f t="shared" si="9"/>
        <v>0</v>
      </c>
      <c r="U123" s="1069" t="str">
        <f>IFERROR(VLOOKUP(A123,StockAll,10,FALSE)," ")</f>
        <v>A7T2</v>
      </c>
      <c r="V123" s="1086"/>
      <c r="W123" s="1071">
        <f t="shared" si="10"/>
        <v>0</v>
      </c>
      <c r="X123" s="1072">
        <f t="shared" si="11"/>
        <v>0</v>
      </c>
      <c r="Y123" s="1073">
        <f t="shared" si="12"/>
        <v>5</v>
      </c>
      <c r="Z123" s="56">
        <v>5.0</v>
      </c>
      <c r="AA123" s="1012"/>
      <c r="AB123" s="1012"/>
      <c r="AC123" s="1012"/>
      <c r="AD123" s="1012"/>
      <c r="AE123" s="1012"/>
      <c r="AF123" s="1012"/>
      <c r="AG123" s="1012"/>
      <c r="AH123" s="1012"/>
      <c r="AI123" s="1012"/>
      <c r="AJ123" s="1012"/>
      <c r="AK123" s="1012"/>
    </row>
    <row r="124">
      <c r="A124" s="982" t="s">
        <v>4964</v>
      </c>
      <c r="B124" s="983">
        <v>5.0</v>
      </c>
      <c r="C124" s="1061">
        <f>IFERROR(VLOOKUP(A124,stockKJD,8,FALSE)," ")</f>
        <v>5</v>
      </c>
      <c r="D124" s="1062">
        <f t="shared" si="1"/>
        <v>5</v>
      </c>
      <c r="E124" s="1061">
        <f>IFERROR(VLOOKUP(A124,stockKJD,9,FALSE)," ")</f>
        <v>0</v>
      </c>
      <c r="F124" s="987" t="s">
        <v>13614</v>
      </c>
      <c r="G124" s="1063">
        <f t="shared" si="2"/>
        <v>0</v>
      </c>
      <c r="H124" s="1064">
        <v>0.0</v>
      </c>
      <c r="I124" s="1064">
        <f t="shared" si="3"/>
        <v>3</v>
      </c>
      <c r="J124" s="1063">
        <v>2.0</v>
      </c>
      <c r="K124" s="1078">
        <v>1.0</v>
      </c>
      <c r="L124" s="1076" t="s">
        <v>13648</v>
      </c>
      <c r="M124" s="1065">
        <v>653235.0</v>
      </c>
      <c r="N124" s="1063">
        <f>IFERROR(VLOOKUP(A124,hpp,3,FALSE)," ")</f>
        <v>653235</v>
      </c>
      <c r="O124" s="1063">
        <f t="shared" si="4"/>
        <v>3266175</v>
      </c>
      <c r="P124" s="1063">
        <f t="shared" si="5"/>
        <v>3266175</v>
      </c>
      <c r="Q124" s="1066">
        <f t="shared" si="6"/>
        <v>3266175</v>
      </c>
      <c r="R124" s="1067">
        <f t="shared" si="7"/>
        <v>1959705</v>
      </c>
      <c r="S124" s="1067">
        <f t="shared" si="8"/>
        <v>1959705</v>
      </c>
      <c r="T124" s="1068">
        <f t="shared" si="9"/>
        <v>0</v>
      </c>
      <c r="U124" s="1069" t="str">
        <f>IFERROR(VLOOKUP(A124,StockAll,10,FALSE)," ")</f>
        <v>B7T2</v>
      </c>
      <c r="V124" s="1086"/>
      <c r="W124" s="1071">
        <f t="shared" si="10"/>
        <v>2</v>
      </c>
      <c r="X124" s="1072">
        <f t="shared" si="11"/>
        <v>1306470</v>
      </c>
      <c r="Y124" s="1073">
        <f t="shared" si="12"/>
        <v>3</v>
      </c>
      <c r="Z124" s="56">
        <v>3.0</v>
      </c>
      <c r="AA124" s="1012"/>
      <c r="AB124" s="1012"/>
      <c r="AC124" s="1012"/>
      <c r="AD124" s="1012"/>
      <c r="AE124" s="1012"/>
      <c r="AF124" s="1012"/>
      <c r="AG124" s="1012"/>
      <c r="AH124" s="1012"/>
      <c r="AI124" s="1012"/>
      <c r="AJ124" s="1012"/>
      <c r="AK124" s="1012"/>
    </row>
    <row r="125">
      <c r="A125" s="982" t="s">
        <v>4512</v>
      </c>
      <c r="B125" s="983">
        <v>5.0</v>
      </c>
      <c r="C125" s="1061">
        <f>IFERROR(VLOOKUP(A125,stockKJD,8,FALSE)," ")</f>
        <v>5</v>
      </c>
      <c r="D125" s="1062">
        <f t="shared" si="1"/>
        <v>5</v>
      </c>
      <c r="E125" s="1061">
        <f>IFERROR(VLOOKUP(A125,stockKJD,9,FALSE)," ")</f>
        <v>0</v>
      </c>
      <c r="F125" s="987" t="s">
        <v>13614</v>
      </c>
      <c r="G125" s="1063">
        <f t="shared" si="2"/>
        <v>0</v>
      </c>
      <c r="H125" s="1064">
        <v>0.0</v>
      </c>
      <c r="I125" s="1064">
        <f t="shared" si="3"/>
        <v>4</v>
      </c>
      <c r="J125" s="1063">
        <v>4.0</v>
      </c>
      <c r="K125" s="1063"/>
      <c r="L125" s="1076" t="s">
        <v>13647</v>
      </c>
      <c r="M125" s="1065">
        <v>634920.0</v>
      </c>
      <c r="N125" s="1063">
        <f>IFERROR(VLOOKUP(A125,hpp,3,FALSE)," ")</f>
        <v>634920</v>
      </c>
      <c r="O125" s="1063">
        <f t="shared" si="4"/>
        <v>3174600</v>
      </c>
      <c r="P125" s="1063">
        <f t="shared" si="5"/>
        <v>3174600</v>
      </c>
      <c r="Q125" s="1066">
        <f t="shared" si="6"/>
        <v>3174600</v>
      </c>
      <c r="R125" s="1067">
        <f t="shared" si="7"/>
        <v>2539680</v>
      </c>
      <c r="S125" s="1067">
        <f t="shared" si="8"/>
        <v>2539680</v>
      </c>
      <c r="T125" s="1068">
        <f t="shared" si="9"/>
        <v>0</v>
      </c>
      <c r="U125" s="1069" t="str">
        <f>IFERROR(VLOOKUP(A125,StockAll,10,FALSE)," ")</f>
        <v>B11T2</v>
      </c>
      <c r="V125" s="1086"/>
      <c r="W125" s="1071">
        <f t="shared" si="10"/>
        <v>1</v>
      </c>
      <c r="X125" s="1072">
        <f t="shared" si="11"/>
        <v>634920</v>
      </c>
      <c r="Y125" s="1073">
        <f t="shared" si="12"/>
        <v>4</v>
      </c>
      <c r="Z125" s="56">
        <v>4.0</v>
      </c>
      <c r="AA125" s="1012"/>
      <c r="AB125" s="1012"/>
      <c r="AC125" s="1012"/>
      <c r="AD125" s="1012"/>
      <c r="AE125" s="1012"/>
      <c r="AF125" s="1012"/>
      <c r="AG125" s="1012"/>
      <c r="AH125" s="1012"/>
      <c r="AI125" s="1012"/>
      <c r="AJ125" s="1012"/>
      <c r="AK125" s="1012"/>
    </row>
    <row r="126">
      <c r="A126" s="982" t="s">
        <v>3594</v>
      </c>
      <c r="B126" s="983">
        <v>5.0</v>
      </c>
      <c r="C126" s="1061">
        <f>IFERROR(VLOOKUP(A126,stockKJD,8,FALSE)," ")</f>
        <v>5</v>
      </c>
      <c r="D126" s="1062">
        <f t="shared" si="1"/>
        <v>5</v>
      </c>
      <c r="E126" s="1061">
        <f>IFERROR(VLOOKUP(A126,stockKJD,9,FALSE)," ")</f>
        <v>0</v>
      </c>
      <c r="F126" s="987" t="s">
        <v>13614</v>
      </c>
      <c r="G126" s="1063">
        <f t="shared" si="2"/>
        <v>0</v>
      </c>
      <c r="H126" s="1064">
        <v>0.0</v>
      </c>
      <c r="I126" s="1064">
        <f t="shared" si="3"/>
        <v>4</v>
      </c>
      <c r="J126" s="1063">
        <v>4.0</v>
      </c>
      <c r="K126" s="1063"/>
      <c r="L126" s="1076" t="s">
        <v>13647</v>
      </c>
      <c r="M126" s="1065">
        <v>719169.0</v>
      </c>
      <c r="N126" s="1063">
        <f>IFERROR(VLOOKUP(A126,hpp,3,FALSE)," ")</f>
        <v>719169</v>
      </c>
      <c r="O126" s="1063">
        <f t="shared" si="4"/>
        <v>3595845</v>
      </c>
      <c r="P126" s="1063">
        <f t="shared" si="5"/>
        <v>3595845</v>
      </c>
      <c r="Q126" s="1066">
        <f t="shared" si="6"/>
        <v>3595845</v>
      </c>
      <c r="R126" s="1067">
        <f t="shared" si="7"/>
        <v>2876676</v>
      </c>
      <c r="S126" s="1067">
        <f t="shared" si="8"/>
        <v>2876676</v>
      </c>
      <c r="T126" s="1068">
        <f t="shared" si="9"/>
        <v>0</v>
      </c>
      <c r="U126" s="1069" t="str">
        <f>IFERROR(VLOOKUP(A126,StockAll,10,FALSE)," ")</f>
        <v>A9T2</v>
      </c>
      <c r="V126" s="1086"/>
      <c r="W126" s="1071">
        <f t="shared" si="10"/>
        <v>1</v>
      </c>
      <c r="X126" s="1072">
        <f t="shared" si="11"/>
        <v>719169</v>
      </c>
      <c r="Y126" s="1073">
        <f t="shared" si="12"/>
        <v>4</v>
      </c>
      <c r="Z126" s="56">
        <v>4.0</v>
      </c>
      <c r="AA126" s="1012"/>
      <c r="AB126" s="1012"/>
      <c r="AC126" s="1012"/>
      <c r="AD126" s="1012"/>
      <c r="AE126" s="1012"/>
      <c r="AF126" s="1012"/>
      <c r="AG126" s="1012"/>
      <c r="AH126" s="1012"/>
      <c r="AI126" s="1012"/>
      <c r="AJ126" s="1012"/>
      <c r="AK126" s="1012"/>
    </row>
    <row r="127" hidden="1">
      <c r="A127" s="982" t="s">
        <v>12965</v>
      </c>
      <c r="B127" s="983">
        <v>3.0</v>
      </c>
      <c r="C127" s="1061">
        <f>IFERROR(VLOOKUP(A127,stockKJD,8,FALSE)," ")</f>
        <v>0</v>
      </c>
      <c r="D127" s="1062">
        <f t="shared" si="1"/>
        <v>0</v>
      </c>
      <c r="E127" s="1061">
        <f>IFERROR(VLOOKUP(A127,stockKJD,9,FALSE)," ")</f>
        <v>3</v>
      </c>
      <c r="F127" s="987" t="s">
        <v>13610</v>
      </c>
      <c r="G127" s="1063">
        <f t="shared" si="2"/>
        <v>0</v>
      </c>
      <c r="H127" s="1075">
        <v>3.0</v>
      </c>
      <c r="I127" s="1064">
        <f t="shared" si="3"/>
        <v>0</v>
      </c>
      <c r="J127" s="1063"/>
      <c r="K127" s="1063"/>
      <c r="L127" s="1065"/>
      <c r="M127" s="1065">
        <v>103785.0</v>
      </c>
      <c r="N127" s="1063">
        <f>IFERROR(VLOOKUP(A127,hpp,3,FALSE)," ")</f>
        <v>103785</v>
      </c>
      <c r="O127" s="1063">
        <f t="shared" si="4"/>
        <v>311355</v>
      </c>
      <c r="P127" s="1063">
        <f t="shared" si="5"/>
        <v>311355</v>
      </c>
      <c r="Q127" s="1066">
        <f t="shared" si="6"/>
        <v>0</v>
      </c>
      <c r="R127" s="1067">
        <f t="shared" si="7"/>
        <v>0</v>
      </c>
      <c r="S127" s="1067">
        <f t="shared" si="8"/>
        <v>0</v>
      </c>
      <c r="T127" s="1068">
        <f t="shared" si="9"/>
        <v>311355</v>
      </c>
      <c r="U127" s="1069" t="str">
        <f>IFERROR(VLOOKUP(A127,StockAll,10,FALSE)," ")</f>
        <v>A9T4</v>
      </c>
      <c r="V127" s="1086"/>
      <c r="W127" s="1071">
        <f t="shared" si="10"/>
        <v>3</v>
      </c>
      <c r="X127" s="1072">
        <f t="shared" si="11"/>
        <v>311355</v>
      </c>
      <c r="Y127" s="1073">
        <f t="shared" si="12"/>
        <v>0</v>
      </c>
      <c r="Z127" s="1012"/>
      <c r="AA127" s="1012"/>
      <c r="AB127" s="1012"/>
      <c r="AC127" s="1012"/>
      <c r="AD127" s="1012"/>
      <c r="AE127" s="1012"/>
      <c r="AF127" s="1012"/>
      <c r="AG127" s="1012"/>
      <c r="AH127" s="1012"/>
      <c r="AI127" s="1012"/>
      <c r="AJ127" s="1012"/>
      <c r="AK127" s="1012"/>
    </row>
    <row r="128" hidden="1">
      <c r="A128" s="1088" t="s">
        <v>12966</v>
      </c>
      <c r="B128" s="983">
        <v>5.0</v>
      </c>
      <c r="C128" s="1061">
        <f>IFERROR(VLOOKUP(A128,stockKJD,8,FALSE)," ")</f>
        <v>0</v>
      </c>
      <c r="D128" s="1062">
        <f t="shared" si="1"/>
        <v>0</v>
      </c>
      <c r="E128" s="1061">
        <f>IFERROR(VLOOKUP(A128,stockKJD,9,FALSE)," ")</f>
        <v>5</v>
      </c>
      <c r="F128" s="987" t="s">
        <v>13610</v>
      </c>
      <c r="G128" s="1063">
        <f t="shared" si="2"/>
        <v>0</v>
      </c>
      <c r="H128" s="1075">
        <v>5.0</v>
      </c>
      <c r="I128" s="1064">
        <f t="shared" si="3"/>
        <v>0</v>
      </c>
      <c r="J128" s="1063"/>
      <c r="K128" s="1063"/>
      <c r="L128" s="1065"/>
      <c r="M128" s="1065">
        <v>103785.0</v>
      </c>
      <c r="N128" s="1063">
        <f>IFERROR(VLOOKUP(A128,hpp,3,FALSE)," ")</f>
        <v>103785</v>
      </c>
      <c r="O128" s="1063">
        <f t="shared" si="4"/>
        <v>518925</v>
      </c>
      <c r="P128" s="1063">
        <f t="shared" si="5"/>
        <v>518925</v>
      </c>
      <c r="Q128" s="1066">
        <f t="shared" si="6"/>
        <v>0</v>
      </c>
      <c r="R128" s="1067">
        <f t="shared" si="7"/>
        <v>0</v>
      </c>
      <c r="S128" s="1067">
        <f t="shared" si="8"/>
        <v>0</v>
      </c>
      <c r="T128" s="1068">
        <f t="shared" si="9"/>
        <v>518925</v>
      </c>
      <c r="U128" s="1069" t="str">
        <f>IFERROR(VLOOKUP(A128,StockAll,10,FALSE)," ")</f>
        <v>A9T3</v>
      </c>
      <c r="V128" s="1086"/>
      <c r="W128" s="1071">
        <f t="shared" si="10"/>
        <v>5</v>
      </c>
      <c r="X128" s="1072">
        <f t="shared" si="11"/>
        <v>518925</v>
      </c>
      <c r="Y128" s="1073">
        <f t="shared" si="12"/>
        <v>0</v>
      </c>
      <c r="Z128" s="1012"/>
      <c r="AA128" s="1012"/>
      <c r="AB128" s="1012"/>
      <c r="AC128" s="1012"/>
      <c r="AD128" s="1012"/>
      <c r="AE128" s="1012"/>
      <c r="AF128" s="1012"/>
      <c r="AG128" s="1012"/>
      <c r="AH128" s="1012"/>
      <c r="AI128" s="1012"/>
      <c r="AJ128" s="1012"/>
      <c r="AK128" s="1012"/>
    </row>
    <row r="129" hidden="1">
      <c r="A129" s="1088" t="s">
        <v>12967</v>
      </c>
      <c r="B129" s="983">
        <v>3.0</v>
      </c>
      <c r="C129" s="1061">
        <f>IFERROR(VLOOKUP(A129,stockKJD,8,FALSE)," ")</f>
        <v>0</v>
      </c>
      <c r="D129" s="1062">
        <f t="shared" si="1"/>
        <v>0</v>
      </c>
      <c r="E129" s="1061">
        <f>IFERROR(VLOOKUP(A129,stockKJD,9,FALSE)," ")</f>
        <v>3</v>
      </c>
      <c r="F129" s="987" t="s">
        <v>13610</v>
      </c>
      <c r="G129" s="1063">
        <f t="shared" si="2"/>
        <v>0</v>
      </c>
      <c r="H129" s="1075">
        <v>3.0</v>
      </c>
      <c r="I129" s="1064">
        <f t="shared" si="3"/>
        <v>0</v>
      </c>
      <c r="J129" s="1063"/>
      <c r="K129" s="1063"/>
      <c r="L129" s="1065"/>
      <c r="M129" s="1065">
        <v>114774.0</v>
      </c>
      <c r="N129" s="1063">
        <f>IFERROR(VLOOKUP(A129,hpp,3,FALSE)," ")</f>
        <v>114774</v>
      </c>
      <c r="O129" s="1063">
        <f t="shared" si="4"/>
        <v>344322</v>
      </c>
      <c r="P129" s="1063">
        <f t="shared" si="5"/>
        <v>344322</v>
      </c>
      <c r="Q129" s="1066">
        <f t="shared" si="6"/>
        <v>0</v>
      </c>
      <c r="R129" s="1067">
        <f t="shared" si="7"/>
        <v>0</v>
      </c>
      <c r="S129" s="1067">
        <f t="shared" si="8"/>
        <v>0</v>
      </c>
      <c r="T129" s="1068">
        <f t="shared" si="9"/>
        <v>344322</v>
      </c>
      <c r="U129" s="1069" t="str">
        <f>IFERROR(VLOOKUP(A129,StockAll,10,FALSE)," ")</f>
        <v>A9T3</v>
      </c>
      <c r="V129" s="1086"/>
      <c r="W129" s="1071">
        <f t="shared" si="10"/>
        <v>3</v>
      </c>
      <c r="X129" s="1072">
        <f t="shared" si="11"/>
        <v>344322</v>
      </c>
      <c r="Y129" s="1073">
        <f t="shared" si="12"/>
        <v>0</v>
      </c>
      <c r="Z129" s="1012"/>
      <c r="AA129" s="1012"/>
      <c r="AB129" s="1012"/>
      <c r="AC129" s="1012"/>
      <c r="AD129" s="1012"/>
      <c r="AE129" s="1012"/>
      <c r="AF129" s="1012"/>
      <c r="AG129" s="1012"/>
      <c r="AH129" s="1012"/>
      <c r="AI129" s="1012"/>
      <c r="AJ129" s="1012"/>
      <c r="AK129" s="1012"/>
    </row>
    <row r="130" hidden="1">
      <c r="A130" s="1088" t="s">
        <v>12968</v>
      </c>
      <c r="B130" s="983">
        <v>3.0</v>
      </c>
      <c r="C130" s="1061">
        <f>IFERROR(VLOOKUP(A130,stockKJD,8,FALSE)," ")</f>
        <v>0</v>
      </c>
      <c r="D130" s="1062">
        <f t="shared" si="1"/>
        <v>0</v>
      </c>
      <c r="E130" s="1061">
        <f>IFERROR(VLOOKUP(A130,stockKJD,9,FALSE)," ")</f>
        <v>3</v>
      </c>
      <c r="F130" s="987" t="s">
        <v>13610</v>
      </c>
      <c r="G130" s="1063">
        <f t="shared" si="2"/>
        <v>0</v>
      </c>
      <c r="H130" s="1075">
        <v>3.0</v>
      </c>
      <c r="I130" s="1064">
        <f t="shared" si="3"/>
        <v>0</v>
      </c>
      <c r="J130" s="1063"/>
      <c r="K130" s="1063"/>
      <c r="L130" s="1065"/>
      <c r="M130" s="1065">
        <v>114774.0</v>
      </c>
      <c r="N130" s="1063">
        <f>IFERROR(VLOOKUP(A130,hpp,3,FALSE)," ")</f>
        <v>114774</v>
      </c>
      <c r="O130" s="1063">
        <f t="shared" si="4"/>
        <v>344322</v>
      </c>
      <c r="P130" s="1063">
        <f t="shared" si="5"/>
        <v>344322</v>
      </c>
      <c r="Q130" s="1066">
        <f t="shared" si="6"/>
        <v>0</v>
      </c>
      <c r="R130" s="1067">
        <f t="shared" si="7"/>
        <v>0</v>
      </c>
      <c r="S130" s="1067">
        <f t="shared" si="8"/>
        <v>0</v>
      </c>
      <c r="T130" s="1068">
        <f t="shared" si="9"/>
        <v>344322</v>
      </c>
      <c r="U130" s="1069" t="str">
        <f>IFERROR(VLOOKUP(A130,StockAll,10,FALSE)," ")</f>
        <v>A9T3</v>
      </c>
      <c r="V130" s="1086"/>
      <c r="W130" s="1071">
        <f t="shared" si="10"/>
        <v>3</v>
      </c>
      <c r="X130" s="1072">
        <f t="shared" si="11"/>
        <v>344322</v>
      </c>
      <c r="Y130" s="1073">
        <f t="shared" si="12"/>
        <v>0</v>
      </c>
      <c r="Z130" s="1012"/>
      <c r="AA130" s="1012"/>
      <c r="AB130" s="1012"/>
      <c r="AC130" s="1012"/>
      <c r="AD130" s="1012"/>
      <c r="AE130" s="1012"/>
      <c r="AF130" s="1012"/>
      <c r="AG130" s="1012"/>
      <c r="AH130" s="1012"/>
      <c r="AI130" s="1012"/>
      <c r="AJ130" s="1012"/>
      <c r="AK130" s="1012"/>
    </row>
    <row r="131" hidden="1">
      <c r="A131" s="982" t="s">
        <v>2718</v>
      </c>
      <c r="B131" s="983">
        <v>5.0</v>
      </c>
      <c r="C131" s="1061">
        <f>IFERROR(VLOOKUP(A131,stockKJD,8,FALSE)," ")</f>
        <v>14</v>
      </c>
      <c r="D131" s="1062">
        <f t="shared" si="1"/>
        <v>5</v>
      </c>
      <c r="E131" s="1061">
        <f>IFERROR(VLOOKUP(A131,stockKJD,9,FALSE)," ")</f>
        <v>0</v>
      </c>
      <c r="F131" s="987" t="s">
        <v>13610</v>
      </c>
      <c r="G131" s="1063">
        <f t="shared" si="2"/>
        <v>-1</v>
      </c>
      <c r="H131" s="1075">
        <v>1.0</v>
      </c>
      <c r="I131" s="1064">
        <f t="shared" si="3"/>
        <v>0</v>
      </c>
      <c r="J131" s="1063"/>
      <c r="K131" s="1063"/>
      <c r="L131" s="1065"/>
      <c r="M131" s="1065">
        <v>517704.0</v>
      </c>
      <c r="N131" s="1063">
        <f>IFERROR(VLOOKUP(A131,hpp,3,FALSE)," ")</f>
        <v>524920</v>
      </c>
      <c r="O131" s="1063">
        <f t="shared" si="4"/>
        <v>2588520</v>
      </c>
      <c r="P131" s="1063">
        <f t="shared" si="5"/>
        <v>2624600</v>
      </c>
      <c r="Q131" s="1066">
        <f t="shared" si="6"/>
        <v>2588520</v>
      </c>
      <c r="R131" s="1067">
        <f t="shared" si="7"/>
        <v>0</v>
      </c>
      <c r="S131" s="1067">
        <f t="shared" si="8"/>
        <v>0</v>
      </c>
      <c r="T131" s="1068">
        <f t="shared" si="9"/>
        <v>517704</v>
      </c>
      <c r="U131" s="1069" t="str">
        <f>IFERROR(VLOOKUP(A131,StockAll,10,FALSE)," ")</f>
        <v>A13T2</v>
      </c>
      <c r="V131" s="1086"/>
      <c r="W131" s="1071">
        <f t="shared" si="10"/>
        <v>5</v>
      </c>
      <c r="X131" s="1072">
        <f t="shared" si="11"/>
        <v>2588520</v>
      </c>
      <c r="Y131" s="1073">
        <f t="shared" si="12"/>
        <v>0</v>
      </c>
      <c r="Z131" s="1012"/>
      <c r="AA131" s="1012"/>
      <c r="AB131" s="1012"/>
      <c r="AC131" s="1012"/>
      <c r="AD131" s="1012"/>
      <c r="AE131" s="1012"/>
      <c r="AF131" s="1012"/>
      <c r="AG131" s="1012"/>
      <c r="AH131" s="1012"/>
      <c r="AI131" s="1012"/>
      <c r="AJ131" s="1012"/>
      <c r="AK131" s="1012"/>
    </row>
    <row r="132">
      <c r="A132" s="982" t="s">
        <v>4178</v>
      </c>
      <c r="B132" s="983">
        <v>10.0</v>
      </c>
      <c r="C132" s="1061">
        <f>IFERROR(VLOOKUP(A132,stockKJD,8,FALSE)," ")</f>
        <v>13</v>
      </c>
      <c r="D132" s="1062">
        <f t="shared" si="1"/>
        <v>10</v>
      </c>
      <c r="E132" s="1061">
        <f>IFERROR(VLOOKUP(A132,stockKJD,9,FALSE)," ")</f>
        <v>2</v>
      </c>
      <c r="F132" s="987" t="s">
        <v>13614</v>
      </c>
      <c r="G132" s="1063">
        <f t="shared" si="2"/>
        <v>0</v>
      </c>
      <c r="H132" s="1064">
        <v>0.0</v>
      </c>
      <c r="I132" s="1064">
        <f t="shared" si="3"/>
        <v>8</v>
      </c>
      <c r="J132" s="1063">
        <v>8.0</v>
      </c>
      <c r="K132" s="1063"/>
      <c r="L132" s="1076" t="s">
        <v>13647</v>
      </c>
      <c r="M132" s="1065">
        <v>575091.0</v>
      </c>
      <c r="N132" s="1063">
        <f>IFERROR(VLOOKUP(A132,hpp,3,FALSE)," ")</f>
        <v>575091</v>
      </c>
      <c r="O132" s="1063">
        <f t="shared" si="4"/>
        <v>5750910</v>
      </c>
      <c r="P132" s="1063">
        <f t="shared" si="5"/>
        <v>5750910</v>
      </c>
      <c r="Q132" s="1066">
        <f t="shared" si="6"/>
        <v>5750910</v>
      </c>
      <c r="R132" s="1067">
        <f t="shared" si="7"/>
        <v>4600728</v>
      </c>
      <c r="S132" s="1067">
        <f t="shared" si="8"/>
        <v>4600728</v>
      </c>
      <c r="T132" s="1068">
        <f t="shared" si="9"/>
        <v>0</v>
      </c>
      <c r="U132" s="1069" t="str">
        <f>IFERROR(VLOOKUP(A132,StockAll,10,FALSE)," ")</f>
        <v>B3T1</v>
      </c>
      <c r="V132" s="1086"/>
      <c r="W132" s="1071">
        <f t="shared" si="10"/>
        <v>2</v>
      </c>
      <c r="X132" s="1072">
        <f t="shared" si="11"/>
        <v>1150182</v>
      </c>
      <c r="Y132" s="1073">
        <f t="shared" si="12"/>
        <v>8</v>
      </c>
      <c r="Z132" s="56">
        <v>8.0</v>
      </c>
      <c r="AA132" s="1012"/>
      <c r="AB132" s="1012"/>
      <c r="AC132" s="1012"/>
      <c r="AD132" s="1012"/>
      <c r="AE132" s="1012"/>
      <c r="AF132" s="1012"/>
      <c r="AG132" s="1012"/>
      <c r="AH132" s="1012"/>
      <c r="AI132" s="1012"/>
      <c r="AJ132" s="1012"/>
      <c r="AK132" s="1012"/>
    </row>
    <row r="133">
      <c r="A133" s="982" t="s">
        <v>6755</v>
      </c>
      <c r="B133" s="983">
        <v>5.0</v>
      </c>
      <c r="C133" s="1061">
        <f>IFERROR(VLOOKUP(A133,stockKJD,8,FALSE)," ")</f>
        <v>7</v>
      </c>
      <c r="D133" s="1062">
        <f t="shared" si="1"/>
        <v>5</v>
      </c>
      <c r="E133" s="1061">
        <f>IFERROR(VLOOKUP(A133,stockKJD,9,FALSE)," ")</f>
        <v>0</v>
      </c>
      <c r="F133" s="987" t="s">
        <v>13614</v>
      </c>
      <c r="G133" s="1063">
        <f t="shared" si="2"/>
        <v>0</v>
      </c>
      <c r="H133" s="1064">
        <v>0.0</v>
      </c>
      <c r="I133" s="1064">
        <f t="shared" si="3"/>
        <v>5</v>
      </c>
      <c r="J133" s="1063">
        <v>3.0</v>
      </c>
      <c r="K133" s="1078">
        <v>2.0</v>
      </c>
      <c r="L133" s="1076" t="s">
        <v>13648</v>
      </c>
      <c r="M133" s="1065">
        <v>583638.0</v>
      </c>
      <c r="N133" s="1063">
        <f>IFERROR(VLOOKUP(A133,hpp,3,FALSE)," ")</f>
        <v>583638</v>
      </c>
      <c r="O133" s="1063">
        <f t="shared" si="4"/>
        <v>2918190</v>
      </c>
      <c r="P133" s="1063">
        <f t="shared" si="5"/>
        <v>2918190</v>
      </c>
      <c r="Q133" s="1066">
        <f t="shared" si="6"/>
        <v>2918190</v>
      </c>
      <c r="R133" s="1067">
        <f t="shared" si="7"/>
        <v>2918190</v>
      </c>
      <c r="S133" s="1067">
        <f t="shared" si="8"/>
        <v>2918190</v>
      </c>
      <c r="T133" s="1068">
        <f t="shared" si="9"/>
        <v>0</v>
      </c>
      <c r="U133" s="1069" t="str">
        <f>IFERROR(VLOOKUP(A133,StockAll,10,FALSE)," ")</f>
        <v>B13T2</v>
      </c>
      <c r="V133" s="1086"/>
      <c r="W133" s="1071">
        <f t="shared" si="10"/>
        <v>0</v>
      </c>
      <c r="X133" s="1072">
        <f t="shared" si="11"/>
        <v>0</v>
      </c>
      <c r="Y133" s="1073">
        <f t="shared" si="12"/>
        <v>5</v>
      </c>
      <c r="Z133" s="56">
        <v>5.0</v>
      </c>
      <c r="AA133" s="1012"/>
      <c r="AB133" s="1012"/>
      <c r="AC133" s="1012"/>
      <c r="AD133" s="1012"/>
      <c r="AE133" s="1012"/>
      <c r="AF133" s="1012"/>
      <c r="AG133" s="1012"/>
      <c r="AH133" s="1012"/>
      <c r="AI133" s="1012"/>
      <c r="AJ133" s="1012"/>
      <c r="AK133" s="1012"/>
    </row>
    <row r="134">
      <c r="A134" s="982" t="s">
        <v>6756</v>
      </c>
      <c r="B134" s="983">
        <v>5.0</v>
      </c>
      <c r="C134" s="1061">
        <f>IFERROR(VLOOKUP(A134,stockKJD,8,FALSE)," ")</f>
        <v>7</v>
      </c>
      <c r="D134" s="1062">
        <f t="shared" si="1"/>
        <v>5</v>
      </c>
      <c r="E134" s="1061">
        <f>IFERROR(VLOOKUP(A134,stockKJD,9,FALSE)," ")</f>
        <v>2</v>
      </c>
      <c r="F134" s="987" t="s">
        <v>13614</v>
      </c>
      <c r="G134" s="1063">
        <f t="shared" si="2"/>
        <v>0</v>
      </c>
      <c r="H134" s="1064">
        <v>0.0</v>
      </c>
      <c r="I134" s="1064">
        <f t="shared" si="3"/>
        <v>5</v>
      </c>
      <c r="J134" s="1063">
        <v>5.0</v>
      </c>
      <c r="K134" s="1063"/>
      <c r="L134" s="1076" t="s">
        <v>13647</v>
      </c>
      <c r="M134" s="1065">
        <v>604395.0</v>
      </c>
      <c r="N134" s="1063">
        <f>IFERROR(VLOOKUP(A134,hpp,3,FALSE)," ")</f>
        <v>604395</v>
      </c>
      <c r="O134" s="1063">
        <f t="shared" si="4"/>
        <v>3021975</v>
      </c>
      <c r="P134" s="1063">
        <f t="shared" si="5"/>
        <v>3021975</v>
      </c>
      <c r="Q134" s="1066">
        <f t="shared" si="6"/>
        <v>3021975</v>
      </c>
      <c r="R134" s="1067">
        <f t="shared" si="7"/>
        <v>3021975</v>
      </c>
      <c r="S134" s="1067">
        <f t="shared" si="8"/>
        <v>3021975</v>
      </c>
      <c r="T134" s="1068">
        <f t="shared" si="9"/>
        <v>0</v>
      </c>
      <c r="U134" s="1069" t="str">
        <f>IFERROR(VLOOKUP(A134,StockAll,10,FALSE)," ")</f>
        <v>B1T2</v>
      </c>
      <c r="V134" s="1086"/>
      <c r="W134" s="1071">
        <f t="shared" si="10"/>
        <v>0</v>
      </c>
      <c r="X134" s="1072">
        <f t="shared" si="11"/>
        <v>0</v>
      </c>
      <c r="Y134" s="1073">
        <f t="shared" si="12"/>
        <v>5</v>
      </c>
      <c r="Z134" s="56">
        <v>5.0</v>
      </c>
      <c r="AA134" s="1012"/>
      <c r="AB134" s="1012"/>
      <c r="AC134" s="1012"/>
      <c r="AD134" s="1012"/>
      <c r="AE134" s="1012"/>
      <c r="AF134" s="1012"/>
      <c r="AG134" s="1012"/>
      <c r="AH134" s="1012"/>
      <c r="AI134" s="1012"/>
      <c r="AJ134" s="1012"/>
      <c r="AK134" s="1012"/>
    </row>
    <row r="135">
      <c r="A135" s="982" t="s">
        <v>3526</v>
      </c>
      <c r="B135" s="983">
        <v>5.0</v>
      </c>
      <c r="C135" s="1061">
        <f>IFERROR(VLOOKUP(A135,stockKJD,8,FALSE)," ")</f>
        <v>5</v>
      </c>
      <c r="D135" s="1062">
        <f t="shared" si="1"/>
        <v>5</v>
      </c>
      <c r="E135" s="1061">
        <f>IFERROR(VLOOKUP(A135,stockKJD,9,FALSE)," ")</f>
        <v>0</v>
      </c>
      <c r="F135" s="987" t="s">
        <v>13610</v>
      </c>
      <c r="G135" s="1063">
        <f t="shared" si="2"/>
        <v>0</v>
      </c>
      <c r="H135" s="1064">
        <v>0.0</v>
      </c>
      <c r="I135" s="1064">
        <f t="shared" si="3"/>
        <v>1</v>
      </c>
      <c r="J135" s="1063">
        <v>1.0</v>
      </c>
      <c r="K135" s="1063"/>
      <c r="L135" s="1076" t="s">
        <v>13647</v>
      </c>
      <c r="M135" s="1065">
        <v>560439.0</v>
      </c>
      <c r="N135" s="1063">
        <f>IFERROR(VLOOKUP(A135,hpp,3,FALSE)," ")</f>
        <v>560439</v>
      </c>
      <c r="O135" s="1063">
        <f t="shared" si="4"/>
        <v>2802195</v>
      </c>
      <c r="P135" s="1063">
        <f t="shared" si="5"/>
        <v>2802195</v>
      </c>
      <c r="Q135" s="1066">
        <f t="shared" si="6"/>
        <v>2802195</v>
      </c>
      <c r="R135" s="1067">
        <f t="shared" si="7"/>
        <v>560439</v>
      </c>
      <c r="S135" s="1067">
        <f t="shared" si="8"/>
        <v>560439</v>
      </c>
      <c r="T135" s="1068">
        <f t="shared" si="9"/>
        <v>0</v>
      </c>
      <c r="U135" s="1069" t="str">
        <f>IFERROR(VLOOKUP(A135,StockAll,10,FALSE)," ")</f>
        <v>A5T2</v>
      </c>
      <c r="V135" s="1086"/>
      <c r="W135" s="1071">
        <f t="shared" si="10"/>
        <v>4</v>
      </c>
      <c r="X135" s="1072">
        <f t="shared" si="11"/>
        <v>2241756</v>
      </c>
      <c r="Y135" s="1073">
        <f t="shared" si="12"/>
        <v>1</v>
      </c>
      <c r="Z135" s="56">
        <v>1.0</v>
      </c>
      <c r="AA135" s="1012"/>
      <c r="AB135" s="1012"/>
      <c r="AC135" s="1012"/>
      <c r="AD135" s="1012"/>
      <c r="AE135" s="1012"/>
      <c r="AF135" s="1012"/>
      <c r="AG135" s="1012"/>
      <c r="AH135" s="1012"/>
      <c r="AI135" s="1012"/>
      <c r="AJ135" s="1012"/>
      <c r="AK135" s="1012"/>
    </row>
    <row r="136">
      <c r="A136" s="982" t="s">
        <v>5907</v>
      </c>
      <c r="B136" s="983">
        <v>5.0</v>
      </c>
      <c r="C136" s="1061">
        <f>IFERROR(VLOOKUP(A136,stockKJD,8,FALSE)," ")</f>
        <v>5</v>
      </c>
      <c r="D136" s="1062">
        <f t="shared" si="1"/>
        <v>5</v>
      </c>
      <c r="E136" s="1061">
        <f>IFERROR(VLOOKUP(A136,stockKJD,9,FALSE)," ")</f>
        <v>0</v>
      </c>
      <c r="F136" s="987" t="s">
        <v>13610</v>
      </c>
      <c r="G136" s="1063">
        <f t="shared" si="2"/>
        <v>0</v>
      </c>
      <c r="H136" s="1064">
        <v>0.0</v>
      </c>
      <c r="I136" s="1064">
        <f t="shared" si="3"/>
        <v>3</v>
      </c>
      <c r="J136" s="1063">
        <v>3.0</v>
      </c>
      <c r="K136" s="1063"/>
      <c r="L136" s="1076" t="s">
        <v>13647</v>
      </c>
      <c r="M136" s="1065">
        <v>542124.0</v>
      </c>
      <c r="N136" s="1063">
        <f>IFERROR(VLOOKUP(A136,hpp,3,FALSE)," ")</f>
        <v>542124</v>
      </c>
      <c r="O136" s="1063">
        <f t="shared" si="4"/>
        <v>2710620</v>
      </c>
      <c r="P136" s="1063">
        <f t="shared" si="5"/>
        <v>2710620</v>
      </c>
      <c r="Q136" s="1066">
        <f t="shared" si="6"/>
        <v>2710620</v>
      </c>
      <c r="R136" s="1067">
        <f t="shared" si="7"/>
        <v>1626372</v>
      </c>
      <c r="S136" s="1067">
        <f t="shared" si="8"/>
        <v>1626372</v>
      </c>
      <c r="T136" s="1068">
        <f t="shared" si="9"/>
        <v>0</v>
      </c>
      <c r="U136" s="1069" t="str">
        <f>IFERROR(VLOOKUP(A136,StockAll,10,FALSE)," ")</f>
        <v>A5T2</v>
      </c>
      <c r="V136" s="1086"/>
      <c r="W136" s="1071">
        <f t="shared" si="10"/>
        <v>2</v>
      </c>
      <c r="X136" s="1072">
        <f t="shared" si="11"/>
        <v>1084248</v>
      </c>
      <c r="Y136" s="1073">
        <f t="shared" si="12"/>
        <v>3</v>
      </c>
      <c r="Z136" s="56">
        <v>3.0</v>
      </c>
      <c r="AA136" s="1012"/>
      <c r="AB136" s="1012"/>
      <c r="AC136" s="1012"/>
      <c r="AD136" s="1012"/>
      <c r="AE136" s="1012"/>
      <c r="AF136" s="1012"/>
      <c r="AG136" s="1012"/>
      <c r="AH136" s="1012"/>
      <c r="AI136" s="1012"/>
      <c r="AJ136" s="1012"/>
      <c r="AK136" s="1012"/>
    </row>
    <row r="137">
      <c r="A137" s="982" t="s">
        <v>6757</v>
      </c>
      <c r="B137" s="983">
        <v>5.0</v>
      </c>
      <c r="C137" s="1061">
        <f>IFERROR(VLOOKUP(A137,stockKJD,8,FALSE)," ")</f>
        <v>5</v>
      </c>
      <c r="D137" s="1062">
        <f t="shared" si="1"/>
        <v>5</v>
      </c>
      <c r="E137" s="1061">
        <f>IFERROR(VLOOKUP(A137,stockKJD,9,FALSE)," ")</f>
        <v>1</v>
      </c>
      <c r="F137" s="987" t="s">
        <v>13614</v>
      </c>
      <c r="G137" s="1063">
        <f t="shared" si="2"/>
        <v>0</v>
      </c>
      <c r="H137" s="1064">
        <v>0.0</v>
      </c>
      <c r="I137" s="1064">
        <f t="shared" si="3"/>
        <v>5</v>
      </c>
      <c r="J137" s="1063">
        <v>5.0</v>
      </c>
      <c r="K137" s="1063"/>
      <c r="L137" s="1076" t="s">
        <v>13647</v>
      </c>
      <c r="M137" s="1065">
        <v>488400.0</v>
      </c>
      <c r="N137" s="1063">
        <f>IFERROR(VLOOKUP(A137,hpp,3,FALSE)," ")</f>
        <v>488400</v>
      </c>
      <c r="O137" s="1063">
        <f t="shared" si="4"/>
        <v>2442000</v>
      </c>
      <c r="P137" s="1063">
        <f t="shared" si="5"/>
        <v>2442000</v>
      </c>
      <c r="Q137" s="1066">
        <f t="shared" si="6"/>
        <v>2442000</v>
      </c>
      <c r="R137" s="1067">
        <f t="shared" si="7"/>
        <v>2442000</v>
      </c>
      <c r="S137" s="1067">
        <f t="shared" si="8"/>
        <v>2442000</v>
      </c>
      <c r="T137" s="1068">
        <f t="shared" si="9"/>
        <v>0</v>
      </c>
      <c r="U137" s="1069" t="str">
        <f>IFERROR(VLOOKUP(A137,StockAll,10,FALSE)," ")</f>
        <v>B1T1</v>
      </c>
      <c r="V137" s="1089"/>
      <c r="W137" s="1071">
        <f t="shared" si="10"/>
        <v>0</v>
      </c>
      <c r="X137" s="1072">
        <f t="shared" si="11"/>
        <v>0</v>
      </c>
      <c r="Y137" s="1073">
        <f t="shared" si="12"/>
        <v>5</v>
      </c>
      <c r="Z137" s="56">
        <v>5.0</v>
      </c>
      <c r="AA137" s="1012"/>
      <c r="AB137" s="1012"/>
      <c r="AC137" s="1012"/>
      <c r="AD137" s="1012"/>
      <c r="AE137" s="1012"/>
      <c r="AF137" s="1012"/>
      <c r="AG137" s="1012"/>
      <c r="AH137" s="1012"/>
      <c r="AI137" s="1012"/>
      <c r="AJ137" s="1012"/>
      <c r="AK137" s="1012"/>
    </row>
    <row r="138" hidden="1">
      <c r="A138" s="982" t="s">
        <v>2541</v>
      </c>
      <c r="B138" s="983">
        <v>5.0</v>
      </c>
      <c r="C138" s="1061">
        <f>IFERROR(VLOOKUP(A138,stockKJD,8,FALSE)," ")</f>
        <v>8</v>
      </c>
      <c r="D138" s="1062">
        <f t="shared" si="1"/>
        <v>5</v>
      </c>
      <c r="E138" s="1061">
        <f>IFERROR(VLOOKUP(A138,stockKJD,9,FALSE)," ")</f>
        <v>7</v>
      </c>
      <c r="F138" s="987" t="s">
        <v>13610</v>
      </c>
      <c r="G138" s="1063">
        <f t="shared" si="2"/>
        <v>0</v>
      </c>
      <c r="H138" s="1064">
        <v>0.0</v>
      </c>
      <c r="I138" s="1064">
        <f t="shared" si="3"/>
        <v>0</v>
      </c>
      <c r="J138" s="1063"/>
      <c r="K138" s="1063"/>
      <c r="L138" s="1065"/>
      <c r="M138" s="1065">
        <v>534798.0</v>
      </c>
      <c r="N138" s="1063">
        <f>IFERROR(VLOOKUP(A138,hpp,3,FALSE)," ")</f>
        <v>534798</v>
      </c>
      <c r="O138" s="1063">
        <f t="shared" si="4"/>
        <v>2673990</v>
      </c>
      <c r="P138" s="1063">
        <f t="shared" si="5"/>
        <v>2673990</v>
      </c>
      <c r="Q138" s="1066">
        <f t="shared" si="6"/>
        <v>2673990</v>
      </c>
      <c r="R138" s="1067">
        <f t="shared" si="7"/>
        <v>0</v>
      </c>
      <c r="S138" s="1067">
        <f t="shared" si="8"/>
        <v>0</v>
      </c>
      <c r="T138" s="1068">
        <f t="shared" si="9"/>
        <v>0</v>
      </c>
      <c r="U138" s="1069" t="str">
        <f>IFERROR(VLOOKUP(A138,StockAll,10,FALSE)," ")</f>
        <v>B8T2 </v>
      </c>
      <c r="V138" s="1086"/>
      <c r="W138" s="1071">
        <f t="shared" si="10"/>
        <v>5</v>
      </c>
      <c r="X138" s="1072">
        <f t="shared" si="11"/>
        <v>2673990</v>
      </c>
      <c r="Y138" s="1073">
        <f t="shared" si="12"/>
        <v>0</v>
      </c>
      <c r="Z138" s="1012"/>
      <c r="AA138" s="1012"/>
      <c r="AB138" s="1012"/>
      <c r="AC138" s="1012"/>
      <c r="AD138" s="1012"/>
      <c r="AE138" s="1012"/>
      <c r="AF138" s="1012"/>
      <c r="AG138" s="1012"/>
      <c r="AH138" s="1012"/>
      <c r="AI138" s="1012"/>
      <c r="AJ138" s="1012"/>
      <c r="AK138" s="1012"/>
    </row>
    <row r="139">
      <c r="A139" s="982" t="s">
        <v>2651</v>
      </c>
      <c r="B139" s="983">
        <v>5.0</v>
      </c>
      <c r="C139" s="1061">
        <f>IFERROR(VLOOKUP(A139,stockKJD,8,FALSE)," ")</f>
        <v>3</v>
      </c>
      <c r="D139" s="1062">
        <f t="shared" si="1"/>
        <v>3</v>
      </c>
      <c r="E139" s="1061">
        <f>IFERROR(VLOOKUP(A139,stockKJD,9,FALSE)," ")</f>
        <v>2</v>
      </c>
      <c r="F139" s="987" t="s">
        <v>13610</v>
      </c>
      <c r="G139" s="1063">
        <f t="shared" si="2"/>
        <v>0</v>
      </c>
      <c r="H139" s="1075">
        <v>2.0</v>
      </c>
      <c r="I139" s="1064">
        <f t="shared" si="3"/>
        <v>2</v>
      </c>
      <c r="J139" s="1063">
        <v>2.0</v>
      </c>
      <c r="K139" s="1063"/>
      <c r="L139" s="1076" t="s">
        <v>13647</v>
      </c>
      <c r="M139" s="1065">
        <v>483516.0</v>
      </c>
      <c r="N139" s="1063">
        <f>IFERROR(VLOOKUP(A139,hpp,3,FALSE)," ")</f>
        <v>483516</v>
      </c>
      <c r="O139" s="1063">
        <f t="shared" si="4"/>
        <v>2417580</v>
      </c>
      <c r="P139" s="1063">
        <f t="shared" si="5"/>
        <v>2417580</v>
      </c>
      <c r="Q139" s="1066">
        <f t="shared" si="6"/>
        <v>1450548</v>
      </c>
      <c r="R139" s="1067">
        <f t="shared" si="7"/>
        <v>967032</v>
      </c>
      <c r="S139" s="1067">
        <f t="shared" si="8"/>
        <v>967032</v>
      </c>
      <c r="T139" s="1068">
        <f t="shared" si="9"/>
        <v>967032</v>
      </c>
      <c r="U139" s="1069" t="str">
        <f>IFERROR(VLOOKUP(A139,StockAll,10,FALSE)," ")</f>
        <v>B12T2</v>
      </c>
      <c r="V139" s="1086"/>
      <c r="W139" s="1071">
        <f t="shared" si="10"/>
        <v>3</v>
      </c>
      <c r="X139" s="1072">
        <f t="shared" si="11"/>
        <v>1450548</v>
      </c>
      <c r="Y139" s="1073">
        <f t="shared" si="12"/>
        <v>2</v>
      </c>
      <c r="Z139" s="56">
        <v>2.0</v>
      </c>
      <c r="AA139" s="1012"/>
      <c r="AB139" s="1012"/>
      <c r="AC139" s="1012"/>
      <c r="AD139" s="1012"/>
      <c r="AE139" s="1012"/>
      <c r="AF139" s="1012"/>
      <c r="AG139" s="1012"/>
      <c r="AH139" s="1012"/>
      <c r="AI139" s="1012"/>
      <c r="AJ139" s="1012"/>
      <c r="AK139" s="1012"/>
    </row>
    <row r="140">
      <c r="A140" s="791" t="s">
        <v>2703</v>
      </c>
      <c r="B140" s="1090">
        <v>0.0</v>
      </c>
      <c r="C140" s="1061">
        <f>IFERROR(VLOOKUP(A140,stockKJD,8,FALSE)," ")</f>
        <v>54</v>
      </c>
      <c r="D140" s="1091">
        <v>0.0</v>
      </c>
      <c r="E140" s="1061">
        <f>IFERROR(VLOOKUP(A140,stockKJD,9,FALSE)," ")</f>
        <v>5</v>
      </c>
      <c r="F140" s="987" t="s">
        <v>13610</v>
      </c>
      <c r="G140" s="1078">
        <v>30.0</v>
      </c>
      <c r="H140" s="1064">
        <v>0.0</v>
      </c>
      <c r="I140" s="1064">
        <f t="shared" si="3"/>
        <v>30</v>
      </c>
      <c r="J140" s="1063">
        <v>30.0</v>
      </c>
      <c r="K140" s="1063"/>
      <c r="L140" s="1076" t="s">
        <v>13647</v>
      </c>
      <c r="M140" s="1092">
        <v>500000.0</v>
      </c>
      <c r="N140" s="1063">
        <f>IFERROR(VLOOKUP(A140,hpp,3,FALSE)," ")</f>
        <v>500000</v>
      </c>
      <c r="O140" s="1063">
        <f t="shared" si="4"/>
        <v>0</v>
      </c>
      <c r="P140" s="1063">
        <f t="shared" si="5"/>
        <v>0</v>
      </c>
      <c r="Q140" s="1066">
        <f t="shared" si="6"/>
        <v>0</v>
      </c>
      <c r="R140" s="1067">
        <f t="shared" si="7"/>
        <v>15000000</v>
      </c>
      <c r="S140" s="1067">
        <f t="shared" si="8"/>
        <v>15000000</v>
      </c>
      <c r="T140" s="1068">
        <f t="shared" si="9"/>
        <v>0</v>
      </c>
      <c r="U140" s="1069" t="str">
        <f>IFERROR(VLOOKUP(A140,StockAll,10,FALSE)," ")</f>
        <v>A11T1 - T2</v>
      </c>
      <c r="V140" s="1089"/>
      <c r="W140" s="1093"/>
      <c r="X140" s="1072">
        <f t="shared" si="11"/>
        <v>0</v>
      </c>
      <c r="Y140" s="1073">
        <f t="shared" si="12"/>
        <v>30</v>
      </c>
      <c r="Z140" s="56">
        <v>30.0</v>
      </c>
      <c r="AA140" s="1012"/>
      <c r="AB140" s="1012"/>
      <c r="AC140" s="1012"/>
      <c r="AD140" s="1012"/>
      <c r="AE140" s="1012"/>
      <c r="AF140" s="1012"/>
      <c r="AG140" s="1012"/>
      <c r="AH140" s="1012"/>
      <c r="AI140" s="1012"/>
      <c r="AJ140" s="1012"/>
      <c r="AK140" s="1012"/>
    </row>
    <row r="141">
      <c r="A141" s="1012"/>
      <c r="B141" s="1013"/>
      <c r="C141" s="1012"/>
      <c r="D141" s="1013"/>
      <c r="E141" s="1012"/>
      <c r="F141" s="1012"/>
      <c r="G141" s="1013"/>
      <c r="H141" s="1012"/>
      <c r="I141" s="1012"/>
      <c r="J141" s="1013"/>
      <c r="K141" s="1013"/>
      <c r="L141" s="1094"/>
      <c r="M141" s="1094"/>
      <c r="N141" s="1013"/>
      <c r="O141" s="1013"/>
      <c r="P141" s="1013"/>
      <c r="Q141" s="1013"/>
      <c r="R141" s="1013"/>
      <c r="S141" s="1013"/>
      <c r="U141" s="1011"/>
      <c r="V141" s="1012"/>
      <c r="W141" s="1013"/>
      <c r="X141" s="1014"/>
      <c r="Y141" s="1012"/>
      <c r="Z141" s="1012"/>
      <c r="AA141" s="1012"/>
      <c r="AB141" s="1012"/>
      <c r="AC141" s="1012"/>
      <c r="AD141" s="1012"/>
      <c r="AE141" s="1012"/>
      <c r="AF141" s="1012"/>
      <c r="AG141" s="1012"/>
      <c r="AH141" s="1012"/>
      <c r="AI141" s="1012"/>
      <c r="AJ141" s="1012"/>
      <c r="AK141" s="1012"/>
    </row>
    <row r="142">
      <c r="A142" s="1012"/>
      <c r="B142" s="1013"/>
      <c r="C142" s="1012"/>
      <c r="D142" s="1013"/>
      <c r="E142" s="1012"/>
      <c r="F142" s="1012"/>
      <c r="G142" s="1013"/>
      <c r="H142" s="1012"/>
      <c r="I142" s="1012"/>
      <c r="J142" s="1013"/>
      <c r="K142" s="1013"/>
      <c r="L142" s="1094"/>
      <c r="M142" s="1094"/>
      <c r="N142" s="1013"/>
      <c r="O142" s="1013"/>
      <c r="P142" s="1013"/>
      <c r="Q142" s="1013"/>
      <c r="R142" s="1013"/>
      <c r="S142" s="1013"/>
      <c r="T142" s="1012"/>
      <c r="U142" s="1011"/>
      <c r="V142" s="1012"/>
      <c r="W142" s="1013"/>
      <c r="X142" s="1014"/>
      <c r="Y142" s="1012"/>
      <c r="Z142" s="1012"/>
      <c r="AA142" s="1012"/>
      <c r="AB142" s="1012"/>
      <c r="AC142" s="1012"/>
      <c r="AD142" s="1012"/>
      <c r="AE142" s="1012"/>
      <c r="AF142" s="1012"/>
      <c r="AG142" s="1012"/>
      <c r="AH142" s="1012"/>
      <c r="AI142" s="1012"/>
      <c r="AJ142" s="1012"/>
      <c r="AK142" s="1012"/>
    </row>
    <row r="143">
      <c r="A143" s="1012"/>
      <c r="B143" s="1013"/>
      <c r="C143" s="1012"/>
      <c r="D143" s="1013"/>
      <c r="E143" s="1012"/>
      <c r="F143" s="1012"/>
      <c r="G143" s="1013"/>
      <c r="H143" s="1012"/>
      <c r="I143" s="1012"/>
      <c r="J143" s="1013"/>
      <c r="K143" s="1013"/>
      <c r="L143" s="1094"/>
      <c r="M143" s="1094"/>
      <c r="N143" s="1013"/>
      <c r="O143" s="1013"/>
      <c r="P143" s="1013"/>
      <c r="Q143" s="1013"/>
      <c r="R143" s="1013"/>
      <c r="S143" s="1013"/>
      <c r="T143" s="1012"/>
      <c r="U143" s="1011"/>
      <c r="V143" s="1012"/>
      <c r="W143" s="1013"/>
      <c r="X143" s="1014"/>
      <c r="Y143" s="1012"/>
      <c r="Z143" s="1012"/>
      <c r="AA143" s="1012"/>
      <c r="AB143" s="1012"/>
      <c r="AC143" s="1012"/>
      <c r="AD143" s="1012"/>
      <c r="AE143" s="1012"/>
      <c r="AF143" s="1012"/>
      <c r="AG143" s="1012"/>
      <c r="AH143" s="1012"/>
      <c r="AI143" s="1012"/>
      <c r="AJ143" s="1012"/>
      <c r="AK143" s="1012"/>
    </row>
    <row r="144">
      <c r="A144" s="1012"/>
      <c r="B144" s="1013"/>
      <c r="C144" s="1012"/>
      <c r="D144" s="1013"/>
      <c r="E144" s="1012"/>
      <c r="F144" s="1012"/>
      <c r="G144" s="1013"/>
      <c r="H144" s="1012"/>
      <c r="I144" s="1012"/>
      <c r="J144" s="1013"/>
      <c r="K144" s="1013"/>
      <c r="L144" s="1094"/>
      <c r="M144" s="1094"/>
      <c r="N144" s="1013"/>
      <c r="O144" s="1013"/>
      <c r="P144" s="1013"/>
      <c r="Q144" s="1013"/>
      <c r="R144" s="1013"/>
      <c r="S144" s="1013"/>
      <c r="T144" s="1012"/>
      <c r="U144" s="1011"/>
      <c r="V144" s="1012"/>
      <c r="W144" s="1013"/>
      <c r="X144" s="1014"/>
      <c r="Y144" s="1012"/>
      <c r="Z144" s="1012"/>
      <c r="AA144" s="1012"/>
      <c r="AB144" s="1012"/>
      <c r="AC144" s="1012"/>
      <c r="AD144" s="1012"/>
      <c r="AE144" s="1012"/>
      <c r="AF144" s="1012"/>
      <c r="AG144" s="1012"/>
      <c r="AH144" s="1012"/>
      <c r="AI144" s="1012"/>
      <c r="AJ144" s="1012"/>
      <c r="AK144" s="1012"/>
    </row>
    <row r="145">
      <c r="A145" s="1012"/>
      <c r="B145" s="1013"/>
      <c r="C145" s="1012"/>
      <c r="D145" s="1013"/>
      <c r="E145" s="1012"/>
      <c r="F145" s="1012"/>
      <c r="G145" s="1013"/>
      <c r="H145" s="1012"/>
      <c r="I145" s="1012"/>
      <c r="J145" s="1013"/>
      <c r="K145" s="1013"/>
      <c r="L145" s="1094"/>
      <c r="M145" s="1094"/>
      <c r="N145" s="1013"/>
      <c r="O145" s="1013"/>
      <c r="P145" s="1013"/>
      <c r="Q145" s="1013"/>
      <c r="R145" s="1013"/>
      <c r="S145" s="1013"/>
      <c r="T145" s="1012"/>
      <c r="U145" s="1011"/>
      <c r="V145" s="1012"/>
      <c r="W145" s="1013"/>
      <c r="X145" s="1014"/>
      <c r="Y145" s="1012"/>
      <c r="Z145" s="1012"/>
      <c r="AA145" s="1012"/>
      <c r="AB145" s="1012"/>
      <c r="AC145" s="1012"/>
      <c r="AD145" s="1012"/>
      <c r="AE145" s="1012"/>
      <c r="AF145" s="1012"/>
      <c r="AG145" s="1012"/>
      <c r="AH145" s="1012"/>
      <c r="AI145" s="1012"/>
      <c r="AJ145" s="1012"/>
      <c r="AK145" s="1012"/>
    </row>
    <row r="146">
      <c r="A146" s="1012"/>
      <c r="B146" s="1013"/>
      <c r="C146" s="1012"/>
      <c r="D146" s="1013"/>
      <c r="E146" s="1012"/>
      <c r="F146" s="1012"/>
      <c r="G146" s="1013"/>
      <c r="H146" s="1012"/>
      <c r="I146" s="1012"/>
      <c r="J146" s="1013"/>
      <c r="K146" s="1013"/>
      <c r="L146" s="1094"/>
      <c r="M146" s="1094"/>
      <c r="N146" s="1013"/>
      <c r="O146" s="1013"/>
      <c r="P146" s="1013"/>
      <c r="Q146" s="1013"/>
      <c r="R146" s="1013"/>
      <c r="S146" s="1013"/>
      <c r="T146" s="1012"/>
      <c r="U146" s="1011"/>
      <c r="V146" s="1012"/>
      <c r="W146" s="1013"/>
      <c r="X146" s="1014"/>
      <c r="Y146" s="1012"/>
      <c r="Z146" s="1012"/>
      <c r="AA146" s="1012"/>
      <c r="AB146" s="1012"/>
      <c r="AC146" s="1012"/>
      <c r="AD146" s="1012"/>
      <c r="AE146" s="1012"/>
      <c r="AF146" s="1012"/>
      <c r="AG146" s="1012"/>
      <c r="AH146" s="1012"/>
      <c r="AI146" s="1012"/>
      <c r="AJ146" s="1012"/>
      <c r="AK146" s="1012"/>
    </row>
    <row r="147">
      <c r="A147" s="1012"/>
      <c r="B147" s="1013"/>
      <c r="C147" s="1012"/>
      <c r="D147" s="1013"/>
      <c r="E147" s="1012"/>
      <c r="F147" s="1012"/>
      <c r="G147" s="1013"/>
      <c r="H147" s="1012"/>
      <c r="I147" s="1012"/>
      <c r="J147" s="1013"/>
      <c r="K147" s="1013"/>
      <c r="L147" s="1094"/>
      <c r="M147" s="1094"/>
      <c r="N147" s="1013"/>
      <c r="O147" s="1013"/>
      <c r="P147" s="1013"/>
      <c r="Q147" s="1013"/>
      <c r="R147" s="1013"/>
      <c r="S147" s="1013"/>
      <c r="T147" s="1012"/>
      <c r="U147" s="1011"/>
      <c r="V147" s="1012"/>
      <c r="W147" s="1013"/>
      <c r="X147" s="1014"/>
      <c r="Y147" s="1012"/>
      <c r="Z147" s="1012"/>
      <c r="AA147" s="1012"/>
      <c r="AB147" s="1012"/>
      <c r="AC147" s="1012"/>
      <c r="AD147" s="1012"/>
      <c r="AE147" s="1012"/>
      <c r="AF147" s="1012"/>
      <c r="AG147" s="1012"/>
      <c r="AH147" s="1012"/>
      <c r="AI147" s="1012"/>
      <c r="AJ147" s="1012"/>
      <c r="AK147" s="1012"/>
    </row>
    <row r="148">
      <c r="A148" s="1012"/>
      <c r="B148" s="1013"/>
      <c r="C148" s="1012"/>
      <c r="D148" s="1013"/>
      <c r="E148" s="1012"/>
      <c r="F148" s="1012"/>
      <c r="G148" s="1013"/>
      <c r="H148" s="1012"/>
      <c r="I148" s="1012"/>
      <c r="J148" s="1013"/>
      <c r="K148" s="1013"/>
      <c r="L148" s="1094"/>
      <c r="M148" s="1094"/>
      <c r="N148" s="1013"/>
      <c r="O148" s="1013"/>
      <c r="P148" s="1013"/>
      <c r="Q148" s="1013"/>
      <c r="R148" s="1013"/>
      <c r="S148" s="1013"/>
      <c r="T148" s="1012"/>
      <c r="U148" s="1011"/>
      <c r="V148" s="1012"/>
      <c r="W148" s="1013"/>
      <c r="X148" s="1014"/>
      <c r="Y148" s="1012"/>
      <c r="Z148" s="1012"/>
      <c r="AA148" s="1012"/>
      <c r="AB148" s="1012"/>
      <c r="AC148" s="1012"/>
      <c r="AD148" s="1012"/>
      <c r="AE148" s="1012"/>
      <c r="AF148" s="1012"/>
      <c r="AG148" s="1012"/>
      <c r="AH148" s="1012"/>
      <c r="AI148" s="1012"/>
      <c r="AJ148" s="1012"/>
      <c r="AK148" s="1012"/>
    </row>
    <row r="149">
      <c r="A149" s="1012"/>
      <c r="B149" s="1013"/>
      <c r="C149" s="1012"/>
      <c r="D149" s="1013"/>
      <c r="E149" s="1012"/>
      <c r="F149" s="1012"/>
      <c r="G149" s="1013"/>
      <c r="H149" s="1012"/>
      <c r="I149" s="1012"/>
      <c r="J149" s="1013"/>
      <c r="K149" s="1013"/>
      <c r="L149" s="1094"/>
      <c r="M149" s="1094"/>
      <c r="N149" s="1013"/>
      <c r="O149" s="1013"/>
      <c r="P149" s="1013"/>
      <c r="Q149" s="1013"/>
      <c r="R149" s="1013"/>
      <c r="S149" s="1013"/>
      <c r="T149" s="1012"/>
      <c r="U149" s="1011"/>
      <c r="V149" s="1012"/>
      <c r="W149" s="1013"/>
      <c r="X149" s="1014"/>
      <c r="Y149" s="1012"/>
      <c r="Z149" s="1012"/>
      <c r="AA149" s="1012"/>
      <c r="AB149" s="1012"/>
      <c r="AC149" s="1012"/>
      <c r="AD149" s="1012"/>
      <c r="AE149" s="1012"/>
      <c r="AF149" s="1012"/>
      <c r="AG149" s="1012"/>
      <c r="AH149" s="1012"/>
      <c r="AI149" s="1012"/>
      <c r="AJ149" s="1012"/>
      <c r="AK149" s="1012"/>
    </row>
    <row r="150">
      <c r="A150" s="1012"/>
      <c r="B150" s="1013"/>
      <c r="C150" s="1012"/>
      <c r="D150" s="1013"/>
      <c r="E150" s="1012"/>
      <c r="F150" s="1012"/>
      <c r="G150" s="1013"/>
      <c r="H150" s="1012"/>
      <c r="I150" s="1012"/>
      <c r="J150" s="1013"/>
      <c r="K150" s="1013"/>
      <c r="L150" s="1094"/>
      <c r="M150" s="1094"/>
      <c r="N150" s="1013"/>
      <c r="O150" s="1013"/>
      <c r="P150" s="1013"/>
      <c r="Q150" s="1013"/>
      <c r="R150" s="1013"/>
      <c r="S150" s="1013"/>
      <c r="T150" s="1012"/>
      <c r="U150" s="1011"/>
      <c r="V150" s="1012"/>
      <c r="W150" s="1013"/>
      <c r="X150" s="1014"/>
      <c r="Y150" s="1012"/>
      <c r="Z150" s="1012"/>
      <c r="AA150" s="1012"/>
      <c r="AB150" s="1012"/>
      <c r="AC150" s="1012"/>
      <c r="AD150" s="1012"/>
      <c r="AE150" s="1012"/>
      <c r="AF150" s="1012"/>
      <c r="AG150" s="1012"/>
      <c r="AH150" s="1012"/>
      <c r="AI150" s="1012"/>
      <c r="AJ150" s="1012"/>
      <c r="AK150" s="1012"/>
    </row>
    <row r="151">
      <c r="A151" s="1012"/>
      <c r="B151" s="1013"/>
      <c r="C151" s="1012"/>
      <c r="D151" s="1013"/>
      <c r="E151" s="1012"/>
      <c r="F151" s="1012"/>
      <c r="G151" s="1013"/>
      <c r="H151" s="1012"/>
      <c r="I151" s="1012"/>
      <c r="J151" s="1013"/>
      <c r="K151" s="1013"/>
      <c r="L151" s="1094"/>
      <c r="M151" s="1094"/>
      <c r="N151" s="1013"/>
      <c r="O151" s="1013"/>
      <c r="P151" s="1013"/>
      <c r="Q151" s="1013"/>
      <c r="R151" s="1013"/>
      <c r="S151" s="1013"/>
      <c r="T151" s="1012"/>
      <c r="U151" s="1011"/>
      <c r="V151" s="1012"/>
      <c r="W151" s="1013"/>
      <c r="X151" s="1014"/>
      <c r="Y151" s="1012"/>
      <c r="Z151" s="1012"/>
      <c r="AA151" s="1012"/>
      <c r="AB151" s="1012"/>
      <c r="AC151" s="1012"/>
      <c r="AD151" s="1012"/>
      <c r="AE151" s="1012"/>
      <c r="AF151" s="1012"/>
      <c r="AG151" s="1012"/>
      <c r="AH151" s="1012"/>
      <c r="AI151" s="1012"/>
      <c r="AJ151" s="1012"/>
      <c r="AK151" s="1012"/>
    </row>
    <row r="152">
      <c r="A152" s="1012"/>
      <c r="B152" s="1013"/>
      <c r="C152" s="1012"/>
      <c r="D152" s="1013"/>
      <c r="E152" s="1012"/>
      <c r="F152" s="1012"/>
      <c r="G152" s="1013"/>
      <c r="H152" s="1012"/>
      <c r="I152" s="1012"/>
      <c r="J152" s="1013"/>
      <c r="K152" s="1013"/>
      <c r="L152" s="1094"/>
      <c r="M152" s="1094"/>
      <c r="N152" s="1013"/>
      <c r="O152" s="1013"/>
      <c r="P152" s="1013"/>
      <c r="Q152" s="1013"/>
      <c r="R152" s="1013"/>
      <c r="S152" s="1013"/>
      <c r="T152" s="1012"/>
      <c r="U152" s="1011"/>
      <c r="V152" s="1012"/>
      <c r="W152" s="1013"/>
      <c r="X152" s="1014"/>
      <c r="Y152" s="1012"/>
      <c r="Z152" s="1012"/>
      <c r="AA152" s="1012"/>
      <c r="AB152" s="1012"/>
      <c r="AC152" s="1012"/>
      <c r="AD152" s="1012"/>
      <c r="AE152" s="1012"/>
      <c r="AF152" s="1012"/>
      <c r="AG152" s="1012"/>
      <c r="AH152" s="1012"/>
      <c r="AI152" s="1012"/>
      <c r="AJ152" s="1012"/>
      <c r="AK152" s="1012"/>
    </row>
    <row r="153">
      <c r="A153" s="1012"/>
      <c r="B153" s="1013"/>
      <c r="C153" s="1012"/>
      <c r="D153" s="1013"/>
      <c r="E153" s="1012"/>
      <c r="F153" s="1012"/>
      <c r="G153" s="1013"/>
      <c r="H153" s="1012"/>
      <c r="I153" s="1012"/>
      <c r="J153" s="1013"/>
      <c r="K153" s="1013"/>
      <c r="L153" s="1094"/>
      <c r="M153" s="1094"/>
      <c r="N153" s="1013"/>
      <c r="O153" s="1013"/>
      <c r="P153" s="1013"/>
      <c r="Q153" s="1013"/>
      <c r="R153" s="1013"/>
      <c r="S153" s="1013"/>
      <c r="T153" s="1012"/>
      <c r="U153" s="1011"/>
      <c r="V153" s="1012"/>
      <c r="W153" s="1013"/>
      <c r="X153" s="1014"/>
      <c r="Y153" s="1012"/>
      <c r="Z153" s="1012"/>
      <c r="AA153" s="1012"/>
      <c r="AB153" s="1012"/>
      <c r="AC153" s="1012"/>
      <c r="AD153" s="1012"/>
      <c r="AE153" s="1012"/>
      <c r="AF153" s="1012"/>
      <c r="AG153" s="1012"/>
      <c r="AH153" s="1012"/>
      <c r="AI153" s="1012"/>
      <c r="AJ153" s="1012"/>
      <c r="AK153" s="1012"/>
    </row>
    <row r="154">
      <c r="A154" s="1012"/>
      <c r="B154" s="1013"/>
      <c r="C154" s="1012"/>
      <c r="D154" s="1013"/>
      <c r="E154" s="1012"/>
      <c r="F154" s="1012"/>
      <c r="G154" s="1013"/>
      <c r="H154" s="1012"/>
      <c r="I154" s="1012"/>
      <c r="J154" s="1013"/>
      <c r="K154" s="1013"/>
      <c r="L154" s="1094"/>
      <c r="M154" s="1094"/>
      <c r="N154" s="1013"/>
      <c r="O154" s="1013"/>
      <c r="P154" s="1013"/>
      <c r="Q154" s="1013"/>
      <c r="R154" s="1013"/>
      <c r="S154" s="1013"/>
      <c r="T154" s="1012"/>
      <c r="U154" s="1011"/>
      <c r="V154" s="1012"/>
      <c r="W154" s="1013"/>
      <c r="X154" s="1014"/>
      <c r="Y154" s="1012"/>
      <c r="Z154" s="1012"/>
      <c r="AA154" s="1012"/>
      <c r="AB154" s="1012"/>
      <c r="AC154" s="1012"/>
      <c r="AD154" s="1012"/>
      <c r="AE154" s="1012"/>
      <c r="AF154" s="1012"/>
      <c r="AG154" s="1012"/>
      <c r="AH154" s="1012"/>
      <c r="AI154" s="1012"/>
      <c r="AJ154" s="1012"/>
      <c r="AK154" s="1012"/>
    </row>
    <row r="155">
      <c r="A155" s="1012"/>
      <c r="B155" s="1013"/>
      <c r="C155" s="1012"/>
      <c r="D155" s="1013"/>
      <c r="E155" s="1012"/>
      <c r="F155" s="1012"/>
      <c r="G155" s="1013"/>
      <c r="H155" s="1012"/>
      <c r="I155" s="1012"/>
      <c r="J155" s="1013"/>
      <c r="K155" s="1013"/>
      <c r="L155" s="1094"/>
      <c r="M155" s="1094"/>
      <c r="N155" s="1013"/>
      <c r="O155" s="1013"/>
      <c r="P155" s="1013"/>
      <c r="Q155" s="1013"/>
      <c r="R155" s="1013"/>
      <c r="S155" s="1013"/>
      <c r="T155" s="1012"/>
      <c r="U155" s="1011"/>
      <c r="V155" s="1012"/>
      <c r="W155" s="1013"/>
      <c r="X155" s="1014"/>
      <c r="Y155" s="1012"/>
      <c r="Z155" s="1012"/>
      <c r="AA155" s="1012"/>
      <c r="AB155" s="1012"/>
      <c r="AC155" s="1012"/>
      <c r="AD155" s="1012"/>
      <c r="AE155" s="1012"/>
      <c r="AF155" s="1012"/>
      <c r="AG155" s="1012"/>
      <c r="AH155" s="1012"/>
      <c r="AI155" s="1012"/>
      <c r="AJ155" s="1012"/>
      <c r="AK155" s="1012"/>
    </row>
    <row r="156">
      <c r="A156" s="1012"/>
      <c r="B156" s="1013"/>
      <c r="C156" s="1012"/>
      <c r="D156" s="1013"/>
      <c r="E156" s="1012"/>
      <c r="F156" s="1012"/>
      <c r="G156" s="1013"/>
      <c r="H156" s="1012"/>
      <c r="I156" s="1012"/>
      <c r="J156" s="1013"/>
      <c r="K156" s="1013"/>
      <c r="L156" s="1094"/>
      <c r="M156" s="1094"/>
      <c r="N156" s="1013"/>
      <c r="O156" s="1013"/>
      <c r="P156" s="1013"/>
      <c r="Q156" s="1013"/>
      <c r="R156" s="1013"/>
      <c r="S156" s="1013"/>
      <c r="T156" s="1012"/>
      <c r="U156" s="1011"/>
      <c r="V156" s="1012"/>
      <c r="W156" s="1013"/>
      <c r="X156" s="1014"/>
      <c r="Y156" s="1012"/>
      <c r="Z156" s="1012"/>
      <c r="AA156" s="1012"/>
      <c r="AB156" s="1012"/>
      <c r="AC156" s="1012"/>
      <c r="AD156" s="1012"/>
      <c r="AE156" s="1012"/>
      <c r="AF156" s="1012"/>
      <c r="AG156" s="1012"/>
      <c r="AH156" s="1012"/>
      <c r="AI156" s="1012"/>
      <c r="AJ156" s="1012"/>
      <c r="AK156" s="1012"/>
    </row>
    <row r="157">
      <c r="A157" s="1012"/>
      <c r="B157" s="1013"/>
      <c r="C157" s="1012"/>
      <c r="D157" s="1013"/>
      <c r="E157" s="1012"/>
      <c r="F157" s="1012"/>
      <c r="G157" s="1013"/>
      <c r="H157" s="1012"/>
      <c r="I157" s="1012"/>
      <c r="J157" s="1013"/>
      <c r="K157" s="1013"/>
      <c r="L157" s="1094"/>
      <c r="M157" s="1094"/>
      <c r="N157" s="1013"/>
      <c r="O157" s="1013"/>
      <c r="P157" s="1013"/>
      <c r="Q157" s="1013"/>
      <c r="R157" s="1013"/>
      <c r="S157" s="1013"/>
      <c r="T157" s="1012"/>
      <c r="U157" s="1011"/>
      <c r="V157" s="1012"/>
      <c r="W157" s="1013"/>
      <c r="X157" s="1014"/>
      <c r="Y157" s="1012"/>
      <c r="Z157" s="1012"/>
      <c r="AA157" s="1012"/>
      <c r="AB157" s="1012"/>
      <c r="AC157" s="1012"/>
      <c r="AD157" s="1012"/>
      <c r="AE157" s="1012"/>
      <c r="AF157" s="1012"/>
      <c r="AG157" s="1012"/>
      <c r="AH157" s="1012"/>
      <c r="AI157" s="1012"/>
      <c r="AJ157" s="1012"/>
      <c r="AK157" s="1012"/>
    </row>
    <row r="158">
      <c r="A158" s="1012"/>
      <c r="B158" s="1013"/>
      <c r="C158" s="1012"/>
      <c r="D158" s="1013"/>
      <c r="E158" s="1012"/>
      <c r="F158" s="1012"/>
      <c r="G158" s="1013"/>
      <c r="H158" s="1012"/>
      <c r="I158" s="1012"/>
      <c r="J158" s="1013"/>
      <c r="K158" s="1013"/>
      <c r="L158" s="1094"/>
      <c r="M158" s="1094"/>
      <c r="N158" s="1013"/>
      <c r="O158" s="1013"/>
      <c r="P158" s="1013"/>
      <c r="Q158" s="1013"/>
      <c r="R158" s="1013"/>
      <c r="S158" s="1013"/>
      <c r="T158" s="1012"/>
      <c r="U158" s="1011"/>
      <c r="V158" s="1012"/>
      <c r="W158" s="1013"/>
      <c r="X158" s="1014"/>
      <c r="Y158" s="1012"/>
      <c r="Z158" s="1012"/>
      <c r="AA158" s="1012"/>
      <c r="AB158" s="1012"/>
      <c r="AC158" s="1012"/>
      <c r="AD158" s="1012"/>
      <c r="AE158" s="1012"/>
      <c r="AF158" s="1012"/>
      <c r="AG158" s="1012"/>
      <c r="AH158" s="1012"/>
      <c r="AI158" s="1012"/>
      <c r="AJ158" s="1012"/>
      <c r="AK158" s="1012"/>
    </row>
    <row r="159">
      <c r="A159" s="1012"/>
      <c r="B159" s="1013"/>
      <c r="C159" s="1012"/>
      <c r="D159" s="1013"/>
      <c r="E159" s="1012"/>
      <c r="F159" s="1012"/>
      <c r="G159" s="1013"/>
      <c r="H159" s="1012"/>
      <c r="I159" s="1012"/>
      <c r="J159" s="1013"/>
      <c r="K159" s="1013"/>
      <c r="L159" s="1094"/>
      <c r="M159" s="1094"/>
      <c r="N159" s="1013"/>
      <c r="O159" s="1013"/>
      <c r="P159" s="1013"/>
      <c r="Q159" s="1013"/>
      <c r="R159" s="1013"/>
      <c r="S159" s="1013"/>
      <c r="T159" s="1012"/>
      <c r="U159" s="1011"/>
      <c r="V159" s="1012"/>
      <c r="W159" s="1013"/>
      <c r="X159" s="1014"/>
      <c r="Y159" s="1012"/>
      <c r="Z159" s="1012"/>
      <c r="AA159" s="1012"/>
      <c r="AB159" s="1012"/>
      <c r="AC159" s="1012"/>
      <c r="AD159" s="1012"/>
      <c r="AE159" s="1012"/>
      <c r="AF159" s="1012"/>
      <c r="AG159" s="1012"/>
      <c r="AH159" s="1012"/>
      <c r="AI159" s="1012"/>
      <c r="AJ159" s="1012"/>
      <c r="AK159" s="1012"/>
    </row>
    <row r="160">
      <c r="A160" s="1012"/>
      <c r="B160" s="1013"/>
      <c r="C160" s="1012"/>
      <c r="D160" s="1013"/>
      <c r="E160" s="1012"/>
      <c r="F160" s="1012"/>
      <c r="G160" s="1013"/>
      <c r="H160" s="1012"/>
      <c r="I160" s="1012"/>
      <c r="J160" s="1013"/>
      <c r="K160" s="1013"/>
      <c r="L160" s="1094"/>
      <c r="M160" s="1094"/>
      <c r="N160" s="1013"/>
      <c r="O160" s="1013"/>
      <c r="P160" s="1013"/>
      <c r="Q160" s="1013"/>
      <c r="R160" s="1013"/>
      <c r="S160" s="1013"/>
      <c r="T160" s="1012"/>
      <c r="U160" s="1011"/>
      <c r="V160" s="1012"/>
      <c r="W160" s="1013"/>
      <c r="X160" s="1014"/>
      <c r="Y160" s="1012"/>
      <c r="Z160" s="1012"/>
      <c r="AA160" s="1012"/>
      <c r="AB160" s="1012"/>
      <c r="AC160" s="1012"/>
      <c r="AD160" s="1012"/>
      <c r="AE160" s="1012"/>
      <c r="AF160" s="1012"/>
      <c r="AG160" s="1012"/>
      <c r="AH160" s="1012"/>
      <c r="AI160" s="1012"/>
      <c r="AJ160" s="1012"/>
      <c r="AK160" s="1012"/>
    </row>
    <row r="161">
      <c r="A161" s="1012"/>
      <c r="B161" s="1013"/>
      <c r="C161" s="1012"/>
      <c r="D161" s="1013"/>
      <c r="E161" s="1012"/>
      <c r="F161" s="1012"/>
      <c r="G161" s="1013"/>
      <c r="H161" s="1012"/>
      <c r="I161" s="1012"/>
      <c r="J161" s="1013"/>
      <c r="K161" s="1013"/>
      <c r="L161" s="1094"/>
      <c r="M161" s="1094"/>
      <c r="N161" s="1013"/>
      <c r="O161" s="1013"/>
      <c r="P161" s="1013"/>
      <c r="Q161" s="1013"/>
      <c r="R161" s="1013"/>
      <c r="S161" s="1013"/>
      <c r="T161" s="1012"/>
      <c r="U161" s="1011"/>
      <c r="V161" s="1012"/>
      <c r="W161" s="1013"/>
      <c r="X161" s="1014"/>
      <c r="Y161" s="1012"/>
      <c r="Z161" s="1012"/>
      <c r="AA161" s="1012"/>
      <c r="AB161" s="1012"/>
      <c r="AC161" s="1012"/>
      <c r="AD161" s="1012"/>
      <c r="AE161" s="1012"/>
      <c r="AF161" s="1012"/>
      <c r="AG161" s="1012"/>
      <c r="AH161" s="1012"/>
      <c r="AI161" s="1012"/>
      <c r="AJ161" s="1012"/>
      <c r="AK161" s="1012"/>
    </row>
    <row r="162">
      <c r="A162" s="1012"/>
      <c r="B162" s="1013"/>
      <c r="C162" s="1012"/>
      <c r="D162" s="1013"/>
      <c r="E162" s="1012"/>
      <c r="F162" s="1012"/>
      <c r="G162" s="1013"/>
      <c r="H162" s="1012"/>
      <c r="I162" s="1012"/>
      <c r="J162" s="1013"/>
      <c r="K162" s="1013"/>
      <c r="L162" s="1094"/>
      <c r="M162" s="1094"/>
      <c r="N162" s="1013"/>
      <c r="O162" s="1013"/>
      <c r="P162" s="1013"/>
      <c r="Q162" s="1013"/>
      <c r="R162" s="1013"/>
      <c r="S162" s="1013"/>
      <c r="T162" s="1012"/>
      <c r="U162" s="1011"/>
      <c r="V162" s="1012"/>
      <c r="W162" s="1013"/>
      <c r="X162" s="1014"/>
      <c r="Y162" s="1012"/>
      <c r="Z162" s="1012"/>
      <c r="AA162" s="1012"/>
      <c r="AB162" s="1012"/>
      <c r="AC162" s="1012"/>
      <c r="AD162" s="1012"/>
      <c r="AE162" s="1012"/>
      <c r="AF162" s="1012"/>
      <c r="AG162" s="1012"/>
      <c r="AH162" s="1012"/>
      <c r="AI162" s="1012"/>
      <c r="AJ162" s="1012"/>
      <c r="AK162" s="1012"/>
    </row>
    <row r="163">
      <c r="A163" s="1012"/>
      <c r="B163" s="1013"/>
      <c r="C163" s="1012"/>
      <c r="D163" s="1013"/>
      <c r="E163" s="1012"/>
      <c r="F163" s="1012"/>
      <c r="G163" s="1013"/>
      <c r="H163" s="1012"/>
      <c r="I163" s="1012"/>
      <c r="J163" s="1013"/>
      <c r="K163" s="1013"/>
      <c r="L163" s="1094"/>
      <c r="M163" s="1094"/>
      <c r="N163" s="1013"/>
      <c r="O163" s="1013"/>
      <c r="P163" s="1013"/>
      <c r="Q163" s="1013"/>
      <c r="R163" s="1013"/>
      <c r="S163" s="1013"/>
      <c r="T163" s="1012"/>
      <c r="U163" s="1011"/>
      <c r="V163" s="1012"/>
      <c r="W163" s="1013"/>
      <c r="X163" s="1014"/>
      <c r="Y163" s="1012"/>
      <c r="Z163" s="1012"/>
      <c r="AA163" s="1012"/>
      <c r="AB163" s="1012"/>
      <c r="AC163" s="1012"/>
      <c r="AD163" s="1012"/>
      <c r="AE163" s="1012"/>
      <c r="AF163" s="1012"/>
      <c r="AG163" s="1012"/>
      <c r="AH163" s="1012"/>
      <c r="AI163" s="1012"/>
      <c r="AJ163" s="1012"/>
      <c r="AK163" s="1012"/>
    </row>
    <row r="164">
      <c r="A164" s="1012"/>
      <c r="B164" s="1013"/>
      <c r="C164" s="1012"/>
      <c r="D164" s="1013"/>
      <c r="E164" s="1012"/>
      <c r="F164" s="1012"/>
      <c r="G164" s="1013"/>
      <c r="H164" s="1012"/>
      <c r="I164" s="1012"/>
      <c r="J164" s="1013"/>
      <c r="K164" s="1013"/>
      <c r="L164" s="1094"/>
      <c r="M164" s="1094"/>
      <c r="N164" s="1013"/>
      <c r="O164" s="1013"/>
      <c r="P164" s="1013"/>
      <c r="Q164" s="1013"/>
      <c r="R164" s="1013"/>
      <c r="S164" s="1013"/>
      <c r="T164" s="1012"/>
      <c r="U164" s="1011"/>
      <c r="V164" s="1012"/>
      <c r="W164" s="1013"/>
      <c r="X164" s="1014"/>
      <c r="Y164" s="1012"/>
      <c r="Z164" s="1012"/>
      <c r="AA164" s="1012"/>
      <c r="AB164" s="1012"/>
      <c r="AC164" s="1012"/>
      <c r="AD164" s="1012"/>
      <c r="AE164" s="1012"/>
      <c r="AF164" s="1012"/>
      <c r="AG164" s="1012"/>
      <c r="AH164" s="1012"/>
      <c r="AI164" s="1012"/>
      <c r="AJ164" s="1012"/>
      <c r="AK164" s="1012"/>
    </row>
    <row r="165">
      <c r="A165" s="1012"/>
      <c r="B165" s="1013"/>
      <c r="C165" s="1012"/>
      <c r="D165" s="1013"/>
      <c r="E165" s="1012"/>
      <c r="F165" s="1012"/>
      <c r="G165" s="1013"/>
      <c r="H165" s="1012"/>
      <c r="I165" s="1012"/>
      <c r="J165" s="1013"/>
      <c r="K165" s="1013"/>
      <c r="L165" s="1094"/>
      <c r="M165" s="1094"/>
      <c r="N165" s="1013"/>
      <c r="O165" s="1013"/>
      <c r="P165" s="1013"/>
      <c r="Q165" s="1013"/>
      <c r="R165" s="1013"/>
      <c r="S165" s="1013"/>
      <c r="T165" s="1012"/>
      <c r="U165" s="1011"/>
      <c r="V165" s="1012"/>
      <c r="W165" s="1013"/>
      <c r="X165" s="1014"/>
      <c r="Y165" s="1012"/>
      <c r="Z165" s="1012"/>
      <c r="AA165" s="1012"/>
      <c r="AB165" s="1012"/>
      <c r="AC165" s="1012"/>
      <c r="AD165" s="1012"/>
      <c r="AE165" s="1012"/>
      <c r="AF165" s="1012"/>
      <c r="AG165" s="1012"/>
      <c r="AH165" s="1012"/>
      <c r="AI165" s="1012"/>
      <c r="AJ165" s="1012"/>
      <c r="AK165" s="1012"/>
    </row>
    <row r="166">
      <c r="A166" s="1012"/>
      <c r="B166" s="1013"/>
      <c r="C166" s="1012"/>
      <c r="D166" s="1013"/>
      <c r="E166" s="1012"/>
      <c r="F166" s="1012"/>
      <c r="G166" s="1013"/>
      <c r="H166" s="1012"/>
      <c r="I166" s="1012"/>
      <c r="J166" s="1013"/>
      <c r="K166" s="1013"/>
      <c r="L166" s="1094"/>
      <c r="M166" s="1094"/>
      <c r="N166" s="1013"/>
      <c r="O166" s="1013"/>
      <c r="P166" s="1013"/>
      <c r="Q166" s="1013"/>
      <c r="R166" s="1013"/>
      <c r="S166" s="1013"/>
      <c r="T166" s="1012"/>
      <c r="U166" s="1011"/>
      <c r="V166" s="1012"/>
      <c r="W166" s="1013"/>
      <c r="X166" s="1014"/>
      <c r="Y166" s="1012"/>
      <c r="Z166" s="1012"/>
      <c r="AA166" s="1012"/>
      <c r="AB166" s="1012"/>
      <c r="AC166" s="1012"/>
      <c r="AD166" s="1012"/>
      <c r="AE166" s="1012"/>
      <c r="AF166" s="1012"/>
      <c r="AG166" s="1012"/>
      <c r="AH166" s="1012"/>
      <c r="AI166" s="1012"/>
      <c r="AJ166" s="1012"/>
      <c r="AK166" s="1012"/>
    </row>
    <row r="167">
      <c r="A167" s="1012"/>
      <c r="B167" s="1013"/>
      <c r="C167" s="1012"/>
      <c r="D167" s="1013"/>
      <c r="E167" s="1012"/>
      <c r="F167" s="1012"/>
      <c r="G167" s="1013"/>
      <c r="H167" s="1012"/>
      <c r="I167" s="1012"/>
      <c r="J167" s="1013"/>
      <c r="K167" s="1013"/>
      <c r="L167" s="1094"/>
      <c r="M167" s="1094"/>
      <c r="N167" s="1013"/>
      <c r="O167" s="1013"/>
      <c r="P167" s="1013"/>
      <c r="Q167" s="1013"/>
      <c r="R167" s="1013"/>
      <c r="S167" s="1013"/>
      <c r="T167" s="1012"/>
      <c r="U167" s="1011"/>
      <c r="V167" s="1012"/>
      <c r="W167" s="1013"/>
      <c r="X167" s="1014"/>
      <c r="Y167" s="1012"/>
      <c r="Z167" s="1012"/>
      <c r="AA167" s="1012"/>
      <c r="AB167" s="1012"/>
      <c r="AC167" s="1012"/>
      <c r="AD167" s="1012"/>
      <c r="AE167" s="1012"/>
      <c r="AF167" s="1012"/>
      <c r="AG167" s="1012"/>
      <c r="AH167" s="1012"/>
      <c r="AI167" s="1012"/>
      <c r="AJ167" s="1012"/>
      <c r="AK167" s="1012"/>
    </row>
    <row r="168">
      <c r="A168" s="1012"/>
      <c r="B168" s="1013"/>
      <c r="C168" s="1012"/>
      <c r="D168" s="1013"/>
      <c r="E168" s="1012"/>
      <c r="F168" s="1012"/>
      <c r="G168" s="1013"/>
      <c r="H168" s="1012"/>
      <c r="I168" s="1012"/>
      <c r="J168" s="1013"/>
      <c r="K168" s="1013"/>
      <c r="L168" s="1094"/>
      <c r="M168" s="1094"/>
      <c r="N168" s="1013"/>
      <c r="O168" s="1013"/>
      <c r="P168" s="1013"/>
      <c r="Q168" s="1013"/>
      <c r="R168" s="1013"/>
      <c r="S168" s="1013"/>
      <c r="T168" s="1012"/>
      <c r="U168" s="1011"/>
      <c r="V168" s="1012"/>
      <c r="W168" s="1013"/>
      <c r="X168" s="1014"/>
      <c r="Y168" s="1012"/>
      <c r="Z168" s="1012"/>
      <c r="AA168" s="1012"/>
      <c r="AB168" s="1012"/>
      <c r="AC168" s="1012"/>
      <c r="AD168" s="1012"/>
      <c r="AE168" s="1012"/>
      <c r="AF168" s="1012"/>
      <c r="AG168" s="1012"/>
      <c r="AH168" s="1012"/>
      <c r="AI168" s="1012"/>
      <c r="AJ168" s="1012"/>
      <c r="AK168" s="1012"/>
    </row>
    <row r="169">
      <c r="A169" s="1012"/>
      <c r="B169" s="1013"/>
      <c r="C169" s="1012"/>
      <c r="D169" s="1013"/>
      <c r="E169" s="1012"/>
      <c r="F169" s="1012"/>
      <c r="G169" s="1013"/>
      <c r="H169" s="1012"/>
      <c r="I169" s="1012"/>
      <c r="J169" s="1013"/>
      <c r="K169" s="1013"/>
      <c r="L169" s="1094"/>
      <c r="M169" s="1094"/>
      <c r="N169" s="1013"/>
      <c r="O169" s="1013"/>
      <c r="P169" s="1013"/>
      <c r="Q169" s="1013"/>
      <c r="R169" s="1013"/>
      <c r="S169" s="1013"/>
      <c r="T169" s="1012"/>
      <c r="U169" s="1011"/>
      <c r="V169" s="1012"/>
      <c r="W169" s="1013"/>
      <c r="X169" s="1014"/>
      <c r="Y169" s="1012"/>
      <c r="Z169" s="1012"/>
      <c r="AA169" s="1012"/>
      <c r="AB169" s="1012"/>
      <c r="AC169" s="1012"/>
      <c r="AD169" s="1012"/>
      <c r="AE169" s="1012"/>
      <c r="AF169" s="1012"/>
      <c r="AG169" s="1012"/>
      <c r="AH169" s="1012"/>
      <c r="AI169" s="1012"/>
      <c r="AJ169" s="1012"/>
      <c r="AK169" s="1012"/>
    </row>
    <row r="170">
      <c r="A170" s="1012"/>
      <c r="B170" s="1013"/>
      <c r="C170" s="1012"/>
      <c r="D170" s="1013"/>
      <c r="E170" s="1012"/>
      <c r="F170" s="1012"/>
      <c r="G170" s="1013"/>
      <c r="H170" s="1012"/>
      <c r="I170" s="1012"/>
      <c r="J170" s="1013"/>
      <c r="K170" s="1013"/>
      <c r="L170" s="1094"/>
      <c r="M170" s="1094"/>
      <c r="N170" s="1013"/>
      <c r="O170" s="1013"/>
      <c r="P170" s="1013"/>
      <c r="Q170" s="1013"/>
      <c r="R170" s="1013"/>
      <c r="S170" s="1013"/>
      <c r="T170" s="1012"/>
      <c r="U170" s="1011"/>
      <c r="V170" s="1012"/>
      <c r="W170" s="1013"/>
      <c r="X170" s="1014"/>
      <c r="Y170" s="1012"/>
      <c r="Z170" s="1012"/>
      <c r="AA170" s="1012"/>
      <c r="AB170" s="1012"/>
      <c r="AC170" s="1012"/>
      <c r="AD170" s="1012"/>
      <c r="AE170" s="1012"/>
      <c r="AF170" s="1012"/>
      <c r="AG170" s="1012"/>
      <c r="AH170" s="1012"/>
      <c r="AI170" s="1012"/>
      <c r="AJ170" s="1012"/>
      <c r="AK170" s="1012"/>
    </row>
    <row r="171">
      <c r="A171" s="1012"/>
      <c r="B171" s="1013"/>
      <c r="C171" s="1012"/>
      <c r="D171" s="1013"/>
      <c r="E171" s="1012"/>
      <c r="F171" s="1012"/>
      <c r="G171" s="1013"/>
      <c r="H171" s="1012"/>
      <c r="I171" s="1012"/>
      <c r="J171" s="1013"/>
      <c r="K171" s="1013"/>
      <c r="L171" s="1094"/>
      <c r="M171" s="1094"/>
      <c r="N171" s="1013"/>
      <c r="O171" s="1013"/>
      <c r="P171" s="1013"/>
      <c r="Q171" s="1013"/>
      <c r="R171" s="1013"/>
      <c r="S171" s="1013"/>
      <c r="T171" s="1012"/>
      <c r="U171" s="1011"/>
      <c r="V171" s="1012"/>
      <c r="W171" s="1013"/>
      <c r="X171" s="1014"/>
      <c r="Y171" s="1012"/>
      <c r="Z171" s="1012"/>
      <c r="AA171" s="1012"/>
      <c r="AB171" s="1012"/>
      <c r="AC171" s="1012"/>
      <c r="AD171" s="1012"/>
      <c r="AE171" s="1012"/>
      <c r="AF171" s="1012"/>
      <c r="AG171" s="1012"/>
      <c r="AH171" s="1012"/>
      <c r="AI171" s="1012"/>
      <c r="AJ171" s="1012"/>
      <c r="AK171" s="1012"/>
    </row>
    <row r="172">
      <c r="A172" s="1012"/>
      <c r="B172" s="1013"/>
      <c r="C172" s="1012"/>
      <c r="D172" s="1013"/>
      <c r="E172" s="1012"/>
      <c r="F172" s="1012"/>
      <c r="G172" s="1013"/>
      <c r="H172" s="1012"/>
      <c r="I172" s="1012"/>
      <c r="J172" s="1013"/>
      <c r="K172" s="1013"/>
      <c r="L172" s="1094"/>
      <c r="M172" s="1094"/>
      <c r="N172" s="1013"/>
      <c r="O172" s="1013"/>
      <c r="P172" s="1013"/>
      <c r="Q172" s="1013"/>
      <c r="R172" s="1013"/>
      <c r="S172" s="1013"/>
      <c r="T172" s="1012"/>
      <c r="U172" s="1011"/>
      <c r="V172" s="1012"/>
      <c r="W172" s="1013"/>
      <c r="X172" s="1014"/>
      <c r="Y172" s="1012"/>
      <c r="Z172" s="1012"/>
      <c r="AA172" s="1012"/>
      <c r="AB172" s="1012"/>
      <c r="AC172" s="1012"/>
      <c r="AD172" s="1012"/>
      <c r="AE172" s="1012"/>
      <c r="AF172" s="1012"/>
      <c r="AG172" s="1012"/>
      <c r="AH172" s="1012"/>
      <c r="AI172" s="1012"/>
      <c r="AJ172" s="1012"/>
      <c r="AK172" s="1012"/>
    </row>
    <row r="173">
      <c r="A173" s="1012"/>
      <c r="B173" s="1013"/>
      <c r="C173" s="1012"/>
      <c r="D173" s="1013"/>
      <c r="E173" s="1012"/>
      <c r="F173" s="1012"/>
      <c r="G173" s="1013"/>
      <c r="H173" s="1012"/>
      <c r="I173" s="1012"/>
      <c r="J173" s="1013"/>
      <c r="K173" s="1013"/>
      <c r="L173" s="1094"/>
      <c r="M173" s="1094"/>
      <c r="N173" s="1013"/>
      <c r="O173" s="1013"/>
      <c r="P173" s="1013"/>
      <c r="Q173" s="1013"/>
      <c r="R173" s="1013"/>
      <c r="S173" s="1013"/>
      <c r="T173" s="1012"/>
      <c r="U173" s="1011"/>
      <c r="V173" s="1012"/>
      <c r="W173" s="1013"/>
      <c r="X173" s="1014"/>
      <c r="Y173" s="1012"/>
      <c r="Z173" s="1012"/>
      <c r="AA173" s="1012"/>
      <c r="AB173" s="1012"/>
      <c r="AC173" s="1012"/>
      <c r="AD173" s="1012"/>
      <c r="AE173" s="1012"/>
      <c r="AF173" s="1012"/>
      <c r="AG173" s="1012"/>
      <c r="AH173" s="1012"/>
      <c r="AI173" s="1012"/>
      <c r="AJ173" s="1012"/>
      <c r="AK173" s="1012"/>
    </row>
    <row r="174">
      <c r="A174" s="1012"/>
      <c r="B174" s="1013"/>
      <c r="C174" s="1012"/>
      <c r="D174" s="1013"/>
      <c r="E174" s="1012"/>
      <c r="F174" s="1012"/>
      <c r="G174" s="1013"/>
      <c r="H174" s="1012"/>
      <c r="I174" s="1012"/>
      <c r="J174" s="1013"/>
      <c r="K174" s="1013"/>
      <c r="L174" s="1094"/>
      <c r="M174" s="1094"/>
      <c r="N174" s="1013"/>
      <c r="O174" s="1013"/>
      <c r="P174" s="1013"/>
      <c r="Q174" s="1013"/>
      <c r="R174" s="1013"/>
      <c r="S174" s="1013"/>
      <c r="T174" s="1012"/>
      <c r="U174" s="1011"/>
      <c r="V174" s="1012"/>
      <c r="W174" s="1013"/>
      <c r="X174" s="1014"/>
      <c r="Y174" s="1012"/>
      <c r="Z174" s="1012"/>
      <c r="AA174" s="1012"/>
      <c r="AB174" s="1012"/>
      <c r="AC174" s="1012"/>
      <c r="AD174" s="1012"/>
      <c r="AE174" s="1012"/>
      <c r="AF174" s="1012"/>
      <c r="AG174" s="1012"/>
      <c r="AH174" s="1012"/>
      <c r="AI174" s="1012"/>
      <c r="AJ174" s="1012"/>
      <c r="AK174" s="1012"/>
    </row>
    <row r="175">
      <c r="A175" s="1012"/>
      <c r="B175" s="1013"/>
      <c r="C175" s="1012"/>
      <c r="D175" s="1013"/>
      <c r="E175" s="1012"/>
      <c r="F175" s="1012"/>
      <c r="G175" s="1013"/>
      <c r="H175" s="1012"/>
      <c r="I175" s="1012"/>
      <c r="J175" s="1013"/>
      <c r="K175" s="1013"/>
      <c r="L175" s="1094"/>
      <c r="M175" s="1094"/>
      <c r="N175" s="1013"/>
      <c r="O175" s="1013"/>
      <c r="P175" s="1013"/>
      <c r="Q175" s="1013"/>
      <c r="R175" s="1013"/>
      <c r="S175" s="1013"/>
      <c r="T175" s="1012"/>
      <c r="U175" s="1011"/>
      <c r="V175" s="1012"/>
      <c r="W175" s="1013"/>
      <c r="X175" s="1014"/>
      <c r="Y175" s="1012"/>
      <c r="Z175" s="1012"/>
      <c r="AA175" s="1012"/>
      <c r="AB175" s="1012"/>
      <c r="AC175" s="1012"/>
      <c r="AD175" s="1012"/>
      <c r="AE175" s="1012"/>
      <c r="AF175" s="1012"/>
      <c r="AG175" s="1012"/>
      <c r="AH175" s="1012"/>
      <c r="AI175" s="1012"/>
      <c r="AJ175" s="1012"/>
      <c r="AK175" s="1012"/>
    </row>
    <row r="176">
      <c r="A176" s="1012"/>
      <c r="B176" s="1013"/>
      <c r="C176" s="1012"/>
      <c r="D176" s="1013"/>
      <c r="E176" s="1012"/>
      <c r="F176" s="1012"/>
      <c r="G176" s="1013"/>
      <c r="H176" s="1012"/>
      <c r="I176" s="1012"/>
      <c r="J176" s="1013"/>
      <c r="K176" s="1013"/>
      <c r="L176" s="1094"/>
      <c r="M176" s="1094"/>
      <c r="N176" s="1013"/>
      <c r="O176" s="1013"/>
      <c r="P176" s="1013"/>
      <c r="Q176" s="1013"/>
      <c r="R176" s="1013"/>
      <c r="S176" s="1013"/>
      <c r="T176" s="1012"/>
      <c r="U176" s="1011"/>
      <c r="V176" s="1012"/>
      <c r="W176" s="1013"/>
      <c r="X176" s="1014"/>
      <c r="Y176" s="1012"/>
      <c r="Z176" s="1012"/>
      <c r="AA176" s="1012"/>
      <c r="AB176" s="1012"/>
      <c r="AC176" s="1012"/>
      <c r="AD176" s="1012"/>
      <c r="AE176" s="1012"/>
      <c r="AF176" s="1012"/>
      <c r="AG176" s="1012"/>
      <c r="AH176" s="1012"/>
      <c r="AI176" s="1012"/>
      <c r="AJ176" s="1012"/>
      <c r="AK176" s="1012"/>
    </row>
    <row r="177">
      <c r="A177" s="1012"/>
      <c r="B177" s="1013"/>
      <c r="C177" s="1012"/>
      <c r="D177" s="1013"/>
      <c r="E177" s="1012"/>
      <c r="F177" s="1012"/>
      <c r="G177" s="1013"/>
      <c r="H177" s="1012"/>
      <c r="I177" s="1012"/>
      <c r="J177" s="1013"/>
      <c r="K177" s="1013"/>
      <c r="L177" s="1094"/>
      <c r="M177" s="1094"/>
      <c r="N177" s="1013"/>
      <c r="O177" s="1013"/>
      <c r="P177" s="1013"/>
      <c r="Q177" s="1013"/>
      <c r="R177" s="1013"/>
      <c r="S177" s="1013"/>
      <c r="T177" s="1012"/>
      <c r="U177" s="1011"/>
      <c r="V177" s="1012"/>
      <c r="W177" s="1013"/>
      <c r="X177" s="1014"/>
      <c r="Y177" s="1012"/>
      <c r="Z177" s="1012"/>
      <c r="AA177" s="1012"/>
      <c r="AB177" s="1012"/>
      <c r="AC177" s="1012"/>
      <c r="AD177" s="1012"/>
      <c r="AE177" s="1012"/>
      <c r="AF177" s="1012"/>
      <c r="AG177" s="1012"/>
      <c r="AH177" s="1012"/>
      <c r="AI177" s="1012"/>
      <c r="AJ177" s="1012"/>
      <c r="AK177" s="1012"/>
    </row>
    <row r="178">
      <c r="A178" s="1012"/>
      <c r="B178" s="1013"/>
      <c r="C178" s="1012"/>
      <c r="D178" s="1013"/>
      <c r="E178" s="1012"/>
      <c r="F178" s="1012"/>
      <c r="G178" s="1013"/>
      <c r="H178" s="1012"/>
      <c r="I178" s="1012"/>
      <c r="J178" s="1013"/>
      <c r="K178" s="1013"/>
      <c r="L178" s="1094"/>
      <c r="M178" s="1094"/>
      <c r="N178" s="1013"/>
      <c r="O178" s="1013"/>
      <c r="P178" s="1013"/>
      <c r="Q178" s="1013"/>
      <c r="R178" s="1013"/>
      <c r="S178" s="1013"/>
      <c r="T178" s="1012"/>
      <c r="U178" s="1011"/>
      <c r="V178" s="1012"/>
      <c r="W178" s="1013"/>
      <c r="X178" s="1014"/>
      <c r="Y178" s="1012"/>
      <c r="Z178" s="1012"/>
      <c r="AA178" s="1012"/>
      <c r="AB178" s="1012"/>
      <c r="AC178" s="1012"/>
      <c r="AD178" s="1012"/>
      <c r="AE178" s="1012"/>
      <c r="AF178" s="1012"/>
      <c r="AG178" s="1012"/>
      <c r="AH178" s="1012"/>
      <c r="AI178" s="1012"/>
      <c r="AJ178" s="1012"/>
      <c r="AK178" s="1012"/>
    </row>
    <row r="179">
      <c r="A179" s="1012"/>
      <c r="B179" s="1013"/>
      <c r="C179" s="1012"/>
      <c r="D179" s="1013"/>
      <c r="E179" s="1012"/>
      <c r="F179" s="1012"/>
      <c r="G179" s="1013"/>
      <c r="H179" s="1012"/>
      <c r="I179" s="1012"/>
      <c r="J179" s="1013"/>
      <c r="K179" s="1013"/>
      <c r="L179" s="1094"/>
      <c r="M179" s="1094"/>
      <c r="N179" s="1013"/>
      <c r="O179" s="1013"/>
      <c r="P179" s="1013"/>
      <c r="Q179" s="1013"/>
      <c r="R179" s="1013"/>
      <c r="S179" s="1013"/>
      <c r="T179" s="1012"/>
      <c r="U179" s="1011"/>
      <c r="V179" s="1012"/>
      <c r="W179" s="1013"/>
      <c r="X179" s="1014"/>
      <c r="Y179" s="1012"/>
      <c r="Z179" s="1012"/>
      <c r="AA179" s="1012"/>
      <c r="AB179" s="1012"/>
      <c r="AC179" s="1012"/>
      <c r="AD179" s="1012"/>
      <c r="AE179" s="1012"/>
      <c r="AF179" s="1012"/>
      <c r="AG179" s="1012"/>
      <c r="AH179" s="1012"/>
      <c r="AI179" s="1012"/>
      <c r="AJ179" s="1012"/>
      <c r="AK179" s="1012"/>
    </row>
    <row r="180">
      <c r="A180" s="1012"/>
      <c r="B180" s="1013"/>
      <c r="C180" s="1012"/>
      <c r="D180" s="1013"/>
      <c r="E180" s="1012"/>
      <c r="F180" s="1012"/>
      <c r="G180" s="1013"/>
      <c r="H180" s="1012"/>
      <c r="I180" s="1012"/>
      <c r="J180" s="1013"/>
      <c r="K180" s="1013"/>
      <c r="L180" s="1094"/>
      <c r="M180" s="1094"/>
      <c r="N180" s="1013"/>
      <c r="O180" s="1013"/>
      <c r="P180" s="1013"/>
      <c r="Q180" s="1013"/>
      <c r="R180" s="1013"/>
      <c r="S180" s="1013"/>
      <c r="T180" s="1012"/>
      <c r="U180" s="1011"/>
      <c r="V180" s="1012"/>
      <c r="W180" s="1013"/>
      <c r="X180" s="1014"/>
      <c r="Y180" s="1012"/>
      <c r="Z180" s="1012"/>
      <c r="AA180" s="1012"/>
      <c r="AB180" s="1012"/>
      <c r="AC180" s="1012"/>
      <c r="AD180" s="1012"/>
      <c r="AE180" s="1012"/>
      <c r="AF180" s="1012"/>
      <c r="AG180" s="1012"/>
      <c r="AH180" s="1012"/>
      <c r="AI180" s="1012"/>
      <c r="AJ180" s="1012"/>
      <c r="AK180" s="1012"/>
    </row>
    <row r="181">
      <c r="A181" s="1012"/>
      <c r="B181" s="1013"/>
      <c r="C181" s="1012"/>
      <c r="D181" s="1013"/>
      <c r="E181" s="1012"/>
      <c r="F181" s="1012"/>
      <c r="G181" s="1013"/>
      <c r="H181" s="1012"/>
      <c r="I181" s="1012"/>
      <c r="J181" s="1013"/>
      <c r="K181" s="1013"/>
      <c r="L181" s="1094"/>
      <c r="M181" s="1094"/>
      <c r="N181" s="1013"/>
      <c r="O181" s="1013"/>
      <c r="P181" s="1013"/>
      <c r="Q181" s="1013"/>
      <c r="R181" s="1013"/>
      <c r="S181" s="1013"/>
      <c r="T181" s="1012"/>
      <c r="U181" s="1011"/>
      <c r="V181" s="1012"/>
      <c r="W181" s="1013"/>
      <c r="X181" s="1014"/>
      <c r="Y181" s="1012"/>
      <c r="Z181" s="1012"/>
      <c r="AA181" s="1012"/>
      <c r="AB181" s="1012"/>
      <c r="AC181" s="1012"/>
      <c r="AD181" s="1012"/>
      <c r="AE181" s="1012"/>
      <c r="AF181" s="1012"/>
      <c r="AG181" s="1012"/>
      <c r="AH181" s="1012"/>
      <c r="AI181" s="1012"/>
      <c r="AJ181" s="1012"/>
      <c r="AK181" s="1012"/>
    </row>
    <row r="182">
      <c r="A182" s="1012"/>
      <c r="B182" s="1013"/>
      <c r="C182" s="1012"/>
      <c r="D182" s="1013"/>
      <c r="E182" s="1012"/>
      <c r="F182" s="1012"/>
      <c r="G182" s="1013"/>
      <c r="H182" s="1012"/>
      <c r="I182" s="1012"/>
      <c r="J182" s="1013"/>
      <c r="K182" s="1013"/>
      <c r="L182" s="1094"/>
      <c r="M182" s="1094"/>
      <c r="N182" s="1013"/>
      <c r="O182" s="1013"/>
      <c r="P182" s="1013"/>
      <c r="Q182" s="1013"/>
      <c r="R182" s="1013"/>
      <c r="S182" s="1013"/>
      <c r="T182" s="1012"/>
      <c r="U182" s="1011"/>
      <c r="V182" s="1012"/>
      <c r="W182" s="1013"/>
      <c r="X182" s="1014"/>
      <c r="Y182" s="1012"/>
      <c r="Z182" s="1012"/>
      <c r="AA182" s="1012"/>
      <c r="AB182" s="1012"/>
      <c r="AC182" s="1012"/>
      <c r="AD182" s="1012"/>
      <c r="AE182" s="1012"/>
      <c r="AF182" s="1012"/>
      <c r="AG182" s="1012"/>
      <c r="AH182" s="1012"/>
      <c r="AI182" s="1012"/>
      <c r="AJ182" s="1012"/>
      <c r="AK182" s="1012"/>
    </row>
    <row r="183">
      <c r="A183" s="1012"/>
      <c r="B183" s="1013"/>
      <c r="C183" s="1012"/>
      <c r="D183" s="1013"/>
      <c r="E183" s="1012"/>
      <c r="F183" s="1012"/>
      <c r="G183" s="1013"/>
      <c r="H183" s="1012"/>
      <c r="I183" s="1012"/>
      <c r="J183" s="1013"/>
      <c r="K183" s="1013"/>
      <c r="L183" s="1094"/>
      <c r="M183" s="1094"/>
      <c r="N183" s="1013"/>
      <c r="O183" s="1013"/>
      <c r="P183" s="1013"/>
      <c r="Q183" s="1013"/>
      <c r="R183" s="1013"/>
      <c r="S183" s="1013"/>
      <c r="T183" s="1012"/>
      <c r="U183" s="1011"/>
      <c r="V183" s="1012"/>
      <c r="W183" s="1013"/>
      <c r="X183" s="1014"/>
      <c r="Y183" s="1012"/>
      <c r="Z183" s="1012"/>
      <c r="AA183" s="1012"/>
      <c r="AB183" s="1012"/>
      <c r="AC183" s="1012"/>
      <c r="AD183" s="1012"/>
      <c r="AE183" s="1012"/>
      <c r="AF183" s="1012"/>
      <c r="AG183" s="1012"/>
      <c r="AH183" s="1012"/>
      <c r="AI183" s="1012"/>
      <c r="AJ183" s="1012"/>
      <c r="AK183" s="1012"/>
    </row>
    <row r="184">
      <c r="A184" s="1012"/>
      <c r="B184" s="1013"/>
      <c r="C184" s="1012"/>
      <c r="D184" s="1013"/>
      <c r="E184" s="1012"/>
      <c r="F184" s="1012"/>
      <c r="G184" s="1013"/>
      <c r="H184" s="1012"/>
      <c r="I184" s="1012"/>
      <c r="J184" s="1013"/>
      <c r="K184" s="1013"/>
      <c r="L184" s="1094"/>
      <c r="M184" s="1094"/>
      <c r="N184" s="1013"/>
      <c r="O184" s="1013"/>
      <c r="P184" s="1013"/>
      <c r="Q184" s="1013"/>
      <c r="R184" s="1013"/>
      <c r="S184" s="1013"/>
      <c r="T184" s="1012"/>
      <c r="U184" s="1011"/>
      <c r="V184" s="1012"/>
      <c r="W184" s="1013"/>
      <c r="X184" s="1014"/>
      <c r="Y184" s="1012"/>
      <c r="Z184" s="1012"/>
      <c r="AA184" s="1012"/>
      <c r="AB184" s="1012"/>
      <c r="AC184" s="1012"/>
      <c r="AD184" s="1012"/>
      <c r="AE184" s="1012"/>
      <c r="AF184" s="1012"/>
      <c r="AG184" s="1012"/>
      <c r="AH184" s="1012"/>
      <c r="AI184" s="1012"/>
      <c r="AJ184" s="1012"/>
      <c r="AK184" s="1012"/>
    </row>
    <row r="185">
      <c r="A185" s="1012"/>
      <c r="B185" s="1013"/>
      <c r="C185" s="1012"/>
      <c r="D185" s="1013"/>
      <c r="E185" s="1012"/>
      <c r="F185" s="1012"/>
      <c r="G185" s="1013"/>
      <c r="H185" s="1012"/>
      <c r="I185" s="1012"/>
      <c r="J185" s="1013"/>
      <c r="K185" s="1013"/>
      <c r="L185" s="1094"/>
      <c r="M185" s="1094"/>
      <c r="N185" s="1013"/>
      <c r="O185" s="1013"/>
      <c r="P185" s="1013"/>
      <c r="Q185" s="1013"/>
      <c r="R185" s="1013"/>
      <c r="S185" s="1013"/>
      <c r="T185" s="1012"/>
      <c r="U185" s="1011"/>
      <c r="V185" s="1012"/>
      <c r="W185" s="1013"/>
      <c r="X185" s="1014"/>
      <c r="Y185" s="1012"/>
      <c r="Z185" s="1012"/>
      <c r="AA185" s="1012"/>
      <c r="AB185" s="1012"/>
      <c r="AC185" s="1012"/>
      <c r="AD185" s="1012"/>
      <c r="AE185" s="1012"/>
      <c r="AF185" s="1012"/>
      <c r="AG185" s="1012"/>
      <c r="AH185" s="1012"/>
      <c r="AI185" s="1012"/>
      <c r="AJ185" s="1012"/>
      <c r="AK185" s="1012"/>
    </row>
    <row r="186">
      <c r="A186" s="1012"/>
      <c r="B186" s="1013"/>
      <c r="C186" s="1012"/>
      <c r="D186" s="1013"/>
      <c r="E186" s="1012"/>
      <c r="F186" s="1012"/>
      <c r="G186" s="1013"/>
      <c r="H186" s="1012"/>
      <c r="I186" s="1012"/>
      <c r="J186" s="1013"/>
      <c r="K186" s="1013"/>
      <c r="L186" s="1094"/>
      <c r="M186" s="1094"/>
      <c r="N186" s="1013"/>
      <c r="O186" s="1013"/>
      <c r="P186" s="1013"/>
      <c r="Q186" s="1013"/>
      <c r="R186" s="1013"/>
      <c r="S186" s="1013"/>
      <c r="T186" s="1012"/>
      <c r="U186" s="1011"/>
      <c r="V186" s="1012"/>
      <c r="W186" s="1013"/>
      <c r="X186" s="1014"/>
      <c r="Y186" s="1012"/>
      <c r="Z186" s="1012"/>
      <c r="AA186" s="1012"/>
      <c r="AB186" s="1012"/>
      <c r="AC186" s="1012"/>
      <c r="AD186" s="1012"/>
      <c r="AE186" s="1012"/>
      <c r="AF186" s="1012"/>
      <c r="AG186" s="1012"/>
      <c r="AH186" s="1012"/>
      <c r="AI186" s="1012"/>
      <c r="AJ186" s="1012"/>
      <c r="AK186" s="1012"/>
    </row>
    <row r="187">
      <c r="A187" s="1012"/>
      <c r="B187" s="1013"/>
      <c r="C187" s="1012"/>
      <c r="D187" s="1013"/>
      <c r="E187" s="1012"/>
      <c r="F187" s="1012"/>
      <c r="G187" s="1013"/>
      <c r="H187" s="1012"/>
      <c r="I187" s="1012"/>
      <c r="J187" s="1013"/>
      <c r="K187" s="1013"/>
      <c r="L187" s="1094"/>
      <c r="M187" s="1094"/>
      <c r="N187" s="1013"/>
      <c r="O187" s="1013"/>
      <c r="P187" s="1013"/>
      <c r="Q187" s="1013"/>
      <c r="R187" s="1013"/>
      <c r="S187" s="1013"/>
      <c r="T187" s="1012"/>
      <c r="U187" s="1011"/>
      <c r="V187" s="1012"/>
      <c r="W187" s="1013"/>
      <c r="X187" s="1014"/>
      <c r="Y187" s="1012"/>
      <c r="Z187" s="1012"/>
      <c r="AA187" s="1012"/>
      <c r="AB187" s="1012"/>
      <c r="AC187" s="1012"/>
      <c r="AD187" s="1012"/>
      <c r="AE187" s="1012"/>
      <c r="AF187" s="1012"/>
      <c r="AG187" s="1012"/>
      <c r="AH187" s="1012"/>
      <c r="AI187" s="1012"/>
      <c r="AJ187" s="1012"/>
      <c r="AK187" s="1012"/>
    </row>
    <row r="188">
      <c r="A188" s="1012"/>
      <c r="B188" s="1013"/>
      <c r="C188" s="1012"/>
      <c r="D188" s="1013"/>
      <c r="E188" s="1012"/>
      <c r="F188" s="1012"/>
      <c r="G188" s="1013"/>
      <c r="H188" s="1012"/>
      <c r="I188" s="1012"/>
      <c r="J188" s="1013"/>
      <c r="K188" s="1013"/>
      <c r="L188" s="1094"/>
      <c r="M188" s="1094"/>
      <c r="N188" s="1013"/>
      <c r="O188" s="1013"/>
      <c r="P188" s="1013"/>
      <c r="Q188" s="1013"/>
      <c r="R188" s="1013"/>
      <c r="S188" s="1013"/>
      <c r="T188" s="1012"/>
      <c r="U188" s="1011"/>
      <c r="V188" s="1012"/>
      <c r="W188" s="1013"/>
      <c r="X188" s="1014"/>
      <c r="Y188" s="1012"/>
      <c r="Z188" s="1012"/>
      <c r="AA188" s="1012"/>
      <c r="AB188" s="1012"/>
      <c r="AC188" s="1012"/>
      <c r="AD188" s="1012"/>
      <c r="AE188" s="1012"/>
      <c r="AF188" s="1012"/>
      <c r="AG188" s="1012"/>
      <c r="AH188" s="1012"/>
      <c r="AI188" s="1012"/>
      <c r="AJ188" s="1012"/>
      <c r="AK188" s="1012"/>
    </row>
    <row r="189">
      <c r="A189" s="1012"/>
      <c r="B189" s="1013"/>
      <c r="C189" s="1012"/>
      <c r="D189" s="1013"/>
      <c r="E189" s="1012"/>
      <c r="F189" s="1012"/>
      <c r="G189" s="1013"/>
      <c r="H189" s="1012"/>
      <c r="I189" s="1012"/>
      <c r="J189" s="1013"/>
      <c r="K189" s="1013"/>
      <c r="L189" s="1094"/>
      <c r="M189" s="1094"/>
      <c r="N189" s="1013"/>
      <c r="O189" s="1013"/>
      <c r="P189" s="1013"/>
      <c r="Q189" s="1013"/>
      <c r="R189" s="1013"/>
      <c r="S189" s="1013"/>
      <c r="T189" s="1012"/>
      <c r="U189" s="1011"/>
      <c r="V189" s="1012"/>
      <c r="W189" s="1013"/>
      <c r="X189" s="1014"/>
      <c r="Y189" s="1012"/>
      <c r="Z189" s="1012"/>
      <c r="AA189" s="1012"/>
      <c r="AB189" s="1012"/>
      <c r="AC189" s="1012"/>
      <c r="AD189" s="1012"/>
      <c r="AE189" s="1012"/>
      <c r="AF189" s="1012"/>
      <c r="AG189" s="1012"/>
      <c r="AH189" s="1012"/>
      <c r="AI189" s="1012"/>
      <c r="AJ189" s="1012"/>
      <c r="AK189" s="1012"/>
    </row>
    <row r="190">
      <c r="A190" s="1012"/>
      <c r="B190" s="1013"/>
      <c r="C190" s="1012"/>
      <c r="D190" s="1013"/>
      <c r="E190" s="1012"/>
      <c r="F190" s="1012"/>
      <c r="G190" s="1013"/>
      <c r="H190" s="1012"/>
      <c r="I190" s="1012"/>
      <c r="J190" s="1013"/>
      <c r="K190" s="1013"/>
      <c r="L190" s="1094"/>
      <c r="M190" s="1094"/>
      <c r="N190" s="1013"/>
      <c r="O190" s="1013"/>
      <c r="P190" s="1013"/>
      <c r="Q190" s="1013"/>
      <c r="R190" s="1013"/>
      <c r="S190" s="1013"/>
      <c r="T190" s="1012"/>
      <c r="U190" s="1011"/>
      <c r="V190" s="1012"/>
      <c r="W190" s="1013"/>
      <c r="X190" s="1014"/>
      <c r="Y190" s="1012"/>
      <c r="Z190" s="1012"/>
      <c r="AA190" s="1012"/>
      <c r="AB190" s="1012"/>
      <c r="AC190" s="1012"/>
      <c r="AD190" s="1012"/>
      <c r="AE190" s="1012"/>
      <c r="AF190" s="1012"/>
      <c r="AG190" s="1012"/>
      <c r="AH190" s="1012"/>
      <c r="AI190" s="1012"/>
      <c r="AJ190" s="1012"/>
      <c r="AK190" s="1012"/>
    </row>
    <row r="191">
      <c r="A191" s="1012"/>
      <c r="B191" s="1013"/>
      <c r="C191" s="1012"/>
      <c r="D191" s="1013"/>
      <c r="E191" s="1012"/>
      <c r="F191" s="1012"/>
      <c r="G191" s="1013"/>
      <c r="H191" s="1012"/>
      <c r="I191" s="1012"/>
      <c r="J191" s="1013"/>
      <c r="K191" s="1013"/>
      <c r="L191" s="1094"/>
      <c r="M191" s="1094"/>
      <c r="N191" s="1013"/>
      <c r="O191" s="1013"/>
      <c r="P191" s="1013"/>
      <c r="Q191" s="1013"/>
      <c r="R191" s="1013"/>
      <c r="S191" s="1013"/>
      <c r="T191" s="1012"/>
      <c r="U191" s="1011"/>
      <c r="V191" s="1012"/>
      <c r="W191" s="1013"/>
      <c r="X191" s="1014"/>
      <c r="Y191" s="1012"/>
      <c r="Z191" s="1012"/>
      <c r="AA191" s="1012"/>
      <c r="AB191" s="1012"/>
      <c r="AC191" s="1012"/>
      <c r="AD191" s="1012"/>
      <c r="AE191" s="1012"/>
      <c r="AF191" s="1012"/>
      <c r="AG191" s="1012"/>
      <c r="AH191" s="1012"/>
      <c r="AI191" s="1012"/>
      <c r="AJ191" s="1012"/>
      <c r="AK191" s="1012"/>
    </row>
    <row r="192">
      <c r="A192" s="1012"/>
      <c r="B192" s="1013"/>
      <c r="C192" s="1012"/>
      <c r="D192" s="1013"/>
      <c r="E192" s="1012"/>
      <c r="F192" s="1012"/>
      <c r="G192" s="1013"/>
      <c r="H192" s="1012"/>
      <c r="I192" s="1012"/>
      <c r="J192" s="1013"/>
      <c r="K192" s="1013"/>
      <c r="L192" s="1094"/>
      <c r="M192" s="1094"/>
      <c r="N192" s="1013"/>
      <c r="O192" s="1013"/>
      <c r="P192" s="1013"/>
      <c r="Q192" s="1013"/>
      <c r="R192" s="1013"/>
      <c r="S192" s="1013"/>
      <c r="T192" s="1012"/>
      <c r="U192" s="1011"/>
      <c r="V192" s="1012"/>
      <c r="W192" s="1013"/>
      <c r="X192" s="1014"/>
      <c r="Y192" s="1012"/>
      <c r="Z192" s="1012"/>
      <c r="AA192" s="1012"/>
      <c r="AB192" s="1012"/>
      <c r="AC192" s="1012"/>
      <c r="AD192" s="1012"/>
      <c r="AE192" s="1012"/>
      <c r="AF192" s="1012"/>
      <c r="AG192" s="1012"/>
      <c r="AH192" s="1012"/>
      <c r="AI192" s="1012"/>
      <c r="AJ192" s="1012"/>
      <c r="AK192" s="1012"/>
    </row>
    <row r="193">
      <c r="A193" s="1012"/>
      <c r="B193" s="1013"/>
      <c r="C193" s="1012"/>
      <c r="D193" s="1013"/>
      <c r="E193" s="1012"/>
      <c r="F193" s="1012"/>
      <c r="G193" s="1013"/>
      <c r="H193" s="1012"/>
      <c r="I193" s="1012"/>
      <c r="J193" s="1013"/>
      <c r="K193" s="1013"/>
      <c r="L193" s="1094"/>
      <c r="M193" s="1094"/>
      <c r="N193" s="1013"/>
      <c r="O193" s="1013"/>
      <c r="P193" s="1013"/>
      <c r="Q193" s="1013"/>
      <c r="R193" s="1013"/>
      <c r="S193" s="1013"/>
      <c r="T193" s="1012"/>
      <c r="U193" s="1011"/>
      <c r="V193" s="1012"/>
      <c r="W193" s="1013"/>
      <c r="X193" s="1014"/>
      <c r="Y193" s="1012"/>
      <c r="Z193" s="1012"/>
      <c r="AA193" s="1012"/>
      <c r="AB193" s="1012"/>
      <c r="AC193" s="1012"/>
      <c r="AD193" s="1012"/>
      <c r="AE193" s="1012"/>
      <c r="AF193" s="1012"/>
      <c r="AG193" s="1012"/>
      <c r="AH193" s="1012"/>
      <c r="AI193" s="1012"/>
      <c r="AJ193" s="1012"/>
      <c r="AK193" s="1012"/>
    </row>
    <row r="194">
      <c r="A194" s="1012"/>
      <c r="B194" s="1013"/>
      <c r="C194" s="1012"/>
      <c r="D194" s="1013"/>
      <c r="E194" s="1012"/>
      <c r="F194" s="1012"/>
      <c r="G194" s="1013"/>
      <c r="H194" s="1012"/>
      <c r="I194" s="1012"/>
      <c r="J194" s="1013"/>
      <c r="K194" s="1013"/>
      <c r="L194" s="1094"/>
      <c r="M194" s="1094"/>
      <c r="N194" s="1013"/>
      <c r="O194" s="1013"/>
      <c r="P194" s="1013"/>
      <c r="Q194" s="1013"/>
      <c r="R194" s="1013"/>
      <c r="S194" s="1013"/>
      <c r="T194" s="1012"/>
      <c r="U194" s="1011"/>
      <c r="V194" s="1012"/>
      <c r="W194" s="1013"/>
      <c r="X194" s="1014"/>
      <c r="Y194" s="1012"/>
      <c r="Z194" s="1012"/>
      <c r="AA194" s="1012"/>
      <c r="AB194" s="1012"/>
      <c r="AC194" s="1012"/>
      <c r="AD194" s="1012"/>
      <c r="AE194" s="1012"/>
      <c r="AF194" s="1012"/>
      <c r="AG194" s="1012"/>
      <c r="AH194" s="1012"/>
      <c r="AI194" s="1012"/>
      <c r="AJ194" s="1012"/>
      <c r="AK194" s="1012"/>
    </row>
    <row r="195">
      <c r="A195" s="1012"/>
      <c r="B195" s="1013"/>
      <c r="C195" s="1012"/>
      <c r="D195" s="1013"/>
      <c r="E195" s="1012"/>
      <c r="F195" s="1012"/>
      <c r="G195" s="1013"/>
      <c r="H195" s="1012"/>
      <c r="I195" s="1012"/>
      <c r="J195" s="1013"/>
      <c r="K195" s="1013"/>
      <c r="L195" s="1094"/>
      <c r="M195" s="1094"/>
      <c r="N195" s="1013"/>
      <c r="O195" s="1013"/>
      <c r="P195" s="1013"/>
      <c r="Q195" s="1013"/>
      <c r="R195" s="1013"/>
      <c r="S195" s="1013"/>
      <c r="T195" s="1012"/>
      <c r="U195" s="1011"/>
      <c r="V195" s="1012"/>
      <c r="W195" s="1013"/>
      <c r="X195" s="1014"/>
      <c r="Y195" s="1012"/>
      <c r="Z195" s="1012"/>
      <c r="AA195" s="1012"/>
      <c r="AB195" s="1012"/>
      <c r="AC195" s="1012"/>
      <c r="AD195" s="1012"/>
      <c r="AE195" s="1012"/>
      <c r="AF195" s="1012"/>
      <c r="AG195" s="1012"/>
      <c r="AH195" s="1012"/>
      <c r="AI195" s="1012"/>
      <c r="AJ195" s="1012"/>
      <c r="AK195" s="1012"/>
    </row>
    <row r="196">
      <c r="A196" s="1012"/>
      <c r="B196" s="1013"/>
      <c r="C196" s="1012"/>
      <c r="D196" s="1013"/>
      <c r="E196" s="1012"/>
      <c r="F196" s="1012"/>
      <c r="G196" s="1013"/>
      <c r="H196" s="1012"/>
      <c r="I196" s="1012"/>
      <c r="J196" s="1013"/>
      <c r="K196" s="1013"/>
      <c r="L196" s="1094"/>
      <c r="M196" s="1094"/>
      <c r="N196" s="1013"/>
      <c r="O196" s="1013"/>
      <c r="P196" s="1013"/>
      <c r="Q196" s="1013"/>
      <c r="R196" s="1013"/>
      <c r="S196" s="1013"/>
      <c r="T196" s="1012"/>
      <c r="U196" s="1011"/>
      <c r="V196" s="1012"/>
      <c r="W196" s="1013"/>
      <c r="X196" s="1014"/>
      <c r="Y196" s="1012"/>
      <c r="Z196" s="1012"/>
      <c r="AA196" s="1012"/>
      <c r="AB196" s="1012"/>
      <c r="AC196" s="1012"/>
      <c r="AD196" s="1012"/>
      <c r="AE196" s="1012"/>
      <c r="AF196" s="1012"/>
      <c r="AG196" s="1012"/>
      <c r="AH196" s="1012"/>
      <c r="AI196" s="1012"/>
      <c r="AJ196" s="1012"/>
      <c r="AK196" s="1012"/>
    </row>
    <row r="197">
      <c r="A197" s="1012"/>
      <c r="B197" s="1013"/>
      <c r="C197" s="1012"/>
      <c r="D197" s="1013"/>
      <c r="E197" s="1012"/>
      <c r="F197" s="1012"/>
      <c r="G197" s="1013"/>
      <c r="H197" s="1012"/>
      <c r="I197" s="1012"/>
      <c r="J197" s="1013"/>
      <c r="K197" s="1013"/>
      <c r="L197" s="1094"/>
      <c r="M197" s="1094"/>
      <c r="N197" s="1013"/>
      <c r="O197" s="1013"/>
      <c r="P197" s="1013"/>
      <c r="Q197" s="1013"/>
      <c r="R197" s="1013"/>
      <c r="S197" s="1013"/>
      <c r="T197" s="1012"/>
      <c r="U197" s="1011"/>
      <c r="V197" s="1012"/>
      <c r="W197" s="1013"/>
      <c r="X197" s="1014"/>
      <c r="Y197" s="1012"/>
      <c r="Z197" s="1012"/>
      <c r="AA197" s="1012"/>
      <c r="AB197" s="1012"/>
      <c r="AC197" s="1012"/>
      <c r="AD197" s="1012"/>
      <c r="AE197" s="1012"/>
      <c r="AF197" s="1012"/>
      <c r="AG197" s="1012"/>
      <c r="AH197" s="1012"/>
      <c r="AI197" s="1012"/>
      <c r="AJ197" s="1012"/>
      <c r="AK197" s="1012"/>
    </row>
    <row r="198">
      <c r="A198" s="1012"/>
      <c r="B198" s="1013"/>
      <c r="C198" s="1012"/>
      <c r="D198" s="1013"/>
      <c r="E198" s="1012"/>
      <c r="F198" s="1012"/>
      <c r="G198" s="1013"/>
      <c r="H198" s="1012"/>
      <c r="I198" s="1012"/>
      <c r="J198" s="1013"/>
      <c r="K198" s="1013"/>
      <c r="L198" s="1094"/>
      <c r="M198" s="1094"/>
      <c r="N198" s="1013"/>
      <c r="O198" s="1013"/>
      <c r="P198" s="1013"/>
      <c r="Q198" s="1013"/>
      <c r="R198" s="1013"/>
      <c r="S198" s="1013"/>
      <c r="T198" s="1012"/>
      <c r="U198" s="1011"/>
      <c r="V198" s="1012"/>
      <c r="W198" s="1013"/>
      <c r="X198" s="1014"/>
      <c r="Y198" s="1012"/>
      <c r="Z198" s="1012"/>
      <c r="AA198" s="1012"/>
      <c r="AB198" s="1012"/>
      <c r="AC198" s="1012"/>
      <c r="AD198" s="1012"/>
      <c r="AE198" s="1012"/>
      <c r="AF198" s="1012"/>
      <c r="AG198" s="1012"/>
      <c r="AH198" s="1012"/>
      <c r="AI198" s="1012"/>
      <c r="AJ198" s="1012"/>
      <c r="AK198" s="1012"/>
    </row>
    <row r="199">
      <c r="A199" s="1012"/>
      <c r="B199" s="1013"/>
      <c r="C199" s="1012"/>
      <c r="D199" s="1013"/>
      <c r="E199" s="1012"/>
      <c r="F199" s="1012"/>
      <c r="G199" s="1013"/>
      <c r="H199" s="1012"/>
      <c r="I199" s="1012"/>
      <c r="J199" s="1013"/>
      <c r="K199" s="1013"/>
      <c r="L199" s="1094"/>
      <c r="M199" s="1094"/>
      <c r="N199" s="1013"/>
      <c r="O199" s="1013"/>
      <c r="P199" s="1013"/>
      <c r="Q199" s="1013"/>
      <c r="R199" s="1013"/>
      <c r="S199" s="1013"/>
      <c r="T199" s="1012"/>
      <c r="U199" s="1011"/>
      <c r="V199" s="1012"/>
      <c r="W199" s="1013"/>
      <c r="X199" s="1014"/>
      <c r="Y199" s="1012"/>
      <c r="Z199" s="1012"/>
      <c r="AA199" s="1012"/>
      <c r="AB199" s="1012"/>
      <c r="AC199" s="1012"/>
      <c r="AD199" s="1012"/>
      <c r="AE199" s="1012"/>
      <c r="AF199" s="1012"/>
      <c r="AG199" s="1012"/>
      <c r="AH199" s="1012"/>
      <c r="AI199" s="1012"/>
      <c r="AJ199" s="1012"/>
      <c r="AK199" s="1012"/>
    </row>
    <row r="200">
      <c r="A200" s="1012"/>
      <c r="B200" s="1013"/>
      <c r="C200" s="1012"/>
      <c r="D200" s="1013"/>
      <c r="E200" s="1012"/>
      <c r="F200" s="1012"/>
      <c r="G200" s="1013"/>
      <c r="H200" s="1012"/>
      <c r="I200" s="1012"/>
      <c r="J200" s="1013"/>
      <c r="K200" s="1013"/>
      <c r="L200" s="1094"/>
      <c r="M200" s="1094"/>
      <c r="N200" s="1013"/>
      <c r="O200" s="1013"/>
      <c r="P200" s="1013"/>
      <c r="Q200" s="1013"/>
      <c r="R200" s="1013"/>
      <c r="S200" s="1013"/>
      <c r="T200" s="1012"/>
      <c r="U200" s="1011"/>
      <c r="V200" s="1012"/>
      <c r="W200" s="1013"/>
      <c r="X200" s="1014"/>
      <c r="Y200" s="1012"/>
      <c r="Z200" s="1012"/>
      <c r="AA200" s="1012"/>
      <c r="AB200" s="1012"/>
      <c r="AC200" s="1012"/>
      <c r="AD200" s="1012"/>
      <c r="AE200" s="1012"/>
      <c r="AF200" s="1012"/>
      <c r="AG200" s="1012"/>
      <c r="AH200" s="1012"/>
      <c r="AI200" s="1012"/>
      <c r="AJ200" s="1012"/>
      <c r="AK200" s="1012"/>
    </row>
    <row r="201">
      <c r="A201" s="1012"/>
      <c r="B201" s="1013"/>
      <c r="C201" s="1012"/>
      <c r="D201" s="1013"/>
      <c r="E201" s="1012"/>
      <c r="F201" s="1012"/>
      <c r="G201" s="1013"/>
      <c r="H201" s="1012"/>
      <c r="I201" s="1012"/>
      <c r="J201" s="1013"/>
      <c r="K201" s="1013"/>
      <c r="L201" s="1094"/>
      <c r="M201" s="1094"/>
      <c r="N201" s="1013"/>
      <c r="O201" s="1013"/>
      <c r="P201" s="1013"/>
      <c r="Q201" s="1013"/>
      <c r="R201" s="1013"/>
      <c r="S201" s="1013"/>
      <c r="T201" s="1012"/>
      <c r="U201" s="1011"/>
      <c r="V201" s="1012"/>
      <c r="W201" s="1013"/>
      <c r="X201" s="1014"/>
      <c r="Y201" s="1012"/>
      <c r="Z201" s="1012"/>
      <c r="AA201" s="1012"/>
      <c r="AB201" s="1012"/>
      <c r="AC201" s="1012"/>
      <c r="AD201" s="1012"/>
      <c r="AE201" s="1012"/>
      <c r="AF201" s="1012"/>
      <c r="AG201" s="1012"/>
      <c r="AH201" s="1012"/>
      <c r="AI201" s="1012"/>
      <c r="AJ201" s="1012"/>
      <c r="AK201" s="1012"/>
    </row>
    <row r="202">
      <c r="A202" s="1012"/>
      <c r="B202" s="1013"/>
      <c r="C202" s="1012"/>
      <c r="D202" s="1013"/>
      <c r="E202" s="1012"/>
      <c r="F202" s="1012"/>
      <c r="G202" s="1013"/>
      <c r="H202" s="1012"/>
      <c r="I202" s="1012"/>
      <c r="J202" s="1013"/>
      <c r="K202" s="1013"/>
      <c r="L202" s="1094"/>
      <c r="M202" s="1094"/>
      <c r="N202" s="1013"/>
      <c r="O202" s="1013"/>
      <c r="P202" s="1013"/>
      <c r="Q202" s="1013"/>
      <c r="R202" s="1013"/>
      <c r="S202" s="1013"/>
      <c r="T202" s="1012"/>
      <c r="U202" s="1011"/>
      <c r="V202" s="1012"/>
      <c r="W202" s="1013"/>
      <c r="X202" s="1014"/>
      <c r="Y202" s="1012"/>
      <c r="Z202" s="1012"/>
      <c r="AA202" s="1012"/>
      <c r="AB202" s="1012"/>
      <c r="AC202" s="1012"/>
      <c r="AD202" s="1012"/>
      <c r="AE202" s="1012"/>
      <c r="AF202" s="1012"/>
      <c r="AG202" s="1012"/>
      <c r="AH202" s="1012"/>
      <c r="AI202" s="1012"/>
      <c r="AJ202" s="1012"/>
      <c r="AK202" s="1012"/>
    </row>
    <row r="203">
      <c r="A203" s="1012"/>
      <c r="B203" s="1013"/>
      <c r="C203" s="1012"/>
      <c r="D203" s="1013"/>
      <c r="E203" s="1012"/>
      <c r="F203" s="1012"/>
      <c r="G203" s="1013"/>
      <c r="H203" s="1012"/>
      <c r="I203" s="1012"/>
      <c r="J203" s="1013"/>
      <c r="K203" s="1013"/>
      <c r="L203" s="1094"/>
      <c r="M203" s="1094"/>
      <c r="N203" s="1013"/>
      <c r="O203" s="1013"/>
      <c r="P203" s="1013"/>
      <c r="Q203" s="1013"/>
      <c r="R203" s="1013"/>
      <c r="S203" s="1013"/>
      <c r="T203" s="1012"/>
      <c r="U203" s="1011"/>
      <c r="V203" s="1012"/>
      <c r="W203" s="1013"/>
      <c r="X203" s="1014"/>
      <c r="Y203" s="1012"/>
      <c r="Z203" s="1012"/>
      <c r="AA203" s="1012"/>
      <c r="AB203" s="1012"/>
      <c r="AC203" s="1012"/>
      <c r="AD203" s="1012"/>
      <c r="AE203" s="1012"/>
      <c r="AF203" s="1012"/>
      <c r="AG203" s="1012"/>
      <c r="AH203" s="1012"/>
      <c r="AI203" s="1012"/>
      <c r="AJ203" s="1012"/>
      <c r="AK203" s="1012"/>
    </row>
    <row r="204">
      <c r="A204" s="1012"/>
      <c r="B204" s="1013"/>
      <c r="C204" s="1012"/>
      <c r="D204" s="1013"/>
      <c r="E204" s="1012"/>
      <c r="F204" s="1012"/>
      <c r="G204" s="1013"/>
      <c r="H204" s="1012"/>
      <c r="I204" s="1012"/>
      <c r="J204" s="1013"/>
      <c r="K204" s="1013"/>
      <c r="L204" s="1094"/>
      <c r="M204" s="1094"/>
      <c r="N204" s="1013"/>
      <c r="O204" s="1013"/>
      <c r="P204" s="1013"/>
      <c r="Q204" s="1013"/>
      <c r="R204" s="1013"/>
      <c r="S204" s="1013"/>
      <c r="T204" s="1012"/>
      <c r="U204" s="1011"/>
      <c r="V204" s="1012"/>
      <c r="W204" s="1013"/>
      <c r="X204" s="1014"/>
      <c r="Y204" s="1012"/>
      <c r="Z204" s="1012"/>
      <c r="AA204" s="1012"/>
      <c r="AB204" s="1012"/>
      <c r="AC204" s="1012"/>
      <c r="AD204" s="1012"/>
      <c r="AE204" s="1012"/>
      <c r="AF204" s="1012"/>
      <c r="AG204" s="1012"/>
      <c r="AH204" s="1012"/>
      <c r="AI204" s="1012"/>
      <c r="AJ204" s="1012"/>
      <c r="AK204" s="1012"/>
    </row>
    <row r="205">
      <c r="A205" s="1012"/>
      <c r="B205" s="1013"/>
      <c r="C205" s="1012"/>
      <c r="D205" s="1013"/>
      <c r="E205" s="1012"/>
      <c r="F205" s="1012"/>
      <c r="G205" s="1013"/>
      <c r="H205" s="1012"/>
      <c r="I205" s="1012"/>
      <c r="J205" s="1013"/>
      <c r="K205" s="1013"/>
      <c r="L205" s="1094"/>
      <c r="M205" s="1094"/>
      <c r="N205" s="1013"/>
      <c r="O205" s="1013"/>
      <c r="P205" s="1013"/>
      <c r="Q205" s="1013"/>
      <c r="R205" s="1013"/>
      <c r="S205" s="1013"/>
      <c r="T205" s="1012"/>
      <c r="U205" s="1011"/>
      <c r="V205" s="1012"/>
      <c r="W205" s="1013"/>
      <c r="X205" s="1014"/>
      <c r="Y205" s="1012"/>
      <c r="Z205" s="1012"/>
      <c r="AA205" s="1012"/>
      <c r="AB205" s="1012"/>
      <c r="AC205" s="1012"/>
      <c r="AD205" s="1012"/>
      <c r="AE205" s="1012"/>
      <c r="AF205" s="1012"/>
      <c r="AG205" s="1012"/>
      <c r="AH205" s="1012"/>
      <c r="AI205" s="1012"/>
      <c r="AJ205" s="1012"/>
      <c r="AK205" s="1012"/>
    </row>
    <row r="206">
      <c r="A206" s="1012"/>
      <c r="B206" s="1013"/>
      <c r="C206" s="1012"/>
      <c r="D206" s="1013"/>
      <c r="E206" s="1012"/>
      <c r="F206" s="1012"/>
      <c r="G206" s="1013"/>
      <c r="H206" s="1012"/>
      <c r="I206" s="1012"/>
      <c r="J206" s="1013"/>
      <c r="K206" s="1013"/>
      <c r="L206" s="1094"/>
      <c r="M206" s="1094"/>
      <c r="N206" s="1013"/>
      <c r="O206" s="1013"/>
      <c r="P206" s="1013"/>
      <c r="Q206" s="1013"/>
      <c r="R206" s="1013"/>
      <c r="S206" s="1013"/>
      <c r="T206" s="1012"/>
      <c r="U206" s="1011"/>
      <c r="V206" s="1012"/>
      <c r="W206" s="1013"/>
      <c r="X206" s="1014"/>
      <c r="Y206" s="1012"/>
      <c r="Z206" s="1012"/>
      <c r="AA206" s="1012"/>
      <c r="AB206" s="1012"/>
      <c r="AC206" s="1012"/>
      <c r="AD206" s="1012"/>
      <c r="AE206" s="1012"/>
      <c r="AF206" s="1012"/>
      <c r="AG206" s="1012"/>
      <c r="AH206" s="1012"/>
      <c r="AI206" s="1012"/>
      <c r="AJ206" s="1012"/>
      <c r="AK206" s="1012"/>
    </row>
    <row r="207">
      <c r="A207" s="1012"/>
      <c r="B207" s="1013"/>
      <c r="C207" s="1012"/>
      <c r="D207" s="1013"/>
      <c r="E207" s="1012"/>
      <c r="F207" s="1012"/>
      <c r="G207" s="1013"/>
      <c r="H207" s="1012"/>
      <c r="I207" s="1012"/>
      <c r="J207" s="1013"/>
      <c r="K207" s="1013"/>
      <c r="L207" s="1094"/>
      <c r="M207" s="1094"/>
      <c r="N207" s="1013"/>
      <c r="O207" s="1013"/>
      <c r="P207" s="1013"/>
      <c r="Q207" s="1013"/>
      <c r="R207" s="1013"/>
      <c r="S207" s="1013"/>
      <c r="T207" s="1012"/>
      <c r="U207" s="1011"/>
      <c r="V207" s="1012"/>
      <c r="W207" s="1013"/>
      <c r="X207" s="1014"/>
      <c r="Y207" s="1012"/>
      <c r="Z207" s="1012"/>
      <c r="AA207" s="1012"/>
      <c r="AB207" s="1012"/>
      <c r="AC207" s="1012"/>
      <c r="AD207" s="1012"/>
      <c r="AE207" s="1012"/>
      <c r="AF207" s="1012"/>
      <c r="AG207" s="1012"/>
      <c r="AH207" s="1012"/>
      <c r="AI207" s="1012"/>
      <c r="AJ207" s="1012"/>
      <c r="AK207" s="1012"/>
    </row>
    <row r="208">
      <c r="A208" s="1012"/>
      <c r="B208" s="1013"/>
      <c r="C208" s="1012"/>
      <c r="D208" s="1013"/>
      <c r="E208" s="1012"/>
      <c r="F208" s="1012"/>
      <c r="G208" s="1013"/>
      <c r="H208" s="1012"/>
      <c r="I208" s="1012"/>
      <c r="J208" s="1013"/>
      <c r="K208" s="1013"/>
      <c r="L208" s="1094"/>
      <c r="M208" s="1094"/>
      <c r="N208" s="1013"/>
      <c r="O208" s="1013"/>
      <c r="P208" s="1013"/>
      <c r="Q208" s="1013"/>
      <c r="R208" s="1013"/>
      <c r="S208" s="1013"/>
      <c r="T208" s="1012"/>
      <c r="U208" s="1011"/>
      <c r="V208" s="1012"/>
      <c r="W208" s="1013"/>
      <c r="X208" s="1014"/>
      <c r="Y208" s="1012"/>
      <c r="Z208" s="1012"/>
      <c r="AA208" s="1012"/>
      <c r="AB208" s="1012"/>
      <c r="AC208" s="1012"/>
      <c r="AD208" s="1012"/>
      <c r="AE208" s="1012"/>
      <c r="AF208" s="1012"/>
      <c r="AG208" s="1012"/>
      <c r="AH208" s="1012"/>
      <c r="AI208" s="1012"/>
      <c r="AJ208" s="1012"/>
      <c r="AK208" s="1012"/>
    </row>
    <row r="209">
      <c r="A209" s="1012"/>
      <c r="B209" s="1013"/>
      <c r="C209" s="1012"/>
      <c r="D209" s="1013"/>
      <c r="E209" s="1012"/>
      <c r="F209" s="1012"/>
      <c r="G209" s="1013"/>
      <c r="H209" s="1012"/>
      <c r="I209" s="1012"/>
      <c r="J209" s="1013"/>
      <c r="K209" s="1013"/>
      <c r="L209" s="1094"/>
      <c r="M209" s="1094"/>
      <c r="N209" s="1013"/>
      <c r="O209" s="1013"/>
      <c r="P209" s="1013"/>
      <c r="Q209" s="1013"/>
      <c r="R209" s="1013"/>
      <c r="S209" s="1013"/>
      <c r="T209" s="1012"/>
      <c r="U209" s="1011"/>
      <c r="V209" s="1012"/>
      <c r="W209" s="1013"/>
      <c r="X209" s="1014"/>
      <c r="Y209" s="1012"/>
      <c r="Z209" s="1012"/>
      <c r="AA209" s="1012"/>
      <c r="AB209" s="1012"/>
      <c r="AC209" s="1012"/>
      <c r="AD209" s="1012"/>
      <c r="AE209" s="1012"/>
      <c r="AF209" s="1012"/>
      <c r="AG209" s="1012"/>
      <c r="AH209" s="1012"/>
      <c r="AI209" s="1012"/>
      <c r="AJ209" s="1012"/>
      <c r="AK209" s="1012"/>
    </row>
    <row r="210">
      <c r="A210" s="1012"/>
      <c r="B210" s="1013"/>
      <c r="C210" s="1012"/>
      <c r="D210" s="1013"/>
      <c r="E210" s="1012"/>
      <c r="F210" s="1012"/>
      <c r="G210" s="1013"/>
      <c r="H210" s="1012"/>
      <c r="I210" s="1012"/>
      <c r="J210" s="1013"/>
      <c r="K210" s="1013"/>
      <c r="L210" s="1094"/>
      <c r="M210" s="1094"/>
      <c r="N210" s="1013"/>
      <c r="O210" s="1013"/>
      <c r="P210" s="1013"/>
      <c r="Q210" s="1013"/>
      <c r="R210" s="1013"/>
      <c r="S210" s="1013"/>
      <c r="T210" s="1012"/>
      <c r="U210" s="1011"/>
      <c r="V210" s="1012"/>
      <c r="W210" s="1013"/>
      <c r="X210" s="1014"/>
      <c r="Y210" s="1012"/>
      <c r="Z210" s="1012"/>
      <c r="AA210" s="1012"/>
      <c r="AB210" s="1012"/>
      <c r="AC210" s="1012"/>
      <c r="AD210" s="1012"/>
      <c r="AE210" s="1012"/>
      <c r="AF210" s="1012"/>
      <c r="AG210" s="1012"/>
      <c r="AH210" s="1012"/>
      <c r="AI210" s="1012"/>
      <c r="AJ210" s="1012"/>
      <c r="AK210" s="1012"/>
    </row>
    <row r="211">
      <c r="A211" s="1012"/>
      <c r="B211" s="1013"/>
      <c r="C211" s="1012"/>
      <c r="D211" s="1013"/>
      <c r="E211" s="1012"/>
      <c r="F211" s="1012"/>
      <c r="G211" s="1013"/>
      <c r="H211" s="1012"/>
      <c r="I211" s="1012"/>
      <c r="J211" s="1013"/>
      <c r="K211" s="1013"/>
      <c r="L211" s="1094"/>
      <c r="M211" s="1094"/>
      <c r="N211" s="1013"/>
      <c r="O211" s="1013"/>
      <c r="P211" s="1013"/>
      <c r="Q211" s="1013"/>
      <c r="R211" s="1013"/>
      <c r="S211" s="1013"/>
      <c r="T211" s="1012"/>
      <c r="U211" s="1011"/>
      <c r="V211" s="1012"/>
      <c r="W211" s="1013"/>
      <c r="X211" s="1014"/>
      <c r="Y211" s="1012"/>
      <c r="Z211" s="1012"/>
      <c r="AA211" s="1012"/>
      <c r="AB211" s="1012"/>
      <c r="AC211" s="1012"/>
      <c r="AD211" s="1012"/>
      <c r="AE211" s="1012"/>
      <c r="AF211" s="1012"/>
      <c r="AG211" s="1012"/>
      <c r="AH211" s="1012"/>
      <c r="AI211" s="1012"/>
      <c r="AJ211" s="1012"/>
      <c r="AK211" s="1012"/>
    </row>
    <row r="212">
      <c r="A212" s="1012"/>
      <c r="B212" s="1013"/>
      <c r="C212" s="1012"/>
      <c r="D212" s="1013"/>
      <c r="E212" s="1012"/>
      <c r="F212" s="1012"/>
      <c r="G212" s="1013"/>
      <c r="H212" s="1012"/>
      <c r="I212" s="1012"/>
      <c r="J212" s="1013"/>
      <c r="K212" s="1013"/>
      <c r="L212" s="1094"/>
      <c r="M212" s="1094"/>
      <c r="N212" s="1013"/>
      <c r="O212" s="1013"/>
      <c r="P212" s="1013"/>
      <c r="Q212" s="1013"/>
      <c r="R212" s="1013"/>
      <c r="S212" s="1013"/>
      <c r="T212" s="1012"/>
      <c r="U212" s="1011"/>
      <c r="V212" s="1012"/>
      <c r="W212" s="1013"/>
      <c r="X212" s="1014"/>
      <c r="Y212" s="1012"/>
      <c r="Z212" s="1012"/>
      <c r="AA212" s="1012"/>
      <c r="AB212" s="1012"/>
      <c r="AC212" s="1012"/>
      <c r="AD212" s="1012"/>
      <c r="AE212" s="1012"/>
      <c r="AF212" s="1012"/>
      <c r="AG212" s="1012"/>
      <c r="AH212" s="1012"/>
      <c r="AI212" s="1012"/>
      <c r="AJ212" s="1012"/>
      <c r="AK212" s="1012"/>
    </row>
    <row r="213">
      <c r="A213" s="1012"/>
      <c r="B213" s="1013"/>
      <c r="C213" s="1012"/>
      <c r="D213" s="1013"/>
      <c r="E213" s="1012"/>
      <c r="F213" s="1012"/>
      <c r="G213" s="1013"/>
      <c r="H213" s="1012"/>
      <c r="I213" s="1012"/>
      <c r="J213" s="1013"/>
      <c r="K213" s="1013"/>
      <c r="L213" s="1094"/>
      <c r="M213" s="1094"/>
      <c r="N213" s="1013"/>
      <c r="O213" s="1013"/>
      <c r="P213" s="1013"/>
      <c r="Q213" s="1013"/>
      <c r="R213" s="1013"/>
      <c r="S213" s="1013"/>
      <c r="T213" s="1012"/>
      <c r="U213" s="1011"/>
      <c r="V213" s="1012"/>
      <c r="W213" s="1013"/>
      <c r="X213" s="1014"/>
      <c r="Y213" s="1012"/>
      <c r="Z213" s="1012"/>
      <c r="AA213" s="1012"/>
      <c r="AB213" s="1012"/>
      <c r="AC213" s="1012"/>
      <c r="AD213" s="1012"/>
      <c r="AE213" s="1012"/>
      <c r="AF213" s="1012"/>
      <c r="AG213" s="1012"/>
      <c r="AH213" s="1012"/>
      <c r="AI213" s="1012"/>
      <c r="AJ213" s="1012"/>
      <c r="AK213" s="1012"/>
    </row>
    <row r="214">
      <c r="A214" s="1012"/>
      <c r="B214" s="1013"/>
      <c r="C214" s="1012"/>
      <c r="D214" s="1013"/>
      <c r="E214" s="1012"/>
      <c r="F214" s="1012"/>
      <c r="G214" s="1013"/>
      <c r="H214" s="1012"/>
      <c r="I214" s="1012"/>
      <c r="J214" s="1013"/>
      <c r="K214" s="1013"/>
      <c r="L214" s="1094"/>
      <c r="M214" s="1094"/>
      <c r="N214" s="1013"/>
      <c r="O214" s="1013"/>
      <c r="P214" s="1013"/>
      <c r="Q214" s="1013"/>
      <c r="R214" s="1013"/>
      <c r="S214" s="1013"/>
      <c r="T214" s="1012"/>
      <c r="U214" s="1011"/>
      <c r="V214" s="1012"/>
      <c r="W214" s="1013"/>
      <c r="X214" s="1014"/>
      <c r="Y214" s="1012"/>
      <c r="Z214" s="1012"/>
      <c r="AA214" s="1012"/>
      <c r="AB214" s="1012"/>
      <c r="AC214" s="1012"/>
      <c r="AD214" s="1012"/>
      <c r="AE214" s="1012"/>
      <c r="AF214" s="1012"/>
      <c r="AG214" s="1012"/>
      <c r="AH214" s="1012"/>
      <c r="AI214" s="1012"/>
      <c r="AJ214" s="1012"/>
      <c r="AK214" s="1012"/>
    </row>
    <row r="215">
      <c r="A215" s="1012"/>
      <c r="B215" s="1013"/>
      <c r="C215" s="1012"/>
      <c r="D215" s="1013"/>
      <c r="E215" s="1012"/>
      <c r="F215" s="1012"/>
      <c r="G215" s="1013"/>
      <c r="H215" s="1012"/>
      <c r="I215" s="1012"/>
      <c r="J215" s="1013"/>
      <c r="K215" s="1013"/>
      <c r="L215" s="1094"/>
      <c r="M215" s="1094"/>
      <c r="N215" s="1013"/>
      <c r="O215" s="1013"/>
      <c r="P215" s="1013"/>
      <c r="Q215" s="1013"/>
      <c r="R215" s="1013"/>
      <c r="S215" s="1013"/>
      <c r="T215" s="1012"/>
      <c r="U215" s="1011"/>
      <c r="V215" s="1012"/>
      <c r="W215" s="1013"/>
      <c r="X215" s="1014"/>
      <c r="Y215" s="1012"/>
      <c r="Z215" s="1012"/>
      <c r="AA215" s="1012"/>
      <c r="AB215" s="1012"/>
      <c r="AC215" s="1012"/>
      <c r="AD215" s="1012"/>
      <c r="AE215" s="1012"/>
      <c r="AF215" s="1012"/>
      <c r="AG215" s="1012"/>
      <c r="AH215" s="1012"/>
      <c r="AI215" s="1012"/>
      <c r="AJ215" s="1012"/>
      <c r="AK215" s="1012"/>
    </row>
    <row r="216">
      <c r="A216" s="1012"/>
      <c r="B216" s="1013"/>
      <c r="C216" s="1012"/>
      <c r="D216" s="1013"/>
      <c r="E216" s="1012"/>
      <c r="F216" s="1012"/>
      <c r="G216" s="1013"/>
      <c r="H216" s="1012"/>
      <c r="I216" s="1012"/>
      <c r="J216" s="1013"/>
      <c r="K216" s="1013"/>
      <c r="L216" s="1094"/>
      <c r="M216" s="1094"/>
      <c r="N216" s="1013"/>
      <c r="O216" s="1013"/>
      <c r="P216" s="1013"/>
      <c r="Q216" s="1013"/>
      <c r="R216" s="1013"/>
      <c r="S216" s="1013"/>
      <c r="T216" s="1012"/>
      <c r="U216" s="1011"/>
      <c r="V216" s="1012"/>
      <c r="W216" s="1013"/>
      <c r="X216" s="1014"/>
      <c r="Y216" s="1012"/>
      <c r="Z216" s="1012"/>
      <c r="AA216" s="1012"/>
      <c r="AB216" s="1012"/>
      <c r="AC216" s="1012"/>
      <c r="AD216" s="1012"/>
      <c r="AE216" s="1012"/>
      <c r="AF216" s="1012"/>
      <c r="AG216" s="1012"/>
      <c r="AH216" s="1012"/>
      <c r="AI216" s="1012"/>
      <c r="AJ216" s="1012"/>
      <c r="AK216" s="1012"/>
    </row>
    <row r="217">
      <c r="A217" s="1012"/>
      <c r="B217" s="1013"/>
      <c r="C217" s="1012"/>
      <c r="D217" s="1013"/>
      <c r="E217" s="1012"/>
      <c r="F217" s="1012"/>
      <c r="G217" s="1013"/>
      <c r="H217" s="1012"/>
      <c r="I217" s="1012"/>
      <c r="J217" s="1013"/>
      <c r="K217" s="1013"/>
      <c r="L217" s="1094"/>
      <c r="M217" s="1094"/>
      <c r="N217" s="1013"/>
      <c r="O217" s="1013"/>
      <c r="P217" s="1013"/>
      <c r="Q217" s="1013"/>
      <c r="R217" s="1013"/>
      <c r="S217" s="1013"/>
      <c r="T217" s="1012"/>
      <c r="U217" s="1011"/>
      <c r="V217" s="1012"/>
      <c r="W217" s="1013"/>
      <c r="X217" s="1014"/>
      <c r="Y217" s="1012"/>
      <c r="Z217" s="1012"/>
      <c r="AA217" s="1012"/>
      <c r="AB217" s="1012"/>
      <c r="AC217" s="1012"/>
      <c r="AD217" s="1012"/>
      <c r="AE217" s="1012"/>
      <c r="AF217" s="1012"/>
      <c r="AG217" s="1012"/>
      <c r="AH217" s="1012"/>
      <c r="AI217" s="1012"/>
      <c r="AJ217" s="1012"/>
      <c r="AK217" s="1012"/>
    </row>
    <row r="218">
      <c r="A218" s="1012"/>
      <c r="B218" s="1013"/>
      <c r="C218" s="1012"/>
      <c r="D218" s="1013"/>
      <c r="E218" s="1012"/>
      <c r="F218" s="1012"/>
      <c r="G218" s="1013"/>
      <c r="H218" s="1012"/>
      <c r="I218" s="1012"/>
      <c r="J218" s="1013"/>
      <c r="K218" s="1013"/>
      <c r="L218" s="1094"/>
      <c r="M218" s="1094"/>
      <c r="N218" s="1013"/>
      <c r="O218" s="1013"/>
      <c r="P218" s="1013"/>
      <c r="Q218" s="1013"/>
      <c r="R218" s="1013"/>
      <c r="S218" s="1013"/>
      <c r="T218" s="1012"/>
      <c r="U218" s="1011"/>
      <c r="V218" s="1012"/>
      <c r="W218" s="1013"/>
      <c r="X218" s="1014"/>
      <c r="Y218" s="1012"/>
      <c r="Z218" s="1012"/>
      <c r="AA218" s="1012"/>
      <c r="AB218" s="1012"/>
      <c r="AC218" s="1012"/>
      <c r="AD218" s="1012"/>
      <c r="AE218" s="1012"/>
      <c r="AF218" s="1012"/>
      <c r="AG218" s="1012"/>
      <c r="AH218" s="1012"/>
      <c r="AI218" s="1012"/>
      <c r="AJ218" s="1012"/>
      <c r="AK218" s="1012"/>
    </row>
    <row r="219">
      <c r="A219" s="1012"/>
      <c r="B219" s="1013"/>
      <c r="C219" s="1012"/>
      <c r="D219" s="1013"/>
      <c r="E219" s="1012"/>
      <c r="F219" s="1012"/>
      <c r="G219" s="1013"/>
      <c r="H219" s="1012"/>
      <c r="I219" s="1012"/>
      <c r="J219" s="1013"/>
      <c r="K219" s="1013"/>
      <c r="L219" s="1094"/>
      <c r="M219" s="1094"/>
      <c r="N219" s="1013"/>
      <c r="O219" s="1013"/>
      <c r="P219" s="1013"/>
      <c r="Q219" s="1013"/>
      <c r="R219" s="1013"/>
      <c r="S219" s="1013"/>
      <c r="T219" s="1012"/>
      <c r="U219" s="1011"/>
      <c r="V219" s="1012"/>
      <c r="W219" s="1013"/>
      <c r="X219" s="1014"/>
      <c r="Y219" s="1012"/>
      <c r="Z219" s="1012"/>
      <c r="AA219" s="1012"/>
      <c r="AB219" s="1012"/>
      <c r="AC219" s="1012"/>
      <c r="AD219" s="1012"/>
      <c r="AE219" s="1012"/>
      <c r="AF219" s="1012"/>
      <c r="AG219" s="1012"/>
      <c r="AH219" s="1012"/>
      <c r="AI219" s="1012"/>
      <c r="AJ219" s="1012"/>
      <c r="AK219" s="1012"/>
    </row>
    <row r="220">
      <c r="A220" s="1012"/>
      <c r="B220" s="1013"/>
      <c r="C220" s="1012"/>
      <c r="D220" s="1013"/>
      <c r="E220" s="1012"/>
      <c r="F220" s="1012"/>
      <c r="G220" s="1013"/>
      <c r="H220" s="1012"/>
      <c r="I220" s="1012"/>
      <c r="J220" s="1013"/>
      <c r="K220" s="1013"/>
      <c r="L220" s="1094"/>
      <c r="M220" s="1094"/>
      <c r="N220" s="1013"/>
      <c r="O220" s="1013"/>
      <c r="P220" s="1013"/>
      <c r="Q220" s="1013"/>
      <c r="R220" s="1013"/>
      <c r="S220" s="1013"/>
      <c r="T220" s="1012"/>
      <c r="U220" s="1011"/>
      <c r="V220" s="1012"/>
      <c r="W220" s="1013"/>
      <c r="X220" s="1014"/>
      <c r="Y220" s="1012"/>
      <c r="Z220" s="1012"/>
      <c r="AA220" s="1012"/>
      <c r="AB220" s="1012"/>
      <c r="AC220" s="1012"/>
      <c r="AD220" s="1012"/>
      <c r="AE220" s="1012"/>
      <c r="AF220" s="1012"/>
      <c r="AG220" s="1012"/>
      <c r="AH220" s="1012"/>
      <c r="AI220" s="1012"/>
      <c r="AJ220" s="1012"/>
      <c r="AK220" s="1012"/>
    </row>
    <row r="221">
      <c r="A221" s="1012"/>
      <c r="B221" s="1013"/>
      <c r="C221" s="1012"/>
      <c r="D221" s="1013"/>
      <c r="E221" s="1012"/>
      <c r="F221" s="1012"/>
      <c r="G221" s="1013"/>
      <c r="H221" s="1012"/>
      <c r="I221" s="1012"/>
      <c r="J221" s="1013"/>
      <c r="K221" s="1013"/>
      <c r="L221" s="1094"/>
      <c r="M221" s="1094"/>
      <c r="N221" s="1013"/>
      <c r="O221" s="1013"/>
      <c r="P221" s="1013"/>
      <c r="Q221" s="1013"/>
      <c r="R221" s="1013"/>
      <c r="S221" s="1013"/>
      <c r="T221" s="1012"/>
      <c r="U221" s="1011"/>
      <c r="V221" s="1012"/>
      <c r="W221" s="1013"/>
      <c r="X221" s="1014"/>
      <c r="Y221" s="1012"/>
      <c r="Z221" s="1012"/>
      <c r="AA221" s="1012"/>
      <c r="AB221" s="1012"/>
      <c r="AC221" s="1012"/>
      <c r="AD221" s="1012"/>
      <c r="AE221" s="1012"/>
      <c r="AF221" s="1012"/>
      <c r="AG221" s="1012"/>
      <c r="AH221" s="1012"/>
      <c r="AI221" s="1012"/>
      <c r="AJ221" s="1012"/>
      <c r="AK221" s="1012"/>
    </row>
    <row r="222">
      <c r="A222" s="1012"/>
      <c r="B222" s="1013"/>
      <c r="C222" s="1012"/>
      <c r="D222" s="1013"/>
      <c r="E222" s="1012"/>
      <c r="F222" s="1012"/>
      <c r="G222" s="1013"/>
      <c r="H222" s="1012"/>
      <c r="I222" s="1012"/>
      <c r="J222" s="1013"/>
      <c r="K222" s="1013"/>
      <c r="L222" s="1094"/>
      <c r="M222" s="1094"/>
      <c r="N222" s="1013"/>
      <c r="O222" s="1013"/>
      <c r="P222" s="1013"/>
      <c r="Q222" s="1013"/>
      <c r="R222" s="1013"/>
      <c r="S222" s="1013"/>
      <c r="T222" s="1012"/>
      <c r="U222" s="1011"/>
      <c r="V222" s="1012"/>
      <c r="W222" s="1013"/>
      <c r="X222" s="1014"/>
      <c r="Y222" s="1012"/>
      <c r="Z222" s="1012"/>
      <c r="AA222" s="1012"/>
      <c r="AB222" s="1012"/>
      <c r="AC222" s="1012"/>
      <c r="AD222" s="1012"/>
      <c r="AE222" s="1012"/>
      <c r="AF222" s="1012"/>
      <c r="AG222" s="1012"/>
      <c r="AH222" s="1012"/>
      <c r="AI222" s="1012"/>
      <c r="AJ222" s="1012"/>
      <c r="AK222" s="1012"/>
    </row>
    <row r="223">
      <c r="A223" s="1012"/>
      <c r="B223" s="1013"/>
      <c r="C223" s="1012"/>
      <c r="D223" s="1013"/>
      <c r="E223" s="1012"/>
      <c r="F223" s="1012"/>
      <c r="G223" s="1013"/>
      <c r="H223" s="1012"/>
      <c r="I223" s="1012"/>
      <c r="J223" s="1013"/>
      <c r="K223" s="1013"/>
      <c r="L223" s="1094"/>
      <c r="M223" s="1094"/>
      <c r="N223" s="1013"/>
      <c r="O223" s="1013"/>
      <c r="P223" s="1013"/>
      <c r="Q223" s="1013"/>
      <c r="R223" s="1013"/>
      <c r="S223" s="1013"/>
      <c r="T223" s="1012"/>
      <c r="U223" s="1011"/>
      <c r="V223" s="1012"/>
      <c r="W223" s="1013"/>
      <c r="X223" s="1014"/>
      <c r="Y223" s="1012"/>
      <c r="Z223" s="1012"/>
      <c r="AA223" s="1012"/>
      <c r="AB223" s="1012"/>
      <c r="AC223" s="1012"/>
      <c r="AD223" s="1012"/>
      <c r="AE223" s="1012"/>
      <c r="AF223" s="1012"/>
      <c r="AG223" s="1012"/>
      <c r="AH223" s="1012"/>
      <c r="AI223" s="1012"/>
      <c r="AJ223" s="1012"/>
      <c r="AK223" s="1012"/>
    </row>
    <row r="224">
      <c r="A224" s="1012"/>
      <c r="B224" s="1013"/>
      <c r="C224" s="1012"/>
      <c r="D224" s="1013"/>
      <c r="E224" s="1012"/>
      <c r="F224" s="1012"/>
      <c r="G224" s="1013"/>
      <c r="H224" s="1012"/>
      <c r="I224" s="1012"/>
      <c r="J224" s="1013"/>
      <c r="K224" s="1013"/>
      <c r="L224" s="1094"/>
      <c r="M224" s="1094"/>
      <c r="N224" s="1013"/>
      <c r="O224" s="1013"/>
      <c r="P224" s="1013"/>
      <c r="Q224" s="1013"/>
      <c r="R224" s="1013"/>
      <c r="S224" s="1013"/>
      <c r="T224" s="1012"/>
      <c r="U224" s="1011"/>
      <c r="V224" s="1012"/>
      <c r="W224" s="1013"/>
      <c r="X224" s="1014"/>
      <c r="Y224" s="1012"/>
      <c r="Z224" s="1012"/>
      <c r="AA224" s="1012"/>
      <c r="AB224" s="1012"/>
      <c r="AC224" s="1012"/>
      <c r="AD224" s="1012"/>
      <c r="AE224" s="1012"/>
      <c r="AF224" s="1012"/>
      <c r="AG224" s="1012"/>
      <c r="AH224" s="1012"/>
      <c r="AI224" s="1012"/>
      <c r="AJ224" s="1012"/>
      <c r="AK224" s="1012"/>
    </row>
    <row r="225">
      <c r="A225" s="1012"/>
      <c r="B225" s="1013"/>
      <c r="C225" s="1012"/>
      <c r="D225" s="1013"/>
      <c r="E225" s="1012"/>
      <c r="F225" s="1012"/>
      <c r="G225" s="1013"/>
      <c r="H225" s="1012"/>
      <c r="I225" s="1012"/>
      <c r="J225" s="1013"/>
      <c r="K225" s="1013"/>
      <c r="L225" s="1094"/>
      <c r="M225" s="1094"/>
      <c r="N225" s="1013"/>
      <c r="O225" s="1013"/>
      <c r="P225" s="1013"/>
      <c r="Q225" s="1013"/>
      <c r="R225" s="1013"/>
      <c r="S225" s="1013"/>
      <c r="T225" s="1012"/>
      <c r="U225" s="1011"/>
      <c r="V225" s="1012"/>
      <c r="W225" s="1013"/>
      <c r="X225" s="1014"/>
      <c r="Y225" s="1012"/>
      <c r="Z225" s="1012"/>
      <c r="AA225" s="1012"/>
      <c r="AB225" s="1012"/>
      <c r="AC225" s="1012"/>
      <c r="AD225" s="1012"/>
      <c r="AE225" s="1012"/>
      <c r="AF225" s="1012"/>
      <c r="AG225" s="1012"/>
      <c r="AH225" s="1012"/>
      <c r="AI225" s="1012"/>
      <c r="AJ225" s="1012"/>
      <c r="AK225" s="1012"/>
    </row>
    <row r="226">
      <c r="A226" s="1012"/>
      <c r="B226" s="1013"/>
      <c r="C226" s="1012"/>
      <c r="D226" s="1013"/>
      <c r="E226" s="1012"/>
      <c r="F226" s="1012"/>
      <c r="G226" s="1013"/>
      <c r="H226" s="1012"/>
      <c r="I226" s="1012"/>
      <c r="J226" s="1013"/>
      <c r="K226" s="1013"/>
      <c r="L226" s="1094"/>
      <c r="M226" s="1094"/>
      <c r="N226" s="1013"/>
      <c r="O226" s="1013"/>
      <c r="P226" s="1013"/>
      <c r="Q226" s="1013"/>
      <c r="R226" s="1013"/>
      <c r="S226" s="1013"/>
      <c r="T226" s="1012"/>
      <c r="U226" s="1011"/>
      <c r="V226" s="1012"/>
      <c r="W226" s="1013"/>
      <c r="X226" s="1014"/>
      <c r="Y226" s="1012"/>
      <c r="Z226" s="1012"/>
      <c r="AA226" s="1012"/>
      <c r="AB226" s="1012"/>
      <c r="AC226" s="1012"/>
      <c r="AD226" s="1012"/>
      <c r="AE226" s="1012"/>
      <c r="AF226" s="1012"/>
      <c r="AG226" s="1012"/>
      <c r="AH226" s="1012"/>
      <c r="AI226" s="1012"/>
      <c r="AJ226" s="1012"/>
      <c r="AK226" s="1012"/>
    </row>
    <row r="227">
      <c r="A227" s="1012"/>
      <c r="B227" s="1013"/>
      <c r="C227" s="1012"/>
      <c r="D227" s="1013"/>
      <c r="E227" s="1012"/>
      <c r="F227" s="1012"/>
      <c r="G227" s="1013"/>
      <c r="H227" s="1012"/>
      <c r="I227" s="1012"/>
      <c r="J227" s="1013"/>
      <c r="K227" s="1013"/>
      <c r="L227" s="1094"/>
      <c r="M227" s="1094"/>
      <c r="N227" s="1013"/>
      <c r="O227" s="1013"/>
      <c r="P227" s="1013"/>
      <c r="Q227" s="1013"/>
      <c r="R227" s="1013"/>
      <c r="S227" s="1013"/>
      <c r="T227" s="1012"/>
      <c r="U227" s="1011"/>
      <c r="V227" s="1012"/>
      <c r="W227" s="1013"/>
      <c r="X227" s="1014"/>
      <c r="Y227" s="1012"/>
      <c r="Z227" s="1012"/>
      <c r="AA227" s="1012"/>
      <c r="AB227" s="1012"/>
      <c r="AC227" s="1012"/>
      <c r="AD227" s="1012"/>
      <c r="AE227" s="1012"/>
      <c r="AF227" s="1012"/>
      <c r="AG227" s="1012"/>
      <c r="AH227" s="1012"/>
      <c r="AI227" s="1012"/>
      <c r="AJ227" s="1012"/>
      <c r="AK227" s="1012"/>
    </row>
    <row r="228">
      <c r="A228" s="1012"/>
      <c r="B228" s="1013"/>
      <c r="C228" s="1012"/>
      <c r="D228" s="1013"/>
      <c r="E228" s="1012"/>
      <c r="F228" s="1012"/>
      <c r="G228" s="1013"/>
      <c r="H228" s="1012"/>
      <c r="I228" s="1012"/>
      <c r="J228" s="1013"/>
      <c r="K228" s="1013"/>
      <c r="L228" s="1094"/>
      <c r="M228" s="1094"/>
      <c r="N228" s="1013"/>
      <c r="O228" s="1013"/>
      <c r="P228" s="1013"/>
      <c r="Q228" s="1013"/>
      <c r="R228" s="1013"/>
      <c r="S228" s="1013"/>
      <c r="T228" s="1012"/>
      <c r="U228" s="1011"/>
      <c r="V228" s="1012"/>
      <c r="W228" s="1013"/>
      <c r="X228" s="1014"/>
      <c r="Y228" s="1012"/>
      <c r="Z228" s="1012"/>
      <c r="AA228" s="1012"/>
      <c r="AB228" s="1012"/>
      <c r="AC228" s="1012"/>
      <c r="AD228" s="1012"/>
      <c r="AE228" s="1012"/>
      <c r="AF228" s="1012"/>
      <c r="AG228" s="1012"/>
      <c r="AH228" s="1012"/>
      <c r="AI228" s="1012"/>
      <c r="AJ228" s="1012"/>
      <c r="AK228" s="1012"/>
    </row>
    <row r="229">
      <c r="A229" s="1012"/>
      <c r="B229" s="1013"/>
      <c r="C229" s="1012"/>
      <c r="D229" s="1013"/>
      <c r="E229" s="1012"/>
      <c r="F229" s="1012"/>
      <c r="G229" s="1013"/>
      <c r="H229" s="1012"/>
      <c r="I229" s="1012"/>
      <c r="J229" s="1013"/>
      <c r="K229" s="1013"/>
      <c r="L229" s="1094"/>
      <c r="M229" s="1094"/>
      <c r="N229" s="1013"/>
      <c r="O229" s="1013"/>
      <c r="P229" s="1013"/>
      <c r="Q229" s="1013"/>
      <c r="R229" s="1013"/>
      <c r="S229" s="1013"/>
      <c r="T229" s="1012"/>
      <c r="U229" s="1011"/>
      <c r="V229" s="1012"/>
      <c r="W229" s="1013"/>
      <c r="X229" s="1014"/>
      <c r="Y229" s="1012"/>
      <c r="Z229" s="1012"/>
      <c r="AA229" s="1012"/>
      <c r="AB229" s="1012"/>
      <c r="AC229" s="1012"/>
      <c r="AD229" s="1012"/>
      <c r="AE229" s="1012"/>
      <c r="AF229" s="1012"/>
      <c r="AG229" s="1012"/>
      <c r="AH229" s="1012"/>
      <c r="AI229" s="1012"/>
      <c r="AJ229" s="1012"/>
      <c r="AK229" s="1012"/>
    </row>
    <row r="230">
      <c r="A230" s="1012"/>
      <c r="B230" s="1013"/>
      <c r="C230" s="1012"/>
      <c r="D230" s="1013"/>
      <c r="E230" s="1012"/>
      <c r="F230" s="1012"/>
      <c r="G230" s="1013"/>
      <c r="H230" s="1012"/>
      <c r="I230" s="1012"/>
      <c r="J230" s="1013"/>
      <c r="K230" s="1013"/>
      <c r="L230" s="1094"/>
      <c r="M230" s="1094"/>
      <c r="N230" s="1013"/>
      <c r="O230" s="1013"/>
      <c r="P230" s="1013"/>
      <c r="Q230" s="1013"/>
      <c r="R230" s="1013"/>
      <c r="S230" s="1013"/>
      <c r="T230" s="1012"/>
      <c r="U230" s="1011"/>
      <c r="V230" s="1012"/>
      <c r="W230" s="1013"/>
      <c r="X230" s="1014"/>
      <c r="Y230" s="1012"/>
      <c r="Z230" s="1012"/>
      <c r="AA230" s="1012"/>
      <c r="AB230" s="1012"/>
      <c r="AC230" s="1012"/>
      <c r="AD230" s="1012"/>
      <c r="AE230" s="1012"/>
      <c r="AF230" s="1012"/>
      <c r="AG230" s="1012"/>
      <c r="AH230" s="1012"/>
      <c r="AI230" s="1012"/>
      <c r="AJ230" s="1012"/>
      <c r="AK230" s="1012"/>
    </row>
    <row r="231">
      <c r="A231" s="1012"/>
      <c r="B231" s="1013"/>
      <c r="C231" s="1012"/>
      <c r="D231" s="1013"/>
      <c r="E231" s="1012"/>
      <c r="F231" s="1012"/>
      <c r="G231" s="1013"/>
      <c r="H231" s="1012"/>
      <c r="I231" s="1012"/>
      <c r="J231" s="1013"/>
      <c r="K231" s="1013"/>
      <c r="L231" s="1094"/>
      <c r="M231" s="1094"/>
      <c r="N231" s="1013"/>
      <c r="O231" s="1013"/>
      <c r="P231" s="1013"/>
      <c r="Q231" s="1013"/>
      <c r="R231" s="1013"/>
      <c r="S231" s="1013"/>
      <c r="T231" s="1012"/>
      <c r="U231" s="1011"/>
      <c r="V231" s="1012"/>
      <c r="W231" s="1013"/>
      <c r="X231" s="1014"/>
      <c r="Y231" s="1012"/>
      <c r="Z231" s="1012"/>
      <c r="AA231" s="1012"/>
      <c r="AB231" s="1012"/>
      <c r="AC231" s="1012"/>
      <c r="AD231" s="1012"/>
      <c r="AE231" s="1012"/>
      <c r="AF231" s="1012"/>
      <c r="AG231" s="1012"/>
      <c r="AH231" s="1012"/>
      <c r="AI231" s="1012"/>
      <c r="AJ231" s="1012"/>
      <c r="AK231" s="1012"/>
    </row>
    <row r="232">
      <c r="A232" s="1012"/>
      <c r="B232" s="1013"/>
      <c r="C232" s="1012"/>
      <c r="D232" s="1013"/>
      <c r="E232" s="1012"/>
      <c r="F232" s="1012"/>
      <c r="G232" s="1013"/>
      <c r="H232" s="1012"/>
      <c r="I232" s="1012"/>
      <c r="J232" s="1013"/>
      <c r="K232" s="1013"/>
      <c r="L232" s="1094"/>
      <c r="M232" s="1094"/>
      <c r="N232" s="1013"/>
      <c r="O232" s="1013"/>
      <c r="P232" s="1013"/>
      <c r="Q232" s="1013"/>
      <c r="R232" s="1013"/>
      <c r="S232" s="1013"/>
      <c r="T232" s="1012"/>
      <c r="U232" s="1011"/>
      <c r="V232" s="1012"/>
      <c r="W232" s="1013"/>
      <c r="X232" s="1014"/>
      <c r="Y232" s="1012"/>
      <c r="Z232" s="1012"/>
      <c r="AA232" s="1012"/>
      <c r="AB232" s="1012"/>
      <c r="AC232" s="1012"/>
      <c r="AD232" s="1012"/>
      <c r="AE232" s="1012"/>
      <c r="AF232" s="1012"/>
      <c r="AG232" s="1012"/>
      <c r="AH232" s="1012"/>
      <c r="AI232" s="1012"/>
      <c r="AJ232" s="1012"/>
      <c r="AK232" s="1012"/>
    </row>
    <row r="233">
      <c r="A233" s="1012"/>
      <c r="B233" s="1013"/>
      <c r="C233" s="1012"/>
      <c r="D233" s="1013"/>
      <c r="E233" s="1012"/>
      <c r="F233" s="1012"/>
      <c r="G233" s="1013"/>
      <c r="H233" s="1012"/>
      <c r="I233" s="1012"/>
      <c r="J233" s="1013"/>
      <c r="K233" s="1013"/>
      <c r="L233" s="1094"/>
      <c r="M233" s="1094"/>
      <c r="N233" s="1013"/>
      <c r="O233" s="1013"/>
      <c r="P233" s="1013"/>
      <c r="Q233" s="1013"/>
      <c r="R233" s="1013"/>
      <c r="S233" s="1013"/>
      <c r="T233" s="1012"/>
      <c r="U233" s="1011"/>
      <c r="V233" s="1012"/>
      <c r="W233" s="1013"/>
      <c r="X233" s="1014"/>
      <c r="Y233" s="1012"/>
      <c r="Z233" s="1012"/>
      <c r="AA233" s="1012"/>
      <c r="AB233" s="1012"/>
      <c r="AC233" s="1012"/>
      <c r="AD233" s="1012"/>
      <c r="AE233" s="1012"/>
      <c r="AF233" s="1012"/>
      <c r="AG233" s="1012"/>
      <c r="AH233" s="1012"/>
      <c r="AI233" s="1012"/>
      <c r="AJ233" s="1012"/>
      <c r="AK233" s="1012"/>
    </row>
    <row r="234">
      <c r="A234" s="1012"/>
      <c r="B234" s="1013"/>
      <c r="C234" s="1012"/>
      <c r="D234" s="1013"/>
      <c r="E234" s="1012"/>
      <c r="F234" s="1012"/>
      <c r="G234" s="1013"/>
      <c r="H234" s="1012"/>
      <c r="I234" s="1012"/>
      <c r="J234" s="1013"/>
      <c r="K234" s="1013"/>
      <c r="L234" s="1094"/>
      <c r="M234" s="1094"/>
      <c r="N234" s="1013"/>
      <c r="O234" s="1013"/>
      <c r="P234" s="1013"/>
      <c r="Q234" s="1013"/>
      <c r="R234" s="1013"/>
      <c r="S234" s="1013"/>
      <c r="T234" s="1012"/>
      <c r="U234" s="1011"/>
      <c r="V234" s="1012"/>
      <c r="W234" s="1013"/>
      <c r="X234" s="1014"/>
      <c r="Y234" s="1012"/>
      <c r="Z234" s="1012"/>
      <c r="AA234" s="1012"/>
      <c r="AB234" s="1012"/>
      <c r="AC234" s="1012"/>
      <c r="AD234" s="1012"/>
      <c r="AE234" s="1012"/>
      <c r="AF234" s="1012"/>
      <c r="AG234" s="1012"/>
      <c r="AH234" s="1012"/>
      <c r="AI234" s="1012"/>
      <c r="AJ234" s="1012"/>
      <c r="AK234" s="1012"/>
    </row>
    <row r="235">
      <c r="A235" s="1012"/>
      <c r="B235" s="1013"/>
      <c r="C235" s="1012"/>
      <c r="D235" s="1013"/>
      <c r="E235" s="1012"/>
      <c r="F235" s="1012"/>
      <c r="G235" s="1013"/>
      <c r="H235" s="1012"/>
      <c r="I235" s="1012"/>
      <c r="J235" s="1013"/>
      <c r="K235" s="1013"/>
      <c r="L235" s="1094"/>
      <c r="M235" s="1094"/>
      <c r="N235" s="1013"/>
      <c r="O235" s="1013"/>
      <c r="P235" s="1013"/>
      <c r="Q235" s="1013"/>
      <c r="R235" s="1013"/>
      <c r="S235" s="1013"/>
      <c r="T235" s="1012"/>
      <c r="U235" s="1011"/>
      <c r="V235" s="1012"/>
      <c r="W235" s="1013"/>
      <c r="X235" s="1014"/>
      <c r="Y235" s="1012"/>
      <c r="Z235" s="1012"/>
      <c r="AA235" s="1012"/>
      <c r="AB235" s="1012"/>
      <c r="AC235" s="1012"/>
      <c r="AD235" s="1012"/>
      <c r="AE235" s="1012"/>
      <c r="AF235" s="1012"/>
      <c r="AG235" s="1012"/>
      <c r="AH235" s="1012"/>
      <c r="AI235" s="1012"/>
      <c r="AJ235" s="1012"/>
      <c r="AK235" s="1012"/>
    </row>
    <row r="236">
      <c r="A236" s="1012"/>
      <c r="B236" s="1013"/>
      <c r="C236" s="1012"/>
      <c r="D236" s="1013"/>
      <c r="E236" s="1012"/>
      <c r="F236" s="1012"/>
      <c r="G236" s="1013"/>
      <c r="H236" s="1012"/>
      <c r="I236" s="1012"/>
      <c r="J236" s="1013"/>
      <c r="K236" s="1013"/>
      <c r="L236" s="1094"/>
      <c r="M236" s="1094"/>
      <c r="N236" s="1013"/>
      <c r="O236" s="1013"/>
      <c r="P236" s="1013"/>
      <c r="Q236" s="1013"/>
      <c r="R236" s="1013"/>
      <c r="S236" s="1013"/>
      <c r="T236" s="1012"/>
      <c r="U236" s="1011"/>
      <c r="V236" s="1012"/>
      <c r="W236" s="1013"/>
      <c r="X236" s="1014"/>
      <c r="Y236" s="1012"/>
      <c r="Z236" s="1012"/>
      <c r="AA236" s="1012"/>
      <c r="AB236" s="1012"/>
      <c r="AC236" s="1012"/>
      <c r="AD236" s="1012"/>
      <c r="AE236" s="1012"/>
      <c r="AF236" s="1012"/>
      <c r="AG236" s="1012"/>
      <c r="AH236" s="1012"/>
      <c r="AI236" s="1012"/>
      <c r="AJ236" s="1012"/>
      <c r="AK236" s="1012"/>
    </row>
    <row r="237">
      <c r="A237" s="1012"/>
      <c r="B237" s="1013"/>
      <c r="C237" s="1012"/>
      <c r="D237" s="1013"/>
      <c r="E237" s="1012"/>
      <c r="F237" s="1012"/>
      <c r="G237" s="1013"/>
      <c r="H237" s="1012"/>
      <c r="I237" s="1012"/>
      <c r="J237" s="1013"/>
      <c r="K237" s="1013"/>
      <c r="L237" s="1094"/>
      <c r="M237" s="1094"/>
      <c r="N237" s="1013"/>
      <c r="O237" s="1013"/>
      <c r="P237" s="1013"/>
      <c r="Q237" s="1013"/>
      <c r="R237" s="1013"/>
      <c r="S237" s="1013"/>
      <c r="T237" s="1012"/>
      <c r="U237" s="1011"/>
      <c r="V237" s="1012"/>
      <c r="W237" s="1013"/>
      <c r="X237" s="1014"/>
      <c r="Y237" s="1012"/>
      <c r="Z237" s="1012"/>
      <c r="AA237" s="1012"/>
      <c r="AB237" s="1012"/>
      <c r="AC237" s="1012"/>
      <c r="AD237" s="1012"/>
      <c r="AE237" s="1012"/>
      <c r="AF237" s="1012"/>
      <c r="AG237" s="1012"/>
      <c r="AH237" s="1012"/>
      <c r="AI237" s="1012"/>
      <c r="AJ237" s="1012"/>
      <c r="AK237" s="1012"/>
    </row>
    <row r="238">
      <c r="A238" s="1012"/>
      <c r="B238" s="1013"/>
      <c r="C238" s="1012"/>
      <c r="D238" s="1013"/>
      <c r="E238" s="1012"/>
      <c r="F238" s="1012"/>
      <c r="G238" s="1013"/>
      <c r="H238" s="1012"/>
      <c r="I238" s="1012"/>
      <c r="J238" s="1013"/>
      <c r="K238" s="1013"/>
      <c r="L238" s="1094"/>
      <c r="M238" s="1094"/>
      <c r="N238" s="1013"/>
      <c r="O238" s="1013"/>
      <c r="P238" s="1013"/>
      <c r="Q238" s="1013"/>
      <c r="R238" s="1013"/>
      <c r="S238" s="1013"/>
      <c r="T238" s="1012"/>
      <c r="U238" s="1011"/>
      <c r="V238" s="1012"/>
      <c r="W238" s="1013"/>
      <c r="X238" s="1014"/>
      <c r="Y238" s="1012"/>
      <c r="Z238" s="1012"/>
      <c r="AA238" s="1012"/>
      <c r="AB238" s="1012"/>
      <c r="AC238" s="1012"/>
      <c r="AD238" s="1012"/>
      <c r="AE238" s="1012"/>
      <c r="AF238" s="1012"/>
      <c r="AG238" s="1012"/>
      <c r="AH238" s="1012"/>
      <c r="AI238" s="1012"/>
      <c r="AJ238" s="1012"/>
      <c r="AK238" s="1012"/>
    </row>
    <row r="239">
      <c r="A239" s="1012"/>
      <c r="B239" s="1013"/>
      <c r="C239" s="1012"/>
      <c r="D239" s="1013"/>
      <c r="E239" s="1012"/>
      <c r="F239" s="1012"/>
      <c r="G239" s="1013"/>
      <c r="H239" s="1012"/>
      <c r="I239" s="1012"/>
      <c r="J239" s="1013"/>
      <c r="K239" s="1013"/>
      <c r="L239" s="1094"/>
      <c r="M239" s="1094"/>
      <c r="N239" s="1013"/>
      <c r="O239" s="1013"/>
      <c r="P239" s="1013"/>
      <c r="Q239" s="1013"/>
      <c r="R239" s="1013"/>
      <c r="S239" s="1013"/>
      <c r="T239" s="1012"/>
      <c r="U239" s="1011"/>
      <c r="V239" s="1012"/>
      <c r="W239" s="1013"/>
      <c r="X239" s="1014"/>
      <c r="Y239" s="1012"/>
      <c r="Z239" s="1012"/>
      <c r="AA239" s="1012"/>
      <c r="AB239" s="1012"/>
      <c r="AC239" s="1012"/>
      <c r="AD239" s="1012"/>
      <c r="AE239" s="1012"/>
      <c r="AF239" s="1012"/>
      <c r="AG239" s="1012"/>
      <c r="AH239" s="1012"/>
      <c r="AI239" s="1012"/>
      <c r="AJ239" s="1012"/>
      <c r="AK239" s="1012"/>
    </row>
    <row r="240">
      <c r="A240" s="1012"/>
      <c r="B240" s="1013"/>
      <c r="C240" s="1012"/>
      <c r="D240" s="1013"/>
      <c r="E240" s="1012"/>
      <c r="F240" s="1012"/>
      <c r="G240" s="1013"/>
      <c r="H240" s="1012"/>
      <c r="I240" s="1012"/>
      <c r="J240" s="1013"/>
      <c r="K240" s="1013"/>
      <c r="L240" s="1094"/>
      <c r="M240" s="1094"/>
      <c r="N240" s="1013"/>
      <c r="O240" s="1013"/>
      <c r="P240" s="1013"/>
      <c r="Q240" s="1013"/>
      <c r="R240" s="1013"/>
      <c r="S240" s="1013"/>
      <c r="T240" s="1012"/>
      <c r="U240" s="1011"/>
      <c r="V240" s="1012"/>
      <c r="W240" s="1013"/>
      <c r="X240" s="1014"/>
      <c r="Y240" s="1012"/>
      <c r="Z240" s="1012"/>
      <c r="AA240" s="1012"/>
      <c r="AB240" s="1012"/>
      <c r="AC240" s="1012"/>
      <c r="AD240" s="1012"/>
      <c r="AE240" s="1012"/>
      <c r="AF240" s="1012"/>
      <c r="AG240" s="1012"/>
      <c r="AH240" s="1012"/>
      <c r="AI240" s="1012"/>
      <c r="AJ240" s="1012"/>
      <c r="AK240" s="1012"/>
    </row>
    <row r="241">
      <c r="A241" s="1012"/>
      <c r="B241" s="1013"/>
      <c r="C241" s="1012"/>
      <c r="D241" s="1013"/>
      <c r="E241" s="1012"/>
      <c r="F241" s="1012"/>
      <c r="G241" s="1013"/>
      <c r="H241" s="1012"/>
      <c r="I241" s="1012"/>
      <c r="J241" s="1013"/>
      <c r="K241" s="1013"/>
      <c r="L241" s="1094"/>
      <c r="M241" s="1094"/>
      <c r="N241" s="1013"/>
      <c r="O241" s="1013"/>
      <c r="P241" s="1013"/>
      <c r="Q241" s="1013"/>
      <c r="R241" s="1013"/>
      <c r="S241" s="1013"/>
      <c r="T241" s="1012"/>
      <c r="U241" s="1011"/>
      <c r="V241" s="1012"/>
      <c r="W241" s="1013"/>
      <c r="X241" s="1014"/>
      <c r="Y241" s="1012"/>
      <c r="Z241" s="1012"/>
      <c r="AA241" s="1012"/>
      <c r="AB241" s="1012"/>
      <c r="AC241" s="1012"/>
      <c r="AD241" s="1012"/>
      <c r="AE241" s="1012"/>
      <c r="AF241" s="1012"/>
      <c r="AG241" s="1012"/>
      <c r="AH241" s="1012"/>
      <c r="AI241" s="1012"/>
      <c r="AJ241" s="1012"/>
      <c r="AK241" s="1012"/>
    </row>
    <row r="242">
      <c r="A242" s="1012"/>
      <c r="B242" s="1013"/>
      <c r="C242" s="1012"/>
      <c r="D242" s="1013"/>
      <c r="E242" s="1012"/>
      <c r="F242" s="1012"/>
      <c r="G242" s="1013"/>
      <c r="H242" s="1012"/>
      <c r="I242" s="1012"/>
      <c r="J242" s="1013"/>
      <c r="K242" s="1013"/>
      <c r="L242" s="1094"/>
      <c r="M242" s="1094"/>
      <c r="N242" s="1013"/>
      <c r="O242" s="1013"/>
      <c r="P242" s="1013"/>
      <c r="Q242" s="1013"/>
      <c r="R242" s="1013"/>
      <c r="S242" s="1013"/>
      <c r="T242" s="1012"/>
      <c r="U242" s="1011"/>
      <c r="V242" s="1012"/>
      <c r="W242" s="1013"/>
      <c r="X242" s="1014"/>
      <c r="Y242" s="1012"/>
      <c r="Z242" s="1012"/>
      <c r="AA242" s="1012"/>
      <c r="AB242" s="1012"/>
      <c r="AC242" s="1012"/>
      <c r="AD242" s="1012"/>
      <c r="AE242" s="1012"/>
      <c r="AF242" s="1012"/>
      <c r="AG242" s="1012"/>
      <c r="AH242" s="1012"/>
      <c r="AI242" s="1012"/>
      <c r="AJ242" s="1012"/>
      <c r="AK242" s="1012"/>
    </row>
    <row r="243">
      <c r="A243" s="1012"/>
      <c r="B243" s="1013"/>
      <c r="C243" s="1012"/>
      <c r="D243" s="1013"/>
      <c r="E243" s="1012"/>
      <c r="F243" s="1012"/>
      <c r="G243" s="1013"/>
      <c r="H243" s="1012"/>
      <c r="I243" s="1012"/>
      <c r="J243" s="1013"/>
      <c r="K243" s="1013"/>
      <c r="L243" s="1094"/>
      <c r="M243" s="1094"/>
      <c r="N243" s="1013"/>
      <c r="O243" s="1013"/>
      <c r="P243" s="1013"/>
      <c r="Q243" s="1013"/>
      <c r="R243" s="1013"/>
      <c r="S243" s="1013"/>
      <c r="T243" s="1012"/>
      <c r="U243" s="1011"/>
      <c r="V243" s="1012"/>
      <c r="W243" s="1013"/>
      <c r="X243" s="1014"/>
      <c r="Y243" s="1012"/>
      <c r="Z243" s="1012"/>
      <c r="AA243" s="1012"/>
      <c r="AB243" s="1012"/>
      <c r="AC243" s="1012"/>
      <c r="AD243" s="1012"/>
      <c r="AE243" s="1012"/>
      <c r="AF243" s="1012"/>
      <c r="AG243" s="1012"/>
      <c r="AH243" s="1012"/>
      <c r="AI243" s="1012"/>
      <c r="AJ243" s="1012"/>
      <c r="AK243" s="1012"/>
    </row>
    <row r="244">
      <c r="A244" s="1012"/>
      <c r="B244" s="1013"/>
      <c r="C244" s="1012"/>
      <c r="D244" s="1013"/>
      <c r="E244" s="1012"/>
      <c r="F244" s="1012"/>
      <c r="G244" s="1013"/>
      <c r="H244" s="1012"/>
      <c r="I244" s="1012"/>
      <c r="J244" s="1013"/>
      <c r="K244" s="1013"/>
      <c r="L244" s="1094"/>
      <c r="M244" s="1094"/>
      <c r="N244" s="1013"/>
      <c r="O244" s="1013"/>
      <c r="P244" s="1013"/>
      <c r="Q244" s="1013"/>
      <c r="R244" s="1013"/>
      <c r="S244" s="1013"/>
      <c r="T244" s="1012"/>
      <c r="U244" s="1011"/>
      <c r="V244" s="1012"/>
      <c r="W244" s="1013"/>
      <c r="X244" s="1014"/>
      <c r="Y244" s="1012"/>
      <c r="Z244" s="1012"/>
      <c r="AA244" s="1012"/>
      <c r="AB244" s="1012"/>
      <c r="AC244" s="1012"/>
      <c r="AD244" s="1012"/>
      <c r="AE244" s="1012"/>
      <c r="AF244" s="1012"/>
      <c r="AG244" s="1012"/>
      <c r="AH244" s="1012"/>
      <c r="AI244" s="1012"/>
      <c r="AJ244" s="1012"/>
      <c r="AK244" s="1012"/>
    </row>
    <row r="245">
      <c r="A245" s="1012"/>
      <c r="B245" s="1013"/>
      <c r="C245" s="1012"/>
      <c r="D245" s="1013"/>
      <c r="E245" s="1012"/>
      <c r="F245" s="1012"/>
      <c r="G245" s="1013"/>
      <c r="H245" s="1012"/>
      <c r="I245" s="1012"/>
      <c r="J245" s="1013"/>
      <c r="K245" s="1013"/>
      <c r="L245" s="1094"/>
      <c r="M245" s="1094"/>
      <c r="N245" s="1013"/>
      <c r="O245" s="1013"/>
      <c r="P245" s="1013"/>
      <c r="Q245" s="1013"/>
      <c r="R245" s="1013"/>
      <c r="S245" s="1013"/>
      <c r="T245" s="1012"/>
      <c r="U245" s="1011"/>
      <c r="V245" s="1012"/>
      <c r="W245" s="1013"/>
      <c r="X245" s="1014"/>
      <c r="Y245" s="1012"/>
      <c r="Z245" s="1012"/>
      <c r="AA245" s="1012"/>
      <c r="AB245" s="1012"/>
      <c r="AC245" s="1012"/>
      <c r="AD245" s="1012"/>
      <c r="AE245" s="1012"/>
      <c r="AF245" s="1012"/>
      <c r="AG245" s="1012"/>
      <c r="AH245" s="1012"/>
      <c r="AI245" s="1012"/>
      <c r="AJ245" s="1012"/>
      <c r="AK245" s="1012"/>
    </row>
    <row r="246">
      <c r="A246" s="1012"/>
      <c r="B246" s="1013"/>
      <c r="C246" s="1012"/>
      <c r="D246" s="1013"/>
      <c r="E246" s="1012"/>
      <c r="F246" s="1012"/>
      <c r="G246" s="1013"/>
      <c r="H246" s="1012"/>
      <c r="I246" s="1012"/>
      <c r="J246" s="1013"/>
      <c r="K246" s="1013"/>
      <c r="L246" s="1094"/>
      <c r="M246" s="1094"/>
      <c r="N246" s="1013"/>
      <c r="O246" s="1013"/>
      <c r="P246" s="1013"/>
      <c r="Q246" s="1013"/>
      <c r="R246" s="1013"/>
      <c r="S246" s="1013"/>
      <c r="T246" s="1012"/>
      <c r="U246" s="1011"/>
      <c r="V246" s="1012"/>
      <c r="W246" s="1013"/>
      <c r="X246" s="1014"/>
      <c r="Y246" s="1012"/>
      <c r="Z246" s="1012"/>
      <c r="AA246" s="1012"/>
      <c r="AB246" s="1012"/>
      <c r="AC246" s="1012"/>
      <c r="AD246" s="1012"/>
      <c r="AE246" s="1012"/>
      <c r="AF246" s="1012"/>
      <c r="AG246" s="1012"/>
      <c r="AH246" s="1012"/>
      <c r="AI246" s="1012"/>
      <c r="AJ246" s="1012"/>
      <c r="AK246" s="1012"/>
    </row>
    <row r="247">
      <c r="A247" s="1012"/>
      <c r="B247" s="1013"/>
      <c r="C247" s="1012"/>
      <c r="D247" s="1013"/>
      <c r="E247" s="1012"/>
      <c r="F247" s="1012"/>
      <c r="G247" s="1013"/>
      <c r="H247" s="1012"/>
      <c r="I247" s="1012"/>
      <c r="J247" s="1013"/>
      <c r="K247" s="1013"/>
      <c r="L247" s="1094"/>
      <c r="M247" s="1094"/>
      <c r="N247" s="1013"/>
      <c r="O247" s="1013"/>
      <c r="P247" s="1013"/>
      <c r="Q247" s="1013"/>
      <c r="R247" s="1013"/>
      <c r="S247" s="1013"/>
      <c r="T247" s="1012"/>
      <c r="U247" s="1011"/>
      <c r="V247" s="1012"/>
      <c r="W247" s="1013"/>
      <c r="X247" s="1014"/>
      <c r="Y247" s="1012"/>
      <c r="Z247" s="1012"/>
      <c r="AA247" s="1012"/>
      <c r="AB247" s="1012"/>
      <c r="AC247" s="1012"/>
      <c r="AD247" s="1012"/>
      <c r="AE247" s="1012"/>
      <c r="AF247" s="1012"/>
      <c r="AG247" s="1012"/>
      <c r="AH247" s="1012"/>
      <c r="AI247" s="1012"/>
      <c r="AJ247" s="1012"/>
      <c r="AK247" s="1012"/>
    </row>
    <row r="248">
      <c r="A248" s="1012"/>
      <c r="B248" s="1013"/>
      <c r="C248" s="1012"/>
      <c r="D248" s="1013"/>
      <c r="E248" s="1012"/>
      <c r="F248" s="1012"/>
      <c r="G248" s="1013"/>
      <c r="H248" s="1012"/>
      <c r="I248" s="1012"/>
      <c r="J248" s="1013"/>
      <c r="K248" s="1013"/>
      <c r="L248" s="1094"/>
      <c r="M248" s="1094"/>
      <c r="N248" s="1013"/>
      <c r="O248" s="1013"/>
      <c r="P248" s="1013"/>
      <c r="Q248" s="1013"/>
      <c r="R248" s="1013"/>
      <c r="S248" s="1013"/>
      <c r="T248" s="1012"/>
      <c r="U248" s="1011"/>
      <c r="V248" s="1012"/>
      <c r="W248" s="1013"/>
      <c r="X248" s="1014"/>
      <c r="Y248" s="1012"/>
      <c r="Z248" s="1012"/>
      <c r="AA248" s="1012"/>
      <c r="AB248" s="1012"/>
      <c r="AC248" s="1012"/>
      <c r="AD248" s="1012"/>
      <c r="AE248" s="1012"/>
      <c r="AF248" s="1012"/>
      <c r="AG248" s="1012"/>
      <c r="AH248" s="1012"/>
      <c r="AI248" s="1012"/>
      <c r="AJ248" s="1012"/>
      <c r="AK248" s="1012"/>
    </row>
    <row r="249">
      <c r="A249" s="1012"/>
      <c r="B249" s="1013"/>
      <c r="C249" s="1012"/>
      <c r="D249" s="1013"/>
      <c r="E249" s="1012"/>
      <c r="F249" s="1012"/>
      <c r="G249" s="1013"/>
      <c r="H249" s="1012"/>
      <c r="I249" s="1012"/>
      <c r="J249" s="1013"/>
      <c r="K249" s="1013"/>
      <c r="L249" s="1094"/>
      <c r="M249" s="1094"/>
      <c r="N249" s="1013"/>
      <c r="O249" s="1013"/>
      <c r="P249" s="1013"/>
      <c r="Q249" s="1013"/>
      <c r="R249" s="1013"/>
      <c r="S249" s="1013"/>
      <c r="T249" s="1012"/>
      <c r="U249" s="1011"/>
      <c r="V249" s="1012"/>
      <c r="W249" s="1013"/>
      <c r="X249" s="1014"/>
      <c r="Y249" s="1012"/>
      <c r="Z249" s="1012"/>
      <c r="AA249" s="1012"/>
      <c r="AB249" s="1012"/>
      <c r="AC249" s="1012"/>
      <c r="AD249" s="1012"/>
      <c r="AE249" s="1012"/>
      <c r="AF249" s="1012"/>
      <c r="AG249" s="1012"/>
      <c r="AH249" s="1012"/>
      <c r="AI249" s="1012"/>
      <c r="AJ249" s="1012"/>
      <c r="AK249" s="1012"/>
    </row>
    <row r="250">
      <c r="A250" s="1012"/>
      <c r="B250" s="1013"/>
      <c r="C250" s="1012"/>
      <c r="D250" s="1013"/>
      <c r="E250" s="1012"/>
      <c r="F250" s="1012"/>
      <c r="G250" s="1013"/>
      <c r="H250" s="1012"/>
      <c r="I250" s="1012"/>
      <c r="J250" s="1013"/>
      <c r="K250" s="1013"/>
      <c r="L250" s="1094"/>
      <c r="M250" s="1094"/>
      <c r="N250" s="1013"/>
      <c r="O250" s="1013"/>
      <c r="P250" s="1013"/>
      <c r="Q250" s="1013"/>
      <c r="R250" s="1013"/>
      <c r="S250" s="1013"/>
      <c r="T250" s="1012"/>
      <c r="U250" s="1011"/>
      <c r="V250" s="1012"/>
      <c r="W250" s="1013"/>
      <c r="X250" s="1014"/>
      <c r="Y250" s="1012"/>
      <c r="Z250" s="1012"/>
      <c r="AA250" s="1012"/>
      <c r="AB250" s="1012"/>
      <c r="AC250" s="1012"/>
      <c r="AD250" s="1012"/>
      <c r="AE250" s="1012"/>
      <c r="AF250" s="1012"/>
      <c r="AG250" s="1012"/>
      <c r="AH250" s="1012"/>
      <c r="AI250" s="1012"/>
      <c r="AJ250" s="1012"/>
      <c r="AK250" s="1012"/>
    </row>
    <row r="251">
      <c r="A251" s="1012"/>
      <c r="B251" s="1013"/>
      <c r="C251" s="1012"/>
      <c r="D251" s="1013"/>
      <c r="E251" s="1012"/>
      <c r="F251" s="1012"/>
      <c r="G251" s="1013"/>
      <c r="H251" s="1012"/>
      <c r="I251" s="1012"/>
      <c r="J251" s="1013"/>
      <c r="K251" s="1013"/>
      <c r="L251" s="1094"/>
      <c r="M251" s="1094"/>
      <c r="N251" s="1013"/>
      <c r="O251" s="1013"/>
      <c r="P251" s="1013"/>
      <c r="Q251" s="1013"/>
      <c r="R251" s="1013"/>
      <c r="S251" s="1013"/>
      <c r="T251" s="1012"/>
      <c r="U251" s="1011"/>
      <c r="V251" s="1012"/>
      <c r="W251" s="1013"/>
      <c r="X251" s="1014"/>
      <c r="Y251" s="1012"/>
      <c r="Z251" s="1012"/>
      <c r="AA251" s="1012"/>
      <c r="AB251" s="1012"/>
      <c r="AC251" s="1012"/>
      <c r="AD251" s="1012"/>
      <c r="AE251" s="1012"/>
      <c r="AF251" s="1012"/>
      <c r="AG251" s="1012"/>
      <c r="AH251" s="1012"/>
      <c r="AI251" s="1012"/>
      <c r="AJ251" s="1012"/>
      <c r="AK251" s="1012"/>
    </row>
    <row r="252">
      <c r="A252" s="1012"/>
      <c r="B252" s="1013"/>
      <c r="C252" s="1012"/>
      <c r="D252" s="1013"/>
      <c r="E252" s="1012"/>
      <c r="F252" s="1012"/>
      <c r="G252" s="1013"/>
      <c r="H252" s="1012"/>
      <c r="I252" s="1012"/>
      <c r="J252" s="1013"/>
      <c r="K252" s="1013"/>
      <c r="L252" s="1094"/>
      <c r="M252" s="1094"/>
      <c r="N252" s="1013"/>
      <c r="O252" s="1013"/>
      <c r="P252" s="1013"/>
      <c r="Q252" s="1013"/>
      <c r="R252" s="1013"/>
      <c r="S252" s="1013"/>
      <c r="T252" s="1012"/>
      <c r="U252" s="1011"/>
      <c r="V252" s="1012"/>
      <c r="W252" s="1013"/>
      <c r="X252" s="1014"/>
      <c r="Y252" s="1012"/>
      <c r="Z252" s="1012"/>
      <c r="AA252" s="1012"/>
      <c r="AB252" s="1012"/>
      <c r="AC252" s="1012"/>
      <c r="AD252" s="1012"/>
      <c r="AE252" s="1012"/>
      <c r="AF252" s="1012"/>
      <c r="AG252" s="1012"/>
      <c r="AH252" s="1012"/>
      <c r="AI252" s="1012"/>
      <c r="AJ252" s="1012"/>
      <c r="AK252" s="1012"/>
    </row>
    <row r="253">
      <c r="A253" s="1012"/>
      <c r="B253" s="1013"/>
      <c r="C253" s="1012"/>
      <c r="D253" s="1013"/>
      <c r="E253" s="1012"/>
      <c r="F253" s="1012"/>
      <c r="G253" s="1013"/>
      <c r="H253" s="1012"/>
      <c r="I253" s="1012"/>
      <c r="J253" s="1013"/>
      <c r="K253" s="1013"/>
      <c r="L253" s="1094"/>
      <c r="M253" s="1094"/>
      <c r="N253" s="1013"/>
      <c r="O253" s="1013"/>
      <c r="P253" s="1013"/>
      <c r="Q253" s="1013"/>
      <c r="R253" s="1013"/>
      <c r="S253" s="1013"/>
      <c r="T253" s="1012"/>
      <c r="U253" s="1011"/>
      <c r="V253" s="1012"/>
      <c r="W253" s="1013"/>
      <c r="X253" s="1014"/>
      <c r="Y253" s="1012"/>
      <c r="Z253" s="1012"/>
      <c r="AA253" s="1012"/>
      <c r="AB253" s="1012"/>
      <c r="AC253" s="1012"/>
      <c r="AD253" s="1012"/>
      <c r="AE253" s="1012"/>
      <c r="AF253" s="1012"/>
      <c r="AG253" s="1012"/>
      <c r="AH253" s="1012"/>
      <c r="AI253" s="1012"/>
      <c r="AJ253" s="1012"/>
      <c r="AK253" s="1012"/>
    </row>
    <row r="254">
      <c r="A254" s="1012"/>
      <c r="B254" s="1013"/>
      <c r="C254" s="1012"/>
      <c r="D254" s="1013"/>
      <c r="E254" s="1012"/>
      <c r="F254" s="1012"/>
      <c r="G254" s="1013"/>
      <c r="H254" s="1012"/>
      <c r="I254" s="1012"/>
      <c r="J254" s="1013"/>
      <c r="K254" s="1013"/>
      <c r="L254" s="1094"/>
      <c r="M254" s="1094"/>
      <c r="N254" s="1013"/>
      <c r="O254" s="1013"/>
      <c r="P254" s="1013"/>
      <c r="Q254" s="1013"/>
      <c r="R254" s="1013"/>
      <c r="S254" s="1013"/>
      <c r="T254" s="1012"/>
      <c r="U254" s="1011"/>
      <c r="V254" s="1012"/>
      <c r="W254" s="1013"/>
      <c r="X254" s="1014"/>
      <c r="Y254" s="1012"/>
      <c r="Z254" s="1012"/>
      <c r="AA254" s="1012"/>
      <c r="AB254" s="1012"/>
      <c r="AC254" s="1012"/>
      <c r="AD254" s="1012"/>
      <c r="AE254" s="1012"/>
      <c r="AF254" s="1012"/>
      <c r="AG254" s="1012"/>
      <c r="AH254" s="1012"/>
      <c r="AI254" s="1012"/>
      <c r="AJ254" s="1012"/>
      <c r="AK254" s="1012"/>
    </row>
    <row r="255">
      <c r="A255" s="1012"/>
      <c r="B255" s="1013"/>
      <c r="C255" s="1012"/>
      <c r="D255" s="1013"/>
      <c r="E255" s="1012"/>
      <c r="F255" s="1012"/>
      <c r="G255" s="1013"/>
      <c r="H255" s="1012"/>
      <c r="I255" s="1012"/>
      <c r="J255" s="1013"/>
      <c r="K255" s="1013"/>
      <c r="L255" s="1094"/>
      <c r="M255" s="1094"/>
      <c r="N255" s="1013"/>
      <c r="O255" s="1013"/>
      <c r="P255" s="1013"/>
      <c r="Q255" s="1013"/>
      <c r="R255" s="1013"/>
      <c r="S255" s="1013"/>
      <c r="T255" s="1012"/>
      <c r="U255" s="1011"/>
      <c r="V255" s="1012"/>
      <c r="W255" s="1013"/>
      <c r="X255" s="1014"/>
      <c r="Y255" s="1012"/>
      <c r="Z255" s="1012"/>
      <c r="AA255" s="1012"/>
      <c r="AB255" s="1012"/>
      <c r="AC255" s="1012"/>
      <c r="AD255" s="1012"/>
      <c r="AE255" s="1012"/>
      <c r="AF255" s="1012"/>
      <c r="AG255" s="1012"/>
      <c r="AH255" s="1012"/>
      <c r="AI255" s="1012"/>
      <c r="AJ255" s="1012"/>
      <c r="AK255" s="1012"/>
    </row>
    <row r="256">
      <c r="A256" s="1012"/>
      <c r="B256" s="1013"/>
      <c r="C256" s="1012"/>
      <c r="D256" s="1013"/>
      <c r="E256" s="1012"/>
      <c r="F256" s="1012"/>
      <c r="G256" s="1013"/>
      <c r="H256" s="1012"/>
      <c r="I256" s="1012"/>
      <c r="J256" s="1013"/>
      <c r="K256" s="1013"/>
      <c r="L256" s="1094"/>
      <c r="M256" s="1094"/>
      <c r="N256" s="1013"/>
      <c r="O256" s="1013"/>
      <c r="P256" s="1013"/>
      <c r="Q256" s="1013"/>
      <c r="R256" s="1013"/>
      <c r="S256" s="1013"/>
      <c r="T256" s="1012"/>
      <c r="U256" s="1011"/>
      <c r="V256" s="1012"/>
      <c r="W256" s="1013"/>
      <c r="X256" s="1014"/>
      <c r="Y256" s="1012"/>
      <c r="Z256" s="1012"/>
      <c r="AA256" s="1012"/>
      <c r="AB256" s="1012"/>
      <c r="AC256" s="1012"/>
      <c r="AD256" s="1012"/>
      <c r="AE256" s="1012"/>
      <c r="AF256" s="1012"/>
      <c r="AG256" s="1012"/>
      <c r="AH256" s="1012"/>
      <c r="AI256" s="1012"/>
      <c r="AJ256" s="1012"/>
      <c r="AK256" s="1012"/>
    </row>
    <row r="257">
      <c r="A257" s="1012"/>
      <c r="B257" s="1013"/>
      <c r="C257" s="1012"/>
      <c r="D257" s="1013"/>
      <c r="E257" s="1012"/>
      <c r="F257" s="1012"/>
      <c r="G257" s="1013"/>
      <c r="H257" s="1012"/>
      <c r="I257" s="1012"/>
      <c r="J257" s="1013"/>
      <c r="K257" s="1013"/>
      <c r="L257" s="1094"/>
      <c r="M257" s="1094"/>
      <c r="N257" s="1013"/>
      <c r="O257" s="1013"/>
      <c r="P257" s="1013"/>
      <c r="Q257" s="1013"/>
      <c r="R257" s="1013"/>
      <c r="S257" s="1013"/>
      <c r="T257" s="1012"/>
      <c r="U257" s="1011"/>
      <c r="V257" s="1012"/>
      <c r="W257" s="1013"/>
      <c r="X257" s="1014"/>
      <c r="Y257" s="1012"/>
      <c r="Z257" s="1012"/>
      <c r="AA257" s="1012"/>
      <c r="AB257" s="1012"/>
      <c r="AC257" s="1012"/>
      <c r="AD257" s="1012"/>
      <c r="AE257" s="1012"/>
      <c r="AF257" s="1012"/>
      <c r="AG257" s="1012"/>
      <c r="AH257" s="1012"/>
      <c r="AI257" s="1012"/>
      <c r="AJ257" s="1012"/>
      <c r="AK257" s="1012"/>
    </row>
    <row r="258">
      <c r="A258" s="1012"/>
      <c r="B258" s="1013"/>
      <c r="C258" s="1012"/>
      <c r="D258" s="1013"/>
      <c r="E258" s="1012"/>
      <c r="F258" s="1012"/>
      <c r="G258" s="1013"/>
      <c r="H258" s="1012"/>
      <c r="I258" s="1012"/>
      <c r="J258" s="1013"/>
      <c r="K258" s="1013"/>
      <c r="L258" s="1094"/>
      <c r="M258" s="1094"/>
      <c r="N258" s="1013"/>
      <c r="O258" s="1013"/>
      <c r="P258" s="1013"/>
      <c r="Q258" s="1013"/>
      <c r="R258" s="1013"/>
      <c r="S258" s="1013"/>
      <c r="T258" s="1012"/>
      <c r="U258" s="1011"/>
      <c r="V258" s="1012"/>
      <c r="W258" s="1013"/>
      <c r="X258" s="1014"/>
      <c r="Y258" s="1012"/>
      <c r="Z258" s="1012"/>
      <c r="AA258" s="1012"/>
      <c r="AB258" s="1012"/>
      <c r="AC258" s="1012"/>
      <c r="AD258" s="1012"/>
      <c r="AE258" s="1012"/>
      <c r="AF258" s="1012"/>
      <c r="AG258" s="1012"/>
      <c r="AH258" s="1012"/>
      <c r="AI258" s="1012"/>
      <c r="AJ258" s="1012"/>
      <c r="AK258" s="1012"/>
    </row>
    <row r="259">
      <c r="A259" s="1012"/>
      <c r="B259" s="1013"/>
      <c r="C259" s="1012"/>
      <c r="D259" s="1013"/>
      <c r="E259" s="1012"/>
      <c r="F259" s="1012"/>
      <c r="G259" s="1013"/>
      <c r="H259" s="1012"/>
      <c r="I259" s="1012"/>
      <c r="J259" s="1013"/>
      <c r="K259" s="1013"/>
      <c r="L259" s="1094"/>
      <c r="M259" s="1094"/>
      <c r="N259" s="1013"/>
      <c r="O259" s="1013"/>
      <c r="P259" s="1013"/>
      <c r="Q259" s="1013"/>
      <c r="R259" s="1013"/>
      <c r="S259" s="1013"/>
      <c r="T259" s="1012"/>
      <c r="U259" s="1011"/>
      <c r="V259" s="1012"/>
      <c r="W259" s="1013"/>
      <c r="X259" s="1014"/>
      <c r="Y259" s="1012"/>
      <c r="Z259" s="1012"/>
      <c r="AA259" s="1012"/>
      <c r="AB259" s="1012"/>
      <c r="AC259" s="1012"/>
      <c r="AD259" s="1012"/>
      <c r="AE259" s="1012"/>
      <c r="AF259" s="1012"/>
      <c r="AG259" s="1012"/>
      <c r="AH259" s="1012"/>
      <c r="AI259" s="1012"/>
      <c r="AJ259" s="1012"/>
      <c r="AK259" s="1012"/>
    </row>
    <row r="260">
      <c r="A260" s="1012"/>
      <c r="B260" s="1013"/>
      <c r="C260" s="1012"/>
      <c r="D260" s="1013"/>
      <c r="E260" s="1012"/>
      <c r="F260" s="1012"/>
      <c r="G260" s="1013"/>
      <c r="H260" s="1012"/>
      <c r="I260" s="1012"/>
      <c r="J260" s="1013"/>
      <c r="K260" s="1013"/>
      <c r="L260" s="1094"/>
      <c r="M260" s="1094"/>
      <c r="N260" s="1013"/>
      <c r="O260" s="1013"/>
      <c r="P260" s="1013"/>
      <c r="Q260" s="1013"/>
      <c r="R260" s="1013"/>
      <c r="S260" s="1013"/>
      <c r="T260" s="1012"/>
      <c r="U260" s="1011"/>
      <c r="V260" s="1012"/>
      <c r="W260" s="1013"/>
      <c r="X260" s="1014"/>
      <c r="Y260" s="1012"/>
      <c r="Z260" s="1012"/>
      <c r="AA260" s="1012"/>
      <c r="AB260" s="1012"/>
      <c r="AC260" s="1012"/>
      <c r="AD260" s="1012"/>
      <c r="AE260" s="1012"/>
      <c r="AF260" s="1012"/>
      <c r="AG260" s="1012"/>
      <c r="AH260" s="1012"/>
      <c r="AI260" s="1012"/>
      <c r="AJ260" s="1012"/>
      <c r="AK260" s="1012"/>
    </row>
    <row r="261">
      <c r="A261" s="1012"/>
      <c r="B261" s="1013"/>
      <c r="C261" s="1012"/>
      <c r="D261" s="1013"/>
      <c r="E261" s="1012"/>
      <c r="F261" s="1012"/>
      <c r="G261" s="1013"/>
      <c r="H261" s="1012"/>
      <c r="I261" s="1012"/>
      <c r="J261" s="1013"/>
      <c r="K261" s="1013"/>
      <c r="L261" s="1094"/>
      <c r="M261" s="1094"/>
      <c r="N261" s="1013"/>
      <c r="O261" s="1013"/>
      <c r="P261" s="1013"/>
      <c r="Q261" s="1013"/>
      <c r="R261" s="1013"/>
      <c r="S261" s="1013"/>
      <c r="T261" s="1012"/>
      <c r="U261" s="1011"/>
      <c r="V261" s="1012"/>
      <c r="W261" s="1013"/>
      <c r="X261" s="1014"/>
      <c r="Y261" s="1012"/>
      <c r="Z261" s="1012"/>
      <c r="AA261" s="1012"/>
      <c r="AB261" s="1012"/>
      <c r="AC261" s="1012"/>
      <c r="AD261" s="1012"/>
      <c r="AE261" s="1012"/>
      <c r="AF261" s="1012"/>
      <c r="AG261" s="1012"/>
      <c r="AH261" s="1012"/>
      <c r="AI261" s="1012"/>
      <c r="AJ261" s="1012"/>
      <c r="AK261" s="1012"/>
    </row>
    <row r="262">
      <c r="A262" s="1012"/>
      <c r="B262" s="1013"/>
      <c r="C262" s="1012"/>
      <c r="D262" s="1013"/>
      <c r="E262" s="1012"/>
      <c r="F262" s="1012"/>
      <c r="G262" s="1013"/>
      <c r="H262" s="1012"/>
      <c r="I262" s="1012"/>
      <c r="J262" s="1013"/>
      <c r="K262" s="1013"/>
      <c r="L262" s="1094"/>
      <c r="M262" s="1094"/>
      <c r="N262" s="1013"/>
      <c r="O262" s="1013"/>
      <c r="P262" s="1013"/>
      <c r="Q262" s="1013"/>
      <c r="R262" s="1013"/>
      <c r="S262" s="1013"/>
      <c r="T262" s="1012"/>
      <c r="U262" s="1011"/>
      <c r="V262" s="1012"/>
      <c r="W262" s="1013"/>
      <c r="X262" s="1014"/>
      <c r="Y262" s="1012"/>
      <c r="Z262" s="1012"/>
      <c r="AA262" s="1012"/>
      <c r="AB262" s="1012"/>
      <c r="AC262" s="1012"/>
      <c r="AD262" s="1012"/>
      <c r="AE262" s="1012"/>
      <c r="AF262" s="1012"/>
      <c r="AG262" s="1012"/>
      <c r="AH262" s="1012"/>
      <c r="AI262" s="1012"/>
      <c r="AJ262" s="1012"/>
      <c r="AK262" s="1012"/>
    </row>
    <row r="263">
      <c r="A263" s="1012"/>
      <c r="B263" s="1013"/>
      <c r="C263" s="1012"/>
      <c r="D263" s="1013"/>
      <c r="E263" s="1012"/>
      <c r="F263" s="1012"/>
      <c r="G263" s="1013"/>
      <c r="H263" s="1012"/>
      <c r="I263" s="1012"/>
      <c r="J263" s="1013"/>
      <c r="K263" s="1013"/>
      <c r="L263" s="1094"/>
      <c r="M263" s="1094"/>
      <c r="N263" s="1013"/>
      <c r="O263" s="1013"/>
      <c r="P263" s="1013"/>
      <c r="Q263" s="1013"/>
      <c r="R263" s="1013"/>
      <c r="S263" s="1013"/>
      <c r="T263" s="1012"/>
      <c r="U263" s="1011"/>
      <c r="V263" s="1012"/>
      <c r="W263" s="1013"/>
      <c r="X263" s="1014"/>
      <c r="Y263" s="1012"/>
      <c r="Z263" s="1012"/>
      <c r="AA263" s="1012"/>
      <c r="AB263" s="1012"/>
      <c r="AC263" s="1012"/>
      <c r="AD263" s="1012"/>
      <c r="AE263" s="1012"/>
      <c r="AF263" s="1012"/>
      <c r="AG263" s="1012"/>
      <c r="AH263" s="1012"/>
      <c r="AI263" s="1012"/>
      <c r="AJ263" s="1012"/>
      <c r="AK263" s="1012"/>
    </row>
    <row r="264">
      <c r="A264" s="1012"/>
      <c r="B264" s="1013"/>
      <c r="C264" s="1012"/>
      <c r="D264" s="1013"/>
      <c r="E264" s="1012"/>
      <c r="F264" s="1012"/>
      <c r="G264" s="1013"/>
      <c r="H264" s="1012"/>
      <c r="I264" s="1012"/>
      <c r="J264" s="1013"/>
      <c r="K264" s="1013"/>
      <c r="L264" s="1094"/>
      <c r="M264" s="1094"/>
      <c r="N264" s="1013"/>
      <c r="O264" s="1013"/>
      <c r="P264" s="1013"/>
      <c r="Q264" s="1013"/>
      <c r="R264" s="1013"/>
      <c r="S264" s="1013"/>
      <c r="T264" s="1012"/>
      <c r="U264" s="1011"/>
      <c r="V264" s="1012"/>
      <c r="W264" s="1013"/>
      <c r="X264" s="1014"/>
      <c r="Y264" s="1012"/>
      <c r="Z264" s="1012"/>
      <c r="AA264" s="1012"/>
      <c r="AB264" s="1012"/>
      <c r="AC264" s="1012"/>
      <c r="AD264" s="1012"/>
      <c r="AE264" s="1012"/>
      <c r="AF264" s="1012"/>
      <c r="AG264" s="1012"/>
      <c r="AH264" s="1012"/>
      <c r="AI264" s="1012"/>
      <c r="AJ264" s="1012"/>
      <c r="AK264" s="1012"/>
    </row>
    <row r="265">
      <c r="A265" s="1012"/>
      <c r="B265" s="1013"/>
      <c r="C265" s="1012"/>
      <c r="D265" s="1013"/>
      <c r="E265" s="1012"/>
      <c r="F265" s="1012"/>
      <c r="G265" s="1013"/>
      <c r="H265" s="1012"/>
      <c r="I265" s="1012"/>
      <c r="J265" s="1013"/>
      <c r="K265" s="1013"/>
      <c r="L265" s="1094"/>
      <c r="M265" s="1094"/>
      <c r="N265" s="1013"/>
      <c r="O265" s="1013"/>
      <c r="P265" s="1013"/>
      <c r="Q265" s="1013"/>
      <c r="R265" s="1013"/>
      <c r="S265" s="1013"/>
      <c r="T265" s="1012"/>
      <c r="U265" s="1011"/>
      <c r="V265" s="1012"/>
      <c r="W265" s="1013"/>
      <c r="X265" s="1014"/>
      <c r="Y265" s="1012"/>
      <c r="Z265" s="1012"/>
      <c r="AA265" s="1012"/>
      <c r="AB265" s="1012"/>
      <c r="AC265" s="1012"/>
      <c r="AD265" s="1012"/>
      <c r="AE265" s="1012"/>
      <c r="AF265" s="1012"/>
      <c r="AG265" s="1012"/>
      <c r="AH265" s="1012"/>
      <c r="AI265" s="1012"/>
      <c r="AJ265" s="1012"/>
      <c r="AK265" s="1012"/>
    </row>
    <row r="266">
      <c r="A266" s="1012"/>
      <c r="B266" s="1013"/>
      <c r="C266" s="1012"/>
      <c r="D266" s="1013"/>
      <c r="E266" s="1012"/>
      <c r="F266" s="1012"/>
      <c r="G266" s="1013"/>
      <c r="H266" s="1012"/>
      <c r="I266" s="1012"/>
      <c r="J266" s="1013"/>
      <c r="K266" s="1013"/>
      <c r="L266" s="1094"/>
      <c r="M266" s="1094"/>
      <c r="N266" s="1013"/>
      <c r="O266" s="1013"/>
      <c r="P266" s="1013"/>
      <c r="Q266" s="1013"/>
      <c r="R266" s="1013"/>
      <c r="S266" s="1013"/>
      <c r="T266" s="1012"/>
      <c r="U266" s="1011"/>
      <c r="V266" s="1012"/>
      <c r="W266" s="1013"/>
      <c r="X266" s="1014"/>
      <c r="Y266" s="1012"/>
      <c r="Z266" s="1012"/>
      <c r="AA266" s="1012"/>
      <c r="AB266" s="1012"/>
      <c r="AC266" s="1012"/>
      <c r="AD266" s="1012"/>
      <c r="AE266" s="1012"/>
      <c r="AF266" s="1012"/>
      <c r="AG266" s="1012"/>
      <c r="AH266" s="1012"/>
      <c r="AI266" s="1012"/>
      <c r="AJ266" s="1012"/>
      <c r="AK266" s="1012"/>
    </row>
    <row r="267">
      <c r="A267" s="1012"/>
      <c r="B267" s="1013"/>
      <c r="C267" s="1012"/>
      <c r="D267" s="1013"/>
      <c r="E267" s="1012"/>
      <c r="F267" s="1012"/>
      <c r="G267" s="1013"/>
      <c r="H267" s="1012"/>
      <c r="I267" s="1012"/>
      <c r="J267" s="1013"/>
      <c r="K267" s="1013"/>
      <c r="L267" s="1094"/>
      <c r="M267" s="1094"/>
      <c r="N267" s="1013"/>
      <c r="O267" s="1013"/>
      <c r="P267" s="1013"/>
      <c r="Q267" s="1013"/>
      <c r="R267" s="1013"/>
      <c r="S267" s="1013"/>
      <c r="T267" s="1012"/>
      <c r="U267" s="1011"/>
      <c r="V267" s="1012"/>
      <c r="W267" s="1013"/>
      <c r="X267" s="1014"/>
      <c r="Y267" s="1012"/>
      <c r="Z267" s="1012"/>
      <c r="AA267" s="1012"/>
      <c r="AB267" s="1012"/>
      <c r="AC267" s="1012"/>
      <c r="AD267" s="1012"/>
      <c r="AE267" s="1012"/>
      <c r="AF267" s="1012"/>
      <c r="AG267" s="1012"/>
      <c r="AH267" s="1012"/>
      <c r="AI267" s="1012"/>
      <c r="AJ267" s="1012"/>
      <c r="AK267" s="1012"/>
    </row>
    <row r="268">
      <c r="A268" s="1012"/>
      <c r="B268" s="1013"/>
      <c r="C268" s="1012"/>
      <c r="D268" s="1013"/>
      <c r="E268" s="1012"/>
      <c r="F268" s="1012"/>
      <c r="G268" s="1013"/>
      <c r="H268" s="1012"/>
      <c r="I268" s="1012"/>
      <c r="J268" s="1013"/>
      <c r="K268" s="1013"/>
      <c r="L268" s="1094"/>
      <c r="M268" s="1094"/>
      <c r="N268" s="1013"/>
      <c r="O268" s="1013"/>
      <c r="P268" s="1013"/>
      <c r="Q268" s="1013"/>
      <c r="R268" s="1013"/>
      <c r="S268" s="1013"/>
      <c r="T268" s="1012"/>
      <c r="U268" s="1011"/>
      <c r="V268" s="1012"/>
      <c r="W268" s="1013"/>
      <c r="X268" s="1014"/>
      <c r="Y268" s="1012"/>
      <c r="Z268" s="1012"/>
      <c r="AA268" s="1012"/>
      <c r="AB268" s="1012"/>
      <c r="AC268" s="1012"/>
      <c r="AD268" s="1012"/>
      <c r="AE268" s="1012"/>
      <c r="AF268" s="1012"/>
      <c r="AG268" s="1012"/>
      <c r="AH268" s="1012"/>
      <c r="AI268" s="1012"/>
      <c r="AJ268" s="1012"/>
      <c r="AK268" s="1012"/>
    </row>
    <row r="269">
      <c r="A269" s="1012"/>
      <c r="B269" s="1013"/>
      <c r="C269" s="1012"/>
      <c r="D269" s="1013"/>
      <c r="E269" s="1012"/>
      <c r="F269" s="1012"/>
      <c r="G269" s="1013"/>
      <c r="H269" s="1012"/>
      <c r="I269" s="1012"/>
      <c r="J269" s="1013"/>
      <c r="K269" s="1013"/>
      <c r="L269" s="1094"/>
      <c r="M269" s="1094"/>
      <c r="N269" s="1013"/>
      <c r="O269" s="1013"/>
      <c r="P269" s="1013"/>
      <c r="Q269" s="1013"/>
      <c r="R269" s="1013"/>
      <c r="S269" s="1013"/>
      <c r="T269" s="1012"/>
      <c r="U269" s="1011"/>
      <c r="V269" s="1012"/>
      <c r="W269" s="1013"/>
      <c r="X269" s="1014"/>
      <c r="Y269" s="1012"/>
      <c r="Z269" s="1012"/>
      <c r="AA269" s="1012"/>
      <c r="AB269" s="1012"/>
      <c r="AC269" s="1012"/>
      <c r="AD269" s="1012"/>
      <c r="AE269" s="1012"/>
      <c r="AF269" s="1012"/>
      <c r="AG269" s="1012"/>
      <c r="AH269" s="1012"/>
      <c r="AI269" s="1012"/>
      <c r="AJ269" s="1012"/>
      <c r="AK269" s="1012"/>
    </row>
    <row r="270">
      <c r="A270" s="1012"/>
      <c r="B270" s="1013"/>
      <c r="C270" s="1012"/>
      <c r="D270" s="1013"/>
      <c r="E270" s="1012"/>
      <c r="F270" s="1012"/>
      <c r="G270" s="1013"/>
      <c r="H270" s="1012"/>
      <c r="I270" s="1012"/>
      <c r="J270" s="1013"/>
      <c r="K270" s="1013"/>
      <c r="L270" s="1094"/>
      <c r="M270" s="1094"/>
      <c r="N270" s="1013"/>
      <c r="O270" s="1013"/>
      <c r="P270" s="1013"/>
      <c r="Q270" s="1013"/>
      <c r="R270" s="1013"/>
      <c r="S270" s="1013"/>
      <c r="T270" s="1012"/>
      <c r="U270" s="1011"/>
      <c r="V270" s="1012"/>
      <c r="W270" s="1013"/>
      <c r="X270" s="1014"/>
      <c r="Y270" s="1012"/>
      <c r="Z270" s="1012"/>
      <c r="AA270" s="1012"/>
      <c r="AB270" s="1012"/>
      <c r="AC270" s="1012"/>
      <c r="AD270" s="1012"/>
      <c r="AE270" s="1012"/>
      <c r="AF270" s="1012"/>
      <c r="AG270" s="1012"/>
      <c r="AH270" s="1012"/>
      <c r="AI270" s="1012"/>
      <c r="AJ270" s="1012"/>
      <c r="AK270" s="1012"/>
    </row>
    <row r="271">
      <c r="A271" s="1012"/>
      <c r="B271" s="1013"/>
      <c r="C271" s="1012"/>
      <c r="D271" s="1013"/>
      <c r="E271" s="1012"/>
      <c r="F271" s="1012"/>
      <c r="G271" s="1013"/>
      <c r="H271" s="1012"/>
      <c r="I271" s="1012"/>
      <c r="J271" s="1013"/>
      <c r="K271" s="1013"/>
      <c r="L271" s="1094"/>
      <c r="M271" s="1094"/>
      <c r="N271" s="1013"/>
      <c r="O271" s="1013"/>
      <c r="P271" s="1013"/>
      <c r="Q271" s="1013"/>
      <c r="R271" s="1013"/>
      <c r="S271" s="1013"/>
      <c r="T271" s="1012"/>
      <c r="U271" s="1011"/>
      <c r="V271" s="1012"/>
      <c r="W271" s="1013"/>
      <c r="X271" s="1014"/>
      <c r="Y271" s="1012"/>
      <c r="Z271" s="1012"/>
      <c r="AA271" s="1012"/>
      <c r="AB271" s="1012"/>
      <c r="AC271" s="1012"/>
      <c r="AD271" s="1012"/>
      <c r="AE271" s="1012"/>
      <c r="AF271" s="1012"/>
      <c r="AG271" s="1012"/>
      <c r="AH271" s="1012"/>
      <c r="AI271" s="1012"/>
      <c r="AJ271" s="1012"/>
      <c r="AK271" s="1012"/>
    </row>
    <row r="272">
      <c r="A272" s="1012"/>
      <c r="B272" s="1013"/>
      <c r="C272" s="1012"/>
      <c r="D272" s="1013"/>
      <c r="E272" s="1012"/>
      <c r="F272" s="1012"/>
      <c r="G272" s="1013"/>
      <c r="H272" s="1012"/>
      <c r="I272" s="1012"/>
      <c r="J272" s="1013"/>
      <c r="K272" s="1013"/>
      <c r="L272" s="1094"/>
      <c r="M272" s="1094"/>
      <c r="N272" s="1013"/>
      <c r="O272" s="1013"/>
      <c r="P272" s="1013"/>
      <c r="Q272" s="1013"/>
      <c r="R272" s="1013"/>
      <c r="S272" s="1013"/>
      <c r="T272" s="1012"/>
      <c r="U272" s="1011"/>
      <c r="V272" s="1012"/>
      <c r="W272" s="1013"/>
      <c r="X272" s="1014"/>
      <c r="Y272" s="1012"/>
      <c r="Z272" s="1012"/>
      <c r="AA272" s="1012"/>
      <c r="AB272" s="1012"/>
      <c r="AC272" s="1012"/>
      <c r="AD272" s="1012"/>
      <c r="AE272" s="1012"/>
      <c r="AF272" s="1012"/>
      <c r="AG272" s="1012"/>
      <c r="AH272" s="1012"/>
      <c r="AI272" s="1012"/>
      <c r="AJ272" s="1012"/>
      <c r="AK272" s="1012"/>
    </row>
    <row r="273">
      <c r="A273" s="1012"/>
      <c r="B273" s="1013"/>
      <c r="C273" s="1012"/>
      <c r="D273" s="1013"/>
      <c r="E273" s="1012"/>
      <c r="F273" s="1012"/>
      <c r="G273" s="1013"/>
      <c r="H273" s="1012"/>
      <c r="I273" s="1012"/>
      <c r="J273" s="1013"/>
      <c r="K273" s="1013"/>
      <c r="L273" s="1094"/>
      <c r="M273" s="1094"/>
      <c r="N273" s="1013"/>
      <c r="O273" s="1013"/>
      <c r="P273" s="1013"/>
      <c r="Q273" s="1013"/>
      <c r="R273" s="1013"/>
      <c r="S273" s="1013"/>
      <c r="T273" s="1012"/>
      <c r="U273" s="1011"/>
      <c r="V273" s="1012"/>
      <c r="W273" s="1013"/>
      <c r="X273" s="1014"/>
      <c r="Y273" s="1012"/>
      <c r="Z273" s="1012"/>
      <c r="AA273" s="1012"/>
      <c r="AB273" s="1012"/>
      <c r="AC273" s="1012"/>
      <c r="AD273" s="1012"/>
      <c r="AE273" s="1012"/>
      <c r="AF273" s="1012"/>
      <c r="AG273" s="1012"/>
      <c r="AH273" s="1012"/>
      <c r="AI273" s="1012"/>
      <c r="AJ273" s="1012"/>
      <c r="AK273" s="1012"/>
    </row>
    <row r="274">
      <c r="A274" s="1012"/>
      <c r="B274" s="1013"/>
      <c r="C274" s="1012"/>
      <c r="D274" s="1013"/>
      <c r="E274" s="1012"/>
      <c r="F274" s="1012"/>
      <c r="G274" s="1013"/>
      <c r="H274" s="1012"/>
      <c r="I274" s="1012"/>
      <c r="J274" s="1013"/>
      <c r="K274" s="1013"/>
      <c r="L274" s="1094"/>
      <c r="M274" s="1094"/>
      <c r="N274" s="1013"/>
      <c r="O274" s="1013"/>
      <c r="P274" s="1013"/>
      <c r="Q274" s="1013"/>
      <c r="R274" s="1013"/>
      <c r="S274" s="1013"/>
      <c r="T274" s="1012"/>
      <c r="U274" s="1011"/>
      <c r="V274" s="1012"/>
      <c r="W274" s="1013"/>
      <c r="X274" s="1014"/>
      <c r="Y274" s="1012"/>
      <c r="Z274" s="1012"/>
      <c r="AA274" s="1012"/>
      <c r="AB274" s="1012"/>
      <c r="AC274" s="1012"/>
      <c r="AD274" s="1012"/>
      <c r="AE274" s="1012"/>
      <c r="AF274" s="1012"/>
      <c r="AG274" s="1012"/>
      <c r="AH274" s="1012"/>
      <c r="AI274" s="1012"/>
      <c r="AJ274" s="1012"/>
      <c r="AK274" s="1012"/>
    </row>
    <row r="275">
      <c r="A275" s="1012"/>
      <c r="B275" s="1013"/>
      <c r="C275" s="1012"/>
      <c r="D275" s="1013"/>
      <c r="E275" s="1012"/>
      <c r="F275" s="1012"/>
      <c r="G275" s="1013"/>
      <c r="H275" s="1012"/>
      <c r="I275" s="1012"/>
      <c r="J275" s="1013"/>
      <c r="K275" s="1013"/>
      <c r="L275" s="1094"/>
      <c r="M275" s="1094"/>
      <c r="N275" s="1013"/>
      <c r="O275" s="1013"/>
      <c r="P275" s="1013"/>
      <c r="Q275" s="1013"/>
      <c r="R275" s="1013"/>
      <c r="S275" s="1013"/>
      <c r="T275" s="1012"/>
      <c r="U275" s="1011"/>
      <c r="V275" s="1012"/>
      <c r="W275" s="1013"/>
      <c r="X275" s="1014"/>
      <c r="Y275" s="1012"/>
      <c r="Z275" s="1012"/>
      <c r="AA275" s="1012"/>
      <c r="AB275" s="1012"/>
      <c r="AC275" s="1012"/>
      <c r="AD275" s="1012"/>
      <c r="AE275" s="1012"/>
      <c r="AF275" s="1012"/>
      <c r="AG275" s="1012"/>
      <c r="AH275" s="1012"/>
      <c r="AI275" s="1012"/>
      <c r="AJ275" s="1012"/>
      <c r="AK275" s="1012"/>
    </row>
    <row r="276">
      <c r="A276" s="1012"/>
      <c r="B276" s="1013"/>
      <c r="C276" s="1012"/>
      <c r="D276" s="1013"/>
      <c r="E276" s="1012"/>
      <c r="F276" s="1012"/>
      <c r="G276" s="1013"/>
      <c r="H276" s="1012"/>
      <c r="I276" s="1012"/>
      <c r="J276" s="1013"/>
      <c r="K276" s="1013"/>
      <c r="L276" s="1094"/>
      <c r="M276" s="1094"/>
      <c r="N276" s="1013"/>
      <c r="O276" s="1013"/>
      <c r="P276" s="1013"/>
      <c r="Q276" s="1013"/>
      <c r="R276" s="1013"/>
      <c r="S276" s="1013"/>
      <c r="T276" s="1012"/>
      <c r="U276" s="1011"/>
      <c r="V276" s="1012"/>
      <c r="W276" s="1013"/>
      <c r="X276" s="1014"/>
      <c r="Y276" s="1012"/>
      <c r="Z276" s="1012"/>
      <c r="AA276" s="1012"/>
      <c r="AB276" s="1012"/>
      <c r="AC276" s="1012"/>
      <c r="AD276" s="1012"/>
      <c r="AE276" s="1012"/>
      <c r="AF276" s="1012"/>
      <c r="AG276" s="1012"/>
      <c r="AH276" s="1012"/>
      <c r="AI276" s="1012"/>
      <c r="AJ276" s="1012"/>
      <c r="AK276" s="1012"/>
    </row>
    <row r="277">
      <c r="A277" s="1012"/>
      <c r="B277" s="1013"/>
      <c r="C277" s="1012"/>
      <c r="D277" s="1013"/>
      <c r="E277" s="1012"/>
      <c r="F277" s="1012"/>
      <c r="G277" s="1013"/>
      <c r="H277" s="1012"/>
      <c r="I277" s="1012"/>
      <c r="J277" s="1013"/>
      <c r="K277" s="1013"/>
      <c r="L277" s="1094"/>
      <c r="M277" s="1094"/>
      <c r="N277" s="1013"/>
      <c r="O277" s="1013"/>
      <c r="P277" s="1013"/>
      <c r="Q277" s="1013"/>
      <c r="R277" s="1013"/>
      <c r="S277" s="1013"/>
      <c r="T277" s="1012"/>
      <c r="U277" s="1011"/>
      <c r="V277" s="1012"/>
      <c r="W277" s="1013"/>
      <c r="X277" s="1014"/>
      <c r="Y277" s="1012"/>
      <c r="Z277" s="1012"/>
      <c r="AA277" s="1012"/>
      <c r="AB277" s="1012"/>
      <c r="AC277" s="1012"/>
      <c r="AD277" s="1012"/>
      <c r="AE277" s="1012"/>
      <c r="AF277" s="1012"/>
      <c r="AG277" s="1012"/>
      <c r="AH277" s="1012"/>
      <c r="AI277" s="1012"/>
      <c r="AJ277" s="1012"/>
      <c r="AK277" s="1012"/>
    </row>
    <row r="278">
      <c r="A278" s="1012"/>
      <c r="B278" s="1013"/>
      <c r="C278" s="1012"/>
      <c r="D278" s="1013"/>
      <c r="E278" s="1012"/>
      <c r="F278" s="1012"/>
      <c r="G278" s="1013"/>
      <c r="H278" s="1012"/>
      <c r="I278" s="1012"/>
      <c r="J278" s="1013"/>
      <c r="K278" s="1013"/>
      <c r="L278" s="1094"/>
      <c r="M278" s="1094"/>
      <c r="N278" s="1013"/>
      <c r="O278" s="1013"/>
      <c r="P278" s="1013"/>
      <c r="Q278" s="1013"/>
      <c r="R278" s="1013"/>
      <c r="S278" s="1013"/>
      <c r="T278" s="1012"/>
      <c r="U278" s="1011"/>
      <c r="V278" s="1012"/>
      <c r="W278" s="1013"/>
      <c r="X278" s="1014"/>
      <c r="Y278" s="1012"/>
      <c r="Z278" s="1012"/>
      <c r="AA278" s="1012"/>
      <c r="AB278" s="1012"/>
      <c r="AC278" s="1012"/>
      <c r="AD278" s="1012"/>
      <c r="AE278" s="1012"/>
      <c r="AF278" s="1012"/>
      <c r="AG278" s="1012"/>
      <c r="AH278" s="1012"/>
      <c r="AI278" s="1012"/>
      <c r="AJ278" s="1012"/>
      <c r="AK278" s="1012"/>
    </row>
    <row r="279">
      <c r="A279" s="1012"/>
      <c r="B279" s="1013"/>
      <c r="C279" s="1012"/>
      <c r="D279" s="1013"/>
      <c r="E279" s="1012"/>
      <c r="F279" s="1012"/>
      <c r="G279" s="1013"/>
      <c r="H279" s="1012"/>
      <c r="I279" s="1012"/>
      <c r="J279" s="1013"/>
      <c r="K279" s="1013"/>
      <c r="L279" s="1094"/>
      <c r="M279" s="1094"/>
      <c r="N279" s="1013"/>
      <c r="O279" s="1013"/>
      <c r="P279" s="1013"/>
      <c r="Q279" s="1013"/>
      <c r="R279" s="1013"/>
      <c r="S279" s="1013"/>
      <c r="T279" s="1012"/>
      <c r="U279" s="1011"/>
      <c r="V279" s="1012"/>
      <c r="W279" s="1013"/>
      <c r="X279" s="1014"/>
      <c r="Y279" s="1012"/>
      <c r="Z279" s="1012"/>
      <c r="AA279" s="1012"/>
      <c r="AB279" s="1012"/>
      <c r="AC279" s="1012"/>
      <c r="AD279" s="1012"/>
      <c r="AE279" s="1012"/>
      <c r="AF279" s="1012"/>
      <c r="AG279" s="1012"/>
      <c r="AH279" s="1012"/>
      <c r="AI279" s="1012"/>
      <c r="AJ279" s="1012"/>
      <c r="AK279" s="1012"/>
    </row>
    <row r="280">
      <c r="A280" s="1012"/>
      <c r="B280" s="1013"/>
      <c r="C280" s="1012"/>
      <c r="D280" s="1013"/>
      <c r="E280" s="1012"/>
      <c r="F280" s="1012"/>
      <c r="G280" s="1013"/>
      <c r="H280" s="1012"/>
      <c r="I280" s="1012"/>
      <c r="J280" s="1013"/>
      <c r="K280" s="1013"/>
      <c r="L280" s="1094"/>
      <c r="M280" s="1094"/>
      <c r="N280" s="1013"/>
      <c r="O280" s="1013"/>
      <c r="P280" s="1013"/>
      <c r="Q280" s="1013"/>
      <c r="R280" s="1013"/>
      <c r="S280" s="1013"/>
      <c r="T280" s="1012"/>
      <c r="U280" s="1011"/>
      <c r="V280" s="1012"/>
      <c r="W280" s="1013"/>
      <c r="X280" s="1014"/>
      <c r="Y280" s="1012"/>
      <c r="Z280" s="1012"/>
      <c r="AA280" s="1012"/>
      <c r="AB280" s="1012"/>
      <c r="AC280" s="1012"/>
      <c r="AD280" s="1012"/>
      <c r="AE280" s="1012"/>
      <c r="AF280" s="1012"/>
      <c r="AG280" s="1012"/>
      <c r="AH280" s="1012"/>
      <c r="AI280" s="1012"/>
      <c r="AJ280" s="1012"/>
      <c r="AK280" s="1012"/>
    </row>
    <row r="281">
      <c r="A281" s="1012"/>
      <c r="B281" s="1013"/>
      <c r="C281" s="1012"/>
      <c r="D281" s="1013"/>
      <c r="E281" s="1012"/>
      <c r="F281" s="1012"/>
      <c r="G281" s="1013"/>
      <c r="H281" s="1012"/>
      <c r="I281" s="1012"/>
      <c r="J281" s="1013"/>
      <c r="K281" s="1013"/>
      <c r="L281" s="1094"/>
      <c r="M281" s="1094"/>
      <c r="N281" s="1013"/>
      <c r="O281" s="1013"/>
      <c r="P281" s="1013"/>
      <c r="Q281" s="1013"/>
      <c r="R281" s="1013"/>
      <c r="S281" s="1013"/>
      <c r="T281" s="1012"/>
      <c r="U281" s="1011"/>
      <c r="V281" s="1012"/>
      <c r="W281" s="1013"/>
      <c r="X281" s="1014"/>
      <c r="Y281" s="1012"/>
      <c r="Z281" s="1012"/>
      <c r="AA281" s="1012"/>
      <c r="AB281" s="1012"/>
      <c r="AC281" s="1012"/>
      <c r="AD281" s="1012"/>
      <c r="AE281" s="1012"/>
      <c r="AF281" s="1012"/>
      <c r="AG281" s="1012"/>
      <c r="AH281" s="1012"/>
      <c r="AI281" s="1012"/>
      <c r="AJ281" s="1012"/>
      <c r="AK281" s="1012"/>
    </row>
    <row r="282">
      <c r="A282" s="1012"/>
      <c r="B282" s="1013"/>
      <c r="C282" s="1012"/>
      <c r="D282" s="1013"/>
      <c r="E282" s="1012"/>
      <c r="F282" s="1012"/>
      <c r="G282" s="1013"/>
      <c r="H282" s="1012"/>
      <c r="I282" s="1012"/>
      <c r="J282" s="1013"/>
      <c r="K282" s="1013"/>
      <c r="L282" s="1094"/>
      <c r="M282" s="1094"/>
      <c r="N282" s="1013"/>
      <c r="O282" s="1013"/>
      <c r="P282" s="1013"/>
      <c r="Q282" s="1013"/>
      <c r="R282" s="1013"/>
      <c r="S282" s="1013"/>
      <c r="T282" s="1012"/>
      <c r="U282" s="1011"/>
      <c r="V282" s="1012"/>
      <c r="W282" s="1013"/>
      <c r="X282" s="1014"/>
      <c r="Y282" s="1012"/>
      <c r="Z282" s="1012"/>
      <c r="AA282" s="1012"/>
      <c r="AB282" s="1012"/>
      <c r="AC282" s="1012"/>
      <c r="AD282" s="1012"/>
      <c r="AE282" s="1012"/>
      <c r="AF282" s="1012"/>
      <c r="AG282" s="1012"/>
      <c r="AH282" s="1012"/>
      <c r="AI282" s="1012"/>
      <c r="AJ282" s="1012"/>
      <c r="AK282" s="1012"/>
    </row>
    <row r="283">
      <c r="A283" s="1012"/>
      <c r="B283" s="1013"/>
      <c r="C283" s="1012"/>
      <c r="D283" s="1013"/>
      <c r="E283" s="1012"/>
      <c r="F283" s="1012"/>
      <c r="G283" s="1013"/>
      <c r="H283" s="1012"/>
      <c r="I283" s="1012"/>
      <c r="J283" s="1013"/>
      <c r="K283" s="1013"/>
      <c r="L283" s="1094"/>
      <c r="M283" s="1094"/>
      <c r="N283" s="1013"/>
      <c r="O283" s="1013"/>
      <c r="P283" s="1013"/>
      <c r="Q283" s="1013"/>
      <c r="R283" s="1013"/>
      <c r="S283" s="1013"/>
      <c r="T283" s="1012"/>
      <c r="U283" s="1011"/>
      <c r="V283" s="1012"/>
      <c r="W283" s="1013"/>
      <c r="X283" s="1014"/>
      <c r="Y283" s="1012"/>
      <c r="Z283" s="1012"/>
      <c r="AA283" s="1012"/>
      <c r="AB283" s="1012"/>
      <c r="AC283" s="1012"/>
      <c r="AD283" s="1012"/>
      <c r="AE283" s="1012"/>
      <c r="AF283" s="1012"/>
      <c r="AG283" s="1012"/>
      <c r="AH283" s="1012"/>
      <c r="AI283" s="1012"/>
      <c r="AJ283" s="1012"/>
      <c r="AK283" s="1012"/>
    </row>
    <row r="284">
      <c r="A284" s="1012"/>
      <c r="B284" s="1013"/>
      <c r="C284" s="1012"/>
      <c r="D284" s="1013"/>
      <c r="E284" s="1012"/>
      <c r="F284" s="1012"/>
      <c r="G284" s="1013"/>
      <c r="H284" s="1012"/>
      <c r="I284" s="1012"/>
      <c r="J284" s="1013"/>
      <c r="K284" s="1013"/>
      <c r="L284" s="1094"/>
      <c r="M284" s="1094"/>
      <c r="N284" s="1013"/>
      <c r="O284" s="1013"/>
      <c r="P284" s="1013"/>
      <c r="Q284" s="1013"/>
      <c r="R284" s="1013"/>
      <c r="S284" s="1013"/>
      <c r="T284" s="1012"/>
      <c r="U284" s="1011"/>
      <c r="V284" s="1012"/>
      <c r="W284" s="1013"/>
      <c r="X284" s="1014"/>
      <c r="Y284" s="1012"/>
      <c r="Z284" s="1012"/>
      <c r="AA284" s="1012"/>
      <c r="AB284" s="1012"/>
      <c r="AC284" s="1012"/>
      <c r="AD284" s="1012"/>
      <c r="AE284" s="1012"/>
      <c r="AF284" s="1012"/>
      <c r="AG284" s="1012"/>
      <c r="AH284" s="1012"/>
      <c r="AI284" s="1012"/>
      <c r="AJ284" s="1012"/>
      <c r="AK284" s="1012"/>
    </row>
    <row r="285">
      <c r="A285" s="1012"/>
      <c r="B285" s="1013"/>
      <c r="C285" s="1012"/>
      <c r="D285" s="1013"/>
      <c r="E285" s="1012"/>
      <c r="F285" s="1012"/>
      <c r="G285" s="1013"/>
      <c r="H285" s="1012"/>
      <c r="I285" s="1012"/>
      <c r="J285" s="1013"/>
      <c r="K285" s="1013"/>
      <c r="L285" s="1094"/>
      <c r="M285" s="1094"/>
      <c r="N285" s="1013"/>
      <c r="O285" s="1013"/>
      <c r="P285" s="1013"/>
      <c r="Q285" s="1013"/>
      <c r="R285" s="1013"/>
      <c r="S285" s="1013"/>
      <c r="T285" s="1012"/>
      <c r="U285" s="1011"/>
      <c r="V285" s="1012"/>
      <c r="W285" s="1013"/>
      <c r="X285" s="1014"/>
      <c r="Y285" s="1012"/>
      <c r="Z285" s="1012"/>
      <c r="AA285" s="1012"/>
      <c r="AB285" s="1012"/>
      <c r="AC285" s="1012"/>
      <c r="AD285" s="1012"/>
      <c r="AE285" s="1012"/>
      <c r="AF285" s="1012"/>
      <c r="AG285" s="1012"/>
      <c r="AH285" s="1012"/>
      <c r="AI285" s="1012"/>
      <c r="AJ285" s="1012"/>
      <c r="AK285" s="1012"/>
    </row>
    <row r="286">
      <c r="A286" s="1012"/>
      <c r="B286" s="1013"/>
      <c r="C286" s="1012"/>
      <c r="D286" s="1013"/>
      <c r="E286" s="1012"/>
      <c r="F286" s="1012"/>
      <c r="G286" s="1013"/>
      <c r="H286" s="1012"/>
      <c r="I286" s="1012"/>
      <c r="J286" s="1013"/>
      <c r="K286" s="1013"/>
      <c r="L286" s="1094"/>
      <c r="M286" s="1094"/>
      <c r="N286" s="1013"/>
      <c r="O286" s="1013"/>
      <c r="P286" s="1013"/>
      <c r="Q286" s="1013"/>
      <c r="R286" s="1013"/>
      <c r="S286" s="1013"/>
      <c r="T286" s="1012"/>
      <c r="U286" s="1011"/>
      <c r="V286" s="1012"/>
      <c r="W286" s="1013"/>
      <c r="X286" s="1014"/>
      <c r="Y286" s="1012"/>
      <c r="Z286" s="1012"/>
      <c r="AA286" s="1012"/>
      <c r="AB286" s="1012"/>
      <c r="AC286" s="1012"/>
      <c r="AD286" s="1012"/>
      <c r="AE286" s="1012"/>
      <c r="AF286" s="1012"/>
      <c r="AG286" s="1012"/>
      <c r="AH286" s="1012"/>
      <c r="AI286" s="1012"/>
      <c r="AJ286" s="1012"/>
      <c r="AK286" s="1012"/>
    </row>
    <row r="287">
      <c r="A287" s="1012"/>
      <c r="B287" s="1013"/>
      <c r="C287" s="1012"/>
      <c r="D287" s="1013"/>
      <c r="E287" s="1012"/>
      <c r="F287" s="1012"/>
      <c r="G287" s="1013"/>
      <c r="H287" s="1012"/>
      <c r="I287" s="1012"/>
      <c r="J287" s="1013"/>
      <c r="K287" s="1013"/>
      <c r="L287" s="1094"/>
      <c r="M287" s="1094"/>
      <c r="N287" s="1013"/>
      <c r="O287" s="1013"/>
      <c r="P287" s="1013"/>
      <c r="Q287" s="1013"/>
      <c r="R287" s="1013"/>
      <c r="S287" s="1013"/>
      <c r="T287" s="1012"/>
      <c r="U287" s="1011"/>
      <c r="V287" s="1012"/>
      <c r="W287" s="1013"/>
      <c r="X287" s="1014"/>
      <c r="Y287" s="1012"/>
      <c r="Z287" s="1012"/>
      <c r="AA287" s="1012"/>
      <c r="AB287" s="1012"/>
      <c r="AC287" s="1012"/>
      <c r="AD287" s="1012"/>
      <c r="AE287" s="1012"/>
      <c r="AF287" s="1012"/>
      <c r="AG287" s="1012"/>
      <c r="AH287" s="1012"/>
      <c r="AI287" s="1012"/>
      <c r="AJ287" s="1012"/>
      <c r="AK287" s="1012"/>
    </row>
    <row r="288">
      <c r="A288" s="1012"/>
      <c r="B288" s="1013"/>
      <c r="C288" s="1012"/>
      <c r="D288" s="1013"/>
      <c r="E288" s="1012"/>
      <c r="F288" s="1012"/>
      <c r="G288" s="1013"/>
      <c r="H288" s="1012"/>
      <c r="I288" s="1012"/>
      <c r="J288" s="1013"/>
      <c r="K288" s="1013"/>
      <c r="L288" s="1094"/>
      <c r="M288" s="1094"/>
      <c r="N288" s="1013"/>
      <c r="O288" s="1013"/>
      <c r="P288" s="1013"/>
      <c r="Q288" s="1013"/>
      <c r="R288" s="1013"/>
      <c r="S288" s="1013"/>
      <c r="T288" s="1012"/>
      <c r="U288" s="1011"/>
      <c r="V288" s="1012"/>
      <c r="W288" s="1013"/>
      <c r="X288" s="1014"/>
      <c r="Y288" s="1012"/>
      <c r="Z288" s="1012"/>
      <c r="AA288" s="1012"/>
      <c r="AB288" s="1012"/>
      <c r="AC288" s="1012"/>
      <c r="AD288" s="1012"/>
      <c r="AE288" s="1012"/>
      <c r="AF288" s="1012"/>
      <c r="AG288" s="1012"/>
      <c r="AH288" s="1012"/>
      <c r="AI288" s="1012"/>
      <c r="AJ288" s="1012"/>
      <c r="AK288" s="1012"/>
    </row>
    <row r="289">
      <c r="A289" s="1012"/>
      <c r="B289" s="1013"/>
      <c r="C289" s="1012"/>
      <c r="D289" s="1013"/>
      <c r="E289" s="1012"/>
      <c r="F289" s="1012"/>
      <c r="G289" s="1013"/>
      <c r="H289" s="1012"/>
      <c r="I289" s="1012"/>
      <c r="J289" s="1013"/>
      <c r="K289" s="1013"/>
      <c r="L289" s="1094"/>
      <c r="M289" s="1094"/>
      <c r="N289" s="1013"/>
      <c r="O289" s="1013"/>
      <c r="P289" s="1013"/>
      <c r="Q289" s="1013"/>
      <c r="R289" s="1013"/>
      <c r="S289" s="1013"/>
      <c r="T289" s="1012"/>
      <c r="U289" s="1011"/>
      <c r="V289" s="1012"/>
      <c r="W289" s="1013"/>
      <c r="X289" s="1014"/>
      <c r="Y289" s="1012"/>
      <c r="Z289" s="1012"/>
      <c r="AA289" s="1012"/>
      <c r="AB289" s="1012"/>
      <c r="AC289" s="1012"/>
      <c r="AD289" s="1012"/>
      <c r="AE289" s="1012"/>
      <c r="AF289" s="1012"/>
      <c r="AG289" s="1012"/>
      <c r="AH289" s="1012"/>
      <c r="AI289" s="1012"/>
      <c r="AJ289" s="1012"/>
      <c r="AK289" s="1012"/>
    </row>
    <row r="290">
      <c r="A290" s="1012"/>
      <c r="B290" s="1013"/>
      <c r="C290" s="1012"/>
      <c r="D290" s="1013"/>
      <c r="E290" s="1012"/>
      <c r="F290" s="1012"/>
      <c r="G290" s="1013"/>
      <c r="H290" s="1012"/>
      <c r="I290" s="1012"/>
      <c r="J290" s="1013"/>
      <c r="K290" s="1013"/>
      <c r="L290" s="1094"/>
      <c r="M290" s="1094"/>
      <c r="N290" s="1013"/>
      <c r="O290" s="1013"/>
      <c r="P290" s="1013"/>
      <c r="Q290" s="1013"/>
      <c r="R290" s="1013"/>
      <c r="S290" s="1013"/>
      <c r="T290" s="1012"/>
      <c r="U290" s="1011"/>
      <c r="V290" s="1012"/>
      <c r="W290" s="1013"/>
      <c r="X290" s="1014"/>
      <c r="Y290" s="1012"/>
      <c r="Z290" s="1012"/>
      <c r="AA290" s="1012"/>
      <c r="AB290" s="1012"/>
      <c r="AC290" s="1012"/>
      <c r="AD290" s="1012"/>
      <c r="AE290" s="1012"/>
      <c r="AF290" s="1012"/>
      <c r="AG290" s="1012"/>
      <c r="AH290" s="1012"/>
      <c r="AI290" s="1012"/>
      <c r="AJ290" s="1012"/>
      <c r="AK290" s="1012"/>
    </row>
    <row r="291">
      <c r="A291" s="1012"/>
      <c r="B291" s="1013"/>
      <c r="C291" s="1012"/>
      <c r="D291" s="1013"/>
      <c r="E291" s="1012"/>
      <c r="F291" s="1012"/>
      <c r="G291" s="1013"/>
      <c r="H291" s="1012"/>
      <c r="I291" s="1012"/>
      <c r="J291" s="1013"/>
      <c r="K291" s="1013"/>
      <c r="L291" s="1094"/>
      <c r="M291" s="1094"/>
      <c r="N291" s="1013"/>
      <c r="O291" s="1013"/>
      <c r="P291" s="1013"/>
      <c r="Q291" s="1013"/>
      <c r="R291" s="1013"/>
      <c r="S291" s="1013"/>
      <c r="T291" s="1012"/>
      <c r="U291" s="1011"/>
      <c r="V291" s="1012"/>
      <c r="W291" s="1013"/>
      <c r="X291" s="1014"/>
      <c r="Y291" s="1012"/>
      <c r="Z291" s="1012"/>
      <c r="AA291" s="1012"/>
      <c r="AB291" s="1012"/>
      <c r="AC291" s="1012"/>
      <c r="AD291" s="1012"/>
      <c r="AE291" s="1012"/>
      <c r="AF291" s="1012"/>
      <c r="AG291" s="1012"/>
      <c r="AH291" s="1012"/>
      <c r="AI291" s="1012"/>
      <c r="AJ291" s="1012"/>
      <c r="AK291" s="1012"/>
    </row>
    <row r="292">
      <c r="A292" s="1012"/>
      <c r="B292" s="1013"/>
      <c r="C292" s="1012"/>
      <c r="D292" s="1013"/>
      <c r="E292" s="1012"/>
      <c r="F292" s="1012"/>
      <c r="G292" s="1013"/>
      <c r="H292" s="1012"/>
      <c r="I292" s="1012"/>
      <c r="J292" s="1013"/>
      <c r="K292" s="1013"/>
      <c r="L292" s="1094"/>
      <c r="M292" s="1094"/>
      <c r="N292" s="1013"/>
      <c r="O292" s="1013"/>
      <c r="P292" s="1013"/>
      <c r="Q292" s="1013"/>
      <c r="R292" s="1013"/>
      <c r="S292" s="1013"/>
      <c r="T292" s="1012"/>
      <c r="U292" s="1011"/>
      <c r="V292" s="1012"/>
      <c r="W292" s="1013"/>
      <c r="X292" s="1014"/>
      <c r="Y292" s="1012"/>
      <c r="Z292" s="1012"/>
      <c r="AA292" s="1012"/>
      <c r="AB292" s="1012"/>
      <c r="AC292" s="1012"/>
      <c r="AD292" s="1012"/>
      <c r="AE292" s="1012"/>
      <c r="AF292" s="1012"/>
      <c r="AG292" s="1012"/>
      <c r="AH292" s="1012"/>
      <c r="AI292" s="1012"/>
      <c r="AJ292" s="1012"/>
      <c r="AK292" s="1012"/>
    </row>
    <row r="293">
      <c r="A293" s="1012"/>
      <c r="B293" s="1013"/>
      <c r="C293" s="1012"/>
      <c r="D293" s="1013"/>
      <c r="E293" s="1012"/>
      <c r="F293" s="1012"/>
      <c r="G293" s="1013"/>
      <c r="H293" s="1012"/>
      <c r="I293" s="1012"/>
      <c r="J293" s="1013"/>
      <c r="K293" s="1013"/>
      <c r="L293" s="1094"/>
      <c r="M293" s="1094"/>
      <c r="N293" s="1013"/>
      <c r="O293" s="1013"/>
      <c r="P293" s="1013"/>
      <c r="Q293" s="1013"/>
      <c r="R293" s="1013"/>
      <c r="S293" s="1013"/>
      <c r="T293" s="1012"/>
      <c r="U293" s="1011"/>
      <c r="V293" s="1012"/>
      <c r="W293" s="1013"/>
      <c r="X293" s="1014"/>
      <c r="Y293" s="1012"/>
      <c r="Z293" s="1012"/>
      <c r="AA293" s="1012"/>
      <c r="AB293" s="1012"/>
      <c r="AC293" s="1012"/>
      <c r="AD293" s="1012"/>
      <c r="AE293" s="1012"/>
      <c r="AF293" s="1012"/>
      <c r="AG293" s="1012"/>
      <c r="AH293" s="1012"/>
      <c r="AI293" s="1012"/>
      <c r="AJ293" s="1012"/>
      <c r="AK293" s="1012"/>
    </row>
    <row r="294">
      <c r="A294" s="1012"/>
      <c r="B294" s="1013"/>
      <c r="C294" s="1012"/>
      <c r="D294" s="1013"/>
      <c r="E294" s="1012"/>
      <c r="F294" s="1012"/>
      <c r="G294" s="1013"/>
      <c r="H294" s="1012"/>
      <c r="I294" s="1012"/>
      <c r="J294" s="1013"/>
      <c r="K294" s="1013"/>
      <c r="L294" s="1094"/>
      <c r="M294" s="1094"/>
      <c r="N294" s="1013"/>
      <c r="O294" s="1013"/>
      <c r="P294" s="1013"/>
      <c r="Q294" s="1013"/>
      <c r="R294" s="1013"/>
      <c r="S294" s="1013"/>
      <c r="T294" s="1012"/>
      <c r="U294" s="1011"/>
      <c r="V294" s="1012"/>
      <c r="W294" s="1013"/>
      <c r="X294" s="1014"/>
      <c r="Y294" s="1012"/>
      <c r="Z294" s="1012"/>
      <c r="AA294" s="1012"/>
      <c r="AB294" s="1012"/>
      <c r="AC294" s="1012"/>
      <c r="AD294" s="1012"/>
      <c r="AE294" s="1012"/>
      <c r="AF294" s="1012"/>
      <c r="AG294" s="1012"/>
      <c r="AH294" s="1012"/>
      <c r="AI294" s="1012"/>
      <c r="AJ294" s="1012"/>
      <c r="AK294" s="1012"/>
    </row>
    <row r="295">
      <c r="A295" s="1012"/>
      <c r="B295" s="1013"/>
      <c r="C295" s="1012"/>
      <c r="D295" s="1013"/>
      <c r="E295" s="1012"/>
      <c r="F295" s="1012"/>
      <c r="G295" s="1013"/>
      <c r="H295" s="1012"/>
      <c r="I295" s="1012"/>
      <c r="J295" s="1013"/>
      <c r="K295" s="1013"/>
      <c r="L295" s="1094"/>
      <c r="M295" s="1094"/>
      <c r="N295" s="1013"/>
      <c r="O295" s="1013"/>
      <c r="P295" s="1013"/>
      <c r="Q295" s="1013"/>
      <c r="R295" s="1013"/>
      <c r="S295" s="1013"/>
      <c r="T295" s="1012"/>
      <c r="U295" s="1011"/>
      <c r="V295" s="1012"/>
      <c r="W295" s="1013"/>
      <c r="X295" s="1014"/>
      <c r="Y295" s="1012"/>
      <c r="Z295" s="1012"/>
      <c r="AA295" s="1012"/>
      <c r="AB295" s="1012"/>
      <c r="AC295" s="1012"/>
      <c r="AD295" s="1012"/>
      <c r="AE295" s="1012"/>
      <c r="AF295" s="1012"/>
      <c r="AG295" s="1012"/>
      <c r="AH295" s="1012"/>
      <c r="AI295" s="1012"/>
      <c r="AJ295" s="1012"/>
      <c r="AK295" s="1012"/>
    </row>
    <row r="296">
      <c r="A296" s="1012"/>
      <c r="B296" s="1013"/>
      <c r="C296" s="1012"/>
      <c r="D296" s="1013"/>
      <c r="E296" s="1012"/>
      <c r="F296" s="1012"/>
      <c r="G296" s="1013"/>
      <c r="H296" s="1012"/>
      <c r="I296" s="1012"/>
      <c r="J296" s="1013"/>
      <c r="K296" s="1013"/>
      <c r="L296" s="1094"/>
      <c r="M296" s="1094"/>
      <c r="N296" s="1013"/>
      <c r="O296" s="1013"/>
      <c r="P296" s="1013"/>
      <c r="Q296" s="1013"/>
      <c r="R296" s="1013"/>
      <c r="S296" s="1013"/>
      <c r="T296" s="1012"/>
      <c r="U296" s="1011"/>
      <c r="V296" s="1012"/>
      <c r="W296" s="1013"/>
      <c r="X296" s="1014"/>
      <c r="Y296" s="1012"/>
      <c r="Z296" s="1012"/>
      <c r="AA296" s="1012"/>
      <c r="AB296" s="1012"/>
      <c r="AC296" s="1012"/>
      <c r="AD296" s="1012"/>
      <c r="AE296" s="1012"/>
      <c r="AF296" s="1012"/>
      <c r="AG296" s="1012"/>
      <c r="AH296" s="1012"/>
      <c r="AI296" s="1012"/>
      <c r="AJ296" s="1012"/>
      <c r="AK296" s="1012"/>
    </row>
    <row r="297">
      <c r="A297" s="1012"/>
      <c r="B297" s="1013"/>
      <c r="C297" s="1012"/>
      <c r="D297" s="1013"/>
      <c r="E297" s="1012"/>
      <c r="F297" s="1012"/>
      <c r="G297" s="1013"/>
      <c r="H297" s="1012"/>
      <c r="I297" s="1012"/>
      <c r="J297" s="1013"/>
      <c r="K297" s="1013"/>
      <c r="L297" s="1094"/>
      <c r="M297" s="1094"/>
      <c r="N297" s="1013"/>
      <c r="O297" s="1013"/>
      <c r="P297" s="1013"/>
      <c r="Q297" s="1013"/>
      <c r="R297" s="1013"/>
      <c r="S297" s="1013"/>
      <c r="T297" s="1012"/>
      <c r="U297" s="1011"/>
      <c r="V297" s="1012"/>
      <c r="W297" s="1013"/>
      <c r="X297" s="1014"/>
      <c r="Y297" s="1012"/>
      <c r="Z297" s="1012"/>
      <c r="AA297" s="1012"/>
      <c r="AB297" s="1012"/>
      <c r="AC297" s="1012"/>
      <c r="AD297" s="1012"/>
      <c r="AE297" s="1012"/>
      <c r="AF297" s="1012"/>
      <c r="AG297" s="1012"/>
      <c r="AH297" s="1012"/>
      <c r="AI297" s="1012"/>
      <c r="AJ297" s="1012"/>
      <c r="AK297" s="1012"/>
    </row>
    <row r="298">
      <c r="A298" s="1012"/>
      <c r="B298" s="1013"/>
      <c r="C298" s="1012"/>
      <c r="D298" s="1013"/>
      <c r="E298" s="1012"/>
      <c r="F298" s="1012"/>
      <c r="G298" s="1013"/>
      <c r="H298" s="1012"/>
      <c r="I298" s="1012"/>
      <c r="J298" s="1013"/>
      <c r="K298" s="1013"/>
      <c r="L298" s="1094"/>
      <c r="M298" s="1094"/>
      <c r="N298" s="1013"/>
      <c r="O298" s="1013"/>
      <c r="P298" s="1013"/>
      <c r="Q298" s="1013"/>
      <c r="R298" s="1013"/>
      <c r="S298" s="1013"/>
      <c r="T298" s="1012"/>
      <c r="U298" s="1011"/>
      <c r="V298" s="1012"/>
      <c r="W298" s="1013"/>
      <c r="X298" s="1014"/>
      <c r="Y298" s="1012"/>
      <c r="Z298" s="1012"/>
      <c r="AA298" s="1012"/>
      <c r="AB298" s="1012"/>
      <c r="AC298" s="1012"/>
      <c r="AD298" s="1012"/>
      <c r="AE298" s="1012"/>
      <c r="AF298" s="1012"/>
      <c r="AG298" s="1012"/>
      <c r="AH298" s="1012"/>
      <c r="AI298" s="1012"/>
      <c r="AJ298" s="1012"/>
      <c r="AK298" s="1012"/>
    </row>
    <row r="299">
      <c r="A299" s="1012"/>
      <c r="B299" s="1013"/>
      <c r="C299" s="1012"/>
      <c r="D299" s="1013"/>
      <c r="E299" s="1012"/>
      <c r="F299" s="1012"/>
      <c r="G299" s="1013"/>
      <c r="H299" s="1012"/>
      <c r="I299" s="1012"/>
      <c r="J299" s="1013"/>
      <c r="K299" s="1013"/>
      <c r="L299" s="1094"/>
      <c r="M299" s="1094"/>
      <c r="N299" s="1013"/>
      <c r="O299" s="1013"/>
      <c r="P299" s="1013"/>
      <c r="Q299" s="1013"/>
      <c r="R299" s="1013"/>
      <c r="S299" s="1013"/>
      <c r="T299" s="1012"/>
      <c r="U299" s="1011"/>
      <c r="V299" s="1012"/>
      <c r="W299" s="1013"/>
      <c r="X299" s="1014"/>
      <c r="Y299" s="1012"/>
      <c r="Z299" s="1012"/>
      <c r="AA299" s="1012"/>
      <c r="AB299" s="1012"/>
      <c r="AC299" s="1012"/>
      <c r="AD299" s="1012"/>
      <c r="AE299" s="1012"/>
      <c r="AF299" s="1012"/>
      <c r="AG299" s="1012"/>
      <c r="AH299" s="1012"/>
      <c r="AI299" s="1012"/>
      <c r="AJ299" s="1012"/>
      <c r="AK299" s="1012"/>
    </row>
    <row r="300">
      <c r="A300" s="1012"/>
      <c r="B300" s="1013"/>
      <c r="C300" s="1012"/>
      <c r="D300" s="1013"/>
      <c r="E300" s="1012"/>
      <c r="F300" s="1012"/>
      <c r="G300" s="1013"/>
      <c r="H300" s="1012"/>
      <c r="I300" s="1012"/>
      <c r="J300" s="1013"/>
      <c r="K300" s="1013"/>
      <c r="L300" s="1094"/>
      <c r="M300" s="1094"/>
      <c r="N300" s="1013"/>
      <c r="O300" s="1013"/>
      <c r="P300" s="1013"/>
      <c r="Q300" s="1013"/>
      <c r="R300" s="1013"/>
      <c r="S300" s="1013"/>
      <c r="T300" s="1012"/>
      <c r="U300" s="1011"/>
      <c r="V300" s="1012"/>
      <c r="W300" s="1013"/>
      <c r="X300" s="1014"/>
      <c r="Y300" s="1012"/>
      <c r="Z300" s="1012"/>
      <c r="AA300" s="1012"/>
      <c r="AB300" s="1012"/>
      <c r="AC300" s="1012"/>
      <c r="AD300" s="1012"/>
      <c r="AE300" s="1012"/>
      <c r="AF300" s="1012"/>
      <c r="AG300" s="1012"/>
      <c r="AH300" s="1012"/>
      <c r="AI300" s="1012"/>
      <c r="AJ300" s="1012"/>
      <c r="AK300" s="1012"/>
    </row>
    <row r="301">
      <c r="A301" s="1012"/>
      <c r="B301" s="1013"/>
      <c r="C301" s="1012"/>
      <c r="D301" s="1013"/>
      <c r="E301" s="1012"/>
      <c r="F301" s="1012"/>
      <c r="G301" s="1013"/>
      <c r="H301" s="1012"/>
      <c r="I301" s="1012"/>
      <c r="J301" s="1013"/>
      <c r="K301" s="1013"/>
      <c r="L301" s="1094"/>
      <c r="M301" s="1094"/>
      <c r="N301" s="1013"/>
      <c r="O301" s="1013"/>
      <c r="P301" s="1013"/>
      <c r="Q301" s="1013"/>
      <c r="R301" s="1013"/>
      <c r="S301" s="1013"/>
      <c r="T301" s="1012"/>
      <c r="U301" s="1011"/>
      <c r="V301" s="1012"/>
      <c r="W301" s="1013"/>
      <c r="X301" s="1014"/>
      <c r="Y301" s="1012"/>
      <c r="Z301" s="1012"/>
      <c r="AA301" s="1012"/>
      <c r="AB301" s="1012"/>
      <c r="AC301" s="1012"/>
      <c r="AD301" s="1012"/>
      <c r="AE301" s="1012"/>
      <c r="AF301" s="1012"/>
      <c r="AG301" s="1012"/>
      <c r="AH301" s="1012"/>
      <c r="AI301" s="1012"/>
      <c r="AJ301" s="1012"/>
      <c r="AK301" s="1012"/>
    </row>
    <row r="302">
      <c r="A302" s="1012"/>
      <c r="B302" s="1013"/>
      <c r="C302" s="1012"/>
      <c r="D302" s="1013"/>
      <c r="E302" s="1012"/>
      <c r="F302" s="1012"/>
      <c r="G302" s="1013"/>
      <c r="H302" s="1012"/>
      <c r="I302" s="1012"/>
      <c r="J302" s="1013"/>
      <c r="K302" s="1013"/>
      <c r="L302" s="1094"/>
      <c r="M302" s="1094"/>
      <c r="N302" s="1013"/>
      <c r="O302" s="1013"/>
      <c r="P302" s="1013"/>
      <c r="Q302" s="1013"/>
      <c r="R302" s="1013"/>
      <c r="S302" s="1013"/>
      <c r="T302" s="1012"/>
      <c r="U302" s="1011"/>
      <c r="V302" s="1012"/>
      <c r="W302" s="1013"/>
      <c r="X302" s="1014"/>
      <c r="Y302" s="1012"/>
      <c r="Z302" s="1012"/>
      <c r="AA302" s="1012"/>
      <c r="AB302" s="1012"/>
      <c r="AC302" s="1012"/>
      <c r="AD302" s="1012"/>
      <c r="AE302" s="1012"/>
      <c r="AF302" s="1012"/>
      <c r="AG302" s="1012"/>
      <c r="AH302" s="1012"/>
      <c r="AI302" s="1012"/>
      <c r="AJ302" s="1012"/>
      <c r="AK302" s="1012"/>
    </row>
    <row r="303">
      <c r="A303" s="1012"/>
      <c r="B303" s="1013"/>
      <c r="C303" s="1012"/>
      <c r="D303" s="1013"/>
      <c r="E303" s="1012"/>
      <c r="F303" s="1012"/>
      <c r="G303" s="1013"/>
      <c r="H303" s="1012"/>
      <c r="I303" s="1012"/>
      <c r="J303" s="1013"/>
      <c r="K303" s="1013"/>
      <c r="L303" s="1094"/>
      <c r="M303" s="1094"/>
      <c r="N303" s="1013"/>
      <c r="O303" s="1013"/>
      <c r="P303" s="1013"/>
      <c r="Q303" s="1013"/>
      <c r="R303" s="1013"/>
      <c r="S303" s="1013"/>
      <c r="T303" s="1012"/>
      <c r="U303" s="1011"/>
      <c r="V303" s="1012"/>
      <c r="W303" s="1013"/>
      <c r="X303" s="1014"/>
      <c r="Y303" s="1012"/>
      <c r="Z303" s="1012"/>
      <c r="AA303" s="1012"/>
      <c r="AB303" s="1012"/>
      <c r="AC303" s="1012"/>
      <c r="AD303" s="1012"/>
      <c r="AE303" s="1012"/>
      <c r="AF303" s="1012"/>
      <c r="AG303" s="1012"/>
      <c r="AH303" s="1012"/>
      <c r="AI303" s="1012"/>
      <c r="AJ303" s="1012"/>
      <c r="AK303" s="1012"/>
    </row>
    <row r="304">
      <c r="A304" s="1012"/>
      <c r="B304" s="1013"/>
      <c r="C304" s="1012"/>
      <c r="D304" s="1013"/>
      <c r="E304" s="1012"/>
      <c r="F304" s="1012"/>
      <c r="G304" s="1013"/>
      <c r="H304" s="1012"/>
      <c r="I304" s="1012"/>
      <c r="J304" s="1013"/>
      <c r="K304" s="1013"/>
      <c r="L304" s="1094"/>
      <c r="M304" s="1094"/>
      <c r="N304" s="1013"/>
      <c r="O304" s="1013"/>
      <c r="P304" s="1013"/>
      <c r="Q304" s="1013"/>
      <c r="R304" s="1013"/>
      <c r="S304" s="1013"/>
      <c r="T304" s="1012"/>
      <c r="U304" s="1011"/>
      <c r="V304" s="1012"/>
      <c r="W304" s="1013"/>
      <c r="X304" s="1014"/>
      <c r="Y304" s="1012"/>
      <c r="Z304" s="1012"/>
      <c r="AA304" s="1012"/>
      <c r="AB304" s="1012"/>
      <c r="AC304" s="1012"/>
      <c r="AD304" s="1012"/>
      <c r="AE304" s="1012"/>
      <c r="AF304" s="1012"/>
      <c r="AG304" s="1012"/>
      <c r="AH304" s="1012"/>
      <c r="AI304" s="1012"/>
      <c r="AJ304" s="1012"/>
      <c r="AK304" s="1012"/>
    </row>
    <row r="305">
      <c r="A305" s="1012"/>
      <c r="B305" s="1013"/>
      <c r="C305" s="1012"/>
      <c r="D305" s="1013"/>
      <c r="E305" s="1012"/>
      <c r="F305" s="1012"/>
      <c r="G305" s="1013"/>
      <c r="H305" s="1012"/>
      <c r="I305" s="1012"/>
      <c r="J305" s="1013"/>
      <c r="K305" s="1013"/>
      <c r="L305" s="1094"/>
      <c r="M305" s="1094"/>
      <c r="N305" s="1013"/>
      <c r="O305" s="1013"/>
      <c r="P305" s="1013"/>
      <c r="Q305" s="1013"/>
      <c r="R305" s="1013"/>
      <c r="S305" s="1013"/>
      <c r="T305" s="1012"/>
      <c r="U305" s="1011"/>
      <c r="V305" s="1012"/>
      <c r="W305" s="1013"/>
      <c r="X305" s="1014"/>
      <c r="Y305" s="1012"/>
      <c r="Z305" s="1012"/>
      <c r="AA305" s="1012"/>
      <c r="AB305" s="1012"/>
      <c r="AC305" s="1012"/>
      <c r="AD305" s="1012"/>
      <c r="AE305" s="1012"/>
      <c r="AF305" s="1012"/>
      <c r="AG305" s="1012"/>
      <c r="AH305" s="1012"/>
      <c r="AI305" s="1012"/>
      <c r="AJ305" s="1012"/>
      <c r="AK305" s="1012"/>
    </row>
    <row r="306">
      <c r="A306" s="1012"/>
      <c r="B306" s="1013"/>
      <c r="C306" s="1012"/>
      <c r="D306" s="1013"/>
      <c r="E306" s="1012"/>
      <c r="F306" s="1012"/>
      <c r="G306" s="1013"/>
      <c r="H306" s="1012"/>
      <c r="I306" s="1012"/>
      <c r="J306" s="1013"/>
      <c r="K306" s="1013"/>
      <c r="L306" s="1094"/>
      <c r="M306" s="1094"/>
      <c r="N306" s="1013"/>
      <c r="O306" s="1013"/>
      <c r="P306" s="1013"/>
      <c r="Q306" s="1013"/>
      <c r="R306" s="1013"/>
      <c r="S306" s="1013"/>
      <c r="T306" s="1012"/>
      <c r="U306" s="1011"/>
      <c r="V306" s="1012"/>
      <c r="W306" s="1013"/>
      <c r="X306" s="1014"/>
      <c r="Y306" s="1012"/>
      <c r="Z306" s="1012"/>
      <c r="AA306" s="1012"/>
      <c r="AB306" s="1012"/>
      <c r="AC306" s="1012"/>
      <c r="AD306" s="1012"/>
      <c r="AE306" s="1012"/>
      <c r="AF306" s="1012"/>
      <c r="AG306" s="1012"/>
      <c r="AH306" s="1012"/>
      <c r="AI306" s="1012"/>
      <c r="AJ306" s="1012"/>
      <c r="AK306" s="1012"/>
    </row>
    <row r="307">
      <c r="A307" s="1012"/>
      <c r="B307" s="1013"/>
      <c r="C307" s="1012"/>
      <c r="D307" s="1013"/>
      <c r="E307" s="1012"/>
      <c r="F307" s="1012"/>
      <c r="G307" s="1013"/>
      <c r="H307" s="1012"/>
      <c r="I307" s="1012"/>
      <c r="J307" s="1013"/>
      <c r="K307" s="1013"/>
      <c r="L307" s="1094"/>
      <c r="M307" s="1094"/>
      <c r="N307" s="1013"/>
      <c r="O307" s="1013"/>
      <c r="P307" s="1013"/>
      <c r="Q307" s="1013"/>
      <c r="R307" s="1013"/>
      <c r="S307" s="1013"/>
      <c r="T307" s="1012"/>
      <c r="U307" s="1011"/>
      <c r="V307" s="1012"/>
      <c r="W307" s="1013"/>
      <c r="X307" s="1014"/>
      <c r="Y307" s="1012"/>
      <c r="Z307" s="1012"/>
      <c r="AA307" s="1012"/>
      <c r="AB307" s="1012"/>
      <c r="AC307" s="1012"/>
      <c r="AD307" s="1012"/>
      <c r="AE307" s="1012"/>
      <c r="AF307" s="1012"/>
      <c r="AG307" s="1012"/>
      <c r="AH307" s="1012"/>
      <c r="AI307" s="1012"/>
      <c r="AJ307" s="1012"/>
      <c r="AK307" s="1012"/>
    </row>
    <row r="308">
      <c r="A308" s="1012"/>
      <c r="B308" s="1013"/>
      <c r="C308" s="1012"/>
      <c r="D308" s="1013"/>
      <c r="E308" s="1012"/>
      <c r="F308" s="1012"/>
      <c r="G308" s="1013"/>
      <c r="H308" s="1012"/>
      <c r="I308" s="1012"/>
      <c r="J308" s="1013"/>
      <c r="K308" s="1013"/>
      <c r="L308" s="1094"/>
      <c r="M308" s="1094"/>
      <c r="N308" s="1013"/>
      <c r="O308" s="1013"/>
      <c r="P308" s="1013"/>
      <c r="Q308" s="1013"/>
      <c r="R308" s="1013"/>
      <c r="S308" s="1013"/>
      <c r="T308" s="1012"/>
      <c r="U308" s="1011"/>
      <c r="V308" s="1012"/>
      <c r="W308" s="1013"/>
      <c r="X308" s="1014"/>
      <c r="Y308" s="1012"/>
      <c r="Z308" s="1012"/>
      <c r="AA308" s="1012"/>
      <c r="AB308" s="1012"/>
      <c r="AC308" s="1012"/>
      <c r="AD308" s="1012"/>
      <c r="AE308" s="1012"/>
      <c r="AF308" s="1012"/>
      <c r="AG308" s="1012"/>
      <c r="AH308" s="1012"/>
      <c r="AI308" s="1012"/>
      <c r="AJ308" s="1012"/>
      <c r="AK308" s="1012"/>
    </row>
    <row r="309">
      <c r="A309" s="1012"/>
      <c r="B309" s="1013"/>
      <c r="C309" s="1012"/>
      <c r="D309" s="1013"/>
      <c r="E309" s="1012"/>
      <c r="F309" s="1012"/>
      <c r="G309" s="1013"/>
      <c r="H309" s="1012"/>
      <c r="I309" s="1012"/>
      <c r="J309" s="1013"/>
      <c r="K309" s="1013"/>
      <c r="L309" s="1094"/>
      <c r="M309" s="1094"/>
      <c r="N309" s="1013"/>
      <c r="O309" s="1013"/>
      <c r="P309" s="1013"/>
      <c r="Q309" s="1013"/>
      <c r="R309" s="1013"/>
      <c r="S309" s="1013"/>
      <c r="T309" s="1012"/>
      <c r="U309" s="1011"/>
      <c r="V309" s="1012"/>
      <c r="W309" s="1013"/>
      <c r="X309" s="1014"/>
      <c r="Y309" s="1012"/>
      <c r="Z309" s="1012"/>
      <c r="AA309" s="1012"/>
      <c r="AB309" s="1012"/>
      <c r="AC309" s="1012"/>
      <c r="AD309" s="1012"/>
      <c r="AE309" s="1012"/>
      <c r="AF309" s="1012"/>
      <c r="AG309" s="1012"/>
      <c r="AH309" s="1012"/>
      <c r="AI309" s="1012"/>
      <c r="AJ309" s="1012"/>
      <c r="AK309" s="1012"/>
    </row>
    <row r="310">
      <c r="A310" s="1012"/>
      <c r="B310" s="1013"/>
      <c r="C310" s="1012"/>
      <c r="D310" s="1013"/>
      <c r="E310" s="1012"/>
      <c r="F310" s="1012"/>
      <c r="G310" s="1013"/>
      <c r="H310" s="1012"/>
      <c r="I310" s="1012"/>
      <c r="J310" s="1013"/>
      <c r="K310" s="1013"/>
      <c r="L310" s="1094"/>
      <c r="M310" s="1094"/>
      <c r="N310" s="1013"/>
      <c r="O310" s="1013"/>
      <c r="P310" s="1013"/>
      <c r="Q310" s="1013"/>
      <c r="R310" s="1013"/>
      <c r="S310" s="1013"/>
      <c r="T310" s="1012"/>
      <c r="U310" s="1011"/>
      <c r="V310" s="1012"/>
      <c r="W310" s="1013"/>
      <c r="X310" s="1014"/>
      <c r="Y310" s="1012"/>
      <c r="Z310" s="1012"/>
      <c r="AA310" s="1012"/>
      <c r="AB310" s="1012"/>
      <c r="AC310" s="1012"/>
      <c r="AD310" s="1012"/>
      <c r="AE310" s="1012"/>
      <c r="AF310" s="1012"/>
      <c r="AG310" s="1012"/>
      <c r="AH310" s="1012"/>
      <c r="AI310" s="1012"/>
      <c r="AJ310" s="1012"/>
      <c r="AK310" s="1012"/>
    </row>
    <row r="311">
      <c r="A311" s="1012"/>
      <c r="B311" s="1013"/>
      <c r="C311" s="1012"/>
      <c r="D311" s="1013"/>
      <c r="E311" s="1012"/>
      <c r="F311" s="1012"/>
      <c r="G311" s="1013"/>
      <c r="H311" s="1012"/>
      <c r="I311" s="1012"/>
      <c r="J311" s="1013"/>
      <c r="K311" s="1013"/>
      <c r="L311" s="1094"/>
      <c r="M311" s="1094"/>
      <c r="N311" s="1013"/>
      <c r="O311" s="1013"/>
      <c r="P311" s="1013"/>
      <c r="Q311" s="1013"/>
      <c r="R311" s="1013"/>
      <c r="S311" s="1013"/>
      <c r="T311" s="1012"/>
      <c r="U311" s="1011"/>
      <c r="V311" s="1012"/>
      <c r="W311" s="1013"/>
      <c r="X311" s="1014"/>
      <c r="Y311" s="1012"/>
      <c r="Z311" s="1012"/>
      <c r="AA311" s="1012"/>
      <c r="AB311" s="1012"/>
      <c r="AC311" s="1012"/>
      <c r="AD311" s="1012"/>
      <c r="AE311" s="1012"/>
      <c r="AF311" s="1012"/>
      <c r="AG311" s="1012"/>
      <c r="AH311" s="1012"/>
      <c r="AI311" s="1012"/>
      <c r="AJ311" s="1012"/>
      <c r="AK311" s="1012"/>
    </row>
    <row r="312">
      <c r="A312" s="1012"/>
      <c r="B312" s="1013"/>
      <c r="C312" s="1012"/>
      <c r="D312" s="1013"/>
      <c r="E312" s="1012"/>
      <c r="F312" s="1012"/>
      <c r="G312" s="1013"/>
      <c r="H312" s="1012"/>
      <c r="I312" s="1012"/>
      <c r="J312" s="1013"/>
      <c r="K312" s="1013"/>
      <c r="L312" s="1094"/>
      <c r="M312" s="1094"/>
      <c r="N312" s="1013"/>
      <c r="O312" s="1013"/>
      <c r="P312" s="1013"/>
      <c r="Q312" s="1013"/>
      <c r="R312" s="1013"/>
      <c r="S312" s="1013"/>
      <c r="T312" s="1012"/>
      <c r="U312" s="1011"/>
      <c r="V312" s="1012"/>
      <c r="W312" s="1013"/>
      <c r="X312" s="1014"/>
      <c r="Y312" s="1012"/>
      <c r="Z312" s="1012"/>
      <c r="AA312" s="1012"/>
      <c r="AB312" s="1012"/>
      <c r="AC312" s="1012"/>
      <c r="AD312" s="1012"/>
      <c r="AE312" s="1012"/>
      <c r="AF312" s="1012"/>
      <c r="AG312" s="1012"/>
      <c r="AH312" s="1012"/>
      <c r="AI312" s="1012"/>
      <c r="AJ312" s="1012"/>
      <c r="AK312" s="1012"/>
    </row>
    <row r="313">
      <c r="A313" s="1012"/>
      <c r="B313" s="1013"/>
      <c r="C313" s="1012"/>
      <c r="D313" s="1013"/>
      <c r="E313" s="1012"/>
      <c r="F313" s="1012"/>
      <c r="G313" s="1013"/>
      <c r="H313" s="1012"/>
      <c r="I313" s="1012"/>
      <c r="J313" s="1013"/>
      <c r="K313" s="1013"/>
      <c r="L313" s="1094"/>
      <c r="M313" s="1094"/>
      <c r="N313" s="1013"/>
      <c r="O313" s="1013"/>
      <c r="P313" s="1013"/>
      <c r="Q313" s="1013"/>
      <c r="R313" s="1013"/>
      <c r="S313" s="1013"/>
      <c r="T313" s="1012"/>
      <c r="U313" s="1011"/>
      <c r="V313" s="1012"/>
      <c r="W313" s="1013"/>
      <c r="X313" s="1014"/>
      <c r="Y313" s="1012"/>
      <c r="Z313" s="1012"/>
      <c r="AA313" s="1012"/>
      <c r="AB313" s="1012"/>
      <c r="AC313" s="1012"/>
      <c r="AD313" s="1012"/>
      <c r="AE313" s="1012"/>
      <c r="AF313" s="1012"/>
      <c r="AG313" s="1012"/>
      <c r="AH313" s="1012"/>
      <c r="AI313" s="1012"/>
      <c r="AJ313" s="1012"/>
      <c r="AK313" s="1012"/>
    </row>
    <row r="314">
      <c r="A314" s="1012"/>
      <c r="B314" s="1013"/>
      <c r="C314" s="1012"/>
      <c r="D314" s="1013"/>
      <c r="E314" s="1012"/>
      <c r="F314" s="1012"/>
      <c r="G314" s="1013"/>
      <c r="H314" s="1012"/>
      <c r="I314" s="1012"/>
      <c r="J314" s="1013"/>
      <c r="K314" s="1013"/>
      <c r="L314" s="1094"/>
      <c r="M314" s="1094"/>
      <c r="N314" s="1013"/>
      <c r="O314" s="1013"/>
      <c r="P314" s="1013"/>
      <c r="Q314" s="1013"/>
      <c r="R314" s="1013"/>
      <c r="S314" s="1013"/>
      <c r="T314" s="1012"/>
      <c r="U314" s="1011"/>
      <c r="V314" s="1012"/>
      <c r="W314" s="1013"/>
      <c r="X314" s="1014"/>
      <c r="Y314" s="1012"/>
      <c r="Z314" s="1012"/>
      <c r="AA314" s="1012"/>
      <c r="AB314" s="1012"/>
      <c r="AC314" s="1012"/>
      <c r="AD314" s="1012"/>
      <c r="AE314" s="1012"/>
      <c r="AF314" s="1012"/>
      <c r="AG314" s="1012"/>
      <c r="AH314" s="1012"/>
      <c r="AI314" s="1012"/>
      <c r="AJ314" s="1012"/>
      <c r="AK314" s="1012"/>
    </row>
    <row r="315">
      <c r="A315" s="1012"/>
      <c r="B315" s="1013"/>
      <c r="C315" s="1012"/>
      <c r="D315" s="1013"/>
      <c r="E315" s="1012"/>
      <c r="F315" s="1012"/>
      <c r="G315" s="1013"/>
      <c r="H315" s="1012"/>
      <c r="I315" s="1012"/>
      <c r="J315" s="1013"/>
      <c r="K315" s="1013"/>
      <c r="L315" s="1094"/>
      <c r="M315" s="1094"/>
      <c r="N315" s="1013"/>
      <c r="O315" s="1013"/>
      <c r="P315" s="1013"/>
      <c r="Q315" s="1013"/>
      <c r="R315" s="1013"/>
      <c r="S315" s="1013"/>
      <c r="T315" s="1012"/>
      <c r="U315" s="1011"/>
      <c r="V315" s="1012"/>
      <c r="W315" s="1013"/>
      <c r="X315" s="1014"/>
      <c r="Y315" s="1012"/>
      <c r="Z315" s="1012"/>
      <c r="AA315" s="1012"/>
      <c r="AB315" s="1012"/>
      <c r="AC315" s="1012"/>
      <c r="AD315" s="1012"/>
      <c r="AE315" s="1012"/>
      <c r="AF315" s="1012"/>
      <c r="AG315" s="1012"/>
      <c r="AH315" s="1012"/>
      <c r="AI315" s="1012"/>
      <c r="AJ315" s="1012"/>
      <c r="AK315" s="1012"/>
    </row>
    <row r="316">
      <c r="A316" s="1012"/>
      <c r="B316" s="1013"/>
      <c r="C316" s="1012"/>
      <c r="D316" s="1013"/>
      <c r="E316" s="1012"/>
      <c r="F316" s="1012"/>
      <c r="G316" s="1013"/>
      <c r="H316" s="1012"/>
      <c r="I316" s="1012"/>
      <c r="J316" s="1013"/>
      <c r="K316" s="1013"/>
      <c r="L316" s="1094"/>
      <c r="M316" s="1094"/>
      <c r="N316" s="1013"/>
      <c r="O316" s="1013"/>
      <c r="P316" s="1013"/>
      <c r="Q316" s="1013"/>
      <c r="R316" s="1013"/>
      <c r="S316" s="1013"/>
      <c r="T316" s="1012"/>
      <c r="U316" s="1011"/>
      <c r="V316" s="1012"/>
      <c r="W316" s="1013"/>
      <c r="X316" s="1014"/>
      <c r="Y316" s="1012"/>
      <c r="Z316" s="1012"/>
      <c r="AA316" s="1012"/>
      <c r="AB316" s="1012"/>
      <c r="AC316" s="1012"/>
      <c r="AD316" s="1012"/>
      <c r="AE316" s="1012"/>
      <c r="AF316" s="1012"/>
      <c r="AG316" s="1012"/>
      <c r="AH316" s="1012"/>
      <c r="AI316" s="1012"/>
      <c r="AJ316" s="1012"/>
      <c r="AK316" s="1012"/>
    </row>
    <row r="317">
      <c r="A317" s="1012"/>
      <c r="B317" s="1013"/>
      <c r="C317" s="1012"/>
      <c r="D317" s="1013"/>
      <c r="E317" s="1012"/>
      <c r="F317" s="1012"/>
      <c r="G317" s="1013"/>
      <c r="H317" s="1012"/>
      <c r="I317" s="1012"/>
      <c r="J317" s="1013"/>
      <c r="K317" s="1013"/>
      <c r="L317" s="1094"/>
      <c r="M317" s="1094"/>
      <c r="N317" s="1013"/>
      <c r="O317" s="1013"/>
      <c r="P317" s="1013"/>
      <c r="Q317" s="1013"/>
      <c r="R317" s="1013"/>
      <c r="S317" s="1013"/>
      <c r="T317" s="1012"/>
      <c r="U317" s="1011"/>
      <c r="V317" s="1012"/>
      <c r="W317" s="1013"/>
      <c r="X317" s="1014"/>
      <c r="Y317" s="1012"/>
      <c r="Z317" s="1012"/>
      <c r="AA317" s="1012"/>
      <c r="AB317" s="1012"/>
      <c r="AC317" s="1012"/>
      <c r="AD317" s="1012"/>
      <c r="AE317" s="1012"/>
      <c r="AF317" s="1012"/>
      <c r="AG317" s="1012"/>
      <c r="AH317" s="1012"/>
      <c r="AI317" s="1012"/>
      <c r="AJ317" s="1012"/>
      <c r="AK317" s="1012"/>
    </row>
    <row r="318">
      <c r="A318" s="1012"/>
      <c r="B318" s="1013"/>
      <c r="C318" s="1012"/>
      <c r="D318" s="1013"/>
      <c r="E318" s="1012"/>
      <c r="F318" s="1012"/>
      <c r="G318" s="1013"/>
      <c r="H318" s="1012"/>
      <c r="I318" s="1012"/>
      <c r="J318" s="1013"/>
      <c r="K318" s="1013"/>
      <c r="L318" s="1094"/>
      <c r="M318" s="1094"/>
      <c r="N318" s="1013"/>
      <c r="O318" s="1013"/>
      <c r="P318" s="1013"/>
      <c r="Q318" s="1013"/>
      <c r="R318" s="1013"/>
      <c r="S318" s="1013"/>
      <c r="T318" s="1012"/>
      <c r="U318" s="1011"/>
      <c r="V318" s="1012"/>
      <c r="W318" s="1013"/>
      <c r="X318" s="1014"/>
      <c r="Y318" s="1012"/>
      <c r="Z318" s="1012"/>
      <c r="AA318" s="1012"/>
      <c r="AB318" s="1012"/>
      <c r="AC318" s="1012"/>
      <c r="AD318" s="1012"/>
      <c r="AE318" s="1012"/>
      <c r="AF318" s="1012"/>
      <c r="AG318" s="1012"/>
      <c r="AH318" s="1012"/>
      <c r="AI318" s="1012"/>
      <c r="AJ318" s="1012"/>
      <c r="AK318" s="1012"/>
    </row>
    <row r="319">
      <c r="A319" s="1012"/>
      <c r="B319" s="1013"/>
      <c r="C319" s="1012"/>
      <c r="D319" s="1013"/>
      <c r="E319" s="1012"/>
      <c r="F319" s="1012"/>
      <c r="G319" s="1013"/>
      <c r="H319" s="1012"/>
      <c r="I319" s="1012"/>
      <c r="J319" s="1013"/>
      <c r="K319" s="1013"/>
      <c r="L319" s="1094"/>
      <c r="M319" s="1094"/>
      <c r="N319" s="1013"/>
      <c r="O319" s="1013"/>
      <c r="P319" s="1013"/>
      <c r="Q319" s="1013"/>
      <c r="R319" s="1013"/>
      <c r="S319" s="1013"/>
      <c r="T319" s="1012"/>
      <c r="U319" s="1011"/>
      <c r="V319" s="1012"/>
      <c r="W319" s="1013"/>
      <c r="X319" s="1014"/>
      <c r="Y319" s="1012"/>
      <c r="Z319" s="1012"/>
      <c r="AA319" s="1012"/>
      <c r="AB319" s="1012"/>
      <c r="AC319" s="1012"/>
      <c r="AD319" s="1012"/>
      <c r="AE319" s="1012"/>
      <c r="AF319" s="1012"/>
      <c r="AG319" s="1012"/>
      <c r="AH319" s="1012"/>
      <c r="AI319" s="1012"/>
      <c r="AJ319" s="1012"/>
      <c r="AK319" s="1012"/>
    </row>
    <row r="320">
      <c r="A320" s="1012"/>
      <c r="B320" s="1013"/>
      <c r="C320" s="1012"/>
      <c r="D320" s="1013"/>
      <c r="E320" s="1012"/>
      <c r="F320" s="1012"/>
      <c r="G320" s="1013"/>
      <c r="H320" s="1012"/>
      <c r="I320" s="1012"/>
      <c r="J320" s="1013"/>
      <c r="K320" s="1013"/>
      <c r="L320" s="1094"/>
      <c r="M320" s="1094"/>
      <c r="N320" s="1013"/>
      <c r="O320" s="1013"/>
      <c r="P320" s="1013"/>
      <c r="Q320" s="1013"/>
      <c r="R320" s="1013"/>
      <c r="S320" s="1013"/>
      <c r="T320" s="1012"/>
      <c r="U320" s="1011"/>
      <c r="V320" s="1012"/>
      <c r="W320" s="1013"/>
      <c r="X320" s="1014"/>
      <c r="Y320" s="1012"/>
      <c r="Z320" s="1012"/>
      <c r="AA320" s="1012"/>
      <c r="AB320" s="1012"/>
      <c r="AC320" s="1012"/>
      <c r="AD320" s="1012"/>
      <c r="AE320" s="1012"/>
      <c r="AF320" s="1012"/>
      <c r="AG320" s="1012"/>
      <c r="AH320" s="1012"/>
      <c r="AI320" s="1012"/>
      <c r="AJ320" s="1012"/>
      <c r="AK320" s="1012"/>
    </row>
    <row r="321">
      <c r="A321" s="1012"/>
      <c r="B321" s="1013"/>
      <c r="C321" s="1012"/>
      <c r="D321" s="1013"/>
      <c r="E321" s="1012"/>
      <c r="F321" s="1012"/>
      <c r="G321" s="1013"/>
      <c r="H321" s="1012"/>
      <c r="I321" s="1012"/>
      <c r="J321" s="1013"/>
      <c r="K321" s="1013"/>
      <c r="L321" s="1094"/>
      <c r="M321" s="1094"/>
      <c r="N321" s="1013"/>
      <c r="O321" s="1013"/>
      <c r="P321" s="1013"/>
      <c r="Q321" s="1013"/>
      <c r="R321" s="1013"/>
      <c r="S321" s="1013"/>
      <c r="T321" s="1012"/>
      <c r="U321" s="1011"/>
      <c r="V321" s="1012"/>
      <c r="W321" s="1013"/>
      <c r="X321" s="1014"/>
      <c r="Y321" s="1012"/>
      <c r="Z321" s="1012"/>
      <c r="AA321" s="1012"/>
      <c r="AB321" s="1012"/>
      <c r="AC321" s="1012"/>
      <c r="AD321" s="1012"/>
      <c r="AE321" s="1012"/>
      <c r="AF321" s="1012"/>
      <c r="AG321" s="1012"/>
      <c r="AH321" s="1012"/>
      <c r="AI321" s="1012"/>
      <c r="AJ321" s="1012"/>
      <c r="AK321" s="1012"/>
    </row>
    <row r="322">
      <c r="A322" s="1012"/>
      <c r="B322" s="1013"/>
      <c r="C322" s="1012"/>
      <c r="D322" s="1013"/>
      <c r="E322" s="1012"/>
      <c r="F322" s="1012"/>
      <c r="G322" s="1013"/>
      <c r="H322" s="1012"/>
      <c r="I322" s="1012"/>
      <c r="J322" s="1013"/>
      <c r="K322" s="1013"/>
      <c r="L322" s="1094"/>
      <c r="M322" s="1094"/>
      <c r="N322" s="1013"/>
      <c r="O322" s="1013"/>
      <c r="P322" s="1013"/>
      <c r="Q322" s="1013"/>
      <c r="R322" s="1013"/>
      <c r="S322" s="1013"/>
      <c r="T322" s="1012"/>
      <c r="U322" s="1011"/>
      <c r="V322" s="1012"/>
      <c r="W322" s="1013"/>
      <c r="X322" s="1014"/>
      <c r="Y322" s="1012"/>
      <c r="Z322" s="1012"/>
      <c r="AA322" s="1012"/>
      <c r="AB322" s="1012"/>
      <c r="AC322" s="1012"/>
      <c r="AD322" s="1012"/>
      <c r="AE322" s="1012"/>
      <c r="AF322" s="1012"/>
      <c r="AG322" s="1012"/>
      <c r="AH322" s="1012"/>
      <c r="AI322" s="1012"/>
      <c r="AJ322" s="1012"/>
      <c r="AK322" s="1012"/>
    </row>
    <row r="323">
      <c r="A323" s="1012"/>
      <c r="B323" s="1013"/>
      <c r="C323" s="1012"/>
      <c r="D323" s="1013"/>
      <c r="E323" s="1012"/>
      <c r="F323" s="1012"/>
      <c r="G323" s="1013"/>
      <c r="H323" s="1012"/>
      <c r="I323" s="1012"/>
      <c r="J323" s="1013"/>
      <c r="K323" s="1013"/>
      <c r="L323" s="1094"/>
      <c r="M323" s="1094"/>
      <c r="N323" s="1013"/>
      <c r="O323" s="1013"/>
      <c r="P323" s="1013"/>
      <c r="Q323" s="1013"/>
      <c r="R323" s="1013"/>
      <c r="S323" s="1013"/>
      <c r="T323" s="1012"/>
      <c r="U323" s="1011"/>
      <c r="V323" s="1012"/>
      <c r="W323" s="1013"/>
      <c r="X323" s="1014"/>
      <c r="Y323" s="1012"/>
      <c r="Z323" s="1012"/>
      <c r="AA323" s="1012"/>
      <c r="AB323" s="1012"/>
      <c r="AC323" s="1012"/>
      <c r="AD323" s="1012"/>
      <c r="AE323" s="1012"/>
      <c r="AF323" s="1012"/>
      <c r="AG323" s="1012"/>
      <c r="AH323" s="1012"/>
      <c r="AI323" s="1012"/>
      <c r="AJ323" s="1012"/>
      <c r="AK323" s="1012"/>
    </row>
    <row r="324">
      <c r="A324" s="1012"/>
      <c r="B324" s="1013"/>
      <c r="C324" s="1012"/>
      <c r="D324" s="1013"/>
      <c r="E324" s="1012"/>
      <c r="F324" s="1012"/>
      <c r="G324" s="1013"/>
      <c r="H324" s="1012"/>
      <c r="I324" s="1012"/>
      <c r="J324" s="1013"/>
      <c r="K324" s="1013"/>
      <c r="L324" s="1094"/>
      <c r="M324" s="1094"/>
      <c r="N324" s="1013"/>
      <c r="O324" s="1013"/>
      <c r="P324" s="1013"/>
      <c r="Q324" s="1013"/>
      <c r="R324" s="1013"/>
      <c r="S324" s="1013"/>
      <c r="T324" s="1012"/>
      <c r="U324" s="1011"/>
      <c r="V324" s="1012"/>
      <c r="W324" s="1013"/>
      <c r="X324" s="1014"/>
      <c r="Y324" s="1012"/>
      <c r="Z324" s="1012"/>
      <c r="AA324" s="1012"/>
      <c r="AB324" s="1012"/>
      <c r="AC324" s="1012"/>
      <c r="AD324" s="1012"/>
      <c r="AE324" s="1012"/>
      <c r="AF324" s="1012"/>
      <c r="AG324" s="1012"/>
      <c r="AH324" s="1012"/>
      <c r="AI324" s="1012"/>
      <c r="AJ324" s="1012"/>
      <c r="AK324" s="1012"/>
    </row>
    <row r="325">
      <c r="A325" s="1012"/>
      <c r="B325" s="1013"/>
      <c r="C325" s="1012"/>
      <c r="D325" s="1013"/>
      <c r="E325" s="1012"/>
      <c r="F325" s="1012"/>
      <c r="G325" s="1013"/>
      <c r="H325" s="1012"/>
      <c r="I325" s="1012"/>
      <c r="J325" s="1013"/>
      <c r="K325" s="1013"/>
      <c r="L325" s="1094"/>
      <c r="M325" s="1094"/>
      <c r="N325" s="1013"/>
      <c r="O325" s="1013"/>
      <c r="P325" s="1013"/>
      <c r="Q325" s="1013"/>
      <c r="R325" s="1013"/>
      <c r="S325" s="1013"/>
      <c r="T325" s="1012"/>
      <c r="U325" s="1011"/>
      <c r="V325" s="1012"/>
      <c r="W325" s="1013"/>
      <c r="X325" s="1014"/>
      <c r="Y325" s="1012"/>
      <c r="Z325" s="1012"/>
      <c r="AA325" s="1012"/>
      <c r="AB325" s="1012"/>
      <c r="AC325" s="1012"/>
      <c r="AD325" s="1012"/>
      <c r="AE325" s="1012"/>
      <c r="AF325" s="1012"/>
      <c r="AG325" s="1012"/>
      <c r="AH325" s="1012"/>
      <c r="AI325" s="1012"/>
      <c r="AJ325" s="1012"/>
      <c r="AK325" s="1012"/>
    </row>
    <row r="326">
      <c r="A326" s="1012"/>
      <c r="B326" s="1013"/>
      <c r="C326" s="1012"/>
      <c r="D326" s="1013"/>
      <c r="E326" s="1012"/>
      <c r="F326" s="1012"/>
      <c r="G326" s="1013"/>
      <c r="H326" s="1012"/>
      <c r="I326" s="1012"/>
      <c r="J326" s="1013"/>
      <c r="K326" s="1013"/>
      <c r="L326" s="1094"/>
      <c r="M326" s="1094"/>
      <c r="N326" s="1013"/>
      <c r="O326" s="1013"/>
      <c r="P326" s="1013"/>
      <c r="Q326" s="1013"/>
      <c r="R326" s="1013"/>
      <c r="S326" s="1013"/>
      <c r="T326" s="1012"/>
      <c r="U326" s="1011"/>
      <c r="V326" s="1012"/>
      <c r="W326" s="1013"/>
      <c r="X326" s="1014"/>
      <c r="Y326" s="1012"/>
      <c r="Z326" s="1012"/>
      <c r="AA326" s="1012"/>
      <c r="AB326" s="1012"/>
      <c r="AC326" s="1012"/>
      <c r="AD326" s="1012"/>
      <c r="AE326" s="1012"/>
      <c r="AF326" s="1012"/>
      <c r="AG326" s="1012"/>
      <c r="AH326" s="1012"/>
      <c r="AI326" s="1012"/>
      <c r="AJ326" s="1012"/>
      <c r="AK326" s="1012"/>
    </row>
    <row r="327">
      <c r="A327" s="1012"/>
      <c r="B327" s="1013"/>
      <c r="C327" s="1012"/>
      <c r="D327" s="1013"/>
      <c r="E327" s="1012"/>
      <c r="F327" s="1012"/>
      <c r="G327" s="1013"/>
      <c r="H327" s="1012"/>
      <c r="I327" s="1012"/>
      <c r="J327" s="1013"/>
      <c r="K327" s="1013"/>
      <c r="L327" s="1094"/>
      <c r="M327" s="1094"/>
      <c r="N327" s="1013"/>
      <c r="O327" s="1013"/>
      <c r="P327" s="1013"/>
      <c r="Q327" s="1013"/>
      <c r="R327" s="1013"/>
      <c r="S327" s="1013"/>
      <c r="T327" s="1012"/>
      <c r="U327" s="1011"/>
      <c r="V327" s="1012"/>
      <c r="W327" s="1013"/>
      <c r="X327" s="1014"/>
      <c r="Y327" s="1012"/>
      <c r="Z327" s="1012"/>
      <c r="AA327" s="1012"/>
      <c r="AB327" s="1012"/>
      <c r="AC327" s="1012"/>
      <c r="AD327" s="1012"/>
      <c r="AE327" s="1012"/>
      <c r="AF327" s="1012"/>
      <c r="AG327" s="1012"/>
      <c r="AH327" s="1012"/>
      <c r="AI327" s="1012"/>
      <c r="AJ327" s="1012"/>
      <c r="AK327" s="1012"/>
    </row>
    <row r="328">
      <c r="A328" s="1012"/>
      <c r="B328" s="1013"/>
      <c r="C328" s="1012"/>
      <c r="D328" s="1013"/>
      <c r="E328" s="1012"/>
      <c r="F328" s="1012"/>
      <c r="G328" s="1013"/>
      <c r="H328" s="1012"/>
      <c r="I328" s="1012"/>
      <c r="J328" s="1013"/>
      <c r="K328" s="1013"/>
      <c r="L328" s="1094"/>
      <c r="M328" s="1094"/>
      <c r="N328" s="1013"/>
      <c r="O328" s="1013"/>
      <c r="P328" s="1013"/>
      <c r="Q328" s="1013"/>
      <c r="R328" s="1013"/>
      <c r="S328" s="1013"/>
      <c r="T328" s="1012"/>
      <c r="U328" s="1011"/>
      <c r="V328" s="1012"/>
      <c r="W328" s="1013"/>
      <c r="X328" s="1014"/>
      <c r="Y328" s="1012"/>
      <c r="Z328" s="1012"/>
      <c r="AA328" s="1012"/>
      <c r="AB328" s="1012"/>
      <c r="AC328" s="1012"/>
      <c r="AD328" s="1012"/>
      <c r="AE328" s="1012"/>
      <c r="AF328" s="1012"/>
      <c r="AG328" s="1012"/>
      <c r="AH328" s="1012"/>
      <c r="AI328" s="1012"/>
      <c r="AJ328" s="1012"/>
      <c r="AK328" s="1012"/>
    </row>
    <row r="329">
      <c r="A329" s="1012"/>
      <c r="B329" s="1013"/>
      <c r="C329" s="1012"/>
      <c r="D329" s="1013"/>
      <c r="E329" s="1012"/>
      <c r="F329" s="1012"/>
      <c r="G329" s="1013"/>
      <c r="H329" s="1012"/>
      <c r="I329" s="1012"/>
      <c r="J329" s="1013"/>
      <c r="K329" s="1013"/>
      <c r="L329" s="1094"/>
      <c r="M329" s="1094"/>
      <c r="N329" s="1013"/>
      <c r="O329" s="1013"/>
      <c r="P329" s="1013"/>
      <c r="Q329" s="1013"/>
      <c r="R329" s="1013"/>
      <c r="S329" s="1013"/>
      <c r="T329" s="1012"/>
      <c r="U329" s="1011"/>
      <c r="V329" s="1012"/>
      <c r="W329" s="1013"/>
      <c r="X329" s="1014"/>
      <c r="Y329" s="1012"/>
      <c r="Z329" s="1012"/>
      <c r="AA329" s="1012"/>
      <c r="AB329" s="1012"/>
      <c r="AC329" s="1012"/>
      <c r="AD329" s="1012"/>
      <c r="AE329" s="1012"/>
      <c r="AF329" s="1012"/>
      <c r="AG329" s="1012"/>
      <c r="AH329" s="1012"/>
      <c r="AI329" s="1012"/>
      <c r="AJ329" s="1012"/>
      <c r="AK329" s="1012"/>
    </row>
    <row r="330">
      <c r="A330" s="1012"/>
      <c r="B330" s="1013"/>
      <c r="C330" s="1012"/>
      <c r="D330" s="1013"/>
      <c r="E330" s="1012"/>
      <c r="F330" s="1012"/>
      <c r="G330" s="1013"/>
      <c r="H330" s="1012"/>
      <c r="I330" s="1012"/>
      <c r="J330" s="1013"/>
      <c r="K330" s="1013"/>
      <c r="L330" s="1094"/>
      <c r="M330" s="1094"/>
      <c r="N330" s="1013"/>
      <c r="O330" s="1013"/>
      <c r="P330" s="1013"/>
      <c r="Q330" s="1013"/>
      <c r="R330" s="1013"/>
      <c r="S330" s="1013"/>
      <c r="T330" s="1012"/>
      <c r="U330" s="1011"/>
      <c r="V330" s="1012"/>
      <c r="W330" s="1013"/>
      <c r="X330" s="1014"/>
      <c r="Y330" s="1012"/>
      <c r="Z330" s="1012"/>
      <c r="AA330" s="1012"/>
      <c r="AB330" s="1012"/>
      <c r="AC330" s="1012"/>
      <c r="AD330" s="1012"/>
      <c r="AE330" s="1012"/>
      <c r="AF330" s="1012"/>
      <c r="AG330" s="1012"/>
      <c r="AH330" s="1012"/>
      <c r="AI330" s="1012"/>
      <c r="AJ330" s="1012"/>
      <c r="AK330" s="1012"/>
    </row>
    <row r="331">
      <c r="A331" s="1012"/>
      <c r="B331" s="1013"/>
      <c r="C331" s="1012"/>
      <c r="D331" s="1013"/>
      <c r="E331" s="1012"/>
      <c r="F331" s="1012"/>
      <c r="G331" s="1013"/>
      <c r="H331" s="1012"/>
      <c r="I331" s="1012"/>
      <c r="J331" s="1013"/>
      <c r="K331" s="1013"/>
      <c r="L331" s="1094"/>
      <c r="M331" s="1094"/>
      <c r="N331" s="1013"/>
      <c r="O331" s="1013"/>
      <c r="P331" s="1013"/>
      <c r="Q331" s="1013"/>
      <c r="R331" s="1013"/>
      <c r="S331" s="1013"/>
      <c r="T331" s="1012"/>
      <c r="U331" s="1011"/>
      <c r="V331" s="1012"/>
      <c r="W331" s="1013"/>
      <c r="X331" s="1014"/>
      <c r="Y331" s="1012"/>
      <c r="Z331" s="1012"/>
      <c r="AA331" s="1012"/>
      <c r="AB331" s="1012"/>
      <c r="AC331" s="1012"/>
      <c r="AD331" s="1012"/>
      <c r="AE331" s="1012"/>
      <c r="AF331" s="1012"/>
      <c r="AG331" s="1012"/>
      <c r="AH331" s="1012"/>
      <c r="AI331" s="1012"/>
      <c r="AJ331" s="1012"/>
      <c r="AK331" s="1012"/>
    </row>
    <row r="332">
      <c r="A332" s="1012"/>
      <c r="B332" s="1013"/>
      <c r="C332" s="1012"/>
      <c r="D332" s="1013"/>
      <c r="E332" s="1012"/>
      <c r="F332" s="1012"/>
      <c r="G332" s="1013"/>
      <c r="H332" s="1012"/>
      <c r="I332" s="1012"/>
      <c r="J332" s="1013"/>
      <c r="K332" s="1013"/>
      <c r="L332" s="1094"/>
      <c r="M332" s="1094"/>
      <c r="N332" s="1013"/>
      <c r="O332" s="1013"/>
      <c r="P332" s="1013"/>
      <c r="Q332" s="1013"/>
      <c r="R332" s="1013"/>
      <c r="S332" s="1013"/>
      <c r="T332" s="1012"/>
      <c r="U332" s="1011"/>
      <c r="V332" s="1012"/>
      <c r="W332" s="1013"/>
      <c r="X332" s="1014"/>
      <c r="Y332" s="1012"/>
      <c r="Z332" s="1012"/>
      <c r="AA332" s="1012"/>
      <c r="AB332" s="1012"/>
      <c r="AC332" s="1012"/>
      <c r="AD332" s="1012"/>
      <c r="AE332" s="1012"/>
      <c r="AF332" s="1012"/>
      <c r="AG332" s="1012"/>
      <c r="AH332" s="1012"/>
      <c r="AI332" s="1012"/>
      <c r="AJ332" s="1012"/>
      <c r="AK332" s="1012"/>
    </row>
    <row r="333">
      <c r="A333" s="1012"/>
      <c r="B333" s="1013"/>
      <c r="C333" s="1012"/>
      <c r="D333" s="1013"/>
      <c r="E333" s="1012"/>
      <c r="F333" s="1012"/>
      <c r="G333" s="1013"/>
      <c r="H333" s="1012"/>
      <c r="I333" s="1012"/>
      <c r="J333" s="1013"/>
      <c r="K333" s="1013"/>
      <c r="L333" s="1094"/>
      <c r="M333" s="1094"/>
      <c r="N333" s="1013"/>
      <c r="O333" s="1013"/>
      <c r="P333" s="1013"/>
      <c r="Q333" s="1013"/>
      <c r="R333" s="1013"/>
      <c r="S333" s="1013"/>
      <c r="T333" s="1012"/>
      <c r="U333" s="1011"/>
      <c r="V333" s="1012"/>
      <c r="W333" s="1013"/>
      <c r="X333" s="1014"/>
      <c r="Y333" s="1012"/>
      <c r="Z333" s="1012"/>
      <c r="AA333" s="1012"/>
      <c r="AB333" s="1012"/>
      <c r="AC333" s="1012"/>
      <c r="AD333" s="1012"/>
      <c r="AE333" s="1012"/>
      <c r="AF333" s="1012"/>
      <c r="AG333" s="1012"/>
      <c r="AH333" s="1012"/>
      <c r="AI333" s="1012"/>
      <c r="AJ333" s="1012"/>
      <c r="AK333" s="1012"/>
    </row>
    <row r="334">
      <c r="A334" s="1012"/>
      <c r="B334" s="1013"/>
      <c r="C334" s="1012"/>
      <c r="D334" s="1013"/>
      <c r="E334" s="1012"/>
      <c r="F334" s="1012"/>
      <c r="G334" s="1013"/>
      <c r="H334" s="1012"/>
      <c r="I334" s="1012"/>
      <c r="J334" s="1013"/>
      <c r="K334" s="1013"/>
      <c r="L334" s="1094"/>
      <c r="M334" s="1094"/>
      <c r="N334" s="1013"/>
      <c r="O334" s="1013"/>
      <c r="P334" s="1013"/>
      <c r="Q334" s="1013"/>
      <c r="R334" s="1013"/>
      <c r="S334" s="1013"/>
      <c r="T334" s="1012"/>
      <c r="U334" s="1011"/>
      <c r="V334" s="1012"/>
      <c r="W334" s="1013"/>
      <c r="X334" s="1014"/>
      <c r="Y334" s="1012"/>
      <c r="Z334" s="1012"/>
      <c r="AA334" s="1012"/>
      <c r="AB334" s="1012"/>
      <c r="AC334" s="1012"/>
      <c r="AD334" s="1012"/>
      <c r="AE334" s="1012"/>
      <c r="AF334" s="1012"/>
      <c r="AG334" s="1012"/>
      <c r="AH334" s="1012"/>
      <c r="AI334" s="1012"/>
      <c r="AJ334" s="1012"/>
      <c r="AK334" s="1012"/>
    </row>
    <row r="335">
      <c r="A335" s="1012"/>
      <c r="B335" s="1013"/>
      <c r="C335" s="1012"/>
      <c r="D335" s="1013"/>
      <c r="E335" s="1012"/>
      <c r="F335" s="1012"/>
      <c r="G335" s="1013"/>
      <c r="H335" s="1012"/>
      <c r="I335" s="1012"/>
      <c r="J335" s="1013"/>
      <c r="K335" s="1013"/>
      <c r="L335" s="1094"/>
      <c r="M335" s="1094"/>
      <c r="N335" s="1013"/>
      <c r="O335" s="1013"/>
      <c r="P335" s="1013"/>
      <c r="Q335" s="1013"/>
      <c r="R335" s="1013"/>
      <c r="S335" s="1013"/>
      <c r="T335" s="1012"/>
      <c r="U335" s="1011"/>
      <c r="V335" s="1012"/>
      <c r="W335" s="1013"/>
      <c r="X335" s="1014"/>
      <c r="Y335" s="1012"/>
      <c r="Z335" s="1012"/>
      <c r="AA335" s="1012"/>
      <c r="AB335" s="1012"/>
      <c r="AC335" s="1012"/>
      <c r="AD335" s="1012"/>
      <c r="AE335" s="1012"/>
      <c r="AF335" s="1012"/>
      <c r="AG335" s="1012"/>
      <c r="AH335" s="1012"/>
      <c r="AI335" s="1012"/>
      <c r="AJ335" s="1012"/>
      <c r="AK335" s="1012"/>
    </row>
    <row r="336">
      <c r="A336" s="1012"/>
      <c r="B336" s="1013"/>
      <c r="C336" s="1012"/>
      <c r="D336" s="1013"/>
      <c r="E336" s="1012"/>
      <c r="F336" s="1012"/>
      <c r="G336" s="1013"/>
      <c r="H336" s="1012"/>
      <c r="I336" s="1012"/>
      <c r="J336" s="1013"/>
      <c r="K336" s="1013"/>
      <c r="L336" s="1094"/>
      <c r="M336" s="1094"/>
      <c r="N336" s="1013"/>
      <c r="O336" s="1013"/>
      <c r="P336" s="1013"/>
      <c r="Q336" s="1013"/>
      <c r="R336" s="1013"/>
      <c r="S336" s="1013"/>
      <c r="T336" s="1012"/>
      <c r="U336" s="1011"/>
      <c r="V336" s="1012"/>
      <c r="W336" s="1013"/>
      <c r="X336" s="1014"/>
      <c r="Y336" s="1012"/>
      <c r="Z336" s="1012"/>
      <c r="AA336" s="1012"/>
      <c r="AB336" s="1012"/>
      <c r="AC336" s="1012"/>
      <c r="AD336" s="1012"/>
      <c r="AE336" s="1012"/>
      <c r="AF336" s="1012"/>
      <c r="AG336" s="1012"/>
      <c r="AH336" s="1012"/>
      <c r="AI336" s="1012"/>
      <c r="AJ336" s="1012"/>
      <c r="AK336" s="1012"/>
    </row>
    <row r="337">
      <c r="A337" s="1012"/>
      <c r="B337" s="1013"/>
      <c r="C337" s="1012"/>
      <c r="D337" s="1013"/>
      <c r="E337" s="1012"/>
      <c r="F337" s="1012"/>
      <c r="G337" s="1013"/>
      <c r="H337" s="1012"/>
      <c r="I337" s="1012"/>
      <c r="J337" s="1013"/>
      <c r="K337" s="1013"/>
      <c r="L337" s="1094"/>
      <c r="M337" s="1094"/>
      <c r="N337" s="1013"/>
      <c r="O337" s="1013"/>
      <c r="P337" s="1013"/>
      <c r="Q337" s="1013"/>
      <c r="R337" s="1013"/>
      <c r="S337" s="1013"/>
      <c r="T337" s="1012"/>
      <c r="U337" s="1011"/>
      <c r="V337" s="1012"/>
      <c r="W337" s="1013"/>
      <c r="X337" s="1014"/>
      <c r="Y337" s="1012"/>
      <c r="Z337" s="1012"/>
      <c r="AA337" s="1012"/>
      <c r="AB337" s="1012"/>
      <c r="AC337" s="1012"/>
      <c r="AD337" s="1012"/>
      <c r="AE337" s="1012"/>
      <c r="AF337" s="1012"/>
      <c r="AG337" s="1012"/>
      <c r="AH337" s="1012"/>
      <c r="AI337" s="1012"/>
      <c r="AJ337" s="1012"/>
      <c r="AK337" s="1012"/>
    </row>
    <row r="338">
      <c r="A338" s="1012"/>
      <c r="B338" s="1013"/>
      <c r="C338" s="1012"/>
      <c r="D338" s="1013"/>
      <c r="E338" s="1012"/>
      <c r="F338" s="1012"/>
      <c r="G338" s="1013"/>
      <c r="H338" s="1012"/>
      <c r="I338" s="1012"/>
      <c r="J338" s="1013"/>
      <c r="K338" s="1013"/>
      <c r="L338" s="1094"/>
      <c r="M338" s="1094"/>
      <c r="N338" s="1013"/>
      <c r="O338" s="1013"/>
      <c r="P338" s="1013"/>
      <c r="Q338" s="1013"/>
      <c r="R338" s="1013"/>
      <c r="S338" s="1013"/>
      <c r="T338" s="1012"/>
      <c r="U338" s="1011"/>
      <c r="V338" s="1012"/>
      <c r="W338" s="1013"/>
      <c r="X338" s="1014"/>
      <c r="Y338" s="1012"/>
      <c r="Z338" s="1012"/>
      <c r="AA338" s="1012"/>
      <c r="AB338" s="1012"/>
      <c r="AC338" s="1012"/>
      <c r="AD338" s="1012"/>
      <c r="AE338" s="1012"/>
      <c r="AF338" s="1012"/>
      <c r="AG338" s="1012"/>
      <c r="AH338" s="1012"/>
      <c r="AI338" s="1012"/>
      <c r="AJ338" s="1012"/>
      <c r="AK338" s="1012"/>
    </row>
    <row r="339">
      <c r="A339" s="1012"/>
      <c r="B339" s="1013"/>
      <c r="C339" s="1012"/>
      <c r="D339" s="1013"/>
      <c r="E339" s="1012"/>
      <c r="F339" s="1012"/>
      <c r="G339" s="1013"/>
      <c r="H339" s="1012"/>
      <c r="I339" s="1012"/>
      <c r="J339" s="1013"/>
      <c r="K339" s="1013"/>
      <c r="L339" s="1094"/>
      <c r="M339" s="1094"/>
      <c r="N339" s="1013"/>
      <c r="O339" s="1013"/>
      <c r="P339" s="1013"/>
      <c r="Q339" s="1013"/>
      <c r="R339" s="1013"/>
      <c r="S339" s="1013"/>
      <c r="T339" s="1012"/>
      <c r="U339" s="1011"/>
      <c r="V339" s="1012"/>
      <c r="W339" s="1013"/>
      <c r="X339" s="1014"/>
      <c r="Y339" s="1012"/>
      <c r="Z339" s="1012"/>
      <c r="AA339" s="1012"/>
      <c r="AB339" s="1012"/>
      <c r="AC339" s="1012"/>
      <c r="AD339" s="1012"/>
      <c r="AE339" s="1012"/>
      <c r="AF339" s="1012"/>
      <c r="AG339" s="1012"/>
      <c r="AH339" s="1012"/>
      <c r="AI339" s="1012"/>
      <c r="AJ339" s="1012"/>
      <c r="AK339" s="1012"/>
    </row>
    <row r="340">
      <c r="A340" s="1012"/>
      <c r="B340" s="1013"/>
      <c r="C340" s="1012"/>
      <c r="D340" s="1013"/>
      <c r="E340" s="1012"/>
      <c r="F340" s="1012"/>
      <c r="G340" s="1013"/>
      <c r="H340" s="1012"/>
      <c r="I340" s="1012"/>
      <c r="J340" s="1013"/>
      <c r="K340" s="1013"/>
      <c r="L340" s="1094"/>
      <c r="M340" s="1094"/>
      <c r="N340" s="1013"/>
      <c r="O340" s="1013"/>
      <c r="P340" s="1013"/>
      <c r="Q340" s="1013"/>
      <c r="R340" s="1013"/>
      <c r="S340" s="1013"/>
      <c r="T340" s="1012"/>
      <c r="U340" s="1011"/>
      <c r="V340" s="1012"/>
      <c r="W340" s="1013"/>
      <c r="X340" s="1014"/>
      <c r="Y340" s="1012"/>
      <c r="Z340" s="1012"/>
      <c r="AA340" s="1012"/>
      <c r="AB340" s="1012"/>
      <c r="AC340" s="1012"/>
      <c r="AD340" s="1012"/>
      <c r="AE340" s="1012"/>
      <c r="AF340" s="1012"/>
      <c r="AG340" s="1012"/>
      <c r="AH340" s="1012"/>
      <c r="AI340" s="1012"/>
      <c r="AJ340" s="1012"/>
      <c r="AK340" s="1012"/>
    </row>
    <row r="341">
      <c r="A341" s="1012"/>
      <c r="B341" s="1013"/>
      <c r="C341" s="1012"/>
      <c r="D341" s="1013"/>
      <c r="E341" s="1012"/>
      <c r="F341" s="1012"/>
      <c r="G341" s="1013"/>
      <c r="H341" s="1012"/>
      <c r="I341" s="1012"/>
      <c r="J341" s="1013"/>
      <c r="K341" s="1013"/>
      <c r="L341" s="1094"/>
      <c r="M341" s="1094"/>
      <c r="N341" s="1013"/>
      <c r="O341" s="1013"/>
      <c r="P341" s="1013"/>
      <c r="Q341" s="1013"/>
      <c r="R341" s="1013"/>
      <c r="S341" s="1013"/>
      <c r="T341" s="1012"/>
      <c r="U341" s="1011"/>
      <c r="V341" s="1012"/>
      <c r="W341" s="1013"/>
      <c r="X341" s="1014"/>
      <c r="Y341" s="1012"/>
      <c r="Z341" s="1012"/>
      <c r="AA341" s="1012"/>
      <c r="AB341" s="1012"/>
      <c r="AC341" s="1012"/>
      <c r="AD341" s="1012"/>
      <c r="AE341" s="1012"/>
      <c r="AF341" s="1012"/>
      <c r="AG341" s="1012"/>
      <c r="AH341" s="1012"/>
      <c r="AI341" s="1012"/>
      <c r="AJ341" s="1012"/>
      <c r="AK341" s="1012"/>
    </row>
    <row r="342">
      <c r="A342" s="1012"/>
      <c r="B342" s="1013"/>
      <c r="C342" s="1012"/>
      <c r="D342" s="1013"/>
      <c r="E342" s="1012"/>
      <c r="F342" s="1012"/>
      <c r="G342" s="1013"/>
      <c r="H342" s="1012"/>
      <c r="I342" s="1012"/>
      <c r="J342" s="1013"/>
      <c r="K342" s="1013"/>
      <c r="L342" s="1094"/>
      <c r="M342" s="1094"/>
      <c r="N342" s="1013"/>
      <c r="O342" s="1013"/>
      <c r="P342" s="1013"/>
      <c r="Q342" s="1013"/>
      <c r="R342" s="1013"/>
      <c r="S342" s="1013"/>
      <c r="T342" s="1012"/>
      <c r="U342" s="1011"/>
      <c r="V342" s="1012"/>
      <c r="W342" s="1013"/>
      <c r="X342" s="1014"/>
      <c r="Y342" s="1012"/>
      <c r="Z342" s="1012"/>
      <c r="AA342" s="1012"/>
      <c r="AB342" s="1012"/>
      <c r="AC342" s="1012"/>
      <c r="AD342" s="1012"/>
      <c r="AE342" s="1012"/>
      <c r="AF342" s="1012"/>
      <c r="AG342" s="1012"/>
      <c r="AH342" s="1012"/>
      <c r="AI342" s="1012"/>
      <c r="AJ342" s="1012"/>
      <c r="AK342" s="1012"/>
    </row>
    <row r="343">
      <c r="A343" s="1012"/>
      <c r="B343" s="1013"/>
      <c r="C343" s="1012"/>
      <c r="D343" s="1013"/>
      <c r="E343" s="1012"/>
      <c r="F343" s="1012"/>
      <c r="G343" s="1013"/>
      <c r="H343" s="1012"/>
      <c r="I343" s="1012"/>
      <c r="J343" s="1013"/>
      <c r="K343" s="1013"/>
      <c r="L343" s="1094"/>
      <c r="M343" s="1094"/>
      <c r="N343" s="1013"/>
      <c r="O343" s="1013"/>
      <c r="P343" s="1013"/>
      <c r="Q343" s="1013"/>
      <c r="R343" s="1013"/>
      <c r="S343" s="1013"/>
      <c r="T343" s="1012"/>
      <c r="U343" s="1011"/>
      <c r="V343" s="1012"/>
      <c r="W343" s="1013"/>
      <c r="X343" s="1014"/>
      <c r="Y343" s="1012"/>
      <c r="Z343" s="1012"/>
      <c r="AA343" s="1012"/>
      <c r="AB343" s="1012"/>
      <c r="AC343" s="1012"/>
      <c r="AD343" s="1012"/>
      <c r="AE343" s="1012"/>
      <c r="AF343" s="1012"/>
      <c r="AG343" s="1012"/>
      <c r="AH343" s="1012"/>
      <c r="AI343" s="1012"/>
      <c r="AJ343" s="1012"/>
      <c r="AK343" s="1012"/>
    </row>
    <row r="344">
      <c r="A344" s="1012"/>
      <c r="B344" s="1013"/>
      <c r="C344" s="1012"/>
      <c r="D344" s="1013"/>
      <c r="E344" s="1012"/>
      <c r="F344" s="1012"/>
      <c r="G344" s="1013"/>
      <c r="H344" s="1012"/>
      <c r="I344" s="1012"/>
      <c r="J344" s="1013"/>
      <c r="K344" s="1013"/>
      <c r="L344" s="1094"/>
      <c r="M344" s="1094"/>
      <c r="N344" s="1013"/>
      <c r="O344" s="1013"/>
      <c r="P344" s="1013"/>
      <c r="Q344" s="1013"/>
      <c r="R344" s="1013"/>
      <c r="S344" s="1013"/>
      <c r="T344" s="1012"/>
      <c r="U344" s="1011"/>
      <c r="V344" s="1012"/>
      <c r="W344" s="1013"/>
      <c r="X344" s="1014"/>
      <c r="Y344" s="1012"/>
      <c r="Z344" s="1012"/>
      <c r="AA344" s="1012"/>
      <c r="AB344" s="1012"/>
      <c r="AC344" s="1012"/>
      <c r="AD344" s="1012"/>
      <c r="AE344" s="1012"/>
      <c r="AF344" s="1012"/>
      <c r="AG344" s="1012"/>
      <c r="AH344" s="1012"/>
      <c r="AI344" s="1012"/>
      <c r="AJ344" s="1012"/>
      <c r="AK344" s="1012"/>
    </row>
    <row r="345">
      <c r="A345" s="1012"/>
      <c r="B345" s="1013"/>
      <c r="C345" s="1012"/>
      <c r="D345" s="1013"/>
      <c r="E345" s="1012"/>
      <c r="F345" s="1012"/>
      <c r="G345" s="1013"/>
      <c r="H345" s="1012"/>
      <c r="I345" s="1012"/>
      <c r="J345" s="1013"/>
      <c r="K345" s="1013"/>
      <c r="L345" s="1094"/>
      <c r="M345" s="1094"/>
      <c r="N345" s="1013"/>
      <c r="O345" s="1013"/>
      <c r="P345" s="1013"/>
      <c r="Q345" s="1013"/>
      <c r="R345" s="1013"/>
      <c r="S345" s="1013"/>
      <c r="T345" s="1012"/>
      <c r="U345" s="1011"/>
      <c r="V345" s="1012"/>
      <c r="W345" s="1013"/>
      <c r="X345" s="1014"/>
      <c r="Y345" s="1012"/>
      <c r="Z345" s="1012"/>
      <c r="AA345" s="1012"/>
      <c r="AB345" s="1012"/>
      <c r="AC345" s="1012"/>
      <c r="AD345" s="1012"/>
      <c r="AE345" s="1012"/>
      <c r="AF345" s="1012"/>
      <c r="AG345" s="1012"/>
      <c r="AH345" s="1012"/>
      <c r="AI345" s="1012"/>
      <c r="AJ345" s="1012"/>
      <c r="AK345" s="1012"/>
    </row>
    <row r="346">
      <c r="A346" s="1012"/>
      <c r="B346" s="1013"/>
      <c r="C346" s="1012"/>
      <c r="D346" s="1013"/>
      <c r="E346" s="1012"/>
      <c r="F346" s="1012"/>
      <c r="G346" s="1013"/>
      <c r="H346" s="1012"/>
      <c r="I346" s="1012"/>
      <c r="J346" s="1013"/>
      <c r="K346" s="1013"/>
      <c r="L346" s="1094"/>
      <c r="M346" s="1094"/>
      <c r="N346" s="1013"/>
      <c r="O346" s="1013"/>
      <c r="P346" s="1013"/>
      <c r="Q346" s="1013"/>
      <c r="R346" s="1013"/>
      <c r="S346" s="1013"/>
      <c r="T346" s="1012"/>
      <c r="U346" s="1011"/>
      <c r="V346" s="1012"/>
      <c r="W346" s="1013"/>
      <c r="X346" s="1014"/>
      <c r="Y346" s="1012"/>
      <c r="Z346" s="1012"/>
      <c r="AA346" s="1012"/>
      <c r="AB346" s="1012"/>
      <c r="AC346" s="1012"/>
      <c r="AD346" s="1012"/>
      <c r="AE346" s="1012"/>
      <c r="AF346" s="1012"/>
      <c r="AG346" s="1012"/>
      <c r="AH346" s="1012"/>
      <c r="AI346" s="1012"/>
      <c r="AJ346" s="1012"/>
      <c r="AK346" s="1012"/>
    </row>
    <row r="347">
      <c r="A347" s="1012"/>
      <c r="B347" s="1013"/>
      <c r="C347" s="1012"/>
      <c r="D347" s="1013"/>
      <c r="E347" s="1012"/>
      <c r="F347" s="1012"/>
      <c r="G347" s="1013"/>
      <c r="H347" s="1012"/>
      <c r="I347" s="1012"/>
      <c r="J347" s="1013"/>
      <c r="K347" s="1013"/>
      <c r="L347" s="1094"/>
      <c r="M347" s="1094"/>
      <c r="N347" s="1013"/>
      <c r="O347" s="1013"/>
      <c r="P347" s="1013"/>
      <c r="Q347" s="1013"/>
      <c r="R347" s="1013"/>
      <c r="S347" s="1013"/>
      <c r="T347" s="1012"/>
      <c r="U347" s="1011"/>
      <c r="V347" s="1012"/>
      <c r="W347" s="1013"/>
      <c r="X347" s="1014"/>
      <c r="Y347" s="1012"/>
      <c r="Z347" s="1012"/>
      <c r="AA347" s="1012"/>
      <c r="AB347" s="1012"/>
      <c r="AC347" s="1012"/>
      <c r="AD347" s="1012"/>
      <c r="AE347" s="1012"/>
      <c r="AF347" s="1012"/>
      <c r="AG347" s="1012"/>
      <c r="AH347" s="1012"/>
      <c r="AI347" s="1012"/>
      <c r="AJ347" s="1012"/>
      <c r="AK347" s="1012"/>
    </row>
    <row r="348">
      <c r="A348" s="1012"/>
      <c r="B348" s="1013"/>
      <c r="C348" s="1012"/>
      <c r="D348" s="1013"/>
      <c r="E348" s="1012"/>
      <c r="F348" s="1012"/>
      <c r="G348" s="1013"/>
      <c r="H348" s="1012"/>
      <c r="I348" s="1012"/>
      <c r="J348" s="1013"/>
      <c r="K348" s="1013"/>
      <c r="L348" s="1094"/>
      <c r="M348" s="1094"/>
      <c r="N348" s="1013"/>
      <c r="O348" s="1013"/>
      <c r="P348" s="1013"/>
      <c r="Q348" s="1013"/>
      <c r="R348" s="1013"/>
      <c r="S348" s="1013"/>
      <c r="T348" s="1012"/>
      <c r="U348" s="1011"/>
      <c r="V348" s="1012"/>
      <c r="W348" s="1013"/>
      <c r="X348" s="1014"/>
      <c r="Y348" s="1012"/>
      <c r="Z348" s="1012"/>
      <c r="AA348" s="1012"/>
      <c r="AB348" s="1012"/>
      <c r="AC348" s="1012"/>
      <c r="AD348" s="1012"/>
      <c r="AE348" s="1012"/>
      <c r="AF348" s="1012"/>
      <c r="AG348" s="1012"/>
      <c r="AH348" s="1012"/>
      <c r="AI348" s="1012"/>
      <c r="AJ348" s="1012"/>
      <c r="AK348" s="1012"/>
    </row>
    <row r="349">
      <c r="A349" s="1012"/>
      <c r="B349" s="1013"/>
      <c r="C349" s="1012"/>
      <c r="D349" s="1013"/>
      <c r="E349" s="1012"/>
      <c r="F349" s="1012"/>
      <c r="G349" s="1013"/>
      <c r="H349" s="1012"/>
      <c r="I349" s="1012"/>
      <c r="J349" s="1013"/>
      <c r="K349" s="1013"/>
      <c r="L349" s="1094"/>
      <c r="M349" s="1094"/>
      <c r="N349" s="1013"/>
      <c r="O349" s="1013"/>
      <c r="P349" s="1013"/>
      <c r="Q349" s="1013"/>
      <c r="R349" s="1013"/>
      <c r="S349" s="1013"/>
      <c r="T349" s="1012"/>
      <c r="U349" s="1011"/>
      <c r="V349" s="1012"/>
      <c r="W349" s="1013"/>
      <c r="X349" s="1014"/>
      <c r="Y349" s="1012"/>
      <c r="Z349" s="1012"/>
      <c r="AA349" s="1012"/>
      <c r="AB349" s="1012"/>
      <c r="AC349" s="1012"/>
      <c r="AD349" s="1012"/>
      <c r="AE349" s="1012"/>
      <c r="AF349" s="1012"/>
      <c r="AG349" s="1012"/>
      <c r="AH349" s="1012"/>
      <c r="AI349" s="1012"/>
      <c r="AJ349" s="1012"/>
      <c r="AK349" s="1012"/>
    </row>
    <row r="350">
      <c r="A350" s="1012"/>
      <c r="B350" s="1013"/>
      <c r="C350" s="1012"/>
      <c r="D350" s="1013"/>
      <c r="E350" s="1012"/>
      <c r="F350" s="1012"/>
      <c r="G350" s="1013"/>
      <c r="H350" s="1012"/>
      <c r="I350" s="1012"/>
      <c r="J350" s="1013"/>
      <c r="K350" s="1013"/>
      <c r="L350" s="1094"/>
      <c r="M350" s="1094"/>
      <c r="N350" s="1013"/>
      <c r="O350" s="1013"/>
      <c r="P350" s="1013"/>
      <c r="Q350" s="1013"/>
      <c r="R350" s="1013"/>
      <c r="S350" s="1013"/>
      <c r="T350" s="1012"/>
      <c r="U350" s="1011"/>
      <c r="V350" s="1012"/>
      <c r="W350" s="1013"/>
      <c r="X350" s="1014"/>
      <c r="Y350" s="1012"/>
      <c r="Z350" s="1012"/>
      <c r="AA350" s="1012"/>
      <c r="AB350" s="1012"/>
      <c r="AC350" s="1012"/>
      <c r="AD350" s="1012"/>
      <c r="AE350" s="1012"/>
      <c r="AF350" s="1012"/>
      <c r="AG350" s="1012"/>
      <c r="AH350" s="1012"/>
      <c r="AI350" s="1012"/>
      <c r="AJ350" s="1012"/>
      <c r="AK350" s="1012"/>
    </row>
    <row r="351">
      <c r="A351" s="1012"/>
      <c r="B351" s="1013"/>
      <c r="C351" s="1012"/>
      <c r="D351" s="1013"/>
      <c r="E351" s="1012"/>
      <c r="F351" s="1012"/>
      <c r="G351" s="1013"/>
      <c r="H351" s="1012"/>
      <c r="I351" s="1012"/>
      <c r="J351" s="1013"/>
      <c r="K351" s="1013"/>
      <c r="L351" s="1094"/>
      <c r="M351" s="1094"/>
      <c r="N351" s="1013"/>
      <c r="O351" s="1013"/>
      <c r="P351" s="1013"/>
      <c r="Q351" s="1013"/>
      <c r="R351" s="1013"/>
      <c r="S351" s="1013"/>
      <c r="T351" s="1012"/>
      <c r="U351" s="1011"/>
      <c r="V351" s="1012"/>
      <c r="W351" s="1013"/>
      <c r="X351" s="1014"/>
      <c r="Y351" s="1012"/>
      <c r="Z351" s="1012"/>
      <c r="AA351" s="1012"/>
      <c r="AB351" s="1012"/>
      <c r="AC351" s="1012"/>
      <c r="AD351" s="1012"/>
      <c r="AE351" s="1012"/>
      <c r="AF351" s="1012"/>
      <c r="AG351" s="1012"/>
      <c r="AH351" s="1012"/>
      <c r="AI351" s="1012"/>
      <c r="AJ351" s="1012"/>
      <c r="AK351" s="1012"/>
    </row>
    <row r="352">
      <c r="A352" s="1012"/>
      <c r="B352" s="1013"/>
      <c r="C352" s="1012"/>
      <c r="D352" s="1013"/>
      <c r="E352" s="1012"/>
      <c r="F352" s="1012"/>
      <c r="G352" s="1013"/>
      <c r="H352" s="1012"/>
      <c r="I352" s="1012"/>
      <c r="J352" s="1013"/>
      <c r="K352" s="1013"/>
      <c r="L352" s="1094"/>
      <c r="M352" s="1094"/>
      <c r="N352" s="1013"/>
      <c r="O352" s="1013"/>
      <c r="P352" s="1013"/>
      <c r="Q352" s="1013"/>
      <c r="R352" s="1013"/>
      <c r="S352" s="1013"/>
      <c r="T352" s="1012"/>
      <c r="U352" s="1011"/>
      <c r="V352" s="1012"/>
      <c r="W352" s="1013"/>
      <c r="X352" s="1014"/>
      <c r="Y352" s="1012"/>
      <c r="Z352" s="1012"/>
      <c r="AA352" s="1012"/>
      <c r="AB352" s="1012"/>
      <c r="AC352" s="1012"/>
      <c r="AD352" s="1012"/>
      <c r="AE352" s="1012"/>
      <c r="AF352" s="1012"/>
      <c r="AG352" s="1012"/>
      <c r="AH352" s="1012"/>
      <c r="AI352" s="1012"/>
      <c r="AJ352" s="1012"/>
      <c r="AK352" s="1012"/>
    </row>
    <row r="353">
      <c r="A353" s="1012"/>
      <c r="B353" s="1013"/>
      <c r="C353" s="1012"/>
      <c r="D353" s="1013"/>
      <c r="E353" s="1012"/>
      <c r="F353" s="1012"/>
      <c r="G353" s="1013"/>
      <c r="H353" s="1012"/>
      <c r="I353" s="1012"/>
      <c r="J353" s="1013"/>
      <c r="K353" s="1013"/>
      <c r="L353" s="1094"/>
      <c r="M353" s="1094"/>
      <c r="N353" s="1013"/>
      <c r="O353" s="1013"/>
      <c r="P353" s="1013"/>
      <c r="Q353" s="1013"/>
      <c r="R353" s="1013"/>
      <c r="S353" s="1013"/>
      <c r="T353" s="1012"/>
      <c r="U353" s="1011"/>
      <c r="V353" s="1012"/>
      <c r="W353" s="1013"/>
      <c r="X353" s="1014"/>
      <c r="Y353" s="1012"/>
      <c r="Z353" s="1012"/>
      <c r="AA353" s="1012"/>
      <c r="AB353" s="1012"/>
      <c r="AC353" s="1012"/>
      <c r="AD353" s="1012"/>
      <c r="AE353" s="1012"/>
      <c r="AF353" s="1012"/>
      <c r="AG353" s="1012"/>
      <c r="AH353" s="1012"/>
      <c r="AI353" s="1012"/>
      <c r="AJ353" s="1012"/>
      <c r="AK353" s="1012"/>
    </row>
    <row r="354">
      <c r="A354" s="1012"/>
      <c r="B354" s="1013"/>
      <c r="C354" s="1012"/>
      <c r="D354" s="1013"/>
      <c r="E354" s="1012"/>
      <c r="F354" s="1012"/>
      <c r="G354" s="1013"/>
      <c r="H354" s="1012"/>
      <c r="I354" s="1012"/>
      <c r="J354" s="1013"/>
      <c r="K354" s="1013"/>
      <c r="L354" s="1094"/>
      <c r="M354" s="1094"/>
      <c r="N354" s="1013"/>
      <c r="O354" s="1013"/>
      <c r="P354" s="1013"/>
      <c r="Q354" s="1013"/>
      <c r="R354" s="1013"/>
      <c r="S354" s="1013"/>
      <c r="T354" s="1012"/>
      <c r="U354" s="1011"/>
      <c r="V354" s="1012"/>
      <c r="W354" s="1013"/>
      <c r="X354" s="1014"/>
      <c r="Y354" s="1012"/>
      <c r="Z354" s="1012"/>
      <c r="AA354" s="1012"/>
      <c r="AB354" s="1012"/>
      <c r="AC354" s="1012"/>
      <c r="AD354" s="1012"/>
      <c r="AE354" s="1012"/>
      <c r="AF354" s="1012"/>
      <c r="AG354" s="1012"/>
      <c r="AH354" s="1012"/>
      <c r="AI354" s="1012"/>
      <c r="AJ354" s="1012"/>
      <c r="AK354" s="1012"/>
    </row>
    <row r="355">
      <c r="A355" s="1012"/>
      <c r="B355" s="1013"/>
      <c r="C355" s="1012"/>
      <c r="D355" s="1013"/>
      <c r="E355" s="1012"/>
      <c r="F355" s="1012"/>
      <c r="G355" s="1013"/>
      <c r="H355" s="1012"/>
      <c r="I355" s="1012"/>
      <c r="J355" s="1013"/>
      <c r="K355" s="1013"/>
      <c r="L355" s="1094"/>
      <c r="M355" s="1094"/>
      <c r="N355" s="1013"/>
      <c r="O355" s="1013"/>
      <c r="P355" s="1013"/>
      <c r="Q355" s="1013"/>
      <c r="R355" s="1013"/>
      <c r="S355" s="1013"/>
      <c r="T355" s="1012"/>
      <c r="U355" s="1011"/>
      <c r="V355" s="1012"/>
      <c r="W355" s="1013"/>
      <c r="X355" s="1014"/>
      <c r="Y355" s="1012"/>
      <c r="Z355" s="1012"/>
      <c r="AA355" s="1012"/>
      <c r="AB355" s="1012"/>
      <c r="AC355" s="1012"/>
      <c r="AD355" s="1012"/>
      <c r="AE355" s="1012"/>
      <c r="AF355" s="1012"/>
      <c r="AG355" s="1012"/>
      <c r="AH355" s="1012"/>
      <c r="AI355" s="1012"/>
      <c r="AJ355" s="1012"/>
      <c r="AK355" s="1012"/>
    </row>
    <row r="356">
      <c r="A356" s="1012"/>
      <c r="B356" s="1013"/>
      <c r="C356" s="1012"/>
      <c r="D356" s="1013"/>
      <c r="E356" s="1012"/>
      <c r="F356" s="1012"/>
      <c r="G356" s="1013"/>
      <c r="H356" s="1012"/>
      <c r="I356" s="1012"/>
      <c r="J356" s="1013"/>
      <c r="K356" s="1013"/>
      <c r="L356" s="1094"/>
      <c r="M356" s="1094"/>
      <c r="N356" s="1013"/>
      <c r="O356" s="1013"/>
      <c r="P356" s="1013"/>
      <c r="Q356" s="1013"/>
      <c r="R356" s="1013"/>
      <c r="S356" s="1013"/>
      <c r="T356" s="1012"/>
      <c r="U356" s="1011"/>
      <c r="V356" s="1012"/>
      <c r="W356" s="1013"/>
      <c r="X356" s="1014"/>
      <c r="Y356" s="1012"/>
      <c r="Z356" s="1012"/>
      <c r="AA356" s="1012"/>
      <c r="AB356" s="1012"/>
      <c r="AC356" s="1012"/>
      <c r="AD356" s="1012"/>
      <c r="AE356" s="1012"/>
      <c r="AF356" s="1012"/>
      <c r="AG356" s="1012"/>
      <c r="AH356" s="1012"/>
      <c r="AI356" s="1012"/>
      <c r="AJ356" s="1012"/>
      <c r="AK356" s="1012"/>
    </row>
    <row r="357">
      <c r="A357" s="1012"/>
      <c r="B357" s="1013"/>
      <c r="C357" s="1012"/>
      <c r="D357" s="1013"/>
      <c r="E357" s="1012"/>
      <c r="F357" s="1012"/>
      <c r="G357" s="1013"/>
      <c r="H357" s="1012"/>
      <c r="I357" s="1012"/>
      <c r="J357" s="1013"/>
      <c r="K357" s="1013"/>
      <c r="L357" s="1094"/>
      <c r="M357" s="1094"/>
      <c r="N357" s="1013"/>
      <c r="O357" s="1013"/>
      <c r="P357" s="1013"/>
      <c r="Q357" s="1013"/>
      <c r="R357" s="1013"/>
      <c r="S357" s="1013"/>
      <c r="T357" s="1012"/>
      <c r="U357" s="1011"/>
      <c r="V357" s="1012"/>
      <c r="W357" s="1013"/>
      <c r="X357" s="1014"/>
      <c r="Y357" s="1012"/>
      <c r="Z357" s="1012"/>
      <c r="AA357" s="1012"/>
      <c r="AB357" s="1012"/>
      <c r="AC357" s="1012"/>
      <c r="AD357" s="1012"/>
      <c r="AE357" s="1012"/>
      <c r="AF357" s="1012"/>
      <c r="AG357" s="1012"/>
      <c r="AH357" s="1012"/>
      <c r="AI357" s="1012"/>
      <c r="AJ357" s="1012"/>
      <c r="AK357" s="1012"/>
    </row>
    <row r="358">
      <c r="A358" s="1012"/>
      <c r="B358" s="1013"/>
      <c r="C358" s="1012"/>
      <c r="D358" s="1013"/>
      <c r="E358" s="1012"/>
      <c r="F358" s="1012"/>
      <c r="G358" s="1013"/>
      <c r="H358" s="1012"/>
      <c r="I358" s="1012"/>
      <c r="J358" s="1013"/>
      <c r="K358" s="1013"/>
      <c r="L358" s="1094"/>
      <c r="M358" s="1094"/>
      <c r="N358" s="1013"/>
      <c r="O358" s="1013"/>
      <c r="P358" s="1013"/>
      <c r="Q358" s="1013"/>
      <c r="R358" s="1013"/>
      <c r="S358" s="1013"/>
      <c r="T358" s="1012"/>
      <c r="U358" s="1011"/>
      <c r="V358" s="1012"/>
      <c r="W358" s="1013"/>
      <c r="X358" s="1014"/>
      <c r="Y358" s="1012"/>
      <c r="Z358" s="1012"/>
      <c r="AA358" s="1012"/>
      <c r="AB358" s="1012"/>
      <c r="AC358" s="1012"/>
      <c r="AD358" s="1012"/>
      <c r="AE358" s="1012"/>
      <c r="AF358" s="1012"/>
      <c r="AG358" s="1012"/>
      <c r="AH358" s="1012"/>
      <c r="AI358" s="1012"/>
      <c r="AJ358" s="1012"/>
      <c r="AK358" s="1012"/>
    </row>
    <row r="359">
      <c r="A359" s="1012"/>
      <c r="B359" s="1013"/>
      <c r="C359" s="1012"/>
      <c r="D359" s="1013"/>
      <c r="E359" s="1012"/>
      <c r="F359" s="1012"/>
      <c r="G359" s="1013"/>
      <c r="H359" s="1012"/>
      <c r="I359" s="1012"/>
      <c r="J359" s="1013"/>
      <c r="K359" s="1013"/>
      <c r="L359" s="1094"/>
      <c r="M359" s="1094"/>
      <c r="N359" s="1013"/>
      <c r="O359" s="1013"/>
      <c r="P359" s="1013"/>
      <c r="Q359" s="1013"/>
      <c r="R359" s="1013"/>
      <c r="S359" s="1013"/>
      <c r="T359" s="1012"/>
      <c r="U359" s="1011"/>
      <c r="V359" s="1012"/>
      <c r="W359" s="1013"/>
      <c r="X359" s="1014"/>
      <c r="Y359" s="1012"/>
      <c r="Z359" s="1012"/>
      <c r="AA359" s="1012"/>
      <c r="AB359" s="1012"/>
      <c r="AC359" s="1012"/>
      <c r="AD359" s="1012"/>
      <c r="AE359" s="1012"/>
      <c r="AF359" s="1012"/>
      <c r="AG359" s="1012"/>
      <c r="AH359" s="1012"/>
      <c r="AI359" s="1012"/>
      <c r="AJ359" s="1012"/>
      <c r="AK359" s="1012"/>
    </row>
    <row r="360">
      <c r="A360" s="1012"/>
      <c r="B360" s="1013"/>
      <c r="C360" s="1012"/>
      <c r="D360" s="1013"/>
      <c r="E360" s="1012"/>
      <c r="F360" s="1012"/>
      <c r="G360" s="1013"/>
      <c r="H360" s="1012"/>
      <c r="I360" s="1012"/>
      <c r="J360" s="1013"/>
      <c r="K360" s="1013"/>
      <c r="L360" s="1094"/>
      <c r="M360" s="1094"/>
      <c r="N360" s="1013"/>
      <c r="O360" s="1013"/>
      <c r="P360" s="1013"/>
      <c r="Q360" s="1013"/>
      <c r="R360" s="1013"/>
      <c r="S360" s="1013"/>
      <c r="T360" s="1012"/>
      <c r="U360" s="1011"/>
      <c r="V360" s="1012"/>
      <c r="W360" s="1013"/>
      <c r="X360" s="1014"/>
      <c r="Y360" s="1012"/>
      <c r="Z360" s="1012"/>
      <c r="AA360" s="1012"/>
      <c r="AB360" s="1012"/>
      <c r="AC360" s="1012"/>
      <c r="AD360" s="1012"/>
      <c r="AE360" s="1012"/>
      <c r="AF360" s="1012"/>
      <c r="AG360" s="1012"/>
      <c r="AH360" s="1012"/>
      <c r="AI360" s="1012"/>
      <c r="AJ360" s="1012"/>
      <c r="AK360" s="1012"/>
    </row>
    <row r="361">
      <c r="A361" s="1012"/>
      <c r="B361" s="1013"/>
      <c r="C361" s="1012"/>
      <c r="D361" s="1013"/>
      <c r="E361" s="1012"/>
      <c r="F361" s="1012"/>
      <c r="G361" s="1013"/>
      <c r="H361" s="1012"/>
      <c r="I361" s="1012"/>
      <c r="J361" s="1013"/>
      <c r="K361" s="1013"/>
      <c r="L361" s="1094"/>
      <c r="M361" s="1094"/>
      <c r="N361" s="1013"/>
      <c r="O361" s="1013"/>
      <c r="P361" s="1013"/>
      <c r="Q361" s="1013"/>
      <c r="R361" s="1013"/>
      <c r="S361" s="1013"/>
      <c r="T361" s="1012"/>
      <c r="U361" s="1011"/>
      <c r="V361" s="1012"/>
      <c r="W361" s="1013"/>
      <c r="X361" s="1014"/>
      <c r="Y361" s="1012"/>
      <c r="Z361" s="1012"/>
      <c r="AA361" s="1012"/>
      <c r="AB361" s="1012"/>
      <c r="AC361" s="1012"/>
      <c r="AD361" s="1012"/>
      <c r="AE361" s="1012"/>
      <c r="AF361" s="1012"/>
      <c r="AG361" s="1012"/>
      <c r="AH361" s="1012"/>
      <c r="AI361" s="1012"/>
      <c r="AJ361" s="1012"/>
      <c r="AK361" s="1012"/>
    </row>
    <row r="362">
      <c r="A362" s="1012"/>
      <c r="B362" s="1013"/>
      <c r="C362" s="1012"/>
      <c r="D362" s="1013"/>
      <c r="E362" s="1012"/>
      <c r="F362" s="1012"/>
      <c r="G362" s="1013"/>
      <c r="H362" s="1012"/>
      <c r="I362" s="1012"/>
      <c r="J362" s="1013"/>
      <c r="K362" s="1013"/>
      <c r="L362" s="1094"/>
      <c r="M362" s="1094"/>
      <c r="N362" s="1013"/>
      <c r="O362" s="1013"/>
      <c r="P362" s="1013"/>
      <c r="Q362" s="1013"/>
      <c r="R362" s="1013"/>
      <c r="S362" s="1013"/>
      <c r="T362" s="1012"/>
      <c r="U362" s="1011"/>
      <c r="V362" s="1012"/>
      <c r="W362" s="1013"/>
      <c r="X362" s="1014"/>
      <c r="Y362" s="1012"/>
      <c r="Z362" s="1012"/>
      <c r="AA362" s="1012"/>
      <c r="AB362" s="1012"/>
      <c r="AC362" s="1012"/>
      <c r="AD362" s="1012"/>
      <c r="AE362" s="1012"/>
      <c r="AF362" s="1012"/>
      <c r="AG362" s="1012"/>
      <c r="AH362" s="1012"/>
      <c r="AI362" s="1012"/>
      <c r="AJ362" s="1012"/>
      <c r="AK362" s="1012"/>
    </row>
    <row r="363">
      <c r="A363" s="1012"/>
      <c r="B363" s="1013"/>
      <c r="C363" s="1012"/>
      <c r="D363" s="1013"/>
      <c r="E363" s="1012"/>
      <c r="F363" s="1012"/>
      <c r="G363" s="1013"/>
      <c r="H363" s="1012"/>
      <c r="I363" s="1012"/>
      <c r="J363" s="1013"/>
      <c r="K363" s="1013"/>
      <c r="L363" s="1094"/>
      <c r="M363" s="1094"/>
      <c r="N363" s="1013"/>
      <c r="O363" s="1013"/>
      <c r="P363" s="1013"/>
      <c r="Q363" s="1013"/>
      <c r="R363" s="1013"/>
      <c r="S363" s="1013"/>
      <c r="T363" s="1012"/>
      <c r="U363" s="1011"/>
      <c r="V363" s="1012"/>
      <c r="W363" s="1013"/>
      <c r="X363" s="1014"/>
      <c r="Y363" s="1012"/>
      <c r="Z363" s="1012"/>
      <c r="AA363" s="1012"/>
      <c r="AB363" s="1012"/>
      <c r="AC363" s="1012"/>
      <c r="AD363" s="1012"/>
      <c r="AE363" s="1012"/>
      <c r="AF363" s="1012"/>
      <c r="AG363" s="1012"/>
      <c r="AH363" s="1012"/>
      <c r="AI363" s="1012"/>
      <c r="AJ363" s="1012"/>
      <c r="AK363" s="1012"/>
    </row>
    <row r="364">
      <c r="A364" s="1012"/>
      <c r="B364" s="1013"/>
      <c r="C364" s="1012"/>
      <c r="D364" s="1013"/>
      <c r="E364" s="1012"/>
      <c r="F364" s="1012"/>
      <c r="G364" s="1013"/>
      <c r="H364" s="1012"/>
      <c r="I364" s="1012"/>
      <c r="J364" s="1013"/>
      <c r="K364" s="1013"/>
      <c r="L364" s="1094"/>
      <c r="M364" s="1094"/>
      <c r="N364" s="1013"/>
      <c r="O364" s="1013"/>
      <c r="P364" s="1013"/>
      <c r="Q364" s="1013"/>
      <c r="R364" s="1013"/>
      <c r="S364" s="1013"/>
      <c r="T364" s="1012"/>
      <c r="U364" s="1011"/>
      <c r="V364" s="1012"/>
      <c r="W364" s="1013"/>
      <c r="X364" s="1014"/>
      <c r="Y364" s="1012"/>
      <c r="Z364" s="1012"/>
      <c r="AA364" s="1012"/>
      <c r="AB364" s="1012"/>
      <c r="AC364" s="1012"/>
      <c r="AD364" s="1012"/>
      <c r="AE364" s="1012"/>
      <c r="AF364" s="1012"/>
      <c r="AG364" s="1012"/>
      <c r="AH364" s="1012"/>
      <c r="AI364" s="1012"/>
      <c r="AJ364" s="1012"/>
      <c r="AK364" s="1012"/>
    </row>
    <row r="365">
      <c r="A365" s="1012"/>
      <c r="B365" s="1013"/>
      <c r="C365" s="1012"/>
      <c r="D365" s="1013"/>
      <c r="E365" s="1012"/>
      <c r="F365" s="1012"/>
      <c r="G365" s="1013"/>
      <c r="H365" s="1012"/>
      <c r="I365" s="1012"/>
      <c r="J365" s="1013"/>
      <c r="K365" s="1013"/>
      <c r="L365" s="1094"/>
      <c r="M365" s="1094"/>
      <c r="N365" s="1013"/>
      <c r="O365" s="1013"/>
      <c r="P365" s="1013"/>
      <c r="Q365" s="1013"/>
      <c r="R365" s="1013"/>
      <c r="S365" s="1013"/>
      <c r="T365" s="1012"/>
      <c r="U365" s="1011"/>
      <c r="V365" s="1012"/>
      <c r="W365" s="1013"/>
      <c r="X365" s="1014"/>
      <c r="Y365" s="1012"/>
      <c r="Z365" s="1012"/>
      <c r="AA365" s="1012"/>
      <c r="AB365" s="1012"/>
      <c r="AC365" s="1012"/>
      <c r="AD365" s="1012"/>
      <c r="AE365" s="1012"/>
      <c r="AF365" s="1012"/>
      <c r="AG365" s="1012"/>
      <c r="AH365" s="1012"/>
      <c r="AI365" s="1012"/>
      <c r="AJ365" s="1012"/>
      <c r="AK365" s="1012"/>
    </row>
    <row r="366">
      <c r="A366" s="1012"/>
      <c r="B366" s="1013"/>
      <c r="C366" s="1012"/>
      <c r="D366" s="1013"/>
      <c r="E366" s="1012"/>
      <c r="F366" s="1012"/>
      <c r="G366" s="1013"/>
      <c r="H366" s="1012"/>
      <c r="I366" s="1012"/>
      <c r="J366" s="1013"/>
      <c r="K366" s="1013"/>
      <c r="L366" s="1094"/>
      <c r="M366" s="1094"/>
      <c r="N366" s="1013"/>
      <c r="O366" s="1013"/>
      <c r="P366" s="1013"/>
      <c r="Q366" s="1013"/>
      <c r="R366" s="1013"/>
      <c r="S366" s="1013"/>
      <c r="T366" s="1012"/>
      <c r="U366" s="1011"/>
      <c r="V366" s="1012"/>
      <c r="W366" s="1013"/>
      <c r="X366" s="1014"/>
      <c r="Y366" s="1012"/>
      <c r="Z366" s="1012"/>
      <c r="AA366" s="1012"/>
      <c r="AB366" s="1012"/>
      <c r="AC366" s="1012"/>
      <c r="AD366" s="1012"/>
      <c r="AE366" s="1012"/>
      <c r="AF366" s="1012"/>
      <c r="AG366" s="1012"/>
      <c r="AH366" s="1012"/>
      <c r="AI366" s="1012"/>
      <c r="AJ366" s="1012"/>
      <c r="AK366" s="1012"/>
    </row>
    <row r="367">
      <c r="A367" s="1012"/>
      <c r="B367" s="1013"/>
      <c r="C367" s="1012"/>
      <c r="D367" s="1013"/>
      <c r="E367" s="1012"/>
      <c r="F367" s="1012"/>
      <c r="G367" s="1013"/>
      <c r="H367" s="1012"/>
      <c r="I367" s="1012"/>
      <c r="J367" s="1013"/>
      <c r="K367" s="1013"/>
      <c r="L367" s="1094"/>
      <c r="M367" s="1094"/>
      <c r="N367" s="1013"/>
      <c r="O367" s="1013"/>
      <c r="P367" s="1013"/>
      <c r="Q367" s="1013"/>
      <c r="R367" s="1013"/>
      <c r="S367" s="1013"/>
      <c r="T367" s="1012"/>
      <c r="U367" s="1011"/>
      <c r="V367" s="1012"/>
      <c r="W367" s="1013"/>
      <c r="X367" s="1014"/>
      <c r="Y367" s="1012"/>
      <c r="Z367" s="1012"/>
      <c r="AA367" s="1012"/>
      <c r="AB367" s="1012"/>
      <c r="AC367" s="1012"/>
      <c r="AD367" s="1012"/>
      <c r="AE367" s="1012"/>
      <c r="AF367" s="1012"/>
      <c r="AG367" s="1012"/>
      <c r="AH367" s="1012"/>
      <c r="AI367" s="1012"/>
      <c r="AJ367" s="1012"/>
      <c r="AK367" s="1012"/>
    </row>
    <row r="368">
      <c r="A368" s="1012"/>
      <c r="B368" s="1013"/>
      <c r="C368" s="1012"/>
      <c r="D368" s="1013"/>
      <c r="E368" s="1012"/>
      <c r="F368" s="1012"/>
      <c r="G368" s="1013"/>
      <c r="H368" s="1012"/>
      <c r="I368" s="1012"/>
      <c r="J368" s="1013"/>
      <c r="K368" s="1013"/>
      <c r="L368" s="1094"/>
      <c r="M368" s="1094"/>
      <c r="N368" s="1013"/>
      <c r="O368" s="1013"/>
      <c r="P368" s="1013"/>
      <c r="Q368" s="1013"/>
      <c r="R368" s="1013"/>
      <c r="S368" s="1013"/>
      <c r="T368" s="1012"/>
      <c r="U368" s="1011"/>
      <c r="V368" s="1012"/>
      <c r="W368" s="1013"/>
      <c r="X368" s="1014"/>
      <c r="Y368" s="1012"/>
      <c r="Z368" s="1012"/>
      <c r="AA368" s="1012"/>
      <c r="AB368" s="1012"/>
      <c r="AC368" s="1012"/>
      <c r="AD368" s="1012"/>
      <c r="AE368" s="1012"/>
      <c r="AF368" s="1012"/>
      <c r="AG368" s="1012"/>
      <c r="AH368" s="1012"/>
      <c r="AI368" s="1012"/>
      <c r="AJ368" s="1012"/>
      <c r="AK368" s="1012"/>
    </row>
    <row r="369">
      <c r="A369" s="1012"/>
      <c r="B369" s="1013"/>
      <c r="C369" s="1012"/>
      <c r="D369" s="1013"/>
      <c r="E369" s="1012"/>
      <c r="F369" s="1012"/>
      <c r="G369" s="1013"/>
      <c r="H369" s="1012"/>
      <c r="I369" s="1012"/>
      <c r="J369" s="1013"/>
      <c r="K369" s="1013"/>
      <c r="L369" s="1094"/>
      <c r="M369" s="1094"/>
      <c r="N369" s="1013"/>
      <c r="O369" s="1013"/>
      <c r="P369" s="1013"/>
      <c r="Q369" s="1013"/>
      <c r="R369" s="1013"/>
      <c r="S369" s="1013"/>
      <c r="T369" s="1012"/>
      <c r="U369" s="1011"/>
      <c r="V369" s="1012"/>
      <c r="W369" s="1013"/>
      <c r="X369" s="1014"/>
      <c r="Y369" s="1012"/>
      <c r="Z369" s="1012"/>
      <c r="AA369" s="1012"/>
      <c r="AB369" s="1012"/>
      <c r="AC369" s="1012"/>
      <c r="AD369" s="1012"/>
      <c r="AE369" s="1012"/>
      <c r="AF369" s="1012"/>
      <c r="AG369" s="1012"/>
      <c r="AH369" s="1012"/>
      <c r="AI369" s="1012"/>
      <c r="AJ369" s="1012"/>
      <c r="AK369" s="1012"/>
    </row>
    <row r="370">
      <c r="A370" s="1012"/>
      <c r="B370" s="1013"/>
      <c r="C370" s="1012"/>
      <c r="D370" s="1013"/>
      <c r="E370" s="1012"/>
      <c r="F370" s="1012"/>
      <c r="G370" s="1013"/>
      <c r="H370" s="1012"/>
      <c r="I370" s="1012"/>
      <c r="J370" s="1013"/>
      <c r="K370" s="1013"/>
      <c r="L370" s="1094"/>
      <c r="M370" s="1094"/>
      <c r="N370" s="1013"/>
      <c r="O370" s="1013"/>
      <c r="P370" s="1013"/>
      <c r="Q370" s="1013"/>
      <c r="R370" s="1013"/>
      <c r="S370" s="1013"/>
      <c r="T370" s="1012"/>
      <c r="U370" s="1011"/>
      <c r="V370" s="1012"/>
      <c r="W370" s="1013"/>
      <c r="X370" s="1014"/>
      <c r="Y370" s="1012"/>
      <c r="Z370" s="1012"/>
      <c r="AA370" s="1012"/>
      <c r="AB370" s="1012"/>
      <c r="AC370" s="1012"/>
      <c r="AD370" s="1012"/>
      <c r="AE370" s="1012"/>
      <c r="AF370" s="1012"/>
      <c r="AG370" s="1012"/>
      <c r="AH370" s="1012"/>
      <c r="AI370" s="1012"/>
      <c r="AJ370" s="1012"/>
      <c r="AK370" s="1012"/>
    </row>
    <row r="371">
      <c r="A371" s="1012"/>
      <c r="B371" s="1013"/>
      <c r="C371" s="1012"/>
      <c r="D371" s="1013"/>
      <c r="E371" s="1012"/>
      <c r="F371" s="1012"/>
      <c r="G371" s="1013"/>
      <c r="H371" s="1012"/>
      <c r="I371" s="1012"/>
      <c r="J371" s="1013"/>
      <c r="K371" s="1013"/>
      <c r="L371" s="1094"/>
      <c r="M371" s="1094"/>
      <c r="N371" s="1013"/>
      <c r="O371" s="1013"/>
      <c r="P371" s="1013"/>
      <c r="Q371" s="1013"/>
      <c r="R371" s="1013"/>
      <c r="S371" s="1013"/>
      <c r="T371" s="1012"/>
      <c r="U371" s="1011"/>
      <c r="V371" s="1012"/>
      <c r="W371" s="1013"/>
      <c r="X371" s="1014"/>
      <c r="Y371" s="1012"/>
      <c r="Z371" s="1012"/>
      <c r="AA371" s="1012"/>
      <c r="AB371" s="1012"/>
      <c r="AC371" s="1012"/>
      <c r="AD371" s="1012"/>
      <c r="AE371" s="1012"/>
      <c r="AF371" s="1012"/>
      <c r="AG371" s="1012"/>
      <c r="AH371" s="1012"/>
      <c r="AI371" s="1012"/>
      <c r="AJ371" s="1012"/>
      <c r="AK371" s="1012"/>
    </row>
    <row r="372">
      <c r="A372" s="1012"/>
      <c r="B372" s="1013"/>
      <c r="C372" s="1012"/>
      <c r="D372" s="1013"/>
      <c r="E372" s="1012"/>
      <c r="F372" s="1012"/>
      <c r="G372" s="1013"/>
      <c r="H372" s="1012"/>
      <c r="I372" s="1012"/>
      <c r="J372" s="1013"/>
      <c r="K372" s="1013"/>
      <c r="L372" s="1094"/>
      <c r="M372" s="1094"/>
      <c r="N372" s="1013"/>
      <c r="O372" s="1013"/>
      <c r="P372" s="1013"/>
      <c r="Q372" s="1013"/>
      <c r="R372" s="1013"/>
      <c r="S372" s="1013"/>
      <c r="T372" s="1012"/>
      <c r="U372" s="1011"/>
      <c r="V372" s="1012"/>
      <c r="W372" s="1013"/>
      <c r="X372" s="1014"/>
      <c r="Y372" s="1012"/>
      <c r="Z372" s="1012"/>
      <c r="AA372" s="1012"/>
      <c r="AB372" s="1012"/>
      <c r="AC372" s="1012"/>
      <c r="AD372" s="1012"/>
      <c r="AE372" s="1012"/>
      <c r="AF372" s="1012"/>
      <c r="AG372" s="1012"/>
      <c r="AH372" s="1012"/>
      <c r="AI372" s="1012"/>
      <c r="AJ372" s="1012"/>
      <c r="AK372" s="1012"/>
    </row>
    <row r="373">
      <c r="A373" s="1012"/>
      <c r="B373" s="1013"/>
      <c r="C373" s="1012"/>
      <c r="D373" s="1013"/>
      <c r="E373" s="1012"/>
      <c r="F373" s="1012"/>
      <c r="G373" s="1013"/>
      <c r="H373" s="1012"/>
      <c r="I373" s="1012"/>
      <c r="J373" s="1013"/>
      <c r="K373" s="1013"/>
      <c r="L373" s="1094"/>
      <c r="M373" s="1094"/>
      <c r="N373" s="1013"/>
      <c r="O373" s="1013"/>
      <c r="P373" s="1013"/>
      <c r="Q373" s="1013"/>
      <c r="R373" s="1013"/>
      <c r="S373" s="1013"/>
      <c r="T373" s="1012"/>
      <c r="U373" s="1011"/>
      <c r="V373" s="1012"/>
      <c r="W373" s="1013"/>
      <c r="X373" s="1014"/>
      <c r="Y373" s="1012"/>
      <c r="Z373" s="1012"/>
      <c r="AA373" s="1012"/>
      <c r="AB373" s="1012"/>
      <c r="AC373" s="1012"/>
      <c r="AD373" s="1012"/>
      <c r="AE373" s="1012"/>
      <c r="AF373" s="1012"/>
      <c r="AG373" s="1012"/>
      <c r="AH373" s="1012"/>
      <c r="AI373" s="1012"/>
      <c r="AJ373" s="1012"/>
      <c r="AK373" s="1012"/>
    </row>
    <row r="374">
      <c r="A374" s="1012"/>
      <c r="B374" s="1013"/>
      <c r="C374" s="1012"/>
      <c r="D374" s="1013"/>
      <c r="E374" s="1012"/>
      <c r="F374" s="1012"/>
      <c r="G374" s="1013"/>
      <c r="H374" s="1012"/>
      <c r="I374" s="1012"/>
      <c r="J374" s="1013"/>
      <c r="K374" s="1013"/>
      <c r="L374" s="1094"/>
      <c r="M374" s="1094"/>
      <c r="N374" s="1013"/>
      <c r="O374" s="1013"/>
      <c r="P374" s="1013"/>
      <c r="Q374" s="1013"/>
      <c r="R374" s="1013"/>
      <c r="S374" s="1013"/>
      <c r="T374" s="1012"/>
      <c r="U374" s="1011"/>
      <c r="V374" s="1012"/>
      <c r="W374" s="1013"/>
      <c r="X374" s="1014"/>
      <c r="Y374" s="1012"/>
      <c r="Z374" s="1012"/>
      <c r="AA374" s="1012"/>
      <c r="AB374" s="1012"/>
      <c r="AC374" s="1012"/>
      <c r="AD374" s="1012"/>
      <c r="AE374" s="1012"/>
      <c r="AF374" s="1012"/>
      <c r="AG374" s="1012"/>
      <c r="AH374" s="1012"/>
      <c r="AI374" s="1012"/>
      <c r="AJ374" s="1012"/>
      <c r="AK374" s="1012"/>
    </row>
    <row r="375">
      <c r="A375" s="1012"/>
      <c r="B375" s="1013"/>
      <c r="C375" s="1012"/>
      <c r="D375" s="1013"/>
      <c r="E375" s="1012"/>
      <c r="F375" s="1012"/>
      <c r="G375" s="1013"/>
      <c r="H375" s="1012"/>
      <c r="I375" s="1012"/>
      <c r="J375" s="1013"/>
      <c r="K375" s="1013"/>
      <c r="L375" s="1094"/>
      <c r="M375" s="1094"/>
      <c r="N375" s="1013"/>
      <c r="O375" s="1013"/>
      <c r="P375" s="1013"/>
      <c r="Q375" s="1013"/>
      <c r="R375" s="1013"/>
      <c r="S375" s="1013"/>
      <c r="T375" s="1012"/>
      <c r="U375" s="1011"/>
      <c r="V375" s="1012"/>
      <c r="W375" s="1013"/>
      <c r="X375" s="1014"/>
      <c r="Y375" s="1012"/>
      <c r="Z375" s="1012"/>
      <c r="AA375" s="1012"/>
      <c r="AB375" s="1012"/>
      <c r="AC375" s="1012"/>
      <c r="AD375" s="1012"/>
      <c r="AE375" s="1012"/>
      <c r="AF375" s="1012"/>
      <c r="AG375" s="1012"/>
      <c r="AH375" s="1012"/>
      <c r="AI375" s="1012"/>
      <c r="AJ375" s="1012"/>
      <c r="AK375" s="1012"/>
    </row>
    <row r="376">
      <c r="A376" s="1012"/>
      <c r="B376" s="1013"/>
      <c r="C376" s="1012"/>
      <c r="D376" s="1013"/>
      <c r="E376" s="1012"/>
      <c r="F376" s="1012"/>
      <c r="G376" s="1013"/>
      <c r="H376" s="1012"/>
      <c r="I376" s="1012"/>
      <c r="J376" s="1013"/>
      <c r="K376" s="1013"/>
      <c r="L376" s="1094"/>
      <c r="M376" s="1094"/>
      <c r="N376" s="1013"/>
      <c r="O376" s="1013"/>
      <c r="P376" s="1013"/>
      <c r="Q376" s="1013"/>
      <c r="R376" s="1013"/>
      <c r="S376" s="1013"/>
      <c r="T376" s="1012"/>
      <c r="U376" s="1011"/>
      <c r="V376" s="1012"/>
      <c r="W376" s="1013"/>
      <c r="X376" s="1014"/>
      <c r="Y376" s="1012"/>
      <c r="Z376" s="1012"/>
      <c r="AA376" s="1012"/>
      <c r="AB376" s="1012"/>
      <c r="AC376" s="1012"/>
      <c r="AD376" s="1012"/>
      <c r="AE376" s="1012"/>
      <c r="AF376" s="1012"/>
      <c r="AG376" s="1012"/>
      <c r="AH376" s="1012"/>
      <c r="AI376" s="1012"/>
      <c r="AJ376" s="1012"/>
      <c r="AK376" s="1012"/>
    </row>
    <row r="377">
      <c r="A377" s="1012"/>
      <c r="B377" s="1013"/>
      <c r="C377" s="1012"/>
      <c r="D377" s="1013"/>
      <c r="E377" s="1012"/>
      <c r="F377" s="1012"/>
      <c r="G377" s="1013"/>
      <c r="H377" s="1012"/>
      <c r="I377" s="1012"/>
      <c r="J377" s="1013"/>
      <c r="K377" s="1013"/>
      <c r="L377" s="1094"/>
      <c r="M377" s="1094"/>
      <c r="N377" s="1013"/>
      <c r="O377" s="1013"/>
      <c r="P377" s="1013"/>
      <c r="Q377" s="1013"/>
      <c r="R377" s="1013"/>
      <c r="S377" s="1013"/>
      <c r="T377" s="1012"/>
      <c r="U377" s="1011"/>
      <c r="V377" s="1012"/>
      <c r="W377" s="1013"/>
      <c r="X377" s="1014"/>
      <c r="Y377" s="1012"/>
      <c r="Z377" s="1012"/>
      <c r="AA377" s="1012"/>
      <c r="AB377" s="1012"/>
      <c r="AC377" s="1012"/>
      <c r="AD377" s="1012"/>
      <c r="AE377" s="1012"/>
      <c r="AF377" s="1012"/>
      <c r="AG377" s="1012"/>
      <c r="AH377" s="1012"/>
      <c r="AI377" s="1012"/>
      <c r="AJ377" s="1012"/>
      <c r="AK377" s="1012"/>
    </row>
    <row r="378">
      <c r="A378" s="1012"/>
      <c r="B378" s="1013"/>
      <c r="C378" s="1012"/>
      <c r="D378" s="1013"/>
      <c r="E378" s="1012"/>
      <c r="F378" s="1012"/>
      <c r="G378" s="1013"/>
      <c r="H378" s="1012"/>
      <c r="I378" s="1012"/>
      <c r="J378" s="1013"/>
      <c r="K378" s="1013"/>
      <c r="L378" s="1094"/>
      <c r="M378" s="1094"/>
      <c r="N378" s="1013"/>
      <c r="O378" s="1013"/>
      <c r="P378" s="1013"/>
      <c r="Q378" s="1013"/>
      <c r="R378" s="1013"/>
      <c r="S378" s="1013"/>
      <c r="T378" s="1012"/>
      <c r="U378" s="1011"/>
      <c r="V378" s="1012"/>
      <c r="W378" s="1013"/>
      <c r="X378" s="1014"/>
      <c r="Y378" s="1012"/>
      <c r="Z378" s="1012"/>
      <c r="AA378" s="1012"/>
      <c r="AB378" s="1012"/>
      <c r="AC378" s="1012"/>
      <c r="AD378" s="1012"/>
      <c r="AE378" s="1012"/>
      <c r="AF378" s="1012"/>
      <c r="AG378" s="1012"/>
      <c r="AH378" s="1012"/>
      <c r="AI378" s="1012"/>
      <c r="AJ378" s="1012"/>
      <c r="AK378" s="1012"/>
    </row>
    <row r="379">
      <c r="A379" s="1012"/>
      <c r="B379" s="1013"/>
      <c r="C379" s="1012"/>
      <c r="D379" s="1013"/>
      <c r="E379" s="1012"/>
      <c r="F379" s="1012"/>
      <c r="G379" s="1013"/>
      <c r="H379" s="1012"/>
      <c r="I379" s="1012"/>
      <c r="J379" s="1013"/>
      <c r="K379" s="1013"/>
      <c r="L379" s="1094"/>
      <c r="M379" s="1094"/>
      <c r="N379" s="1013"/>
      <c r="O379" s="1013"/>
      <c r="P379" s="1013"/>
      <c r="Q379" s="1013"/>
      <c r="R379" s="1013"/>
      <c r="S379" s="1013"/>
      <c r="T379" s="1012"/>
      <c r="U379" s="1011"/>
      <c r="V379" s="1012"/>
      <c r="W379" s="1013"/>
      <c r="X379" s="1014"/>
      <c r="Y379" s="1012"/>
      <c r="Z379" s="1012"/>
      <c r="AA379" s="1012"/>
      <c r="AB379" s="1012"/>
      <c r="AC379" s="1012"/>
      <c r="AD379" s="1012"/>
      <c r="AE379" s="1012"/>
      <c r="AF379" s="1012"/>
      <c r="AG379" s="1012"/>
      <c r="AH379" s="1012"/>
      <c r="AI379" s="1012"/>
      <c r="AJ379" s="1012"/>
      <c r="AK379" s="1012"/>
    </row>
    <row r="380">
      <c r="A380" s="1012"/>
      <c r="B380" s="1013"/>
      <c r="C380" s="1012"/>
      <c r="D380" s="1013"/>
      <c r="E380" s="1012"/>
      <c r="F380" s="1012"/>
      <c r="G380" s="1013"/>
      <c r="H380" s="1012"/>
      <c r="I380" s="1012"/>
      <c r="J380" s="1013"/>
      <c r="K380" s="1013"/>
      <c r="L380" s="1094"/>
      <c r="M380" s="1094"/>
      <c r="N380" s="1013"/>
      <c r="O380" s="1013"/>
      <c r="P380" s="1013"/>
      <c r="Q380" s="1013"/>
      <c r="R380" s="1013"/>
      <c r="S380" s="1013"/>
      <c r="T380" s="1012"/>
      <c r="U380" s="1011"/>
      <c r="V380" s="1012"/>
      <c r="W380" s="1013"/>
      <c r="X380" s="1014"/>
      <c r="Y380" s="1012"/>
      <c r="Z380" s="1012"/>
      <c r="AA380" s="1012"/>
      <c r="AB380" s="1012"/>
      <c r="AC380" s="1012"/>
      <c r="AD380" s="1012"/>
      <c r="AE380" s="1012"/>
      <c r="AF380" s="1012"/>
      <c r="AG380" s="1012"/>
      <c r="AH380" s="1012"/>
      <c r="AI380" s="1012"/>
      <c r="AJ380" s="1012"/>
      <c r="AK380" s="1012"/>
    </row>
    <row r="381">
      <c r="A381" s="1012"/>
      <c r="B381" s="1013"/>
      <c r="C381" s="1012"/>
      <c r="D381" s="1013"/>
      <c r="E381" s="1012"/>
      <c r="F381" s="1012"/>
      <c r="G381" s="1013"/>
      <c r="H381" s="1012"/>
      <c r="I381" s="1012"/>
      <c r="J381" s="1013"/>
      <c r="K381" s="1013"/>
      <c r="L381" s="1094"/>
      <c r="M381" s="1094"/>
      <c r="N381" s="1013"/>
      <c r="O381" s="1013"/>
      <c r="P381" s="1013"/>
      <c r="Q381" s="1013"/>
      <c r="R381" s="1013"/>
      <c r="S381" s="1013"/>
      <c r="T381" s="1012"/>
      <c r="U381" s="1011"/>
      <c r="V381" s="1012"/>
      <c r="W381" s="1013"/>
      <c r="X381" s="1014"/>
      <c r="Y381" s="1012"/>
      <c r="Z381" s="1012"/>
      <c r="AA381" s="1012"/>
      <c r="AB381" s="1012"/>
      <c r="AC381" s="1012"/>
      <c r="AD381" s="1012"/>
      <c r="AE381" s="1012"/>
      <c r="AF381" s="1012"/>
      <c r="AG381" s="1012"/>
      <c r="AH381" s="1012"/>
      <c r="AI381" s="1012"/>
      <c r="AJ381" s="1012"/>
      <c r="AK381" s="1012"/>
    </row>
    <row r="382">
      <c r="A382" s="1012"/>
      <c r="B382" s="1013"/>
      <c r="C382" s="1012"/>
      <c r="D382" s="1013"/>
      <c r="E382" s="1012"/>
      <c r="F382" s="1012"/>
      <c r="G382" s="1013"/>
      <c r="H382" s="1012"/>
      <c r="I382" s="1012"/>
      <c r="J382" s="1013"/>
      <c r="K382" s="1013"/>
      <c r="L382" s="1094"/>
      <c r="M382" s="1094"/>
      <c r="N382" s="1013"/>
      <c r="O382" s="1013"/>
      <c r="P382" s="1013"/>
      <c r="Q382" s="1013"/>
      <c r="R382" s="1013"/>
      <c r="S382" s="1013"/>
      <c r="T382" s="1012"/>
      <c r="U382" s="1011"/>
      <c r="V382" s="1012"/>
      <c r="W382" s="1013"/>
      <c r="X382" s="1014"/>
      <c r="Y382" s="1012"/>
      <c r="Z382" s="1012"/>
      <c r="AA382" s="1012"/>
      <c r="AB382" s="1012"/>
      <c r="AC382" s="1012"/>
      <c r="AD382" s="1012"/>
      <c r="AE382" s="1012"/>
      <c r="AF382" s="1012"/>
      <c r="AG382" s="1012"/>
      <c r="AH382" s="1012"/>
      <c r="AI382" s="1012"/>
      <c r="AJ382" s="1012"/>
      <c r="AK382" s="1012"/>
    </row>
    <row r="383">
      <c r="A383" s="1012"/>
      <c r="B383" s="1013"/>
      <c r="C383" s="1012"/>
      <c r="D383" s="1013"/>
      <c r="E383" s="1012"/>
      <c r="F383" s="1012"/>
      <c r="G383" s="1013"/>
      <c r="H383" s="1012"/>
      <c r="I383" s="1012"/>
      <c r="J383" s="1013"/>
      <c r="K383" s="1013"/>
      <c r="L383" s="1094"/>
      <c r="M383" s="1094"/>
      <c r="N383" s="1013"/>
      <c r="O383" s="1013"/>
      <c r="P383" s="1013"/>
      <c r="Q383" s="1013"/>
      <c r="R383" s="1013"/>
      <c r="S383" s="1013"/>
      <c r="T383" s="1012"/>
      <c r="U383" s="1011"/>
      <c r="V383" s="1012"/>
      <c r="W383" s="1013"/>
      <c r="X383" s="1014"/>
      <c r="Y383" s="1012"/>
      <c r="Z383" s="1012"/>
      <c r="AA383" s="1012"/>
      <c r="AB383" s="1012"/>
      <c r="AC383" s="1012"/>
      <c r="AD383" s="1012"/>
      <c r="AE383" s="1012"/>
      <c r="AF383" s="1012"/>
      <c r="AG383" s="1012"/>
      <c r="AH383" s="1012"/>
      <c r="AI383" s="1012"/>
      <c r="AJ383" s="1012"/>
      <c r="AK383" s="1012"/>
    </row>
    <row r="384">
      <c r="A384" s="1012"/>
      <c r="B384" s="1013"/>
      <c r="C384" s="1012"/>
      <c r="D384" s="1013"/>
      <c r="E384" s="1012"/>
      <c r="F384" s="1012"/>
      <c r="G384" s="1013"/>
      <c r="H384" s="1012"/>
      <c r="I384" s="1012"/>
      <c r="J384" s="1013"/>
      <c r="K384" s="1013"/>
      <c r="L384" s="1094"/>
      <c r="M384" s="1094"/>
      <c r="N384" s="1013"/>
      <c r="O384" s="1013"/>
      <c r="P384" s="1013"/>
      <c r="Q384" s="1013"/>
      <c r="R384" s="1013"/>
      <c r="S384" s="1013"/>
      <c r="T384" s="1012"/>
      <c r="U384" s="1011"/>
      <c r="V384" s="1012"/>
      <c r="W384" s="1013"/>
      <c r="X384" s="1014"/>
      <c r="Y384" s="1012"/>
      <c r="Z384" s="1012"/>
      <c r="AA384" s="1012"/>
      <c r="AB384" s="1012"/>
      <c r="AC384" s="1012"/>
      <c r="AD384" s="1012"/>
      <c r="AE384" s="1012"/>
      <c r="AF384" s="1012"/>
      <c r="AG384" s="1012"/>
      <c r="AH384" s="1012"/>
      <c r="AI384" s="1012"/>
      <c r="AJ384" s="1012"/>
      <c r="AK384" s="1012"/>
    </row>
    <row r="385">
      <c r="A385" s="1012"/>
      <c r="B385" s="1013"/>
      <c r="C385" s="1012"/>
      <c r="D385" s="1013"/>
      <c r="E385" s="1012"/>
      <c r="F385" s="1012"/>
      <c r="G385" s="1013"/>
      <c r="H385" s="1012"/>
      <c r="I385" s="1012"/>
      <c r="J385" s="1013"/>
      <c r="K385" s="1013"/>
      <c r="L385" s="1094"/>
      <c r="M385" s="1094"/>
      <c r="N385" s="1013"/>
      <c r="O385" s="1013"/>
      <c r="P385" s="1013"/>
      <c r="Q385" s="1013"/>
      <c r="R385" s="1013"/>
      <c r="S385" s="1013"/>
      <c r="T385" s="1012"/>
      <c r="U385" s="1011"/>
      <c r="V385" s="1012"/>
      <c r="W385" s="1013"/>
      <c r="X385" s="1014"/>
      <c r="Y385" s="1012"/>
      <c r="Z385" s="1012"/>
      <c r="AA385" s="1012"/>
      <c r="AB385" s="1012"/>
      <c r="AC385" s="1012"/>
      <c r="AD385" s="1012"/>
      <c r="AE385" s="1012"/>
      <c r="AF385" s="1012"/>
      <c r="AG385" s="1012"/>
      <c r="AH385" s="1012"/>
      <c r="AI385" s="1012"/>
      <c r="AJ385" s="1012"/>
      <c r="AK385" s="1012"/>
    </row>
    <row r="386">
      <c r="A386" s="1012"/>
      <c r="B386" s="1013"/>
      <c r="C386" s="1012"/>
      <c r="D386" s="1013"/>
      <c r="E386" s="1012"/>
      <c r="F386" s="1012"/>
      <c r="G386" s="1013"/>
      <c r="H386" s="1012"/>
      <c r="I386" s="1012"/>
      <c r="J386" s="1013"/>
      <c r="K386" s="1013"/>
      <c r="L386" s="1094"/>
      <c r="M386" s="1094"/>
      <c r="N386" s="1013"/>
      <c r="O386" s="1013"/>
      <c r="P386" s="1013"/>
      <c r="Q386" s="1013"/>
      <c r="R386" s="1013"/>
      <c r="S386" s="1013"/>
      <c r="T386" s="1012"/>
      <c r="U386" s="1011"/>
      <c r="V386" s="1012"/>
      <c r="W386" s="1013"/>
      <c r="X386" s="1014"/>
      <c r="Y386" s="1012"/>
      <c r="Z386" s="1012"/>
      <c r="AA386" s="1012"/>
      <c r="AB386" s="1012"/>
      <c r="AC386" s="1012"/>
      <c r="AD386" s="1012"/>
      <c r="AE386" s="1012"/>
      <c r="AF386" s="1012"/>
      <c r="AG386" s="1012"/>
      <c r="AH386" s="1012"/>
      <c r="AI386" s="1012"/>
      <c r="AJ386" s="1012"/>
      <c r="AK386" s="1012"/>
    </row>
    <row r="387">
      <c r="A387" s="1012"/>
      <c r="B387" s="1013"/>
      <c r="C387" s="1012"/>
      <c r="D387" s="1013"/>
      <c r="E387" s="1012"/>
      <c r="F387" s="1012"/>
      <c r="G387" s="1013"/>
      <c r="H387" s="1012"/>
      <c r="I387" s="1012"/>
      <c r="J387" s="1013"/>
      <c r="K387" s="1013"/>
      <c r="L387" s="1094"/>
      <c r="M387" s="1094"/>
      <c r="N387" s="1013"/>
      <c r="O387" s="1013"/>
      <c r="P387" s="1013"/>
      <c r="Q387" s="1013"/>
      <c r="R387" s="1013"/>
      <c r="S387" s="1013"/>
      <c r="T387" s="1012"/>
      <c r="U387" s="1011"/>
      <c r="V387" s="1012"/>
      <c r="W387" s="1013"/>
      <c r="X387" s="1014"/>
      <c r="Y387" s="1012"/>
      <c r="Z387" s="1012"/>
      <c r="AA387" s="1012"/>
      <c r="AB387" s="1012"/>
      <c r="AC387" s="1012"/>
      <c r="AD387" s="1012"/>
      <c r="AE387" s="1012"/>
      <c r="AF387" s="1012"/>
      <c r="AG387" s="1012"/>
      <c r="AH387" s="1012"/>
      <c r="AI387" s="1012"/>
      <c r="AJ387" s="1012"/>
      <c r="AK387" s="1012"/>
    </row>
    <row r="388">
      <c r="A388" s="1012"/>
      <c r="B388" s="1013"/>
      <c r="C388" s="1012"/>
      <c r="D388" s="1013"/>
      <c r="E388" s="1012"/>
      <c r="F388" s="1012"/>
      <c r="G388" s="1013"/>
      <c r="H388" s="1012"/>
      <c r="I388" s="1012"/>
      <c r="J388" s="1013"/>
      <c r="K388" s="1013"/>
      <c r="L388" s="1094"/>
      <c r="M388" s="1094"/>
      <c r="N388" s="1013"/>
      <c r="O388" s="1013"/>
      <c r="P388" s="1013"/>
      <c r="Q388" s="1013"/>
      <c r="R388" s="1013"/>
      <c r="S388" s="1013"/>
      <c r="T388" s="1012"/>
      <c r="U388" s="1011"/>
      <c r="V388" s="1012"/>
      <c r="W388" s="1013"/>
      <c r="X388" s="1014"/>
      <c r="Y388" s="1012"/>
      <c r="Z388" s="1012"/>
      <c r="AA388" s="1012"/>
      <c r="AB388" s="1012"/>
      <c r="AC388" s="1012"/>
      <c r="AD388" s="1012"/>
      <c r="AE388" s="1012"/>
      <c r="AF388" s="1012"/>
      <c r="AG388" s="1012"/>
      <c r="AH388" s="1012"/>
      <c r="AI388" s="1012"/>
      <c r="AJ388" s="1012"/>
      <c r="AK388" s="1012"/>
    </row>
    <row r="389">
      <c r="A389" s="1012"/>
      <c r="B389" s="1013"/>
      <c r="C389" s="1012"/>
      <c r="D389" s="1013"/>
      <c r="E389" s="1012"/>
      <c r="F389" s="1012"/>
      <c r="G389" s="1013"/>
      <c r="H389" s="1012"/>
      <c r="I389" s="1012"/>
      <c r="J389" s="1013"/>
      <c r="K389" s="1013"/>
      <c r="L389" s="1094"/>
      <c r="M389" s="1094"/>
      <c r="N389" s="1013"/>
      <c r="O389" s="1013"/>
      <c r="P389" s="1013"/>
      <c r="Q389" s="1013"/>
      <c r="R389" s="1013"/>
      <c r="S389" s="1013"/>
      <c r="T389" s="1012"/>
      <c r="U389" s="1011"/>
      <c r="V389" s="1012"/>
      <c r="W389" s="1013"/>
      <c r="X389" s="1014"/>
      <c r="Y389" s="1012"/>
      <c r="Z389" s="1012"/>
      <c r="AA389" s="1012"/>
      <c r="AB389" s="1012"/>
      <c r="AC389" s="1012"/>
      <c r="AD389" s="1012"/>
      <c r="AE389" s="1012"/>
      <c r="AF389" s="1012"/>
      <c r="AG389" s="1012"/>
      <c r="AH389" s="1012"/>
      <c r="AI389" s="1012"/>
      <c r="AJ389" s="1012"/>
      <c r="AK389" s="1012"/>
    </row>
    <row r="390">
      <c r="A390" s="1012"/>
      <c r="B390" s="1013"/>
      <c r="C390" s="1012"/>
      <c r="D390" s="1013"/>
      <c r="E390" s="1012"/>
      <c r="F390" s="1012"/>
      <c r="G390" s="1013"/>
      <c r="H390" s="1012"/>
      <c r="I390" s="1012"/>
      <c r="J390" s="1013"/>
      <c r="K390" s="1013"/>
      <c r="L390" s="1094"/>
      <c r="M390" s="1094"/>
      <c r="N390" s="1013"/>
      <c r="O390" s="1013"/>
      <c r="P390" s="1013"/>
      <c r="Q390" s="1013"/>
      <c r="R390" s="1013"/>
      <c r="S390" s="1013"/>
      <c r="T390" s="1012"/>
      <c r="U390" s="1011"/>
      <c r="V390" s="1012"/>
      <c r="W390" s="1013"/>
      <c r="X390" s="1014"/>
      <c r="Y390" s="1012"/>
      <c r="Z390" s="1012"/>
      <c r="AA390" s="1012"/>
      <c r="AB390" s="1012"/>
      <c r="AC390" s="1012"/>
      <c r="AD390" s="1012"/>
      <c r="AE390" s="1012"/>
      <c r="AF390" s="1012"/>
      <c r="AG390" s="1012"/>
      <c r="AH390" s="1012"/>
      <c r="AI390" s="1012"/>
      <c r="AJ390" s="1012"/>
      <c r="AK390" s="1012"/>
    </row>
    <row r="391">
      <c r="A391" s="1012"/>
      <c r="B391" s="1013"/>
      <c r="C391" s="1012"/>
      <c r="D391" s="1013"/>
      <c r="E391" s="1012"/>
      <c r="F391" s="1012"/>
      <c r="G391" s="1013"/>
      <c r="H391" s="1012"/>
      <c r="I391" s="1012"/>
      <c r="J391" s="1013"/>
      <c r="K391" s="1013"/>
      <c r="L391" s="1094"/>
      <c r="M391" s="1094"/>
      <c r="N391" s="1013"/>
      <c r="O391" s="1013"/>
      <c r="P391" s="1013"/>
      <c r="Q391" s="1013"/>
      <c r="R391" s="1013"/>
      <c r="S391" s="1013"/>
      <c r="T391" s="1012"/>
      <c r="U391" s="1011"/>
      <c r="V391" s="1012"/>
      <c r="W391" s="1013"/>
      <c r="X391" s="1014"/>
      <c r="Y391" s="1012"/>
      <c r="Z391" s="1012"/>
      <c r="AA391" s="1012"/>
      <c r="AB391" s="1012"/>
      <c r="AC391" s="1012"/>
      <c r="AD391" s="1012"/>
      <c r="AE391" s="1012"/>
      <c r="AF391" s="1012"/>
      <c r="AG391" s="1012"/>
      <c r="AH391" s="1012"/>
      <c r="AI391" s="1012"/>
      <c r="AJ391" s="1012"/>
      <c r="AK391" s="1012"/>
    </row>
    <row r="392">
      <c r="A392" s="1012"/>
      <c r="B392" s="1013"/>
      <c r="C392" s="1012"/>
      <c r="D392" s="1013"/>
      <c r="E392" s="1012"/>
      <c r="F392" s="1012"/>
      <c r="G392" s="1013"/>
      <c r="H392" s="1012"/>
      <c r="I392" s="1012"/>
      <c r="J392" s="1013"/>
      <c r="K392" s="1013"/>
      <c r="L392" s="1094"/>
      <c r="M392" s="1094"/>
      <c r="N392" s="1013"/>
      <c r="O392" s="1013"/>
      <c r="P392" s="1013"/>
      <c r="Q392" s="1013"/>
      <c r="R392" s="1013"/>
      <c r="S392" s="1013"/>
      <c r="T392" s="1012"/>
      <c r="U392" s="1011"/>
      <c r="V392" s="1012"/>
      <c r="W392" s="1013"/>
      <c r="X392" s="1014"/>
      <c r="Y392" s="1012"/>
      <c r="Z392" s="1012"/>
      <c r="AA392" s="1012"/>
      <c r="AB392" s="1012"/>
      <c r="AC392" s="1012"/>
      <c r="AD392" s="1012"/>
      <c r="AE392" s="1012"/>
      <c r="AF392" s="1012"/>
      <c r="AG392" s="1012"/>
      <c r="AH392" s="1012"/>
      <c r="AI392" s="1012"/>
      <c r="AJ392" s="1012"/>
      <c r="AK392" s="1012"/>
    </row>
    <row r="393">
      <c r="A393" s="1012"/>
      <c r="B393" s="1013"/>
      <c r="C393" s="1012"/>
      <c r="D393" s="1013"/>
      <c r="E393" s="1012"/>
      <c r="F393" s="1012"/>
      <c r="G393" s="1013"/>
      <c r="H393" s="1012"/>
      <c r="I393" s="1012"/>
      <c r="J393" s="1013"/>
      <c r="K393" s="1013"/>
      <c r="L393" s="1094"/>
      <c r="M393" s="1094"/>
      <c r="N393" s="1013"/>
      <c r="O393" s="1013"/>
      <c r="P393" s="1013"/>
      <c r="Q393" s="1013"/>
      <c r="R393" s="1013"/>
      <c r="S393" s="1013"/>
      <c r="T393" s="1012"/>
      <c r="U393" s="1011"/>
      <c r="V393" s="1012"/>
      <c r="W393" s="1013"/>
      <c r="X393" s="1014"/>
      <c r="Y393" s="1012"/>
      <c r="Z393" s="1012"/>
      <c r="AA393" s="1012"/>
      <c r="AB393" s="1012"/>
      <c r="AC393" s="1012"/>
      <c r="AD393" s="1012"/>
      <c r="AE393" s="1012"/>
      <c r="AF393" s="1012"/>
      <c r="AG393" s="1012"/>
      <c r="AH393" s="1012"/>
      <c r="AI393" s="1012"/>
      <c r="AJ393" s="1012"/>
      <c r="AK393" s="1012"/>
    </row>
    <row r="394">
      <c r="A394" s="1012"/>
      <c r="B394" s="1013"/>
      <c r="C394" s="1012"/>
      <c r="D394" s="1013"/>
      <c r="E394" s="1012"/>
      <c r="F394" s="1012"/>
      <c r="G394" s="1013"/>
      <c r="H394" s="1012"/>
      <c r="I394" s="1012"/>
      <c r="J394" s="1013"/>
      <c r="K394" s="1013"/>
      <c r="L394" s="1094"/>
      <c r="M394" s="1094"/>
      <c r="N394" s="1013"/>
      <c r="O394" s="1013"/>
      <c r="P394" s="1013"/>
      <c r="Q394" s="1013"/>
      <c r="R394" s="1013"/>
      <c r="S394" s="1013"/>
      <c r="T394" s="1012"/>
      <c r="U394" s="1011"/>
      <c r="V394" s="1012"/>
      <c r="W394" s="1013"/>
      <c r="X394" s="1014"/>
      <c r="Y394" s="1012"/>
      <c r="Z394" s="1012"/>
      <c r="AA394" s="1012"/>
      <c r="AB394" s="1012"/>
      <c r="AC394" s="1012"/>
      <c r="AD394" s="1012"/>
      <c r="AE394" s="1012"/>
      <c r="AF394" s="1012"/>
      <c r="AG394" s="1012"/>
      <c r="AH394" s="1012"/>
      <c r="AI394" s="1012"/>
      <c r="AJ394" s="1012"/>
      <c r="AK394" s="1012"/>
    </row>
    <row r="395">
      <c r="A395" s="1012"/>
      <c r="B395" s="1013"/>
      <c r="C395" s="1012"/>
      <c r="D395" s="1013"/>
      <c r="E395" s="1012"/>
      <c r="F395" s="1012"/>
      <c r="G395" s="1013"/>
      <c r="H395" s="1012"/>
      <c r="I395" s="1012"/>
      <c r="J395" s="1013"/>
      <c r="K395" s="1013"/>
      <c r="L395" s="1094"/>
      <c r="M395" s="1094"/>
      <c r="N395" s="1013"/>
      <c r="O395" s="1013"/>
      <c r="P395" s="1013"/>
      <c r="Q395" s="1013"/>
      <c r="R395" s="1013"/>
      <c r="S395" s="1013"/>
      <c r="T395" s="1012"/>
      <c r="U395" s="1011"/>
      <c r="V395" s="1012"/>
      <c r="W395" s="1013"/>
      <c r="X395" s="1014"/>
      <c r="Y395" s="1012"/>
      <c r="Z395" s="1012"/>
      <c r="AA395" s="1012"/>
      <c r="AB395" s="1012"/>
      <c r="AC395" s="1012"/>
      <c r="AD395" s="1012"/>
      <c r="AE395" s="1012"/>
      <c r="AF395" s="1012"/>
      <c r="AG395" s="1012"/>
      <c r="AH395" s="1012"/>
      <c r="AI395" s="1012"/>
      <c r="AJ395" s="1012"/>
      <c r="AK395" s="1012"/>
    </row>
    <row r="396">
      <c r="A396" s="1012"/>
      <c r="B396" s="1013"/>
      <c r="C396" s="1012"/>
      <c r="D396" s="1013"/>
      <c r="E396" s="1012"/>
      <c r="F396" s="1012"/>
      <c r="G396" s="1013"/>
      <c r="H396" s="1012"/>
      <c r="I396" s="1012"/>
      <c r="J396" s="1013"/>
      <c r="K396" s="1013"/>
      <c r="L396" s="1094"/>
      <c r="M396" s="1094"/>
      <c r="N396" s="1013"/>
      <c r="O396" s="1013"/>
      <c r="P396" s="1013"/>
      <c r="Q396" s="1013"/>
      <c r="R396" s="1013"/>
      <c r="S396" s="1013"/>
      <c r="T396" s="1012"/>
      <c r="U396" s="1011"/>
      <c r="V396" s="1012"/>
      <c r="W396" s="1013"/>
      <c r="X396" s="1014"/>
      <c r="Y396" s="1012"/>
      <c r="Z396" s="1012"/>
      <c r="AA396" s="1012"/>
      <c r="AB396" s="1012"/>
      <c r="AC396" s="1012"/>
      <c r="AD396" s="1012"/>
      <c r="AE396" s="1012"/>
      <c r="AF396" s="1012"/>
      <c r="AG396" s="1012"/>
      <c r="AH396" s="1012"/>
      <c r="AI396" s="1012"/>
      <c r="AJ396" s="1012"/>
      <c r="AK396" s="1012"/>
    </row>
    <row r="397">
      <c r="A397" s="1012"/>
      <c r="B397" s="1013"/>
      <c r="C397" s="1012"/>
      <c r="D397" s="1013"/>
      <c r="E397" s="1012"/>
      <c r="F397" s="1012"/>
      <c r="G397" s="1013"/>
      <c r="H397" s="1012"/>
      <c r="I397" s="1012"/>
      <c r="J397" s="1013"/>
      <c r="K397" s="1013"/>
      <c r="L397" s="1094"/>
      <c r="M397" s="1094"/>
      <c r="N397" s="1013"/>
      <c r="O397" s="1013"/>
      <c r="P397" s="1013"/>
      <c r="Q397" s="1013"/>
      <c r="R397" s="1013"/>
      <c r="S397" s="1013"/>
      <c r="T397" s="1012"/>
      <c r="U397" s="1011"/>
      <c r="V397" s="1012"/>
      <c r="W397" s="1013"/>
      <c r="X397" s="1014"/>
      <c r="Y397" s="1012"/>
      <c r="Z397" s="1012"/>
      <c r="AA397" s="1012"/>
      <c r="AB397" s="1012"/>
      <c r="AC397" s="1012"/>
      <c r="AD397" s="1012"/>
      <c r="AE397" s="1012"/>
      <c r="AF397" s="1012"/>
      <c r="AG397" s="1012"/>
      <c r="AH397" s="1012"/>
      <c r="AI397" s="1012"/>
      <c r="AJ397" s="1012"/>
      <c r="AK397" s="1012"/>
    </row>
    <row r="398">
      <c r="A398" s="1012"/>
      <c r="B398" s="1013"/>
      <c r="C398" s="1012"/>
      <c r="D398" s="1013"/>
      <c r="E398" s="1012"/>
      <c r="F398" s="1012"/>
      <c r="G398" s="1013"/>
      <c r="H398" s="1012"/>
      <c r="I398" s="1012"/>
      <c r="J398" s="1013"/>
      <c r="K398" s="1013"/>
      <c r="L398" s="1094"/>
      <c r="M398" s="1094"/>
      <c r="N398" s="1013"/>
      <c r="O398" s="1013"/>
      <c r="P398" s="1013"/>
      <c r="Q398" s="1013"/>
      <c r="R398" s="1013"/>
      <c r="S398" s="1013"/>
      <c r="T398" s="1012"/>
      <c r="U398" s="1011"/>
      <c r="V398" s="1012"/>
      <c r="W398" s="1013"/>
      <c r="X398" s="1014"/>
      <c r="Y398" s="1012"/>
      <c r="Z398" s="1012"/>
      <c r="AA398" s="1012"/>
      <c r="AB398" s="1012"/>
      <c r="AC398" s="1012"/>
      <c r="AD398" s="1012"/>
      <c r="AE398" s="1012"/>
      <c r="AF398" s="1012"/>
      <c r="AG398" s="1012"/>
      <c r="AH398" s="1012"/>
      <c r="AI398" s="1012"/>
      <c r="AJ398" s="1012"/>
      <c r="AK398" s="1012"/>
    </row>
    <row r="399">
      <c r="A399" s="1012"/>
      <c r="B399" s="1013"/>
      <c r="C399" s="1012"/>
      <c r="D399" s="1013"/>
      <c r="E399" s="1012"/>
      <c r="F399" s="1012"/>
      <c r="G399" s="1013"/>
      <c r="H399" s="1012"/>
      <c r="I399" s="1012"/>
      <c r="J399" s="1013"/>
      <c r="K399" s="1013"/>
      <c r="L399" s="1094"/>
      <c r="M399" s="1094"/>
      <c r="N399" s="1013"/>
      <c r="O399" s="1013"/>
      <c r="P399" s="1013"/>
      <c r="Q399" s="1013"/>
      <c r="R399" s="1013"/>
      <c r="S399" s="1013"/>
      <c r="T399" s="1012"/>
      <c r="U399" s="1011"/>
      <c r="V399" s="1012"/>
      <c r="W399" s="1013"/>
      <c r="X399" s="1014"/>
      <c r="Y399" s="1012"/>
      <c r="Z399" s="1012"/>
      <c r="AA399" s="1012"/>
      <c r="AB399" s="1012"/>
      <c r="AC399" s="1012"/>
      <c r="AD399" s="1012"/>
      <c r="AE399" s="1012"/>
      <c r="AF399" s="1012"/>
      <c r="AG399" s="1012"/>
      <c r="AH399" s="1012"/>
      <c r="AI399" s="1012"/>
      <c r="AJ399" s="1012"/>
      <c r="AK399" s="1012"/>
    </row>
    <row r="400">
      <c r="A400" s="1012"/>
      <c r="B400" s="1013"/>
      <c r="C400" s="1012"/>
      <c r="D400" s="1013"/>
      <c r="E400" s="1012"/>
      <c r="F400" s="1012"/>
      <c r="G400" s="1013"/>
      <c r="H400" s="1012"/>
      <c r="I400" s="1012"/>
      <c r="J400" s="1013"/>
      <c r="K400" s="1013"/>
      <c r="L400" s="1094"/>
      <c r="M400" s="1094"/>
      <c r="N400" s="1013"/>
      <c r="O400" s="1013"/>
      <c r="P400" s="1013"/>
      <c r="Q400" s="1013"/>
      <c r="R400" s="1013"/>
      <c r="S400" s="1013"/>
      <c r="T400" s="1012"/>
      <c r="U400" s="1011"/>
      <c r="V400" s="1012"/>
      <c r="W400" s="1013"/>
      <c r="X400" s="1014"/>
      <c r="Y400" s="1012"/>
      <c r="Z400" s="1012"/>
      <c r="AA400" s="1012"/>
      <c r="AB400" s="1012"/>
      <c r="AC400" s="1012"/>
      <c r="AD400" s="1012"/>
      <c r="AE400" s="1012"/>
      <c r="AF400" s="1012"/>
      <c r="AG400" s="1012"/>
      <c r="AH400" s="1012"/>
      <c r="AI400" s="1012"/>
      <c r="AJ400" s="1012"/>
      <c r="AK400" s="1012"/>
    </row>
    <row r="401">
      <c r="A401" s="1012"/>
      <c r="B401" s="1013"/>
      <c r="C401" s="1012"/>
      <c r="D401" s="1013"/>
      <c r="E401" s="1012"/>
      <c r="F401" s="1012"/>
      <c r="G401" s="1013"/>
      <c r="H401" s="1012"/>
      <c r="I401" s="1012"/>
      <c r="J401" s="1013"/>
      <c r="K401" s="1013"/>
      <c r="L401" s="1094"/>
      <c r="M401" s="1094"/>
      <c r="N401" s="1013"/>
      <c r="O401" s="1013"/>
      <c r="P401" s="1013"/>
      <c r="Q401" s="1013"/>
      <c r="R401" s="1013"/>
      <c r="S401" s="1013"/>
      <c r="T401" s="1012"/>
      <c r="U401" s="1011"/>
      <c r="V401" s="1012"/>
      <c r="W401" s="1013"/>
      <c r="X401" s="1014"/>
      <c r="Y401" s="1012"/>
      <c r="Z401" s="1012"/>
      <c r="AA401" s="1012"/>
      <c r="AB401" s="1012"/>
      <c r="AC401" s="1012"/>
      <c r="AD401" s="1012"/>
      <c r="AE401" s="1012"/>
      <c r="AF401" s="1012"/>
      <c r="AG401" s="1012"/>
      <c r="AH401" s="1012"/>
      <c r="AI401" s="1012"/>
      <c r="AJ401" s="1012"/>
      <c r="AK401" s="1012"/>
    </row>
    <row r="402">
      <c r="A402" s="1012"/>
      <c r="B402" s="1013"/>
      <c r="C402" s="1012"/>
      <c r="D402" s="1013"/>
      <c r="E402" s="1012"/>
      <c r="F402" s="1012"/>
      <c r="G402" s="1013"/>
      <c r="H402" s="1012"/>
      <c r="I402" s="1012"/>
      <c r="J402" s="1013"/>
      <c r="K402" s="1013"/>
      <c r="L402" s="1094"/>
      <c r="M402" s="1094"/>
      <c r="N402" s="1013"/>
      <c r="O402" s="1013"/>
      <c r="P402" s="1013"/>
      <c r="Q402" s="1013"/>
      <c r="R402" s="1013"/>
      <c r="S402" s="1013"/>
      <c r="T402" s="1012"/>
      <c r="U402" s="1011"/>
      <c r="V402" s="1012"/>
      <c r="W402" s="1013"/>
      <c r="X402" s="1014"/>
      <c r="Y402" s="1012"/>
      <c r="Z402" s="1012"/>
      <c r="AA402" s="1012"/>
      <c r="AB402" s="1012"/>
      <c r="AC402" s="1012"/>
      <c r="AD402" s="1012"/>
      <c r="AE402" s="1012"/>
      <c r="AF402" s="1012"/>
      <c r="AG402" s="1012"/>
      <c r="AH402" s="1012"/>
      <c r="AI402" s="1012"/>
      <c r="AJ402" s="1012"/>
      <c r="AK402" s="1012"/>
    </row>
    <row r="403">
      <c r="A403" s="1012"/>
      <c r="B403" s="1013"/>
      <c r="C403" s="1012"/>
      <c r="D403" s="1013"/>
      <c r="E403" s="1012"/>
      <c r="F403" s="1012"/>
      <c r="G403" s="1013"/>
      <c r="H403" s="1012"/>
      <c r="I403" s="1012"/>
      <c r="J403" s="1013"/>
      <c r="K403" s="1013"/>
      <c r="L403" s="1094"/>
      <c r="M403" s="1094"/>
      <c r="N403" s="1013"/>
      <c r="O403" s="1013"/>
      <c r="P403" s="1013"/>
      <c r="Q403" s="1013"/>
      <c r="R403" s="1013"/>
      <c r="S403" s="1013"/>
      <c r="T403" s="1012"/>
      <c r="U403" s="1011"/>
      <c r="V403" s="1012"/>
      <c r="W403" s="1013"/>
      <c r="X403" s="1014"/>
      <c r="Y403" s="1012"/>
      <c r="Z403" s="1012"/>
      <c r="AA403" s="1012"/>
      <c r="AB403" s="1012"/>
      <c r="AC403" s="1012"/>
      <c r="AD403" s="1012"/>
      <c r="AE403" s="1012"/>
      <c r="AF403" s="1012"/>
      <c r="AG403" s="1012"/>
      <c r="AH403" s="1012"/>
      <c r="AI403" s="1012"/>
      <c r="AJ403" s="1012"/>
      <c r="AK403" s="1012"/>
    </row>
    <row r="404">
      <c r="A404" s="1012"/>
      <c r="B404" s="1013"/>
      <c r="C404" s="1012"/>
      <c r="D404" s="1013"/>
      <c r="E404" s="1012"/>
      <c r="F404" s="1012"/>
      <c r="G404" s="1013"/>
      <c r="H404" s="1012"/>
      <c r="I404" s="1012"/>
      <c r="J404" s="1013"/>
      <c r="K404" s="1013"/>
      <c r="L404" s="1094"/>
      <c r="M404" s="1094"/>
      <c r="N404" s="1013"/>
      <c r="O404" s="1013"/>
      <c r="P404" s="1013"/>
      <c r="Q404" s="1013"/>
      <c r="R404" s="1013"/>
      <c r="S404" s="1013"/>
      <c r="T404" s="1012"/>
      <c r="U404" s="1011"/>
      <c r="V404" s="1012"/>
      <c r="W404" s="1013"/>
      <c r="X404" s="1014"/>
      <c r="Y404" s="1012"/>
      <c r="Z404" s="1012"/>
      <c r="AA404" s="1012"/>
      <c r="AB404" s="1012"/>
      <c r="AC404" s="1012"/>
      <c r="AD404" s="1012"/>
      <c r="AE404" s="1012"/>
      <c r="AF404" s="1012"/>
      <c r="AG404" s="1012"/>
      <c r="AH404" s="1012"/>
      <c r="AI404" s="1012"/>
      <c r="AJ404" s="1012"/>
      <c r="AK404" s="1012"/>
    </row>
    <row r="405">
      <c r="A405" s="1012"/>
      <c r="B405" s="1013"/>
      <c r="C405" s="1012"/>
      <c r="D405" s="1013"/>
      <c r="E405" s="1012"/>
      <c r="F405" s="1012"/>
      <c r="G405" s="1013"/>
      <c r="H405" s="1012"/>
      <c r="I405" s="1012"/>
      <c r="J405" s="1013"/>
      <c r="K405" s="1013"/>
      <c r="L405" s="1094"/>
      <c r="M405" s="1094"/>
      <c r="N405" s="1013"/>
      <c r="O405" s="1013"/>
      <c r="P405" s="1013"/>
      <c r="Q405" s="1013"/>
      <c r="R405" s="1013"/>
      <c r="S405" s="1013"/>
      <c r="T405" s="1012"/>
      <c r="U405" s="1011"/>
      <c r="V405" s="1012"/>
      <c r="W405" s="1013"/>
      <c r="X405" s="1014"/>
      <c r="Y405" s="1012"/>
      <c r="Z405" s="1012"/>
      <c r="AA405" s="1012"/>
      <c r="AB405" s="1012"/>
      <c r="AC405" s="1012"/>
      <c r="AD405" s="1012"/>
      <c r="AE405" s="1012"/>
      <c r="AF405" s="1012"/>
      <c r="AG405" s="1012"/>
      <c r="AH405" s="1012"/>
      <c r="AI405" s="1012"/>
      <c r="AJ405" s="1012"/>
      <c r="AK405" s="1012"/>
    </row>
    <row r="406">
      <c r="A406" s="1012"/>
      <c r="B406" s="1013"/>
      <c r="C406" s="1012"/>
      <c r="D406" s="1013"/>
      <c r="E406" s="1012"/>
      <c r="F406" s="1012"/>
      <c r="G406" s="1013"/>
      <c r="H406" s="1012"/>
      <c r="I406" s="1012"/>
      <c r="J406" s="1013"/>
      <c r="K406" s="1013"/>
      <c r="L406" s="1094"/>
      <c r="M406" s="1094"/>
      <c r="N406" s="1013"/>
      <c r="O406" s="1013"/>
      <c r="P406" s="1013"/>
      <c r="Q406" s="1013"/>
      <c r="R406" s="1013"/>
      <c r="S406" s="1013"/>
      <c r="T406" s="1012"/>
      <c r="U406" s="1011"/>
      <c r="V406" s="1012"/>
      <c r="W406" s="1013"/>
      <c r="X406" s="1014"/>
      <c r="Y406" s="1012"/>
      <c r="Z406" s="1012"/>
      <c r="AA406" s="1012"/>
      <c r="AB406" s="1012"/>
      <c r="AC406" s="1012"/>
      <c r="AD406" s="1012"/>
      <c r="AE406" s="1012"/>
      <c r="AF406" s="1012"/>
      <c r="AG406" s="1012"/>
      <c r="AH406" s="1012"/>
      <c r="AI406" s="1012"/>
      <c r="AJ406" s="1012"/>
      <c r="AK406" s="1012"/>
    </row>
    <row r="407">
      <c r="A407" s="1012"/>
      <c r="B407" s="1013"/>
      <c r="C407" s="1012"/>
      <c r="D407" s="1013"/>
      <c r="E407" s="1012"/>
      <c r="F407" s="1012"/>
      <c r="G407" s="1013"/>
      <c r="H407" s="1012"/>
      <c r="I407" s="1012"/>
      <c r="J407" s="1013"/>
      <c r="K407" s="1013"/>
      <c r="L407" s="1094"/>
      <c r="M407" s="1094"/>
      <c r="N407" s="1013"/>
      <c r="O407" s="1013"/>
      <c r="P407" s="1013"/>
      <c r="Q407" s="1013"/>
      <c r="R407" s="1013"/>
      <c r="S407" s="1013"/>
      <c r="T407" s="1012"/>
      <c r="U407" s="1011"/>
      <c r="V407" s="1012"/>
      <c r="W407" s="1013"/>
      <c r="X407" s="1014"/>
      <c r="Y407" s="1012"/>
      <c r="Z407" s="1012"/>
      <c r="AA407" s="1012"/>
      <c r="AB407" s="1012"/>
      <c r="AC407" s="1012"/>
      <c r="AD407" s="1012"/>
      <c r="AE407" s="1012"/>
      <c r="AF407" s="1012"/>
      <c r="AG407" s="1012"/>
      <c r="AH407" s="1012"/>
      <c r="AI407" s="1012"/>
      <c r="AJ407" s="1012"/>
      <c r="AK407" s="1012"/>
    </row>
    <row r="408">
      <c r="A408" s="1012"/>
      <c r="B408" s="1013"/>
      <c r="C408" s="1012"/>
      <c r="D408" s="1013"/>
      <c r="E408" s="1012"/>
      <c r="F408" s="1012"/>
      <c r="G408" s="1013"/>
      <c r="H408" s="1012"/>
      <c r="I408" s="1012"/>
      <c r="J408" s="1013"/>
      <c r="K408" s="1013"/>
      <c r="L408" s="1094"/>
      <c r="M408" s="1094"/>
      <c r="N408" s="1013"/>
      <c r="O408" s="1013"/>
      <c r="P408" s="1013"/>
      <c r="Q408" s="1013"/>
      <c r="R408" s="1013"/>
      <c r="S408" s="1013"/>
      <c r="T408" s="1012"/>
      <c r="U408" s="1011"/>
      <c r="V408" s="1012"/>
      <c r="W408" s="1013"/>
      <c r="X408" s="1014"/>
      <c r="Y408" s="1012"/>
      <c r="Z408" s="1012"/>
      <c r="AA408" s="1012"/>
      <c r="AB408" s="1012"/>
      <c r="AC408" s="1012"/>
      <c r="AD408" s="1012"/>
      <c r="AE408" s="1012"/>
      <c r="AF408" s="1012"/>
      <c r="AG408" s="1012"/>
      <c r="AH408" s="1012"/>
      <c r="AI408" s="1012"/>
      <c r="AJ408" s="1012"/>
      <c r="AK408" s="1012"/>
    </row>
    <row r="409">
      <c r="A409" s="1012"/>
      <c r="B409" s="1013"/>
      <c r="C409" s="1012"/>
      <c r="D409" s="1013"/>
      <c r="E409" s="1012"/>
      <c r="F409" s="1012"/>
      <c r="G409" s="1013"/>
      <c r="H409" s="1012"/>
      <c r="I409" s="1012"/>
      <c r="J409" s="1013"/>
      <c r="K409" s="1013"/>
      <c r="L409" s="1094"/>
      <c r="M409" s="1094"/>
      <c r="N409" s="1013"/>
      <c r="O409" s="1013"/>
      <c r="P409" s="1013"/>
      <c r="Q409" s="1013"/>
      <c r="R409" s="1013"/>
      <c r="S409" s="1013"/>
      <c r="T409" s="1012"/>
      <c r="U409" s="1011"/>
      <c r="V409" s="1012"/>
      <c r="W409" s="1013"/>
      <c r="X409" s="1014"/>
      <c r="Y409" s="1012"/>
      <c r="Z409" s="1012"/>
      <c r="AA409" s="1012"/>
      <c r="AB409" s="1012"/>
      <c r="AC409" s="1012"/>
      <c r="AD409" s="1012"/>
      <c r="AE409" s="1012"/>
      <c r="AF409" s="1012"/>
      <c r="AG409" s="1012"/>
      <c r="AH409" s="1012"/>
      <c r="AI409" s="1012"/>
      <c r="AJ409" s="1012"/>
      <c r="AK409" s="1012"/>
    </row>
    <row r="410">
      <c r="A410" s="1012"/>
      <c r="B410" s="1013"/>
      <c r="C410" s="1012"/>
      <c r="D410" s="1013"/>
      <c r="E410" s="1012"/>
      <c r="F410" s="1012"/>
      <c r="G410" s="1013"/>
      <c r="H410" s="1012"/>
      <c r="I410" s="1012"/>
      <c r="J410" s="1013"/>
      <c r="K410" s="1013"/>
      <c r="L410" s="1094"/>
      <c r="M410" s="1094"/>
      <c r="N410" s="1013"/>
      <c r="O410" s="1013"/>
      <c r="P410" s="1013"/>
      <c r="Q410" s="1013"/>
      <c r="R410" s="1013"/>
      <c r="S410" s="1013"/>
      <c r="T410" s="1012"/>
      <c r="U410" s="1011"/>
      <c r="V410" s="1012"/>
      <c r="W410" s="1013"/>
      <c r="X410" s="1014"/>
      <c r="Y410" s="1012"/>
      <c r="Z410" s="1012"/>
      <c r="AA410" s="1012"/>
      <c r="AB410" s="1012"/>
      <c r="AC410" s="1012"/>
      <c r="AD410" s="1012"/>
      <c r="AE410" s="1012"/>
      <c r="AF410" s="1012"/>
      <c r="AG410" s="1012"/>
      <c r="AH410" s="1012"/>
      <c r="AI410" s="1012"/>
      <c r="AJ410" s="1012"/>
      <c r="AK410" s="1012"/>
    </row>
    <row r="411">
      <c r="A411" s="1012"/>
      <c r="B411" s="1013"/>
      <c r="C411" s="1012"/>
      <c r="D411" s="1013"/>
      <c r="E411" s="1012"/>
      <c r="F411" s="1012"/>
      <c r="G411" s="1013"/>
      <c r="H411" s="1012"/>
      <c r="I411" s="1012"/>
      <c r="J411" s="1013"/>
      <c r="K411" s="1013"/>
      <c r="L411" s="1094"/>
      <c r="M411" s="1094"/>
      <c r="N411" s="1013"/>
      <c r="O411" s="1013"/>
      <c r="P411" s="1013"/>
      <c r="Q411" s="1013"/>
      <c r="R411" s="1013"/>
      <c r="S411" s="1013"/>
      <c r="T411" s="1012"/>
      <c r="U411" s="1011"/>
      <c r="V411" s="1012"/>
      <c r="W411" s="1013"/>
      <c r="X411" s="1014"/>
      <c r="Y411" s="1012"/>
      <c r="Z411" s="1012"/>
      <c r="AA411" s="1012"/>
      <c r="AB411" s="1012"/>
      <c r="AC411" s="1012"/>
      <c r="AD411" s="1012"/>
      <c r="AE411" s="1012"/>
      <c r="AF411" s="1012"/>
      <c r="AG411" s="1012"/>
      <c r="AH411" s="1012"/>
      <c r="AI411" s="1012"/>
      <c r="AJ411" s="1012"/>
      <c r="AK411" s="1012"/>
    </row>
    <row r="412">
      <c r="A412" s="1012"/>
      <c r="B412" s="1013"/>
      <c r="C412" s="1012"/>
      <c r="D412" s="1013"/>
      <c r="E412" s="1012"/>
      <c r="F412" s="1012"/>
      <c r="G412" s="1013"/>
      <c r="H412" s="1012"/>
      <c r="I412" s="1012"/>
      <c r="J412" s="1013"/>
      <c r="K412" s="1013"/>
      <c r="L412" s="1094"/>
      <c r="M412" s="1094"/>
      <c r="N412" s="1013"/>
      <c r="O412" s="1013"/>
      <c r="P412" s="1013"/>
      <c r="Q412" s="1013"/>
      <c r="R412" s="1013"/>
      <c r="S412" s="1013"/>
      <c r="T412" s="1012"/>
      <c r="U412" s="1011"/>
      <c r="V412" s="1012"/>
      <c r="W412" s="1013"/>
      <c r="X412" s="1014"/>
      <c r="Y412" s="1012"/>
      <c r="Z412" s="1012"/>
      <c r="AA412" s="1012"/>
      <c r="AB412" s="1012"/>
      <c r="AC412" s="1012"/>
      <c r="AD412" s="1012"/>
      <c r="AE412" s="1012"/>
      <c r="AF412" s="1012"/>
      <c r="AG412" s="1012"/>
      <c r="AH412" s="1012"/>
      <c r="AI412" s="1012"/>
      <c r="AJ412" s="1012"/>
      <c r="AK412" s="1012"/>
    </row>
    <row r="413">
      <c r="A413" s="1012"/>
      <c r="B413" s="1013"/>
      <c r="C413" s="1012"/>
      <c r="D413" s="1013"/>
      <c r="E413" s="1012"/>
      <c r="F413" s="1012"/>
      <c r="G413" s="1013"/>
      <c r="H413" s="1012"/>
      <c r="I413" s="1012"/>
      <c r="J413" s="1013"/>
      <c r="K413" s="1013"/>
      <c r="L413" s="1094"/>
      <c r="M413" s="1094"/>
      <c r="N413" s="1013"/>
      <c r="O413" s="1013"/>
      <c r="P413" s="1013"/>
      <c r="Q413" s="1013"/>
      <c r="R413" s="1013"/>
      <c r="S413" s="1013"/>
      <c r="T413" s="1012"/>
      <c r="U413" s="1011"/>
      <c r="V413" s="1012"/>
      <c r="W413" s="1013"/>
      <c r="X413" s="1014"/>
      <c r="Y413" s="1012"/>
      <c r="Z413" s="1012"/>
      <c r="AA413" s="1012"/>
      <c r="AB413" s="1012"/>
      <c r="AC413" s="1012"/>
      <c r="AD413" s="1012"/>
      <c r="AE413" s="1012"/>
      <c r="AF413" s="1012"/>
      <c r="AG413" s="1012"/>
      <c r="AH413" s="1012"/>
      <c r="AI413" s="1012"/>
      <c r="AJ413" s="1012"/>
      <c r="AK413" s="1012"/>
    </row>
    <row r="414">
      <c r="A414" s="1012"/>
      <c r="B414" s="1013"/>
      <c r="C414" s="1012"/>
      <c r="D414" s="1013"/>
      <c r="E414" s="1012"/>
      <c r="F414" s="1012"/>
      <c r="G414" s="1013"/>
      <c r="H414" s="1012"/>
      <c r="I414" s="1012"/>
      <c r="J414" s="1013"/>
      <c r="K414" s="1013"/>
      <c r="L414" s="1094"/>
      <c r="M414" s="1094"/>
      <c r="N414" s="1013"/>
      <c r="O414" s="1013"/>
      <c r="P414" s="1013"/>
      <c r="Q414" s="1013"/>
      <c r="R414" s="1013"/>
      <c r="S414" s="1013"/>
      <c r="T414" s="1012"/>
      <c r="U414" s="1011"/>
      <c r="V414" s="1012"/>
      <c r="W414" s="1013"/>
      <c r="X414" s="1014"/>
      <c r="Y414" s="1012"/>
      <c r="Z414" s="1012"/>
      <c r="AA414" s="1012"/>
      <c r="AB414" s="1012"/>
      <c r="AC414" s="1012"/>
      <c r="AD414" s="1012"/>
      <c r="AE414" s="1012"/>
      <c r="AF414" s="1012"/>
      <c r="AG414" s="1012"/>
      <c r="AH414" s="1012"/>
      <c r="AI414" s="1012"/>
      <c r="AJ414" s="1012"/>
      <c r="AK414" s="1012"/>
    </row>
    <row r="415">
      <c r="A415" s="1012"/>
      <c r="B415" s="1013"/>
      <c r="C415" s="1012"/>
      <c r="D415" s="1013"/>
      <c r="E415" s="1012"/>
      <c r="F415" s="1012"/>
      <c r="G415" s="1013"/>
      <c r="H415" s="1012"/>
      <c r="I415" s="1012"/>
      <c r="J415" s="1013"/>
      <c r="K415" s="1013"/>
      <c r="L415" s="1094"/>
      <c r="M415" s="1094"/>
      <c r="N415" s="1013"/>
      <c r="O415" s="1013"/>
      <c r="P415" s="1013"/>
      <c r="Q415" s="1013"/>
      <c r="R415" s="1013"/>
      <c r="S415" s="1013"/>
      <c r="T415" s="1012"/>
      <c r="U415" s="1011"/>
      <c r="V415" s="1012"/>
      <c r="W415" s="1013"/>
      <c r="X415" s="1014"/>
      <c r="Y415" s="1012"/>
      <c r="Z415" s="1012"/>
      <c r="AA415" s="1012"/>
      <c r="AB415" s="1012"/>
      <c r="AC415" s="1012"/>
      <c r="AD415" s="1012"/>
      <c r="AE415" s="1012"/>
      <c r="AF415" s="1012"/>
      <c r="AG415" s="1012"/>
      <c r="AH415" s="1012"/>
      <c r="AI415" s="1012"/>
      <c r="AJ415" s="1012"/>
      <c r="AK415" s="1012"/>
    </row>
    <row r="416">
      <c r="A416" s="1012"/>
      <c r="B416" s="1013"/>
      <c r="C416" s="1012"/>
      <c r="D416" s="1013"/>
      <c r="E416" s="1012"/>
      <c r="F416" s="1012"/>
      <c r="G416" s="1013"/>
      <c r="H416" s="1012"/>
      <c r="I416" s="1012"/>
      <c r="J416" s="1013"/>
      <c r="K416" s="1013"/>
      <c r="L416" s="1094"/>
      <c r="M416" s="1094"/>
      <c r="N416" s="1013"/>
      <c r="O416" s="1013"/>
      <c r="P416" s="1013"/>
      <c r="Q416" s="1013"/>
      <c r="R416" s="1013"/>
      <c r="S416" s="1013"/>
      <c r="T416" s="1012"/>
      <c r="U416" s="1011"/>
      <c r="V416" s="1012"/>
      <c r="W416" s="1013"/>
      <c r="X416" s="1014"/>
      <c r="Y416" s="1012"/>
      <c r="Z416" s="1012"/>
      <c r="AA416" s="1012"/>
      <c r="AB416" s="1012"/>
      <c r="AC416" s="1012"/>
      <c r="AD416" s="1012"/>
      <c r="AE416" s="1012"/>
      <c r="AF416" s="1012"/>
      <c r="AG416" s="1012"/>
      <c r="AH416" s="1012"/>
      <c r="AI416" s="1012"/>
      <c r="AJ416" s="1012"/>
      <c r="AK416" s="1012"/>
    </row>
    <row r="417">
      <c r="A417" s="1012"/>
      <c r="B417" s="1013"/>
      <c r="C417" s="1012"/>
      <c r="D417" s="1013"/>
      <c r="E417" s="1012"/>
      <c r="F417" s="1012"/>
      <c r="G417" s="1013"/>
      <c r="H417" s="1012"/>
      <c r="I417" s="1012"/>
      <c r="J417" s="1013"/>
      <c r="K417" s="1013"/>
      <c r="L417" s="1094"/>
      <c r="M417" s="1094"/>
      <c r="N417" s="1013"/>
      <c r="O417" s="1013"/>
      <c r="P417" s="1013"/>
      <c r="Q417" s="1013"/>
      <c r="R417" s="1013"/>
      <c r="S417" s="1013"/>
      <c r="T417" s="1012"/>
      <c r="U417" s="1011"/>
      <c r="V417" s="1012"/>
      <c r="W417" s="1013"/>
      <c r="X417" s="1014"/>
      <c r="Y417" s="1012"/>
      <c r="Z417" s="1012"/>
      <c r="AA417" s="1012"/>
      <c r="AB417" s="1012"/>
      <c r="AC417" s="1012"/>
      <c r="AD417" s="1012"/>
      <c r="AE417" s="1012"/>
      <c r="AF417" s="1012"/>
      <c r="AG417" s="1012"/>
      <c r="AH417" s="1012"/>
      <c r="AI417" s="1012"/>
      <c r="AJ417" s="1012"/>
      <c r="AK417" s="1012"/>
    </row>
    <row r="418">
      <c r="A418" s="1012"/>
      <c r="B418" s="1013"/>
      <c r="C418" s="1012"/>
      <c r="D418" s="1013"/>
      <c r="E418" s="1012"/>
      <c r="F418" s="1012"/>
      <c r="G418" s="1013"/>
      <c r="H418" s="1012"/>
      <c r="I418" s="1012"/>
      <c r="J418" s="1013"/>
      <c r="K418" s="1013"/>
      <c r="L418" s="1094"/>
      <c r="M418" s="1094"/>
      <c r="N418" s="1013"/>
      <c r="O418" s="1013"/>
      <c r="P418" s="1013"/>
      <c r="Q418" s="1013"/>
      <c r="R418" s="1013"/>
      <c r="S418" s="1013"/>
      <c r="T418" s="1012"/>
      <c r="U418" s="1011"/>
      <c r="V418" s="1012"/>
      <c r="W418" s="1013"/>
      <c r="X418" s="1014"/>
      <c r="Y418" s="1012"/>
      <c r="Z418" s="1012"/>
      <c r="AA418" s="1012"/>
      <c r="AB418" s="1012"/>
      <c r="AC418" s="1012"/>
      <c r="AD418" s="1012"/>
      <c r="AE418" s="1012"/>
      <c r="AF418" s="1012"/>
      <c r="AG418" s="1012"/>
      <c r="AH418" s="1012"/>
      <c r="AI418" s="1012"/>
      <c r="AJ418" s="1012"/>
      <c r="AK418" s="1012"/>
    </row>
    <row r="419">
      <c r="A419" s="1012"/>
      <c r="B419" s="1013"/>
      <c r="C419" s="1012"/>
      <c r="D419" s="1013"/>
      <c r="E419" s="1012"/>
      <c r="F419" s="1012"/>
      <c r="G419" s="1013"/>
      <c r="H419" s="1012"/>
      <c r="I419" s="1012"/>
      <c r="J419" s="1013"/>
      <c r="K419" s="1013"/>
      <c r="L419" s="1094"/>
      <c r="M419" s="1094"/>
      <c r="N419" s="1013"/>
      <c r="O419" s="1013"/>
      <c r="P419" s="1013"/>
      <c r="Q419" s="1013"/>
      <c r="R419" s="1013"/>
      <c r="S419" s="1013"/>
      <c r="T419" s="1012"/>
      <c r="U419" s="1011"/>
      <c r="V419" s="1012"/>
      <c r="W419" s="1013"/>
      <c r="X419" s="1014"/>
      <c r="Y419" s="1012"/>
      <c r="Z419" s="1012"/>
      <c r="AA419" s="1012"/>
      <c r="AB419" s="1012"/>
      <c r="AC419" s="1012"/>
      <c r="AD419" s="1012"/>
      <c r="AE419" s="1012"/>
      <c r="AF419" s="1012"/>
      <c r="AG419" s="1012"/>
      <c r="AH419" s="1012"/>
      <c r="AI419" s="1012"/>
      <c r="AJ419" s="1012"/>
      <c r="AK419" s="1012"/>
    </row>
    <row r="420">
      <c r="A420" s="1012"/>
      <c r="B420" s="1013"/>
      <c r="C420" s="1012"/>
      <c r="D420" s="1013"/>
      <c r="E420" s="1012"/>
      <c r="F420" s="1012"/>
      <c r="G420" s="1013"/>
      <c r="H420" s="1012"/>
      <c r="I420" s="1012"/>
      <c r="J420" s="1013"/>
      <c r="K420" s="1013"/>
      <c r="L420" s="1094"/>
      <c r="M420" s="1094"/>
      <c r="N420" s="1013"/>
      <c r="O420" s="1013"/>
      <c r="P420" s="1013"/>
      <c r="Q420" s="1013"/>
      <c r="R420" s="1013"/>
      <c r="S420" s="1013"/>
      <c r="T420" s="1012"/>
      <c r="U420" s="1011"/>
      <c r="V420" s="1012"/>
      <c r="W420" s="1013"/>
      <c r="X420" s="1014"/>
      <c r="Y420" s="1012"/>
      <c r="Z420" s="1012"/>
      <c r="AA420" s="1012"/>
      <c r="AB420" s="1012"/>
      <c r="AC420" s="1012"/>
      <c r="AD420" s="1012"/>
      <c r="AE420" s="1012"/>
      <c r="AF420" s="1012"/>
      <c r="AG420" s="1012"/>
      <c r="AH420" s="1012"/>
      <c r="AI420" s="1012"/>
      <c r="AJ420" s="1012"/>
      <c r="AK420" s="1012"/>
    </row>
    <row r="421">
      <c r="A421" s="1012"/>
      <c r="B421" s="1013"/>
      <c r="C421" s="1012"/>
      <c r="D421" s="1013"/>
      <c r="E421" s="1012"/>
      <c r="F421" s="1012"/>
      <c r="G421" s="1013"/>
      <c r="H421" s="1012"/>
      <c r="I421" s="1012"/>
      <c r="J421" s="1013"/>
      <c r="K421" s="1013"/>
      <c r="L421" s="1094"/>
      <c r="M421" s="1094"/>
      <c r="N421" s="1013"/>
      <c r="O421" s="1013"/>
      <c r="P421" s="1013"/>
      <c r="Q421" s="1013"/>
      <c r="R421" s="1013"/>
      <c r="S421" s="1013"/>
      <c r="T421" s="1012"/>
      <c r="U421" s="1011"/>
      <c r="V421" s="1012"/>
      <c r="W421" s="1013"/>
      <c r="X421" s="1014"/>
      <c r="Y421" s="1012"/>
      <c r="Z421" s="1012"/>
      <c r="AA421" s="1012"/>
      <c r="AB421" s="1012"/>
      <c r="AC421" s="1012"/>
      <c r="AD421" s="1012"/>
      <c r="AE421" s="1012"/>
      <c r="AF421" s="1012"/>
      <c r="AG421" s="1012"/>
      <c r="AH421" s="1012"/>
      <c r="AI421" s="1012"/>
      <c r="AJ421" s="1012"/>
      <c r="AK421" s="1012"/>
    </row>
    <row r="422">
      <c r="A422" s="1012"/>
      <c r="B422" s="1013"/>
      <c r="C422" s="1012"/>
      <c r="D422" s="1013"/>
      <c r="E422" s="1012"/>
      <c r="F422" s="1012"/>
      <c r="G422" s="1013"/>
      <c r="H422" s="1012"/>
      <c r="I422" s="1012"/>
      <c r="J422" s="1013"/>
      <c r="K422" s="1013"/>
      <c r="L422" s="1094"/>
      <c r="M422" s="1094"/>
      <c r="N422" s="1013"/>
      <c r="O422" s="1013"/>
      <c r="P422" s="1013"/>
      <c r="Q422" s="1013"/>
      <c r="R422" s="1013"/>
      <c r="S422" s="1013"/>
      <c r="T422" s="1012"/>
      <c r="U422" s="1011"/>
      <c r="V422" s="1012"/>
      <c r="W422" s="1013"/>
      <c r="X422" s="1014"/>
      <c r="Y422" s="1012"/>
      <c r="Z422" s="1012"/>
      <c r="AA422" s="1012"/>
      <c r="AB422" s="1012"/>
      <c r="AC422" s="1012"/>
      <c r="AD422" s="1012"/>
      <c r="AE422" s="1012"/>
      <c r="AF422" s="1012"/>
      <c r="AG422" s="1012"/>
      <c r="AH422" s="1012"/>
      <c r="AI422" s="1012"/>
      <c r="AJ422" s="1012"/>
      <c r="AK422" s="1012"/>
    </row>
    <row r="423">
      <c r="A423" s="1012"/>
      <c r="B423" s="1013"/>
      <c r="C423" s="1012"/>
      <c r="D423" s="1013"/>
      <c r="E423" s="1012"/>
      <c r="F423" s="1012"/>
      <c r="G423" s="1013"/>
      <c r="H423" s="1012"/>
      <c r="I423" s="1012"/>
      <c r="J423" s="1013"/>
      <c r="K423" s="1013"/>
      <c r="L423" s="1094"/>
      <c r="M423" s="1094"/>
      <c r="N423" s="1013"/>
      <c r="O423" s="1013"/>
      <c r="P423" s="1013"/>
      <c r="Q423" s="1013"/>
      <c r="R423" s="1013"/>
      <c r="S423" s="1013"/>
      <c r="T423" s="1012"/>
      <c r="U423" s="1011"/>
      <c r="V423" s="1012"/>
      <c r="W423" s="1013"/>
      <c r="X423" s="1014"/>
      <c r="Y423" s="1012"/>
      <c r="Z423" s="1012"/>
      <c r="AA423" s="1012"/>
      <c r="AB423" s="1012"/>
      <c r="AC423" s="1012"/>
      <c r="AD423" s="1012"/>
      <c r="AE423" s="1012"/>
      <c r="AF423" s="1012"/>
      <c r="AG423" s="1012"/>
      <c r="AH423" s="1012"/>
      <c r="AI423" s="1012"/>
      <c r="AJ423" s="1012"/>
      <c r="AK423" s="1012"/>
    </row>
    <row r="424">
      <c r="A424" s="1012"/>
      <c r="B424" s="1013"/>
      <c r="C424" s="1012"/>
      <c r="D424" s="1013"/>
      <c r="E424" s="1012"/>
      <c r="F424" s="1012"/>
      <c r="G424" s="1013"/>
      <c r="H424" s="1012"/>
      <c r="I424" s="1012"/>
      <c r="J424" s="1013"/>
      <c r="K424" s="1013"/>
      <c r="L424" s="1094"/>
      <c r="M424" s="1094"/>
      <c r="N424" s="1013"/>
      <c r="O424" s="1013"/>
      <c r="P424" s="1013"/>
      <c r="Q424" s="1013"/>
      <c r="R424" s="1013"/>
      <c r="S424" s="1013"/>
      <c r="T424" s="1012"/>
      <c r="U424" s="1011"/>
      <c r="V424" s="1012"/>
      <c r="W424" s="1013"/>
      <c r="X424" s="1014"/>
      <c r="Y424" s="1012"/>
      <c r="Z424" s="1012"/>
      <c r="AA424" s="1012"/>
      <c r="AB424" s="1012"/>
      <c r="AC424" s="1012"/>
      <c r="AD424" s="1012"/>
      <c r="AE424" s="1012"/>
      <c r="AF424" s="1012"/>
      <c r="AG424" s="1012"/>
      <c r="AH424" s="1012"/>
      <c r="AI424" s="1012"/>
      <c r="AJ424" s="1012"/>
      <c r="AK424" s="1012"/>
    </row>
    <row r="425">
      <c r="A425" s="1012"/>
      <c r="B425" s="1013"/>
      <c r="C425" s="1012"/>
      <c r="D425" s="1013"/>
      <c r="E425" s="1012"/>
      <c r="F425" s="1012"/>
      <c r="G425" s="1013"/>
      <c r="H425" s="1012"/>
      <c r="I425" s="1012"/>
      <c r="J425" s="1013"/>
      <c r="K425" s="1013"/>
      <c r="L425" s="1094"/>
      <c r="M425" s="1094"/>
      <c r="N425" s="1013"/>
      <c r="O425" s="1013"/>
      <c r="P425" s="1013"/>
      <c r="Q425" s="1013"/>
      <c r="R425" s="1013"/>
      <c r="S425" s="1013"/>
      <c r="T425" s="1012"/>
      <c r="U425" s="1011"/>
      <c r="V425" s="1012"/>
      <c r="W425" s="1013"/>
      <c r="X425" s="1014"/>
      <c r="Y425" s="1012"/>
      <c r="Z425" s="1012"/>
      <c r="AA425" s="1012"/>
      <c r="AB425" s="1012"/>
      <c r="AC425" s="1012"/>
      <c r="AD425" s="1012"/>
      <c r="AE425" s="1012"/>
      <c r="AF425" s="1012"/>
      <c r="AG425" s="1012"/>
      <c r="AH425" s="1012"/>
      <c r="AI425" s="1012"/>
      <c r="AJ425" s="1012"/>
      <c r="AK425" s="1012"/>
    </row>
    <row r="426">
      <c r="A426" s="1012"/>
      <c r="B426" s="1013"/>
      <c r="C426" s="1012"/>
      <c r="D426" s="1013"/>
      <c r="E426" s="1012"/>
      <c r="F426" s="1012"/>
      <c r="G426" s="1013"/>
      <c r="H426" s="1012"/>
      <c r="I426" s="1012"/>
      <c r="J426" s="1013"/>
      <c r="K426" s="1013"/>
      <c r="L426" s="1094"/>
      <c r="M426" s="1094"/>
      <c r="N426" s="1013"/>
      <c r="O426" s="1013"/>
      <c r="P426" s="1013"/>
      <c r="Q426" s="1013"/>
      <c r="R426" s="1013"/>
      <c r="S426" s="1013"/>
      <c r="T426" s="1012"/>
      <c r="U426" s="1011"/>
      <c r="V426" s="1012"/>
      <c r="W426" s="1013"/>
      <c r="X426" s="1014"/>
      <c r="Y426" s="1012"/>
      <c r="Z426" s="1012"/>
      <c r="AA426" s="1012"/>
      <c r="AB426" s="1012"/>
      <c r="AC426" s="1012"/>
      <c r="AD426" s="1012"/>
      <c r="AE426" s="1012"/>
      <c r="AF426" s="1012"/>
      <c r="AG426" s="1012"/>
      <c r="AH426" s="1012"/>
      <c r="AI426" s="1012"/>
      <c r="AJ426" s="1012"/>
      <c r="AK426" s="1012"/>
    </row>
    <row r="427">
      <c r="A427" s="1012"/>
      <c r="B427" s="1013"/>
      <c r="C427" s="1012"/>
      <c r="D427" s="1013"/>
      <c r="E427" s="1012"/>
      <c r="F427" s="1012"/>
      <c r="G427" s="1013"/>
      <c r="H427" s="1012"/>
      <c r="I427" s="1012"/>
      <c r="J427" s="1013"/>
      <c r="K427" s="1013"/>
      <c r="L427" s="1094"/>
      <c r="M427" s="1094"/>
      <c r="N427" s="1013"/>
      <c r="O427" s="1013"/>
      <c r="P427" s="1013"/>
      <c r="Q427" s="1013"/>
      <c r="R427" s="1013"/>
      <c r="S427" s="1013"/>
      <c r="T427" s="1012"/>
      <c r="U427" s="1011"/>
      <c r="V427" s="1012"/>
      <c r="W427" s="1013"/>
      <c r="X427" s="1014"/>
      <c r="Y427" s="1012"/>
      <c r="Z427" s="1012"/>
      <c r="AA427" s="1012"/>
      <c r="AB427" s="1012"/>
      <c r="AC427" s="1012"/>
      <c r="AD427" s="1012"/>
      <c r="AE427" s="1012"/>
      <c r="AF427" s="1012"/>
      <c r="AG427" s="1012"/>
      <c r="AH427" s="1012"/>
      <c r="AI427" s="1012"/>
      <c r="AJ427" s="1012"/>
      <c r="AK427" s="1012"/>
    </row>
    <row r="428">
      <c r="A428" s="1012"/>
      <c r="B428" s="1013"/>
      <c r="C428" s="1012"/>
      <c r="D428" s="1013"/>
      <c r="E428" s="1012"/>
      <c r="F428" s="1012"/>
      <c r="G428" s="1013"/>
      <c r="H428" s="1012"/>
      <c r="I428" s="1012"/>
      <c r="J428" s="1013"/>
      <c r="K428" s="1013"/>
      <c r="L428" s="1094"/>
      <c r="M428" s="1094"/>
      <c r="N428" s="1013"/>
      <c r="O428" s="1013"/>
      <c r="P428" s="1013"/>
      <c r="Q428" s="1013"/>
      <c r="R428" s="1013"/>
      <c r="S428" s="1013"/>
      <c r="T428" s="1012"/>
      <c r="U428" s="1011"/>
      <c r="V428" s="1012"/>
      <c r="W428" s="1013"/>
      <c r="X428" s="1014"/>
      <c r="Y428" s="1012"/>
      <c r="Z428" s="1012"/>
      <c r="AA428" s="1012"/>
      <c r="AB428" s="1012"/>
      <c r="AC428" s="1012"/>
      <c r="AD428" s="1012"/>
      <c r="AE428" s="1012"/>
      <c r="AF428" s="1012"/>
      <c r="AG428" s="1012"/>
      <c r="AH428" s="1012"/>
      <c r="AI428" s="1012"/>
      <c r="AJ428" s="1012"/>
      <c r="AK428" s="1012"/>
    </row>
    <row r="429">
      <c r="A429" s="1012"/>
      <c r="B429" s="1013"/>
      <c r="C429" s="1012"/>
      <c r="D429" s="1013"/>
      <c r="E429" s="1012"/>
      <c r="F429" s="1012"/>
      <c r="G429" s="1013"/>
      <c r="H429" s="1012"/>
      <c r="I429" s="1012"/>
      <c r="J429" s="1013"/>
      <c r="K429" s="1013"/>
      <c r="L429" s="1094"/>
      <c r="M429" s="1094"/>
      <c r="N429" s="1013"/>
      <c r="O429" s="1013"/>
      <c r="P429" s="1013"/>
      <c r="Q429" s="1013"/>
      <c r="R429" s="1013"/>
      <c r="S429" s="1013"/>
      <c r="T429" s="1012"/>
      <c r="U429" s="1011"/>
      <c r="V429" s="1012"/>
      <c r="W429" s="1013"/>
      <c r="X429" s="1014"/>
      <c r="Y429" s="1012"/>
      <c r="Z429" s="1012"/>
      <c r="AA429" s="1012"/>
      <c r="AB429" s="1012"/>
      <c r="AC429" s="1012"/>
      <c r="AD429" s="1012"/>
      <c r="AE429" s="1012"/>
      <c r="AF429" s="1012"/>
      <c r="AG429" s="1012"/>
      <c r="AH429" s="1012"/>
      <c r="AI429" s="1012"/>
      <c r="AJ429" s="1012"/>
      <c r="AK429" s="1012"/>
    </row>
    <row r="430">
      <c r="A430" s="1012"/>
      <c r="B430" s="1013"/>
      <c r="C430" s="1012"/>
      <c r="D430" s="1013"/>
      <c r="E430" s="1012"/>
      <c r="F430" s="1012"/>
      <c r="G430" s="1013"/>
      <c r="H430" s="1012"/>
      <c r="I430" s="1012"/>
      <c r="J430" s="1013"/>
      <c r="K430" s="1013"/>
      <c r="L430" s="1094"/>
      <c r="M430" s="1094"/>
      <c r="N430" s="1013"/>
      <c r="O430" s="1013"/>
      <c r="P430" s="1013"/>
      <c r="Q430" s="1013"/>
      <c r="R430" s="1013"/>
      <c r="S430" s="1013"/>
      <c r="T430" s="1012"/>
      <c r="U430" s="1011"/>
      <c r="V430" s="1012"/>
      <c r="W430" s="1013"/>
      <c r="X430" s="1014"/>
      <c r="Y430" s="1012"/>
      <c r="Z430" s="1012"/>
      <c r="AA430" s="1012"/>
      <c r="AB430" s="1012"/>
      <c r="AC430" s="1012"/>
      <c r="AD430" s="1012"/>
      <c r="AE430" s="1012"/>
      <c r="AF430" s="1012"/>
      <c r="AG430" s="1012"/>
      <c r="AH430" s="1012"/>
      <c r="AI430" s="1012"/>
      <c r="AJ430" s="1012"/>
      <c r="AK430" s="1012"/>
    </row>
    <row r="431">
      <c r="A431" s="1012"/>
      <c r="B431" s="1013"/>
      <c r="C431" s="1012"/>
      <c r="D431" s="1013"/>
      <c r="E431" s="1012"/>
      <c r="F431" s="1012"/>
      <c r="G431" s="1013"/>
      <c r="H431" s="1012"/>
      <c r="I431" s="1012"/>
      <c r="J431" s="1013"/>
      <c r="K431" s="1013"/>
      <c r="L431" s="1094"/>
      <c r="M431" s="1094"/>
      <c r="N431" s="1013"/>
      <c r="O431" s="1013"/>
      <c r="P431" s="1013"/>
      <c r="Q431" s="1013"/>
      <c r="R431" s="1013"/>
      <c r="S431" s="1013"/>
      <c r="T431" s="1012"/>
      <c r="U431" s="1011"/>
      <c r="V431" s="1012"/>
      <c r="W431" s="1013"/>
      <c r="X431" s="1014"/>
      <c r="Y431" s="1012"/>
      <c r="Z431" s="1012"/>
      <c r="AA431" s="1012"/>
      <c r="AB431" s="1012"/>
      <c r="AC431" s="1012"/>
      <c r="AD431" s="1012"/>
      <c r="AE431" s="1012"/>
      <c r="AF431" s="1012"/>
      <c r="AG431" s="1012"/>
      <c r="AH431" s="1012"/>
      <c r="AI431" s="1012"/>
      <c r="AJ431" s="1012"/>
      <c r="AK431" s="1012"/>
    </row>
    <row r="432">
      <c r="A432" s="1012"/>
      <c r="B432" s="1013"/>
      <c r="C432" s="1012"/>
      <c r="D432" s="1013"/>
      <c r="E432" s="1012"/>
      <c r="F432" s="1012"/>
      <c r="G432" s="1013"/>
      <c r="H432" s="1012"/>
      <c r="I432" s="1012"/>
      <c r="J432" s="1013"/>
      <c r="K432" s="1013"/>
      <c r="L432" s="1094"/>
      <c r="M432" s="1094"/>
      <c r="N432" s="1013"/>
      <c r="O432" s="1013"/>
      <c r="P432" s="1013"/>
      <c r="Q432" s="1013"/>
      <c r="R432" s="1013"/>
      <c r="S432" s="1013"/>
      <c r="T432" s="1012"/>
      <c r="U432" s="1011"/>
      <c r="V432" s="1012"/>
      <c r="W432" s="1013"/>
      <c r="X432" s="1014"/>
      <c r="Y432" s="1012"/>
      <c r="Z432" s="1012"/>
      <c r="AA432" s="1012"/>
      <c r="AB432" s="1012"/>
      <c r="AC432" s="1012"/>
      <c r="AD432" s="1012"/>
      <c r="AE432" s="1012"/>
      <c r="AF432" s="1012"/>
      <c r="AG432" s="1012"/>
      <c r="AH432" s="1012"/>
      <c r="AI432" s="1012"/>
      <c r="AJ432" s="1012"/>
      <c r="AK432" s="1012"/>
    </row>
    <row r="433">
      <c r="A433" s="1012"/>
      <c r="B433" s="1013"/>
      <c r="C433" s="1012"/>
      <c r="D433" s="1013"/>
      <c r="E433" s="1012"/>
      <c r="F433" s="1012"/>
      <c r="G433" s="1013"/>
      <c r="H433" s="1012"/>
      <c r="I433" s="1012"/>
      <c r="J433" s="1013"/>
      <c r="K433" s="1013"/>
      <c r="L433" s="1094"/>
      <c r="M433" s="1094"/>
      <c r="N433" s="1013"/>
      <c r="O433" s="1013"/>
      <c r="P433" s="1013"/>
      <c r="Q433" s="1013"/>
      <c r="R433" s="1013"/>
      <c r="S433" s="1013"/>
      <c r="T433" s="1012"/>
      <c r="U433" s="1011"/>
      <c r="V433" s="1012"/>
      <c r="W433" s="1013"/>
      <c r="X433" s="1014"/>
      <c r="Y433" s="1012"/>
      <c r="Z433" s="1012"/>
      <c r="AA433" s="1012"/>
      <c r="AB433" s="1012"/>
      <c r="AC433" s="1012"/>
      <c r="AD433" s="1012"/>
      <c r="AE433" s="1012"/>
      <c r="AF433" s="1012"/>
      <c r="AG433" s="1012"/>
      <c r="AH433" s="1012"/>
      <c r="AI433" s="1012"/>
      <c r="AJ433" s="1012"/>
      <c r="AK433" s="1012"/>
    </row>
    <row r="434">
      <c r="A434" s="1012"/>
      <c r="B434" s="1013"/>
      <c r="C434" s="1012"/>
      <c r="D434" s="1013"/>
      <c r="E434" s="1012"/>
      <c r="F434" s="1012"/>
      <c r="G434" s="1013"/>
      <c r="H434" s="1012"/>
      <c r="I434" s="1012"/>
      <c r="J434" s="1013"/>
      <c r="K434" s="1013"/>
      <c r="L434" s="1094"/>
      <c r="M434" s="1094"/>
      <c r="N434" s="1013"/>
      <c r="O434" s="1013"/>
      <c r="P434" s="1013"/>
      <c r="Q434" s="1013"/>
      <c r="R434" s="1013"/>
      <c r="S434" s="1013"/>
      <c r="T434" s="1012"/>
      <c r="U434" s="1011"/>
      <c r="V434" s="1012"/>
      <c r="W434" s="1013"/>
      <c r="X434" s="1014"/>
      <c r="Y434" s="1012"/>
      <c r="Z434" s="1012"/>
      <c r="AA434" s="1012"/>
      <c r="AB434" s="1012"/>
      <c r="AC434" s="1012"/>
      <c r="AD434" s="1012"/>
      <c r="AE434" s="1012"/>
      <c r="AF434" s="1012"/>
      <c r="AG434" s="1012"/>
      <c r="AH434" s="1012"/>
      <c r="AI434" s="1012"/>
      <c r="AJ434" s="1012"/>
      <c r="AK434" s="1012"/>
    </row>
    <row r="435">
      <c r="A435" s="1012"/>
      <c r="B435" s="1013"/>
      <c r="C435" s="1012"/>
      <c r="D435" s="1013"/>
      <c r="E435" s="1012"/>
      <c r="F435" s="1012"/>
      <c r="G435" s="1013"/>
      <c r="H435" s="1012"/>
      <c r="I435" s="1012"/>
      <c r="J435" s="1013"/>
      <c r="K435" s="1013"/>
      <c r="L435" s="1094"/>
      <c r="M435" s="1094"/>
      <c r="N435" s="1013"/>
      <c r="O435" s="1013"/>
      <c r="P435" s="1013"/>
      <c r="Q435" s="1013"/>
      <c r="R435" s="1013"/>
      <c r="S435" s="1013"/>
      <c r="T435" s="1012"/>
      <c r="U435" s="1011"/>
      <c r="V435" s="1012"/>
      <c r="W435" s="1013"/>
      <c r="X435" s="1014"/>
      <c r="Y435" s="1012"/>
      <c r="Z435" s="1012"/>
      <c r="AA435" s="1012"/>
      <c r="AB435" s="1012"/>
      <c r="AC435" s="1012"/>
      <c r="AD435" s="1012"/>
      <c r="AE435" s="1012"/>
      <c r="AF435" s="1012"/>
      <c r="AG435" s="1012"/>
      <c r="AH435" s="1012"/>
      <c r="AI435" s="1012"/>
      <c r="AJ435" s="1012"/>
      <c r="AK435" s="1012"/>
    </row>
    <row r="436">
      <c r="A436" s="1012"/>
      <c r="B436" s="1013"/>
      <c r="C436" s="1012"/>
      <c r="D436" s="1013"/>
      <c r="E436" s="1012"/>
      <c r="F436" s="1012"/>
      <c r="G436" s="1013"/>
      <c r="H436" s="1012"/>
      <c r="I436" s="1012"/>
      <c r="J436" s="1013"/>
      <c r="K436" s="1013"/>
      <c r="L436" s="1094"/>
      <c r="M436" s="1094"/>
      <c r="N436" s="1013"/>
      <c r="O436" s="1013"/>
      <c r="P436" s="1013"/>
      <c r="Q436" s="1013"/>
      <c r="R436" s="1013"/>
      <c r="S436" s="1013"/>
      <c r="T436" s="1012"/>
      <c r="U436" s="1011"/>
      <c r="V436" s="1012"/>
      <c r="W436" s="1013"/>
      <c r="X436" s="1014"/>
      <c r="Y436" s="1012"/>
      <c r="Z436" s="1012"/>
      <c r="AA436" s="1012"/>
      <c r="AB436" s="1012"/>
      <c r="AC436" s="1012"/>
      <c r="AD436" s="1012"/>
      <c r="AE436" s="1012"/>
      <c r="AF436" s="1012"/>
      <c r="AG436" s="1012"/>
      <c r="AH436" s="1012"/>
      <c r="AI436" s="1012"/>
      <c r="AJ436" s="1012"/>
      <c r="AK436" s="1012"/>
    </row>
    <row r="437">
      <c r="A437" s="1012"/>
      <c r="B437" s="1013"/>
      <c r="C437" s="1012"/>
      <c r="D437" s="1013"/>
      <c r="E437" s="1012"/>
      <c r="F437" s="1012"/>
      <c r="G437" s="1013"/>
      <c r="H437" s="1012"/>
      <c r="I437" s="1012"/>
      <c r="J437" s="1013"/>
      <c r="K437" s="1013"/>
      <c r="L437" s="1094"/>
      <c r="M437" s="1094"/>
      <c r="N437" s="1013"/>
      <c r="O437" s="1013"/>
      <c r="P437" s="1013"/>
      <c r="Q437" s="1013"/>
      <c r="R437" s="1013"/>
      <c r="S437" s="1013"/>
      <c r="T437" s="1012"/>
      <c r="U437" s="1011"/>
      <c r="V437" s="1012"/>
      <c r="W437" s="1013"/>
      <c r="X437" s="1014"/>
      <c r="Y437" s="1012"/>
      <c r="Z437" s="1012"/>
      <c r="AA437" s="1012"/>
      <c r="AB437" s="1012"/>
      <c r="AC437" s="1012"/>
      <c r="AD437" s="1012"/>
      <c r="AE437" s="1012"/>
      <c r="AF437" s="1012"/>
      <c r="AG437" s="1012"/>
      <c r="AH437" s="1012"/>
      <c r="AI437" s="1012"/>
      <c r="AJ437" s="1012"/>
      <c r="AK437" s="1012"/>
    </row>
    <row r="438">
      <c r="A438" s="1012"/>
      <c r="B438" s="1013"/>
      <c r="C438" s="1012"/>
      <c r="D438" s="1013"/>
      <c r="E438" s="1012"/>
      <c r="F438" s="1012"/>
      <c r="G438" s="1013"/>
      <c r="H438" s="1012"/>
      <c r="I438" s="1012"/>
      <c r="J438" s="1013"/>
      <c r="K438" s="1013"/>
      <c r="L438" s="1094"/>
      <c r="M438" s="1094"/>
      <c r="N438" s="1013"/>
      <c r="O438" s="1013"/>
      <c r="P438" s="1013"/>
      <c r="Q438" s="1013"/>
      <c r="R438" s="1013"/>
      <c r="S438" s="1013"/>
      <c r="T438" s="1012"/>
      <c r="U438" s="1011"/>
      <c r="V438" s="1012"/>
      <c r="W438" s="1013"/>
      <c r="X438" s="1014"/>
      <c r="Y438" s="1012"/>
      <c r="Z438" s="1012"/>
      <c r="AA438" s="1012"/>
      <c r="AB438" s="1012"/>
      <c r="AC438" s="1012"/>
      <c r="AD438" s="1012"/>
      <c r="AE438" s="1012"/>
      <c r="AF438" s="1012"/>
      <c r="AG438" s="1012"/>
      <c r="AH438" s="1012"/>
      <c r="AI438" s="1012"/>
      <c r="AJ438" s="1012"/>
      <c r="AK438" s="1012"/>
    </row>
    <row r="439">
      <c r="A439" s="1012"/>
      <c r="B439" s="1013"/>
      <c r="C439" s="1012"/>
      <c r="D439" s="1013"/>
      <c r="E439" s="1012"/>
      <c r="F439" s="1012"/>
      <c r="G439" s="1013"/>
      <c r="H439" s="1012"/>
      <c r="I439" s="1012"/>
      <c r="J439" s="1013"/>
      <c r="K439" s="1013"/>
      <c r="L439" s="1094"/>
      <c r="M439" s="1094"/>
      <c r="N439" s="1013"/>
      <c r="O439" s="1013"/>
      <c r="P439" s="1013"/>
      <c r="Q439" s="1013"/>
      <c r="R439" s="1013"/>
      <c r="S439" s="1013"/>
      <c r="T439" s="1012"/>
      <c r="U439" s="1011"/>
      <c r="V439" s="1012"/>
      <c r="W439" s="1013"/>
      <c r="X439" s="1014"/>
      <c r="Y439" s="1012"/>
      <c r="Z439" s="1012"/>
      <c r="AA439" s="1012"/>
      <c r="AB439" s="1012"/>
      <c r="AC439" s="1012"/>
      <c r="AD439" s="1012"/>
      <c r="AE439" s="1012"/>
      <c r="AF439" s="1012"/>
      <c r="AG439" s="1012"/>
      <c r="AH439" s="1012"/>
      <c r="AI439" s="1012"/>
      <c r="AJ439" s="1012"/>
      <c r="AK439" s="1012"/>
    </row>
    <row r="440">
      <c r="A440" s="1012"/>
      <c r="B440" s="1013"/>
      <c r="C440" s="1012"/>
      <c r="D440" s="1013"/>
      <c r="E440" s="1012"/>
      <c r="F440" s="1012"/>
      <c r="G440" s="1013"/>
      <c r="H440" s="1012"/>
      <c r="I440" s="1012"/>
      <c r="J440" s="1013"/>
      <c r="K440" s="1013"/>
      <c r="L440" s="1094"/>
      <c r="M440" s="1094"/>
      <c r="N440" s="1013"/>
      <c r="O440" s="1013"/>
      <c r="P440" s="1013"/>
      <c r="Q440" s="1013"/>
      <c r="R440" s="1013"/>
      <c r="S440" s="1013"/>
      <c r="T440" s="1012"/>
      <c r="U440" s="1011"/>
      <c r="V440" s="1012"/>
      <c r="W440" s="1013"/>
      <c r="X440" s="1014"/>
      <c r="Y440" s="1012"/>
      <c r="Z440" s="1012"/>
      <c r="AA440" s="1012"/>
      <c r="AB440" s="1012"/>
      <c r="AC440" s="1012"/>
      <c r="AD440" s="1012"/>
      <c r="AE440" s="1012"/>
      <c r="AF440" s="1012"/>
      <c r="AG440" s="1012"/>
      <c r="AH440" s="1012"/>
      <c r="AI440" s="1012"/>
      <c r="AJ440" s="1012"/>
      <c r="AK440" s="1012"/>
    </row>
    <row r="441">
      <c r="A441" s="1012"/>
      <c r="B441" s="1013"/>
      <c r="C441" s="1012"/>
      <c r="D441" s="1013"/>
      <c r="E441" s="1012"/>
      <c r="F441" s="1012"/>
      <c r="G441" s="1013"/>
      <c r="H441" s="1012"/>
      <c r="I441" s="1012"/>
      <c r="J441" s="1013"/>
      <c r="K441" s="1013"/>
      <c r="L441" s="1094"/>
      <c r="M441" s="1094"/>
      <c r="N441" s="1013"/>
      <c r="O441" s="1013"/>
      <c r="P441" s="1013"/>
      <c r="Q441" s="1013"/>
      <c r="R441" s="1013"/>
      <c r="S441" s="1013"/>
      <c r="T441" s="1012"/>
      <c r="U441" s="1011"/>
      <c r="V441" s="1012"/>
      <c r="W441" s="1013"/>
      <c r="X441" s="1014"/>
      <c r="Y441" s="1012"/>
      <c r="Z441" s="1012"/>
      <c r="AA441" s="1012"/>
      <c r="AB441" s="1012"/>
      <c r="AC441" s="1012"/>
      <c r="AD441" s="1012"/>
      <c r="AE441" s="1012"/>
      <c r="AF441" s="1012"/>
      <c r="AG441" s="1012"/>
      <c r="AH441" s="1012"/>
      <c r="AI441" s="1012"/>
      <c r="AJ441" s="1012"/>
      <c r="AK441" s="1012"/>
    </row>
    <row r="442">
      <c r="A442" s="1012"/>
      <c r="B442" s="1013"/>
      <c r="C442" s="1012"/>
      <c r="D442" s="1013"/>
      <c r="E442" s="1012"/>
      <c r="F442" s="1012"/>
      <c r="G442" s="1013"/>
      <c r="H442" s="1012"/>
      <c r="I442" s="1012"/>
      <c r="J442" s="1013"/>
      <c r="K442" s="1013"/>
      <c r="L442" s="1094"/>
      <c r="M442" s="1094"/>
      <c r="N442" s="1013"/>
      <c r="O442" s="1013"/>
      <c r="P442" s="1013"/>
      <c r="Q442" s="1013"/>
      <c r="R442" s="1013"/>
      <c r="S442" s="1013"/>
      <c r="T442" s="1012"/>
      <c r="U442" s="1011"/>
      <c r="V442" s="1012"/>
      <c r="W442" s="1013"/>
      <c r="X442" s="1014"/>
      <c r="Y442" s="1012"/>
      <c r="Z442" s="1012"/>
      <c r="AA442" s="1012"/>
      <c r="AB442" s="1012"/>
      <c r="AC442" s="1012"/>
      <c r="AD442" s="1012"/>
      <c r="AE442" s="1012"/>
      <c r="AF442" s="1012"/>
      <c r="AG442" s="1012"/>
      <c r="AH442" s="1012"/>
      <c r="AI442" s="1012"/>
      <c r="AJ442" s="1012"/>
      <c r="AK442" s="1012"/>
    </row>
    <row r="443">
      <c r="A443" s="1012"/>
      <c r="B443" s="1013"/>
      <c r="C443" s="1012"/>
      <c r="D443" s="1013"/>
      <c r="E443" s="1012"/>
      <c r="F443" s="1012"/>
      <c r="G443" s="1013"/>
      <c r="H443" s="1012"/>
      <c r="I443" s="1012"/>
      <c r="J443" s="1013"/>
      <c r="K443" s="1013"/>
      <c r="L443" s="1094"/>
      <c r="M443" s="1094"/>
      <c r="N443" s="1013"/>
      <c r="O443" s="1013"/>
      <c r="P443" s="1013"/>
      <c r="Q443" s="1013"/>
      <c r="R443" s="1013"/>
      <c r="S443" s="1013"/>
      <c r="T443" s="1012"/>
      <c r="U443" s="1011"/>
      <c r="V443" s="1012"/>
      <c r="W443" s="1013"/>
      <c r="X443" s="1014"/>
      <c r="Y443" s="1012"/>
      <c r="Z443" s="1012"/>
      <c r="AA443" s="1012"/>
      <c r="AB443" s="1012"/>
      <c r="AC443" s="1012"/>
      <c r="AD443" s="1012"/>
      <c r="AE443" s="1012"/>
      <c r="AF443" s="1012"/>
      <c r="AG443" s="1012"/>
      <c r="AH443" s="1012"/>
      <c r="AI443" s="1012"/>
      <c r="AJ443" s="1012"/>
      <c r="AK443" s="1012"/>
    </row>
    <row r="444">
      <c r="A444" s="1012"/>
      <c r="B444" s="1013"/>
      <c r="C444" s="1012"/>
      <c r="D444" s="1013"/>
      <c r="E444" s="1012"/>
      <c r="F444" s="1012"/>
      <c r="G444" s="1013"/>
      <c r="H444" s="1012"/>
      <c r="I444" s="1012"/>
      <c r="J444" s="1013"/>
      <c r="K444" s="1013"/>
      <c r="L444" s="1094"/>
      <c r="M444" s="1094"/>
      <c r="N444" s="1013"/>
      <c r="O444" s="1013"/>
      <c r="P444" s="1013"/>
      <c r="Q444" s="1013"/>
      <c r="R444" s="1013"/>
      <c r="S444" s="1013"/>
      <c r="T444" s="1012"/>
      <c r="U444" s="1011"/>
      <c r="V444" s="1012"/>
      <c r="W444" s="1013"/>
      <c r="X444" s="1014"/>
      <c r="Y444" s="1012"/>
      <c r="Z444" s="1012"/>
      <c r="AA444" s="1012"/>
      <c r="AB444" s="1012"/>
      <c r="AC444" s="1012"/>
      <c r="AD444" s="1012"/>
      <c r="AE444" s="1012"/>
      <c r="AF444" s="1012"/>
      <c r="AG444" s="1012"/>
      <c r="AH444" s="1012"/>
      <c r="AI444" s="1012"/>
      <c r="AJ444" s="1012"/>
      <c r="AK444" s="1012"/>
    </row>
    <row r="445">
      <c r="A445" s="1012"/>
      <c r="B445" s="1013"/>
      <c r="C445" s="1012"/>
      <c r="D445" s="1013"/>
      <c r="E445" s="1012"/>
      <c r="F445" s="1012"/>
      <c r="G445" s="1013"/>
      <c r="H445" s="1012"/>
      <c r="I445" s="1012"/>
      <c r="J445" s="1013"/>
      <c r="K445" s="1013"/>
      <c r="L445" s="1094"/>
      <c r="M445" s="1094"/>
      <c r="N445" s="1013"/>
      <c r="O445" s="1013"/>
      <c r="P445" s="1013"/>
      <c r="Q445" s="1013"/>
      <c r="R445" s="1013"/>
      <c r="S445" s="1013"/>
      <c r="T445" s="1012"/>
      <c r="U445" s="1011"/>
      <c r="V445" s="1012"/>
      <c r="W445" s="1013"/>
      <c r="X445" s="1014"/>
      <c r="Y445" s="1012"/>
      <c r="Z445" s="1012"/>
      <c r="AA445" s="1012"/>
      <c r="AB445" s="1012"/>
      <c r="AC445" s="1012"/>
      <c r="AD445" s="1012"/>
      <c r="AE445" s="1012"/>
      <c r="AF445" s="1012"/>
      <c r="AG445" s="1012"/>
      <c r="AH445" s="1012"/>
      <c r="AI445" s="1012"/>
      <c r="AJ445" s="1012"/>
      <c r="AK445" s="1012"/>
    </row>
    <row r="446">
      <c r="A446" s="1012"/>
      <c r="B446" s="1013"/>
      <c r="C446" s="1012"/>
      <c r="D446" s="1013"/>
      <c r="E446" s="1012"/>
      <c r="F446" s="1012"/>
      <c r="G446" s="1013"/>
      <c r="H446" s="1012"/>
      <c r="I446" s="1012"/>
      <c r="J446" s="1013"/>
      <c r="K446" s="1013"/>
      <c r="L446" s="1094"/>
      <c r="M446" s="1094"/>
      <c r="N446" s="1013"/>
      <c r="O446" s="1013"/>
      <c r="P446" s="1013"/>
      <c r="Q446" s="1013"/>
      <c r="R446" s="1013"/>
      <c r="S446" s="1013"/>
      <c r="T446" s="1012"/>
      <c r="U446" s="1011"/>
      <c r="V446" s="1012"/>
      <c r="W446" s="1013"/>
      <c r="X446" s="1014"/>
      <c r="Y446" s="1012"/>
      <c r="Z446" s="1012"/>
      <c r="AA446" s="1012"/>
      <c r="AB446" s="1012"/>
      <c r="AC446" s="1012"/>
      <c r="AD446" s="1012"/>
      <c r="AE446" s="1012"/>
      <c r="AF446" s="1012"/>
      <c r="AG446" s="1012"/>
      <c r="AH446" s="1012"/>
      <c r="AI446" s="1012"/>
      <c r="AJ446" s="1012"/>
      <c r="AK446" s="1012"/>
    </row>
    <row r="447">
      <c r="A447" s="1012"/>
      <c r="B447" s="1013"/>
      <c r="C447" s="1012"/>
      <c r="D447" s="1013"/>
      <c r="E447" s="1012"/>
      <c r="F447" s="1012"/>
      <c r="G447" s="1013"/>
      <c r="H447" s="1012"/>
      <c r="I447" s="1012"/>
      <c r="J447" s="1013"/>
      <c r="K447" s="1013"/>
      <c r="L447" s="1094"/>
      <c r="M447" s="1094"/>
      <c r="N447" s="1013"/>
      <c r="O447" s="1013"/>
      <c r="P447" s="1013"/>
      <c r="Q447" s="1013"/>
      <c r="R447" s="1013"/>
      <c r="S447" s="1013"/>
      <c r="T447" s="1012"/>
      <c r="U447" s="1011"/>
      <c r="V447" s="1012"/>
      <c r="W447" s="1013"/>
      <c r="X447" s="1014"/>
      <c r="Y447" s="1012"/>
      <c r="Z447" s="1012"/>
      <c r="AA447" s="1012"/>
      <c r="AB447" s="1012"/>
      <c r="AC447" s="1012"/>
      <c r="AD447" s="1012"/>
      <c r="AE447" s="1012"/>
      <c r="AF447" s="1012"/>
      <c r="AG447" s="1012"/>
      <c r="AH447" s="1012"/>
      <c r="AI447" s="1012"/>
      <c r="AJ447" s="1012"/>
      <c r="AK447" s="1012"/>
    </row>
    <row r="448">
      <c r="A448" s="1012"/>
      <c r="B448" s="1013"/>
      <c r="C448" s="1012"/>
      <c r="D448" s="1013"/>
      <c r="E448" s="1012"/>
      <c r="F448" s="1012"/>
      <c r="G448" s="1013"/>
      <c r="H448" s="1012"/>
      <c r="I448" s="1012"/>
      <c r="J448" s="1013"/>
      <c r="K448" s="1013"/>
      <c r="L448" s="1094"/>
      <c r="M448" s="1094"/>
      <c r="N448" s="1013"/>
      <c r="O448" s="1013"/>
      <c r="P448" s="1013"/>
      <c r="Q448" s="1013"/>
      <c r="R448" s="1013"/>
      <c r="S448" s="1013"/>
      <c r="T448" s="1012"/>
      <c r="U448" s="1011"/>
      <c r="V448" s="1012"/>
      <c r="W448" s="1013"/>
      <c r="X448" s="1014"/>
      <c r="Y448" s="1012"/>
      <c r="Z448" s="1012"/>
      <c r="AA448" s="1012"/>
      <c r="AB448" s="1012"/>
      <c r="AC448" s="1012"/>
      <c r="AD448" s="1012"/>
      <c r="AE448" s="1012"/>
      <c r="AF448" s="1012"/>
      <c r="AG448" s="1012"/>
      <c r="AH448" s="1012"/>
      <c r="AI448" s="1012"/>
      <c r="AJ448" s="1012"/>
      <c r="AK448" s="1012"/>
    </row>
    <row r="449">
      <c r="A449" s="1012"/>
      <c r="B449" s="1013"/>
      <c r="C449" s="1012"/>
      <c r="D449" s="1013"/>
      <c r="E449" s="1012"/>
      <c r="F449" s="1012"/>
      <c r="G449" s="1013"/>
      <c r="H449" s="1012"/>
      <c r="I449" s="1012"/>
      <c r="J449" s="1013"/>
      <c r="K449" s="1013"/>
      <c r="L449" s="1094"/>
      <c r="M449" s="1094"/>
      <c r="N449" s="1013"/>
      <c r="O449" s="1013"/>
      <c r="P449" s="1013"/>
      <c r="Q449" s="1013"/>
      <c r="R449" s="1013"/>
      <c r="S449" s="1013"/>
      <c r="T449" s="1012"/>
      <c r="U449" s="1011"/>
      <c r="V449" s="1012"/>
      <c r="W449" s="1013"/>
      <c r="X449" s="1014"/>
      <c r="Y449" s="1012"/>
      <c r="Z449" s="1012"/>
      <c r="AA449" s="1012"/>
      <c r="AB449" s="1012"/>
      <c r="AC449" s="1012"/>
      <c r="AD449" s="1012"/>
      <c r="AE449" s="1012"/>
      <c r="AF449" s="1012"/>
      <c r="AG449" s="1012"/>
      <c r="AH449" s="1012"/>
      <c r="AI449" s="1012"/>
      <c r="AJ449" s="1012"/>
      <c r="AK449" s="1012"/>
    </row>
    <row r="450">
      <c r="A450" s="1012"/>
      <c r="B450" s="1013"/>
      <c r="C450" s="1012"/>
      <c r="D450" s="1013"/>
      <c r="E450" s="1012"/>
      <c r="F450" s="1012"/>
      <c r="G450" s="1013"/>
      <c r="H450" s="1012"/>
      <c r="I450" s="1012"/>
      <c r="J450" s="1013"/>
      <c r="K450" s="1013"/>
      <c r="L450" s="1094"/>
      <c r="M450" s="1094"/>
      <c r="N450" s="1013"/>
      <c r="O450" s="1013"/>
      <c r="P450" s="1013"/>
      <c r="Q450" s="1013"/>
      <c r="R450" s="1013"/>
      <c r="S450" s="1013"/>
      <c r="T450" s="1012"/>
      <c r="U450" s="1011"/>
      <c r="V450" s="1012"/>
      <c r="W450" s="1013"/>
      <c r="X450" s="1014"/>
      <c r="Y450" s="1012"/>
      <c r="Z450" s="1012"/>
      <c r="AA450" s="1012"/>
      <c r="AB450" s="1012"/>
      <c r="AC450" s="1012"/>
      <c r="AD450" s="1012"/>
      <c r="AE450" s="1012"/>
      <c r="AF450" s="1012"/>
      <c r="AG450" s="1012"/>
      <c r="AH450" s="1012"/>
      <c r="AI450" s="1012"/>
      <c r="AJ450" s="1012"/>
      <c r="AK450" s="1012"/>
    </row>
    <row r="451">
      <c r="A451" s="1012"/>
      <c r="B451" s="1013"/>
      <c r="C451" s="1012"/>
      <c r="D451" s="1013"/>
      <c r="E451" s="1012"/>
      <c r="F451" s="1012"/>
      <c r="G451" s="1013"/>
      <c r="H451" s="1012"/>
      <c r="I451" s="1012"/>
      <c r="J451" s="1013"/>
      <c r="K451" s="1013"/>
      <c r="L451" s="1094"/>
      <c r="M451" s="1094"/>
      <c r="N451" s="1013"/>
      <c r="O451" s="1013"/>
      <c r="P451" s="1013"/>
      <c r="Q451" s="1013"/>
      <c r="R451" s="1013"/>
      <c r="S451" s="1013"/>
      <c r="T451" s="1012"/>
      <c r="U451" s="1011"/>
      <c r="V451" s="1012"/>
      <c r="W451" s="1013"/>
      <c r="X451" s="1014"/>
      <c r="Y451" s="1012"/>
      <c r="Z451" s="1012"/>
      <c r="AA451" s="1012"/>
      <c r="AB451" s="1012"/>
      <c r="AC451" s="1012"/>
      <c r="AD451" s="1012"/>
      <c r="AE451" s="1012"/>
      <c r="AF451" s="1012"/>
      <c r="AG451" s="1012"/>
      <c r="AH451" s="1012"/>
      <c r="AI451" s="1012"/>
      <c r="AJ451" s="1012"/>
      <c r="AK451" s="1012"/>
    </row>
    <row r="452">
      <c r="A452" s="1012"/>
      <c r="B452" s="1013"/>
      <c r="C452" s="1012"/>
      <c r="D452" s="1013"/>
      <c r="E452" s="1012"/>
      <c r="F452" s="1012"/>
      <c r="G452" s="1013"/>
      <c r="H452" s="1012"/>
      <c r="I452" s="1012"/>
      <c r="J452" s="1013"/>
      <c r="K452" s="1013"/>
      <c r="L452" s="1094"/>
      <c r="M452" s="1094"/>
      <c r="N452" s="1013"/>
      <c r="O452" s="1013"/>
      <c r="P452" s="1013"/>
      <c r="Q452" s="1013"/>
      <c r="R452" s="1013"/>
      <c r="S452" s="1013"/>
      <c r="T452" s="1012"/>
      <c r="U452" s="1011"/>
      <c r="V452" s="1012"/>
      <c r="W452" s="1013"/>
      <c r="X452" s="1014"/>
      <c r="Y452" s="1012"/>
      <c r="Z452" s="1012"/>
      <c r="AA452" s="1012"/>
      <c r="AB452" s="1012"/>
      <c r="AC452" s="1012"/>
      <c r="AD452" s="1012"/>
      <c r="AE452" s="1012"/>
      <c r="AF452" s="1012"/>
      <c r="AG452" s="1012"/>
      <c r="AH452" s="1012"/>
      <c r="AI452" s="1012"/>
      <c r="AJ452" s="1012"/>
      <c r="AK452" s="1012"/>
    </row>
    <row r="453">
      <c r="A453" s="1012"/>
      <c r="B453" s="1013"/>
      <c r="C453" s="1012"/>
      <c r="D453" s="1013"/>
      <c r="E453" s="1012"/>
      <c r="F453" s="1012"/>
      <c r="G453" s="1013"/>
      <c r="H453" s="1012"/>
      <c r="I453" s="1012"/>
      <c r="J453" s="1013"/>
      <c r="K453" s="1013"/>
      <c r="L453" s="1094"/>
      <c r="M453" s="1094"/>
      <c r="N453" s="1013"/>
      <c r="O453" s="1013"/>
      <c r="P453" s="1013"/>
      <c r="Q453" s="1013"/>
      <c r="R453" s="1013"/>
      <c r="S453" s="1013"/>
      <c r="T453" s="1012"/>
      <c r="U453" s="1011"/>
      <c r="V453" s="1012"/>
      <c r="W453" s="1013"/>
      <c r="X453" s="1014"/>
      <c r="Y453" s="1012"/>
      <c r="Z453" s="1012"/>
      <c r="AA453" s="1012"/>
      <c r="AB453" s="1012"/>
      <c r="AC453" s="1012"/>
      <c r="AD453" s="1012"/>
      <c r="AE453" s="1012"/>
      <c r="AF453" s="1012"/>
      <c r="AG453" s="1012"/>
      <c r="AH453" s="1012"/>
      <c r="AI453" s="1012"/>
      <c r="AJ453" s="1012"/>
      <c r="AK453" s="1012"/>
    </row>
    <row r="454">
      <c r="A454" s="1012"/>
      <c r="B454" s="1013"/>
      <c r="C454" s="1012"/>
      <c r="D454" s="1013"/>
      <c r="E454" s="1012"/>
      <c r="F454" s="1012"/>
      <c r="G454" s="1013"/>
      <c r="H454" s="1012"/>
      <c r="I454" s="1012"/>
      <c r="J454" s="1013"/>
      <c r="K454" s="1013"/>
      <c r="L454" s="1094"/>
      <c r="M454" s="1094"/>
      <c r="N454" s="1013"/>
      <c r="O454" s="1013"/>
      <c r="P454" s="1013"/>
      <c r="Q454" s="1013"/>
      <c r="R454" s="1013"/>
      <c r="S454" s="1013"/>
      <c r="T454" s="1012"/>
      <c r="U454" s="1011"/>
      <c r="V454" s="1012"/>
      <c r="W454" s="1013"/>
      <c r="X454" s="1014"/>
      <c r="Y454" s="1012"/>
      <c r="Z454" s="1012"/>
      <c r="AA454" s="1012"/>
      <c r="AB454" s="1012"/>
      <c r="AC454" s="1012"/>
      <c r="AD454" s="1012"/>
      <c r="AE454" s="1012"/>
      <c r="AF454" s="1012"/>
      <c r="AG454" s="1012"/>
      <c r="AH454" s="1012"/>
      <c r="AI454" s="1012"/>
      <c r="AJ454" s="1012"/>
      <c r="AK454" s="1012"/>
    </row>
    <row r="455">
      <c r="A455" s="1012"/>
      <c r="B455" s="1013"/>
      <c r="C455" s="1012"/>
      <c r="D455" s="1013"/>
      <c r="E455" s="1012"/>
      <c r="F455" s="1012"/>
      <c r="G455" s="1013"/>
      <c r="H455" s="1012"/>
      <c r="I455" s="1012"/>
      <c r="J455" s="1013"/>
      <c r="K455" s="1013"/>
      <c r="L455" s="1094"/>
      <c r="M455" s="1094"/>
      <c r="N455" s="1013"/>
      <c r="O455" s="1013"/>
      <c r="P455" s="1013"/>
      <c r="Q455" s="1013"/>
      <c r="R455" s="1013"/>
      <c r="S455" s="1013"/>
      <c r="T455" s="1012"/>
      <c r="U455" s="1011"/>
      <c r="V455" s="1012"/>
      <c r="W455" s="1013"/>
      <c r="X455" s="1014"/>
      <c r="Y455" s="1012"/>
      <c r="Z455" s="1012"/>
      <c r="AA455" s="1012"/>
      <c r="AB455" s="1012"/>
      <c r="AC455" s="1012"/>
      <c r="AD455" s="1012"/>
      <c r="AE455" s="1012"/>
      <c r="AF455" s="1012"/>
      <c r="AG455" s="1012"/>
      <c r="AH455" s="1012"/>
      <c r="AI455" s="1012"/>
      <c r="AJ455" s="1012"/>
      <c r="AK455" s="1012"/>
    </row>
    <row r="456">
      <c r="A456" s="1012"/>
      <c r="B456" s="1013"/>
      <c r="C456" s="1012"/>
      <c r="D456" s="1013"/>
      <c r="E456" s="1012"/>
      <c r="F456" s="1012"/>
      <c r="G456" s="1013"/>
      <c r="H456" s="1012"/>
      <c r="I456" s="1012"/>
      <c r="J456" s="1013"/>
      <c r="K456" s="1013"/>
      <c r="L456" s="1094"/>
      <c r="M456" s="1094"/>
      <c r="N456" s="1013"/>
      <c r="O456" s="1013"/>
      <c r="P456" s="1013"/>
      <c r="Q456" s="1013"/>
      <c r="R456" s="1013"/>
      <c r="S456" s="1013"/>
      <c r="T456" s="1012"/>
      <c r="U456" s="1011"/>
      <c r="V456" s="1012"/>
      <c r="W456" s="1013"/>
      <c r="X456" s="1014"/>
      <c r="Y456" s="1012"/>
      <c r="Z456" s="1012"/>
      <c r="AA456" s="1012"/>
      <c r="AB456" s="1012"/>
      <c r="AC456" s="1012"/>
      <c r="AD456" s="1012"/>
      <c r="AE456" s="1012"/>
      <c r="AF456" s="1012"/>
      <c r="AG456" s="1012"/>
      <c r="AH456" s="1012"/>
      <c r="AI456" s="1012"/>
      <c r="AJ456" s="1012"/>
      <c r="AK456" s="1012"/>
    </row>
    <row r="457">
      <c r="A457" s="1012"/>
      <c r="B457" s="1013"/>
      <c r="C457" s="1012"/>
      <c r="D457" s="1013"/>
      <c r="E457" s="1012"/>
      <c r="F457" s="1012"/>
      <c r="G457" s="1013"/>
      <c r="H457" s="1012"/>
      <c r="I457" s="1012"/>
      <c r="J457" s="1013"/>
      <c r="K457" s="1013"/>
      <c r="L457" s="1094"/>
      <c r="M457" s="1094"/>
      <c r="N457" s="1013"/>
      <c r="O457" s="1013"/>
      <c r="P457" s="1013"/>
      <c r="Q457" s="1013"/>
      <c r="R457" s="1013"/>
      <c r="S457" s="1013"/>
      <c r="T457" s="1012"/>
      <c r="U457" s="1011"/>
      <c r="V457" s="1012"/>
      <c r="W457" s="1013"/>
      <c r="X457" s="1014"/>
      <c r="Y457" s="1012"/>
      <c r="Z457" s="1012"/>
      <c r="AA457" s="1012"/>
      <c r="AB457" s="1012"/>
      <c r="AC457" s="1012"/>
      <c r="AD457" s="1012"/>
      <c r="AE457" s="1012"/>
      <c r="AF457" s="1012"/>
      <c r="AG457" s="1012"/>
      <c r="AH457" s="1012"/>
      <c r="AI457" s="1012"/>
      <c r="AJ457" s="1012"/>
      <c r="AK457" s="1012"/>
    </row>
    <row r="458">
      <c r="A458" s="1012"/>
      <c r="B458" s="1013"/>
      <c r="C458" s="1012"/>
      <c r="D458" s="1013"/>
      <c r="E458" s="1012"/>
      <c r="F458" s="1012"/>
      <c r="G458" s="1013"/>
      <c r="H458" s="1012"/>
      <c r="I458" s="1012"/>
      <c r="J458" s="1013"/>
      <c r="K458" s="1013"/>
      <c r="L458" s="1094"/>
      <c r="M458" s="1094"/>
      <c r="N458" s="1013"/>
      <c r="O458" s="1013"/>
      <c r="P458" s="1013"/>
      <c r="Q458" s="1013"/>
      <c r="R458" s="1013"/>
      <c r="S458" s="1013"/>
      <c r="T458" s="1012"/>
      <c r="U458" s="1011"/>
      <c r="V458" s="1012"/>
      <c r="W458" s="1013"/>
      <c r="X458" s="1014"/>
      <c r="Y458" s="1012"/>
      <c r="Z458" s="1012"/>
      <c r="AA458" s="1012"/>
      <c r="AB458" s="1012"/>
      <c r="AC458" s="1012"/>
      <c r="AD458" s="1012"/>
      <c r="AE458" s="1012"/>
      <c r="AF458" s="1012"/>
      <c r="AG458" s="1012"/>
      <c r="AH458" s="1012"/>
      <c r="AI458" s="1012"/>
      <c r="AJ458" s="1012"/>
      <c r="AK458" s="1012"/>
    </row>
    <row r="459">
      <c r="A459" s="1012"/>
      <c r="B459" s="1013"/>
      <c r="C459" s="1012"/>
      <c r="D459" s="1013"/>
      <c r="E459" s="1012"/>
      <c r="F459" s="1012"/>
      <c r="G459" s="1013"/>
      <c r="H459" s="1012"/>
      <c r="I459" s="1012"/>
      <c r="J459" s="1013"/>
      <c r="K459" s="1013"/>
      <c r="L459" s="1094"/>
      <c r="M459" s="1094"/>
      <c r="N459" s="1013"/>
      <c r="O459" s="1013"/>
      <c r="P459" s="1013"/>
      <c r="Q459" s="1013"/>
      <c r="R459" s="1013"/>
      <c r="S459" s="1013"/>
      <c r="T459" s="1012"/>
      <c r="U459" s="1011"/>
      <c r="V459" s="1012"/>
      <c r="W459" s="1013"/>
      <c r="X459" s="1014"/>
      <c r="Y459" s="1012"/>
      <c r="Z459" s="1012"/>
      <c r="AA459" s="1012"/>
      <c r="AB459" s="1012"/>
      <c r="AC459" s="1012"/>
      <c r="AD459" s="1012"/>
      <c r="AE459" s="1012"/>
      <c r="AF459" s="1012"/>
      <c r="AG459" s="1012"/>
      <c r="AH459" s="1012"/>
      <c r="AI459" s="1012"/>
      <c r="AJ459" s="1012"/>
      <c r="AK459" s="1012"/>
    </row>
    <row r="460">
      <c r="A460" s="1012"/>
      <c r="B460" s="1013"/>
      <c r="C460" s="1012"/>
      <c r="D460" s="1013"/>
      <c r="E460" s="1012"/>
      <c r="F460" s="1012"/>
      <c r="G460" s="1013"/>
      <c r="H460" s="1012"/>
      <c r="I460" s="1012"/>
      <c r="J460" s="1013"/>
      <c r="K460" s="1013"/>
      <c r="L460" s="1094"/>
      <c r="M460" s="1094"/>
      <c r="N460" s="1013"/>
      <c r="O460" s="1013"/>
      <c r="P460" s="1013"/>
      <c r="Q460" s="1013"/>
      <c r="R460" s="1013"/>
      <c r="S460" s="1013"/>
      <c r="T460" s="1012"/>
      <c r="U460" s="1011"/>
      <c r="V460" s="1012"/>
      <c r="W460" s="1013"/>
      <c r="X460" s="1014"/>
      <c r="Y460" s="1012"/>
      <c r="Z460" s="1012"/>
      <c r="AA460" s="1012"/>
      <c r="AB460" s="1012"/>
      <c r="AC460" s="1012"/>
      <c r="AD460" s="1012"/>
      <c r="AE460" s="1012"/>
      <c r="AF460" s="1012"/>
      <c r="AG460" s="1012"/>
      <c r="AH460" s="1012"/>
      <c r="AI460" s="1012"/>
      <c r="AJ460" s="1012"/>
      <c r="AK460" s="1012"/>
    </row>
    <row r="461">
      <c r="A461" s="1012"/>
      <c r="B461" s="1013"/>
      <c r="C461" s="1012"/>
      <c r="D461" s="1013"/>
      <c r="E461" s="1012"/>
      <c r="F461" s="1012"/>
      <c r="G461" s="1013"/>
      <c r="H461" s="1012"/>
      <c r="I461" s="1012"/>
      <c r="J461" s="1013"/>
      <c r="K461" s="1013"/>
      <c r="L461" s="1094"/>
      <c r="M461" s="1094"/>
      <c r="N461" s="1013"/>
      <c r="O461" s="1013"/>
      <c r="P461" s="1013"/>
      <c r="Q461" s="1013"/>
      <c r="R461" s="1013"/>
      <c r="S461" s="1013"/>
      <c r="T461" s="1012"/>
      <c r="U461" s="1011"/>
      <c r="V461" s="1012"/>
      <c r="W461" s="1013"/>
      <c r="X461" s="1014"/>
      <c r="Y461" s="1012"/>
      <c r="Z461" s="1012"/>
      <c r="AA461" s="1012"/>
      <c r="AB461" s="1012"/>
      <c r="AC461" s="1012"/>
      <c r="AD461" s="1012"/>
      <c r="AE461" s="1012"/>
      <c r="AF461" s="1012"/>
      <c r="AG461" s="1012"/>
      <c r="AH461" s="1012"/>
      <c r="AI461" s="1012"/>
      <c r="AJ461" s="1012"/>
      <c r="AK461" s="1012"/>
    </row>
    <row r="462">
      <c r="A462" s="1012"/>
      <c r="B462" s="1013"/>
      <c r="C462" s="1012"/>
      <c r="D462" s="1013"/>
      <c r="E462" s="1012"/>
      <c r="F462" s="1012"/>
      <c r="G462" s="1013"/>
      <c r="H462" s="1012"/>
      <c r="I462" s="1012"/>
      <c r="J462" s="1013"/>
      <c r="K462" s="1013"/>
      <c r="L462" s="1094"/>
      <c r="M462" s="1094"/>
      <c r="N462" s="1013"/>
      <c r="O462" s="1013"/>
      <c r="P462" s="1013"/>
      <c r="Q462" s="1013"/>
      <c r="R462" s="1013"/>
      <c r="S462" s="1013"/>
      <c r="T462" s="1012"/>
      <c r="U462" s="1011"/>
      <c r="V462" s="1012"/>
      <c r="W462" s="1013"/>
      <c r="X462" s="1014"/>
      <c r="Y462" s="1012"/>
      <c r="Z462" s="1012"/>
      <c r="AA462" s="1012"/>
      <c r="AB462" s="1012"/>
      <c r="AC462" s="1012"/>
      <c r="AD462" s="1012"/>
      <c r="AE462" s="1012"/>
      <c r="AF462" s="1012"/>
      <c r="AG462" s="1012"/>
      <c r="AH462" s="1012"/>
      <c r="AI462" s="1012"/>
      <c r="AJ462" s="1012"/>
      <c r="AK462" s="1012"/>
    </row>
    <row r="463">
      <c r="A463" s="1012"/>
      <c r="B463" s="1013"/>
      <c r="C463" s="1012"/>
      <c r="D463" s="1013"/>
      <c r="E463" s="1012"/>
      <c r="F463" s="1012"/>
      <c r="G463" s="1013"/>
      <c r="H463" s="1012"/>
      <c r="I463" s="1012"/>
      <c r="J463" s="1013"/>
      <c r="K463" s="1013"/>
      <c r="L463" s="1094"/>
      <c r="M463" s="1094"/>
      <c r="N463" s="1013"/>
      <c r="O463" s="1013"/>
      <c r="P463" s="1013"/>
      <c r="Q463" s="1013"/>
      <c r="R463" s="1013"/>
      <c r="S463" s="1013"/>
      <c r="T463" s="1012"/>
      <c r="U463" s="1011"/>
      <c r="V463" s="1012"/>
      <c r="W463" s="1013"/>
      <c r="X463" s="1014"/>
      <c r="Y463" s="1012"/>
      <c r="Z463" s="1012"/>
      <c r="AA463" s="1012"/>
      <c r="AB463" s="1012"/>
      <c r="AC463" s="1012"/>
      <c r="AD463" s="1012"/>
      <c r="AE463" s="1012"/>
      <c r="AF463" s="1012"/>
      <c r="AG463" s="1012"/>
      <c r="AH463" s="1012"/>
      <c r="AI463" s="1012"/>
      <c r="AJ463" s="1012"/>
      <c r="AK463" s="1012"/>
    </row>
    <row r="464">
      <c r="A464" s="1012"/>
      <c r="B464" s="1013"/>
      <c r="C464" s="1012"/>
      <c r="D464" s="1013"/>
      <c r="E464" s="1012"/>
      <c r="F464" s="1012"/>
      <c r="G464" s="1013"/>
      <c r="H464" s="1012"/>
      <c r="I464" s="1012"/>
      <c r="J464" s="1013"/>
      <c r="K464" s="1013"/>
      <c r="L464" s="1094"/>
      <c r="M464" s="1094"/>
      <c r="N464" s="1013"/>
      <c r="O464" s="1013"/>
      <c r="P464" s="1013"/>
      <c r="Q464" s="1013"/>
      <c r="R464" s="1013"/>
      <c r="S464" s="1013"/>
      <c r="T464" s="1012"/>
      <c r="U464" s="1011"/>
      <c r="V464" s="1012"/>
      <c r="W464" s="1013"/>
      <c r="X464" s="1014"/>
      <c r="Y464" s="1012"/>
      <c r="Z464" s="1012"/>
      <c r="AA464" s="1012"/>
      <c r="AB464" s="1012"/>
      <c r="AC464" s="1012"/>
      <c r="AD464" s="1012"/>
      <c r="AE464" s="1012"/>
      <c r="AF464" s="1012"/>
      <c r="AG464" s="1012"/>
      <c r="AH464" s="1012"/>
      <c r="AI464" s="1012"/>
      <c r="AJ464" s="1012"/>
      <c r="AK464" s="1012"/>
    </row>
    <row r="465">
      <c r="A465" s="1012"/>
      <c r="B465" s="1013"/>
      <c r="C465" s="1012"/>
      <c r="D465" s="1013"/>
      <c r="E465" s="1012"/>
      <c r="F465" s="1012"/>
      <c r="G465" s="1013"/>
      <c r="H465" s="1012"/>
      <c r="I465" s="1012"/>
      <c r="J465" s="1013"/>
      <c r="K465" s="1013"/>
      <c r="L465" s="1094"/>
      <c r="M465" s="1094"/>
      <c r="N465" s="1013"/>
      <c r="O465" s="1013"/>
      <c r="P465" s="1013"/>
      <c r="Q465" s="1013"/>
      <c r="R465" s="1013"/>
      <c r="S465" s="1013"/>
      <c r="T465" s="1012"/>
      <c r="U465" s="1011"/>
      <c r="V465" s="1012"/>
      <c r="W465" s="1013"/>
      <c r="X465" s="1014"/>
      <c r="Y465" s="1012"/>
      <c r="Z465" s="1012"/>
      <c r="AA465" s="1012"/>
      <c r="AB465" s="1012"/>
      <c r="AC465" s="1012"/>
      <c r="AD465" s="1012"/>
      <c r="AE465" s="1012"/>
      <c r="AF465" s="1012"/>
      <c r="AG465" s="1012"/>
      <c r="AH465" s="1012"/>
      <c r="AI465" s="1012"/>
      <c r="AJ465" s="1012"/>
      <c r="AK465" s="1012"/>
    </row>
    <row r="466">
      <c r="A466" s="1012"/>
      <c r="B466" s="1013"/>
      <c r="C466" s="1012"/>
      <c r="D466" s="1013"/>
      <c r="E466" s="1012"/>
      <c r="F466" s="1012"/>
      <c r="G466" s="1013"/>
      <c r="H466" s="1012"/>
      <c r="I466" s="1012"/>
      <c r="J466" s="1013"/>
      <c r="K466" s="1013"/>
      <c r="L466" s="1094"/>
      <c r="M466" s="1094"/>
      <c r="N466" s="1013"/>
      <c r="O466" s="1013"/>
      <c r="P466" s="1013"/>
      <c r="Q466" s="1013"/>
      <c r="R466" s="1013"/>
      <c r="S466" s="1013"/>
      <c r="T466" s="1012"/>
      <c r="U466" s="1011"/>
      <c r="V466" s="1012"/>
      <c r="W466" s="1013"/>
      <c r="X466" s="1014"/>
      <c r="Y466" s="1012"/>
      <c r="Z466" s="1012"/>
      <c r="AA466" s="1012"/>
      <c r="AB466" s="1012"/>
      <c r="AC466" s="1012"/>
      <c r="AD466" s="1012"/>
      <c r="AE466" s="1012"/>
      <c r="AF466" s="1012"/>
      <c r="AG466" s="1012"/>
      <c r="AH466" s="1012"/>
      <c r="AI466" s="1012"/>
      <c r="AJ466" s="1012"/>
      <c r="AK466" s="1012"/>
    </row>
    <row r="467">
      <c r="A467" s="1012"/>
      <c r="B467" s="1013"/>
      <c r="C467" s="1012"/>
      <c r="D467" s="1013"/>
      <c r="E467" s="1012"/>
      <c r="F467" s="1012"/>
      <c r="G467" s="1013"/>
      <c r="H467" s="1012"/>
      <c r="I467" s="1012"/>
      <c r="J467" s="1013"/>
      <c r="K467" s="1013"/>
      <c r="L467" s="1094"/>
      <c r="M467" s="1094"/>
      <c r="N467" s="1013"/>
      <c r="O467" s="1013"/>
      <c r="P467" s="1013"/>
      <c r="Q467" s="1013"/>
      <c r="R467" s="1013"/>
      <c r="S467" s="1013"/>
      <c r="T467" s="1012"/>
      <c r="U467" s="1011"/>
      <c r="V467" s="1012"/>
      <c r="W467" s="1013"/>
      <c r="X467" s="1014"/>
      <c r="Y467" s="1012"/>
      <c r="Z467" s="1012"/>
      <c r="AA467" s="1012"/>
      <c r="AB467" s="1012"/>
      <c r="AC467" s="1012"/>
      <c r="AD467" s="1012"/>
      <c r="AE467" s="1012"/>
      <c r="AF467" s="1012"/>
      <c r="AG467" s="1012"/>
      <c r="AH467" s="1012"/>
      <c r="AI467" s="1012"/>
      <c r="AJ467" s="1012"/>
      <c r="AK467" s="1012"/>
    </row>
    <row r="468">
      <c r="A468" s="1012"/>
      <c r="B468" s="1013"/>
      <c r="C468" s="1012"/>
      <c r="D468" s="1013"/>
      <c r="E468" s="1012"/>
      <c r="F468" s="1012"/>
      <c r="G468" s="1013"/>
      <c r="H468" s="1012"/>
      <c r="I468" s="1012"/>
      <c r="J468" s="1013"/>
      <c r="K468" s="1013"/>
      <c r="L468" s="1094"/>
      <c r="M468" s="1094"/>
      <c r="N468" s="1013"/>
      <c r="O468" s="1013"/>
      <c r="P468" s="1013"/>
      <c r="Q468" s="1013"/>
      <c r="R468" s="1013"/>
      <c r="S468" s="1013"/>
      <c r="T468" s="1012"/>
      <c r="U468" s="1011"/>
      <c r="V468" s="1012"/>
      <c r="W468" s="1013"/>
      <c r="X468" s="1014"/>
      <c r="Y468" s="1012"/>
      <c r="Z468" s="1012"/>
      <c r="AA468" s="1012"/>
      <c r="AB468" s="1012"/>
      <c r="AC468" s="1012"/>
      <c r="AD468" s="1012"/>
      <c r="AE468" s="1012"/>
      <c r="AF468" s="1012"/>
      <c r="AG468" s="1012"/>
      <c r="AH468" s="1012"/>
      <c r="AI468" s="1012"/>
      <c r="AJ468" s="1012"/>
      <c r="AK468" s="1012"/>
    </row>
    <row r="469">
      <c r="A469" s="1012"/>
      <c r="B469" s="1013"/>
      <c r="C469" s="1012"/>
      <c r="D469" s="1013"/>
      <c r="E469" s="1012"/>
      <c r="F469" s="1012"/>
      <c r="G469" s="1013"/>
      <c r="H469" s="1012"/>
      <c r="I469" s="1012"/>
      <c r="J469" s="1013"/>
      <c r="K469" s="1013"/>
      <c r="L469" s="1094"/>
      <c r="M469" s="1094"/>
      <c r="N469" s="1013"/>
      <c r="O469" s="1013"/>
      <c r="P469" s="1013"/>
      <c r="Q469" s="1013"/>
      <c r="R469" s="1013"/>
      <c r="S469" s="1013"/>
      <c r="T469" s="1012"/>
      <c r="U469" s="1011"/>
      <c r="V469" s="1012"/>
      <c r="W469" s="1013"/>
      <c r="X469" s="1014"/>
      <c r="Y469" s="1012"/>
      <c r="Z469" s="1012"/>
      <c r="AA469" s="1012"/>
      <c r="AB469" s="1012"/>
      <c r="AC469" s="1012"/>
      <c r="AD469" s="1012"/>
      <c r="AE469" s="1012"/>
      <c r="AF469" s="1012"/>
      <c r="AG469" s="1012"/>
      <c r="AH469" s="1012"/>
      <c r="AI469" s="1012"/>
      <c r="AJ469" s="1012"/>
      <c r="AK469" s="1012"/>
    </row>
    <row r="470">
      <c r="A470" s="1012"/>
      <c r="B470" s="1013"/>
      <c r="C470" s="1012"/>
      <c r="D470" s="1013"/>
      <c r="E470" s="1012"/>
      <c r="F470" s="1012"/>
      <c r="G470" s="1013"/>
      <c r="H470" s="1012"/>
      <c r="I470" s="1012"/>
      <c r="J470" s="1013"/>
      <c r="K470" s="1013"/>
      <c r="L470" s="1094"/>
      <c r="M470" s="1094"/>
      <c r="N470" s="1013"/>
      <c r="O470" s="1013"/>
      <c r="P470" s="1013"/>
      <c r="Q470" s="1013"/>
      <c r="R470" s="1013"/>
      <c r="S470" s="1013"/>
      <c r="T470" s="1012"/>
      <c r="U470" s="1011"/>
      <c r="V470" s="1012"/>
      <c r="W470" s="1013"/>
      <c r="X470" s="1014"/>
      <c r="Y470" s="1012"/>
      <c r="Z470" s="1012"/>
      <c r="AA470" s="1012"/>
      <c r="AB470" s="1012"/>
      <c r="AC470" s="1012"/>
      <c r="AD470" s="1012"/>
      <c r="AE470" s="1012"/>
      <c r="AF470" s="1012"/>
      <c r="AG470" s="1012"/>
      <c r="AH470" s="1012"/>
      <c r="AI470" s="1012"/>
      <c r="AJ470" s="1012"/>
      <c r="AK470" s="1012"/>
    </row>
    <row r="471">
      <c r="A471" s="1012"/>
      <c r="B471" s="1013"/>
      <c r="C471" s="1012"/>
      <c r="D471" s="1013"/>
      <c r="E471" s="1012"/>
      <c r="F471" s="1012"/>
      <c r="G471" s="1013"/>
      <c r="H471" s="1012"/>
      <c r="I471" s="1012"/>
      <c r="J471" s="1013"/>
      <c r="K471" s="1013"/>
      <c r="L471" s="1094"/>
      <c r="M471" s="1094"/>
      <c r="N471" s="1013"/>
      <c r="O471" s="1013"/>
      <c r="P471" s="1013"/>
      <c r="Q471" s="1013"/>
      <c r="R471" s="1013"/>
      <c r="S471" s="1013"/>
      <c r="T471" s="1012"/>
      <c r="U471" s="1011"/>
      <c r="V471" s="1012"/>
      <c r="W471" s="1013"/>
      <c r="X471" s="1014"/>
      <c r="Y471" s="1012"/>
      <c r="Z471" s="1012"/>
      <c r="AA471" s="1012"/>
      <c r="AB471" s="1012"/>
      <c r="AC471" s="1012"/>
      <c r="AD471" s="1012"/>
      <c r="AE471" s="1012"/>
      <c r="AF471" s="1012"/>
      <c r="AG471" s="1012"/>
      <c r="AH471" s="1012"/>
      <c r="AI471" s="1012"/>
      <c r="AJ471" s="1012"/>
      <c r="AK471" s="1012"/>
    </row>
    <row r="472">
      <c r="A472" s="1012"/>
      <c r="B472" s="1013"/>
      <c r="C472" s="1012"/>
      <c r="D472" s="1013"/>
      <c r="E472" s="1012"/>
      <c r="F472" s="1012"/>
      <c r="G472" s="1013"/>
      <c r="H472" s="1012"/>
      <c r="I472" s="1012"/>
      <c r="J472" s="1013"/>
      <c r="K472" s="1013"/>
      <c r="L472" s="1094"/>
      <c r="M472" s="1094"/>
      <c r="N472" s="1013"/>
      <c r="O472" s="1013"/>
      <c r="P472" s="1013"/>
      <c r="Q472" s="1013"/>
      <c r="R472" s="1013"/>
      <c r="S472" s="1013"/>
      <c r="T472" s="1012"/>
      <c r="U472" s="1011"/>
      <c r="V472" s="1012"/>
      <c r="W472" s="1013"/>
      <c r="X472" s="1014"/>
      <c r="Y472" s="1012"/>
      <c r="Z472" s="1012"/>
      <c r="AA472" s="1012"/>
      <c r="AB472" s="1012"/>
      <c r="AC472" s="1012"/>
      <c r="AD472" s="1012"/>
      <c r="AE472" s="1012"/>
      <c r="AF472" s="1012"/>
      <c r="AG472" s="1012"/>
      <c r="AH472" s="1012"/>
      <c r="AI472" s="1012"/>
      <c r="AJ472" s="1012"/>
      <c r="AK472" s="1012"/>
    </row>
    <row r="473">
      <c r="A473" s="1012"/>
      <c r="B473" s="1013"/>
      <c r="C473" s="1012"/>
      <c r="D473" s="1013"/>
      <c r="E473" s="1012"/>
      <c r="F473" s="1012"/>
      <c r="G473" s="1013"/>
      <c r="H473" s="1012"/>
      <c r="I473" s="1012"/>
      <c r="J473" s="1013"/>
      <c r="K473" s="1013"/>
      <c r="L473" s="1094"/>
      <c r="M473" s="1094"/>
      <c r="N473" s="1013"/>
      <c r="O473" s="1013"/>
      <c r="P473" s="1013"/>
      <c r="Q473" s="1013"/>
      <c r="R473" s="1013"/>
      <c r="S473" s="1013"/>
      <c r="T473" s="1012"/>
      <c r="U473" s="1011"/>
      <c r="V473" s="1012"/>
      <c r="W473" s="1013"/>
      <c r="X473" s="1014"/>
      <c r="Y473" s="1012"/>
      <c r="Z473" s="1012"/>
      <c r="AA473" s="1012"/>
      <c r="AB473" s="1012"/>
      <c r="AC473" s="1012"/>
      <c r="AD473" s="1012"/>
      <c r="AE473" s="1012"/>
      <c r="AF473" s="1012"/>
      <c r="AG473" s="1012"/>
      <c r="AH473" s="1012"/>
      <c r="AI473" s="1012"/>
      <c r="AJ473" s="1012"/>
      <c r="AK473" s="1012"/>
    </row>
    <row r="474">
      <c r="A474" s="1012"/>
      <c r="B474" s="1013"/>
      <c r="C474" s="1012"/>
      <c r="D474" s="1013"/>
      <c r="E474" s="1012"/>
      <c r="F474" s="1012"/>
      <c r="G474" s="1013"/>
      <c r="H474" s="1012"/>
      <c r="I474" s="1012"/>
      <c r="J474" s="1013"/>
      <c r="K474" s="1013"/>
      <c r="L474" s="1094"/>
      <c r="M474" s="1094"/>
      <c r="N474" s="1013"/>
      <c r="O474" s="1013"/>
      <c r="P474" s="1013"/>
      <c r="Q474" s="1013"/>
      <c r="R474" s="1013"/>
      <c r="S474" s="1013"/>
      <c r="T474" s="1012"/>
      <c r="U474" s="1011"/>
      <c r="V474" s="1012"/>
      <c r="W474" s="1013"/>
      <c r="X474" s="1014"/>
      <c r="Y474" s="1012"/>
      <c r="Z474" s="1012"/>
      <c r="AA474" s="1012"/>
      <c r="AB474" s="1012"/>
      <c r="AC474" s="1012"/>
      <c r="AD474" s="1012"/>
      <c r="AE474" s="1012"/>
      <c r="AF474" s="1012"/>
      <c r="AG474" s="1012"/>
      <c r="AH474" s="1012"/>
      <c r="AI474" s="1012"/>
      <c r="AJ474" s="1012"/>
      <c r="AK474" s="1012"/>
    </row>
    <row r="475">
      <c r="A475" s="1012"/>
      <c r="B475" s="1013"/>
      <c r="C475" s="1012"/>
      <c r="D475" s="1013"/>
      <c r="E475" s="1012"/>
      <c r="F475" s="1012"/>
      <c r="G475" s="1013"/>
      <c r="H475" s="1012"/>
      <c r="I475" s="1012"/>
      <c r="J475" s="1013"/>
      <c r="K475" s="1013"/>
      <c r="L475" s="1094"/>
      <c r="M475" s="1094"/>
      <c r="N475" s="1013"/>
      <c r="O475" s="1013"/>
      <c r="P475" s="1013"/>
      <c r="Q475" s="1013"/>
      <c r="R475" s="1013"/>
      <c r="S475" s="1013"/>
      <c r="T475" s="1012"/>
      <c r="U475" s="1011"/>
      <c r="V475" s="1012"/>
      <c r="W475" s="1013"/>
      <c r="X475" s="1014"/>
      <c r="Y475" s="1012"/>
      <c r="Z475" s="1012"/>
      <c r="AA475" s="1012"/>
      <c r="AB475" s="1012"/>
      <c r="AC475" s="1012"/>
      <c r="AD475" s="1012"/>
      <c r="AE475" s="1012"/>
      <c r="AF475" s="1012"/>
      <c r="AG475" s="1012"/>
      <c r="AH475" s="1012"/>
      <c r="AI475" s="1012"/>
      <c r="AJ475" s="1012"/>
      <c r="AK475" s="1012"/>
    </row>
    <row r="476">
      <c r="A476" s="1012"/>
      <c r="B476" s="1013"/>
      <c r="C476" s="1012"/>
      <c r="D476" s="1013"/>
      <c r="E476" s="1012"/>
      <c r="F476" s="1012"/>
      <c r="G476" s="1013"/>
      <c r="H476" s="1012"/>
      <c r="I476" s="1012"/>
      <c r="J476" s="1013"/>
      <c r="K476" s="1013"/>
      <c r="L476" s="1094"/>
      <c r="M476" s="1094"/>
      <c r="N476" s="1013"/>
      <c r="O476" s="1013"/>
      <c r="P476" s="1013"/>
      <c r="Q476" s="1013"/>
      <c r="R476" s="1013"/>
      <c r="S476" s="1013"/>
      <c r="T476" s="1012"/>
      <c r="U476" s="1011"/>
      <c r="V476" s="1012"/>
      <c r="W476" s="1013"/>
      <c r="X476" s="1014"/>
      <c r="Y476" s="1012"/>
      <c r="Z476" s="1012"/>
      <c r="AA476" s="1012"/>
      <c r="AB476" s="1012"/>
      <c r="AC476" s="1012"/>
      <c r="AD476" s="1012"/>
      <c r="AE476" s="1012"/>
      <c r="AF476" s="1012"/>
      <c r="AG476" s="1012"/>
      <c r="AH476" s="1012"/>
      <c r="AI476" s="1012"/>
      <c r="AJ476" s="1012"/>
      <c r="AK476" s="1012"/>
    </row>
    <row r="477">
      <c r="A477" s="1012"/>
      <c r="B477" s="1013"/>
      <c r="C477" s="1012"/>
      <c r="D477" s="1013"/>
      <c r="E477" s="1012"/>
      <c r="F477" s="1012"/>
      <c r="G477" s="1013"/>
      <c r="H477" s="1012"/>
      <c r="I477" s="1012"/>
      <c r="J477" s="1013"/>
      <c r="K477" s="1013"/>
      <c r="L477" s="1094"/>
      <c r="M477" s="1094"/>
      <c r="N477" s="1013"/>
      <c r="O477" s="1013"/>
      <c r="P477" s="1013"/>
      <c r="Q477" s="1013"/>
      <c r="R477" s="1013"/>
      <c r="S477" s="1013"/>
      <c r="T477" s="1012"/>
      <c r="U477" s="1011"/>
      <c r="V477" s="1012"/>
      <c r="W477" s="1013"/>
      <c r="X477" s="1014"/>
      <c r="Y477" s="1012"/>
      <c r="Z477" s="1012"/>
      <c r="AA477" s="1012"/>
      <c r="AB477" s="1012"/>
      <c r="AC477" s="1012"/>
      <c r="AD477" s="1012"/>
      <c r="AE477" s="1012"/>
      <c r="AF477" s="1012"/>
      <c r="AG477" s="1012"/>
      <c r="AH477" s="1012"/>
      <c r="AI477" s="1012"/>
      <c r="AJ477" s="1012"/>
      <c r="AK477" s="1012"/>
    </row>
    <row r="478">
      <c r="A478" s="1012"/>
      <c r="B478" s="1013"/>
      <c r="C478" s="1012"/>
      <c r="D478" s="1013"/>
      <c r="E478" s="1012"/>
      <c r="F478" s="1012"/>
      <c r="G478" s="1013"/>
      <c r="H478" s="1012"/>
      <c r="I478" s="1012"/>
      <c r="J478" s="1013"/>
      <c r="K478" s="1013"/>
      <c r="L478" s="1094"/>
      <c r="M478" s="1094"/>
      <c r="N478" s="1013"/>
      <c r="O478" s="1013"/>
      <c r="P478" s="1013"/>
      <c r="Q478" s="1013"/>
      <c r="R478" s="1013"/>
      <c r="S478" s="1013"/>
      <c r="T478" s="1012"/>
      <c r="U478" s="1011"/>
      <c r="V478" s="1012"/>
      <c r="W478" s="1013"/>
      <c r="X478" s="1014"/>
      <c r="Y478" s="1012"/>
      <c r="Z478" s="1012"/>
      <c r="AA478" s="1012"/>
      <c r="AB478" s="1012"/>
      <c r="AC478" s="1012"/>
      <c r="AD478" s="1012"/>
      <c r="AE478" s="1012"/>
      <c r="AF478" s="1012"/>
      <c r="AG478" s="1012"/>
      <c r="AH478" s="1012"/>
      <c r="AI478" s="1012"/>
      <c r="AJ478" s="1012"/>
      <c r="AK478" s="1012"/>
    </row>
    <row r="479">
      <c r="A479" s="1012"/>
      <c r="B479" s="1013"/>
      <c r="C479" s="1012"/>
      <c r="D479" s="1013"/>
      <c r="E479" s="1012"/>
      <c r="F479" s="1012"/>
      <c r="G479" s="1013"/>
      <c r="H479" s="1012"/>
      <c r="I479" s="1012"/>
      <c r="J479" s="1013"/>
      <c r="K479" s="1013"/>
      <c r="L479" s="1094"/>
      <c r="M479" s="1094"/>
      <c r="N479" s="1013"/>
      <c r="O479" s="1013"/>
      <c r="P479" s="1013"/>
      <c r="Q479" s="1013"/>
      <c r="R479" s="1013"/>
      <c r="S479" s="1013"/>
      <c r="T479" s="1012"/>
      <c r="U479" s="1011"/>
      <c r="V479" s="1012"/>
      <c r="W479" s="1013"/>
      <c r="X479" s="1014"/>
      <c r="Y479" s="1012"/>
      <c r="Z479" s="1012"/>
      <c r="AA479" s="1012"/>
      <c r="AB479" s="1012"/>
      <c r="AC479" s="1012"/>
      <c r="AD479" s="1012"/>
      <c r="AE479" s="1012"/>
      <c r="AF479" s="1012"/>
      <c r="AG479" s="1012"/>
      <c r="AH479" s="1012"/>
      <c r="AI479" s="1012"/>
      <c r="AJ479" s="1012"/>
      <c r="AK479" s="1012"/>
    </row>
    <row r="480">
      <c r="A480" s="1012"/>
      <c r="B480" s="1013"/>
      <c r="C480" s="1012"/>
      <c r="D480" s="1013"/>
      <c r="E480" s="1012"/>
      <c r="F480" s="1012"/>
      <c r="G480" s="1013"/>
      <c r="H480" s="1012"/>
      <c r="I480" s="1012"/>
      <c r="J480" s="1013"/>
      <c r="K480" s="1013"/>
      <c r="L480" s="1094"/>
      <c r="M480" s="1094"/>
      <c r="N480" s="1013"/>
      <c r="O480" s="1013"/>
      <c r="P480" s="1013"/>
      <c r="Q480" s="1013"/>
      <c r="R480" s="1013"/>
      <c r="S480" s="1013"/>
      <c r="T480" s="1012"/>
      <c r="U480" s="1011"/>
      <c r="V480" s="1012"/>
      <c r="W480" s="1013"/>
      <c r="X480" s="1014"/>
      <c r="Y480" s="1012"/>
      <c r="Z480" s="1012"/>
      <c r="AA480" s="1012"/>
      <c r="AB480" s="1012"/>
      <c r="AC480" s="1012"/>
      <c r="AD480" s="1012"/>
      <c r="AE480" s="1012"/>
      <c r="AF480" s="1012"/>
      <c r="AG480" s="1012"/>
      <c r="AH480" s="1012"/>
      <c r="AI480" s="1012"/>
      <c r="AJ480" s="1012"/>
      <c r="AK480" s="1012"/>
    </row>
    <row r="481">
      <c r="A481" s="1012"/>
      <c r="B481" s="1013"/>
      <c r="C481" s="1012"/>
      <c r="D481" s="1013"/>
      <c r="E481" s="1012"/>
      <c r="F481" s="1012"/>
      <c r="G481" s="1013"/>
      <c r="H481" s="1012"/>
      <c r="I481" s="1012"/>
      <c r="J481" s="1013"/>
      <c r="K481" s="1013"/>
      <c r="L481" s="1094"/>
      <c r="M481" s="1094"/>
      <c r="N481" s="1013"/>
      <c r="O481" s="1013"/>
      <c r="P481" s="1013"/>
      <c r="Q481" s="1013"/>
      <c r="R481" s="1013"/>
      <c r="S481" s="1013"/>
      <c r="T481" s="1012"/>
      <c r="U481" s="1011"/>
      <c r="V481" s="1012"/>
      <c r="W481" s="1013"/>
      <c r="X481" s="1014"/>
      <c r="Y481" s="1012"/>
      <c r="Z481" s="1012"/>
      <c r="AA481" s="1012"/>
      <c r="AB481" s="1012"/>
      <c r="AC481" s="1012"/>
      <c r="AD481" s="1012"/>
      <c r="AE481" s="1012"/>
      <c r="AF481" s="1012"/>
      <c r="AG481" s="1012"/>
      <c r="AH481" s="1012"/>
      <c r="AI481" s="1012"/>
      <c r="AJ481" s="1012"/>
      <c r="AK481" s="1012"/>
    </row>
    <row r="482">
      <c r="A482" s="1012"/>
      <c r="B482" s="1013"/>
      <c r="C482" s="1012"/>
      <c r="D482" s="1013"/>
      <c r="E482" s="1012"/>
      <c r="F482" s="1012"/>
      <c r="G482" s="1013"/>
      <c r="H482" s="1012"/>
      <c r="I482" s="1012"/>
      <c r="J482" s="1013"/>
      <c r="K482" s="1013"/>
      <c r="L482" s="1094"/>
      <c r="M482" s="1094"/>
      <c r="N482" s="1013"/>
      <c r="O482" s="1013"/>
      <c r="P482" s="1013"/>
      <c r="Q482" s="1013"/>
      <c r="R482" s="1013"/>
      <c r="S482" s="1013"/>
      <c r="T482" s="1012"/>
      <c r="U482" s="1011"/>
      <c r="V482" s="1012"/>
      <c r="W482" s="1013"/>
      <c r="X482" s="1014"/>
      <c r="Y482" s="1012"/>
      <c r="Z482" s="1012"/>
      <c r="AA482" s="1012"/>
      <c r="AB482" s="1012"/>
      <c r="AC482" s="1012"/>
      <c r="AD482" s="1012"/>
      <c r="AE482" s="1012"/>
      <c r="AF482" s="1012"/>
      <c r="AG482" s="1012"/>
      <c r="AH482" s="1012"/>
      <c r="AI482" s="1012"/>
      <c r="AJ482" s="1012"/>
      <c r="AK482" s="1012"/>
    </row>
    <row r="483">
      <c r="A483" s="1012"/>
      <c r="B483" s="1013"/>
      <c r="C483" s="1012"/>
      <c r="D483" s="1013"/>
      <c r="E483" s="1012"/>
      <c r="F483" s="1012"/>
      <c r="G483" s="1013"/>
      <c r="H483" s="1012"/>
      <c r="I483" s="1012"/>
      <c r="J483" s="1013"/>
      <c r="K483" s="1013"/>
      <c r="L483" s="1094"/>
      <c r="M483" s="1094"/>
      <c r="N483" s="1013"/>
      <c r="O483" s="1013"/>
      <c r="P483" s="1013"/>
      <c r="Q483" s="1013"/>
      <c r="R483" s="1013"/>
      <c r="S483" s="1013"/>
      <c r="T483" s="1012"/>
      <c r="U483" s="1011"/>
      <c r="V483" s="1012"/>
      <c r="W483" s="1013"/>
      <c r="X483" s="1014"/>
      <c r="Y483" s="1012"/>
      <c r="Z483" s="1012"/>
      <c r="AA483" s="1012"/>
      <c r="AB483" s="1012"/>
      <c r="AC483" s="1012"/>
      <c r="AD483" s="1012"/>
      <c r="AE483" s="1012"/>
      <c r="AF483" s="1012"/>
      <c r="AG483" s="1012"/>
      <c r="AH483" s="1012"/>
      <c r="AI483" s="1012"/>
      <c r="AJ483" s="1012"/>
      <c r="AK483" s="1012"/>
    </row>
    <row r="484">
      <c r="A484" s="1012"/>
      <c r="B484" s="1013"/>
      <c r="C484" s="1012"/>
      <c r="D484" s="1013"/>
      <c r="E484" s="1012"/>
      <c r="F484" s="1012"/>
      <c r="G484" s="1013"/>
      <c r="H484" s="1012"/>
      <c r="I484" s="1012"/>
      <c r="J484" s="1013"/>
      <c r="K484" s="1013"/>
      <c r="L484" s="1094"/>
      <c r="M484" s="1094"/>
      <c r="N484" s="1013"/>
      <c r="O484" s="1013"/>
      <c r="P484" s="1013"/>
      <c r="Q484" s="1013"/>
      <c r="R484" s="1013"/>
      <c r="S484" s="1013"/>
      <c r="T484" s="1012"/>
      <c r="U484" s="1011"/>
      <c r="V484" s="1012"/>
      <c r="W484" s="1013"/>
      <c r="X484" s="1014"/>
      <c r="Y484" s="1012"/>
      <c r="Z484" s="1012"/>
      <c r="AA484" s="1012"/>
      <c r="AB484" s="1012"/>
      <c r="AC484" s="1012"/>
      <c r="AD484" s="1012"/>
      <c r="AE484" s="1012"/>
      <c r="AF484" s="1012"/>
      <c r="AG484" s="1012"/>
      <c r="AH484" s="1012"/>
      <c r="AI484" s="1012"/>
      <c r="AJ484" s="1012"/>
      <c r="AK484" s="1012"/>
    </row>
    <row r="485">
      <c r="A485" s="1012"/>
      <c r="B485" s="1013"/>
      <c r="C485" s="1012"/>
      <c r="D485" s="1013"/>
      <c r="E485" s="1012"/>
      <c r="F485" s="1012"/>
      <c r="G485" s="1013"/>
      <c r="H485" s="1012"/>
      <c r="I485" s="1012"/>
      <c r="J485" s="1013"/>
      <c r="K485" s="1013"/>
      <c r="L485" s="1094"/>
      <c r="M485" s="1094"/>
      <c r="N485" s="1013"/>
      <c r="O485" s="1013"/>
      <c r="P485" s="1013"/>
      <c r="Q485" s="1013"/>
      <c r="R485" s="1013"/>
      <c r="S485" s="1013"/>
      <c r="T485" s="1012"/>
      <c r="U485" s="1011"/>
      <c r="V485" s="1012"/>
      <c r="W485" s="1013"/>
      <c r="X485" s="1014"/>
      <c r="Y485" s="1012"/>
      <c r="Z485" s="1012"/>
      <c r="AA485" s="1012"/>
      <c r="AB485" s="1012"/>
      <c r="AC485" s="1012"/>
      <c r="AD485" s="1012"/>
      <c r="AE485" s="1012"/>
      <c r="AF485" s="1012"/>
      <c r="AG485" s="1012"/>
      <c r="AH485" s="1012"/>
      <c r="AI485" s="1012"/>
      <c r="AJ485" s="1012"/>
      <c r="AK485" s="1012"/>
    </row>
    <row r="486">
      <c r="A486" s="1012"/>
      <c r="B486" s="1013"/>
      <c r="C486" s="1012"/>
      <c r="D486" s="1013"/>
      <c r="E486" s="1012"/>
      <c r="F486" s="1012"/>
      <c r="G486" s="1013"/>
      <c r="H486" s="1012"/>
      <c r="I486" s="1012"/>
      <c r="J486" s="1013"/>
      <c r="K486" s="1013"/>
      <c r="L486" s="1094"/>
      <c r="M486" s="1094"/>
      <c r="N486" s="1013"/>
      <c r="O486" s="1013"/>
      <c r="P486" s="1013"/>
      <c r="Q486" s="1013"/>
      <c r="R486" s="1013"/>
      <c r="S486" s="1013"/>
      <c r="T486" s="1012"/>
      <c r="U486" s="1011"/>
      <c r="V486" s="1012"/>
      <c r="W486" s="1013"/>
      <c r="X486" s="1014"/>
      <c r="Y486" s="1012"/>
      <c r="Z486" s="1012"/>
      <c r="AA486" s="1012"/>
      <c r="AB486" s="1012"/>
      <c r="AC486" s="1012"/>
      <c r="AD486" s="1012"/>
      <c r="AE486" s="1012"/>
      <c r="AF486" s="1012"/>
      <c r="AG486" s="1012"/>
      <c r="AH486" s="1012"/>
      <c r="AI486" s="1012"/>
      <c r="AJ486" s="1012"/>
      <c r="AK486" s="1012"/>
    </row>
    <row r="487">
      <c r="A487" s="1012"/>
      <c r="B487" s="1013"/>
      <c r="C487" s="1012"/>
      <c r="D487" s="1013"/>
      <c r="E487" s="1012"/>
      <c r="F487" s="1012"/>
      <c r="G487" s="1013"/>
      <c r="H487" s="1012"/>
      <c r="I487" s="1012"/>
      <c r="J487" s="1013"/>
      <c r="K487" s="1013"/>
      <c r="L487" s="1094"/>
      <c r="M487" s="1094"/>
      <c r="N487" s="1013"/>
      <c r="O487" s="1013"/>
      <c r="P487" s="1013"/>
      <c r="Q487" s="1013"/>
      <c r="R487" s="1013"/>
      <c r="S487" s="1013"/>
      <c r="T487" s="1012"/>
      <c r="U487" s="1011"/>
      <c r="V487" s="1012"/>
      <c r="W487" s="1013"/>
      <c r="X487" s="1014"/>
      <c r="Y487" s="1012"/>
      <c r="Z487" s="1012"/>
      <c r="AA487" s="1012"/>
      <c r="AB487" s="1012"/>
      <c r="AC487" s="1012"/>
      <c r="AD487" s="1012"/>
      <c r="AE487" s="1012"/>
      <c r="AF487" s="1012"/>
      <c r="AG487" s="1012"/>
      <c r="AH487" s="1012"/>
      <c r="AI487" s="1012"/>
      <c r="AJ487" s="1012"/>
      <c r="AK487" s="1012"/>
    </row>
    <row r="488">
      <c r="A488" s="1012"/>
      <c r="B488" s="1013"/>
      <c r="C488" s="1012"/>
      <c r="D488" s="1013"/>
      <c r="E488" s="1012"/>
      <c r="F488" s="1012"/>
      <c r="G488" s="1013"/>
      <c r="H488" s="1012"/>
      <c r="I488" s="1012"/>
      <c r="J488" s="1013"/>
      <c r="K488" s="1013"/>
      <c r="L488" s="1094"/>
      <c r="M488" s="1094"/>
      <c r="N488" s="1013"/>
      <c r="O488" s="1013"/>
      <c r="P488" s="1013"/>
      <c r="Q488" s="1013"/>
      <c r="R488" s="1013"/>
      <c r="S488" s="1013"/>
      <c r="T488" s="1012"/>
      <c r="U488" s="1011"/>
      <c r="V488" s="1012"/>
      <c r="W488" s="1013"/>
      <c r="X488" s="1014"/>
      <c r="Y488" s="1012"/>
      <c r="Z488" s="1012"/>
      <c r="AA488" s="1012"/>
      <c r="AB488" s="1012"/>
      <c r="AC488" s="1012"/>
      <c r="AD488" s="1012"/>
      <c r="AE488" s="1012"/>
      <c r="AF488" s="1012"/>
      <c r="AG488" s="1012"/>
      <c r="AH488" s="1012"/>
      <c r="AI488" s="1012"/>
      <c r="AJ488" s="1012"/>
      <c r="AK488" s="1012"/>
    </row>
    <row r="489">
      <c r="A489" s="1012"/>
      <c r="B489" s="1013"/>
      <c r="C489" s="1012"/>
      <c r="D489" s="1013"/>
      <c r="E489" s="1012"/>
      <c r="F489" s="1012"/>
      <c r="G489" s="1013"/>
      <c r="H489" s="1012"/>
      <c r="I489" s="1012"/>
      <c r="J489" s="1013"/>
      <c r="K489" s="1013"/>
      <c r="L489" s="1094"/>
      <c r="M489" s="1094"/>
      <c r="N489" s="1013"/>
      <c r="O489" s="1013"/>
      <c r="P489" s="1013"/>
      <c r="Q489" s="1013"/>
      <c r="R489" s="1013"/>
      <c r="S489" s="1013"/>
      <c r="T489" s="1012"/>
      <c r="U489" s="1011"/>
      <c r="V489" s="1012"/>
      <c r="W489" s="1013"/>
      <c r="X489" s="1014"/>
      <c r="Y489" s="1012"/>
      <c r="Z489" s="1012"/>
      <c r="AA489" s="1012"/>
      <c r="AB489" s="1012"/>
      <c r="AC489" s="1012"/>
      <c r="AD489" s="1012"/>
      <c r="AE489" s="1012"/>
      <c r="AF489" s="1012"/>
      <c r="AG489" s="1012"/>
      <c r="AH489" s="1012"/>
      <c r="AI489" s="1012"/>
      <c r="AJ489" s="1012"/>
      <c r="AK489" s="1012"/>
    </row>
    <row r="490">
      <c r="A490" s="1012"/>
      <c r="B490" s="1013"/>
      <c r="C490" s="1012"/>
      <c r="D490" s="1013"/>
      <c r="E490" s="1012"/>
      <c r="F490" s="1012"/>
      <c r="G490" s="1013"/>
      <c r="H490" s="1012"/>
      <c r="I490" s="1012"/>
      <c r="J490" s="1013"/>
      <c r="K490" s="1013"/>
      <c r="L490" s="1094"/>
      <c r="M490" s="1094"/>
      <c r="N490" s="1013"/>
      <c r="O490" s="1013"/>
      <c r="P490" s="1013"/>
      <c r="Q490" s="1013"/>
      <c r="R490" s="1013"/>
      <c r="S490" s="1013"/>
      <c r="T490" s="1012"/>
      <c r="U490" s="1011"/>
      <c r="V490" s="1012"/>
      <c r="W490" s="1013"/>
      <c r="X490" s="1014"/>
      <c r="Y490" s="1012"/>
      <c r="Z490" s="1012"/>
      <c r="AA490" s="1012"/>
      <c r="AB490" s="1012"/>
      <c r="AC490" s="1012"/>
      <c r="AD490" s="1012"/>
      <c r="AE490" s="1012"/>
      <c r="AF490" s="1012"/>
      <c r="AG490" s="1012"/>
      <c r="AH490" s="1012"/>
      <c r="AI490" s="1012"/>
      <c r="AJ490" s="1012"/>
      <c r="AK490" s="1012"/>
    </row>
    <row r="491">
      <c r="A491" s="1012"/>
      <c r="B491" s="1013"/>
      <c r="C491" s="1012"/>
      <c r="D491" s="1013"/>
      <c r="E491" s="1012"/>
      <c r="F491" s="1012"/>
      <c r="G491" s="1013"/>
      <c r="H491" s="1012"/>
      <c r="I491" s="1012"/>
      <c r="J491" s="1013"/>
      <c r="K491" s="1013"/>
      <c r="L491" s="1094"/>
      <c r="M491" s="1094"/>
      <c r="N491" s="1013"/>
      <c r="O491" s="1013"/>
      <c r="P491" s="1013"/>
      <c r="Q491" s="1013"/>
      <c r="R491" s="1013"/>
      <c r="S491" s="1013"/>
      <c r="T491" s="1012"/>
      <c r="U491" s="1011"/>
      <c r="V491" s="1012"/>
      <c r="W491" s="1013"/>
      <c r="X491" s="1014"/>
      <c r="Y491" s="1012"/>
      <c r="Z491" s="1012"/>
      <c r="AA491" s="1012"/>
      <c r="AB491" s="1012"/>
      <c r="AC491" s="1012"/>
      <c r="AD491" s="1012"/>
      <c r="AE491" s="1012"/>
      <c r="AF491" s="1012"/>
      <c r="AG491" s="1012"/>
      <c r="AH491" s="1012"/>
      <c r="AI491" s="1012"/>
      <c r="AJ491" s="1012"/>
      <c r="AK491" s="1012"/>
    </row>
    <row r="492">
      <c r="A492" s="1012"/>
      <c r="B492" s="1013"/>
      <c r="C492" s="1012"/>
      <c r="D492" s="1013"/>
      <c r="E492" s="1012"/>
      <c r="F492" s="1012"/>
      <c r="G492" s="1013"/>
      <c r="H492" s="1012"/>
      <c r="I492" s="1012"/>
      <c r="J492" s="1013"/>
      <c r="K492" s="1013"/>
      <c r="L492" s="1094"/>
      <c r="M492" s="1094"/>
      <c r="N492" s="1013"/>
      <c r="O492" s="1013"/>
      <c r="P492" s="1013"/>
      <c r="Q492" s="1013"/>
      <c r="R492" s="1013"/>
      <c r="S492" s="1013"/>
      <c r="T492" s="1012"/>
      <c r="U492" s="1011"/>
      <c r="V492" s="1012"/>
      <c r="W492" s="1013"/>
      <c r="X492" s="1014"/>
      <c r="Y492" s="1012"/>
      <c r="Z492" s="1012"/>
      <c r="AA492" s="1012"/>
      <c r="AB492" s="1012"/>
      <c r="AC492" s="1012"/>
      <c r="AD492" s="1012"/>
      <c r="AE492" s="1012"/>
      <c r="AF492" s="1012"/>
      <c r="AG492" s="1012"/>
      <c r="AH492" s="1012"/>
      <c r="AI492" s="1012"/>
      <c r="AJ492" s="1012"/>
      <c r="AK492" s="1012"/>
    </row>
    <row r="493">
      <c r="A493" s="1012"/>
      <c r="B493" s="1013"/>
      <c r="C493" s="1012"/>
      <c r="D493" s="1013"/>
      <c r="E493" s="1012"/>
      <c r="F493" s="1012"/>
      <c r="G493" s="1013"/>
      <c r="H493" s="1012"/>
      <c r="I493" s="1012"/>
      <c r="J493" s="1013"/>
      <c r="K493" s="1013"/>
      <c r="L493" s="1094"/>
      <c r="M493" s="1094"/>
      <c r="N493" s="1013"/>
      <c r="O493" s="1013"/>
      <c r="P493" s="1013"/>
      <c r="Q493" s="1013"/>
      <c r="R493" s="1013"/>
      <c r="S493" s="1013"/>
      <c r="T493" s="1012"/>
      <c r="U493" s="1011"/>
      <c r="V493" s="1012"/>
      <c r="W493" s="1013"/>
      <c r="X493" s="1014"/>
      <c r="Y493" s="1012"/>
      <c r="Z493" s="1012"/>
      <c r="AA493" s="1012"/>
      <c r="AB493" s="1012"/>
      <c r="AC493" s="1012"/>
      <c r="AD493" s="1012"/>
      <c r="AE493" s="1012"/>
      <c r="AF493" s="1012"/>
      <c r="AG493" s="1012"/>
      <c r="AH493" s="1012"/>
      <c r="AI493" s="1012"/>
      <c r="AJ493" s="1012"/>
      <c r="AK493" s="1012"/>
    </row>
    <row r="494">
      <c r="A494" s="1012"/>
      <c r="B494" s="1013"/>
      <c r="C494" s="1012"/>
      <c r="D494" s="1013"/>
      <c r="E494" s="1012"/>
      <c r="F494" s="1012"/>
      <c r="G494" s="1013"/>
      <c r="H494" s="1012"/>
      <c r="I494" s="1012"/>
      <c r="J494" s="1013"/>
      <c r="K494" s="1013"/>
      <c r="L494" s="1094"/>
      <c r="M494" s="1094"/>
      <c r="N494" s="1013"/>
      <c r="O494" s="1013"/>
      <c r="P494" s="1013"/>
      <c r="Q494" s="1013"/>
      <c r="R494" s="1013"/>
      <c r="S494" s="1013"/>
      <c r="T494" s="1012"/>
      <c r="U494" s="1011"/>
      <c r="V494" s="1012"/>
      <c r="W494" s="1013"/>
      <c r="X494" s="1014"/>
      <c r="Y494" s="1012"/>
      <c r="Z494" s="1012"/>
      <c r="AA494" s="1012"/>
      <c r="AB494" s="1012"/>
      <c r="AC494" s="1012"/>
      <c r="AD494" s="1012"/>
      <c r="AE494" s="1012"/>
      <c r="AF494" s="1012"/>
      <c r="AG494" s="1012"/>
      <c r="AH494" s="1012"/>
      <c r="AI494" s="1012"/>
      <c r="AJ494" s="1012"/>
      <c r="AK494" s="1012"/>
    </row>
    <row r="495">
      <c r="A495" s="1012"/>
      <c r="B495" s="1013"/>
      <c r="C495" s="1012"/>
      <c r="D495" s="1013"/>
      <c r="E495" s="1012"/>
      <c r="F495" s="1012"/>
      <c r="G495" s="1013"/>
      <c r="H495" s="1012"/>
      <c r="I495" s="1012"/>
      <c r="J495" s="1013"/>
      <c r="K495" s="1013"/>
      <c r="L495" s="1094"/>
      <c r="M495" s="1094"/>
      <c r="N495" s="1013"/>
      <c r="O495" s="1013"/>
      <c r="P495" s="1013"/>
      <c r="Q495" s="1013"/>
      <c r="R495" s="1013"/>
      <c r="S495" s="1013"/>
      <c r="T495" s="1012"/>
      <c r="U495" s="1011"/>
      <c r="V495" s="1012"/>
      <c r="W495" s="1013"/>
      <c r="X495" s="1014"/>
      <c r="Y495" s="1012"/>
      <c r="Z495" s="1012"/>
      <c r="AA495" s="1012"/>
      <c r="AB495" s="1012"/>
      <c r="AC495" s="1012"/>
      <c r="AD495" s="1012"/>
      <c r="AE495" s="1012"/>
      <c r="AF495" s="1012"/>
      <c r="AG495" s="1012"/>
      <c r="AH495" s="1012"/>
      <c r="AI495" s="1012"/>
      <c r="AJ495" s="1012"/>
      <c r="AK495" s="1012"/>
    </row>
    <row r="496">
      <c r="A496" s="1012"/>
      <c r="B496" s="1013"/>
      <c r="C496" s="1012"/>
      <c r="D496" s="1013"/>
      <c r="E496" s="1012"/>
      <c r="F496" s="1012"/>
      <c r="G496" s="1013"/>
      <c r="H496" s="1012"/>
      <c r="I496" s="1012"/>
      <c r="J496" s="1013"/>
      <c r="K496" s="1013"/>
      <c r="L496" s="1094"/>
      <c r="M496" s="1094"/>
      <c r="N496" s="1013"/>
      <c r="O496" s="1013"/>
      <c r="P496" s="1013"/>
      <c r="Q496" s="1013"/>
      <c r="R496" s="1013"/>
      <c r="S496" s="1013"/>
      <c r="T496" s="1012"/>
      <c r="U496" s="1011"/>
      <c r="V496" s="1012"/>
      <c r="W496" s="1013"/>
      <c r="X496" s="1014"/>
      <c r="Y496" s="1012"/>
      <c r="Z496" s="1012"/>
      <c r="AA496" s="1012"/>
      <c r="AB496" s="1012"/>
      <c r="AC496" s="1012"/>
      <c r="AD496" s="1012"/>
      <c r="AE496" s="1012"/>
      <c r="AF496" s="1012"/>
      <c r="AG496" s="1012"/>
      <c r="AH496" s="1012"/>
      <c r="AI496" s="1012"/>
      <c r="AJ496" s="1012"/>
      <c r="AK496" s="1012"/>
    </row>
    <row r="497">
      <c r="A497" s="1012"/>
      <c r="B497" s="1013"/>
      <c r="C497" s="1012"/>
      <c r="D497" s="1013"/>
      <c r="E497" s="1012"/>
      <c r="F497" s="1012"/>
      <c r="G497" s="1013"/>
      <c r="H497" s="1012"/>
      <c r="I497" s="1012"/>
      <c r="J497" s="1013"/>
      <c r="K497" s="1013"/>
      <c r="L497" s="1094"/>
      <c r="M497" s="1094"/>
      <c r="N497" s="1013"/>
      <c r="O497" s="1013"/>
      <c r="P497" s="1013"/>
      <c r="Q497" s="1013"/>
      <c r="R497" s="1013"/>
      <c r="S497" s="1013"/>
      <c r="T497" s="1012"/>
      <c r="U497" s="1011"/>
      <c r="V497" s="1012"/>
      <c r="W497" s="1013"/>
      <c r="X497" s="1014"/>
      <c r="Y497" s="1012"/>
      <c r="Z497" s="1012"/>
      <c r="AA497" s="1012"/>
      <c r="AB497" s="1012"/>
      <c r="AC497" s="1012"/>
      <c r="AD497" s="1012"/>
      <c r="AE497" s="1012"/>
      <c r="AF497" s="1012"/>
      <c r="AG497" s="1012"/>
      <c r="AH497" s="1012"/>
      <c r="AI497" s="1012"/>
      <c r="AJ497" s="1012"/>
      <c r="AK497" s="1012"/>
    </row>
    <row r="498">
      <c r="A498" s="1012"/>
      <c r="B498" s="1013"/>
      <c r="C498" s="1012"/>
      <c r="D498" s="1013"/>
      <c r="E498" s="1012"/>
      <c r="F498" s="1012"/>
      <c r="G498" s="1013"/>
      <c r="H498" s="1012"/>
      <c r="I498" s="1012"/>
      <c r="J498" s="1013"/>
      <c r="K498" s="1013"/>
      <c r="L498" s="1094"/>
      <c r="M498" s="1094"/>
      <c r="N498" s="1013"/>
      <c r="O498" s="1013"/>
      <c r="P498" s="1013"/>
      <c r="Q498" s="1013"/>
      <c r="R498" s="1013"/>
      <c r="S498" s="1013"/>
      <c r="T498" s="1012"/>
      <c r="U498" s="1011"/>
      <c r="V498" s="1012"/>
      <c r="W498" s="1013"/>
      <c r="X498" s="1014"/>
      <c r="Y498" s="1012"/>
      <c r="Z498" s="1012"/>
      <c r="AA498" s="1012"/>
      <c r="AB498" s="1012"/>
      <c r="AC498" s="1012"/>
      <c r="AD498" s="1012"/>
      <c r="AE498" s="1012"/>
      <c r="AF498" s="1012"/>
      <c r="AG498" s="1012"/>
      <c r="AH498" s="1012"/>
      <c r="AI498" s="1012"/>
      <c r="AJ498" s="1012"/>
      <c r="AK498" s="1012"/>
    </row>
    <row r="499">
      <c r="A499" s="1012"/>
      <c r="B499" s="1013"/>
      <c r="C499" s="1012"/>
      <c r="D499" s="1013"/>
      <c r="E499" s="1012"/>
      <c r="F499" s="1012"/>
      <c r="G499" s="1013"/>
      <c r="H499" s="1012"/>
      <c r="I499" s="1012"/>
      <c r="J499" s="1013"/>
      <c r="K499" s="1013"/>
      <c r="L499" s="1094"/>
      <c r="M499" s="1094"/>
      <c r="N499" s="1013"/>
      <c r="O499" s="1013"/>
      <c r="P499" s="1013"/>
      <c r="Q499" s="1013"/>
      <c r="R499" s="1013"/>
      <c r="S499" s="1013"/>
      <c r="T499" s="1012"/>
      <c r="U499" s="1011"/>
      <c r="V499" s="1012"/>
      <c r="W499" s="1013"/>
      <c r="X499" s="1014"/>
      <c r="Y499" s="1012"/>
      <c r="Z499" s="1012"/>
      <c r="AA499" s="1012"/>
      <c r="AB499" s="1012"/>
      <c r="AC499" s="1012"/>
      <c r="AD499" s="1012"/>
      <c r="AE499" s="1012"/>
      <c r="AF499" s="1012"/>
      <c r="AG499" s="1012"/>
      <c r="AH499" s="1012"/>
      <c r="AI499" s="1012"/>
      <c r="AJ499" s="1012"/>
      <c r="AK499" s="1012"/>
    </row>
    <row r="500">
      <c r="A500" s="1012"/>
      <c r="B500" s="1013"/>
      <c r="C500" s="1012"/>
      <c r="D500" s="1013"/>
      <c r="E500" s="1012"/>
      <c r="F500" s="1012"/>
      <c r="G500" s="1013"/>
      <c r="H500" s="1012"/>
      <c r="I500" s="1012"/>
      <c r="J500" s="1013"/>
      <c r="K500" s="1013"/>
      <c r="L500" s="1094"/>
      <c r="M500" s="1094"/>
      <c r="N500" s="1013"/>
      <c r="O500" s="1013"/>
      <c r="P500" s="1013"/>
      <c r="Q500" s="1013"/>
      <c r="R500" s="1013"/>
      <c r="S500" s="1013"/>
      <c r="T500" s="1012"/>
      <c r="U500" s="1011"/>
      <c r="V500" s="1012"/>
      <c r="W500" s="1013"/>
      <c r="X500" s="1014"/>
      <c r="Y500" s="1012"/>
      <c r="Z500" s="1012"/>
      <c r="AA500" s="1012"/>
      <c r="AB500" s="1012"/>
      <c r="AC500" s="1012"/>
      <c r="AD500" s="1012"/>
      <c r="AE500" s="1012"/>
      <c r="AF500" s="1012"/>
      <c r="AG500" s="1012"/>
      <c r="AH500" s="1012"/>
      <c r="AI500" s="1012"/>
      <c r="AJ500" s="1012"/>
      <c r="AK500" s="1012"/>
    </row>
    <row r="501">
      <c r="A501" s="1012"/>
      <c r="B501" s="1013"/>
      <c r="C501" s="1012"/>
      <c r="D501" s="1013"/>
      <c r="E501" s="1012"/>
      <c r="F501" s="1012"/>
      <c r="G501" s="1013"/>
      <c r="H501" s="1012"/>
      <c r="I501" s="1012"/>
      <c r="J501" s="1013"/>
      <c r="K501" s="1013"/>
      <c r="L501" s="1094"/>
      <c r="M501" s="1094"/>
      <c r="N501" s="1013"/>
      <c r="O501" s="1013"/>
      <c r="P501" s="1013"/>
      <c r="Q501" s="1013"/>
      <c r="R501" s="1013"/>
      <c r="S501" s="1013"/>
      <c r="T501" s="1012"/>
      <c r="U501" s="1011"/>
      <c r="V501" s="1012"/>
      <c r="W501" s="1013"/>
      <c r="X501" s="1014"/>
      <c r="Y501" s="1012"/>
      <c r="Z501" s="1012"/>
      <c r="AA501" s="1012"/>
      <c r="AB501" s="1012"/>
      <c r="AC501" s="1012"/>
      <c r="AD501" s="1012"/>
      <c r="AE501" s="1012"/>
      <c r="AF501" s="1012"/>
      <c r="AG501" s="1012"/>
      <c r="AH501" s="1012"/>
      <c r="AI501" s="1012"/>
      <c r="AJ501" s="1012"/>
      <c r="AK501" s="1012"/>
    </row>
    <row r="502">
      <c r="A502" s="1012"/>
      <c r="B502" s="1013"/>
      <c r="C502" s="1012"/>
      <c r="D502" s="1013"/>
      <c r="E502" s="1012"/>
      <c r="F502" s="1012"/>
      <c r="G502" s="1013"/>
      <c r="H502" s="1012"/>
      <c r="I502" s="1012"/>
      <c r="J502" s="1013"/>
      <c r="K502" s="1013"/>
      <c r="L502" s="1094"/>
      <c r="M502" s="1094"/>
      <c r="N502" s="1013"/>
      <c r="O502" s="1013"/>
      <c r="P502" s="1013"/>
      <c r="Q502" s="1013"/>
      <c r="R502" s="1013"/>
      <c r="S502" s="1013"/>
      <c r="T502" s="1012"/>
      <c r="U502" s="1011"/>
      <c r="V502" s="1012"/>
      <c r="W502" s="1013"/>
      <c r="X502" s="1014"/>
      <c r="Y502" s="1012"/>
      <c r="Z502" s="1012"/>
      <c r="AA502" s="1012"/>
      <c r="AB502" s="1012"/>
      <c r="AC502" s="1012"/>
      <c r="AD502" s="1012"/>
      <c r="AE502" s="1012"/>
      <c r="AF502" s="1012"/>
      <c r="AG502" s="1012"/>
      <c r="AH502" s="1012"/>
      <c r="AI502" s="1012"/>
      <c r="AJ502" s="1012"/>
      <c r="AK502" s="1012"/>
    </row>
    <row r="503">
      <c r="A503" s="1012"/>
      <c r="B503" s="1013"/>
      <c r="C503" s="1012"/>
      <c r="D503" s="1013"/>
      <c r="E503" s="1012"/>
      <c r="F503" s="1012"/>
      <c r="G503" s="1013"/>
      <c r="H503" s="1012"/>
      <c r="I503" s="1012"/>
      <c r="J503" s="1013"/>
      <c r="K503" s="1013"/>
      <c r="L503" s="1094"/>
      <c r="M503" s="1094"/>
      <c r="N503" s="1013"/>
      <c r="O503" s="1013"/>
      <c r="P503" s="1013"/>
      <c r="Q503" s="1013"/>
      <c r="R503" s="1013"/>
      <c r="S503" s="1013"/>
      <c r="T503" s="1012"/>
      <c r="U503" s="1011"/>
      <c r="V503" s="1012"/>
      <c r="W503" s="1013"/>
      <c r="X503" s="1014"/>
      <c r="Y503" s="1012"/>
      <c r="Z503" s="1012"/>
      <c r="AA503" s="1012"/>
      <c r="AB503" s="1012"/>
      <c r="AC503" s="1012"/>
      <c r="AD503" s="1012"/>
      <c r="AE503" s="1012"/>
      <c r="AF503" s="1012"/>
      <c r="AG503" s="1012"/>
      <c r="AH503" s="1012"/>
      <c r="AI503" s="1012"/>
      <c r="AJ503" s="1012"/>
      <c r="AK503" s="1012"/>
    </row>
    <row r="504">
      <c r="A504" s="1012"/>
      <c r="B504" s="1013"/>
      <c r="C504" s="1012"/>
      <c r="D504" s="1013"/>
      <c r="E504" s="1012"/>
      <c r="F504" s="1012"/>
      <c r="G504" s="1013"/>
      <c r="H504" s="1012"/>
      <c r="I504" s="1012"/>
      <c r="J504" s="1013"/>
      <c r="K504" s="1013"/>
      <c r="L504" s="1094"/>
      <c r="M504" s="1094"/>
      <c r="N504" s="1013"/>
      <c r="O504" s="1013"/>
      <c r="P504" s="1013"/>
      <c r="Q504" s="1013"/>
      <c r="R504" s="1013"/>
      <c r="S504" s="1013"/>
      <c r="T504" s="1012"/>
      <c r="U504" s="1011"/>
      <c r="V504" s="1012"/>
      <c r="W504" s="1013"/>
      <c r="X504" s="1014"/>
      <c r="Y504" s="1012"/>
      <c r="Z504" s="1012"/>
      <c r="AA504" s="1012"/>
      <c r="AB504" s="1012"/>
      <c r="AC504" s="1012"/>
      <c r="AD504" s="1012"/>
      <c r="AE504" s="1012"/>
      <c r="AF504" s="1012"/>
      <c r="AG504" s="1012"/>
      <c r="AH504" s="1012"/>
      <c r="AI504" s="1012"/>
      <c r="AJ504" s="1012"/>
      <c r="AK504" s="1012"/>
    </row>
    <row r="505">
      <c r="A505" s="1012"/>
      <c r="B505" s="1013"/>
      <c r="C505" s="1012"/>
      <c r="D505" s="1013"/>
      <c r="E505" s="1012"/>
      <c r="F505" s="1012"/>
      <c r="G505" s="1013"/>
      <c r="H505" s="1012"/>
      <c r="I505" s="1012"/>
      <c r="J505" s="1013"/>
      <c r="K505" s="1013"/>
      <c r="L505" s="1094"/>
      <c r="M505" s="1094"/>
      <c r="N505" s="1013"/>
      <c r="O505" s="1013"/>
      <c r="P505" s="1013"/>
      <c r="Q505" s="1013"/>
      <c r="R505" s="1013"/>
      <c r="S505" s="1013"/>
      <c r="T505" s="1012"/>
      <c r="U505" s="1011"/>
      <c r="V505" s="1012"/>
      <c r="W505" s="1013"/>
      <c r="X505" s="1014"/>
      <c r="Y505" s="1012"/>
      <c r="Z505" s="1012"/>
      <c r="AA505" s="1012"/>
      <c r="AB505" s="1012"/>
      <c r="AC505" s="1012"/>
      <c r="AD505" s="1012"/>
      <c r="AE505" s="1012"/>
      <c r="AF505" s="1012"/>
      <c r="AG505" s="1012"/>
      <c r="AH505" s="1012"/>
      <c r="AI505" s="1012"/>
      <c r="AJ505" s="1012"/>
      <c r="AK505" s="1012"/>
    </row>
    <row r="506">
      <c r="A506" s="1012"/>
      <c r="B506" s="1013"/>
      <c r="C506" s="1012"/>
      <c r="D506" s="1013"/>
      <c r="E506" s="1012"/>
      <c r="F506" s="1012"/>
      <c r="G506" s="1013"/>
      <c r="H506" s="1012"/>
      <c r="I506" s="1012"/>
      <c r="J506" s="1013"/>
      <c r="K506" s="1013"/>
      <c r="L506" s="1094"/>
      <c r="M506" s="1094"/>
      <c r="N506" s="1013"/>
      <c r="O506" s="1013"/>
      <c r="P506" s="1013"/>
      <c r="Q506" s="1013"/>
      <c r="R506" s="1013"/>
      <c r="S506" s="1013"/>
      <c r="T506" s="1012"/>
      <c r="U506" s="1011"/>
      <c r="V506" s="1012"/>
      <c r="W506" s="1013"/>
      <c r="X506" s="1014"/>
      <c r="Y506" s="1012"/>
      <c r="Z506" s="1012"/>
      <c r="AA506" s="1012"/>
      <c r="AB506" s="1012"/>
      <c r="AC506" s="1012"/>
      <c r="AD506" s="1012"/>
      <c r="AE506" s="1012"/>
      <c r="AF506" s="1012"/>
      <c r="AG506" s="1012"/>
      <c r="AH506" s="1012"/>
      <c r="AI506" s="1012"/>
      <c r="AJ506" s="1012"/>
      <c r="AK506" s="1012"/>
    </row>
    <row r="507">
      <c r="A507" s="1012"/>
      <c r="B507" s="1013"/>
      <c r="C507" s="1012"/>
      <c r="D507" s="1013"/>
      <c r="E507" s="1012"/>
      <c r="F507" s="1012"/>
      <c r="G507" s="1013"/>
      <c r="H507" s="1012"/>
      <c r="I507" s="1012"/>
      <c r="J507" s="1013"/>
      <c r="K507" s="1013"/>
      <c r="L507" s="1094"/>
      <c r="M507" s="1094"/>
      <c r="N507" s="1013"/>
      <c r="O507" s="1013"/>
      <c r="P507" s="1013"/>
      <c r="Q507" s="1013"/>
      <c r="R507" s="1013"/>
      <c r="S507" s="1013"/>
      <c r="T507" s="1012"/>
      <c r="U507" s="1011"/>
      <c r="V507" s="1012"/>
      <c r="W507" s="1013"/>
      <c r="X507" s="1014"/>
      <c r="Y507" s="1012"/>
      <c r="Z507" s="1012"/>
      <c r="AA507" s="1012"/>
      <c r="AB507" s="1012"/>
      <c r="AC507" s="1012"/>
      <c r="AD507" s="1012"/>
      <c r="AE507" s="1012"/>
      <c r="AF507" s="1012"/>
      <c r="AG507" s="1012"/>
      <c r="AH507" s="1012"/>
      <c r="AI507" s="1012"/>
      <c r="AJ507" s="1012"/>
      <c r="AK507" s="1012"/>
    </row>
    <row r="508">
      <c r="A508" s="1012"/>
      <c r="B508" s="1013"/>
      <c r="C508" s="1012"/>
      <c r="D508" s="1013"/>
      <c r="E508" s="1012"/>
      <c r="F508" s="1012"/>
      <c r="G508" s="1013"/>
      <c r="H508" s="1012"/>
      <c r="I508" s="1012"/>
      <c r="J508" s="1013"/>
      <c r="K508" s="1013"/>
      <c r="L508" s="1094"/>
      <c r="M508" s="1094"/>
      <c r="N508" s="1013"/>
      <c r="O508" s="1013"/>
      <c r="P508" s="1013"/>
      <c r="Q508" s="1013"/>
      <c r="R508" s="1013"/>
      <c r="S508" s="1013"/>
      <c r="T508" s="1012"/>
      <c r="U508" s="1011"/>
      <c r="V508" s="1012"/>
      <c r="W508" s="1013"/>
      <c r="X508" s="1014"/>
      <c r="Y508" s="1012"/>
      <c r="Z508" s="1012"/>
      <c r="AA508" s="1012"/>
      <c r="AB508" s="1012"/>
      <c r="AC508" s="1012"/>
      <c r="AD508" s="1012"/>
      <c r="AE508" s="1012"/>
      <c r="AF508" s="1012"/>
      <c r="AG508" s="1012"/>
      <c r="AH508" s="1012"/>
      <c r="AI508" s="1012"/>
      <c r="AJ508" s="1012"/>
      <c r="AK508" s="1012"/>
    </row>
    <row r="509">
      <c r="A509" s="1012"/>
      <c r="B509" s="1013"/>
      <c r="C509" s="1012"/>
      <c r="D509" s="1013"/>
      <c r="E509" s="1012"/>
      <c r="F509" s="1012"/>
      <c r="G509" s="1013"/>
      <c r="H509" s="1012"/>
      <c r="I509" s="1012"/>
      <c r="J509" s="1013"/>
      <c r="K509" s="1013"/>
      <c r="L509" s="1094"/>
      <c r="M509" s="1094"/>
      <c r="N509" s="1013"/>
      <c r="O509" s="1013"/>
      <c r="P509" s="1013"/>
      <c r="Q509" s="1013"/>
      <c r="R509" s="1013"/>
      <c r="S509" s="1013"/>
      <c r="T509" s="1012"/>
      <c r="U509" s="1011"/>
      <c r="V509" s="1012"/>
      <c r="W509" s="1013"/>
      <c r="X509" s="1014"/>
      <c r="Y509" s="1012"/>
      <c r="Z509" s="1012"/>
      <c r="AA509" s="1012"/>
      <c r="AB509" s="1012"/>
      <c r="AC509" s="1012"/>
      <c r="AD509" s="1012"/>
      <c r="AE509" s="1012"/>
      <c r="AF509" s="1012"/>
      <c r="AG509" s="1012"/>
      <c r="AH509" s="1012"/>
      <c r="AI509" s="1012"/>
      <c r="AJ509" s="1012"/>
      <c r="AK509" s="1012"/>
    </row>
    <row r="510">
      <c r="A510" s="1012"/>
      <c r="B510" s="1013"/>
      <c r="C510" s="1012"/>
      <c r="D510" s="1013"/>
      <c r="E510" s="1012"/>
      <c r="F510" s="1012"/>
      <c r="G510" s="1013"/>
      <c r="H510" s="1012"/>
      <c r="I510" s="1012"/>
      <c r="J510" s="1013"/>
      <c r="K510" s="1013"/>
      <c r="L510" s="1094"/>
      <c r="M510" s="1094"/>
      <c r="N510" s="1013"/>
      <c r="O510" s="1013"/>
      <c r="P510" s="1013"/>
      <c r="Q510" s="1013"/>
      <c r="R510" s="1013"/>
      <c r="S510" s="1013"/>
      <c r="T510" s="1012"/>
      <c r="U510" s="1011"/>
      <c r="V510" s="1012"/>
      <c r="W510" s="1013"/>
      <c r="X510" s="1014"/>
      <c r="Y510" s="1012"/>
      <c r="Z510" s="1012"/>
      <c r="AA510" s="1012"/>
      <c r="AB510" s="1012"/>
      <c r="AC510" s="1012"/>
      <c r="AD510" s="1012"/>
      <c r="AE510" s="1012"/>
      <c r="AF510" s="1012"/>
      <c r="AG510" s="1012"/>
      <c r="AH510" s="1012"/>
      <c r="AI510" s="1012"/>
      <c r="AJ510" s="1012"/>
      <c r="AK510" s="1012"/>
    </row>
    <row r="511">
      <c r="A511" s="1012"/>
      <c r="B511" s="1013"/>
      <c r="C511" s="1012"/>
      <c r="D511" s="1013"/>
      <c r="E511" s="1012"/>
      <c r="F511" s="1012"/>
      <c r="G511" s="1013"/>
      <c r="H511" s="1012"/>
      <c r="I511" s="1012"/>
      <c r="J511" s="1013"/>
      <c r="K511" s="1013"/>
      <c r="L511" s="1094"/>
      <c r="M511" s="1094"/>
      <c r="N511" s="1013"/>
      <c r="O511" s="1013"/>
      <c r="P511" s="1013"/>
      <c r="Q511" s="1013"/>
      <c r="R511" s="1013"/>
      <c r="S511" s="1013"/>
      <c r="T511" s="1012"/>
      <c r="U511" s="1011"/>
      <c r="V511" s="1012"/>
      <c r="W511" s="1013"/>
      <c r="X511" s="1014"/>
      <c r="Y511" s="1012"/>
      <c r="Z511" s="1012"/>
      <c r="AA511" s="1012"/>
      <c r="AB511" s="1012"/>
      <c r="AC511" s="1012"/>
      <c r="AD511" s="1012"/>
      <c r="AE511" s="1012"/>
      <c r="AF511" s="1012"/>
      <c r="AG511" s="1012"/>
      <c r="AH511" s="1012"/>
      <c r="AI511" s="1012"/>
      <c r="AJ511" s="1012"/>
      <c r="AK511" s="1012"/>
    </row>
    <row r="512">
      <c r="A512" s="1012"/>
      <c r="B512" s="1013"/>
      <c r="C512" s="1012"/>
      <c r="D512" s="1013"/>
      <c r="E512" s="1012"/>
      <c r="F512" s="1012"/>
      <c r="G512" s="1013"/>
      <c r="H512" s="1012"/>
      <c r="I512" s="1012"/>
      <c r="J512" s="1013"/>
      <c r="K512" s="1013"/>
      <c r="L512" s="1094"/>
      <c r="M512" s="1094"/>
      <c r="N512" s="1013"/>
      <c r="O512" s="1013"/>
      <c r="P512" s="1013"/>
      <c r="Q512" s="1013"/>
      <c r="R512" s="1013"/>
      <c r="S512" s="1013"/>
      <c r="T512" s="1012"/>
      <c r="U512" s="1011"/>
      <c r="V512" s="1012"/>
      <c r="W512" s="1013"/>
      <c r="X512" s="1014"/>
      <c r="Y512" s="1012"/>
      <c r="Z512" s="1012"/>
      <c r="AA512" s="1012"/>
      <c r="AB512" s="1012"/>
      <c r="AC512" s="1012"/>
      <c r="AD512" s="1012"/>
      <c r="AE512" s="1012"/>
      <c r="AF512" s="1012"/>
      <c r="AG512" s="1012"/>
      <c r="AH512" s="1012"/>
      <c r="AI512" s="1012"/>
      <c r="AJ512" s="1012"/>
      <c r="AK512" s="1012"/>
    </row>
    <row r="513">
      <c r="A513" s="1012"/>
      <c r="B513" s="1013"/>
      <c r="C513" s="1012"/>
      <c r="D513" s="1013"/>
      <c r="E513" s="1012"/>
      <c r="F513" s="1012"/>
      <c r="G513" s="1013"/>
      <c r="H513" s="1012"/>
      <c r="I513" s="1012"/>
      <c r="J513" s="1013"/>
      <c r="K513" s="1013"/>
      <c r="L513" s="1094"/>
      <c r="M513" s="1094"/>
      <c r="N513" s="1013"/>
      <c r="O513" s="1013"/>
      <c r="P513" s="1013"/>
      <c r="Q513" s="1013"/>
      <c r="R513" s="1013"/>
      <c r="S513" s="1013"/>
      <c r="T513" s="1012"/>
      <c r="U513" s="1011"/>
      <c r="V513" s="1012"/>
      <c r="W513" s="1013"/>
      <c r="X513" s="1014"/>
      <c r="Y513" s="1012"/>
      <c r="Z513" s="1012"/>
      <c r="AA513" s="1012"/>
      <c r="AB513" s="1012"/>
      <c r="AC513" s="1012"/>
      <c r="AD513" s="1012"/>
      <c r="AE513" s="1012"/>
      <c r="AF513" s="1012"/>
      <c r="AG513" s="1012"/>
      <c r="AH513" s="1012"/>
      <c r="AI513" s="1012"/>
      <c r="AJ513" s="1012"/>
      <c r="AK513" s="1012"/>
    </row>
    <row r="514">
      <c r="A514" s="1012"/>
      <c r="B514" s="1013"/>
      <c r="C514" s="1012"/>
      <c r="D514" s="1013"/>
      <c r="E514" s="1012"/>
      <c r="F514" s="1012"/>
      <c r="G514" s="1013"/>
      <c r="H514" s="1012"/>
      <c r="I514" s="1012"/>
      <c r="J514" s="1013"/>
      <c r="K514" s="1013"/>
      <c r="L514" s="1094"/>
      <c r="M514" s="1094"/>
      <c r="N514" s="1013"/>
      <c r="O514" s="1013"/>
      <c r="P514" s="1013"/>
      <c r="Q514" s="1013"/>
      <c r="R514" s="1013"/>
      <c r="S514" s="1013"/>
      <c r="T514" s="1012"/>
      <c r="U514" s="1011"/>
      <c r="V514" s="1012"/>
      <c r="W514" s="1013"/>
      <c r="X514" s="1014"/>
      <c r="Y514" s="1012"/>
      <c r="Z514" s="1012"/>
      <c r="AA514" s="1012"/>
      <c r="AB514" s="1012"/>
      <c r="AC514" s="1012"/>
      <c r="AD514" s="1012"/>
      <c r="AE514" s="1012"/>
      <c r="AF514" s="1012"/>
      <c r="AG514" s="1012"/>
      <c r="AH514" s="1012"/>
      <c r="AI514" s="1012"/>
      <c r="AJ514" s="1012"/>
      <c r="AK514" s="1012"/>
    </row>
    <row r="515">
      <c r="A515" s="1012"/>
      <c r="B515" s="1013"/>
      <c r="C515" s="1012"/>
      <c r="D515" s="1013"/>
      <c r="E515" s="1012"/>
      <c r="F515" s="1012"/>
      <c r="G515" s="1013"/>
      <c r="H515" s="1012"/>
      <c r="I515" s="1012"/>
      <c r="J515" s="1013"/>
      <c r="K515" s="1013"/>
      <c r="L515" s="1094"/>
      <c r="M515" s="1094"/>
      <c r="N515" s="1013"/>
      <c r="O515" s="1013"/>
      <c r="P515" s="1013"/>
      <c r="Q515" s="1013"/>
      <c r="R515" s="1013"/>
      <c r="S515" s="1013"/>
      <c r="T515" s="1012"/>
      <c r="U515" s="1011"/>
      <c r="V515" s="1012"/>
      <c r="W515" s="1013"/>
      <c r="X515" s="1014"/>
      <c r="Y515" s="1012"/>
      <c r="Z515" s="1012"/>
      <c r="AA515" s="1012"/>
      <c r="AB515" s="1012"/>
      <c r="AC515" s="1012"/>
      <c r="AD515" s="1012"/>
      <c r="AE515" s="1012"/>
      <c r="AF515" s="1012"/>
      <c r="AG515" s="1012"/>
      <c r="AH515" s="1012"/>
      <c r="AI515" s="1012"/>
      <c r="AJ515" s="1012"/>
      <c r="AK515" s="1012"/>
    </row>
    <row r="516">
      <c r="A516" s="1012"/>
      <c r="B516" s="1013"/>
      <c r="C516" s="1012"/>
      <c r="D516" s="1013"/>
      <c r="E516" s="1012"/>
      <c r="F516" s="1012"/>
      <c r="G516" s="1013"/>
      <c r="H516" s="1012"/>
      <c r="I516" s="1012"/>
      <c r="J516" s="1013"/>
      <c r="K516" s="1013"/>
      <c r="L516" s="1094"/>
      <c r="M516" s="1094"/>
      <c r="N516" s="1013"/>
      <c r="O516" s="1013"/>
      <c r="P516" s="1013"/>
      <c r="Q516" s="1013"/>
      <c r="R516" s="1013"/>
      <c r="S516" s="1013"/>
      <c r="T516" s="1012"/>
      <c r="U516" s="1011"/>
      <c r="V516" s="1012"/>
      <c r="W516" s="1013"/>
      <c r="X516" s="1014"/>
      <c r="Y516" s="1012"/>
      <c r="Z516" s="1012"/>
      <c r="AA516" s="1012"/>
      <c r="AB516" s="1012"/>
      <c r="AC516" s="1012"/>
      <c r="AD516" s="1012"/>
      <c r="AE516" s="1012"/>
      <c r="AF516" s="1012"/>
      <c r="AG516" s="1012"/>
      <c r="AH516" s="1012"/>
      <c r="AI516" s="1012"/>
      <c r="AJ516" s="1012"/>
      <c r="AK516" s="1012"/>
    </row>
    <row r="517">
      <c r="A517" s="1012"/>
      <c r="B517" s="1013"/>
      <c r="C517" s="1012"/>
      <c r="D517" s="1013"/>
      <c r="E517" s="1012"/>
      <c r="F517" s="1012"/>
      <c r="G517" s="1013"/>
      <c r="H517" s="1012"/>
      <c r="I517" s="1012"/>
      <c r="J517" s="1013"/>
      <c r="K517" s="1013"/>
      <c r="L517" s="1094"/>
      <c r="M517" s="1094"/>
      <c r="N517" s="1013"/>
      <c r="O517" s="1013"/>
      <c r="P517" s="1013"/>
      <c r="Q517" s="1013"/>
      <c r="R517" s="1013"/>
      <c r="S517" s="1013"/>
      <c r="T517" s="1012"/>
      <c r="U517" s="1011"/>
      <c r="V517" s="1012"/>
      <c r="W517" s="1013"/>
      <c r="X517" s="1014"/>
      <c r="Y517" s="1012"/>
      <c r="Z517" s="1012"/>
      <c r="AA517" s="1012"/>
      <c r="AB517" s="1012"/>
      <c r="AC517" s="1012"/>
      <c r="AD517" s="1012"/>
      <c r="AE517" s="1012"/>
      <c r="AF517" s="1012"/>
      <c r="AG517" s="1012"/>
      <c r="AH517" s="1012"/>
      <c r="AI517" s="1012"/>
      <c r="AJ517" s="1012"/>
      <c r="AK517" s="1012"/>
    </row>
    <row r="518">
      <c r="A518" s="1012"/>
      <c r="B518" s="1013"/>
      <c r="C518" s="1012"/>
      <c r="D518" s="1013"/>
      <c r="E518" s="1012"/>
      <c r="F518" s="1012"/>
      <c r="G518" s="1013"/>
      <c r="H518" s="1012"/>
      <c r="I518" s="1012"/>
      <c r="J518" s="1013"/>
      <c r="K518" s="1013"/>
      <c r="L518" s="1094"/>
      <c r="M518" s="1094"/>
      <c r="N518" s="1013"/>
      <c r="O518" s="1013"/>
      <c r="P518" s="1013"/>
      <c r="Q518" s="1013"/>
      <c r="R518" s="1013"/>
      <c r="S518" s="1013"/>
      <c r="T518" s="1012"/>
      <c r="U518" s="1011"/>
      <c r="V518" s="1012"/>
      <c r="W518" s="1013"/>
      <c r="X518" s="1014"/>
      <c r="Y518" s="1012"/>
      <c r="Z518" s="1012"/>
      <c r="AA518" s="1012"/>
      <c r="AB518" s="1012"/>
      <c r="AC518" s="1012"/>
      <c r="AD518" s="1012"/>
      <c r="AE518" s="1012"/>
      <c r="AF518" s="1012"/>
      <c r="AG518" s="1012"/>
      <c r="AH518" s="1012"/>
      <c r="AI518" s="1012"/>
      <c r="AJ518" s="1012"/>
      <c r="AK518" s="1012"/>
    </row>
    <row r="519">
      <c r="A519" s="1012"/>
      <c r="B519" s="1013"/>
      <c r="C519" s="1012"/>
      <c r="D519" s="1013"/>
      <c r="E519" s="1012"/>
      <c r="F519" s="1012"/>
      <c r="G519" s="1013"/>
      <c r="H519" s="1012"/>
      <c r="I519" s="1012"/>
      <c r="J519" s="1013"/>
      <c r="K519" s="1013"/>
      <c r="L519" s="1094"/>
      <c r="M519" s="1094"/>
      <c r="N519" s="1013"/>
      <c r="O519" s="1013"/>
      <c r="P519" s="1013"/>
      <c r="Q519" s="1013"/>
      <c r="R519" s="1013"/>
      <c r="S519" s="1013"/>
      <c r="T519" s="1012"/>
      <c r="U519" s="1011"/>
      <c r="V519" s="1012"/>
      <c r="W519" s="1013"/>
      <c r="X519" s="1014"/>
      <c r="Y519" s="1012"/>
      <c r="Z519" s="1012"/>
      <c r="AA519" s="1012"/>
      <c r="AB519" s="1012"/>
      <c r="AC519" s="1012"/>
      <c r="AD519" s="1012"/>
      <c r="AE519" s="1012"/>
      <c r="AF519" s="1012"/>
      <c r="AG519" s="1012"/>
      <c r="AH519" s="1012"/>
      <c r="AI519" s="1012"/>
      <c r="AJ519" s="1012"/>
      <c r="AK519" s="1012"/>
    </row>
    <row r="520">
      <c r="A520" s="1012"/>
      <c r="B520" s="1013"/>
      <c r="C520" s="1012"/>
      <c r="D520" s="1013"/>
      <c r="E520" s="1012"/>
      <c r="F520" s="1012"/>
      <c r="G520" s="1013"/>
      <c r="H520" s="1012"/>
      <c r="I520" s="1012"/>
      <c r="J520" s="1013"/>
      <c r="K520" s="1013"/>
      <c r="L520" s="1094"/>
      <c r="M520" s="1094"/>
      <c r="N520" s="1013"/>
      <c r="O520" s="1013"/>
      <c r="P520" s="1013"/>
      <c r="Q520" s="1013"/>
      <c r="R520" s="1013"/>
      <c r="S520" s="1013"/>
      <c r="T520" s="1012"/>
      <c r="U520" s="1011"/>
      <c r="V520" s="1012"/>
      <c r="W520" s="1013"/>
      <c r="X520" s="1014"/>
      <c r="Y520" s="1012"/>
      <c r="Z520" s="1012"/>
      <c r="AA520" s="1012"/>
      <c r="AB520" s="1012"/>
      <c r="AC520" s="1012"/>
      <c r="AD520" s="1012"/>
      <c r="AE520" s="1012"/>
      <c r="AF520" s="1012"/>
      <c r="AG520" s="1012"/>
      <c r="AH520" s="1012"/>
      <c r="AI520" s="1012"/>
      <c r="AJ520" s="1012"/>
      <c r="AK520" s="1012"/>
    </row>
    <row r="521">
      <c r="A521" s="1012"/>
      <c r="B521" s="1013"/>
      <c r="C521" s="1012"/>
      <c r="D521" s="1013"/>
      <c r="E521" s="1012"/>
      <c r="F521" s="1012"/>
      <c r="G521" s="1013"/>
      <c r="H521" s="1012"/>
      <c r="I521" s="1012"/>
      <c r="J521" s="1013"/>
      <c r="K521" s="1013"/>
      <c r="L521" s="1094"/>
      <c r="M521" s="1094"/>
      <c r="N521" s="1013"/>
      <c r="O521" s="1013"/>
      <c r="P521" s="1013"/>
      <c r="Q521" s="1013"/>
      <c r="R521" s="1013"/>
      <c r="S521" s="1013"/>
      <c r="T521" s="1012"/>
      <c r="U521" s="1011"/>
      <c r="V521" s="1012"/>
      <c r="W521" s="1013"/>
      <c r="X521" s="1014"/>
      <c r="Y521" s="1012"/>
      <c r="Z521" s="1012"/>
      <c r="AA521" s="1012"/>
      <c r="AB521" s="1012"/>
      <c r="AC521" s="1012"/>
      <c r="AD521" s="1012"/>
      <c r="AE521" s="1012"/>
      <c r="AF521" s="1012"/>
      <c r="AG521" s="1012"/>
      <c r="AH521" s="1012"/>
      <c r="AI521" s="1012"/>
      <c r="AJ521" s="1012"/>
      <c r="AK521" s="1012"/>
    </row>
    <row r="522">
      <c r="A522" s="1012"/>
      <c r="B522" s="1013"/>
      <c r="C522" s="1012"/>
      <c r="D522" s="1013"/>
      <c r="E522" s="1012"/>
      <c r="F522" s="1012"/>
      <c r="G522" s="1013"/>
      <c r="H522" s="1012"/>
      <c r="I522" s="1012"/>
      <c r="J522" s="1013"/>
      <c r="K522" s="1013"/>
      <c r="L522" s="1094"/>
      <c r="M522" s="1094"/>
      <c r="N522" s="1013"/>
      <c r="O522" s="1013"/>
      <c r="P522" s="1013"/>
      <c r="Q522" s="1013"/>
      <c r="R522" s="1013"/>
      <c r="S522" s="1013"/>
      <c r="T522" s="1012"/>
      <c r="U522" s="1011"/>
      <c r="V522" s="1012"/>
      <c r="W522" s="1013"/>
      <c r="X522" s="1014"/>
      <c r="Y522" s="1012"/>
      <c r="Z522" s="1012"/>
      <c r="AA522" s="1012"/>
      <c r="AB522" s="1012"/>
      <c r="AC522" s="1012"/>
      <c r="AD522" s="1012"/>
      <c r="AE522" s="1012"/>
      <c r="AF522" s="1012"/>
      <c r="AG522" s="1012"/>
      <c r="AH522" s="1012"/>
      <c r="AI522" s="1012"/>
      <c r="AJ522" s="1012"/>
      <c r="AK522" s="1012"/>
    </row>
    <row r="523">
      <c r="A523" s="1012"/>
      <c r="B523" s="1013"/>
      <c r="C523" s="1012"/>
      <c r="D523" s="1013"/>
      <c r="E523" s="1012"/>
      <c r="F523" s="1012"/>
      <c r="G523" s="1013"/>
      <c r="H523" s="1012"/>
      <c r="I523" s="1012"/>
      <c r="J523" s="1013"/>
      <c r="K523" s="1013"/>
      <c r="L523" s="1094"/>
      <c r="M523" s="1094"/>
      <c r="N523" s="1013"/>
      <c r="O523" s="1013"/>
      <c r="P523" s="1013"/>
      <c r="Q523" s="1013"/>
      <c r="R523" s="1013"/>
      <c r="S523" s="1013"/>
      <c r="T523" s="1012"/>
      <c r="U523" s="1011"/>
      <c r="V523" s="1012"/>
      <c r="W523" s="1013"/>
      <c r="X523" s="1014"/>
      <c r="Y523" s="1012"/>
      <c r="Z523" s="1012"/>
      <c r="AA523" s="1012"/>
      <c r="AB523" s="1012"/>
      <c r="AC523" s="1012"/>
      <c r="AD523" s="1012"/>
      <c r="AE523" s="1012"/>
      <c r="AF523" s="1012"/>
      <c r="AG523" s="1012"/>
      <c r="AH523" s="1012"/>
      <c r="AI523" s="1012"/>
      <c r="AJ523" s="1012"/>
      <c r="AK523" s="1012"/>
    </row>
    <row r="524">
      <c r="A524" s="1012"/>
      <c r="B524" s="1013"/>
      <c r="C524" s="1012"/>
      <c r="D524" s="1013"/>
      <c r="E524" s="1012"/>
      <c r="F524" s="1012"/>
      <c r="G524" s="1013"/>
      <c r="H524" s="1012"/>
      <c r="I524" s="1012"/>
      <c r="J524" s="1013"/>
      <c r="K524" s="1013"/>
      <c r="L524" s="1094"/>
      <c r="M524" s="1094"/>
      <c r="N524" s="1013"/>
      <c r="O524" s="1013"/>
      <c r="P524" s="1013"/>
      <c r="Q524" s="1013"/>
      <c r="R524" s="1013"/>
      <c r="S524" s="1013"/>
      <c r="T524" s="1012"/>
      <c r="U524" s="1011"/>
      <c r="V524" s="1012"/>
      <c r="W524" s="1013"/>
      <c r="X524" s="1014"/>
      <c r="Y524" s="1012"/>
      <c r="Z524" s="1012"/>
      <c r="AA524" s="1012"/>
      <c r="AB524" s="1012"/>
      <c r="AC524" s="1012"/>
      <c r="AD524" s="1012"/>
      <c r="AE524" s="1012"/>
      <c r="AF524" s="1012"/>
      <c r="AG524" s="1012"/>
      <c r="AH524" s="1012"/>
      <c r="AI524" s="1012"/>
      <c r="AJ524" s="1012"/>
      <c r="AK524" s="1012"/>
    </row>
    <row r="525">
      <c r="A525" s="1012"/>
      <c r="B525" s="1013"/>
      <c r="C525" s="1012"/>
      <c r="D525" s="1013"/>
      <c r="E525" s="1012"/>
      <c r="F525" s="1012"/>
      <c r="G525" s="1013"/>
      <c r="H525" s="1012"/>
      <c r="I525" s="1012"/>
      <c r="J525" s="1013"/>
      <c r="K525" s="1013"/>
      <c r="L525" s="1094"/>
      <c r="M525" s="1094"/>
      <c r="N525" s="1013"/>
      <c r="O525" s="1013"/>
      <c r="P525" s="1013"/>
      <c r="Q525" s="1013"/>
      <c r="R525" s="1013"/>
      <c r="S525" s="1013"/>
      <c r="T525" s="1012"/>
      <c r="U525" s="1011"/>
      <c r="V525" s="1012"/>
      <c r="W525" s="1013"/>
      <c r="X525" s="1014"/>
      <c r="Y525" s="1012"/>
      <c r="Z525" s="1012"/>
      <c r="AA525" s="1012"/>
      <c r="AB525" s="1012"/>
      <c r="AC525" s="1012"/>
      <c r="AD525" s="1012"/>
      <c r="AE525" s="1012"/>
      <c r="AF525" s="1012"/>
      <c r="AG525" s="1012"/>
      <c r="AH525" s="1012"/>
      <c r="AI525" s="1012"/>
      <c r="AJ525" s="1012"/>
      <c r="AK525" s="1012"/>
    </row>
    <row r="526">
      <c r="A526" s="1012"/>
      <c r="B526" s="1013"/>
      <c r="C526" s="1012"/>
      <c r="D526" s="1013"/>
      <c r="E526" s="1012"/>
      <c r="F526" s="1012"/>
      <c r="G526" s="1013"/>
      <c r="H526" s="1012"/>
      <c r="I526" s="1012"/>
      <c r="J526" s="1013"/>
      <c r="K526" s="1013"/>
      <c r="L526" s="1094"/>
      <c r="M526" s="1094"/>
      <c r="N526" s="1013"/>
      <c r="O526" s="1013"/>
      <c r="P526" s="1013"/>
      <c r="Q526" s="1013"/>
      <c r="R526" s="1013"/>
      <c r="S526" s="1013"/>
      <c r="T526" s="1012"/>
      <c r="U526" s="1011"/>
      <c r="V526" s="1012"/>
      <c r="W526" s="1013"/>
      <c r="X526" s="1014"/>
      <c r="Y526" s="1012"/>
      <c r="Z526" s="1012"/>
      <c r="AA526" s="1012"/>
      <c r="AB526" s="1012"/>
      <c r="AC526" s="1012"/>
      <c r="AD526" s="1012"/>
      <c r="AE526" s="1012"/>
      <c r="AF526" s="1012"/>
      <c r="AG526" s="1012"/>
      <c r="AH526" s="1012"/>
      <c r="AI526" s="1012"/>
      <c r="AJ526" s="1012"/>
      <c r="AK526" s="1012"/>
    </row>
    <row r="527">
      <c r="A527" s="1012"/>
      <c r="B527" s="1013"/>
      <c r="C527" s="1012"/>
      <c r="D527" s="1013"/>
      <c r="E527" s="1012"/>
      <c r="F527" s="1012"/>
      <c r="G527" s="1013"/>
      <c r="H527" s="1012"/>
      <c r="I527" s="1012"/>
      <c r="J527" s="1013"/>
      <c r="K527" s="1013"/>
      <c r="L527" s="1094"/>
      <c r="M527" s="1094"/>
      <c r="N527" s="1013"/>
      <c r="O527" s="1013"/>
      <c r="P527" s="1013"/>
      <c r="Q527" s="1013"/>
      <c r="R527" s="1013"/>
      <c r="S527" s="1013"/>
      <c r="T527" s="1012"/>
      <c r="U527" s="1011"/>
      <c r="V527" s="1012"/>
      <c r="W527" s="1013"/>
      <c r="X527" s="1014"/>
      <c r="Y527" s="1012"/>
      <c r="Z527" s="1012"/>
      <c r="AA527" s="1012"/>
      <c r="AB527" s="1012"/>
      <c r="AC527" s="1012"/>
      <c r="AD527" s="1012"/>
      <c r="AE527" s="1012"/>
      <c r="AF527" s="1012"/>
      <c r="AG527" s="1012"/>
      <c r="AH527" s="1012"/>
      <c r="AI527" s="1012"/>
      <c r="AJ527" s="1012"/>
      <c r="AK527" s="1012"/>
    </row>
    <row r="528">
      <c r="A528" s="1012"/>
      <c r="B528" s="1013"/>
      <c r="C528" s="1012"/>
      <c r="D528" s="1013"/>
      <c r="E528" s="1012"/>
      <c r="F528" s="1012"/>
      <c r="G528" s="1013"/>
      <c r="H528" s="1012"/>
      <c r="I528" s="1012"/>
      <c r="J528" s="1013"/>
      <c r="K528" s="1013"/>
      <c r="L528" s="1094"/>
      <c r="M528" s="1094"/>
      <c r="N528" s="1013"/>
      <c r="O528" s="1013"/>
      <c r="P528" s="1013"/>
      <c r="Q528" s="1013"/>
      <c r="R528" s="1013"/>
      <c r="S528" s="1013"/>
      <c r="T528" s="1012"/>
      <c r="U528" s="1011"/>
      <c r="V528" s="1012"/>
      <c r="W528" s="1013"/>
      <c r="X528" s="1014"/>
      <c r="Y528" s="1012"/>
      <c r="Z528" s="1012"/>
      <c r="AA528" s="1012"/>
      <c r="AB528" s="1012"/>
      <c r="AC528" s="1012"/>
      <c r="AD528" s="1012"/>
      <c r="AE528" s="1012"/>
      <c r="AF528" s="1012"/>
      <c r="AG528" s="1012"/>
      <c r="AH528" s="1012"/>
      <c r="AI528" s="1012"/>
      <c r="AJ528" s="1012"/>
      <c r="AK528" s="1012"/>
    </row>
    <row r="529">
      <c r="A529" s="1012"/>
      <c r="B529" s="1013"/>
      <c r="C529" s="1012"/>
      <c r="D529" s="1013"/>
      <c r="E529" s="1012"/>
      <c r="F529" s="1012"/>
      <c r="G529" s="1013"/>
      <c r="H529" s="1012"/>
      <c r="I529" s="1012"/>
      <c r="J529" s="1013"/>
      <c r="K529" s="1013"/>
      <c r="L529" s="1094"/>
      <c r="M529" s="1094"/>
      <c r="N529" s="1013"/>
      <c r="O529" s="1013"/>
      <c r="P529" s="1013"/>
      <c r="Q529" s="1013"/>
      <c r="R529" s="1013"/>
      <c r="S529" s="1013"/>
      <c r="T529" s="1012"/>
      <c r="U529" s="1011"/>
      <c r="V529" s="1012"/>
      <c r="W529" s="1013"/>
      <c r="X529" s="1014"/>
      <c r="Y529" s="1012"/>
      <c r="Z529" s="1012"/>
      <c r="AA529" s="1012"/>
      <c r="AB529" s="1012"/>
      <c r="AC529" s="1012"/>
      <c r="AD529" s="1012"/>
      <c r="AE529" s="1012"/>
      <c r="AF529" s="1012"/>
      <c r="AG529" s="1012"/>
      <c r="AH529" s="1012"/>
      <c r="AI529" s="1012"/>
      <c r="AJ529" s="1012"/>
      <c r="AK529" s="1012"/>
    </row>
    <row r="530">
      <c r="A530" s="1012"/>
      <c r="B530" s="1013"/>
      <c r="C530" s="1012"/>
      <c r="D530" s="1013"/>
      <c r="E530" s="1012"/>
      <c r="F530" s="1012"/>
      <c r="G530" s="1013"/>
      <c r="H530" s="1012"/>
      <c r="I530" s="1012"/>
      <c r="J530" s="1013"/>
      <c r="K530" s="1013"/>
      <c r="L530" s="1094"/>
      <c r="M530" s="1094"/>
      <c r="N530" s="1013"/>
      <c r="O530" s="1013"/>
      <c r="P530" s="1013"/>
      <c r="Q530" s="1013"/>
      <c r="R530" s="1013"/>
      <c r="S530" s="1013"/>
      <c r="T530" s="1012"/>
      <c r="U530" s="1011"/>
      <c r="V530" s="1012"/>
      <c r="W530" s="1013"/>
      <c r="X530" s="1014"/>
      <c r="Y530" s="1012"/>
      <c r="Z530" s="1012"/>
      <c r="AA530" s="1012"/>
      <c r="AB530" s="1012"/>
      <c r="AC530" s="1012"/>
      <c r="AD530" s="1012"/>
      <c r="AE530" s="1012"/>
      <c r="AF530" s="1012"/>
      <c r="AG530" s="1012"/>
      <c r="AH530" s="1012"/>
      <c r="AI530" s="1012"/>
      <c r="AJ530" s="1012"/>
      <c r="AK530" s="1012"/>
    </row>
    <row r="531">
      <c r="A531" s="1012"/>
      <c r="B531" s="1013"/>
      <c r="C531" s="1012"/>
      <c r="D531" s="1013"/>
      <c r="E531" s="1012"/>
      <c r="F531" s="1012"/>
      <c r="G531" s="1013"/>
      <c r="H531" s="1012"/>
      <c r="I531" s="1012"/>
      <c r="J531" s="1013"/>
      <c r="K531" s="1013"/>
      <c r="L531" s="1094"/>
      <c r="M531" s="1094"/>
      <c r="N531" s="1013"/>
      <c r="O531" s="1013"/>
      <c r="P531" s="1013"/>
      <c r="Q531" s="1013"/>
      <c r="R531" s="1013"/>
      <c r="S531" s="1013"/>
      <c r="T531" s="1012"/>
      <c r="U531" s="1011"/>
      <c r="V531" s="1012"/>
      <c r="W531" s="1013"/>
      <c r="X531" s="1014"/>
      <c r="Y531" s="1012"/>
      <c r="Z531" s="1012"/>
      <c r="AA531" s="1012"/>
      <c r="AB531" s="1012"/>
      <c r="AC531" s="1012"/>
      <c r="AD531" s="1012"/>
      <c r="AE531" s="1012"/>
      <c r="AF531" s="1012"/>
      <c r="AG531" s="1012"/>
      <c r="AH531" s="1012"/>
      <c r="AI531" s="1012"/>
      <c r="AJ531" s="1012"/>
      <c r="AK531" s="1012"/>
    </row>
    <row r="532">
      <c r="A532" s="1012"/>
      <c r="B532" s="1013"/>
      <c r="C532" s="1012"/>
      <c r="D532" s="1013"/>
      <c r="E532" s="1012"/>
      <c r="F532" s="1012"/>
      <c r="G532" s="1013"/>
      <c r="H532" s="1012"/>
      <c r="I532" s="1012"/>
      <c r="J532" s="1013"/>
      <c r="K532" s="1013"/>
      <c r="L532" s="1094"/>
      <c r="M532" s="1094"/>
      <c r="N532" s="1013"/>
      <c r="O532" s="1013"/>
      <c r="P532" s="1013"/>
      <c r="Q532" s="1013"/>
      <c r="R532" s="1013"/>
      <c r="S532" s="1013"/>
      <c r="T532" s="1012"/>
      <c r="U532" s="1011"/>
      <c r="V532" s="1012"/>
      <c r="W532" s="1013"/>
      <c r="X532" s="1014"/>
      <c r="Y532" s="1012"/>
      <c r="Z532" s="1012"/>
      <c r="AA532" s="1012"/>
      <c r="AB532" s="1012"/>
      <c r="AC532" s="1012"/>
      <c r="AD532" s="1012"/>
      <c r="AE532" s="1012"/>
      <c r="AF532" s="1012"/>
      <c r="AG532" s="1012"/>
      <c r="AH532" s="1012"/>
      <c r="AI532" s="1012"/>
      <c r="AJ532" s="1012"/>
      <c r="AK532" s="1012"/>
    </row>
    <row r="533">
      <c r="A533" s="1012"/>
      <c r="B533" s="1013"/>
      <c r="C533" s="1012"/>
      <c r="D533" s="1013"/>
      <c r="E533" s="1012"/>
      <c r="F533" s="1012"/>
      <c r="G533" s="1013"/>
      <c r="H533" s="1012"/>
      <c r="I533" s="1012"/>
      <c r="J533" s="1013"/>
      <c r="K533" s="1013"/>
      <c r="L533" s="1094"/>
      <c r="M533" s="1094"/>
      <c r="N533" s="1013"/>
      <c r="O533" s="1013"/>
      <c r="P533" s="1013"/>
      <c r="Q533" s="1013"/>
      <c r="R533" s="1013"/>
      <c r="S533" s="1013"/>
      <c r="T533" s="1012"/>
      <c r="U533" s="1011"/>
      <c r="V533" s="1012"/>
      <c r="W533" s="1013"/>
      <c r="X533" s="1014"/>
      <c r="Y533" s="1012"/>
      <c r="Z533" s="1012"/>
      <c r="AA533" s="1012"/>
      <c r="AB533" s="1012"/>
      <c r="AC533" s="1012"/>
      <c r="AD533" s="1012"/>
      <c r="AE533" s="1012"/>
      <c r="AF533" s="1012"/>
      <c r="AG533" s="1012"/>
      <c r="AH533" s="1012"/>
      <c r="AI533" s="1012"/>
      <c r="AJ533" s="1012"/>
      <c r="AK533" s="1012"/>
    </row>
    <row r="534">
      <c r="A534" s="1012"/>
      <c r="B534" s="1013"/>
      <c r="C534" s="1012"/>
      <c r="D534" s="1013"/>
      <c r="E534" s="1012"/>
      <c r="F534" s="1012"/>
      <c r="G534" s="1013"/>
      <c r="H534" s="1012"/>
      <c r="I534" s="1012"/>
      <c r="J534" s="1013"/>
      <c r="K534" s="1013"/>
      <c r="L534" s="1094"/>
      <c r="M534" s="1094"/>
      <c r="N534" s="1013"/>
      <c r="O534" s="1013"/>
      <c r="P534" s="1013"/>
      <c r="Q534" s="1013"/>
      <c r="R534" s="1013"/>
      <c r="S534" s="1013"/>
      <c r="T534" s="1012"/>
      <c r="U534" s="1011"/>
      <c r="V534" s="1012"/>
      <c r="W534" s="1013"/>
      <c r="X534" s="1014"/>
      <c r="Y534" s="1012"/>
      <c r="Z534" s="1012"/>
      <c r="AA534" s="1012"/>
      <c r="AB534" s="1012"/>
      <c r="AC534" s="1012"/>
      <c r="AD534" s="1012"/>
      <c r="AE534" s="1012"/>
      <c r="AF534" s="1012"/>
      <c r="AG534" s="1012"/>
      <c r="AH534" s="1012"/>
      <c r="AI534" s="1012"/>
      <c r="AJ534" s="1012"/>
      <c r="AK534" s="1012"/>
    </row>
    <row r="535">
      <c r="A535" s="1012"/>
      <c r="B535" s="1013"/>
      <c r="C535" s="1012"/>
      <c r="D535" s="1013"/>
      <c r="E535" s="1012"/>
      <c r="F535" s="1012"/>
      <c r="G535" s="1013"/>
      <c r="H535" s="1012"/>
      <c r="I535" s="1012"/>
      <c r="J535" s="1013"/>
      <c r="K535" s="1013"/>
      <c r="L535" s="1094"/>
      <c r="M535" s="1094"/>
      <c r="N535" s="1013"/>
      <c r="O535" s="1013"/>
      <c r="P535" s="1013"/>
      <c r="Q535" s="1013"/>
      <c r="R535" s="1013"/>
      <c r="S535" s="1013"/>
      <c r="T535" s="1012"/>
      <c r="U535" s="1011"/>
      <c r="V535" s="1012"/>
      <c r="W535" s="1013"/>
      <c r="X535" s="1014"/>
      <c r="Y535" s="1012"/>
      <c r="Z535" s="1012"/>
      <c r="AA535" s="1012"/>
      <c r="AB535" s="1012"/>
      <c r="AC535" s="1012"/>
      <c r="AD535" s="1012"/>
      <c r="AE535" s="1012"/>
      <c r="AF535" s="1012"/>
      <c r="AG535" s="1012"/>
      <c r="AH535" s="1012"/>
      <c r="AI535" s="1012"/>
      <c r="AJ535" s="1012"/>
      <c r="AK535" s="1012"/>
    </row>
    <row r="536">
      <c r="A536" s="1012"/>
      <c r="B536" s="1013"/>
      <c r="C536" s="1012"/>
      <c r="D536" s="1013"/>
      <c r="E536" s="1012"/>
      <c r="F536" s="1012"/>
      <c r="G536" s="1013"/>
      <c r="H536" s="1012"/>
      <c r="I536" s="1012"/>
      <c r="J536" s="1013"/>
      <c r="K536" s="1013"/>
      <c r="L536" s="1094"/>
      <c r="M536" s="1094"/>
      <c r="N536" s="1013"/>
      <c r="O536" s="1013"/>
      <c r="P536" s="1013"/>
      <c r="Q536" s="1013"/>
      <c r="R536" s="1013"/>
      <c r="S536" s="1013"/>
      <c r="T536" s="1012"/>
      <c r="U536" s="1011"/>
      <c r="V536" s="1012"/>
      <c r="W536" s="1013"/>
      <c r="X536" s="1014"/>
      <c r="Y536" s="1012"/>
      <c r="Z536" s="1012"/>
      <c r="AA536" s="1012"/>
      <c r="AB536" s="1012"/>
      <c r="AC536" s="1012"/>
      <c r="AD536" s="1012"/>
      <c r="AE536" s="1012"/>
      <c r="AF536" s="1012"/>
      <c r="AG536" s="1012"/>
      <c r="AH536" s="1012"/>
      <c r="AI536" s="1012"/>
      <c r="AJ536" s="1012"/>
      <c r="AK536" s="1012"/>
    </row>
    <row r="537">
      <c r="A537" s="1012"/>
      <c r="B537" s="1013"/>
      <c r="C537" s="1012"/>
      <c r="D537" s="1013"/>
      <c r="E537" s="1012"/>
      <c r="F537" s="1012"/>
      <c r="G537" s="1013"/>
      <c r="H537" s="1012"/>
      <c r="I537" s="1012"/>
      <c r="J537" s="1013"/>
      <c r="K537" s="1013"/>
      <c r="L537" s="1094"/>
      <c r="M537" s="1094"/>
      <c r="N537" s="1013"/>
      <c r="O537" s="1013"/>
      <c r="P537" s="1013"/>
      <c r="Q537" s="1013"/>
      <c r="R537" s="1013"/>
      <c r="S537" s="1013"/>
      <c r="T537" s="1012"/>
      <c r="U537" s="1011"/>
      <c r="V537" s="1012"/>
      <c r="W537" s="1013"/>
      <c r="X537" s="1014"/>
      <c r="Y537" s="1012"/>
      <c r="Z537" s="1012"/>
      <c r="AA537" s="1012"/>
      <c r="AB537" s="1012"/>
      <c r="AC537" s="1012"/>
      <c r="AD537" s="1012"/>
      <c r="AE537" s="1012"/>
      <c r="AF537" s="1012"/>
      <c r="AG537" s="1012"/>
      <c r="AH537" s="1012"/>
      <c r="AI537" s="1012"/>
      <c r="AJ537" s="1012"/>
      <c r="AK537" s="1012"/>
    </row>
    <row r="538">
      <c r="A538" s="1012"/>
      <c r="B538" s="1013"/>
      <c r="C538" s="1012"/>
      <c r="D538" s="1013"/>
      <c r="E538" s="1012"/>
      <c r="F538" s="1012"/>
      <c r="G538" s="1013"/>
      <c r="H538" s="1012"/>
      <c r="I538" s="1012"/>
      <c r="J538" s="1013"/>
      <c r="K538" s="1013"/>
      <c r="L538" s="1094"/>
      <c r="M538" s="1094"/>
      <c r="N538" s="1013"/>
      <c r="O538" s="1013"/>
      <c r="P538" s="1013"/>
      <c r="Q538" s="1013"/>
      <c r="R538" s="1013"/>
      <c r="S538" s="1013"/>
      <c r="T538" s="1012"/>
      <c r="U538" s="1011"/>
      <c r="V538" s="1012"/>
      <c r="W538" s="1013"/>
      <c r="X538" s="1014"/>
      <c r="Y538" s="1012"/>
      <c r="Z538" s="1012"/>
      <c r="AA538" s="1012"/>
      <c r="AB538" s="1012"/>
      <c r="AC538" s="1012"/>
      <c r="AD538" s="1012"/>
      <c r="AE538" s="1012"/>
      <c r="AF538" s="1012"/>
      <c r="AG538" s="1012"/>
      <c r="AH538" s="1012"/>
      <c r="AI538" s="1012"/>
      <c r="AJ538" s="1012"/>
      <c r="AK538" s="1012"/>
    </row>
    <row r="539">
      <c r="A539" s="1012"/>
      <c r="B539" s="1013"/>
      <c r="C539" s="1012"/>
      <c r="D539" s="1013"/>
      <c r="E539" s="1012"/>
      <c r="F539" s="1012"/>
      <c r="G539" s="1013"/>
      <c r="H539" s="1012"/>
      <c r="I539" s="1012"/>
      <c r="J539" s="1013"/>
      <c r="K539" s="1013"/>
      <c r="L539" s="1094"/>
      <c r="M539" s="1094"/>
      <c r="N539" s="1013"/>
      <c r="O539" s="1013"/>
      <c r="P539" s="1013"/>
      <c r="Q539" s="1013"/>
      <c r="R539" s="1013"/>
      <c r="S539" s="1013"/>
      <c r="T539" s="1012"/>
      <c r="U539" s="1011"/>
      <c r="V539" s="1012"/>
      <c r="W539" s="1013"/>
      <c r="X539" s="1014"/>
      <c r="Y539" s="1012"/>
      <c r="Z539" s="1012"/>
      <c r="AA539" s="1012"/>
      <c r="AB539" s="1012"/>
      <c r="AC539" s="1012"/>
      <c r="AD539" s="1012"/>
      <c r="AE539" s="1012"/>
      <c r="AF539" s="1012"/>
      <c r="AG539" s="1012"/>
      <c r="AH539" s="1012"/>
      <c r="AI539" s="1012"/>
      <c r="AJ539" s="1012"/>
      <c r="AK539" s="1012"/>
    </row>
    <row r="540">
      <c r="A540" s="1012"/>
      <c r="B540" s="1013"/>
      <c r="C540" s="1012"/>
      <c r="D540" s="1013"/>
      <c r="E540" s="1012"/>
      <c r="F540" s="1012"/>
      <c r="G540" s="1013"/>
      <c r="H540" s="1012"/>
      <c r="I540" s="1012"/>
      <c r="J540" s="1013"/>
      <c r="K540" s="1013"/>
      <c r="L540" s="1094"/>
      <c r="M540" s="1094"/>
      <c r="N540" s="1013"/>
      <c r="O540" s="1013"/>
      <c r="P540" s="1013"/>
      <c r="Q540" s="1013"/>
      <c r="R540" s="1013"/>
      <c r="S540" s="1013"/>
      <c r="T540" s="1012"/>
      <c r="U540" s="1011"/>
      <c r="V540" s="1012"/>
      <c r="W540" s="1013"/>
      <c r="X540" s="1014"/>
      <c r="Y540" s="1012"/>
      <c r="Z540" s="1012"/>
      <c r="AA540" s="1012"/>
      <c r="AB540" s="1012"/>
      <c r="AC540" s="1012"/>
      <c r="AD540" s="1012"/>
      <c r="AE540" s="1012"/>
      <c r="AF540" s="1012"/>
      <c r="AG540" s="1012"/>
      <c r="AH540" s="1012"/>
      <c r="AI540" s="1012"/>
      <c r="AJ540" s="1012"/>
      <c r="AK540" s="1012"/>
    </row>
    <row r="541">
      <c r="A541" s="1012"/>
      <c r="B541" s="1013"/>
      <c r="C541" s="1012"/>
      <c r="D541" s="1013"/>
      <c r="E541" s="1012"/>
      <c r="F541" s="1012"/>
      <c r="G541" s="1013"/>
      <c r="H541" s="1012"/>
      <c r="I541" s="1012"/>
      <c r="J541" s="1013"/>
      <c r="K541" s="1013"/>
      <c r="L541" s="1094"/>
      <c r="M541" s="1094"/>
      <c r="N541" s="1013"/>
      <c r="O541" s="1013"/>
      <c r="P541" s="1013"/>
      <c r="Q541" s="1013"/>
      <c r="R541" s="1013"/>
      <c r="S541" s="1013"/>
      <c r="T541" s="1012"/>
      <c r="U541" s="1011"/>
      <c r="V541" s="1012"/>
      <c r="W541" s="1013"/>
      <c r="X541" s="1014"/>
      <c r="Y541" s="1012"/>
      <c r="Z541" s="1012"/>
      <c r="AA541" s="1012"/>
      <c r="AB541" s="1012"/>
      <c r="AC541" s="1012"/>
      <c r="AD541" s="1012"/>
      <c r="AE541" s="1012"/>
      <c r="AF541" s="1012"/>
      <c r="AG541" s="1012"/>
      <c r="AH541" s="1012"/>
      <c r="AI541" s="1012"/>
      <c r="AJ541" s="1012"/>
      <c r="AK541" s="1012"/>
    </row>
    <row r="542">
      <c r="A542" s="1012"/>
      <c r="B542" s="1013"/>
      <c r="C542" s="1012"/>
      <c r="D542" s="1013"/>
      <c r="E542" s="1012"/>
      <c r="F542" s="1012"/>
      <c r="G542" s="1013"/>
      <c r="H542" s="1012"/>
      <c r="I542" s="1012"/>
      <c r="J542" s="1013"/>
      <c r="K542" s="1013"/>
      <c r="L542" s="1094"/>
      <c r="M542" s="1094"/>
      <c r="N542" s="1013"/>
      <c r="O542" s="1013"/>
      <c r="P542" s="1013"/>
      <c r="Q542" s="1013"/>
      <c r="R542" s="1013"/>
      <c r="S542" s="1013"/>
      <c r="T542" s="1012"/>
      <c r="U542" s="1011"/>
      <c r="V542" s="1012"/>
      <c r="W542" s="1013"/>
      <c r="X542" s="1014"/>
      <c r="Y542" s="1012"/>
      <c r="Z542" s="1012"/>
      <c r="AA542" s="1012"/>
      <c r="AB542" s="1012"/>
      <c r="AC542" s="1012"/>
      <c r="AD542" s="1012"/>
      <c r="AE542" s="1012"/>
      <c r="AF542" s="1012"/>
      <c r="AG542" s="1012"/>
      <c r="AH542" s="1012"/>
      <c r="AI542" s="1012"/>
      <c r="AJ542" s="1012"/>
      <c r="AK542" s="1012"/>
    </row>
    <row r="543">
      <c r="A543" s="1012"/>
      <c r="B543" s="1013"/>
      <c r="C543" s="1012"/>
      <c r="D543" s="1013"/>
      <c r="E543" s="1012"/>
      <c r="F543" s="1012"/>
      <c r="G543" s="1013"/>
      <c r="H543" s="1012"/>
      <c r="I543" s="1012"/>
      <c r="J543" s="1013"/>
      <c r="K543" s="1013"/>
      <c r="L543" s="1094"/>
      <c r="M543" s="1094"/>
      <c r="N543" s="1013"/>
      <c r="O543" s="1013"/>
      <c r="P543" s="1013"/>
      <c r="Q543" s="1013"/>
      <c r="R543" s="1013"/>
      <c r="S543" s="1013"/>
      <c r="T543" s="1012"/>
      <c r="U543" s="1011"/>
      <c r="V543" s="1012"/>
      <c r="W543" s="1013"/>
      <c r="X543" s="1014"/>
      <c r="Y543" s="1012"/>
      <c r="Z543" s="1012"/>
      <c r="AA543" s="1012"/>
      <c r="AB543" s="1012"/>
      <c r="AC543" s="1012"/>
      <c r="AD543" s="1012"/>
      <c r="AE543" s="1012"/>
      <c r="AF543" s="1012"/>
      <c r="AG543" s="1012"/>
      <c r="AH543" s="1012"/>
      <c r="AI543" s="1012"/>
      <c r="AJ543" s="1012"/>
      <c r="AK543" s="1012"/>
    </row>
    <row r="544">
      <c r="A544" s="1012"/>
      <c r="B544" s="1013"/>
      <c r="C544" s="1012"/>
      <c r="D544" s="1013"/>
      <c r="E544" s="1012"/>
      <c r="F544" s="1012"/>
      <c r="G544" s="1013"/>
      <c r="H544" s="1012"/>
      <c r="I544" s="1012"/>
      <c r="J544" s="1013"/>
      <c r="K544" s="1013"/>
      <c r="L544" s="1094"/>
      <c r="M544" s="1094"/>
      <c r="N544" s="1013"/>
      <c r="O544" s="1013"/>
      <c r="P544" s="1013"/>
      <c r="Q544" s="1013"/>
      <c r="R544" s="1013"/>
      <c r="S544" s="1013"/>
      <c r="T544" s="1012"/>
      <c r="U544" s="1011"/>
      <c r="V544" s="1012"/>
      <c r="W544" s="1013"/>
      <c r="X544" s="1014"/>
      <c r="Y544" s="1012"/>
      <c r="Z544" s="1012"/>
      <c r="AA544" s="1012"/>
      <c r="AB544" s="1012"/>
      <c r="AC544" s="1012"/>
      <c r="AD544" s="1012"/>
      <c r="AE544" s="1012"/>
      <c r="AF544" s="1012"/>
      <c r="AG544" s="1012"/>
      <c r="AH544" s="1012"/>
      <c r="AI544" s="1012"/>
      <c r="AJ544" s="1012"/>
      <c r="AK544" s="1012"/>
    </row>
    <row r="545">
      <c r="A545" s="1012"/>
      <c r="B545" s="1013"/>
      <c r="C545" s="1012"/>
      <c r="D545" s="1013"/>
      <c r="E545" s="1012"/>
      <c r="F545" s="1012"/>
      <c r="G545" s="1013"/>
      <c r="H545" s="1012"/>
      <c r="I545" s="1012"/>
      <c r="J545" s="1013"/>
      <c r="K545" s="1013"/>
      <c r="L545" s="1094"/>
      <c r="M545" s="1094"/>
      <c r="N545" s="1013"/>
      <c r="O545" s="1013"/>
      <c r="P545" s="1013"/>
      <c r="Q545" s="1013"/>
      <c r="R545" s="1013"/>
      <c r="S545" s="1013"/>
      <c r="T545" s="1012"/>
      <c r="U545" s="1011"/>
      <c r="V545" s="1012"/>
      <c r="W545" s="1013"/>
      <c r="X545" s="1014"/>
      <c r="Y545" s="1012"/>
      <c r="Z545" s="1012"/>
      <c r="AA545" s="1012"/>
      <c r="AB545" s="1012"/>
      <c r="AC545" s="1012"/>
      <c r="AD545" s="1012"/>
      <c r="AE545" s="1012"/>
      <c r="AF545" s="1012"/>
      <c r="AG545" s="1012"/>
      <c r="AH545" s="1012"/>
      <c r="AI545" s="1012"/>
      <c r="AJ545" s="1012"/>
      <c r="AK545" s="1012"/>
    </row>
    <row r="546">
      <c r="A546" s="1012"/>
      <c r="B546" s="1013"/>
      <c r="C546" s="1012"/>
      <c r="D546" s="1013"/>
      <c r="E546" s="1012"/>
      <c r="F546" s="1012"/>
      <c r="G546" s="1013"/>
      <c r="H546" s="1012"/>
      <c r="I546" s="1012"/>
      <c r="J546" s="1013"/>
      <c r="K546" s="1013"/>
      <c r="L546" s="1094"/>
      <c r="M546" s="1094"/>
      <c r="N546" s="1013"/>
      <c r="O546" s="1013"/>
      <c r="P546" s="1013"/>
      <c r="Q546" s="1013"/>
      <c r="R546" s="1013"/>
      <c r="S546" s="1013"/>
      <c r="T546" s="1012"/>
      <c r="U546" s="1011"/>
      <c r="V546" s="1012"/>
      <c r="W546" s="1013"/>
      <c r="X546" s="1014"/>
      <c r="Y546" s="1012"/>
      <c r="Z546" s="1012"/>
      <c r="AA546" s="1012"/>
      <c r="AB546" s="1012"/>
      <c r="AC546" s="1012"/>
      <c r="AD546" s="1012"/>
      <c r="AE546" s="1012"/>
      <c r="AF546" s="1012"/>
      <c r="AG546" s="1012"/>
      <c r="AH546" s="1012"/>
      <c r="AI546" s="1012"/>
      <c r="AJ546" s="1012"/>
      <c r="AK546" s="1012"/>
    </row>
    <row r="547">
      <c r="A547" s="1012"/>
      <c r="B547" s="1013"/>
      <c r="C547" s="1012"/>
      <c r="D547" s="1013"/>
      <c r="E547" s="1012"/>
      <c r="F547" s="1012"/>
      <c r="G547" s="1013"/>
      <c r="H547" s="1012"/>
      <c r="I547" s="1012"/>
      <c r="J547" s="1013"/>
      <c r="K547" s="1013"/>
      <c r="L547" s="1094"/>
      <c r="M547" s="1094"/>
      <c r="N547" s="1013"/>
      <c r="O547" s="1013"/>
      <c r="P547" s="1013"/>
      <c r="Q547" s="1013"/>
      <c r="R547" s="1013"/>
      <c r="S547" s="1013"/>
      <c r="T547" s="1012"/>
      <c r="U547" s="1011"/>
      <c r="V547" s="1012"/>
      <c r="W547" s="1013"/>
      <c r="X547" s="1014"/>
      <c r="Y547" s="1012"/>
      <c r="Z547" s="1012"/>
      <c r="AA547" s="1012"/>
      <c r="AB547" s="1012"/>
      <c r="AC547" s="1012"/>
      <c r="AD547" s="1012"/>
      <c r="AE547" s="1012"/>
      <c r="AF547" s="1012"/>
      <c r="AG547" s="1012"/>
      <c r="AH547" s="1012"/>
      <c r="AI547" s="1012"/>
      <c r="AJ547" s="1012"/>
      <c r="AK547" s="1012"/>
    </row>
    <row r="548">
      <c r="A548" s="1012"/>
      <c r="B548" s="1013"/>
      <c r="C548" s="1012"/>
      <c r="D548" s="1013"/>
      <c r="E548" s="1012"/>
      <c r="F548" s="1012"/>
      <c r="G548" s="1013"/>
      <c r="H548" s="1012"/>
      <c r="I548" s="1012"/>
      <c r="J548" s="1013"/>
      <c r="K548" s="1013"/>
      <c r="L548" s="1094"/>
      <c r="M548" s="1094"/>
      <c r="N548" s="1013"/>
      <c r="O548" s="1013"/>
      <c r="P548" s="1013"/>
      <c r="Q548" s="1013"/>
      <c r="R548" s="1013"/>
      <c r="S548" s="1013"/>
      <c r="T548" s="1012"/>
      <c r="U548" s="1011"/>
      <c r="V548" s="1012"/>
      <c r="W548" s="1013"/>
      <c r="X548" s="1014"/>
      <c r="Y548" s="1012"/>
      <c r="Z548" s="1012"/>
      <c r="AA548" s="1012"/>
      <c r="AB548" s="1012"/>
      <c r="AC548" s="1012"/>
      <c r="AD548" s="1012"/>
      <c r="AE548" s="1012"/>
      <c r="AF548" s="1012"/>
      <c r="AG548" s="1012"/>
      <c r="AH548" s="1012"/>
      <c r="AI548" s="1012"/>
      <c r="AJ548" s="1012"/>
      <c r="AK548" s="1012"/>
    </row>
    <row r="549">
      <c r="A549" s="1012"/>
      <c r="B549" s="1013"/>
      <c r="C549" s="1012"/>
      <c r="D549" s="1013"/>
      <c r="E549" s="1012"/>
      <c r="F549" s="1012"/>
      <c r="G549" s="1013"/>
      <c r="H549" s="1012"/>
      <c r="I549" s="1012"/>
      <c r="J549" s="1013"/>
      <c r="K549" s="1013"/>
      <c r="L549" s="1094"/>
      <c r="M549" s="1094"/>
      <c r="N549" s="1013"/>
      <c r="O549" s="1013"/>
      <c r="P549" s="1013"/>
      <c r="Q549" s="1013"/>
      <c r="R549" s="1013"/>
      <c r="S549" s="1013"/>
      <c r="T549" s="1012"/>
      <c r="U549" s="1011"/>
      <c r="V549" s="1012"/>
      <c r="W549" s="1013"/>
      <c r="X549" s="1014"/>
      <c r="Y549" s="1012"/>
      <c r="Z549" s="1012"/>
      <c r="AA549" s="1012"/>
      <c r="AB549" s="1012"/>
      <c r="AC549" s="1012"/>
      <c r="AD549" s="1012"/>
      <c r="AE549" s="1012"/>
      <c r="AF549" s="1012"/>
      <c r="AG549" s="1012"/>
      <c r="AH549" s="1012"/>
      <c r="AI549" s="1012"/>
      <c r="AJ549" s="1012"/>
      <c r="AK549" s="1012"/>
    </row>
    <row r="550">
      <c r="A550" s="1012"/>
      <c r="B550" s="1013"/>
      <c r="C550" s="1012"/>
      <c r="D550" s="1013"/>
      <c r="E550" s="1012"/>
      <c r="F550" s="1012"/>
      <c r="G550" s="1013"/>
      <c r="H550" s="1012"/>
      <c r="I550" s="1012"/>
      <c r="J550" s="1013"/>
      <c r="K550" s="1013"/>
      <c r="L550" s="1094"/>
      <c r="M550" s="1094"/>
      <c r="N550" s="1013"/>
      <c r="O550" s="1013"/>
      <c r="P550" s="1013"/>
      <c r="Q550" s="1013"/>
      <c r="R550" s="1013"/>
      <c r="S550" s="1013"/>
      <c r="T550" s="1012"/>
      <c r="U550" s="1011"/>
      <c r="V550" s="1012"/>
      <c r="W550" s="1013"/>
      <c r="X550" s="1014"/>
      <c r="Y550" s="1012"/>
      <c r="Z550" s="1012"/>
      <c r="AA550" s="1012"/>
      <c r="AB550" s="1012"/>
      <c r="AC550" s="1012"/>
      <c r="AD550" s="1012"/>
      <c r="AE550" s="1012"/>
      <c r="AF550" s="1012"/>
      <c r="AG550" s="1012"/>
      <c r="AH550" s="1012"/>
      <c r="AI550" s="1012"/>
      <c r="AJ550" s="1012"/>
      <c r="AK550" s="1012"/>
    </row>
    <row r="551">
      <c r="A551" s="1012"/>
      <c r="B551" s="1013"/>
      <c r="C551" s="1012"/>
      <c r="D551" s="1013"/>
      <c r="E551" s="1012"/>
      <c r="F551" s="1012"/>
      <c r="G551" s="1013"/>
      <c r="H551" s="1012"/>
      <c r="I551" s="1012"/>
      <c r="J551" s="1013"/>
      <c r="K551" s="1013"/>
      <c r="L551" s="1094"/>
      <c r="M551" s="1094"/>
      <c r="N551" s="1013"/>
      <c r="O551" s="1013"/>
      <c r="P551" s="1013"/>
      <c r="Q551" s="1013"/>
      <c r="R551" s="1013"/>
      <c r="S551" s="1013"/>
      <c r="T551" s="1012"/>
      <c r="U551" s="1011"/>
      <c r="V551" s="1012"/>
      <c r="W551" s="1013"/>
      <c r="X551" s="1014"/>
      <c r="Y551" s="1012"/>
      <c r="Z551" s="1012"/>
      <c r="AA551" s="1012"/>
      <c r="AB551" s="1012"/>
      <c r="AC551" s="1012"/>
      <c r="AD551" s="1012"/>
      <c r="AE551" s="1012"/>
      <c r="AF551" s="1012"/>
      <c r="AG551" s="1012"/>
      <c r="AH551" s="1012"/>
      <c r="AI551" s="1012"/>
      <c r="AJ551" s="1012"/>
      <c r="AK551" s="1012"/>
    </row>
    <row r="552">
      <c r="A552" s="1012"/>
      <c r="B552" s="1013"/>
      <c r="C552" s="1012"/>
      <c r="D552" s="1013"/>
      <c r="E552" s="1012"/>
      <c r="F552" s="1012"/>
      <c r="G552" s="1013"/>
      <c r="H552" s="1012"/>
      <c r="I552" s="1012"/>
      <c r="J552" s="1013"/>
      <c r="K552" s="1013"/>
      <c r="L552" s="1094"/>
      <c r="M552" s="1094"/>
      <c r="N552" s="1013"/>
      <c r="O552" s="1013"/>
      <c r="P552" s="1013"/>
      <c r="Q552" s="1013"/>
      <c r="R552" s="1013"/>
      <c r="S552" s="1013"/>
      <c r="T552" s="1012"/>
      <c r="U552" s="1011"/>
      <c r="V552" s="1012"/>
      <c r="W552" s="1013"/>
      <c r="X552" s="1014"/>
      <c r="Y552" s="1012"/>
      <c r="Z552" s="1012"/>
      <c r="AA552" s="1012"/>
      <c r="AB552" s="1012"/>
      <c r="AC552" s="1012"/>
      <c r="AD552" s="1012"/>
      <c r="AE552" s="1012"/>
      <c r="AF552" s="1012"/>
      <c r="AG552" s="1012"/>
      <c r="AH552" s="1012"/>
      <c r="AI552" s="1012"/>
      <c r="AJ552" s="1012"/>
      <c r="AK552" s="1012"/>
    </row>
    <row r="553">
      <c r="A553" s="1012"/>
      <c r="B553" s="1013"/>
      <c r="C553" s="1012"/>
      <c r="D553" s="1013"/>
      <c r="E553" s="1012"/>
      <c r="F553" s="1012"/>
      <c r="G553" s="1013"/>
      <c r="H553" s="1012"/>
      <c r="I553" s="1012"/>
      <c r="J553" s="1013"/>
      <c r="K553" s="1013"/>
      <c r="L553" s="1094"/>
      <c r="M553" s="1094"/>
      <c r="N553" s="1013"/>
      <c r="O553" s="1013"/>
      <c r="P553" s="1013"/>
      <c r="Q553" s="1013"/>
      <c r="R553" s="1013"/>
      <c r="S553" s="1013"/>
      <c r="T553" s="1012"/>
      <c r="U553" s="1011"/>
      <c r="V553" s="1012"/>
      <c r="W553" s="1013"/>
      <c r="X553" s="1014"/>
      <c r="Y553" s="1012"/>
      <c r="Z553" s="1012"/>
      <c r="AA553" s="1012"/>
      <c r="AB553" s="1012"/>
      <c r="AC553" s="1012"/>
      <c r="AD553" s="1012"/>
      <c r="AE553" s="1012"/>
      <c r="AF553" s="1012"/>
      <c r="AG553" s="1012"/>
      <c r="AH553" s="1012"/>
      <c r="AI553" s="1012"/>
      <c r="AJ553" s="1012"/>
      <c r="AK553" s="1012"/>
    </row>
    <row r="554">
      <c r="A554" s="1012"/>
      <c r="B554" s="1013"/>
      <c r="C554" s="1012"/>
      <c r="D554" s="1013"/>
      <c r="E554" s="1012"/>
      <c r="F554" s="1012"/>
      <c r="G554" s="1013"/>
      <c r="H554" s="1012"/>
      <c r="I554" s="1012"/>
      <c r="J554" s="1013"/>
      <c r="K554" s="1013"/>
      <c r="L554" s="1094"/>
      <c r="M554" s="1094"/>
      <c r="N554" s="1013"/>
      <c r="O554" s="1013"/>
      <c r="P554" s="1013"/>
      <c r="Q554" s="1013"/>
      <c r="R554" s="1013"/>
      <c r="S554" s="1013"/>
      <c r="T554" s="1012"/>
      <c r="U554" s="1011"/>
      <c r="V554" s="1012"/>
      <c r="W554" s="1013"/>
      <c r="X554" s="1014"/>
      <c r="Y554" s="1012"/>
      <c r="Z554" s="1012"/>
      <c r="AA554" s="1012"/>
      <c r="AB554" s="1012"/>
      <c r="AC554" s="1012"/>
      <c r="AD554" s="1012"/>
      <c r="AE554" s="1012"/>
      <c r="AF554" s="1012"/>
      <c r="AG554" s="1012"/>
      <c r="AH554" s="1012"/>
      <c r="AI554" s="1012"/>
      <c r="AJ554" s="1012"/>
      <c r="AK554" s="1012"/>
    </row>
    <row r="555">
      <c r="A555" s="1012"/>
      <c r="B555" s="1013"/>
      <c r="C555" s="1012"/>
      <c r="D555" s="1013"/>
      <c r="E555" s="1012"/>
      <c r="F555" s="1012"/>
      <c r="G555" s="1013"/>
      <c r="H555" s="1012"/>
      <c r="I555" s="1012"/>
      <c r="J555" s="1013"/>
      <c r="K555" s="1013"/>
      <c r="L555" s="1094"/>
      <c r="M555" s="1094"/>
      <c r="N555" s="1013"/>
      <c r="O555" s="1013"/>
      <c r="P555" s="1013"/>
      <c r="Q555" s="1013"/>
      <c r="R555" s="1013"/>
      <c r="S555" s="1013"/>
      <c r="T555" s="1012"/>
      <c r="U555" s="1011"/>
      <c r="V555" s="1012"/>
      <c r="W555" s="1013"/>
      <c r="X555" s="1014"/>
      <c r="Y555" s="1012"/>
      <c r="Z555" s="1012"/>
      <c r="AA555" s="1012"/>
      <c r="AB555" s="1012"/>
      <c r="AC555" s="1012"/>
      <c r="AD555" s="1012"/>
      <c r="AE555" s="1012"/>
      <c r="AF555" s="1012"/>
      <c r="AG555" s="1012"/>
      <c r="AH555" s="1012"/>
      <c r="AI555" s="1012"/>
      <c r="AJ555" s="1012"/>
      <c r="AK555" s="1012"/>
    </row>
    <row r="556">
      <c r="A556" s="1012"/>
      <c r="B556" s="1013"/>
      <c r="C556" s="1012"/>
      <c r="D556" s="1013"/>
      <c r="E556" s="1012"/>
      <c r="F556" s="1012"/>
      <c r="G556" s="1013"/>
      <c r="H556" s="1012"/>
      <c r="I556" s="1012"/>
      <c r="J556" s="1013"/>
      <c r="K556" s="1013"/>
      <c r="L556" s="1094"/>
      <c r="M556" s="1094"/>
      <c r="N556" s="1013"/>
      <c r="O556" s="1013"/>
      <c r="P556" s="1013"/>
      <c r="Q556" s="1013"/>
      <c r="R556" s="1013"/>
      <c r="S556" s="1013"/>
      <c r="T556" s="1012"/>
      <c r="U556" s="1011"/>
      <c r="V556" s="1012"/>
      <c r="W556" s="1013"/>
      <c r="X556" s="1014"/>
      <c r="Y556" s="1012"/>
      <c r="Z556" s="1012"/>
      <c r="AA556" s="1012"/>
      <c r="AB556" s="1012"/>
      <c r="AC556" s="1012"/>
      <c r="AD556" s="1012"/>
      <c r="AE556" s="1012"/>
      <c r="AF556" s="1012"/>
      <c r="AG556" s="1012"/>
      <c r="AH556" s="1012"/>
      <c r="AI556" s="1012"/>
      <c r="AJ556" s="1012"/>
      <c r="AK556" s="1012"/>
    </row>
    <row r="557">
      <c r="A557" s="1012"/>
      <c r="B557" s="1013"/>
      <c r="C557" s="1012"/>
      <c r="D557" s="1013"/>
      <c r="E557" s="1012"/>
      <c r="F557" s="1012"/>
      <c r="G557" s="1013"/>
      <c r="H557" s="1012"/>
      <c r="I557" s="1012"/>
      <c r="J557" s="1013"/>
      <c r="K557" s="1013"/>
      <c r="L557" s="1094"/>
      <c r="M557" s="1094"/>
      <c r="N557" s="1013"/>
      <c r="O557" s="1013"/>
      <c r="P557" s="1013"/>
      <c r="Q557" s="1013"/>
      <c r="R557" s="1013"/>
      <c r="S557" s="1013"/>
      <c r="T557" s="1012"/>
      <c r="U557" s="1011"/>
      <c r="V557" s="1012"/>
      <c r="W557" s="1013"/>
      <c r="X557" s="1014"/>
      <c r="Y557" s="1012"/>
      <c r="Z557" s="1012"/>
      <c r="AA557" s="1012"/>
      <c r="AB557" s="1012"/>
      <c r="AC557" s="1012"/>
      <c r="AD557" s="1012"/>
      <c r="AE557" s="1012"/>
      <c r="AF557" s="1012"/>
      <c r="AG557" s="1012"/>
      <c r="AH557" s="1012"/>
      <c r="AI557" s="1012"/>
      <c r="AJ557" s="1012"/>
      <c r="AK557" s="1012"/>
    </row>
    <row r="558">
      <c r="A558" s="1012"/>
      <c r="B558" s="1013"/>
      <c r="C558" s="1012"/>
      <c r="D558" s="1013"/>
      <c r="E558" s="1012"/>
      <c r="F558" s="1012"/>
      <c r="G558" s="1013"/>
      <c r="H558" s="1012"/>
      <c r="I558" s="1012"/>
      <c r="J558" s="1013"/>
      <c r="K558" s="1013"/>
      <c r="L558" s="1094"/>
      <c r="M558" s="1094"/>
      <c r="N558" s="1013"/>
      <c r="O558" s="1013"/>
      <c r="P558" s="1013"/>
      <c r="Q558" s="1013"/>
      <c r="R558" s="1013"/>
      <c r="S558" s="1013"/>
      <c r="T558" s="1012"/>
      <c r="U558" s="1011"/>
      <c r="V558" s="1012"/>
      <c r="W558" s="1013"/>
      <c r="X558" s="1014"/>
      <c r="Y558" s="1012"/>
      <c r="Z558" s="1012"/>
      <c r="AA558" s="1012"/>
      <c r="AB558" s="1012"/>
      <c r="AC558" s="1012"/>
      <c r="AD558" s="1012"/>
      <c r="AE558" s="1012"/>
      <c r="AF558" s="1012"/>
      <c r="AG558" s="1012"/>
      <c r="AH558" s="1012"/>
      <c r="AI558" s="1012"/>
      <c r="AJ558" s="1012"/>
      <c r="AK558" s="1012"/>
    </row>
    <row r="559">
      <c r="A559" s="1012"/>
      <c r="B559" s="1013"/>
      <c r="C559" s="1012"/>
      <c r="D559" s="1013"/>
      <c r="E559" s="1012"/>
      <c r="F559" s="1012"/>
      <c r="G559" s="1013"/>
      <c r="H559" s="1012"/>
      <c r="I559" s="1012"/>
      <c r="J559" s="1013"/>
      <c r="K559" s="1013"/>
      <c r="L559" s="1094"/>
      <c r="M559" s="1094"/>
      <c r="N559" s="1013"/>
      <c r="O559" s="1013"/>
      <c r="P559" s="1013"/>
      <c r="Q559" s="1013"/>
      <c r="R559" s="1013"/>
      <c r="S559" s="1013"/>
      <c r="T559" s="1012"/>
      <c r="U559" s="1011"/>
      <c r="V559" s="1012"/>
      <c r="W559" s="1013"/>
      <c r="X559" s="1014"/>
      <c r="Y559" s="1012"/>
      <c r="Z559" s="1012"/>
      <c r="AA559" s="1012"/>
      <c r="AB559" s="1012"/>
      <c r="AC559" s="1012"/>
      <c r="AD559" s="1012"/>
      <c r="AE559" s="1012"/>
      <c r="AF559" s="1012"/>
      <c r="AG559" s="1012"/>
      <c r="AH559" s="1012"/>
      <c r="AI559" s="1012"/>
      <c r="AJ559" s="1012"/>
      <c r="AK559" s="1012"/>
    </row>
    <row r="560">
      <c r="A560" s="1012"/>
      <c r="B560" s="1013"/>
      <c r="C560" s="1012"/>
      <c r="D560" s="1013"/>
      <c r="E560" s="1012"/>
      <c r="F560" s="1012"/>
      <c r="G560" s="1013"/>
      <c r="H560" s="1012"/>
      <c r="I560" s="1012"/>
      <c r="J560" s="1013"/>
      <c r="K560" s="1013"/>
      <c r="L560" s="1094"/>
      <c r="M560" s="1094"/>
      <c r="N560" s="1013"/>
      <c r="O560" s="1013"/>
      <c r="P560" s="1013"/>
      <c r="Q560" s="1013"/>
      <c r="R560" s="1013"/>
      <c r="S560" s="1013"/>
      <c r="T560" s="1012"/>
      <c r="U560" s="1011"/>
      <c r="V560" s="1012"/>
      <c r="W560" s="1013"/>
      <c r="X560" s="1014"/>
      <c r="Y560" s="1012"/>
      <c r="Z560" s="1012"/>
      <c r="AA560" s="1012"/>
      <c r="AB560" s="1012"/>
      <c r="AC560" s="1012"/>
      <c r="AD560" s="1012"/>
      <c r="AE560" s="1012"/>
      <c r="AF560" s="1012"/>
      <c r="AG560" s="1012"/>
      <c r="AH560" s="1012"/>
      <c r="AI560" s="1012"/>
      <c r="AJ560" s="1012"/>
      <c r="AK560" s="1012"/>
    </row>
    <row r="561">
      <c r="A561" s="1012"/>
      <c r="B561" s="1013"/>
      <c r="C561" s="1012"/>
      <c r="D561" s="1013"/>
      <c r="E561" s="1012"/>
      <c r="F561" s="1012"/>
      <c r="G561" s="1013"/>
      <c r="H561" s="1012"/>
      <c r="I561" s="1012"/>
      <c r="J561" s="1013"/>
      <c r="K561" s="1013"/>
      <c r="L561" s="1094"/>
      <c r="M561" s="1094"/>
      <c r="N561" s="1013"/>
      <c r="O561" s="1013"/>
      <c r="P561" s="1013"/>
      <c r="Q561" s="1013"/>
      <c r="R561" s="1013"/>
      <c r="S561" s="1013"/>
      <c r="T561" s="1012"/>
      <c r="U561" s="1011"/>
      <c r="V561" s="1012"/>
      <c r="W561" s="1013"/>
      <c r="X561" s="1014"/>
      <c r="Y561" s="1012"/>
      <c r="Z561" s="1012"/>
      <c r="AA561" s="1012"/>
      <c r="AB561" s="1012"/>
      <c r="AC561" s="1012"/>
      <c r="AD561" s="1012"/>
      <c r="AE561" s="1012"/>
      <c r="AF561" s="1012"/>
      <c r="AG561" s="1012"/>
      <c r="AH561" s="1012"/>
      <c r="AI561" s="1012"/>
      <c r="AJ561" s="1012"/>
      <c r="AK561" s="1012"/>
    </row>
    <row r="562">
      <c r="A562" s="1012"/>
      <c r="B562" s="1013"/>
      <c r="C562" s="1012"/>
      <c r="D562" s="1013"/>
      <c r="E562" s="1012"/>
      <c r="F562" s="1012"/>
      <c r="G562" s="1013"/>
      <c r="H562" s="1012"/>
      <c r="I562" s="1012"/>
      <c r="J562" s="1013"/>
      <c r="K562" s="1013"/>
      <c r="L562" s="1094"/>
      <c r="M562" s="1094"/>
      <c r="N562" s="1013"/>
      <c r="O562" s="1013"/>
      <c r="P562" s="1013"/>
      <c r="Q562" s="1013"/>
      <c r="R562" s="1013"/>
      <c r="S562" s="1013"/>
      <c r="T562" s="1012"/>
      <c r="U562" s="1011"/>
      <c r="V562" s="1012"/>
      <c r="W562" s="1013"/>
      <c r="X562" s="1014"/>
      <c r="Y562" s="1012"/>
      <c r="Z562" s="1012"/>
      <c r="AA562" s="1012"/>
      <c r="AB562" s="1012"/>
      <c r="AC562" s="1012"/>
      <c r="AD562" s="1012"/>
      <c r="AE562" s="1012"/>
      <c r="AF562" s="1012"/>
      <c r="AG562" s="1012"/>
      <c r="AH562" s="1012"/>
      <c r="AI562" s="1012"/>
      <c r="AJ562" s="1012"/>
      <c r="AK562" s="1012"/>
    </row>
    <row r="563">
      <c r="A563" s="1012"/>
      <c r="B563" s="1013"/>
      <c r="C563" s="1012"/>
      <c r="D563" s="1013"/>
      <c r="E563" s="1012"/>
      <c r="F563" s="1012"/>
      <c r="G563" s="1013"/>
      <c r="H563" s="1012"/>
      <c r="I563" s="1012"/>
      <c r="J563" s="1013"/>
      <c r="K563" s="1013"/>
      <c r="L563" s="1094"/>
      <c r="M563" s="1094"/>
      <c r="N563" s="1013"/>
      <c r="O563" s="1013"/>
      <c r="P563" s="1013"/>
      <c r="Q563" s="1013"/>
      <c r="R563" s="1013"/>
      <c r="S563" s="1013"/>
      <c r="T563" s="1012"/>
      <c r="U563" s="1011"/>
      <c r="V563" s="1012"/>
      <c r="W563" s="1013"/>
      <c r="X563" s="1014"/>
      <c r="Y563" s="1012"/>
      <c r="Z563" s="1012"/>
      <c r="AA563" s="1012"/>
      <c r="AB563" s="1012"/>
      <c r="AC563" s="1012"/>
      <c r="AD563" s="1012"/>
      <c r="AE563" s="1012"/>
      <c r="AF563" s="1012"/>
      <c r="AG563" s="1012"/>
      <c r="AH563" s="1012"/>
      <c r="AI563" s="1012"/>
      <c r="AJ563" s="1012"/>
      <c r="AK563" s="1012"/>
    </row>
    <row r="564">
      <c r="A564" s="1012"/>
      <c r="B564" s="1013"/>
      <c r="C564" s="1012"/>
      <c r="D564" s="1013"/>
      <c r="E564" s="1012"/>
      <c r="F564" s="1012"/>
      <c r="G564" s="1013"/>
      <c r="H564" s="1012"/>
      <c r="I564" s="1012"/>
      <c r="J564" s="1013"/>
      <c r="K564" s="1013"/>
      <c r="L564" s="1094"/>
      <c r="M564" s="1094"/>
      <c r="N564" s="1013"/>
      <c r="O564" s="1013"/>
      <c r="P564" s="1013"/>
      <c r="Q564" s="1013"/>
      <c r="R564" s="1013"/>
      <c r="S564" s="1013"/>
      <c r="T564" s="1012"/>
      <c r="U564" s="1011"/>
      <c r="V564" s="1012"/>
      <c r="W564" s="1013"/>
      <c r="X564" s="1014"/>
      <c r="Y564" s="1012"/>
      <c r="Z564" s="1012"/>
      <c r="AA564" s="1012"/>
      <c r="AB564" s="1012"/>
      <c r="AC564" s="1012"/>
      <c r="AD564" s="1012"/>
      <c r="AE564" s="1012"/>
      <c r="AF564" s="1012"/>
      <c r="AG564" s="1012"/>
      <c r="AH564" s="1012"/>
      <c r="AI564" s="1012"/>
      <c r="AJ564" s="1012"/>
      <c r="AK564" s="1012"/>
    </row>
    <row r="565">
      <c r="A565" s="1012"/>
      <c r="B565" s="1013"/>
      <c r="C565" s="1012"/>
      <c r="D565" s="1013"/>
      <c r="E565" s="1012"/>
      <c r="F565" s="1012"/>
      <c r="G565" s="1013"/>
      <c r="H565" s="1012"/>
      <c r="I565" s="1012"/>
      <c r="J565" s="1013"/>
      <c r="K565" s="1013"/>
      <c r="L565" s="1094"/>
      <c r="M565" s="1094"/>
      <c r="N565" s="1013"/>
      <c r="O565" s="1013"/>
      <c r="P565" s="1013"/>
      <c r="Q565" s="1013"/>
      <c r="R565" s="1013"/>
      <c r="S565" s="1013"/>
      <c r="T565" s="1012"/>
      <c r="U565" s="1011"/>
      <c r="V565" s="1012"/>
      <c r="W565" s="1013"/>
      <c r="X565" s="1014"/>
      <c r="Y565" s="1012"/>
      <c r="Z565" s="1012"/>
      <c r="AA565" s="1012"/>
      <c r="AB565" s="1012"/>
      <c r="AC565" s="1012"/>
      <c r="AD565" s="1012"/>
      <c r="AE565" s="1012"/>
      <c r="AF565" s="1012"/>
      <c r="AG565" s="1012"/>
      <c r="AH565" s="1012"/>
      <c r="AI565" s="1012"/>
      <c r="AJ565" s="1012"/>
      <c r="AK565" s="1012"/>
    </row>
    <row r="566">
      <c r="A566" s="1012"/>
      <c r="B566" s="1013"/>
      <c r="C566" s="1012"/>
      <c r="D566" s="1013"/>
      <c r="E566" s="1012"/>
      <c r="F566" s="1012"/>
      <c r="G566" s="1013"/>
      <c r="H566" s="1012"/>
      <c r="I566" s="1012"/>
      <c r="J566" s="1013"/>
      <c r="K566" s="1013"/>
      <c r="L566" s="1094"/>
      <c r="M566" s="1094"/>
      <c r="N566" s="1013"/>
      <c r="O566" s="1013"/>
      <c r="P566" s="1013"/>
      <c r="Q566" s="1013"/>
      <c r="R566" s="1013"/>
      <c r="S566" s="1013"/>
      <c r="T566" s="1012"/>
      <c r="U566" s="1011"/>
      <c r="V566" s="1012"/>
      <c r="W566" s="1013"/>
      <c r="X566" s="1014"/>
      <c r="Y566" s="1012"/>
      <c r="Z566" s="1012"/>
      <c r="AA566" s="1012"/>
      <c r="AB566" s="1012"/>
      <c r="AC566" s="1012"/>
      <c r="AD566" s="1012"/>
      <c r="AE566" s="1012"/>
      <c r="AF566" s="1012"/>
      <c r="AG566" s="1012"/>
      <c r="AH566" s="1012"/>
      <c r="AI566" s="1012"/>
      <c r="AJ566" s="1012"/>
      <c r="AK566" s="1012"/>
    </row>
    <row r="567">
      <c r="A567" s="1012"/>
      <c r="B567" s="1013"/>
      <c r="C567" s="1012"/>
      <c r="D567" s="1013"/>
      <c r="E567" s="1012"/>
      <c r="F567" s="1012"/>
      <c r="G567" s="1013"/>
      <c r="H567" s="1012"/>
      <c r="I567" s="1012"/>
      <c r="J567" s="1013"/>
      <c r="K567" s="1013"/>
      <c r="L567" s="1094"/>
      <c r="M567" s="1094"/>
      <c r="N567" s="1013"/>
      <c r="O567" s="1013"/>
      <c r="P567" s="1013"/>
      <c r="Q567" s="1013"/>
      <c r="R567" s="1013"/>
      <c r="S567" s="1013"/>
      <c r="T567" s="1012"/>
      <c r="U567" s="1011"/>
      <c r="V567" s="1012"/>
      <c r="W567" s="1013"/>
      <c r="X567" s="1014"/>
      <c r="Y567" s="1012"/>
      <c r="Z567" s="1012"/>
      <c r="AA567" s="1012"/>
      <c r="AB567" s="1012"/>
      <c r="AC567" s="1012"/>
      <c r="AD567" s="1012"/>
      <c r="AE567" s="1012"/>
      <c r="AF567" s="1012"/>
      <c r="AG567" s="1012"/>
      <c r="AH567" s="1012"/>
      <c r="AI567" s="1012"/>
      <c r="AJ567" s="1012"/>
      <c r="AK567" s="1012"/>
    </row>
    <row r="568">
      <c r="A568" s="1012"/>
      <c r="B568" s="1013"/>
      <c r="C568" s="1012"/>
      <c r="D568" s="1013"/>
      <c r="E568" s="1012"/>
      <c r="F568" s="1012"/>
      <c r="G568" s="1013"/>
      <c r="H568" s="1012"/>
      <c r="I568" s="1012"/>
      <c r="J568" s="1013"/>
      <c r="K568" s="1013"/>
      <c r="L568" s="1094"/>
      <c r="M568" s="1094"/>
      <c r="N568" s="1013"/>
      <c r="O568" s="1013"/>
      <c r="P568" s="1013"/>
      <c r="Q568" s="1013"/>
      <c r="R568" s="1013"/>
      <c r="S568" s="1013"/>
      <c r="T568" s="1012"/>
      <c r="U568" s="1011"/>
      <c r="V568" s="1012"/>
      <c r="W568" s="1013"/>
      <c r="X568" s="1014"/>
      <c r="Y568" s="1012"/>
      <c r="Z568" s="1012"/>
      <c r="AA568" s="1012"/>
      <c r="AB568" s="1012"/>
      <c r="AC568" s="1012"/>
      <c r="AD568" s="1012"/>
      <c r="AE568" s="1012"/>
      <c r="AF568" s="1012"/>
      <c r="AG568" s="1012"/>
      <c r="AH568" s="1012"/>
      <c r="AI568" s="1012"/>
      <c r="AJ568" s="1012"/>
      <c r="AK568" s="1012"/>
    </row>
    <row r="569">
      <c r="A569" s="1012"/>
      <c r="B569" s="1013"/>
      <c r="C569" s="1012"/>
      <c r="D569" s="1013"/>
      <c r="E569" s="1012"/>
      <c r="F569" s="1012"/>
      <c r="G569" s="1013"/>
      <c r="H569" s="1012"/>
      <c r="I569" s="1012"/>
      <c r="J569" s="1013"/>
      <c r="K569" s="1013"/>
      <c r="L569" s="1094"/>
      <c r="M569" s="1094"/>
      <c r="N569" s="1013"/>
      <c r="O569" s="1013"/>
      <c r="P569" s="1013"/>
      <c r="Q569" s="1013"/>
      <c r="R569" s="1013"/>
      <c r="S569" s="1013"/>
      <c r="T569" s="1012"/>
      <c r="U569" s="1011"/>
      <c r="V569" s="1012"/>
      <c r="W569" s="1013"/>
      <c r="X569" s="1014"/>
      <c r="Y569" s="1012"/>
      <c r="Z569" s="1012"/>
      <c r="AA569" s="1012"/>
      <c r="AB569" s="1012"/>
      <c r="AC569" s="1012"/>
      <c r="AD569" s="1012"/>
      <c r="AE569" s="1012"/>
      <c r="AF569" s="1012"/>
      <c r="AG569" s="1012"/>
      <c r="AH569" s="1012"/>
      <c r="AI569" s="1012"/>
      <c r="AJ569" s="1012"/>
      <c r="AK569" s="1012"/>
    </row>
    <row r="570">
      <c r="A570" s="1012"/>
      <c r="B570" s="1013"/>
      <c r="C570" s="1012"/>
      <c r="D570" s="1013"/>
      <c r="E570" s="1012"/>
      <c r="F570" s="1012"/>
      <c r="G570" s="1013"/>
      <c r="H570" s="1012"/>
      <c r="I570" s="1012"/>
      <c r="J570" s="1013"/>
      <c r="K570" s="1013"/>
      <c r="L570" s="1094"/>
      <c r="M570" s="1094"/>
      <c r="N570" s="1013"/>
      <c r="O570" s="1013"/>
      <c r="P570" s="1013"/>
      <c r="Q570" s="1013"/>
      <c r="R570" s="1013"/>
      <c r="S570" s="1013"/>
      <c r="T570" s="1012"/>
      <c r="U570" s="1011"/>
      <c r="V570" s="1012"/>
      <c r="W570" s="1013"/>
      <c r="X570" s="1014"/>
      <c r="Y570" s="1012"/>
      <c r="Z570" s="1012"/>
      <c r="AA570" s="1012"/>
      <c r="AB570" s="1012"/>
      <c r="AC570" s="1012"/>
      <c r="AD570" s="1012"/>
      <c r="AE570" s="1012"/>
      <c r="AF570" s="1012"/>
      <c r="AG570" s="1012"/>
      <c r="AH570" s="1012"/>
      <c r="AI570" s="1012"/>
      <c r="AJ570" s="1012"/>
      <c r="AK570" s="1012"/>
    </row>
    <row r="571">
      <c r="A571" s="1012"/>
      <c r="B571" s="1013"/>
      <c r="C571" s="1012"/>
      <c r="D571" s="1013"/>
      <c r="E571" s="1012"/>
      <c r="F571" s="1012"/>
      <c r="G571" s="1013"/>
      <c r="H571" s="1012"/>
      <c r="I571" s="1012"/>
      <c r="J571" s="1013"/>
      <c r="K571" s="1013"/>
      <c r="L571" s="1094"/>
      <c r="M571" s="1094"/>
      <c r="N571" s="1013"/>
      <c r="O571" s="1013"/>
      <c r="P571" s="1013"/>
      <c r="Q571" s="1013"/>
      <c r="R571" s="1013"/>
      <c r="S571" s="1013"/>
      <c r="T571" s="1012"/>
      <c r="U571" s="1011"/>
      <c r="V571" s="1012"/>
      <c r="W571" s="1013"/>
      <c r="X571" s="1014"/>
      <c r="Y571" s="1012"/>
      <c r="Z571" s="1012"/>
      <c r="AA571" s="1012"/>
      <c r="AB571" s="1012"/>
      <c r="AC571" s="1012"/>
      <c r="AD571" s="1012"/>
      <c r="AE571" s="1012"/>
      <c r="AF571" s="1012"/>
      <c r="AG571" s="1012"/>
      <c r="AH571" s="1012"/>
      <c r="AI571" s="1012"/>
      <c r="AJ571" s="1012"/>
      <c r="AK571" s="1012"/>
    </row>
    <row r="572">
      <c r="A572" s="1012"/>
      <c r="B572" s="1013"/>
      <c r="C572" s="1012"/>
      <c r="D572" s="1013"/>
      <c r="E572" s="1012"/>
      <c r="F572" s="1012"/>
      <c r="G572" s="1013"/>
      <c r="H572" s="1012"/>
      <c r="I572" s="1012"/>
      <c r="J572" s="1013"/>
      <c r="K572" s="1013"/>
      <c r="L572" s="1094"/>
      <c r="M572" s="1094"/>
      <c r="N572" s="1013"/>
      <c r="O572" s="1013"/>
      <c r="P572" s="1013"/>
      <c r="Q572" s="1013"/>
      <c r="R572" s="1013"/>
      <c r="S572" s="1013"/>
      <c r="T572" s="1012"/>
      <c r="U572" s="1011"/>
      <c r="V572" s="1012"/>
      <c r="W572" s="1013"/>
      <c r="X572" s="1014"/>
      <c r="Y572" s="1012"/>
      <c r="Z572" s="1012"/>
      <c r="AA572" s="1012"/>
      <c r="AB572" s="1012"/>
      <c r="AC572" s="1012"/>
      <c r="AD572" s="1012"/>
      <c r="AE572" s="1012"/>
      <c r="AF572" s="1012"/>
      <c r="AG572" s="1012"/>
      <c r="AH572" s="1012"/>
      <c r="AI572" s="1012"/>
      <c r="AJ572" s="1012"/>
      <c r="AK572" s="1012"/>
    </row>
    <row r="573">
      <c r="A573" s="1012"/>
      <c r="B573" s="1013"/>
      <c r="C573" s="1012"/>
      <c r="D573" s="1013"/>
      <c r="E573" s="1012"/>
      <c r="F573" s="1012"/>
      <c r="G573" s="1013"/>
      <c r="H573" s="1012"/>
      <c r="I573" s="1012"/>
      <c r="J573" s="1013"/>
      <c r="K573" s="1013"/>
      <c r="L573" s="1094"/>
      <c r="M573" s="1094"/>
      <c r="N573" s="1013"/>
      <c r="O573" s="1013"/>
      <c r="P573" s="1013"/>
      <c r="Q573" s="1013"/>
      <c r="R573" s="1013"/>
      <c r="S573" s="1013"/>
      <c r="T573" s="1012"/>
      <c r="U573" s="1011"/>
      <c r="V573" s="1012"/>
      <c r="W573" s="1013"/>
      <c r="X573" s="1014"/>
      <c r="Y573" s="1012"/>
      <c r="Z573" s="1012"/>
      <c r="AA573" s="1012"/>
      <c r="AB573" s="1012"/>
      <c r="AC573" s="1012"/>
      <c r="AD573" s="1012"/>
      <c r="AE573" s="1012"/>
      <c r="AF573" s="1012"/>
      <c r="AG573" s="1012"/>
      <c r="AH573" s="1012"/>
      <c r="AI573" s="1012"/>
      <c r="AJ573" s="1012"/>
      <c r="AK573" s="1012"/>
    </row>
    <row r="574">
      <c r="A574" s="1012"/>
      <c r="B574" s="1013"/>
      <c r="C574" s="1012"/>
      <c r="D574" s="1013"/>
      <c r="E574" s="1012"/>
      <c r="F574" s="1012"/>
      <c r="G574" s="1013"/>
      <c r="H574" s="1012"/>
      <c r="I574" s="1012"/>
      <c r="J574" s="1013"/>
      <c r="K574" s="1013"/>
      <c r="L574" s="1094"/>
      <c r="M574" s="1094"/>
      <c r="N574" s="1013"/>
      <c r="O574" s="1013"/>
      <c r="P574" s="1013"/>
      <c r="Q574" s="1013"/>
      <c r="R574" s="1013"/>
      <c r="S574" s="1013"/>
      <c r="T574" s="1012"/>
      <c r="U574" s="1011"/>
      <c r="V574" s="1012"/>
      <c r="W574" s="1013"/>
      <c r="X574" s="1014"/>
      <c r="Y574" s="1012"/>
      <c r="Z574" s="1012"/>
      <c r="AA574" s="1012"/>
      <c r="AB574" s="1012"/>
      <c r="AC574" s="1012"/>
      <c r="AD574" s="1012"/>
      <c r="AE574" s="1012"/>
      <c r="AF574" s="1012"/>
      <c r="AG574" s="1012"/>
      <c r="AH574" s="1012"/>
      <c r="AI574" s="1012"/>
      <c r="AJ574" s="1012"/>
      <c r="AK574" s="1012"/>
    </row>
    <row r="575">
      <c r="A575" s="1012"/>
      <c r="B575" s="1013"/>
      <c r="C575" s="1012"/>
      <c r="D575" s="1013"/>
      <c r="E575" s="1012"/>
      <c r="F575" s="1012"/>
      <c r="G575" s="1013"/>
      <c r="H575" s="1012"/>
      <c r="I575" s="1012"/>
      <c r="J575" s="1013"/>
      <c r="K575" s="1013"/>
      <c r="L575" s="1094"/>
      <c r="M575" s="1094"/>
      <c r="N575" s="1013"/>
      <c r="O575" s="1013"/>
      <c r="P575" s="1013"/>
      <c r="Q575" s="1013"/>
      <c r="R575" s="1013"/>
      <c r="S575" s="1013"/>
      <c r="T575" s="1012"/>
      <c r="U575" s="1011"/>
      <c r="V575" s="1012"/>
      <c r="W575" s="1013"/>
      <c r="X575" s="1014"/>
      <c r="Y575" s="1012"/>
      <c r="Z575" s="1012"/>
      <c r="AA575" s="1012"/>
      <c r="AB575" s="1012"/>
      <c r="AC575" s="1012"/>
      <c r="AD575" s="1012"/>
      <c r="AE575" s="1012"/>
      <c r="AF575" s="1012"/>
      <c r="AG575" s="1012"/>
      <c r="AH575" s="1012"/>
      <c r="AI575" s="1012"/>
      <c r="AJ575" s="1012"/>
      <c r="AK575" s="1012"/>
    </row>
    <row r="576">
      <c r="A576" s="1012"/>
      <c r="B576" s="1013"/>
      <c r="C576" s="1012"/>
      <c r="D576" s="1013"/>
      <c r="E576" s="1012"/>
      <c r="F576" s="1012"/>
      <c r="G576" s="1013"/>
      <c r="H576" s="1012"/>
      <c r="I576" s="1012"/>
      <c r="J576" s="1013"/>
      <c r="K576" s="1013"/>
      <c r="L576" s="1094"/>
      <c r="M576" s="1094"/>
      <c r="N576" s="1013"/>
      <c r="O576" s="1013"/>
      <c r="P576" s="1013"/>
      <c r="Q576" s="1013"/>
      <c r="R576" s="1013"/>
      <c r="S576" s="1013"/>
      <c r="T576" s="1012"/>
      <c r="U576" s="1011"/>
      <c r="V576" s="1012"/>
      <c r="W576" s="1013"/>
      <c r="X576" s="1014"/>
      <c r="Y576" s="1012"/>
      <c r="Z576" s="1012"/>
      <c r="AA576" s="1012"/>
      <c r="AB576" s="1012"/>
      <c r="AC576" s="1012"/>
      <c r="AD576" s="1012"/>
      <c r="AE576" s="1012"/>
      <c r="AF576" s="1012"/>
      <c r="AG576" s="1012"/>
      <c r="AH576" s="1012"/>
      <c r="AI576" s="1012"/>
      <c r="AJ576" s="1012"/>
      <c r="AK576" s="1012"/>
    </row>
    <row r="577">
      <c r="A577" s="1012"/>
      <c r="B577" s="1013"/>
      <c r="C577" s="1012"/>
      <c r="D577" s="1013"/>
      <c r="E577" s="1012"/>
      <c r="F577" s="1012"/>
      <c r="G577" s="1013"/>
      <c r="H577" s="1012"/>
      <c r="I577" s="1012"/>
      <c r="J577" s="1013"/>
      <c r="K577" s="1013"/>
      <c r="L577" s="1094"/>
      <c r="M577" s="1094"/>
      <c r="N577" s="1013"/>
      <c r="O577" s="1013"/>
      <c r="P577" s="1013"/>
      <c r="Q577" s="1013"/>
      <c r="R577" s="1013"/>
      <c r="S577" s="1013"/>
      <c r="T577" s="1012"/>
      <c r="U577" s="1011"/>
      <c r="V577" s="1012"/>
      <c r="W577" s="1013"/>
      <c r="X577" s="1014"/>
      <c r="Y577" s="1012"/>
      <c r="Z577" s="1012"/>
      <c r="AA577" s="1012"/>
      <c r="AB577" s="1012"/>
      <c r="AC577" s="1012"/>
      <c r="AD577" s="1012"/>
      <c r="AE577" s="1012"/>
      <c r="AF577" s="1012"/>
      <c r="AG577" s="1012"/>
      <c r="AH577" s="1012"/>
      <c r="AI577" s="1012"/>
      <c r="AJ577" s="1012"/>
      <c r="AK577" s="1012"/>
    </row>
    <row r="578">
      <c r="A578" s="1012"/>
      <c r="B578" s="1013"/>
      <c r="C578" s="1012"/>
      <c r="D578" s="1013"/>
      <c r="E578" s="1012"/>
      <c r="F578" s="1012"/>
      <c r="G578" s="1013"/>
      <c r="H578" s="1012"/>
      <c r="I578" s="1012"/>
      <c r="J578" s="1013"/>
      <c r="K578" s="1013"/>
      <c r="L578" s="1094"/>
      <c r="M578" s="1094"/>
      <c r="N578" s="1013"/>
      <c r="O578" s="1013"/>
      <c r="P578" s="1013"/>
      <c r="Q578" s="1013"/>
      <c r="R578" s="1013"/>
      <c r="S578" s="1013"/>
      <c r="T578" s="1012"/>
      <c r="U578" s="1011"/>
      <c r="V578" s="1012"/>
      <c r="W578" s="1013"/>
      <c r="X578" s="1014"/>
      <c r="Y578" s="1012"/>
      <c r="Z578" s="1012"/>
      <c r="AA578" s="1012"/>
      <c r="AB578" s="1012"/>
      <c r="AC578" s="1012"/>
      <c r="AD578" s="1012"/>
      <c r="AE578" s="1012"/>
      <c r="AF578" s="1012"/>
      <c r="AG578" s="1012"/>
      <c r="AH578" s="1012"/>
      <c r="AI578" s="1012"/>
      <c r="AJ578" s="1012"/>
      <c r="AK578" s="1012"/>
    </row>
    <row r="579">
      <c r="A579" s="1012"/>
      <c r="B579" s="1013"/>
      <c r="C579" s="1012"/>
      <c r="D579" s="1013"/>
      <c r="E579" s="1012"/>
      <c r="F579" s="1012"/>
      <c r="G579" s="1013"/>
      <c r="H579" s="1012"/>
      <c r="I579" s="1012"/>
      <c r="J579" s="1013"/>
      <c r="K579" s="1013"/>
      <c r="L579" s="1094"/>
      <c r="M579" s="1094"/>
      <c r="N579" s="1013"/>
      <c r="O579" s="1013"/>
      <c r="P579" s="1013"/>
      <c r="Q579" s="1013"/>
      <c r="R579" s="1013"/>
      <c r="S579" s="1013"/>
      <c r="T579" s="1012"/>
      <c r="U579" s="1011"/>
      <c r="V579" s="1012"/>
      <c r="W579" s="1013"/>
      <c r="X579" s="1014"/>
      <c r="Y579" s="1012"/>
      <c r="Z579" s="1012"/>
      <c r="AA579" s="1012"/>
      <c r="AB579" s="1012"/>
      <c r="AC579" s="1012"/>
      <c r="AD579" s="1012"/>
      <c r="AE579" s="1012"/>
      <c r="AF579" s="1012"/>
      <c r="AG579" s="1012"/>
      <c r="AH579" s="1012"/>
      <c r="AI579" s="1012"/>
      <c r="AJ579" s="1012"/>
      <c r="AK579" s="1012"/>
    </row>
    <row r="580">
      <c r="A580" s="1012"/>
      <c r="B580" s="1013"/>
      <c r="C580" s="1012"/>
      <c r="D580" s="1013"/>
      <c r="E580" s="1012"/>
      <c r="F580" s="1012"/>
      <c r="G580" s="1013"/>
      <c r="H580" s="1012"/>
      <c r="I580" s="1012"/>
      <c r="J580" s="1013"/>
      <c r="K580" s="1013"/>
      <c r="L580" s="1094"/>
      <c r="M580" s="1094"/>
      <c r="N580" s="1013"/>
      <c r="O580" s="1013"/>
      <c r="P580" s="1013"/>
      <c r="Q580" s="1013"/>
      <c r="R580" s="1013"/>
      <c r="S580" s="1013"/>
      <c r="T580" s="1012"/>
      <c r="U580" s="1011"/>
      <c r="V580" s="1012"/>
      <c r="W580" s="1013"/>
      <c r="X580" s="1014"/>
      <c r="Y580" s="1012"/>
      <c r="Z580" s="1012"/>
      <c r="AA580" s="1012"/>
      <c r="AB580" s="1012"/>
      <c r="AC580" s="1012"/>
      <c r="AD580" s="1012"/>
      <c r="AE580" s="1012"/>
      <c r="AF580" s="1012"/>
      <c r="AG580" s="1012"/>
      <c r="AH580" s="1012"/>
      <c r="AI580" s="1012"/>
      <c r="AJ580" s="1012"/>
      <c r="AK580" s="1012"/>
    </row>
    <row r="581">
      <c r="A581" s="1012"/>
      <c r="B581" s="1013"/>
      <c r="C581" s="1012"/>
      <c r="D581" s="1013"/>
      <c r="E581" s="1012"/>
      <c r="F581" s="1012"/>
      <c r="G581" s="1013"/>
      <c r="H581" s="1012"/>
      <c r="I581" s="1012"/>
      <c r="J581" s="1013"/>
      <c r="K581" s="1013"/>
      <c r="L581" s="1094"/>
      <c r="M581" s="1094"/>
      <c r="N581" s="1013"/>
      <c r="O581" s="1013"/>
      <c r="P581" s="1013"/>
      <c r="Q581" s="1013"/>
      <c r="R581" s="1013"/>
      <c r="S581" s="1013"/>
      <c r="T581" s="1012"/>
      <c r="U581" s="1011"/>
      <c r="V581" s="1012"/>
      <c r="W581" s="1013"/>
      <c r="X581" s="1014"/>
      <c r="Y581" s="1012"/>
      <c r="Z581" s="1012"/>
      <c r="AA581" s="1012"/>
      <c r="AB581" s="1012"/>
      <c r="AC581" s="1012"/>
      <c r="AD581" s="1012"/>
      <c r="AE581" s="1012"/>
      <c r="AF581" s="1012"/>
      <c r="AG581" s="1012"/>
      <c r="AH581" s="1012"/>
      <c r="AI581" s="1012"/>
      <c r="AJ581" s="1012"/>
      <c r="AK581" s="1012"/>
    </row>
    <row r="582">
      <c r="A582" s="1012"/>
      <c r="B582" s="1013"/>
      <c r="C582" s="1012"/>
      <c r="D582" s="1013"/>
      <c r="E582" s="1012"/>
      <c r="F582" s="1012"/>
      <c r="G582" s="1013"/>
      <c r="H582" s="1012"/>
      <c r="I582" s="1012"/>
      <c r="J582" s="1013"/>
      <c r="K582" s="1013"/>
      <c r="L582" s="1094"/>
      <c r="M582" s="1094"/>
      <c r="N582" s="1013"/>
      <c r="O582" s="1013"/>
      <c r="P582" s="1013"/>
      <c r="Q582" s="1013"/>
      <c r="R582" s="1013"/>
      <c r="S582" s="1013"/>
      <c r="T582" s="1012"/>
      <c r="U582" s="1011"/>
      <c r="V582" s="1012"/>
      <c r="W582" s="1013"/>
      <c r="X582" s="1014"/>
      <c r="Y582" s="1012"/>
      <c r="Z582" s="1012"/>
      <c r="AA582" s="1012"/>
      <c r="AB582" s="1012"/>
      <c r="AC582" s="1012"/>
      <c r="AD582" s="1012"/>
      <c r="AE582" s="1012"/>
      <c r="AF582" s="1012"/>
      <c r="AG582" s="1012"/>
      <c r="AH582" s="1012"/>
      <c r="AI582" s="1012"/>
      <c r="AJ582" s="1012"/>
      <c r="AK582" s="1012"/>
    </row>
    <row r="583">
      <c r="A583" s="1012"/>
      <c r="B583" s="1013"/>
      <c r="C583" s="1012"/>
      <c r="D583" s="1013"/>
      <c r="E583" s="1012"/>
      <c r="F583" s="1012"/>
      <c r="G583" s="1013"/>
      <c r="H583" s="1012"/>
      <c r="I583" s="1012"/>
      <c r="J583" s="1013"/>
      <c r="K583" s="1013"/>
      <c r="L583" s="1094"/>
      <c r="M583" s="1094"/>
      <c r="N583" s="1013"/>
      <c r="O583" s="1013"/>
      <c r="P583" s="1013"/>
      <c r="Q583" s="1013"/>
      <c r="R583" s="1013"/>
      <c r="S583" s="1013"/>
      <c r="T583" s="1012"/>
      <c r="U583" s="1011"/>
      <c r="V583" s="1012"/>
      <c r="W583" s="1013"/>
      <c r="X583" s="1014"/>
      <c r="Y583" s="1012"/>
      <c r="Z583" s="1012"/>
      <c r="AA583" s="1012"/>
      <c r="AB583" s="1012"/>
      <c r="AC583" s="1012"/>
      <c r="AD583" s="1012"/>
      <c r="AE583" s="1012"/>
      <c r="AF583" s="1012"/>
      <c r="AG583" s="1012"/>
      <c r="AH583" s="1012"/>
      <c r="AI583" s="1012"/>
      <c r="AJ583" s="1012"/>
      <c r="AK583" s="1012"/>
    </row>
    <row r="584">
      <c r="A584" s="1012"/>
      <c r="B584" s="1013"/>
      <c r="C584" s="1012"/>
      <c r="D584" s="1013"/>
      <c r="E584" s="1012"/>
      <c r="F584" s="1012"/>
      <c r="G584" s="1013"/>
      <c r="H584" s="1012"/>
      <c r="I584" s="1012"/>
      <c r="J584" s="1013"/>
      <c r="K584" s="1013"/>
      <c r="L584" s="1094"/>
      <c r="M584" s="1094"/>
      <c r="N584" s="1013"/>
      <c r="O584" s="1013"/>
      <c r="P584" s="1013"/>
      <c r="Q584" s="1013"/>
      <c r="R584" s="1013"/>
      <c r="S584" s="1013"/>
      <c r="T584" s="1012"/>
      <c r="U584" s="1011"/>
      <c r="V584" s="1012"/>
      <c r="W584" s="1013"/>
      <c r="X584" s="1014"/>
      <c r="Y584" s="1012"/>
      <c r="Z584" s="1012"/>
      <c r="AA584" s="1012"/>
      <c r="AB584" s="1012"/>
      <c r="AC584" s="1012"/>
      <c r="AD584" s="1012"/>
      <c r="AE584" s="1012"/>
      <c r="AF584" s="1012"/>
      <c r="AG584" s="1012"/>
      <c r="AH584" s="1012"/>
      <c r="AI584" s="1012"/>
      <c r="AJ584" s="1012"/>
      <c r="AK584" s="1012"/>
    </row>
    <row r="585">
      <c r="A585" s="1012"/>
      <c r="B585" s="1013"/>
      <c r="C585" s="1012"/>
      <c r="D585" s="1013"/>
      <c r="E585" s="1012"/>
      <c r="F585" s="1012"/>
      <c r="G585" s="1013"/>
      <c r="H585" s="1012"/>
      <c r="I585" s="1012"/>
      <c r="J585" s="1013"/>
      <c r="K585" s="1013"/>
      <c r="L585" s="1094"/>
      <c r="M585" s="1094"/>
      <c r="N585" s="1013"/>
      <c r="O585" s="1013"/>
      <c r="P585" s="1013"/>
      <c r="Q585" s="1013"/>
      <c r="R585" s="1013"/>
      <c r="S585" s="1013"/>
      <c r="T585" s="1012"/>
      <c r="U585" s="1011"/>
      <c r="V585" s="1012"/>
      <c r="W585" s="1013"/>
      <c r="X585" s="1014"/>
      <c r="Y585" s="1012"/>
      <c r="Z585" s="1012"/>
      <c r="AA585" s="1012"/>
      <c r="AB585" s="1012"/>
      <c r="AC585" s="1012"/>
      <c r="AD585" s="1012"/>
      <c r="AE585" s="1012"/>
      <c r="AF585" s="1012"/>
      <c r="AG585" s="1012"/>
      <c r="AH585" s="1012"/>
      <c r="AI585" s="1012"/>
      <c r="AJ585" s="1012"/>
      <c r="AK585" s="1012"/>
    </row>
    <row r="586">
      <c r="A586" s="1012"/>
      <c r="B586" s="1013"/>
      <c r="C586" s="1012"/>
      <c r="D586" s="1013"/>
      <c r="E586" s="1012"/>
      <c r="F586" s="1012"/>
      <c r="G586" s="1013"/>
      <c r="H586" s="1012"/>
      <c r="I586" s="1012"/>
      <c r="J586" s="1013"/>
      <c r="K586" s="1013"/>
      <c r="L586" s="1094"/>
      <c r="M586" s="1094"/>
      <c r="N586" s="1013"/>
      <c r="O586" s="1013"/>
      <c r="P586" s="1013"/>
      <c r="Q586" s="1013"/>
      <c r="R586" s="1013"/>
      <c r="S586" s="1013"/>
      <c r="T586" s="1012"/>
      <c r="U586" s="1011"/>
      <c r="V586" s="1012"/>
      <c r="W586" s="1013"/>
      <c r="X586" s="1014"/>
      <c r="Y586" s="1012"/>
      <c r="Z586" s="1012"/>
      <c r="AA586" s="1012"/>
      <c r="AB586" s="1012"/>
      <c r="AC586" s="1012"/>
      <c r="AD586" s="1012"/>
      <c r="AE586" s="1012"/>
      <c r="AF586" s="1012"/>
      <c r="AG586" s="1012"/>
      <c r="AH586" s="1012"/>
      <c r="AI586" s="1012"/>
      <c r="AJ586" s="1012"/>
      <c r="AK586" s="1012"/>
    </row>
    <row r="587">
      <c r="A587" s="1012"/>
      <c r="B587" s="1013"/>
      <c r="C587" s="1012"/>
      <c r="D587" s="1013"/>
      <c r="E587" s="1012"/>
      <c r="F587" s="1012"/>
      <c r="G587" s="1013"/>
      <c r="H587" s="1012"/>
      <c r="I587" s="1012"/>
      <c r="J587" s="1013"/>
      <c r="K587" s="1013"/>
      <c r="L587" s="1094"/>
      <c r="M587" s="1094"/>
      <c r="N587" s="1013"/>
      <c r="O587" s="1013"/>
      <c r="P587" s="1013"/>
      <c r="Q587" s="1013"/>
      <c r="R587" s="1013"/>
      <c r="S587" s="1013"/>
      <c r="T587" s="1012"/>
      <c r="U587" s="1011"/>
      <c r="V587" s="1012"/>
      <c r="W587" s="1013"/>
      <c r="X587" s="1014"/>
      <c r="Y587" s="1012"/>
      <c r="Z587" s="1012"/>
      <c r="AA587" s="1012"/>
      <c r="AB587" s="1012"/>
      <c r="AC587" s="1012"/>
      <c r="AD587" s="1012"/>
      <c r="AE587" s="1012"/>
      <c r="AF587" s="1012"/>
      <c r="AG587" s="1012"/>
      <c r="AH587" s="1012"/>
      <c r="AI587" s="1012"/>
      <c r="AJ587" s="1012"/>
      <c r="AK587" s="1012"/>
    </row>
    <row r="588">
      <c r="A588" s="1012"/>
      <c r="B588" s="1013"/>
      <c r="C588" s="1012"/>
      <c r="D588" s="1013"/>
      <c r="E588" s="1012"/>
      <c r="F588" s="1012"/>
      <c r="G588" s="1013"/>
      <c r="H588" s="1012"/>
      <c r="I588" s="1012"/>
      <c r="J588" s="1013"/>
      <c r="K588" s="1013"/>
      <c r="L588" s="1094"/>
      <c r="M588" s="1094"/>
      <c r="N588" s="1013"/>
      <c r="O588" s="1013"/>
      <c r="P588" s="1013"/>
      <c r="Q588" s="1013"/>
      <c r="R588" s="1013"/>
      <c r="S588" s="1013"/>
      <c r="T588" s="1012"/>
      <c r="U588" s="1011"/>
      <c r="V588" s="1012"/>
      <c r="W588" s="1013"/>
      <c r="X588" s="1014"/>
      <c r="Y588" s="1012"/>
      <c r="Z588" s="1012"/>
      <c r="AA588" s="1012"/>
      <c r="AB588" s="1012"/>
      <c r="AC588" s="1012"/>
      <c r="AD588" s="1012"/>
      <c r="AE588" s="1012"/>
      <c r="AF588" s="1012"/>
      <c r="AG588" s="1012"/>
      <c r="AH588" s="1012"/>
      <c r="AI588" s="1012"/>
      <c r="AJ588" s="1012"/>
      <c r="AK588" s="1012"/>
    </row>
    <row r="589">
      <c r="A589" s="1012"/>
      <c r="B589" s="1013"/>
      <c r="C589" s="1012"/>
      <c r="D589" s="1013"/>
      <c r="E589" s="1012"/>
      <c r="F589" s="1012"/>
      <c r="G589" s="1013"/>
      <c r="H589" s="1012"/>
      <c r="I589" s="1012"/>
      <c r="J589" s="1013"/>
      <c r="K589" s="1013"/>
      <c r="L589" s="1094"/>
      <c r="M589" s="1094"/>
      <c r="N589" s="1013"/>
      <c r="O589" s="1013"/>
      <c r="P589" s="1013"/>
      <c r="Q589" s="1013"/>
      <c r="R589" s="1013"/>
      <c r="S589" s="1013"/>
      <c r="T589" s="1012"/>
      <c r="U589" s="1011"/>
      <c r="V589" s="1012"/>
      <c r="W589" s="1013"/>
      <c r="X589" s="1014"/>
      <c r="Y589" s="1012"/>
      <c r="Z589" s="1012"/>
      <c r="AA589" s="1012"/>
      <c r="AB589" s="1012"/>
      <c r="AC589" s="1012"/>
      <c r="AD589" s="1012"/>
      <c r="AE589" s="1012"/>
      <c r="AF589" s="1012"/>
      <c r="AG589" s="1012"/>
      <c r="AH589" s="1012"/>
      <c r="AI589" s="1012"/>
      <c r="AJ589" s="1012"/>
      <c r="AK589" s="1012"/>
    </row>
    <row r="590">
      <c r="A590" s="1012"/>
      <c r="B590" s="1013"/>
      <c r="C590" s="1012"/>
      <c r="D590" s="1013"/>
      <c r="E590" s="1012"/>
      <c r="F590" s="1012"/>
      <c r="G590" s="1013"/>
      <c r="H590" s="1012"/>
      <c r="I590" s="1012"/>
      <c r="J590" s="1013"/>
      <c r="K590" s="1013"/>
      <c r="L590" s="1094"/>
      <c r="M590" s="1094"/>
      <c r="N590" s="1013"/>
      <c r="O590" s="1013"/>
      <c r="P590" s="1013"/>
      <c r="Q590" s="1013"/>
      <c r="R590" s="1013"/>
      <c r="S590" s="1013"/>
      <c r="T590" s="1012"/>
      <c r="U590" s="1011"/>
      <c r="V590" s="1012"/>
      <c r="W590" s="1013"/>
      <c r="X590" s="1014"/>
      <c r="Y590" s="1012"/>
      <c r="Z590" s="1012"/>
      <c r="AA590" s="1012"/>
      <c r="AB590" s="1012"/>
      <c r="AC590" s="1012"/>
      <c r="AD590" s="1012"/>
      <c r="AE590" s="1012"/>
      <c r="AF590" s="1012"/>
      <c r="AG590" s="1012"/>
      <c r="AH590" s="1012"/>
      <c r="AI590" s="1012"/>
      <c r="AJ590" s="1012"/>
      <c r="AK590" s="1012"/>
    </row>
    <row r="591">
      <c r="A591" s="1012"/>
      <c r="B591" s="1013"/>
      <c r="C591" s="1012"/>
      <c r="D591" s="1013"/>
      <c r="E591" s="1012"/>
      <c r="F591" s="1012"/>
      <c r="G591" s="1013"/>
      <c r="H591" s="1012"/>
      <c r="I591" s="1012"/>
      <c r="J591" s="1013"/>
      <c r="K591" s="1013"/>
      <c r="L591" s="1094"/>
      <c r="M591" s="1094"/>
      <c r="N591" s="1013"/>
      <c r="O591" s="1013"/>
      <c r="P591" s="1013"/>
      <c r="Q591" s="1013"/>
      <c r="R591" s="1013"/>
      <c r="S591" s="1013"/>
      <c r="T591" s="1012"/>
      <c r="U591" s="1011"/>
      <c r="V591" s="1012"/>
      <c r="W591" s="1013"/>
      <c r="X591" s="1014"/>
      <c r="Y591" s="1012"/>
      <c r="Z591" s="1012"/>
      <c r="AA591" s="1012"/>
      <c r="AB591" s="1012"/>
      <c r="AC591" s="1012"/>
      <c r="AD591" s="1012"/>
      <c r="AE591" s="1012"/>
      <c r="AF591" s="1012"/>
      <c r="AG591" s="1012"/>
      <c r="AH591" s="1012"/>
      <c r="AI591" s="1012"/>
      <c r="AJ591" s="1012"/>
      <c r="AK591" s="1012"/>
    </row>
    <row r="592">
      <c r="A592" s="1012"/>
      <c r="B592" s="1013"/>
      <c r="C592" s="1012"/>
      <c r="D592" s="1013"/>
      <c r="E592" s="1012"/>
      <c r="F592" s="1012"/>
      <c r="G592" s="1013"/>
      <c r="H592" s="1012"/>
      <c r="I592" s="1012"/>
      <c r="J592" s="1013"/>
      <c r="K592" s="1013"/>
      <c r="L592" s="1094"/>
      <c r="M592" s="1094"/>
      <c r="N592" s="1013"/>
      <c r="O592" s="1013"/>
      <c r="P592" s="1013"/>
      <c r="Q592" s="1013"/>
      <c r="R592" s="1013"/>
      <c r="S592" s="1013"/>
      <c r="T592" s="1012"/>
      <c r="U592" s="1011"/>
      <c r="V592" s="1012"/>
      <c r="W592" s="1013"/>
      <c r="X592" s="1014"/>
      <c r="Y592" s="1012"/>
      <c r="Z592" s="1012"/>
      <c r="AA592" s="1012"/>
      <c r="AB592" s="1012"/>
      <c r="AC592" s="1012"/>
      <c r="AD592" s="1012"/>
      <c r="AE592" s="1012"/>
      <c r="AF592" s="1012"/>
      <c r="AG592" s="1012"/>
      <c r="AH592" s="1012"/>
      <c r="AI592" s="1012"/>
      <c r="AJ592" s="1012"/>
      <c r="AK592" s="1012"/>
    </row>
    <row r="593">
      <c r="A593" s="1012"/>
      <c r="B593" s="1013"/>
      <c r="C593" s="1012"/>
      <c r="D593" s="1013"/>
      <c r="E593" s="1012"/>
      <c r="F593" s="1012"/>
      <c r="G593" s="1013"/>
      <c r="H593" s="1012"/>
      <c r="I593" s="1012"/>
      <c r="J593" s="1013"/>
      <c r="K593" s="1013"/>
      <c r="L593" s="1094"/>
      <c r="M593" s="1094"/>
      <c r="N593" s="1013"/>
      <c r="O593" s="1013"/>
      <c r="P593" s="1013"/>
      <c r="Q593" s="1013"/>
      <c r="R593" s="1013"/>
      <c r="S593" s="1013"/>
      <c r="T593" s="1012"/>
      <c r="U593" s="1011"/>
      <c r="V593" s="1012"/>
      <c r="W593" s="1013"/>
      <c r="X593" s="1014"/>
      <c r="Y593" s="1012"/>
      <c r="Z593" s="1012"/>
      <c r="AA593" s="1012"/>
      <c r="AB593" s="1012"/>
      <c r="AC593" s="1012"/>
      <c r="AD593" s="1012"/>
      <c r="AE593" s="1012"/>
      <c r="AF593" s="1012"/>
      <c r="AG593" s="1012"/>
      <c r="AH593" s="1012"/>
      <c r="AI593" s="1012"/>
      <c r="AJ593" s="1012"/>
      <c r="AK593" s="1012"/>
    </row>
    <row r="594">
      <c r="A594" s="1012"/>
      <c r="B594" s="1013"/>
      <c r="C594" s="1012"/>
      <c r="D594" s="1013"/>
      <c r="E594" s="1012"/>
      <c r="F594" s="1012"/>
      <c r="G594" s="1013"/>
      <c r="H594" s="1012"/>
      <c r="I594" s="1012"/>
      <c r="J594" s="1013"/>
      <c r="K594" s="1013"/>
      <c r="L594" s="1094"/>
      <c r="M594" s="1094"/>
      <c r="N594" s="1013"/>
      <c r="O594" s="1013"/>
      <c r="P594" s="1013"/>
      <c r="Q594" s="1013"/>
      <c r="R594" s="1013"/>
      <c r="S594" s="1013"/>
      <c r="T594" s="1012"/>
      <c r="U594" s="1011"/>
      <c r="V594" s="1012"/>
      <c r="W594" s="1013"/>
      <c r="X594" s="1014"/>
      <c r="Y594" s="1012"/>
      <c r="Z594" s="1012"/>
      <c r="AA594" s="1012"/>
      <c r="AB594" s="1012"/>
      <c r="AC594" s="1012"/>
      <c r="AD594" s="1012"/>
      <c r="AE594" s="1012"/>
      <c r="AF594" s="1012"/>
      <c r="AG594" s="1012"/>
      <c r="AH594" s="1012"/>
      <c r="AI594" s="1012"/>
      <c r="AJ594" s="1012"/>
      <c r="AK594" s="1012"/>
    </row>
    <row r="595">
      <c r="A595" s="1012"/>
      <c r="B595" s="1013"/>
      <c r="C595" s="1012"/>
      <c r="D595" s="1013"/>
      <c r="E595" s="1012"/>
      <c r="F595" s="1012"/>
      <c r="G595" s="1013"/>
      <c r="H595" s="1012"/>
      <c r="I595" s="1012"/>
      <c r="J595" s="1013"/>
      <c r="K595" s="1013"/>
      <c r="L595" s="1094"/>
      <c r="M595" s="1094"/>
      <c r="N595" s="1013"/>
      <c r="O595" s="1013"/>
      <c r="P595" s="1013"/>
      <c r="Q595" s="1013"/>
      <c r="R595" s="1013"/>
      <c r="S595" s="1013"/>
      <c r="T595" s="1012"/>
      <c r="U595" s="1011"/>
      <c r="V595" s="1012"/>
      <c r="W595" s="1013"/>
      <c r="X595" s="1014"/>
      <c r="Y595" s="1012"/>
      <c r="Z595" s="1012"/>
      <c r="AA595" s="1012"/>
      <c r="AB595" s="1012"/>
      <c r="AC595" s="1012"/>
      <c r="AD595" s="1012"/>
      <c r="AE595" s="1012"/>
      <c r="AF595" s="1012"/>
      <c r="AG595" s="1012"/>
      <c r="AH595" s="1012"/>
      <c r="AI595" s="1012"/>
      <c r="AJ595" s="1012"/>
      <c r="AK595" s="1012"/>
    </row>
    <row r="596">
      <c r="A596" s="1012"/>
      <c r="B596" s="1013"/>
      <c r="C596" s="1012"/>
      <c r="D596" s="1013"/>
      <c r="E596" s="1012"/>
      <c r="F596" s="1012"/>
      <c r="G596" s="1013"/>
      <c r="H596" s="1012"/>
      <c r="I596" s="1012"/>
      <c r="J596" s="1013"/>
      <c r="K596" s="1013"/>
      <c r="L596" s="1094"/>
      <c r="M596" s="1094"/>
      <c r="N596" s="1013"/>
      <c r="O596" s="1013"/>
      <c r="P596" s="1013"/>
      <c r="Q596" s="1013"/>
      <c r="R596" s="1013"/>
      <c r="S596" s="1013"/>
      <c r="T596" s="1012"/>
      <c r="U596" s="1011"/>
      <c r="V596" s="1012"/>
      <c r="W596" s="1013"/>
      <c r="X596" s="1014"/>
      <c r="Y596" s="1012"/>
      <c r="Z596" s="1012"/>
      <c r="AA596" s="1012"/>
      <c r="AB596" s="1012"/>
      <c r="AC596" s="1012"/>
      <c r="AD596" s="1012"/>
      <c r="AE596" s="1012"/>
      <c r="AF596" s="1012"/>
      <c r="AG596" s="1012"/>
      <c r="AH596" s="1012"/>
      <c r="AI596" s="1012"/>
      <c r="AJ596" s="1012"/>
      <c r="AK596" s="1012"/>
    </row>
    <row r="597">
      <c r="A597" s="1012"/>
      <c r="B597" s="1013"/>
      <c r="C597" s="1012"/>
      <c r="D597" s="1013"/>
      <c r="E597" s="1012"/>
      <c r="F597" s="1012"/>
      <c r="G597" s="1013"/>
      <c r="H597" s="1012"/>
      <c r="I597" s="1012"/>
      <c r="J597" s="1013"/>
      <c r="K597" s="1013"/>
      <c r="L597" s="1094"/>
      <c r="M597" s="1094"/>
      <c r="N597" s="1013"/>
      <c r="O597" s="1013"/>
      <c r="P597" s="1013"/>
      <c r="Q597" s="1013"/>
      <c r="R597" s="1013"/>
      <c r="S597" s="1013"/>
      <c r="T597" s="1012"/>
      <c r="U597" s="1011"/>
      <c r="V597" s="1012"/>
      <c r="W597" s="1013"/>
      <c r="X597" s="1014"/>
      <c r="Y597" s="1012"/>
      <c r="Z597" s="1012"/>
      <c r="AA597" s="1012"/>
      <c r="AB597" s="1012"/>
      <c r="AC597" s="1012"/>
      <c r="AD597" s="1012"/>
      <c r="AE597" s="1012"/>
      <c r="AF597" s="1012"/>
      <c r="AG597" s="1012"/>
      <c r="AH597" s="1012"/>
      <c r="AI597" s="1012"/>
      <c r="AJ597" s="1012"/>
      <c r="AK597" s="1012"/>
    </row>
    <row r="598">
      <c r="A598" s="1012"/>
      <c r="B598" s="1013"/>
      <c r="C598" s="1012"/>
      <c r="D598" s="1013"/>
      <c r="E598" s="1012"/>
      <c r="F598" s="1012"/>
      <c r="G598" s="1013"/>
      <c r="H598" s="1012"/>
      <c r="I598" s="1012"/>
      <c r="J598" s="1013"/>
      <c r="K598" s="1013"/>
      <c r="L598" s="1094"/>
      <c r="M598" s="1094"/>
      <c r="N598" s="1013"/>
      <c r="O598" s="1013"/>
      <c r="P598" s="1013"/>
      <c r="Q598" s="1013"/>
      <c r="R598" s="1013"/>
      <c r="S598" s="1013"/>
      <c r="T598" s="1012"/>
      <c r="U598" s="1011"/>
      <c r="V598" s="1012"/>
      <c r="W598" s="1013"/>
      <c r="X598" s="1014"/>
      <c r="Y598" s="1012"/>
      <c r="Z598" s="1012"/>
      <c r="AA598" s="1012"/>
      <c r="AB598" s="1012"/>
      <c r="AC598" s="1012"/>
      <c r="AD598" s="1012"/>
      <c r="AE598" s="1012"/>
      <c r="AF598" s="1012"/>
      <c r="AG598" s="1012"/>
      <c r="AH598" s="1012"/>
      <c r="AI598" s="1012"/>
      <c r="AJ598" s="1012"/>
      <c r="AK598" s="1012"/>
    </row>
    <row r="599">
      <c r="A599" s="1012"/>
      <c r="B599" s="1013"/>
      <c r="C599" s="1012"/>
      <c r="D599" s="1013"/>
      <c r="E599" s="1012"/>
      <c r="F599" s="1012"/>
      <c r="G599" s="1013"/>
      <c r="H599" s="1012"/>
      <c r="I599" s="1012"/>
      <c r="J599" s="1013"/>
      <c r="K599" s="1013"/>
      <c r="L599" s="1094"/>
      <c r="M599" s="1094"/>
      <c r="N599" s="1013"/>
      <c r="O599" s="1013"/>
      <c r="P599" s="1013"/>
      <c r="Q599" s="1013"/>
      <c r="R599" s="1013"/>
      <c r="S599" s="1013"/>
      <c r="T599" s="1012"/>
      <c r="U599" s="1011"/>
      <c r="V599" s="1012"/>
      <c r="W599" s="1013"/>
      <c r="X599" s="1014"/>
      <c r="Y599" s="1012"/>
      <c r="Z599" s="1012"/>
      <c r="AA599" s="1012"/>
      <c r="AB599" s="1012"/>
      <c r="AC599" s="1012"/>
      <c r="AD599" s="1012"/>
      <c r="AE599" s="1012"/>
      <c r="AF599" s="1012"/>
      <c r="AG599" s="1012"/>
      <c r="AH599" s="1012"/>
      <c r="AI599" s="1012"/>
      <c r="AJ599" s="1012"/>
      <c r="AK599" s="1012"/>
    </row>
    <row r="600">
      <c r="A600" s="1012"/>
      <c r="B600" s="1013"/>
      <c r="C600" s="1012"/>
      <c r="D600" s="1013"/>
      <c r="E600" s="1012"/>
      <c r="F600" s="1012"/>
      <c r="G600" s="1013"/>
      <c r="H600" s="1012"/>
      <c r="I600" s="1012"/>
      <c r="J600" s="1013"/>
      <c r="K600" s="1013"/>
      <c r="L600" s="1094"/>
      <c r="M600" s="1094"/>
      <c r="N600" s="1013"/>
      <c r="O600" s="1013"/>
      <c r="P600" s="1013"/>
      <c r="Q600" s="1013"/>
      <c r="R600" s="1013"/>
      <c r="S600" s="1013"/>
      <c r="T600" s="1012"/>
      <c r="U600" s="1011"/>
      <c r="V600" s="1012"/>
      <c r="W600" s="1013"/>
      <c r="X600" s="1014"/>
      <c r="Y600" s="1012"/>
      <c r="Z600" s="1012"/>
      <c r="AA600" s="1012"/>
      <c r="AB600" s="1012"/>
      <c r="AC600" s="1012"/>
      <c r="AD600" s="1012"/>
      <c r="AE600" s="1012"/>
      <c r="AF600" s="1012"/>
      <c r="AG600" s="1012"/>
      <c r="AH600" s="1012"/>
      <c r="AI600" s="1012"/>
      <c r="AJ600" s="1012"/>
      <c r="AK600" s="1012"/>
    </row>
    <row r="601">
      <c r="A601" s="1012"/>
      <c r="B601" s="1013"/>
      <c r="C601" s="1012"/>
      <c r="D601" s="1013"/>
      <c r="E601" s="1012"/>
      <c r="F601" s="1012"/>
      <c r="G601" s="1013"/>
      <c r="H601" s="1012"/>
      <c r="I601" s="1012"/>
      <c r="J601" s="1013"/>
      <c r="K601" s="1013"/>
      <c r="L601" s="1094"/>
      <c r="M601" s="1094"/>
      <c r="N601" s="1013"/>
      <c r="O601" s="1013"/>
      <c r="P601" s="1013"/>
      <c r="Q601" s="1013"/>
      <c r="R601" s="1013"/>
      <c r="S601" s="1013"/>
      <c r="T601" s="1012"/>
      <c r="U601" s="1011"/>
      <c r="V601" s="1012"/>
      <c r="W601" s="1013"/>
      <c r="X601" s="1014"/>
      <c r="Y601" s="1012"/>
      <c r="Z601" s="1012"/>
      <c r="AA601" s="1012"/>
      <c r="AB601" s="1012"/>
      <c r="AC601" s="1012"/>
      <c r="AD601" s="1012"/>
      <c r="AE601" s="1012"/>
      <c r="AF601" s="1012"/>
      <c r="AG601" s="1012"/>
      <c r="AH601" s="1012"/>
      <c r="AI601" s="1012"/>
      <c r="AJ601" s="1012"/>
      <c r="AK601" s="1012"/>
    </row>
    <row r="602">
      <c r="A602" s="1012"/>
      <c r="B602" s="1013"/>
      <c r="C602" s="1012"/>
      <c r="D602" s="1013"/>
      <c r="E602" s="1012"/>
      <c r="F602" s="1012"/>
      <c r="G602" s="1013"/>
      <c r="H602" s="1012"/>
      <c r="I602" s="1012"/>
      <c r="J602" s="1013"/>
      <c r="K602" s="1013"/>
      <c r="L602" s="1094"/>
      <c r="M602" s="1094"/>
      <c r="N602" s="1013"/>
      <c r="O602" s="1013"/>
      <c r="P602" s="1013"/>
      <c r="Q602" s="1013"/>
      <c r="R602" s="1013"/>
      <c r="S602" s="1013"/>
      <c r="T602" s="1012"/>
      <c r="U602" s="1011"/>
      <c r="V602" s="1012"/>
      <c r="W602" s="1013"/>
      <c r="X602" s="1014"/>
      <c r="Y602" s="1012"/>
      <c r="Z602" s="1012"/>
      <c r="AA602" s="1012"/>
      <c r="AB602" s="1012"/>
      <c r="AC602" s="1012"/>
      <c r="AD602" s="1012"/>
      <c r="AE602" s="1012"/>
      <c r="AF602" s="1012"/>
      <c r="AG602" s="1012"/>
      <c r="AH602" s="1012"/>
      <c r="AI602" s="1012"/>
      <c r="AJ602" s="1012"/>
      <c r="AK602" s="1012"/>
    </row>
    <row r="603">
      <c r="A603" s="1012"/>
      <c r="B603" s="1013"/>
      <c r="C603" s="1012"/>
      <c r="D603" s="1013"/>
      <c r="E603" s="1012"/>
      <c r="F603" s="1012"/>
      <c r="G603" s="1013"/>
      <c r="H603" s="1012"/>
      <c r="I603" s="1012"/>
      <c r="J603" s="1013"/>
      <c r="K603" s="1013"/>
      <c r="L603" s="1094"/>
      <c r="M603" s="1094"/>
      <c r="N603" s="1013"/>
      <c r="O603" s="1013"/>
      <c r="P603" s="1013"/>
      <c r="Q603" s="1013"/>
      <c r="R603" s="1013"/>
      <c r="S603" s="1013"/>
      <c r="T603" s="1012"/>
      <c r="U603" s="1011"/>
      <c r="V603" s="1012"/>
      <c r="W603" s="1013"/>
      <c r="X603" s="1014"/>
      <c r="Y603" s="1012"/>
      <c r="Z603" s="1012"/>
      <c r="AA603" s="1012"/>
      <c r="AB603" s="1012"/>
      <c r="AC603" s="1012"/>
      <c r="AD603" s="1012"/>
      <c r="AE603" s="1012"/>
      <c r="AF603" s="1012"/>
      <c r="AG603" s="1012"/>
      <c r="AH603" s="1012"/>
      <c r="AI603" s="1012"/>
      <c r="AJ603" s="1012"/>
      <c r="AK603" s="1012"/>
    </row>
    <row r="604">
      <c r="A604" s="1012"/>
      <c r="B604" s="1013"/>
      <c r="C604" s="1012"/>
      <c r="D604" s="1013"/>
      <c r="E604" s="1012"/>
      <c r="F604" s="1012"/>
      <c r="G604" s="1013"/>
      <c r="H604" s="1012"/>
      <c r="I604" s="1012"/>
      <c r="J604" s="1013"/>
      <c r="K604" s="1013"/>
      <c r="L604" s="1094"/>
      <c r="M604" s="1094"/>
      <c r="N604" s="1013"/>
      <c r="O604" s="1013"/>
      <c r="P604" s="1013"/>
      <c r="Q604" s="1013"/>
      <c r="R604" s="1013"/>
      <c r="S604" s="1013"/>
      <c r="T604" s="1012"/>
      <c r="U604" s="1011"/>
      <c r="V604" s="1012"/>
      <c r="W604" s="1013"/>
      <c r="X604" s="1014"/>
      <c r="Y604" s="1012"/>
      <c r="Z604" s="1012"/>
      <c r="AA604" s="1012"/>
      <c r="AB604" s="1012"/>
      <c r="AC604" s="1012"/>
      <c r="AD604" s="1012"/>
      <c r="AE604" s="1012"/>
      <c r="AF604" s="1012"/>
      <c r="AG604" s="1012"/>
      <c r="AH604" s="1012"/>
      <c r="AI604" s="1012"/>
      <c r="AJ604" s="1012"/>
      <c r="AK604" s="1012"/>
    </row>
    <row r="605">
      <c r="A605" s="1012"/>
      <c r="B605" s="1013"/>
      <c r="C605" s="1012"/>
      <c r="D605" s="1013"/>
      <c r="E605" s="1012"/>
      <c r="F605" s="1012"/>
      <c r="G605" s="1013"/>
      <c r="H605" s="1012"/>
      <c r="I605" s="1012"/>
      <c r="J605" s="1013"/>
      <c r="K605" s="1013"/>
      <c r="L605" s="1094"/>
      <c r="M605" s="1094"/>
      <c r="N605" s="1013"/>
      <c r="O605" s="1013"/>
      <c r="P605" s="1013"/>
      <c r="Q605" s="1013"/>
      <c r="R605" s="1013"/>
      <c r="S605" s="1013"/>
      <c r="T605" s="1012"/>
      <c r="U605" s="1011"/>
      <c r="V605" s="1012"/>
      <c r="W605" s="1013"/>
      <c r="X605" s="1014"/>
      <c r="Y605" s="1012"/>
      <c r="Z605" s="1012"/>
      <c r="AA605" s="1012"/>
      <c r="AB605" s="1012"/>
      <c r="AC605" s="1012"/>
      <c r="AD605" s="1012"/>
      <c r="AE605" s="1012"/>
      <c r="AF605" s="1012"/>
      <c r="AG605" s="1012"/>
      <c r="AH605" s="1012"/>
      <c r="AI605" s="1012"/>
      <c r="AJ605" s="1012"/>
      <c r="AK605" s="1012"/>
    </row>
    <row r="606">
      <c r="A606" s="1012"/>
      <c r="B606" s="1013"/>
      <c r="C606" s="1012"/>
      <c r="D606" s="1013"/>
      <c r="E606" s="1012"/>
      <c r="F606" s="1012"/>
      <c r="G606" s="1013"/>
      <c r="H606" s="1012"/>
      <c r="I606" s="1012"/>
      <c r="J606" s="1013"/>
      <c r="K606" s="1013"/>
      <c r="L606" s="1094"/>
      <c r="M606" s="1094"/>
      <c r="N606" s="1013"/>
      <c r="O606" s="1013"/>
      <c r="P606" s="1013"/>
      <c r="Q606" s="1013"/>
      <c r="R606" s="1013"/>
      <c r="S606" s="1013"/>
      <c r="T606" s="1012"/>
      <c r="U606" s="1011"/>
      <c r="V606" s="1012"/>
      <c r="W606" s="1013"/>
      <c r="X606" s="1014"/>
      <c r="Y606" s="1012"/>
      <c r="Z606" s="1012"/>
      <c r="AA606" s="1012"/>
      <c r="AB606" s="1012"/>
      <c r="AC606" s="1012"/>
      <c r="AD606" s="1012"/>
      <c r="AE606" s="1012"/>
      <c r="AF606" s="1012"/>
      <c r="AG606" s="1012"/>
      <c r="AH606" s="1012"/>
      <c r="AI606" s="1012"/>
      <c r="AJ606" s="1012"/>
      <c r="AK606" s="1012"/>
    </row>
    <row r="607">
      <c r="A607" s="1012"/>
      <c r="B607" s="1013"/>
      <c r="C607" s="1012"/>
      <c r="D607" s="1013"/>
      <c r="E607" s="1012"/>
      <c r="F607" s="1012"/>
      <c r="G607" s="1013"/>
      <c r="H607" s="1012"/>
      <c r="I607" s="1012"/>
      <c r="J607" s="1013"/>
      <c r="K607" s="1013"/>
      <c r="L607" s="1094"/>
      <c r="M607" s="1094"/>
      <c r="N607" s="1013"/>
      <c r="O607" s="1013"/>
      <c r="P607" s="1013"/>
      <c r="Q607" s="1013"/>
      <c r="R607" s="1013"/>
      <c r="S607" s="1013"/>
      <c r="T607" s="1012"/>
      <c r="U607" s="1011"/>
      <c r="V607" s="1012"/>
      <c r="W607" s="1013"/>
      <c r="X607" s="1014"/>
      <c r="Y607" s="1012"/>
      <c r="Z607" s="1012"/>
      <c r="AA607" s="1012"/>
      <c r="AB607" s="1012"/>
      <c r="AC607" s="1012"/>
      <c r="AD607" s="1012"/>
      <c r="AE607" s="1012"/>
      <c r="AF607" s="1012"/>
      <c r="AG607" s="1012"/>
      <c r="AH607" s="1012"/>
      <c r="AI607" s="1012"/>
      <c r="AJ607" s="1012"/>
      <c r="AK607" s="1012"/>
    </row>
    <row r="608">
      <c r="A608" s="1012"/>
      <c r="B608" s="1013"/>
      <c r="C608" s="1012"/>
      <c r="D608" s="1013"/>
      <c r="E608" s="1012"/>
      <c r="F608" s="1012"/>
      <c r="G608" s="1013"/>
      <c r="H608" s="1012"/>
      <c r="I608" s="1012"/>
      <c r="J608" s="1013"/>
      <c r="K608" s="1013"/>
      <c r="L608" s="1094"/>
      <c r="M608" s="1094"/>
      <c r="N608" s="1013"/>
      <c r="O608" s="1013"/>
      <c r="P608" s="1013"/>
      <c r="Q608" s="1013"/>
      <c r="R608" s="1013"/>
      <c r="S608" s="1013"/>
      <c r="T608" s="1012"/>
      <c r="U608" s="1011"/>
      <c r="V608" s="1012"/>
      <c r="W608" s="1013"/>
      <c r="X608" s="1014"/>
      <c r="Y608" s="1012"/>
      <c r="Z608" s="1012"/>
      <c r="AA608" s="1012"/>
      <c r="AB608" s="1012"/>
      <c r="AC608" s="1012"/>
      <c r="AD608" s="1012"/>
      <c r="AE608" s="1012"/>
      <c r="AF608" s="1012"/>
      <c r="AG608" s="1012"/>
      <c r="AH608" s="1012"/>
      <c r="AI608" s="1012"/>
      <c r="AJ608" s="1012"/>
      <c r="AK608" s="1012"/>
    </row>
    <row r="609">
      <c r="A609" s="1012"/>
      <c r="B609" s="1013"/>
      <c r="C609" s="1012"/>
      <c r="D609" s="1013"/>
      <c r="E609" s="1012"/>
      <c r="F609" s="1012"/>
      <c r="G609" s="1013"/>
      <c r="H609" s="1012"/>
      <c r="I609" s="1012"/>
      <c r="J609" s="1013"/>
      <c r="K609" s="1013"/>
      <c r="L609" s="1094"/>
      <c r="M609" s="1094"/>
      <c r="N609" s="1013"/>
      <c r="O609" s="1013"/>
      <c r="P609" s="1013"/>
      <c r="Q609" s="1013"/>
      <c r="R609" s="1013"/>
      <c r="S609" s="1013"/>
      <c r="T609" s="1012"/>
      <c r="U609" s="1011"/>
      <c r="V609" s="1012"/>
      <c r="W609" s="1013"/>
      <c r="X609" s="1014"/>
      <c r="Y609" s="1012"/>
      <c r="Z609" s="1012"/>
      <c r="AA609" s="1012"/>
      <c r="AB609" s="1012"/>
      <c r="AC609" s="1012"/>
      <c r="AD609" s="1012"/>
      <c r="AE609" s="1012"/>
      <c r="AF609" s="1012"/>
      <c r="AG609" s="1012"/>
      <c r="AH609" s="1012"/>
      <c r="AI609" s="1012"/>
      <c r="AJ609" s="1012"/>
      <c r="AK609" s="1012"/>
    </row>
    <row r="610">
      <c r="A610" s="1012"/>
      <c r="B610" s="1013"/>
      <c r="C610" s="1012"/>
      <c r="D610" s="1013"/>
      <c r="E610" s="1012"/>
      <c r="F610" s="1012"/>
      <c r="G610" s="1013"/>
      <c r="H610" s="1012"/>
      <c r="I610" s="1012"/>
      <c r="J610" s="1013"/>
      <c r="K610" s="1013"/>
      <c r="L610" s="1094"/>
      <c r="M610" s="1094"/>
      <c r="N610" s="1013"/>
      <c r="O610" s="1013"/>
      <c r="P610" s="1013"/>
      <c r="Q610" s="1013"/>
      <c r="R610" s="1013"/>
      <c r="S610" s="1013"/>
      <c r="T610" s="1012"/>
      <c r="U610" s="1011"/>
      <c r="V610" s="1012"/>
      <c r="W610" s="1013"/>
      <c r="X610" s="1014"/>
      <c r="Y610" s="1012"/>
      <c r="Z610" s="1012"/>
      <c r="AA610" s="1012"/>
      <c r="AB610" s="1012"/>
      <c r="AC610" s="1012"/>
      <c r="AD610" s="1012"/>
      <c r="AE610" s="1012"/>
      <c r="AF610" s="1012"/>
      <c r="AG610" s="1012"/>
      <c r="AH610" s="1012"/>
      <c r="AI610" s="1012"/>
      <c r="AJ610" s="1012"/>
      <c r="AK610" s="1012"/>
    </row>
    <row r="611">
      <c r="A611" s="1012"/>
      <c r="B611" s="1013"/>
      <c r="C611" s="1012"/>
      <c r="D611" s="1013"/>
      <c r="E611" s="1012"/>
      <c r="F611" s="1012"/>
      <c r="G611" s="1013"/>
      <c r="H611" s="1012"/>
      <c r="I611" s="1012"/>
      <c r="J611" s="1013"/>
      <c r="K611" s="1013"/>
      <c r="L611" s="1094"/>
      <c r="M611" s="1094"/>
      <c r="N611" s="1013"/>
      <c r="O611" s="1013"/>
      <c r="P611" s="1013"/>
      <c r="Q611" s="1013"/>
      <c r="R611" s="1013"/>
      <c r="S611" s="1013"/>
      <c r="T611" s="1012"/>
      <c r="U611" s="1011"/>
      <c r="V611" s="1012"/>
      <c r="W611" s="1013"/>
      <c r="X611" s="1014"/>
      <c r="Y611" s="1012"/>
      <c r="Z611" s="1012"/>
      <c r="AA611" s="1012"/>
      <c r="AB611" s="1012"/>
      <c r="AC611" s="1012"/>
      <c r="AD611" s="1012"/>
      <c r="AE611" s="1012"/>
      <c r="AF611" s="1012"/>
      <c r="AG611" s="1012"/>
      <c r="AH611" s="1012"/>
      <c r="AI611" s="1012"/>
      <c r="AJ611" s="1012"/>
      <c r="AK611" s="1012"/>
    </row>
    <row r="612">
      <c r="A612" s="1012"/>
      <c r="B612" s="1013"/>
      <c r="C612" s="1012"/>
      <c r="D612" s="1013"/>
      <c r="E612" s="1012"/>
      <c r="F612" s="1012"/>
      <c r="G612" s="1013"/>
      <c r="H612" s="1012"/>
      <c r="I612" s="1012"/>
      <c r="J612" s="1013"/>
      <c r="K612" s="1013"/>
      <c r="L612" s="1094"/>
      <c r="M612" s="1094"/>
      <c r="N612" s="1013"/>
      <c r="O612" s="1013"/>
      <c r="P612" s="1013"/>
      <c r="Q612" s="1013"/>
      <c r="R612" s="1013"/>
      <c r="S612" s="1013"/>
      <c r="T612" s="1012"/>
      <c r="U612" s="1011"/>
      <c r="V612" s="1012"/>
      <c r="W612" s="1013"/>
      <c r="X612" s="1014"/>
      <c r="Y612" s="1012"/>
      <c r="Z612" s="1012"/>
      <c r="AA612" s="1012"/>
      <c r="AB612" s="1012"/>
      <c r="AC612" s="1012"/>
      <c r="AD612" s="1012"/>
      <c r="AE612" s="1012"/>
      <c r="AF612" s="1012"/>
      <c r="AG612" s="1012"/>
      <c r="AH612" s="1012"/>
      <c r="AI612" s="1012"/>
      <c r="AJ612" s="1012"/>
      <c r="AK612" s="1012"/>
    </row>
    <row r="613">
      <c r="A613" s="1012"/>
      <c r="B613" s="1013"/>
      <c r="C613" s="1012"/>
      <c r="D613" s="1013"/>
      <c r="E613" s="1012"/>
      <c r="F613" s="1012"/>
      <c r="G613" s="1013"/>
      <c r="H613" s="1012"/>
      <c r="I613" s="1012"/>
      <c r="J613" s="1013"/>
      <c r="K613" s="1013"/>
      <c r="L613" s="1094"/>
      <c r="M613" s="1094"/>
      <c r="N613" s="1013"/>
      <c r="O613" s="1013"/>
      <c r="P613" s="1013"/>
      <c r="Q613" s="1013"/>
      <c r="R613" s="1013"/>
      <c r="S613" s="1013"/>
      <c r="T613" s="1012"/>
      <c r="U613" s="1011"/>
      <c r="V613" s="1012"/>
      <c r="W613" s="1013"/>
      <c r="X613" s="1014"/>
      <c r="Y613" s="1012"/>
      <c r="Z613" s="1012"/>
      <c r="AA613" s="1012"/>
      <c r="AB613" s="1012"/>
      <c r="AC613" s="1012"/>
      <c r="AD613" s="1012"/>
      <c r="AE613" s="1012"/>
      <c r="AF613" s="1012"/>
      <c r="AG613" s="1012"/>
      <c r="AH613" s="1012"/>
      <c r="AI613" s="1012"/>
      <c r="AJ613" s="1012"/>
      <c r="AK613" s="1012"/>
    </row>
    <row r="614">
      <c r="A614" s="1012"/>
      <c r="B614" s="1013"/>
      <c r="C614" s="1012"/>
      <c r="D614" s="1013"/>
      <c r="E614" s="1012"/>
      <c r="F614" s="1012"/>
      <c r="G614" s="1013"/>
      <c r="H614" s="1012"/>
      <c r="I614" s="1012"/>
      <c r="J614" s="1013"/>
      <c r="K614" s="1013"/>
      <c r="L614" s="1094"/>
      <c r="M614" s="1094"/>
      <c r="N614" s="1013"/>
      <c r="O614" s="1013"/>
      <c r="P614" s="1013"/>
      <c r="Q614" s="1013"/>
      <c r="R614" s="1013"/>
      <c r="S614" s="1013"/>
      <c r="T614" s="1012"/>
      <c r="U614" s="1011"/>
      <c r="V614" s="1012"/>
      <c r="W614" s="1013"/>
      <c r="X614" s="1014"/>
      <c r="Y614" s="1012"/>
      <c r="Z614" s="1012"/>
      <c r="AA614" s="1012"/>
      <c r="AB614" s="1012"/>
      <c r="AC614" s="1012"/>
      <c r="AD614" s="1012"/>
      <c r="AE614" s="1012"/>
      <c r="AF614" s="1012"/>
      <c r="AG614" s="1012"/>
      <c r="AH614" s="1012"/>
      <c r="AI614" s="1012"/>
      <c r="AJ614" s="1012"/>
      <c r="AK614" s="1012"/>
    </row>
    <row r="615">
      <c r="A615" s="1012"/>
      <c r="B615" s="1013"/>
      <c r="C615" s="1012"/>
      <c r="D615" s="1013"/>
      <c r="E615" s="1012"/>
      <c r="F615" s="1012"/>
      <c r="G615" s="1013"/>
      <c r="H615" s="1012"/>
      <c r="I615" s="1012"/>
      <c r="J615" s="1013"/>
      <c r="K615" s="1013"/>
      <c r="L615" s="1094"/>
      <c r="M615" s="1094"/>
      <c r="N615" s="1013"/>
      <c r="O615" s="1013"/>
      <c r="P615" s="1013"/>
      <c r="Q615" s="1013"/>
      <c r="R615" s="1013"/>
      <c r="S615" s="1013"/>
      <c r="T615" s="1012"/>
      <c r="U615" s="1011"/>
      <c r="V615" s="1012"/>
      <c r="W615" s="1013"/>
      <c r="X615" s="1014"/>
      <c r="Y615" s="1012"/>
      <c r="Z615" s="1012"/>
      <c r="AA615" s="1012"/>
      <c r="AB615" s="1012"/>
      <c r="AC615" s="1012"/>
      <c r="AD615" s="1012"/>
      <c r="AE615" s="1012"/>
      <c r="AF615" s="1012"/>
      <c r="AG615" s="1012"/>
      <c r="AH615" s="1012"/>
      <c r="AI615" s="1012"/>
      <c r="AJ615" s="1012"/>
      <c r="AK615" s="1012"/>
    </row>
    <row r="616">
      <c r="A616" s="1012"/>
      <c r="B616" s="1013"/>
      <c r="C616" s="1012"/>
      <c r="D616" s="1013"/>
      <c r="E616" s="1012"/>
      <c r="F616" s="1012"/>
      <c r="G616" s="1013"/>
      <c r="H616" s="1012"/>
      <c r="I616" s="1012"/>
      <c r="J616" s="1013"/>
      <c r="K616" s="1013"/>
      <c r="L616" s="1094"/>
      <c r="M616" s="1094"/>
      <c r="N616" s="1013"/>
      <c r="O616" s="1013"/>
      <c r="P616" s="1013"/>
      <c r="Q616" s="1013"/>
      <c r="R616" s="1013"/>
      <c r="S616" s="1013"/>
      <c r="T616" s="1012"/>
      <c r="U616" s="1011"/>
      <c r="V616" s="1012"/>
      <c r="W616" s="1013"/>
      <c r="X616" s="1014"/>
      <c r="Y616" s="1012"/>
      <c r="Z616" s="1012"/>
      <c r="AA616" s="1012"/>
      <c r="AB616" s="1012"/>
      <c r="AC616" s="1012"/>
      <c r="AD616" s="1012"/>
      <c r="AE616" s="1012"/>
      <c r="AF616" s="1012"/>
      <c r="AG616" s="1012"/>
      <c r="AH616" s="1012"/>
      <c r="AI616" s="1012"/>
      <c r="AJ616" s="1012"/>
      <c r="AK616" s="1012"/>
    </row>
    <row r="617">
      <c r="A617" s="1012"/>
      <c r="B617" s="1013"/>
      <c r="C617" s="1012"/>
      <c r="D617" s="1013"/>
      <c r="E617" s="1012"/>
      <c r="F617" s="1012"/>
      <c r="G617" s="1013"/>
      <c r="H617" s="1012"/>
      <c r="I617" s="1012"/>
      <c r="J617" s="1013"/>
      <c r="K617" s="1013"/>
      <c r="L617" s="1094"/>
      <c r="M617" s="1094"/>
      <c r="N617" s="1013"/>
      <c r="O617" s="1013"/>
      <c r="P617" s="1013"/>
      <c r="Q617" s="1013"/>
      <c r="R617" s="1013"/>
      <c r="S617" s="1013"/>
      <c r="T617" s="1012"/>
      <c r="U617" s="1011"/>
      <c r="V617" s="1012"/>
      <c r="W617" s="1013"/>
      <c r="X617" s="1014"/>
      <c r="Y617" s="1012"/>
      <c r="Z617" s="1012"/>
      <c r="AA617" s="1012"/>
      <c r="AB617" s="1012"/>
      <c r="AC617" s="1012"/>
      <c r="AD617" s="1012"/>
      <c r="AE617" s="1012"/>
      <c r="AF617" s="1012"/>
      <c r="AG617" s="1012"/>
      <c r="AH617" s="1012"/>
      <c r="AI617" s="1012"/>
      <c r="AJ617" s="1012"/>
      <c r="AK617" s="1012"/>
    </row>
    <row r="618">
      <c r="A618" s="1012"/>
      <c r="B618" s="1013"/>
      <c r="C618" s="1012"/>
      <c r="D618" s="1013"/>
      <c r="E618" s="1012"/>
      <c r="F618" s="1012"/>
      <c r="G618" s="1013"/>
      <c r="H618" s="1012"/>
      <c r="I618" s="1012"/>
      <c r="J618" s="1013"/>
      <c r="K618" s="1013"/>
      <c r="L618" s="1094"/>
      <c r="M618" s="1094"/>
      <c r="N618" s="1013"/>
      <c r="O618" s="1013"/>
      <c r="P618" s="1013"/>
      <c r="Q618" s="1013"/>
      <c r="R618" s="1013"/>
      <c r="S618" s="1013"/>
      <c r="T618" s="1012"/>
      <c r="U618" s="1011"/>
      <c r="V618" s="1012"/>
      <c r="W618" s="1013"/>
      <c r="X618" s="1014"/>
      <c r="Y618" s="1012"/>
      <c r="Z618" s="1012"/>
      <c r="AA618" s="1012"/>
      <c r="AB618" s="1012"/>
      <c r="AC618" s="1012"/>
      <c r="AD618" s="1012"/>
      <c r="AE618" s="1012"/>
      <c r="AF618" s="1012"/>
      <c r="AG618" s="1012"/>
      <c r="AH618" s="1012"/>
      <c r="AI618" s="1012"/>
      <c r="AJ618" s="1012"/>
      <c r="AK618" s="1012"/>
    </row>
    <row r="619">
      <c r="A619" s="1012"/>
      <c r="B619" s="1013"/>
      <c r="C619" s="1012"/>
      <c r="D619" s="1013"/>
      <c r="E619" s="1012"/>
      <c r="F619" s="1012"/>
      <c r="G619" s="1013"/>
      <c r="H619" s="1012"/>
      <c r="I619" s="1012"/>
      <c r="J619" s="1013"/>
      <c r="K619" s="1013"/>
      <c r="L619" s="1094"/>
      <c r="M619" s="1094"/>
      <c r="N619" s="1013"/>
      <c r="O619" s="1013"/>
      <c r="P619" s="1013"/>
      <c r="Q619" s="1013"/>
      <c r="R619" s="1013"/>
      <c r="S619" s="1013"/>
      <c r="T619" s="1012"/>
      <c r="U619" s="1011"/>
      <c r="V619" s="1012"/>
      <c r="W619" s="1013"/>
      <c r="X619" s="1014"/>
      <c r="Y619" s="1012"/>
      <c r="Z619" s="1012"/>
      <c r="AA619" s="1012"/>
      <c r="AB619" s="1012"/>
      <c r="AC619" s="1012"/>
      <c r="AD619" s="1012"/>
      <c r="AE619" s="1012"/>
      <c r="AF619" s="1012"/>
      <c r="AG619" s="1012"/>
      <c r="AH619" s="1012"/>
      <c r="AI619" s="1012"/>
      <c r="AJ619" s="1012"/>
      <c r="AK619" s="1012"/>
    </row>
    <row r="620">
      <c r="A620" s="1012"/>
      <c r="B620" s="1013"/>
      <c r="C620" s="1012"/>
      <c r="D620" s="1013"/>
      <c r="E620" s="1012"/>
      <c r="F620" s="1012"/>
      <c r="G620" s="1013"/>
      <c r="H620" s="1012"/>
      <c r="I620" s="1012"/>
      <c r="J620" s="1013"/>
      <c r="K620" s="1013"/>
      <c r="L620" s="1094"/>
      <c r="M620" s="1094"/>
      <c r="N620" s="1013"/>
      <c r="O620" s="1013"/>
      <c r="P620" s="1013"/>
      <c r="Q620" s="1013"/>
      <c r="R620" s="1013"/>
      <c r="S620" s="1013"/>
      <c r="T620" s="1012"/>
      <c r="U620" s="1011"/>
      <c r="V620" s="1012"/>
      <c r="W620" s="1013"/>
      <c r="X620" s="1014"/>
      <c r="Y620" s="1012"/>
      <c r="Z620" s="1012"/>
      <c r="AA620" s="1012"/>
      <c r="AB620" s="1012"/>
      <c r="AC620" s="1012"/>
      <c r="AD620" s="1012"/>
      <c r="AE620" s="1012"/>
      <c r="AF620" s="1012"/>
      <c r="AG620" s="1012"/>
      <c r="AH620" s="1012"/>
      <c r="AI620" s="1012"/>
      <c r="AJ620" s="1012"/>
      <c r="AK620" s="1012"/>
    </row>
    <row r="621">
      <c r="A621" s="1012"/>
      <c r="B621" s="1013"/>
      <c r="C621" s="1012"/>
      <c r="D621" s="1013"/>
      <c r="E621" s="1012"/>
      <c r="F621" s="1012"/>
      <c r="G621" s="1013"/>
      <c r="H621" s="1012"/>
      <c r="I621" s="1012"/>
      <c r="J621" s="1013"/>
      <c r="K621" s="1013"/>
      <c r="L621" s="1094"/>
      <c r="M621" s="1094"/>
      <c r="N621" s="1013"/>
      <c r="O621" s="1013"/>
      <c r="P621" s="1013"/>
      <c r="Q621" s="1013"/>
      <c r="R621" s="1013"/>
      <c r="S621" s="1013"/>
      <c r="T621" s="1012"/>
      <c r="U621" s="1011"/>
      <c r="V621" s="1012"/>
      <c r="W621" s="1013"/>
      <c r="X621" s="1014"/>
      <c r="Y621" s="1012"/>
      <c r="Z621" s="1012"/>
      <c r="AA621" s="1012"/>
      <c r="AB621" s="1012"/>
      <c r="AC621" s="1012"/>
      <c r="AD621" s="1012"/>
      <c r="AE621" s="1012"/>
      <c r="AF621" s="1012"/>
      <c r="AG621" s="1012"/>
      <c r="AH621" s="1012"/>
      <c r="AI621" s="1012"/>
      <c r="AJ621" s="1012"/>
      <c r="AK621" s="1012"/>
    </row>
    <row r="622">
      <c r="A622" s="1012"/>
      <c r="B622" s="1013"/>
      <c r="C622" s="1012"/>
      <c r="D622" s="1013"/>
      <c r="E622" s="1012"/>
      <c r="F622" s="1012"/>
      <c r="G622" s="1013"/>
      <c r="H622" s="1012"/>
      <c r="I622" s="1012"/>
      <c r="J622" s="1013"/>
      <c r="K622" s="1013"/>
      <c r="L622" s="1094"/>
      <c r="M622" s="1094"/>
      <c r="N622" s="1013"/>
      <c r="O622" s="1013"/>
      <c r="P622" s="1013"/>
      <c r="Q622" s="1013"/>
      <c r="R622" s="1013"/>
      <c r="S622" s="1013"/>
      <c r="T622" s="1012"/>
      <c r="U622" s="1011"/>
      <c r="V622" s="1012"/>
      <c r="W622" s="1013"/>
      <c r="X622" s="1014"/>
      <c r="Y622" s="1012"/>
      <c r="Z622" s="1012"/>
      <c r="AA622" s="1012"/>
      <c r="AB622" s="1012"/>
      <c r="AC622" s="1012"/>
      <c r="AD622" s="1012"/>
      <c r="AE622" s="1012"/>
      <c r="AF622" s="1012"/>
      <c r="AG622" s="1012"/>
      <c r="AH622" s="1012"/>
      <c r="AI622" s="1012"/>
      <c r="AJ622" s="1012"/>
      <c r="AK622" s="1012"/>
    </row>
    <row r="623">
      <c r="A623" s="1012"/>
      <c r="B623" s="1013"/>
      <c r="C623" s="1012"/>
      <c r="D623" s="1013"/>
      <c r="E623" s="1012"/>
      <c r="F623" s="1012"/>
      <c r="G623" s="1013"/>
      <c r="H623" s="1012"/>
      <c r="I623" s="1012"/>
      <c r="J623" s="1013"/>
      <c r="K623" s="1013"/>
      <c r="L623" s="1094"/>
      <c r="M623" s="1094"/>
      <c r="N623" s="1013"/>
      <c r="O623" s="1013"/>
      <c r="P623" s="1013"/>
      <c r="Q623" s="1013"/>
      <c r="R623" s="1013"/>
      <c r="S623" s="1013"/>
      <c r="T623" s="1012"/>
      <c r="U623" s="1011"/>
      <c r="V623" s="1012"/>
      <c r="W623" s="1013"/>
      <c r="X623" s="1014"/>
      <c r="Y623" s="1012"/>
      <c r="Z623" s="1012"/>
      <c r="AA623" s="1012"/>
      <c r="AB623" s="1012"/>
      <c r="AC623" s="1012"/>
      <c r="AD623" s="1012"/>
      <c r="AE623" s="1012"/>
      <c r="AF623" s="1012"/>
      <c r="AG623" s="1012"/>
      <c r="AH623" s="1012"/>
      <c r="AI623" s="1012"/>
      <c r="AJ623" s="1012"/>
      <c r="AK623" s="1012"/>
    </row>
    <row r="624">
      <c r="A624" s="1012"/>
      <c r="B624" s="1013"/>
      <c r="C624" s="1012"/>
      <c r="D624" s="1013"/>
      <c r="E624" s="1012"/>
      <c r="F624" s="1012"/>
      <c r="G624" s="1013"/>
      <c r="H624" s="1012"/>
      <c r="I624" s="1012"/>
      <c r="J624" s="1013"/>
      <c r="K624" s="1013"/>
      <c r="L624" s="1094"/>
      <c r="M624" s="1094"/>
      <c r="N624" s="1013"/>
      <c r="O624" s="1013"/>
      <c r="P624" s="1013"/>
      <c r="Q624" s="1013"/>
      <c r="R624" s="1013"/>
      <c r="S624" s="1013"/>
      <c r="T624" s="1012"/>
      <c r="U624" s="1011"/>
      <c r="V624" s="1012"/>
      <c r="W624" s="1013"/>
      <c r="X624" s="1014"/>
      <c r="Y624" s="1012"/>
      <c r="Z624" s="1012"/>
      <c r="AA624" s="1012"/>
      <c r="AB624" s="1012"/>
      <c r="AC624" s="1012"/>
      <c r="AD624" s="1012"/>
      <c r="AE624" s="1012"/>
      <c r="AF624" s="1012"/>
      <c r="AG624" s="1012"/>
      <c r="AH624" s="1012"/>
      <c r="AI624" s="1012"/>
      <c r="AJ624" s="1012"/>
      <c r="AK624" s="1012"/>
    </row>
    <row r="625">
      <c r="A625" s="1012"/>
      <c r="B625" s="1013"/>
      <c r="C625" s="1012"/>
      <c r="D625" s="1013"/>
      <c r="E625" s="1012"/>
      <c r="F625" s="1012"/>
      <c r="G625" s="1013"/>
      <c r="H625" s="1012"/>
      <c r="I625" s="1012"/>
      <c r="J625" s="1013"/>
      <c r="K625" s="1013"/>
      <c r="L625" s="1094"/>
      <c r="M625" s="1094"/>
      <c r="N625" s="1013"/>
      <c r="O625" s="1013"/>
      <c r="P625" s="1013"/>
      <c r="Q625" s="1013"/>
      <c r="R625" s="1013"/>
      <c r="S625" s="1013"/>
      <c r="T625" s="1012"/>
      <c r="U625" s="1011"/>
      <c r="V625" s="1012"/>
      <c r="W625" s="1013"/>
      <c r="X625" s="1014"/>
      <c r="Y625" s="1012"/>
      <c r="Z625" s="1012"/>
      <c r="AA625" s="1012"/>
      <c r="AB625" s="1012"/>
      <c r="AC625" s="1012"/>
      <c r="AD625" s="1012"/>
      <c r="AE625" s="1012"/>
      <c r="AF625" s="1012"/>
      <c r="AG625" s="1012"/>
      <c r="AH625" s="1012"/>
      <c r="AI625" s="1012"/>
      <c r="AJ625" s="1012"/>
      <c r="AK625" s="1012"/>
    </row>
    <row r="626">
      <c r="A626" s="1012"/>
      <c r="B626" s="1013"/>
      <c r="C626" s="1012"/>
      <c r="D626" s="1013"/>
      <c r="E626" s="1012"/>
      <c r="F626" s="1012"/>
      <c r="G626" s="1013"/>
      <c r="H626" s="1012"/>
      <c r="I626" s="1012"/>
      <c r="J626" s="1013"/>
      <c r="K626" s="1013"/>
      <c r="L626" s="1094"/>
      <c r="M626" s="1094"/>
      <c r="N626" s="1013"/>
      <c r="O626" s="1013"/>
      <c r="P626" s="1013"/>
      <c r="Q626" s="1013"/>
      <c r="R626" s="1013"/>
      <c r="S626" s="1013"/>
      <c r="T626" s="1012"/>
      <c r="U626" s="1011"/>
      <c r="V626" s="1012"/>
      <c r="W626" s="1013"/>
      <c r="X626" s="1014"/>
      <c r="Y626" s="1012"/>
      <c r="Z626" s="1012"/>
      <c r="AA626" s="1012"/>
      <c r="AB626" s="1012"/>
      <c r="AC626" s="1012"/>
      <c r="AD626" s="1012"/>
      <c r="AE626" s="1012"/>
      <c r="AF626" s="1012"/>
      <c r="AG626" s="1012"/>
      <c r="AH626" s="1012"/>
      <c r="AI626" s="1012"/>
      <c r="AJ626" s="1012"/>
      <c r="AK626" s="1012"/>
    </row>
    <row r="627">
      <c r="A627" s="1012"/>
      <c r="B627" s="1013"/>
      <c r="C627" s="1012"/>
      <c r="D627" s="1013"/>
      <c r="E627" s="1012"/>
      <c r="F627" s="1012"/>
      <c r="G627" s="1013"/>
      <c r="H627" s="1012"/>
      <c r="I627" s="1012"/>
      <c r="J627" s="1013"/>
      <c r="K627" s="1013"/>
      <c r="L627" s="1094"/>
      <c r="M627" s="1094"/>
      <c r="N627" s="1013"/>
      <c r="O627" s="1013"/>
      <c r="P627" s="1013"/>
      <c r="Q627" s="1013"/>
      <c r="R627" s="1013"/>
      <c r="S627" s="1013"/>
      <c r="T627" s="1012"/>
      <c r="U627" s="1011"/>
      <c r="V627" s="1012"/>
      <c r="W627" s="1013"/>
      <c r="X627" s="1014"/>
      <c r="Y627" s="1012"/>
      <c r="Z627" s="1012"/>
      <c r="AA627" s="1012"/>
      <c r="AB627" s="1012"/>
      <c r="AC627" s="1012"/>
      <c r="AD627" s="1012"/>
      <c r="AE627" s="1012"/>
      <c r="AF627" s="1012"/>
      <c r="AG627" s="1012"/>
      <c r="AH627" s="1012"/>
      <c r="AI627" s="1012"/>
      <c r="AJ627" s="1012"/>
      <c r="AK627" s="1012"/>
    </row>
    <row r="628">
      <c r="A628" s="1012"/>
      <c r="B628" s="1013"/>
      <c r="C628" s="1012"/>
      <c r="D628" s="1013"/>
      <c r="E628" s="1012"/>
      <c r="F628" s="1012"/>
      <c r="G628" s="1013"/>
      <c r="H628" s="1012"/>
      <c r="I628" s="1012"/>
      <c r="J628" s="1013"/>
      <c r="K628" s="1013"/>
      <c r="L628" s="1094"/>
      <c r="M628" s="1094"/>
      <c r="N628" s="1013"/>
      <c r="O628" s="1013"/>
      <c r="P628" s="1013"/>
      <c r="Q628" s="1013"/>
      <c r="R628" s="1013"/>
      <c r="S628" s="1013"/>
      <c r="T628" s="1012"/>
      <c r="U628" s="1011"/>
      <c r="V628" s="1012"/>
      <c r="W628" s="1013"/>
      <c r="X628" s="1014"/>
      <c r="Y628" s="1012"/>
      <c r="Z628" s="1012"/>
      <c r="AA628" s="1012"/>
      <c r="AB628" s="1012"/>
      <c r="AC628" s="1012"/>
      <c r="AD628" s="1012"/>
      <c r="AE628" s="1012"/>
      <c r="AF628" s="1012"/>
      <c r="AG628" s="1012"/>
      <c r="AH628" s="1012"/>
      <c r="AI628" s="1012"/>
      <c r="AJ628" s="1012"/>
      <c r="AK628" s="1012"/>
    </row>
    <row r="629">
      <c r="A629" s="1012"/>
      <c r="B629" s="1013"/>
      <c r="C629" s="1012"/>
      <c r="D629" s="1013"/>
      <c r="E629" s="1012"/>
      <c r="F629" s="1012"/>
      <c r="G629" s="1013"/>
      <c r="H629" s="1012"/>
      <c r="I629" s="1012"/>
      <c r="J629" s="1013"/>
      <c r="K629" s="1013"/>
      <c r="L629" s="1094"/>
      <c r="M629" s="1094"/>
      <c r="N629" s="1013"/>
      <c r="O629" s="1013"/>
      <c r="P629" s="1013"/>
      <c r="Q629" s="1013"/>
      <c r="R629" s="1013"/>
      <c r="S629" s="1013"/>
      <c r="T629" s="1012"/>
      <c r="U629" s="1011"/>
      <c r="V629" s="1012"/>
      <c r="W629" s="1013"/>
      <c r="X629" s="1014"/>
      <c r="Y629" s="1012"/>
      <c r="Z629" s="1012"/>
      <c r="AA629" s="1012"/>
      <c r="AB629" s="1012"/>
      <c r="AC629" s="1012"/>
      <c r="AD629" s="1012"/>
      <c r="AE629" s="1012"/>
      <c r="AF629" s="1012"/>
      <c r="AG629" s="1012"/>
      <c r="AH629" s="1012"/>
      <c r="AI629" s="1012"/>
      <c r="AJ629" s="1012"/>
      <c r="AK629" s="1012"/>
    </row>
    <row r="630">
      <c r="A630" s="1012"/>
      <c r="B630" s="1013"/>
      <c r="C630" s="1012"/>
      <c r="D630" s="1013"/>
      <c r="E630" s="1012"/>
      <c r="F630" s="1012"/>
      <c r="G630" s="1013"/>
      <c r="H630" s="1012"/>
      <c r="I630" s="1012"/>
      <c r="J630" s="1013"/>
      <c r="K630" s="1013"/>
      <c r="L630" s="1094"/>
      <c r="M630" s="1094"/>
      <c r="N630" s="1013"/>
      <c r="O630" s="1013"/>
      <c r="P630" s="1013"/>
      <c r="Q630" s="1013"/>
      <c r="R630" s="1013"/>
      <c r="S630" s="1013"/>
      <c r="T630" s="1012"/>
      <c r="U630" s="1011"/>
      <c r="V630" s="1012"/>
      <c r="W630" s="1013"/>
      <c r="X630" s="1014"/>
      <c r="Y630" s="1012"/>
      <c r="Z630" s="1012"/>
      <c r="AA630" s="1012"/>
      <c r="AB630" s="1012"/>
      <c r="AC630" s="1012"/>
      <c r="AD630" s="1012"/>
      <c r="AE630" s="1012"/>
      <c r="AF630" s="1012"/>
      <c r="AG630" s="1012"/>
      <c r="AH630" s="1012"/>
      <c r="AI630" s="1012"/>
      <c r="AJ630" s="1012"/>
      <c r="AK630" s="1012"/>
    </row>
    <row r="631">
      <c r="A631" s="1012"/>
      <c r="B631" s="1013"/>
      <c r="C631" s="1012"/>
      <c r="D631" s="1013"/>
      <c r="E631" s="1012"/>
      <c r="F631" s="1012"/>
      <c r="G631" s="1013"/>
      <c r="H631" s="1012"/>
      <c r="I631" s="1012"/>
      <c r="J631" s="1013"/>
      <c r="K631" s="1013"/>
      <c r="L631" s="1094"/>
      <c r="M631" s="1094"/>
      <c r="N631" s="1013"/>
      <c r="O631" s="1013"/>
      <c r="P631" s="1013"/>
      <c r="Q631" s="1013"/>
      <c r="R631" s="1013"/>
      <c r="S631" s="1013"/>
      <c r="T631" s="1012"/>
      <c r="U631" s="1011"/>
      <c r="V631" s="1012"/>
      <c r="W631" s="1013"/>
      <c r="X631" s="1014"/>
      <c r="Y631" s="1012"/>
      <c r="Z631" s="1012"/>
      <c r="AA631" s="1012"/>
      <c r="AB631" s="1012"/>
      <c r="AC631" s="1012"/>
      <c r="AD631" s="1012"/>
      <c r="AE631" s="1012"/>
      <c r="AF631" s="1012"/>
      <c r="AG631" s="1012"/>
      <c r="AH631" s="1012"/>
      <c r="AI631" s="1012"/>
      <c r="AJ631" s="1012"/>
      <c r="AK631" s="1012"/>
    </row>
    <row r="632">
      <c r="A632" s="1012"/>
      <c r="B632" s="1013"/>
      <c r="C632" s="1012"/>
      <c r="D632" s="1013"/>
      <c r="E632" s="1012"/>
      <c r="F632" s="1012"/>
      <c r="G632" s="1013"/>
      <c r="H632" s="1012"/>
      <c r="I632" s="1012"/>
      <c r="J632" s="1013"/>
      <c r="K632" s="1013"/>
      <c r="L632" s="1094"/>
      <c r="M632" s="1094"/>
      <c r="N632" s="1013"/>
      <c r="O632" s="1013"/>
      <c r="P632" s="1013"/>
      <c r="Q632" s="1013"/>
      <c r="R632" s="1013"/>
      <c r="S632" s="1013"/>
      <c r="T632" s="1012"/>
      <c r="U632" s="1011"/>
      <c r="V632" s="1012"/>
      <c r="W632" s="1013"/>
      <c r="X632" s="1014"/>
      <c r="Y632" s="1012"/>
      <c r="Z632" s="1012"/>
      <c r="AA632" s="1012"/>
      <c r="AB632" s="1012"/>
      <c r="AC632" s="1012"/>
      <c r="AD632" s="1012"/>
      <c r="AE632" s="1012"/>
      <c r="AF632" s="1012"/>
      <c r="AG632" s="1012"/>
      <c r="AH632" s="1012"/>
      <c r="AI632" s="1012"/>
      <c r="AJ632" s="1012"/>
      <c r="AK632" s="1012"/>
    </row>
    <row r="633">
      <c r="A633" s="1012"/>
      <c r="B633" s="1013"/>
      <c r="C633" s="1012"/>
      <c r="D633" s="1013"/>
      <c r="E633" s="1012"/>
      <c r="F633" s="1012"/>
      <c r="G633" s="1013"/>
      <c r="H633" s="1012"/>
      <c r="I633" s="1012"/>
      <c r="J633" s="1013"/>
      <c r="K633" s="1013"/>
      <c r="L633" s="1094"/>
      <c r="M633" s="1094"/>
      <c r="N633" s="1013"/>
      <c r="O633" s="1013"/>
      <c r="P633" s="1013"/>
      <c r="Q633" s="1013"/>
      <c r="R633" s="1013"/>
      <c r="S633" s="1013"/>
      <c r="T633" s="1012"/>
      <c r="U633" s="1011"/>
      <c r="V633" s="1012"/>
      <c r="W633" s="1013"/>
      <c r="X633" s="1014"/>
      <c r="Y633" s="1012"/>
      <c r="Z633" s="1012"/>
      <c r="AA633" s="1012"/>
      <c r="AB633" s="1012"/>
      <c r="AC633" s="1012"/>
      <c r="AD633" s="1012"/>
      <c r="AE633" s="1012"/>
      <c r="AF633" s="1012"/>
      <c r="AG633" s="1012"/>
      <c r="AH633" s="1012"/>
      <c r="AI633" s="1012"/>
      <c r="AJ633" s="1012"/>
      <c r="AK633" s="1012"/>
    </row>
    <row r="634">
      <c r="A634" s="1012"/>
      <c r="B634" s="1013"/>
      <c r="C634" s="1012"/>
      <c r="D634" s="1013"/>
      <c r="E634" s="1012"/>
      <c r="F634" s="1012"/>
      <c r="G634" s="1013"/>
      <c r="H634" s="1012"/>
      <c r="I634" s="1012"/>
      <c r="J634" s="1013"/>
      <c r="K634" s="1013"/>
      <c r="L634" s="1094"/>
      <c r="M634" s="1094"/>
      <c r="N634" s="1013"/>
      <c r="O634" s="1013"/>
      <c r="P634" s="1013"/>
      <c r="Q634" s="1013"/>
      <c r="R634" s="1013"/>
      <c r="S634" s="1013"/>
      <c r="T634" s="1012"/>
      <c r="U634" s="1011"/>
      <c r="V634" s="1012"/>
      <c r="W634" s="1013"/>
      <c r="X634" s="1014"/>
      <c r="Y634" s="1012"/>
      <c r="Z634" s="1012"/>
      <c r="AA634" s="1012"/>
      <c r="AB634" s="1012"/>
      <c r="AC634" s="1012"/>
      <c r="AD634" s="1012"/>
      <c r="AE634" s="1012"/>
      <c r="AF634" s="1012"/>
      <c r="AG634" s="1012"/>
      <c r="AH634" s="1012"/>
      <c r="AI634" s="1012"/>
      <c r="AJ634" s="1012"/>
      <c r="AK634" s="1012"/>
    </row>
    <row r="635">
      <c r="A635" s="1012"/>
      <c r="B635" s="1013"/>
      <c r="C635" s="1012"/>
      <c r="D635" s="1013"/>
      <c r="E635" s="1012"/>
      <c r="F635" s="1012"/>
      <c r="G635" s="1013"/>
      <c r="H635" s="1012"/>
      <c r="I635" s="1012"/>
      <c r="J635" s="1013"/>
      <c r="K635" s="1013"/>
      <c r="L635" s="1094"/>
      <c r="M635" s="1094"/>
      <c r="N635" s="1013"/>
      <c r="O635" s="1013"/>
      <c r="P635" s="1013"/>
      <c r="Q635" s="1013"/>
      <c r="R635" s="1013"/>
      <c r="S635" s="1013"/>
      <c r="T635" s="1012"/>
      <c r="U635" s="1011"/>
      <c r="V635" s="1012"/>
      <c r="W635" s="1013"/>
      <c r="X635" s="1014"/>
      <c r="Y635" s="1012"/>
      <c r="Z635" s="1012"/>
      <c r="AA635" s="1012"/>
      <c r="AB635" s="1012"/>
      <c r="AC635" s="1012"/>
      <c r="AD635" s="1012"/>
      <c r="AE635" s="1012"/>
      <c r="AF635" s="1012"/>
      <c r="AG635" s="1012"/>
      <c r="AH635" s="1012"/>
      <c r="AI635" s="1012"/>
      <c r="AJ635" s="1012"/>
      <c r="AK635" s="1012"/>
    </row>
    <row r="636">
      <c r="A636" s="1012"/>
      <c r="B636" s="1013"/>
      <c r="C636" s="1012"/>
      <c r="D636" s="1013"/>
      <c r="E636" s="1012"/>
      <c r="F636" s="1012"/>
      <c r="G636" s="1013"/>
      <c r="H636" s="1012"/>
      <c r="I636" s="1012"/>
      <c r="J636" s="1013"/>
      <c r="K636" s="1013"/>
      <c r="L636" s="1094"/>
      <c r="M636" s="1094"/>
      <c r="N636" s="1013"/>
      <c r="O636" s="1013"/>
      <c r="P636" s="1013"/>
      <c r="Q636" s="1013"/>
      <c r="R636" s="1013"/>
      <c r="S636" s="1013"/>
      <c r="T636" s="1012"/>
      <c r="U636" s="1011"/>
      <c r="V636" s="1012"/>
      <c r="W636" s="1013"/>
      <c r="X636" s="1014"/>
      <c r="Y636" s="1012"/>
      <c r="Z636" s="1012"/>
      <c r="AA636" s="1012"/>
      <c r="AB636" s="1012"/>
      <c r="AC636" s="1012"/>
      <c r="AD636" s="1012"/>
      <c r="AE636" s="1012"/>
      <c r="AF636" s="1012"/>
      <c r="AG636" s="1012"/>
      <c r="AH636" s="1012"/>
      <c r="AI636" s="1012"/>
      <c r="AJ636" s="1012"/>
      <c r="AK636" s="1012"/>
    </row>
    <row r="637">
      <c r="A637" s="1012"/>
      <c r="B637" s="1013"/>
      <c r="C637" s="1012"/>
      <c r="D637" s="1013"/>
      <c r="E637" s="1012"/>
      <c r="F637" s="1012"/>
      <c r="G637" s="1013"/>
      <c r="H637" s="1012"/>
      <c r="I637" s="1012"/>
      <c r="J637" s="1013"/>
      <c r="K637" s="1013"/>
      <c r="L637" s="1094"/>
      <c r="M637" s="1094"/>
      <c r="N637" s="1013"/>
      <c r="O637" s="1013"/>
      <c r="P637" s="1013"/>
      <c r="Q637" s="1013"/>
      <c r="R637" s="1013"/>
      <c r="S637" s="1013"/>
      <c r="T637" s="1012"/>
      <c r="U637" s="1011"/>
      <c r="V637" s="1012"/>
      <c r="W637" s="1013"/>
      <c r="X637" s="1014"/>
      <c r="Y637" s="1012"/>
      <c r="Z637" s="1012"/>
      <c r="AA637" s="1012"/>
      <c r="AB637" s="1012"/>
      <c r="AC637" s="1012"/>
      <c r="AD637" s="1012"/>
      <c r="AE637" s="1012"/>
      <c r="AF637" s="1012"/>
      <c r="AG637" s="1012"/>
      <c r="AH637" s="1012"/>
      <c r="AI637" s="1012"/>
      <c r="AJ637" s="1012"/>
      <c r="AK637" s="1012"/>
    </row>
    <row r="638">
      <c r="A638" s="1012"/>
      <c r="B638" s="1013"/>
      <c r="C638" s="1012"/>
      <c r="D638" s="1013"/>
      <c r="E638" s="1012"/>
      <c r="F638" s="1012"/>
      <c r="G638" s="1013"/>
      <c r="H638" s="1012"/>
      <c r="I638" s="1012"/>
      <c r="J638" s="1013"/>
      <c r="K638" s="1013"/>
      <c r="L638" s="1094"/>
      <c r="M638" s="1094"/>
      <c r="N638" s="1013"/>
      <c r="O638" s="1013"/>
      <c r="P638" s="1013"/>
      <c r="Q638" s="1013"/>
      <c r="R638" s="1013"/>
      <c r="S638" s="1013"/>
      <c r="T638" s="1012"/>
      <c r="U638" s="1011"/>
      <c r="V638" s="1012"/>
      <c r="W638" s="1013"/>
      <c r="X638" s="1014"/>
      <c r="Y638" s="1012"/>
      <c r="Z638" s="1012"/>
      <c r="AA638" s="1012"/>
      <c r="AB638" s="1012"/>
      <c r="AC638" s="1012"/>
      <c r="AD638" s="1012"/>
      <c r="AE638" s="1012"/>
      <c r="AF638" s="1012"/>
      <c r="AG638" s="1012"/>
      <c r="AH638" s="1012"/>
      <c r="AI638" s="1012"/>
      <c r="AJ638" s="1012"/>
      <c r="AK638" s="1012"/>
    </row>
    <row r="639">
      <c r="A639" s="1012"/>
      <c r="B639" s="1013"/>
      <c r="C639" s="1012"/>
      <c r="D639" s="1013"/>
      <c r="E639" s="1012"/>
      <c r="F639" s="1012"/>
      <c r="G639" s="1013"/>
      <c r="H639" s="1012"/>
      <c r="I639" s="1012"/>
      <c r="J639" s="1013"/>
      <c r="K639" s="1013"/>
      <c r="L639" s="1094"/>
      <c r="M639" s="1094"/>
      <c r="N639" s="1013"/>
      <c r="O639" s="1013"/>
      <c r="P639" s="1013"/>
      <c r="Q639" s="1013"/>
      <c r="R639" s="1013"/>
      <c r="S639" s="1013"/>
      <c r="T639" s="1012"/>
      <c r="U639" s="1011"/>
      <c r="V639" s="1012"/>
      <c r="W639" s="1013"/>
      <c r="X639" s="1014"/>
      <c r="Y639" s="1012"/>
      <c r="Z639" s="1012"/>
      <c r="AA639" s="1012"/>
      <c r="AB639" s="1012"/>
      <c r="AC639" s="1012"/>
      <c r="AD639" s="1012"/>
      <c r="AE639" s="1012"/>
      <c r="AF639" s="1012"/>
      <c r="AG639" s="1012"/>
      <c r="AH639" s="1012"/>
      <c r="AI639" s="1012"/>
      <c r="AJ639" s="1012"/>
      <c r="AK639" s="1012"/>
    </row>
    <row r="640">
      <c r="A640" s="1012"/>
      <c r="B640" s="1013"/>
      <c r="C640" s="1012"/>
      <c r="D640" s="1013"/>
      <c r="E640" s="1012"/>
      <c r="F640" s="1012"/>
      <c r="G640" s="1013"/>
      <c r="H640" s="1012"/>
      <c r="I640" s="1012"/>
      <c r="J640" s="1013"/>
      <c r="K640" s="1013"/>
      <c r="L640" s="1094"/>
      <c r="M640" s="1094"/>
      <c r="N640" s="1013"/>
      <c r="O640" s="1013"/>
      <c r="P640" s="1013"/>
      <c r="Q640" s="1013"/>
      <c r="R640" s="1013"/>
      <c r="S640" s="1013"/>
      <c r="T640" s="1012"/>
      <c r="U640" s="1011"/>
      <c r="V640" s="1012"/>
      <c r="W640" s="1013"/>
      <c r="X640" s="1014"/>
      <c r="Y640" s="1012"/>
      <c r="Z640" s="1012"/>
      <c r="AA640" s="1012"/>
      <c r="AB640" s="1012"/>
      <c r="AC640" s="1012"/>
      <c r="AD640" s="1012"/>
      <c r="AE640" s="1012"/>
      <c r="AF640" s="1012"/>
      <c r="AG640" s="1012"/>
      <c r="AH640" s="1012"/>
      <c r="AI640" s="1012"/>
      <c r="AJ640" s="1012"/>
      <c r="AK640" s="1012"/>
    </row>
    <row r="641">
      <c r="A641" s="1012"/>
      <c r="B641" s="1013"/>
      <c r="C641" s="1012"/>
      <c r="D641" s="1013"/>
      <c r="E641" s="1012"/>
      <c r="F641" s="1012"/>
      <c r="G641" s="1013"/>
      <c r="H641" s="1012"/>
      <c r="I641" s="1012"/>
      <c r="J641" s="1013"/>
      <c r="K641" s="1013"/>
      <c r="L641" s="1094"/>
      <c r="M641" s="1094"/>
      <c r="N641" s="1013"/>
      <c r="O641" s="1013"/>
      <c r="P641" s="1013"/>
      <c r="Q641" s="1013"/>
      <c r="R641" s="1013"/>
      <c r="S641" s="1013"/>
      <c r="T641" s="1012"/>
      <c r="U641" s="1011"/>
      <c r="V641" s="1012"/>
      <c r="W641" s="1013"/>
      <c r="X641" s="1014"/>
      <c r="Y641" s="1012"/>
      <c r="Z641" s="1012"/>
      <c r="AA641" s="1012"/>
      <c r="AB641" s="1012"/>
      <c r="AC641" s="1012"/>
      <c r="AD641" s="1012"/>
      <c r="AE641" s="1012"/>
      <c r="AF641" s="1012"/>
      <c r="AG641" s="1012"/>
      <c r="AH641" s="1012"/>
      <c r="AI641" s="1012"/>
      <c r="AJ641" s="1012"/>
      <c r="AK641" s="1012"/>
    </row>
    <row r="642">
      <c r="A642" s="1012"/>
      <c r="B642" s="1013"/>
      <c r="C642" s="1012"/>
      <c r="D642" s="1013"/>
      <c r="E642" s="1012"/>
      <c r="F642" s="1012"/>
      <c r="G642" s="1013"/>
      <c r="H642" s="1012"/>
      <c r="I642" s="1012"/>
      <c r="J642" s="1013"/>
      <c r="K642" s="1013"/>
      <c r="L642" s="1094"/>
      <c r="M642" s="1094"/>
      <c r="N642" s="1013"/>
      <c r="O642" s="1013"/>
      <c r="P642" s="1013"/>
      <c r="Q642" s="1013"/>
      <c r="R642" s="1013"/>
      <c r="S642" s="1013"/>
      <c r="T642" s="1012"/>
      <c r="U642" s="1011"/>
      <c r="V642" s="1012"/>
      <c r="W642" s="1013"/>
      <c r="X642" s="1014"/>
      <c r="Y642" s="1012"/>
      <c r="Z642" s="1012"/>
      <c r="AA642" s="1012"/>
      <c r="AB642" s="1012"/>
      <c r="AC642" s="1012"/>
      <c r="AD642" s="1012"/>
      <c r="AE642" s="1012"/>
      <c r="AF642" s="1012"/>
      <c r="AG642" s="1012"/>
      <c r="AH642" s="1012"/>
      <c r="AI642" s="1012"/>
      <c r="AJ642" s="1012"/>
      <c r="AK642" s="1012"/>
    </row>
    <row r="643">
      <c r="A643" s="1012"/>
      <c r="B643" s="1013"/>
      <c r="C643" s="1012"/>
      <c r="D643" s="1013"/>
      <c r="E643" s="1012"/>
      <c r="F643" s="1012"/>
      <c r="G643" s="1013"/>
      <c r="H643" s="1012"/>
      <c r="I643" s="1012"/>
      <c r="J643" s="1013"/>
      <c r="K643" s="1013"/>
      <c r="L643" s="1094"/>
      <c r="M643" s="1094"/>
      <c r="N643" s="1013"/>
      <c r="O643" s="1013"/>
      <c r="P643" s="1013"/>
      <c r="Q643" s="1013"/>
      <c r="R643" s="1013"/>
      <c r="S643" s="1013"/>
      <c r="T643" s="1012"/>
      <c r="U643" s="1011"/>
      <c r="V643" s="1012"/>
      <c r="W643" s="1013"/>
      <c r="X643" s="1014"/>
      <c r="Y643" s="1012"/>
      <c r="Z643" s="1012"/>
      <c r="AA643" s="1012"/>
      <c r="AB643" s="1012"/>
      <c r="AC643" s="1012"/>
      <c r="AD643" s="1012"/>
      <c r="AE643" s="1012"/>
      <c r="AF643" s="1012"/>
      <c r="AG643" s="1012"/>
      <c r="AH643" s="1012"/>
      <c r="AI643" s="1012"/>
      <c r="AJ643" s="1012"/>
      <c r="AK643" s="1012"/>
    </row>
    <row r="644">
      <c r="A644" s="1012"/>
      <c r="B644" s="1013"/>
      <c r="C644" s="1012"/>
      <c r="D644" s="1013"/>
      <c r="E644" s="1012"/>
      <c r="F644" s="1012"/>
      <c r="G644" s="1013"/>
      <c r="H644" s="1012"/>
      <c r="I644" s="1012"/>
      <c r="J644" s="1013"/>
      <c r="K644" s="1013"/>
      <c r="L644" s="1094"/>
      <c r="M644" s="1094"/>
      <c r="N644" s="1013"/>
      <c r="O644" s="1013"/>
      <c r="P644" s="1013"/>
      <c r="Q644" s="1013"/>
      <c r="R644" s="1013"/>
      <c r="S644" s="1013"/>
      <c r="T644" s="1012"/>
      <c r="U644" s="1011"/>
      <c r="V644" s="1012"/>
      <c r="W644" s="1013"/>
      <c r="X644" s="1014"/>
      <c r="Y644" s="1012"/>
      <c r="Z644" s="1012"/>
      <c r="AA644" s="1012"/>
      <c r="AB644" s="1012"/>
      <c r="AC644" s="1012"/>
      <c r="AD644" s="1012"/>
      <c r="AE644" s="1012"/>
      <c r="AF644" s="1012"/>
      <c r="AG644" s="1012"/>
      <c r="AH644" s="1012"/>
      <c r="AI644" s="1012"/>
      <c r="AJ644" s="1012"/>
      <c r="AK644" s="1012"/>
    </row>
    <row r="645">
      <c r="A645" s="1012"/>
      <c r="B645" s="1013"/>
      <c r="C645" s="1012"/>
      <c r="D645" s="1013"/>
      <c r="E645" s="1012"/>
      <c r="F645" s="1012"/>
      <c r="G645" s="1013"/>
      <c r="H645" s="1012"/>
      <c r="I645" s="1012"/>
      <c r="J645" s="1013"/>
      <c r="K645" s="1013"/>
      <c r="L645" s="1094"/>
      <c r="M645" s="1094"/>
      <c r="N645" s="1013"/>
      <c r="O645" s="1013"/>
      <c r="P645" s="1013"/>
      <c r="Q645" s="1013"/>
      <c r="R645" s="1013"/>
      <c r="S645" s="1013"/>
      <c r="T645" s="1012"/>
      <c r="U645" s="1011"/>
      <c r="V645" s="1012"/>
      <c r="W645" s="1013"/>
      <c r="X645" s="1014"/>
      <c r="Y645" s="1012"/>
      <c r="Z645" s="1012"/>
      <c r="AA645" s="1012"/>
      <c r="AB645" s="1012"/>
      <c r="AC645" s="1012"/>
      <c r="AD645" s="1012"/>
      <c r="AE645" s="1012"/>
      <c r="AF645" s="1012"/>
      <c r="AG645" s="1012"/>
      <c r="AH645" s="1012"/>
      <c r="AI645" s="1012"/>
      <c r="AJ645" s="1012"/>
      <c r="AK645" s="1012"/>
    </row>
    <row r="646">
      <c r="A646" s="1012"/>
      <c r="B646" s="1013"/>
      <c r="C646" s="1012"/>
      <c r="D646" s="1013"/>
      <c r="E646" s="1012"/>
      <c r="F646" s="1012"/>
      <c r="G646" s="1013"/>
      <c r="H646" s="1012"/>
      <c r="I646" s="1012"/>
      <c r="J646" s="1013"/>
      <c r="K646" s="1013"/>
      <c r="L646" s="1094"/>
      <c r="M646" s="1094"/>
      <c r="N646" s="1013"/>
      <c r="O646" s="1013"/>
      <c r="P646" s="1013"/>
      <c r="Q646" s="1013"/>
      <c r="R646" s="1013"/>
      <c r="S646" s="1013"/>
      <c r="T646" s="1012"/>
      <c r="U646" s="1011"/>
      <c r="V646" s="1012"/>
      <c r="W646" s="1013"/>
      <c r="X646" s="1014"/>
      <c r="Y646" s="1012"/>
      <c r="Z646" s="1012"/>
      <c r="AA646" s="1012"/>
      <c r="AB646" s="1012"/>
      <c r="AC646" s="1012"/>
      <c r="AD646" s="1012"/>
      <c r="AE646" s="1012"/>
      <c r="AF646" s="1012"/>
      <c r="AG646" s="1012"/>
      <c r="AH646" s="1012"/>
      <c r="AI646" s="1012"/>
      <c r="AJ646" s="1012"/>
      <c r="AK646" s="1012"/>
    </row>
    <row r="647">
      <c r="A647" s="1012"/>
      <c r="B647" s="1013"/>
      <c r="C647" s="1012"/>
      <c r="D647" s="1013"/>
      <c r="E647" s="1012"/>
      <c r="F647" s="1012"/>
      <c r="G647" s="1013"/>
      <c r="H647" s="1012"/>
      <c r="I647" s="1012"/>
      <c r="J647" s="1013"/>
      <c r="K647" s="1013"/>
      <c r="L647" s="1094"/>
      <c r="M647" s="1094"/>
      <c r="N647" s="1013"/>
      <c r="O647" s="1013"/>
      <c r="P647" s="1013"/>
      <c r="Q647" s="1013"/>
      <c r="R647" s="1013"/>
      <c r="S647" s="1013"/>
      <c r="T647" s="1012"/>
      <c r="U647" s="1011"/>
      <c r="V647" s="1012"/>
      <c r="W647" s="1013"/>
      <c r="X647" s="1014"/>
      <c r="Y647" s="1012"/>
      <c r="Z647" s="1012"/>
      <c r="AA647" s="1012"/>
      <c r="AB647" s="1012"/>
      <c r="AC647" s="1012"/>
      <c r="AD647" s="1012"/>
      <c r="AE647" s="1012"/>
      <c r="AF647" s="1012"/>
      <c r="AG647" s="1012"/>
      <c r="AH647" s="1012"/>
      <c r="AI647" s="1012"/>
      <c r="AJ647" s="1012"/>
      <c r="AK647" s="1012"/>
    </row>
    <row r="648">
      <c r="A648" s="1012"/>
      <c r="B648" s="1013"/>
      <c r="C648" s="1012"/>
      <c r="D648" s="1013"/>
      <c r="E648" s="1012"/>
      <c r="F648" s="1012"/>
      <c r="G648" s="1013"/>
      <c r="H648" s="1012"/>
      <c r="I648" s="1012"/>
      <c r="J648" s="1013"/>
      <c r="K648" s="1013"/>
      <c r="L648" s="1094"/>
      <c r="M648" s="1094"/>
      <c r="N648" s="1013"/>
      <c r="O648" s="1013"/>
      <c r="P648" s="1013"/>
      <c r="Q648" s="1013"/>
      <c r="R648" s="1013"/>
      <c r="S648" s="1013"/>
      <c r="T648" s="1012"/>
      <c r="U648" s="1011"/>
      <c r="V648" s="1012"/>
      <c r="W648" s="1013"/>
      <c r="X648" s="1014"/>
      <c r="Y648" s="1012"/>
      <c r="Z648" s="1012"/>
      <c r="AA648" s="1012"/>
      <c r="AB648" s="1012"/>
      <c r="AC648" s="1012"/>
      <c r="AD648" s="1012"/>
      <c r="AE648" s="1012"/>
      <c r="AF648" s="1012"/>
      <c r="AG648" s="1012"/>
      <c r="AH648" s="1012"/>
      <c r="AI648" s="1012"/>
      <c r="AJ648" s="1012"/>
      <c r="AK648" s="1012"/>
    </row>
    <row r="649">
      <c r="A649" s="1012"/>
      <c r="B649" s="1013"/>
      <c r="C649" s="1012"/>
      <c r="D649" s="1013"/>
      <c r="E649" s="1012"/>
      <c r="F649" s="1012"/>
      <c r="G649" s="1013"/>
      <c r="H649" s="1012"/>
      <c r="I649" s="1012"/>
      <c r="J649" s="1013"/>
      <c r="K649" s="1013"/>
      <c r="L649" s="1094"/>
      <c r="M649" s="1094"/>
      <c r="N649" s="1013"/>
      <c r="O649" s="1013"/>
      <c r="P649" s="1013"/>
      <c r="Q649" s="1013"/>
      <c r="R649" s="1013"/>
      <c r="S649" s="1013"/>
      <c r="T649" s="1012"/>
      <c r="U649" s="1011"/>
      <c r="V649" s="1012"/>
      <c r="W649" s="1013"/>
      <c r="X649" s="1014"/>
      <c r="Y649" s="1012"/>
      <c r="Z649" s="1012"/>
      <c r="AA649" s="1012"/>
      <c r="AB649" s="1012"/>
      <c r="AC649" s="1012"/>
      <c r="AD649" s="1012"/>
      <c r="AE649" s="1012"/>
      <c r="AF649" s="1012"/>
      <c r="AG649" s="1012"/>
      <c r="AH649" s="1012"/>
      <c r="AI649" s="1012"/>
      <c r="AJ649" s="1012"/>
      <c r="AK649" s="1012"/>
    </row>
    <row r="650">
      <c r="A650" s="1012"/>
      <c r="B650" s="1013"/>
      <c r="C650" s="1012"/>
      <c r="D650" s="1013"/>
      <c r="E650" s="1012"/>
      <c r="F650" s="1012"/>
      <c r="G650" s="1013"/>
      <c r="H650" s="1012"/>
      <c r="I650" s="1012"/>
      <c r="J650" s="1013"/>
      <c r="K650" s="1013"/>
      <c r="L650" s="1094"/>
      <c r="M650" s="1094"/>
      <c r="N650" s="1013"/>
      <c r="O650" s="1013"/>
      <c r="P650" s="1013"/>
      <c r="Q650" s="1013"/>
      <c r="R650" s="1013"/>
      <c r="S650" s="1013"/>
      <c r="T650" s="1012"/>
      <c r="U650" s="1011"/>
      <c r="V650" s="1012"/>
      <c r="W650" s="1013"/>
      <c r="X650" s="1014"/>
      <c r="Y650" s="1012"/>
      <c r="Z650" s="1012"/>
      <c r="AA650" s="1012"/>
      <c r="AB650" s="1012"/>
      <c r="AC650" s="1012"/>
      <c r="AD650" s="1012"/>
      <c r="AE650" s="1012"/>
      <c r="AF650" s="1012"/>
      <c r="AG650" s="1012"/>
      <c r="AH650" s="1012"/>
      <c r="AI650" s="1012"/>
      <c r="AJ650" s="1012"/>
      <c r="AK650" s="1012"/>
    </row>
    <row r="651">
      <c r="A651" s="1012"/>
      <c r="B651" s="1013"/>
      <c r="C651" s="1012"/>
      <c r="D651" s="1013"/>
      <c r="E651" s="1012"/>
      <c r="F651" s="1012"/>
      <c r="G651" s="1013"/>
      <c r="H651" s="1012"/>
      <c r="I651" s="1012"/>
      <c r="J651" s="1013"/>
      <c r="K651" s="1013"/>
      <c r="L651" s="1094"/>
      <c r="M651" s="1094"/>
      <c r="N651" s="1013"/>
      <c r="O651" s="1013"/>
      <c r="P651" s="1013"/>
      <c r="Q651" s="1013"/>
      <c r="R651" s="1013"/>
      <c r="S651" s="1013"/>
      <c r="T651" s="1012"/>
      <c r="U651" s="1011"/>
      <c r="V651" s="1012"/>
      <c r="W651" s="1013"/>
      <c r="X651" s="1014"/>
      <c r="Y651" s="1012"/>
      <c r="Z651" s="1012"/>
      <c r="AA651" s="1012"/>
      <c r="AB651" s="1012"/>
      <c r="AC651" s="1012"/>
      <c r="AD651" s="1012"/>
      <c r="AE651" s="1012"/>
      <c r="AF651" s="1012"/>
      <c r="AG651" s="1012"/>
      <c r="AH651" s="1012"/>
      <c r="AI651" s="1012"/>
      <c r="AJ651" s="1012"/>
      <c r="AK651" s="1012"/>
    </row>
    <row r="652">
      <c r="A652" s="1012"/>
      <c r="B652" s="1013"/>
      <c r="C652" s="1012"/>
      <c r="D652" s="1013"/>
      <c r="E652" s="1012"/>
      <c r="F652" s="1012"/>
      <c r="G652" s="1013"/>
      <c r="H652" s="1012"/>
      <c r="I652" s="1012"/>
      <c r="J652" s="1013"/>
      <c r="K652" s="1013"/>
      <c r="L652" s="1094"/>
      <c r="M652" s="1094"/>
      <c r="N652" s="1013"/>
      <c r="O652" s="1013"/>
      <c r="P652" s="1013"/>
      <c r="Q652" s="1013"/>
      <c r="R652" s="1013"/>
      <c r="S652" s="1013"/>
      <c r="T652" s="1012"/>
      <c r="U652" s="1011"/>
      <c r="V652" s="1012"/>
      <c r="W652" s="1013"/>
      <c r="X652" s="1014"/>
      <c r="Y652" s="1012"/>
      <c r="Z652" s="1012"/>
      <c r="AA652" s="1012"/>
      <c r="AB652" s="1012"/>
      <c r="AC652" s="1012"/>
      <c r="AD652" s="1012"/>
      <c r="AE652" s="1012"/>
      <c r="AF652" s="1012"/>
      <c r="AG652" s="1012"/>
      <c r="AH652" s="1012"/>
      <c r="AI652" s="1012"/>
      <c r="AJ652" s="1012"/>
      <c r="AK652" s="1012"/>
    </row>
    <row r="653">
      <c r="A653" s="1012"/>
      <c r="B653" s="1013"/>
      <c r="C653" s="1012"/>
      <c r="D653" s="1013"/>
      <c r="E653" s="1012"/>
      <c r="F653" s="1012"/>
      <c r="G653" s="1013"/>
      <c r="H653" s="1012"/>
      <c r="I653" s="1012"/>
      <c r="J653" s="1013"/>
      <c r="K653" s="1013"/>
      <c r="L653" s="1094"/>
      <c r="M653" s="1094"/>
      <c r="N653" s="1013"/>
      <c r="O653" s="1013"/>
      <c r="P653" s="1013"/>
      <c r="Q653" s="1013"/>
      <c r="R653" s="1013"/>
      <c r="S653" s="1013"/>
      <c r="T653" s="1012"/>
      <c r="U653" s="1011"/>
      <c r="V653" s="1012"/>
      <c r="W653" s="1013"/>
      <c r="X653" s="1014"/>
      <c r="Y653" s="1012"/>
      <c r="Z653" s="1012"/>
      <c r="AA653" s="1012"/>
      <c r="AB653" s="1012"/>
      <c r="AC653" s="1012"/>
      <c r="AD653" s="1012"/>
      <c r="AE653" s="1012"/>
      <c r="AF653" s="1012"/>
      <c r="AG653" s="1012"/>
      <c r="AH653" s="1012"/>
      <c r="AI653" s="1012"/>
      <c r="AJ653" s="1012"/>
      <c r="AK653" s="1012"/>
    </row>
    <row r="654">
      <c r="A654" s="1012"/>
      <c r="B654" s="1013"/>
      <c r="C654" s="1012"/>
      <c r="D654" s="1013"/>
      <c r="E654" s="1012"/>
      <c r="F654" s="1012"/>
      <c r="G654" s="1013"/>
      <c r="H654" s="1012"/>
      <c r="I654" s="1012"/>
      <c r="J654" s="1013"/>
      <c r="K654" s="1013"/>
      <c r="L654" s="1094"/>
      <c r="M654" s="1094"/>
      <c r="N654" s="1013"/>
      <c r="O654" s="1013"/>
      <c r="P654" s="1013"/>
      <c r="Q654" s="1013"/>
      <c r="R654" s="1013"/>
      <c r="S654" s="1013"/>
      <c r="T654" s="1012"/>
      <c r="U654" s="1011"/>
      <c r="V654" s="1012"/>
      <c r="W654" s="1013"/>
      <c r="X654" s="1014"/>
      <c r="Y654" s="1012"/>
      <c r="Z654" s="1012"/>
      <c r="AA654" s="1012"/>
      <c r="AB654" s="1012"/>
      <c r="AC654" s="1012"/>
      <c r="AD654" s="1012"/>
      <c r="AE654" s="1012"/>
      <c r="AF654" s="1012"/>
      <c r="AG654" s="1012"/>
      <c r="AH654" s="1012"/>
      <c r="AI654" s="1012"/>
      <c r="AJ654" s="1012"/>
      <c r="AK654" s="1012"/>
    </row>
    <row r="655">
      <c r="A655" s="1012"/>
      <c r="B655" s="1013"/>
      <c r="C655" s="1012"/>
      <c r="D655" s="1013"/>
      <c r="E655" s="1012"/>
      <c r="F655" s="1012"/>
      <c r="G655" s="1013"/>
      <c r="H655" s="1012"/>
      <c r="I655" s="1012"/>
      <c r="J655" s="1013"/>
      <c r="K655" s="1013"/>
      <c r="L655" s="1094"/>
      <c r="M655" s="1094"/>
      <c r="N655" s="1013"/>
      <c r="O655" s="1013"/>
      <c r="P655" s="1013"/>
      <c r="Q655" s="1013"/>
      <c r="R655" s="1013"/>
      <c r="S655" s="1013"/>
      <c r="T655" s="1012"/>
      <c r="U655" s="1011"/>
      <c r="V655" s="1012"/>
      <c r="W655" s="1013"/>
      <c r="X655" s="1014"/>
      <c r="Y655" s="1012"/>
      <c r="Z655" s="1012"/>
      <c r="AA655" s="1012"/>
      <c r="AB655" s="1012"/>
      <c r="AC655" s="1012"/>
      <c r="AD655" s="1012"/>
      <c r="AE655" s="1012"/>
      <c r="AF655" s="1012"/>
      <c r="AG655" s="1012"/>
      <c r="AH655" s="1012"/>
      <c r="AI655" s="1012"/>
      <c r="AJ655" s="1012"/>
      <c r="AK655" s="1012"/>
    </row>
    <row r="656">
      <c r="A656" s="1012"/>
      <c r="B656" s="1013"/>
      <c r="C656" s="1012"/>
      <c r="D656" s="1013"/>
      <c r="E656" s="1012"/>
      <c r="F656" s="1012"/>
      <c r="G656" s="1013"/>
      <c r="H656" s="1012"/>
      <c r="I656" s="1012"/>
      <c r="J656" s="1013"/>
      <c r="K656" s="1013"/>
      <c r="L656" s="1094"/>
      <c r="M656" s="1094"/>
      <c r="N656" s="1013"/>
      <c r="O656" s="1013"/>
      <c r="P656" s="1013"/>
      <c r="Q656" s="1013"/>
      <c r="R656" s="1013"/>
      <c r="S656" s="1013"/>
      <c r="T656" s="1012"/>
      <c r="U656" s="1011"/>
      <c r="V656" s="1012"/>
      <c r="W656" s="1013"/>
      <c r="X656" s="1014"/>
      <c r="Y656" s="1012"/>
      <c r="Z656" s="1012"/>
      <c r="AA656" s="1012"/>
      <c r="AB656" s="1012"/>
      <c r="AC656" s="1012"/>
      <c r="AD656" s="1012"/>
      <c r="AE656" s="1012"/>
      <c r="AF656" s="1012"/>
      <c r="AG656" s="1012"/>
      <c r="AH656" s="1012"/>
      <c r="AI656" s="1012"/>
      <c r="AJ656" s="1012"/>
      <c r="AK656" s="1012"/>
    </row>
    <row r="657">
      <c r="A657" s="1012"/>
      <c r="B657" s="1013"/>
      <c r="C657" s="1012"/>
      <c r="D657" s="1013"/>
      <c r="E657" s="1012"/>
      <c r="F657" s="1012"/>
      <c r="G657" s="1013"/>
      <c r="H657" s="1012"/>
      <c r="I657" s="1012"/>
      <c r="J657" s="1013"/>
      <c r="K657" s="1013"/>
      <c r="L657" s="1094"/>
      <c r="M657" s="1094"/>
      <c r="N657" s="1013"/>
      <c r="O657" s="1013"/>
      <c r="P657" s="1013"/>
      <c r="Q657" s="1013"/>
      <c r="R657" s="1013"/>
      <c r="S657" s="1013"/>
      <c r="T657" s="1012"/>
      <c r="U657" s="1011"/>
      <c r="V657" s="1012"/>
      <c r="W657" s="1013"/>
      <c r="X657" s="1014"/>
      <c r="Y657" s="1012"/>
      <c r="Z657" s="1012"/>
      <c r="AA657" s="1012"/>
      <c r="AB657" s="1012"/>
      <c r="AC657" s="1012"/>
      <c r="AD657" s="1012"/>
      <c r="AE657" s="1012"/>
      <c r="AF657" s="1012"/>
      <c r="AG657" s="1012"/>
      <c r="AH657" s="1012"/>
      <c r="AI657" s="1012"/>
      <c r="AJ657" s="1012"/>
      <c r="AK657" s="1012"/>
    </row>
    <row r="658">
      <c r="A658" s="1012"/>
      <c r="B658" s="1013"/>
      <c r="C658" s="1012"/>
      <c r="D658" s="1013"/>
      <c r="E658" s="1012"/>
      <c r="F658" s="1012"/>
      <c r="G658" s="1013"/>
      <c r="H658" s="1012"/>
      <c r="I658" s="1012"/>
      <c r="J658" s="1013"/>
      <c r="K658" s="1013"/>
      <c r="L658" s="1094"/>
      <c r="M658" s="1094"/>
      <c r="N658" s="1013"/>
      <c r="O658" s="1013"/>
      <c r="P658" s="1013"/>
      <c r="Q658" s="1013"/>
      <c r="R658" s="1013"/>
      <c r="S658" s="1013"/>
      <c r="T658" s="1012"/>
      <c r="U658" s="1011"/>
      <c r="V658" s="1012"/>
      <c r="W658" s="1013"/>
      <c r="X658" s="1014"/>
      <c r="Y658" s="1012"/>
      <c r="Z658" s="1012"/>
      <c r="AA658" s="1012"/>
      <c r="AB658" s="1012"/>
      <c r="AC658" s="1012"/>
      <c r="AD658" s="1012"/>
      <c r="AE658" s="1012"/>
      <c r="AF658" s="1012"/>
      <c r="AG658" s="1012"/>
      <c r="AH658" s="1012"/>
      <c r="AI658" s="1012"/>
      <c r="AJ658" s="1012"/>
      <c r="AK658" s="1012"/>
    </row>
    <row r="659">
      <c r="A659" s="1012"/>
      <c r="B659" s="1013"/>
      <c r="C659" s="1012"/>
      <c r="D659" s="1013"/>
      <c r="E659" s="1012"/>
      <c r="F659" s="1012"/>
      <c r="G659" s="1013"/>
      <c r="H659" s="1012"/>
      <c r="I659" s="1012"/>
      <c r="J659" s="1013"/>
      <c r="K659" s="1013"/>
      <c r="L659" s="1094"/>
      <c r="M659" s="1094"/>
      <c r="N659" s="1013"/>
      <c r="O659" s="1013"/>
      <c r="P659" s="1013"/>
      <c r="Q659" s="1013"/>
      <c r="R659" s="1013"/>
      <c r="S659" s="1013"/>
      <c r="T659" s="1012"/>
      <c r="U659" s="1011"/>
      <c r="V659" s="1012"/>
      <c r="W659" s="1013"/>
      <c r="X659" s="1014"/>
      <c r="Y659" s="1012"/>
      <c r="Z659" s="1012"/>
      <c r="AA659" s="1012"/>
      <c r="AB659" s="1012"/>
      <c r="AC659" s="1012"/>
      <c r="AD659" s="1012"/>
      <c r="AE659" s="1012"/>
      <c r="AF659" s="1012"/>
      <c r="AG659" s="1012"/>
      <c r="AH659" s="1012"/>
      <c r="AI659" s="1012"/>
      <c r="AJ659" s="1012"/>
      <c r="AK659" s="1012"/>
    </row>
    <row r="660">
      <c r="A660" s="1012"/>
      <c r="B660" s="1013"/>
      <c r="C660" s="1012"/>
      <c r="D660" s="1013"/>
      <c r="E660" s="1012"/>
      <c r="F660" s="1012"/>
      <c r="G660" s="1013"/>
      <c r="H660" s="1012"/>
      <c r="I660" s="1012"/>
      <c r="J660" s="1013"/>
      <c r="K660" s="1013"/>
      <c r="L660" s="1094"/>
      <c r="M660" s="1094"/>
      <c r="N660" s="1013"/>
      <c r="O660" s="1013"/>
      <c r="P660" s="1013"/>
      <c r="Q660" s="1013"/>
      <c r="R660" s="1013"/>
      <c r="S660" s="1013"/>
      <c r="T660" s="1012"/>
      <c r="U660" s="1011"/>
      <c r="V660" s="1012"/>
      <c r="W660" s="1013"/>
      <c r="X660" s="1014"/>
      <c r="Y660" s="1012"/>
      <c r="Z660" s="1012"/>
      <c r="AA660" s="1012"/>
      <c r="AB660" s="1012"/>
      <c r="AC660" s="1012"/>
      <c r="AD660" s="1012"/>
      <c r="AE660" s="1012"/>
      <c r="AF660" s="1012"/>
      <c r="AG660" s="1012"/>
      <c r="AH660" s="1012"/>
      <c r="AI660" s="1012"/>
      <c r="AJ660" s="1012"/>
      <c r="AK660" s="1012"/>
    </row>
    <row r="661">
      <c r="A661" s="1012"/>
      <c r="B661" s="1013"/>
      <c r="C661" s="1012"/>
      <c r="D661" s="1013"/>
      <c r="E661" s="1012"/>
      <c r="F661" s="1012"/>
      <c r="G661" s="1013"/>
      <c r="H661" s="1012"/>
      <c r="I661" s="1012"/>
      <c r="J661" s="1013"/>
      <c r="K661" s="1013"/>
      <c r="L661" s="1094"/>
      <c r="M661" s="1094"/>
      <c r="N661" s="1013"/>
      <c r="O661" s="1013"/>
      <c r="P661" s="1013"/>
      <c r="Q661" s="1013"/>
      <c r="R661" s="1013"/>
      <c r="S661" s="1013"/>
      <c r="T661" s="1012"/>
      <c r="U661" s="1011"/>
      <c r="V661" s="1012"/>
      <c r="W661" s="1013"/>
      <c r="X661" s="1014"/>
      <c r="Y661" s="1012"/>
      <c r="Z661" s="1012"/>
      <c r="AA661" s="1012"/>
      <c r="AB661" s="1012"/>
      <c r="AC661" s="1012"/>
      <c r="AD661" s="1012"/>
      <c r="AE661" s="1012"/>
      <c r="AF661" s="1012"/>
      <c r="AG661" s="1012"/>
      <c r="AH661" s="1012"/>
      <c r="AI661" s="1012"/>
      <c r="AJ661" s="1012"/>
      <c r="AK661" s="1012"/>
    </row>
    <row r="662">
      <c r="A662" s="1012"/>
      <c r="B662" s="1013"/>
      <c r="C662" s="1012"/>
      <c r="D662" s="1013"/>
      <c r="E662" s="1012"/>
      <c r="F662" s="1012"/>
      <c r="G662" s="1013"/>
      <c r="H662" s="1012"/>
      <c r="I662" s="1012"/>
      <c r="J662" s="1013"/>
      <c r="K662" s="1013"/>
      <c r="L662" s="1094"/>
      <c r="M662" s="1094"/>
      <c r="N662" s="1013"/>
      <c r="O662" s="1013"/>
      <c r="P662" s="1013"/>
      <c r="Q662" s="1013"/>
      <c r="R662" s="1013"/>
      <c r="S662" s="1013"/>
      <c r="T662" s="1012"/>
      <c r="U662" s="1011"/>
      <c r="V662" s="1012"/>
      <c r="W662" s="1013"/>
      <c r="X662" s="1014"/>
      <c r="Y662" s="1012"/>
      <c r="Z662" s="1012"/>
      <c r="AA662" s="1012"/>
      <c r="AB662" s="1012"/>
      <c r="AC662" s="1012"/>
      <c r="AD662" s="1012"/>
      <c r="AE662" s="1012"/>
      <c r="AF662" s="1012"/>
      <c r="AG662" s="1012"/>
      <c r="AH662" s="1012"/>
      <c r="AI662" s="1012"/>
      <c r="AJ662" s="1012"/>
      <c r="AK662" s="1012"/>
    </row>
    <row r="663">
      <c r="A663" s="1012"/>
      <c r="B663" s="1013"/>
      <c r="C663" s="1012"/>
      <c r="D663" s="1013"/>
      <c r="E663" s="1012"/>
      <c r="F663" s="1012"/>
      <c r="G663" s="1013"/>
      <c r="H663" s="1012"/>
      <c r="I663" s="1012"/>
      <c r="J663" s="1013"/>
      <c r="K663" s="1013"/>
      <c r="L663" s="1094"/>
      <c r="M663" s="1094"/>
      <c r="N663" s="1013"/>
      <c r="O663" s="1013"/>
      <c r="P663" s="1013"/>
      <c r="Q663" s="1013"/>
      <c r="R663" s="1013"/>
      <c r="S663" s="1013"/>
      <c r="T663" s="1012"/>
      <c r="U663" s="1011"/>
      <c r="V663" s="1012"/>
      <c r="W663" s="1013"/>
      <c r="X663" s="1014"/>
      <c r="Y663" s="1012"/>
      <c r="Z663" s="1012"/>
      <c r="AA663" s="1012"/>
      <c r="AB663" s="1012"/>
      <c r="AC663" s="1012"/>
      <c r="AD663" s="1012"/>
      <c r="AE663" s="1012"/>
      <c r="AF663" s="1012"/>
      <c r="AG663" s="1012"/>
      <c r="AH663" s="1012"/>
      <c r="AI663" s="1012"/>
      <c r="AJ663" s="1012"/>
      <c r="AK663" s="1012"/>
    </row>
    <row r="664">
      <c r="A664" s="1012"/>
      <c r="B664" s="1013"/>
      <c r="C664" s="1012"/>
      <c r="D664" s="1013"/>
      <c r="E664" s="1012"/>
      <c r="F664" s="1012"/>
      <c r="G664" s="1013"/>
      <c r="H664" s="1012"/>
      <c r="I664" s="1012"/>
      <c r="J664" s="1013"/>
      <c r="K664" s="1013"/>
      <c r="L664" s="1094"/>
      <c r="M664" s="1094"/>
      <c r="N664" s="1013"/>
      <c r="O664" s="1013"/>
      <c r="P664" s="1013"/>
      <c r="Q664" s="1013"/>
      <c r="R664" s="1013"/>
      <c r="S664" s="1013"/>
      <c r="T664" s="1012"/>
      <c r="U664" s="1011"/>
      <c r="V664" s="1012"/>
      <c r="W664" s="1013"/>
      <c r="X664" s="1014"/>
      <c r="Y664" s="1012"/>
      <c r="Z664" s="1012"/>
      <c r="AA664" s="1012"/>
      <c r="AB664" s="1012"/>
      <c r="AC664" s="1012"/>
      <c r="AD664" s="1012"/>
      <c r="AE664" s="1012"/>
      <c r="AF664" s="1012"/>
      <c r="AG664" s="1012"/>
      <c r="AH664" s="1012"/>
      <c r="AI664" s="1012"/>
      <c r="AJ664" s="1012"/>
      <c r="AK664" s="1012"/>
    </row>
    <row r="665">
      <c r="A665" s="1012"/>
      <c r="B665" s="1013"/>
      <c r="C665" s="1012"/>
      <c r="D665" s="1013"/>
      <c r="E665" s="1012"/>
      <c r="F665" s="1012"/>
      <c r="G665" s="1013"/>
      <c r="H665" s="1012"/>
      <c r="I665" s="1012"/>
      <c r="J665" s="1013"/>
      <c r="K665" s="1013"/>
      <c r="L665" s="1094"/>
      <c r="M665" s="1094"/>
      <c r="N665" s="1013"/>
      <c r="O665" s="1013"/>
      <c r="P665" s="1013"/>
      <c r="Q665" s="1013"/>
      <c r="R665" s="1013"/>
      <c r="S665" s="1013"/>
      <c r="T665" s="1012"/>
      <c r="U665" s="1011"/>
      <c r="V665" s="1012"/>
      <c r="W665" s="1013"/>
      <c r="X665" s="1014"/>
      <c r="Y665" s="1012"/>
      <c r="Z665" s="1012"/>
      <c r="AA665" s="1012"/>
      <c r="AB665" s="1012"/>
      <c r="AC665" s="1012"/>
      <c r="AD665" s="1012"/>
      <c r="AE665" s="1012"/>
      <c r="AF665" s="1012"/>
      <c r="AG665" s="1012"/>
      <c r="AH665" s="1012"/>
      <c r="AI665" s="1012"/>
      <c r="AJ665" s="1012"/>
      <c r="AK665" s="1012"/>
    </row>
    <row r="666">
      <c r="A666" s="1012"/>
      <c r="B666" s="1013"/>
      <c r="C666" s="1012"/>
      <c r="D666" s="1013"/>
      <c r="E666" s="1012"/>
      <c r="F666" s="1012"/>
      <c r="G666" s="1013"/>
      <c r="H666" s="1012"/>
      <c r="I666" s="1012"/>
      <c r="J666" s="1013"/>
      <c r="K666" s="1013"/>
      <c r="L666" s="1094"/>
      <c r="M666" s="1094"/>
      <c r="N666" s="1013"/>
      <c r="O666" s="1013"/>
      <c r="P666" s="1013"/>
      <c r="Q666" s="1013"/>
      <c r="R666" s="1013"/>
      <c r="S666" s="1013"/>
      <c r="T666" s="1012"/>
      <c r="U666" s="1011"/>
      <c r="V666" s="1012"/>
      <c r="W666" s="1013"/>
      <c r="X666" s="1014"/>
      <c r="Y666" s="1012"/>
      <c r="Z666" s="1012"/>
      <c r="AA666" s="1012"/>
      <c r="AB666" s="1012"/>
      <c r="AC666" s="1012"/>
      <c r="AD666" s="1012"/>
      <c r="AE666" s="1012"/>
      <c r="AF666" s="1012"/>
      <c r="AG666" s="1012"/>
      <c r="AH666" s="1012"/>
      <c r="AI666" s="1012"/>
      <c r="AJ666" s="1012"/>
      <c r="AK666" s="1012"/>
    </row>
    <row r="667">
      <c r="A667" s="1012"/>
      <c r="B667" s="1013"/>
      <c r="C667" s="1012"/>
      <c r="D667" s="1013"/>
      <c r="E667" s="1012"/>
      <c r="F667" s="1012"/>
      <c r="G667" s="1013"/>
      <c r="H667" s="1012"/>
      <c r="I667" s="1012"/>
      <c r="J667" s="1013"/>
      <c r="K667" s="1013"/>
      <c r="L667" s="1094"/>
      <c r="M667" s="1094"/>
      <c r="N667" s="1013"/>
      <c r="O667" s="1013"/>
      <c r="P667" s="1013"/>
      <c r="Q667" s="1013"/>
      <c r="R667" s="1013"/>
      <c r="S667" s="1013"/>
      <c r="T667" s="1012"/>
      <c r="U667" s="1011"/>
      <c r="V667" s="1012"/>
      <c r="W667" s="1013"/>
      <c r="X667" s="1014"/>
      <c r="Y667" s="1012"/>
      <c r="Z667" s="1012"/>
      <c r="AA667" s="1012"/>
      <c r="AB667" s="1012"/>
      <c r="AC667" s="1012"/>
      <c r="AD667" s="1012"/>
      <c r="AE667" s="1012"/>
      <c r="AF667" s="1012"/>
      <c r="AG667" s="1012"/>
      <c r="AH667" s="1012"/>
      <c r="AI667" s="1012"/>
      <c r="AJ667" s="1012"/>
      <c r="AK667" s="1012"/>
    </row>
    <row r="668">
      <c r="A668" s="1012"/>
      <c r="B668" s="1013"/>
      <c r="C668" s="1012"/>
      <c r="D668" s="1013"/>
      <c r="E668" s="1012"/>
      <c r="F668" s="1012"/>
      <c r="G668" s="1013"/>
      <c r="H668" s="1012"/>
      <c r="I668" s="1012"/>
      <c r="J668" s="1013"/>
      <c r="K668" s="1013"/>
      <c r="L668" s="1094"/>
      <c r="M668" s="1094"/>
      <c r="N668" s="1013"/>
      <c r="O668" s="1013"/>
      <c r="P668" s="1013"/>
      <c r="Q668" s="1013"/>
      <c r="R668" s="1013"/>
      <c r="S668" s="1013"/>
      <c r="T668" s="1012"/>
      <c r="U668" s="1011"/>
      <c r="V668" s="1012"/>
      <c r="W668" s="1013"/>
      <c r="X668" s="1014"/>
      <c r="Y668" s="1012"/>
      <c r="Z668" s="1012"/>
      <c r="AA668" s="1012"/>
      <c r="AB668" s="1012"/>
      <c r="AC668" s="1012"/>
      <c r="AD668" s="1012"/>
      <c r="AE668" s="1012"/>
      <c r="AF668" s="1012"/>
      <c r="AG668" s="1012"/>
      <c r="AH668" s="1012"/>
      <c r="AI668" s="1012"/>
      <c r="AJ668" s="1012"/>
      <c r="AK668" s="1012"/>
    </row>
    <row r="669">
      <c r="A669" s="1012"/>
      <c r="B669" s="1013"/>
      <c r="C669" s="1012"/>
      <c r="D669" s="1013"/>
      <c r="E669" s="1012"/>
      <c r="F669" s="1012"/>
      <c r="G669" s="1013"/>
      <c r="H669" s="1012"/>
      <c r="I669" s="1012"/>
      <c r="J669" s="1013"/>
      <c r="K669" s="1013"/>
      <c r="L669" s="1094"/>
      <c r="M669" s="1094"/>
      <c r="N669" s="1013"/>
      <c r="O669" s="1013"/>
      <c r="P669" s="1013"/>
      <c r="Q669" s="1013"/>
      <c r="R669" s="1013"/>
      <c r="S669" s="1013"/>
      <c r="T669" s="1012"/>
      <c r="U669" s="1011"/>
      <c r="V669" s="1012"/>
      <c r="W669" s="1013"/>
      <c r="X669" s="1014"/>
      <c r="Y669" s="1012"/>
      <c r="Z669" s="1012"/>
      <c r="AA669" s="1012"/>
      <c r="AB669" s="1012"/>
      <c r="AC669" s="1012"/>
      <c r="AD669" s="1012"/>
      <c r="AE669" s="1012"/>
      <c r="AF669" s="1012"/>
      <c r="AG669" s="1012"/>
      <c r="AH669" s="1012"/>
      <c r="AI669" s="1012"/>
      <c r="AJ669" s="1012"/>
      <c r="AK669" s="1012"/>
    </row>
    <row r="670">
      <c r="A670" s="1012"/>
      <c r="B670" s="1013"/>
      <c r="C670" s="1012"/>
      <c r="D670" s="1013"/>
      <c r="E670" s="1012"/>
      <c r="F670" s="1012"/>
      <c r="G670" s="1013"/>
      <c r="H670" s="1012"/>
      <c r="I670" s="1012"/>
      <c r="J670" s="1013"/>
      <c r="K670" s="1013"/>
      <c r="L670" s="1094"/>
      <c r="M670" s="1094"/>
      <c r="N670" s="1013"/>
      <c r="O670" s="1013"/>
      <c r="P670" s="1013"/>
      <c r="Q670" s="1013"/>
      <c r="R670" s="1013"/>
      <c r="S670" s="1013"/>
      <c r="T670" s="1012"/>
      <c r="U670" s="1011"/>
      <c r="V670" s="1012"/>
      <c r="W670" s="1013"/>
      <c r="X670" s="1014"/>
      <c r="Y670" s="1012"/>
      <c r="Z670" s="1012"/>
      <c r="AA670" s="1012"/>
      <c r="AB670" s="1012"/>
      <c r="AC670" s="1012"/>
      <c r="AD670" s="1012"/>
      <c r="AE670" s="1012"/>
      <c r="AF670" s="1012"/>
      <c r="AG670" s="1012"/>
      <c r="AH670" s="1012"/>
      <c r="AI670" s="1012"/>
      <c r="AJ670" s="1012"/>
      <c r="AK670" s="1012"/>
    </row>
    <row r="671">
      <c r="A671" s="1012"/>
      <c r="B671" s="1013"/>
      <c r="C671" s="1012"/>
      <c r="D671" s="1013"/>
      <c r="E671" s="1012"/>
      <c r="F671" s="1012"/>
      <c r="G671" s="1013"/>
      <c r="H671" s="1012"/>
      <c r="I671" s="1012"/>
      <c r="J671" s="1013"/>
      <c r="K671" s="1013"/>
      <c r="L671" s="1094"/>
      <c r="M671" s="1094"/>
      <c r="N671" s="1013"/>
      <c r="O671" s="1013"/>
      <c r="P671" s="1013"/>
      <c r="Q671" s="1013"/>
      <c r="R671" s="1013"/>
      <c r="S671" s="1013"/>
      <c r="T671" s="1012"/>
      <c r="U671" s="1011"/>
      <c r="V671" s="1012"/>
      <c r="W671" s="1013"/>
      <c r="X671" s="1014"/>
      <c r="Y671" s="1012"/>
      <c r="Z671" s="1012"/>
      <c r="AA671" s="1012"/>
      <c r="AB671" s="1012"/>
      <c r="AC671" s="1012"/>
      <c r="AD671" s="1012"/>
      <c r="AE671" s="1012"/>
      <c r="AF671" s="1012"/>
      <c r="AG671" s="1012"/>
      <c r="AH671" s="1012"/>
      <c r="AI671" s="1012"/>
      <c r="AJ671" s="1012"/>
      <c r="AK671" s="1012"/>
    </row>
    <row r="672">
      <c r="A672" s="1012"/>
      <c r="B672" s="1013"/>
      <c r="C672" s="1012"/>
      <c r="D672" s="1013"/>
      <c r="E672" s="1012"/>
      <c r="F672" s="1012"/>
      <c r="G672" s="1013"/>
      <c r="H672" s="1012"/>
      <c r="I672" s="1012"/>
      <c r="J672" s="1013"/>
      <c r="K672" s="1013"/>
      <c r="L672" s="1094"/>
      <c r="M672" s="1094"/>
      <c r="N672" s="1013"/>
      <c r="O672" s="1013"/>
      <c r="P672" s="1013"/>
      <c r="Q672" s="1013"/>
      <c r="R672" s="1013"/>
      <c r="S672" s="1013"/>
      <c r="T672" s="1012"/>
      <c r="U672" s="1011"/>
      <c r="V672" s="1012"/>
      <c r="W672" s="1013"/>
      <c r="X672" s="1014"/>
      <c r="Y672" s="1012"/>
      <c r="Z672" s="1012"/>
      <c r="AA672" s="1012"/>
      <c r="AB672" s="1012"/>
      <c r="AC672" s="1012"/>
      <c r="AD672" s="1012"/>
      <c r="AE672" s="1012"/>
      <c r="AF672" s="1012"/>
      <c r="AG672" s="1012"/>
      <c r="AH672" s="1012"/>
      <c r="AI672" s="1012"/>
      <c r="AJ672" s="1012"/>
      <c r="AK672" s="1012"/>
    </row>
    <row r="673">
      <c r="A673" s="1012"/>
      <c r="B673" s="1013"/>
      <c r="C673" s="1012"/>
      <c r="D673" s="1013"/>
      <c r="E673" s="1012"/>
      <c r="F673" s="1012"/>
      <c r="G673" s="1013"/>
      <c r="H673" s="1012"/>
      <c r="I673" s="1012"/>
      <c r="J673" s="1013"/>
      <c r="K673" s="1013"/>
      <c r="L673" s="1094"/>
      <c r="M673" s="1094"/>
      <c r="N673" s="1013"/>
      <c r="O673" s="1013"/>
      <c r="P673" s="1013"/>
      <c r="Q673" s="1013"/>
      <c r="R673" s="1013"/>
      <c r="S673" s="1013"/>
      <c r="T673" s="1012"/>
      <c r="U673" s="1011"/>
      <c r="V673" s="1012"/>
      <c r="W673" s="1013"/>
      <c r="X673" s="1014"/>
      <c r="Y673" s="1012"/>
      <c r="Z673" s="1012"/>
      <c r="AA673" s="1012"/>
      <c r="AB673" s="1012"/>
      <c r="AC673" s="1012"/>
      <c r="AD673" s="1012"/>
      <c r="AE673" s="1012"/>
      <c r="AF673" s="1012"/>
      <c r="AG673" s="1012"/>
      <c r="AH673" s="1012"/>
      <c r="AI673" s="1012"/>
      <c r="AJ673" s="1012"/>
      <c r="AK673" s="1012"/>
    </row>
    <row r="674">
      <c r="A674" s="1012"/>
      <c r="B674" s="1013"/>
      <c r="C674" s="1012"/>
      <c r="D674" s="1013"/>
      <c r="E674" s="1012"/>
      <c r="F674" s="1012"/>
      <c r="G674" s="1013"/>
      <c r="H674" s="1012"/>
      <c r="I674" s="1012"/>
      <c r="J674" s="1013"/>
      <c r="K674" s="1013"/>
      <c r="L674" s="1094"/>
      <c r="M674" s="1094"/>
      <c r="N674" s="1013"/>
      <c r="O674" s="1013"/>
      <c r="P674" s="1013"/>
      <c r="Q674" s="1013"/>
      <c r="R674" s="1013"/>
      <c r="S674" s="1013"/>
      <c r="T674" s="1012"/>
      <c r="U674" s="1011"/>
      <c r="V674" s="1012"/>
      <c r="W674" s="1013"/>
      <c r="X674" s="1014"/>
      <c r="Y674" s="1012"/>
      <c r="Z674" s="1012"/>
      <c r="AA674" s="1012"/>
      <c r="AB674" s="1012"/>
      <c r="AC674" s="1012"/>
      <c r="AD674" s="1012"/>
      <c r="AE674" s="1012"/>
      <c r="AF674" s="1012"/>
      <c r="AG674" s="1012"/>
      <c r="AH674" s="1012"/>
      <c r="AI674" s="1012"/>
      <c r="AJ674" s="1012"/>
      <c r="AK674" s="1012"/>
    </row>
    <row r="675">
      <c r="A675" s="1012"/>
      <c r="B675" s="1013"/>
      <c r="C675" s="1012"/>
      <c r="D675" s="1013"/>
      <c r="E675" s="1012"/>
      <c r="F675" s="1012"/>
      <c r="G675" s="1013"/>
      <c r="H675" s="1012"/>
      <c r="I675" s="1012"/>
      <c r="J675" s="1013"/>
      <c r="K675" s="1013"/>
      <c r="L675" s="1094"/>
      <c r="M675" s="1094"/>
      <c r="N675" s="1013"/>
      <c r="O675" s="1013"/>
      <c r="P675" s="1013"/>
      <c r="Q675" s="1013"/>
      <c r="R675" s="1013"/>
      <c r="S675" s="1013"/>
      <c r="T675" s="1012"/>
      <c r="U675" s="1011"/>
      <c r="V675" s="1012"/>
      <c r="W675" s="1013"/>
      <c r="X675" s="1014"/>
      <c r="Y675" s="1012"/>
      <c r="Z675" s="1012"/>
      <c r="AA675" s="1012"/>
      <c r="AB675" s="1012"/>
      <c r="AC675" s="1012"/>
      <c r="AD675" s="1012"/>
      <c r="AE675" s="1012"/>
      <c r="AF675" s="1012"/>
      <c r="AG675" s="1012"/>
      <c r="AH675" s="1012"/>
      <c r="AI675" s="1012"/>
      <c r="AJ675" s="1012"/>
      <c r="AK675" s="1012"/>
    </row>
    <row r="676">
      <c r="A676" s="1012"/>
      <c r="B676" s="1013"/>
      <c r="C676" s="1012"/>
      <c r="D676" s="1013"/>
      <c r="E676" s="1012"/>
      <c r="F676" s="1012"/>
      <c r="G676" s="1013"/>
      <c r="H676" s="1012"/>
      <c r="I676" s="1012"/>
      <c r="J676" s="1013"/>
      <c r="K676" s="1013"/>
      <c r="L676" s="1094"/>
      <c r="M676" s="1094"/>
      <c r="N676" s="1013"/>
      <c r="O676" s="1013"/>
      <c r="P676" s="1013"/>
      <c r="Q676" s="1013"/>
      <c r="R676" s="1013"/>
      <c r="S676" s="1013"/>
      <c r="T676" s="1012"/>
      <c r="U676" s="1011"/>
      <c r="V676" s="1012"/>
      <c r="W676" s="1013"/>
      <c r="X676" s="1014"/>
      <c r="Y676" s="1012"/>
      <c r="Z676" s="1012"/>
      <c r="AA676" s="1012"/>
      <c r="AB676" s="1012"/>
      <c r="AC676" s="1012"/>
      <c r="AD676" s="1012"/>
      <c r="AE676" s="1012"/>
      <c r="AF676" s="1012"/>
      <c r="AG676" s="1012"/>
      <c r="AH676" s="1012"/>
      <c r="AI676" s="1012"/>
      <c r="AJ676" s="1012"/>
      <c r="AK676" s="1012"/>
    </row>
    <row r="677">
      <c r="A677" s="1012"/>
      <c r="B677" s="1013"/>
      <c r="C677" s="1012"/>
      <c r="D677" s="1013"/>
      <c r="E677" s="1012"/>
      <c r="F677" s="1012"/>
      <c r="G677" s="1013"/>
      <c r="H677" s="1012"/>
      <c r="I677" s="1012"/>
      <c r="J677" s="1013"/>
      <c r="K677" s="1013"/>
      <c r="L677" s="1094"/>
      <c r="M677" s="1094"/>
      <c r="N677" s="1013"/>
      <c r="O677" s="1013"/>
      <c r="P677" s="1013"/>
      <c r="Q677" s="1013"/>
      <c r="R677" s="1013"/>
      <c r="S677" s="1013"/>
      <c r="T677" s="1012"/>
      <c r="U677" s="1011"/>
      <c r="V677" s="1012"/>
      <c r="W677" s="1013"/>
      <c r="X677" s="1014"/>
      <c r="Y677" s="1012"/>
      <c r="Z677" s="1012"/>
      <c r="AA677" s="1012"/>
      <c r="AB677" s="1012"/>
      <c r="AC677" s="1012"/>
      <c r="AD677" s="1012"/>
      <c r="AE677" s="1012"/>
      <c r="AF677" s="1012"/>
      <c r="AG677" s="1012"/>
      <c r="AH677" s="1012"/>
      <c r="AI677" s="1012"/>
      <c r="AJ677" s="1012"/>
      <c r="AK677" s="1012"/>
    </row>
    <row r="678">
      <c r="A678" s="1012"/>
      <c r="B678" s="1013"/>
      <c r="C678" s="1012"/>
      <c r="D678" s="1013"/>
      <c r="E678" s="1012"/>
      <c r="F678" s="1012"/>
      <c r="G678" s="1013"/>
      <c r="H678" s="1012"/>
      <c r="I678" s="1012"/>
      <c r="J678" s="1013"/>
      <c r="K678" s="1013"/>
      <c r="L678" s="1094"/>
      <c r="M678" s="1094"/>
      <c r="N678" s="1013"/>
      <c r="O678" s="1013"/>
      <c r="P678" s="1013"/>
      <c r="Q678" s="1013"/>
      <c r="R678" s="1013"/>
      <c r="S678" s="1013"/>
      <c r="T678" s="1012"/>
      <c r="U678" s="1011"/>
      <c r="V678" s="1012"/>
      <c r="W678" s="1013"/>
      <c r="X678" s="1014"/>
      <c r="Y678" s="1012"/>
      <c r="Z678" s="1012"/>
      <c r="AA678" s="1012"/>
      <c r="AB678" s="1012"/>
      <c r="AC678" s="1012"/>
      <c r="AD678" s="1012"/>
      <c r="AE678" s="1012"/>
      <c r="AF678" s="1012"/>
      <c r="AG678" s="1012"/>
      <c r="AH678" s="1012"/>
      <c r="AI678" s="1012"/>
      <c r="AJ678" s="1012"/>
      <c r="AK678" s="1012"/>
    </row>
    <row r="679">
      <c r="A679" s="1012"/>
      <c r="B679" s="1013"/>
      <c r="C679" s="1012"/>
      <c r="D679" s="1013"/>
      <c r="E679" s="1012"/>
      <c r="F679" s="1012"/>
      <c r="G679" s="1013"/>
      <c r="H679" s="1012"/>
      <c r="I679" s="1012"/>
      <c r="J679" s="1013"/>
      <c r="K679" s="1013"/>
      <c r="L679" s="1094"/>
      <c r="M679" s="1094"/>
      <c r="N679" s="1013"/>
      <c r="O679" s="1013"/>
      <c r="P679" s="1013"/>
      <c r="Q679" s="1013"/>
      <c r="R679" s="1013"/>
      <c r="S679" s="1013"/>
      <c r="T679" s="1012"/>
      <c r="U679" s="1011"/>
      <c r="V679" s="1012"/>
      <c r="W679" s="1013"/>
      <c r="X679" s="1014"/>
      <c r="Y679" s="1012"/>
      <c r="Z679" s="1012"/>
      <c r="AA679" s="1012"/>
      <c r="AB679" s="1012"/>
      <c r="AC679" s="1012"/>
      <c r="AD679" s="1012"/>
      <c r="AE679" s="1012"/>
      <c r="AF679" s="1012"/>
      <c r="AG679" s="1012"/>
      <c r="AH679" s="1012"/>
      <c r="AI679" s="1012"/>
      <c r="AJ679" s="1012"/>
      <c r="AK679" s="1012"/>
    </row>
    <row r="680">
      <c r="A680" s="1012"/>
      <c r="B680" s="1013"/>
      <c r="C680" s="1012"/>
      <c r="D680" s="1013"/>
      <c r="E680" s="1012"/>
      <c r="F680" s="1012"/>
      <c r="G680" s="1013"/>
      <c r="H680" s="1012"/>
      <c r="I680" s="1012"/>
      <c r="J680" s="1013"/>
      <c r="K680" s="1013"/>
      <c r="L680" s="1094"/>
      <c r="M680" s="1094"/>
      <c r="N680" s="1013"/>
      <c r="O680" s="1013"/>
      <c r="P680" s="1013"/>
      <c r="Q680" s="1013"/>
      <c r="R680" s="1013"/>
      <c r="S680" s="1013"/>
      <c r="T680" s="1012"/>
      <c r="U680" s="1011"/>
      <c r="V680" s="1012"/>
      <c r="W680" s="1013"/>
      <c r="X680" s="1014"/>
      <c r="Y680" s="1012"/>
      <c r="Z680" s="1012"/>
      <c r="AA680" s="1012"/>
      <c r="AB680" s="1012"/>
      <c r="AC680" s="1012"/>
      <c r="AD680" s="1012"/>
      <c r="AE680" s="1012"/>
      <c r="AF680" s="1012"/>
      <c r="AG680" s="1012"/>
      <c r="AH680" s="1012"/>
      <c r="AI680" s="1012"/>
      <c r="AJ680" s="1012"/>
      <c r="AK680" s="1012"/>
    </row>
    <row r="681">
      <c r="A681" s="1012"/>
      <c r="B681" s="1013"/>
      <c r="C681" s="1012"/>
      <c r="D681" s="1013"/>
      <c r="E681" s="1012"/>
      <c r="F681" s="1012"/>
      <c r="G681" s="1013"/>
      <c r="H681" s="1012"/>
      <c r="I681" s="1012"/>
      <c r="J681" s="1013"/>
      <c r="K681" s="1013"/>
      <c r="L681" s="1094"/>
      <c r="M681" s="1094"/>
      <c r="N681" s="1013"/>
      <c r="O681" s="1013"/>
      <c r="P681" s="1013"/>
      <c r="Q681" s="1013"/>
      <c r="R681" s="1013"/>
      <c r="S681" s="1013"/>
      <c r="T681" s="1012"/>
      <c r="U681" s="1011"/>
      <c r="V681" s="1012"/>
      <c r="W681" s="1013"/>
      <c r="X681" s="1014"/>
      <c r="Y681" s="1012"/>
      <c r="Z681" s="1012"/>
      <c r="AA681" s="1012"/>
      <c r="AB681" s="1012"/>
      <c r="AC681" s="1012"/>
      <c r="AD681" s="1012"/>
      <c r="AE681" s="1012"/>
      <c r="AF681" s="1012"/>
      <c r="AG681" s="1012"/>
      <c r="AH681" s="1012"/>
      <c r="AI681" s="1012"/>
      <c r="AJ681" s="1012"/>
      <c r="AK681" s="1012"/>
    </row>
    <row r="682">
      <c r="A682" s="1012"/>
      <c r="B682" s="1013"/>
      <c r="C682" s="1012"/>
      <c r="D682" s="1013"/>
      <c r="E682" s="1012"/>
      <c r="F682" s="1012"/>
      <c r="G682" s="1013"/>
      <c r="H682" s="1012"/>
      <c r="I682" s="1012"/>
      <c r="J682" s="1013"/>
      <c r="K682" s="1013"/>
      <c r="L682" s="1094"/>
      <c r="M682" s="1094"/>
      <c r="N682" s="1013"/>
      <c r="O682" s="1013"/>
      <c r="P682" s="1013"/>
      <c r="Q682" s="1013"/>
      <c r="R682" s="1013"/>
      <c r="S682" s="1013"/>
      <c r="T682" s="1012"/>
      <c r="U682" s="1011"/>
      <c r="V682" s="1012"/>
      <c r="W682" s="1013"/>
      <c r="X682" s="1014"/>
      <c r="Y682" s="1012"/>
      <c r="Z682" s="1012"/>
      <c r="AA682" s="1012"/>
      <c r="AB682" s="1012"/>
      <c r="AC682" s="1012"/>
      <c r="AD682" s="1012"/>
      <c r="AE682" s="1012"/>
      <c r="AF682" s="1012"/>
      <c r="AG682" s="1012"/>
      <c r="AH682" s="1012"/>
      <c r="AI682" s="1012"/>
      <c r="AJ682" s="1012"/>
      <c r="AK682" s="1012"/>
    </row>
    <row r="683">
      <c r="A683" s="1012"/>
      <c r="B683" s="1013"/>
      <c r="C683" s="1012"/>
      <c r="D683" s="1013"/>
      <c r="E683" s="1012"/>
      <c r="F683" s="1012"/>
      <c r="G683" s="1013"/>
      <c r="H683" s="1012"/>
      <c r="I683" s="1012"/>
      <c r="J683" s="1013"/>
      <c r="K683" s="1013"/>
      <c r="L683" s="1094"/>
      <c r="M683" s="1094"/>
      <c r="N683" s="1013"/>
      <c r="O683" s="1013"/>
      <c r="P683" s="1013"/>
      <c r="Q683" s="1013"/>
      <c r="R683" s="1013"/>
      <c r="S683" s="1013"/>
      <c r="T683" s="1012"/>
      <c r="U683" s="1011"/>
      <c r="V683" s="1012"/>
      <c r="W683" s="1013"/>
      <c r="X683" s="1014"/>
      <c r="Y683" s="1012"/>
      <c r="Z683" s="1012"/>
      <c r="AA683" s="1012"/>
      <c r="AB683" s="1012"/>
      <c r="AC683" s="1012"/>
      <c r="AD683" s="1012"/>
      <c r="AE683" s="1012"/>
      <c r="AF683" s="1012"/>
      <c r="AG683" s="1012"/>
      <c r="AH683" s="1012"/>
      <c r="AI683" s="1012"/>
      <c r="AJ683" s="1012"/>
      <c r="AK683" s="1012"/>
    </row>
    <row r="684">
      <c r="A684" s="1012"/>
      <c r="B684" s="1013"/>
      <c r="C684" s="1012"/>
      <c r="D684" s="1013"/>
      <c r="E684" s="1012"/>
      <c r="F684" s="1012"/>
      <c r="G684" s="1013"/>
      <c r="H684" s="1012"/>
      <c r="I684" s="1012"/>
      <c r="J684" s="1013"/>
      <c r="K684" s="1013"/>
      <c r="L684" s="1094"/>
      <c r="M684" s="1094"/>
      <c r="N684" s="1013"/>
      <c r="O684" s="1013"/>
      <c r="P684" s="1013"/>
      <c r="Q684" s="1013"/>
      <c r="R684" s="1013"/>
      <c r="S684" s="1013"/>
      <c r="T684" s="1012"/>
      <c r="U684" s="1011"/>
      <c r="V684" s="1012"/>
      <c r="W684" s="1013"/>
      <c r="X684" s="1014"/>
      <c r="Y684" s="1012"/>
      <c r="Z684" s="1012"/>
      <c r="AA684" s="1012"/>
      <c r="AB684" s="1012"/>
      <c r="AC684" s="1012"/>
      <c r="AD684" s="1012"/>
      <c r="AE684" s="1012"/>
      <c r="AF684" s="1012"/>
      <c r="AG684" s="1012"/>
      <c r="AH684" s="1012"/>
      <c r="AI684" s="1012"/>
      <c r="AJ684" s="1012"/>
      <c r="AK684" s="1012"/>
    </row>
    <row r="685">
      <c r="A685" s="1012"/>
      <c r="B685" s="1013"/>
      <c r="C685" s="1012"/>
      <c r="D685" s="1013"/>
      <c r="E685" s="1012"/>
      <c r="F685" s="1012"/>
      <c r="G685" s="1013"/>
      <c r="H685" s="1012"/>
      <c r="I685" s="1012"/>
      <c r="J685" s="1013"/>
      <c r="K685" s="1013"/>
      <c r="L685" s="1094"/>
      <c r="M685" s="1094"/>
      <c r="N685" s="1013"/>
      <c r="O685" s="1013"/>
      <c r="P685" s="1013"/>
      <c r="Q685" s="1013"/>
      <c r="R685" s="1013"/>
      <c r="S685" s="1013"/>
      <c r="T685" s="1012"/>
      <c r="U685" s="1011"/>
      <c r="V685" s="1012"/>
      <c r="W685" s="1013"/>
      <c r="X685" s="1014"/>
      <c r="Y685" s="1012"/>
      <c r="Z685" s="1012"/>
      <c r="AA685" s="1012"/>
      <c r="AB685" s="1012"/>
      <c r="AC685" s="1012"/>
      <c r="AD685" s="1012"/>
      <c r="AE685" s="1012"/>
      <c r="AF685" s="1012"/>
      <c r="AG685" s="1012"/>
      <c r="AH685" s="1012"/>
      <c r="AI685" s="1012"/>
      <c r="AJ685" s="1012"/>
      <c r="AK685" s="1012"/>
    </row>
    <row r="686">
      <c r="A686" s="1012"/>
      <c r="B686" s="1013"/>
      <c r="C686" s="1012"/>
      <c r="D686" s="1013"/>
      <c r="E686" s="1012"/>
      <c r="F686" s="1012"/>
      <c r="G686" s="1013"/>
      <c r="H686" s="1012"/>
      <c r="I686" s="1012"/>
      <c r="J686" s="1013"/>
      <c r="K686" s="1013"/>
      <c r="L686" s="1094"/>
      <c r="M686" s="1094"/>
      <c r="N686" s="1013"/>
      <c r="O686" s="1013"/>
      <c r="P686" s="1013"/>
      <c r="Q686" s="1013"/>
      <c r="R686" s="1013"/>
      <c r="S686" s="1013"/>
      <c r="T686" s="1012"/>
      <c r="U686" s="1011"/>
      <c r="V686" s="1012"/>
      <c r="W686" s="1013"/>
      <c r="X686" s="1014"/>
      <c r="Y686" s="1012"/>
      <c r="Z686" s="1012"/>
      <c r="AA686" s="1012"/>
      <c r="AB686" s="1012"/>
      <c r="AC686" s="1012"/>
      <c r="AD686" s="1012"/>
      <c r="AE686" s="1012"/>
      <c r="AF686" s="1012"/>
      <c r="AG686" s="1012"/>
      <c r="AH686" s="1012"/>
      <c r="AI686" s="1012"/>
      <c r="AJ686" s="1012"/>
      <c r="AK686" s="1012"/>
    </row>
    <row r="687">
      <c r="A687" s="1012"/>
      <c r="B687" s="1013"/>
      <c r="C687" s="1012"/>
      <c r="D687" s="1013"/>
      <c r="E687" s="1012"/>
      <c r="F687" s="1012"/>
      <c r="G687" s="1013"/>
      <c r="H687" s="1012"/>
      <c r="I687" s="1012"/>
      <c r="J687" s="1013"/>
      <c r="K687" s="1013"/>
      <c r="L687" s="1094"/>
      <c r="M687" s="1094"/>
      <c r="N687" s="1013"/>
      <c r="O687" s="1013"/>
      <c r="P687" s="1013"/>
      <c r="Q687" s="1013"/>
      <c r="R687" s="1013"/>
      <c r="S687" s="1013"/>
      <c r="T687" s="1012"/>
      <c r="U687" s="1011"/>
      <c r="V687" s="1012"/>
      <c r="W687" s="1013"/>
      <c r="X687" s="1014"/>
      <c r="Y687" s="1012"/>
      <c r="Z687" s="1012"/>
      <c r="AA687" s="1012"/>
      <c r="AB687" s="1012"/>
      <c r="AC687" s="1012"/>
      <c r="AD687" s="1012"/>
      <c r="AE687" s="1012"/>
      <c r="AF687" s="1012"/>
      <c r="AG687" s="1012"/>
      <c r="AH687" s="1012"/>
      <c r="AI687" s="1012"/>
      <c r="AJ687" s="1012"/>
      <c r="AK687" s="1012"/>
    </row>
    <row r="688">
      <c r="A688" s="1012"/>
      <c r="B688" s="1013"/>
      <c r="C688" s="1012"/>
      <c r="D688" s="1013"/>
      <c r="E688" s="1012"/>
      <c r="F688" s="1012"/>
      <c r="G688" s="1013"/>
      <c r="H688" s="1012"/>
      <c r="I688" s="1012"/>
      <c r="J688" s="1013"/>
      <c r="K688" s="1013"/>
      <c r="L688" s="1094"/>
      <c r="M688" s="1094"/>
      <c r="N688" s="1013"/>
      <c r="O688" s="1013"/>
      <c r="P688" s="1013"/>
      <c r="Q688" s="1013"/>
      <c r="R688" s="1013"/>
      <c r="S688" s="1013"/>
      <c r="T688" s="1012"/>
      <c r="U688" s="1011"/>
      <c r="V688" s="1012"/>
      <c r="W688" s="1013"/>
      <c r="X688" s="1014"/>
      <c r="Y688" s="1012"/>
      <c r="Z688" s="1012"/>
      <c r="AA688" s="1012"/>
      <c r="AB688" s="1012"/>
      <c r="AC688" s="1012"/>
      <c r="AD688" s="1012"/>
      <c r="AE688" s="1012"/>
      <c r="AF688" s="1012"/>
      <c r="AG688" s="1012"/>
      <c r="AH688" s="1012"/>
      <c r="AI688" s="1012"/>
      <c r="AJ688" s="1012"/>
      <c r="AK688" s="1012"/>
    </row>
    <row r="689">
      <c r="A689" s="1012"/>
      <c r="B689" s="1013"/>
      <c r="C689" s="1012"/>
      <c r="D689" s="1013"/>
      <c r="E689" s="1012"/>
      <c r="F689" s="1012"/>
      <c r="G689" s="1013"/>
      <c r="H689" s="1012"/>
      <c r="I689" s="1012"/>
      <c r="J689" s="1013"/>
      <c r="K689" s="1013"/>
      <c r="L689" s="1094"/>
      <c r="M689" s="1094"/>
      <c r="N689" s="1013"/>
      <c r="O689" s="1013"/>
      <c r="P689" s="1013"/>
      <c r="Q689" s="1013"/>
      <c r="R689" s="1013"/>
      <c r="S689" s="1013"/>
      <c r="T689" s="1012"/>
      <c r="U689" s="1011"/>
      <c r="V689" s="1012"/>
      <c r="W689" s="1013"/>
      <c r="X689" s="1014"/>
      <c r="Y689" s="1012"/>
      <c r="Z689" s="1012"/>
      <c r="AA689" s="1012"/>
      <c r="AB689" s="1012"/>
      <c r="AC689" s="1012"/>
      <c r="AD689" s="1012"/>
      <c r="AE689" s="1012"/>
      <c r="AF689" s="1012"/>
      <c r="AG689" s="1012"/>
      <c r="AH689" s="1012"/>
      <c r="AI689" s="1012"/>
      <c r="AJ689" s="1012"/>
      <c r="AK689" s="1012"/>
    </row>
    <row r="690">
      <c r="A690" s="1012"/>
      <c r="B690" s="1013"/>
      <c r="C690" s="1012"/>
      <c r="D690" s="1013"/>
      <c r="E690" s="1012"/>
      <c r="F690" s="1012"/>
      <c r="G690" s="1013"/>
      <c r="H690" s="1012"/>
      <c r="I690" s="1012"/>
      <c r="J690" s="1013"/>
      <c r="K690" s="1013"/>
      <c r="L690" s="1094"/>
      <c r="M690" s="1094"/>
      <c r="N690" s="1013"/>
      <c r="O690" s="1013"/>
      <c r="P690" s="1013"/>
      <c r="Q690" s="1013"/>
      <c r="R690" s="1013"/>
      <c r="S690" s="1013"/>
      <c r="T690" s="1012"/>
      <c r="U690" s="1011"/>
      <c r="V690" s="1012"/>
      <c r="W690" s="1013"/>
      <c r="X690" s="1014"/>
      <c r="Y690" s="1012"/>
      <c r="Z690" s="1012"/>
      <c r="AA690" s="1012"/>
      <c r="AB690" s="1012"/>
      <c r="AC690" s="1012"/>
      <c r="AD690" s="1012"/>
      <c r="AE690" s="1012"/>
      <c r="AF690" s="1012"/>
      <c r="AG690" s="1012"/>
      <c r="AH690" s="1012"/>
      <c r="AI690" s="1012"/>
      <c r="AJ690" s="1012"/>
      <c r="AK690" s="1012"/>
    </row>
    <row r="691">
      <c r="A691" s="1012"/>
      <c r="B691" s="1013"/>
      <c r="C691" s="1012"/>
      <c r="D691" s="1013"/>
      <c r="E691" s="1012"/>
      <c r="F691" s="1012"/>
      <c r="G691" s="1013"/>
      <c r="H691" s="1012"/>
      <c r="I691" s="1012"/>
      <c r="J691" s="1013"/>
      <c r="K691" s="1013"/>
      <c r="L691" s="1094"/>
      <c r="M691" s="1094"/>
      <c r="N691" s="1013"/>
      <c r="O691" s="1013"/>
      <c r="P691" s="1013"/>
      <c r="Q691" s="1013"/>
      <c r="R691" s="1013"/>
      <c r="S691" s="1013"/>
      <c r="T691" s="1012"/>
      <c r="U691" s="1011"/>
      <c r="V691" s="1012"/>
      <c r="W691" s="1013"/>
      <c r="X691" s="1014"/>
      <c r="Y691" s="1012"/>
      <c r="Z691" s="1012"/>
      <c r="AA691" s="1012"/>
      <c r="AB691" s="1012"/>
      <c r="AC691" s="1012"/>
      <c r="AD691" s="1012"/>
      <c r="AE691" s="1012"/>
      <c r="AF691" s="1012"/>
      <c r="AG691" s="1012"/>
      <c r="AH691" s="1012"/>
      <c r="AI691" s="1012"/>
      <c r="AJ691" s="1012"/>
      <c r="AK691" s="1012"/>
    </row>
    <row r="692">
      <c r="A692" s="1012"/>
      <c r="B692" s="1013"/>
      <c r="C692" s="1012"/>
      <c r="D692" s="1013"/>
      <c r="E692" s="1012"/>
      <c r="F692" s="1012"/>
      <c r="G692" s="1013"/>
      <c r="H692" s="1012"/>
      <c r="I692" s="1012"/>
      <c r="J692" s="1013"/>
      <c r="K692" s="1013"/>
      <c r="L692" s="1094"/>
      <c r="M692" s="1094"/>
      <c r="N692" s="1013"/>
      <c r="O692" s="1013"/>
      <c r="P692" s="1013"/>
      <c r="Q692" s="1013"/>
      <c r="R692" s="1013"/>
      <c r="S692" s="1013"/>
      <c r="T692" s="1012"/>
      <c r="U692" s="1011"/>
      <c r="V692" s="1012"/>
      <c r="W692" s="1013"/>
      <c r="X692" s="1014"/>
      <c r="Y692" s="1012"/>
      <c r="Z692" s="1012"/>
      <c r="AA692" s="1012"/>
      <c r="AB692" s="1012"/>
      <c r="AC692" s="1012"/>
      <c r="AD692" s="1012"/>
      <c r="AE692" s="1012"/>
      <c r="AF692" s="1012"/>
      <c r="AG692" s="1012"/>
      <c r="AH692" s="1012"/>
      <c r="AI692" s="1012"/>
      <c r="AJ692" s="1012"/>
      <c r="AK692" s="1012"/>
    </row>
    <row r="693">
      <c r="A693" s="1012"/>
      <c r="B693" s="1013"/>
      <c r="C693" s="1012"/>
      <c r="D693" s="1013"/>
      <c r="E693" s="1012"/>
      <c r="F693" s="1012"/>
      <c r="G693" s="1013"/>
      <c r="H693" s="1012"/>
      <c r="I693" s="1012"/>
      <c r="J693" s="1013"/>
      <c r="K693" s="1013"/>
      <c r="L693" s="1094"/>
      <c r="M693" s="1094"/>
      <c r="N693" s="1013"/>
      <c r="O693" s="1013"/>
      <c r="P693" s="1013"/>
      <c r="Q693" s="1013"/>
      <c r="R693" s="1013"/>
      <c r="S693" s="1013"/>
      <c r="T693" s="1012"/>
      <c r="U693" s="1011"/>
      <c r="V693" s="1012"/>
      <c r="W693" s="1013"/>
      <c r="X693" s="1014"/>
      <c r="Y693" s="1012"/>
      <c r="Z693" s="1012"/>
      <c r="AA693" s="1012"/>
      <c r="AB693" s="1012"/>
      <c r="AC693" s="1012"/>
      <c r="AD693" s="1012"/>
      <c r="AE693" s="1012"/>
      <c r="AF693" s="1012"/>
      <c r="AG693" s="1012"/>
      <c r="AH693" s="1012"/>
      <c r="AI693" s="1012"/>
      <c r="AJ693" s="1012"/>
      <c r="AK693" s="1012"/>
    </row>
    <row r="694">
      <c r="A694" s="1012"/>
      <c r="B694" s="1013"/>
      <c r="C694" s="1012"/>
      <c r="D694" s="1013"/>
      <c r="E694" s="1012"/>
      <c r="F694" s="1012"/>
      <c r="G694" s="1013"/>
      <c r="H694" s="1012"/>
      <c r="I694" s="1012"/>
      <c r="J694" s="1013"/>
      <c r="K694" s="1013"/>
      <c r="L694" s="1094"/>
      <c r="M694" s="1094"/>
      <c r="N694" s="1013"/>
      <c r="O694" s="1013"/>
      <c r="P694" s="1013"/>
      <c r="Q694" s="1013"/>
      <c r="R694" s="1013"/>
      <c r="S694" s="1013"/>
      <c r="T694" s="1012"/>
      <c r="U694" s="1011"/>
      <c r="V694" s="1012"/>
      <c r="W694" s="1013"/>
      <c r="X694" s="1014"/>
      <c r="Y694" s="1012"/>
      <c r="Z694" s="1012"/>
      <c r="AA694" s="1012"/>
      <c r="AB694" s="1012"/>
      <c r="AC694" s="1012"/>
      <c r="AD694" s="1012"/>
      <c r="AE694" s="1012"/>
      <c r="AF694" s="1012"/>
      <c r="AG694" s="1012"/>
      <c r="AH694" s="1012"/>
      <c r="AI694" s="1012"/>
      <c r="AJ694" s="1012"/>
      <c r="AK694" s="1012"/>
    </row>
    <row r="695">
      <c r="A695" s="1012"/>
      <c r="B695" s="1013"/>
      <c r="C695" s="1012"/>
      <c r="D695" s="1013"/>
      <c r="E695" s="1012"/>
      <c r="F695" s="1012"/>
      <c r="G695" s="1013"/>
      <c r="H695" s="1012"/>
      <c r="I695" s="1012"/>
      <c r="J695" s="1013"/>
      <c r="K695" s="1013"/>
      <c r="L695" s="1094"/>
      <c r="M695" s="1094"/>
      <c r="N695" s="1013"/>
      <c r="O695" s="1013"/>
      <c r="P695" s="1013"/>
      <c r="Q695" s="1013"/>
      <c r="R695" s="1013"/>
      <c r="S695" s="1013"/>
      <c r="T695" s="1012"/>
      <c r="U695" s="1011"/>
      <c r="V695" s="1012"/>
      <c r="W695" s="1013"/>
      <c r="X695" s="1014"/>
      <c r="Y695" s="1012"/>
      <c r="Z695" s="1012"/>
      <c r="AA695" s="1012"/>
      <c r="AB695" s="1012"/>
      <c r="AC695" s="1012"/>
      <c r="AD695" s="1012"/>
      <c r="AE695" s="1012"/>
      <c r="AF695" s="1012"/>
      <c r="AG695" s="1012"/>
      <c r="AH695" s="1012"/>
      <c r="AI695" s="1012"/>
      <c r="AJ695" s="1012"/>
      <c r="AK695" s="1012"/>
    </row>
    <row r="696">
      <c r="A696" s="1012"/>
      <c r="B696" s="1013"/>
      <c r="C696" s="1012"/>
      <c r="D696" s="1013"/>
      <c r="E696" s="1012"/>
      <c r="F696" s="1012"/>
      <c r="G696" s="1013"/>
      <c r="H696" s="1012"/>
      <c r="I696" s="1012"/>
      <c r="J696" s="1013"/>
      <c r="K696" s="1013"/>
      <c r="L696" s="1094"/>
      <c r="M696" s="1094"/>
      <c r="N696" s="1013"/>
      <c r="O696" s="1013"/>
      <c r="P696" s="1013"/>
      <c r="Q696" s="1013"/>
      <c r="R696" s="1013"/>
      <c r="S696" s="1013"/>
      <c r="T696" s="1012"/>
      <c r="U696" s="1011"/>
      <c r="V696" s="1012"/>
      <c r="W696" s="1013"/>
      <c r="X696" s="1014"/>
      <c r="Y696" s="1012"/>
      <c r="Z696" s="1012"/>
      <c r="AA696" s="1012"/>
      <c r="AB696" s="1012"/>
      <c r="AC696" s="1012"/>
      <c r="AD696" s="1012"/>
      <c r="AE696" s="1012"/>
      <c r="AF696" s="1012"/>
      <c r="AG696" s="1012"/>
      <c r="AH696" s="1012"/>
      <c r="AI696" s="1012"/>
      <c r="AJ696" s="1012"/>
      <c r="AK696" s="1012"/>
    </row>
    <row r="697">
      <c r="A697" s="1012"/>
      <c r="B697" s="1013"/>
      <c r="C697" s="1012"/>
      <c r="D697" s="1013"/>
      <c r="E697" s="1012"/>
      <c r="F697" s="1012"/>
      <c r="G697" s="1013"/>
      <c r="H697" s="1012"/>
      <c r="I697" s="1012"/>
      <c r="J697" s="1013"/>
      <c r="K697" s="1013"/>
      <c r="L697" s="1094"/>
      <c r="M697" s="1094"/>
      <c r="N697" s="1013"/>
      <c r="O697" s="1013"/>
      <c r="P697" s="1013"/>
      <c r="Q697" s="1013"/>
      <c r="R697" s="1013"/>
      <c r="S697" s="1013"/>
      <c r="T697" s="1012"/>
      <c r="U697" s="1011"/>
      <c r="V697" s="1012"/>
      <c r="W697" s="1013"/>
      <c r="X697" s="1014"/>
      <c r="Y697" s="1012"/>
      <c r="Z697" s="1012"/>
      <c r="AA697" s="1012"/>
      <c r="AB697" s="1012"/>
      <c r="AC697" s="1012"/>
      <c r="AD697" s="1012"/>
      <c r="AE697" s="1012"/>
      <c r="AF697" s="1012"/>
      <c r="AG697" s="1012"/>
      <c r="AH697" s="1012"/>
      <c r="AI697" s="1012"/>
      <c r="AJ697" s="1012"/>
      <c r="AK697" s="1012"/>
    </row>
    <row r="698">
      <c r="A698" s="1012"/>
      <c r="B698" s="1013"/>
      <c r="C698" s="1012"/>
      <c r="D698" s="1013"/>
      <c r="E698" s="1012"/>
      <c r="F698" s="1012"/>
      <c r="G698" s="1013"/>
      <c r="H698" s="1012"/>
      <c r="I698" s="1012"/>
      <c r="J698" s="1013"/>
      <c r="K698" s="1013"/>
      <c r="L698" s="1094"/>
      <c r="M698" s="1094"/>
      <c r="N698" s="1013"/>
      <c r="O698" s="1013"/>
      <c r="P698" s="1013"/>
      <c r="Q698" s="1013"/>
      <c r="R698" s="1013"/>
      <c r="S698" s="1013"/>
      <c r="T698" s="1012"/>
      <c r="U698" s="1011"/>
      <c r="V698" s="1012"/>
      <c r="W698" s="1013"/>
      <c r="X698" s="1014"/>
      <c r="Y698" s="1012"/>
      <c r="Z698" s="1012"/>
      <c r="AA698" s="1012"/>
      <c r="AB698" s="1012"/>
      <c r="AC698" s="1012"/>
      <c r="AD698" s="1012"/>
      <c r="AE698" s="1012"/>
      <c r="AF698" s="1012"/>
      <c r="AG698" s="1012"/>
      <c r="AH698" s="1012"/>
      <c r="AI698" s="1012"/>
      <c r="AJ698" s="1012"/>
      <c r="AK698" s="1012"/>
    </row>
    <row r="699">
      <c r="A699" s="1012"/>
      <c r="B699" s="1013"/>
      <c r="C699" s="1012"/>
      <c r="D699" s="1013"/>
      <c r="E699" s="1012"/>
      <c r="F699" s="1012"/>
      <c r="G699" s="1013"/>
      <c r="H699" s="1012"/>
      <c r="I699" s="1012"/>
      <c r="J699" s="1013"/>
      <c r="K699" s="1013"/>
      <c r="L699" s="1094"/>
      <c r="M699" s="1094"/>
      <c r="N699" s="1013"/>
      <c r="O699" s="1013"/>
      <c r="P699" s="1013"/>
      <c r="Q699" s="1013"/>
      <c r="R699" s="1013"/>
      <c r="S699" s="1013"/>
      <c r="T699" s="1012"/>
      <c r="U699" s="1011"/>
      <c r="V699" s="1012"/>
      <c r="W699" s="1013"/>
      <c r="X699" s="1014"/>
      <c r="Y699" s="1012"/>
      <c r="Z699" s="1012"/>
      <c r="AA699" s="1012"/>
      <c r="AB699" s="1012"/>
      <c r="AC699" s="1012"/>
      <c r="AD699" s="1012"/>
      <c r="AE699" s="1012"/>
      <c r="AF699" s="1012"/>
      <c r="AG699" s="1012"/>
      <c r="AH699" s="1012"/>
      <c r="AI699" s="1012"/>
      <c r="AJ699" s="1012"/>
      <c r="AK699" s="1012"/>
    </row>
    <row r="700">
      <c r="A700" s="1012"/>
      <c r="B700" s="1013"/>
      <c r="C700" s="1012"/>
      <c r="D700" s="1013"/>
      <c r="E700" s="1012"/>
      <c r="F700" s="1012"/>
      <c r="G700" s="1013"/>
      <c r="H700" s="1012"/>
      <c r="I700" s="1012"/>
      <c r="J700" s="1013"/>
      <c r="K700" s="1013"/>
      <c r="L700" s="1094"/>
      <c r="M700" s="1094"/>
      <c r="N700" s="1013"/>
      <c r="O700" s="1013"/>
      <c r="P700" s="1013"/>
      <c r="Q700" s="1013"/>
      <c r="R700" s="1013"/>
      <c r="S700" s="1013"/>
      <c r="T700" s="1012"/>
      <c r="U700" s="1011"/>
      <c r="V700" s="1012"/>
      <c r="W700" s="1013"/>
      <c r="X700" s="1014"/>
      <c r="Y700" s="1012"/>
      <c r="Z700" s="1012"/>
      <c r="AA700" s="1012"/>
      <c r="AB700" s="1012"/>
      <c r="AC700" s="1012"/>
      <c r="AD700" s="1012"/>
      <c r="AE700" s="1012"/>
      <c r="AF700" s="1012"/>
      <c r="AG700" s="1012"/>
      <c r="AH700" s="1012"/>
      <c r="AI700" s="1012"/>
      <c r="AJ700" s="1012"/>
      <c r="AK700" s="1012"/>
    </row>
    <row r="701">
      <c r="A701" s="1012"/>
      <c r="B701" s="1013"/>
      <c r="C701" s="1012"/>
      <c r="D701" s="1013"/>
      <c r="E701" s="1012"/>
      <c r="F701" s="1012"/>
      <c r="G701" s="1013"/>
      <c r="H701" s="1012"/>
      <c r="I701" s="1012"/>
      <c r="J701" s="1013"/>
      <c r="K701" s="1013"/>
      <c r="L701" s="1094"/>
      <c r="M701" s="1094"/>
      <c r="N701" s="1013"/>
      <c r="O701" s="1013"/>
      <c r="P701" s="1013"/>
      <c r="Q701" s="1013"/>
      <c r="R701" s="1013"/>
      <c r="S701" s="1013"/>
      <c r="T701" s="1012"/>
      <c r="U701" s="1011"/>
      <c r="V701" s="1012"/>
      <c r="W701" s="1013"/>
      <c r="X701" s="1014"/>
      <c r="Y701" s="1012"/>
      <c r="Z701" s="1012"/>
      <c r="AA701" s="1012"/>
      <c r="AB701" s="1012"/>
      <c r="AC701" s="1012"/>
      <c r="AD701" s="1012"/>
      <c r="AE701" s="1012"/>
      <c r="AF701" s="1012"/>
      <c r="AG701" s="1012"/>
      <c r="AH701" s="1012"/>
      <c r="AI701" s="1012"/>
      <c r="AJ701" s="1012"/>
      <c r="AK701" s="1012"/>
    </row>
    <row r="702">
      <c r="A702" s="1012"/>
      <c r="B702" s="1013"/>
      <c r="C702" s="1012"/>
      <c r="D702" s="1013"/>
      <c r="E702" s="1012"/>
      <c r="F702" s="1012"/>
      <c r="G702" s="1013"/>
      <c r="H702" s="1012"/>
      <c r="I702" s="1012"/>
      <c r="J702" s="1013"/>
      <c r="K702" s="1013"/>
      <c r="L702" s="1094"/>
      <c r="M702" s="1094"/>
      <c r="N702" s="1013"/>
      <c r="O702" s="1013"/>
      <c r="P702" s="1013"/>
      <c r="Q702" s="1013"/>
      <c r="R702" s="1013"/>
      <c r="S702" s="1013"/>
      <c r="T702" s="1012"/>
      <c r="U702" s="1011"/>
      <c r="V702" s="1012"/>
      <c r="W702" s="1013"/>
      <c r="X702" s="1014"/>
      <c r="Y702" s="1012"/>
      <c r="Z702" s="1012"/>
      <c r="AA702" s="1012"/>
      <c r="AB702" s="1012"/>
      <c r="AC702" s="1012"/>
      <c r="AD702" s="1012"/>
      <c r="AE702" s="1012"/>
      <c r="AF702" s="1012"/>
      <c r="AG702" s="1012"/>
      <c r="AH702" s="1012"/>
      <c r="AI702" s="1012"/>
      <c r="AJ702" s="1012"/>
      <c r="AK702" s="1012"/>
    </row>
    <row r="703">
      <c r="A703" s="1012"/>
      <c r="B703" s="1013"/>
      <c r="C703" s="1012"/>
      <c r="D703" s="1013"/>
      <c r="E703" s="1012"/>
      <c r="F703" s="1012"/>
      <c r="G703" s="1013"/>
      <c r="H703" s="1012"/>
      <c r="I703" s="1012"/>
      <c r="J703" s="1013"/>
      <c r="K703" s="1013"/>
      <c r="L703" s="1094"/>
      <c r="M703" s="1094"/>
      <c r="N703" s="1013"/>
      <c r="O703" s="1013"/>
      <c r="P703" s="1013"/>
      <c r="Q703" s="1013"/>
      <c r="R703" s="1013"/>
      <c r="S703" s="1013"/>
      <c r="T703" s="1012"/>
      <c r="U703" s="1011"/>
      <c r="V703" s="1012"/>
      <c r="W703" s="1013"/>
      <c r="X703" s="1014"/>
      <c r="Y703" s="1012"/>
      <c r="Z703" s="1012"/>
      <c r="AA703" s="1012"/>
      <c r="AB703" s="1012"/>
      <c r="AC703" s="1012"/>
      <c r="AD703" s="1012"/>
      <c r="AE703" s="1012"/>
      <c r="AF703" s="1012"/>
      <c r="AG703" s="1012"/>
      <c r="AH703" s="1012"/>
      <c r="AI703" s="1012"/>
      <c r="AJ703" s="1012"/>
      <c r="AK703" s="1012"/>
    </row>
    <row r="704">
      <c r="A704" s="1012"/>
      <c r="B704" s="1013"/>
      <c r="C704" s="1012"/>
      <c r="D704" s="1013"/>
      <c r="E704" s="1012"/>
      <c r="F704" s="1012"/>
      <c r="G704" s="1013"/>
      <c r="H704" s="1012"/>
      <c r="I704" s="1012"/>
      <c r="J704" s="1013"/>
      <c r="K704" s="1013"/>
      <c r="L704" s="1094"/>
      <c r="M704" s="1094"/>
      <c r="N704" s="1013"/>
      <c r="O704" s="1013"/>
      <c r="P704" s="1013"/>
      <c r="Q704" s="1013"/>
      <c r="R704" s="1013"/>
      <c r="S704" s="1013"/>
      <c r="T704" s="1012"/>
      <c r="U704" s="1011"/>
      <c r="V704" s="1012"/>
      <c r="W704" s="1013"/>
      <c r="X704" s="1014"/>
      <c r="Y704" s="1012"/>
      <c r="Z704" s="1012"/>
      <c r="AA704" s="1012"/>
      <c r="AB704" s="1012"/>
      <c r="AC704" s="1012"/>
      <c r="AD704" s="1012"/>
      <c r="AE704" s="1012"/>
      <c r="AF704" s="1012"/>
      <c r="AG704" s="1012"/>
      <c r="AH704" s="1012"/>
      <c r="AI704" s="1012"/>
      <c r="AJ704" s="1012"/>
      <c r="AK704" s="1012"/>
    </row>
    <row r="705">
      <c r="A705" s="1012"/>
      <c r="B705" s="1013"/>
      <c r="C705" s="1012"/>
      <c r="D705" s="1013"/>
      <c r="E705" s="1012"/>
      <c r="F705" s="1012"/>
      <c r="G705" s="1013"/>
      <c r="H705" s="1012"/>
      <c r="I705" s="1012"/>
      <c r="J705" s="1013"/>
      <c r="K705" s="1013"/>
      <c r="L705" s="1094"/>
      <c r="M705" s="1094"/>
      <c r="N705" s="1013"/>
      <c r="O705" s="1013"/>
      <c r="P705" s="1013"/>
      <c r="Q705" s="1013"/>
      <c r="R705" s="1013"/>
      <c r="S705" s="1013"/>
      <c r="T705" s="1012"/>
      <c r="U705" s="1011"/>
      <c r="V705" s="1012"/>
      <c r="W705" s="1013"/>
      <c r="X705" s="1014"/>
      <c r="Y705" s="1012"/>
      <c r="Z705" s="1012"/>
      <c r="AA705" s="1012"/>
      <c r="AB705" s="1012"/>
      <c r="AC705" s="1012"/>
      <c r="AD705" s="1012"/>
      <c r="AE705" s="1012"/>
      <c r="AF705" s="1012"/>
      <c r="AG705" s="1012"/>
      <c r="AH705" s="1012"/>
      <c r="AI705" s="1012"/>
      <c r="AJ705" s="1012"/>
      <c r="AK705" s="1012"/>
    </row>
    <row r="706">
      <c r="A706" s="1012"/>
      <c r="B706" s="1013"/>
      <c r="C706" s="1012"/>
      <c r="D706" s="1013"/>
      <c r="E706" s="1012"/>
      <c r="F706" s="1012"/>
      <c r="G706" s="1013"/>
      <c r="H706" s="1012"/>
      <c r="I706" s="1012"/>
      <c r="J706" s="1013"/>
      <c r="K706" s="1013"/>
      <c r="L706" s="1094"/>
      <c r="M706" s="1094"/>
      <c r="N706" s="1013"/>
      <c r="O706" s="1013"/>
      <c r="P706" s="1013"/>
      <c r="Q706" s="1013"/>
      <c r="R706" s="1013"/>
      <c r="S706" s="1013"/>
      <c r="T706" s="1012"/>
      <c r="U706" s="1011"/>
      <c r="V706" s="1012"/>
      <c r="W706" s="1013"/>
      <c r="X706" s="1014"/>
      <c r="Y706" s="1012"/>
      <c r="Z706" s="1012"/>
      <c r="AA706" s="1012"/>
      <c r="AB706" s="1012"/>
      <c r="AC706" s="1012"/>
      <c r="AD706" s="1012"/>
      <c r="AE706" s="1012"/>
      <c r="AF706" s="1012"/>
      <c r="AG706" s="1012"/>
      <c r="AH706" s="1012"/>
      <c r="AI706" s="1012"/>
      <c r="AJ706" s="1012"/>
      <c r="AK706" s="1012"/>
    </row>
    <row r="707">
      <c r="A707" s="1012"/>
      <c r="B707" s="1013"/>
      <c r="C707" s="1012"/>
      <c r="D707" s="1013"/>
      <c r="E707" s="1012"/>
      <c r="F707" s="1012"/>
      <c r="G707" s="1013"/>
      <c r="H707" s="1012"/>
      <c r="I707" s="1012"/>
      <c r="J707" s="1013"/>
      <c r="K707" s="1013"/>
      <c r="L707" s="1094"/>
      <c r="M707" s="1094"/>
      <c r="N707" s="1013"/>
      <c r="O707" s="1013"/>
      <c r="P707" s="1013"/>
      <c r="Q707" s="1013"/>
      <c r="R707" s="1013"/>
      <c r="S707" s="1013"/>
      <c r="T707" s="1012"/>
      <c r="U707" s="1011"/>
      <c r="V707" s="1012"/>
      <c r="W707" s="1013"/>
      <c r="X707" s="1014"/>
      <c r="Y707" s="1012"/>
      <c r="Z707" s="1012"/>
      <c r="AA707" s="1012"/>
      <c r="AB707" s="1012"/>
      <c r="AC707" s="1012"/>
      <c r="AD707" s="1012"/>
      <c r="AE707" s="1012"/>
      <c r="AF707" s="1012"/>
      <c r="AG707" s="1012"/>
      <c r="AH707" s="1012"/>
      <c r="AI707" s="1012"/>
      <c r="AJ707" s="1012"/>
      <c r="AK707" s="1012"/>
    </row>
    <row r="708">
      <c r="A708" s="1012"/>
      <c r="B708" s="1013"/>
      <c r="C708" s="1012"/>
      <c r="D708" s="1013"/>
      <c r="E708" s="1012"/>
      <c r="F708" s="1012"/>
      <c r="G708" s="1013"/>
      <c r="H708" s="1012"/>
      <c r="I708" s="1012"/>
      <c r="J708" s="1013"/>
      <c r="K708" s="1013"/>
      <c r="L708" s="1094"/>
      <c r="M708" s="1094"/>
      <c r="N708" s="1013"/>
      <c r="O708" s="1013"/>
      <c r="P708" s="1013"/>
      <c r="Q708" s="1013"/>
      <c r="R708" s="1013"/>
      <c r="S708" s="1013"/>
      <c r="T708" s="1012"/>
      <c r="U708" s="1011"/>
      <c r="V708" s="1012"/>
      <c r="W708" s="1013"/>
      <c r="X708" s="1014"/>
      <c r="Y708" s="1012"/>
      <c r="Z708" s="1012"/>
      <c r="AA708" s="1012"/>
      <c r="AB708" s="1012"/>
      <c r="AC708" s="1012"/>
      <c r="AD708" s="1012"/>
      <c r="AE708" s="1012"/>
      <c r="AF708" s="1012"/>
      <c r="AG708" s="1012"/>
      <c r="AH708" s="1012"/>
      <c r="AI708" s="1012"/>
      <c r="AJ708" s="1012"/>
      <c r="AK708" s="1012"/>
    </row>
    <row r="709">
      <c r="A709" s="1012"/>
      <c r="B709" s="1013"/>
      <c r="C709" s="1012"/>
      <c r="D709" s="1013"/>
      <c r="E709" s="1012"/>
      <c r="F709" s="1012"/>
      <c r="G709" s="1013"/>
      <c r="H709" s="1012"/>
      <c r="I709" s="1012"/>
      <c r="J709" s="1013"/>
      <c r="K709" s="1013"/>
      <c r="L709" s="1094"/>
      <c r="M709" s="1094"/>
      <c r="N709" s="1013"/>
      <c r="O709" s="1013"/>
      <c r="P709" s="1013"/>
      <c r="Q709" s="1013"/>
      <c r="R709" s="1013"/>
      <c r="S709" s="1013"/>
      <c r="T709" s="1012"/>
      <c r="U709" s="1011"/>
      <c r="V709" s="1012"/>
      <c r="W709" s="1013"/>
      <c r="X709" s="1014"/>
      <c r="Y709" s="1012"/>
      <c r="Z709" s="1012"/>
      <c r="AA709" s="1012"/>
      <c r="AB709" s="1012"/>
      <c r="AC709" s="1012"/>
      <c r="AD709" s="1012"/>
      <c r="AE709" s="1012"/>
      <c r="AF709" s="1012"/>
      <c r="AG709" s="1012"/>
      <c r="AH709" s="1012"/>
      <c r="AI709" s="1012"/>
      <c r="AJ709" s="1012"/>
      <c r="AK709" s="1012"/>
    </row>
    <row r="710">
      <c r="A710" s="1012"/>
      <c r="B710" s="1013"/>
      <c r="C710" s="1012"/>
      <c r="D710" s="1013"/>
      <c r="E710" s="1012"/>
      <c r="F710" s="1012"/>
      <c r="G710" s="1013"/>
      <c r="H710" s="1012"/>
      <c r="I710" s="1012"/>
      <c r="J710" s="1013"/>
      <c r="K710" s="1013"/>
      <c r="L710" s="1094"/>
      <c r="M710" s="1094"/>
      <c r="N710" s="1013"/>
      <c r="O710" s="1013"/>
      <c r="P710" s="1013"/>
      <c r="Q710" s="1013"/>
      <c r="R710" s="1013"/>
      <c r="S710" s="1013"/>
      <c r="T710" s="1012"/>
      <c r="U710" s="1011"/>
      <c r="V710" s="1012"/>
      <c r="W710" s="1013"/>
      <c r="X710" s="1014"/>
      <c r="Y710" s="1012"/>
      <c r="Z710" s="1012"/>
      <c r="AA710" s="1012"/>
      <c r="AB710" s="1012"/>
      <c r="AC710" s="1012"/>
      <c r="AD710" s="1012"/>
      <c r="AE710" s="1012"/>
      <c r="AF710" s="1012"/>
      <c r="AG710" s="1012"/>
      <c r="AH710" s="1012"/>
      <c r="AI710" s="1012"/>
      <c r="AJ710" s="1012"/>
      <c r="AK710" s="1012"/>
    </row>
    <row r="711">
      <c r="A711" s="1012"/>
      <c r="B711" s="1013"/>
      <c r="C711" s="1012"/>
      <c r="D711" s="1013"/>
      <c r="E711" s="1012"/>
      <c r="F711" s="1012"/>
      <c r="G711" s="1013"/>
      <c r="H711" s="1012"/>
      <c r="I711" s="1012"/>
      <c r="J711" s="1013"/>
      <c r="K711" s="1013"/>
      <c r="L711" s="1094"/>
      <c r="M711" s="1094"/>
      <c r="N711" s="1013"/>
      <c r="O711" s="1013"/>
      <c r="P711" s="1013"/>
      <c r="Q711" s="1013"/>
      <c r="R711" s="1013"/>
      <c r="S711" s="1013"/>
      <c r="T711" s="1012"/>
      <c r="U711" s="1011"/>
      <c r="V711" s="1012"/>
      <c r="W711" s="1013"/>
      <c r="X711" s="1014"/>
      <c r="Y711" s="1012"/>
      <c r="Z711" s="1012"/>
      <c r="AA711" s="1012"/>
      <c r="AB711" s="1012"/>
      <c r="AC711" s="1012"/>
      <c r="AD711" s="1012"/>
      <c r="AE711" s="1012"/>
      <c r="AF711" s="1012"/>
      <c r="AG711" s="1012"/>
      <c r="AH711" s="1012"/>
      <c r="AI711" s="1012"/>
      <c r="AJ711" s="1012"/>
      <c r="AK711" s="1012"/>
    </row>
    <row r="712">
      <c r="A712" s="1012"/>
      <c r="B712" s="1013"/>
      <c r="C712" s="1012"/>
      <c r="D712" s="1013"/>
      <c r="E712" s="1012"/>
      <c r="F712" s="1012"/>
      <c r="G712" s="1013"/>
      <c r="H712" s="1012"/>
      <c r="I712" s="1012"/>
      <c r="J712" s="1013"/>
      <c r="K712" s="1013"/>
      <c r="L712" s="1094"/>
      <c r="M712" s="1094"/>
      <c r="N712" s="1013"/>
      <c r="O712" s="1013"/>
      <c r="P712" s="1013"/>
      <c r="Q712" s="1013"/>
      <c r="R712" s="1013"/>
      <c r="S712" s="1013"/>
      <c r="T712" s="1012"/>
      <c r="U712" s="1011"/>
      <c r="V712" s="1012"/>
      <c r="W712" s="1013"/>
      <c r="X712" s="1014"/>
      <c r="Y712" s="1012"/>
      <c r="Z712" s="1012"/>
      <c r="AA712" s="1012"/>
      <c r="AB712" s="1012"/>
      <c r="AC712" s="1012"/>
      <c r="AD712" s="1012"/>
      <c r="AE712" s="1012"/>
      <c r="AF712" s="1012"/>
      <c r="AG712" s="1012"/>
      <c r="AH712" s="1012"/>
      <c r="AI712" s="1012"/>
      <c r="AJ712" s="1012"/>
      <c r="AK712" s="1012"/>
    </row>
    <row r="713">
      <c r="A713" s="1012"/>
      <c r="B713" s="1013"/>
      <c r="C713" s="1012"/>
      <c r="D713" s="1013"/>
      <c r="E713" s="1012"/>
      <c r="F713" s="1012"/>
      <c r="G713" s="1013"/>
      <c r="H713" s="1012"/>
      <c r="I713" s="1012"/>
      <c r="J713" s="1013"/>
      <c r="K713" s="1013"/>
      <c r="L713" s="1094"/>
      <c r="M713" s="1094"/>
      <c r="N713" s="1013"/>
      <c r="O713" s="1013"/>
      <c r="P713" s="1013"/>
      <c r="Q713" s="1013"/>
      <c r="R713" s="1013"/>
      <c r="S713" s="1013"/>
      <c r="T713" s="1012"/>
      <c r="U713" s="1011"/>
      <c r="V713" s="1012"/>
      <c r="W713" s="1013"/>
      <c r="X713" s="1014"/>
      <c r="Y713" s="1012"/>
      <c r="Z713" s="1012"/>
      <c r="AA713" s="1012"/>
      <c r="AB713" s="1012"/>
      <c r="AC713" s="1012"/>
      <c r="AD713" s="1012"/>
      <c r="AE713" s="1012"/>
      <c r="AF713" s="1012"/>
      <c r="AG713" s="1012"/>
      <c r="AH713" s="1012"/>
      <c r="AI713" s="1012"/>
      <c r="AJ713" s="1012"/>
      <c r="AK713" s="1012"/>
    </row>
    <row r="714">
      <c r="A714" s="1012"/>
      <c r="B714" s="1013"/>
      <c r="C714" s="1012"/>
      <c r="D714" s="1013"/>
      <c r="E714" s="1012"/>
      <c r="F714" s="1012"/>
      <c r="G714" s="1013"/>
      <c r="H714" s="1012"/>
      <c r="I714" s="1012"/>
      <c r="J714" s="1013"/>
      <c r="K714" s="1013"/>
      <c r="L714" s="1094"/>
      <c r="M714" s="1094"/>
      <c r="N714" s="1013"/>
      <c r="O714" s="1013"/>
      <c r="P714" s="1013"/>
      <c r="Q714" s="1013"/>
      <c r="R714" s="1013"/>
      <c r="S714" s="1013"/>
      <c r="T714" s="1012"/>
      <c r="U714" s="1011"/>
      <c r="V714" s="1012"/>
      <c r="W714" s="1013"/>
      <c r="X714" s="1014"/>
      <c r="Y714" s="1012"/>
      <c r="Z714" s="1012"/>
      <c r="AA714" s="1012"/>
      <c r="AB714" s="1012"/>
      <c r="AC714" s="1012"/>
      <c r="AD714" s="1012"/>
      <c r="AE714" s="1012"/>
      <c r="AF714" s="1012"/>
      <c r="AG714" s="1012"/>
      <c r="AH714" s="1012"/>
      <c r="AI714" s="1012"/>
      <c r="AJ714" s="1012"/>
      <c r="AK714" s="1012"/>
    </row>
    <row r="715">
      <c r="A715" s="1012"/>
      <c r="B715" s="1013"/>
      <c r="C715" s="1012"/>
      <c r="D715" s="1013"/>
      <c r="E715" s="1012"/>
      <c r="F715" s="1012"/>
      <c r="G715" s="1013"/>
      <c r="H715" s="1012"/>
      <c r="I715" s="1012"/>
      <c r="J715" s="1013"/>
      <c r="K715" s="1013"/>
      <c r="L715" s="1094"/>
      <c r="M715" s="1094"/>
      <c r="N715" s="1013"/>
      <c r="O715" s="1013"/>
      <c r="P715" s="1013"/>
      <c r="Q715" s="1013"/>
      <c r="R715" s="1013"/>
      <c r="S715" s="1013"/>
      <c r="T715" s="1012"/>
      <c r="U715" s="1011"/>
      <c r="V715" s="1012"/>
      <c r="W715" s="1013"/>
      <c r="X715" s="1014"/>
      <c r="Y715" s="1012"/>
      <c r="Z715" s="1012"/>
      <c r="AA715" s="1012"/>
      <c r="AB715" s="1012"/>
      <c r="AC715" s="1012"/>
      <c r="AD715" s="1012"/>
      <c r="AE715" s="1012"/>
      <c r="AF715" s="1012"/>
      <c r="AG715" s="1012"/>
      <c r="AH715" s="1012"/>
      <c r="AI715" s="1012"/>
      <c r="AJ715" s="1012"/>
      <c r="AK715" s="1012"/>
    </row>
    <row r="716">
      <c r="A716" s="1012"/>
      <c r="B716" s="1013"/>
      <c r="C716" s="1012"/>
      <c r="D716" s="1013"/>
      <c r="E716" s="1012"/>
      <c r="F716" s="1012"/>
      <c r="G716" s="1013"/>
      <c r="H716" s="1012"/>
      <c r="I716" s="1012"/>
      <c r="J716" s="1013"/>
      <c r="K716" s="1013"/>
      <c r="L716" s="1094"/>
      <c r="M716" s="1094"/>
      <c r="N716" s="1013"/>
      <c r="O716" s="1013"/>
      <c r="P716" s="1013"/>
      <c r="Q716" s="1013"/>
      <c r="R716" s="1013"/>
      <c r="S716" s="1013"/>
      <c r="T716" s="1012"/>
      <c r="U716" s="1011"/>
      <c r="V716" s="1012"/>
      <c r="W716" s="1013"/>
      <c r="X716" s="1014"/>
      <c r="Y716" s="1012"/>
      <c r="Z716" s="1012"/>
      <c r="AA716" s="1012"/>
      <c r="AB716" s="1012"/>
      <c r="AC716" s="1012"/>
      <c r="AD716" s="1012"/>
      <c r="AE716" s="1012"/>
      <c r="AF716" s="1012"/>
      <c r="AG716" s="1012"/>
      <c r="AH716" s="1012"/>
      <c r="AI716" s="1012"/>
      <c r="AJ716" s="1012"/>
      <c r="AK716" s="1012"/>
    </row>
    <row r="717">
      <c r="A717" s="1012"/>
      <c r="B717" s="1013"/>
      <c r="C717" s="1012"/>
      <c r="D717" s="1013"/>
      <c r="E717" s="1012"/>
      <c r="F717" s="1012"/>
      <c r="G717" s="1013"/>
      <c r="H717" s="1012"/>
      <c r="I717" s="1012"/>
      <c r="J717" s="1013"/>
      <c r="K717" s="1013"/>
      <c r="L717" s="1094"/>
      <c r="M717" s="1094"/>
      <c r="N717" s="1013"/>
      <c r="O717" s="1013"/>
      <c r="P717" s="1013"/>
      <c r="Q717" s="1013"/>
      <c r="R717" s="1013"/>
      <c r="S717" s="1013"/>
      <c r="T717" s="1012"/>
      <c r="U717" s="1011"/>
      <c r="V717" s="1012"/>
      <c r="W717" s="1013"/>
      <c r="X717" s="1014"/>
      <c r="Y717" s="1012"/>
      <c r="Z717" s="1012"/>
      <c r="AA717" s="1012"/>
      <c r="AB717" s="1012"/>
      <c r="AC717" s="1012"/>
      <c r="AD717" s="1012"/>
      <c r="AE717" s="1012"/>
      <c r="AF717" s="1012"/>
      <c r="AG717" s="1012"/>
      <c r="AH717" s="1012"/>
      <c r="AI717" s="1012"/>
      <c r="AJ717" s="1012"/>
      <c r="AK717" s="1012"/>
    </row>
    <row r="718">
      <c r="A718" s="1012"/>
      <c r="B718" s="1013"/>
      <c r="C718" s="1012"/>
      <c r="D718" s="1013"/>
      <c r="E718" s="1012"/>
      <c r="F718" s="1012"/>
      <c r="G718" s="1013"/>
      <c r="H718" s="1012"/>
      <c r="I718" s="1012"/>
      <c r="J718" s="1013"/>
      <c r="K718" s="1013"/>
      <c r="L718" s="1094"/>
      <c r="M718" s="1094"/>
      <c r="N718" s="1013"/>
      <c r="O718" s="1013"/>
      <c r="P718" s="1013"/>
      <c r="Q718" s="1013"/>
      <c r="R718" s="1013"/>
      <c r="S718" s="1013"/>
      <c r="T718" s="1012"/>
      <c r="U718" s="1011"/>
      <c r="V718" s="1012"/>
      <c r="W718" s="1013"/>
      <c r="X718" s="1014"/>
      <c r="Y718" s="1012"/>
      <c r="Z718" s="1012"/>
      <c r="AA718" s="1012"/>
      <c r="AB718" s="1012"/>
      <c r="AC718" s="1012"/>
      <c r="AD718" s="1012"/>
      <c r="AE718" s="1012"/>
      <c r="AF718" s="1012"/>
      <c r="AG718" s="1012"/>
      <c r="AH718" s="1012"/>
      <c r="AI718" s="1012"/>
      <c r="AJ718" s="1012"/>
      <c r="AK718" s="1012"/>
    </row>
    <row r="719">
      <c r="A719" s="1012"/>
      <c r="B719" s="1013"/>
      <c r="C719" s="1012"/>
      <c r="D719" s="1013"/>
      <c r="E719" s="1012"/>
      <c r="F719" s="1012"/>
      <c r="G719" s="1013"/>
      <c r="H719" s="1012"/>
      <c r="I719" s="1012"/>
      <c r="J719" s="1013"/>
      <c r="K719" s="1013"/>
      <c r="L719" s="1094"/>
      <c r="M719" s="1094"/>
      <c r="N719" s="1013"/>
      <c r="O719" s="1013"/>
      <c r="P719" s="1013"/>
      <c r="Q719" s="1013"/>
      <c r="R719" s="1013"/>
      <c r="S719" s="1013"/>
      <c r="T719" s="1012"/>
      <c r="U719" s="1011"/>
      <c r="V719" s="1012"/>
      <c r="W719" s="1013"/>
      <c r="X719" s="1014"/>
      <c r="Y719" s="1012"/>
      <c r="Z719" s="1012"/>
      <c r="AA719" s="1012"/>
      <c r="AB719" s="1012"/>
      <c r="AC719" s="1012"/>
      <c r="AD719" s="1012"/>
      <c r="AE719" s="1012"/>
      <c r="AF719" s="1012"/>
      <c r="AG719" s="1012"/>
      <c r="AH719" s="1012"/>
      <c r="AI719" s="1012"/>
      <c r="AJ719" s="1012"/>
      <c r="AK719" s="1012"/>
    </row>
    <row r="720">
      <c r="A720" s="1012"/>
      <c r="B720" s="1013"/>
      <c r="C720" s="1012"/>
      <c r="D720" s="1013"/>
      <c r="E720" s="1012"/>
      <c r="F720" s="1012"/>
      <c r="G720" s="1013"/>
      <c r="H720" s="1012"/>
      <c r="I720" s="1012"/>
      <c r="J720" s="1013"/>
      <c r="K720" s="1013"/>
      <c r="L720" s="1094"/>
      <c r="M720" s="1094"/>
      <c r="N720" s="1013"/>
      <c r="O720" s="1013"/>
      <c r="P720" s="1013"/>
      <c r="Q720" s="1013"/>
      <c r="R720" s="1013"/>
      <c r="S720" s="1013"/>
      <c r="T720" s="1012"/>
      <c r="U720" s="1011"/>
      <c r="V720" s="1012"/>
      <c r="W720" s="1013"/>
      <c r="X720" s="1014"/>
      <c r="Y720" s="1012"/>
      <c r="Z720" s="1012"/>
      <c r="AA720" s="1012"/>
      <c r="AB720" s="1012"/>
      <c r="AC720" s="1012"/>
      <c r="AD720" s="1012"/>
      <c r="AE720" s="1012"/>
      <c r="AF720" s="1012"/>
      <c r="AG720" s="1012"/>
      <c r="AH720" s="1012"/>
      <c r="AI720" s="1012"/>
      <c r="AJ720" s="1012"/>
      <c r="AK720" s="1012"/>
    </row>
    <row r="721">
      <c r="A721" s="1012"/>
      <c r="B721" s="1013"/>
      <c r="C721" s="1012"/>
      <c r="D721" s="1013"/>
      <c r="E721" s="1012"/>
      <c r="F721" s="1012"/>
      <c r="G721" s="1013"/>
      <c r="H721" s="1012"/>
      <c r="I721" s="1012"/>
      <c r="J721" s="1013"/>
      <c r="K721" s="1013"/>
      <c r="L721" s="1094"/>
      <c r="M721" s="1094"/>
      <c r="N721" s="1013"/>
      <c r="O721" s="1013"/>
      <c r="P721" s="1013"/>
      <c r="Q721" s="1013"/>
      <c r="R721" s="1013"/>
      <c r="S721" s="1013"/>
      <c r="T721" s="1012"/>
      <c r="U721" s="1011"/>
      <c r="V721" s="1012"/>
      <c r="W721" s="1013"/>
      <c r="X721" s="1014"/>
      <c r="Y721" s="1012"/>
      <c r="Z721" s="1012"/>
      <c r="AA721" s="1012"/>
      <c r="AB721" s="1012"/>
      <c r="AC721" s="1012"/>
      <c r="AD721" s="1012"/>
      <c r="AE721" s="1012"/>
      <c r="AF721" s="1012"/>
      <c r="AG721" s="1012"/>
      <c r="AH721" s="1012"/>
      <c r="AI721" s="1012"/>
      <c r="AJ721" s="1012"/>
      <c r="AK721" s="1012"/>
    </row>
    <row r="722">
      <c r="A722" s="1012"/>
      <c r="B722" s="1013"/>
      <c r="C722" s="1012"/>
      <c r="D722" s="1013"/>
      <c r="E722" s="1012"/>
      <c r="F722" s="1012"/>
      <c r="G722" s="1013"/>
      <c r="H722" s="1012"/>
      <c r="I722" s="1012"/>
      <c r="J722" s="1013"/>
      <c r="K722" s="1013"/>
      <c r="L722" s="1094"/>
      <c r="M722" s="1094"/>
      <c r="N722" s="1013"/>
      <c r="O722" s="1013"/>
      <c r="P722" s="1013"/>
      <c r="Q722" s="1013"/>
      <c r="R722" s="1013"/>
      <c r="S722" s="1013"/>
      <c r="T722" s="1012"/>
      <c r="U722" s="1011"/>
      <c r="V722" s="1012"/>
      <c r="W722" s="1013"/>
      <c r="X722" s="1014"/>
      <c r="Y722" s="1012"/>
      <c r="Z722" s="1012"/>
      <c r="AA722" s="1012"/>
      <c r="AB722" s="1012"/>
      <c r="AC722" s="1012"/>
      <c r="AD722" s="1012"/>
      <c r="AE722" s="1012"/>
      <c r="AF722" s="1012"/>
      <c r="AG722" s="1012"/>
      <c r="AH722" s="1012"/>
      <c r="AI722" s="1012"/>
      <c r="AJ722" s="1012"/>
      <c r="AK722" s="1012"/>
    </row>
    <row r="723">
      <c r="A723" s="1012"/>
      <c r="B723" s="1013"/>
      <c r="C723" s="1012"/>
      <c r="D723" s="1013"/>
      <c r="E723" s="1012"/>
      <c r="F723" s="1012"/>
      <c r="G723" s="1013"/>
      <c r="H723" s="1012"/>
      <c r="I723" s="1012"/>
      <c r="J723" s="1013"/>
      <c r="K723" s="1013"/>
      <c r="L723" s="1094"/>
      <c r="M723" s="1094"/>
      <c r="N723" s="1013"/>
      <c r="O723" s="1013"/>
      <c r="P723" s="1013"/>
      <c r="Q723" s="1013"/>
      <c r="R723" s="1013"/>
      <c r="S723" s="1013"/>
      <c r="T723" s="1012"/>
      <c r="U723" s="1011"/>
      <c r="V723" s="1012"/>
      <c r="W723" s="1013"/>
      <c r="X723" s="1014"/>
      <c r="Y723" s="1012"/>
      <c r="Z723" s="1012"/>
      <c r="AA723" s="1012"/>
      <c r="AB723" s="1012"/>
      <c r="AC723" s="1012"/>
      <c r="AD723" s="1012"/>
      <c r="AE723" s="1012"/>
      <c r="AF723" s="1012"/>
      <c r="AG723" s="1012"/>
      <c r="AH723" s="1012"/>
      <c r="AI723" s="1012"/>
      <c r="AJ723" s="1012"/>
      <c r="AK723" s="1012"/>
    </row>
    <row r="724">
      <c r="A724" s="1012"/>
      <c r="B724" s="1013"/>
      <c r="C724" s="1012"/>
      <c r="D724" s="1013"/>
      <c r="E724" s="1012"/>
      <c r="F724" s="1012"/>
      <c r="G724" s="1013"/>
      <c r="H724" s="1012"/>
      <c r="I724" s="1012"/>
      <c r="J724" s="1013"/>
      <c r="K724" s="1013"/>
      <c r="L724" s="1094"/>
      <c r="M724" s="1094"/>
      <c r="N724" s="1013"/>
      <c r="O724" s="1013"/>
      <c r="P724" s="1013"/>
      <c r="Q724" s="1013"/>
      <c r="R724" s="1013"/>
      <c r="S724" s="1013"/>
      <c r="T724" s="1012"/>
      <c r="U724" s="1011"/>
      <c r="V724" s="1012"/>
      <c r="W724" s="1013"/>
      <c r="X724" s="1014"/>
      <c r="Y724" s="1012"/>
      <c r="Z724" s="1012"/>
      <c r="AA724" s="1012"/>
      <c r="AB724" s="1012"/>
      <c r="AC724" s="1012"/>
      <c r="AD724" s="1012"/>
      <c r="AE724" s="1012"/>
      <c r="AF724" s="1012"/>
      <c r="AG724" s="1012"/>
      <c r="AH724" s="1012"/>
      <c r="AI724" s="1012"/>
      <c r="AJ724" s="1012"/>
      <c r="AK724" s="1012"/>
    </row>
    <row r="725">
      <c r="A725" s="1012"/>
      <c r="B725" s="1013"/>
      <c r="C725" s="1012"/>
      <c r="D725" s="1013"/>
      <c r="E725" s="1012"/>
      <c r="F725" s="1012"/>
      <c r="G725" s="1013"/>
      <c r="H725" s="1012"/>
      <c r="I725" s="1012"/>
      <c r="J725" s="1013"/>
      <c r="K725" s="1013"/>
      <c r="L725" s="1094"/>
      <c r="M725" s="1094"/>
      <c r="N725" s="1013"/>
      <c r="O725" s="1013"/>
      <c r="P725" s="1013"/>
      <c r="Q725" s="1013"/>
      <c r="R725" s="1013"/>
      <c r="S725" s="1013"/>
      <c r="T725" s="1012"/>
      <c r="U725" s="1011"/>
      <c r="V725" s="1012"/>
      <c r="W725" s="1013"/>
      <c r="X725" s="1014"/>
      <c r="Y725" s="1012"/>
      <c r="Z725" s="1012"/>
      <c r="AA725" s="1012"/>
      <c r="AB725" s="1012"/>
      <c r="AC725" s="1012"/>
      <c r="AD725" s="1012"/>
      <c r="AE725" s="1012"/>
      <c r="AF725" s="1012"/>
      <c r="AG725" s="1012"/>
      <c r="AH725" s="1012"/>
      <c r="AI725" s="1012"/>
      <c r="AJ725" s="1012"/>
      <c r="AK725" s="1012"/>
    </row>
    <row r="726">
      <c r="A726" s="1012"/>
      <c r="B726" s="1013"/>
      <c r="C726" s="1012"/>
      <c r="D726" s="1013"/>
      <c r="E726" s="1012"/>
      <c r="F726" s="1012"/>
      <c r="G726" s="1013"/>
      <c r="H726" s="1012"/>
      <c r="I726" s="1012"/>
      <c r="J726" s="1013"/>
      <c r="K726" s="1013"/>
      <c r="L726" s="1094"/>
      <c r="M726" s="1094"/>
      <c r="N726" s="1013"/>
      <c r="O726" s="1013"/>
      <c r="P726" s="1013"/>
      <c r="Q726" s="1013"/>
      <c r="R726" s="1013"/>
      <c r="S726" s="1013"/>
      <c r="T726" s="1012"/>
      <c r="U726" s="1011"/>
      <c r="V726" s="1012"/>
      <c r="W726" s="1013"/>
      <c r="X726" s="1014"/>
      <c r="Y726" s="1012"/>
      <c r="Z726" s="1012"/>
      <c r="AA726" s="1012"/>
      <c r="AB726" s="1012"/>
      <c r="AC726" s="1012"/>
      <c r="AD726" s="1012"/>
      <c r="AE726" s="1012"/>
      <c r="AF726" s="1012"/>
      <c r="AG726" s="1012"/>
      <c r="AH726" s="1012"/>
      <c r="AI726" s="1012"/>
      <c r="AJ726" s="1012"/>
      <c r="AK726" s="1012"/>
    </row>
    <row r="727">
      <c r="A727" s="1012"/>
      <c r="B727" s="1013"/>
      <c r="C727" s="1012"/>
      <c r="D727" s="1013"/>
      <c r="E727" s="1012"/>
      <c r="F727" s="1012"/>
      <c r="G727" s="1013"/>
      <c r="H727" s="1012"/>
      <c r="I727" s="1012"/>
      <c r="J727" s="1013"/>
      <c r="K727" s="1013"/>
      <c r="L727" s="1094"/>
      <c r="M727" s="1094"/>
      <c r="N727" s="1013"/>
      <c r="O727" s="1013"/>
      <c r="P727" s="1013"/>
      <c r="Q727" s="1013"/>
      <c r="R727" s="1013"/>
      <c r="S727" s="1013"/>
      <c r="T727" s="1012"/>
      <c r="U727" s="1011"/>
      <c r="V727" s="1012"/>
      <c r="W727" s="1013"/>
      <c r="X727" s="1014"/>
      <c r="Y727" s="1012"/>
      <c r="Z727" s="1012"/>
      <c r="AA727" s="1012"/>
      <c r="AB727" s="1012"/>
      <c r="AC727" s="1012"/>
      <c r="AD727" s="1012"/>
      <c r="AE727" s="1012"/>
      <c r="AF727" s="1012"/>
      <c r="AG727" s="1012"/>
      <c r="AH727" s="1012"/>
      <c r="AI727" s="1012"/>
      <c r="AJ727" s="1012"/>
      <c r="AK727" s="1012"/>
    </row>
    <row r="728">
      <c r="A728" s="1012"/>
      <c r="B728" s="1013"/>
      <c r="C728" s="1012"/>
      <c r="D728" s="1013"/>
      <c r="E728" s="1012"/>
      <c r="F728" s="1012"/>
      <c r="G728" s="1013"/>
      <c r="H728" s="1012"/>
      <c r="I728" s="1012"/>
      <c r="J728" s="1013"/>
      <c r="K728" s="1013"/>
      <c r="L728" s="1094"/>
      <c r="M728" s="1094"/>
      <c r="N728" s="1013"/>
      <c r="O728" s="1013"/>
      <c r="P728" s="1013"/>
      <c r="Q728" s="1013"/>
      <c r="R728" s="1013"/>
      <c r="S728" s="1013"/>
      <c r="T728" s="1012"/>
      <c r="U728" s="1011"/>
      <c r="V728" s="1012"/>
      <c r="W728" s="1013"/>
      <c r="X728" s="1014"/>
      <c r="Y728" s="1012"/>
      <c r="Z728" s="1012"/>
      <c r="AA728" s="1012"/>
      <c r="AB728" s="1012"/>
      <c r="AC728" s="1012"/>
      <c r="AD728" s="1012"/>
      <c r="AE728" s="1012"/>
      <c r="AF728" s="1012"/>
      <c r="AG728" s="1012"/>
      <c r="AH728" s="1012"/>
      <c r="AI728" s="1012"/>
      <c r="AJ728" s="1012"/>
      <c r="AK728" s="1012"/>
    </row>
    <row r="729">
      <c r="A729" s="1012"/>
      <c r="B729" s="1013"/>
      <c r="C729" s="1012"/>
      <c r="D729" s="1013"/>
      <c r="E729" s="1012"/>
      <c r="F729" s="1012"/>
      <c r="G729" s="1013"/>
      <c r="H729" s="1012"/>
      <c r="I729" s="1012"/>
      <c r="J729" s="1013"/>
      <c r="K729" s="1013"/>
      <c r="L729" s="1094"/>
      <c r="M729" s="1094"/>
      <c r="N729" s="1013"/>
      <c r="O729" s="1013"/>
      <c r="P729" s="1013"/>
      <c r="Q729" s="1013"/>
      <c r="R729" s="1013"/>
      <c r="S729" s="1013"/>
      <c r="T729" s="1012"/>
      <c r="U729" s="1011"/>
      <c r="V729" s="1012"/>
      <c r="W729" s="1013"/>
      <c r="X729" s="1014"/>
      <c r="Y729" s="1012"/>
      <c r="Z729" s="1012"/>
      <c r="AA729" s="1012"/>
      <c r="AB729" s="1012"/>
      <c r="AC729" s="1012"/>
      <c r="AD729" s="1012"/>
      <c r="AE729" s="1012"/>
      <c r="AF729" s="1012"/>
      <c r="AG729" s="1012"/>
      <c r="AH729" s="1012"/>
      <c r="AI729" s="1012"/>
      <c r="AJ729" s="1012"/>
      <c r="AK729" s="1012"/>
    </row>
    <row r="730">
      <c r="A730" s="1012"/>
      <c r="B730" s="1013"/>
      <c r="C730" s="1012"/>
      <c r="D730" s="1013"/>
      <c r="E730" s="1012"/>
      <c r="F730" s="1012"/>
      <c r="G730" s="1013"/>
      <c r="H730" s="1012"/>
      <c r="I730" s="1012"/>
      <c r="J730" s="1013"/>
      <c r="K730" s="1013"/>
      <c r="L730" s="1094"/>
      <c r="M730" s="1094"/>
      <c r="N730" s="1013"/>
      <c r="O730" s="1013"/>
      <c r="P730" s="1013"/>
      <c r="Q730" s="1013"/>
      <c r="R730" s="1013"/>
      <c r="S730" s="1013"/>
      <c r="T730" s="1012"/>
      <c r="U730" s="1011"/>
      <c r="V730" s="1012"/>
      <c r="W730" s="1013"/>
      <c r="X730" s="1014"/>
      <c r="Y730" s="1012"/>
      <c r="Z730" s="1012"/>
      <c r="AA730" s="1012"/>
      <c r="AB730" s="1012"/>
      <c r="AC730" s="1012"/>
      <c r="AD730" s="1012"/>
      <c r="AE730" s="1012"/>
      <c r="AF730" s="1012"/>
      <c r="AG730" s="1012"/>
      <c r="AH730" s="1012"/>
      <c r="AI730" s="1012"/>
      <c r="AJ730" s="1012"/>
      <c r="AK730" s="1012"/>
    </row>
    <row r="731">
      <c r="A731" s="1012"/>
      <c r="B731" s="1013"/>
      <c r="C731" s="1012"/>
      <c r="D731" s="1013"/>
      <c r="E731" s="1012"/>
      <c r="F731" s="1012"/>
      <c r="G731" s="1013"/>
      <c r="H731" s="1012"/>
      <c r="I731" s="1012"/>
      <c r="J731" s="1013"/>
      <c r="K731" s="1013"/>
      <c r="L731" s="1094"/>
      <c r="M731" s="1094"/>
      <c r="N731" s="1013"/>
      <c r="O731" s="1013"/>
      <c r="P731" s="1013"/>
      <c r="Q731" s="1013"/>
      <c r="R731" s="1013"/>
      <c r="S731" s="1013"/>
      <c r="T731" s="1012"/>
      <c r="U731" s="1011"/>
      <c r="V731" s="1012"/>
      <c r="W731" s="1013"/>
      <c r="X731" s="1014"/>
      <c r="Y731" s="1012"/>
      <c r="Z731" s="1012"/>
      <c r="AA731" s="1012"/>
      <c r="AB731" s="1012"/>
      <c r="AC731" s="1012"/>
      <c r="AD731" s="1012"/>
      <c r="AE731" s="1012"/>
      <c r="AF731" s="1012"/>
      <c r="AG731" s="1012"/>
      <c r="AH731" s="1012"/>
      <c r="AI731" s="1012"/>
      <c r="AJ731" s="1012"/>
      <c r="AK731" s="1012"/>
    </row>
    <row r="732">
      <c r="A732" s="1012"/>
      <c r="B732" s="1013"/>
      <c r="C732" s="1012"/>
      <c r="D732" s="1013"/>
      <c r="E732" s="1012"/>
      <c r="F732" s="1012"/>
      <c r="G732" s="1013"/>
      <c r="H732" s="1012"/>
      <c r="I732" s="1012"/>
      <c r="J732" s="1013"/>
      <c r="K732" s="1013"/>
      <c r="L732" s="1094"/>
      <c r="M732" s="1094"/>
      <c r="N732" s="1013"/>
      <c r="O732" s="1013"/>
      <c r="P732" s="1013"/>
      <c r="Q732" s="1013"/>
      <c r="R732" s="1013"/>
      <c r="S732" s="1013"/>
      <c r="T732" s="1012"/>
      <c r="U732" s="1011"/>
      <c r="V732" s="1012"/>
      <c r="W732" s="1013"/>
      <c r="X732" s="1014"/>
      <c r="Y732" s="1012"/>
      <c r="Z732" s="1012"/>
      <c r="AA732" s="1012"/>
      <c r="AB732" s="1012"/>
      <c r="AC732" s="1012"/>
      <c r="AD732" s="1012"/>
      <c r="AE732" s="1012"/>
      <c r="AF732" s="1012"/>
      <c r="AG732" s="1012"/>
      <c r="AH732" s="1012"/>
      <c r="AI732" s="1012"/>
      <c r="AJ732" s="1012"/>
      <c r="AK732" s="1012"/>
    </row>
    <row r="733">
      <c r="A733" s="1012"/>
      <c r="B733" s="1013"/>
      <c r="C733" s="1012"/>
      <c r="D733" s="1013"/>
      <c r="E733" s="1012"/>
      <c r="F733" s="1012"/>
      <c r="G733" s="1013"/>
      <c r="H733" s="1012"/>
      <c r="I733" s="1012"/>
      <c r="J733" s="1013"/>
      <c r="K733" s="1013"/>
      <c r="L733" s="1094"/>
      <c r="M733" s="1094"/>
      <c r="N733" s="1013"/>
      <c r="O733" s="1013"/>
      <c r="P733" s="1013"/>
      <c r="Q733" s="1013"/>
      <c r="R733" s="1013"/>
      <c r="S733" s="1013"/>
      <c r="T733" s="1012"/>
      <c r="U733" s="1011"/>
      <c r="V733" s="1012"/>
      <c r="W733" s="1013"/>
      <c r="X733" s="1014"/>
      <c r="Y733" s="1012"/>
      <c r="Z733" s="1012"/>
      <c r="AA733" s="1012"/>
      <c r="AB733" s="1012"/>
      <c r="AC733" s="1012"/>
      <c r="AD733" s="1012"/>
      <c r="AE733" s="1012"/>
      <c r="AF733" s="1012"/>
      <c r="AG733" s="1012"/>
      <c r="AH733" s="1012"/>
      <c r="AI733" s="1012"/>
      <c r="AJ733" s="1012"/>
      <c r="AK733" s="1012"/>
    </row>
    <row r="734">
      <c r="A734" s="1012"/>
      <c r="B734" s="1013"/>
      <c r="C734" s="1012"/>
      <c r="D734" s="1013"/>
      <c r="E734" s="1012"/>
      <c r="F734" s="1012"/>
      <c r="G734" s="1013"/>
      <c r="H734" s="1012"/>
      <c r="I734" s="1012"/>
      <c r="J734" s="1013"/>
      <c r="K734" s="1013"/>
      <c r="L734" s="1094"/>
      <c r="M734" s="1094"/>
      <c r="N734" s="1013"/>
      <c r="O734" s="1013"/>
      <c r="P734" s="1013"/>
      <c r="Q734" s="1013"/>
      <c r="R734" s="1013"/>
      <c r="S734" s="1013"/>
      <c r="T734" s="1012"/>
      <c r="U734" s="1011"/>
      <c r="V734" s="1012"/>
      <c r="W734" s="1013"/>
      <c r="X734" s="1014"/>
      <c r="Y734" s="1012"/>
      <c r="Z734" s="1012"/>
      <c r="AA734" s="1012"/>
      <c r="AB734" s="1012"/>
      <c r="AC734" s="1012"/>
      <c r="AD734" s="1012"/>
      <c r="AE734" s="1012"/>
      <c r="AF734" s="1012"/>
      <c r="AG734" s="1012"/>
      <c r="AH734" s="1012"/>
      <c r="AI734" s="1012"/>
      <c r="AJ734" s="1012"/>
      <c r="AK734" s="1012"/>
    </row>
    <row r="735">
      <c r="A735" s="1012"/>
      <c r="B735" s="1013"/>
      <c r="C735" s="1012"/>
      <c r="D735" s="1013"/>
      <c r="E735" s="1012"/>
      <c r="F735" s="1012"/>
      <c r="G735" s="1013"/>
      <c r="H735" s="1012"/>
      <c r="I735" s="1012"/>
      <c r="J735" s="1013"/>
      <c r="K735" s="1013"/>
      <c r="L735" s="1094"/>
      <c r="M735" s="1094"/>
      <c r="N735" s="1013"/>
      <c r="O735" s="1013"/>
      <c r="P735" s="1013"/>
      <c r="Q735" s="1013"/>
      <c r="R735" s="1013"/>
      <c r="S735" s="1013"/>
      <c r="T735" s="1012"/>
      <c r="U735" s="1011"/>
      <c r="V735" s="1012"/>
      <c r="W735" s="1013"/>
      <c r="X735" s="1014"/>
      <c r="Y735" s="1012"/>
      <c r="Z735" s="1012"/>
      <c r="AA735" s="1012"/>
      <c r="AB735" s="1012"/>
      <c r="AC735" s="1012"/>
      <c r="AD735" s="1012"/>
      <c r="AE735" s="1012"/>
      <c r="AF735" s="1012"/>
      <c r="AG735" s="1012"/>
      <c r="AH735" s="1012"/>
      <c r="AI735" s="1012"/>
      <c r="AJ735" s="1012"/>
      <c r="AK735" s="1012"/>
    </row>
    <row r="736">
      <c r="A736" s="1012"/>
      <c r="B736" s="1013"/>
      <c r="C736" s="1012"/>
      <c r="D736" s="1013"/>
      <c r="E736" s="1012"/>
      <c r="F736" s="1012"/>
      <c r="G736" s="1013"/>
      <c r="H736" s="1012"/>
      <c r="I736" s="1012"/>
      <c r="J736" s="1013"/>
      <c r="K736" s="1013"/>
      <c r="L736" s="1094"/>
      <c r="M736" s="1094"/>
      <c r="N736" s="1013"/>
      <c r="O736" s="1013"/>
      <c r="P736" s="1013"/>
      <c r="Q736" s="1013"/>
      <c r="R736" s="1013"/>
      <c r="S736" s="1013"/>
      <c r="T736" s="1012"/>
      <c r="U736" s="1011"/>
      <c r="V736" s="1012"/>
      <c r="W736" s="1013"/>
      <c r="X736" s="1014"/>
      <c r="Y736" s="1012"/>
      <c r="Z736" s="1012"/>
      <c r="AA736" s="1012"/>
      <c r="AB736" s="1012"/>
      <c r="AC736" s="1012"/>
      <c r="AD736" s="1012"/>
      <c r="AE736" s="1012"/>
      <c r="AF736" s="1012"/>
      <c r="AG736" s="1012"/>
      <c r="AH736" s="1012"/>
      <c r="AI736" s="1012"/>
      <c r="AJ736" s="1012"/>
      <c r="AK736" s="1012"/>
    </row>
    <row r="737">
      <c r="A737" s="1012"/>
      <c r="B737" s="1013"/>
      <c r="C737" s="1012"/>
      <c r="D737" s="1013"/>
      <c r="E737" s="1012"/>
      <c r="F737" s="1012"/>
      <c r="G737" s="1013"/>
      <c r="H737" s="1012"/>
      <c r="I737" s="1012"/>
      <c r="J737" s="1013"/>
      <c r="K737" s="1013"/>
      <c r="L737" s="1094"/>
      <c r="M737" s="1094"/>
      <c r="N737" s="1013"/>
      <c r="O737" s="1013"/>
      <c r="P737" s="1013"/>
      <c r="Q737" s="1013"/>
      <c r="R737" s="1013"/>
      <c r="S737" s="1013"/>
      <c r="T737" s="1012"/>
      <c r="U737" s="1011"/>
      <c r="V737" s="1012"/>
      <c r="W737" s="1013"/>
      <c r="X737" s="1014"/>
      <c r="Y737" s="1012"/>
      <c r="Z737" s="1012"/>
      <c r="AA737" s="1012"/>
      <c r="AB737" s="1012"/>
      <c r="AC737" s="1012"/>
      <c r="AD737" s="1012"/>
      <c r="AE737" s="1012"/>
      <c r="AF737" s="1012"/>
      <c r="AG737" s="1012"/>
      <c r="AH737" s="1012"/>
      <c r="AI737" s="1012"/>
      <c r="AJ737" s="1012"/>
      <c r="AK737" s="1012"/>
    </row>
    <row r="738">
      <c r="A738" s="1012"/>
      <c r="B738" s="1013"/>
      <c r="C738" s="1012"/>
      <c r="D738" s="1013"/>
      <c r="E738" s="1012"/>
      <c r="F738" s="1012"/>
      <c r="G738" s="1013"/>
      <c r="H738" s="1012"/>
      <c r="I738" s="1012"/>
      <c r="J738" s="1013"/>
      <c r="K738" s="1013"/>
      <c r="L738" s="1094"/>
      <c r="M738" s="1094"/>
      <c r="N738" s="1013"/>
      <c r="O738" s="1013"/>
      <c r="P738" s="1013"/>
      <c r="Q738" s="1013"/>
      <c r="R738" s="1013"/>
      <c r="S738" s="1013"/>
      <c r="T738" s="1012"/>
      <c r="U738" s="1011"/>
      <c r="V738" s="1012"/>
      <c r="W738" s="1013"/>
      <c r="X738" s="1014"/>
      <c r="Y738" s="1012"/>
      <c r="Z738" s="1012"/>
      <c r="AA738" s="1012"/>
      <c r="AB738" s="1012"/>
      <c r="AC738" s="1012"/>
      <c r="AD738" s="1012"/>
      <c r="AE738" s="1012"/>
      <c r="AF738" s="1012"/>
      <c r="AG738" s="1012"/>
      <c r="AH738" s="1012"/>
      <c r="AI738" s="1012"/>
      <c r="AJ738" s="1012"/>
      <c r="AK738" s="1012"/>
    </row>
    <row r="739">
      <c r="A739" s="1012"/>
      <c r="B739" s="1013"/>
      <c r="C739" s="1012"/>
      <c r="D739" s="1013"/>
      <c r="E739" s="1012"/>
      <c r="F739" s="1012"/>
      <c r="G739" s="1013"/>
      <c r="H739" s="1012"/>
      <c r="I739" s="1012"/>
      <c r="J739" s="1013"/>
      <c r="K739" s="1013"/>
      <c r="L739" s="1094"/>
      <c r="M739" s="1094"/>
      <c r="N739" s="1013"/>
      <c r="O739" s="1013"/>
      <c r="P739" s="1013"/>
      <c r="Q739" s="1013"/>
      <c r="R739" s="1013"/>
      <c r="S739" s="1013"/>
      <c r="T739" s="1012"/>
      <c r="U739" s="1011"/>
      <c r="V739" s="1012"/>
      <c r="W739" s="1013"/>
      <c r="X739" s="1014"/>
      <c r="Y739" s="1012"/>
      <c r="Z739" s="1012"/>
      <c r="AA739" s="1012"/>
      <c r="AB739" s="1012"/>
      <c r="AC739" s="1012"/>
      <c r="AD739" s="1012"/>
      <c r="AE739" s="1012"/>
      <c r="AF739" s="1012"/>
      <c r="AG739" s="1012"/>
      <c r="AH739" s="1012"/>
      <c r="AI739" s="1012"/>
      <c r="AJ739" s="1012"/>
      <c r="AK739" s="1012"/>
    </row>
    <row r="740">
      <c r="A740" s="1012"/>
      <c r="B740" s="1013"/>
      <c r="C740" s="1012"/>
      <c r="D740" s="1013"/>
      <c r="E740" s="1012"/>
      <c r="F740" s="1012"/>
      <c r="G740" s="1013"/>
      <c r="H740" s="1012"/>
      <c r="I740" s="1012"/>
      <c r="J740" s="1013"/>
      <c r="K740" s="1013"/>
      <c r="L740" s="1094"/>
      <c r="M740" s="1094"/>
      <c r="N740" s="1013"/>
      <c r="O740" s="1013"/>
      <c r="P740" s="1013"/>
      <c r="Q740" s="1013"/>
      <c r="R740" s="1013"/>
      <c r="S740" s="1013"/>
      <c r="T740" s="1012"/>
      <c r="U740" s="1011"/>
      <c r="V740" s="1012"/>
      <c r="W740" s="1013"/>
      <c r="X740" s="1014"/>
      <c r="Y740" s="1012"/>
      <c r="Z740" s="1012"/>
      <c r="AA740" s="1012"/>
      <c r="AB740" s="1012"/>
      <c r="AC740" s="1012"/>
      <c r="AD740" s="1012"/>
      <c r="AE740" s="1012"/>
      <c r="AF740" s="1012"/>
      <c r="AG740" s="1012"/>
      <c r="AH740" s="1012"/>
      <c r="AI740" s="1012"/>
      <c r="AJ740" s="1012"/>
      <c r="AK740" s="1012"/>
    </row>
    <row r="741">
      <c r="A741" s="1012"/>
      <c r="B741" s="1013"/>
      <c r="C741" s="1012"/>
      <c r="D741" s="1013"/>
      <c r="E741" s="1012"/>
      <c r="F741" s="1012"/>
      <c r="G741" s="1013"/>
      <c r="H741" s="1012"/>
      <c r="I741" s="1012"/>
      <c r="J741" s="1013"/>
      <c r="K741" s="1013"/>
      <c r="L741" s="1094"/>
      <c r="M741" s="1094"/>
      <c r="N741" s="1013"/>
      <c r="O741" s="1013"/>
      <c r="P741" s="1013"/>
      <c r="Q741" s="1013"/>
      <c r="R741" s="1013"/>
      <c r="S741" s="1013"/>
      <c r="T741" s="1012"/>
      <c r="U741" s="1011"/>
      <c r="V741" s="1012"/>
      <c r="W741" s="1013"/>
      <c r="X741" s="1014"/>
      <c r="Y741" s="1012"/>
      <c r="Z741" s="1012"/>
      <c r="AA741" s="1012"/>
      <c r="AB741" s="1012"/>
      <c r="AC741" s="1012"/>
      <c r="AD741" s="1012"/>
      <c r="AE741" s="1012"/>
      <c r="AF741" s="1012"/>
      <c r="AG741" s="1012"/>
      <c r="AH741" s="1012"/>
      <c r="AI741" s="1012"/>
      <c r="AJ741" s="1012"/>
      <c r="AK741" s="1012"/>
    </row>
    <row r="742">
      <c r="A742" s="1012"/>
      <c r="B742" s="1013"/>
      <c r="C742" s="1012"/>
      <c r="D742" s="1013"/>
      <c r="E742" s="1012"/>
      <c r="F742" s="1012"/>
      <c r="G742" s="1013"/>
      <c r="H742" s="1012"/>
      <c r="I742" s="1012"/>
      <c r="J742" s="1013"/>
      <c r="K742" s="1013"/>
      <c r="L742" s="1094"/>
      <c r="M742" s="1094"/>
      <c r="N742" s="1013"/>
      <c r="O742" s="1013"/>
      <c r="P742" s="1013"/>
      <c r="Q742" s="1013"/>
      <c r="R742" s="1013"/>
      <c r="S742" s="1013"/>
      <c r="T742" s="1012"/>
      <c r="U742" s="1011"/>
      <c r="V742" s="1012"/>
      <c r="W742" s="1013"/>
      <c r="X742" s="1014"/>
      <c r="Y742" s="1012"/>
      <c r="Z742" s="1012"/>
      <c r="AA742" s="1012"/>
      <c r="AB742" s="1012"/>
      <c r="AC742" s="1012"/>
      <c r="AD742" s="1012"/>
      <c r="AE742" s="1012"/>
      <c r="AF742" s="1012"/>
      <c r="AG742" s="1012"/>
      <c r="AH742" s="1012"/>
      <c r="AI742" s="1012"/>
      <c r="AJ742" s="1012"/>
      <c r="AK742" s="1012"/>
    </row>
    <row r="743">
      <c r="A743" s="1012"/>
      <c r="B743" s="1013"/>
      <c r="C743" s="1012"/>
      <c r="D743" s="1013"/>
      <c r="E743" s="1012"/>
      <c r="F743" s="1012"/>
      <c r="G743" s="1013"/>
      <c r="H743" s="1012"/>
      <c r="I743" s="1012"/>
      <c r="J743" s="1013"/>
      <c r="K743" s="1013"/>
      <c r="L743" s="1094"/>
      <c r="M743" s="1094"/>
      <c r="N743" s="1013"/>
      <c r="O743" s="1013"/>
      <c r="P743" s="1013"/>
      <c r="Q743" s="1013"/>
      <c r="R743" s="1013"/>
      <c r="S743" s="1013"/>
      <c r="T743" s="1012"/>
      <c r="U743" s="1011"/>
      <c r="V743" s="1012"/>
      <c r="W743" s="1013"/>
      <c r="X743" s="1014"/>
      <c r="Y743" s="1012"/>
      <c r="Z743" s="1012"/>
      <c r="AA743" s="1012"/>
      <c r="AB743" s="1012"/>
      <c r="AC743" s="1012"/>
      <c r="AD743" s="1012"/>
      <c r="AE743" s="1012"/>
      <c r="AF743" s="1012"/>
      <c r="AG743" s="1012"/>
      <c r="AH743" s="1012"/>
      <c r="AI743" s="1012"/>
      <c r="AJ743" s="1012"/>
      <c r="AK743" s="1012"/>
    </row>
    <row r="744">
      <c r="A744" s="1012"/>
      <c r="B744" s="1013"/>
      <c r="C744" s="1012"/>
      <c r="D744" s="1013"/>
      <c r="E744" s="1012"/>
      <c r="F744" s="1012"/>
      <c r="G744" s="1013"/>
      <c r="H744" s="1012"/>
      <c r="I744" s="1012"/>
      <c r="J744" s="1013"/>
      <c r="K744" s="1013"/>
      <c r="L744" s="1094"/>
      <c r="M744" s="1094"/>
      <c r="N744" s="1013"/>
      <c r="O744" s="1013"/>
      <c r="P744" s="1013"/>
      <c r="Q744" s="1013"/>
      <c r="R744" s="1013"/>
      <c r="S744" s="1013"/>
      <c r="T744" s="1012"/>
      <c r="U744" s="1011"/>
      <c r="V744" s="1012"/>
      <c r="W744" s="1013"/>
      <c r="X744" s="1014"/>
      <c r="Y744" s="1012"/>
      <c r="Z744" s="1012"/>
      <c r="AA744" s="1012"/>
      <c r="AB744" s="1012"/>
      <c r="AC744" s="1012"/>
      <c r="AD744" s="1012"/>
      <c r="AE744" s="1012"/>
      <c r="AF744" s="1012"/>
      <c r="AG744" s="1012"/>
      <c r="AH744" s="1012"/>
      <c r="AI744" s="1012"/>
      <c r="AJ744" s="1012"/>
      <c r="AK744" s="1012"/>
    </row>
    <row r="745">
      <c r="A745" s="1012"/>
      <c r="B745" s="1013"/>
      <c r="C745" s="1012"/>
      <c r="D745" s="1013"/>
      <c r="E745" s="1012"/>
      <c r="F745" s="1012"/>
      <c r="G745" s="1013"/>
      <c r="H745" s="1012"/>
      <c r="I745" s="1012"/>
      <c r="J745" s="1013"/>
      <c r="K745" s="1013"/>
      <c r="L745" s="1094"/>
      <c r="M745" s="1094"/>
      <c r="N745" s="1013"/>
      <c r="O745" s="1013"/>
      <c r="P745" s="1013"/>
      <c r="Q745" s="1013"/>
      <c r="R745" s="1013"/>
      <c r="S745" s="1013"/>
      <c r="T745" s="1012"/>
      <c r="U745" s="1011"/>
      <c r="V745" s="1012"/>
      <c r="W745" s="1013"/>
      <c r="X745" s="1014"/>
      <c r="Y745" s="1012"/>
      <c r="Z745" s="1012"/>
      <c r="AA745" s="1012"/>
      <c r="AB745" s="1012"/>
      <c r="AC745" s="1012"/>
      <c r="AD745" s="1012"/>
      <c r="AE745" s="1012"/>
      <c r="AF745" s="1012"/>
      <c r="AG745" s="1012"/>
      <c r="AH745" s="1012"/>
      <c r="AI745" s="1012"/>
      <c r="AJ745" s="1012"/>
      <c r="AK745" s="1012"/>
    </row>
    <row r="746">
      <c r="A746" s="1012"/>
      <c r="B746" s="1013"/>
      <c r="C746" s="1012"/>
      <c r="D746" s="1013"/>
      <c r="E746" s="1012"/>
      <c r="F746" s="1012"/>
      <c r="G746" s="1013"/>
      <c r="H746" s="1012"/>
      <c r="I746" s="1012"/>
      <c r="J746" s="1013"/>
      <c r="K746" s="1013"/>
      <c r="L746" s="1094"/>
      <c r="M746" s="1094"/>
      <c r="N746" s="1013"/>
      <c r="O746" s="1013"/>
      <c r="P746" s="1013"/>
      <c r="Q746" s="1013"/>
      <c r="R746" s="1013"/>
      <c r="S746" s="1013"/>
      <c r="T746" s="1012"/>
      <c r="U746" s="1011"/>
      <c r="V746" s="1012"/>
      <c r="W746" s="1013"/>
      <c r="X746" s="1014"/>
      <c r="Y746" s="1012"/>
      <c r="Z746" s="1012"/>
      <c r="AA746" s="1012"/>
      <c r="AB746" s="1012"/>
      <c r="AC746" s="1012"/>
      <c r="AD746" s="1012"/>
      <c r="AE746" s="1012"/>
      <c r="AF746" s="1012"/>
      <c r="AG746" s="1012"/>
      <c r="AH746" s="1012"/>
      <c r="AI746" s="1012"/>
      <c r="AJ746" s="1012"/>
      <c r="AK746" s="1012"/>
    </row>
    <row r="747">
      <c r="A747" s="1012"/>
      <c r="B747" s="1013"/>
      <c r="C747" s="1012"/>
      <c r="D747" s="1013"/>
      <c r="E747" s="1012"/>
      <c r="F747" s="1012"/>
      <c r="G747" s="1013"/>
      <c r="H747" s="1012"/>
      <c r="I747" s="1012"/>
      <c r="J747" s="1013"/>
      <c r="K747" s="1013"/>
      <c r="L747" s="1094"/>
      <c r="M747" s="1094"/>
      <c r="N747" s="1013"/>
      <c r="O747" s="1013"/>
      <c r="P747" s="1013"/>
      <c r="Q747" s="1013"/>
      <c r="R747" s="1013"/>
      <c r="S747" s="1013"/>
      <c r="T747" s="1012"/>
      <c r="U747" s="1011"/>
      <c r="V747" s="1012"/>
      <c r="W747" s="1013"/>
      <c r="X747" s="1014"/>
      <c r="Y747" s="1012"/>
      <c r="Z747" s="1012"/>
      <c r="AA747" s="1012"/>
      <c r="AB747" s="1012"/>
      <c r="AC747" s="1012"/>
      <c r="AD747" s="1012"/>
      <c r="AE747" s="1012"/>
      <c r="AF747" s="1012"/>
      <c r="AG747" s="1012"/>
      <c r="AH747" s="1012"/>
      <c r="AI747" s="1012"/>
      <c r="AJ747" s="1012"/>
      <c r="AK747" s="1012"/>
    </row>
    <row r="748">
      <c r="A748" s="1012"/>
      <c r="B748" s="1013"/>
      <c r="C748" s="1012"/>
      <c r="D748" s="1013"/>
      <c r="E748" s="1012"/>
      <c r="F748" s="1012"/>
      <c r="G748" s="1013"/>
      <c r="H748" s="1012"/>
      <c r="I748" s="1012"/>
      <c r="J748" s="1013"/>
      <c r="K748" s="1013"/>
      <c r="L748" s="1094"/>
      <c r="M748" s="1094"/>
      <c r="N748" s="1013"/>
      <c r="O748" s="1013"/>
      <c r="P748" s="1013"/>
      <c r="Q748" s="1013"/>
      <c r="R748" s="1013"/>
      <c r="S748" s="1013"/>
      <c r="T748" s="1012"/>
      <c r="U748" s="1011"/>
      <c r="V748" s="1012"/>
      <c r="W748" s="1013"/>
      <c r="X748" s="1014"/>
      <c r="Y748" s="1012"/>
      <c r="Z748" s="1012"/>
      <c r="AA748" s="1012"/>
      <c r="AB748" s="1012"/>
      <c r="AC748" s="1012"/>
      <c r="AD748" s="1012"/>
      <c r="AE748" s="1012"/>
      <c r="AF748" s="1012"/>
      <c r="AG748" s="1012"/>
      <c r="AH748" s="1012"/>
      <c r="AI748" s="1012"/>
      <c r="AJ748" s="1012"/>
      <c r="AK748" s="1012"/>
    </row>
    <row r="749">
      <c r="A749" s="1012"/>
      <c r="B749" s="1013"/>
      <c r="C749" s="1012"/>
      <c r="D749" s="1013"/>
      <c r="E749" s="1012"/>
      <c r="F749" s="1012"/>
      <c r="G749" s="1013"/>
      <c r="H749" s="1012"/>
      <c r="I749" s="1012"/>
      <c r="J749" s="1013"/>
      <c r="K749" s="1013"/>
      <c r="L749" s="1094"/>
      <c r="M749" s="1094"/>
      <c r="N749" s="1013"/>
      <c r="O749" s="1013"/>
      <c r="P749" s="1013"/>
      <c r="Q749" s="1013"/>
      <c r="R749" s="1013"/>
      <c r="S749" s="1013"/>
      <c r="T749" s="1012"/>
      <c r="U749" s="1011"/>
      <c r="V749" s="1012"/>
      <c r="W749" s="1013"/>
      <c r="X749" s="1014"/>
      <c r="Y749" s="1012"/>
      <c r="Z749" s="1012"/>
      <c r="AA749" s="1012"/>
      <c r="AB749" s="1012"/>
      <c r="AC749" s="1012"/>
      <c r="AD749" s="1012"/>
      <c r="AE749" s="1012"/>
      <c r="AF749" s="1012"/>
      <c r="AG749" s="1012"/>
      <c r="AH749" s="1012"/>
      <c r="AI749" s="1012"/>
      <c r="AJ749" s="1012"/>
      <c r="AK749" s="1012"/>
    </row>
    <row r="750">
      <c r="A750" s="1012"/>
      <c r="B750" s="1013"/>
      <c r="C750" s="1012"/>
      <c r="D750" s="1013"/>
      <c r="E750" s="1012"/>
      <c r="F750" s="1012"/>
      <c r="G750" s="1013"/>
      <c r="H750" s="1012"/>
      <c r="I750" s="1012"/>
      <c r="J750" s="1013"/>
      <c r="K750" s="1013"/>
      <c r="L750" s="1094"/>
      <c r="M750" s="1094"/>
      <c r="N750" s="1013"/>
      <c r="O750" s="1013"/>
      <c r="P750" s="1013"/>
      <c r="Q750" s="1013"/>
      <c r="R750" s="1013"/>
      <c r="S750" s="1013"/>
      <c r="T750" s="1012"/>
      <c r="U750" s="1011"/>
      <c r="V750" s="1012"/>
      <c r="W750" s="1013"/>
      <c r="X750" s="1014"/>
      <c r="Y750" s="1012"/>
      <c r="Z750" s="1012"/>
      <c r="AA750" s="1012"/>
      <c r="AB750" s="1012"/>
      <c r="AC750" s="1012"/>
      <c r="AD750" s="1012"/>
      <c r="AE750" s="1012"/>
      <c r="AF750" s="1012"/>
      <c r="AG750" s="1012"/>
      <c r="AH750" s="1012"/>
      <c r="AI750" s="1012"/>
      <c r="AJ750" s="1012"/>
      <c r="AK750" s="1012"/>
    </row>
    <row r="751">
      <c r="A751" s="1012"/>
      <c r="B751" s="1013"/>
      <c r="C751" s="1012"/>
      <c r="D751" s="1013"/>
      <c r="E751" s="1012"/>
      <c r="F751" s="1012"/>
      <c r="G751" s="1013"/>
      <c r="H751" s="1012"/>
      <c r="I751" s="1012"/>
      <c r="J751" s="1013"/>
      <c r="K751" s="1013"/>
      <c r="L751" s="1094"/>
      <c r="M751" s="1094"/>
      <c r="N751" s="1013"/>
      <c r="O751" s="1013"/>
      <c r="P751" s="1013"/>
      <c r="Q751" s="1013"/>
      <c r="R751" s="1013"/>
      <c r="S751" s="1013"/>
      <c r="T751" s="1012"/>
      <c r="U751" s="1011"/>
      <c r="V751" s="1012"/>
      <c r="W751" s="1013"/>
      <c r="X751" s="1014"/>
      <c r="Y751" s="1012"/>
      <c r="Z751" s="1012"/>
      <c r="AA751" s="1012"/>
      <c r="AB751" s="1012"/>
      <c r="AC751" s="1012"/>
      <c r="AD751" s="1012"/>
      <c r="AE751" s="1012"/>
      <c r="AF751" s="1012"/>
      <c r="AG751" s="1012"/>
      <c r="AH751" s="1012"/>
      <c r="AI751" s="1012"/>
      <c r="AJ751" s="1012"/>
      <c r="AK751" s="1012"/>
    </row>
    <row r="752">
      <c r="A752" s="1012"/>
      <c r="B752" s="1013"/>
      <c r="C752" s="1012"/>
      <c r="D752" s="1013"/>
      <c r="E752" s="1012"/>
      <c r="F752" s="1012"/>
      <c r="G752" s="1013"/>
      <c r="H752" s="1012"/>
      <c r="I752" s="1012"/>
      <c r="J752" s="1013"/>
      <c r="K752" s="1013"/>
      <c r="L752" s="1094"/>
      <c r="M752" s="1094"/>
      <c r="N752" s="1013"/>
      <c r="O752" s="1013"/>
      <c r="P752" s="1013"/>
      <c r="Q752" s="1013"/>
      <c r="R752" s="1013"/>
      <c r="S752" s="1013"/>
      <c r="T752" s="1012"/>
      <c r="U752" s="1011"/>
      <c r="V752" s="1012"/>
      <c r="W752" s="1013"/>
      <c r="X752" s="1014"/>
      <c r="Y752" s="1012"/>
      <c r="Z752" s="1012"/>
      <c r="AA752" s="1012"/>
      <c r="AB752" s="1012"/>
      <c r="AC752" s="1012"/>
      <c r="AD752" s="1012"/>
      <c r="AE752" s="1012"/>
      <c r="AF752" s="1012"/>
      <c r="AG752" s="1012"/>
      <c r="AH752" s="1012"/>
      <c r="AI752" s="1012"/>
      <c r="AJ752" s="1012"/>
      <c r="AK752" s="1012"/>
    </row>
    <row r="753">
      <c r="A753" s="1012"/>
      <c r="B753" s="1013"/>
      <c r="C753" s="1012"/>
      <c r="D753" s="1013"/>
      <c r="E753" s="1012"/>
      <c r="F753" s="1012"/>
      <c r="G753" s="1013"/>
      <c r="H753" s="1012"/>
      <c r="I753" s="1012"/>
      <c r="J753" s="1013"/>
      <c r="K753" s="1013"/>
      <c r="L753" s="1094"/>
      <c r="M753" s="1094"/>
      <c r="N753" s="1013"/>
      <c r="O753" s="1013"/>
      <c r="P753" s="1013"/>
      <c r="Q753" s="1013"/>
      <c r="R753" s="1013"/>
      <c r="S753" s="1013"/>
      <c r="T753" s="1012"/>
      <c r="U753" s="1011"/>
      <c r="V753" s="1012"/>
      <c r="W753" s="1013"/>
      <c r="X753" s="1014"/>
      <c r="Y753" s="1012"/>
      <c r="Z753" s="1012"/>
      <c r="AA753" s="1012"/>
      <c r="AB753" s="1012"/>
      <c r="AC753" s="1012"/>
      <c r="AD753" s="1012"/>
      <c r="AE753" s="1012"/>
      <c r="AF753" s="1012"/>
      <c r="AG753" s="1012"/>
      <c r="AH753" s="1012"/>
      <c r="AI753" s="1012"/>
      <c r="AJ753" s="1012"/>
      <c r="AK753" s="1012"/>
    </row>
    <row r="754">
      <c r="A754" s="1012"/>
      <c r="B754" s="1013"/>
      <c r="C754" s="1012"/>
      <c r="D754" s="1013"/>
      <c r="E754" s="1012"/>
      <c r="F754" s="1012"/>
      <c r="G754" s="1013"/>
      <c r="H754" s="1012"/>
      <c r="I754" s="1012"/>
      <c r="J754" s="1013"/>
      <c r="K754" s="1013"/>
      <c r="L754" s="1094"/>
      <c r="M754" s="1094"/>
      <c r="N754" s="1013"/>
      <c r="O754" s="1013"/>
      <c r="P754" s="1013"/>
      <c r="Q754" s="1013"/>
      <c r="R754" s="1013"/>
      <c r="S754" s="1013"/>
      <c r="T754" s="1012"/>
      <c r="U754" s="1011"/>
      <c r="V754" s="1012"/>
      <c r="W754" s="1013"/>
      <c r="X754" s="1014"/>
      <c r="Y754" s="1012"/>
      <c r="Z754" s="1012"/>
      <c r="AA754" s="1012"/>
      <c r="AB754" s="1012"/>
      <c r="AC754" s="1012"/>
      <c r="AD754" s="1012"/>
      <c r="AE754" s="1012"/>
      <c r="AF754" s="1012"/>
      <c r="AG754" s="1012"/>
      <c r="AH754" s="1012"/>
      <c r="AI754" s="1012"/>
      <c r="AJ754" s="1012"/>
      <c r="AK754" s="1012"/>
    </row>
    <row r="755">
      <c r="A755" s="1012"/>
      <c r="B755" s="1013"/>
      <c r="C755" s="1012"/>
      <c r="D755" s="1013"/>
      <c r="E755" s="1012"/>
      <c r="F755" s="1012"/>
      <c r="G755" s="1013"/>
      <c r="H755" s="1012"/>
      <c r="I755" s="1012"/>
      <c r="J755" s="1013"/>
      <c r="K755" s="1013"/>
      <c r="L755" s="1094"/>
      <c r="M755" s="1094"/>
      <c r="N755" s="1013"/>
      <c r="O755" s="1013"/>
      <c r="P755" s="1013"/>
      <c r="Q755" s="1013"/>
      <c r="R755" s="1013"/>
      <c r="S755" s="1013"/>
      <c r="T755" s="1012"/>
      <c r="U755" s="1011"/>
      <c r="V755" s="1012"/>
      <c r="W755" s="1013"/>
      <c r="X755" s="1014"/>
      <c r="Y755" s="1012"/>
      <c r="Z755" s="1012"/>
      <c r="AA755" s="1012"/>
      <c r="AB755" s="1012"/>
      <c r="AC755" s="1012"/>
      <c r="AD755" s="1012"/>
      <c r="AE755" s="1012"/>
      <c r="AF755" s="1012"/>
      <c r="AG755" s="1012"/>
      <c r="AH755" s="1012"/>
      <c r="AI755" s="1012"/>
      <c r="AJ755" s="1012"/>
      <c r="AK755" s="1012"/>
    </row>
    <row r="756">
      <c r="A756" s="1012"/>
      <c r="B756" s="1013"/>
      <c r="C756" s="1012"/>
      <c r="D756" s="1013"/>
      <c r="E756" s="1012"/>
      <c r="F756" s="1012"/>
      <c r="G756" s="1013"/>
      <c r="H756" s="1012"/>
      <c r="I756" s="1012"/>
      <c r="J756" s="1013"/>
      <c r="K756" s="1013"/>
      <c r="L756" s="1094"/>
      <c r="M756" s="1094"/>
      <c r="N756" s="1013"/>
      <c r="O756" s="1013"/>
      <c r="P756" s="1013"/>
      <c r="Q756" s="1013"/>
      <c r="R756" s="1013"/>
      <c r="S756" s="1013"/>
      <c r="T756" s="1012"/>
      <c r="U756" s="1011"/>
      <c r="V756" s="1012"/>
      <c r="W756" s="1013"/>
      <c r="X756" s="1014"/>
      <c r="Y756" s="1012"/>
      <c r="Z756" s="1012"/>
      <c r="AA756" s="1012"/>
      <c r="AB756" s="1012"/>
      <c r="AC756" s="1012"/>
      <c r="AD756" s="1012"/>
      <c r="AE756" s="1012"/>
      <c r="AF756" s="1012"/>
      <c r="AG756" s="1012"/>
      <c r="AH756" s="1012"/>
      <c r="AI756" s="1012"/>
      <c r="AJ756" s="1012"/>
      <c r="AK756" s="1012"/>
    </row>
    <row r="757">
      <c r="A757" s="1012"/>
      <c r="B757" s="1013"/>
      <c r="C757" s="1012"/>
      <c r="D757" s="1013"/>
      <c r="E757" s="1012"/>
      <c r="F757" s="1012"/>
      <c r="G757" s="1013"/>
      <c r="H757" s="1012"/>
      <c r="I757" s="1012"/>
      <c r="J757" s="1013"/>
      <c r="K757" s="1013"/>
      <c r="L757" s="1094"/>
      <c r="M757" s="1094"/>
      <c r="N757" s="1013"/>
      <c r="O757" s="1013"/>
      <c r="P757" s="1013"/>
      <c r="Q757" s="1013"/>
      <c r="R757" s="1013"/>
      <c r="S757" s="1013"/>
      <c r="T757" s="1012"/>
      <c r="U757" s="1011"/>
      <c r="V757" s="1012"/>
      <c r="W757" s="1013"/>
      <c r="X757" s="1014"/>
      <c r="Y757" s="1012"/>
      <c r="Z757" s="1012"/>
      <c r="AA757" s="1012"/>
      <c r="AB757" s="1012"/>
      <c r="AC757" s="1012"/>
      <c r="AD757" s="1012"/>
      <c r="AE757" s="1012"/>
      <c r="AF757" s="1012"/>
      <c r="AG757" s="1012"/>
      <c r="AH757" s="1012"/>
      <c r="AI757" s="1012"/>
      <c r="AJ757" s="1012"/>
      <c r="AK757" s="1012"/>
    </row>
    <row r="758">
      <c r="A758" s="1012"/>
      <c r="B758" s="1013"/>
      <c r="C758" s="1012"/>
      <c r="D758" s="1013"/>
      <c r="E758" s="1012"/>
      <c r="F758" s="1012"/>
      <c r="G758" s="1013"/>
      <c r="H758" s="1012"/>
      <c r="I758" s="1012"/>
      <c r="J758" s="1013"/>
      <c r="K758" s="1013"/>
      <c r="L758" s="1094"/>
      <c r="M758" s="1094"/>
      <c r="N758" s="1013"/>
      <c r="O758" s="1013"/>
      <c r="P758" s="1013"/>
      <c r="Q758" s="1013"/>
      <c r="R758" s="1013"/>
      <c r="S758" s="1013"/>
      <c r="T758" s="1012"/>
      <c r="U758" s="1011"/>
      <c r="V758" s="1012"/>
      <c r="W758" s="1013"/>
      <c r="X758" s="1014"/>
      <c r="Y758" s="1012"/>
      <c r="Z758" s="1012"/>
      <c r="AA758" s="1012"/>
      <c r="AB758" s="1012"/>
      <c r="AC758" s="1012"/>
      <c r="AD758" s="1012"/>
      <c r="AE758" s="1012"/>
      <c r="AF758" s="1012"/>
      <c r="AG758" s="1012"/>
      <c r="AH758" s="1012"/>
      <c r="AI758" s="1012"/>
      <c r="AJ758" s="1012"/>
      <c r="AK758" s="1012"/>
    </row>
    <row r="759">
      <c r="A759" s="1012"/>
      <c r="B759" s="1013"/>
      <c r="C759" s="1012"/>
      <c r="D759" s="1013"/>
      <c r="E759" s="1012"/>
      <c r="F759" s="1012"/>
      <c r="G759" s="1013"/>
      <c r="H759" s="1012"/>
      <c r="I759" s="1012"/>
      <c r="J759" s="1013"/>
      <c r="K759" s="1013"/>
      <c r="L759" s="1094"/>
      <c r="M759" s="1094"/>
      <c r="N759" s="1013"/>
      <c r="O759" s="1013"/>
      <c r="P759" s="1013"/>
      <c r="Q759" s="1013"/>
      <c r="R759" s="1013"/>
      <c r="S759" s="1013"/>
      <c r="T759" s="1012"/>
      <c r="U759" s="1011"/>
      <c r="V759" s="1012"/>
      <c r="W759" s="1013"/>
      <c r="X759" s="1014"/>
      <c r="Y759" s="1012"/>
      <c r="Z759" s="1012"/>
      <c r="AA759" s="1012"/>
      <c r="AB759" s="1012"/>
      <c r="AC759" s="1012"/>
      <c r="AD759" s="1012"/>
      <c r="AE759" s="1012"/>
      <c r="AF759" s="1012"/>
      <c r="AG759" s="1012"/>
      <c r="AH759" s="1012"/>
      <c r="AI759" s="1012"/>
      <c r="AJ759" s="1012"/>
      <c r="AK759" s="1012"/>
    </row>
    <row r="760">
      <c r="A760" s="1012"/>
      <c r="B760" s="1013"/>
      <c r="C760" s="1012"/>
      <c r="D760" s="1013"/>
      <c r="E760" s="1012"/>
      <c r="F760" s="1012"/>
      <c r="G760" s="1013"/>
      <c r="H760" s="1012"/>
      <c r="I760" s="1012"/>
      <c r="J760" s="1013"/>
      <c r="K760" s="1013"/>
      <c r="L760" s="1094"/>
      <c r="M760" s="1094"/>
      <c r="N760" s="1013"/>
      <c r="O760" s="1013"/>
      <c r="P760" s="1013"/>
      <c r="Q760" s="1013"/>
      <c r="R760" s="1013"/>
      <c r="S760" s="1013"/>
      <c r="T760" s="1012"/>
      <c r="U760" s="1011"/>
      <c r="V760" s="1012"/>
      <c r="W760" s="1013"/>
      <c r="X760" s="1014"/>
      <c r="Y760" s="1012"/>
      <c r="Z760" s="1012"/>
      <c r="AA760" s="1012"/>
      <c r="AB760" s="1012"/>
      <c r="AC760" s="1012"/>
      <c r="AD760" s="1012"/>
      <c r="AE760" s="1012"/>
      <c r="AF760" s="1012"/>
      <c r="AG760" s="1012"/>
      <c r="AH760" s="1012"/>
      <c r="AI760" s="1012"/>
      <c r="AJ760" s="1012"/>
      <c r="AK760" s="1012"/>
    </row>
    <row r="761">
      <c r="A761" s="1012"/>
      <c r="B761" s="1013"/>
      <c r="C761" s="1012"/>
      <c r="D761" s="1013"/>
      <c r="E761" s="1012"/>
      <c r="F761" s="1012"/>
      <c r="G761" s="1013"/>
      <c r="H761" s="1012"/>
      <c r="I761" s="1012"/>
      <c r="J761" s="1013"/>
      <c r="K761" s="1013"/>
      <c r="L761" s="1094"/>
      <c r="M761" s="1094"/>
      <c r="N761" s="1013"/>
      <c r="O761" s="1013"/>
      <c r="P761" s="1013"/>
      <c r="Q761" s="1013"/>
      <c r="R761" s="1013"/>
      <c r="S761" s="1013"/>
      <c r="T761" s="1012"/>
      <c r="U761" s="1011"/>
      <c r="V761" s="1012"/>
      <c r="W761" s="1013"/>
      <c r="X761" s="1014"/>
      <c r="Y761" s="1012"/>
      <c r="Z761" s="1012"/>
      <c r="AA761" s="1012"/>
      <c r="AB761" s="1012"/>
      <c r="AC761" s="1012"/>
      <c r="AD761" s="1012"/>
      <c r="AE761" s="1012"/>
      <c r="AF761" s="1012"/>
      <c r="AG761" s="1012"/>
      <c r="AH761" s="1012"/>
      <c r="AI761" s="1012"/>
      <c r="AJ761" s="1012"/>
      <c r="AK761" s="1012"/>
    </row>
    <row r="762">
      <c r="A762" s="1012"/>
      <c r="B762" s="1013"/>
      <c r="C762" s="1012"/>
      <c r="D762" s="1013"/>
      <c r="E762" s="1012"/>
      <c r="F762" s="1012"/>
      <c r="G762" s="1013"/>
      <c r="H762" s="1012"/>
      <c r="I762" s="1012"/>
      <c r="J762" s="1013"/>
      <c r="K762" s="1013"/>
      <c r="L762" s="1094"/>
      <c r="M762" s="1094"/>
      <c r="N762" s="1013"/>
      <c r="O762" s="1013"/>
      <c r="P762" s="1013"/>
      <c r="Q762" s="1013"/>
      <c r="R762" s="1013"/>
      <c r="S762" s="1013"/>
      <c r="T762" s="1012"/>
      <c r="U762" s="1011"/>
      <c r="V762" s="1012"/>
      <c r="W762" s="1013"/>
      <c r="X762" s="1014"/>
      <c r="Y762" s="1012"/>
      <c r="Z762" s="1012"/>
      <c r="AA762" s="1012"/>
      <c r="AB762" s="1012"/>
      <c r="AC762" s="1012"/>
      <c r="AD762" s="1012"/>
      <c r="AE762" s="1012"/>
      <c r="AF762" s="1012"/>
      <c r="AG762" s="1012"/>
      <c r="AH762" s="1012"/>
      <c r="AI762" s="1012"/>
      <c r="AJ762" s="1012"/>
      <c r="AK762" s="1012"/>
    </row>
    <row r="763">
      <c r="A763" s="1012"/>
      <c r="B763" s="1013"/>
      <c r="C763" s="1012"/>
      <c r="D763" s="1013"/>
      <c r="E763" s="1012"/>
      <c r="F763" s="1012"/>
      <c r="G763" s="1013"/>
      <c r="H763" s="1012"/>
      <c r="I763" s="1012"/>
      <c r="J763" s="1013"/>
      <c r="K763" s="1013"/>
      <c r="L763" s="1094"/>
      <c r="M763" s="1094"/>
      <c r="N763" s="1013"/>
      <c r="O763" s="1013"/>
      <c r="P763" s="1013"/>
      <c r="Q763" s="1013"/>
      <c r="R763" s="1013"/>
      <c r="S763" s="1013"/>
      <c r="T763" s="1012"/>
      <c r="U763" s="1011"/>
      <c r="V763" s="1012"/>
      <c r="W763" s="1013"/>
      <c r="X763" s="1014"/>
      <c r="Y763" s="1012"/>
      <c r="Z763" s="1012"/>
      <c r="AA763" s="1012"/>
      <c r="AB763" s="1012"/>
      <c r="AC763" s="1012"/>
      <c r="AD763" s="1012"/>
      <c r="AE763" s="1012"/>
      <c r="AF763" s="1012"/>
      <c r="AG763" s="1012"/>
      <c r="AH763" s="1012"/>
      <c r="AI763" s="1012"/>
      <c r="AJ763" s="1012"/>
      <c r="AK763" s="1012"/>
    </row>
    <row r="764">
      <c r="A764" s="1012"/>
      <c r="B764" s="1013"/>
      <c r="C764" s="1012"/>
      <c r="D764" s="1013"/>
      <c r="E764" s="1012"/>
      <c r="F764" s="1012"/>
      <c r="G764" s="1013"/>
      <c r="H764" s="1012"/>
      <c r="I764" s="1012"/>
      <c r="J764" s="1013"/>
      <c r="K764" s="1013"/>
      <c r="L764" s="1094"/>
      <c r="M764" s="1094"/>
      <c r="N764" s="1013"/>
      <c r="O764" s="1013"/>
      <c r="P764" s="1013"/>
      <c r="Q764" s="1013"/>
      <c r="R764" s="1013"/>
      <c r="S764" s="1013"/>
      <c r="T764" s="1012"/>
      <c r="U764" s="1011"/>
      <c r="V764" s="1012"/>
      <c r="W764" s="1013"/>
      <c r="X764" s="1014"/>
      <c r="Y764" s="1012"/>
      <c r="Z764" s="1012"/>
      <c r="AA764" s="1012"/>
      <c r="AB764" s="1012"/>
      <c r="AC764" s="1012"/>
      <c r="AD764" s="1012"/>
      <c r="AE764" s="1012"/>
      <c r="AF764" s="1012"/>
      <c r="AG764" s="1012"/>
      <c r="AH764" s="1012"/>
      <c r="AI764" s="1012"/>
      <c r="AJ764" s="1012"/>
      <c r="AK764" s="1012"/>
    </row>
    <row r="765">
      <c r="A765" s="1012"/>
      <c r="B765" s="1013"/>
      <c r="C765" s="1012"/>
      <c r="D765" s="1013"/>
      <c r="E765" s="1012"/>
      <c r="F765" s="1012"/>
      <c r="G765" s="1013"/>
      <c r="H765" s="1012"/>
      <c r="I765" s="1012"/>
      <c r="J765" s="1013"/>
      <c r="K765" s="1013"/>
      <c r="L765" s="1094"/>
      <c r="M765" s="1094"/>
      <c r="N765" s="1013"/>
      <c r="O765" s="1013"/>
      <c r="P765" s="1013"/>
      <c r="Q765" s="1013"/>
      <c r="R765" s="1013"/>
      <c r="S765" s="1013"/>
      <c r="T765" s="1012"/>
      <c r="U765" s="1011"/>
      <c r="V765" s="1012"/>
      <c r="W765" s="1013"/>
      <c r="X765" s="1014"/>
      <c r="Y765" s="1012"/>
      <c r="Z765" s="1012"/>
      <c r="AA765" s="1012"/>
      <c r="AB765" s="1012"/>
      <c r="AC765" s="1012"/>
      <c r="AD765" s="1012"/>
      <c r="AE765" s="1012"/>
      <c r="AF765" s="1012"/>
      <c r="AG765" s="1012"/>
      <c r="AH765" s="1012"/>
      <c r="AI765" s="1012"/>
      <c r="AJ765" s="1012"/>
      <c r="AK765" s="1012"/>
    </row>
    <row r="766">
      <c r="A766" s="1012"/>
      <c r="B766" s="1013"/>
      <c r="C766" s="1012"/>
      <c r="D766" s="1013"/>
      <c r="E766" s="1012"/>
      <c r="F766" s="1012"/>
      <c r="G766" s="1013"/>
      <c r="H766" s="1012"/>
      <c r="I766" s="1012"/>
      <c r="J766" s="1013"/>
      <c r="K766" s="1013"/>
      <c r="L766" s="1094"/>
      <c r="M766" s="1094"/>
      <c r="N766" s="1013"/>
      <c r="O766" s="1013"/>
      <c r="P766" s="1013"/>
      <c r="Q766" s="1013"/>
      <c r="R766" s="1013"/>
      <c r="S766" s="1013"/>
      <c r="T766" s="1012"/>
      <c r="U766" s="1011"/>
      <c r="V766" s="1012"/>
      <c r="W766" s="1013"/>
      <c r="X766" s="1014"/>
      <c r="Y766" s="1012"/>
      <c r="Z766" s="1012"/>
      <c r="AA766" s="1012"/>
      <c r="AB766" s="1012"/>
      <c r="AC766" s="1012"/>
      <c r="AD766" s="1012"/>
      <c r="AE766" s="1012"/>
      <c r="AF766" s="1012"/>
      <c r="AG766" s="1012"/>
      <c r="AH766" s="1012"/>
      <c r="AI766" s="1012"/>
      <c r="AJ766" s="1012"/>
      <c r="AK766" s="1012"/>
    </row>
    <row r="767">
      <c r="A767" s="1012"/>
      <c r="B767" s="1013"/>
      <c r="C767" s="1012"/>
      <c r="D767" s="1013"/>
      <c r="E767" s="1012"/>
      <c r="F767" s="1012"/>
      <c r="G767" s="1013"/>
      <c r="H767" s="1012"/>
      <c r="I767" s="1012"/>
      <c r="J767" s="1013"/>
      <c r="K767" s="1013"/>
      <c r="L767" s="1094"/>
      <c r="M767" s="1094"/>
      <c r="N767" s="1013"/>
      <c r="O767" s="1013"/>
      <c r="P767" s="1013"/>
      <c r="Q767" s="1013"/>
      <c r="R767" s="1013"/>
      <c r="S767" s="1013"/>
      <c r="T767" s="1012"/>
      <c r="U767" s="1011"/>
      <c r="V767" s="1012"/>
      <c r="W767" s="1013"/>
      <c r="X767" s="1014"/>
      <c r="Y767" s="1012"/>
      <c r="Z767" s="1012"/>
      <c r="AA767" s="1012"/>
      <c r="AB767" s="1012"/>
      <c r="AC767" s="1012"/>
      <c r="AD767" s="1012"/>
      <c r="AE767" s="1012"/>
      <c r="AF767" s="1012"/>
      <c r="AG767" s="1012"/>
      <c r="AH767" s="1012"/>
      <c r="AI767" s="1012"/>
      <c r="AJ767" s="1012"/>
      <c r="AK767" s="1012"/>
    </row>
    <row r="768">
      <c r="A768" s="1012"/>
      <c r="B768" s="1013"/>
      <c r="C768" s="1012"/>
      <c r="D768" s="1013"/>
      <c r="E768" s="1012"/>
      <c r="F768" s="1012"/>
      <c r="G768" s="1013"/>
      <c r="H768" s="1012"/>
      <c r="I768" s="1012"/>
      <c r="J768" s="1013"/>
      <c r="K768" s="1013"/>
      <c r="L768" s="1094"/>
      <c r="M768" s="1094"/>
      <c r="N768" s="1013"/>
      <c r="O768" s="1013"/>
      <c r="P768" s="1013"/>
      <c r="Q768" s="1013"/>
      <c r="R768" s="1013"/>
      <c r="S768" s="1013"/>
      <c r="T768" s="1012"/>
      <c r="U768" s="1011"/>
      <c r="V768" s="1012"/>
      <c r="W768" s="1013"/>
      <c r="X768" s="1014"/>
      <c r="Y768" s="1012"/>
      <c r="Z768" s="1012"/>
      <c r="AA768" s="1012"/>
      <c r="AB768" s="1012"/>
      <c r="AC768" s="1012"/>
      <c r="AD768" s="1012"/>
      <c r="AE768" s="1012"/>
      <c r="AF768" s="1012"/>
      <c r="AG768" s="1012"/>
      <c r="AH768" s="1012"/>
      <c r="AI768" s="1012"/>
      <c r="AJ768" s="1012"/>
      <c r="AK768" s="1012"/>
    </row>
    <row r="769">
      <c r="A769" s="1012"/>
      <c r="B769" s="1013"/>
      <c r="C769" s="1012"/>
      <c r="D769" s="1013"/>
      <c r="E769" s="1012"/>
      <c r="F769" s="1012"/>
      <c r="G769" s="1013"/>
      <c r="H769" s="1012"/>
      <c r="I769" s="1012"/>
      <c r="J769" s="1013"/>
      <c r="K769" s="1013"/>
      <c r="L769" s="1094"/>
      <c r="M769" s="1094"/>
      <c r="N769" s="1013"/>
      <c r="O769" s="1013"/>
      <c r="P769" s="1013"/>
      <c r="Q769" s="1013"/>
      <c r="R769" s="1013"/>
      <c r="S769" s="1013"/>
      <c r="T769" s="1012"/>
      <c r="U769" s="1011"/>
      <c r="V769" s="1012"/>
      <c r="W769" s="1013"/>
      <c r="X769" s="1014"/>
      <c r="Y769" s="1012"/>
      <c r="Z769" s="1012"/>
      <c r="AA769" s="1012"/>
      <c r="AB769" s="1012"/>
      <c r="AC769" s="1012"/>
      <c r="AD769" s="1012"/>
      <c r="AE769" s="1012"/>
      <c r="AF769" s="1012"/>
      <c r="AG769" s="1012"/>
      <c r="AH769" s="1012"/>
      <c r="AI769" s="1012"/>
      <c r="AJ769" s="1012"/>
      <c r="AK769" s="1012"/>
    </row>
    <row r="770">
      <c r="A770" s="1012"/>
      <c r="B770" s="1013"/>
      <c r="C770" s="1012"/>
      <c r="D770" s="1013"/>
      <c r="E770" s="1012"/>
      <c r="F770" s="1012"/>
      <c r="G770" s="1013"/>
      <c r="H770" s="1012"/>
      <c r="I770" s="1012"/>
      <c r="J770" s="1013"/>
      <c r="K770" s="1013"/>
      <c r="L770" s="1094"/>
      <c r="M770" s="1094"/>
      <c r="N770" s="1013"/>
      <c r="O770" s="1013"/>
      <c r="P770" s="1013"/>
      <c r="Q770" s="1013"/>
      <c r="R770" s="1013"/>
      <c r="S770" s="1013"/>
      <c r="T770" s="1012"/>
      <c r="U770" s="1011"/>
      <c r="V770" s="1012"/>
      <c r="W770" s="1013"/>
      <c r="X770" s="1014"/>
      <c r="Y770" s="1012"/>
      <c r="Z770" s="1012"/>
      <c r="AA770" s="1012"/>
      <c r="AB770" s="1012"/>
      <c r="AC770" s="1012"/>
      <c r="AD770" s="1012"/>
      <c r="AE770" s="1012"/>
      <c r="AF770" s="1012"/>
      <c r="AG770" s="1012"/>
      <c r="AH770" s="1012"/>
      <c r="AI770" s="1012"/>
      <c r="AJ770" s="1012"/>
      <c r="AK770" s="1012"/>
    </row>
    <row r="771">
      <c r="A771" s="1012"/>
      <c r="B771" s="1013"/>
      <c r="C771" s="1012"/>
      <c r="D771" s="1013"/>
      <c r="E771" s="1012"/>
      <c r="F771" s="1012"/>
      <c r="G771" s="1013"/>
      <c r="H771" s="1012"/>
      <c r="I771" s="1012"/>
      <c r="J771" s="1013"/>
      <c r="K771" s="1013"/>
      <c r="L771" s="1094"/>
      <c r="M771" s="1094"/>
      <c r="N771" s="1013"/>
      <c r="O771" s="1013"/>
      <c r="P771" s="1013"/>
      <c r="Q771" s="1013"/>
      <c r="R771" s="1013"/>
      <c r="S771" s="1013"/>
      <c r="T771" s="1012"/>
      <c r="U771" s="1011"/>
      <c r="V771" s="1012"/>
      <c r="W771" s="1013"/>
      <c r="X771" s="1014"/>
      <c r="Y771" s="1012"/>
      <c r="Z771" s="1012"/>
      <c r="AA771" s="1012"/>
      <c r="AB771" s="1012"/>
      <c r="AC771" s="1012"/>
      <c r="AD771" s="1012"/>
      <c r="AE771" s="1012"/>
      <c r="AF771" s="1012"/>
      <c r="AG771" s="1012"/>
      <c r="AH771" s="1012"/>
      <c r="AI771" s="1012"/>
      <c r="AJ771" s="1012"/>
      <c r="AK771" s="1012"/>
    </row>
    <row r="772">
      <c r="A772" s="1012"/>
      <c r="B772" s="1013"/>
      <c r="C772" s="1012"/>
      <c r="D772" s="1013"/>
      <c r="E772" s="1012"/>
      <c r="F772" s="1012"/>
      <c r="G772" s="1013"/>
      <c r="H772" s="1012"/>
      <c r="I772" s="1012"/>
      <c r="J772" s="1013"/>
      <c r="K772" s="1013"/>
      <c r="L772" s="1094"/>
      <c r="M772" s="1094"/>
      <c r="N772" s="1013"/>
      <c r="O772" s="1013"/>
      <c r="P772" s="1013"/>
      <c r="Q772" s="1013"/>
      <c r="R772" s="1013"/>
      <c r="S772" s="1013"/>
      <c r="T772" s="1012"/>
      <c r="U772" s="1011"/>
      <c r="V772" s="1012"/>
      <c r="W772" s="1013"/>
      <c r="X772" s="1014"/>
      <c r="Y772" s="1012"/>
      <c r="Z772" s="1012"/>
      <c r="AA772" s="1012"/>
      <c r="AB772" s="1012"/>
      <c r="AC772" s="1012"/>
      <c r="AD772" s="1012"/>
      <c r="AE772" s="1012"/>
      <c r="AF772" s="1012"/>
      <c r="AG772" s="1012"/>
      <c r="AH772" s="1012"/>
      <c r="AI772" s="1012"/>
      <c r="AJ772" s="1012"/>
      <c r="AK772" s="1012"/>
    </row>
    <row r="773">
      <c r="A773" s="1012"/>
      <c r="B773" s="1013"/>
      <c r="C773" s="1012"/>
      <c r="D773" s="1013"/>
      <c r="E773" s="1012"/>
      <c r="F773" s="1012"/>
      <c r="G773" s="1013"/>
      <c r="H773" s="1012"/>
      <c r="I773" s="1012"/>
      <c r="J773" s="1013"/>
      <c r="K773" s="1013"/>
      <c r="L773" s="1094"/>
      <c r="M773" s="1094"/>
      <c r="N773" s="1013"/>
      <c r="O773" s="1013"/>
      <c r="P773" s="1013"/>
      <c r="Q773" s="1013"/>
      <c r="R773" s="1013"/>
      <c r="S773" s="1013"/>
      <c r="T773" s="1012"/>
      <c r="U773" s="1011"/>
      <c r="V773" s="1012"/>
      <c r="W773" s="1013"/>
      <c r="X773" s="1014"/>
      <c r="Y773" s="1012"/>
      <c r="Z773" s="1012"/>
      <c r="AA773" s="1012"/>
      <c r="AB773" s="1012"/>
      <c r="AC773" s="1012"/>
      <c r="AD773" s="1012"/>
      <c r="AE773" s="1012"/>
      <c r="AF773" s="1012"/>
      <c r="AG773" s="1012"/>
      <c r="AH773" s="1012"/>
      <c r="AI773" s="1012"/>
      <c r="AJ773" s="1012"/>
      <c r="AK773" s="1012"/>
    </row>
    <row r="774">
      <c r="A774" s="1012"/>
      <c r="B774" s="1013"/>
      <c r="C774" s="1012"/>
      <c r="D774" s="1013"/>
      <c r="E774" s="1012"/>
      <c r="F774" s="1012"/>
      <c r="G774" s="1013"/>
      <c r="H774" s="1012"/>
      <c r="I774" s="1012"/>
      <c r="J774" s="1013"/>
      <c r="K774" s="1013"/>
      <c r="L774" s="1094"/>
      <c r="M774" s="1094"/>
      <c r="N774" s="1013"/>
      <c r="O774" s="1013"/>
      <c r="P774" s="1013"/>
      <c r="Q774" s="1013"/>
      <c r="R774" s="1013"/>
      <c r="S774" s="1013"/>
      <c r="T774" s="1012"/>
      <c r="U774" s="1011"/>
      <c r="V774" s="1012"/>
      <c r="W774" s="1013"/>
      <c r="X774" s="1014"/>
      <c r="Y774" s="1012"/>
      <c r="Z774" s="1012"/>
      <c r="AA774" s="1012"/>
      <c r="AB774" s="1012"/>
      <c r="AC774" s="1012"/>
      <c r="AD774" s="1012"/>
      <c r="AE774" s="1012"/>
      <c r="AF774" s="1012"/>
      <c r="AG774" s="1012"/>
      <c r="AH774" s="1012"/>
      <c r="AI774" s="1012"/>
      <c r="AJ774" s="1012"/>
      <c r="AK774" s="1012"/>
    </row>
    <row r="775">
      <c r="A775" s="1012"/>
      <c r="B775" s="1013"/>
      <c r="C775" s="1012"/>
      <c r="D775" s="1013"/>
      <c r="E775" s="1012"/>
      <c r="F775" s="1012"/>
      <c r="G775" s="1013"/>
      <c r="H775" s="1012"/>
      <c r="I775" s="1012"/>
      <c r="J775" s="1013"/>
      <c r="K775" s="1013"/>
      <c r="L775" s="1094"/>
      <c r="M775" s="1094"/>
      <c r="N775" s="1013"/>
      <c r="O775" s="1013"/>
      <c r="P775" s="1013"/>
      <c r="Q775" s="1013"/>
      <c r="R775" s="1013"/>
      <c r="S775" s="1013"/>
      <c r="T775" s="1012"/>
      <c r="U775" s="1011"/>
      <c r="V775" s="1012"/>
      <c r="W775" s="1013"/>
      <c r="X775" s="1014"/>
      <c r="Y775" s="1012"/>
      <c r="Z775" s="1012"/>
      <c r="AA775" s="1012"/>
      <c r="AB775" s="1012"/>
      <c r="AC775" s="1012"/>
      <c r="AD775" s="1012"/>
      <c r="AE775" s="1012"/>
      <c r="AF775" s="1012"/>
      <c r="AG775" s="1012"/>
      <c r="AH775" s="1012"/>
      <c r="AI775" s="1012"/>
      <c r="AJ775" s="1012"/>
      <c r="AK775" s="1012"/>
    </row>
    <row r="776">
      <c r="A776" s="1012"/>
      <c r="B776" s="1013"/>
      <c r="C776" s="1012"/>
      <c r="D776" s="1013"/>
      <c r="E776" s="1012"/>
      <c r="F776" s="1012"/>
      <c r="G776" s="1013"/>
      <c r="H776" s="1012"/>
      <c r="I776" s="1012"/>
      <c r="J776" s="1013"/>
      <c r="K776" s="1013"/>
      <c r="L776" s="1094"/>
      <c r="M776" s="1094"/>
      <c r="N776" s="1013"/>
      <c r="O776" s="1013"/>
      <c r="P776" s="1013"/>
      <c r="Q776" s="1013"/>
      <c r="R776" s="1013"/>
      <c r="S776" s="1013"/>
      <c r="T776" s="1012"/>
      <c r="U776" s="1011"/>
      <c r="V776" s="1012"/>
      <c r="W776" s="1013"/>
      <c r="X776" s="1014"/>
      <c r="Y776" s="1012"/>
      <c r="Z776" s="1012"/>
      <c r="AA776" s="1012"/>
      <c r="AB776" s="1012"/>
      <c r="AC776" s="1012"/>
      <c r="AD776" s="1012"/>
      <c r="AE776" s="1012"/>
      <c r="AF776" s="1012"/>
      <c r="AG776" s="1012"/>
      <c r="AH776" s="1012"/>
      <c r="AI776" s="1012"/>
      <c r="AJ776" s="1012"/>
      <c r="AK776" s="1012"/>
    </row>
    <row r="777">
      <c r="A777" s="1012"/>
      <c r="B777" s="1013"/>
      <c r="C777" s="1012"/>
      <c r="D777" s="1013"/>
      <c r="E777" s="1012"/>
      <c r="F777" s="1012"/>
      <c r="G777" s="1013"/>
      <c r="H777" s="1012"/>
      <c r="I777" s="1012"/>
      <c r="J777" s="1013"/>
      <c r="K777" s="1013"/>
      <c r="L777" s="1094"/>
      <c r="M777" s="1094"/>
      <c r="N777" s="1013"/>
      <c r="O777" s="1013"/>
      <c r="P777" s="1013"/>
      <c r="Q777" s="1013"/>
      <c r="R777" s="1013"/>
      <c r="S777" s="1013"/>
      <c r="T777" s="1012"/>
      <c r="U777" s="1011"/>
      <c r="V777" s="1012"/>
      <c r="W777" s="1013"/>
      <c r="X777" s="1014"/>
      <c r="Y777" s="1012"/>
      <c r="Z777" s="1012"/>
      <c r="AA777" s="1012"/>
      <c r="AB777" s="1012"/>
      <c r="AC777" s="1012"/>
      <c r="AD777" s="1012"/>
      <c r="AE777" s="1012"/>
      <c r="AF777" s="1012"/>
      <c r="AG777" s="1012"/>
      <c r="AH777" s="1012"/>
      <c r="AI777" s="1012"/>
      <c r="AJ777" s="1012"/>
      <c r="AK777" s="1012"/>
    </row>
    <row r="778">
      <c r="A778" s="1012"/>
      <c r="B778" s="1013"/>
      <c r="C778" s="1012"/>
      <c r="D778" s="1013"/>
      <c r="E778" s="1012"/>
      <c r="F778" s="1012"/>
      <c r="G778" s="1013"/>
      <c r="H778" s="1012"/>
      <c r="I778" s="1012"/>
      <c r="J778" s="1013"/>
      <c r="K778" s="1013"/>
      <c r="L778" s="1094"/>
      <c r="M778" s="1094"/>
      <c r="N778" s="1013"/>
      <c r="O778" s="1013"/>
      <c r="P778" s="1013"/>
      <c r="Q778" s="1013"/>
      <c r="R778" s="1013"/>
      <c r="S778" s="1013"/>
      <c r="T778" s="1012"/>
      <c r="U778" s="1011"/>
      <c r="V778" s="1012"/>
      <c r="W778" s="1013"/>
      <c r="X778" s="1014"/>
      <c r="Y778" s="1012"/>
      <c r="Z778" s="1012"/>
      <c r="AA778" s="1012"/>
      <c r="AB778" s="1012"/>
      <c r="AC778" s="1012"/>
      <c r="AD778" s="1012"/>
      <c r="AE778" s="1012"/>
      <c r="AF778" s="1012"/>
      <c r="AG778" s="1012"/>
      <c r="AH778" s="1012"/>
      <c r="AI778" s="1012"/>
      <c r="AJ778" s="1012"/>
      <c r="AK778" s="1012"/>
    </row>
    <row r="779">
      <c r="A779" s="1012"/>
      <c r="B779" s="1013"/>
      <c r="C779" s="1012"/>
      <c r="D779" s="1013"/>
      <c r="E779" s="1012"/>
      <c r="F779" s="1012"/>
      <c r="G779" s="1013"/>
      <c r="H779" s="1012"/>
      <c r="I779" s="1012"/>
      <c r="J779" s="1013"/>
      <c r="K779" s="1013"/>
      <c r="L779" s="1094"/>
      <c r="M779" s="1094"/>
      <c r="N779" s="1013"/>
      <c r="O779" s="1013"/>
      <c r="P779" s="1013"/>
      <c r="Q779" s="1013"/>
      <c r="R779" s="1013"/>
      <c r="S779" s="1013"/>
      <c r="T779" s="1012"/>
      <c r="U779" s="1011"/>
      <c r="V779" s="1012"/>
      <c r="W779" s="1013"/>
      <c r="X779" s="1014"/>
      <c r="Y779" s="1012"/>
      <c r="Z779" s="1012"/>
      <c r="AA779" s="1012"/>
      <c r="AB779" s="1012"/>
      <c r="AC779" s="1012"/>
      <c r="AD779" s="1012"/>
      <c r="AE779" s="1012"/>
      <c r="AF779" s="1012"/>
      <c r="AG779" s="1012"/>
      <c r="AH779" s="1012"/>
      <c r="AI779" s="1012"/>
      <c r="AJ779" s="1012"/>
      <c r="AK779" s="1012"/>
    </row>
    <row r="780">
      <c r="A780" s="1012"/>
      <c r="B780" s="1013"/>
      <c r="C780" s="1012"/>
      <c r="D780" s="1013"/>
      <c r="E780" s="1012"/>
      <c r="F780" s="1012"/>
      <c r="G780" s="1013"/>
      <c r="H780" s="1012"/>
      <c r="I780" s="1012"/>
      <c r="J780" s="1013"/>
      <c r="K780" s="1013"/>
      <c r="L780" s="1094"/>
      <c r="M780" s="1094"/>
      <c r="N780" s="1013"/>
      <c r="O780" s="1013"/>
      <c r="P780" s="1013"/>
      <c r="Q780" s="1013"/>
      <c r="R780" s="1013"/>
      <c r="S780" s="1013"/>
      <c r="T780" s="1012"/>
      <c r="U780" s="1011"/>
      <c r="V780" s="1012"/>
      <c r="W780" s="1013"/>
      <c r="X780" s="1014"/>
      <c r="Y780" s="1012"/>
      <c r="Z780" s="1012"/>
      <c r="AA780" s="1012"/>
      <c r="AB780" s="1012"/>
      <c r="AC780" s="1012"/>
      <c r="AD780" s="1012"/>
      <c r="AE780" s="1012"/>
      <c r="AF780" s="1012"/>
      <c r="AG780" s="1012"/>
      <c r="AH780" s="1012"/>
      <c r="AI780" s="1012"/>
      <c r="AJ780" s="1012"/>
      <c r="AK780" s="1012"/>
    </row>
    <row r="781">
      <c r="A781" s="1012"/>
      <c r="B781" s="1013"/>
      <c r="C781" s="1012"/>
      <c r="D781" s="1013"/>
      <c r="E781" s="1012"/>
      <c r="F781" s="1012"/>
      <c r="G781" s="1013"/>
      <c r="H781" s="1012"/>
      <c r="I781" s="1012"/>
      <c r="J781" s="1013"/>
      <c r="K781" s="1013"/>
      <c r="L781" s="1094"/>
      <c r="M781" s="1094"/>
      <c r="N781" s="1013"/>
      <c r="O781" s="1013"/>
      <c r="P781" s="1013"/>
      <c r="Q781" s="1013"/>
      <c r="R781" s="1013"/>
      <c r="S781" s="1013"/>
      <c r="T781" s="1012"/>
      <c r="U781" s="1011"/>
      <c r="V781" s="1012"/>
      <c r="W781" s="1013"/>
      <c r="X781" s="1014"/>
      <c r="Y781" s="1012"/>
      <c r="Z781" s="1012"/>
      <c r="AA781" s="1012"/>
      <c r="AB781" s="1012"/>
      <c r="AC781" s="1012"/>
      <c r="AD781" s="1012"/>
      <c r="AE781" s="1012"/>
      <c r="AF781" s="1012"/>
      <c r="AG781" s="1012"/>
      <c r="AH781" s="1012"/>
      <c r="AI781" s="1012"/>
      <c r="AJ781" s="1012"/>
      <c r="AK781" s="1012"/>
    </row>
    <row r="782">
      <c r="A782" s="1012"/>
      <c r="B782" s="1013"/>
      <c r="C782" s="1012"/>
      <c r="D782" s="1013"/>
      <c r="E782" s="1012"/>
      <c r="F782" s="1012"/>
      <c r="G782" s="1013"/>
      <c r="H782" s="1012"/>
      <c r="I782" s="1012"/>
      <c r="J782" s="1013"/>
      <c r="K782" s="1013"/>
      <c r="L782" s="1094"/>
      <c r="M782" s="1094"/>
      <c r="N782" s="1013"/>
      <c r="O782" s="1013"/>
      <c r="P782" s="1013"/>
      <c r="Q782" s="1013"/>
      <c r="R782" s="1013"/>
      <c r="S782" s="1013"/>
      <c r="T782" s="1012"/>
      <c r="U782" s="1011"/>
      <c r="V782" s="1012"/>
      <c r="W782" s="1013"/>
      <c r="X782" s="1014"/>
      <c r="Y782" s="1012"/>
      <c r="Z782" s="1012"/>
      <c r="AA782" s="1012"/>
      <c r="AB782" s="1012"/>
      <c r="AC782" s="1012"/>
      <c r="AD782" s="1012"/>
      <c r="AE782" s="1012"/>
      <c r="AF782" s="1012"/>
      <c r="AG782" s="1012"/>
      <c r="AH782" s="1012"/>
      <c r="AI782" s="1012"/>
      <c r="AJ782" s="1012"/>
      <c r="AK782" s="1012"/>
    </row>
    <row r="783">
      <c r="A783" s="1012"/>
      <c r="B783" s="1013"/>
      <c r="C783" s="1012"/>
      <c r="D783" s="1013"/>
      <c r="E783" s="1012"/>
      <c r="F783" s="1012"/>
      <c r="G783" s="1013"/>
      <c r="H783" s="1012"/>
      <c r="I783" s="1012"/>
      <c r="J783" s="1013"/>
      <c r="K783" s="1013"/>
      <c r="L783" s="1094"/>
      <c r="M783" s="1094"/>
      <c r="N783" s="1013"/>
      <c r="O783" s="1013"/>
      <c r="P783" s="1013"/>
      <c r="Q783" s="1013"/>
      <c r="R783" s="1013"/>
      <c r="S783" s="1013"/>
      <c r="T783" s="1012"/>
      <c r="U783" s="1011"/>
      <c r="V783" s="1012"/>
      <c r="W783" s="1013"/>
      <c r="X783" s="1014"/>
      <c r="Y783" s="1012"/>
      <c r="Z783" s="1012"/>
      <c r="AA783" s="1012"/>
      <c r="AB783" s="1012"/>
      <c r="AC783" s="1012"/>
      <c r="AD783" s="1012"/>
      <c r="AE783" s="1012"/>
      <c r="AF783" s="1012"/>
      <c r="AG783" s="1012"/>
      <c r="AH783" s="1012"/>
      <c r="AI783" s="1012"/>
      <c r="AJ783" s="1012"/>
      <c r="AK783" s="1012"/>
    </row>
    <row r="784">
      <c r="A784" s="1012"/>
      <c r="B784" s="1013"/>
      <c r="C784" s="1012"/>
      <c r="D784" s="1013"/>
      <c r="E784" s="1012"/>
      <c r="F784" s="1012"/>
      <c r="G784" s="1013"/>
      <c r="H784" s="1012"/>
      <c r="I784" s="1012"/>
      <c r="J784" s="1013"/>
      <c r="K784" s="1013"/>
      <c r="L784" s="1094"/>
      <c r="M784" s="1094"/>
      <c r="N784" s="1013"/>
      <c r="O784" s="1013"/>
      <c r="P784" s="1013"/>
      <c r="Q784" s="1013"/>
      <c r="R784" s="1013"/>
      <c r="S784" s="1013"/>
      <c r="T784" s="1012"/>
      <c r="U784" s="1011"/>
      <c r="V784" s="1012"/>
      <c r="W784" s="1013"/>
      <c r="X784" s="1014"/>
      <c r="Y784" s="1012"/>
      <c r="Z784" s="1012"/>
      <c r="AA784" s="1012"/>
      <c r="AB784" s="1012"/>
      <c r="AC784" s="1012"/>
      <c r="AD784" s="1012"/>
      <c r="AE784" s="1012"/>
      <c r="AF784" s="1012"/>
      <c r="AG784" s="1012"/>
      <c r="AH784" s="1012"/>
      <c r="AI784" s="1012"/>
      <c r="AJ784" s="1012"/>
      <c r="AK784" s="1012"/>
    </row>
    <row r="785">
      <c r="A785" s="1012"/>
      <c r="B785" s="1013"/>
      <c r="C785" s="1012"/>
      <c r="D785" s="1013"/>
      <c r="E785" s="1012"/>
      <c r="F785" s="1012"/>
      <c r="G785" s="1013"/>
      <c r="H785" s="1012"/>
      <c r="I785" s="1012"/>
      <c r="J785" s="1013"/>
      <c r="K785" s="1013"/>
      <c r="L785" s="1094"/>
      <c r="M785" s="1094"/>
      <c r="N785" s="1013"/>
      <c r="O785" s="1013"/>
      <c r="P785" s="1013"/>
      <c r="Q785" s="1013"/>
      <c r="R785" s="1013"/>
      <c r="S785" s="1013"/>
      <c r="T785" s="1012"/>
      <c r="U785" s="1011"/>
      <c r="V785" s="1012"/>
      <c r="W785" s="1013"/>
      <c r="X785" s="1014"/>
      <c r="Y785" s="1012"/>
      <c r="Z785" s="1012"/>
      <c r="AA785" s="1012"/>
      <c r="AB785" s="1012"/>
      <c r="AC785" s="1012"/>
      <c r="AD785" s="1012"/>
      <c r="AE785" s="1012"/>
      <c r="AF785" s="1012"/>
      <c r="AG785" s="1012"/>
      <c r="AH785" s="1012"/>
      <c r="AI785" s="1012"/>
      <c r="AJ785" s="1012"/>
      <c r="AK785" s="1012"/>
    </row>
    <row r="786">
      <c r="A786" s="1012"/>
      <c r="B786" s="1013"/>
      <c r="C786" s="1012"/>
      <c r="D786" s="1013"/>
      <c r="E786" s="1012"/>
      <c r="F786" s="1012"/>
      <c r="G786" s="1013"/>
      <c r="H786" s="1012"/>
      <c r="I786" s="1012"/>
      <c r="J786" s="1013"/>
      <c r="K786" s="1013"/>
      <c r="L786" s="1094"/>
      <c r="M786" s="1094"/>
      <c r="N786" s="1013"/>
      <c r="O786" s="1013"/>
      <c r="P786" s="1013"/>
      <c r="Q786" s="1013"/>
      <c r="R786" s="1013"/>
      <c r="S786" s="1013"/>
      <c r="T786" s="1012"/>
      <c r="U786" s="1011"/>
      <c r="V786" s="1012"/>
      <c r="W786" s="1013"/>
      <c r="X786" s="1014"/>
      <c r="Y786" s="1012"/>
      <c r="Z786" s="1012"/>
      <c r="AA786" s="1012"/>
      <c r="AB786" s="1012"/>
      <c r="AC786" s="1012"/>
      <c r="AD786" s="1012"/>
      <c r="AE786" s="1012"/>
      <c r="AF786" s="1012"/>
      <c r="AG786" s="1012"/>
      <c r="AH786" s="1012"/>
      <c r="AI786" s="1012"/>
      <c r="AJ786" s="1012"/>
      <c r="AK786" s="1012"/>
    </row>
    <row r="787">
      <c r="A787" s="1012"/>
      <c r="B787" s="1013"/>
      <c r="C787" s="1012"/>
      <c r="D787" s="1013"/>
      <c r="E787" s="1012"/>
      <c r="F787" s="1012"/>
      <c r="G787" s="1013"/>
      <c r="H787" s="1012"/>
      <c r="I787" s="1012"/>
      <c r="J787" s="1013"/>
      <c r="K787" s="1013"/>
      <c r="L787" s="1094"/>
      <c r="M787" s="1094"/>
      <c r="N787" s="1013"/>
      <c r="O787" s="1013"/>
      <c r="P787" s="1013"/>
      <c r="Q787" s="1013"/>
      <c r="R787" s="1013"/>
      <c r="S787" s="1013"/>
      <c r="T787" s="1012"/>
      <c r="U787" s="1011"/>
      <c r="V787" s="1012"/>
      <c r="W787" s="1013"/>
      <c r="X787" s="1014"/>
      <c r="Y787" s="1012"/>
      <c r="Z787" s="1012"/>
      <c r="AA787" s="1012"/>
      <c r="AB787" s="1012"/>
      <c r="AC787" s="1012"/>
      <c r="AD787" s="1012"/>
      <c r="AE787" s="1012"/>
      <c r="AF787" s="1012"/>
      <c r="AG787" s="1012"/>
      <c r="AH787" s="1012"/>
      <c r="AI787" s="1012"/>
      <c r="AJ787" s="1012"/>
      <c r="AK787" s="1012"/>
    </row>
    <row r="788">
      <c r="A788" s="1012"/>
      <c r="B788" s="1013"/>
      <c r="C788" s="1012"/>
      <c r="D788" s="1013"/>
      <c r="E788" s="1012"/>
      <c r="F788" s="1012"/>
      <c r="G788" s="1013"/>
      <c r="H788" s="1012"/>
      <c r="I788" s="1012"/>
      <c r="J788" s="1013"/>
      <c r="K788" s="1013"/>
      <c r="L788" s="1094"/>
      <c r="M788" s="1094"/>
      <c r="N788" s="1013"/>
      <c r="O788" s="1013"/>
      <c r="P788" s="1013"/>
      <c r="Q788" s="1013"/>
      <c r="R788" s="1013"/>
      <c r="S788" s="1013"/>
      <c r="T788" s="1012"/>
      <c r="U788" s="1011"/>
      <c r="V788" s="1012"/>
      <c r="W788" s="1013"/>
      <c r="X788" s="1014"/>
      <c r="Y788" s="1012"/>
      <c r="Z788" s="1012"/>
      <c r="AA788" s="1012"/>
      <c r="AB788" s="1012"/>
      <c r="AC788" s="1012"/>
      <c r="AD788" s="1012"/>
      <c r="AE788" s="1012"/>
      <c r="AF788" s="1012"/>
      <c r="AG788" s="1012"/>
      <c r="AH788" s="1012"/>
      <c r="AI788" s="1012"/>
      <c r="AJ788" s="1012"/>
      <c r="AK788" s="1012"/>
    </row>
    <row r="789">
      <c r="A789" s="1012"/>
      <c r="B789" s="1013"/>
      <c r="C789" s="1012"/>
      <c r="D789" s="1013"/>
      <c r="E789" s="1012"/>
      <c r="F789" s="1012"/>
      <c r="G789" s="1013"/>
      <c r="H789" s="1012"/>
      <c r="I789" s="1012"/>
      <c r="J789" s="1013"/>
      <c r="K789" s="1013"/>
      <c r="L789" s="1094"/>
      <c r="M789" s="1094"/>
      <c r="N789" s="1013"/>
      <c r="O789" s="1013"/>
      <c r="P789" s="1013"/>
      <c r="Q789" s="1013"/>
      <c r="R789" s="1013"/>
      <c r="S789" s="1013"/>
      <c r="T789" s="1012"/>
      <c r="U789" s="1011"/>
      <c r="V789" s="1012"/>
      <c r="W789" s="1013"/>
      <c r="X789" s="1014"/>
      <c r="Y789" s="1012"/>
      <c r="Z789" s="1012"/>
      <c r="AA789" s="1012"/>
      <c r="AB789" s="1012"/>
      <c r="AC789" s="1012"/>
      <c r="AD789" s="1012"/>
      <c r="AE789" s="1012"/>
      <c r="AF789" s="1012"/>
      <c r="AG789" s="1012"/>
      <c r="AH789" s="1012"/>
      <c r="AI789" s="1012"/>
      <c r="AJ789" s="1012"/>
      <c r="AK789" s="1012"/>
    </row>
    <row r="790">
      <c r="A790" s="1012"/>
      <c r="B790" s="1013"/>
      <c r="C790" s="1012"/>
      <c r="D790" s="1013"/>
      <c r="E790" s="1012"/>
      <c r="F790" s="1012"/>
      <c r="G790" s="1013"/>
      <c r="H790" s="1012"/>
      <c r="I790" s="1012"/>
      <c r="J790" s="1013"/>
      <c r="K790" s="1013"/>
      <c r="L790" s="1094"/>
      <c r="M790" s="1094"/>
      <c r="N790" s="1013"/>
      <c r="O790" s="1013"/>
      <c r="P790" s="1013"/>
      <c r="Q790" s="1013"/>
      <c r="R790" s="1013"/>
      <c r="S790" s="1013"/>
      <c r="T790" s="1012"/>
      <c r="U790" s="1011"/>
      <c r="V790" s="1012"/>
      <c r="W790" s="1013"/>
      <c r="X790" s="1014"/>
      <c r="Y790" s="1012"/>
      <c r="Z790" s="1012"/>
      <c r="AA790" s="1012"/>
      <c r="AB790" s="1012"/>
      <c r="AC790" s="1012"/>
      <c r="AD790" s="1012"/>
      <c r="AE790" s="1012"/>
      <c r="AF790" s="1012"/>
      <c r="AG790" s="1012"/>
      <c r="AH790" s="1012"/>
      <c r="AI790" s="1012"/>
      <c r="AJ790" s="1012"/>
      <c r="AK790" s="1012"/>
    </row>
    <row r="791">
      <c r="A791" s="1012"/>
      <c r="B791" s="1013"/>
      <c r="C791" s="1012"/>
      <c r="D791" s="1013"/>
      <c r="E791" s="1012"/>
      <c r="F791" s="1012"/>
      <c r="G791" s="1013"/>
      <c r="H791" s="1012"/>
      <c r="I791" s="1012"/>
      <c r="J791" s="1013"/>
      <c r="K791" s="1013"/>
      <c r="L791" s="1094"/>
      <c r="M791" s="1094"/>
      <c r="N791" s="1013"/>
      <c r="O791" s="1013"/>
      <c r="P791" s="1013"/>
      <c r="Q791" s="1013"/>
      <c r="R791" s="1013"/>
      <c r="S791" s="1013"/>
      <c r="T791" s="1012"/>
      <c r="U791" s="1011"/>
      <c r="V791" s="1012"/>
      <c r="W791" s="1013"/>
      <c r="X791" s="1014"/>
      <c r="Y791" s="1012"/>
      <c r="Z791" s="1012"/>
      <c r="AA791" s="1012"/>
      <c r="AB791" s="1012"/>
      <c r="AC791" s="1012"/>
      <c r="AD791" s="1012"/>
      <c r="AE791" s="1012"/>
      <c r="AF791" s="1012"/>
      <c r="AG791" s="1012"/>
      <c r="AH791" s="1012"/>
      <c r="AI791" s="1012"/>
      <c r="AJ791" s="1012"/>
      <c r="AK791" s="1012"/>
    </row>
    <row r="792">
      <c r="A792" s="1012"/>
      <c r="B792" s="1013"/>
      <c r="C792" s="1012"/>
      <c r="D792" s="1013"/>
      <c r="E792" s="1012"/>
      <c r="F792" s="1012"/>
      <c r="G792" s="1013"/>
      <c r="H792" s="1012"/>
      <c r="I792" s="1012"/>
      <c r="J792" s="1013"/>
      <c r="K792" s="1013"/>
      <c r="L792" s="1094"/>
      <c r="M792" s="1094"/>
      <c r="N792" s="1013"/>
      <c r="O792" s="1013"/>
      <c r="P792" s="1013"/>
      <c r="Q792" s="1013"/>
      <c r="R792" s="1013"/>
      <c r="S792" s="1013"/>
      <c r="T792" s="1012"/>
      <c r="U792" s="1011"/>
      <c r="V792" s="1012"/>
      <c r="W792" s="1013"/>
      <c r="X792" s="1014"/>
      <c r="Y792" s="1012"/>
      <c r="Z792" s="1012"/>
      <c r="AA792" s="1012"/>
      <c r="AB792" s="1012"/>
      <c r="AC792" s="1012"/>
      <c r="AD792" s="1012"/>
      <c r="AE792" s="1012"/>
      <c r="AF792" s="1012"/>
      <c r="AG792" s="1012"/>
      <c r="AH792" s="1012"/>
      <c r="AI792" s="1012"/>
      <c r="AJ792" s="1012"/>
      <c r="AK792" s="1012"/>
    </row>
    <row r="793">
      <c r="A793" s="1012"/>
      <c r="B793" s="1013"/>
      <c r="C793" s="1012"/>
      <c r="D793" s="1013"/>
      <c r="E793" s="1012"/>
      <c r="F793" s="1012"/>
      <c r="G793" s="1013"/>
      <c r="H793" s="1012"/>
      <c r="I793" s="1012"/>
      <c r="J793" s="1013"/>
      <c r="K793" s="1013"/>
      <c r="L793" s="1094"/>
      <c r="M793" s="1094"/>
      <c r="N793" s="1013"/>
      <c r="O793" s="1013"/>
      <c r="P793" s="1013"/>
      <c r="Q793" s="1013"/>
      <c r="R793" s="1013"/>
      <c r="S793" s="1013"/>
      <c r="T793" s="1012"/>
      <c r="U793" s="1011"/>
      <c r="V793" s="1012"/>
      <c r="W793" s="1013"/>
      <c r="X793" s="1014"/>
      <c r="Y793" s="1012"/>
      <c r="Z793" s="1012"/>
      <c r="AA793" s="1012"/>
      <c r="AB793" s="1012"/>
      <c r="AC793" s="1012"/>
      <c r="AD793" s="1012"/>
      <c r="AE793" s="1012"/>
      <c r="AF793" s="1012"/>
      <c r="AG793" s="1012"/>
      <c r="AH793" s="1012"/>
      <c r="AI793" s="1012"/>
      <c r="AJ793" s="1012"/>
      <c r="AK793" s="1012"/>
    </row>
    <row r="794">
      <c r="A794" s="1012"/>
      <c r="B794" s="1013"/>
      <c r="C794" s="1012"/>
      <c r="D794" s="1013"/>
      <c r="E794" s="1012"/>
      <c r="F794" s="1012"/>
      <c r="G794" s="1013"/>
      <c r="H794" s="1012"/>
      <c r="I794" s="1012"/>
      <c r="J794" s="1013"/>
      <c r="K794" s="1013"/>
      <c r="L794" s="1094"/>
      <c r="M794" s="1094"/>
      <c r="N794" s="1013"/>
      <c r="O794" s="1013"/>
      <c r="P794" s="1013"/>
      <c r="Q794" s="1013"/>
      <c r="R794" s="1013"/>
      <c r="S794" s="1013"/>
      <c r="T794" s="1012"/>
      <c r="U794" s="1011"/>
      <c r="V794" s="1012"/>
      <c r="W794" s="1013"/>
      <c r="X794" s="1014"/>
      <c r="Y794" s="1012"/>
      <c r="Z794" s="1012"/>
      <c r="AA794" s="1012"/>
      <c r="AB794" s="1012"/>
      <c r="AC794" s="1012"/>
      <c r="AD794" s="1012"/>
      <c r="AE794" s="1012"/>
      <c r="AF794" s="1012"/>
      <c r="AG794" s="1012"/>
      <c r="AH794" s="1012"/>
      <c r="AI794" s="1012"/>
      <c r="AJ794" s="1012"/>
      <c r="AK794" s="1012"/>
    </row>
    <row r="795">
      <c r="A795" s="1012"/>
      <c r="B795" s="1013"/>
      <c r="C795" s="1012"/>
      <c r="D795" s="1013"/>
      <c r="E795" s="1012"/>
      <c r="F795" s="1012"/>
      <c r="G795" s="1013"/>
      <c r="H795" s="1012"/>
      <c r="I795" s="1012"/>
      <c r="J795" s="1013"/>
      <c r="K795" s="1013"/>
      <c r="L795" s="1094"/>
      <c r="M795" s="1094"/>
      <c r="N795" s="1013"/>
      <c r="O795" s="1013"/>
      <c r="P795" s="1013"/>
      <c r="Q795" s="1013"/>
      <c r="R795" s="1013"/>
      <c r="S795" s="1013"/>
      <c r="T795" s="1012"/>
      <c r="U795" s="1011"/>
      <c r="V795" s="1012"/>
      <c r="W795" s="1013"/>
      <c r="X795" s="1014"/>
      <c r="Y795" s="1012"/>
      <c r="Z795" s="1012"/>
      <c r="AA795" s="1012"/>
      <c r="AB795" s="1012"/>
      <c r="AC795" s="1012"/>
      <c r="AD795" s="1012"/>
      <c r="AE795" s="1012"/>
      <c r="AF795" s="1012"/>
      <c r="AG795" s="1012"/>
      <c r="AH795" s="1012"/>
      <c r="AI795" s="1012"/>
      <c r="AJ795" s="1012"/>
      <c r="AK795" s="1012"/>
    </row>
    <row r="796">
      <c r="A796" s="1012"/>
      <c r="B796" s="1013"/>
      <c r="C796" s="1012"/>
      <c r="D796" s="1013"/>
      <c r="E796" s="1012"/>
      <c r="F796" s="1012"/>
      <c r="G796" s="1013"/>
      <c r="H796" s="1012"/>
      <c r="I796" s="1012"/>
      <c r="J796" s="1013"/>
      <c r="K796" s="1013"/>
      <c r="L796" s="1094"/>
      <c r="M796" s="1094"/>
      <c r="N796" s="1013"/>
      <c r="O796" s="1013"/>
      <c r="P796" s="1013"/>
      <c r="Q796" s="1013"/>
      <c r="R796" s="1013"/>
      <c r="S796" s="1013"/>
      <c r="T796" s="1012"/>
      <c r="U796" s="1011"/>
      <c r="V796" s="1012"/>
      <c r="W796" s="1013"/>
      <c r="X796" s="1014"/>
      <c r="Y796" s="1012"/>
      <c r="Z796" s="1012"/>
      <c r="AA796" s="1012"/>
      <c r="AB796" s="1012"/>
      <c r="AC796" s="1012"/>
      <c r="AD796" s="1012"/>
      <c r="AE796" s="1012"/>
      <c r="AF796" s="1012"/>
      <c r="AG796" s="1012"/>
      <c r="AH796" s="1012"/>
      <c r="AI796" s="1012"/>
      <c r="AJ796" s="1012"/>
      <c r="AK796" s="1012"/>
    </row>
    <row r="797">
      <c r="A797" s="1012"/>
      <c r="B797" s="1013"/>
      <c r="C797" s="1012"/>
      <c r="D797" s="1013"/>
      <c r="E797" s="1012"/>
      <c r="F797" s="1012"/>
      <c r="G797" s="1013"/>
      <c r="H797" s="1012"/>
      <c r="I797" s="1012"/>
      <c r="J797" s="1013"/>
      <c r="K797" s="1013"/>
      <c r="L797" s="1094"/>
      <c r="M797" s="1094"/>
      <c r="N797" s="1013"/>
      <c r="O797" s="1013"/>
      <c r="P797" s="1013"/>
      <c r="Q797" s="1013"/>
      <c r="R797" s="1013"/>
      <c r="S797" s="1013"/>
      <c r="T797" s="1012"/>
      <c r="U797" s="1011"/>
      <c r="V797" s="1012"/>
      <c r="W797" s="1013"/>
      <c r="X797" s="1014"/>
      <c r="Y797" s="1012"/>
      <c r="Z797" s="1012"/>
      <c r="AA797" s="1012"/>
      <c r="AB797" s="1012"/>
      <c r="AC797" s="1012"/>
      <c r="AD797" s="1012"/>
      <c r="AE797" s="1012"/>
      <c r="AF797" s="1012"/>
      <c r="AG797" s="1012"/>
      <c r="AH797" s="1012"/>
      <c r="AI797" s="1012"/>
      <c r="AJ797" s="1012"/>
      <c r="AK797" s="1012"/>
    </row>
    <row r="798">
      <c r="A798" s="1012"/>
      <c r="B798" s="1013"/>
      <c r="C798" s="1012"/>
      <c r="D798" s="1013"/>
      <c r="E798" s="1012"/>
      <c r="F798" s="1012"/>
      <c r="G798" s="1013"/>
      <c r="H798" s="1012"/>
      <c r="I798" s="1012"/>
      <c r="J798" s="1013"/>
      <c r="K798" s="1013"/>
      <c r="L798" s="1094"/>
      <c r="M798" s="1094"/>
      <c r="N798" s="1013"/>
      <c r="O798" s="1013"/>
      <c r="P798" s="1013"/>
      <c r="Q798" s="1013"/>
      <c r="R798" s="1013"/>
      <c r="S798" s="1013"/>
      <c r="T798" s="1012"/>
      <c r="U798" s="1011"/>
      <c r="V798" s="1012"/>
      <c r="W798" s="1013"/>
      <c r="X798" s="1014"/>
      <c r="Y798" s="1012"/>
      <c r="Z798" s="1012"/>
      <c r="AA798" s="1012"/>
      <c r="AB798" s="1012"/>
      <c r="AC798" s="1012"/>
      <c r="AD798" s="1012"/>
      <c r="AE798" s="1012"/>
      <c r="AF798" s="1012"/>
      <c r="AG798" s="1012"/>
      <c r="AH798" s="1012"/>
      <c r="AI798" s="1012"/>
      <c r="AJ798" s="1012"/>
      <c r="AK798" s="1012"/>
    </row>
    <row r="799">
      <c r="A799" s="1012"/>
      <c r="B799" s="1013"/>
      <c r="C799" s="1012"/>
      <c r="D799" s="1013"/>
      <c r="E799" s="1012"/>
      <c r="F799" s="1012"/>
      <c r="G799" s="1013"/>
      <c r="H799" s="1012"/>
      <c r="I799" s="1012"/>
      <c r="J799" s="1013"/>
      <c r="K799" s="1013"/>
      <c r="L799" s="1094"/>
      <c r="M799" s="1094"/>
      <c r="N799" s="1013"/>
      <c r="O799" s="1013"/>
      <c r="P799" s="1013"/>
      <c r="Q799" s="1013"/>
      <c r="R799" s="1013"/>
      <c r="S799" s="1013"/>
      <c r="T799" s="1012"/>
      <c r="U799" s="1011"/>
      <c r="V799" s="1012"/>
      <c r="W799" s="1013"/>
      <c r="X799" s="1014"/>
      <c r="Y799" s="1012"/>
      <c r="Z799" s="1012"/>
      <c r="AA799" s="1012"/>
      <c r="AB799" s="1012"/>
      <c r="AC799" s="1012"/>
      <c r="AD799" s="1012"/>
      <c r="AE799" s="1012"/>
      <c r="AF799" s="1012"/>
      <c r="AG799" s="1012"/>
      <c r="AH799" s="1012"/>
      <c r="AI799" s="1012"/>
      <c r="AJ799" s="1012"/>
      <c r="AK799" s="1012"/>
    </row>
    <row r="800">
      <c r="A800" s="1012"/>
      <c r="B800" s="1013"/>
      <c r="C800" s="1012"/>
      <c r="D800" s="1013"/>
      <c r="E800" s="1012"/>
      <c r="F800" s="1012"/>
      <c r="G800" s="1013"/>
      <c r="H800" s="1012"/>
      <c r="I800" s="1012"/>
      <c r="J800" s="1013"/>
      <c r="K800" s="1013"/>
      <c r="L800" s="1094"/>
      <c r="M800" s="1094"/>
      <c r="N800" s="1013"/>
      <c r="O800" s="1013"/>
      <c r="P800" s="1013"/>
      <c r="Q800" s="1013"/>
      <c r="R800" s="1013"/>
      <c r="S800" s="1013"/>
      <c r="T800" s="1012"/>
      <c r="U800" s="1011"/>
      <c r="V800" s="1012"/>
      <c r="W800" s="1013"/>
      <c r="X800" s="1014"/>
      <c r="Y800" s="1012"/>
      <c r="Z800" s="1012"/>
      <c r="AA800" s="1012"/>
      <c r="AB800" s="1012"/>
      <c r="AC800" s="1012"/>
      <c r="AD800" s="1012"/>
      <c r="AE800" s="1012"/>
      <c r="AF800" s="1012"/>
      <c r="AG800" s="1012"/>
      <c r="AH800" s="1012"/>
      <c r="AI800" s="1012"/>
      <c r="AJ800" s="1012"/>
      <c r="AK800" s="1012"/>
    </row>
    <row r="801">
      <c r="A801" s="1012"/>
      <c r="B801" s="1013"/>
      <c r="C801" s="1012"/>
      <c r="D801" s="1013"/>
      <c r="E801" s="1012"/>
      <c r="F801" s="1012"/>
      <c r="G801" s="1013"/>
      <c r="H801" s="1012"/>
      <c r="I801" s="1012"/>
      <c r="J801" s="1013"/>
      <c r="K801" s="1013"/>
      <c r="L801" s="1094"/>
      <c r="M801" s="1094"/>
      <c r="N801" s="1013"/>
      <c r="O801" s="1013"/>
      <c r="P801" s="1013"/>
      <c r="Q801" s="1013"/>
      <c r="R801" s="1013"/>
      <c r="S801" s="1013"/>
      <c r="T801" s="1012"/>
      <c r="U801" s="1011"/>
      <c r="V801" s="1012"/>
      <c r="W801" s="1013"/>
      <c r="X801" s="1014"/>
      <c r="Y801" s="1012"/>
      <c r="Z801" s="1012"/>
      <c r="AA801" s="1012"/>
      <c r="AB801" s="1012"/>
      <c r="AC801" s="1012"/>
      <c r="AD801" s="1012"/>
      <c r="AE801" s="1012"/>
      <c r="AF801" s="1012"/>
      <c r="AG801" s="1012"/>
      <c r="AH801" s="1012"/>
      <c r="AI801" s="1012"/>
      <c r="AJ801" s="1012"/>
      <c r="AK801" s="1012"/>
    </row>
    <row r="802">
      <c r="A802" s="1012"/>
      <c r="B802" s="1013"/>
      <c r="C802" s="1012"/>
      <c r="D802" s="1013"/>
      <c r="E802" s="1012"/>
      <c r="F802" s="1012"/>
      <c r="G802" s="1013"/>
      <c r="H802" s="1012"/>
      <c r="I802" s="1012"/>
      <c r="J802" s="1013"/>
      <c r="K802" s="1013"/>
      <c r="L802" s="1094"/>
      <c r="M802" s="1094"/>
      <c r="N802" s="1013"/>
      <c r="O802" s="1013"/>
      <c r="P802" s="1013"/>
      <c r="Q802" s="1013"/>
      <c r="R802" s="1013"/>
      <c r="S802" s="1013"/>
      <c r="T802" s="1012"/>
      <c r="U802" s="1011"/>
      <c r="V802" s="1012"/>
      <c r="W802" s="1013"/>
      <c r="X802" s="1014"/>
      <c r="Y802" s="1012"/>
      <c r="Z802" s="1012"/>
      <c r="AA802" s="1012"/>
      <c r="AB802" s="1012"/>
      <c r="AC802" s="1012"/>
      <c r="AD802" s="1012"/>
      <c r="AE802" s="1012"/>
      <c r="AF802" s="1012"/>
      <c r="AG802" s="1012"/>
      <c r="AH802" s="1012"/>
      <c r="AI802" s="1012"/>
      <c r="AJ802" s="1012"/>
      <c r="AK802" s="1012"/>
    </row>
    <row r="803">
      <c r="A803" s="1012"/>
      <c r="B803" s="1013"/>
      <c r="C803" s="1012"/>
      <c r="D803" s="1013"/>
      <c r="E803" s="1012"/>
      <c r="F803" s="1012"/>
      <c r="G803" s="1013"/>
      <c r="H803" s="1012"/>
      <c r="I803" s="1012"/>
      <c r="J803" s="1013"/>
      <c r="K803" s="1013"/>
      <c r="L803" s="1094"/>
      <c r="M803" s="1094"/>
      <c r="N803" s="1013"/>
      <c r="O803" s="1013"/>
      <c r="P803" s="1013"/>
      <c r="Q803" s="1013"/>
      <c r="R803" s="1013"/>
      <c r="S803" s="1013"/>
      <c r="T803" s="1012"/>
      <c r="U803" s="1011"/>
      <c r="V803" s="1012"/>
      <c r="W803" s="1013"/>
      <c r="X803" s="1014"/>
      <c r="Y803" s="1012"/>
      <c r="Z803" s="1012"/>
      <c r="AA803" s="1012"/>
      <c r="AB803" s="1012"/>
      <c r="AC803" s="1012"/>
      <c r="AD803" s="1012"/>
      <c r="AE803" s="1012"/>
      <c r="AF803" s="1012"/>
      <c r="AG803" s="1012"/>
      <c r="AH803" s="1012"/>
      <c r="AI803" s="1012"/>
      <c r="AJ803" s="1012"/>
      <c r="AK803" s="1012"/>
    </row>
    <row r="804">
      <c r="A804" s="1012"/>
      <c r="B804" s="1013"/>
      <c r="C804" s="1012"/>
      <c r="D804" s="1013"/>
      <c r="E804" s="1012"/>
      <c r="F804" s="1012"/>
      <c r="G804" s="1013"/>
      <c r="H804" s="1012"/>
      <c r="I804" s="1012"/>
      <c r="J804" s="1013"/>
      <c r="K804" s="1013"/>
      <c r="L804" s="1094"/>
      <c r="M804" s="1094"/>
      <c r="N804" s="1013"/>
      <c r="O804" s="1013"/>
      <c r="P804" s="1013"/>
      <c r="Q804" s="1013"/>
      <c r="R804" s="1013"/>
      <c r="S804" s="1013"/>
      <c r="T804" s="1012"/>
      <c r="U804" s="1011"/>
      <c r="V804" s="1012"/>
      <c r="W804" s="1013"/>
      <c r="X804" s="1014"/>
      <c r="Y804" s="1012"/>
      <c r="Z804" s="1012"/>
      <c r="AA804" s="1012"/>
      <c r="AB804" s="1012"/>
      <c r="AC804" s="1012"/>
      <c r="AD804" s="1012"/>
      <c r="AE804" s="1012"/>
      <c r="AF804" s="1012"/>
      <c r="AG804" s="1012"/>
      <c r="AH804" s="1012"/>
      <c r="AI804" s="1012"/>
      <c r="AJ804" s="1012"/>
      <c r="AK804" s="1012"/>
    </row>
    <row r="805">
      <c r="A805" s="1012"/>
      <c r="B805" s="1013"/>
      <c r="C805" s="1012"/>
      <c r="D805" s="1013"/>
      <c r="E805" s="1012"/>
      <c r="F805" s="1012"/>
      <c r="G805" s="1013"/>
      <c r="H805" s="1012"/>
      <c r="I805" s="1012"/>
      <c r="J805" s="1013"/>
      <c r="K805" s="1013"/>
      <c r="L805" s="1094"/>
      <c r="M805" s="1094"/>
      <c r="N805" s="1013"/>
      <c r="O805" s="1013"/>
      <c r="P805" s="1013"/>
      <c r="Q805" s="1013"/>
      <c r="R805" s="1013"/>
      <c r="S805" s="1013"/>
      <c r="T805" s="1012"/>
      <c r="U805" s="1011"/>
      <c r="V805" s="1012"/>
      <c r="W805" s="1013"/>
      <c r="X805" s="1014"/>
      <c r="Y805" s="1012"/>
      <c r="Z805" s="1012"/>
      <c r="AA805" s="1012"/>
      <c r="AB805" s="1012"/>
      <c r="AC805" s="1012"/>
      <c r="AD805" s="1012"/>
      <c r="AE805" s="1012"/>
      <c r="AF805" s="1012"/>
      <c r="AG805" s="1012"/>
      <c r="AH805" s="1012"/>
      <c r="AI805" s="1012"/>
      <c r="AJ805" s="1012"/>
      <c r="AK805" s="1012"/>
    </row>
    <row r="806">
      <c r="A806" s="1012"/>
      <c r="B806" s="1013"/>
      <c r="C806" s="1012"/>
      <c r="D806" s="1013"/>
      <c r="E806" s="1012"/>
      <c r="F806" s="1012"/>
      <c r="G806" s="1013"/>
      <c r="H806" s="1012"/>
      <c r="I806" s="1012"/>
      <c r="J806" s="1013"/>
      <c r="K806" s="1013"/>
      <c r="L806" s="1094"/>
      <c r="M806" s="1094"/>
      <c r="N806" s="1013"/>
      <c r="O806" s="1013"/>
      <c r="P806" s="1013"/>
      <c r="Q806" s="1013"/>
      <c r="R806" s="1013"/>
      <c r="S806" s="1013"/>
      <c r="T806" s="1012"/>
      <c r="U806" s="1011"/>
      <c r="V806" s="1012"/>
      <c r="W806" s="1013"/>
      <c r="X806" s="1014"/>
      <c r="Y806" s="1012"/>
      <c r="Z806" s="1012"/>
      <c r="AA806" s="1012"/>
      <c r="AB806" s="1012"/>
      <c r="AC806" s="1012"/>
      <c r="AD806" s="1012"/>
      <c r="AE806" s="1012"/>
      <c r="AF806" s="1012"/>
      <c r="AG806" s="1012"/>
      <c r="AH806" s="1012"/>
      <c r="AI806" s="1012"/>
      <c r="AJ806" s="1012"/>
      <c r="AK806" s="1012"/>
    </row>
    <row r="807">
      <c r="A807" s="1012"/>
      <c r="B807" s="1013"/>
      <c r="C807" s="1012"/>
      <c r="D807" s="1013"/>
      <c r="E807" s="1012"/>
      <c r="F807" s="1012"/>
      <c r="G807" s="1013"/>
      <c r="H807" s="1012"/>
      <c r="I807" s="1012"/>
      <c r="J807" s="1013"/>
      <c r="K807" s="1013"/>
      <c r="L807" s="1094"/>
      <c r="M807" s="1094"/>
      <c r="N807" s="1013"/>
      <c r="O807" s="1013"/>
      <c r="P807" s="1013"/>
      <c r="Q807" s="1013"/>
      <c r="R807" s="1013"/>
      <c r="S807" s="1013"/>
      <c r="T807" s="1012"/>
      <c r="U807" s="1011"/>
      <c r="V807" s="1012"/>
      <c r="W807" s="1013"/>
      <c r="X807" s="1014"/>
      <c r="Y807" s="1012"/>
      <c r="Z807" s="1012"/>
      <c r="AA807" s="1012"/>
      <c r="AB807" s="1012"/>
      <c r="AC807" s="1012"/>
      <c r="AD807" s="1012"/>
      <c r="AE807" s="1012"/>
      <c r="AF807" s="1012"/>
      <c r="AG807" s="1012"/>
      <c r="AH807" s="1012"/>
      <c r="AI807" s="1012"/>
      <c r="AJ807" s="1012"/>
      <c r="AK807" s="1012"/>
    </row>
    <row r="808">
      <c r="A808" s="1012"/>
      <c r="B808" s="1013"/>
      <c r="C808" s="1012"/>
      <c r="D808" s="1013"/>
      <c r="E808" s="1012"/>
      <c r="F808" s="1012"/>
      <c r="G808" s="1013"/>
      <c r="H808" s="1012"/>
      <c r="I808" s="1012"/>
      <c r="J808" s="1013"/>
      <c r="K808" s="1013"/>
      <c r="L808" s="1094"/>
      <c r="M808" s="1094"/>
      <c r="N808" s="1013"/>
      <c r="O808" s="1013"/>
      <c r="P808" s="1013"/>
      <c r="Q808" s="1013"/>
      <c r="R808" s="1013"/>
      <c r="S808" s="1013"/>
      <c r="T808" s="1012"/>
      <c r="U808" s="1011"/>
      <c r="V808" s="1012"/>
      <c r="W808" s="1013"/>
      <c r="X808" s="1014"/>
      <c r="Y808" s="1012"/>
      <c r="Z808" s="1012"/>
      <c r="AA808" s="1012"/>
      <c r="AB808" s="1012"/>
      <c r="AC808" s="1012"/>
      <c r="AD808" s="1012"/>
      <c r="AE808" s="1012"/>
      <c r="AF808" s="1012"/>
      <c r="AG808" s="1012"/>
      <c r="AH808" s="1012"/>
      <c r="AI808" s="1012"/>
      <c r="AJ808" s="1012"/>
      <c r="AK808" s="1012"/>
    </row>
    <row r="809">
      <c r="A809" s="1012"/>
      <c r="B809" s="1013"/>
      <c r="C809" s="1012"/>
      <c r="D809" s="1013"/>
      <c r="E809" s="1012"/>
      <c r="F809" s="1012"/>
      <c r="G809" s="1013"/>
      <c r="H809" s="1012"/>
      <c r="I809" s="1012"/>
      <c r="J809" s="1013"/>
      <c r="K809" s="1013"/>
      <c r="L809" s="1094"/>
      <c r="M809" s="1094"/>
      <c r="N809" s="1013"/>
      <c r="O809" s="1013"/>
      <c r="P809" s="1013"/>
      <c r="Q809" s="1013"/>
      <c r="R809" s="1013"/>
      <c r="S809" s="1013"/>
      <c r="T809" s="1012"/>
      <c r="U809" s="1011"/>
      <c r="V809" s="1012"/>
      <c r="W809" s="1013"/>
      <c r="X809" s="1014"/>
      <c r="Y809" s="1012"/>
      <c r="Z809" s="1012"/>
      <c r="AA809" s="1012"/>
      <c r="AB809" s="1012"/>
      <c r="AC809" s="1012"/>
      <c r="AD809" s="1012"/>
      <c r="AE809" s="1012"/>
      <c r="AF809" s="1012"/>
      <c r="AG809" s="1012"/>
      <c r="AH809" s="1012"/>
      <c r="AI809" s="1012"/>
      <c r="AJ809" s="1012"/>
      <c r="AK809" s="1012"/>
    </row>
    <row r="810">
      <c r="A810" s="1012"/>
      <c r="B810" s="1013"/>
      <c r="C810" s="1012"/>
      <c r="D810" s="1013"/>
      <c r="E810" s="1012"/>
      <c r="F810" s="1012"/>
      <c r="G810" s="1013"/>
      <c r="H810" s="1012"/>
      <c r="I810" s="1012"/>
      <c r="J810" s="1013"/>
      <c r="K810" s="1013"/>
      <c r="L810" s="1094"/>
      <c r="M810" s="1094"/>
      <c r="N810" s="1013"/>
      <c r="O810" s="1013"/>
      <c r="P810" s="1013"/>
      <c r="Q810" s="1013"/>
      <c r="R810" s="1013"/>
      <c r="S810" s="1013"/>
      <c r="T810" s="1012"/>
      <c r="U810" s="1011"/>
      <c r="V810" s="1012"/>
      <c r="W810" s="1013"/>
      <c r="X810" s="1014"/>
      <c r="Y810" s="1012"/>
      <c r="Z810" s="1012"/>
      <c r="AA810" s="1012"/>
      <c r="AB810" s="1012"/>
      <c r="AC810" s="1012"/>
      <c r="AD810" s="1012"/>
      <c r="AE810" s="1012"/>
      <c r="AF810" s="1012"/>
      <c r="AG810" s="1012"/>
      <c r="AH810" s="1012"/>
      <c r="AI810" s="1012"/>
      <c r="AJ810" s="1012"/>
      <c r="AK810" s="1012"/>
    </row>
    <row r="811">
      <c r="A811" s="1012"/>
      <c r="B811" s="1013"/>
      <c r="C811" s="1012"/>
      <c r="D811" s="1013"/>
      <c r="E811" s="1012"/>
      <c r="F811" s="1012"/>
      <c r="G811" s="1013"/>
      <c r="H811" s="1012"/>
      <c r="I811" s="1012"/>
      <c r="J811" s="1013"/>
      <c r="K811" s="1013"/>
      <c r="L811" s="1094"/>
      <c r="M811" s="1094"/>
      <c r="N811" s="1013"/>
      <c r="O811" s="1013"/>
      <c r="P811" s="1013"/>
      <c r="Q811" s="1013"/>
      <c r="R811" s="1013"/>
      <c r="S811" s="1013"/>
      <c r="T811" s="1012"/>
      <c r="U811" s="1011"/>
      <c r="V811" s="1012"/>
      <c r="W811" s="1013"/>
      <c r="X811" s="1014"/>
      <c r="Y811" s="1012"/>
      <c r="Z811" s="1012"/>
      <c r="AA811" s="1012"/>
      <c r="AB811" s="1012"/>
      <c r="AC811" s="1012"/>
      <c r="AD811" s="1012"/>
      <c r="AE811" s="1012"/>
      <c r="AF811" s="1012"/>
      <c r="AG811" s="1012"/>
      <c r="AH811" s="1012"/>
      <c r="AI811" s="1012"/>
      <c r="AJ811" s="1012"/>
      <c r="AK811" s="1012"/>
    </row>
    <row r="812">
      <c r="A812" s="1012"/>
      <c r="B812" s="1013"/>
      <c r="C812" s="1012"/>
      <c r="D812" s="1013"/>
      <c r="E812" s="1012"/>
      <c r="F812" s="1012"/>
      <c r="G812" s="1013"/>
      <c r="H812" s="1012"/>
      <c r="I812" s="1012"/>
      <c r="J812" s="1013"/>
      <c r="K812" s="1013"/>
      <c r="L812" s="1094"/>
      <c r="M812" s="1094"/>
      <c r="N812" s="1013"/>
      <c r="O812" s="1013"/>
      <c r="P812" s="1013"/>
      <c r="Q812" s="1013"/>
      <c r="R812" s="1013"/>
      <c r="S812" s="1013"/>
      <c r="T812" s="1012"/>
      <c r="U812" s="1011"/>
      <c r="V812" s="1012"/>
      <c r="W812" s="1013"/>
      <c r="X812" s="1014"/>
      <c r="Y812" s="1012"/>
      <c r="Z812" s="1012"/>
      <c r="AA812" s="1012"/>
      <c r="AB812" s="1012"/>
      <c r="AC812" s="1012"/>
      <c r="AD812" s="1012"/>
      <c r="AE812" s="1012"/>
      <c r="AF812" s="1012"/>
      <c r="AG812" s="1012"/>
      <c r="AH812" s="1012"/>
      <c r="AI812" s="1012"/>
      <c r="AJ812" s="1012"/>
      <c r="AK812" s="1012"/>
    </row>
    <row r="813">
      <c r="A813" s="1012"/>
      <c r="B813" s="1013"/>
      <c r="C813" s="1012"/>
      <c r="D813" s="1013"/>
      <c r="E813" s="1012"/>
      <c r="F813" s="1012"/>
      <c r="G813" s="1013"/>
      <c r="H813" s="1012"/>
      <c r="I813" s="1012"/>
      <c r="J813" s="1013"/>
      <c r="K813" s="1013"/>
      <c r="L813" s="1094"/>
      <c r="M813" s="1094"/>
      <c r="N813" s="1013"/>
      <c r="O813" s="1013"/>
      <c r="P813" s="1013"/>
      <c r="Q813" s="1013"/>
      <c r="R813" s="1013"/>
      <c r="S813" s="1013"/>
      <c r="T813" s="1012"/>
      <c r="U813" s="1011"/>
      <c r="V813" s="1012"/>
      <c r="W813" s="1013"/>
      <c r="X813" s="1014"/>
      <c r="Y813" s="1012"/>
      <c r="Z813" s="1012"/>
      <c r="AA813" s="1012"/>
      <c r="AB813" s="1012"/>
      <c r="AC813" s="1012"/>
      <c r="AD813" s="1012"/>
      <c r="AE813" s="1012"/>
      <c r="AF813" s="1012"/>
      <c r="AG813" s="1012"/>
      <c r="AH813" s="1012"/>
      <c r="AI813" s="1012"/>
      <c r="AJ813" s="1012"/>
      <c r="AK813" s="1012"/>
    </row>
    <row r="814">
      <c r="A814" s="1012"/>
      <c r="B814" s="1013"/>
      <c r="C814" s="1012"/>
      <c r="D814" s="1013"/>
      <c r="E814" s="1012"/>
      <c r="F814" s="1012"/>
      <c r="G814" s="1013"/>
      <c r="H814" s="1012"/>
      <c r="I814" s="1012"/>
      <c r="J814" s="1013"/>
      <c r="K814" s="1013"/>
      <c r="L814" s="1094"/>
      <c r="M814" s="1094"/>
      <c r="N814" s="1013"/>
      <c r="O814" s="1013"/>
      <c r="P814" s="1013"/>
      <c r="Q814" s="1013"/>
      <c r="R814" s="1013"/>
      <c r="S814" s="1013"/>
      <c r="T814" s="1012"/>
      <c r="U814" s="1011"/>
      <c r="V814" s="1012"/>
      <c r="W814" s="1013"/>
      <c r="X814" s="1014"/>
      <c r="Y814" s="1012"/>
      <c r="Z814" s="1012"/>
      <c r="AA814" s="1012"/>
      <c r="AB814" s="1012"/>
      <c r="AC814" s="1012"/>
      <c r="AD814" s="1012"/>
      <c r="AE814" s="1012"/>
      <c r="AF814" s="1012"/>
      <c r="AG814" s="1012"/>
      <c r="AH814" s="1012"/>
      <c r="AI814" s="1012"/>
      <c r="AJ814" s="1012"/>
      <c r="AK814" s="1012"/>
    </row>
    <row r="815">
      <c r="A815" s="1012"/>
      <c r="B815" s="1013"/>
      <c r="C815" s="1012"/>
      <c r="D815" s="1013"/>
      <c r="E815" s="1012"/>
      <c r="F815" s="1012"/>
      <c r="G815" s="1013"/>
      <c r="H815" s="1012"/>
      <c r="I815" s="1012"/>
      <c r="J815" s="1013"/>
      <c r="K815" s="1013"/>
      <c r="L815" s="1094"/>
      <c r="M815" s="1094"/>
      <c r="N815" s="1013"/>
      <c r="O815" s="1013"/>
      <c r="P815" s="1013"/>
      <c r="Q815" s="1013"/>
      <c r="R815" s="1013"/>
      <c r="S815" s="1013"/>
      <c r="T815" s="1012"/>
      <c r="U815" s="1011"/>
      <c r="V815" s="1012"/>
      <c r="W815" s="1013"/>
      <c r="X815" s="1014"/>
      <c r="Y815" s="1012"/>
      <c r="Z815" s="1012"/>
      <c r="AA815" s="1012"/>
      <c r="AB815" s="1012"/>
      <c r="AC815" s="1012"/>
      <c r="AD815" s="1012"/>
      <c r="AE815" s="1012"/>
      <c r="AF815" s="1012"/>
      <c r="AG815" s="1012"/>
      <c r="AH815" s="1012"/>
      <c r="AI815" s="1012"/>
      <c r="AJ815" s="1012"/>
      <c r="AK815" s="1012"/>
    </row>
    <row r="816">
      <c r="A816" s="1012"/>
      <c r="B816" s="1013"/>
      <c r="C816" s="1012"/>
      <c r="D816" s="1013"/>
      <c r="E816" s="1012"/>
      <c r="F816" s="1012"/>
      <c r="G816" s="1013"/>
      <c r="H816" s="1012"/>
      <c r="I816" s="1012"/>
      <c r="J816" s="1013"/>
      <c r="K816" s="1013"/>
      <c r="L816" s="1094"/>
      <c r="M816" s="1094"/>
      <c r="N816" s="1013"/>
      <c r="O816" s="1013"/>
      <c r="P816" s="1013"/>
      <c r="Q816" s="1013"/>
      <c r="R816" s="1013"/>
      <c r="S816" s="1013"/>
      <c r="T816" s="1012"/>
      <c r="U816" s="1011"/>
      <c r="V816" s="1012"/>
      <c r="W816" s="1013"/>
      <c r="X816" s="1014"/>
      <c r="Y816" s="1012"/>
      <c r="Z816" s="1012"/>
      <c r="AA816" s="1012"/>
      <c r="AB816" s="1012"/>
      <c r="AC816" s="1012"/>
      <c r="AD816" s="1012"/>
      <c r="AE816" s="1012"/>
      <c r="AF816" s="1012"/>
      <c r="AG816" s="1012"/>
      <c r="AH816" s="1012"/>
      <c r="AI816" s="1012"/>
      <c r="AJ816" s="1012"/>
      <c r="AK816" s="1012"/>
    </row>
    <row r="817">
      <c r="A817" s="1012"/>
      <c r="B817" s="1013"/>
      <c r="C817" s="1012"/>
      <c r="D817" s="1013"/>
      <c r="E817" s="1012"/>
      <c r="F817" s="1012"/>
      <c r="G817" s="1013"/>
      <c r="H817" s="1012"/>
      <c r="I817" s="1012"/>
      <c r="J817" s="1013"/>
      <c r="K817" s="1013"/>
      <c r="L817" s="1094"/>
      <c r="M817" s="1094"/>
      <c r="N817" s="1013"/>
      <c r="O817" s="1013"/>
      <c r="P817" s="1013"/>
      <c r="Q817" s="1013"/>
      <c r="R817" s="1013"/>
      <c r="S817" s="1013"/>
      <c r="T817" s="1012"/>
      <c r="U817" s="1011"/>
      <c r="V817" s="1012"/>
      <c r="W817" s="1013"/>
      <c r="X817" s="1014"/>
      <c r="Y817" s="1012"/>
      <c r="Z817" s="1012"/>
      <c r="AA817" s="1012"/>
      <c r="AB817" s="1012"/>
      <c r="AC817" s="1012"/>
      <c r="AD817" s="1012"/>
      <c r="AE817" s="1012"/>
      <c r="AF817" s="1012"/>
      <c r="AG817" s="1012"/>
      <c r="AH817" s="1012"/>
      <c r="AI817" s="1012"/>
      <c r="AJ817" s="1012"/>
      <c r="AK817" s="1012"/>
    </row>
    <row r="818">
      <c r="A818" s="1012"/>
      <c r="B818" s="1013"/>
      <c r="C818" s="1012"/>
      <c r="D818" s="1013"/>
      <c r="E818" s="1012"/>
      <c r="F818" s="1012"/>
      <c r="G818" s="1013"/>
      <c r="H818" s="1012"/>
      <c r="I818" s="1012"/>
      <c r="J818" s="1013"/>
      <c r="K818" s="1013"/>
      <c r="L818" s="1094"/>
      <c r="M818" s="1094"/>
      <c r="N818" s="1013"/>
      <c r="O818" s="1013"/>
      <c r="P818" s="1013"/>
      <c r="Q818" s="1013"/>
      <c r="R818" s="1013"/>
      <c r="S818" s="1013"/>
      <c r="T818" s="1012"/>
      <c r="U818" s="1011"/>
      <c r="V818" s="1012"/>
      <c r="W818" s="1013"/>
      <c r="X818" s="1014"/>
      <c r="Y818" s="1012"/>
      <c r="Z818" s="1012"/>
      <c r="AA818" s="1012"/>
      <c r="AB818" s="1012"/>
      <c r="AC818" s="1012"/>
      <c r="AD818" s="1012"/>
      <c r="AE818" s="1012"/>
      <c r="AF818" s="1012"/>
      <c r="AG818" s="1012"/>
      <c r="AH818" s="1012"/>
      <c r="AI818" s="1012"/>
      <c r="AJ818" s="1012"/>
      <c r="AK818" s="1012"/>
    </row>
    <row r="819">
      <c r="A819" s="1012"/>
      <c r="B819" s="1013"/>
      <c r="C819" s="1012"/>
      <c r="D819" s="1013"/>
      <c r="E819" s="1012"/>
      <c r="F819" s="1012"/>
      <c r="G819" s="1013"/>
      <c r="H819" s="1012"/>
      <c r="I819" s="1012"/>
      <c r="J819" s="1013"/>
      <c r="K819" s="1013"/>
      <c r="L819" s="1094"/>
      <c r="M819" s="1094"/>
      <c r="N819" s="1013"/>
      <c r="O819" s="1013"/>
      <c r="P819" s="1013"/>
      <c r="Q819" s="1013"/>
      <c r="R819" s="1013"/>
      <c r="S819" s="1013"/>
      <c r="T819" s="1012"/>
      <c r="U819" s="1011"/>
      <c r="V819" s="1012"/>
      <c r="W819" s="1013"/>
      <c r="X819" s="1014"/>
      <c r="Y819" s="1012"/>
      <c r="Z819" s="1012"/>
      <c r="AA819" s="1012"/>
      <c r="AB819" s="1012"/>
      <c r="AC819" s="1012"/>
      <c r="AD819" s="1012"/>
      <c r="AE819" s="1012"/>
      <c r="AF819" s="1012"/>
      <c r="AG819" s="1012"/>
      <c r="AH819" s="1012"/>
      <c r="AI819" s="1012"/>
      <c r="AJ819" s="1012"/>
      <c r="AK819" s="1012"/>
    </row>
    <row r="820">
      <c r="A820" s="1012"/>
      <c r="B820" s="1013"/>
      <c r="C820" s="1012"/>
      <c r="D820" s="1013"/>
      <c r="E820" s="1012"/>
      <c r="F820" s="1012"/>
      <c r="G820" s="1013"/>
      <c r="H820" s="1012"/>
      <c r="I820" s="1012"/>
      <c r="J820" s="1013"/>
      <c r="K820" s="1013"/>
      <c r="L820" s="1094"/>
      <c r="M820" s="1094"/>
      <c r="N820" s="1013"/>
      <c r="O820" s="1013"/>
      <c r="P820" s="1013"/>
      <c r="Q820" s="1013"/>
      <c r="R820" s="1013"/>
      <c r="S820" s="1013"/>
      <c r="T820" s="1012"/>
      <c r="U820" s="1011"/>
      <c r="V820" s="1012"/>
      <c r="W820" s="1013"/>
      <c r="X820" s="1014"/>
      <c r="Y820" s="1012"/>
      <c r="Z820" s="1012"/>
      <c r="AA820" s="1012"/>
      <c r="AB820" s="1012"/>
      <c r="AC820" s="1012"/>
      <c r="AD820" s="1012"/>
      <c r="AE820" s="1012"/>
      <c r="AF820" s="1012"/>
      <c r="AG820" s="1012"/>
      <c r="AH820" s="1012"/>
      <c r="AI820" s="1012"/>
      <c r="AJ820" s="1012"/>
      <c r="AK820" s="1012"/>
    </row>
    <row r="821">
      <c r="A821" s="1012"/>
      <c r="B821" s="1013"/>
      <c r="C821" s="1012"/>
      <c r="D821" s="1013"/>
      <c r="E821" s="1012"/>
      <c r="F821" s="1012"/>
      <c r="G821" s="1013"/>
      <c r="H821" s="1012"/>
      <c r="I821" s="1012"/>
      <c r="J821" s="1013"/>
      <c r="K821" s="1013"/>
      <c r="L821" s="1094"/>
      <c r="M821" s="1094"/>
      <c r="N821" s="1013"/>
      <c r="O821" s="1013"/>
      <c r="P821" s="1013"/>
      <c r="Q821" s="1013"/>
      <c r="R821" s="1013"/>
      <c r="S821" s="1013"/>
      <c r="T821" s="1012"/>
      <c r="U821" s="1011"/>
      <c r="V821" s="1012"/>
      <c r="W821" s="1013"/>
      <c r="X821" s="1014"/>
      <c r="Y821" s="1012"/>
      <c r="Z821" s="1012"/>
      <c r="AA821" s="1012"/>
      <c r="AB821" s="1012"/>
      <c r="AC821" s="1012"/>
      <c r="AD821" s="1012"/>
      <c r="AE821" s="1012"/>
      <c r="AF821" s="1012"/>
      <c r="AG821" s="1012"/>
      <c r="AH821" s="1012"/>
      <c r="AI821" s="1012"/>
      <c r="AJ821" s="1012"/>
      <c r="AK821" s="1012"/>
    </row>
    <row r="822">
      <c r="A822" s="1012"/>
      <c r="B822" s="1013"/>
      <c r="C822" s="1012"/>
      <c r="D822" s="1013"/>
      <c r="E822" s="1012"/>
      <c r="F822" s="1012"/>
      <c r="G822" s="1013"/>
      <c r="H822" s="1012"/>
      <c r="I822" s="1012"/>
      <c r="J822" s="1013"/>
      <c r="K822" s="1013"/>
      <c r="L822" s="1094"/>
      <c r="M822" s="1094"/>
      <c r="N822" s="1013"/>
      <c r="O822" s="1013"/>
      <c r="P822" s="1013"/>
      <c r="Q822" s="1013"/>
      <c r="R822" s="1013"/>
      <c r="S822" s="1013"/>
      <c r="T822" s="1012"/>
      <c r="U822" s="1011"/>
      <c r="V822" s="1012"/>
      <c r="W822" s="1013"/>
      <c r="X822" s="1014"/>
      <c r="Y822" s="1012"/>
      <c r="Z822" s="1012"/>
      <c r="AA822" s="1012"/>
      <c r="AB822" s="1012"/>
      <c r="AC822" s="1012"/>
      <c r="AD822" s="1012"/>
      <c r="AE822" s="1012"/>
      <c r="AF822" s="1012"/>
      <c r="AG822" s="1012"/>
      <c r="AH822" s="1012"/>
      <c r="AI822" s="1012"/>
      <c r="AJ822" s="1012"/>
      <c r="AK822" s="1012"/>
    </row>
    <row r="823">
      <c r="A823" s="1012"/>
      <c r="B823" s="1013"/>
      <c r="C823" s="1012"/>
      <c r="D823" s="1013"/>
      <c r="E823" s="1012"/>
      <c r="F823" s="1012"/>
      <c r="G823" s="1013"/>
      <c r="H823" s="1012"/>
      <c r="I823" s="1012"/>
      <c r="J823" s="1013"/>
      <c r="K823" s="1013"/>
      <c r="L823" s="1094"/>
      <c r="M823" s="1094"/>
      <c r="N823" s="1013"/>
      <c r="O823" s="1013"/>
      <c r="P823" s="1013"/>
      <c r="Q823" s="1013"/>
      <c r="R823" s="1013"/>
      <c r="S823" s="1013"/>
      <c r="T823" s="1012"/>
      <c r="U823" s="1011"/>
      <c r="V823" s="1012"/>
      <c r="W823" s="1013"/>
      <c r="X823" s="1014"/>
      <c r="Y823" s="1012"/>
      <c r="Z823" s="1012"/>
      <c r="AA823" s="1012"/>
      <c r="AB823" s="1012"/>
      <c r="AC823" s="1012"/>
      <c r="AD823" s="1012"/>
      <c r="AE823" s="1012"/>
      <c r="AF823" s="1012"/>
      <c r="AG823" s="1012"/>
      <c r="AH823" s="1012"/>
      <c r="AI823" s="1012"/>
      <c r="AJ823" s="1012"/>
      <c r="AK823" s="1012"/>
    </row>
    <row r="824">
      <c r="A824" s="1012"/>
      <c r="B824" s="1013"/>
      <c r="C824" s="1012"/>
      <c r="D824" s="1013"/>
      <c r="E824" s="1012"/>
      <c r="F824" s="1012"/>
      <c r="G824" s="1013"/>
      <c r="H824" s="1012"/>
      <c r="I824" s="1012"/>
      <c r="J824" s="1013"/>
      <c r="K824" s="1013"/>
      <c r="L824" s="1094"/>
      <c r="M824" s="1094"/>
      <c r="N824" s="1013"/>
      <c r="O824" s="1013"/>
      <c r="P824" s="1013"/>
      <c r="Q824" s="1013"/>
      <c r="R824" s="1013"/>
      <c r="S824" s="1013"/>
      <c r="T824" s="1012"/>
      <c r="U824" s="1011"/>
      <c r="V824" s="1012"/>
      <c r="W824" s="1013"/>
      <c r="X824" s="1014"/>
      <c r="Y824" s="1012"/>
      <c r="Z824" s="1012"/>
      <c r="AA824" s="1012"/>
      <c r="AB824" s="1012"/>
      <c r="AC824" s="1012"/>
      <c r="AD824" s="1012"/>
      <c r="AE824" s="1012"/>
      <c r="AF824" s="1012"/>
      <c r="AG824" s="1012"/>
      <c r="AH824" s="1012"/>
      <c r="AI824" s="1012"/>
      <c r="AJ824" s="1012"/>
      <c r="AK824" s="1012"/>
    </row>
    <row r="825">
      <c r="A825" s="1012"/>
      <c r="B825" s="1013"/>
      <c r="C825" s="1012"/>
      <c r="D825" s="1013"/>
      <c r="E825" s="1012"/>
      <c r="F825" s="1012"/>
      <c r="G825" s="1013"/>
      <c r="H825" s="1012"/>
      <c r="I825" s="1012"/>
      <c r="J825" s="1013"/>
      <c r="K825" s="1013"/>
      <c r="L825" s="1094"/>
      <c r="M825" s="1094"/>
      <c r="N825" s="1013"/>
      <c r="O825" s="1013"/>
      <c r="P825" s="1013"/>
      <c r="Q825" s="1013"/>
      <c r="R825" s="1013"/>
      <c r="S825" s="1013"/>
      <c r="T825" s="1012"/>
      <c r="U825" s="1011"/>
      <c r="V825" s="1012"/>
      <c r="W825" s="1013"/>
      <c r="X825" s="1014"/>
      <c r="Y825" s="1012"/>
      <c r="Z825" s="1012"/>
      <c r="AA825" s="1012"/>
      <c r="AB825" s="1012"/>
      <c r="AC825" s="1012"/>
      <c r="AD825" s="1012"/>
      <c r="AE825" s="1012"/>
      <c r="AF825" s="1012"/>
      <c r="AG825" s="1012"/>
      <c r="AH825" s="1012"/>
      <c r="AI825" s="1012"/>
      <c r="AJ825" s="1012"/>
      <c r="AK825" s="1012"/>
    </row>
    <row r="826">
      <c r="A826" s="1012"/>
      <c r="B826" s="1013"/>
      <c r="C826" s="1012"/>
      <c r="D826" s="1013"/>
      <c r="E826" s="1012"/>
      <c r="F826" s="1012"/>
      <c r="G826" s="1013"/>
      <c r="H826" s="1012"/>
      <c r="I826" s="1012"/>
      <c r="J826" s="1013"/>
      <c r="K826" s="1013"/>
      <c r="L826" s="1094"/>
      <c r="M826" s="1094"/>
      <c r="N826" s="1013"/>
      <c r="O826" s="1013"/>
      <c r="P826" s="1013"/>
      <c r="Q826" s="1013"/>
      <c r="R826" s="1013"/>
      <c r="S826" s="1013"/>
      <c r="T826" s="1012"/>
      <c r="U826" s="1011"/>
      <c r="V826" s="1012"/>
      <c r="W826" s="1013"/>
      <c r="X826" s="1014"/>
      <c r="Y826" s="1012"/>
      <c r="Z826" s="1012"/>
      <c r="AA826" s="1012"/>
      <c r="AB826" s="1012"/>
      <c r="AC826" s="1012"/>
      <c r="AD826" s="1012"/>
      <c r="AE826" s="1012"/>
      <c r="AF826" s="1012"/>
      <c r="AG826" s="1012"/>
      <c r="AH826" s="1012"/>
      <c r="AI826" s="1012"/>
      <c r="AJ826" s="1012"/>
      <c r="AK826" s="1012"/>
    </row>
    <row r="827">
      <c r="A827" s="1012"/>
      <c r="B827" s="1013"/>
      <c r="C827" s="1012"/>
      <c r="D827" s="1013"/>
      <c r="E827" s="1012"/>
      <c r="F827" s="1012"/>
      <c r="G827" s="1013"/>
      <c r="H827" s="1012"/>
      <c r="I827" s="1012"/>
      <c r="J827" s="1013"/>
      <c r="K827" s="1013"/>
      <c r="L827" s="1094"/>
      <c r="M827" s="1094"/>
      <c r="N827" s="1013"/>
      <c r="O827" s="1013"/>
      <c r="P827" s="1013"/>
      <c r="Q827" s="1013"/>
      <c r="R827" s="1013"/>
      <c r="S827" s="1013"/>
      <c r="T827" s="1012"/>
      <c r="U827" s="1011"/>
      <c r="V827" s="1012"/>
      <c r="W827" s="1013"/>
      <c r="X827" s="1014"/>
      <c r="Y827" s="1012"/>
      <c r="Z827" s="1012"/>
      <c r="AA827" s="1012"/>
      <c r="AB827" s="1012"/>
      <c r="AC827" s="1012"/>
      <c r="AD827" s="1012"/>
      <c r="AE827" s="1012"/>
      <c r="AF827" s="1012"/>
      <c r="AG827" s="1012"/>
      <c r="AH827" s="1012"/>
      <c r="AI827" s="1012"/>
      <c r="AJ827" s="1012"/>
      <c r="AK827" s="1012"/>
    </row>
    <row r="828">
      <c r="A828" s="1012"/>
      <c r="B828" s="1013"/>
      <c r="C828" s="1012"/>
      <c r="D828" s="1013"/>
      <c r="E828" s="1012"/>
      <c r="F828" s="1012"/>
      <c r="G828" s="1013"/>
      <c r="H828" s="1012"/>
      <c r="I828" s="1012"/>
      <c r="J828" s="1013"/>
      <c r="K828" s="1013"/>
      <c r="L828" s="1094"/>
      <c r="M828" s="1094"/>
      <c r="N828" s="1013"/>
      <c r="O828" s="1013"/>
      <c r="P828" s="1013"/>
      <c r="Q828" s="1013"/>
      <c r="R828" s="1013"/>
      <c r="S828" s="1013"/>
      <c r="T828" s="1012"/>
      <c r="U828" s="1011"/>
      <c r="V828" s="1012"/>
      <c r="W828" s="1013"/>
      <c r="X828" s="1014"/>
      <c r="Y828" s="1012"/>
      <c r="Z828" s="1012"/>
      <c r="AA828" s="1012"/>
      <c r="AB828" s="1012"/>
      <c r="AC828" s="1012"/>
      <c r="AD828" s="1012"/>
      <c r="AE828" s="1012"/>
      <c r="AF828" s="1012"/>
      <c r="AG828" s="1012"/>
      <c r="AH828" s="1012"/>
      <c r="AI828" s="1012"/>
      <c r="AJ828" s="1012"/>
      <c r="AK828" s="1012"/>
    </row>
    <row r="829">
      <c r="A829" s="1012"/>
      <c r="B829" s="1013"/>
      <c r="C829" s="1012"/>
      <c r="D829" s="1013"/>
      <c r="E829" s="1012"/>
      <c r="F829" s="1012"/>
      <c r="G829" s="1013"/>
      <c r="H829" s="1012"/>
      <c r="I829" s="1012"/>
      <c r="J829" s="1013"/>
      <c r="K829" s="1013"/>
      <c r="L829" s="1094"/>
      <c r="M829" s="1094"/>
      <c r="N829" s="1013"/>
      <c r="O829" s="1013"/>
      <c r="P829" s="1013"/>
      <c r="Q829" s="1013"/>
      <c r="R829" s="1013"/>
      <c r="S829" s="1013"/>
      <c r="T829" s="1012"/>
      <c r="U829" s="1011"/>
      <c r="V829" s="1012"/>
      <c r="W829" s="1013"/>
      <c r="X829" s="1014"/>
      <c r="Y829" s="1012"/>
      <c r="Z829" s="1012"/>
      <c r="AA829" s="1012"/>
      <c r="AB829" s="1012"/>
      <c r="AC829" s="1012"/>
      <c r="AD829" s="1012"/>
      <c r="AE829" s="1012"/>
      <c r="AF829" s="1012"/>
      <c r="AG829" s="1012"/>
      <c r="AH829" s="1012"/>
      <c r="AI829" s="1012"/>
      <c r="AJ829" s="1012"/>
      <c r="AK829" s="1012"/>
    </row>
    <row r="830">
      <c r="A830" s="1012"/>
      <c r="B830" s="1013"/>
      <c r="C830" s="1012"/>
      <c r="D830" s="1013"/>
      <c r="E830" s="1012"/>
      <c r="F830" s="1012"/>
      <c r="G830" s="1013"/>
      <c r="H830" s="1012"/>
      <c r="I830" s="1012"/>
      <c r="J830" s="1013"/>
      <c r="K830" s="1013"/>
      <c r="L830" s="1094"/>
      <c r="M830" s="1094"/>
      <c r="N830" s="1013"/>
      <c r="O830" s="1013"/>
      <c r="P830" s="1013"/>
      <c r="Q830" s="1013"/>
      <c r="R830" s="1013"/>
      <c r="S830" s="1013"/>
      <c r="T830" s="1012"/>
      <c r="U830" s="1011"/>
      <c r="V830" s="1012"/>
      <c r="W830" s="1013"/>
      <c r="X830" s="1014"/>
      <c r="Y830" s="1012"/>
      <c r="Z830" s="1012"/>
      <c r="AA830" s="1012"/>
      <c r="AB830" s="1012"/>
      <c r="AC830" s="1012"/>
      <c r="AD830" s="1012"/>
      <c r="AE830" s="1012"/>
      <c r="AF830" s="1012"/>
      <c r="AG830" s="1012"/>
      <c r="AH830" s="1012"/>
      <c r="AI830" s="1012"/>
      <c r="AJ830" s="1012"/>
      <c r="AK830" s="1012"/>
    </row>
    <row r="831">
      <c r="A831" s="1012"/>
      <c r="B831" s="1013"/>
      <c r="C831" s="1012"/>
      <c r="D831" s="1013"/>
      <c r="E831" s="1012"/>
      <c r="F831" s="1012"/>
      <c r="G831" s="1013"/>
      <c r="H831" s="1012"/>
      <c r="I831" s="1012"/>
      <c r="J831" s="1013"/>
      <c r="K831" s="1013"/>
      <c r="L831" s="1094"/>
      <c r="M831" s="1094"/>
      <c r="N831" s="1013"/>
      <c r="O831" s="1013"/>
      <c r="P831" s="1013"/>
      <c r="Q831" s="1013"/>
      <c r="R831" s="1013"/>
      <c r="S831" s="1013"/>
      <c r="T831" s="1012"/>
      <c r="U831" s="1011"/>
      <c r="V831" s="1012"/>
      <c r="W831" s="1013"/>
      <c r="X831" s="1014"/>
      <c r="Y831" s="1012"/>
      <c r="Z831" s="1012"/>
      <c r="AA831" s="1012"/>
      <c r="AB831" s="1012"/>
      <c r="AC831" s="1012"/>
      <c r="AD831" s="1012"/>
      <c r="AE831" s="1012"/>
      <c r="AF831" s="1012"/>
      <c r="AG831" s="1012"/>
      <c r="AH831" s="1012"/>
      <c r="AI831" s="1012"/>
      <c r="AJ831" s="1012"/>
      <c r="AK831" s="1012"/>
    </row>
    <row r="832">
      <c r="A832" s="1012"/>
      <c r="B832" s="1013"/>
      <c r="C832" s="1012"/>
      <c r="D832" s="1013"/>
      <c r="E832" s="1012"/>
      <c r="F832" s="1012"/>
      <c r="G832" s="1013"/>
      <c r="H832" s="1012"/>
      <c r="I832" s="1012"/>
      <c r="J832" s="1013"/>
      <c r="K832" s="1013"/>
      <c r="L832" s="1094"/>
      <c r="M832" s="1094"/>
      <c r="N832" s="1013"/>
      <c r="O832" s="1013"/>
      <c r="P832" s="1013"/>
      <c r="Q832" s="1013"/>
      <c r="R832" s="1013"/>
      <c r="S832" s="1013"/>
      <c r="T832" s="1012"/>
      <c r="U832" s="1011"/>
      <c r="V832" s="1012"/>
      <c r="W832" s="1013"/>
      <c r="X832" s="1014"/>
      <c r="Y832" s="1012"/>
      <c r="Z832" s="1012"/>
      <c r="AA832" s="1012"/>
      <c r="AB832" s="1012"/>
      <c r="AC832" s="1012"/>
      <c r="AD832" s="1012"/>
      <c r="AE832" s="1012"/>
      <c r="AF832" s="1012"/>
      <c r="AG832" s="1012"/>
      <c r="AH832" s="1012"/>
      <c r="AI832" s="1012"/>
      <c r="AJ832" s="1012"/>
      <c r="AK832" s="1012"/>
    </row>
    <row r="833">
      <c r="A833" s="1012"/>
      <c r="B833" s="1013"/>
      <c r="C833" s="1012"/>
      <c r="D833" s="1013"/>
      <c r="E833" s="1012"/>
      <c r="F833" s="1012"/>
      <c r="G833" s="1013"/>
      <c r="H833" s="1012"/>
      <c r="I833" s="1012"/>
      <c r="J833" s="1013"/>
      <c r="K833" s="1013"/>
      <c r="L833" s="1094"/>
      <c r="M833" s="1094"/>
      <c r="N833" s="1013"/>
      <c r="O833" s="1013"/>
      <c r="P833" s="1013"/>
      <c r="Q833" s="1013"/>
      <c r="R833" s="1013"/>
      <c r="S833" s="1013"/>
      <c r="T833" s="1012"/>
      <c r="U833" s="1011"/>
      <c r="V833" s="1012"/>
      <c r="W833" s="1013"/>
      <c r="X833" s="1014"/>
      <c r="Y833" s="1012"/>
      <c r="Z833" s="1012"/>
      <c r="AA833" s="1012"/>
      <c r="AB833" s="1012"/>
      <c r="AC833" s="1012"/>
      <c r="AD833" s="1012"/>
      <c r="AE833" s="1012"/>
      <c r="AF833" s="1012"/>
      <c r="AG833" s="1012"/>
      <c r="AH833" s="1012"/>
      <c r="AI833" s="1012"/>
      <c r="AJ833" s="1012"/>
      <c r="AK833" s="1012"/>
    </row>
    <row r="834">
      <c r="A834" s="1012"/>
      <c r="B834" s="1013"/>
      <c r="C834" s="1012"/>
      <c r="D834" s="1013"/>
      <c r="E834" s="1012"/>
      <c r="F834" s="1012"/>
      <c r="G834" s="1013"/>
      <c r="H834" s="1012"/>
      <c r="I834" s="1012"/>
      <c r="J834" s="1013"/>
      <c r="K834" s="1013"/>
      <c r="L834" s="1094"/>
      <c r="M834" s="1094"/>
      <c r="N834" s="1013"/>
      <c r="O834" s="1013"/>
      <c r="P834" s="1013"/>
      <c r="Q834" s="1013"/>
      <c r="R834" s="1013"/>
      <c r="S834" s="1013"/>
      <c r="T834" s="1012"/>
      <c r="U834" s="1011"/>
      <c r="V834" s="1012"/>
      <c r="W834" s="1013"/>
      <c r="X834" s="1014"/>
      <c r="Y834" s="1012"/>
      <c r="Z834" s="1012"/>
      <c r="AA834" s="1012"/>
      <c r="AB834" s="1012"/>
      <c r="AC834" s="1012"/>
      <c r="AD834" s="1012"/>
      <c r="AE834" s="1012"/>
      <c r="AF834" s="1012"/>
      <c r="AG834" s="1012"/>
      <c r="AH834" s="1012"/>
      <c r="AI834" s="1012"/>
      <c r="AJ834" s="1012"/>
      <c r="AK834" s="1012"/>
    </row>
    <row r="835">
      <c r="A835" s="1012"/>
      <c r="B835" s="1013"/>
      <c r="C835" s="1012"/>
      <c r="D835" s="1013"/>
      <c r="E835" s="1012"/>
      <c r="F835" s="1012"/>
      <c r="G835" s="1013"/>
      <c r="H835" s="1012"/>
      <c r="I835" s="1012"/>
      <c r="J835" s="1013"/>
      <c r="K835" s="1013"/>
      <c r="L835" s="1094"/>
      <c r="M835" s="1094"/>
      <c r="N835" s="1013"/>
      <c r="O835" s="1013"/>
      <c r="P835" s="1013"/>
      <c r="Q835" s="1013"/>
      <c r="R835" s="1013"/>
      <c r="S835" s="1013"/>
      <c r="T835" s="1012"/>
      <c r="U835" s="1011"/>
      <c r="V835" s="1012"/>
      <c r="W835" s="1013"/>
      <c r="X835" s="1014"/>
      <c r="Y835" s="1012"/>
      <c r="Z835" s="1012"/>
      <c r="AA835" s="1012"/>
      <c r="AB835" s="1012"/>
      <c r="AC835" s="1012"/>
      <c r="AD835" s="1012"/>
      <c r="AE835" s="1012"/>
      <c r="AF835" s="1012"/>
      <c r="AG835" s="1012"/>
      <c r="AH835" s="1012"/>
      <c r="AI835" s="1012"/>
      <c r="AJ835" s="1012"/>
      <c r="AK835" s="1012"/>
    </row>
    <row r="836">
      <c r="A836" s="1012"/>
      <c r="B836" s="1013"/>
      <c r="C836" s="1012"/>
      <c r="D836" s="1013"/>
      <c r="E836" s="1012"/>
      <c r="F836" s="1012"/>
      <c r="G836" s="1013"/>
      <c r="H836" s="1012"/>
      <c r="I836" s="1012"/>
      <c r="J836" s="1013"/>
      <c r="K836" s="1013"/>
      <c r="L836" s="1094"/>
      <c r="M836" s="1094"/>
      <c r="N836" s="1013"/>
      <c r="O836" s="1013"/>
      <c r="P836" s="1013"/>
      <c r="Q836" s="1013"/>
      <c r="R836" s="1013"/>
      <c r="S836" s="1013"/>
      <c r="T836" s="1012"/>
      <c r="U836" s="1011"/>
      <c r="V836" s="1012"/>
      <c r="W836" s="1013"/>
      <c r="X836" s="1014"/>
      <c r="Y836" s="1012"/>
      <c r="Z836" s="1012"/>
      <c r="AA836" s="1012"/>
      <c r="AB836" s="1012"/>
      <c r="AC836" s="1012"/>
      <c r="AD836" s="1012"/>
      <c r="AE836" s="1012"/>
      <c r="AF836" s="1012"/>
      <c r="AG836" s="1012"/>
      <c r="AH836" s="1012"/>
      <c r="AI836" s="1012"/>
      <c r="AJ836" s="1012"/>
      <c r="AK836" s="1012"/>
    </row>
    <row r="837">
      <c r="A837" s="1012"/>
      <c r="B837" s="1013"/>
      <c r="C837" s="1012"/>
      <c r="D837" s="1013"/>
      <c r="E837" s="1012"/>
      <c r="F837" s="1012"/>
      <c r="G837" s="1013"/>
      <c r="H837" s="1012"/>
      <c r="I837" s="1012"/>
      <c r="J837" s="1013"/>
      <c r="K837" s="1013"/>
      <c r="L837" s="1094"/>
      <c r="M837" s="1094"/>
      <c r="N837" s="1013"/>
      <c r="O837" s="1013"/>
      <c r="P837" s="1013"/>
      <c r="Q837" s="1013"/>
      <c r="R837" s="1013"/>
      <c r="S837" s="1013"/>
      <c r="T837" s="1012"/>
      <c r="U837" s="1011"/>
      <c r="V837" s="1012"/>
      <c r="W837" s="1013"/>
      <c r="X837" s="1014"/>
      <c r="Y837" s="1012"/>
      <c r="Z837" s="1012"/>
      <c r="AA837" s="1012"/>
      <c r="AB837" s="1012"/>
      <c r="AC837" s="1012"/>
      <c r="AD837" s="1012"/>
      <c r="AE837" s="1012"/>
      <c r="AF837" s="1012"/>
      <c r="AG837" s="1012"/>
      <c r="AH837" s="1012"/>
      <c r="AI837" s="1012"/>
      <c r="AJ837" s="1012"/>
      <c r="AK837" s="1012"/>
    </row>
    <row r="838">
      <c r="A838" s="1012"/>
      <c r="B838" s="1013"/>
      <c r="C838" s="1012"/>
      <c r="D838" s="1013"/>
      <c r="E838" s="1012"/>
      <c r="F838" s="1012"/>
      <c r="G838" s="1013"/>
      <c r="H838" s="1012"/>
      <c r="I838" s="1012"/>
      <c r="J838" s="1013"/>
      <c r="K838" s="1013"/>
      <c r="L838" s="1094"/>
      <c r="M838" s="1094"/>
      <c r="N838" s="1013"/>
      <c r="O838" s="1013"/>
      <c r="P838" s="1013"/>
      <c r="Q838" s="1013"/>
      <c r="R838" s="1013"/>
      <c r="S838" s="1013"/>
      <c r="T838" s="1012"/>
      <c r="U838" s="1011"/>
      <c r="V838" s="1012"/>
      <c r="W838" s="1013"/>
      <c r="X838" s="1014"/>
      <c r="Y838" s="1012"/>
      <c r="Z838" s="1012"/>
      <c r="AA838" s="1012"/>
      <c r="AB838" s="1012"/>
      <c r="AC838" s="1012"/>
      <c r="AD838" s="1012"/>
      <c r="AE838" s="1012"/>
      <c r="AF838" s="1012"/>
      <c r="AG838" s="1012"/>
      <c r="AH838" s="1012"/>
      <c r="AI838" s="1012"/>
      <c r="AJ838" s="1012"/>
      <c r="AK838" s="1012"/>
    </row>
    <row r="839">
      <c r="A839" s="1012"/>
      <c r="B839" s="1013"/>
      <c r="C839" s="1012"/>
      <c r="D839" s="1013"/>
      <c r="E839" s="1012"/>
      <c r="F839" s="1012"/>
      <c r="G839" s="1013"/>
      <c r="H839" s="1012"/>
      <c r="I839" s="1012"/>
      <c r="J839" s="1013"/>
      <c r="K839" s="1013"/>
      <c r="L839" s="1094"/>
      <c r="M839" s="1094"/>
      <c r="N839" s="1013"/>
      <c r="O839" s="1013"/>
      <c r="P839" s="1013"/>
      <c r="Q839" s="1013"/>
      <c r="R839" s="1013"/>
      <c r="S839" s="1013"/>
      <c r="T839" s="1012"/>
      <c r="U839" s="1011"/>
      <c r="V839" s="1012"/>
      <c r="W839" s="1013"/>
      <c r="X839" s="1014"/>
      <c r="Y839" s="1012"/>
      <c r="Z839" s="1012"/>
      <c r="AA839" s="1012"/>
      <c r="AB839" s="1012"/>
      <c r="AC839" s="1012"/>
      <c r="AD839" s="1012"/>
      <c r="AE839" s="1012"/>
      <c r="AF839" s="1012"/>
      <c r="AG839" s="1012"/>
      <c r="AH839" s="1012"/>
      <c r="AI839" s="1012"/>
      <c r="AJ839" s="1012"/>
      <c r="AK839" s="1012"/>
    </row>
    <row r="840">
      <c r="A840" s="1012"/>
      <c r="B840" s="1013"/>
      <c r="C840" s="1012"/>
      <c r="D840" s="1013"/>
      <c r="E840" s="1012"/>
      <c r="F840" s="1012"/>
      <c r="G840" s="1013"/>
      <c r="H840" s="1012"/>
      <c r="I840" s="1012"/>
      <c r="J840" s="1013"/>
      <c r="K840" s="1013"/>
      <c r="L840" s="1094"/>
      <c r="M840" s="1094"/>
      <c r="N840" s="1013"/>
      <c r="O840" s="1013"/>
      <c r="P840" s="1013"/>
      <c r="Q840" s="1013"/>
      <c r="R840" s="1013"/>
      <c r="S840" s="1013"/>
      <c r="T840" s="1012"/>
      <c r="U840" s="1011"/>
      <c r="V840" s="1012"/>
      <c r="W840" s="1013"/>
      <c r="X840" s="1014"/>
      <c r="Y840" s="1012"/>
      <c r="Z840" s="1012"/>
      <c r="AA840" s="1012"/>
      <c r="AB840" s="1012"/>
      <c r="AC840" s="1012"/>
      <c r="AD840" s="1012"/>
      <c r="AE840" s="1012"/>
      <c r="AF840" s="1012"/>
      <c r="AG840" s="1012"/>
      <c r="AH840" s="1012"/>
      <c r="AI840" s="1012"/>
      <c r="AJ840" s="1012"/>
      <c r="AK840" s="1012"/>
    </row>
    <row r="841">
      <c r="A841" s="1012"/>
      <c r="B841" s="1013"/>
      <c r="C841" s="1012"/>
      <c r="D841" s="1013"/>
      <c r="E841" s="1012"/>
      <c r="F841" s="1012"/>
      <c r="G841" s="1013"/>
      <c r="H841" s="1012"/>
      <c r="I841" s="1012"/>
      <c r="J841" s="1013"/>
      <c r="K841" s="1013"/>
      <c r="L841" s="1094"/>
      <c r="M841" s="1094"/>
      <c r="N841" s="1013"/>
      <c r="O841" s="1013"/>
      <c r="P841" s="1013"/>
      <c r="Q841" s="1013"/>
      <c r="R841" s="1013"/>
      <c r="S841" s="1013"/>
      <c r="T841" s="1012"/>
      <c r="U841" s="1011"/>
      <c r="V841" s="1012"/>
      <c r="W841" s="1013"/>
      <c r="X841" s="1014"/>
      <c r="Y841" s="1012"/>
      <c r="Z841" s="1012"/>
      <c r="AA841" s="1012"/>
      <c r="AB841" s="1012"/>
      <c r="AC841" s="1012"/>
      <c r="AD841" s="1012"/>
      <c r="AE841" s="1012"/>
      <c r="AF841" s="1012"/>
      <c r="AG841" s="1012"/>
      <c r="AH841" s="1012"/>
      <c r="AI841" s="1012"/>
      <c r="AJ841" s="1012"/>
      <c r="AK841" s="1012"/>
    </row>
    <row r="842">
      <c r="A842" s="1012"/>
      <c r="B842" s="1013"/>
      <c r="C842" s="1012"/>
      <c r="D842" s="1013"/>
      <c r="E842" s="1012"/>
      <c r="F842" s="1012"/>
      <c r="G842" s="1013"/>
      <c r="H842" s="1012"/>
      <c r="I842" s="1012"/>
      <c r="J842" s="1013"/>
      <c r="K842" s="1013"/>
      <c r="L842" s="1094"/>
      <c r="M842" s="1094"/>
      <c r="N842" s="1013"/>
      <c r="O842" s="1013"/>
      <c r="P842" s="1013"/>
      <c r="Q842" s="1013"/>
      <c r="R842" s="1013"/>
      <c r="S842" s="1013"/>
      <c r="T842" s="1012"/>
      <c r="U842" s="1011"/>
      <c r="V842" s="1012"/>
      <c r="W842" s="1013"/>
      <c r="X842" s="1014"/>
      <c r="Y842" s="1012"/>
      <c r="Z842" s="1012"/>
      <c r="AA842" s="1012"/>
      <c r="AB842" s="1012"/>
      <c r="AC842" s="1012"/>
      <c r="AD842" s="1012"/>
      <c r="AE842" s="1012"/>
      <c r="AF842" s="1012"/>
      <c r="AG842" s="1012"/>
      <c r="AH842" s="1012"/>
      <c r="AI842" s="1012"/>
      <c r="AJ842" s="1012"/>
      <c r="AK842" s="1012"/>
    </row>
    <row r="843">
      <c r="A843" s="1012"/>
      <c r="B843" s="1013"/>
      <c r="C843" s="1012"/>
      <c r="D843" s="1013"/>
      <c r="E843" s="1012"/>
      <c r="F843" s="1012"/>
      <c r="G843" s="1013"/>
      <c r="H843" s="1012"/>
      <c r="I843" s="1012"/>
      <c r="J843" s="1013"/>
      <c r="K843" s="1013"/>
      <c r="L843" s="1094"/>
      <c r="M843" s="1094"/>
      <c r="N843" s="1013"/>
      <c r="O843" s="1013"/>
      <c r="P843" s="1013"/>
      <c r="Q843" s="1013"/>
      <c r="R843" s="1013"/>
      <c r="S843" s="1013"/>
      <c r="T843" s="1012"/>
      <c r="U843" s="1011"/>
      <c r="V843" s="1012"/>
      <c r="W843" s="1013"/>
      <c r="X843" s="1014"/>
      <c r="Y843" s="1012"/>
      <c r="Z843" s="1012"/>
      <c r="AA843" s="1012"/>
      <c r="AB843" s="1012"/>
      <c r="AC843" s="1012"/>
      <c r="AD843" s="1012"/>
      <c r="AE843" s="1012"/>
      <c r="AF843" s="1012"/>
      <c r="AG843" s="1012"/>
      <c r="AH843" s="1012"/>
      <c r="AI843" s="1012"/>
      <c r="AJ843" s="1012"/>
      <c r="AK843" s="1012"/>
    </row>
    <row r="844">
      <c r="A844" s="1012"/>
      <c r="B844" s="1013"/>
      <c r="C844" s="1012"/>
      <c r="D844" s="1013"/>
      <c r="E844" s="1012"/>
      <c r="F844" s="1012"/>
      <c r="G844" s="1013"/>
      <c r="H844" s="1012"/>
      <c r="I844" s="1012"/>
      <c r="J844" s="1013"/>
      <c r="K844" s="1013"/>
      <c r="L844" s="1094"/>
      <c r="M844" s="1094"/>
      <c r="N844" s="1013"/>
      <c r="O844" s="1013"/>
      <c r="P844" s="1013"/>
      <c r="Q844" s="1013"/>
      <c r="R844" s="1013"/>
      <c r="S844" s="1013"/>
      <c r="T844" s="1012"/>
      <c r="U844" s="1011"/>
      <c r="V844" s="1012"/>
      <c r="W844" s="1013"/>
      <c r="X844" s="1014"/>
      <c r="Y844" s="1012"/>
      <c r="Z844" s="1012"/>
      <c r="AA844" s="1012"/>
      <c r="AB844" s="1012"/>
      <c r="AC844" s="1012"/>
      <c r="AD844" s="1012"/>
      <c r="AE844" s="1012"/>
      <c r="AF844" s="1012"/>
      <c r="AG844" s="1012"/>
      <c r="AH844" s="1012"/>
      <c r="AI844" s="1012"/>
      <c r="AJ844" s="1012"/>
      <c r="AK844" s="1012"/>
    </row>
    <row r="845">
      <c r="A845" s="1012"/>
      <c r="B845" s="1013"/>
      <c r="C845" s="1012"/>
      <c r="D845" s="1013"/>
      <c r="E845" s="1012"/>
      <c r="F845" s="1012"/>
      <c r="G845" s="1013"/>
      <c r="H845" s="1012"/>
      <c r="I845" s="1012"/>
      <c r="J845" s="1013"/>
      <c r="K845" s="1013"/>
      <c r="L845" s="1094"/>
      <c r="M845" s="1094"/>
      <c r="N845" s="1013"/>
      <c r="O845" s="1013"/>
      <c r="P845" s="1013"/>
      <c r="Q845" s="1013"/>
      <c r="R845" s="1013"/>
      <c r="S845" s="1013"/>
      <c r="T845" s="1012"/>
      <c r="U845" s="1011"/>
      <c r="V845" s="1012"/>
      <c r="W845" s="1013"/>
      <c r="X845" s="1014"/>
      <c r="Y845" s="1012"/>
      <c r="Z845" s="1012"/>
      <c r="AA845" s="1012"/>
      <c r="AB845" s="1012"/>
      <c r="AC845" s="1012"/>
      <c r="AD845" s="1012"/>
      <c r="AE845" s="1012"/>
      <c r="AF845" s="1012"/>
      <c r="AG845" s="1012"/>
      <c r="AH845" s="1012"/>
      <c r="AI845" s="1012"/>
      <c r="AJ845" s="1012"/>
      <c r="AK845" s="1012"/>
    </row>
    <row r="846">
      <c r="A846" s="1012"/>
      <c r="B846" s="1013"/>
      <c r="C846" s="1012"/>
      <c r="D846" s="1013"/>
      <c r="E846" s="1012"/>
      <c r="F846" s="1012"/>
      <c r="G846" s="1013"/>
      <c r="H846" s="1012"/>
      <c r="I846" s="1012"/>
      <c r="J846" s="1013"/>
      <c r="K846" s="1013"/>
      <c r="L846" s="1094"/>
      <c r="M846" s="1094"/>
      <c r="N846" s="1013"/>
      <c r="O846" s="1013"/>
      <c r="P846" s="1013"/>
      <c r="Q846" s="1013"/>
      <c r="R846" s="1013"/>
      <c r="S846" s="1013"/>
      <c r="T846" s="1012"/>
      <c r="U846" s="1011"/>
      <c r="V846" s="1012"/>
      <c r="W846" s="1013"/>
      <c r="X846" s="1014"/>
      <c r="Y846" s="1012"/>
      <c r="Z846" s="1012"/>
      <c r="AA846" s="1012"/>
      <c r="AB846" s="1012"/>
      <c r="AC846" s="1012"/>
      <c r="AD846" s="1012"/>
      <c r="AE846" s="1012"/>
      <c r="AF846" s="1012"/>
      <c r="AG846" s="1012"/>
      <c r="AH846" s="1012"/>
      <c r="AI846" s="1012"/>
      <c r="AJ846" s="1012"/>
      <c r="AK846" s="1012"/>
    </row>
    <row r="847">
      <c r="A847" s="1012"/>
      <c r="B847" s="1013"/>
      <c r="C847" s="1012"/>
      <c r="D847" s="1013"/>
      <c r="E847" s="1012"/>
      <c r="F847" s="1012"/>
      <c r="G847" s="1013"/>
      <c r="H847" s="1012"/>
      <c r="I847" s="1012"/>
      <c r="J847" s="1013"/>
      <c r="K847" s="1013"/>
      <c r="L847" s="1094"/>
      <c r="M847" s="1094"/>
      <c r="N847" s="1013"/>
      <c r="O847" s="1013"/>
      <c r="P847" s="1013"/>
      <c r="Q847" s="1013"/>
      <c r="R847" s="1013"/>
      <c r="S847" s="1013"/>
      <c r="T847" s="1012"/>
      <c r="U847" s="1011"/>
      <c r="V847" s="1012"/>
      <c r="W847" s="1013"/>
      <c r="X847" s="1014"/>
      <c r="Y847" s="1012"/>
      <c r="Z847" s="1012"/>
      <c r="AA847" s="1012"/>
      <c r="AB847" s="1012"/>
      <c r="AC847" s="1012"/>
      <c r="AD847" s="1012"/>
      <c r="AE847" s="1012"/>
      <c r="AF847" s="1012"/>
      <c r="AG847" s="1012"/>
      <c r="AH847" s="1012"/>
      <c r="AI847" s="1012"/>
      <c r="AJ847" s="1012"/>
      <c r="AK847" s="1012"/>
    </row>
    <row r="848">
      <c r="A848" s="1012"/>
      <c r="B848" s="1013"/>
      <c r="C848" s="1012"/>
      <c r="D848" s="1013"/>
      <c r="E848" s="1012"/>
      <c r="F848" s="1012"/>
      <c r="G848" s="1013"/>
      <c r="H848" s="1012"/>
      <c r="I848" s="1012"/>
      <c r="J848" s="1013"/>
      <c r="K848" s="1013"/>
      <c r="L848" s="1094"/>
      <c r="M848" s="1094"/>
      <c r="N848" s="1013"/>
      <c r="O848" s="1013"/>
      <c r="P848" s="1013"/>
      <c r="Q848" s="1013"/>
      <c r="R848" s="1013"/>
      <c r="S848" s="1013"/>
      <c r="T848" s="1012"/>
      <c r="U848" s="1011"/>
      <c r="V848" s="1012"/>
      <c r="W848" s="1013"/>
      <c r="X848" s="1014"/>
      <c r="Y848" s="1012"/>
      <c r="Z848" s="1012"/>
      <c r="AA848" s="1012"/>
      <c r="AB848" s="1012"/>
      <c r="AC848" s="1012"/>
      <c r="AD848" s="1012"/>
      <c r="AE848" s="1012"/>
      <c r="AF848" s="1012"/>
      <c r="AG848" s="1012"/>
      <c r="AH848" s="1012"/>
      <c r="AI848" s="1012"/>
      <c r="AJ848" s="1012"/>
      <c r="AK848" s="1012"/>
    </row>
    <row r="849">
      <c r="A849" s="1012"/>
      <c r="B849" s="1013"/>
      <c r="C849" s="1012"/>
      <c r="D849" s="1013"/>
      <c r="E849" s="1012"/>
      <c r="F849" s="1012"/>
      <c r="G849" s="1013"/>
      <c r="H849" s="1012"/>
      <c r="I849" s="1012"/>
      <c r="J849" s="1013"/>
      <c r="K849" s="1013"/>
      <c r="L849" s="1094"/>
      <c r="M849" s="1094"/>
      <c r="N849" s="1013"/>
      <c r="O849" s="1013"/>
      <c r="P849" s="1013"/>
      <c r="Q849" s="1013"/>
      <c r="R849" s="1013"/>
      <c r="S849" s="1013"/>
      <c r="T849" s="1012"/>
      <c r="U849" s="1011"/>
      <c r="V849" s="1012"/>
      <c r="W849" s="1013"/>
      <c r="X849" s="1014"/>
      <c r="Y849" s="1012"/>
      <c r="Z849" s="1012"/>
      <c r="AA849" s="1012"/>
      <c r="AB849" s="1012"/>
      <c r="AC849" s="1012"/>
      <c r="AD849" s="1012"/>
      <c r="AE849" s="1012"/>
      <c r="AF849" s="1012"/>
      <c r="AG849" s="1012"/>
      <c r="AH849" s="1012"/>
      <c r="AI849" s="1012"/>
      <c r="AJ849" s="1012"/>
      <c r="AK849" s="1012"/>
    </row>
    <row r="850">
      <c r="A850" s="1012"/>
      <c r="B850" s="1013"/>
      <c r="C850" s="1012"/>
      <c r="D850" s="1013"/>
      <c r="E850" s="1012"/>
      <c r="F850" s="1012"/>
      <c r="G850" s="1013"/>
      <c r="H850" s="1012"/>
      <c r="I850" s="1012"/>
      <c r="J850" s="1013"/>
      <c r="K850" s="1013"/>
      <c r="L850" s="1094"/>
      <c r="M850" s="1094"/>
      <c r="N850" s="1013"/>
      <c r="O850" s="1013"/>
      <c r="P850" s="1013"/>
      <c r="Q850" s="1013"/>
      <c r="R850" s="1013"/>
      <c r="S850" s="1013"/>
      <c r="T850" s="1012"/>
      <c r="U850" s="1011"/>
      <c r="V850" s="1012"/>
      <c r="W850" s="1013"/>
      <c r="X850" s="1014"/>
      <c r="Y850" s="1012"/>
      <c r="Z850" s="1012"/>
      <c r="AA850" s="1012"/>
      <c r="AB850" s="1012"/>
      <c r="AC850" s="1012"/>
      <c r="AD850" s="1012"/>
      <c r="AE850" s="1012"/>
      <c r="AF850" s="1012"/>
      <c r="AG850" s="1012"/>
      <c r="AH850" s="1012"/>
      <c r="AI850" s="1012"/>
      <c r="AJ850" s="1012"/>
      <c r="AK850" s="1012"/>
    </row>
    <row r="851">
      <c r="A851" s="1012"/>
      <c r="B851" s="1013"/>
      <c r="C851" s="1012"/>
      <c r="D851" s="1013"/>
      <c r="E851" s="1012"/>
      <c r="F851" s="1012"/>
      <c r="G851" s="1013"/>
      <c r="H851" s="1012"/>
      <c r="I851" s="1012"/>
      <c r="J851" s="1013"/>
      <c r="K851" s="1013"/>
      <c r="L851" s="1094"/>
      <c r="M851" s="1094"/>
      <c r="N851" s="1013"/>
      <c r="O851" s="1013"/>
      <c r="P851" s="1013"/>
      <c r="Q851" s="1013"/>
      <c r="R851" s="1013"/>
      <c r="S851" s="1013"/>
      <c r="T851" s="1012"/>
      <c r="U851" s="1011"/>
      <c r="V851" s="1012"/>
      <c r="W851" s="1013"/>
      <c r="X851" s="1014"/>
      <c r="Y851" s="1012"/>
      <c r="Z851" s="1012"/>
      <c r="AA851" s="1012"/>
      <c r="AB851" s="1012"/>
      <c r="AC851" s="1012"/>
      <c r="AD851" s="1012"/>
      <c r="AE851" s="1012"/>
      <c r="AF851" s="1012"/>
      <c r="AG851" s="1012"/>
      <c r="AH851" s="1012"/>
      <c r="AI851" s="1012"/>
      <c r="AJ851" s="1012"/>
      <c r="AK851" s="1012"/>
    </row>
    <row r="852">
      <c r="A852" s="1012"/>
      <c r="B852" s="1013"/>
      <c r="C852" s="1012"/>
      <c r="D852" s="1013"/>
      <c r="E852" s="1012"/>
      <c r="F852" s="1012"/>
      <c r="G852" s="1013"/>
      <c r="H852" s="1012"/>
      <c r="I852" s="1012"/>
      <c r="J852" s="1013"/>
      <c r="K852" s="1013"/>
      <c r="L852" s="1094"/>
      <c r="M852" s="1094"/>
      <c r="N852" s="1013"/>
      <c r="O852" s="1013"/>
      <c r="P852" s="1013"/>
      <c r="Q852" s="1013"/>
      <c r="R852" s="1013"/>
      <c r="S852" s="1013"/>
      <c r="T852" s="1012"/>
      <c r="U852" s="1011"/>
      <c r="V852" s="1012"/>
      <c r="W852" s="1013"/>
      <c r="X852" s="1014"/>
      <c r="Y852" s="1012"/>
      <c r="Z852" s="1012"/>
      <c r="AA852" s="1012"/>
      <c r="AB852" s="1012"/>
      <c r="AC852" s="1012"/>
      <c r="AD852" s="1012"/>
      <c r="AE852" s="1012"/>
      <c r="AF852" s="1012"/>
      <c r="AG852" s="1012"/>
      <c r="AH852" s="1012"/>
      <c r="AI852" s="1012"/>
      <c r="AJ852" s="1012"/>
      <c r="AK852" s="1012"/>
    </row>
    <row r="853">
      <c r="A853" s="1012"/>
      <c r="B853" s="1013"/>
      <c r="C853" s="1012"/>
      <c r="D853" s="1013"/>
      <c r="E853" s="1012"/>
      <c r="F853" s="1012"/>
      <c r="G853" s="1013"/>
      <c r="H853" s="1012"/>
      <c r="I853" s="1012"/>
      <c r="J853" s="1013"/>
      <c r="K853" s="1013"/>
      <c r="L853" s="1094"/>
      <c r="M853" s="1094"/>
      <c r="N853" s="1013"/>
      <c r="O853" s="1013"/>
      <c r="P853" s="1013"/>
      <c r="Q853" s="1013"/>
      <c r="R853" s="1013"/>
      <c r="S853" s="1013"/>
      <c r="T853" s="1012"/>
      <c r="U853" s="1011"/>
      <c r="V853" s="1012"/>
      <c r="W853" s="1013"/>
      <c r="X853" s="1014"/>
      <c r="Y853" s="1012"/>
      <c r="Z853" s="1012"/>
      <c r="AA853" s="1012"/>
      <c r="AB853" s="1012"/>
      <c r="AC853" s="1012"/>
      <c r="AD853" s="1012"/>
      <c r="AE853" s="1012"/>
      <c r="AF853" s="1012"/>
      <c r="AG853" s="1012"/>
      <c r="AH853" s="1012"/>
      <c r="AI853" s="1012"/>
      <c r="AJ853" s="1012"/>
      <c r="AK853" s="1012"/>
    </row>
    <row r="854">
      <c r="A854" s="1012"/>
      <c r="B854" s="1013"/>
      <c r="C854" s="1012"/>
      <c r="D854" s="1013"/>
      <c r="E854" s="1012"/>
      <c r="F854" s="1012"/>
      <c r="G854" s="1013"/>
      <c r="H854" s="1012"/>
      <c r="I854" s="1012"/>
      <c r="J854" s="1013"/>
      <c r="K854" s="1013"/>
      <c r="L854" s="1094"/>
      <c r="M854" s="1094"/>
      <c r="N854" s="1013"/>
      <c r="O854" s="1013"/>
      <c r="P854" s="1013"/>
      <c r="Q854" s="1013"/>
      <c r="R854" s="1013"/>
      <c r="S854" s="1013"/>
      <c r="T854" s="1012"/>
      <c r="U854" s="1011"/>
      <c r="V854" s="1012"/>
      <c r="W854" s="1013"/>
      <c r="X854" s="1014"/>
      <c r="Y854" s="1012"/>
      <c r="Z854" s="1012"/>
      <c r="AA854" s="1012"/>
      <c r="AB854" s="1012"/>
      <c r="AC854" s="1012"/>
      <c r="AD854" s="1012"/>
      <c r="AE854" s="1012"/>
      <c r="AF854" s="1012"/>
      <c r="AG854" s="1012"/>
      <c r="AH854" s="1012"/>
      <c r="AI854" s="1012"/>
      <c r="AJ854" s="1012"/>
      <c r="AK854" s="1012"/>
    </row>
    <row r="855">
      <c r="A855" s="1012"/>
      <c r="B855" s="1013"/>
      <c r="C855" s="1012"/>
      <c r="D855" s="1013"/>
      <c r="E855" s="1012"/>
      <c r="F855" s="1012"/>
      <c r="G855" s="1013"/>
      <c r="H855" s="1012"/>
      <c r="I855" s="1012"/>
      <c r="J855" s="1013"/>
      <c r="K855" s="1013"/>
      <c r="L855" s="1094"/>
      <c r="M855" s="1094"/>
      <c r="N855" s="1013"/>
      <c r="O855" s="1013"/>
      <c r="P855" s="1013"/>
      <c r="Q855" s="1013"/>
      <c r="R855" s="1013"/>
      <c r="S855" s="1013"/>
      <c r="T855" s="1012"/>
      <c r="U855" s="1011"/>
      <c r="V855" s="1012"/>
      <c r="W855" s="1013"/>
      <c r="X855" s="1014"/>
      <c r="Y855" s="1012"/>
      <c r="Z855" s="1012"/>
      <c r="AA855" s="1012"/>
      <c r="AB855" s="1012"/>
      <c r="AC855" s="1012"/>
      <c r="AD855" s="1012"/>
      <c r="AE855" s="1012"/>
      <c r="AF855" s="1012"/>
      <c r="AG855" s="1012"/>
      <c r="AH855" s="1012"/>
      <c r="AI855" s="1012"/>
      <c r="AJ855" s="1012"/>
      <c r="AK855" s="1012"/>
    </row>
    <row r="856">
      <c r="A856" s="1012"/>
      <c r="B856" s="1013"/>
      <c r="C856" s="1012"/>
      <c r="D856" s="1013"/>
      <c r="E856" s="1012"/>
      <c r="F856" s="1012"/>
      <c r="G856" s="1013"/>
      <c r="H856" s="1012"/>
      <c r="I856" s="1012"/>
      <c r="J856" s="1013"/>
      <c r="K856" s="1013"/>
      <c r="L856" s="1094"/>
      <c r="M856" s="1094"/>
      <c r="N856" s="1013"/>
      <c r="O856" s="1013"/>
      <c r="P856" s="1013"/>
      <c r="Q856" s="1013"/>
      <c r="R856" s="1013"/>
      <c r="S856" s="1013"/>
      <c r="T856" s="1012"/>
      <c r="U856" s="1011"/>
      <c r="V856" s="1012"/>
      <c r="W856" s="1013"/>
      <c r="X856" s="1014"/>
      <c r="Y856" s="1012"/>
      <c r="Z856" s="1012"/>
      <c r="AA856" s="1012"/>
      <c r="AB856" s="1012"/>
      <c r="AC856" s="1012"/>
      <c r="AD856" s="1012"/>
      <c r="AE856" s="1012"/>
      <c r="AF856" s="1012"/>
      <c r="AG856" s="1012"/>
      <c r="AH856" s="1012"/>
      <c r="AI856" s="1012"/>
      <c r="AJ856" s="1012"/>
      <c r="AK856" s="1012"/>
    </row>
    <row r="857">
      <c r="A857" s="1012"/>
      <c r="B857" s="1013"/>
      <c r="C857" s="1012"/>
      <c r="D857" s="1013"/>
      <c r="E857" s="1012"/>
      <c r="F857" s="1012"/>
      <c r="G857" s="1013"/>
      <c r="H857" s="1012"/>
      <c r="I857" s="1012"/>
      <c r="J857" s="1013"/>
      <c r="K857" s="1013"/>
      <c r="L857" s="1094"/>
      <c r="M857" s="1094"/>
      <c r="N857" s="1013"/>
      <c r="O857" s="1013"/>
      <c r="P857" s="1013"/>
      <c r="Q857" s="1013"/>
      <c r="R857" s="1013"/>
      <c r="S857" s="1013"/>
      <c r="T857" s="1012"/>
      <c r="U857" s="1011"/>
      <c r="V857" s="1012"/>
      <c r="W857" s="1013"/>
      <c r="X857" s="1014"/>
      <c r="Y857" s="1012"/>
      <c r="Z857" s="1012"/>
      <c r="AA857" s="1012"/>
      <c r="AB857" s="1012"/>
      <c r="AC857" s="1012"/>
      <c r="AD857" s="1012"/>
      <c r="AE857" s="1012"/>
      <c r="AF857" s="1012"/>
      <c r="AG857" s="1012"/>
      <c r="AH857" s="1012"/>
      <c r="AI857" s="1012"/>
      <c r="AJ857" s="1012"/>
      <c r="AK857" s="1012"/>
    </row>
    <row r="858">
      <c r="A858" s="1012"/>
      <c r="B858" s="1013"/>
      <c r="C858" s="1012"/>
      <c r="D858" s="1013"/>
      <c r="E858" s="1012"/>
      <c r="F858" s="1012"/>
      <c r="G858" s="1013"/>
      <c r="H858" s="1012"/>
      <c r="I858" s="1012"/>
      <c r="J858" s="1013"/>
      <c r="K858" s="1013"/>
      <c r="L858" s="1094"/>
      <c r="M858" s="1094"/>
      <c r="N858" s="1013"/>
      <c r="O858" s="1013"/>
      <c r="P858" s="1013"/>
      <c r="Q858" s="1013"/>
      <c r="R858" s="1013"/>
      <c r="S858" s="1013"/>
      <c r="T858" s="1012"/>
      <c r="U858" s="1011"/>
      <c r="V858" s="1012"/>
      <c r="W858" s="1013"/>
      <c r="X858" s="1014"/>
      <c r="Y858" s="1012"/>
      <c r="Z858" s="1012"/>
      <c r="AA858" s="1012"/>
      <c r="AB858" s="1012"/>
      <c r="AC858" s="1012"/>
      <c r="AD858" s="1012"/>
      <c r="AE858" s="1012"/>
      <c r="AF858" s="1012"/>
      <c r="AG858" s="1012"/>
      <c r="AH858" s="1012"/>
      <c r="AI858" s="1012"/>
      <c r="AJ858" s="1012"/>
      <c r="AK858" s="1012"/>
    </row>
    <row r="859">
      <c r="A859" s="1012"/>
      <c r="B859" s="1013"/>
      <c r="C859" s="1012"/>
      <c r="D859" s="1013"/>
      <c r="E859" s="1012"/>
      <c r="F859" s="1012"/>
      <c r="G859" s="1013"/>
      <c r="H859" s="1012"/>
      <c r="I859" s="1012"/>
      <c r="J859" s="1013"/>
      <c r="K859" s="1013"/>
      <c r="L859" s="1094"/>
      <c r="M859" s="1094"/>
      <c r="N859" s="1013"/>
      <c r="O859" s="1013"/>
      <c r="P859" s="1013"/>
      <c r="Q859" s="1013"/>
      <c r="R859" s="1013"/>
      <c r="S859" s="1013"/>
      <c r="T859" s="1012"/>
      <c r="U859" s="1011"/>
      <c r="V859" s="1012"/>
      <c r="W859" s="1013"/>
      <c r="X859" s="1014"/>
      <c r="Y859" s="1012"/>
      <c r="Z859" s="1012"/>
      <c r="AA859" s="1012"/>
      <c r="AB859" s="1012"/>
      <c r="AC859" s="1012"/>
      <c r="AD859" s="1012"/>
      <c r="AE859" s="1012"/>
      <c r="AF859" s="1012"/>
      <c r="AG859" s="1012"/>
      <c r="AH859" s="1012"/>
      <c r="AI859" s="1012"/>
      <c r="AJ859" s="1012"/>
      <c r="AK859" s="1012"/>
    </row>
    <row r="860">
      <c r="A860" s="1012"/>
      <c r="B860" s="1013"/>
      <c r="C860" s="1012"/>
      <c r="D860" s="1013"/>
      <c r="E860" s="1012"/>
      <c r="F860" s="1012"/>
      <c r="G860" s="1013"/>
      <c r="H860" s="1012"/>
      <c r="I860" s="1012"/>
      <c r="J860" s="1013"/>
      <c r="K860" s="1013"/>
      <c r="L860" s="1094"/>
      <c r="M860" s="1094"/>
      <c r="N860" s="1013"/>
      <c r="O860" s="1013"/>
      <c r="P860" s="1013"/>
      <c r="Q860" s="1013"/>
      <c r="R860" s="1013"/>
      <c r="S860" s="1013"/>
      <c r="T860" s="1012"/>
      <c r="U860" s="1011"/>
      <c r="V860" s="1012"/>
      <c r="W860" s="1013"/>
      <c r="X860" s="1014"/>
      <c r="Y860" s="1012"/>
      <c r="Z860" s="1012"/>
      <c r="AA860" s="1012"/>
      <c r="AB860" s="1012"/>
      <c r="AC860" s="1012"/>
      <c r="AD860" s="1012"/>
      <c r="AE860" s="1012"/>
      <c r="AF860" s="1012"/>
      <c r="AG860" s="1012"/>
      <c r="AH860" s="1012"/>
      <c r="AI860" s="1012"/>
      <c r="AJ860" s="1012"/>
      <c r="AK860" s="1012"/>
    </row>
    <row r="861">
      <c r="A861" s="1012"/>
      <c r="B861" s="1013"/>
      <c r="C861" s="1012"/>
      <c r="D861" s="1013"/>
      <c r="E861" s="1012"/>
      <c r="F861" s="1012"/>
      <c r="G861" s="1013"/>
      <c r="H861" s="1012"/>
      <c r="I861" s="1012"/>
      <c r="J861" s="1013"/>
      <c r="K861" s="1013"/>
      <c r="L861" s="1094"/>
      <c r="M861" s="1094"/>
      <c r="N861" s="1013"/>
      <c r="O861" s="1013"/>
      <c r="P861" s="1013"/>
      <c r="Q861" s="1013"/>
      <c r="R861" s="1013"/>
      <c r="S861" s="1013"/>
      <c r="T861" s="1012"/>
      <c r="U861" s="1011"/>
      <c r="V861" s="1012"/>
      <c r="W861" s="1013"/>
      <c r="X861" s="1014"/>
      <c r="Y861" s="1012"/>
      <c r="Z861" s="1012"/>
      <c r="AA861" s="1012"/>
      <c r="AB861" s="1012"/>
      <c r="AC861" s="1012"/>
      <c r="AD861" s="1012"/>
      <c r="AE861" s="1012"/>
      <c r="AF861" s="1012"/>
      <c r="AG861" s="1012"/>
      <c r="AH861" s="1012"/>
      <c r="AI861" s="1012"/>
      <c r="AJ861" s="1012"/>
      <c r="AK861" s="1012"/>
    </row>
    <row r="862">
      <c r="A862" s="1012"/>
      <c r="B862" s="1013"/>
      <c r="C862" s="1012"/>
      <c r="D862" s="1013"/>
      <c r="E862" s="1012"/>
      <c r="F862" s="1012"/>
      <c r="G862" s="1013"/>
      <c r="H862" s="1012"/>
      <c r="I862" s="1012"/>
      <c r="J862" s="1013"/>
      <c r="K862" s="1013"/>
      <c r="L862" s="1094"/>
      <c r="M862" s="1094"/>
      <c r="N862" s="1013"/>
      <c r="O862" s="1013"/>
      <c r="P862" s="1013"/>
      <c r="Q862" s="1013"/>
      <c r="R862" s="1013"/>
      <c r="S862" s="1013"/>
      <c r="T862" s="1012"/>
      <c r="U862" s="1011"/>
      <c r="V862" s="1012"/>
      <c r="W862" s="1013"/>
      <c r="X862" s="1014"/>
      <c r="Y862" s="1012"/>
      <c r="Z862" s="1012"/>
      <c r="AA862" s="1012"/>
      <c r="AB862" s="1012"/>
      <c r="AC862" s="1012"/>
      <c r="AD862" s="1012"/>
      <c r="AE862" s="1012"/>
      <c r="AF862" s="1012"/>
      <c r="AG862" s="1012"/>
      <c r="AH862" s="1012"/>
      <c r="AI862" s="1012"/>
      <c r="AJ862" s="1012"/>
      <c r="AK862" s="1012"/>
    </row>
    <row r="863">
      <c r="A863" s="1012"/>
      <c r="B863" s="1013"/>
      <c r="C863" s="1012"/>
      <c r="D863" s="1013"/>
      <c r="E863" s="1012"/>
      <c r="F863" s="1012"/>
      <c r="G863" s="1013"/>
      <c r="H863" s="1012"/>
      <c r="I863" s="1012"/>
      <c r="J863" s="1013"/>
      <c r="K863" s="1013"/>
      <c r="L863" s="1094"/>
      <c r="M863" s="1094"/>
      <c r="N863" s="1013"/>
      <c r="O863" s="1013"/>
      <c r="P863" s="1013"/>
      <c r="Q863" s="1013"/>
      <c r="R863" s="1013"/>
      <c r="S863" s="1013"/>
      <c r="T863" s="1012"/>
      <c r="U863" s="1011"/>
      <c r="V863" s="1012"/>
      <c r="W863" s="1013"/>
      <c r="X863" s="1014"/>
      <c r="Y863" s="1012"/>
      <c r="Z863" s="1012"/>
      <c r="AA863" s="1012"/>
      <c r="AB863" s="1012"/>
      <c r="AC863" s="1012"/>
      <c r="AD863" s="1012"/>
      <c r="AE863" s="1012"/>
      <c r="AF863" s="1012"/>
      <c r="AG863" s="1012"/>
      <c r="AH863" s="1012"/>
      <c r="AI863" s="1012"/>
      <c r="AJ863" s="1012"/>
      <c r="AK863" s="1012"/>
    </row>
    <row r="864">
      <c r="A864" s="1012"/>
      <c r="B864" s="1013"/>
      <c r="C864" s="1012"/>
      <c r="D864" s="1013"/>
      <c r="E864" s="1012"/>
      <c r="F864" s="1012"/>
      <c r="G864" s="1013"/>
      <c r="H864" s="1012"/>
      <c r="I864" s="1012"/>
      <c r="J864" s="1013"/>
      <c r="K864" s="1013"/>
      <c r="L864" s="1094"/>
      <c r="M864" s="1094"/>
      <c r="N864" s="1013"/>
      <c r="O864" s="1013"/>
      <c r="P864" s="1013"/>
      <c r="Q864" s="1013"/>
      <c r="R864" s="1013"/>
      <c r="S864" s="1013"/>
      <c r="T864" s="1012"/>
      <c r="U864" s="1011"/>
      <c r="V864" s="1012"/>
      <c r="W864" s="1013"/>
      <c r="X864" s="1014"/>
      <c r="Y864" s="1012"/>
      <c r="Z864" s="1012"/>
      <c r="AA864" s="1012"/>
      <c r="AB864" s="1012"/>
      <c r="AC864" s="1012"/>
      <c r="AD864" s="1012"/>
      <c r="AE864" s="1012"/>
      <c r="AF864" s="1012"/>
      <c r="AG864" s="1012"/>
      <c r="AH864" s="1012"/>
      <c r="AI864" s="1012"/>
      <c r="AJ864" s="1012"/>
      <c r="AK864" s="1012"/>
    </row>
    <row r="865">
      <c r="A865" s="1012"/>
      <c r="B865" s="1013"/>
      <c r="C865" s="1012"/>
      <c r="D865" s="1013"/>
      <c r="E865" s="1012"/>
      <c r="F865" s="1012"/>
      <c r="G865" s="1013"/>
      <c r="H865" s="1012"/>
      <c r="I865" s="1012"/>
      <c r="J865" s="1013"/>
      <c r="K865" s="1013"/>
      <c r="L865" s="1094"/>
      <c r="M865" s="1094"/>
      <c r="N865" s="1013"/>
      <c r="O865" s="1013"/>
      <c r="P865" s="1013"/>
      <c r="Q865" s="1013"/>
      <c r="R865" s="1013"/>
      <c r="S865" s="1013"/>
      <c r="T865" s="1012"/>
      <c r="U865" s="1011"/>
      <c r="V865" s="1012"/>
      <c r="W865" s="1013"/>
      <c r="X865" s="1014"/>
      <c r="Y865" s="1012"/>
      <c r="Z865" s="1012"/>
      <c r="AA865" s="1012"/>
      <c r="AB865" s="1012"/>
      <c r="AC865" s="1012"/>
      <c r="AD865" s="1012"/>
      <c r="AE865" s="1012"/>
      <c r="AF865" s="1012"/>
      <c r="AG865" s="1012"/>
      <c r="AH865" s="1012"/>
      <c r="AI865" s="1012"/>
      <c r="AJ865" s="1012"/>
      <c r="AK865" s="1012"/>
    </row>
    <row r="866">
      <c r="A866" s="1012"/>
      <c r="B866" s="1013"/>
      <c r="C866" s="1012"/>
      <c r="D866" s="1013"/>
      <c r="E866" s="1012"/>
      <c r="F866" s="1012"/>
      <c r="G866" s="1013"/>
      <c r="H866" s="1012"/>
      <c r="I866" s="1012"/>
      <c r="J866" s="1013"/>
      <c r="K866" s="1013"/>
      <c r="L866" s="1094"/>
      <c r="M866" s="1094"/>
      <c r="N866" s="1013"/>
      <c r="O866" s="1013"/>
      <c r="P866" s="1013"/>
      <c r="Q866" s="1013"/>
      <c r="R866" s="1013"/>
      <c r="S866" s="1013"/>
      <c r="T866" s="1012"/>
      <c r="U866" s="1011"/>
      <c r="V866" s="1012"/>
      <c r="W866" s="1013"/>
      <c r="X866" s="1014"/>
      <c r="Y866" s="1012"/>
      <c r="Z866" s="1012"/>
      <c r="AA866" s="1012"/>
      <c r="AB866" s="1012"/>
      <c r="AC866" s="1012"/>
      <c r="AD866" s="1012"/>
      <c r="AE866" s="1012"/>
      <c r="AF866" s="1012"/>
      <c r="AG866" s="1012"/>
      <c r="AH866" s="1012"/>
      <c r="AI866" s="1012"/>
      <c r="AJ866" s="1012"/>
      <c r="AK866" s="1012"/>
    </row>
    <row r="867">
      <c r="A867" s="1012"/>
      <c r="B867" s="1013"/>
      <c r="C867" s="1012"/>
      <c r="D867" s="1013"/>
      <c r="E867" s="1012"/>
      <c r="F867" s="1012"/>
      <c r="G867" s="1013"/>
      <c r="H867" s="1012"/>
      <c r="I867" s="1012"/>
      <c r="J867" s="1013"/>
      <c r="K867" s="1013"/>
      <c r="L867" s="1094"/>
      <c r="M867" s="1094"/>
      <c r="N867" s="1013"/>
      <c r="O867" s="1013"/>
      <c r="P867" s="1013"/>
      <c r="Q867" s="1013"/>
      <c r="R867" s="1013"/>
      <c r="S867" s="1013"/>
      <c r="T867" s="1012"/>
      <c r="U867" s="1011"/>
      <c r="V867" s="1012"/>
      <c r="W867" s="1013"/>
      <c r="X867" s="1014"/>
      <c r="Y867" s="1012"/>
      <c r="Z867" s="1012"/>
      <c r="AA867" s="1012"/>
      <c r="AB867" s="1012"/>
      <c r="AC867" s="1012"/>
      <c r="AD867" s="1012"/>
      <c r="AE867" s="1012"/>
      <c r="AF867" s="1012"/>
      <c r="AG867" s="1012"/>
      <c r="AH867" s="1012"/>
      <c r="AI867" s="1012"/>
      <c r="AJ867" s="1012"/>
      <c r="AK867" s="1012"/>
    </row>
    <row r="868">
      <c r="A868" s="1012"/>
      <c r="B868" s="1013"/>
      <c r="C868" s="1012"/>
      <c r="D868" s="1013"/>
      <c r="E868" s="1012"/>
      <c r="F868" s="1012"/>
      <c r="G868" s="1013"/>
      <c r="H868" s="1012"/>
      <c r="I868" s="1012"/>
      <c r="J868" s="1013"/>
      <c r="K868" s="1013"/>
      <c r="L868" s="1094"/>
      <c r="M868" s="1094"/>
      <c r="N868" s="1013"/>
      <c r="O868" s="1013"/>
      <c r="P868" s="1013"/>
      <c r="Q868" s="1013"/>
      <c r="R868" s="1013"/>
      <c r="S868" s="1013"/>
      <c r="T868" s="1012"/>
      <c r="U868" s="1011"/>
      <c r="V868" s="1012"/>
      <c r="W868" s="1013"/>
      <c r="X868" s="1014"/>
      <c r="Y868" s="1012"/>
      <c r="Z868" s="1012"/>
      <c r="AA868" s="1012"/>
      <c r="AB868" s="1012"/>
      <c r="AC868" s="1012"/>
      <c r="AD868" s="1012"/>
      <c r="AE868" s="1012"/>
      <c r="AF868" s="1012"/>
      <c r="AG868" s="1012"/>
      <c r="AH868" s="1012"/>
      <c r="AI868" s="1012"/>
      <c r="AJ868" s="1012"/>
      <c r="AK868" s="1012"/>
    </row>
    <row r="869">
      <c r="A869" s="1012"/>
      <c r="B869" s="1013"/>
      <c r="C869" s="1012"/>
      <c r="D869" s="1013"/>
      <c r="E869" s="1012"/>
      <c r="F869" s="1012"/>
      <c r="G869" s="1013"/>
      <c r="H869" s="1012"/>
      <c r="I869" s="1012"/>
      <c r="J869" s="1013"/>
      <c r="K869" s="1013"/>
      <c r="L869" s="1094"/>
      <c r="M869" s="1094"/>
      <c r="N869" s="1013"/>
      <c r="O869" s="1013"/>
      <c r="P869" s="1013"/>
      <c r="Q869" s="1013"/>
      <c r="R869" s="1013"/>
      <c r="S869" s="1013"/>
      <c r="T869" s="1012"/>
      <c r="U869" s="1011"/>
      <c r="V869" s="1012"/>
      <c r="W869" s="1013"/>
      <c r="X869" s="1014"/>
      <c r="Y869" s="1012"/>
      <c r="Z869" s="1012"/>
      <c r="AA869" s="1012"/>
      <c r="AB869" s="1012"/>
      <c r="AC869" s="1012"/>
      <c r="AD869" s="1012"/>
      <c r="AE869" s="1012"/>
      <c r="AF869" s="1012"/>
      <c r="AG869" s="1012"/>
      <c r="AH869" s="1012"/>
      <c r="AI869" s="1012"/>
      <c r="AJ869" s="1012"/>
      <c r="AK869" s="1012"/>
    </row>
    <row r="870">
      <c r="A870" s="1012"/>
      <c r="B870" s="1013"/>
      <c r="C870" s="1012"/>
      <c r="D870" s="1013"/>
      <c r="E870" s="1012"/>
      <c r="F870" s="1012"/>
      <c r="G870" s="1013"/>
      <c r="H870" s="1012"/>
      <c r="I870" s="1012"/>
      <c r="J870" s="1013"/>
      <c r="K870" s="1013"/>
      <c r="L870" s="1094"/>
      <c r="M870" s="1094"/>
      <c r="N870" s="1013"/>
      <c r="O870" s="1013"/>
      <c r="P870" s="1013"/>
      <c r="Q870" s="1013"/>
      <c r="R870" s="1013"/>
      <c r="S870" s="1013"/>
      <c r="T870" s="1012"/>
      <c r="U870" s="1011"/>
      <c r="V870" s="1012"/>
      <c r="W870" s="1013"/>
      <c r="X870" s="1014"/>
      <c r="Y870" s="1012"/>
      <c r="Z870" s="1012"/>
      <c r="AA870" s="1012"/>
      <c r="AB870" s="1012"/>
      <c r="AC870" s="1012"/>
      <c r="AD870" s="1012"/>
      <c r="AE870" s="1012"/>
      <c r="AF870" s="1012"/>
      <c r="AG870" s="1012"/>
      <c r="AH870" s="1012"/>
      <c r="AI870" s="1012"/>
      <c r="AJ870" s="1012"/>
      <c r="AK870" s="1012"/>
    </row>
    <row r="871">
      <c r="A871" s="1012"/>
      <c r="B871" s="1013"/>
      <c r="C871" s="1012"/>
      <c r="D871" s="1013"/>
      <c r="E871" s="1012"/>
      <c r="F871" s="1012"/>
      <c r="G871" s="1013"/>
      <c r="H871" s="1012"/>
      <c r="I871" s="1012"/>
      <c r="J871" s="1013"/>
      <c r="K871" s="1013"/>
      <c r="L871" s="1094"/>
      <c r="M871" s="1094"/>
      <c r="N871" s="1013"/>
      <c r="O871" s="1013"/>
      <c r="P871" s="1013"/>
      <c r="Q871" s="1013"/>
      <c r="R871" s="1013"/>
      <c r="S871" s="1013"/>
      <c r="T871" s="1012"/>
      <c r="U871" s="1011"/>
      <c r="V871" s="1012"/>
      <c r="W871" s="1013"/>
      <c r="X871" s="1014"/>
      <c r="Y871" s="1012"/>
      <c r="Z871" s="1012"/>
      <c r="AA871" s="1012"/>
      <c r="AB871" s="1012"/>
      <c r="AC871" s="1012"/>
      <c r="AD871" s="1012"/>
      <c r="AE871" s="1012"/>
      <c r="AF871" s="1012"/>
      <c r="AG871" s="1012"/>
      <c r="AH871" s="1012"/>
      <c r="AI871" s="1012"/>
      <c r="AJ871" s="1012"/>
      <c r="AK871" s="1012"/>
    </row>
    <row r="872">
      <c r="A872" s="1012"/>
      <c r="B872" s="1013"/>
      <c r="C872" s="1012"/>
      <c r="D872" s="1013"/>
      <c r="E872" s="1012"/>
      <c r="F872" s="1012"/>
      <c r="G872" s="1013"/>
      <c r="H872" s="1012"/>
      <c r="I872" s="1012"/>
      <c r="J872" s="1013"/>
      <c r="K872" s="1013"/>
      <c r="L872" s="1094"/>
      <c r="M872" s="1094"/>
      <c r="N872" s="1013"/>
      <c r="O872" s="1013"/>
      <c r="P872" s="1013"/>
      <c r="Q872" s="1013"/>
      <c r="R872" s="1013"/>
      <c r="S872" s="1013"/>
      <c r="T872" s="1012"/>
      <c r="U872" s="1011"/>
      <c r="V872" s="1012"/>
      <c r="W872" s="1013"/>
      <c r="X872" s="1014"/>
      <c r="Y872" s="1012"/>
      <c r="Z872" s="1012"/>
      <c r="AA872" s="1012"/>
      <c r="AB872" s="1012"/>
      <c r="AC872" s="1012"/>
      <c r="AD872" s="1012"/>
      <c r="AE872" s="1012"/>
      <c r="AF872" s="1012"/>
      <c r="AG872" s="1012"/>
      <c r="AH872" s="1012"/>
      <c r="AI872" s="1012"/>
      <c r="AJ872" s="1012"/>
      <c r="AK872" s="1012"/>
    </row>
    <row r="873">
      <c r="A873" s="1012"/>
      <c r="B873" s="1013"/>
      <c r="C873" s="1012"/>
      <c r="D873" s="1013"/>
      <c r="E873" s="1012"/>
      <c r="F873" s="1012"/>
      <c r="G873" s="1013"/>
      <c r="H873" s="1012"/>
      <c r="I873" s="1012"/>
      <c r="J873" s="1013"/>
      <c r="K873" s="1013"/>
      <c r="L873" s="1094"/>
      <c r="M873" s="1094"/>
      <c r="N873" s="1013"/>
      <c r="O873" s="1013"/>
      <c r="P873" s="1013"/>
      <c r="Q873" s="1013"/>
      <c r="R873" s="1013"/>
      <c r="S873" s="1013"/>
      <c r="T873" s="1012"/>
      <c r="U873" s="1011"/>
      <c r="V873" s="1012"/>
      <c r="W873" s="1013"/>
      <c r="X873" s="1014"/>
      <c r="Y873" s="1012"/>
      <c r="Z873" s="1012"/>
      <c r="AA873" s="1012"/>
      <c r="AB873" s="1012"/>
      <c r="AC873" s="1012"/>
      <c r="AD873" s="1012"/>
      <c r="AE873" s="1012"/>
      <c r="AF873" s="1012"/>
      <c r="AG873" s="1012"/>
      <c r="AH873" s="1012"/>
      <c r="AI873" s="1012"/>
      <c r="AJ873" s="1012"/>
      <c r="AK873" s="1012"/>
    </row>
    <row r="874">
      <c r="A874" s="1012"/>
      <c r="B874" s="1013"/>
      <c r="C874" s="1012"/>
      <c r="D874" s="1013"/>
      <c r="E874" s="1012"/>
      <c r="F874" s="1012"/>
      <c r="G874" s="1013"/>
      <c r="H874" s="1012"/>
      <c r="I874" s="1012"/>
      <c r="J874" s="1013"/>
      <c r="K874" s="1013"/>
      <c r="L874" s="1094"/>
      <c r="M874" s="1094"/>
      <c r="N874" s="1013"/>
      <c r="O874" s="1013"/>
      <c r="P874" s="1013"/>
      <c r="Q874" s="1013"/>
      <c r="R874" s="1013"/>
      <c r="S874" s="1013"/>
      <c r="T874" s="1012"/>
      <c r="U874" s="1011"/>
      <c r="V874" s="1012"/>
      <c r="W874" s="1013"/>
      <c r="X874" s="1014"/>
      <c r="Y874" s="1012"/>
      <c r="Z874" s="1012"/>
      <c r="AA874" s="1012"/>
      <c r="AB874" s="1012"/>
      <c r="AC874" s="1012"/>
      <c r="AD874" s="1012"/>
      <c r="AE874" s="1012"/>
      <c r="AF874" s="1012"/>
      <c r="AG874" s="1012"/>
      <c r="AH874" s="1012"/>
      <c r="AI874" s="1012"/>
      <c r="AJ874" s="1012"/>
      <c r="AK874" s="1012"/>
    </row>
    <row r="875">
      <c r="A875" s="1012"/>
      <c r="B875" s="1013"/>
      <c r="C875" s="1012"/>
      <c r="D875" s="1013"/>
      <c r="E875" s="1012"/>
      <c r="F875" s="1012"/>
      <c r="G875" s="1013"/>
      <c r="H875" s="1012"/>
      <c r="I875" s="1012"/>
      <c r="J875" s="1013"/>
      <c r="K875" s="1013"/>
      <c r="L875" s="1094"/>
      <c r="M875" s="1094"/>
      <c r="N875" s="1013"/>
      <c r="O875" s="1013"/>
      <c r="P875" s="1013"/>
      <c r="Q875" s="1013"/>
      <c r="R875" s="1013"/>
      <c r="S875" s="1013"/>
      <c r="T875" s="1012"/>
      <c r="U875" s="1011"/>
      <c r="V875" s="1012"/>
      <c r="W875" s="1013"/>
      <c r="X875" s="1014"/>
      <c r="Y875" s="1012"/>
      <c r="Z875" s="1012"/>
      <c r="AA875" s="1012"/>
      <c r="AB875" s="1012"/>
      <c r="AC875" s="1012"/>
      <c r="AD875" s="1012"/>
      <c r="AE875" s="1012"/>
      <c r="AF875" s="1012"/>
      <c r="AG875" s="1012"/>
      <c r="AH875" s="1012"/>
      <c r="AI875" s="1012"/>
      <c r="AJ875" s="1012"/>
      <c r="AK875" s="1012"/>
    </row>
    <row r="876">
      <c r="A876" s="1012"/>
      <c r="B876" s="1013"/>
      <c r="C876" s="1012"/>
      <c r="D876" s="1013"/>
      <c r="E876" s="1012"/>
      <c r="F876" s="1012"/>
      <c r="G876" s="1013"/>
      <c r="H876" s="1012"/>
      <c r="I876" s="1012"/>
      <c r="J876" s="1013"/>
      <c r="K876" s="1013"/>
      <c r="L876" s="1094"/>
      <c r="M876" s="1094"/>
      <c r="N876" s="1013"/>
      <c r="O876" s="1013"/>
      <c r="P876" s="1013"/>
      <c r="Q876" s="1013"/>
      <c r="R876" s="1013"/>
      <c r="S876" s="1013"/>
      <c r="T876" s="1012"/>
      <c r="U876" s="1011"/>
      <c r="V876" s="1012"/>
      <c r="W876" s="1013"/>
      <c r="X876" s="1014"/>
      <c r="Y876" s="1012"/>
      <c r="Z876" s="1012"/>
      <c r="AA876" s="1012"/>
      <c r="AB876" s="1012"/>
      <c r="AC876" s="1012"/>
      <c r="AD876" s="1012"/>
      <c r="AE876" s="1012"/>
      <c r="AF876" s="1012"/>
      <c r="AG876" s="1012"/>
      <c r="AH876" s="1012"/>
      <c r="AI876" s="1012"/>
      <c r="AJ876" s="1012"/>
      <c r="AK876" s="1012"/>
    </row>
    <row r="877">
      <c r="A877" s="1012"/>
      <c r="B877" s="1013"/>
      <c r="C877" s="1012"/>
      <c r="D877" s="1013"/>
      <c r="E877" s="1012"/>
      <c r="F877" s="1012"/>
      <c r="G877" s="1013"/>
      <c r="H877" s="1012"/>
      <c r="I877" s="1012"/>
      <c r="J877" s="1013"/>
      <c r="K877" s="1013"/>
      <c r="L877" s="1094"/>
      <c r="M877" s="1094"/>
      <c r="N877" s="1013"/>
      <c r="O877" s="1013"/>
      <c r="P877" s="1013"/>
      <c r="Q877" s="1013"/>
      <c r="R877" s="1013"/>
      <c r="S877" s="1013"/>
      <c r="T877" s="1012"/>
      <c r="U877" s="1011"/>
      <c r="V877" s="1012"/>
      <c r="W877" s="1013"/>
      <c r="X877" s="1014"/>
      <c r="Y877" s="1012"/>
      <c r="Z877" s="1012"/>
      <c r="AA877" s="1012"/>
      <c r="AB877" s="1012"/>
      <c r="AC877" s="1012"/>
      <c r="AD877" s="1012"/>
      <c r="AE877" s="1012"/>
      <c r="AF877" s="1012"/>
      <c r="AG877" s="1012"/>
      <c r="AH877" s="1012"/>
      <c r="AI877" s="1012"/>
      <c r="AJ877" s="1012"/>
      <c r="AK877" s="1012"/>
    </row>
    <row r="878">
      <c r="A878" s="1012"/>
      <c r="B878" s="1013"/>
      <c r="C878" s="1012"/>
      <c r="D878" s="1013"/>
      <c r="E878" s="1012"/>
      <c r="F878" s="1012"/>
      <c r="G878" s="1013"/>
      <c r="H878" s="1012"/>
      <c r="I878" s="1012"/>
      <c r="J878" s="1013"/>
      <c r="K878" s="1013"/>
      <c r="L878" s="1094"/>
      <c r="M878" s="1094"/>
      <c r="N878" s="1013"/>
      <c r="O878" s="1013"/>
      <c r="P878" s="1013"/>
      <c r="Q878" s="1013"/>
      <c r="R878" s="1013"/>
      <c r="S878" s="1013"/>
      <c r="T878" s="1012"/>
      <c r="U878" s="1011"/>
      <c r="V878" s="1012"/>
      <c r="W878" s="1013"/>
      <c r="X878" s="1014"/>
      <c r="Y878" s="1012"/>
      <c r="Z878" s="1012"/>
      <c r="AA878" s="1012"/>
      <c r="AB878" s="1012"/>
      <c r="AC878" s="1012"/>
      <c r="AD878" s="1012"/>
      <c r="AE878" s="1012"/>
      <c r="AF878" s="1012"/>
      <c r="AG878" s="1012"/>
      <c r="AH878" s="1012"/>
      <c r="AI878" s="1012"/>
      <c r="AJ878" s="1012"/>
      <c r="AK878" s="1012"/>
    </row>
    <row r="879">
      <c r="A879" s="1012"/>
      <c r="B879" s="1013"/>
      <c r="C879" s="1012"/>
      <c r="D879" s="1013"/>
      <c r="E879" s="1012"/>
      <c r="F879" s="1012"/>
      <c r="G879" s="1013"/>
      <c r="H879" s="1012"/>
      <c r="I879" s="1012"/>
      <c r="J879" s="1013"/>
      <c r="K879" s="1013"/>
      <c r="L879" s="1094"/>
      <c r="M879" s="1094"/>
      <c r="N879" s="1013"/>
      <c r="O879" s="1013"/>
      <c r="P879" s="1013"/>
      <c r="Q879" s="1013"/>
      <c r="R879" s="1013"/>
      <c r="S879" s="1013"/>
      <c r="T879" s="1012"/>
      <c r="U879" s="1011"/>
      <c r="V879" s="1012"/>
      <c r="W879" s="1013"/>
      <c r="X879" s="1014"/>
      <c r="Y879" s="1012"/>
      <c r="Z879" s="1012"/>
      <c r="AA879" s="1012"/>
      <c r="AB879" s="1012"/>
      <c r="AC879" s="1012"/>
      <c r="AD879" s="1012"/>
      <c r="AE879" s="1012"/>
      <c r="AF879" s="1012"/>
      <c r="AG879" s="1012"/>
      <c r="AH879" s="1012"/>
      <c r="AI879" s="1012"/>
      <c r="AJ879" s="1012"/>
      <c r="AK879" s="1012"/>
    </row>
    <row r="880">
      <c r="A880" s="1012"/>
      <c r="B880" s="1013"/>
      <c r="C880" s="1012"/>
      <c r="D880" s="1013"/>
      <c r="E880" s="1012"/>
      <c r="F880" s="1012"/>
      <c r="G880" s="1013"/>
      <c r="H880" s="1012"/>
      <c r="I880" s="1012"/>
      <c r="J880" s="1013"/>
      <c r="K880" s="1013"/>
      <c r="L880" s="1094"/>
      <c r="M880" s="1094"/>
      <c r="N880" s="1013"/>
      <c r="O880" s="1013"/>
      <c r="P880" s="1013"/>
      <c r="Q880" s="1013"/>
      <c r="R880" s="1013"/>
      <c r="S880" s="1013"/>
      <c r="T880" s="1012"/>
      <c r="U880" s="1011"/>
      <c r="V880" s="1012"/>
      <c r="W880" s="1013"/>
      <c r="X880" s="1014"/>
      <c r="Y880" s="1012"/>
      <c r="Z880" s="1012"/>
      <c r="AA880" s="1012"/>
      <c r="AB880" s="1012"/>
      <c r="AC880" s="1012"/>
      <c r="AD880" s="1012"/>
      <c r="AE880" s="1012"/>
      <c r="AF880" s="1012"/>
      <c r="AG880" s="1012"/>
      <c r="AH880" s="1012"/>
      <c r="AI880" s="1012"/>
      <c r="AJ880" s="1012"/>
      <c r="AK880" s="1012"/>
    </row>
    <row r="881">
      <c r="A881" s="1012"/>
      <c r="B881" s="1013"/>
      <c r="C881" s="1012"/>
      <c r="D881" s="1013"/>
      <c r="E881" s="1012"/>
      <c r="F881" s="1012"/>
      <c r="G881" s="1013"/>
      <c r="H881" s="1012"/>
      <c r="I881" s="1012"/>
      <c r="J881" s="1013"/>
      <c r="K881" s="1013"/>
      <c r="L881" s="1094"/>
      <c r="M881" s="1094"/>
      <c r="N881" s="1013"/>
      <c r="O881" s="1013"/>
      <c r="P881" s="1013"/>
      <c r="Q881" s="1013"/>
      <c r="R881" s="1013"/>
      <c r="S881" s="1013"/>
      <c r="T881" s="1012"/>
      <c r="U881" s="1011"/>
      <c r="V881" s="1012"/>
      <c r="W881" s="1013"/>
      <c r="X881" s="1014"/>
      <c r="Y881" s="1012"/>
      <c r="Z881" s="1012"/>
      <c r="AA881" s="1012"/>
      <c r="AB881" s="1012"/>
      <c r="AC881" s="1012"/>
      <c r="AD881" s="1012"/>
      <c r="AE881" s="1012"/>
      <c r="AF881" s="1012"/>
      <c r="AG881" s="1012"/>
      <c r="AH881" s="1012"/>
      <c r="AI881" s="1012"/>
      <c r="AJ881" s="1012"/>
      <c r="AK881" s="1012"/>
    </row>
    <row r="882">
      <c r="A882" s="1012"/>
      <c r="B882" s="1013"/>
      <c r="C882" s="1012"/>
      <c r="D882" s="1013"/>
      <c r="E882" s="1012"/>
      <c r="F882" s="1012"/>
      <c r="G882" s="1013"/>
      <c r="H882" s="1012"/>
      <c r="I882" s="1012"/>
      <c r="J882" s="1013"/>
      <c r="K882" s="1013"/>
      <c r="L882" s="1094"/>
      <c r="M882" s="1094"/>
      <c r="N882" s="1013"/>
      <c r="O882" s="1013"/>
      <c r="P882" s="1013"/>
      <c r="Q882" s="1013"/>
      <c r="R882" s="1013"/>
      <c r="S882" s="1013"/>
      <c r="T882" s="1012"/>
      <c r="U882" s="1011"/>
      <c r="V882" s="1012"/>
      <c r="W882" s="1013"/>
      <c r="X882" s="1014"/>
      <c r="Y882" s="1012"/>
      <c r="Z882" s="1012"/>
      <c r="AA882" s="1012"/>
      <c r="AB882" s="1012"/>
      <c r="AC882" s="1012"/>
      <c r="AD882" s="1012"/>
      <c r="AE882" s="1012"/>
      <c r="AF882" s="1012"/>
      <c r="AG882" s="1012"/>
      <c r="AH882" s="1012"/>
      <c r="AI882" s="1012"/>
      <c r="AJ882" s="1012"/>
      <c r="AK882" s="1012"/>
    </row>
    <row r="883">
      <c r="A883" s="1012"/>
      <c r="B883" s="1013"/>
      <c r="C883" s="1012"/>
      <c r="D883" s="1013"/>
      <c r="E883" s="1012"/>
      <c r="F883" s="1012"/>
      <c r="G883" s="1013"/>
      <c r="H883" s="1012"/>
      <c r="I883" s="1012"/>
      <c r="J883" s="1013"/>
      <c r="K883" s="1013"/>
      <c r="L883" s="1094"/>
      <c r="M883" s="1094"/>
      <c r="N883" s="1013"/>
      <c r="O883" s="1013"/>
      <c r="P883" s="1013"/>
      <c r="Q883" s="1013"/>
      <c r="R883" s="1013"/>
      <c r="S883" s="1013"/>
      <c r="T883" s="1012"/>
      <c r="U883" s="1011"/>
      <c r="V883" s="1012"/>
      <c r="W883" s="1013"/>
      <c r="X883" s="1014"/>
      <c r="Y883" s="1012"/>
      <c r="Z883" s="1012"/>
      <c r="AA883" s="1012"/>
      <c r="AB883" s="1012"/>
      <c r="AC883" s="1012"/>
      <c r="AD883" s="1012"/>
      <c r="AE883" s="1012"/>
      <c r="AF883" s="1012"/>
      <c r="AG883" s="1012"/>
      <c r="AH883" s="1012"/>
      <c r="AI883" s="1012"/>
      <c r="AJ883" s="1012"/>
      <c r="AK883" s="1012"/>
    </row>
    <row r="884">
      <c r="A884" s="1012"/>
      <c r="B884" s="1013"/>
      <c r="C884" s="1012"/>
      <c r="D884" s="1013"/>
      <c r="E884" s="1012"/>
      <c r="F884" s="1012"/>
      <c r="G884" s="1013"/>
      <c r="H884" s="1012"/>
      <c r="I884" s="1012"/>
      <c r="J884" s="1013"/>
      <c r="K884" s="1013"/>
      <c r="L884" s="1094"/>
      <c r="M884" s="1094"/>
      <c r="N884" s="1013"/>
      <c r="O884" s="1013"/>
      <c r="P884" s="1013"/>
      <c r="Q884" s="1013"/>
      <c r="R884" s="1013"/>
      <c r="S884" s="1013"/>
      <c r="T884" s="1012"/>
      <c r="U884" s="1011"/>
      <c r="V884" s="1012"/>
      <c r="W884" s="1013"/>
      <c r="X884" s="1014"/>
      <c r="Y884" s="1012"/>
      <c r="Z884" s="1012"/>
      <c r="AA884" s="1012"/>
      <c r="AB884" s="1012"/>
      <c r="AC884" s="1012"/>
      <c r="AD884" s="1012"/>
      <c r="AE884" s="1012"/>
      <c r="AF884" s="1012"/>
      <c r="AG884" s="1012"/>
      <c r="AH884" s="1012"/>
      <c r="AI884" s="1012"/>
      <c r="AJ884" s="1012"/>
      <c r="AK884" s="1012"/>
    </row>
    <row r="885">
      <c r="A885" s="1012"/>
      <c r="B885" s="1013"/>
      <c r="C885" s="1012"/>
      <c r="D885" s="1013"/>
      <c r="E885" s="1012"/>
      <c r="F885" s="1012"/>
      <c r="G885" s="1013"/>
      <c r="H885" s="1012"/>
      <c r="I885" s="1012"/>
      <c r="J885" s="1013"/>
      <c r="K885" s="1013"/>
      <c r="L885" s="1094"/>
      <c r="M885" s="1094"/>
      <c r="N885" s="1013"/>
      <c r="O885" s="1013"/>
      <c r="P885" s="1013"/>
      <c r="Q885" s="1013"/>
      <c r="R885" s="1013"/>
      <c r="S885" s="1013"/>
      <c r="T885" s="1012"/>
      <c r="U885" s="1011"/>
      <c r="V885" s="1012"/>
      <c r="W885" s="1013"/>
      <c r="X885" s="1014"/>
      <c r="Y885" s="1012"/>
      <c r="Z885" s="1012"/>
      <c r="AA885" s="1012"/>
      <c r="AB885" s="1012"/>
      <c r="AC885" s="1012"/>
      <c r="AD885" s="1012"/>
      <c r="AE885" s="1012"/>
      <c r="AF885" s="1012"/>
      <c r="AG885" s="1012"/>
      <c r="AH885" s="1012"/>
      <c r="AI885" s="1012"/>
      <c r="AJ885" s="1012"/>
      <c r="AK885" s="1012"/>
    </row>
    <row r="886">
      <c r="A886" s="1012"/>
      <c r="B886" s="1013"/>
      <c r="C886" s="1012"/>
      <c r="D886" s="1013"/>
      <c r="E886" s="1012"/>
      <c r="F886" s="1012"/>
      <c r="G886" s="1013"/>
      <c r="H886" s="1012"/>
      <c r="I886" s="1012"/>
      <c r="J886" s="1013"/>
      <c r="K886" s="1013"/>
      <c r="L886" s="1094"/>
      <c r="M886" s="1094"/>
      <c r="N886" s="1013"/>
      <c r="O886" s="1013"/>
      <c r="P886" s="1013"/>
      <c r="Q886" s="1013"/>
      <c r="R886" s="1013"/>
      <c r="S886" s="1013"/>
      <c r="T886" s="1012"/>
      <c r="U886" s="1011"/>
      <c r="V886" s="1012"/>
      <c r="W886" s="1013"/>
      <c r="X886" s="1014"/>
      <c r="Y886" s="1012"/>
      <c r="Z886" s="1012"/>
      <c r="AA886" s="1012"/>
      <c r="AB886" s="1012"/>
      <c r="AC886" s="1012"/>
      <c r="AD886" s="1012"/>
      <c r="AE886" s="1012"/>
      <c r="AF886" s="1012"/>
      <c r="AG886" s="1012"/>
      <c r="AH886" s="1012"/>
      <c r="AI886" s="1012"/>
      <c r="AJ886" s="1012"/>
      <c r="AK886" s="1012"/>
    </row>
    <row r="887">
      <c r="A887" s="1012"/>
      <c r="B887" s="1013"/>
      <c r="C887" s="1012"/>
      <c r="D887" s="1013"/>
      <c r="E887" s="1012"/>
      <c r="F887" s="1012"/>
      <c r="G887" s="1013"/>
      <c r="H887" s="1012"/>
      <c r="I887" s="1012"/>
      <c r="J887" s="1013"/>
      <c r="K887" s="1013"/>
      <c r="L887" s="1094"/>
      <c r="M887" s="1094"/>
      <c r="N887" s="1013"/>
      <c r="O887" s="1013"/>
      <c r="P887" s="1013"/>
      <c r="Q887" s="1013"/>
      <c r="R887" s="1013"/>
      <c r="S887" s="1013"/>
      <c r="T887" s="1012"/>
      <c r="U887" s="1011"/>
      <c r="V887" s="1012"/>
      <c r="W887" s="1013"/>
      <c r="X887" s="1014"/>
      <c r="Y887" s="1012"/>
      <c r="Z887" s="1012"/>
      <c r="AA887" s="1012"/>
      <c r="AB887" s="1012"/>
      <c r="AC887" s="1012"/>
      <c r="AD887" s="1012"/>
      <c r="AE887" s="1012"/>
      <c r="AF887" s="1012"/>
      <c r="AG887" s="1012"/>
      <c r="AH887" s="1012"/>
      <c r="AI887" s="1012"/>
      <c r="AJ887" s="1012"/>
      <c r="AK887" s="1012"/>
    </row>
    <row r="888">
      <c r="A888" s="1012"/>
      <c r="B888" s="1013"/>
      <c r="C888" s="1012"/>
      <c r="D888" s="1013"/>
      <c r="E888" s="1012"/>
      <c r="F888" s="1012"/>
      <c r="G888" s="1013"/>
      <c r="H888" s="1012"/>
      <c r="I888" s="1012"/>
      <c r="J888" s="1013"/>
      <c r="K888" s="1013"/>
      <c r="L888" s="1094"/>
      <c r="M888" s="1094"/>
      <c r="N888" s="1013"/>
      <c r="O888" s="1013"/>
      <c r="P888" s="1013"/>
      <c r="Q888" s="1013"/>
      <c r="R888" s="1013"/>
      <c r="S888" s="1013"/>
      <c r="T888" s="1012"/>
      <c r="U888" s="1011"/>
      <c r="V888" s="1012"/>
      <c r="W888" s="1013"/>
      <c r="X888" s="1014"/>
      <c r="Y888" s="1012"/>
      <c r="Z888" s="1012"/>
      <c r="AA888" s="1012"/>
      <c r="AB888" s="1012"/>
      <c r="AC888" s="1012"/>
      <c r="AD888" s="1012"/>
      <c r="AE888" s="1012"/>
      <c r="AF888" s="1012"/>
      <c r="AG888" s="1012"/>
      <c r="AH888" s="1012"/>
      <c r="AI888" s="1012"/>
      <c r="AJ888" s="1012"/>
      <c r="AK888" s="1012"/>
    </row>
    <row r="889">
      <c r="A889" s="1012"/>
      <c r="B889" s="1013"/>
      <c r="C889" s="1012"/>
      <c r="D889" s="1013"/>
      <c r="E889" s="1012"/>
      <c r="F889" s="1012"/>
      <c r="G889" s="1013"/>
      <c r="H889" s="1012"/>
      <c r="I889" s="1012"/>
      <c r="J889" s="1013"/>
      <c r="K889" s="1013"/>
      <c r="L889" s="1094"/>
      <c r="M889" s="1094"/>
      <c r="N889" s="1013"/>
      <c r="O889" s="1013"/>
      <c r="P889" s="1013"/>
      <c r="Q889" s="1013"/>
      <c r="R889" s="1013"/>
      <c r="S889" s="1013"/>
      <c r="T889" s="1012"/>
      <c r="U889" s="1011"/>
      <c r="V889" s="1012"/>
      <c r="W889" s="1013"/>
      <c r="X889" s="1014"/>
      <c r="Y889" s="1012"/>
      <c r="Z889" s="1012"/>
      <c r="AA889" s="1012"/>
      <c r="AB889" s="1012"/>
      <c r="AC889" s="1012"/>
      <c r="AD889" s="1012"/>
      <c r="AE889" s="1012"/>
      <c r="AF889" s="1012"/>
      <c r="AG889" s="1012"/>
      <c r="AH889" s="1012"/>
      <c r="AI889" s="1012"/>
      <c r="AJ889" s="1012"/>
      <c r="AK889" s="1012"/>
    </row>
    <row r="890">
      <c r="A890" s="1012"/>
      <c r="B890" s="1013"/>
      <c r="C890" s="1012"/>
      <c r="D890" s="1013"/>
      <c r="E890" s="1012"/>
      <c r="F890" s="1012"/>
      <c r="G890" s="1013"/>
      <c r="H890" s="1012"/>
      <c r="I890" s="1012"/>
      <c r="J890" s="1013"/>
      <c r="K890" s="1013"/>
      <c r="L890" s="1094"/>
      <c r="M890" s="1094"/>
      <c r="N890" s="1013"/>
      <c r="O890" s="1013"/>
      <c r="P890" s="1013"/>
      <c r="Q890" s="1013"/>
      <c r="R890" s="1013"/>
      <c r="S890" s="1013"/>
      <c r="T890" s="1012"/>
      <c r="U890" s="1011"/>
      <c r="V890" s="1012"/>
      <c r="W890" s="1013"/>
      <c r="X890" s="1014"/>
      <c r="Y890" s="1012"/>
      <c r="Z890" s="1012"/>
      <c r="AA890" s="1012"/>
      <c r="AB890" s="1012"/>
      <c r="AC890" s="1012"/>
      <c r="AD890" s="1012"/>
      <c r="AE890" s="1012"/>
      <c r="AF890" s="1012"/>
      <c r="AG890" s="1012"/>
      <c r="AH890" s="1012"/>
      <c r="AI890" s="1012"/>
      <c r="AJ890" s="1012"/>
      <c r="AK890" s="1012"/>
    </row>
    <row r="891">
      <c r="A891" s="1012"/>
      <c r="B891" s="1013"/>
      <c r="C891" s="1012"/>
      <c r="D891" s="1013"/>
      <c r="E891" s="1012"/>
      <c r="F891" s="1012"/>
      <c r="G891" s="1013"/>
      <c r="H891" s="1012"/>
      <c r="I891" s="1012"/>
      <c r="J891" s="1013"/>
      <c r="K891" s="1013"/>
      <c r="L891" s="1094"/>
      <c r="M891" s="1094"/>
      <c r="N891" s="1013"/>
      <c r="O891" s="1013"/>
      <c r="P891" s="1013"/>
      <c r="Q891" s="1013"/>
      <c r="R891" s="1013"/>
      <c r="S891" s="1013"/>
      <c r="T891" s="1012"/>
      <c r="U891" s="1011"/>
      <c r="V891" s="1012"/>
      <c r="W891" s="1013"/>
      <c r="X891" s="1014"/>
      <c r="Y891" s="1012"/>
      <c r="Z891" s="1012"/>
      <c r="AA891" s="1012"/>
      <c r="AB891" s="1012"/>
      <c r="AC891" s="1012"/>
      <c r="AD891" s="1012"/>
      <c r="AE891" s="1012"/>
      <c r="AF891" s="1012"/>
      <c r="AG891" s="1012"/>
      <c r="AH891" s="1012"/>
      <c r="AI891" s="1012"/>
      <c r="AJ891" s="1012"/>
      <c r="AK891" s="1012"/>
    </row>
    <row r="892">
      <c r="A892" s="1012"/>
      <c r="B892" s="1013"/>
      <c r="C892" s="1012"/>
      <c r="D892" s="1013"/>
      <c r="E892" s="1012"/>
      <c r="F892" s="1012"/>
      <c r="G892" s="1013"/>
      <c r="H892" s="1012"/>
      <c r="I892" s="1012"/>
      <c r="J892" s="1013"/>
      <c r="K892" s="1013"/>
      <c r="L892" s="1094"/>
      <c r="M892" s="1094"/>
      <c r="N892" s="1013"/>
      <c r="O892" s="1013"/>
      <c r="P892" s="1013"/>
      <c r="Q892" s="1013"/>
      <c r="R892" s="1013"/>
      <c r="S892" s="1013"/>
      <c r="T892" s="1012"/>
      <c r="U892" s="1011"/>
      <c r="V892" s="1012"/>
      <c r="W892" s="1013"/>
      <c r="X892" s="1014"/>
      <c r="Y892" s="1012"/>
      <c r="Z892" s="1012"/>
      <c r="AA892" s="1012"/>
      <c r="AB892" s="1012"/>
      <c r="AC892" s="1012"/>
      <c r="AD892" s="1012"/>
      <c r="AE892" s="1012"/>
      <c r="AF892" s="1012"/>
      <c r="AG892" s="1012"/>
      <c r="AH892" s="1012"/>
      <c r="AI892" s="1012"/>
      <c r="AJ892" s="1012"/>
      <c r="AK892" s="1012"/>
    </row>
    <row r="893">
      <c r="A893" s="1012"/>
      <c r="B893" s="1013"/>
      <c r="C893" s="1012"/>
      <c r="D893" s="1013"/>
      <c r="E893" s="1012"/>
      <c r="F893" s="1012"/>
      <c r="G893" s="1013"/>
      <c r="H893" s="1012"/>
      <c r="I893" s="1012"/>
      <c r="J893" s="1013"/>
      <c r="K893" s="1013"/>
      <c r="L893" s="1094"/>
      <c r="M893" s="1094"/>
      <c r="N893" s="1013"/>
      <c r="O893" s="1013"/>
      <c r="P893" s="1013"/>
      <c r="Q893" s="1013"/>
      <c r="R893" s="1013"/>
      <c r="S893" s="1013"/>
      <c r="T893" s="1012"/>
      <c r="U893" s="1011"/>
      <c r="V893" s="1012"/>
      <c r="W893" s="1013"/>
      <c r="X893" s="1014"/>
      <c r="Y893" s="1012"/>
      <c r="Z893" s="1012"/>
      <c r="AA893" s="1012"/>
      <c r="AB893" s="1012"/>
      <c r="AC893" s="1012"/>
      <c r="AD893" s="1012"/>
      <c r="AE893" s="1012"/>
      <c r="AF893" s="1012"/>
      <c r="AG893" s="1012"/>
      <c r="AH893" s="1012"/>
      <c r="AI893" s="1012"/>
      <c r="AJ893" s="1012"/>
      <c r="AK893" s="1012"/>
    </row>
    <row r="894">
      <c r="A894" s="1012"/>
      <c r="B894" s="1013"/>
      <c r="C894" s="1012"/>
      <c r="D894" s="1013"/>
      <c r="E894" s="1012"/>
      <c r="F894" s="1012"/>
      <c r="G894" s="1013"/>
      <c r="H894" s="1012"/>
      <c r="I894" s="1012"/>
      <c r="J894" s="1013"/>
      <c r="K894" s="1013"/>
      <c r="L894" s="1094"/>
      <c r="M894" s="1094"/>
      <c r="N894" s="1013"/>
      <c r="O894" s="1013"/>
      <c r="P894" s="1013"/>
      <c r="Q894" s="1013"/>
      <c r="R894" s="1013"/>
      <c r="S894" s="1013"/>
      <c r="T894" s="1012"/>
      <c r="U894" s="1011"/>
      <c r="V894" s="1012"/>
      <c r="W894" s="1013"/>
      <c r="X894" s="1014"/>
      <c r="Y894" s="1012"/>
      <c r="Z894" s="1012"/>
      <c r="AA894" s="1012"/>
      <c r="AB894" s="1012"/>
      <c r="AC894" s="1012"/>
      <c r="AD894" s="1012"/>
      <c r="AE894" s="1012"/>
      <c r="AF894" s="1012"/>
      <c r="AG894" s="1012"/>
      <c r="AH894" s="1012"/>
      <c r="AI894" s="1012"/>
      <c r="AJ894" s="1012"/>
      <c r="AK894" s="1012"/>
    </row>
    <row r="895">
      <c r="A895" s="1012"/>
      <c r="B895" s="1013"/>
      <c r="C895" s="1012"/>
      <c r="D895" s="1013"/>
      <c r="E895" s="1012"/>
      <c r="F895" s="1012"/>
      <c r="G895" s="1013"/>
      <c r="H895" s="1012"/>
      <c r="I895" s="1012"/>
      <c r="J895" s="1013"/>
      <c r="K895" s="1013"/>
      <c r="L895" s="1094"/>
      <c r="M895" s="1094"/>
      <c r="N895" s="1013"/>
      <c r="O895" s="1013"/>
      <c r="P895" s="1013"/>
      <c r="Q895" s="1013"/>
      <c r="R895" s="1013"/>
      <c r="S895" s="1013"/>
      <c r="T895" s="1012"/>
      <c r="U895" s="1011"/>
      <c r="V895" s="1012"/>
      <c r="W895" s="1013"/>
      <c r="X895" s="1014"/>
      <c r="Y895" s="1012"/>
      <c r="Z895" s="1012"/>
      <c r="AA895" s="1012"/>
      <c r="AB895" s="1012"/>
      <c r="AC895" s="1012"/>
      <c r="AD895" s="1012"/>
      <c r="AE895" s="1012"/>
      <c r="AF895" s="1012"/>
      <c r="AG895" s="1012"/>
      <c r="AH895" s="1012"/>
      <c r="AI895" s="1012"/>
      <c r="AJ895" s="1012"/>
      <c r="AK895" s="1012"/>
    </row>
    <row r="896">
      <c r="A896" s="1012"/>
      <c r="B896" s="1013"/>
      <c r="C896" s="1012"/>
      <c r="D896" s="1013"/>
      <c r="E896" s="1012"/>
      <c r="F896" s="1012"/>
      <c r="G896" s="1013"/>
      <c r="H896" s="1012"/>
      <c r="I896" s="1012"/>
      <c r="J896" s="1013"/>
      <c r="K896" s="1013"/>
      <c r="L896" s="1094"/>
      <c r="M896" s="1094"/>
      <c r="N896" s="1013"/>
      <c r="O896" s="1013"/>
      <c r="P896" s="1013"/>
      <c r="Q896" s="1013"/>
      <c r="R896" s="1013"/>
      <c r="S896" s="1013"/>
      <c r="T896" s="1012"/>
      <c r="U896" s="1011"/>
      <c r="V896" s="1012"/>
      <c r="W896" s="1013"/>
      <c r="X896" s="1014"/>
      <c r="Y896" s="1012"/>
      <c r="Z896" s="1012"/>
      <c r="AA896" s="1012"/>
      <c r="AB896" s="1012"/>
      <c r="AC896" s="1012"/>
      <c r="AD896" s="1012"/>
      <c r="AE896" s="1012"/>
      <c r="AF896" s="1012"/>
      <c r="AG896" s="1012"/>
      <c r="AH896" s="1012"/>
      <c r="AI896" s="1012"/>
      <c r="AJ896" s="1012"/>
      <c r="AK896" s="1012"/>
    </row>
    <row r="897">
      <c r="A897" s="1012"/>
      <c r="B897" s="1013"/>
      <c r="C897" s="1012"/>
      <c r="D897" s="1013"/>
      <c r="E897" s="1012"/>
      <c r="F897" s="1012"/>
      <c r="G897" s="1013"/>
      <c r="H897" s="1012"/>
      <c r="I897" s="1012"/>
      <c r="J897" s="1013"/>
      <c r="K897" s="1013"/>
      <c r="L897" s="1094"/>
      <c r="M897" s="1094"/>
      <c r="N897" s="1013"/>
      <c r="O897" s="1013"/>
      <c r="P897" s="1013"/>
      <c r="Q897" s="1013"/>
      <c r="R897" s="1013"/>
      <c r="S897" s="1013"/>
      <c r="T897" s="1012"/>
      <c r="U897" s="1011"/>
      <c r="V897" s="1012"/>
      <c r="W897" s="1013"/>
      <c r="X897" s="1014"/>
      <c r="Y897" s="1012"/>
      <c r="Z897" s="1012"/>
      <c r="AA897" s="1012"/>
      <c r="AB897" s="1012"/>
      <c r="AC897" s="1012"/>
      <c r="AD897" s="1012"/>
      <c r="AE897" s="1012"/>
      <c r="AF897" s="1012"/>
      <c r="AG897" s="1012"/>
      <c r="AH897" s="1012"/>
      <c r="AI897" s="1012"/>
      <c r="AJ897" s="1012"/>
      <c r="AK897" s="1012"/>
    </row>
    <row r="898">
      <c r="A898" s="1012"/>
      <c r="B898" s="1013"/>
      <c r="C898" s="1012"/>
      <c r="D898" s="1013"/>
      <c r="E898" s="1012"/>
      <c r="F898" s="1012"/>
      <c r="G898" s="1013"/>
      <c r="H898" s="1012"/>
      <c r="I898" s="1012"/>
      <c r="J898" s="1013"/>
      <c r="K898" s="1013"/>
      <c r="L898" s="1094"/>
      <c r="M898" s="1094"/>
      <c r="N898" s="1013"/>
      <c r="O898" s="1013"/>
      <c r="P898" s="1013"/>
      <c r="Q898" s="1013"/>
      <c r="R898" s="1013"/>
      <c r="S898" s="1013"/>
      <c r="T898" s="1012"/>
      <c r="U898" s="1011"/>
      <c r="V898" s="1012"/>
      <c r="W898" s="1013"/>
      <c r="X898" s="1014"/>
      <c r="Y898" s="1012"/>
      <c r="Z898" s="1012"/>
      <c r="AA898" s="1012"/>
      <c r="AB898" s="1012"/>
      <c r="AC898" s="1012"/>
      <c r="AD898" s="1012"/>
      <c r="AE898" s="1012"/>
      <c r="AF898" s="1012"/>
      <c r="AG898" s="1012"/>
      <c r="AH898" s="1012"/>
      <c r="AI898" s="1012"/>
      <c r="AJ898" s="1012"/>
      <c r="AK898" s="1012"/>
    </row>
    <row r="899">
      <c r="A899" s="1012"/>
      <c r="B899" s="1013"/>
      <c r="C899" s="1012"/>
      <c r="D899" s="1013"/>
      <c r="E899" s="1012"/>
      <c r="F899" s="1012"/>
      <c r="G899" s="1013"/>
      <c r="H899" s="1012"/>
      <c r="I899" s="1012"/>
      <c r="J899" s="1013"/>
      <c r="K899" s="1013"/>
      <c r="L899" s="1094"/>
      <c r="M899" s="1094"/>
      <c r="N899" s="1013"/>
      <c r="O899" s="1013"/>
      <c r="P899" s="1013"/>
      <c r="Q899" s="1013"/>
      <c r="R899" s="1013"/>
      <c r="S899" s="1013"/>
      <c r="T899" s="1012"/>
      <c r="U899" s="1011"/>
      <c r="V899" s="1012"/>
      <c r="W899" s="1013"/>
      <c r="X899" s="1014"/>
      <c r="Y899" s="1012"/>
      <c r="Z899" s="1012"/>
      <c r="AA899" s="1012"/>
      <c r="AB899" s="1012"/>
      <c r="AC899" s="1012"/>
      <c r="AD899" s="1012"/>
      <c r="AE899" s="1012"/>
      <c r="AF899" s="1012"/>
      <c r="AG899" s="1012"/>
      <c r="AH899" s="1012"/>
      <c r="AI899" s="1012"/>
      <c r="AJ899" s="1012"/>
      <c r="AK899" s="1012"/>
    </row>
    <row r="900">
      <c r="A900" s="1012"/>
      <c r="B900" s="1013"/>
      <c r="C900" s="1012"/>
      <c r="D900" s="1013"/>
      <c r="E900" s="1012"/>
      <c r="F900" s="1012"/>
      <c r="G900" s="1013"/>
      <c r="H900" s="1012"/>
      <c r="I900" s="1012"/>
      <c r="J900" s="1013"/>
      <c r="K900" s="1013"/>
      <c r="L900" s="1094"/>
      <c r="M900" s="1094"/>
      <c r="N900" s="1013"/>
      <c r="O900" s="1013"/>
      <c r="P900" s="1013"/>
      <c r="Q900" s="1013"/>
      <c r="R900" s="1013"/>
      <c r="S900" s="1013"/>
      <c r="T900" s="1012"/>
      <c r="U900" s="1011"/>
      <c r="V900" s="1012"/>
      <c r="W900" s="1013"/>
      <c r="X900" s="1014"/>
      <c r="Y900" s="1012"/>
      <c r="Z900" s="1012"/>
      <c r="AA900" s="1012"/>
      <c r="AB900" s="1012"/>
      <c r="AC900" s="1012"/>
      <c r="AD900" s="1012"/>
      <c r="AE900" s="1012"/>
      <c r="AF900" s="1012"/>
      <c r="AG900" s="1012"/>
      <c r="AH900" s="1012"/>
      <c r="AI900" s="1012"/>
      <c r="AJ900" s="1012"/>
      <c r="AK900" s="1012"/>
    </row>
    <row r="901">
      <c r="A901" s="1012"/>
      <c r="B901" s="1013"/>
      <c r="C901" s="1012"/>
      <c r="D901" s="1013"/>
      <c r="E901" s="1012"/>
      <c r="F901" s="1012"/>
      <c r="G901" s="1013"/>
      <c r="H901" s="1012"/>
      <c r="I901" s="1012"/>
      <c r="J901" s="1013"/>
      <c r="K901" s="1013"/>
      <c r="L901" s="1094"/>
      <c r="M901" s="1094"/>
      <c r="N901" s="1013"/>
      <c r="O901" s="1013"/>
      <c r="P901" s="1013"/>
      <c r="Q901" s="1013"/>
      <c r="R901" s="1013"/>
      <c r="S901" s="1013"/>
      <c r="T901" s="1012"/>
      <c r="U901" s="1011"/>
      <c r="V901" s="1012"/>
      <c r="W901" s="1013"/>
      <c r="X901" s="1014"/>
      <c r="Y901" s="1012"/>
      <c r="Z901" s="1012"/>
      <c r="AA901" s="1012"/>
      <c r="AB901" s="1012"/>
      <c r="AC901" s="1012"/>
      <c r="AD901" s="1012"/>
      <c r="AE901" s="1012"/>
      <c r="AF901" s="1012"/>
      <c r="AG901" s="1012"/>
      <c r="AH901" s="1012"/>
      <c r="AI901" s="1012"/>
      <c r="AJ901" s="1012"/>
      <c r="AK901" s="1012"/>
    </row>
    <row r="902">
      <c r="A902" s="1012"/>
      <c r="B902" s="1013"/>
      <c r="C902" s="1012"/>
      <c r="D902" s="1013"/>
      <c r="E902" s="1012"/>
      <c r="F902" s="1012"/>
      <c r="G902" s="1013"/>
      <c r="H902" s="1012"/>
      <c r="I902" s="1012"/>
      <c r="J902" s="1013"/>
      <c r="K902" s="1013"/>
      <c r="L902" s="1094"/>
      <c r="M902" s="1094"/>
      <c r="N902" s="1013"/>
      <c r="O902" s="1013"/>
      <c r="P902" s="1013"/>
      <c r="Q902" s="1013"/>
      <c r="R902" s="1013"/>
      <c r="S902" s="1013"/>
      <c r="T902" s="1012"/>
      <c r="U902" s="1011"/>
      <c r="V902" s="1012"/>
      <c r="W902" s="1013"/>
      <c r="X902" s="1014"/>
      <c r="Y902" s="1012"/>
      <c r="Z902" s="1012"/>
      <c r="AA902" s="1012"/>
      <c r="AB902" s="1012"/>
      <c r="AC902" s="1012"/>
      <c r="AD902" s="1012"/>
      <c r="AE902" s="1012"/>
      <c r="AF902" s="1012"/>
      <c r="AG902" s="1012"/>
      <c r="AH902" s="1012"/>
      <c r="AI902" s="1012"/>
      <c r="AJ902" s="1012"/>
      <c r="AK902" s="1012"/>
    </row>
    <row r="903">
      <c r="A903" s="1012"/>
      <c r="B903" s="1013"/>
      <c r="C903" s="1012"/>
      <c r="D903" s="1013"/>
      <c r="E903" s="1012"/>
      <c r="F903" s="1012"/>
      <c r="G903" s="1013"/>
      <c r="H903" s="1012"/>
      <c r="I903" s="1012"/>
      <c r="J903" s="1013"/>
      <c r="K903" s="1013"/>
      <c r="L903" s="1094"/>
      <c r="M903" s="1094"/>
      <c r="N903" s="1013"/>
      <c r="O903" s="1013"/>
      <c r="P903" s="1013"/>
      <c r="Q903" s="1013"/>
      <c r="R903" s="1013"/>
      <c r="S903" s="1013"/>
      <c r="T903" s="1012"/>
      <c r="U903" s="1011"/>
      <c r="V903" s="1012"/>
      <c r="W903" s="1013"/>
      <c r="X903" s="1014"/>
      <c r="Y903" s="1012"/>
      <c r="Z903" s="1012"/>
      <c r="AA903" s="1012"/>
      <c r="AB903" s="1012"/>
      <c r="AC903" s="1012"/>
      <c r="AD903" s="1012"/>
      <c r="AE903" s="1012"/>
      <c r="AF903" s="1012"/>
      <c r="AG903" s="1012"/>
      <c r="AH903" s="1012"/>
      <c r="AI903" s="1012"/>
      <c r="AJ903" s="1012"/>
      <c r="AK903" s="1012"/>
    </row>
    <row r="904">
      <c r="A904" s="1012"/>
      <c r="B904" s="1013"/>
      <c r="C904" s="1012"/>
      <c r="D904" s="1013"/>
      <c r="E904" s="1012"/>
      <c r="F904" s="1012"/>
      <c r="G904" s="1013"/>
      <c r="H904" s="1012"/>
      <c r="I904" s="1012"/>
      <c r="J904" s="1013"/>
      <c r="K904" s="1013"/>
      <c r="L904" s="1094"/>
      <c r="M904" s="1094"/>
      <c r="N904" s="1013"/>
      <c r="O904" s="1013"/>
      <c r="P904" s="1013"/>
      <c r="Q904" s="1013"/>
      <c r="R904" s="1013"/>
      <c r="S904" s="1013"/>
      <c r="T904" s="1012"/>
      <c r="U904" s="1011"/>
      <c r="V904" s="1012"/>
      <c r="W904" s="1013"/>
      <c r="X904" s="1014"/>
      <c r="Y904" s="1012"/>
      <c r="Z904" s="1012"/>
      <c r="AA904" s="1012"/>
      <c r="AB904" s="1012"/>
      <c r="AC904" s="1012"/>
      <c r="AD904" s="1012"/>
      <c r="AE904" s="1012"/>
      <c r="AF904" s="1012"/>
      <c r="AG904" s="1012"/>
      <c r="AH904" s="1012"/>
      <c r="AI904" s="1012"/>
      <c r="AJ904" s="1012"/>
      <c r="AK904" s="1012"/>
    </row>
    <row r="905">
      <c r="A905" s="1012"/>
      <c r="B905" s="1013"/>
      <c r="C905" s="1012"/>
      <c r="D905" s="1013"/>
      <c r="E905" s="1012"/>
      <c r="F905" s="1012"/>
      <c r="G905" s="1013"/>
      <c r="H905" s="1012"/>
      <c r="I905" s="1012"/>
      <c r="J905" s="1013"/>
      <c r="K905" s="1013"/>
      <c r="L905" s="1094"/>
      <c r="M905" s="1094"/>
      <c r="N905" s="1013"/>
      <c r="O905" s="1013"/>
      <c r="P905" s="1013"/>
      <c r="Q905" s="1013"/>
      <c r="R905" s="1013"/>
      <c r="S905" s="1013"/>
      <c r="T905" s="1012"/>
      <c r="U905" s="1011"/>
      <c r="V905" s="1012"/>
      <c r="W905" s="1013"/>
      <c r="X905" s="1014"/>
      <c r="Y905" s="1012"/>
      <c r="Z905" s="1012"/>
      <c r="AA905" s="1012"/>
      <c r="AB905" s="1012"/>
      <c r="AC905" s="1012"/>
      <c r="AD905" s="1012"/>
      <c r="AE905" s="1012"/>
      <c r="AF905" s="1012"/>
      <c r="AG905" s="1012"/>
      <c r="AH905" s="1012"/>
      <c r="AI905" s="1012"/>
      <c r="AJ905" s="1012"/>
      <c r="AK905" s="1012"/>
    </row>
    <row r="906">
      <c r="A906" s="1012"/>
      <c r="B906" s="1013"/>
      <c r="C906" s="1012"/>
      <c r="D906" s="1013"/>
      <c r="E906" s="1012"/>
      <c r="F906" s="1012"/>
      <c r="G906" s="1013"/>
      <c r="H906" s="1012"/>
      <c r="I906" s="1012"/>
      <c r="J906" s="1013"/>
      <c r="K906" s="1013"/>
      <c r="L906" s="1094"/>
      <c r="M906" s="1094"/>
      <c r="N906" s="1013"/>
      <c r="O906" s="1013"/>
      <c r="P906" s="1013"/>
      <c r="Q906" s="1013"/>
      <c r="R906" s="1013"/>
      <c r="S906" s="1013"/>
      <c r="T906" s="1012"/>
      <c r="U906" s="1011"/>
      <c r="V906" s="1012"/>
      <c r="W906" s="1013"/>
      <c r="X906" s="1014"/>
      <c r="Y906" s="1012"/>
      <c r="Z906" s="1012"/>
      <c r="AA906" s="1012"/>
      <c r="AB906" s="1012"/>
      <c r="AC906" s="1012"/>
      <c r="AD906" s="1012"/>
      <c r="AE906" s="1012"/>
      <c r="AF906" s="1012"/>
      <c r="AG906" s="1012"/>
      <c r="AH906" s="1012"/>
      <c r="AI906" s="1012"/>
      <c r="AJ906" s="1012"/>
      <c r="AK906" s="1012"/>
    </row>
    <row r="907">
      <c r="A907" s="1012"/>
      <c r="B907" s="1013"/>
      <c r="C907" s="1012"/>
      <c r="D907" s="1013"/>
      <c r="E907" s="1012"/>
      <c r="F907" s="1012"/>
      <c r="G907" s="1013"/>
      <c r="H907" s="1012"/>
      <c r="I907" s="1012"/>
      <c r="J907" s="1013"/>
      <c r="K907" s="1013"/>
      <c r="L907" s="1094"/>
      <c r="M907" s="1094"/>
      <c r="N907" s="1013"/>
      <c r="O907" s="1013"/>
      <c r="P907" s="1013"/>
      <c r="Q907" s="1013"/>
      <c r="R907" s="1013"/>
      <c r="S907" s="1013"/>
      <c r="T907" s="1012"/>
      <c r="U907" s="1011"/>
      <c r="V907" s="1012"/>
      <c r="W907" s="1013"/>
      <c r="X907" s="1014"/>
      <c r="Y907" s="1012"/>
      <c r="Z907" s="1012"/>
      <c r="AA907" s="1012"/>
      <c r="AB907" s="1012"/>
      <c r="AC907" s="1012"/>
      <c r="AD907" s="1012"/>
      <c r="AE907" s="1012"/>
      <c r="AF907" s="1012"/>
      <c r="AG907" s="1012"/>
      <c r="AH907" s="1012"/>
      <c r="AI907" s="1012"/>
      <c r="AJ907" s="1012"/>
      <c r="AK907" s="1012"/>
    </row>
    <row r="908">
      <c r="A908" s="1012"/>
      <c r="B908" s="1013"/>
      <c r="C908" s="1012"/>
      <c r="D908" s="1013"/>
      <c r="E908" s="1012"/>
      <c r="F908" s="1012"/>
      <c r="G908" s="1013"/>
      <c r="H908" s="1012"/>
      <c r="I908" s="1012"/>
      <c r="J908" s="1013"/>
      <c r="K908" s="1013"/>
      <c r="L908" s="1094"/>
      <c r="M908" s="1094"/>
      <c r="N908" s="1013"/>
      <c r="O908" s="1013"/>
      <c r="P908" s="1013"/>
      <c r="Q908" s="1013"/>
      <c r="R908" s="1013"/>
      <c r="S908" s="1013"/>
      <c r="T908" s="1012"/>
      <c r="U908" s="1011"/>
      <c r="V908" s="1012"/>
      <c r="W908" s="1013"/>
      <c r="X908" s="1014"/>
      <c r="Y908" s="1012"/>
      <c r="Z908" s="1012"/>
      <c r="AA908" s="1012"/>
      <c r="AB908" s="1012"/>
      <c r="AC908" s="1012"/>
      <c r="AD908" s="1012"/>
      <c r="AE908" s="1012"/>
      <c r="AF908" s="1012"/>
      <c r="AG908" s="1012"/>
      <c r="AH908" s="1012"/>
      <c r="AI908" s="1012"/>
      <c r="AJ908" s="1012"/>
      <c r="AK908" s="1012"/>
    </row>
    <row r="909">
      <c r="A909" s="1012"/>
      <c r="B909" s="1013"/>
      <c r="C909" s="1012"/>
      <c r="D909" s="1013"/>
      <c r="E909" s="1012"/>
      <c r="F909" s="1012"/>
      <c r="G909" s="1013"/>
      <c r="H909" s="1012"/>
      <c r="I909" s="1012"/>
      <c r="J909" s="1013"/>
      <c r="K909" s="1013"/>
      <c r="L909" s="1094"/>
      <c r="M909" s="1094"/>
      <c r="N909" s="1013"/>
      <c r="O909" s="1013"/>
      <c r="P909" s="1013"/>
      <c r="Q909" s="1013"/>
      <c r="R909" s="1013"/>
      <c r="S909" s="1013"/>
      <c r="T909" s="1012"/>
      <c r="U909" s="1011"/>
      <c r="V909" s="1012"/>
      <c r="W909" s="1013"/>
      <c r="X909" s="1014"/>
      <c r="Y909" s="1012"/>
      <c r="Z909" s="1012"/>
      <c r="AA909" s="1012"/>
      <c r="AB909" s="1012"/>
      <c r="AC909" s="1012"/>
      <c r="AD909" s="1012"/>
      <c r="AE909" s="1012"/>
      <c r="AF909" s="1012"/>
      <c r="AG909" s="1012"/>
      <c r="AH909" s="1012"/>
      <c r="AI909" s="1012"/>
      <c r="AJ909" s="1012"/>
      <c r="AK909" s="1012"/>
    </row>
    <row r="910">
      <c r="A910" s="1012"/>
      <c r="B910" s="1013"/>
      <c r="C910" s="1012"/>
      <c r="D910" s="1013"/>
      <c r="E910" s="1012"/>
      <c r="F910" s="1012"/>
      <c r="G910" s="1013"/>
      <c r="H910" s="1012"/>
      <c r="I910" s="1012"/>
      <c r="J910" s="1013"/>
      <c r="K910" s="1013"/>
      <c r="L910" s="1094"/>
      <c r="M910" s="1094"/>
      <c r="N910" s="1013"/>
      <c r="O910" s="1013"/>
      <c r="P910" s="1013"/>
      <c r="Q910" s="1013"/>
      <c r="R910" s="1013"/>
      <c r="S910" s="1013"/>
      <c r="T910" s="1012"/>
      <c r="U910" s="1011"/>
      <c r="V910" s="1012"/>
      <c r="W910" s="1013"/>
      <c r="X910" s="1014"/>
      <c r="Y910" s="1012"/>
      <c r="Z910" s="1012"/>
      <c r="AA910" s="1012"/>
      <c r="AB910" s="1012"/>
      <c r="AC910" s="1012"/>
      <c r="AD910" s="1012"/>
      <c r="AE910" s="1012"/>
      <c r="AF910" s="1012"/>
      <c r="AG910" s="1012"/>
      <c r="AH910" s="1012"/>
      <c r="AI910" s="1012"/>
      <c r="AJ910" s="1012"/>
      <c r="AK910" s="1012"/>
    </row>
    <row r="911">
      <c r="A911" s="1012"/>
      <c r="B911" s="1013"/>
      <c r="C911" s="1012"/>
      <c r="D911" s="1013"/>
      <c r="E911" s="1012"/>
      <c r="F911" s="1012"/>
      <c r="G911" s="1013"/>
      <c r="H911" s="1012"/>
      <c r="I911" s="1012"/>
      <c r="J911" s="1013"/>
      <c r="K911" s="1013"/>
      <c r="L911" s="1094"/>
      <c r="M911" s="1094"/>
      <c r="N911" s="1013"/>
      <c r="O911" s="1013"/>
      <c r="P911" s="1013"/>
      <c r="Q911" s="1013"/>
      <c r="R911" s="1013"/>
      <c r="S911" s="1013"/>
      <c r="T911" s="1012"/>
      <c r="U911" s="1011"/>
      <c r="V911" s="1012"/>
      <c r="W911" s="1013"/>
      <c r="X911" s="1014"/>
      <c r="Y911" s="1012"/>
      <c r="Z911" s="1012"/>
      <c r="AA911" s="1012"/>
      <c r="AB911" s="1012"/>
      <c r="AC911" s="1012"/>
      <c r="AD911" s="1012"/>
      <c r="AE911" s="1012"/>
      <c r="AF911" s="1012"/>
      <c r="AG911" s="1012"/>
      <c r="AH911" s="1012"/>
      <c r="AI911" s="1012"/>
      <c r="AJ911" s="1012"/>
      <c r="AK911" s="1012"/>
    </row>
    <row r="912">
      <c r="A912" s="1012"/>
      <c r="B912" s="1013"/>
      <c r="C912" s="1012"/>
      <c r="D912" s="1013"/>
      <c r="E912" s="1012"/>
      <c r="F912" s="1012"/>
      <c r="G912" s="1013"/>
      <c r="H912" s="1012"/>
      <c r="I912" s="1012"/>
      <c r="J912" s="1013"/>
      <c r="K912" s="1013"/>
      <c r="L912" s="1094"/>
      <c r="M912" s="1094"/>
      <c r="N912" s="1013"/>
      <c r="O912" s="1013"/>
      <c r="P912" s="1013"/>
      <c r="Q912" s="1013"/>
      <c r="R912" s="1013"/>
      <c r="S912" s="1013"/>
      <c r="T912" s="1012"/>
      <c r="U912" s="1011"/>
      <c r="V912" s="1012"/>
      <c r="W912" s="1013"/>
      <c r="X912" s="1014"/>
      <c r="Y912" s="1012"/>
      <c r="Z912" s="1012"/>
      <c r="AA912" s="1012"/>
      <c r="AB912" s="1012"/>
      <c r="AC912" s="1012"/>
      <c r="AD912" s="1012"/>
      <c r="AE912" s="1012"/>
      <c r="AF912" s="1012"/>
      <c r="AG912" s="1012"/>
      <c r="AH912" s="1012"/>
      <c r="AI912" s="1012"/>
      <c r="AJ912" s="1012"/>
      <c r="AK912" s="1012"/>
    </row>
    <row r="913">
      <c r="A913" s="1012"/>
      <c r="B913" s="1013"/>
      <c r="C913" s="1012"/>
      <c r="D913" s="1013"/>
      <c r="E913" s="1012"/>
      <c r="F913" s="1012"/>
      <c r="G913" s="1013"/>
      <c r="H913" s="1012"/>
      <c r="I913" s="1012"/>
      <c r="J913" s="1013"/>
      <c r="K913" s="1013"/>
      <c r="L913" s="1094"/>
      <c r="M913" s="1094"/>
      <c r="N913" s="1013"/>
      <c r="O913" s="1013"/>
      <c r="P913" s="1013"/>
      <c r="Q913" s="1013"/>
      <c r="R913" s="1013"/>
      <c r="S913" s="1013"/>
      <c r="T913" s="1012"/>
      <c r="U913" s="1011"/>
      <c r="V913" s="1012"/>
      <c r="W913" s="1013"/>
      <c r="X913" s="1014"/>
      <c r="Y913" s="1012"/>
      <c r="Z913" s="1012"/>
      <c r="AA913" s="1012"/>
      <c r="AB913" s="1012"/>
      <c r="AC913" s="1012"/>
      <c r="AD913" s="1012"/>
      <c r="AE913" s="1012"/>
      <c r="AF913" s="1012"/>
      <c r="AG913" s="1012"/>
      <c r="AH913" s="1012"/>
      <c r="AI913" s="1012"/>
      <c r="AJ913" s="1012"/>
      <c r="AK913" s="1012"/>
    </row>
    <row r="914">
      <c r="A914" s="1012"/>
      <c r="B914" s="1013"/>
      <c r="C914" s="1012"/>
      <c r="D914" s="1013"/>
      <c r="E914" s="1012"/>
      <c r="F914" s="1012"/>
      <c r="G914" s="1013"/>
      <c r="H914" s="1012"/>
      <c r="I914" s="1012"/>
      <c r="J914" s="1013"/>
      <c r="K914" s="1013"/>
      <c r="L914" s="1094"/>
      <c r="M914" s="1094"/>
      <c r="N914" s="1013"/>
      <c r="O914" s="1013"/>
      <c r="P914" s="1013"/>
      <c r="Q914" s="1013"/>
      <c r="R914" s="1013"/>
      <c r="S914" s="1013"/>
      <c r="T914" s="1012"/>
      <c r="U914" s="1011"/>
      <c r="V914" s="1012"/>
      <c r="W914" s="1013"/>
      <c r="X914" s="1014"/>
      <c r="Y914" s="1012"/>
      <c r="Z914" s="1012"/>
      <c r="AA914" s="1012"/>
      <c r="AB914" s="1012"/>
      <c r="AC914" s="1012"/>
      <c r="AD914" s="1012"/>
      <c r="AE914" s="1012"/>
      <c r="AF914" s="1012"/>
      <c r="AG914" s="1012"/>
      <c r="AH914" s="1012"/>
      <c r="AI914" s="1012"/>
      <c r="AJ914" s="1012"/>
      <c r="AK914" s="1012"/>
    </row>
    <row r="915">
      <c r="A915" s="1012"/>
      <c r="B915" s="1013"/>
      <c r="C915" s="1012"/>
      <c r="D915" s="1013"/>
      <c r="E915" s="1012"/>
      <c r="F915" s="1012"/>
      <c r="G915" s="1013"/>
      <c r="H915" s="1012"/>
      <c r="I915" s="1012"/>
      <c r="J915" s="1013"/>
      <c r="K915" s="1013"/>
      <c r="L915" s="1094"/>
      <c r="M915" s="1094"/>
      <c r="N915" s="1013"/>
      <c r="O915" s="1013"/>
      <c r="P915" s="1013"/>
      <c r="Q915" s="1013"/>
      <c r="R915" s="1013"/>
      <c r="S915" s="1013"/>
      <c r="T915" s="1012"/>
      <c r="U915" s="1011"/>
      <c r="V915" s="1012"/>
      <c r="W915" s="1013"/>
      <c r="X915" s="1014"/>
      <c r="Y915" s="1012"/>
      <c r="Z915" s="1012"/>
      <c r="AA915" s="1012"/>
      <c r="AB915" s="1012"/>
      <c r="AC915" s="1012"/>
      <c r="AD915" s="1012"/>
      <c r="AE915" s="1012"/>
      <c r="AF915" s="1012"/>
      <c r="AG915" s="1012"/>
      <c r="AH915" s="1012"/>
      <c r="AI915" s="1012"/>
      <c r="AJ915" s="1012"/>
      <c r="AK915" s="1012"/>
    </row>
    <row r="916">
      <c r="A916" s="1012"/>
      <c r="B916" s="1013"/>
      <c r="C916" s="1012"/>
      <c r="D916" s="1013"/>
      <c r="E916" s="1012"/>
      <c r="F916" s="1012"/>
      <c r="G916" s="1013"/>
      <c r="H916" s="1012"/>
      <c r="I916" s="1012"/>
      <c r="J916" s="1013"/>
      <c r="K916" s="1013"/>
      <c r="L916" s="1094"/>
      <c r="M916" s="1094"/>
      <c r="N916" s="1013"/>
      <c r="O916" s="1013"/>
      <c r="P916" s="1013"/>
      <c r="Q916" s="1013"/>
      <c r="R916" s="1013"/>
      <c r="S916" s="1013"/>
      <c r="T916" s="1012"/>
      <c r="U916" s="1011"/>
      <c r="V916" s="1012"/>
      <c r="W916" s="1013"/>
      <c r="X916" s="1014"/>
      <c r="Y916" s="1012"/>
      <c r="Z916" s="1012"/>
      <c r="AA916" s="1012"/>
      <c r="AB916" s="1012"/>
      <c r="AC916" s="1012"/>
      <c r="AD916" s="1012"/>
      <c r="AE916" s="1012"/>
      <c r="AF916" s="1012"/>
      <c r="AG916" s="1012"/>
      <c r="AH916" s="1012"/>
      <c r="AI916" s="1012"/>
      <c r="AJ916" s="1012"/>
      <c r="AK916" s="1012"/>
    </row>
    <row r="917">
      <c r="A917" s="1012"/>
      <c r="B917" s="1013"/>
      <c r="C917" s="1012"/>
      <c r="D917" s="1013"/>
      <c r="E917" s="1012"/>
      <c r="F917" s="1012"/>
      <c r="G917" s="1013"/>
      <c r="H917" s="1012"/>
      <c r="I917" s="1012"/>
      <c r="J917" s="1013"/>
      <c r="K917" s="1013"/>
      <c r="L917" s="1094"/>
      <c r="M917" s="1094"/>
      <c r="N917" s="1013"/>
      <c r="O917" s="1013"/>
      <c r="P917" s="1013"/>
      <c r="Q917" s="1013"/>
      <c r="R917" s="1013"/>
      <c r="S917" s="1013"/>
      <c r="T917" s="1012"/>
      <c r="U917" s="1011"/>
      <c r="V917" s="1012"/>
      <c r="W917" s="1013"/>
      <c r="X917" s="1014"/>
      <c r="Y917" s="1012"/>
      <c r="Z917" s="1012"/>
      <c r="AA917" s="1012"/>
      <c r="AB917" s="1012"/>
      <c r="AC917" s="1012"/>
      <c r="AD917" s="1012"/>
      <c r="AE917" s="1012"/>
      <c r="AF917" s="1012"/>
      <c r="AG917" s="1012"/>
      <c r="AH917" s="1012"/>
      <c r="AI917" s="1012"/>
      <c r="AJ917" s="1012"/>
      <c r="AK917" s="1012"/>
    </row>
    <row r="918">
      <c r="A918" s="1012"/>
      <c r="B918" s="1013"/>
      <c r="C918" s="1012"/>
      <c r="D918" s="1013"/>
      <c r="E918" s="1012"/>
      <c r="F918" s="1012"/>
      <c r="G918" s="1013"/>
      <c r="H918" s="1012"/>
      <c r="I918" s="1012"/>
      <c r="J918" s="1013"/>
      <c r="K918" s="1013"/>
      <c r="L918" s="1094"/>
      <c r="M918" s="1094"/>
      <c r="N918" s="1013"/>
      <c r="O918" s="1013"/>
      <c r="P918" s="1013"/>
      <c r="Q918" s="1013"/>
      <c r="R918" s="1013"/>
      <c r="S918" s="1013"/>
      <c r="T918" s="1012"/>
      <c r="U918" s="1011"/>
      <c r="V918" s="1012"/>
      <c r="W918" s="1013"/>
      <c r="X918" s="1014"/>
      <c r="Y918" s="1012"/>
      <c r="Z918" s="1012"/>
      <c r="AA918" s="1012"/>
      <c r="AB918" s="1012"/>
      <c r="AC918" s="1012"/>
      <c r="AD918" s="1012"/>
      <c r="AE918" s="1012"/>
      <c r="AF918" s="1012"/>
      <c r="AG918" s="1012"/>
      <c r="AH918" s="1012"/>
      <c r="AI918" s="1012"/>
      <c r="AJ918" s="1012"/>
      <c r="AK918" s="1012"/>
    </row>
    <row r="919">
      <c r="A919" s="1012"/>
      <c r="B919" s="1013"/>
      <c r="C919" s="1012"/>
      <c r="D919" s="1013"/>
      <c r="E919" s="1012"/>
      <c r="F919" s="1012"/>
      <c r="G919" s="1013"/>
      <c r="H919" s="1012"/>
      <c r="I919" s="1012"/>
      <c r="J919" s="1013"/>
      <c r="K919" s="1013"/>
      <c r="L919" s="1094"/>
      <c r="M919" s="1094"/>
      <c r="N919" s="1013"/>
      <c r="O919" s="1013"/>
      <c r="P919" s="1013"/>
      <c r="Q919" s="1013"/>
      <c r="R919" s="1013"/>
      <c r="S919" s="1013"/>
      <c r="T919" s="1012"/>
      <c r="U919" s="1011"/>
      <c r="V919" s="1012"/>
      <c r="W919" s="1013"/>
      <c r="X919" s="1014"/>
      <c r="Y919" s="1012"/>
      <c r="Z919" s="1012"/>
      <c r="AA919" s="1012"/>
      <c r="AB919" s="1012"/>
      <c r="AC919" s="1012"/>
      <c r="AD919" s="1012"/>
      <c r="AE919" s="1012"/>
      <c r="AF919" s="1012"/>
      <c r="AG919" s="1012"/>
      <c r="AH919" s="1012"/>
      <c r="AI919" s="1012"/>
      <c r="AJ919" s="1012"/>
      <c r="AK919" s="1012"/>
    </row>
    <row r="920">
      <c r="A920" s="1012"/>
      <c r="B920" s="1013"/>
      <c r="C920" s="1012"/>
      <c r="D920" s="1013"/>
      <c r="E920" s="1012"/>
      <c r="F920" s="1012"/>
      <c r="G920" s="1013"/>
      <c r="H920" s="1012"/>
      <c r="I920" s="1012"/>
      <c r="J920" s="1013"/>
      <c r="K920" s="1013"/>
      <c r="L920" s="1094"/>
      <c r="M920" s="1094"/>
      <c r="N920" s="1013"/>
      <c r="O920" s="1013"/>
      <c r="P920" s="1013"/>
      <c r="Q920" s="1013"/>
      <c r="R920" s="1013"/>
      <c r="S920" s="1013"/>
      <c r="T920" s="1012"/>
      <c r="U920" s="1011"/>
      <c r="V920" s="1012"/>
      <c r="W920" s="1013"/>
      <c r="X920" s="1014"/>
      <c r="Y920" s="1012"/>
      <c r="Z920" s="1012"/>
      <c r="AA920" s="1012"/>
      <c r="AB920" s="1012"/>
      <c r="AC920" s="1012"/>
      <c r="AD920" s="1012"/>
      <c r="AE920" s="1012"/>
      <c r="AF920" s="1012"/>
      <c r="AG920" s="1012"/>
      <c r="AH920" s="1012"/>
      <c r="AI920" s="1012"/>
      <c r="AJ920" s="1012"/>
      <c r="AK920" s="1012"/>
    </row>
    <row r="921">
      <c r="A921" s="1012"/>
      <c r="B921" s="1013"/>
      <c r="C921" s="1012"/>
      <c r="D921" s="1013"/>
      <c r="E921" s="1012"/>
      <c r="F921" s="1012"/>
      <c r="G921" s="1013"/>
      <c r="H921" s="1012"/>
      <c r="I921" s="1012"/>
      <c r="J921" s="1013"/>
      <c r="K921" s="1013"/>
      <c r="L921" s="1094"/>
      <c r="M921" s="1094"/>
      <c r="N921" s="1013"/>
      <c r="O921" s="1013"/>
      <c r="P921" s="1013"/>
      <c r="Q921" s="1013"/>
      <c r="R921" s="1013"/>
      <c r="S921" s="1013"/>
      <c r="T921" s="1012"/>
      <c r="U921" s="1011"/>
      <c r="V921" s="1012"/>
      <c r="W921" s="1013"/>
      <c r="X921" s="1014"/>
      <c r="Y921" s="1012"/>
      <c r="Z921" s="1012"/>
      <c r="AA921" s="1012"/>
      <c r="AB921" s="1012"/>
      <c r="AC921" s="1012"/>
      <c r="AD921" s="1012"/>
      <c r="AE921" s="1012"/>
      <c r="AF921" s="1012"/>
      <c r="AG921" s="1012"/>
      <c r="AH921" s="1012"/>
      <c r="AI921" s="1012"/>
      <c r="AJ921" s="1012"/>
      <c r="AK921" s="1012"/>
    </row>
    <row r="922">
      <c r="A922" s="1012"/>
      <c r="B922" s="1013"/>
      <c r="C922" s="1012"/>
      <c r="D922" s="1013"/>
      <c r="E922" s="1012"/>
      <c r="F922" s="1012"/>
      <c r="G922" s="1013"/>
      <c r="H922" s="1012"/>
      <c r="I922" s="1012"/>
      <c r="J922" s="1013"/>
      <c r="K922" s="1013"/>
      <c r="L922" s="1094"/>
      <c r="M922" s="1094"/>
      <c r="N922" s="1013"/>
      <c r="O922" s="1013"/>
      <c r="P922" s="1013"/>
      <c r="Q922" s="1013"/>
      <c r="R922" s="1013"/>
      <c r="S922" s="1013"/>
      <c r="T922" s="1012"/>
      <c r="U922" s="1011"/>
      <c r="V922" s="1012"/>
      <c r="W922" s="1013"/>
      <c r="X922" s="1014"/>
      <c r="Y922" s="1012"/>
      <c r="Z922" s="1012"/>
      <c r="AA922" s="1012"/>
      <c r="AB922" s="1012"/>
      <c r="AC922" s="1012"/>
      <c r="AD922" s="1012"/>
      <c r="AE922" s="1012"/>
      <c r="AF922" s="1012"/>
      <c r="AG922" s="1012"/>
      <c r="AH922" s="1012"/>
      <c r="AI922" s="1012"/>
      <c r="AJ922" s="1012"/>
      <c r="AK922" s="1012"/>
    </row>
    <row r="923">
      <c r="A923" s="1012"/>
      <c r="B923" s="1013"/>
      <c r="C923" s="1012"/>
      <c r="D923" s="1013"/>
      <c r="E923" s="1012"/>
      <c r="F923" s="1012"/>
      <c r="G923" s="1013"/>
      <c r="H923" s="1012"/>
      <c r="I923" s="1012"/>
      <c r="J923" s="1013"/>
      <c r="K923" s="1013"/>
      <c r="L923" s="1094"/>
      <c r="M923" s="1094"/>
      <c r="N923" s="1013"/>
      <c r="O923" s="1013"/>
      <c r="P923" s="1013"/>
      <c r="Q923" s="1013"/>
      <c r="R923" s="1013"/>
      <c r="S923" s="1013"/>
      <c r="T923" s="1012"/>
      <c r="U923" s="1011"/>
      <c r="V923" s="1012"/>
      <c r="W923" s="1013"/>
      <c r="X923" s="1014"/>
      <c r="Y923" s="1012"/>
      <c r="Z923" s="1012"/>
      <c r="AA923" s="1012"/>
      <c r="AB923" s="1012"/>
      <c r="AC923" s="1012"/>
      <c r="AD923" s="1012"/>
      <c r="AE923" s="1012"/>
      <c r="AF923" s="1012"/>
      <c r="AG923" s="1012"/>
      <c r="AH923" s="1012"/>
      <c r="AI923" s="1012"/>
      <c r="AJ923" s="1012"/>
      <c r="AK923" s="1012"/>
    </row>
    <row r="924">
      <c r="A924" s="1012"/>
      <c r="B924" s="1013"/>
      <c r="C924" s="1012"/>
      <c r="D924" s="1013"/>
      <c r="E924" s="1012"/>
      <c r="F924" s="1012"/>
      <c r="G924" s="1013"/>
      <c r="H924" s="1012"/>
      <c r="I924" s="1012"/>
      <c r="J924" s="1013"/>
      <c r="K924" s="1013"/>
      <c r="L924" s="1094"/>
      <c r="M924" s="1094"/>
      <c r="N924" s="1013"/>
      <c r="O924" s="1013"/>
      <c r="P924" s="1013"/>
      <c r="Q924" s="1013"/>
      <c r="R924" s="1013"/>
      <c r="S924" s="1013"/>
      <c r="T924" s="1012"/>
      <c r="U924" s="1011"/>
      <c r="V924" s="1012"/>
      <c r="W924" s="1013"/>
      <c r="X924" s="1014"/>
      <c r="Y924" s="1012"/>
      <c r="Z924" s="1012"/>
      <c r="AA924" s="1012"/>
      <c r="AB924" s="1012"/>
      <c r="AC924" s="1012"/>
      <c r="AD924" s="1012"/>
      <c r="AE924" s="1012"/>
      <c r="AF924" s="1012"/>
      <c r="AG924" s="1012"/>
      <c r="AH924" s="1012"/>
      <c r="AI924" s="1012"/>
      <c r="AJ924" s="1012"/>
      <c r="AK924" s="1012"/>
    </row>
    <row r="925">
      <c r="A925" s="1012"/>
      <c r="B925" s="1013"/>
      <c r="C925" s="1012"/>
      <c r="D925" s="1013"/>
      <c r="E925" s="1012"/>
      <c r="F925" s="1012"/>
      <c r="G925" s="1013"/>
      <c r="H925" s="1012"/>
      <c r="I925" s="1012"/>
      <c r="J925" s="1013"/>
      <c r="K925" s="1013"/>
      <c r="L925" s="1094"/>
      <c r="M925" s="1094"/>
      <c r="N925" s="1013"/>
      <c r="O925" s="1013"/>
      <c r="P925" s="1013"/>
      <c r="Q925" s="1013"/>
      <c r="R925" s="1013"/>
      <c r="S925" s="1013"/>
      <c r="T925" s="1012"/>
      <c r="U925" s="1011"/>
      <c r="V925" s="1012"/>
      <c r="W925" s="1013"/>
      <c r="X925" s="1014"/>
      <c r="Y925" s="1012"/>
      <c r="Z925" s="1012"/>
      <c r="AA925" s="1012"/>
      <c r="AB925" s="1012"/>
      <c r="AC925" s="1012"/>
      <c r="AD925" s="1012"/>
      <c r="AE925" s="1012"/>
      <c r="AF925" s="1012"/>
      <c r="AG925" s="1012"/>
      <c r="AH925" s="1012"/>
      <c r="AI925" s="1012"/>
      <c r="AJ925" s="1012"/>
      <c r="AK925" s="1012"/>
    </row>
    <row r="926">
      <c r="A926" s="1012"/>
      <c r="B926" s="1013"/>
      <c r="C926" s="1012"/>
      <c r="D926" s="1013"/>
      <c r="E926" s="1012"/>
      <c r="F926" s="1012"/>
      <c r="G926" s="1013"/>
      <c r="H926" s="1012"/>
      <c r="I926" s="1012"/>
      <c r="J926" s="1013"/>
      <c r="K926" s="1013"/>
      <c r="L926" s="1094"/>
      <c r="M926" s="1094"/>
      <c r="N926" s="1013"/>
      <c r="O926" s="1013"/>
      <c r="P926" s="1013"/>
      <c r="Q926" s="1013"/>
      <c r="R926" s="1013"/>
      <c r="S926" s="1013"/>
      <c r="T926" s="1012"/>
      <c r="U926" s="1011"/>
      <c r="V926" s="1012"/>
      <c r="W926" s="1013"/>
      <c r="X926" s="1014"/>
      <c r="Y926" s="1012"/>
      <c r="Z926" s="1012"/>
      <c r="AA926" s="1012"/>
      <c r="AB926" s="1012"/>
      <c r="AC926" s="1012"/>
      <c r="AD926" s="1012"/>
      <c r="AE926" s="1012"/>
      <c r="AF926" s="1012"/>
      <c r="AG926" s="1012"/>
      <c r="AH926" s="1012"/>
      <c r="AI926" s="1012"/>
      <c r="AJ926" s="1012"/>
      <c r="AK926" s="1012"/>
    </row>
    <row r="927">
      <c r="A927" s="1012"/>
      <c r="B927" s="1013"/>
      <c r="C927" s="1012"/>
      <c r="D927" s="1013"/>
      <c r="E927" s="1012"/>
      <c r="F927" s="1012"/>
      <c r="G927" s="1013"/>
      <c r="H927" s="1012"/>
      <c r="I927" s="1012"/>
      <c r="J927" s="1013"/>
      <c r="K927" s="1013"/>
      <c r="L927" s="1094"/>
      <c r="M927" s="1094"/>
      <c r="N927" s="1013"/>
      <c r="O927" s="1013"/>
      <c r="P927" s="1013"/>
      <c r="Q927" s="1013"/>
      <c r="R927" s="1013"/>
      <c r="S927" s="1013"/>
      <c r="T927" s="1012"/>
      <c r="U927" s="1011"/>
      <c r="V927" s="1012"/>
      <c r="W927" s="1013"/>
      <c r="X927" s="1014"/>
      <c r="Y927" s="1012"/>
      <c r="Z927" s="1012"/>
      <c r="AA927" s="1012"/>
      <c r="AB927" s="1012"/>
      <c r="AC927" s="1012"/>
      <c r="AD927" s="1012"/>
      <c r="AE927" s="1012"/>
      <c r="AF927" s="1012"/>
      <c r="AG927" s="1012"/>
      <c r="AH927" s="1012"/>
      <c r="AI927" s="1012"/>
      <c r="AJ927" s="1012"/>
      <c r="AK927" s="1012"/>
    </row>
    <row r="928">
      <c r="A928" s="1012"/>
      <c r="B928" s="1013"/>
      <c r="C928" s="1012"/>
      <c r="D928" s="1013"/>
      <c r="E928" s="1012"/>
      <c r="F928" s="1012"/>
      <c r="G928" s="1013"/>
      <c r="H928" s="1012"/>
      <c r="I928" s="1012"/>
      <c r="J928" s="1013"/>
      <c r="K928" s="1013"/>
      <c r="L928" s="1094"/>
      <c r="M928" s="1094"/>
      <c r="N928" s="1013"/>
      <c r="O928" s="1013"/>
      <c r="P928" s="1013"/>
      <c r="Q928" s="1013"/>
      <c r="R928" s="1013"/>
      <c r="S928" s="1013"/>
      <c r="T928" s="1012"/>
      <c r="U928" s="1011"/>
      <c r="V928" s="1012"/>
      <c r="W928" s="1013"/>
      <c r="X928" s="1014"/>
      <c r="Y928" s="1012"/>
      <c r="Z928" s="1012"/>
      <c r="AA928" s="1012"/>
      <c r="AB928" s="1012"/>
      <c r="AC928" s="1012"/>
      <c r="AD928" s="1012"/>
      <c r="AE928" s="1012"/>
      <c r="AF928" s="1012"/>
      <c r="AG928" s="1012"/>
      <c r="AH928" s="1012"/>
      <c r="AI928" s="1012"/>
      <c r="AJ928" s="1012"/>
      <c r="AK928" s="1012"/>
    </row>
    <row r="929">
      <c r="A929" s="1012"/>
      <c r="B929" s="1013"/>
      <c r="C929" s="1012"/>
      <c r="D929" s="1013"/>
      <c r="E929" s="1012"/>
      <c r="F929" s="1012"/>
      <c r="G929" s="1013"/>
      <c r="H929" s="1012"/>
      <c r="I929" s="1012"/>
      <c r="J929" s="1013"/>
      <c r="K929" s="1013"/>
      <c r="L929" s="1094"/>
      <c r="M929" s="1094"/>
      <c r="N929" s="1013"/>
      <c r="O929" s="1013"/>
      <c r="P929" s="1013"/>
      <c r="Q929" s="1013"/>
      <c r="R929" s="1013"/>
      <c r="S929" s="1013"/>
      <c r="T929" s="1012"/>
      <c r="U929" s="1011"/>
      <c r="V929" s="1012"/>
      <c r="W929" s="1013"/>
      <c r="X929" s="1014"/>
      <c r="Y929" s="1012"/>
      <c r="Z929" s="1012"/>
      <c r="AA929" s="1012"/>
      <c r="AB929" s="1012"/>
      <c r="AC929" s="1012"/>
      <c r="AD929" s="1012"/>
      <c r="AE929" s="1012"/>
      <c r="AF929" s="1012"/>
      <c r="AG929" s="1012"/>
      <c r="AH929" s="1012"/>
      <c r="AI929" s="1012"/>
      <c r="AJ929" s="1012"/>
      <c r="AK929" s="1012"/>
    </row>
    <row r="930">
      <c r="A930" s="1012"/>
      <c r="B930" s="1013"/>
      <c r="C930" s="1012"/>
      <c r="D930" s="1013"/>
      <c r="E930" s="1012"/>
      <c r="F930" s="1012"/>
      <c r="G930" s="1013"/>
      <c r="H930" s="1012"/>
      <c r="I930" s="1012"/>
      <c r="J930" s="1013"/>
      <c r="K930" s="1013"/>
      <c r="L930" s="1094"/>
      <c r="M930" s="1094"/>
      <c r="N930" s="1013"/>
      <c r="O930" s="1013"/>
      <c r="P930" s="1013"/>
      <c r="Q930" s="1013"/>
      <c r="R930" s="1013"/>
      <c r="S930" s="1013"/>
      <c r="T930" s="1012"/>
      <c r="U930" s="1011"/>
      <c r="V930" s="1012"/>
      <c r="W930" s="1013"/>
      <c r="X930" s="1014"/>
      <c r="Y930" s="1012"/>
      <c r="Z930" s="1012"/>
      <c r="AA930" s="1012"/>
      <c r="AB930" s="1012"/>
      <c r="AC930" s="1012"/>
      <c r="AD930" s="1012"/>
      <c r="AE930" s="1012"/>
      <c r="AF930" s="1012"/>
      <c r="AG930" s="1012"/>
      <c r="AH930" s="1012"/>
      <c r="AI930" s="1012"/>
      <c r="AJ930" s="1012"/>
      <c r="AK930" s="1012"/>
    </row>
    <row r="931">
      <c r="A931" s="1012"/>
      <c r="B931" s="1013"/>
      <c r="C931" s="1012"/>
      <c r="D931" s="1013"/>
      <c r="E931" s="1012"/>
      <c r="F931" s="1012"/>
      <c r="G931" s="1013"/>
      <c r="H931" s="1012"/>
      <c r="I931" s="1012"/>
      <c r="J931" s="1013"/>
      <c r="K931" s="1013"/>
      <c r="L931" s="1094"/>
      <c r="M931" s="1094"/>
      <c r="N931" s="1013"/>
      <c r="O931" s="1013"/>
      <c r="P931" s="1013"/>
      <c r="Q931" s="1013"/>
      <c r="R931" s="1013"/>
      <c r="S931" s="1013"/>
      <c r="T931" s="1012"/>
      <c r="U931" s="1011"/>
      <c r="V931" s="1012"/>
      <c r="W931" s="1013"/>
      <c r="X931" s="1014"/>
      <c r="Y931" s="1012"/>
      <c r="Z931" s="1012"/>
      <c r="AA931" s="1012"/>
      <c r="AB931" s="1012"/>
      <c r="AC931" s="1012"/>
      <c r="AD931" s="1012"/>
      <c r="AE931" s="1012"/>
      <c r="AF931" s="1012"/>
      <c r="AG931" s="1012"/>
      <c r="AH931" s="1012"/>
      <c r="AI931" s="1012"/>
      <c r="AJ931" s="1012"/>
      <c r="AK931" s="1012"/>
    </row>
    <row r="932">
      <c r="A932" s="1012"/>
      <c r="B932" s="1013"/>
      <c r="C932" s="1012"/>
      <c r="D932" s="1013"/>
      <c r="E932" s="1012"/>
      <c r="F932" s="1012"/>
      <c r="G932" s="1013"/>
      <c r="H932" s="1012"/>
      <c r="I932" s="1012"/>
      <c r="J932" s="1013"/>
      <c r="K932" s="1013"/>
      <c r="L932" s="1094"/>
      <c r="M932" s="1094"/>
      <c r="N932" s="1013"/>
      <c r="O932" s="1013"/>
      <c r="P932" s="1013"/>
      <c r="Q932" s="1013"/>
      <c r="R932" s="1013"/>
      <c r="S932" s="1013"/>
      <c r="T932" s="1012"/>
      <c r="U932" s="1011"/>
      <c r="V932" s="1012"/>
      <c r="W932" s="1013"/>
      <c r="X932" s="1014"/>
      <c r="Y932" s="1012"/>
      <c r="Z932" s="1012"/>
      <c r="AA932" s="1012"/>
      <c r="AB932" s="1012"/>
      <c r="AC932" s="1012"/>
      <c r="AD932" s="1012"/>
      <c r="AE932" s="1012"/>
      <c r="AF932" s="1012"/>
      <c r="AG932" s="1012"/>
      <c r="AH932" s="1012"/>
      <c r="AI932" s="1012"/>
      <c r="AJ932" s="1012"/>
      <c r="AK932" s="1012"/>
    </row>
    <row r="933">
      <c r="A933" s="1012"/>
      <c r="B933" s="1013"/>
      <c r="C933" s="1012"/>
      <c r="D933" s="1013"/>
      <c r="E933" s="1012"/>
      <c r="F933" s="1012"/>
      <c r="G933" s="1013"/>
      <c r="H933" s="1012"/>
      <c r="I933" s="1012"/>
      <c r="J933" s="1013"/>
      <c r="K933" s="1013"/>
      <c r="L933" s="1094"/>
      <c r="M933" s="1094"/>
      <c r="N933" s="1013"/>
      <c r="O933" s="1013"/>
      <c r="P933" s="1013"/>
      <c r="Q933" s="1013"/>
      <c r="R933" s="1013"/>
      <c r="S933" s="1013"/>
      <c r="T933" s="1012"/>
      <c r="U933" s="1011"/>
      <c r="V933" s="1012"/>
      <c r="W933" s="1013"/>
      <c r="X933" s="1014"/>
      <c r="Y933" s="1012"/>
      <c r="Z933" s="1012"/>
      <c r="AA933" s="1012"/>
      <c r="AB933" s="1012"/>
      <c r="AC933" s="1012"/>
      <c r="AD933" s="1012"/>
      <c r="AE933" s="1012"/>
      <c r="AF933" s="1012"/>
      <c r="AG933" s="1012"/>
      <c r="AH933" s="1012"/>
      <c r="AI933" s="1012"/>
      <c r="AJ933" s="1012"/>
      <c r="AK933" s="1012"/>
    </row>
    <row r="934">
      <c r="A934" s="1012"/>
      <c r="B934" s="1013"/>
      <c r="C934" s="1012"/>
      <c r="D934" s="1013"/>
      <c r="E934" s="1012"/>
      <c r="F934" s="1012"/>
      <c r="G934" s="1013"/>
      <c r="H934" s="1012"/>
      <c r="I934" s="1012"/>
      <c r="J934" s="1013"/>
      <c r="K934" s="1013"/>
      <c r="L934" s="1094"/>
      <c r="M934" s="1094"/>
      <c r="N934" s="1013"/>
      <c r="O934" s="1013"/>
      <c r="P934" s="1013"/>
      <c r="Q934" s="1013"/>
      <c r="R934" s="1013"/>
      <c r="S934" s="1013"/>
      <c r="T934" s="1012"/>
      <c r="U934" s="1011"/>
      <c r="V934" s="1012"/>
      <c r="W934" s="1013"/>
      <c r="X934" s="1014"/>
      <c r="Y934" s="1012"/>
      <c r="Z934" s="1012"/>
      <c r="AA934" s="1012"/>
      <c r="AB934" s="1012"/>
      <c r="AC934" s="1012"/>
      <c r="AD934" s="1012"/>
      <c r="AE934" s="1012"/>
      <c r="AF934" s="1012"/>
      <c r="AG934" s="1012"/>
      <c r="AH934" s="1012"/>
      <c r="AI934" s="1012"/>
      <c r="AJ934" s="1012"/>
      <c r="AK934" s="1012"/>
    </row>
    <row r="935">
      <c r="A935" s="1012"/>
      <c r="B935" s="1013"/>
      <c r="C935" s="1012"/>
      <c r="D935" s="1013"/>
      <c r="E935" s="1012"/>
      <c r="F935" s="1012"/>
      <c r="G935" s="1013"/>
      <c r="H935" s="1012"/>
      <c r="I935" s="1012"/>
      <c r="J935" s="1013"/>
      <c r="K935" s="1013"/>
      <c r="L935" s="1094"/>
      <c r="M935" s="1094"/>
      <c r="N935" s="1013"/>
      <c r="O935" s="1013"/>
      <c r="P935" s="1013"/>
      <c r="Q935" s="1013"/>
      <c r="R935" s="1013"/>
      <c r="S935" s="1013"/>
      <c r="T935" s="1012"/>
      <c r="U935" s="1011"/>
      <c r="V935" s="1012"/>
      <c r="W935" s="1013"/>
      <c r="X935" s="1014"/>
      <c r="Y935" s="1012"/>
      <c r="Z935" s="1012"/>
      <c r="AA935" s="1012"/>
      <c r="AB935" s="1012"/>
      <c r="AC935" s="1012"/>
      <c r="AD935" s="1012"/>
      <c r="AE935" s="1012"/>
      <c r="AF935" s="1012"/>
      <c r="AG935" s="1012"/>
      <c r="AH935" s="1012"/>
      <c r="AI935" s="1012"/>
      <c r="AJ935" s="1012"/>
      <c r="AK935" s="1012"/>
    </row>
    <row r="936">
      <c r="A936" s="1012"/>
      <c r="B936" s="1013"/>
      <c r="C936" s="1012"/>
      <c r="D936" s="1013"/>
      <c r="E936" s="1012"/>
      <c r="F936" s="1012"/>
      <c r="G936" s="1013"/>
      <c r="H936" s="1012"/>
      <c r="I936" s="1012"/>
      <c r="J936" s="1013"/>
      <c r="K936" s="1013"/>
      <c r="L936" s="1094"/>
      <c r="M936" s="1094"/>
      <c r="N936" s="1013"/>
      <c r="O936" s="1013"/>
      <c r="P936" s="1013"/>
      <c r="Q936" s="1013"/>
      <c r="R936" s="1013"/>
      <c r="S936" s="1013"/>
      <c r="T936" s="1012"/>
      <c r="U936" s="1011"/>
      <c r="V936" s="1012"/>
      <c r="W936" s="1013"/>
      <c r="X936" s="1014"/>
      <c r="Y936" s="1012"/>
      <c r="Z936" s="1012"/>
      <c r="AA936" s="1012"/>
      <c r="AB936" s="1012"/>
      <c r="AC936" s="1012"/>
      <c r="AD936" s="1012"/>
      <c r="AE936" s="1012"/>
      <c r="AF936" s="1012"/>
      <c r="AG936" s="1012"/>
      <c r="AH936" s="1012"/>
      <c r="AI936" s="1012"/>
      <c r="AJ936" s="1012"/>
      <c r="AK936" s="1012"/>
    </row>
    <row r="937">
      <c r="A937" s="1012"/>
      <c r="B937" s="1013"/>
      <c r="C937" s="1012"/>
      <c r="D937" s="1013"/>
      <c r="E937" s="1012"/>
      <c r="F937" s="1012"/>
      <c r="G937" s="1013"/>
      <c r="H937" s="1012"/>
      <c r="I937" s="1012"/>
      <c r="J937" s="1013"/>
      <c r="K937" s="1013"/>
      <c r="L937" s="1094"/>
      <c r="M937" s="1094"/>
      <c r="N937" s="1013"/>
      <c r="O937" s="1013"/>
      <c r="P937" s="1013"/>
      <c r="Q937" s="1013"/>
      <c r="R937" s="1013"/>
      <c r="S937" s="1013"/>
      <c r="T937" s="1012"/>
      <c r="U937" s="1011"/>
      <c r="V937" s="1012"/>
      <c r="W937" s="1013"/>
      <c r="X937" s="1014"/>
      <c r="Y937" s="1012"/>
      <c r="Z937" s="1012"/>
      <c r="AA937" s="1012"/>
      <c r="AB937" s="1012"/>
      <c r="AC937" s="1012"/>
      <c r="AD937" s="1012"/>
      <c r="AE937" s="1012"/>
      <c r="AF937" s="1012"/>
      <c r="AG937" s="1012"/>
      <c r="AH937" s="1012"/>
      <c r="AI937" s="1012"/>
      <c r="AJ937" s="1012"/>
      <c r="AK937" s="1012"/>
    </row>
    <row r="938">
      <c r="A938" s="1012"/>
      <c r="B938" s="1013"/>
      <c r="C938" s="1012"/>
      <c r="D938" s="1013"/>
      <c r="E938" s="1012"/>
      <c r="F938" s="1012"/>
      <c r="G938" s="1013"/>
      <c r="H938" s="1012"/>
      <c r="I938" s="1012"/>
      <c r="J938" s="1013"/>
      <c r="K938" s="1013"/>
      <c r="L938" s="1094"/>
      <c r="M938" s="1094"/>
      <c r="N938" s="1013"/>
      <c r="O938" s="1013"/>
      <c r="P938" s="1013"/>
      <c r="Q938" s="1013"/>
      <c r="R938" s="1013"/>
      <c r="S938" s="1013"/>
      <c r="T938" s="1012"/>
      <c r="U938" s="1011"/>
      <c r="V938" s="1012"/>
      <c r="W938" s="1013"/>
      <c r="X938" s="1014"/>
      <c r="Y938" s="1012"/>
      <c r="Z938" s="1012"/>
      <c r="AA938" s="1012"/>
      <c r="AB938" s="1012"/>
      <c r="AC938" s="1012"/>
      <c r="AD938" s="1012"/>
      <c r="AE938" s="1012"/>
      <c r="AF938" s="1012"/>
      <c r="AG938" s="1012"/>
      <c r="AH938" s="1012"/>
      <c r="AI938" s="1012"/>
      <c r="AJ938" s="1012"/>
      <c r="AK938" s="1012"/>
    </row>
    <row r="939">
      <c r="A939" s="1012"/>
      <c r="B939" s="1013"/>
      <c r="C939" s="1012"/>
      <c r="D939" s="1013"/>
      <c r="E939" s="1012"/>
      <c r="F939" s="1012"/>
      <c r="G939" s="1013"/>
      <c r="H939" s="1012"/>
      <c r="I939" s="1012"/>
      <c r="J939" s="1013"/>
      <c r="K939" s="1013"/>
      <c r="L939" s="1094"/>
      <c r="M939" s="1094"/>
      <c r="N939" s="1013"/>
      <c r="O939" s="1013"/>
      <c r="P939" s="1013"/>
      <c r="Q939" s="1013"/>
      <c r="R939" s="1013"/>
      <c r="S939" s="1013"/>
      <c r="T939" s="1012"/>
      <c r="U939" s="1011"/>
      <c r="V939" s="1012"/>
      <c r="W939" s="1013"/>
      <c r="X939" s="1014"/>
      <c r="Y939" s="1012"/>
      <c r="Z939" s="1012"/>
      <c r="AA939" s="1012"/>
      <c r="AB939" s="1012"/>
      <c r="AC939" s="1012"/>
      <c r="AD939" s="1012"/>
      <c r="AE939" s="1012"/>
      <c r="AF939" s="1012"/>
      <c r="AG939" s="1012"/>
      <c r="AH939" s="1012"/>
      <c r="AI939" s="1012"/>
      <c r="AJ939" s="1012"/>
      <c r="AK939" s="1012"/>
    </row>
    <row r="940">
      <c r="A940" s="1012"/>
      <c r="B940" s="1013"/>
      <c r="C940" s="1012"/>
      <c r="D940" s="1013"/>
      <c r="E940" s="1012"/>
      <c r="F940" s="1012"/>
      <c r="G940" s="1013"/>
      <c r="H940" s="1012"/>
      <c r="I940" s="1012"/>
      <c r="J940" s="1013"/>
      <c r="K940" s="1013"/>
      <c r="L940" s="1094"/>
      <c r="M940" s="1094"/>
      <c r="N940" s="1013"/>
      <c r="O940" s="1013"/>
      <c r="P940" s="1013"/>
      <c r="Q940" s="1013"/>
      <c r="R940" s="1013"/>
      <c r="S940" s="1013"/>
      <c r="T940" s="1012"/>
      <c r="U940" s="1011"/>
      <c r="V940" s="1012"/>
      <c r="W940" s="1013"/>
      <c r="X940" s="1014"/>
      <c r="Y940" s="1012"/>
      <c r="Z940" s="1012"/>
      <c r="AA940" s="1012"/>
      <c r="AB940" s="1012"/>
      <c r="AC940" s="1012"/>
      <c r="AD940" s="1012"/>
      <c r="AE940" s="1012"/>
      <c r="AF940" s="1012"/>
      <c r="AG940" s="1012"/>
      <c r="AH940" s="1012"/>
      <c r="AI940" s="1012"/>
      <c r="AJ940" s="1012"/>
      <c r="AK940" s="1012"/>
    </row>
    <row r="941">
      <c r="A941" s="1012"/>
      <c r="B941" s="1013"/>
      <c r="C941" s="1012"/>
      <c r="D941" s="1013"/>
      <c r="E941" s="1012"/>
      <c r="F941" s="1012"/>
      <c r="G941" s="1013"/>
      <c r="H941" s="1012"/>
      <c r="I941" s="1012"/>
      <c r="J941" s="1013"/>
      <c r="K941" s="1013"/>
      <c r="L941" s="1094"/>
      <c r="M941" s="1094"/>
      <c r="N941" s="1013"/>
      <c r="O941" s="1013"/>
      <c r="P941" s="1013"/>
      <c r="Q941" s="1013"/>
      <c r="R941" s="1013"/>
      <c r="S941" s="1013"/>
      <c r="T941" s="1012"/>
      <c r="U941" s="1011"/>
      <c r="V941" s="1012"/>
      <c r="W941" s="1013"/>
      <c r="X941" s="1014"/>
      <c r="Y941" s="1012"/>
      <c r="Z941" s="1012"/>
      <c r="AA941" s="1012"/>
      <c r="AB941" s="1012"/>
      <c r="AC941" s="1012"/>
      <c r="AD941" s="1012"/>
      <c r="AE941" s="1012"/>
      <c r="AF941" s="1012"/>
      <c r="AG941" s="1012"/>
      <c r="AH941" s="1012"/>
      <c r="AI941" s="1012"/>
      <c r="AJ941" s="1012"/>
      <c r="AK941" s="1012"/>
    </row>
    <row r="942">
      <c r="A942" s="1012"/>
      <c r="B942" s="1013"/>
      <c r="C942" s="1012"/>
      <c r="D942" s="1013"/>
      <c r="E942" s="1012"/>
      <c r="F942" s="1012"/>
      <c r="G942" s="1013"/>
      <c r="H942" s="1012"/>
      <c r="I942" s="1012"/>
      <c r="J942" s="1013"/>
      <c r="K942" s="1013"/>
      <c r="L942" s="1094"/>
      <c r="M942" s="1094"/>
      <c r="N942" s="1013"/>
      <c r="O942" s="1013"/>
      <c r="P942" s="1013"/>
      <c r="Q942" s="1013"/>
      <c r="R942" s="1013"/>
      <c r="S942" s="1013"/>
      <c r="T942" s="1012"/>
      <c r="U942" s="1011"/>
      <c r="V942" s="1012"/>
      <c r="W942" s="1013"/>
      <c r="X942" s="1014"/>
      <c r="Y942" s="1012"/>
      <c r="Z942" s="1012"/>
      <c r="AA942" s="1012"/>
      <c r="AB942" s="1012"/>
      <c r="AC942" s="1012"/>
      <c r="AD942" s="1012"/>
      <c r="AE942" s="1012"/>
      <c r="AF942" s="1012"/>
      <c r="AG942" s="1012"/>
      <c r="AH942" s="1012"/>
      <c r="AI942" s="1012"/>
      <c r="AJ942" s="1012"/>
      <c r="AK942" s="1012"/>
    </row>
    <row r="943">
      <c r="A943" s="1012"/>
      <c r="B943" s="1013"/>
      <c r="C943" s="1012"/>
      <c r="D943" s="1013"/>
      <c r="E943" s="1012"/>
      <c r="F943" s="1012"/>
      <c r="G943" s="1013"/>
      <c r="H943" s="1012"/>
      <c r="I943" s="1012"/>
      <c r="J943" s="1013"/>
      <c r="K943" s="1013"/>
      <c r="L943" s="1094"/>
      <c r="M943" s="1094"/>
      <c r="N943" s="1013"/>
      <c r="O943" s="1013"/>
      <c r="P943" s="1013"/>
      <c r="Q943" s="1013"/>
      <c r="R943" s="1013"/>
      <c r="S943" s="1013"/>
      <c r="T943" s="1012"/>
      <c r="U943" s="1011"/>
      <c r="V943" s="1012"/>
      <c r="W943" s="1013"/>
      <c r="X943" s="1014"/>
      <c r="Y943" s="1012"/>
      <c r="Z943" s="1012"/>
      <c r="AA943" s="1012"/>
      <c r="AB943" s="1012"/>
      <c r="AC943" s="1012"/>
      <c r="AD943" s="1012"/>
      <c r="AE943" s="1012"/>
      <c r="AF943" s="1012"/>
      <c r="AG943" s="1012"/>
      <c r="AH943" s="1012"/>
      <c r="AI943" s="1012"/>
      <c r="AJ943" s="1012"/>
      <c r="AK943" s="1012"/>
    </row>
    <row r="944">
      <c r="A944" s="1012"/>
      <c r="B944" s="1013"/>
      <c r="C944" s="1012"/>
      <c r="D944" s="1013"/>
      <c r="E944" s="1012"/>
      <c r="F944" s="1012"/>
      <c r="G944" s="1013"/>
      <c r="H944" s="1012"/>
      <c r="I944" s="1012"/>
      <c r="J944" s="1013"/>
      <c r="K944" s="1013"/>
      <c r="L944" s="1094"/>
      <c r="M944" s="1094"/>
      <c r="N944" s="1013"/>
      <c r="O944" s="1013"/>
      <c r="P944" s="1013"/>
      <c r="Q944" s="1013"/>
      <c r="R944" s="1013"/>
      <c r="S944" s="1013"/>
      <c r="T944" s="1012"/>
      <c r="U944" s="1011"/>
      <c r="V944" s="1012"/>
      <c r="W944" s="1013"/>
      <c r="X944" s="1014"/>
      <c r="Y944" s="1012"/>
      <c r="Z944" s="1012"/>
      <c r="AA944" s="1012"/>
      <c r="AB944" s="1012"/>
      <c r="AC944" s="1012"/>
      <c r="AD944" s="1012"/>
      <c r="AE944" s="1012"/>
      <c r="AF944" s="1012"/>
      <c r="AG944" s="1012"/>
      <c r="AH944" s="1012"/>
      <c r="AI944" s="1012"/>
      <c r="AJ944" s="1012"/>
      <c r="AK944" s="1012"/>
    </row>
    <row r="945">
      <c r="A945" s="1012"/>
      <c r="B945" s="1013"/>
      <c r="C945" s="1012"/>
      <c r="D945" s="1013"/>
      <c r="E945" s="1012"/>
      <c r="F945" s="1012"/>
      <c r="G945" s="1013"/>
      <c r="H945" s="1012"/>
      <c r="I945" s="1012"/>
      <c r="J945" s="1013"/>
      <c r="K945" s="1013"/>
      <c r="L945" s="1094"/>
      <c r="M945" s="1094"/>
      <c r="N945" s="1013"/>
      <c r="O945" s="1013"/>
      <c r="P945" s="1013"/>
      <c r="Q945" s="1013"/>
      <c r="R945" s="1013"/>
      <c r="S945" s="1013"/>
      <c r="T945" s="1012"/>
      <c r="U945" s="1011"/>
      <c r="V945" s="1012"/>
      <c r="W945" s="1013"/>
      <c r="X945" s="1014"/>
      <c r="Y945" s="1012"/>
      <c r="Z945" s="1012"/>
      <c r="AA945" s="1012"/>
      <c r="AB945" s="1012"/>
      <c r="AC945" s="1012"/>
      <c r="AD945" s="1012"/>
      <c r="AE945" s="1012"/>
      <c r="AF945" s="1012"/>
      <c r="AG945" s="1012"/>
      <c r="AH945" s="1012"/>
      <c r="AI945" s="1012"/>
      <c r="AJ945" s="1012"/>
      <c r="AK945" s="1012"/>
    </row>
    <row r="946">
      <c r="A946" s="1012"/>
      <c r="B946" s="1013"/>
      <c r="C946" s="1012"/>
      <c r="D946" s="1013"/>
      <c r="E946" s="1012"/>
      <c r="F946" s="1012"/>
      <c r="G946" s="1013"/>
      <c r="H946" s="1012"/>
      <c r="I946" s="1012"/>
      <c r="J946" s="1013"/>
      <c r="K946" s="1013"/>
      <c r="L946" s="1094"/>
      <c r="M946" s="1094"/>
      <c r="N946" s="1013"/>
      <c r="O946" s="1013"/>
      <c r="P946" s="1013"/>
      <c r="Q946" s="1013"/>
      <c r="R946" s="1013"/>
      <c r="S946" s="1013"/>
      <c r="T946" s="1012"/>
      <c r="U946" s="1011"/>
      <c r="V946" s="1012"/>
      <c r="W946" s="1013"/>
      <c r="X946" s="1014"/>
      <c r="Y946" s="1012"/>
      <c r="Z946" s="1012"/>
      <c r="AA946" s="1012"/>
      <c r="AB946" s="1012"/>
      <c r="AC946" s="1012"/>
      <c r="AD946" s="1012"/>
      <c r="AE946" s="1012"/>
      <c r="AF946" s="1012"/>
      <c r="AG946" s="1012"/>
      <c r="AH946" s="1012"/>
      <c r="AI946" s="1012"/>
      <c r="AJ946" s="1012"/>
      <c r="AK946" s="1012"/>
    </row>
    <row r="947">
      <c r="A947" s="1012"/>
      <c r="B947" s="1013"/>
      <c r="C947" s="1012"/>
      <c r="D947" s="1013"/>
      <c r="E947" s="1012"/>
      <c r="F947" s="1012"/>
      <c r="G947" s="1013"/>
      <c r="H947" s="1012"/>
      <c r="I947" s="1012"/>
      <c r="J947" s="1013"/>
      <c r="K947" s="1013"/>
      <c r="L947" s="1094"/>
      <c r="M947" s="1094"/>
      <c r="N947" s="1013"/>
      <c r="O947" s="1013"/>
      <c r="P947" s="1013"/>
      <c r="Q947" s="1013"/>
      <c r="R947" s="1013"/>
      <c r="S947" s="1013"/>
      <c r="T947" s="1012"/>
      <c r="U947" s="1011"/>
      <c r="V947" s="1012"/>
      <c r="W947" s="1013"/>
      <c r="X947" s="1014"/>
      <c r="Y947" s="1012"/>
      <c r="Z947" s="1012"/>
      <c r="AA947" s="1012"/>
      <c r="AB947" s="1012"/>
      <c r="AC947" s="1012"/>
      <c r="AD947" s="1012"/>
      <c r="AE947" s="1012"/>
      <c r="AF947" s="1012"/>
      <c r="AG947" s="1012"/>
      <c r="AH947" s="1012"/>
      <c r="AI947" s="1012"/>
      <c r="AJ947" s="1012"/>
      <c r="AK947" s="1012"/>
    </row>
    <row r="948">
      <c r="A948" s="1012"/>
      <c r="B948" s="1013"/>
      <c r="C948" s="1012"/>
      <c r="D948" s="1013"/>
      <c r="E948" s="1012"/>
      <c r="F948" s="1012"/>
      <c r="G948" s="1013"/>
      <c r="H948" s="1012"/>
      <c r="I948" s="1012"/>
      <c r="J948" s="1013"/>
      <c r="K948" s="1013"/>
      <c r="L948" s="1094"/>
      <c r="M948" s="1094"/>
      <c r="N948" s="1013"/>
      <c r="O948" s="1013"/>
      <c r="P948" s="1013"/>
      <c r="Q948" s="1013"/>
      <c r="R948" s="1013"/>
      <c r="S948" s="1013"/>
      <c r="T948" s="1012"/>
      <c r="U948" s="1011"/>
      <c r="V948" s="1012"/>
      <c r="W948" s="1013"/>
      <c r="X948" s="1014"/>
      <c r="Y948" s="1012"/>
      <c r="Z948" s="1012"/>
      <c r="AA948" s="1012"/>
      <c r="AB948" s="1012"/>
      <c r="AC948" s="1012"/>
      <c r="AD948" s="1012"/>
      <c r="AE948" s="1012"/>
      <c r="AF948" s="1012"/>
      <c r="AG948" s="1012"/>
      <c r="AH948" s="1012"/>
      <c r="AI948" s="1012"/>
      <c r="AJ948" s="1012"/>
      <c r="AK948" s="1012"/>
    </row>
    <row r="949">
      <c r="A949" s="1012"/>
      <c r="B949" s="1013"/>
      <c r="C949" s="1012"/>
      <c r="D949" s="1013"/>
      <c r="E949" s="1012"/>
      <c r="F949" s="1012"/>
      <c r="G949" s="1013"/>
      <c r="H949" s="1012"/>
      <c r="I949" s="1012"/>
      <c r="J949" s="1013"/>
      <c r="K949" s="1013"/>
      <c r="L949" s="1094"/>
      <c r="M949" s="1094"/>
      <c r="N949" s="1013"/>
      <c r="O949" s="1013"/>
      <c r="P949" s="1013"/>
      <c r="Q949" s="1013"/>
      <c r="R949" s="1013"/>
      <c r="S949" s="1013"/>
      <c r="T949" s="1012"/>
      <c r="U949" s="1011"/>
      <c r="V949" s="1012"/>
      <c r="W949" s="1013"/>
      <c r="X949" s="1014"/>
      <c r="Y949" s="1012"/>
      <c r="Z949" s="1012"/>
      <c r="AA949" s="1012"/>
      <c r="AB949" s="1012"/>
      <c r="AC949" s="1012"/>
      <c r="AD949" s="1012"/>
      <c r="AE949" s="1012"/>
      <c r="AF949" s="1012"/>
      <c r="AG949" s="1012"/>
      <c r="AH949" s="1012"/>
      <c r="AI949" s="1012"/>
      <c r="AJ949" s="1012"/>
      <c r="AK949" s="1012"/>
    </row>
    <row r="950">
      <c r="A950" s="1012"/>
      <c r="B950" s="1013"/>
      <c r="C950" s="1012"/>
      <c r="D950" s="1013"/>
      <c r="E950" s="1012"/>
      <c r="F950" s="1012"/>
      <c r="G950" s="1013"/>
      <c r="H950" s="1012"/>
      <c r="I950" s="1012"/>
      <c r="J950" s="1013"/>
      <c r="K950" s="1013"/>
      <c r="L950" s="1094"/>
      <c r="M950" s="1094"/>
      <c r="N950" s="1013"/>
      <c r="O950" s="1013"/>
      <c r="P950" s="1013"/>
      <c r="Q950" s="1013"/>
      <c r="R950" s="1013"/>
      <c r="S950" s="1013"/>
      <c r="T950" s="1012"/>
      <c r="U950" s="1011"/>
      <c r="V950" s="1012"/>
      <c r="W950" s="1013"/>
      <c r="X950" s="1014"/>
      <c r="Y950" s="1012"/>
      <c r="Z950" s="1012"/>
      <c r="AA950" s="1012"/>
      <c r="AB950" s="1012"/>
      <c r="AC950" s="1012"/>
      <c r="AD950" s="1012"/>
      <c r="AE950" s="1012"/>
      <c r="AF950" s="1012"/>
      <c r="AG950" s="1012"/>
      <c r="AH950" s="1012"/>
      <c r="AI950" s="1012"/>
      <c r="AJ950" s="1012"/>
      <c r="AK950" s="1012"/>
    </row>
    <row r="951">
      <c r="A951" s="1012"/>
      <c r="B951" s="1013"/>
      <c r="C951" s="1012"/>
      <c r="D951" s="1013"/>
      <c r="E951" s="1012"/>
      <c r="F951" s="1012"/>
      <c r="G951" s="1013"/>
      <c r="H951" s="1012"/>
      <c r="I951" s="1012"/>
      <c r="J951" s="1013"/>
      <c r="K951" s="1013"/>
      <c r="L951" s="1094"/>
      <c r="M951" s="1094"/>
      <c r="N951" s="1013"/>
      <c r="O951" s="1013"/>
      <c r="P951" s="1013"/>
      <c r="Q951" s="1013"/>
      <c r="R951" s="1013"/>
      <c r="S951" s="1013"/>
      <c r="T951" s="1012"/>
      <c r="U951" s="1011"/>
      <c r="V951" s="1012"/>
      <c r="W951" s="1013"/>
      <c r="X951" s="1014"/>
      <c r="Y951" s="1012"/>
      <c r="Z951" s="1012"/>
      <c r="AA951" s="1012"/>
      <c r="AB951" s="1012"/>
      <c r="AC951" s="1012"/>
      <c r="AD951" s="1012"/>
      <c r="AE951" s="1012"/>
      <c r="AF951" s="1012"/>
      <c r="AG951" s="1012"/>
      <c r="AH951" s="1012"/>
      <c r="AI951" s="1012"/>
      <c r="AJ951" s="1012"/>
      <c r="AK951" s="1012"/>
    </row>
    <row r="952">
      <c r="A952" s="1012"/>
      <c r="B952" s="1013"/>
      <c r="C952" s="1012"/>
      <c r="D952" s="1013"/>
      <c r="E952" s="1012"/>
      <c r="F952" s="1012"/>
      <c r="G952" s="1013"/>
      <c r="H952" s="1012"/>
      <c r="I952" s="1012"/>
      <c r="J952" s="1013"/>
      <c r="K952" s="1013"/>
      <c r="L952" s="1094"/>
      <c r="M952" s="1094"/>
      <c r="N952" s="1013"/>
      <c r="O952" s="1013"/>
      <c r="P952" s="1013"/>
      <c r="Q952" s="1013"/>
      <c r="R952" s="1013"/>
      <c r="S952" s="1013"/>
      <c r="T952" s="1012"/>
      <c r="U952" s="1011"/>
      <c r="V952" s="1012"/>
      <c r="W952" s="1013"/>
      <c r="X952" s="1014"/>
      <c r="Y952" s="1012"/>
      <c r="Z952" s="1012"/>
      <c r="AA952" s="1012"/>
      <c r="AB952" s="1012"/>
      <c r="AC952" s="1012"/>
      <c r="AD952" s="1012"/>
      <c r="AE952" s="1012"/>
      <c r="AF952" s="1012"/>
      <c r="AG952" s="1012"/>
      <c r="AH952" s="1012"/>
      <c r="AI952" s="1012"/>
      <c r="AJ952" s="1012"/>
      <c r="AK952" s="1012"/>
    </row>
    <row r="953">
      <c r="A953" s="1012"/>
      <c r="B953" s="1013"/>
      <c r="C953" s="1012"/>
      <c r="D953" s="1013"/>
      <c r="E953" s="1012"/>
      <c r="F953" s="1012"/>
      <c r="G953" s="1013"/>
      <c r="H953" s="1012"/>
      <c r="I953" s="1012"/>
      <c r="J953" s="1013"/>
      <c r="K953" s="1013"/>
      <c r="L953" s="1094"/>
      <c r="M953" s="1094"/>
      <c r="N953" s="1013"/>
      <c r="O953" s="1013"/>
      <c r="P953" s="1013"/>
      <c r="Q953" s="1013"/>
      <c r="R953" s="1013"/>
      <c r="S953" s="1013"/>
      <c r="T953" s="1012"/>
      <c r="U953" s="1011"/>
      <c r="V953" s="1012"/>
      <c r="W953" s="1013"/>
      <c r="X953" s="1014"/>
      <c r="Y953" s="1012"/>
      <c r="Z953" s="1012"/>
      <c r="AA953" s="1012"/>
      <c r="AB953" s="1012"/>
      <c r="AC953" s="1012"/>
      <c r="AD953" s="1012"/>
      <c r="AE953" s="1012"/>
      <c r="AF953" s="1012"/>
      <c r="AG953" s="1012"/>
      <c r="AH953" s="1012"/>
      <c r="AI953" s="1012"/>
      <c r="AJ953" s="1012"/>
      <c r="AK953" s="1012"/>
    </row>
    <row r="954">
      <c r="A954" s="1012"/>
      <c r="B954" s="1013"/>
      <c r="C954" s="1012"/>
      <c r="D954" s="1013"/>
      <c r="E954" s="1012"/>
      <c r="F954" s="1012"/>
      <c r="G954" s="1013"/>
      <c r="H954" s="1012"/>
      <c r="I954" s="1012"/>
      <c r="J954" s="1013"/>
      <c r="K954" s="1013"/>
      <c r="L954" s="1094"/>
      <c r="M954" s="1094"/>
      <c r="N954" s="1013"/>
      <c r="O954" s="1013"/>
      <c r="P954" s="1013"/>
      <c r="Q954" s="1013"/>
      <c r="R954" s="1013"/>
      <c r="S954" s="1013"/>
      <c r="T954" s="1012"/>
      <c r="U954" s="1011"/>
      <c r="V954" s="1012"/>
      <c r="W954" s="1013"/>
      <c r="X954" s="1014"/>
      <c r="Y954" s="1012"/>
      <c r="Z954" s="1012"/>
      <c r="AA954" s="1012"/>
      <c r="AB954" s="1012"/>
      <c r="AC954" s="1012"/>
      <c r="AD954" s="1012"/>
      <c r="AE954" s="1012"/>
      <c r="AF954" s="1012"/>
      <c r="AG954" s="1012"/>
      <c r="AH954" s="1012"/>
      <c r="AI954" s="1012"/>
      <c r="AJ954" s="1012"/>
      <c r="AK954" s="1012"/>
    </row>
    <row r="955">
      <c r="A955" s="1012"/>
      <c r="B955" s="1013"/>
      <c r="C955" s="1012"/>
      <c r="D955" s="1013"/>
      <c r="E955" s="1012"/>
      <c r="F955" s="1012"/>
      <c r="G955" s="1013"/>
      <c r="H955" s="1012"/>
      <c r="I955" s="1012"/>
      <c r="J955" s="1013"/>
      <c r="K955" s="1013"/>
      <c r="L955" s="1094"/>
      <c r="M955" s="1094"/>
      <c r="N955" s="1013"/>
      <c r="O955" s="1013"/>
      <c r="P955" s="1013"/>
      <c r="Q955" s="1013"/>
      <c r="R955" s="1013"/>
      <c r="S955" s="1013"/>
      <c r="T955" s="1012"/>
      <c r="U955" s="1011"/>
      <c r="V955" s="1012"/>
      <c r="W955" s="1013"/>
      <c r="X955" s="1014"/>
      <c r="Y955" s="1012"/>
      <c r="Z955" s="1012"/>
      <c r="AA955" s="1012"/>
      <c r="AB955" s="1012"/>
      <c r="AC955" s="1012"/>
      <c r="AD955" s="1012"/>
      <c r="AE955" s="1012"/>
      <c r="AF955" s="1012"/>
      <c r="AG955" s="1012"/>
      <c r="AH955" s="1012"/>
      <c r="AI955" s="1012"/>
      <c r="AJ955" s="1012"/>
      <c r="AK955" s="1012"/>
    </row>
    <row r="956">
      <c r="A956" s="1012"/>
      <c r="B956" s="1013"/>
      <c r="C956" s="1012"/>
      <c r="D956" s="1013"/>
      <c r="E956" s="1012"/>
      <c r="F956" s="1012"/>
      <c r="G956" s="1013"/>
      <c r="H956" s="1012"/>
      <c r="I956" s="1012"/>
      <c r="J956" s="1013"/>
      <c r="K956" s="1013"/>
      <c r="L956" s="1094"/>
      <c r="M956" s="1094"/>
      <c r="N956" s="1013"/>
      <c r="O956" s="1013"/>
      <c r="P956" s="1013"/>
      <c r="Q956" s="1013"/>
      <c r="R956" s="1013"/>
      <c r="S956" s="1013"/>
      <c r="T956" s="1012"/>
      <c r="U956" s="1011"/>
      <c r="V956" s="1012"/>
      <c r="W956" s="1013"/>
      <c r="X956" s="1014"/>
      <c r="Y956" s="1012"/>
      <c r="Z956" s="1012"/>
      <c r="AA956" s="1012"/>
      <c r="AB956" s="1012"/>
      <c r="AC956" s="1012"/>
      <c r="AD956" s="1012"/>
      <c r="AE956" s="1012"/>
      <c r="AF956" s="1012"/>
      <c r="AG956" s="1012"/>
      <c r="AH956" s="1012"/>
      <c r="AI956" s="1012"/>
      <c r="AJ956" s="1012"/>
      <c r="AK956" s="1012"/>
    </row>
    <row r="957">
      <c r="A957" s="1012"/>
      <c r="B957" s="1013"/>
      <c r="C957" s="1012"/>
      <c r="D957" s="1013"/>
      <c r="E957" s="1012"/>
      <c r="F957" s="1012"/>
      <c r="G957" s="1013"/>
      <c r="H957" s="1012"/>
      <c r="I957" s="1012"/>
      <c r="J957" s="1013"/>
      <c r="K957" s="1013"/>
      <c r="L957" s="1094"/>
      <c r="M957" s="1094"/>
      <c r="N957" s="1013"/>
      <c r="O957" s="1013"/>
      <c r="P957" s="1013"/>
      <c r="Q957" s="1013"/>
      <c r="R957" s="1013"/>
      <c r="S957" s="1013"/>
      <c r="T957" s="1012"/>
      <c r="U957" s="1011"/>
      <c r="V957" s="1012"/>
      <c r="W957" s="1013"/>
      <c r="X957" s="1014"/>
      <c r="Y957" s="1012"/>
      <c r="Z957" s="1012"/>
      <c r="AA957" s="1012"/>
      <c r="AB957" s="1012"/>
      <c r="AC957" s="1012"/>
      <c r="AD957" s="1012"/>
      <c r="AE957" s="1012"/>
      <c r="AF957" s="1012"/>
      <c r="AG957" s="1012"/>
      <c r="AH957" s="1012"/>
      <c r="AI957" s="1012"/>
      <c r="AJ957" s="1012"/>
      <c r="AK957" s="1012"/>
    </row>
    <row r="958">
      <c r="A958" s="1012"/>
      <c r="B958" s="1013"/>
      <c r="C958" s="1012"/>
      <c r="D958" s="1013"/>
      <c r="E958" s="1012"/>
      <c r="F958" s="1012"/>
      <c r="G958" s="1013"/>
      <c r="H958" s="1012"/>
      <c r="I958" s="1012"/>
      <c r="J958" s="1013"/>
      <c r="K958" s="1013"/>
      <c r="L958" s="1094"/>
      <c r="M958" s="1094"/>
      <c r="N958" s="1013"/>
      <c r="O958" s="1013"/>
      <c r="P958" s="1013"/>
      <c r="Q958" s="1013"/>
      <c r="R958" s="1013"/>
      <c r="S958" s="1013"/>
      <c r="T958" s="1012"/>
      <c r="U958" s="1011"/>
      <c r="V958" s="1012"/>
      <c r="W958" s="1013"/>
      <c r="X958" s="1014"/>
      <c r="Y958" s="1012"/>
      <c r="Z958" s="1012"/>
      <c r="AA958" s="1012"/>
      <c r="AB958" s="1012"/>
      <c r="AC958" s="1012"/>
      <c r="AD958" s="1012"/>
      <c r="AE958" s="1012"/>
      <c r="AF958" s="1012"/>
      <c r="AG958" s="1012"/>
      <c r="AH958" s="1012"/>
      <c r="AI958" s="1012"/>
      <c r="AJ958" s="1012"/>
      <c r="AK958" s="1012"/>
    </row>
    <row r="959">
      <c r="A959" s="1012"/>
      <c r="B959" s="1013"/>
      <c r="C959" s="1012"/>
      <c r="D959" s="1013"/>
      <c r="E959" s="1012"/>
      <c r="F959" s="1012"/>
      <c r="G959" s="1013"/>
      <c r="H959" s="1012"/>
      <c r="I959" s="1012"/>
      <c r="J959" s="1013"/>
      <c r="K959" s="1013"/>
      <c r="L959" s="1094"/>
      <c r="M959" s="1094"/>
      <c r="N959" s="1013"/>
      <c r="O959" s="1013"/>
      <c r="P959" s="1013"/>
      <c r="Q959" s="1013"/>
      <c r="R959" s="1013"/>
      <c r="S959" s="1013"/>
      <c r="T959" s="1012"/>
      <c r="U959" s="1011"/>
      <c r="V959" s="1012"/>
      <c r="W959" s="1013"/>
      <c r="X959" s="1014"/>
      <c r="Y959" s="1012"/>
      <c r="Z959" s="1012"/>
      <c r="AA959" s="1012"/>
      <c r="AB959" s="1012"/>
      <c r="AC959" s="1012"/>
      <c r="AD959" s="1012"/>
      <c r="AE959" s="1012"/>
      <c r="AF959" s="1012"/>
      <c r="AG959" s="1012"/>
      <c r="AH959" s="1012"/>
      <c r="AI959" s="1012"/>
      <c r="AJ959" s="1012"/>
      <c r="AK959" s="1012"/>
    </row>
    <row r="960">
      <c r="A960" s="1012"/>
      <c r="B960" s="1013"/>
      <c r="C960" s="1012"/>
      <c r="D960" s="1013"/>
      <c r="E960" s="1012"/>
      <c r="F960" s="1012"/>
      <c r="G960" s="1013"/>
      <c r="H960" s="1012"/>
      <c r="I960" s="1012"/>
      <c r="J960" s="1013"/>
      <c r="K960" s="1013"/>
      <c r="L960" s="1094"/>
      <c r="M960" s="1094"/>
      <c r="N960" s="1013"/>
      <c r="O960" s="1013"/>
      <c r="P960" s="1013"/>
      <c r="Q960" s="1013"/>
      <c r="R960" s="1013"/>
      <c r="S960" s="1013"/>
      <c r="T960" s="1012"/>
      <c r="U960" s="1011"/>
      <c r="V960" s="1012"/>
      <c r="W960" s="1013"/>
      <c r="X960" s="1014"/>
      <c r="Y960" s="1012"/>
      <c r="Z960" s="1012"/>
      <c r="AA960" s="1012"/>
      <c r="AB960" s="1012"/>
      <c r="AC960" s="1012"/>
      <c r="AD960" s="1012"/>
      <c r="AE960" s="1012"/>
      <c r="AF960" s="1012"/>
      <c r="AG960" s="1012"/>
      <c r="AH960" s="1012"/>
      <c r="AI960" s="1012"/>
      <c r="AJ960" s="1012"/>
      <c r="AK960" s="1012"/>
    </row>
    <row r="961">
      <c r="A961" s="1012"/>
      <c r="B961" s="1013"/>
      <c r="C961" s="1012"/>
      <c r="D961" s="1013"/>
      <c r="E961" s="1012"/>
      <c r="F961" s="1012"/>
      <c r="G961" s="1013"/>
      <c r="H961" s="1012"/>
      <c r="I961" s="1012"/>
      <c r="J961" s="1013"/>
      <c r="K961" s="1013"/>
      <c r="L961" s="1094"/>
      <c r="M961" s="1094"/>
      <c r="N961" s="1013"/>
      <c r="O961" s="1013"/>
      <c r="P961" s="1013"/>
      <c r="Q961" s="1013"/>
      <c r="R961" s="1013"/>
      <c r="S961" s="1013"/>
      <c r="T961" s="1012"/>
      <c r="U961" s="1011"/>
      <c r="V961" s="1012"/>
      <c r="W961" s="1013"/>
      <c r="X961" s="1014"/>
      <c r="Y961" s="1012"/>
      <c r="Z961" s="1012"/>
      <c r="AA961" s="1012"/>
      <c r="AB961" s="1012"/>
      <c r="AC961" s="1012"/>
      <c r="AD961" s="1012"/>
      <c r="AE961" s="1012"/>
      <c r="AF961" s="1012"/>
      <c r="AG961" s="1012"/>
      <c r="AH961" s="1012"/>
      <c r="AI961" s="1012"/>
      <c r="AJ961" s="1012"/>
      <c r="AK961" s="1012"/>
    </row>
    <row r="962">
      <c r="A962" s="1012"/>
      <c r="B962" s="1013"/>
      <c r="C962" s="1012"/>
      <c r="D962" s="1013"/>
      <c r="E962" s="1012"/>
      <c r="F962" s="1012"/>
      <c r="G962" s="1013"/>
      <c r="H962" s="1012"/>
      <c r="I962" s="1012"/>
      <c r="J962" s="1013"/>
      <c r="K962" s="1013"/>
      <c r="L962" s="1094"/>
      <c r="M962" s="1094"/>
      <c r="N962" s="1013"/>
      <c r="O962" s="1013"/>
      <c r="P962" s="1013"/>
      <c r="Q962" s="1013"/>
      <c r="R962" s="1013"/>
      <c r="S962" s="1013"/>
      <c r="T962" s="1012"/>
      <c r="U962" s="1011"/>
      <c r="V962" s="1012"/>
      <c r="W962" s="1013"/>
      <c r="X962" s="1014"/>
      <c r="Y962" s="1012"/>
      <c r="Z962" s="1012"/>
      <c r="AA962" s="1012"/>
      <c r="AB962" s="1012"/>
      <c r="AC962" s="1012"/>
      <c r="AD962" s="1012"/>
      <c r="AE962" s="1012"/>
      <c r="AF962" s="1012"/>
      <c r="AG962" s="1012"/>
      <c r="AH962" s="1012"/>
      <c r="AI962" s="1012"/>
      <c r="AJ962" s="1012"/>
      <c r="AK962" s="1012"/>
    </row>
    <row r="963">
      <c r="A963" s="1012"/>
      <c r="B963" s="1013"/>
      <c r="C963" s="1012"/>
      <c r="D963" s="1013"/>
      <c r="E963" s="1012"/>
      <c r="F963" s="1012"/>
      <c r="G963" s="1013"/>
      <c r="H963" s="1012"/>
      <c r="I963" s="1012"/>
      <c r="J963" s="1013"/>
      <c r="K963" s="1013"/>
      <c r="L963" s="1094"/>
      <c r="M963" s="1094"/>
      <c r="N963" s="1013"/>
      <c r="O963" s="1013"/>
      <c r="P963" s="1013"/>
      <c r="Q963" s="1013"/>
      <c r="R963" s="1013"/>
      <c r="S963" s="1013"/>
      <c r="T963" s="1012"/>
      <c r="U963" s="1011"/>
      <c r="V963" s="1012"/>
      <c r="W963" s="1013"/>
      <c r="X963" s="1014"/>
      <c r="Y963" s="1012"/>
      <c r="Z963" s="1012"/>
      <c r="AA963" s="1012"/>
      <c r="AB963" s="1012"/>
      <c r="AC963" s="1012"/>
      <c r="AD963" s="1012"/>
      <c r="AE963" s="1012"/>
      <c r="AF963" s="1012"/>
      <c r="AG963" s="1012"/>
      <c r="AH963" s="1012"/>
      <c r="AI963" s="1012"/>
      <c r="AJ963" s="1012"/>
      <c r="AK963" s="1012"/>
    </row>
    <row r="964">
      <c r="A964" s="1012"/>
      <c r="B964" s="1013"/>
      <c r="C964" s="1012"/>
      <c r="D964" s="1013"/>
      <c r="E964" s="1012"/>
      <c r="F964" s="1012"/>
      <c r="G964" s="1013"/>
      <c r="H964" s="1012"/>
      <c r="I964" s="1012"/>
      <c r="J964" s="1013"/>
      <c r="K964" s="1013"/>
      <c r="L964" s="1094"/>
      <c r="M964" s="1094"/>
      <c r="N964" s="1013"/>
      <c r="O964" s="1013"/>
      <c r="P964" s="1013"/>
      <c r="Q964" s="1013"/>
      <c r="R964" s="1013"/>
      <c r="S964" s="1013"/>
      <c r="T964" s="1012"/>
      <c r="U964" s="1011"/>
      <c r="V964" s="1012"/>
      <c r="W964" s="1013"/>
      <c r="X964" s="1014"/>
      <c r="Y964" s="1012"/>
      <c r="Z964" s="1012"/>
      <c r="AA964" s="1012"/>
      <c r="AB964" s="1012"/>
      <c r="AC964" s="1012"/>
      <c r="AD964" s="1012"/>
      <c r="AE964" s="1012"/>
      <c r="AF964" s="1012"/>
      <c r="AG964" s="1012"/>
      <c r="AH964" s="1012"/>
      <c r="AI964" s="1012"/>
      <c r="AJ964" s="1012"/>
      <c r="AK964" s="1012"/>
    </row>
    <row r="965">
      <c r="A965" s="1012"/>
      <c r="B965" s="1013"/>
      <c r="C965" s="1012"/>
      <c r="D965" s="1013"/>
      <c r="E965" s="1012"/>
      <c r="F965" s="1012"/>
      <c r="G965" s="1013"/>
      <c r="H965" s="1012"/>
      <c r="I965" s="1012"/>
      <c r="J965" s="1013"/>
      <c r="K965" s="1013"/>
      <c r="L965" s="1094"/>
      <c r="M965" s="1094"/>
      <c r="N965" s="1013"/>
      <c r="O965" s="1013"/>
      <c r="P965" s="1013"/>
      <c r="Q965" s="1013"/>
      <c r="R965" s="1013"/>
      <c r="S965" s="1013"/>
      <c r="T965" s="1012"/>
      <c r="U965" s="1011"/>
      <c r="V965" s="1012"/>
      <c r="W965" s="1013"/>
      <c r="X965" s="1014"/>
      <c r="Y965" s="1012"/>
      <c r="Z965" s="1012"/>
      <c r="AA965" s="1012"/>
      <c r="AB965" s="1012"/>
      <c r="AC965" s="1012"/>
      <c r="AD965" s="1012"/>
      <c r="AE965" s="1012"/>
      <c r="AF965" s="1012"/>
      <c r="AG965" s="1012"/>
      <c r="AH965" s="1012"/>
      <c r="AI965" s="1012"/>
      <c r="AJ965" s="1012"/>
      <c r="AK965" s="1012"/>
    </row>
    <row r="966">
      <c r="A966" s="1012"/>
      <c r="B966" s="1013"/>
      <c r="C966" s="1012"/>
      <c r="D966" s="1013"/>
      <c r="E966" s="1012"/>
      <c r="F966" s="1012"/>
      <c r="G966" s="1013"/>
      <c r="H966" s="1012"/>
      <c r="I966" s="1012"/>
      <c r="J966" s="1013"/>
      <c r="K966" s="1013"/>
      <c r="L966" s="1094"/>
      <c r="M966" s="1094"/>
      <c r="N966" s="1013"/>
      <c r="O966" s="1013"/>
      <c r="P966" s="1013"/>
      <c r="Q966" s="1013"/>
      <c r="R966" s="1013"/>
      <c r="S966" s="1013"/>
      <c r="T966" s="1012"/>
      <c r="U966" s="1011"/>
      <c r="V966" s="1012"/>
      <c r="W966" s="1013"/>
      <c r="X966" s="1014"/>
      <c r="Y966" s="1012"/>
      <c r="Z966" s="1012"/>
      <c r="AA966" s="1012"/>
      <c r="AB966" s="1012"/>
      <c r="AC966" s="1012"/>
      <c r="AD966" s="1012"/>
      <c r="AE966" s="1012"/>
      <c r="AF966" s="1012"/>
      <c r="AG966" s="1012"/>
      <c r="AH966" s="1012"/>
      <c r="AI966" s="1012"/>
      <c r="AJ966" s="1012"/>
      <c r="AK966" s="1012"/>
    </row>
    <row r="967">
      <c r="A967" s="1012"/>
      <c r="B967" s="1013"/>
      <c r="C967" s="1012"/>
      <c r="D967" s="1013"/>
      <c r="E967" s="1012"/>
      <c r="F967" s="1012"/>
      <c r="G967" s="1013"/>
      <c r="H967" s="1012"/>
      <c r="I967" s="1012"/>
      <c r="J967" s="1013"/>
      <c r="K967" s="1013"/>
      <c r="L967" s="1094"/>
      <c r="M967" s="1094"/>
      <c r="N967" s="1013"/>
      <c r="O967" s="1013"/>
      <c r="P967" s="1013"/>
      <c r="Q967" s="1013"/>
      <c r="R967" s="1013"/>
      <c r="S967" s="1013"/>
      <c r="T967" s="1012"/>
      <c r="U967" s="1011"/>
      <c r="V967" s="1012"/>
      <c r="W967" s="1013"/>
      <c r="X967" s="1014"/>
      <c r="Y967" s="1012"/>
      <c r="Z967" s="1012"/>
      <c r="AA967" s="1012"/>
      <c r="AB967" s="1012"/>
      <c r="AC967" s="1012"/>
      <c r="AD967" s="1012"/>
      <c r="AE967" s="1012"/>
      <c r="AF967" s="1012"/>
      <c r="AG967" s="1012"/>
      <c r="AH967" s="1012"/>
      <c r="AI967" s="1012"/>
      <c r="AJ967" s="1012"/>
      <c r="AK967" s="1012"/>
    </row>
    <row r="968">
      <c r="A968" s="1012"/>
      <c r="B968" s="1013"/>
      <c r="C968" s="1012"/>
      <c r="D968" s="1013"/>
      <c r="E968" s="1012"/>
      <c r="F968" s="1012"/>
      <c r="G968" s="1013"/>
      <c r="H968" s="1012"/>
      <c r="I968" s="1012"/>
      <c r="J968" s="1013"/>
      <c r="K968" s="1013"/>
      <c r="L968" s="1094"/>
      <c r="M968" s="1094"/>
      <c r="N968" s="1013"/>
      <c r="O968" s="1013"/>
      <c r="P968" s="1013"/>
      <c r="Q968" s="1013"/>
      <c r="R968" s="1013"/>
      <c r="S968" s="1013"/>
      <c r="T968" s="1012"/>
      <c r="U968" s="1011"/>
      <c r="V968" s="1012"/>
      <c r="W968" s="1013"/>
      <c r="X968" s="1014"/>
      <c r="Y968" s="1012"/>
      <c r="Z968" s="1012"/>
      <c r="AA968" s="1012"/>
      <c r="AB968" s="1012"/>
      <c r="AC968" s="1012"/>
      <c r="AD968" s="1012"/>
      <c r="AE968" s="1012"/>
      <c r="AF968" s="1012"/>
      <c r="AG968" s="1012"/>
      <c r="AH968" s="1012"/>
      <c r="AI968" s="1012"/>
      <c r="AJ968" s="1012"/>
      <c r="AK968" s="1012"/>
    </row>
    <row r="969">
      <c r="A969" s="1012"/>
      <c r="B969" s="1013"/>
      <c r="C969" s="1012"/>
      <c r="D969" s="1013"/>
      <c r="E969" s="1012"/>
      <c r="F969" s="1012"/>
      <c r="G969" s="1013"/>
      <c r="H969" s="1012"/>
      <c r="I969" s="1012"/>
      <c r="J969" s="1013"/>
      <c r="K969" s="1013"/>
      <c r="L969" s="1094"/>
      <c r="M969" s="1094"/>
      <c r="N969" s="1013"/>
      <c r="O969" s="1013"/>
      <c r="P969" s="1013"/>
      <c r="Q969" s="1013"/>
      <c r="R969" s="1013"/>
      <c r="S969" s="1013"/>
      <c r="T969" s="1012"/>
      <c r="U969" s="1011"/>
      <c r="V969" s="1012"/>
      <c r="W969" s="1013"/>
      <c r="X969" s="1014"/>
      <c r="Y969" s="1012"/>
      <c r="Z969" s="1012"/>
      <c r="AA969" s="1012"/>
      <c r="AB969" s="1012"/>
      <c r="AC969" s="1012"/>
      <c r="AD969" s="1012"/>
      <c r="AE969" s="1012"/>
      <c r="AF969" s="1012"/>
      <c r="AG969" s="1012"/>
      <c r="AH969" s="1012"/>
      <c r="AI969" s="1012"/>
      <c r="AJ969" s="1012"/>
      <c r="AK969" s="1012"/>
    </row>
    <row r="970">
      <c r="A970" s="1012"/>
      <c r="B970" s="1013"/>
      <c r="C970" s="1012"/>
      <c r="D970" s="1013"/>
      <c r="E970" s="1012"/>
      <c r="F970" s="1012"/>
      <c r="G970" s="1013"/>
      <c r="H970" s="1012"/>
      <c r="I970" s="1012"/>
      <c r="J970" s="1013"/>
      <c r="K970" s="1013"/>
      <c r="L970" s="1094"/>
      <c r="M970" s="1094"/>
      <c r="N970" s="1013"/>
      <c r="O970" s="1013"/>
      <c r="P970" s="1013"/>
      <c r="Q970" s="1013"/>
      <c r="R970" s="1013"/>
      <c r="S970" s="1013"/>
      <c r="T970" s="1012"/>
      <c r="U970" s="1011"/>
      <c r="V970" s="1012"/>
      <c r="W970" s="1013"/>
      <c r="X970" s="1014"/>
      <c r="Y970" s="1012"/>
      <c r="Z970" s="1012"/>
      <c r="AA970" s="1012"/>
      <c r="AB970" s="1012"/>
      <c r="AC970" s="1012"/>
      <c r="AD970" s="1012"/>
      <c r="AE970" s="1012"/>
      <c r="AF970" s="1012"/>
      <c r="AG970" s="1012"/>
      <c r="AH970" s="1012"/>
      <c r="AI970" s="1012"/>
      <c r="AJ970" s="1012"/>
      <c r="AK970" s="1012"/>
    </row>
    <row r="971">
      <c r="A971" s="1012"/>
      <c r="B971" s="1013"/>
      <c r="C971" s="1012"/>
      <c r="D971" s="1013"/>
      <c r="E971" s="1012"/>
      <c r="F971" s="1012"/>
      <c r="G971" s="1013"/>
      <c r="H971" s="1012"/>
      <c r="I971" s="1012"/>
      <c r="J971" s="1013"/>
      <c r="K971" s="1013"/>
      <c r="L971" s="1094"/>
      <c r="M971" s="1094"/>
      <c r="N971" s="1013"/>
      <c r="O971" s="1013"/>
      <c r="P971" s="1013"/>
      <c r="Q971" s="1013"/>
      <c r="R971" s="1013"/>
      <c r="S971" s="1013"/>
      <c r="T971" s="1012"/>
      <c r="U971" s="1011"/>
      <c r="V971" s="1012"/>
      <c r="W971" s="1013"/>
      <c r="X971" s="1014"/>
      <c r="Y971" s="1012"/>
      <c r="Z971" s="1012"/>
      <c r="AA971" s="1012"/>
      <c r="AB971" s="1012"/>
      <c r="AC971" s="1012"/>
      <c r="AD971" s="1012"/>
      <c r="AE971" s="1012"/>
      <c r="AF971" s="1012"/>
      <c r="AG971" s="1012"/>
      <c r="AH971" s="1012"/>
      <c r="AI971" s="1012"/>
      <c r="AJ971" s="1012"/>
      <c r="AK971" s="1012"/>
    </row>
    <row r="972">
      <c r="A972" s="1012"/>
      <c r="B972" s="1013"/>
      <c r="C972" s="1012"/>
      <c r="D972" s="1013"/>
      <c r="E972" s="1012"/>
      <c r="F972" s="1012"/>
      <c r="G972" s="1013"/>
      <c r="H972" s="1012"/>
      <c r="I972" s="1012"/>
      <c r="J972" s="1013"/>
      <c r="K972" s="1013"/>
      <c r="L972" s="1094"/>
      <c r="M972" s="1094"/>
      <c r="N972" s="1013"/>
      <c r="O972" s="1013"/>
      <c r="P972" s="1013"/>
      <c r="Q972" s="1013"/>
      <c r="R972" s="1013"/>
      <c r="S972" s="1013"/>
      <c r="T972" s="1012"/>
      <c r="U972" s="1011"/>
      <c r="V972" s="1012"/>
      <c r="W972" s="1013"/>
      <c r="X972" s="1014"/>
      <c r="Y972" s="1012"/>
      <c r="Z972" s="1012"/>
      <c r="AA972" s="1012"/>
      <c r="AB972" s="1012"/>
      <c r="AC972" s="1012"/>
      <c r="AD972" s="1012"/>
      <c r="AE972" s="1012"/>
      <c r="AF972" s="1012"/>
      <c r="AG972" s="1012"/>
      <c r="AH972" s="1012"/>
      <c r="AI972" s="1012"/>
      <c r="AJ972" s="1012"/>
      <c r="AK972" s="1012"/>
    </row>
    <row r="973">
      <c r="A973" s="1012"/>
      <c r="B973" s="1013"/>
      <c r="C973" s="1012"/>
      <c r="D973" s="1013"/>
      <c r="E973" s="1012"/>
      <c r="F973" s="1012"/>
      <c r="G973" s="1013"/>
      <c r="H973" s="1012"/>
      <c r="I973" s="1012"/>
      <c r="J973" s="1013"/>
      <c r="K973" s="1013"/>
      <c r="L973" s="1094"/>
      <c r="M973" s="1094"/>
      <c r="N973" s="1013"/>
      <c r="O973" s="1013"/>
      <c r="P973" s="1013"/>
      <c r="Q973" s="1013"/>
      <c r="R973" s="1013"/>
      <c r="S973" s="1013"/>
      <c r="T973" s="1012"/>
      <c r="U973" s="1011"/>
      <c r="V973" s="1012"/>
      <c r="W973" s="1013"/>
      <c r="X973" s="1014"/>
      <c r="Y973" s="1012"/>
      <c r="Z973" s="1012"/>
      <c r="AA973" s="1012"/>
      <c r="AB973" s="1012"/>
      <c r="AC973" s="1012"/>
      <c r="AD973" s="1012"/>
      <c r="AE973" s="1012"/>
      <c r="AF973" s="1012"/>
      <c r="AG973" s="1012"/>
      <c r="AH973" s="1012"/>
      <c r="AI973" s="1012"/>
      <c r="AJ973" s="1012"/>
      <c r="AK973" s="1012"/>
    </row>
    <row r="974">
      <c r="A974" s="1012"/>
      <c r="B974" s="1013"/>
      <c r="C974" s="1012"/>
      <c r="D974" s="1013"/>
      <c r="E974" s="1012"/>
      <c r="F974" s="1012"/>
      <c r="G974" s="1013"/>
      <c r="H974" s="1012"/>
      <c r="I974" s="1012"/>
      <c r="J974" s="1013"/>
      <c r="K974" s="1013"/>
      <c r="L974" s="1094"/>
      <c r="M974" s="1094"/>
      <c r="N974" s="1013"/>
      <c r="O974" s="1013"/>
      <c r="P974" s="1013"/>
      <c r="Q974" s="1013"/>
      <c r="R974" s="1013"/>
      <c r="S974" s="1013"/>
      <c r="T974" s="1012"/>
      <c r="U974" s="1011"/>
      <c r="V974" s="1012"/>
      <c r="W974" s="1013"/>
      <c r="X974" s="1014"/>
      <c r="Y974" s="1012"/>
      <c r="Z974" s="1012"/>
      <c r="AA974" s="1012"/>
      <c r="AB974" s="1012"/>
      <c r="AC974" s="1012"/>
      <c r="AD974" s="1012"/>
      <c r="AE974" s="1012"/>
      <c r="AF974" s="1012"/>
      <c r="AG974" s="1012"/>
      <c r="AH974" s="1012"/>
      <c r="AI974" s="1012"/>
      <c r="AJ974" s="1012"/>
      <c r="AK974" s="1012"/>
    </row>
    <row r="975">
      <c r="A975" s="1012"/>
      <c r="B975" s="1013"/>
      <c r="C975" s="1012"/>
      <c r="D975" s="1013"/>
      <c r="E975" s="1012"/>
      <c r="F975" s="1012"/>
      <c r="G975" s="1013"/>
      <c r="H975" s="1012"/>
      <c r="I975" s="1012"/>
      <c r="J975" s="1013"/>
      <c r="K975" s="1013"/>
      <c r="L975" s="1094"/>
      <c r="M975" s="1094"/>
      <c r="N975" s="1013"/>
      <c r="O975" s="1013"/>
      <c r="P975" s="1013"/>
      <c r="Q975" s="1013"/>
      <c r="R975" s="1013"/>
      <c r="S975" s="1013"/>
      <c r="T975" s="1012"/>
      <c r="U975" s="1011"/>
      <c r="V975" s="1012"/>
      <c r="W975" s="1013"/>
      <c r="X975" s="1014"/>
      <c r="Y975" s="1012"/>
      <c r="Z975" s="1012"/>
      <c r="AA975" s="1012"/>
      <c r="AB975" s="1012"/>
      <c r="AC975" s="1012"/>
      <c r="AD975" s="1012"/>
      <c r="AE975" s="1012"/>
      <c r="AF975" s="1012"/>
      <c r="AG975" s="1012"/>
      <c r="AH975" s="1012"/>
      <c r="AI975" s="1012"/>
      <c r="AJ975" s="1012"/>
      <c r="AK975" s="1012"/>
    </row>
    <row r="976">
      <c r="A976" s="1012"/>
      <c r="B976" s="1013"/>
      <c r="C976" s="1012"/>
      <c r="D976" s="1013"/>
      <c r="E976" s="1012"/>
      <c r="F976" s="1012"/>
      <c r="G976" s="1013"/>
      <c r="H976" s="1012"/>
      <c r="I976" s="1012"/>
      <c r="J976" s="1013"/>
      <c r="K976" s="1013"/>
      <c r="L976" s="1094"/>
      <c r="M976" s="1094"/>
      <c r="N976" s="1013"/>
      <c r="O976" s="1013"/>
      <c r="P976" s="1013"/>
      <c r="Q976" s="1013"/>
      <c r="R976" s="1013"/>
      <c r="S976" s="1013"/>
      <c r="T976" s="1012"/>
      <c r="U976" s="1011"/>
      <c r="V976" s="1012"/>
      <c r="W976" s="1013"/>
      <c r="X976" s="1014"/>
      <c r="Y976" s="1012"/>
      <c r="Z976" s="1012"/>
      <c r="AA976" s="1012"/>
      <c r="AB976" s="1012"/>
      <c r="AC976" s="1012"/>
      <c r="AD976" s="1012"/>
      <c r="AE976" s="1012"/>
      <c r="AF976" s="1012"/>
      <c r="AG976" s="1012"/>
      <c r="AH976" s="1012"/>
      <c r="AI976" s="1012"/>
      <c r="AJ976" s="1012"/>
      <c r="AK976" s="1012"/>
    </row>
    <row r="977">
      <c r="A977" s="1012"/>
      <c r="B977" s="1013"/>
      <c r="C977" s="1012"/>
      <c r="D977" s="1013"/>
      <c r="E977" s="1012"/>
      <c r="F977" s="1012"/>
      <c r="G977" s="1013"/>
      <c r="H977" s="1012"/>
      <c r="I977" s="1012"/>
      <c r="J977" s="1013"/>
      <c r="K977" s="1013"/>
      <c r="L977" s="1094"/>
      <c r="M977" s="1094"/>
      <c r="N977" s="1013"/>
      <c r="O977" s="1013"/>
      <c r="P977" s="1013"/>
      <c r="Q977" s="1013"/>
      <c r="R977" s="1013"/>
      <c r="S977" s="1013"/>
      <c r="T977" s="1012"/>
      <c r="U977" s="1011"/>
      <c r="V977" s="1012"/>
      <c r="W977" s="1013"/>
      <c r="X977" s="1014"/>
      <c r="Y977" s="1012"/>
      <c r="Z977" s="1012"/>
      <c r="AA977" s="1012"/>
      <c r="AB977" s="1012"/>
      <c r="AC977" s="1012"/>
      <c r="AD977" s="1012"/>
      <c r="AE977" s="1012"/>
      <c r="AF977" s="1012"/>
      <c r="AG977" s="1012"/>
      <c r="AH977" s="1012"/>
      <c r="AI977" s="1012"/>
      <c r="AJ977" s="1012"/>
      <c r="AK977" s="1012"/>
    </row>
    <row r="978">
      <c r="A978" s="1012"/>
      <c r="B978" s="1013"/>
      <c r="C978" s="1012"/>
      <c r="D978" s="1013"/>
      <c r="E978" s="1012"/>
      <c r="F978" s="1012"/>
      <c r="G978" s="1013"/>
      <c r="H978" s="1012"/>
      <c r="I978" s="1012"/>
      <c r="J978" s="1013"/>
      <c r="K978" s="1013"/>
      <c r="L978" s="1094"/>
      <c r="M978" s="1094"/>
      <c r="N978" s="1013"/>
      <c r="O978" s="1013"/>
      <c r="P978" s="1013"/>
      <c r="Q978" s="1013"/>
      <c r="R978" s="1013"/>
      <c r="S978" s="1013"/>
      <c r="T978" s="1012"/>
      <c r="U978" s="1011"/>
      <c r="V978" s="1012"/>
      <c r="W978" s="1013"/>
      <c r="X978" s="1014"/>
      <c r="Y978" s="1012"/>
      <c r="Z978" s="1012"/>
      <c r="AA978" s="1012"/>
      <c r="AB978" s="1012"/>
      <c r="AC978" s="1012"/>
      <c r="AD978" s="1012"/>
      <c r="AE978" s="1012"/>
      <c r="AF978" s="1012"/>
      <c r="AG978" s="1012"/>
      <c r="AH978" s="1012"/>
      <c r="AI978" s="1012"/>
      <c r="AJ978" s="1012"/>
      <c r="AK978" s="1012"/>
    </row>
    <row r="979">
      <c r="A979" s="1012"/>
      <c r="B979" s="1013"/>
      <c r="C979" s="1012"/>
      <c r="D979" s="1013"/>
      <c r="E979" s="1012"/>
      <c r="F979" s="1012"/>
      <c r="G979" s="1013"/>
      <c r="H979" s="1012"/>
      <c r="I979" s="1012"/>
      <c r="J979" s="1013"/>
      <c r="K979" s="1013"/>
      <c r="L979" s="1094"/>
      <c r="M979" s="1094"/>
      <c r="N979" s="1013"/>
      <c r="O979" s="1013"/>
      <c r="P979" s="1013"/>
      <c r="Q979" s="1013"/>
      <c r="R979" s="1013"/>
      <c r="S979" s="1013"/>
      <c r="T979" s="1012"/>
      <c r="U979" s="1011"/>
      <c r="V979" s="1012"/>
      <c r="W979" s="1013"/>
      <c r="X979" s="1014"/>
      <c r="Y979" s="1012"/>
      <c r="Z979" s="1012"/>
      <c r="AA979" s="1012"/>
      <c r="AB979" s="1012"/>
      <c r="AC979" s="1012"/>
      <c r="AD979" s="1012"/>
      <c r="AE979" s="1012"/>
      <c r="AF979" s="1012"/>
      <c r="AG979" s="1012"/>
      <c r="AH979" s="1012"/>
      <c r="AI979" s="1012"/>
      <c r="AJ979" s="1012"/>
      <c r="AK979" s="1012"/>
    </row>
    <row r="980">
      <c r="A980" s="1012"/>
      <c r="B980" s="1013"/>
      <c r="C980" s="1012"/>
      <c r="D980" s="1013"/>
      <c r="E980" s="1012"/>
      <c r="F980" s="1012"/>
      <c r="G980" s="1013"/>
      <c r="H980" s="1012"/>
      <c r="I980" s="1012"/>
      <c r="J980" s="1013"/>
      <c r="K980" s="1013"/>
      <c r="L980" s="1094"/>
      <c r="M980" s="1094"/>
      <c r="N980" s="1013"/>
      <c r="O980" s="1013"/>
      <c r="P980" s="1013"/>
      <c r="Q980" s="1013"/>
      <c r="R980" s="1013"/>
      <c r="S980" s="1013"/>
      <c r="T980" s="1012"/>
      <c r="U980" s="1011"/>
      <c r="V980" s="1012"/>
      <c r="W980" s="1013"/>
      <c r="X980" s="1014"/>
      <c r="Y980" s="1012"/>
      <c r="Z980" s="1012"/>
      <c r="AA980" s="1012"/>
      <c r="AB980" s="1012"/>
      <c r="AC980" s="1012"/>
      <c r="AD980" s="1012"/>
      <c r="AE980" s="1012"/>
      <c r="AF980" s="1012"/>
      <c r="AG980" s="1012"/>
      <c r="AH980" s="1012"/>
      <c r="AI980" s="1012"/>
      <c r="AJ980" s="1012"/>
      <c r="AK980" s="1012"/>
    </row>
    <row r="981">
      <c r="A981" s="1012"/>
      <c r="B981" s="1013"/>
      <c r="C981" s="1012"/>
      <c r="D981" s="1013"/>
      <c r="E981" s="1012"/>
      <c r="F981" s="1012"/>
      <c r="G981" s="1013"/>
      <c r="H981" s="1012"/>
      <c r="I981" s="1012"/>
      <c r="J981" s="1013"/>
      <c r="K981" s="1013"/>
      <c r="L981" s="1094"/>
      <c r="M981" s="1094"/>
      <c r="N981" s="1013"/>
      <c r="O981" s="1013"/>
      <c r="P981" s="1013"/>
      <c r="Q981" s="1013"/>
      <c r="R981" s="1013"/>
      <c r="S981" s="1013"/>
      <c r="T981" s="1012"/>
      <c r="U981" s="1011"/>
      <c r="V981" s="1012"/>
      <c r="W981" s="1013"/>
      <c r="X981" s="1014"/>
      <c r="Y981" s="1012"/>
      <c r="Z981" s="1012"/>
      <c r="AA981" s="1012"/>
      <c r="AB981" s="1012"/>
      <c r="AC981" s="1012"/>
      <c r="AD981" s="1012"/>
      <c r="AE981" s="1012"/>
      <c r="AF981" s="1012"/>
      <c r="AG981" s="1012"/>
      <c r="AH981" s="1012"/>
      <c r="AI981" s="1012"/>
      <c r="AJ981" s="1012"/>
      <c r="AK981" s="1012"/>
    </row>
    <row r="982">
      <c r="A982" s="1012"/>
      <c r="B982" s="1013"/>
      <c r="C982" s="1012"/>
      <c r="D982" s="1013"/>
      <c r="E982" s="1012"/>
      <c r="F982" s="1012"/>
      <c r="G982" s="1013"/>
      <c r="H982" s="1012"/>
      <c r="I982" s="1012"/>
      <c r="J982" s="1013"/>
      <c r="K982" s="1013"/>
      <c r="L982" s="1094"/>
      <c r="M982" s="1094"/>
      <c r="N982" s="1013"/>
      <c r="O982" s="1013"/>
      <c r="P982" s="1013"/>
      <c r="Q982" s="1013"/>
      <c r="R982" s="1013"/>
      <c r="S982" s="1013"/>
      <c r="T982" s="1012"/>
      <c r="U982" s="1011"/>
      <c r="V982" s="1012"/>
      <c r="W982" s="1013"/>
      <c r="X982" s="1014"/>
      <c r="Y982" s="1012"/>
      <c r="Z982" s="1012"/>
      <c r="AA982" s="1012"/>
      <c r="AB982" s="1012"/>
      <c r="AC982" s="1012"/>
      <c r="AD982" s="1012"/>
      <c r="AE982" s="1012"/>
      <c r="AF982" s="1012"/>
      <c r="AG982" s="1012"/>
      <c r="AH982" s="1012"/>
      <c r="AI982" s="1012"/>
      <c r="AJ982" s="1012"/>
      <c r="AK982" s="1012"/>
    </row>
    <row r="983">
      <c r="A983" s="1012"/>
      <c r="B983" s="1013"/>
      <c r="C983" s="1012"/>
      <c r="D983" s="1013"/>
      <c r="E983" s="1012"/>
      <c r="F983" s="1012"/>
      <c r="G983" s="1013"/>
      <c r="H983" s="1012"/>
      <c r="I983" s="1012"/>
      <c r="J983" s="1013"/>
      <c r="K983" s="1013"/>
      <c r="L983" s="1094"/>
      <c r="M983" s="1094"/>
      <c r="N983" s="1013"/>
      <c r="O983" s="1013"/>
      <c r="P983" s="1013"/>
      <c r="Q983" s="1013"/>
      <c r="R983" s="1013"/>
      <c r="S983" s="1013"/>
      <c r="T983" s="1012"/>
      <c r="U983" s="1011"/>
      <c r="V983" s="1012"/>
      <c r="W983" s="1013"/>
      <c r="X983" s="1014"/>
      <c r="Y983" s="1012"/>
      <c r="Z983" s="1012"/>
      <c r="AA983" s="1012"/>
      <c r="AB983" s="1012"/>
      <c r="AC983" s="1012"/>
      <c r="AD983" s="1012"/>
      <c r="AE983" s="1012"/>
      <c r="AF983" s="1012"/>
      <c r="AG983" s="1012"/>
      <c r="AH983" s="1012"/>
      <c r="AI983" s="1012"/>
      <c r="AJ983" s="1012"/>
      <c r="AK983" s="1012"/>
    </row>
    <row r="984">
      <c r="A984" s="1012"/>
      <c r="B984" s="1013"/>
      <c r="C984" s="1012"/>
      <c r="D984" s="1013"/>
      <c r="E984" s="1012"/>
      <c r="F984" s="1012"/>
      <c r="G984" s="1013"/>
      <c r="H984" s="1012"/>
      <c r="I984" s="1012"/>
      <c r="J984" s="1013"/>
      <c r="K984" s="1013"/>
      <c r="L984" s="1094"/>
      <c r="M984" s="1094"/>
      <c r="N984" s="1013"/>
      <c r="O984" s="1013"/>
      <c r="P984" s="1013"/>
      <c r="Q984" s="1013"/>
      <c r="R984" s="1013"/>
      <c r="S984" s="1013"/>
      <c r="T984" s="1012"/>
      <c r="U984" s="1011"/>
      <c r="V984" s="1012"/>
      <c r="W984" s="1013"/>
      <c r="X984" s="1014"/>
      <c r="Y984" s="1012"/>
      <c r="Z984" s="1012"/>
      <c r="AA984" s="1012"/>
      <c r="AB984" s="1012"/>
      <c r="AC984" s="1012"/>
      <c r="AD984" s="1012"/>
      <c r="AE984" s="1012"/>
      <c r="AF984" s="1012"/>
      <c r="AG984" s="1012"/>
      <c r="AH984" s="1012"/>
      <c r="AI984" s="1012"/>
      <c r="AJ984" s="1012"/>
      <c r="AK984" s="1012"/>
    </row>
    <row r="985">
      <c r="A985" s="1012"/>
      <c r="B985" s="1013"/>
      <c r="C985" s="1012"/>
      <c r="D985" s="1013"/>
      <c r="E985" s="1012"/>
      <c r="F985" s="1012"/>
      <c r="G985" s="1013"/>
      <c r="H985" s="1012"/>
      <c r="I985" s="1012"/>
      <c r="J985" s="1013"/>
      <c r="K985" s="1013"/>
      <c r="L985" s="1094"/>
      <c r="M985" s="1094"/>
      <c r="N985" s="1013"/>
      <c r="O985" s="1013"/>
      <c r="P985" s="1013"/>
      <c r="Q985" s="1013"/>
      <c r="R985" s="1013"/>
      <c r="S985" s="1013"/>
      <c r="T985" s="1012"/>
      <c r="U985" s="1011"/>
      <c r="V985" s="1012"/>
      <c r="W985" s="1013"/>
      <c r="X985" s="1014"/>
      <c r="Y985" s="1012"/>
      <c r="Z985" s="1012"/>
      <c r="AA985" s="1012"/>
      <c r="AB985" s="1012"/>
      <c r="AC985" s="1012"/>
      <c r="AD985" s="1012"/>
      <c r="AE985" s="1012"/>
      <c r="AF985" s="1012"/>
      <c r="AG985" s="1012"/>
      <c r="AH985" s="1012"/>
      <c r="AI985" s="1012"/>
      <c r="AJ985" s="1012"/>
      <c r="AK985" s="1012"/>
    </row>
    <row r="986">
      <c r="A986" s="1012"/>
      <c r="B986" s="1013"/>
      <c r="C986" s="1012"/>
      <c r="D986" s="1013"/>
      <c r="E986" s="1012"/>
      <c r="F986" s="1012"/>
      <c r="G986" s="1013"/>
      <c r="H986" s="1012"/>
      <c r="I986" s="1012"/>
      <c r="J986" s="1013"/>
      <c r="K986" s="1013"/>
      <c r="L986" s="1094"/>
      <c r="M986" s="1094"/>
      <c r="N986" s="1013"/>
      <c r="O986" s="1013"/>
      <c r="P986" s="1013"/>
      <c r="Q986" s="1013"/>
      <c r="R986" s="1013"/>
      <c r="S986" s="1013"/>
      <c r="T986" s="1012"/>
      <c r="U986" s="1011"/>
      <c r="V986" s="1012"/>
      <c r="W986" s="1013"/>
      <c r="X986" s="1014"/>
      <c r="Y986" s="1012"/>
      <c r="Z986" s="1012"/>
      <c r="AA986" s="1012"/>
      <c r="AB986" s="1012"/>
      <c r="AC986" s="1012"/>
      <c r="AD986" s="1012"/>
      <c r="AE986" s="1012"/>
      <c r="AF986" s="1012"/>
      <c r="AG986" s="1012"/>
      <c r="AH986" s="1012"/>
      <c r="AI986" s="1012"/>
      <c r="AJ986" s="1012"/>
      <c r="AK986" s="1012"/>
    </row>
    <row r="987">
      <c r="A987" s="1012"/>
      <c r="B987" s="1013"/>
      <c r="C987" s="1012"/>
      <c r="D987" s="1013"/>
      <c r="E987" s="1012"/>
      <c r="F987" s="1012"/>
      <c r="G987" s="1013"/>
      <c r="H987" s="1012"/>
      <c r="I987" s="1012"/>
      <c r="J987" s="1013"/>
      <c r="K987" s="1013"/>
      <c r="L987" s="1094"/>
      <c r="M987" s="1094"/>
      <c r="N987" s="1013"/>
      <c r="O987" s="1013"/>
      <c r="P987" s="1013"/>
      <c r="Q987" s="1013"/>
      <c r="R987" s="1013"/>
      <c r="S987" s="1013"/>
      <c r="T987" s="1012"/>
      <c r="U987" s="1011"/>
      <c r="V987" s="1012"/>
      <c r="W987" s="1013"/>
      <c r="X987" s="1014"/>
      <c r="Y987" s="1012"/>
      <c r="Z987" s="1012"/>
      <c r="AA987" s="1012"/>
      <c r="AB987" s="1012"/>
      <c r="AC987" s="1012"/>
      <c r="AD987" s="1012"/>
      <c r="AE987" s="1012"/>
      <c r="AF987" s="1012"/>
      <c r="AG987" s="1012"/>
      <c r="AH987" s="1012"/>
      <c r="AI987" s="1012"/>
      <c r="AJ987" s="1012"/>
      <c r="AK987" s="1012"/>
    </row>
    <row r="988">
      <c r="A988" s="1012"/>
      <c r="B988" s="1013"/>
      <c r="C988" s="1012"/>
      <c r="D988" s="1013"/>
      <c r="E988" s="1012"/>
      <c r="F988" s="1012"/>
      <c r="G988" s="1013"/>
      <c r="H988" s="1012"/>
      <c r="I988" s="1012"/>
      <c r="J988" s="1013"/>
      <c r="K988" s="1013"/>
      <c r="L988" s="1094"/>
      <c r="M988" s="1094"/>
      <c r="N988" s="1013"/>
      <c r="O988" s="1013"/>
      <c r="P988" s="1013"/>
      <c r="Q988" s="1013"/>
      <c r="R988" s="1013"/>
      <c r="S988" s="1013"/>
      <c r="T988" s="1012"/>
      <c r="U988" s="1011"/>
      <c r="V988" s="1012"/>
      <c r="W988" s="1013"/>
      <c r="X988" s="1014"/>
      <c r="Y988" s="1012"/>
      <c r="Z988" s="1012"/>
      <c r="AA988" s="1012"/>
      <c r="AB988" s="1012"/>
      <c r="AC988" s="1012"/>
      <c r="AD988" s="1012"/>
      <c r="AE988" s="1012"/>
      <c r="AF988" s="1012"/>
      <c r="AG988" s="1012"/>
      <c r="AH988" s="1012"/>
      <c r="AI988" s="1012"/>
      <c r="AJ988" s="1012"/>
      <c r="AK988" s="1012"/>
    </row>
    <row r="989">
      <c r="A989" s="1012"/>
      <c r="B989" s="1013"/>
      <c r="C989" s="1012"/>
      <c r="D989" s="1013"/>
      <c r="E989" s="1012"/>
      <c r="F989" s="1012"/>
      <c r="G989" s="1013"/>
      <c r="H989" s="1012"/>
      <c r="I989" s="1012"/>
      <c r="J989" s="1013"/>
      <c r="K989" s="1013"/>
      <c r="L989" s="1094"/>
      <c r="M989" s="1094"/>
      <c r="N989" s="1013"/>
      <c r="O989" s="1013"/>
      <c r="P989" s="1013"/>
      <c r="Q989" s="1013"/>
      <c r="R989" s="1013"/>
      <c r="S989" s="1013"/>
      <c r="T989" s="1012"/>
      <c r="U989" s="1011"/>
      <c r="V989" s="1012"/>
      <c r="W989" s="1013"/>
      <c r="X989" s="1014"/>
      <c r="Y989" s="1012"/>
      <c r="Z989" s="1012"/>
      <c r="AA989" s="1012"/>
      <c r="AB989" s="1012"/>
      <c r="AC989" s="1012"/>
      <c r="AD989" s="1012"/>
      <c r="AE989" s="1012"/>
      <c r="AF989" s="1012"/>
      <c r="AG989" s="1012"/>
      <c r="AH989" s="1012"/>
      <c r="AI989" s="1012"/>
      <c r="AJ989" s="1012"/>
      <c r="AK989" s="1012"/>
    </row>
    <row r="990">
      <c r="A990" s="1012"/>
      <c r="B990" s="1013"/>
      <c r="C990" s="1012"/>
      <c r="D990" s="1013"/>
      <c r="E990" s="1012"/>
      <c r="F990" s="1012"/>
      <c r="G990" s="1013"/>
      <c r="H990" s="1012"/>
      <c r="I990" s="1012"/>
      <c r="J990" s="1013"/>
      <c r="K990" s="1013"/>
      <c r="L990" s="1094"/>
      <c r="M990" s="1094"/>
      <c r="N990" s="1013"/>
      <c r="O990" s="1013"/>
      <c r="P990" s="1013"/>
      <c r="Q990" s="1013"/>
      <c r="R990" s="1013"/>
      <c r="S990" s="1013"/>
      <c r="T990" s="1012"/>
      <c r="U990" s="1011"/>
      <c r="V990" s="1012"/>
      <c r="W990" s="1013"/>
      <c r="X990" s="1014"/>
      <c r="Y990" s="1012"/>
      <c r="Z990" s="1012"/>
      <c r="AA990" s="1012"/>
      <c r="AB990" s="1012"/>
      <c r="AC990" s="1012"/>
      <c r="AD990" s="1012"/>
      <c r="AE990" s="1012"/>
      <c r="AF990" s="1012"/>
      <c r="AG990" s="1012"/>
      <c r="AH990" s="1012"/>
      <c r="AI990" s="1012"/>
      <c r="AJ990" s="1012"/>
      <c r="AK990" s="1012"/>
    </row>
    <row r="991">
      <c r="A991" s="1012"/>
      <c r="B991" s="1013"/>
      <c r="C991" s="1012"/>
      <c r="D991" s="1013"/>
      <c r="E991" s="1012"/>
      <c r="F991" s="1012"/>
      <c r="G991" s="1013"/>
      <c r="H991" s="1012"/>
      <c r="I991" s="1012"/>
      <c r="J991" s="1013"/>
      <c r="K991" s="1013"/>
      <c r="L991" s="1094"/>
      <c r="M991" s="1094"/>
      <c r="N991" s="1013"/>
      <c r="O991" s="1013"/>
      <c r="P991" s="1013"/>
      <c r="Q991" s="1013"/>
      <c r="R991" s="1013"/>
      <c r="S991" s="1013"/>
      <c r="T991" s="1012"/>
      <c r="U991" s="1011"/>
      <c r="V991" s="1012"/>
      <c r="W991" s="1013"/>
      <c r="X991" s="1014"/>
      <c r="Y991" s="1012"/>
      <c r="Z991" s="1012"/>
      <c r="AA991" s="1012"/>
      <c r="AB991" s="1012"/>
      <c r="AC991" s="1012"/>
      <c r="AD991" s="1012"/>
      <c r="AE991" s="1012"/>
      <c r="AF991" s="1012"/>
      <c r="AG991" s="1012"/>
      <c r="AH991" s="1012"/>
      <c r="AI991" s="1012"/>
      <c r="AJ991" s="1012"/>
      <c r="AK991" s="1012"/>
    </row>
    <row r="992">
      <c r="A992" s="1012"/>
      <c r="B992" s="1013"/>
      <c r="C992" s="1012"/>
      <c r="D992" s="1013"/>
      <c r="E992" s="1012"/>
      <c r="F992" s="1012"/>
      <c r="G992" s="1013"/>
      <c r="H992" s="1012"/>
      <c r="I992" s="1012"/>
      <c r="J992" s="1013"/>
      <c r="K992" s="1013"/>
      <c r="L992" s="1094"/>
      <c r="M992" s="1094"/>
      <c r="N992" s="1013"/>
      <c r="O992" s="1013"/>
      <c r="P992" s="1013"/>
      <c r="Q992" s="1013"/>
      <c r="R992" s="1013"/>
      <c r="S992" s="1013"/>
      <c r="T992" s="1012"/>
      <c r="U992" s="1011"/>
      <c r="V992" s="1012"/>
      <c r="W992" s="1013"/>
      <c r="X992" s="1014"/>
      <c r="Y992" s="1012"/>
      <c r="Z992" s="1012"/>
      <c r="AA992" s="1012"/>
      <c r="AB992" s="1012"/>
      <c r="AC992" s="1012"/>
      <c r="AD992" s="1012"/>
      <c r="AE992" s="1012"/>
      <c r="AF992" s="1012"/>
      <c r="AG992" s="1012"/>
      <c r="AH992" s="1012"/>
      <c r="AI992" s="1012"/>
      <c r="AJ992" s="1012"/>
      <c r="AK992" s="1012"/>
    </row>
    <row r="993">
      <c r="A993" s="1012"/>
      <c r="B993" s="1013"/>
      <c r="C993" s="1012"/>
      <c r="D993" s="1013"/>
      <c r="E993" s="1012"/>
      <c r="F993" s="1012"/>
      <c r="G993" s="1013"/>
      <c r="H993" s="1012"/>
      <c r="I993" s="1012"/>
      <c r="J993" s="1013"/>
      <c r="K993" s="1013"/>
      <c r="L993" s="1094"/>
      <c r="M993" s="1094"/>
      <c r="N993" s="1013"/>
      <c r="O993" s="1013"/>
      <c r="P993" s="1013"/>
      <c r="Q993" s="1013"/>
      <c r="R993" s="1013"/>
      <c r="S993" s="1013"/>
      <c r="T993" s="1012"/>
      <c r="U993" s="1011"/>
      <c r="V993" s="1012"/>
      <c r="W993" s="1013"/>
      <c r="X993" s="1014"/>
      <c r="Y993" s="1012"/>
      <c r="Z993" s="1012"/>
      <c r="AA993" s="1012"/>
      <c r="AB993" s="1012"/>
      <c r="AC993" s="1012"/>
      <c r="AD993" s="1012"/>
      <c r="AE993" s="1012"/>
      <c r="AF993" s="1012"/>
      <c r="AG993" s="1012"/>
      <c r="AH993" s="1012"/>
      <c r="AI993" s="1012"/>
      <c r="AJ993" s="1012"/>
      <c r="AK993" s="1012"/>
    </row>
    <row r="994">
      <c r="A994" s="1012"/>
      <c r="B994" s="1013"/>
      <c r="C994" s="1012"/>
      <c r="D994" s="1013"/>
      <c r="E994" s="1012"/>
      <c r="F994" s="1012"/>
      <c r="G994" s="1013"/>
      <c r="H994" s="1012"/>
      <c r="I994" s="1012"/>
      <c r="J994" s="1013"/>
      <c r="K994" s="1013"/>
      <c r="L994" s="1094"/>
      <c r="M994" s="1094"/>
      <c r="N994" s="1013"/>
      <c r="O994" s="1013"/>
      <c r="P994" s="1013"/>
      <c r="Q994" s="1013"/>
      <c r="R994" s="1013"/>
      <c r="S994" s="1013"/>
      <c r="T994" s="1012"/>
      <c r="U994" s="1011"/>
      <c r="V994" s="1012"/>
      <c r="W994" s="1013"/>
      <c r="X994" s="1014"/>
      <c r="Y994" s="1012"/>
      <c r="Z994" s="1012"/>
      <c r="AA994" s="1012"/>
      <c r="AB994" s="1012"/>
      <c r="AC994" s="1012"/>
      <c r="AD994" s="1012"/>
      <c r="AE994" s="1012"/>
      <c r="AF994" s="1012"/>
      <c r="AG994" s="1012"/>
      <c r="AH994" s="1012"/>
      <c r="AI994" s="1012"/>
      <c r="AJ994" s="1012"/>
      <c r="AK994" s="1012"/>
    </row>
    <row r="995">
      <c r="A995" s="1012"/>
      <c r="B995" s="1013"/>
      <c r="C995" s="1012"/>
      <c r="D995" s="1013"/>
      <c r="E995" s="1012"/>
      <c r="F995" s="1012"/>
      <c r="G995" s="1013"/>
      <c r="H995" s="1012"/>
      <c r="I995" s="1012"/>
      <c r="J995" s="1013"/>
      <c r="K995" s="1013"/>
      <c r="L995" s="1094"/>
      <c r="M995" s="1094"/>
      <c r="N995" s="1013"/>
      <c r="O995" s="1013"/>
      <c r="P995" s="1013"/>
      <c r="Q995" s="1013"/>
      <c r="R995" s="1013"/>
      <c r="S995" s="1013"/>
      <c r="T995" s="1012"/>
      <c r="U995" s="1011"/>
      <c r="V995" s="1012"/>
      <c r="W995" s="1013"/>
      <c r="X995" s="1014"/>
      <c r="Y995" s="1012"/>
      <c r="Z995" s="1012"/>
      <c r="AA995" s="1012"/>
      <c r="AB995" s="1012"/>
      <c r="AC995" s="1012"/>
      <c r="AD995" s="1012"/>
      <c r="AE995" s="1012"/>
      <c r="AF995" s="1012"/>
      <c r="AG995" s="1012"/>
      <c r="AH995" s="1012"/>
      <c r="AI995" s="1012"/>
      <c r="AJ995" s="1012"/>
      <c r="AK995" s="1012"/>
    </row>
    <row r="996">
      <c r="A996" s="1012"/>
      <c r="B996" s="1013"/>
      <c r="C996" s="1012"/>
      <c r="D996" s="1013"/>
      <c r="E996" s="1012"/>
      <c r="F996" s="1012"/>
      <c r="G996" s="1013"/>
      <c r="H996" s="1012"/>
      <c r="I996" s="1012"/>
      <c r="J996" s="1013"/>
      <c r="K996" s="1013"/>
      <c r="L996" s="1094"/>
      <c r="M996" s="1094"/>
      <c r="N996" s="1013"/>
      <c r="O996" s="1013"/>
      <c r="P996" s="1013"/>
      <c r="Q996" s="1013"/>
      <c r="R996" s="1013"/>
      <c r="S996" s="1013"/>
      <c r="T996" s="1012"/>
      <c r="U996" s="1011"/>
      <c r="V996" s="1012"/>
      <c r="W996" s="1013"/>
      <c r="X996" s="1014"/>
      <c r="Y996" s="1012"/>
      <c r="Z996" s="1012"/>
      <c r="AA996" s="1012"/>
      <c r="AB996" s="1012"/>
      <c r="AC996" s="1012"/>
      <c r="AD996" s="1012"/>
      <c r="AE996" s="1012"/>
      <c r="AF996" s="1012"/>
      <c r="AG996" s="1012"/>
      <c r="AH996" s="1012"/>
      <c r="AI996" s="1012"/>
      <c r="AJ996" s="1012"/>
      <c r="AK996" s="1012"/>
    </row>
    <row r="997">
      <c r="A997" s="1012"/>
      <c r="B997" s="1013"/>
      <c r="C997" s="1012"/>
      <c r="D997" s="1013"/>
      <c r="E997" s="1012"/>
      <c r="F997" s="1012"/>
      <c r="G997" s="1013"/>
      <c r="H997" s="1012"/>
      <c r="I997" s="1012"/>
      <c r="J997" s="1013"/>
      <c r="K997" s="1013"/>
      <c r="L997" s="1094"/>
      <c r="M997" s="1094"/>
      <c r="N997" s="1013"/>
      <c r="O997" s="1013"/>
      <c r="P997" s="1013"/>
      <c r="Q997" s="1013"/>
      <c r="R997" s="1013"/>
      <c r="S997" s="1013"/>
      <c r="T997" s="1012"/>
      <c r="U997" s="1011"/>
      <c r="V997" s="1012"/>
      <c r="W997" s="1013"/>
      <c r="X997" s="1014"/>
      <c r="Y997" s="1012"/>
      <c r="Z997" s="1012"/>
      <c r="AA997" s="1012"/>
      <c r="AB997" s="1012"/>
      <c r="AC997" s="1012"/>
      <c r="AD997" s="1012"/>
      <c r="AE997" s="1012"/>
      <c r="AF997" s="1012"/>
      <c r="AG997" s="1012"/>
      <c r="AH997" s="1012"/>
      <c r="AI997" s="1012"/>
      <c r="AJ997" s="1012"/>
      <c r="AK997" s="1012"/>
    </row>
    <row r="998">
      <c r="A998" s="1012"/>
      <c r="B998" s="1013"/>
      <c r="C998" s="1012"/>
      <c r="D998" s="1013"/>
      <c r="E998" s="1012"/>
      <c r="F998" s="1012"/>
      <c r="G998" s="1013"/>
      <c r="H998" s="1012"/>
      <c r="I998" s="1012"/>
      <c r="J998" s="1013"/>
      <c r="K998" s="1013"/>
      <c r="L998" s="1094"/>
      <c r="M998" s="1094"/>
      <c r="N998" s="1013"/>
      <c r="O998" s="1013"/>
      <c r="P998" s="1013"/>
      <c r="Q998" s="1013"/>
      <c r="R998" s="1013"/>
      <c r="S998" s="1013"/>
      <c r="T998" s="1012"/>
      <c r="U998" s="1011"/>
      <c r="V998" s="1012"/>
      <c r="W998" s="1013"/>
      <c r="X998" s="1014"/>
      <c r="Y998" s="1012"/>
      <c r="Z998" s="1012"/>
      <c r="AA998" s="1012"/>
      <c r="AB998" s="1012"/>
      <c r="AC998" s="1012"/>
      <c r="AD998" s="1012"/>
      <c r="AE998" s="1012"/>
      <c r="AF998" s="1012"/>
      <c r="AG998" s="1012"/>
      <c r="AH998" s="1012"/>
      <c r="AI998" s="1012"/>
      <c r="AJ998" s="1012"/>
      <c r="AK998" s="1012"/>
    </row>
    <row r="999">
      <c r="A999" s="1012"/>
      <c r="B999" s="1013"/>
      <c r="C999" s="1012"/>
      <c r="D999" s="1013"/>
      <c r="E999" s="1012"/>
      <c r="F999" s="1012"/>
      <c r="G999" s="1013"/>
      <c r="H999" s="1012"/>
      <c r="I999" s="1012"/>
      <c r="J999" s="1013"/>
      <c r="K999" s="1013"/>
      <c r="L999" s="1094"/>
      <c r="M999" s="1094"/>
      <c r="N999" s="1013"/>
      <c r="O999" s="1013"/>
      <c r="P999" s="1013"/>
      <c r="Q999" s="1013"/>
      <c r="R999" s="1013"/>
      <c r="S999" s="1013"/>
      <c r="T999" s="1012"/>
      <c r="U999" s="1011"/>
      <c r="V999" s="1012"/>
      <c r="W999" s="1013"/>
      <c r="X999" s="1014"/>
      <c r="Y999" s="1012"/>
      <c r="Z999" s="1012"/>
      <c r="AA999" s="1012"/>
      <c r="AB999" s="1012"/>
      <c r="AC999" s="1012"/>
      <c r="AD999" s="1012"/>
      <c r="AE999" s="1012"/>
      <c r="AF999" s="1012"/>
      <c r="AG999" s="1012"/>
      <c r="AH999" s="1012"/>
      <c r="AI999" s="1012"/>
      <c r="AJ999" s="1012"/>
      <c r="AK999" s="1012"/>
    </row>
    <row r="1000">
      <c r="A1000" s="1012"/>
      <c r="B1000" s="1013"/>
      <c r="C1000" s="1012"/>
      <c r="D1000" s="1013"/>
      <c r="E1000" s="1012"/>
      <c r="F1000" s="1012"/>
      <c r="G1000" s="1013"/>
      <c r="H1000" s="1012"/>
      <c r="I1000" s="1012"/>
      <c r="J1000" s="1013"/>
      <c r="K1000" s="1013"/>
      <c r="L1000" s="1094"/>
      <c r="M1000" s="1094"/>
      <c r="N1000" s="1013"/>
      <c r="O1000" s="1013"/>
      <c r="P1000" s="1013"/>
      <c r="Q1000" s="1013"/>
      <c r="R1000" s="1013"/>
      <c r="S1000" s="1013"/>
      <c r="T1000" s="1012"/>
      <c r="U1000" s="1011"/>
      <c r="V1000" s="1012"/>
      <c r="W1000" s="1013"/>
      <c r="X1000" s="1014"/>
      <c r="Y1000" s="1012"/>
      <c r="Z1000" s="1012"/>
      <c r="AA1000" s="1012"/>
      <c r="AB1000" s="1012"/>
      <c r="AC1000" s="1012"/>
      <c r="AD1000" s="1012"/>
      <c r="AE1000" s="1012"/>
      <c r="AF1000" s="1012"/>
      <c r="AG1000" s="1012"/>
      <c r="AH1000" s="1012"/>
      <c r="AI1000" s="1012"/>
      <c r="AJ1000" s="1012"/>
      <c r="AK1000" s="1012"/>
    </row>
    <row r="1001">
      <c r="A1001" s="1012"/>
      <c r="B1001" s="1013"/>
      <c r="C1001" s="1012"/>
      <c r="D1001" s="1013"/>
      <c r="E1001" s="1012"/>
      <c r="F1001" s="1012"/>
      <c r="G1001" s="1013"/>
      <c r="H1001" s="1012"/>
      <c r="I1001" s="1012"/>
      <c r="J1001" s="1013"/>
      <c r="K1001" s="1013"/>
      <c r="L1001" s="1094"/>
      <c r="M1001" s="1094"/>
      <c r="N1001" s="1013"/>
      <c r="O1001" s="1013"/>
      <c r="P1001" s="1013"/>
      <c r="Q1001" s="1013"/>
      <c r="R1001" s="1013"/>
      <c r="S1001" s="1013"/>
      <c r="T1001" s="1012"/>
      <c r="U1001" s="1011"/>
      <c r="V1001" s="1012"/>
      <c r="W1001" s="1013"/>
      <c r="X1001" s="1014"/>
      <c r="Y1001" s="1012"/>
      <c r="Z1001" s="1012"/>
      <c r="AA1001" s="1012"/>
      <c r="AB1001" s="1012"/>
      <c r="AC1001" s="1012"/>
      <c r="AD1001" s="1012"/>
      <c r="AE1001" s="1012"/>
      <c r="AF1001" s="1012"/>
      <c r="AG1001" s="1012"/>
      <c r="AH1001" s="1012"/>
      <c r="AI1001" s="1012"/>
      <c r="AJ1001" s="1012"/>
      <c r="AK1001" s="1012"/>
    </row>
    <row r="1002">
      <c r="A1002" s="1012"/>
      <c r="B1002" s="1013"/>
      <c r="C1002" s="1012"/>
      <c r="D1002" s="1013"/>
      <c r="E1002" s="1012"/>
      <c r="F1002" s="1012"/>
      <c r="G1002" s="1013"/>
      <c r="H1002" s="1012"/>
      <c r="I1002" s="1012"/>
      <c r="J1002" s="1013"/>
      <c r="K1002" s="1013"/>
      <c r="L1002" s="1094"/>
      <c r="M1002" s="1094"/>
      <c r="N1002" s="1013"/>
      <c r="O1002" s="1013"/>
      <c r="P1002" s="1013"/>
      <c r="Q1002" s="1013"/>
      <c r="R1002" s="1013"/>
      <c r="S1002" s="1013"/>
      <c r="T1002" s="1012"/>
      <c r="U1002" s="1011"/>
      <c r="V1002" s="1012"/>
      <c r="W1002" s="1013"/>
      <c r="X1002" s="1014"/>
      <c r="Y1002" s="1012"/>
      <c r="Z1002" s="1012"/>
      <c r="AA1002" s="1012"/>
      <c r="AB1002" s="1012"/>
      <c r="AC1002" s="1012"/>
      <c r="AD1002" s="1012"/>
      <c r="AE1002" s="1012"/>
      <c r="AF1002" s="1012"/>
      <c r="AG1002" s="1012"/>
      <c r="AH1002" s="1012"/>
      <c r="AI1002" s="1012"/>
      <c r="AJ1002" s="1012"/>
      <c r="AK1002" s="1012"/>
    </row>
  </sheetData>
  <autoFilter ref="$A$5:$AK$140">
    <filterColumn colId="24">
      <filters>
        <filter val="1"/>
        <filter val="2"/>
        <filter val="3"/>
        <filter val="4"/>
        <filter val="5"/>
        <filter val="6"/>
        <filter val="7"/>
        <filter val="8"/>
        <filter val="9"/>
        <filter val="30"/>
        <filter val="10"/>
      </filters>
    </filterColumn>
  </autoFilter>
  <mergeCells count="4">
    <mergeCell ref="A1:H1"/>
    <mergeCell ref="A2:H2"/>
    <mergeCell ref="A3:H3"/>
    <mergeCell ref="A4:H4"/>
  </mergeCells>
  <dataValidations>
    <dataValidation type="list" allowBlank="1" showErrorMessage="1" sqref="A6 A11:A13">
      <formula1>'Current Stock'!$A$3:$A$1790</formula1>
    </dataValidation>
    <dataValidation type="list" allowBlank="1" showErrorMessage="1" sqref="L13 L20 L102 L118 L124 L133">
      <formula1>"Truck 1 &amp; 2,Granmax,Truck &amp; Granmax"</formula1>
    </dataValidation>
    <dataValidation type="list" allowBlank="1" showErrorMessage="1" sqref="F6:F140">
      <formula1>"KIRIM,KEEP,PRORATE"</formula1>
    </dataValidation>
    <dataValidation type="list" allowBlank="1" showErrorMessage="1" sqref="L6:L12 L14:L19 L21:L101 L103:L117 L119:L123 L125:L132 L134:L140">
      <formula1>"Truck 1 &amp; 2,Granmax"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39.14"/>
    <col customWidth="1" min="3" max="3" width="23.57"/>
  </cols>
  <sheetData>
    <row r="1">
      <c r="A1" s="1095" t="s">
        <v>2562</v>
      </c>
      <c r="B1" s="1095" t="s">
        <v>1101</v>
      </c>
      <c r="C1" s="1096">
        <v>401289.0</v>
      </c>
    </row>
    <row r="2">
      <c r="A2" s="1095" t="s">
        <v>3099</v>
      </c>
      <c r="B2" s="1095" t="s">
        <v>1517</v>
      </c>
      <c r="C2" s="1096">
        <v>455740.0</v>
      </c>
    </row>
    <row r="3">
      <c r="A3" s="1095" t="s">
        <v>2565</v>
      </c>
      <c r="B3" s="1095" t="s">
        <v>65</v>
      </c>
      <c r="C3" s="1096">
        <v>400992.0</v>
      </c>
    </row>
    <row r="4">
      <c r="A4" s="1095" t="s">
        <v>3817</v>
      </c>
      <c r="B4" s="1095" t="s">
        <v>2322</v>
      </c>
      <c r="C4" s="1096">
        <v>496016.0</v>
      </c>
    </row>
    <row r="5">
      <c r="A5" s="1095" t="s">
        <v>3451</v>
      </c>
      <c r="B5" s="1095" t="s">
        <v>1713</v>
      </c>
      <c r="C5" s="1096">
        <v>505784.0</v>
      </c>
    </row>
    <row r="6">
      <c r="A6" s="1095" t="s">
        <v>2549</v>
      </c>
      <c r="B6" s="1095" t="s">
        <v>81</v>
      </c>
      <c r="C6" s="1096">
        <v>400992.0</v>
      </c>
    </row>
    <row r="7">
      <c r="A7" s="1095" t="s">
        <v>2926</v>
      </c>
      <c r="B7" s="1095" t="s">
        <v>463</v>
      </c>
      <c r="C7" s="1096">
        <v>550961.0</v>
      </c>
    </row>
    <row r="8">
      <c r="A8" s="1095" t="s">
        <v>2720</v>
      </c>
      <c r="B8" s="1095" t="s">
        <v>2003</v>
      </c>
      <c r="C8" s="1096">
        <v>427640.0</v>
      </c>
    </row>
    <row r="9">
      <c r="A9" s="1095" t="s">
        <v>6734</v>
      </c>
      <c r="B9" s="1095" t="s">
        <v>1454</v>
      </c>
      <c r="C9" s="1096">
        <v>286004.0</v>
      </c>
    </row>
    <row r="10">
      <c r="A10" s="1095" t="s">
        <v>6735</v>
      </c>
      <c r="B10" s="1095" t="s">
        <v>1454</v>
      </c>
      <c r="C10" s="1096">
        <v>286004.0</v>
      </c>
    </row>
    <row r="11">
      <c r="A11" s="1095" t="s">
        <v>6043</v>
      </c>
      <c r="B11" s="1095" t="s">
        <v>1481</v>
      </c>
      <c r="C11" s="1096">
        <v>514098.0</v>
      </c>
    </row>
    <row r="12">
      <c r="A12" s="1095" t="s">
        <v>2637</v>
      </c>
      <c r="B12" s="1095" t="s">
        <v>295</v>
      </c>
      <c r="C12" s="1096">
        <v>467551.0</v>
      </c>
    </row>
    <row r="13">
      <c r="A13" s="1095" t="s">
        <v>6544</v>
      </c>
      <c r="B13" s="1095" t="s">
        <v>1761</v>
      </c>
      <c r="C13" s="1096">
        <v>570497.0</v>
      </c>
    </row>
    <row r="14">
      <c r="A14" s="1095" t="s">
        <v>3865</v>
      </c>
      <c r="B14" s="1095" t="s">
        <v>876</v>
      </c>
      <c r="C14" s="1096">
        <v>582707.0</v>
      </c>
    </row>
    <row r="15">
      <c r="A15" s="1095" t="s">
        <v>5546</v>
      </c>
      <c r="B15" s="1095" t="s">
        <v>261</v>
      </c>
      <c r="C15" s="1096">
        <v>653525.0</v>
      </c>
    </row>
    <row r="16">
      <c r="A16" s="1095" t="s">
        <v>3391</v>
      </c>
      <c r="B16" s="1095" t="s">
        <v>1129</v>
      </c>
      <c r="C16" s="1096">
        <v>505784.0</v>
      </c>
    </row>
    <row r="17">
      <c r="A17" s="1095" t="s">
        <v>3622</v>
      </c>
      <c r="B17" s="1095" t="s">
        <v>882</v>
      </c>
      <c r="C17" s="1096">
        <v>469154.0</v>
      </c>
    </row>
    <row r="18">
      <c r="A18" s="1095" t="s">
        <v>3118</v>
      </c>
      <c r="B18" s="1095" t="s">
        <v>1156</v>
      </c>
      <c r="C18" s="1096">
        <v>536309.0</v>
      </c>
    </row>
    <row r="19">
      <c r="A19" s="1095" t="s">
        <v>2919</v>
      </c>
      <c r="B19" s="1095" t="s">
        <v>1160</v>
      </c>
      <c r="C19" s="1096">
        <v>815500.0</v>
      </c>
    </row>
    <row r="20">
      <c r="A20" s="1095" t="s">
        <v>2960</v>
      </c>
      <c r="B20" s="1095" t="s">
        <v>1053</v>
      </c>
      <c r="C20" s="1096">
        <v>558764.0</v>
      </c>
    </row>
    <row r="21">
      <c r="A21" s="1095" t="s">
        <v>12811</v>
      </c>
      <c r="B21" s="1095" t="s">
        <v>73</v>
      </c>
      <c r="C21" s="1096">
        <v>160477.0</v>
      </c>
    </row>
    <row r="22">
      <c r="A22" s="1095" t="s">
        <v>12812</v>
      </c>
      <c r="B22" s="1095" t="s">
        <v>73</v>
      </c>
      <c r="C22" s="1096">
        <v>160477.0</v>
      </c>
    </row>
    <row r="23">
      <c r="A23" s="1095" t="s">
        <v>2593</v>
      </c>
      <c r="B23" s="1095" t="s">
        <v>2065</v>
      </c>
      <c r="C23" s="1096">
        <v>856044.0</v>
      </c>
    </row>
    <row r="24">
      <c r="A24" s="1095" t="s">
        <v>9211</v>
      </c>
      <c r="B24" s="1095" t="s">
        <v>1067</v>
      </c>
      <c r="C24" s="1096">
        <v>570642.0</v>
      </c>
    </row>
    <row r="25">
      <c r="A25" s="1095" t="s">
        <v>12813</v>
      </c>
      <c r="B25" s="1095" t="s">
        <v>1057</v>
      </c>
      <c r="C25" s="1096">
        <v>173113.0</v>
      </c>
    </row>
    <row r="26">
      <c r="A26" s="1095" t="s">
        <v>12814</v>
      </c>
      <c r="B26" s="1095" t="s">
        <v>1057</v>
      </c>
      <c r="C26" s="1096">
        <v>173113.0</v>
      </c>
    </row>
    <row r="27">
      <c r="A27" s="1095" t="s">
        <v>8870</v>
      </c>
      <c r="B27" s="1095" t="s">
        <v>1071</v>
      </c>
      <c r="C27" s="1096">
        <v>847370.0</v>
      </c>
    </row>
    <row r="28">
      <c r="A28" s="1095" t="s">
        <v>12815</v>
      </c>
      <c r="B28" s="1095" t="s">
        <v>223</v>
      </c>
      <c r="C28" s="1096">
        <v>324745.0</v>
      </c>
    </row>
    <row r="29">
      <c r="A29" s="1095" t="s">
        <v>2664</v>
      </c>
      <c r="B29" s="1095" t="s">
        <v>223</v>
      </c>
      <c r="C29" s="1096">
        <v>602989.0</v>
      </c>
    </row>
    <row r="30">
      <c r="A30" s="1095" t="s">
        <v>5554</v>
      </c>
      <c r="B30" s="1095" t="s">
        <v>13649</v>
      </c>
      <c r="C30" s="1096">
        <v>1513287.0</v>
      </c>
    </row>
    <row r="31">
      <c r="A31" s="1095" t="s">
        <v>9437</v>
      </c>
      <c r="B31" s="1095" t="s">
        <v>299</v>
      </c>
      <c r="C31" s="1096">
        <v>324745.0</v>
      </c>
    </row>
    <row r="32">
      <c r="A32" s="1095" t="s">
        <v>12816</v>
      </c>
      <c r="B32" s="1095" t="s">
        <v>2196</v>
      </c>
      <c r="C32" s="1096">
        <v>185749.0</v>
      </c>
    </row>
    <row r="33">
      <c r="A33" s="1095" t="s">
        <v>10636</v>
      </c>
      <c r="B33" s="1095" t="s">
        <v>2196</v>
      </c>
      <c r="C33" s="1096">
        <v>185749.0</v>
      </c>
    </row>
    <row r="34">
      <c r="A34" s="1095" t="s">
        <v>12817</v>
      </c>
      <c r="B34" s="1095" t="s">
        <v>2196</v>
      </c>
      <c r="C34" s="1096">
        <v>147841.0</v>
      </c>
    </row>
    <row r="35">
      <c r="A35" s="1095" t="s">
        <v>12818</v>
      </c>
      <c r="B35" s="1095" t="s">
        <v>2196</v>
      </c>
      <c r="C35" s="1096">
        <v>147841.0</v>
      </c>
    </row>
    <row r="36">
      <c r="A36" s="1095" t="s">
        <v>12819</v>
      </c>
      <c r="B36" s="1095" t="s">
        <v>2203</v>
      </c>
      <c r="C36" s="1096">
        <v>1082905.0</v>
      </c>
    </row>
    <row r="37">
      <c r="A37" s="1095" t="s">
        <v>12820</v>
      </c>
      <c r="B37" s="1095" t="s">
        <v>1897</v>
      </c>
      <c r="C37" s="1096">
        <v>981817.0</v>
      </c>
    </row>
    <row r="38">
      <c r="A38" s="1095" t="s">
        <v>2949</v>
      </c>
      <c r="B38" s="1095" t="s">
        <v>928</v>
      </c>
      <c r="C38" s="1096">
        <v>524394.0</v>
      </c>
    </row>
    <row r="39">
      <c r="A39" s="1095" t="s">
        <v>12821</v>
      </c>
      <c r="B39" s="1095" t="s">
        <v>2208</v>
      </c>
      <c r="C39" s="1096">
        <v>399045.0</v>
      </c>
    </row>
    <row r="40">
      <c r="A40" s="1095" t="s">
        <v>2743</v>
      </c>
      <c r="B40" s="1095" t="s">
        <v>2210</v>
      </c>
      <c r="C40" s="1096">
        <v>636601.0</v>
      </c>
    </row>
    <row r="41">
      <c r="A41" s="1095" t="s">
        <v>2599</v>
      </c>
      <c r="B41" s="1095" t="s">
        <v>2212</v>
      </c>
      <c r="C41" s="1096">
        <v>558511.0</v>
      </c>
    </row>
    <row r="42">
      <c r="A42" s="1095" t="s">
        <v>12822</v>
      </c>
      <c r="B42" s="1095" t="s">
        <v>1900</v>
      </c>
      <c r="C42" s="1096">
        <v>185749.0</v>
      </c>
    </row>
    <row r="43">
      <c r="A43" s="1095" t="s">
        <v>12823</v>
      </c>
      <c r="B43" s="1095" t="s">
        <v>1900</v>
      </c>
      <c r="C43" s="1096">
        <v>185749.0</v>
      </c>
    </row>
    <row r="44">
      <c r="A44" s="1095" t="s">
        <v>6910</v>
      </c>
      <c r="B44" s="1095" t="s">
        <v>1900</v>
      </c>
      <c r="C44" s="1096">
        <v>661873.0</v>
      </c>
    </row>
    <row r="45">
      <c r="A45" s="1095" t="s">
        <v>5465</v>
      </c>
      <c r="B45" s="1095" t="s">
        <v>1277</v>
      </c>
      <c r="C45" s="1096">
        <v>324745.0</v>
      </c>
    </row>
    <row r="46">
      <c r="A46" s="1095" t="s">
        <v>4765</v>
      </c>
      <c r="B46" s="1095" t="s">
        <v>983</v>
      </c>
      <c r="C46" s="1096">
        <v>377664.0</v>
      </c>
    </row>
    <row r="47">
      <c r="A47" s="1095" t="s">
        <v>7168</v>
      </c>
      <c r="B47" s="1095" t="s">
        <v>991</v>
      </c>
      <c r="C47" s="1096">
        <v>582267.0</v>
      </c>
    </row>
    <row r="48">
      <c r="A48" s="1095" t="s">
        <v>3176</v>
      </c>
      <c r="B48" s="1095" t="s">
        <v>1472</v>
      </c>
      <c r="C48" s="1096">
        <v>298251.0</v>
      </c>
    </row>
    <row r="49">
      <c r="A49" s="1095" t="s">
        <v>3127</v>
      </c>
      <c r="B49" s="1095" t="s">
        <v>65</v>
      </c>
      <c r="C49" s="1096">
        <v>296953.0</v>
      </c>
    </row>
    <row r="50">
      <c r="A50" s="1095" t="s">
        <v>4608</v>
      </c>
      <c r="B50" s="1095" t="s">
        <v>2042</v>
      </c>
      <c r="C50" s="1096">
        <v>232317.0</v>
      </c>
    </row>
    <row r="51">
      <c r="A51" s="1095" t="s">
        <v>3543</v>
      </c>
      <c r="B51" s="1095" t="s">
        <v>2024</v>
      </c>
      <c r="C51" s="1096">
        <v>240864.0</v>
      </c>
    </row>
    <row r="52">
      <c r="A52" s="1095" t="s">
        <v>6736</v>
      </c>
      <c r="B52" s="1095" t="s">
        <v>65</v>
      </c>
      <c r="C52" s="1096">
        <v>71145.0</v>
      </c>
    </row>
    <row r="53">
      <c r="A53" s="1095" t="s">
        <v>6737</v>
      </c>
      <c r="B53" s="1095" t="s">
        <v>65</v>
      </c>
      <c r="C53" s="1096">
        <v>71145.0</v>
      </c>
    </row>
    <row r="54">
      <c r="A54" s="1095" t="s">
        <v>3934</v>
      </c>
      <c r="B54" s="1095" t="s">
        <v>1472</v>
      </c>
      <c r="C54" s="1096">
        <v>91902.0</v>
      </c>
    </row>
    <row r="55">
      <c r="A55" s="1095" t="s">
        <v>3382</v>
      </c>
      <c r="B55" s="1095" t="s">
        <v>1472</v>
      </c>
      <c r="C55" s="1096">
        <v>91902.0</v>
      </c>
    </row>
    <row r="56">
      <c r="A56" s="1095" t="s">
        <v>2753</v>
      </c>
      <c r="B56" s="1095" t="s">
        <v>1862</v>
      </c>
      <c r="C56" s="1096">
        <v>309823.0</v>
      </c>
    </row>
    <row r="57">
      <c r="A57" s="1095" t="s">
        <v>4901</v>
      </c>
      <c r="B57" s="1095" t="s">
        <v>1713</v>
      </c>
      <c r="C57" s="1096">
        <v>347091.0</v>
      </c>
    </row>
    <row r="58">
      <c r="A58" s="1095" t="s">
        <v>4386</v>
      </c>
      <c r="B58" s="1095" t="s">
        <v>1517</v>
      </c>
      <c r="C58" s="1096">
        <v>71145.0</v>
      </c>
    </row>
    <row r="59">
      <c r="A59" s="1095" t="s">
        <v>3564</v>
      </c>
      <c r="B59" s="1095" t="s">
        <v>1517</v>
      </c>
      <c r="C59" s="1096">
        <v>71145.0</v>
      </c>
    </row>
    <row r="60">
      <c r="A60" s="1095" t="s">
        <v>2936</v>
      </c>
      <c r="B60" s="1095" t="s">
        <v>1517</v>
      </c>
      <c r="C60" s="1096">
        <v>308374.0</v>
      </c>
    </row>
    <row r="61">
      <c r="A61" s="1095" t="s">
        <v>6797</v>
      </c>
      <c r="B61" s="1095" t="s">
        <v>1517</v>
      </c>
      <c r="C61" s="1096">
        <v>133416.0</v>
      </c>
    </row>
    <row r="62">
      <c r="A62" s="1095" t="s">
        <v>6738</v>
      </c>
      <c r="B62" s="1095" t="s">
        <v>476</v>
      </c>
      <c r="C62" s="1096">
        <v>597253.0</v>
      </c>
    </row>
    <row r="63">
      <c r="A63" s="1095" t="s">
        <v>4782</v>
      </c>
      <c r="B63" s="1095" t="s">
        <v>882</v>
      </c>
      <c r="C63" s="1096">
        <v>483000.0</v>
      </c>
    </row>
    <row r="64">
      <c r="A64" s="1095" t="s">
        <v>4183</v>
      </c>
      <c r="B64" s="1095" t="s">
        <v>1628</v>
      </c>
      <c r="C64" s="1096">
        <v>330000.0</v>
      </c>
    </row>
    <row r="65">
      <c r="A65" s="1095" t="s">
        <v>3638</v>
      </c>
      <c r="B65" s="1095" t="s">
        <v>1628</v>
      </c>
      <c r="C65" s="1096">
        <v>299382.0</v>
      </c>
    </row>
    <row r="66">
      <c r="A66" s="1095" t="s">
        <v>3877</v>
      </c>
      <c r="B66" s="1095" t="s">
        <v>1651</v>
      </c>
      <c r="C66" s="1096">
        <v>574153.0</v>
      </c>
    </row>
    <row r="67">
      <c r="A67" s="1095" t="s">
        <v>6739</v>
      </c>
      <c r="B67" s="1095" t="s">
        <v>277</v>
      </c>
      <c r="C67" s="1096">
        <v>574153.0</v>
      </c>
    </row>
    <row r="68">
      <c r="A68" s="1095" t="s">
        <v>2744</v>
      </c>
      <c r="B68" s="1095" t="s">
        <v>1132</v>
      </c>
      <c r="C68" s="1096">
        <v>813718.0</v>
      </c>
    </row>
    <row r="69">
      <c r="A69" s="1095" t="s">
        <v>3031</v>
      </c>
      <c r="B69" s="1095" t="s">
        <v>1694</v>
      </c>
      <c r="C69" s="1096">
        <v>777213.0</v>
      </c>
    </row>
    <row r="70">
      <c r="A70" s="1095" t="s">
        <v>6740</v>
      </c>
      <c r="B70" s="1095" t="s">
        <v>1458</v>
      </c>
      <c r="C70" s="1096">
        <v>662153.0</v>
      </c>
    </row>
    <row r="71">
      <c r="A71" s="1095" t="s">
        <v>6319</v>
      </c>
      <c r="B71" s="1095" t="s">
        <v>1976</v>
      </c>
      <c r="C71" s="1096">
        <v>684648.0</v>
      </c>
    </row>
    <row r="72">
      <c r="A72" s="1095" t="s">
        <v>5493</v>
      </c>
      <c r="B72" s="1095" t="s">
        <v>1517</v>
      </c>
      <c r="C72" s="1096">
        <v>133416.0</v>
      </c>
    </row>
    <row r="73">
      <c r="A73" s="1095" t="s">
        <v>3050</v>
      </c>
      <c r="B73" s="1095" t="s">
        <v>1154</v>
      </c>
      <c r="C73" s="1096">
        <v>299118.0</v>
      </c>
    </row>
    <row r="74">
      <c r="A74" s="1095" t="s">
        <v>5308</v>
      </c>
      <c r="B74" s="1095" t="s">
        <v>1156</v>
      </c>
      <c r="C74" s="1096">
        <v>539884.0</v>
      </c>
    </row>
    <row r="75">
      <c r="A75" s="1095" t="s">
        <v>3168</v>
      </c>
      <c r="B75" s="1095" t="s">
        <v>2185</v>
      </c>
      <c r="C75" s="1096">
        <v>226949.0</v>
      </c>
    </row>
    <row r="76">
      <c r="A76" s="1095" t="s">
        <v>3426</v>
      </c>
      <c r="B76" s="1095" t="s">
        <v>1244</v>
      </c>
      <c r="C76" s="1096">
        <v>349277.0</v>
      </c>
    </row>
    <row r="77">
      <c r="A77" s="1095" t="s">
        <v>3574</v>
      </c>
      <c r="B77" s="1095" t="s">
        <v>1244</v>
      </c>
      <c r="C77" s="1096">
        <v>362187.0</v>
      </c>
    </row>
    <row r="78">
      <c r="A78" s="1095" t="s">
        <v>3227</v>
      </c>
      <c r="B78" s="1095" t="s">
        <v>887</v>
      </c>
      <c r="C78" s="1096">
        <v>389941.0</v>
      </c>
    </row>
    <row r="79">
      <c r="A79" s="1095" t="s">
        <v>3033</v>
      </c>
      <c r="B79" s="1095" t="s">
        <v>1160</v>
      </c>
      <c r="C79" s="1096">
        <v>520000.0</v>
      </c>
    </row>
    <row r="80">
      <c r="A80" s="1095" t="s">
        <v>5241</v>
      </c>
      <c r="B80" s="1095" t="s">
        <v>1421</v>
      </c>
      <c r="C80" s="1096">
        <v>515853.0</v>
      </c>
    </row>
    <row r="81">
      <c r="A81" s="1095" t="s">
        <v>3104</v>
      </c>
      <c r="B81" s="1095" t="s">
        <v>1167</v>
      </c>
      <c r="C81" s="1096">
        <v>482529.0</v>
      </c>
    </row>
    <row r="82">
      <c r="A82" s="1095" t="s">
        <v>6741</v>
      </c>
      <c r="B82" s="1095" t="s">
        <v>463</v>
      </c>
      <c r="C82" s="1096">
        <v>562053.0</v>
      </c>
    </row>
    <row r="83">
      <c r="A83" s="1095" t="s">
        <v>4623</v>
      </c>
      <c r="B83" s="1095" t="s">
        <v>1167</v>
      </c>
      <c r="C83" s="1096">
        <v>591753.0</v>
      </c>
    </row>
    <row r="84">
      <c r="A84" s="1095" t="s">
        <v>3186</v>
      </c>
      <c r="B84" s="1095" t="s">
        <v>275</v>
      </c>
      <c r="C84" s="1096">
        <v>397959.0</v>
      </c>
    </row>
    <row r="85">
      <c r="A85" s="1095" t="s">
        <v>3837</v>
      </c>
      <c r="B85" s="1095" t="s">
        <v>1280</v>
      </c>
      <c r="C85" s="1096">
        <v>568092.0</v>
      </c>
    </row>
    <row r="86">
      <c r="A86" s="1095" t="s">
        <v>2643</v>
      </c>
      <c r="B86" s="1095" t="s">
        <v>1263</v>
      </c>
      <c r="C86" s="1096">
        <v>560766.0</v>
      </c>
    </row>
    <row r="87">
      <c r="A87" s="1095" t="s">
        <v>2721</v>
      </c>
      <c r="B87" s="1095" t="s">
        <v>1381</v>
      </c>
      <c r="C87" s="1096">
        <v>404478.0</v>
      </c>
    </row>
    <row r="88">
      <c r="A88" s="1095" t="s">
        <v>2692</v>
      </c>
      <c r="B88" s="1095" t="s">
        <v>1794</v>
      </c>
      <c r="C88" s="1096">
        <v>624258.0</v>
      </c>
    </row>
    <row r="89">
      <c r="A89" s="1095" t="s">
        <v>3235</v>
      </c>
      <c r="B89" s="1095" t="s">
        <v>1259</v>
      </c>
      <c r="C89" s="1096">
        <v>538788.0</v>
      </c>
    </row>
    <row r="90">
      <c r="A90" s="1095" t="s">
        <v>2932</v>
      </c>
      <c r="B90" s="1095" t="s">
        <v>1922</v>
      </c>
      <c r="C90" s="1096">
        <v>372732.0</v>
      </c>
    </row>
    <row r="91">
      <c r="A91" s="1095" t="s">
        <v>3964</v>
      </c>
      <c r="B91" s="1095" t="s">
        <v>2338</v>
      </c>
      <c r="C91" s="1096">
        <v>571755.0</v>
      </c>
    </row>
    <row r="92">
      <c r="A92" s="1095" t="s">
        <v>2944</v>
      </c>
      <c r="B92" s="1095" t="s">
        <v>1000</v>
      </c>
      <c r="C92" s="1096">
        <v>1357408.0</v>
      </c>
    </row>
    <row r="93">
      <c r="A93" s="1095" t="s">
        <v>4628</v>
      </c>
      <c r="B93" s="1095" t="s">
        <v>688</v>
      </c>
      <c r="C93" s="1096">
        <v>620353.0</v>
      </c>
    </row>
    <row r="94">
      <c r="A94" s="1095" t="s">
        <v>6742</v>
      </c>
      <c r="B94" s="1095" t="s">
        <v>1477</v>
      </c>
      <c r="C94" s="1096">
        <v>399693.0</v>
      </c>
    </row>
    <row r="95">
      <c r="A95" s="1095" t="s">
        <v>2862</v>
      </c>
      <c r="B95" s="1095" t="s">
        <v>2378</v>
      </c>
      <c r="C95" s="1096">
        <v>252653.0</v>
      </c>
    </row>
    <row r="96">
      <c r="A96" s="1095" t="s">
        <v>6199</v>
      </c>
      <c r="B96" s="1095" t="s">
        <v>2105</v>
      </c>
      <c r="C96" s="1096">
        <v>585428.0</v>
      </c>
    </row>
    <row r="97">
      <c r="A97" s="1095" t="s">
        <v>2785</v>
      </c>
      <c r="B97" s="1095" t="s">
        <v>1483</v>
      </c>
      <c r="C97" s="1096">
        <v>634489.0</v>
      </c>
    </row>
    <row r="98">
      <c r="A98" s="1095" t="s">
        <v>5002</v>
      </c>
      <c r="B98" s="1095" t="s">
        <v>2107</v>
      </c>
      <c r="C98" s="1096">
        <v>623543.0</v>
      </c>
    </row>
    <row r="99">
      <c r="A99" s="1095" t="s">
        <v>3059</v>
      </c>
      <c r="B99" s="1095" t="s">
        <v>14</v>
      </c>
      <c r="C99" s="1096">
        <v>31262.0</v>
      </c>
    </row>
    <row r="100">
      <c r="A100" s="1095" t="s">
        <v>3136</v>
      </c>
      <c r="B100" s="1095" t="s">
        <v>830</v>
      </c>
      <c r="C100" s="1096">
        <v>744653.0</v>
      </c>
    </row>
    <row r="101">
      <c r="A101" s="1095" t="s">
        <v>3068</v>
      </c>
      <c r="B101" s="1095" t="s">
        <v>357</v>
      </c>
      <c r="C101" s="1096">
        <v>488145.0</v>
      </c>
    </row>
    <row r="102">
      <c r="A102" s="1095" t="s">
        <v>4038</v>
      </c>
      <c r="B102" s="1095" t="s">
        <v>1995</v>
      </c>
      <c r="C102" s="1096">
        <v>500937.0</v>
      </c>
    </row>
    <row r="103">
      <c r="A103" s="1095" t="s">
        <v>2611</v>
      </c>
      <c r="B103" s="1095" t="s">
        <v>13650</v>
      </c>
      <c r="C103" s="1096">
        <v>1664300.0</v>
      </c>
    </row>
    <row r="104">
      <c r="A104" s="1095" t="s">
        <v>2649</v>
      </c>
      <c r="B104" s="1095" t="s">
        <v>359</v>
      </c>
      <c r="C104" s="1096">
        <v>654500.0</v>
      </c>
    </row>
    <row r="105">
      <c r="A105" s="1095" t="s">
        <v>2965</v>
      </c>
      <c r="B105" s="1095" t="s">
        <v>1024</v>
      </c>
      <c r="C105" s="1096">
        <v>262750.0</v>
      </c>
    </row>
    <row r="106">
      <c r="A106" s="1095" t="s">
        <v>7739</v>
      </c>
      <c r="B106" s="1095" t="s">
        <v>65</v>
      </c>
      <c r="C106" s="1096">
        <v>322000.0</v>
      </c>
    </row>
    <row r="107">
      <c r="A107" s="1095" t="s">
        <v>4775</v>
      </c>
      <c r="B107" s="1095" t="s">
        <v>1472</v>
      </c>
      <c r="C107" s="1096">
        <v>313000.0</v>
      </c>
    </row>
    <row r="108">
      <c r="A108" s="1095" t="s">
        <v>2973</v>
      </c>
      <c r="B108" s="1095" t="s">
        <v>1160</v>
      </c>
      <c r="C108" s="1096">
        <v>613800.0</v>
      </c>
    </row>
    <row r="109">
      <c r="A109" s="1095" t="s">
        <v>3025</v>
      </c>
      <c r="B109" s="1095" t="s">
        <v>1244</v>
      </c>
      <c r="C109" s="1096">
        <v>495333.0</v>
      </c>
    </row>
    <row r="110">
      <c r="A110" s="1095" t="s">
        <v>3707</v>
      </c>
      <c r="B110" s="1095" t="s">
        <v>830</v>
      </c>
      <c r="C110" s="1096">
        <v>495333.0</v>
      </c>
    </row>
    <row r="111">
      <c r="A111" s="1095" t="s">
        <v>3223</v>
      </c>
      <c r="B111" s="1095" t="s">
        <v>887</v>
      </c>
      <c r="C111" s="1096">
        <v>466029.0</v>
      </c>
    </row>
    <row r="112">
      <c r="A112" s="1095" t="s">
        <v>2682</v>
      </c>
      <c r="B112" s="1095" t="s">
        <v>1277</v>
      </c>
      <c r="C112" s="1096">
        <v>578361.0</v>
      </c>
    </row>
    <row r="113">
      <c r="A113" s="1095" t="s">
        <v>3313</v>
      </c>
      <c r="B113" s="1095" t="s">
        <v>1769</v>
      </c>
      <c r="C113" s="1096">
        <v>613770.0</v>
      </c>
    </row>
    <row r="114">
      <c r="A114" s="1095" t="s">
        <v>3290</v>
      </c>
      <c r="B114" s="1095" t="s">
        <v>1160</v>
      </c>
      <c r="C114" s="1096">
        <v>478632.0</v>
      </c>
    </row>
    <row r="115">
      <c r="A115" s="1095" t="s">
        <v>3360</v>
      </c>
      <c r="B115" s="1095" t="s">
        <v>1706</v>
      </c>
      <c r="C115" s="1096">
        <v>676521.0</v>
      </c>
    </row>
    <row r="116">
      <c r="A116" s="1095" t="s">
        <v>2734</v>
      </c>
      <c r="B116" s="1095" t="s">
        <v>470</v>
      </c>
      <c r="C116" s="1096">
        <v>638190.0</v>
      </c>
    </row>
    <row r="117">
      <c r="A117" s="1095" t="s">
        <v>2722</v>
      </c>
      <c r="B117" s="1095" t="s">
        <v>1785</v>
      </c>
      <c r="C117" s="1096">
        <v>339045.0</v>
      </c>
    </row>
    <row r="118">
      <c r="A118" s="1095" t="s">
        <v>3411</v>
      </c>
      <c r="B118" s="1095" t="s">
        <v>85</v>
      </c>
      <c r="C118" s="1096">
        <v>341733.0</v>
      </c>
    </row>
    <row r="119">
      <c r="A119" s="1095" t="s">
        <v>6743</v>
      </c>
      <c r="B119" s="1095" t="s">
        <v>991</v>
      </c>
      <c r="C119" s="1096">
        <v>702903.0</v>
      </c>
    </row>
    <row r="120">
      <c r="A120" s="1095" t="s">
        <v>2585</v>
      </c>
      <c r="B120" s="1095" t="s">
        <v>318</v>
      </c>
      <c r="C120" s="1096">
        <v>669936.0</v>
      </c>
    </row>
    <row r="121">
      <c r="A121" s="1095" t="s">
        <v>6557</v>
      </c>
      <c r="B121" s="1095" t="s">
        <v>964</v>
      </c>
      <c r="C121" s="1096">
        <v>712671.0</v>
      </c>
    </row>
    <row r="122">
      <c r="A122" s="1095" t="s">
        <v>2997</v>
      </c>
      <c r="B122" s="1095" t="s">
        <v>362</v>
      </c>
      <c r="C122" s="1096">
        <v>608295.0</v>
      </c>
    </row>
    <row r="123">
      <c r="A123" s="1095" t="s">
        <v>2977</v>
      </c>
      <c r="B123" s="1095" t="s">
        <v>1053</v>
      </c>
      <c r="C123" s="1096">
        <v>1324500.0</v>
      </c>
    </row>
    <row r="124">
      <c r="A124" s="1095" t="s">
        <v>2983</v>
      </c>
      <c r="B124" s="1095" t="s">
        <v>598</v>
      </c>
      <c r="C124" s="1096">
        <v>960000.0</v>
      </c>
    </row>
    <row r="125">
      <c r="A125" s="1095" t="s">
        <v>2729</v>
      </c>
      <c r="B125" s="1095" t="s">
        <v>460</v>
      </c>
      <c r="C125" s="1096">
        <v>883300.0</v>
      </c>
    </row>
    <row r="126">
      <c r="A126" s="1095" t="s">
        <v>2986</v>
      </c>
      <c r="B126" s="1095" t="s">
        <v>983</v>
      </c>
      <c r="C126" s="1096">
        <v>809050.0</v>
      </c>
    </row>
    <row r="127">
      <c r="A127" s="1095" t="s">
        <v>2706</v>
      </c>
      <c r="B127" s="1095" t="s">
        <v>1309</v>
      </c>
      <c r="C127" s="1096">
        <v>502700.0</v>
      </c>
    </row>
    <row r="128">
      <c r="A128" s="1095" t="s">
        <v>3013</v>
      </c>
      <c r="B128" s="1095" t="s">
        <v>1978</v>
      </c>
      <c r="C128" s="1096">
        <v>546000.0</v>
      </c>
    </row>
    <row r="129">
      <c r="A129" s="1095" t="s">
        <v>3020</v>
      </c>
      <c r="B129" s="1095" t="s">
        <v>1263</v>
      </c>
      <c r="C129" s="1096">
        <v>689000.0</v>
      </c>
    </row>
    <row r="130">
      <c r="A130" s="1095" t="s">
        <v>3122</v>
      </c>
      <c r="B130" s="1095" t="s">
        <v>1167</v>
      </c>
      <c r="C130" s="1096">
        <v>975000.0</v>
      </c>
    </row>
    <row r="131">
      <c r="A131" s="1095" t="s">
        <v>3041</v>
      </c>
      <c r="B131" s="1095" t="s">
        <v>2063</v>
      </c>
      <c r="C131" s="1096">
        <v>1080000.0</v>
      </c>
    </row>
    <row r="132">
      <c r="A132" s="1095" t="s">
        <v>2730</v>
      </c>
      <c r="B132" s="1095" t="s">
        <v>460</v>
      </c>
      <c r="C132" s="1096">
        <v>1000000.0</v>
      </c>
    </row>
    <row r="133">
      <c r="A133" s="1095" t="s">
        <v>2588</v>
      </c>
      <c r="B133" s="1095" t="s">
        <v>299</v>
      </c>
      <c r="C133" s="1096">
        <v>574895.0</v>
      </c>
    </row>
    <row r="134">
      <c r="A134" s="1095" t="s">
        <v>4936</v>
      </c>
      <c r="B134" s="1095" t="s">
        <v>460</v>
      </c>
      <c r="C134" s="1096">
        <v>827642.0</v>
      </c>
    </row>
    <row r="135">
      <c r="A135" s="1095" t="s">
        <v>3159</v>
      </c>
      <c r="B135" s="1095" t="s">
        <v>476</v>
      </c>
      <c r="C135" s="1096">
        <v>675017.0</v>
      </c>
    </row>
    <row r="136">
      <c r="A136" s="1095" t="s">
        <v>3083</v>
      </c>
      <c r="B136" s="1095" t="s">
        <v>32</v>
      </c>
      <c r="C136" s="1096">
        <v>54688.0</v>
      </c>
    </row>
    <row r="137">
      <c r="A137" s="1095" t="s">
        <v>3826</v>
      </c>
      <c r="B137" s="1095" t="s">
        <v>35</v>
      </c>
      <c r="C137" s="1096">
        <v>54688.0</v>
      </c>
    </row>
    <row r="138">
      <c r="A138" s="1095" t="s">
        <v>3355</v>
      </c>
      <c r="B138" s="1095" t="s">
        <v>37</v>
      </c>
      <c r="C138" s="1096">
        <v>89688.0</v>
      </c>
    </row>
    <row r="139">
      <c r="A139" s="1095" t="s">
        <v>3061</v>
      </c>
      <c r="B139" s="1095" t="s">
        <v>2047</v>
      </c>
      <c r="C139" s="1096">
        <v>4157250.0</v>
      </c>
    </row>
    <row r="140">
      <c r="A140" s="1095" t="s">
        <v>3056</v>
      </c>
      <c r="B140" s="1095" t="s">
        <v>1978</v>
      </c>
      <c r="C140" s="1096">
        <v>650650.0</v>
      </c>
    </row>
    <row r="141">
      <c r="A141" s="1095" t="s">
        <v>3072</v>
      </c>
      <c r="B141" s="1095" t="s">
        <v>1214</v>
      </c>
      <c r="C141" s="1096">
        <v>1502050.0</v>
      </c>
    </row>
    <row r="142">
      <c r="A142" s="1095" t="s">
        <v>2703</v>
      </c>
      <c r="B142" s="1095" t="s">
        <v>1145</v>
      </c>
      <c r="C142" s="1096">
        <v>500000.0</v>
      </c>
    </row>
    <row r="143">
      <c r="A143" s="1095" t="s">
        <v>3085</v>
      </c>
      <c r="B143" s="1095" t="s">
        <v>470</v>
      </c>
      <c r="C143" s="1096">
        <v>525000.0</v>
      </c>
    </row>
    <row r="144">
      <c r="A144" s="1095" t="s">
        <v>6549</v>
      </c>
      <c r="B144" s="1095" t="s">
        <v>2334</v>
      </c>
      <c r="C144" s="1096">
        <v>478000.0</v>
      </c>
    </row>
    <row r="145">
      <c r="A145" s="1095" t="s">
        <v>2707</v>
      </c>
      <c r="B145" s="1095" t="s">
        <v>1307</v>
      </c>
      <c r="C145" s="1096">
        <v>502700.0</v>
      </c>
    </row>
    <row r="146">
      <c r="A146" s="1095" t="s">
        <v>4540</v>
      </c>
      <c r="B146" s="1095" t="s">
        <v>2349</v>
      </c>
      <c r="C146" s="1096">
        <v>388000.0</v>
      </c>
    </row>
    <row r="147">
      <c r="A147" s="1095" t="s">
        <v>3149</v>
      </c>
      <c r="B147" s="1095" t="s">
        <v>436</v>
      </c>
      <c r="C147" s="1096">
        <v>595000.0</v>
      </c>
    </row>
    <row r="148">
      <c r="A148" s="1095" t="s">
        <v>2641</v>
      </c>
      <c r="B148" s="1095" t="s">
        <v>646</v>
      </c>
      <c r="C148" s="1096">
        <v>632500.0</v>
      </c>
    </row>
    <row r="149">
      <c r="A149" s="1095" t="s">
        <v>4313</v>
      </c>
      <c r="B149" s="1095" t="s">
        <v>1029</v>
      </c>
      <c r="C149" s="1096">
        <v>1260000.0</v>
      </c>
    </row>
    <row r="150">
      <c r="A150" s="1095" t="s">
        <v>2557</v>
      </c>
      <c r="B150" s="1095" t="s">
        <v>1129</v>
      </c>
      <c r="C150" s="1096">
        <v>1005000.0</v>
      </c>
    </row>
    <row r="151">
      <c r="A151" s="1095" t="s">
        <v>3549</v>
      </c>
      <c r="B151" s="1095" t="s">
        <v>1129</v>
      </c>
      <c r="C151" s="1096">
        <v>1100000.0</v>
      </c>
    </row>
    <row r="152">
      <c r="A152" s="1095" t="s">
        <v>12857</v>
      </c>
      <c r="B152" s="1095" t="s">
        <v>460</v>
      </c>
      <c r="C152" s="1096">
        <v>225000.0</v>
      </c>
    </row>
    <row r="153">
      <c r="A153" s="1095" t="s">
        <v>5187</v>
      </c>
      <c r="B153" s="1095" t="s">
        <v>460</v>
      </c>
      <c r="C153" s="1096">
        <v>225000.0</v>
      </c>
    </row>
    <row r="154">
      <c r="A154" s="1095" t="s">
        <v>12858</v>
      </c>
      <c r="B154" s="1095" t="s">
        <v>460</v>
      </c>
      <c r="C154" s="1096">
        <v>220000.0</v>
      </c>
    </row>
    <row r="155">
      <c r="A155" s="1095" t="s">
        <v>4353</v>
      </c>
      <c r="B155" s="1095" t="s">
        <v>1160</v>
      </c>
      <c r="C155" s="1096">
        <v>235000.0</v>
      </c>
    </row>
    <row r="156">
      <c r="A156" s="1095" t="s">
        <v>6896</v>
      </c>
      <c r="B156" s="1095" t="s">
        <v>1160</v>
      </c>
      <c r="C156" s="1096">
        <v>235000.0</v>
      </c>
    </row>
    <row r="157">
      <c r="A157" s="1095" t="s">
        <v>3181</v>
      </c>
      <c r="B157" s="1095" t="s">
        <v>1415</v>
      </c>
      <c r="C157" s="1096">
        <v>2309318.0</v>
      </c>
    </row>
    <row r="158">
      <c r="A158" s="1095" t="s">
        <v>3201</v>
      </c>
      <c r="B158" s="1095" t="s">
        <v>455</v>
      </c>
      <c r="C158" s="1096">
        <v>779900.0</v>
      </c>
    </row>
    <row r="159">
      <c r="A159" s="1095" t="s">
        <v>3243</v>
      </c>
      <c r="B159" s="1095" t="s">
        <v>1761</v>
      </c>
      <c r="C159" s="1096">
        <v>246950.0</v>
      </c>
    </row>
    <row r="160">
      <c r="A160" s="1095" t="s">
        <v>3229</v>
      </c>
      <c r="B160" s="1095" t="s">
        <v>920</v>
      </c>
      <c r="C160" s="1096">
        <v>397100.0</v>
      </c>
    </row>
    <row r="161">
      <c r="A161" s="1095" t="s">
        <v>5635</v>
      </c>
      <c r="B161" s="1095" t="s">
        <v>460</v>
      </c>
      <c r="C161" s="1096">
        <v>510000.0</v>
      </c>
    </row>
    <row r="162">
      <c r="A162" s="1095" t="s">
        <v>10255</v>
      </c>
      <c r="B162" s="1095" t="s">
        <v>1507</v>
      </c>
      <c r="C162" s="1096">
        <v>667150.0</v>
      </c>
    </row>
    <row r="163">
      <c r="A163" s="1095" t="s">
        <v>3300</v>
      </c>
      <c r="B163" s="1095" t="s">
        <v>429</v>
      </c>
      <c r="C163" s="1096">
        <v>826100.0</v>
      </c>
    </row>
    <row r="164">
      <c r="A164" s="1095" t="s">
        <v>12861</v>
      </c>
      <c r="B164" s="1095" t="s">
        <v>1862</v>
      </c>
      <c r="C164" s="1096">
        <v>107400.0</v>
      </c>
    </row>
    <row r="165">
      <c r="A165" s="1095" t="s">
        <v>12862</v>
      </c>
      <c r="B165" s="1095" t="s">
        <v>1761</v>
      </c>
      <c r="C165" s="1096">
        <v>106600.0</v>
      </c>
    </row>
    <row r="166">
      <c r="A166" s="1095" t="s">
        <v>12863</v>
      </c>
      <c r="B166" s="1095" t="s">
        <v>1761</v>
      </c>
      <c r="C166" s="1096">
        <v>106600.0</v>
      </c>
    </row>
    <row r="167">
      <c r="A167" s="1095" t="s">
        <v>9932</v>
      </c>
      <c r="B167" s="1095" t="s">
        <v>1761</v>
      </c>
      <c r="C167" s="1096">
        <v>78700.0</v>
      </c>
    </row>
    <row r="168">
      <c r="A168" s="1095" t="s">
        <v>12864</v>
      </c>
      <c r="B168" s="1095" t="s">
        <v>895</v>
      </c>
      <c r="C168" s="1096">
        <v>101800.0</v>
      </c>
    </row>
    <row r="169">
      <c r="A169" s="1095" t="s">
        <v>2841</v>
      </c>
      <c r="B169" s="1095" t="s">
        <v>895</v>
      </c>
      <c r="C169" s="1096">
        <v>101800.0</v>
      </c>
    </row>
    <row r="170">
      <c r="A170" s="1095" t="s">
        <v>12865</v>
      </c>
      <c r="B170" s="1095" t="s">
        <v>13651</v>
      </c>
      <c r="C170" s="1096">
        <v>115500.0</v>
      </c>
    </row>
    <row r="171">
      <c r="A171" s="1095" t="s">
        <v>12866</v>
      </c>
      <c r="B171" s="1095" t="s">
        <v>2248</v>
      </c>
      <c r="C171" s="1096">
        <v>157700.0</v>
      </c>
    </row>
    <row r="172">
      <c r="A172" s="1095" t="s">
        <v>12867</v>
      </c>
      <c r="B172" s="1095" t="s">
        <v>2250</v>
      </c>
      <c r="C172" s="1096">
        <v>231400.0</v>
      </c>
    </row>
    <row r="173">
      <c r="A173" s="1095" t="s">
        <v>12868</v>
      </c>
      <c r="B173" s="1095" t="s">
        <v>2252</v>
      </c>
      <c r="C173" s="1096">
        <v>144500.0</v>
      </c>
    </row>
    <row r="174">
      <c r="A174" s="1095" t="s">
        <v>6807</v>
      </c>
      <c r="B174" s="1095" t="s">
        <v>2334</v>
      </c>
      <c r="C174" s="1096">
        <v>148900.0</v>
      </c>
    </row>
    <row r="175">
      <c r="A175" s="1095" t="s">
        <v>6810</v>
      </c>
      <c r="B175" s="1095" t="s">
        <v>2334</v>
      </c>
      <c r="C175" s="1096">
        <v>148900.0</v>
      </c>
    </row>
    <row r="176">
      <c r="A176" s="1095" t="s">
        <v>6812</v>
      </c>
      <c r="B176" s="1095" t="s">
        <v>2334</v>
      </c>
      <c r="C176" s="1096">
        <v>135900.0</v>
      </c>
    </row>
    <row r="177">
      <c r="A177" s="1095" t="s">
        <v>2843</v>
      </c>
      <c r="B177" s="1095" t="s">
        <v>2334</v>
      </c>
      <c r="C177" s="1096">
        <v>135900.0</v>
      </c>
    </row>
    <row r="178">
      <c r="A178" s="1095" t="s">
        <v>12869</v>
      </c>
      <c r="B178" s="1095" t="s">
        <v>423</v>
      </c>
      <c r="C178" s="1096">
        <v>262000.0</v>
      </c>
    </row>
    <row r="179">
      <c r="A179" s="1095" t="s">
        <v>12870</v>
      </c>
      <c r="B179" s="1095" t="s">
        <v>423</v>
      </c>
      <c r="C179" s="1096">
        <v>262000.0</v>
      </c>
    </row>
    <row r="180">
      <c r="A180" s="1095" t="s">
        <v>2845</v>
      </c>
      <c r="B180" s="1095" t="s">
        <v>423</v>
      </c>
      <c r="C180" s="1096">
        <v>193300.0</v>
      </c>
    </row>
    <row r="181">
      <c r="A181" s="1095" t="s">
        <v>12871</v>
      </c>
      <c r="B181" s="1095" t="s">
        <v>423</v>
      </c>
      <c r="C181" s="1096">
        <v>193300.0</v>
      </c>
    </row>
    <row r="182">
      <c r="A182" s="1095" t="s">
        <v>12875</v>
      </c>
      <c r="B182" s="1095" t="s">
        <v>429</v>
      </c>
      <c r="C182" s="1096">
        <v>201800.0</v>
      </c>
    </row>
    <row r="183">
      <c r="A183" s="1095" t="s">
        <v>12876</v>
      </c>
      <c r="B183" s="1095" t="s">
        <v>429</v>
      </c>
      <c r="C183" s="1096">
        <v>201800.0</v>
      </c>
    </row>
    <row r="184">
      <c r="A184" s="1095" t="s">
        <v>12878</v>
      </c>
      <c r="B184" s="1095" t="s">
        <v>476</v>
      </c>
      <c r="C184" s="1096">
        <v>139000.0</v>
      </c>
    </row>
    <row r="185">
      <c r="A185" s="1095" t="s">
        <v>12879</v>
      </c>
      <c r="B185" s="1095" t="s">
        <v>2264</v>
      </c>
      <c r="C185" s="1096">
        <v>137800.0</v>
      </c>
    </row>
    <row r="186">
      <c r="A186" s="1095" t="s">
        <v>13652</v>
      </c>
      <c r="B186" s="1095" t="s">
        <v>2179</v>
      </c>
      <c r="C186" s="1096">
        <v>158200.0</v>
      </c>
    </row>
    <row r="187">
      <c r="A187" s="1095" t="s">
        <v>12880</v>
      </c>
      <c r="B187" s="1095" t="s">
        <v>887</v>
      </c>
      <c r="C187" s="1096">
        <v>157300.0</v>
      </c>
    </row>
    <row r="188">
      <c r="A188" s="1095" t="s">
        <v>12881</v>
      </c>
      <c r="B188" s="1095" t="s">
        <v>2267</v>
      </c>
      <c r="C188" s="1096">
        <v>131800.0</v>
      </c>
    </row>
    <row r="189">
      <c r="A189" s="1095" t="s">
        <v>12882</v>
      </c>
      <c r="B189" s="1095" t="s">
        <v>2267</v>
      </c>
      <c r="C189" s="1096">
        <v>131800.0</v>
      </c>
    </row>
    <row r="190">
      <c r="A190" s="1095" t="s">
        <v>12883</v>
      </c>
      <c r="B190" s="1095" t="s">
        <v>2267</v>
      </c>
      <c r="C190" s="1096">
        <v>119800.0</v>
      </c>
    </row>
    <row r="191">
      <c r="A191" s="1095" t="s">
        <v>12887</v>
      </c>
      <c r="B191" s="1095" t="s">
        <v>2267</v>
      </c>
      <c r="C191" s="1096">
        <v>442600.0</v>
      </c>
    </row>
    <row r="192">
      <c r="A192" s="1095" t="s">
        <v>7994</v>
      </c>
      <c r="B192" s="1095" t="s">
        <v>935</v>
      </c>
      <c r="C192" s="1096">
        <v>232400.0</v>
      </c>
    </row>
    <row r="193">
      <c r="A193" s="1095" t="s">
        <v>12888</v>
      </c>
      <c r="B193" s="1095" t="s">
        <v>935</v>
      </c>
      <c r="C193" s="1096">
        <v>214400.0</v>
      </c>
    </row>
    <row r="194">
      <c r="A194" s="1095" t="s">
        <v>12889</v>
      </c>
      <c r="B194" s="1095" t="s">
        <v>935</v>
      </c>
      <c r="C194" s="1096">
        <v>214400.0</v>
      </c>
    </row>
    <row r="195">
      <c r="A195" s="1095" t="s">
        <v>12890</v>
      </c>
      <c r="B195" s="1095" t="s">
        <v>1022</v>
      </c>
      <c r="C195" s="1096">
        <v>108000.0</v>
      </c>
    </row>
    <row r="196">
      <c r="A196" s="1095" t="s">
        <v>12891</v>
      </c>
      <c r="B196" s="1095" t="s">
        <v>1022</v>
      </c>
      <c r="C196" s="1096">
        <v>107600.0</v>
      </c>
    </row>
    <row r="197">
      <c r="A197" s="1095" t="s">
        <v>12892</v>
      </c>
      <c r="B197" s="1095" t="s">
        <v>1995</v>
      </c>
      <c r="C197" s="1096">
        <v>172700.0</v>
      </c>
    </row>
    <row r="198">
      <c r="A198" s="1095" t="s">
        <v>12893</v>
      </c>
      <c r="B198" s="1095" t="s">
        <v>1995</v>
      </c>
      <c r="C198" s="1096">
        <v>172700.0</v>
      </c>
    </row>
    <row r="199">
      <c r="A199" s="1095" t="s">
        <v>12895</v>
      </c>
      <c r="B199" s="1095" t="s">
        <v>1024</v>
      </c>
      <c r="C199" s="1096">
        <v>25100.0</v>
      </c>
    </row>
    <row r="200">
      <c r="A200" s="1095" t="s">
        <v>12896</v>
      </c>
      <c r="B200" s="1095" t="s">
        <v>1024</v>
      </c>
      <c r="C200" s="1096">
        <v>25100.0</v>
      </c>
    </row>
    <row r="201">
      <c r="A201" s="1095" t="s">
        <v>12897</v>
      </c>
      <c r="B201" s="1095" t="s">
        <v>1024</v>
      </c>
      <c r="C201" s="1096">
        <v>83200.0</v>
      </c>
    </row>
    <row r="202">
      <c r="A202" s="1095" t="s">
        <v>5821</v>
      </c>
      <c r="B202" s="1095" t="s">
        <v>85</v>
      </c>
      <c r="C202" s="1096">
        <v>29300.0</v>
      </c>
    </row>
    <row r="203">
      <c r="A203" s="1095" t="s">
        <v>12898</v>
      </c>
      <c r="B203" s="1095" t="s">
        <v>85</v>
      </c>
      <c r="C203" s="1096">
        <v>29300.0</v>
      </c>
    </row>
    <row r="204">
      <c r="A204" s="1095" t="s">
        <v>12899</v>
      </c>
      <c r="B204" s="1095" t="s">
        <v>13653</v>
      </c>
      <c r="C204" s="1096">
        <v>304800.0</v>
      </c>
    </row>
    <row r="205">
      <c r="A205" s="1095" t="s">
        <v>6813</v>
      </c>
      <c r="B205" s="1095" t="s">
        <v>1154</v>
      </c>
      <c r="C205" s="1096">
        <v>165200.0</v>
      </c>
    </row>
    <row r="206">
      <c r="A206" s="1095" t="s">
        <v>2857</v>
      </c>
      <c r="B206" s="1095" t="s">
        <v>13654</v>
      </c>
      <c r="C206" s="1096">
        <v>292100.0</v>
      </c>
    </row>
    <row r="207">
      <c r="A207" s="1095" t="s">
        <v>2859</v>
      </c>
      <c r="B207" s="1095" t="s">
        <v>1138</v>
      </c>
      <c r="C207" s="1096">
        <v>176400.0</v>
      </c>
    </row>
    <row r="208">
      <c r="A208" s="1095" t="s">
        <v>12900</v>
      </c>
      <c r="B208" s="1095" t="s">
        <v>1138</v>
      </c>
      <c r="C208" s="1096">
        <v>176400.0</v>
      </c>
    </row>
    <row r="209">
      <c r="A209" s="1095" t="s">
        <v>6814</v>
      </c>
      <c r="B209" s="1095" t="s">
        <v>1138</v>
      </c>
      <c r="C209" s="1096">
        <v>63200.0</v>
      </c>
    </row>
    <row r="210">
      <c r="A210" s="1095" t="s">
        <v>6815</v>
      </c>
      <c r="B210" s="1095" t="s">
        <v>1138</v>
      </c>
      <c r="C210" s="1096">
        <v>63200.0</v>
      </c>
    </row>
    <row r="211">
      <c r="A211" s="1095" t="s">
        <v>12902</v>
      </c>
      <c r="B211" s="1095" t="s">
        <v>429</v>
      </c>
      <c r="C211" s="1096">
        <v>276700.0</v>
      </c>
    </row>
    <row r="212">
      <c r="A212" s="1095" t="s">
        <v>12903</v>
      </c>
      <c r="B212" s="1095" t="s">
        <v>69</v>
      </c>
      <c r="C212" s="1096">
        <v>188100.0</v>
      </c>
    </row>
    <row r="213">
      <c r="A213" s="1095" t="s">
        <v>12904</v>
      </c>
      <c r="B213" s="1095" t="s">
        <v>69</v>
      </c>
      <c r="C213" s="1096">
        <v>188100.0</v>
      </c>
    </row>
    <row r="214">
      <c r="A214" s="1095" t="s">
        <v>12905</v>
      </c>
      <c r="B214" s="1095" t="s">
        <v>69</v>
      </c>
      <c r="C214" s="1096">
        <v>244800.0</v>
      </c>
    </row>
    <row r="215">
      <c r="A215" s="1095" t="s">
        <v>2861</v>
      </c>
      <c r="B215" s="1095" t="s">
        <v>69</v>
      </c>
      <c r="C215" s="1096">
        <v>244800.0</v>
      </c>
    </row>
    <row r="216">
      <c r="A216" s="1095" t="s">
        <v>2837</v>
      </c>
      <c r="B216" s="1095" t="s">
        <v>455</v>
      </c>
      <c r="C216" s="1096">
        <v>212200.0</v>
      </c>
    </row>
    <row r="217">
      <c r="A217" s="1095" t="s">
        <v>12908</v>
      </c>
      <c r="B217" s="1095" t="s">
        <v>455</v>
      </c>
      <c r="C217" s="1096">
        <v>200400.0</v>
      </c>
    </row>
    <row r="218">
      <c r="A218" s="1095" t="s">
        <v>12911</v>
      </c>
      <c r="B218" s="1095" t="s">
        <v>463</v>
      </c>
      <c r="C218" s="1096">
        <v>126100.0</v>
      </c>
    </row>
    <row r="219">
      <c r="A219" s="1095" t="s">
        <v>12912</v>
      </c>
      <c r="B219" s="1095" t="s">
        <v>463</v>
      </c>
      <c r="C219" s="1096">
        <v>126100.0</v>
      </c>
    </row>
    <row r="220">
      <c r="A220" s="1095" t="s">
        <v>2817</v>
      </c>
      <c r="B220" s="1095" t="s">
        <v>463</v>
      </c>
      <c r="C220" s="1096">
        <v>269800.0</v>
      </c>
    </row>
    <row r="221">
      <c r="A221" s="1095" t="s">
        <v>12913</v>
      </c>
      <c r="B221" s="1095" t="s">
        <v>470</v>
      </c>
      <c r="C221" s="1096">
        <v>135800.0</v>
      </c>
    </row>
    <row r="222">
      <c r="A222" s="1095" t="s">
        <v>12914</v>
      </c>
      <c r="B222" s="1095" t="s">
        <v>470</v>
      </c>
      <c r="C222" s="1096">
        <v>206600.0</v>
      </c>
    </row>
    <row r="223">
      <c r="A223" s="1095" t="s">
        <v>12915</v>
      </c>
      <c r="B223" s="1095" t="s">
        <v>476</v>
      </c>
      <c r="C223" s="1096">
        <v>160200.0</v>
      </c>
    </row>
    <row r="224">
      <c r="A224" s="1095" t="s">
        <v>2854</v>
      </c>
      <c r="B224" s="1095" t="s">
        <v>1713</v>
      </c>
      <c r="C224" s="1096">
        <v>152400.0</v>
      </c>
    </row>
    <row r="225">
      <c r="A225" s="1095" t="s">
        <v>6817</v>
      </c>
      <c r="B225" s="1095" t="s">
        <v>1713</v>
      </c>
      <c r="C225" s="1096">
        <v>141100.0</v>
      </c>
    </row>
    <row r="226">
      <c r="A226" s="1095" t="s">
        <v>6818</v>
      </c>
      <c r="B226" s="1095" t="s">
        <v>1713</v>
      </c>
      <c r="C226" s="1096">
        <v>141100.0</v>
      </c>
    </row>
    <row r="227">
      <c r="A227" s="1095" t="s">
        <v>6300</v>
      </c>
      <c r="B227" s="1095" t="s">
        <v>1244</v>
      </c>
      <c r="C227" s="1096">
        <v>152200.0</v>
      </c>
    </row>
    <row r="228">
      <c r="A228" s="1095" t="s">
        <v>9274</v>
      </c>
      <c r="B228" s="1095" t="s">
        <v>1244</v>
      </c>
      <c r="C228" s="1096">
        <v>152200.0</v>
      </c>
    </row>
    <row r="229">
      <c r="A229" s="1095" t="s">
        <v>12917</v>
      </c>
      <c r="B229" s="1095" t="s">
        <v>103</v>
      </c>
      <c r="C229" s="1096">
        <v>177000.0</v>
      </c>
    </row>
    <row r="230">
      <c r="A230" s="1095" t="s">
        <v>12918</v>
      </c>
      <c r="B230" s="1095" t="s">
        <v>13655</v>
      </c>
      <c r="C230" s="1096">
        <v>221900.0</v>
      </c>
    </row>
    <row r="231">
      <c r="A231" s="1095" t="s">
        <v>12919</v>
      </c>
      <c r="B231" s="1095" t="s">
        <v>13655</v>
      </c>
      <c r="C231" s="1096">
        <v>143400.0</v>
      </c>
    </row>
    <row r="232">
      <c r="A232" s="1095" t="s">
        <v>12920</v>
      </c>
      <c r="B232" s="1095" t="s">
        <v>13655</v>
      </c>
      <c r="C232" s="1096">
        <v>51400.0</v>
      </c>
    </row>
    <row r="233">
      <c r="A233" s="1095" t="s">
        <v>2814</v>
      </c>
      <c r="B233" s="1095" t="s">
        <v>717</v>
      </c>
      <c r="C233" s="1096">
        <v>201100.0</v>
      </c>
    </row>
    <row r="234">
      <c r="A234" s="1095" t="s">
        <v>12921</v>
      </c>
      <c r="B234" s="1095" t="s">
        <v>2079</v>
      </c>
      <c r="C234" s="1096">
        <v>57000.0</v>
      </c>
    </row>
    <row r="235">
      <c r="A235" s="1095" t="s">
        <v>2818</v>
      </c>
      <c r="B235" s="1095" t="s">
        <v>1354</v>
      </c>
      <c r="C235" s="1096">
        <v>63200.0</v>
      </c>
    </row>
    <row r="236">
      <c r="A236" s="1095" t="s">
        <v>6819</v>
      </c>
      <c r="B236" s="1095" t="s">
        <v>1319</v>
      </c>
      <c r="C236" s="1096">
        <v>99600.0</v>
      </c>
    </row>
    <row r="237">
      <c r="A237" s="1095" t="s">
        <v>2828</v>
      </c>
      <c r="B237" s="1095" t="s">
        <v>1319</v>
      </c>
      <c r="C237" s="1096">
        <v>99600.0</v>
      </c>
    </row>
    <row r="238">
      <c r="A238" s="1095" t="s">
        <v>12922</v>
      </c>
      <c r="B238" s="1095" t="s">
        <v>2315</v>
      </c>
      <c r="C238" s="1096">
        <v>73400.0</v>
      </c>
    </row>
    <row r="239">
      <c r="A239" s="1095" t="s">
        <v>2832</v>
      </c>
      <c r="B239" s="1095" t="s">
        <v>1138</v>
      </c>
      <c r="C239" s="1096">
        <v>502100.0</v>
      </c>
    </row>
    <row r="240">
      <c r="A240" s="1095" t="s">
        <v>12924</v>
      </c>
      <c r="B240" s="1095" t="s">
        <v>1160</v>
      </c>
      <c r="C240" s="1096">
        <v>64000.0</v>
      </c>
    </row>
    <row r="241">
      <c r="A241" s="1095" t="s">
        <v>12925</v>
      </c>
      <c r="B241" s="1095" t="s">
        <v>2318</v>
      </c>
      <c r="C241" s="1096">
        <v>208300.0</v>
      </c>
    </row>
    <row r="242">
      <c r="A242" s="1095" t="s">
        <v>12926</v>
      </c>
      <c r="B242" s="1095" t="s">
        <v>2318</v>
      </c>
      <c r="C242" s="1096">
        <v>208300.0</v>
      </c>
    </row>
    <row r="243">
      <c r="A243" s="1095" t="s">
        <v>11266</v>
      </c>
      <c r="B243" s="1095" t="s">
        <v>2318</v>
      </c>
      <c r="C243" s="1096">
        <v>63200.0</v>
      </c>
    </row>
    <row r="244">
      <c r="A244" s="1095" t="s">
        <v>12927</v>
      </c>
      <c r="B244" s="1095" t="s">
        <v>1263</v>
      </c>
      <c r="C244" s="1096">
        <v>198700.0</v>
      </c>
    </row>
    <row r="245">
      <c r="A245" s="1095" t="s">
        <v>2839</v>
      </c>
      <c r="B245" s="1095" t="s">
        <v>1263</v>
      </c>
      <c r="C245" s="1096">
        <v>198700.0</v>
      </c>
    </row>
    <row r="246">
      <c r="A246" s="1095" t="s">
        <v>2833</v>
      </c>
      <c r="B246" s="1095" t="s">
        <v>1958</v>
      </c>
      <c r="C246" s="1096">
        <v>472308.0</v>
      </c>
    </row>
    <row r="247">
      <c r="A247" s="1095" t="s">
        <v>12928</v>
      </c>
      <c r="B247" s="1095" t="s">
        <v>1277</v>
      </c>
      <c r="C247" s="1096">
        <v>299500.0</v>
      </c>
    </row>
    <row r="248">
      <c r="A248" s="1095" t="s">
        <v>12929</v>
      </c>
      <c r="B248" s="1095" t="s">
        <v>1277</v>
      </c>
      <c r="C248" s="1096">
        <v>299500.0</v>
      </c>
    </row>
    <row r="249">
      <c r="A249" s="1095" t="s">
        <v>6227</v>
      </c>
      <c r="B249" s="1095" t="s">
        <v>1138</v>
      </c>
      <c r="C249" s="1096">
        <v>502100.0</v>
      </c>
    </row>
    <row r="250">
      <c r="A250" s="1095" t="s">
        <v>2934</v>
      </c>
      <c r="B250" s="1095" t="s">
        <v>18</v>
      </c>
      <c r="C250" s="1096">
        <v>0.0</v>
      </c>
    </row>
    <row r="251">
      <c r="A251" s="1095" t="s">
        <v>2829</v>
      </c>
      <c r="B251" s="1095" t="s">
        <v>275</v>
      </c>
      <c r="C251" s="1096">
        <v>132599.0</v>
      </c>
    </row>
    <row r="252">
      <c r="A252" s="1095" t="s">
        <v>2831</v>
      </c>
      <c r="B252" s="1095" t="s">
        <v>275</v>
      </c>
      <c r="C252" s="1096">
        <v>132599.0</v>
      </c>
    </row>
    <row r="253">
      <c r="A253" s="1095" t="s">
        <v>6686</v>
      </c>
      <c r="B253" s="1095" t="s">
        <v>2024</v>
      </c>
      <c r="C253" s="1096">
        <v>112199.0</v>
      </c>
    </row>
    <row r="254">
      <c r="A254" s="1095" t="s">
        <v>6687</v>
      </c>
      <c r="B254" s="1095" t="s">
        <v>2024</v>
      </c>
      <c r="C254" s="1096">
        <v>112199.0</v>
      </c>
    </row>
    <row r="255">
      <c r="A255" s="1095" t="s">
        <v>3542</v>
      </c>
      <c r="B255" s="1095" t="s">
        <v>2331</v>
      </c>
      <c r="C255" s="1096">
        <v>118149.0</v>
      </c>
    </row>
    <row r="256">
      <c r="A256" s="1095" t="s">
        <v>3541</v>
      </c>
      <c r="B256" s="1095" t="s">
        <v>2331</v>
      </c>
      <c r="C256" s="1096">
        <v>118149.0</v>
      </c>
    </row>
    <row r="257">
      <c r="A257" s="1095" t="s">
        <v>3347</v>
      </c>
      <c r="B257" s="1095" t="s">
        <v>65</v>
      </c>
      <c r="C257" s="1096">
        <v>122399.0</v>
      </c>
    </row>
    <row r="258">
      <c r="A258" s="1095" t="s">
        <v>6895</v>
      </c>
      <c r="B258" s="1095" t="s">
        <v>65</v>
      </c>
      <c r="C258" s="1096">
        <v>122399.0</v>
      </c>
    </row>
    <row r="259">
      <c r="A259" s="1095" t="s">
        <v>6820</v>
      </c>
      <c r="B259" s="1095" t="s">
        <v>65</v>
      </c>
      <c r="C259" s="1096">
        <v>114749.0</v>
      </c>
    </row>
    <row r="260">
      <c r="A260" s="1095" t="s">
        <v>6821</v>
      </c>
      <c r="B260" s="1095" t="s">
        <v>65</v>
      </c>
      <c r="C260" s="1096">
        <v>114749.0</v>
      </c>
    </row>
    <row r="261">
      <c r="A261" s="1095" t="s">
        <v>5145</v>
      </c>
      <c r="B261" s="1095" t="s">
        <v>1472</v>
      </c>
      <c r="C261" s="1096">
        <v>106250.0</v>
      </c>
    </row>
    <row r="262">
      <c r="A262" s="1095" t="s">
        <v>5598</v>
      </c>
      <c r="B262" s="1095" t="s">
        <v>1472</v>
      </c>
      <c r="C262" s="1096">
        <v>106250.0</v>
      </c>
    </row>
    <row r="263">
      <c r="A263" s="1095" t="s">
        <v>6888</v>
      </c>
      <c r="B263" s="1095" t="s">
        <v>85</v>
      </c>
      <c r="C263" s="1096">
        <v>97749.0</v>
      </c>
    </row>
    <row r="264">
      <c r="A264" s="1095" t="s">
        <v>6887</v>
      </c>
      <c r="B264" s="1095" t="s">
        <v>85</v>
      </c>
      <c r="C264" s="1096">
        <v>97749.0</v>
      </c>
    </row>
    <row r="265">
      <c r="A265" s="1095" t="s">
        <v>6822</v>
      </c>
      <c r="B265" s="1095" t="s">
        <v>85</v>
      </c>
      <c r="C265" s="1096">
        <v>53549.0</v>
      </c>
    </row>
    <row r="266">
      <c r="A266" s="1095" t="s">
        <v>6823</v>
      </c>
      <c r="B266" s="1095" t="s">
        <v>85</v>
      </c>
      <c r="C266" s="1096">
        <v>53549.0</v>
      </c>
    </row>
    <row r="267">
      <c r="A267" s="1095" t="s">
        <v>2855</v>
      </c>
      <c r="B267" s="1095" t="s">
        <v>1381</v>
      </c>
      <c r="C267" s="1096">
        <v>304299.0</v>
      </c>
    </row>
    <row r="268">
      <c r="A268" s="1095" t="s">
        <v>2820</v>
      </c>
      <c r="B268" s="1095" t="s">
        <v>1381</v>
      </c>
      <c r="C268" s="1096">
        <v>304299.0</v>
      </c>
    </row>
    <row r="269">
      <c r="A269" s="1095" t="s">
        <v>6824</v>
      </c>
      <c r="B269" s="1095" t="s">
        <v>1160</v>
      </c>
      <c r="C269" s="1096">
        <v>182750.0</v>
      </c>
    </row>
    <row r="270">
      <c r="A270" s="1095" t="s">
        <v>4354</v>
      </c>
      <c r="B270" s="1095" t="s">
        <v>1160</v>
      </c>
      <c r="C270" s="1096">
        <v>182750.0</v>
      </c>
    </row>
    <row r="271">
      <c r="A271" s="1095" t="s">
        <v>2822</v>
      </c>
      <c r="B271" s="1095" t="s">
        <v>1311</v>
      </c>
      <c r="C271" s="1096">
        <v>170850.0</v>
      </c>
    </row>
    <row r="272">
      <c r="A272" s="1095" t="s">
        <v>6894</v>
      </c>
      <c r="B272" s="1095" t="s">
        <v>1311</v>
      </c>
      <c r="C272" s="1096">
        <v>170850.0</v>
      </c>
    </row>
    <row r="273">
      <c r="A273" s="1095" t="s">
        <v>2856</v>
      </c>
      <c r="B273" s="1095" t="s">
        <v>1309</v>
      </c>
      <c r="C273" s="1096">
        <v>215050.0</v>
      </c>
    </row>
    <row r="274">
      <c r="A274" s="1095" t="s">
        <v>2821</v>
      </c>
      <c r="B274" s="1095" t="s">
        <v>1309</v>
      </c>
      <c r="C274" s="1096">
        <v>215050.0</v>
      </c>
    </row>
    <row r="275">
      <c r="A275" s="1095" t="s">
        <v>4219</v>
      </c>
      <c r="B275" s="1095" t="s">
        <v>882</v>
      </c>
      <c r="C275" s="1096">
        <v>273700.0</v>
      </c>
    </row>
    <row r="276">
      <c r="A276" s="1095" t="s">
        <v>6893</v>
      </c>
      <c r="B276" s="1095" t="s">
        <v>1503</v>
      </c>
      <c r="C276" s="1096">
        <v>195499.0</v>
      </c>
    </row>
    <row r="277">
      <c r="A277" s="1095" t="s">
        <v>6891</v>
      </c>
      <c r="B277" s="1095" t="s">
        <v>1167</v>
      </c>
      <c r="C277" s="1096">
        <v>292399.0</v>
      </c>
    </row>
    <row r="278">
      <c r="A278" s="1095" t="s">
        <v>6892</v>
      </c>
      <c r="B278" s="1095" t="s">
        <v>1307</v>
      </c>
      <c r="C278" s="1096">
        <v>223549.0</v>
      </c>
    </row>
    <row r="279">
      <c r="A279" s="1095" t="s">
        <v>2954</v>
      </c>
      <c r="B279" s="1095" t="s">
        <v>29</v>
      </c>
      <c r="C279" s="1096">
        <v>0.0</v>
      </c>
    </row>
    <row r="280">
      <c r="A280" s="1095" t="s">
        <v>3045</v>
      </c>
      <c r="B280" s="1095" t="s">
        <v>50</v>
      </c>
      <c r="C280" s="1096">
        <v>0.0</v>
      </c>
    </row>
    <row r="281">
      <c r="A281" s="1095" t="s">
        <v>5360</v>
      </c>
      <c r="B281" s="1095" t="s">
        <v>429</v>
      </c>
      <c r="C281" s="1096">
        <v>595000.0</v>
      </c>
    </row>
    <row r="282">
      <c r="A282" s="1095" t="s">
        <v>2655</v>
      </c>
      <c r="B282" s="1095" t="s">
        <v>284</v>
      </c>
      <c r="C282" s="1096">
        <v>1196250.0</v>
      </c>
    </row>
    <row r="283">
      <c r="A283" s="1095" t="s">
        <v>12935</v>
      </c>
      <c r="B283" s="1095" t="s">
        <v>1129</v>
      </c>
      <c r="C283" s="1096">
        <v>239800.0</v>
      </c>
    </row>
    <row r="284">
      <c r="A284" s="1095" t="s">
        <v>12936</v>
      </c>
      <c r="B284" s="1095" t="s">
        <v>1129</v>
      </c>
      <c r="C284" s="1096">
        <v>239800.0</v>
      </c>
    </row>
    <row r="285">
      <c r="A285" s="1095" t="s">
        <v>3342</v>
      </c>
      <c r="B285" s="1095" t="s">
        <v>1152</v>
      </c>
      <c r="C285" s="1096">
        <v>1272000.0</v>
      </c>
    </row>
    <row r="286">
      <c r="A286" s="1095" t="s">
        <v>3493</v>
      </c>
      <c r="B286" s="1095" t="s">
        <v>935</v>
      </c>
      <c r="C286" s="1096">
        <v>600600.0</v>
      </c>
    </row>
    <row r="287">
      <c r="A287" s="1095" t="s">
        <v>4907</v>
      </c>
      <c r="B287" s="1095" t="s">
        <v>937</v>
      </c>
      <c r="C287" s="1096">
        <v>398000.0</v>
      </c>
    </row>
    <row r="288">
      <c r="A288" s="1095" t="s">
        <v>2544</v>
      </c>
      <c r="B288" s="1095" t="s">
        <v>928</v>
      </c>
      <c r="C288" s="1096">
        <v>925100.0</v>
      </c>
    </row>
    <row r="289">
      <c r="A289" s="1095" t="s">
        <v>2672</v>
      </c>
      <c r="B289" s="1095" t="s">
        <v>940</v>
      </c>
      <c r="C289" s="1096">
        <v>628650.0</v>
      </c>
    </row>
    <row r="290">
      <c r="A290" s="1095" t="s">
        <v>2718</v>
      </c>
      <c r="B290" s="1095" t="s">
        <v>1418</v>
      </c>
      <c r="C290" s="1096">
        <v>524920.0</v>
      </c>
    </row>
    <row r="291">
      <c r="A291" s="1095" t="s">
        <v>3924</v>
      </c>
      <c r="B291" s="1095" t="s">
        <v>991</v>
      </c>
      <c r="C291" s="1096">
        <v>880000.0</v>
      </c>
    </row>
    <row r="292">
      <c r="A292" s="1095" t="s">
        <v>2691</v>
      </c>
      <c r="B292" s="1095" t="s">
        <v>1024</v>
      </c>
      <c r="C292" s="1096">
        <v>469800.0</v>
      </c>
    </row>
    <row r="293">
      <c r="A293" s="1095" t="s">
        <v>3376</v>
      </c>
      <c r="B293" s="1095" t="s">
        <v>1145</v>
      </c>
      <c r="C293" s="1096">
        <v>449900.0</v>
      </c>
    </row>
    <row r="294">
      <c r="A294" s="1095" t="s">
        <v>7756</v>
      </c>
      <c r="B294" s="1095" t="s">
        <v>1145</v>
      </c>
      <c r="C294" s="1096">
        <v>449900.0</v>
      </c>
    </row>
    <row r="295">
      <c r="A295" s="1095" t="s">
        <v>2780</v>
      </c>
      <c r="B295" s="1095" t="s">
        <v>1897</v>
      </c>
      <c r="C295" s="1096">
        <v>1427250.0</v>
      </c>
    </row>
    <row r="296">
      <c r="A296" s="1095" t="s">
        <v>7757</v>
      </c>
      <c r="B296" s="1095" t="s">
        <v>1145</v>
      </c>
      <c r="C296" s="1096">
        <v>583000.0</v>
      </c>
    </row>
    <row r="297">
      <c r="A297" s="1095" t="s">
        <v>2779</v>
      </c>
      <c r="B297" s="1095" t="s">
        <v>1897</v>
      </c>
      <c r="C297" s="1096">
        <v>1427250.0</v>
      </c>
    </row>
    <row r="298">
      <c r="A298" s="1095" t="s">
        <v>3367</v>
      </c>
      <c r="B298" s="1095" t="s">
        <v>1145</v>
      </c>
      <c r="C298" s="1096">
        <v>583000.0</v>
      </c>
    </row>
    <row r="299">
      <c r="A299" s="1095" t="s">
        <v>4526</v>
      </c>
      <c r="B299" s="1095" t="s">
        <v>1145</v>
      </c>
      <c r="C299" s="1096">
        <v>583000.0</v>
      </c>
    </row>
    <row r="300">
      <c r="A300" s="1095" t="s">
        <v>8904</v>
      </c>
      <c r="B300" s="1095" t="s">
        <v>1145</v>
      </c>
      <c r="C300" s="1096">
        <v>240350.0</v>
      </c>
    </row>
    <row r="301">
      <c r="A301" s="1095" t="s">
        <v>2748</v>
      </c>
      <c r="B301" s="1095" t="s">
        <v>759</v>
      </c>
      <c r="C301" s="1096">
        <v>2044350.0</v>
      </c>
    </row>
    <row r="302">
      <c r="A302" s="1095" t="s">
        <v>2576</v>
      </c>
      <c r="B302" s="1095" t="s">
        <v>1111</v>
      </c>
      <c r="C302" s="1096">
        <v>1552650.0</v>
      </c>
    </row>
    <row r="303">
      <c r="A303" s="1095" t="s">
        <v>2567</v>
      </c>
      <c r="B303" s="1095" t="s">
        <v>1106</v>
      </c>
      <c r="C303" s="1096">
        <v>1219900.0</v>
      </c>
    </row>
    <row r="304">
      <c r="A304" s="1095" t="s">
        <v>2819</v>
      </c>
      <c r="B304" s="1095" t="s">
        <v>1244</v>
      </c>
      <c r="C304" s="1096">
        <v>146200.0</v>
      </c>
    </row>
    <row r="305">
      <c r="A305" s="1095" t="s">
        <v>6890</v>
      </c>
      <c r="B305" s="1095" t="s">
        <v>1244</v>
      </c>
      <c r="C305" s="1096">
        <v>146200.0</v>
      </c>
    </row>
    <row r="306">
      <c r="A306" s="1095" t="s">
        <v>2681</v>
      </c>
      <c r="B306" s="1095" t="s">
        <v>421</v>
      </c>
      <c r="C306" s="1096">
        <v>815100.0</v>
      </c>
    </row>
    <row r="307">
      <c r="A307" s="1095" t="s">
        <v>2698</v>
      </c>
      <c r="B307" s="1095" t="s">
        <v>444</v>
      </c>
      <c r="C307" s="1096">
        <v>853600.0</v>
      </c>
    </row>
    <row r="308">
      <c r="A308" s="1095" t="s">
        <v>3378</v>
      </c>
      <c r="B308" s="1095" t="s">
        <v>1781</v>
      </c>
      <c r="C308" s="1096">
        <v>515900.0</v>
      </c>
    </row>
    <row r="309">
      <c r="A309" s="1095" t="s">
        <v>3795</v>
      </c>
      <c r="B309" s="1095" t="s">
        <v>1160</v>
      </c>
      <c r="C309" s="1096">
        <v>467000.0</v>
      </c>
    </row>
    <row r="310">
      <c r="A310" s="1095" t="s">
        <v>3421</v>
      </c>
      <c r="B310" s="1095" t="s">
        <v>1685</v>
      </c>
      <c r="C310" s="1096">
        <v>1185800.0</v>
      </c>
    </row>
    <row r="311">
      <c r="A311" s="1095" t="s">
        <v>3456</v>
      </c>
      <c r="B311" s="1095" t="s">
        <v>2408</v>
      </c>
      <c r="C311" s="1096">
        <v>616000.0</v>
      </c>
    </row>
    <row r="312">
      <c r="A312" s="1095" t="s">
        <v>2617</v>
      </c>
      <c r="B312" s="1095" t="s">
        <v>830</v>
      </c>
      <c r="C312" s="1096">
        <v>1194480.0</v>
      </c>
    </row>
    <row r="313">
      <c r="A313" s="1095" t="s">
        <v>3745</v>
      </c>
      <c r="B313" s="1095" t="s">
        <v>357</v>
      </c>
      <c r="C313" s="1096">
        <v>738150.0</v>
      </c>
    </row>
    <row r="314">
      <c r="A314" s="1095" t="s">
        <v>8066</v>
      </c>
      <c r="B314" s="1095" t="s">
        <v>2163</v>
      </c>
      <c r="C314" s="1096">
        <v>184537.0</v>
      </c>
    </row>
    <row r="315">
      <c r="A315" s="1095" t="s">
        <v>7408</v>
      </c>
      <c r="B315" s="1095" t="s">
        <v>2163</v>
      </c>
      <c r="C315" s="1096">
        <v>184537.0</v>
      </c>
    </row>
    <row r="316">
      <c r="A316" s="1095" t="s">
        <v>12946</v>
      </c>
      <c r="B316" s="1095" t="s">
        <v>1421</v>
      </c>
      <c r="C316" s="1096">
        <v>147630.0</v>
      </c>
    </row>
    <row r="317">
      <c r="A317" s="1095" t="s">
        <v>3988</v>
      </c>
      <c r="B317" s="1095" t="s">
        <v>1421</v>
      </c>
      <c r="C317" s="1096">
        <v>147630.0</v>
      </c>
    </row>
    <row r="318">
      <c r="A318" s="1095" t="s">
        <v>7154</v>
      </c>
      <c r="B318" s="1095" t="s">
        <v>2386</v>
      </c>
      <c r="C318" s="1096">
        <v>316350.0</v>
      </c>
    </row>
    <row r="319">
      <c r="A319" s="1095" t="s">
        <v>7393</v>
      </c>
      <c r="B319" s="1095" t="s">
        <v>2386</v>
      </c>
      <c r="C319" s="1096">
        <v>316350.0</v>
      </c>
    </row>
    <row r="320">
      <c r="A320" s="1095" t="s">
        <v>3497</v>
      </c>
      <c r="B320" s="1095" t="s">
        <v>1865</v>
      </c>
      <c r="C320" s="1096">
        <v>815100.0</v>
      </c>
    </row>
    <row r="321">
      <c r="A321" s="1095" t="s">
        <v>3366</v>
      </c>
      <c r="B321" s="1095" t="s">
        <v>1145</v>
      </c>
      <c r="C321" s="1096">
        <v>788000.0</v>
      </c>
    </row>
    <row r="322">
      <c r="A322" s="1095" t="s">
        <v>3522</v>
      </c>
      <c r="B322" s="1095" t="s">
        <v>254</v>
      </c>
      <c r="C322" s="1096">
        <v>872850.0</v>
      </c>
    </row>
    <row r="323">
      <c r="A323" s="1095" t="s">
        <v>6827</v>
      </c>
      <c r="B323" s="1095" t="s">
        <v>81</v>
      </c>
      <c r="C323" s="1096">
        <v>106250.0</v>
      </c>
    </row>
    <row r="324">
      <c r="A324" s="1095" t="s">
        <v>4149</v>
      </c>
      <c r="B324" s="1095" t="s">
        <v>81</v>
      </c>
      <c r="C324" s="1096">
        <v>106250.0</v>
      </c>
    </row>
    <row r="325">
      <c r="A325" s="1095" t="s">
        <v>13656</v>
      </c>
      <c r="B325" s="1095" t="s">
        <v>13657</v>
      </c>
      <c r="C325" s="1096">
        <v>65000.0</v>
      </c>
    </row>
    <row r="326">
      <c r="A326" s="1095" t="s">
        <v>3582</v>
      </c>
      <c r="B326" s="1095" t="s">
        <v>69</v>
      </c>
      <c r="C326" s="1096">
        <v>879450.0</v>
      </c>
    </row>
    <row r="327">
      <c r="A327" s="1095" t="s">
        <v>2663</v>
      </c>
      <c r="B327" s="1095" t="s">
        <v>223</v>
      </c>
      <c r="C327" s="1096">
        <v>997150.0</v>
      </c>
    </row>
    <row r="328">
      <c r="A328" s="1095" t="s">
        <v>2659</v>
      </c>
      <c r="B328" s="1095" t="s">
        <v>588</v>
      </c>
      <c r="C328" s="1096">
        <v>863500.0</v>
      </c>
    </row>
    <row r="329">
      <c r="A329" s="1095" t="s">
        <v>2623</v>
      </c>
      <c r="B329" s="1095" t="s">
        <v>394</v>
      </c>
      <c r="C329" s="1096">
        <v>1200000.0</v>
      </c>
    </row>
    <row r="330">
      <c r="A330" s="1095" t="s">
        <v>12952</v>
      </c>
      <c r="B330" s="1095" t="s">
        <v>2363</v>
      </c>
      <c r="C330" s="1096">
        <v>1350000.0</v>
      </c>
    </row>
    <row r="331">
      <c r="A331" s="1095" t="s">
        <v>2673</v>
      </c>
      <c r="B331" s="1095" t="s">
        <v>925</v>
      </c>
      <c r="C331" s="1096">
        <v>1150000.0</v>
      </c>
    </row>
    <row r="332">
      <c r="A332" s="1095" t="s">
        <v>3330</v>
      </c>
      <c r="B332" s="1095" t="s">
        <v>1411</v>
      </c>
      <c r="C332" s="1096">
        <v>1027684.0</v>
      </c>
    </row>
    <row r="333">
      <c r="A333" s="1095" t="s">
        <v>3368</v>
      </c>
      <c r="B333" s="1095" t="s">
        <v>1145</v>
      </c>
      <c r="C333" s="1096">
        <v>286721.0</v>
      </c>
    </row>
    <row r="334">
      <c r="A334" s="1095" t="s">
        <v>3469</v>
      </c>
      <c r="B334" s="1095" t="s">
        <v>1539</v>
      </c>
      <c r="C334" s="1096">
        <v>405684.0</v>
      </c>
    </row>
    <row r="335">
      <c r="A335" s="1095" t="s">
        <v>3502</v>
      </c>
      <c r="B335" s="1095" t="s">
        <v>423</v>
      </c>
      <c r="C335" s="1096">
        <v>517000.0</v>
      </c>
    </row>
    <row r="336">
      <c r="A336" s="1095" t="s">
        <v>3503</v>
      </c>
      <c r="B336" s="1095" t="s">
        <v>423</v>
      </c>
      <c r="C336" s="1096">
        <v>517000.0</v>
      </c>
    </row>
    <row r="337">
      <c r="A337" s="1095" t="s">
        <v>2694</v>
      </c>
      <c r="B337" s="1095" t="s">
        <v>2357</v>
      </c>
      <c r="C337" s="1096">
        <v>700000.0</v>
      </c>
    </row>
    <row r="338">
      <c r="A338" s="1095" t="s">
        <v>3501</v>
      </c>
      <c r="B338" s="1095" t="s">
        <v>423</v>
      </c>
      <c r="C338" s="1096">
        <v>725000.0</v>
      </c>
    </row>
    <row r="339">
      <c r="A339" s="1095" t="s">
        <v>3606</v>
      </c>
      <c r="B339" s="1095" t="s">
        <v>2037</v>
      </c>
      <c r="C339" s="1096">
        <v>551100.0</v>
      </c>
    </row>
    <row r="340">
      <c r="A340" s="1095" t="s">
        <v>2778</v>
      </c>
      <c r="B340" s="1095" t="s">
        <v>1315</v>
      </c>
      <c r="C340" s="1096">
        <v>779350.0</v>
      </c>
    </row>
    <row r="341">
      <c r="A341" s="1095" t="s">
        <v>2580</v>
      </c>
      <c r="B341" s="1095" t="s">
        <v>1088</v>
      </c>
      <c r="C341" s="1096">
        <v>1016400.0</v>
      </c>
    </row>
    <row r="342">
      <c r="A342" s="1095" t="s">
        <v>3666</v>
      </c>
      <c r="B342" s="1095" t="s">
        <v>530</v>
      </c>
      <c r="C342" s="1096">
        <v>1090650.0</v>
      </c>
    </row>
    <row r="343">
      <c r="A343" s="1095" t="s">
        <v>4189</v>
      </c>
      <c r="B343" s="1095" t="s">
        <v>2300</v>
      </c>
      <c r="C343" s="1096">
        <v>1125917.0</v>
      </c>
    </row>
    <row r="344">
      <c r="A344" s="1095" t="s">
        <v>2696</v>
      </c>
      <c r="B344" s="1095" t="s">
        <v>1474</v>
      </c>
      <c r="C344" s="1096">
        <v>1875000.0</v>
      </c>
    </row>
    <row r="345">
      <c r="A345" s="1095" t="s">
        <v>2570</v>
      </c>
      <c r="B345" s="1095" t="s">
        <v>1103</v>
      </c>
      <c r="C345" s="1096">
        <v>948750.0</v>
      </c>
    </row>
    <row r="346">
      <c r="A346" s="1095" t="s">
        <v>3811</v>
      </c>
      <c r="B346" s="1095" t="s">
        <v>383</v>
      </c>
      <c r="C346" s="1096">
        <v>976800.0</v>
      </c>
    </row>
    <row r="347">
      <c r="A347" s="1095" t="s">
        <v>3698</v>
      </c>
      <c r="B347" s="1095" t="s">
        <v>1381</v>
      </c>
      <c r="C347" s="1096">
        <v>79900.0</v>
      </c>
    </row>
    <row r="348">
      <c r="A348" s="1095" t="s">
        <v>2847</v>
      </c>
      <c r="B348" s="1095" t="s">
        <v>2160</v>
      </c>
      <c r="C348" s="1096">
        <v>610300.0</v>
      </c>
    </row>
    <row r="349">
      <c r="A349" s="1095" t="s">
        <v>3898</v>
      </c>
      <c r="B349" s="1095" t="s">
        <v>1794</v>
      </c>
      <c r="C349" s="1096">
        <v>257549.0</v>
      </c>
    </row>
    <row r="350">
      <c r="A350" s="1095" t="s">
        <v>12148</v>
      </c>
      <c r="B350" s="1095" t="s">
        <v>1517</v>
      </c>
      <c r="C350" s="1096">
        <v>34000.0</v>
      </c>
    </row>
    <row r="351">
      <c r="A351" s="1095" t="s">
        <v>12149</v>
      </c>
      <c r="B351" s="1095" t="s">
        <v>1517</v>
      </c>
      <c r="C351" s="1096">
        <v>34000.0</v>
      </c>
    </row>
    <row r="352">
      <c r="A352" s="1095" t="s">
        <v>7811</v>
      </c>
      <c r="B352" s="1095" t="s">
        <v>2227</v>
      </c>
      <c r="C352" s="1096">
        <v>90000.0</v>
      </c>
    </row>
    <row r="353">
      <c r="A353" s="1095" t="s">
        <v>6744</v>
      </c>
      <c r="B353" s="1095" t="s">
        <v>1727</v>
      </c>
      <c r="C353" s="1096">
        <v>675213.0</v>
      </c>
    </row>
    <row r="354">
      <c r="A354" s="1095" t="s">
        <v>6502</v>
      </c>
      <c r="B354" s="1095" t="s">
        <v>580</v>
      </c>
      <c r="C354" s="1096">
        <v>653235.0</v>
      </c>
    </row>
    <row r="355">
      <c r="A355" s="1095" t="s">
        <v>6745</v>
      </c>
      <c r="B355" s="1095" t="s">
        <v>1120</v>
      </c>
      <c r="C355" s="1096">
        <v>553113.0</v>
      </c>
    </row>
    <row r="356">
      <c r="A356" s="1095" t="s">
        <v>6145</v>
      </c>
      <c r="B356" s="1095" t="s">
        <v>136</v>
      </c>
      <c r="C356" s="1096">
        <v>736263.0</v>
      </c>
    </row>
    <row r="357">
      <c r="A357" s="1095" t="s">
        <v>2546</v>
      </c>
      <c r="B357" s="1095" t="s">
        <v>1303</v>
      </c>
      <c r="C357" s="1096">
        <v>499389.0</v>
      </c>
    </row>
    <row r="358">
      <c r="A358" s="1095" t="s">
        <v>5303</v>
      </c>
      <c r="B358" s="1095" t="s">
        <v>928</v>
      </c>
      <c r="C358" s="1096">
        <v>611721.0</v>
      </c>
    </row>
    <row r="359">
      <c r="A359" s="1095" t="s">
        <v>6689</v>
      </c>
      <c r="B359" s="1095" t="s">
        <v>686</v>
      </c>
      <c r="C359" s="1096">
        <v>605616.0</v>
      </c>
    </row>
    <row r="360">
      <c r="A360" s="1095" t="s">
        <v>4323</v>
      </c>
      <c r="B360" s="1095" t="s">
        <v>1444</v>
      </c>
      <c r="C360" s="1096">
        <v>617826.0</v>
      </c>
    </row>
    <row r="361">
      <c r="A361" s="1095" t="s">
        <v>6746</v>
      </c>
      <c r="B361" s="1095" t="s">
        <v>2079</v>
      </c>
      <c r="C361" s="1096">
        <v>503052.0</v>
      </c>
    </row>
    <row r="362">
      <c r="A362" s="1095" t="s">
        <v>2669</v>
      </c>
      <c r="B362" s="1095" t="s">
        <v>935</v>
      </c>
      <c r="C362" s="1096">
        <v>570421.0</v>
      </c>
    </row>
    <row r="363">
      <c r="A363" s="1095" t="s">
        <v>3712</v>
      </c>
      <c r="B363" s="1095" t="s">
        <v>1252</v>
      </c>
      <c r="C363" s="1096">
        <v>509157.0</v>
      </c>
    </row>
    <row r="364">
      <c r="A364" s="1095" t="s">
        <v>2677</v>
      </c>
      <c r="B364" s="1095" t="s">
        <v>1797</v>
      </c>
      <c r="C364" s="1096">
        <v>499389.0</v>
      </c>
    </row>
    <row r="365">
      <c r="A365" s="1095" t="s">
        <v>2693</v>
      </c>
      <c r="B365" s="1095" t="s">
        <v>983</v>
      </c>
      <c r="C365" s="1096">
        <v>692307.0</v>
      </c>
    </row>
    <row r="366">
      <c r="A366" s="1095" t="s">
        <v>3948</v>
      </c>
      <c r="B366" s="1095" t="s">
        <v>124</v>
      </c>
      <c r="C366" s="1096">
        <v>598290.0</v>
      </c>
    </row>
    <row r="367">
      <c r="A367" s="1095" t="s">
        <v>5084</v>
      </c>
      <c r="B367" s="1095" t="s">
        <v>1946</v>
      </c>
      <c r="C367" s="1096">
        <v>638583.0</v>
      </c>
    </row>
    <row r="368">
      <c r="A368" s="1095" t="s">
        <v>6747</v>
      </c>
      <c r="B368" s="1095" t="s">
        <v>1505</v>
      </c>
      <c r="C368" s="1096">
        <v>611721.0</v>
      </c>
    </row>
    <row r="369">
      <c r="A369" s="1095" t="s">
        <v>6748</v>
      </c>
      <c r="B369" s="1095" t="s">
        <v>890</v>
      </c>
      <c r="C369" s="1096">
        <v>485958.0</v>
      </c>
    </row>
    <row r="370">
      <c r="A370" s="1095" t="s">
        <v>6749</v>
      </c>
      <c r="B370" s="1095" t="s">
        <v>847</v>
      </c>
      <c r="C370" s="1096">
        <v>620268.0</v>
      </c>
    </row>
    <row r="371">
      <c r="A371" s="1095" t="s">
        <v>2781</v>
      </c>
      <c r="B371" s="1095" t="s">
        <v>1938</v>
      </c>
      <c r="C371" s="1096">
        <v>783882.0</v>
      </c>
    </row>
    <row r="372">
      <c r="A372" s="1095" t="s">
        <v>6750</v>
      </c>
      <c r="B372" s="1095" t="s">
        <v>610</v>
      </c>
      <c r="C372" s="1096">
        <v>611721.0</v>
      </c>
    </row>
    <row r="373">
      <c r="A373" s="1095" t="s">
        <v>6751</v>
      </c>
      <c r="B373" s="1095" t="s">
        <v>605</v>
      </c>
      <c r="C373" s="1096">
        <v>761904.0</v>
      </c>
    </row>
    <row r="374">
      <c r="A374" s="1095" t="s">
        <v>2712</v>
      </c>
      <c r="B374" s="1095" t="s">
        <v>1319</v>
      </c>
      <c r="C374" s="1096">
        <v>434676.0</v>
      </c>
    </row>
    <row r="375">
      <c r="A375" s="1095" t="s">
        <v>6752</v>
      </c>
      <c r="B375" s="1095" t="s">
        <v>2206</v>
      </c>
      <c r="C375" s="1096">
        <v>663003.0</v>
      </c>
    </row>
    <row r="376">
      <c r="A376" s="1095" t="s">
        <v>6753</v>
      </c>
      <c r="B376" s="1095" t="s">
        <v>13658</v>
      </c>
      <c r="C376" s="1096">
        <v>587301.0</v>
      </c>
    </row>
    <row r="377">
      <c r="A377" s="1095" t="s">
        <v>6754</v>
      </c>
      <c r="B377" s="1095" t="s">
        <v>1960</v>
      </c>
      <c r="C377" s="1096">
        <v>474969.0</v>
      </c>
    </row>
    <row r="378">
      <c r="A378" s="1095" t="s">
        <v>4964</v>
      </c>
      <c r="B378" s="1095" t="s">
        <v>383</v>
      </c>
      <c r="C378" s="1096">
        <v>653235.0</v>
      </c>
    </row>
    <row r="379">
      <c r="A379" s="1095" t="s">
        <v>4512</v>
      </c>
      <c r="B379" s="1095" t="s">
        <v>1026</v>
      </c>
      <c r="C379" s="1096">
        <v>634920.0</v>
      </c>
    </row>
    <row r="380">
      <c r="A380" s="1095" t="s">
        <v>3594</v>
      </c>
      <c r="B380" s="1095" t="s">
        <v>2412</v>
      </c>
      <c r="C380" s="1096">
        <v>719169.0</v>
      </c>
    </row>
    <row r="381">
      <c r="A381" s="1095" t="s">
        <v>12965</v>
      </c>
      <c r="B381" s="1095" t="s">
        <v>2088</v>
      </c>
      <c r="C381" s="1096">
        <v>103785.0</v>
      </c>
    </row>
    <row r="382">
      <c r="A382" s="1095" t="s">
        <v>12966</v>
      </c>
      <c r="B382" s="1095" t="s">
        <v>2088</v>
      </c>
      <c r="C382" s="1096">
        <v>103785.0</v>
      </c>
    </row>
    <row r="383">
      <c r="A383" s="1095" t="s">
        <v>12967</v>
      </c>
      <c r="B383" s="1095" t="s">
        <v>2088</v>
      </c>
      <c r="C383" s="1096">
        <v>114774.0</v>
      </c>
    </row>
    <row r="384">
      <c r="A384" s="1095" t="s">
        <v>12968</v>
      </c>
      <c r="B384" s="1095" t="s">
        <v>2088</v>
      </c>
      <c r="C384" s="1096">
        <v>114774.0</v>
      </c>
    </row>
    <row r="385">
      <c r="A385" s="1095" t="s">
        <v>4178</v>
      </c>
      <c r="B385" s="1095" t="s">
        <v>1978</v>
      </c>
      <c r="C385" s="1096">
        <v>575091.0</v>
      </c>
    </row>
    <row r="386">
      <c r="A386" s="1095" t="s">
        <v>6755</v>
      </c>
      <c r="B386" s="1095" t="s">
        <v>1463</v>
      </c>
      <c r="C386" s="1096">
        <v>583638.0</v>
      </c>
    </row>
    <row r="387">
      <c r="A387" s="1095" t="s">
        <v>6756</v>
      </c>
      <c r="B387" s="1095" t="s">
        <v>103</v>
      </c>
      <c r="C387" s="1096">
        <v>604395.0</v>
      </c>
    </row>
    <row r="388">
      <c r="A388" s="1095" t="s">
        <v>3526</v>
      </c>
      <c r="B388" s="1095" t="s">
        <v>1917</v>
      </c>
      <c r="C388" s="1096">
        <v>560439.0</v>
      </c>
    </row>
    <row r="389">
      <c r="A389" s="1095" t="s">
        <v>5907</v>
      </c>
      <c r="B389" s="1095" t="s">
        <v>1919</v>
      </c>
      <c r="C389" s="1096">
        <v>542124.0</v>
      </c>
    </row>
    <row r="390">
      <c r="A390" s="1095" t="s">
        <v>6757</v>
      </c>
      <c r="B390" s="1095" t="s">
        <v>1602</v>
      </c>
      <c r="C390" s="1096">
        <v>488400.0</v>
      </c>
    </row>
    <row r="391">
      <c r="A391" s="1095" t="s">
        <v>2541</v>
      </c>
      <c r="B391" s="1095" t="s">
        <v>895</v>
      </c>
      <c r="C391" s="1096">
        <v>534798.0</v>
      </c>
    </row>
    <row r="392">
      <c r="A392" s="1095" t="s">
        <v>2651</v>
      </c>
      <c r="B392" s="1095" t="s">
        <v>1477</v>
      </c>
      <c r="C392" s="1096">
        <v>483516.0</v>
      </c>
    </row>
    <row r="393">
      <c r="A393" s="1095" t="s">
        <v>3871</v>
      </c>
      <c r="B393" s="1095" t="s">
        <v>1406</v>
      </c>
      <c r="C393" s="1096">
        <v>711700.0</v>
      </c>
    </row>
    <row r="394">
      <c r="A394" s="1095" t="s">
        <v>2609</v>
      </c>
      <c r="B394" s="1095" t="s">
        <v>696</v>
      </c>
      <c r="C394" s="1096">
        <v>1786950.0</v>
      </c>
    </row>
    <row r="395">
      <c r="A395" s="1095" t="s">
        <v>3760</v>
      </c>
      <c r="B395" s="1095" t="s">
        <v>923</v>
      </c>
      <c r="C395" s="1096">
        <v>759000.0</v>
      </c>
    </row>
    <row r="396">
      <c r="A396" s="1095" t="s">
        <v>6829</v>
      </c>
      <c r="B396" s="1095" t="s">
        <v>2367</v>
      </c>
      <c r="C396" s="1096">
        <v>787099.0</v>
      </c>
    </row>
    <row r="397">
      <c r="A397" s="1095" t="s">
        <v>3726</v>
      </c>
      <c r="B397" s="1095" t="s">
        <v>2015</v>
      </c>
      <c r="C397" s="1096">
        <v>2341350.0</v>
      </c>
    </row>
    <row r="398">
      <c r="A398" s="1095" t="s">
        <v>2639</v>
      </c>
      <c r="B398" s="1095" t="s">
        <v>1574</v>
      </c>
      <c r="C398" s="1096">
        <v>907500.0</v>
      </c>
    </row>
    <row r="399">
      <c r="A399" s="1095" t="s">
        <v>2702</v>
      </c>
      <c r="B399" s="1095" t="s">
        <v>1249</v>
      </c>
      <c r="C399" s="1096">
        <v>680900.0</v>
      </c>
    </row>
    <row r="400">
      <c r="A400" s="1095" t="s">
        <v>2746</v>
      </c>
      <c r="B400" s="1095" t="s">
        <v>1129</v>
      </c>
      <c r="C400" s="1096">
        <v>916850.0</v>
      </c>
    </row>
    <row r="401">
      <c r="A401" s="1095" t="s">
        <v>8007</v>
      </c>
      <c r="B401" s="1095" t="s">
        <v>343</v>
      </c>
      <c r="C401" s="1096">
        <v>1035650.0</v>
      </c>
    </row>
    <row r="402">
      <c r="A402" s="1095" t="s">
        <v>2627</v>
      </c>
      <c r="B402" s="1095" t="s">
        <v>379</v>
      </c>
      <c r="C402" s="1096">
        <v>662200.0</v>
      </c>
    </row>
    <row r="403">
      <c r="A403" s="1095" t="s">
        <v>12972</v>
      </c>
      <c r="B403" s="1095" t="s">
        <v>830</v>
      </c>
      <c r="C403" s="1096">
        <v>162000.0</v>
      </c>
    </row>
    <row r="404">
      <c r="A404" s="1095" t="s">
        <v>12973</v>
      </c>
      <c r="B404" s="1095" t="s">
        <v>830</v>
      </c>
      <c r="C404" s="1096">
        <v>162000.0</v>
      </c>
    </row>
    <row r="405">
      <c r="A405" s="1095" t="s">
        <v>8241</v>
      </c>
      <c r="B405" s="1095" t="s">
        <v>830</v>
      </c>
      <c r="C405" s="1096">
        <v>189000.0</v>
      </c>
    </row>
    <row r="406">
      <c r="A406" s="1095" t="s">
        <v>3975</v>
      </c>
      <c r="B406" s="1095" t="s">
        <v>2372</v>
      </c>
      <c r="C406" s="1096">
        <v>378000.0</v>
      </c>
    </row>
    <row r="407">
      <c r="A407" s="1095" t="s">
        <v>12974</v>
      </c>
      <c r="B407" s="1095" t="s">
        <v>830</v>
      </c>
      <c r="C407" s="1096">
        <v>189000.0</v>
      </c>
    </row>
    <row r="408">
      <c r="A408" s="1095" t="s">
        <v>7405</v>
      </c>
      <c r="B408" s="1095" t="s">
        <v>830</v>
      </c>
      <c r="C408" s="1096">
        <v>1080000.0</v>
      </c>
    </row>
    <row r="409">
      <c r="A409" s="1095" t="s">
        <v>7142</v>
      </c>
      <c r="B409" s="1095" t="s">
        <v>2372</v>
      </c>
      <c r="C409" s="1096">
        <v>180000.0</v>
      </c>
    </row>
    <row r="410">
      <c r="A410" s="1095" t="s">
        <v>4063</v>
      </c>
      <c r="B410" s="1095" t="s">
        <v>2372</v>
      </c>
      <c r="C410" s="1096">
        <v>423000.0</v>
      </c>
    </row>
    <row r="411">
      <c r="A411" s="1095" t="s">
        <v>2784</v>
      </c>
      <c r="B411" s="1095" t="s">
        <v>2113</v>
      </c>
      <c r="C411" s="1096">
        <v>1277100.0</v>
      </c>
    </row>
    <row r="412">
      <c r="A412" s="1095" t="s">
        <v>3849</v>
      </c>
      <c r="B412" s="1095" t="s">
        <v>1704</v>
      </c>
      <c r="C412" s="1096">
        <v>2850000.0</v>
      </c>
    </row>
    <row r="413">
      <c r="A413" s="1095" t="s">
        <v>3889</v>
      </c>
      <c r="B413" s="1095" t="s">
        <v>1208</v>
      </c>
      <c r="C413" s="1096">
        <v>1664300.0</v>
      </c>
    </row>
    <row r="414">
      <c r="A414" s="1095" t="s">
        <v>2631</v>
      </c>
      <c r="B414" s="1095" t="s">
        <v>1783</v>
      </c>
      <c r="C414" s="1096">
        <v>614900.0</v>
      </c>
    </row>
    <row r="415">
      <c r="A415" s="1095" t="s">
        <v>4154</v>
      </c>
      <c r="B415" s="1095" t="s">
        <v>429</v>
      </c>
      <c r="C415" s="1096">
        <v>826100.0</v>
      </c>
    </row>
    <row r="416">
      <c r="A416" s="1095" t="s">
        <v>3994</v>
      </c>
      <c r="B416" s="1095" t="s">
        <v>1444</v>
      </c>
      <c r="C416" s="1096">
        <v>421000.0</v>
      </c>
    </row>
    <row r="417">
      <c r="A417" s="1095" t="s">
        <v>2629</v>
      </c>
      <c r="B417" s="1095" t="s">
        <v>1791</v>
      </c>
      <c r="C417" s="1096">
        <v>679800.0</v>
      </c>
    </row>
    <row r="418">
      <c r="A418" s="1095" t="s">
        <v>6830</v>
      </c>
      <c r="B418" s="1095" t="s">
        <v>1494</v>
      </c>
      <c r="C418" s="1096">
        <v>53549.0</v>
      </c>
    </row>
    <row r="419">
      <c r="A419" s="1095" t="s">
        <v>4027</v>
      </c>
      <c r="B419" s="1095" t="s">
        <v>27</v>
      </c>
      <c r="C419" s="1096">
        <v>39250.0</v>
      </c>
    </row>
    <row r="420">
      <c r="A420" s="1097"/>
      <c r="B420" s="1095" t="s">
        <v>12982</v>
      </c>
      <c r="C420" s="1096">
        <v>150667.0</v>
      </c>
    </row>
    <row r="421">
      <c r="A421" s="1095" t="s">
        <v>3273</v>
      </c>
      <c r="B421" s="1095" t="s">
        <v>51</v>
      </c>
      <c r="C421" s="1096">
        <v>0.0</v>
      </c>
    </row>
    <row r="422">
      <c r="A422" s="1095" t="s">
        <v>4005</v>
      </c>
      <c r="B422" s="1095" t="s">
        <v>1138</v>
      </c>
      <c r="C422" s="1096">
        <v>797500.0</v>
      </c>
    </row>
    <row r="423">
      <c r="A423" s="1095" t="s">
        <v>8768</v>
      </c>
      <c r="B423" s="1095" t="s">
        <v>890</v>
      </c>
      <c r="C423" s="1096">
        <v>372000.0</v>
      </c>
    </row>
    <row r="424">
      <c r="A424" s="1095" t="s">
        <v>3943</v>
      </c>
      <c r="B424" s="1095" t="s">
        <v>2254</v>
      </c>
      <c r="C424" s="1096">
        <v>971300.0</v>
      </c>
    </row>
    <row r="425">
      <c r="A425" s="1095" t="s">
        <v>4033</v>
      </c>
      <c r="B425" s="1095" t="s">
        <v>775</v>
      </c>
      <c r="C425" s="1096">
        <v>4032000.0</v>
      </c>
    </row>
    <row r="426">
      <c r="A426" s="1095" t="s">
        <v>2695</v>
      </c>
      <c r="B426" s="1095" t="s">
        <v>334</v>
      </c>
      <c r="C426" s="1096">
        <v>799150.0</v>
      </c>
    </row>
    <row r="427">
      <c r="A427" s="1095" t="s">
        <v>6716</v>
      </c>
      <c r="B427" s="1095" t="s">
        <v>1138</v>
      </c>
      <c r="C427" s="1096">
        <v>459250.0</v>
      </c>
    </row>
    <row r="428">
      <c r="A428" s="1095" t="s">
        <v>7173</v>
      </c>
      <c r="B428" s="1095" t="s">
        <v>1517</v>
      </c>
      <c r="C428" s="1096">
        <v>50149.0</v>
      </c>
    </row>
    <row r="429">
      <c r="A429" s="1095" t="s">
        <v>7171</v>
      </c>
      <c r="B429" s="1095" t="s">
        <v>1517</v>
      </c>
      <c r="C429" s="1096">
        <v>50149.0</v>
      </c>
    </row>
    <row r="430">
      <c r="A430" s="1095" t="s">
        <v>2863</v>
      </c>
      <c r="B430" s="1095" t="s">
        <v>2003</v>
      </c>
      <c r="C430" s="1096">
        <v>187849.0</v>
      </c>
    </row>
    <row r="431">
      <c r="A431" s="1095" t="s">
        <v>4164</v>
      </c>
      <c r="B431" s="1095" t="s">
        <v>925</v>
      </c>
      <c r="C431" s="1096">
        <v>707300.0</v>
      </c>
    </row>
    <row r="432">
      <c r="A432" s="1095" t="s">
        <v>2815</v>
      </c>
      <c r="B432" s="1095" t="s">
        <v>739</v>
      </c>
      <c r="C432" s="1096">
        <v>250000.0</v>
      </c>
    </row>
    <row r="433">
      <c r="A433" s="1095" t="s">
        <v>4207</v>
      </c>
      <c r="B433" s="1095" t="s">
        <v>1376</v>
      </c>
      <c r="C433" s="1096">
        <v>1232000.0</v>
      </c>
    </row>
    <row r="434">
      <c r="A434" s="1095" t="s">
        <v>5774</v>
      </c>
      <c r="B434" s="1095" t="s">
        <v>1307</v>
      </c>
      <c r="C434" s="1096">
        <v>223549.0</v>
      </c>
    </row>
    <row r="435">
      <c r="A435" s="1095" t="s">
        <v>4213</v>
      </c>
      <c r="B435" s="1095" t="s">
        <v>2171</v>
      </c>
      <c r="C435" s="1096">
        <v>157999.0</v>
      </c>
    </row>
    <row r="436">
      <c r="A436" s="1095" t="s">
        <v>2827</v>
      </c>
      <c r="B436" s="1095" t="s">
        <v>1024</v>
      </c>
      <c r="C436" s="1096">
        <v>130049.0</v>
      </c>
    </row>
    <row r="437">
      <c r="A437" s="1095" t="s">
        <v>2685</v>
      </c>
      <c r="B437" s="1095" t="s">
        <v>510</v>
      </c>
      <c r="C437" s="1096">
        <v>958650.0</v>
      </c>
    </row>
    <row r="438">
      <c r="A438" s="1095" t="s">
        <v>2668</v>
      </c>
      <c r="B438" s="1095" t="s">
        <v>1537</v>
      </c>
      <c r="C438" s="1096">
        <v>1155000.0</v>
      </c>
    </row>
    <row r="439">
      <c r="A439" s="1095" t="s">
        <v>2742</v>
      </c>
      <c r="B439" s="1095" t="s">
        <v>1032</v>
      </c>
      <c r="C439" s="1096">
        <v>1635700.0</v>
      </c>
    </row>
    <row r="440">
      <c r="A440" s="1095" t="s">
        <v>2671</v>
      </c>
      <c r="B440" s="1095" t="s">
        <v>40</v>
      </c>
      <c r="C440" s="1096">
        <v>791450.0</v>
      </c>
    </row>
    <row r="441">
      <c r="A441" s="1095" t="s">
        <v>4895</v>
      </c>
      <c r="B441" s="1095" t="s">
        <v>1270</v>
      </c>
      <c r="C441" s="1096">
        <v>1829300.0</v>
      </c>
    </row>
    <row r="442">
      <c r="A442" s="1095" t="s">
        <v>2675</v>
      </c>
      <c r="B442" s="1095" t="s">
        <v>998</v>
      </c>
      <c r="C442" s="1096">
        <v>1170950.0</v>
      </c>
    </row>
    <row r="443">
      <c r="A443" s="1095" t="s">
        <v>2684</v>
      </c>
      <c r="B443" s="1095" t="s">
        <v>1501</v>
      </c>
      <c r="C443" s="1096">
        <v>958650.0</v>
      </c>
    </row>
    <row r="444">
      <c r="A444" s="1095" t="s">
        <v>5587</v>
      </c>
      <c r="B444" s="1095" t="s">
        <v>1865</v>
      </c>
      <c r="C444" s="1096">
        <v>815100.0</v>
      </c>
    </row>
    <row r="445">
      <c r="A445" s="1095" t="s">
        <v>2635</v>
      </c>
      <c r="B445" s="1095" t="s">
        <v>1973</v>
      </c>
      <c r="C445" s="1096">
        <v>791450.0</v>
      </c>
    </row>
    <row r="446">
      <c r="A446" s="1095" t="s">
        <v>4355</v>
      </c>
      <c r="B446" s="1095" t="s">
        <v>1160</v>
      </c>
      <c r="C446" s="1096">
        <v>290700.0</v>
      </c>
    </row>
    <row r="447">
      <c r="A447" s="1095" t="s">
        <v>4356</v>
      </c>
      <c r="B447" s="1095" t="s">
        <v>1160</v>
      </c>
      <c r="C447" s="1096">
        <v>67149.0</v>
      </c>
    </row>
    <row r="448">
      <c r="A448" s="1095" t="s">
        <v>4266</v>
      </c>
      <c r="B448" s="1095" t="s">
        <v>618</v>
      </c>
      <c r="C448" s="1096">
        <v>1063700.0</v>
      </c>
    </row>
    <row r="449">
      <c r="A449" s="1095" t="s">
        <v>4231</v>
      </c>
      <c r="B449" s="1095" t="s">
        <v>799</v>
      </c>
      <c r="C449" s="1096">
        <v>1664300.0</v>
      </c>
    </row>
    <row r="450">
      <c r="A450" s="1095" t="s">
        <v>4365</v>
      </c>
      <c r="B450" s="1095" t="s">
        <v>2387</v>
      </c>
      <c r="C450" s="1096">
        <v>1842000.0</v>
      </c>
    </row>
    <row r="451">
      <c r="A451" s="1095" t="s">
        <v>4041</v>
      </c>
      <c r="B451" s="1095" t="s">
        <v>2071</v>
      </c>
      <c r="C451" s="1096">
        <v>90000.0</v>
      </c>
    </row>
    <row r="452">
      <c r="A452" s="1095" t="s">
        <v>3398</v>
      </c>
      <c r="B452" s="1095" t="s">
        <v>52</v>
      </c>
      <c r="C452" s="1096">
        <v>0.0</v>
      </c>
    </row>
    <row r="453">
      <c r="A453" s="1095" t="s">
        <v>3513</v>
      </c>
      <c r="B453" s="1095" t="s">
        <v>54</v>
      </c>
      <c r="C453" s="1096">
        <v>0.0</v>
      </c>
    </row>
    <row r="454">
      <c r="A454" s="1095" t="s">
        <v>3398</v>
      </c>
      <c r="B454" s="1098"/>
      <c r="C454" s="1096">
        <v>0.0</v>
      </c>
    </row>
    <row r="455">
      <c r="A455" s="1095" t="s">
        <v>4402</v>
      </c>
      <c r="B455" s="1095" t="s">
        <v>1167</v>
      </c>
      <c r="C455" s="1096">
        <v>344000.0</v>
      </c>
    </row>
    <row r="456">
      <c r="A456" s="1095" t="s">
        <v>4437</v>
      </c>
      <c r="B456" s="1095" t="s">
        <v>208</v>
      </c>
      <c r="C456" s="1096">
        <v>737000.0</v>
      </c>
    </row>
    <row r="457">
      <c r="A457" s="1095" t="s">
        <v>4464</v>
      </c>
      <c r="B457" s="1095" t="s">
        <v>1406</v>
      </c>
      <c r="C457" s="1096">
        <v>350000.0</v>
      </c>
    </row>
    <row r="458">
      <c r="A458" s="1095" t="s">
        <v>13659</v>
      </c>
      <c r="B458" s="1095" t="s">
        <v>13419</v>
      </c>
      <c r="C458" s="1096">
        <v>75000.0</v>
      </c>
    </row>
    <row r="459">
      <c r="A459" s="1095" t="s">
        <v>4391</v>
      </c>
      <c r="B459" s="1095" t="s">
        <v>1214</v>
      </c>
      <c r="C459" s="1096">
        <v>1478950.0</v>
      </c>
    </row>
    <row r="460">
      <c r="A460" s="1095" t="s">
        <v>6918</v>
      </c>
      <c r="B460" s="1095" t="s">
        <v>1976</v>
      </c>
      <c r="C460" s="1096">
        <v>1016400.0</v>
      </c>
    </row>
    <row r="461">
      <c r="A461" s="1095" t="s">
        <v>2751</v>
      </c>
      <c r="B461" s="1095" t="s">
        <v>1988</v>
      </c>
      <c r="C461" s="1096">
        <v>628650.0</v>
      </c>
    </row>
    <row r="462">
      <c r="A462" s="1095" t="s">
        <v>2647</v>
      </c>
      <c r="B462" s="1095" t="s">
        <v>359</v>
      </c>
      <c r="C462" s="1096">
        <v>654500.0</v>
      </c>
    </row>
    <row r="463">
      <c r="A463" s="1095" t="s">
        <v>4545</v>
      </c>
      <c r="B463" s="1095" t="s">
        <v>1156</v>
      </c>
      <c r="C463" s="1096">
        <v>255200.0</v>
      </c>
    </row>
    <row r="464">
      <c r="A464" s="1095" t="s">
        <v>4546</v>
      </c>
      <c r="B464" s="1095" t="s">
        <v>1156</v>
      </c>
      <c r="C464" s="1096">
        <v>255200.0</v>
      </c>
    </row>
    <row r="465">
      <c r="A465" s="1095" t="s">
        <v>4570</v>
      </c>
      <c r="B465" s="1095" t="s">
        <v>277</v>
      </c>
      <c r="C465" s="1096">
        <v>725450.0</v>
      </c>
    </row>
    <row r="466">
      <c r="A466" s="1095" t="s">
        <v>2700</v>
      </c>
      <c r="B466" s="1095" t="s">
        <v>338</v>
      </c>
      <c r="C466" s="1096">
        <v>904750.0</v>
      </c>
    </row>
    <row r="467">
      <c r="A467" s="1095" t="s">
        <v>2709</v>
      </c>
      <c r="B467" s="1095" t="s">
        <v>1424</v>
      </c>
      <c r="C467" s="1096">
        <v>486750.0</v>
      </c>
    </row>
    <row r="468">
      <c r="A468" s="1095" t="s">
        <v>4613</v>
      </c>
      <c r="B468" s="1095" t="s">
        <v>455</v>
      </c>
      <c r="C468" s="1096">
        <v>637000.0</v>
      </c>
    </row>
    <row r="469">
      <c r="A469" s="1095" t="s">
        <v>4376</v>
      </c>
      <c r="B469" s="1095" t="s">
        <v>238</v>
      </c>
      <c r="C469" s="1096">
        <v>1087185.0</v>
      </c>
    </row>
    <row r="470">
      <c r="A470" s="1095" t="s">
        <v>4538</v>
      </c>
      <c r="B470" s="1095" t="s">
        <v>1409</v>
      </c>
      <c r="C470" s="1096">
        <v>290000.0</v>
      </c>
    </row>
    <row r="471">
      <c r="A471" s="1095" t="s">
        <v>4547</v>
      </c>
      <c r="B471" s="1095" t="s">
        <v>1156</v>
      </c>
      <c r="C471" s="1096">
        <v>114400.0</v>
      </c>
    </row>
    <row r="472">
      <c r="A472" s="1095" t="s">
        <v>4548</v>
      </c>
      <c r="B472" s="1095" t="s">
        <v>1156</v>
      </c>
      <c r="C472" s="1096">
        <v>114400.0</v>
      </c>
    </row>
    <row r="473">
      <c r="A473" s="1095" t="s">
        <v>2670</v>
      </c>
      <c r="B473" s="1095" t="s">
        <v>362</v>
      </c>
      <c r="C473" s="1096">
        <v>919050.0</v>
      </c>
    </row>
    <row r="474">
      <c r="A474" s="1095" t="s">
        <v>5282</v>
      </c>
      <c r="B474" s="1095" t="s">
        <v>1313</v>
      </c>
      <c r="C474" s="1096">
        <v>589600.0</v>
      </c>
    </row>
    <row r="475">
      <c r="A475" s="1095" t="s">
        <v>4644</v>
      </c>
      <c r="B475" s="1095" t="s">
        <v>1439</v>
      </c>
      <c r="C475" s="1096">
        <v>1550000.0</v>
      </c>
    </row>
    <row r="476">
      <c r="A476" s="1095" t="s">
        <v>2666</v>
      </c>
      <c r="B476" s="1095" t="s">
        <v>11725</v>
      </c>
      <c r="C476" s="1096">
        <v>1072500.0</v>
      </c>
    </row>
    <row r="477">
      <c r="A477" s="1095" t="s">
        <v>4736</v>
      </c>
      <c r="B477" s="1095" t="s">
        <v>1767</v>
      </c>
      <c r="C477" s="1096">
        <v>546150.0</v>
      </c>
    </row>
    <row r="478">
      <c r="A478" s="1095" t="s">
        <v>3532</v>
      </c>
      <c r="B478" s="1095" t="s">
        <v>2416</v>
      </c>
      <c r="C478" s="1096">
        <v>0.0</v>
      </c>
    </row>
    <row r="479">
      <c r="A479" s="1095" t="s">
        <v>2662</v>
      </c>
      <c r="B479" s="1095" t="s">
        <v>2154</v>
      </c>
      <c r="C479" s="1096">
        <v>1485000.0</v>
      </c>
    </row>
    <row r="480">
      <c r="A480" s="1095" t="s">
        <v>2575</v>
      </c>
      <c r="B480" s="1095" t="s">
        <v>1111</v>
      </c>
      <c r="C480" s="1096">
        <v>1422850.0</v>
      </c>
    </row>
    <row r="481">
      <c r="A481" s="1095" t="s">
        <v>4942</v>
      </c>
      <c r="B481" s="1095" t="s">
        <v>730</v>
      </c>
      <c r="C481" s="1096">
        <v>1701150.0</v>
      </c>
    </row>
    <row r="482">
      <c r="A482" s="1095" t="s">
        <v>4988</v>
      </c>
      <c r="B482" s="1095" t="s">
        <v>1167</v>
      </c>
      <c r="C482" s="1096">
        <v>637362.0</v>
      </c>
    </row>
    <row r="483">
      <c r="A483" s="1095" t="s">
        <v>4952</v>
      </c>
      <c r="B483" s="1095" t="s">
        <v>1631</v>
      </c>
      <c r="C483" s="1096">
        <v>2316600.0</v>
      </c>
    </row>
    <row r="484">
      <c r="A484" s="1095" t="s">
        <v>4958</v>
      </c>
      <c r="B484" s="1095" t="s">
        <v>1789</v>
      </c>
      <c r="C484" s="1096">
        <v>2371050.0</v>
      </c>
    </row>
    <row r="485">
      <c r="A485" s="1095" t="s">
        <v>5528</v>
      </c>
      <c r="B485" s="1095" t="s">
        <v>1853</v>
      </c>
      <c r="C485" s="1096">
        <v>1674000.0</v>
      </c>
    </row>
    <row r="486">
      <c r="A486" s="1095" t="s">
        <v>5429</v>
      </c>
      <c r="B486" s="1095" t="s">
        <v>1853</v>
      </c>
      <c r="C486" s="1096">
        <v>1197000.0</v>
      </c>
    </row>
    <row r="487">
      <c r="A487" s="1095" t="s">
        <v>4946</v>
      </c>
      <c r="B487" s="1095" t="s">
        <v>1543</v>
      </c>
      <c r="C487" s="1096">
        <v>2025000.0</v>
      </c>
    </row>
    <row r="488">
      <c r="A488" s="1095" t="s">
        <v>8218</v>
      </c>
      <c r="B488" s="1095" t="s">
        <v>2039</v>
      </c>
      <c r="C488" s="1096">
        <v>531000.0</v>
      </c>
    </row>
    <row r="489">
      <c r="A489" s="1095" t="s">
        <v>4997</v>
      </c>
      <c r="B489" s="1095" t="s">
        <v>1537</v>
      </c>
      <c r="C489" s="1096">
        <v>742500.0</v>
      </c>
    </row>
    <row r="490">
      <c r="A490" s="1095" t="s">
        <v>2674</v>
      </c>
      <c r="B490" s="1095" t="s">
        <v>920</v>
      </c>
      <c r="C490" s="1096">
        <v>686400.0</v>
      </c>
    </row>
    <row r="491">
      <c r="A491" s="1095" t="s">
        <v>2607</v>
      </c>
      <c r="B491" s="1095" t="s">
        <v>13660</v>
      </c>
      <c r="C491" s="1096">
        <v>1489400.0</v>
      </c>
    </row>
    <row r="492">
      <c r="A492" s="1095" t="s">
        <v>5040</v>
      </c>
      <c r="B492" s="1095" t="s">
        <v>1424</v>
      </c>
      <c r="C492" s="1096">
        <v>158099.0</v>
      </c>
    </row>
    <row r="493">
      <c r="A493" s="1095" t="s">
        <v>5344</v>
      </c>
      <c r="B493" s="1095" t="s">
        <v>1465</v>
      </c>
      <c r="C493" s="1096">
        <v>1050000.0</v>
      </c>
    </row>
    <row r="494">
      <c r="A494" s="1095" t="s">
        <v>5014</v>
      </c>
      <c r="B494" s="1095" t="s">
        <v>629</v>
      </c>
      <c r="C494" s="1096">
        <v>1575750.0</v>
      </c>
    </row>
    <row r="495">
      <c r="A495" s="1095" t="s">
        <v>5052</v>
      </c>
      <c r="B495" s="1095" t="s">
        <v>184</v>
      </c>
      <c r="C495" s="1096">
        <v>2961000.0</v>
      </c>
    </row>
    <row r="496">
      <c r="A496" s="1095" t="s">
        <v>5262</v>
      </c>
      <c r="B496" s="1095" t="s">
        <v>940</v>
      </c>
      <c r="C496" s="1096">
        <v>628650.0</v>
      </c>
    </row>
    <row r="497">
      <c r="A497" s="1095" t="s">
        <v>5100</v>
      </c>
      <c r="B497" s="1095" t="s">
        <v>13661</v>
      </c>
      <c r="C497" s="1096">
        <v>2420000.0</v>
      </c>
    </row>
    <row r="498">
      <c r="A498" s="1095" t="s">
        <v>9321</v>
      </c>
      <c r="B498" s="1095" t="s">
        <v>2399</v>
      </c>
      <c r="C498" s="1096">
        <v>659062.0</v>
      </c>
    </row>
    <row r="499">
      <c r="A499" s="1095" t="s">
        <v>5108</v>
      </c>
      <c r="B499" s="1095" t="s">
        <v>507</v>
      </c>
      <c r="C499" s="1096">
        <v>849000.0</v>
      </c>
    </row>
    <row r="500">
      <c r="A500" s="1095" t="s">
        <v>13034</v>
      </c>
      <c r="B500" s="1095" t="s">
        <v>2063</v>
      </c>
      <c r="C500" s="1096">
        <v>600000.0</v>
      </c>
    </row>
    <row r="501">
      <c r="A501" s="1095" t="s">
        <v>10041</v>
      </c>
      <c r="B501" s="1095" t="s">
        <v>2229</v>
      </c>
      <c r="C501" s="1096">
        <v>600000.0</v>
      </c>
    </row>
    <row r="502">
      <c r="A502" s="1095" t="s">
        <v>5134</v>
      </c>
      <c r="B502" s="1095" t="s">
        <v>40</v>
      </c>
      <c r="C502" s="1096">
        <v>600000.0</v>
      </c>
    </row>
    <row r="503">
      <c r="A503" s="1095" t="s">
        <v>5135</v>
      </c>
      <c r="B503" s="1095" t="s">
        <v>40</v>
      </c>
      <c r="C503" s="1096">
        <v>330000.0</v>
      </c>
    </row>
    <row r="504">
      <c r="A504" s="1095" t="s">
        <v>5136</v>
      </c>
      <c r="B504" s="1095" t="s">
        <v>40</v>
      </c>
      <c r="C504" s="1096">
        <v>290000.0</v>
      </c>
    </row>
    <row r="505">
      <c r="A505" s="1095" t="s">
        <v>5137</v>
      </c>
      <c r="B505" s="1095" t="s">
        <v>40</v>
      </c>
      <c r="C505" s="1096">
        <v>385000.0</v>
      </c>
    </row>
    <row r="506">
      <c r="A506" s="1095" t="s">
        <v>5263</v>
      </c>
      <c r="B506" s="1095" t="s">
        <v>1702</v>
      </c>
      <c r="C506" s="1096">
        <v>99450.0</v>
      </c>
    </row>
    <row r="507">
      <c r="A507" s="1095" t="s">
        <v>2716</v>
      </c>
      <c r="B507" s="1095" t="s">
        <v>1311</v>
      </c>
      <c r="C507" s="1096">
        <v>464200.0</v>
      </c>
    </row>
    <row r="508">
      <c r="A508" s="1095" t="s">
        <v>2714</v>
      </c>
      <c r="B508" s="1095" t="s">
        <v>1311</v>
      </c>
      <c r="C508" s="1096">
        <v>464200.0</v>
      </c>
    </row>
    <row r="509">
      <c r="A509" s="1095" t="s">
        <v>2591</v>
      </c>
      <c r="B509" s="1095" t="s">
        <v>974</v>
      </c>
      <c r="C509" s="1096">
        <v>1294700.0</v>
      </c>
    </row>
    <row r="510">
      <c r="A510" s="1095" t="s">
        <v>5358</v>
      </c>
      <c r="B510" s="1095" t="s">
        <v>1862</v>
      </c>
      <c r="C510" s="1096">
        <v>189000.0</v>
      </c>
    </row>
    <row r="511">
      <c r="A511" s="1095" t="s">
        <v>5365</v>
      </c>
      <c r="B511" s="1095" t="s">
        <v>13662</v>
      </c>
      <c r="C511" s="1096">
        <v>1020000.0</v>
      </c>
    </row>
    <row r="512">
      <c r="A512" s="1095" t="s">
        <v>5410</v>
      </c>
      <c r="B512" s="1095" t="s">
        <v>13663</v>
      </c>
      <c r="C512" s="1096">
        <v>481500.0</v>
      </c>
    </row>
    <row r="513">
      <c r="A513" s="1095" t="s">
        <v>2710</v>
      </c>
      <c r="B513" s="1095" t="s">
        <v>1702</v>
      </c>
      <c r="C513" s="1096">
        <v>474300.0</v>
      </c>
    </row>
    <row r="514">
      <c r="A514" s="1095" t="s">
        <v>5444</v>
      </c>
      <c r="B514" s="1095" t="s">
        <v>2298</v>
      </c>
      <c r="C514" s="1096">
        <v>1431100.0</v>
      </c>
    </row>
    <row r="515">
      <c r="A515" s="1095" t="s">
        <v>5458</v>
      </c>
      <c r="B515" s="1095" t="s">
        <v>2177</v>
      </c>
      <c r="C515" s="1096">
        <v>198900.0</v>
      </c>
    </row>
    <row r="516">
      <c r="A516" s="1095" t="s">
        <v>6693</v>
      </c>
      <c r="B516" s="1095" t="s">
        <v>1277</v>
      </c>
      <c r="C516" s="1096">
        <v>409000.0</v>
      </c>
    </row>
    <row r="517">
      <c r="A517" s="1095" t="s">
        <v>2667</v>
      </c>
      <c r="B517" s="1095" t="s">
        <v>1537</v>
      </c>
      <c r="C517" s="1096">
        <v>907500.0</v>
      </c>
    </row>
    <row r="518">
      <c r="A518" s="1095" t="s">
        <v>5294</v>
      </c>
      <c r="B518" s="1095" t="s">
        <v>655</v>
      </c>
      <c r="C518" s="1096">
        <v>2125750.0</v>
      </c>
    </row>
    <row r="519">
      <c r="A519" s="1095" t="s">
        <v>13045</v>
      </c>
      <c r="B519" s="1095" t="s">
        <v>371</v>
      </c>
      <c r="C519" s="1096">
        <v>437250.0</v>
      </c>
    </row>
    <row r="520">
      <c r="A520" s="1095" t="s">
        <v>13046</v>
      </c>
      <c r="B520" s="1095" t="s">
        <v>371</v>
      </c>
      <c r="C520" s="1096">
        <v>437250.0</v>
      </c>
    </row>
    <row r="521">
      <c r="A521" s="1095" t="s">
        <v>13306</v>
      </c>
      <c r="B521" s="1095" t="s">
        <v>13664</v>
      </c>
      <c r="C521" s="1096">
        <v>982850.0</v>
      </c>
    </row>
    <row r="522">
      <c r="A522" s="1095" t="s">
        <v>5613</v>
      </c>
      <c r="B522" s="1095" t="s">
        <v>2188</v>
      </c>
      <c r="C522" s="1096">
        <v>693000.0</v>
      </c>
    </row>
    <row r="523">
      <c r="A523" s="1095" t="s">
        <v>7599</v>
      </c>
      <c r="B523" s="1095" t="s">
        <v>1156</v>
      </c>
      <c r="C523" s="1096">
        <v>499000.0</v>
      </c>
    </row>
    <row r="524">
      <c r="A524" s="1095" t="s">
        <v>5571</v>
      </c>
      <c r="B524" s="1095" t="s">
        <v>21</v>
      </c>
      <c r="C524" s="1096">
        <v>1678091.0</v>
      </c>
    </row>
    <row r="525">
      <c r="A525" s="1095" t="s">
        <v>2595</v>
      </c>
      <c r="B525" s="1095" t="s">
        <v>73</v>
      </c>
      <c r="C525" s="1096">
        <v>2066350.0</v>
      </c>
    </row>
    <row r="526">
      <c r="A526" s="1095" t="s">
        <v>5645</v>
      </c>
      <c r="B526" s="1095" t="s">
        <v>1503</v>
      </c>
      <c r="C526" s="1096">
        <v>220500.0</v>
      </c>
    </row>
    <row r="527">
      <c r="A527" s="1095" t="s">
        <v>6889</v>
      </c>
      <c r="B527" s="1095" t="s">
        <v>1503</v>
      </c>
      <c r="C527" s="1096">
        <v>138550.0</v>
      </c>
    </row>
    <row r="528">
      <c r="A528" s="1095" t="s">
        <v>2852</v>
      </c>
      <c r="B528" s="1095" t="s">
        <v>1503</v>
      </c>
      <c r="C528" s="1096">
        <v>138550.0</v>
      </c>
    </row>
    <row r="529">
      <c r="A529" s="1095" t="s">
        <v>2777</v>
      </c>
      <c r="B529" s="1095" t="s">
        <v>2156</v>
      </c>
      <c r="C529" s="1096">
        <v>1043900.0</v>
      </c>
    </row>
    <row r="530">
      <c r="A530" s="1095" t="s">
        <v>13051</v>
      </c>
      <c r="B530" s="1095" t="s">
        <v>1999</v>
      </c>
      <c r="C530" s="1096">
        <v>1043900.0</v>
      </c>
    </row>
    <row r="531">
      <c r="A531" s="1095" t="s">
        <v>5736</v>
      </c>
      <c r="B531" s="1095" t="s">
        <v>1138</v>
      </c>
      <c r="C531" s="1096">
        <v>445500.0</v>
      </c>
    </row>
    <row r="532">
      <c r="A532" s="1095" t="s">
        <v>5622</v>
      </c>
      <c r="B532" s="1095" t="s">
        <v>160</v>
      </c>
      <c r="C532" s="1096">
        <v>5665000.0</v>
      </c>
    </row>
    <row r="533">
      <c r="A533" s="1095" t="s">
        <v>2835</v>
      </c>
      <c r="B533" s="1095" t="s">
        <v>1585</v>
      </c>
      <c r="C533" s="1096">
        <v>472308.0</v>
      </c>
    </row>
    <row r="534">
      <c r="A534" s="1095" t="s">
        <v>2849</v>
      </c>
      <c r="B534" s="1095" t="s">
        <v>2222</v>
      </c>
      <c r="C534" s="1096">
        <v>347308.0</v>
      </c>
    </row>
    <row r="535">
      <c r="A535" s="1095" t="s">
        <v>5832</v>
      </c>
      <c r="B535" s="1095" t="s">
        <v>2231</v>
      </c>
      <c r="C535" s="1096">
        <v>2340000.0</v>
      </c>
    </row>
    <row r="536">
      <c r="A536" s="1095" t="s">
        <v>5842</v>
      </c>
      <c r="B536" s="1095" t="s">
        <v>1125</v>
      </c>
      <c r="C536" s="1096">
        <v>791450.0</v>
      </c>
    </row>
    <row r="537">
      <c r="A537" s="1095" t="s">
        <v>2555</v>
      </c>
      <c r="B537" s="1095" t="s">
        <v>13665</v>
      </c>
      <c r="C537" s="1096">
        <v>738000.0</v>
      </c>
    </row>
    <row r="538">
      <c r="A538" s="1095" t="s">
        <v>5881</v>
      </c>
      <c r="B538" s="1095" t="s">
        <v>964</v>
      </c>
      <c r="C538" s="1096">
        <v>1510300.0</v>
      </c>
    </row>
    <row r="539">
      <c r="A539" s="1095" t="s">
        <v>5892</v>
      </c>
      <c r="B539" s="1095" t="s">
        <v>1911</v>
      </c>
      <c r="C539" s="1096">
        <v>594000.0</v>
      </c>
    </row>
    <row r="540">
      <c r="A540" s="1095" t="s">
        <v>2826</v>
      </c>
      <c r="B540" s="1095" t="s">
        <v>1919</v>
      </c>
      <c r="C540" s="1096">
        <v>416499.0</v>
      </c>
    </row>
    <row r="541">
      <c r="A541" s="1095" t="s">
        <v>5936</v>
      </c>
      <c r="B541" s="1095" t="s">
        <v>1468</v>
      </c>
      <c r="C541" s="1096">
        <v>1900000.0</v>
      </c>
    </row>
    <row r="542">
      <c r="A542" s="1095" t="s">
        <v>5926</v>
      </c>
      <c r="B542" s="1095" t="s">
        <v>560</v>
      </c>
      <c r="C542" s="1096">
        <v>1164900.0</v>
      </c>
    </row>
    <row r="543">
      <c r="A543" s="1095" t="s">
        <v>2601</v>
      </c>
      <c r="B543" s="1095" t="s">
        <v>13666</v>
      </c>
      <c r="C543" s="1096">
        <v>2167550.0</v>
      </c>
    </row>
    <row r="544">
      <c r="A544" s="1095" t="s">
        <v>5793</v>
      </c>
      <c r="B544" s="1095" t="s">
        <v>157</v>
      </c>
      <c r="C544" s="1096">
        <v>1349150.0</v>
      </c>
    </row>
    <row r="545">
      <c r="A545" s="1095" t="s">
        <v>2736</v>
      </c>
      <c r="B545" s="1095" t="s">
        <v>1029</v>
      </c>
      <c r="C545" s="1096">
        <v>0.0</v>
      </c>
    </row>
    <row r="546">
      <c r="A546" s="1095" t="s">
        <v>2783</v>
      </c>
      <c r="B546" s="1095" t="s">
        <v>13667</v>
      </c>
      <c r="C546" s="1096">
        <v>0.0</v>
      </c>
    </row>
    <row r="547">
      <c r="C547" s="1003"/>
    </row>
    <row r="548">
      <c r="C548" s="1003"/>
    </row>
    <row r="549">
      <c r="C549" s="1003"/>
    </row>
    <row r="550">
      <c r="C550" s="1003"/>
    </row>
    <row r="551">
      <c r="C551" s="1003"/>
    </row>
    <row r="552">
      <c r="C552" s="1003"/>
    </row>
    <row r="553">
      <c r="C553" s="1003"/>
    </row>
    <row r="554">
      <c r="C554" s="1003"/>
    </row>
    <row r="555">
      <c r="C555" s="1003"/>
    </row>
    <row r="556">
      <c r="C556" s="1003"/>
    </row>
    <row r="557">
      <c r="C557" s="1003"/>
    </row>
    <row r="558">
      <c r="C558" s="1003"/>
    </row>
    <row r="559">
      <c r="C559" s="1003"/>
    </row>
    <row r="560">
      <c r="C560" s="1003"/>
    </row>
    <row r="561">
      <c r="C561" s="1003"/>
    </row>
    <row r="562">
      <c r="C562" s="1003"/>
    </row>
    <row r="563">
      <c r="C563" s="1003"/>
    </row>
    <row r="564">
      <c r="C564" s="1003"/>
    </row>
    <row r="565">
      <c r="C565" s="1003"/>
    </row>
    <row r="566">
      <c r="C566" s="1003"/>
    </row>
    <row r="567">
      <c r="C567" s="1003"/>
    </row>
    <row r="568">
      <c r="C568" s="1003"/>
    </row>
    <row r="569">
      <c r="C569" s="1003"/>
    </row>
    <row r="570">
      <c r="C570" s="1003"/>
    </row>
    <row r="571">
      <c r="C571" s="1003"/>
    </row>
    <row r="572">
      <c r="C572" s="1003"/>
    </row>
    <row r="573">
      <c r="C573" s="1003"/>
    </row>
    <row r="574">
      <c r="C574" s="1003"/>
    </row>
    <row r="575">
      <c r="C575" s="1003"/>
    </row>
    <row r="576">
      <c r="C576" s="1003"/>
    </row>
    <row r="577">
      <c r="C577" s="1003"/>
    </row>
    <row r="578">
      <c r="C578" s="1003"/>
    </row>
    <row r="579">
      <c r="C579" s="1003"/>
    </row>
    <row r="580">
      <c r="C580" s="1003"/>
    </row>
    <row r="581">
      <c r="C581" s="1003"/>
    </row>
    <row r="582">
      <c r="C582" s="1003"/>
    </row>
    <row r="583">
      <c r="C583" s="1003"/>
    </row>
    <row r="584">
      <c r="C584" s="1003"/>
    </row>
    <row r="585">
      <c r="C585" s="1003"/>
    </row>
    <row r="586">
      <c r="C586" s="1003"/>
    </row>
    <row r="587">
      <c r="C587" s="1003"/>
    </row>
    <row r="588">
      <c r="C588" s="1003"/>
    </row>
    <row r="589">
      <c r="C589" s="1003"/>
    </row>
    <row r="590">
      <c r="C590" s="1003"/>
    </row>
    <row r="591">
      <c r="C591" s="1003"/>
    </row>
    <row r="592">
      <c r="C592" s="1003"/>
    </row>
    <row r="593">
      <c r="C593" s="1003"/>
    </row>
    <row r="594">
      <c r="C594" s="1003"/>
    </row>
    <row r="595">
      <c r="C595" s="1003"/>
    </row>
    <row r="596">
      <c r="C596" s="1003"/>
    </row>
    <row r="597">
      <c r="C597" s="1003"/>
    </row>
    <row r="598">
      <c r="C598" s="1003"/>
    </row>
    <row r="599">
      <c r="C599" s="1003"/>
    </row>
    <row r="600">
      <c r="C600" s="1003"/>
    </row>
    <row r="601">
      <c r="C601" s="1003"/>
    </row>
    <row r="602">
      <c r="C602" s="1003"/>
    </row>
    <row r="603">
      <c r="C603" s="1003"/>
    </row>
    <row r="604">
      <c r="C604" s="1003"/>
    </row>
    <row r="605">
      <c r="C605" s="1003"/>
    </row>
    <row r="606">
      <c r="C606" s="1003"/>
    </row>
    <row r="607">
      <c r="C607" s="1003"/>
    </row>
    <row r="608">
      <c r="C608" s="1003"/>
    </row>
    <row r="609">
      <c r="C609" s="1003"/>
    </row>
    <row r="610">
      <c r="C610" s="1003"/>
    </row>
    <row r="611">
      <c r="C611" s="1003"/>
    </row>
    <row r="612">
      <c r="C612" s="1003"/>
    </row>
    <row r="613">
      <c r="C613" s="1003"/>
    </row>
    <row r="614">
      <c r="C614" s="1003"/>
    </row>
    <row r="615">
      <c r="C615" s="1003"/>
    </row>
    <row r="616">
      <c r="C616" s="1003"/>
    </row>
    <row r="617">
      <c r="C617" s="1003"/>
    </row>
    <row r="618">
      <c r="C618" s="1003"/>
    </row>
    <row r="619">
      <c r="C619" s="1003"/>
    </row>
    <row r="620">
      <c r="C620" s="1003"/>
    </row>
    <row r="621">
      <c r="C621" s="1003"/>
    </row>
    <row r="622">
      <c r="C622" s="1003"/>
    </row>
    <row r="623">
      <c r="C623" s="1003"/>
    </row>
    <row r="624">
      <c r="C624" s="1003"/>
    </row>
    <row r="625">
      <c r="C625" s="1003"/>
    </row>
    <row r="626">
      <c r="C626" s="1003"/>
    </row>
    <row r="627">
      <c r="C627" s="1003"/>
    </row>
    <row r="628">
      <c r="C628" s="1003"/>
    </row>
    <row r="629">
      <c r="C629" s="1003"/>
    </row>
    <row r="630">
      <c r="C630" s="1003"/>
    </row>
    <row r="631">
      <c r="C631" s="1003"/>
    </row>
    <row r="632">
      <c r="C632" s="1003"/>
    </row>
    <row r="633">
      <c r="C633" s="1003"/>
    </row>
    <row r="634">
      <c r="C634" s="1003"/>
    </row>
    <row r="635">
      <c r="C635" s="1003"/>
    </row>
    <row r="636">
      <c r="C636" s="1003"/>
    </row>
    <row r="637">
      <c r="C637" s="1003"/>
    </row>
    <row r="638">
      <c r="C638" s="1003"/>
    </row>
    <row r="639">
      <c r="C639" s="1003"/>
    </row>
    <row r="640">
      <c r="C640" s="1003"/>
    </row>
    <row r="641">
      <c r="C641" s="1003"/>
    </row>
    <row r="642">
      <c r="C642" s="1003"/>
    </row>
    <row r="643">
      <c r="C643" s="1003"/>
    </row>
    <row r="644">
      <c r="C644" s="1003"/>
    </row>
    <row r="645">
      <c r="C645" s="1003"/>
    </row>
    <row r="646">
      <c r="C646" s="1003"/>
    </row>
    <row r="647">
      <c r="C647" s="1003"/>
    </row>
    <row r="648">
      <c r="C648" s="1003"/>
    </row>
    <row r="649">
      <c r="C649" s="1003"/>
    </row>
    <row r="650">
      <c r="C650" s="1003"/>
    </row>
    <row r="651">
      <c r="C651" s="1003"/>
    </row>
    <row r="652">
      <c r="C652" s="1003"/>
    </row>
    <row r="653">
      <c r="C653" s="1003"/>
    </row>
    <row r="654">
      <c r="C654" s="1003"/>
    </row>
    <row r="655">
      <c r="C655" s="1003"/>
    </row>
    <row r="656">
      <c r="C656" s="1003"/>
    </row>
    <row r="657">
      <c r="C657" s="1003"/>
    </row>
    <row r="658">
      <c r="C658" s="1003"/>
    </row>
    <row r="659">
      <c r="C659" s="1003"/>
    </row>
    <row r="660">
      <c r="C660" s="1003"/>
    </row>
    <row r="661">
      <c r="C661" s="1003"/>
    </row>
    <row r="662">
      <c r="C662" s="1003"/>
    </row>
    <row r="663">
      <c r="C663" s="1003"/>
    </row>
    <row r="664">
      <c r="C664" s="1003"/>
    </row>
    <row r="665">
      <c r="C665" s="1003"/>
    </row>
    <row r="666">
      <c r="C666" s="1003"/>
    </row>
    <row r="667">
      <c r="C667" s="1003"/>
    </row>
    <row r="668">
      <c r="C668" s="1003"/>
    </row>
    <row r="669">
      <c r="C669" s="1003"/>
    </row>
    <row r="670">
      <c r="C670" s="1003"/>
    </row>
    <row r="671">
      <c r="C671" s="1003"/>
    </row>
    <row r="672">
      <c r="C672" s="1003"/>
    </row>
    <row r="673">
      <c r="C673" s="1003"/>
    </row>
    <row r="674">
      <c r="C674" s="1003"/>
    </row>
    <row r="675">
      <c r="C675" s="1003"/>
    </row>
    <row r="676">
      <c r="C676" s="1003"/>
    </row>
    <row r="677">
      <c r="C677" s="1003"/>
    </row>
    <row r="678">
      <c r="C678" s="1003"/>
    </row>
    <row r="679">
      <c r="C679" s="1003"/>
    </row>
    <row r="680">
      <c r="C680" s="1003"/>
    </row>
    <row r="681">
      <c r="C681" s="1003"/>
    </row>
    <row r="682">
      <c r="C682" s="1003"/>
    </row>
    <row r="683">
      <c r="C683" s="1003"/>
    </row>
    <row r="684">
      <c r="C684" s="1003"/>
    </row>
    <row r="685">
      <c r="C685" s="1003"/>
    </row>
    <row r="686">
      <c r="C686" s="1003"/>
    </row>
    <row r="687">
      <c r="C687" s="1003"/>
    </row>
    <row r="688">
      <c r="C688" s="1003"/>
    </row>
    <row r="689">
      <c r="C689" s="1003"/>
    </row>
    <row r="690">
      <c r="C690" s="1003"/>
    </row>
    <row r="691">
      <c r="C691" s="1003"/>
    </row>
    <row r="692">
      <c r="C692" s="1003"/>
    </row>
    <row r="693">
      <c r="C693" s="1003"/>
    </row>
    <row r="694">
      <c r="C694" s="1003"/>
    </row>
    <row r="695">
      <c r="C695" s="1003"/>
    </row>
    <row r="696">
      <c r="C696" s="1003"/>
    </row>
    <row r="697">
      <c r="C697" s="1003"/>
    </row>
    <row r="698">
      <c r="C698" s="1003"/>
    </row>
    <row r="699">
      <c r="C699" s="1003"/>
    </row>
    <row r="700">
      <c r="C700" s="1003"/>
    </row>
    <row r="701">
      <c r="C701" s="1003"/>
    </row>
    <row r="702">
      <c r="C702" s="1003"/>
    </row>
    <row r="703">
      <c r="C703" s="1003"/>
    </row>
    <row r="704">
      <c r="C704" s="1003"/>
    </row>
    <row r="705">
      <c r="C705" s="1003"/>
    </row>
    <row r="706">
      <c r="C706" s="1003"/>
    </row>
    <row r="707">
      <c r="C707" s="1003"/>
    </row>
    <row r="708">
      <c r="C708" s="1003"/>
    </row>
    <row r="709">
      <c r="C709" s="1003"/>
    </row>
    <row r="710">
      <c r="C710" s="1003"/>
    </row>
    <row r="711">
      <c r="C711" s="1003"/>
    </row>
    <row r="712">
      <c r="C712" s="1003"/>
    </row>
    <row r="713">
      <c r="C713" s="1003"/>
    </row>
    <row r="714">
      <c r="C714" s="1003"/>
    </row>
    <row r="715">
      <c r="C715" s="1003"/>
    </row>
    <row r="716">
      <c r="C716" s="1003"/>
    </row>
    <row r="717">
      <c r="C717" s="1003"/>
    </row>
    <row r="718">
      <c r="C718" s="1003"/>
    </row>
    <row r="719">
      <c r="C719" s="1003"/>
    </row>
    <row r="720">
      <c r="C720" s="1003"/>
    </row>
    <row r="721">
      <c r="C721" s="1003"/>
    </row>
    <row r="722">
      <c r="C722" s="1003"/>
    </row>
    <row r="723">
      <c r="C723" s="1003"/>
    </row>
    <row r="724">
      <c r="C724" s="1003"/>
    </row>
    <row r="725">
      <c r="C725" s="1003"/>
    </row>
    <row r="726">
      <c r="C726" s="1003"/>
    </row>
    <row r="727">
      <c r="C727" s="1003"/>
    </row>
    <row r="728">
      <c r="C728" s="1003"/>
    </row>
    <row r="729">
      <c r="C729" s="1003"/>
    </row>
    <row r="730">
      <c r="C730" s="1003"/>
    </row>
    <row r="731">
      <c r="C731" s="1003"/>
    </row>
    <row r="732">
      <c r="C732" s="1003"/>
    </row>
    <row r="733">
      <c r="C733" s="1003"/>
    </row>
    <row r="734">
      <c r="C734" s="1003"/>
    </row>
    <row r="735">
      <c r="C735" s="1003"/>
    </row>
    <row r="736">
      <c r="C736" s="1003"/>
    </row>
    <row r="737">
      <c r="C737" s="1003"/>
    </row>
    <row r="738">
      <c r="C738" s="1003"/>
    </row>
    <row r="739">
      <c r="C739" s="1003"/>
    </row>
    <row r="740">
      <c r="C740" s="1003"/>
    </row>
    <row r="741">
      <c r="C741" s="1003"/>
    </row>
    <row r="742">
      <c r="C742" s="1003"/>
    </row>
    <row r="743">
      <c r="C743" s="1003"/>
    </row>
    <row r="744">
      <c r="C744" s="1003"/>
    </row>
    <row r="745">
      <c r="C745" s="1003"/>
    </row>
    <row r="746">
      <c r="C746" s="1003"/>
    </row>
    <row r="747">
      <c r="C747" s="1003"/>
    </row>
    <row r="748">
      <c r="C748" s="1003"/>
    </row>
    <row r="749">
      <c r="C749" s="1003"/>
    </row>
    <row r="750">
      <c r="C750" s="1003"/>
    </row>
    <row r="751">
      <c r="C751" s="1003"/>
    </row>
    <row r="752">
      <c r="C752" s="1003"/>
    </row>
    <row r="753">
      <c r="C753" s="1003"/>
    </row>
    <row r="754">
      <c r="C754" s="1003"/>
    </row>
    <row r="755">
      <c r="C755" s="1003"/>
    </row>
    <row r="756">
      <c r="C756" s="1003"/>
    </row>
    <row r="757">
      <c r="C757" s="1003"/>
    </row>
    <row r="758">
      <c r="C758" s="1003"/>
    </row>
    <row r="759">
      <c r="C759" s="1003"/>
    </row>
    <row r="760">
      <c r="C760" s="1003"/>
    </row>
    <row r="761">
      <c r="C761" s="1003"/>
    </row>
    <row r="762">
      <c r="C762" s="1003"/>
    </row>
    <row r="763">
      <c r="C763" s="1003"/>
    </row>
    <row r="764">
      <c r="C764" s="1003"/>
    </row>
    <row r="765">
      <c r="C765" s="1003"/>
    </row>
    <row r="766">
      <c r="C766" s="1003"/>
    </row>
    <row r="767">
      <c r="C767" s="1003"/>
    </row>
    <row r="768">
      <c r="C768" s="1003"/>
    </row>
    <row r="769">
      <c r="C769" s="1003"/>
    </row>
    <row r="770">
      <c r="C770" s="1003"/>
    </row>
    <row r="771">
      <c r="C771" s="1003"/>
    </row>
    <row r="772">
      <c r="C772" s="1003"/>
    </row>
    <row r="773">
      <c r="C773" s="1003"/>
    </row>
    <row r="774">
      <c r="C774" s="1003"/>
    </row>
    <row r="775">
      <c r="C775" s="1003"/>
    </row>
    <row r="776">
      <c r="C776" s="1003"/>
    </row>
    <row r="777">
      <c r="C777" s="1003"/>
    </row>
    <row r="778">
      <c r="C778" s="1003"/>
    </row>
    <row r="779">
      <c r="C779" s="1003"/>
    </row>
    <row r="780">
      <c r="C780" s="1003"/>
    </row>
    <row r="781">
      <c r="C781" s="1003"/>
    </row>
    <row r="782">
      <c r="C782" s="1003"/>
    </row>
    <row r="783">
      <c r="C783" s="1003"/>
    </row>
    <row r="784">
      <c r="C784" s="1003"/>
    </row>
    <row r="785">
      <c r="C785" s="1003"/>
    </row>
    <row r="786">
      <c r="C786" s="1003"/>
    </row>
    <row r="787">
      <c r="C787" s="1003"/>
    </row>
    <row r="788">
      <c r="C788" s="1003"/>
    </row>
    <row r="789">
      <c r="C789" s="1003"/>
    </row>
    <row r="790">
      <c r="C790" s="1003"/>
    </row>
    <row r="791">
      <c r="C791" s="1003"/>
    </row>
    <row r="792">
      <c r="C792" s="1003"/>
    </row>
    <row r="793">
      <c r="C793" s="1003"/>
    </row>
    <row r="794">
      <c r="C794" s="1003"/>
    </row>
    <row r="795">
      <c r="C795" s="1003"/>
    </row>
    <row r="796">
      <c r="C796" s="1003"/>
    </row>
    <row r="797">
      <c r="C797" s="1003"/>
    </row>
    <row r="798">
      <c r="C798" s="1003"/>
    </row>
    <row r="799">
      <c r="C799" s="1003"/>
    </row>
    <row r="800">
      <c r="C800" s="1003"/>
    </row>
    <row r="801">
      <c r="C801" s="1003"/>
    </row>
    <row r="802">
      <c r="C802" s="1003"/>
    </row>
    <row r="803">
      <c r="C803" s="1003"/>
    </row>
    <row r="804">
      <c r="C804" s="1003"/>
    </row>
    <row r="805">
      <c r="C805" s="1003"/>
    </row>
    <row r="806">
      <c r="C806" s="1003"/>
    </row>
    <row r="807">
      <c r="C807" s="1003"/>
    </row>
    <row r="808">
      <c r="C808" s="1003"/>
    </row>
    <row r="809">
      <c r="C809" s="1003"/>
    </row>
    <row r="810">
      <c r="C810" s="1003"/>
    </row>
    <row r="811">
      <c r="C811" s="1003"/>
    </row>
    <row r="812">
      <c r="C812" s="1003"/>
    </row>
    <row r="813">
      <c r="C813" s="1003"/>
    </row>
    <row r="814">
      <c r="C814" s="1003"/>
    </row>
    <row r="815">
      <c r="C815" s="1003"/>
    </row>
    <row r="816">
      <c r="C816" s="1003"/>
    </row>
    <row r="817">
      <c r="C817" s="1003"/>
    </row>
    <row r="818">
      <c r="C818" s="1003"/>
    </row>
    <row r="819">
      <c r="C819" s="1003"/>
    </row>
    <row r="820">
      <c r="C820" s="1003"/>
    </row>
    <row r="821">
      <c r="C821" s="1003"/>
    </row>
    <row r="822">
      <c r="C822" s="1003"/>
    </row>
    <row r="823">
      <c r="C823" s="1003"/>
    </row>
    <row r="824">
      <c r="C824" s="1003"/>
    </row>
    <row r="825">
      <c r="C825" s="1003"/>
    </row>
    <row r="826">
      <c r="C826" s="1003"/>
    </row>
    <row r="827">
      <c r="C827" s="1003"/>
    </row>
    <row r="828">
      <c r="C828" s="1003"/>
    </row>
    <row r="829">
      <c r="C829" s="1003"/>
    </row>
    <row r="830">
      <c r="C830" s="1003"/>
    </row>
    <row r="831">
      <c r="C831" s="1003"/>
    </row>
    <row r="832">
      <c r="C832" s="1003"/>
    </row>
    <row r="833">
      <c r="C833" s="1003"/>
    </row>
    <row r="834">
      <c r="C834" s="1003"/>
    </row>
    <row r="835">
      <c r="C835" s="1003"/>
    </row>
    <row r="836">
      <c r="C836" s="1003"/>
    </row>
    <row r="837">
      <c r="C837" s="1003"/>
    </row>
    <row r="838">
      <c r="C838" s="1003"/>
    </row>
    <row r="839">
      <c r="C839" s="1003"/>
    </row>
    <row r="840">
      <c r="C840" s="1003"/>
    </row>
    <row r="841">
      <c r="C841" s="1003"/>
    </row>
    <row r="842">
      <c r="C842" s="1003"/>
    </row>
    <row r="843">
      <c r="C843" s="1003"/>
    </row>
    <row r="844">
      <c r="C844" s="1003"/>
    </row>
    <row r="845">
      <c r="C845" s="1003"/>
    </row>
    <row r="846">
      <c r="C846" s="1003"/>
    </row>
    <row r="847">
      <c r="C847" s="1003"/>
    </row>
    <row r="848">
      <c r="C848" s="1003"/>
    </row>
    <row r="849">
      <c r="C849" s="1003"/>
    </row>
    <row r="850">
      <c r="C850" s="1003"/>
    </row>
    <row r="851">
      <c r="C851" s="1003"/>
    </row>
    <row r="852">
      <c r="C852" s="1003"/>
    </row>
    <row r="853">
      <c r="C853" s="1003"/>
    </row>
    <row r="854">
      <c r="C854" s="1003"/>
    </row>
    <row r="855">
      <c r="C855" s="1003"/>
    </row>
    <row r="856">
      <c r="C856" s="1003"/>
    </row>
    <row r="857">
      <c r="C857" s="1003"/>
    </row>
    <row r="858">
      <c r="C858" s="1003"/>
    </row>
    <row r="859">
      <c r="C859" s="1003"/>
    </row>
    <row r="860">
      <c r="C860" s="1003"/>
    </row>
    <row r="861">
      <c r="C861" s="1003"/>
    </row>
    <row r="862">
      <c r="C862" s="1003"/>
    </row>
    <row r="863">
      <c r="C863" s="1003"/>
    </row>
    <row r="864">
      <c r="C864" s="1003"/>
    </row>
    <row r="865">
      <c r="C865" s="1003"/>
    </row>
    <row r="866">
      <c r="C866" s="1003"/>
    </row>
    <row r="867">
      <c r="C867" s="1003"/>
    </row>
    <row r="868">
      <c r="C868" s="1003"/>
    </row>
    <row r="869">
      <c r="C869" s="1003"/>
    </row>
    <row r="870">
      <c r="C870" s="1003"/>
    </row>
    <row r="871">
      <c r="C871" s="1003"/>
    </row>
    <row r="872">
      <c r="C872" s="1003"/>
    </row>
    <row r="873">
      <c r="C873" s="1003"/>
    </row>
    <row r="874">
      <c r="C874" s="1003"/>
    </row>
    <row r="875">
      <c r="C875" s="1003"/>
    </row>
    <row r="876">
      <c r="C876" s="1003"/>
    </row>
    <row r="877">
      <c r="C877" s="1003"/>
    </row>
    <row r="878">
      <c r="C878" s="1003"/>
    </row>
    <row r="879">
      <c r="C879" s="1003"/>
    </row>
    <row r="880">
      <c r="C880" s="1003"/>
    </row>
    <row r="881">
      <c r="C881" s="1003"/>
    </row>
    <row r="882">
      <c r="C882" s="1003"/>
    </row>
    <row r="883">
      <c r="C883" s="1003"/>
    </row>
    <row r="884">
      <c r="C884" s="1003"/>
    </row>
    <row r="885">
      <c r="C885" s="1003"/>
    </row>
    <row r="886">
      <c r="C886" s="1003"/>
    </row>
    <row r="887">
      <c r="C887" s="1003"/>
    </row>
    <row r="888">
      <c r="C888" s="1003"/>
    </row>
    <row r="889">
      <c r="C889" s="1003"/>
    </row>
    <row r="890">
      <c r="C890" s="1003"/>
    </row>
    <row r="891">
      <c r="C891" s="1003"/>
    </row>
    <row r="892">
      <c r="C892" s="1003"/>
    </row>
    <row r="893">
      <c r="C893" s="1003"/>
    </row>
    <row r="894">
      <c r="C894" s="1003"/>
    </row>
    <row r="895">
      <c r="C895" s="1003"/>
    </row>
    <row r="896">
      <c r="C896" s="1003"/>
    </row>
    <row r="897">
      <c r="C897" s="1003"/>
    </row>
    <row r="898">
      <c r="C898" s="1003"/>
    </row>
    <row r="899">
      <c r="C899" s="1003"/>
    </row>
    <row r="900">
      <c r="C900" s="1003"/>
    </row>
    <row r="901">
      <c r="C901" s="1003"/>
    </row>
    <row r="902">
      <c r="C902" s="1003"/>
    </row>
    <row r="903">
      <c r="C903" s="1003"/>
    </row>
    <row r="904">
      <c r="C904" s="1003"/>
    </row>
    <row r="905">
      <c r="C905" s="1003"/>
    </row>
    <row r="906">
      <c r="C906" s="1003"/>
    </row>
    <row r="907">
      <c r="C907" s="1003"/>
    </row>
    <row r="908">
      <c r="C908" s="1003"/>
    </row>
    <row r="909">
      <c r="C909" s="1003"/>
    </row>
    <row r="910">
      <c r="C910" s="1003"/>
    </row>
    <row r="911">
      <c r="C911" s="1003"/>
    </row>
    <row r="912">
      <c r="C912" s="1003"/>
    </row>
    <row r="913">
      <c r="C913" s="1003"/>
    </row>
    <row r="914">
      <c r="C914" s="1003"/>
    </row>
    <row r="915">
      <c r="C915" s="1003"/>
    </row>
    <row r="916">
      <c r="C916" s="1003"/>
    </row>
    <row r="917">
      <c r="C917" s="1003"/>
    </row>
    <row r="918">
      <c r="C918" s="1003"/>
    </row>
    <row r="919">
      <c r="C919" s="1003"/>
    </row>
    <row r="920">
      <c r="C920" s="1003"/>
    </row>
    <row r="921">
      <c r="C921" s="1003"/>
    </row>
    <row r="922">
      <c r="C922" s="1003"/>
    </row>
    <row r="923">
      <c r="C923" s="1003"/>
    </row>
    <row r="924">
      <c r="C924" s="1003"/>
    </row>
    <row r="925">
      <c r="C925" s="1003"/>
    </row>
    <row r="926">
      <c r="C926" s="1003"/>
    </row>
    <row r="927">
      <c r="C927" s="1003"/>
    </row>
    <row r="928">
      <c r="C928" s="1003"/>
    </row>
    <row r="929">
      <c r="C929" s="1003"/>
    </row>
    <row r="930">
      <c r="C930" s="1003"/>
    </row>
    <row r="931">
      <c r="C931" s="1003"/>
    </row>
    <row r="932">
      <c r="C932" s="1003"/>
    </row>
    <row r="933">
      <c r="C933" s="1003"/>
    </row>
    <row r="934">
      <c r="C934" s="1003"/>
    </row>
    <row r="935">
      <c r="C935" s="1003"/>
    </row>
    <row r="936">
      <c r="C936" s="1003"/>
    </row>
    <row r="937">
      <c r="C937" s="1003"/>
    </row>
    <row r="938">
      <c r="C938" s="1003"/>
    </row>
    <row r="939">
      <c r="C939" s="1003"/>
    </row>
    <row r="940">
      <c r="C940" s="1003"/>
    </row>
    <row r="941">
      <c r="C941" s="1003"/>
    </row>
    <row r="942">
      <c r="C942" s="1003"/>
    </row>
    <row r="943">
      <c r="C943" s="1003"/>
    </row>
    <row r="944">
      <c r="C944" s="1003"/>
    </row>
    <row r="945">
      <c r="C945" s="1003"/>
    </row>
    <row r="946">
      <c r="C946" s="1003"/>
    </row>
    <row r="947">
      <c r="C947" s="1003"/>
    </row>
    <row r="948">
      <c r="C948" s="1003"/>
    </row>
    <row r="949">
      <c r="C949" s="1003"/>
    </row>
    <row r="950">
      <c r="C950" s="1003"/>
    </row>
    <row r="951">
      <c r="C951" s="1003"/>
    </row>
    <row r="952">
      <c r="C952" s="1003"/>
    </row>
    <row r="953">
      <c r="C953" s="1003"/>
    </row>
    <row r="954">
      <c r="C954" s="1003"/>
    </row>
    <row r="955">
      <c r="C955" s="1003"/>
    </row>
    <row r="956">
      <c r="C956" s="1003"/>
    </row>
    <row r="957">
      <c r="C957" s="1003"/>
    </row>
    <row r="958">
      <c r="C958" s="1003"/>
    </row>
    <row r="959">
      <c r="C959" s="1003"/>
    </row>
    <row r="960">
      <c r="C960" s="1003"/>
    </row>
    <row r="961">
      <c r="C961" s="1003"/>
    </row>
    <row r="962">
      <c r="C962" s="1003"/>
    </row>
    <row r="963">
      <c r="C963" s="1003"/>
    </row>
    <row r="964">
      <c r="C964" s="1003"/>
    </row>
    <row r="965">
      <c r="C965" s="1003"/>
    </row>
    <row r="966">
      <c r="C966" s="1003"/>
    </row>
    <row r="967">
      <c r="C967" s="1003"/>
    </row>
    <row r="968">
      <c r="C968" s="1003"/>
    </row>
    <row r="969">
      <c r="C969" s="1003"/>
    </row>
    <row r="970">
      <c r="C970" s="1003"/>
    </row>
    <row r="971">
      <c r="C971" s="1003"/>
    </row>
    <row r="972">
      <c r="C972" s="1003"/>
    </row>
    <row r="973">
      <c r="C973" s="1003"/>
    </row>
    <row r="974">
      <c r="C974" s="1003"/>
    </row>
    <row r="975">
      <c r="C975" s="1003"/>
    </row>
    <row r="976">
      <c r="C976" s="1003"/>
    </row>
    <row r="977">
      <c r="C977" s="1003"/>
    </row>
    <row r="978">
      <c r="C978" s="1003"/>
    </row>
    <row r="979">
      <c r="C979" s="1003"/>
    </row>
    <row r="980">
      <c r="C980" s="1003"/>
    </row>
    <row r="981">
      <c r="C981" s="1003"/>
    </row>
    <row r="982">
      <c r="C982" s="1003"/>
    </row>
    <row r="983">
      <c r="C983" s="1003"/>
    </row>
    <row r="984">
      <c r="C984" s="1003"/>
    </row>
    <row r="985">
      <c r="C985" s="1003"/>
    </row>
    <row r="986">
      <c r="C986" s="1003"/>
    </row>
    <row r="987">
      <c r="C987" s="1003"/>
    </row>
    <row r="988">
      <c r="C988" s="1003"/>
    </row>
    <row r="989">
      <c r="C989" s="1003"/>
    </row>
    <row r="990">
      <c r="C990" s="1003"/>
    </row>
    <row r="991">
      <c r="C991" s="1003"/>
    </row>
    <row r="992">
      <c r="C992" s="1003"/>
    </row>
    <row r="993">
      <c r="C993" s="1003"/>
    </row>
    <row r="994">
      <c r="C994" s="1003"/>
    </row>
    <row r="995">
      <c r="C995" s="1003"/>
    </row>
    <row r="996">
      <c r="C996" s="1003"/>
    </row>
    <row r="997">
      <c r="C997" s="1003"/>
    </row>
    <row r="998">
      <c r="C998" s="1003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58.57"/>
    <col customWidth="1" min="3" max="3" width="41.71"/>
    <col customWidth="1" min="4" max="5" width="17.86"/>
    <col customWidth="1" min="6" max="6" width="26.86"/>
  </cols>
  <sheetData>
    <row r="1">
      <c r="A1" s="1099" t="s">
        <v>13668</v>
      </c>
      <c r="B1" s="1099" t="s">
        <v>13669</v>
      </c>
      <c r="C1" s="1099" t="s">
        <v>13670</v>
      </c>
      <c r="D1" s="1099" t="s">
        <v>13671</v>
      </c>
      <c r="E1" s="1099" t="s">
        <v>13672</v>
      </c>
      <c r="F1" s="1099" t="s">
        <v>12168</v>
      </c>
      <c r="G1" s="6" t="s">
        <v>13673</v>
      </c>
    </row>
    <row r="2" hidden="1">
      <c r="A2" s="820">
        <v>45422.0</v>
      </c>
      <c r="B2" s="818" t="s">
        <v>13674</v>
      </c>
      <c r="C2" s="818" t="s">
        <v>2939</v>
      </c>
      <c r="D2" s="1100" t="s">
        <v>13675</v>
      </c>
      <c r="E2" s="818" t="s">
        <v>13676</v>
      </c>
      <c r="F2" s="818" t="s">
        <v>4258</v>
      </c>
      <c r="G2" s="818" t="s">
        <v>11475</v>
      </c>
      <c r="H2" s="823"/>
      <c r="I2" s="823"/>
      <c r="J2" s="823"/>
      <c r="K2" s="823"/>
      <c r="L2" s="823"/>
      <c r="M2" s="823"/>
      <c r="N2" s="823"/>
      <c r="O2" s="823"/>
      <c r="P2" s="823"/>
      <c r="Q2" s="823"/>
      <c r="R2" s="823"/>
      <c r="S2" s="823"/>
      <c r="T2" s="823"/>
      <c r="U2" s="823"/>
      <c r="V2" s="823"/>
      <c r="W2" s="823"/>
      <c r="X2" s="823"/>
      <c r="Y2" s="823"/>
      <c r="Z2" s="823"/>
      <c r="AA2" s="823"/>
      <c r="AB2" s="823"/>
    </row>
    <row r="3" hidden="1">
      <c r="A3" s="820">
        <v>45422.0</v>
      </c>
      <c r="B3" s="818" t="s">
        <v>13677</v>
      </c>
      <c r="C3" s="818" t="s">
        <v>2939</v>
      </c>
      <c r="D3" s="1101">
        <v>0.4166666666666667</v>
      </c>
      <c r="E3" s="818" t="s">
        <v>13676</v>
      </c>
      <c r="F3" s="818" t="s">
        <v>12269</v>
      </c>
      <c r="G3" s="818" t="s">
        <v>11475</v>
      </c>
      <c r="H3" s="823"/>
      <c r="I3" s="823"/>
      <c r="J3" s="823"/>
      <c r="K3" s="823"/>
      <c r="L3" s="823"/>
      <c r="M3" s="823"/>
      <c r="N3" s="823"/>
      <c r="O3" s="823"/>
      <c r="P3" s="823"/>
      <c r="Q3" s="823"/>
      <c r="R3" s="823"/>
      <c r="S3" s="823"/>
      <c r="T3" s="823"/>
      <c r="U3" s="823"/>
      <c r="V3" s="823"/>
      <c r="W3" s="823"/>
      <c r="X3" s="823"/>
      <c r="Y3" s="823"/>
      <c r="Z3" s="823"/>
      <c r="AA3" s="823"/>
      <c r="AB3" s="823"/>
    </row>
    <row r="4" hidden="1">
      <c r="A4" s="820">
        <v>45422.0</v>
      </c>
      <c r="B4" s="818" t="s">
        <v>13678</v>
      </c>
      <c r="C4" s="818" t="s">
        <v>13679</v>
      </c>
      <c r="D4" s="1102">
        <v>0.3333333333333333</v>
      </c>
      <c r="E4" s="818" t="s">
        <v>13676</v>
      </c>
      <c r="F4" s="818" t="s">
        <v>12269</v>
      </c>
      <c r="G4" s="818" t="s">
        <v>11475</v>
      </c>
      <c r="H4" s="823"/>
      <c r="I4" s="823"/>
      <c r="J4" s="823"/>
      <c r="K4" s="823"/>
      <c r="L4" s="823"/>
      <c r="M4" s="823"/>
      <c r="N4" s="823"/>
      <c r="O4" s="823"/>
      <c r="P4" s="823"/>
      <c r="Q4" s="823"/>
      <c r="R4" s="823"/>
      <c r="S4" s="823"/>
      <c r="T4" s="823"/>
      <c r="U4" s="823"/>
      <c r="V4" s="823"/>
      <c r="W4" s="823"/>
      <c r="X4" s="823"/>
      <c r="Y4" s="823"/>
      <c r="Z4" s="823"/>
      <c r="AA4" s="823"/>
      <c r="AB4" s="823"/>
    </row>
    <row r="5" hidden="1">
      <c r="A5" s="820">
        <v>45423.0</v>
      </c>
      <c r="B5" s="818" t="s">
        <v>13680</v>
      </c>
      <c r="C5" s="818" t="s">
        <v>2939</v>
      </c>
      <c r="D5" s="1103" t="s">
        <v>13681</v>
      </c>
      <c r="E5" s="818" t="s">
        <v>13676</v>
      </c>
      <c r="F5" s="818" t="s">
        <v>4262</v>
      </c>
      <c r="G5" s="818" t="s">
        <v>11475</v>
      </c>
      <c r="H5" s="823"/>
      <c r="I5" s="823"/>
      <c r="J5" s="823"/>
      <c r="K5" s="823"/>
      <c r="L5" s="823"/>
      <c r="M5" s="823"/>
      <c r="N5" s="823"/>
      <c r="O5" s="823"/>
      <c r="P5" s="823"/>
      <c r="Q5" s="823"/>
      <c r="R5" s="823"/>
      <c r="S5" s="823"/>
      <c r="T5" s="823"/>
      <c r="U5" s="823"/>
      <c r="V5" s="823"/>
      <c r="W5" s="823"/>
      <c r="X5" s="823"/>
      <c r="Y5" s="823"/>
      <c r="Z5" s="823"/>
      <c r="AA5" s="823"/>
      <c r="AB5" s="823"/>
    </row>
    <row r="6" hidden="1">
      <c r="A6" s="820">
        <v>45422.0</v>
      </c>
      <c r="B6" s="818" t="s">
        <v>13682</v>
      </c>
      <c r="C6" s="818" t="s">
        <v>13683</v>
      </c>
      <c r="D6" s="1102">
        <v>0.5416666666666666</v>
      </c>
      <c r="E6" s="818" t="s">
        <v>13676</v>
      </c>
      <c r="F6" s="818" t="s">
        <v>12269</v>
      </c>
      <c r="G6" s="818" t="s">
        <v>11475</v>
      </c>
      <c r="H6" s="823"/>
      <c r="I6" s="823"/>
      <c r="J6" s="823"/>
      <c r="K6" s="823"/>
      <c r="L6" s="823"/>
      <c r="M6" s="823"/>
      <c r="N6" s="823"/>
      <c r="O6" s="823"/>
      <c r="P6" s="823"/>
      <c r="Q6" s="823"/>
      <c r="R6" s="823"/>
      <c r="S6" s="823"/>
      <c r="T6" s="823"/>
      <c r="U6" s="823"/>
      <c r="V6" s="823"/>
      <c r="W6" s="823"/>
      <c r="X6" s="823"/>
      <c r="Y6" s="823"/>
      <c r="Z6" s="823"/>
      <c r="AA6" s="823"/>
      <c r="AB6" s="823"/>
    </row>
    <row r="7" hidden="1">
      <c r="A7" s="820">
        <v>45422.0</v>
      </c>
      <c r="B7" s="818" t="s">
        <v>13684</v>
      </c>
      <c r="C7" s="818" t="s">
        <v>13685</v>
      </c>
      <c r="D7" s="1103" t="s">
        <v>13686</v>
      </c>
      <c r="E7" s="818" t="s">
        <v>13676</v>
      </c>
      <c r="F7" s="818" t="s">
        <v>4258</v>
      </c>
      <c r="G7" s="818" t="s">
        <v>11475</v>
      </c>
      <c r="H7" s="823"/>
      <c r="I7" s="823"/>
      <c r="J7" s="823"/>
      <c r="K7" s="823"/>
      <c r="L7" s="823"/>
      <c r="M7" s="823"/>
      <c r="N7" s="823"/>
      <c r="O7" s="823"/>
      <c r="P7" s="823"/>
      <c r="Q7" s="823"/>
      <c r="R7" s="823"/>
      <c r="S7" s="823"/>
      <c r="T7" s="823"/>
      <c r="U7" s="823"/>
      <c r="V7" s="823"/>
      <c r="W7" s="823"/>
      <c r="X7" s="823"/>
      <c r="Y7" s="823"/>
      <c r="Z7" s="823"/>
      <c r="AA7" s="823"/>
      <c r="AB7" s="823"/>
    </row>
    <row r="8" hidden="1">
      <c r="A8" s="820">
        <v>45422.0</v>
      </c>
      <c r="B8" s="818" t="s">
        <v>13687</v>
      </c>
      <c r="C8" s="818" t="s">
        <v>2939</v>
      </c>
      <c r="D8" s="1104">
        <v>0.5416666666666666</v>
      </c>
      <c r="E8" s="818" t="s">
        <v>13688</v>
      </c>
      <c r="F8" s="818" t="s">
        <v>4262</v>
      </c>
      <c r="G8" s="818" t="s">
        <v>11475</v>
      </c>
      <c r="H8" s="823"/>
      <c r="I8" s="823"/>
      <c r="J8" s="823"/>
      <c r="K8" s="823"/>
      <c r="L8" s="823"/>
      <c r="M8" s="823"/>
      <c r="N8" s="823"/>
      <c r="O8" s="823"/>
      <c r="P8" s="823"/>
      <c r="Q8" s="823"/>
      <c r="R8" s="823"/>
      <c r="S8" s="823"/>
      <c r="T8" s="823"/>
      <c r="U8" s="823"/>
      <c r="V8" s="823"/>
      <c r="W8" s="823"/>
      <c r="X8" s="823"/>
      <c r="Y8" s="823"/>
      <c r="Z8" s="823"/>
      <c r="AA8" s="823"/>
      <c r="AB8" s="823"/>
    </row>
    <row r="9" hidden="1">
      <c r="A9" s="820">
        <v>45423.0</v>
      </c>
      <c r="B9" s="818" t="s">
        <v>13689</v>
      </c>
      <c r="C9" s="818" t="s">
        <v>2939</v>
      </c>
      <c r="D9" s="1103" t="s">
        <v>13690</v>
      </c>
      <c r="E9" s="818" t="s">
        <v>13676</v>
      </c>
      <c r="F9" s="818" t="s">
        <v>4258</v>
      </c>
      <c r="G9" s="818" t="s">
        <v>11475</v>
      </c>
      <c r="H9" s="823"/>
      <c r="I9" s="823"/>
      <c r="J9" s="823"/>
      <c r="K9" s="823"/>
      <c r="L9" s="823"/>
      <c r="M9" s="823"/>
      <c r="N9" s="823"/>
      <c r="O9" s="823"/>
      <c r="P9" s="823"/>
      <c r="Q9" s="823"/>
      <c r="R9" s="823"/>
      <c r="S9" s="823"/>
      <c r="T9" s="823"/>
      <c r="U9" s="823"/>
      <c r="V9" s="823"/>
      <c r="W9" s="823"/>
      <c r="X9" s="823"/>
      <c r="Y9" s="823"/>
      <c r="Z9" s="823"/>
      <c r="AA9" s="823"/>
      <c r="AB9" s="823"/>
    </row>
    <row r="10" hidden="1">
      <c r="A10" s="862">
        <v>45423.0</v>
      </c>
      <c r="B10" s="1105" t="s">
        <v>13691</v>
      </c>
      <c r="C10" s="849" t="s">
        <v>13692</v>
      </c>
      <c r="D10" s="1100"/>
      <c r="E10" s="818" t="s">
        <v>13688</v>
      </c>
      <c r="F10" s="818" t="s">
        <v>4258</v>
      </c>
      <c r="G10" s="818" t="s">
        <v>11475</v>
      </c>
      <c r="H10" s="823"/>
      <c r="I10" s="823"/>
      <c r="J10" s="823"/>
      <c r="K10" s="823"/>
      <c r="L10" s="823"/>
      <c r="M10" s="823"/>
      <c r="N10" s="823"/>
      <c r="O10" s="823"/>
      <c r="P10" s="823"/>
      <c r="Q10" s="823"/>
      <c r="R10" s="823"/>
      <c r="S10" s="823"/>
      <c r="T10" s="823"/>
      <c r="U10" s="823"/>
      <c r="V10" s="823"/>
      <c r="W10" s="823"/>
      <c r="X10" s="823"/>
      <c r="Y10" s="823"/>
      <c r="Z10" s="823"/>
      <c r="AA10" s="823"/>
      <c r="AB10" s="823"/>
    </row>
    <row r="11" hidden="1">
      <c r="A11" s="862">
        <v>45425.0</v>
      </c>
      <c r="B11" s="818" t="s">
        <v>13693</v>
      </c>
      <c r="C11" s="823"/>
      <c r="D11" s="1100" t="s">
        <v>13694</v>
      </c>
      <c r="E11" s="818" t="s">
        <v>13676</v>
      </c>
      <c r="F11" s="818" t="s">
        <v>4262</v>
      </c>
      <c r="G11" s="818" t="s">
        <v>11475</v>
      </c>
      <c r="H11" s="823"/>
      <c r="I11" s="823"/>
      <c r="J11" s="823"/>
      <c r="K11" s="823"/>
      <c r="L11" s="823"/>
      <c r="M11" s="823"/>
      <c r="N11" s="823"/>
      <c r="O11" s="823"/>
      <c r="P11" s="823"/>
      <c r="Q11" s="823"/>
      <c r="R11" s="823"/>
      <c r="S11" s="823"/>
      <c r="T11" s="823"/>
      <c r="U11" s="823"/>
      <c r="V11" s="823"/>
      <c r="W11" s="823"/>
      <c r="X11" s="823"/>
      <c r="Y11" s="823"/>
      <c r="Z11" s="823"/>
      <c r="AA11" s="823"/>
      <c r="AB11" s="823"/>
    </row>
    <row r="12" hidden="1">
      <c r="A12" s="862">
        <v>45425.0</v>
      </c>
      <c r="B12" s="818" t="s">
        <v>13695</v>
      </c>
      <c r="C12" s="823"/>
      <c r="D12" s="880" t="s">
        <v>13696</v>
      </c>
      <c r="E12" s="818" t="s">
        <v>13676</v>
      </c>
      <c r="F12" s="818" t="s">
        <v>4258</v>
      </c>
      <c r="G12" s="818" t="s">
        <v>11475</v>
      </c>
      <c r="H12" s="823"/>
      <c r="I12" s="823"/>
      <c r="J12" s="823"/>
      <c r="K12" s="823"/>
      <c r="L12" s="823"/>
      <c r="M12" s="823"/>
      <c r="N12" s="823"/>
      <c r="O12" s="823"/>
      <c r="P12" s="823"/>
      <c r="Q12" s="823"/>
      <c r="R12" s="823"/>
      <c r="S12" s="823"/>
      <c r="T12" s="823"/>
      <c r="U12" s="823"/>
      <c r="V12" s="823"/>
      <c r="W12" s="823"/>
      <c r="X12" s="823"/>
      <c r="Y12" s="823"/>
      <c r="Z12" s="823"/>
      <c r="AA12" s="823"/>
      <c r="AB12" s="823"/>
    </row>
    <row r="13" hidden="1">
      <c r="A13" s="862">
        <v>45425.0</v>
      </c>
      <c r="B13" s="818" t="s">
        <v>13697</v>
      </c>
      <c r="C13" s="823"/>
      <c r="D13" s="880" t="s">
        <v>13696</v>
      </c>
      <c r="E13" s="818" t="s">
        <v>13676</v>
      </c>
      <c r="F13" s="818" t="s">
        <v>4258</v>
      </c>
      <c r="G13" s="818" t="s">
        <v>11475</v>
      </c>
      <c r="H13" s="823"/>
      <c r="I13" s="823"/>
      <c r="J13" s="823"/>
      <c r="K13" s="823"/>
      <c r="L13" s="823"/>
      <c r="M13" s="823"/>
      <c r="N13" s="823"/>
      <c r="O13" s="823"/>
      <c r="P13" s="823"/>
      <c r="Q13" s="823"/>
      <c r="R13" s="823"/>
      <c r="S13" s="823"/>
      <c r="T13" s="823"/>
      <c r="U13" s="823"/>
      <c r="V13" s="823"/>
      <c r="W13" s="823"/>
      <c r="X13" s="823"/>
      <c r="Y13" s="823"/>
      <c r="Z13" s="823"/>
      <c r="AA13" s="823"/>
      <c r="AB13" s="823"/>
    </row>
    <row r="14" hidden="1">
      <c r="A14" s="862">
        <v>45461.0</v>
      </c>
      <c r="B14" s="818" t="s">
        <v>13698</v>
      </c>
      <c r="C14" s="818" t="s">
        <v>13699</v>
      </c>
      <c r="D14" s="823"/>
      <c r="E14" s="818" t="s">
        <v>13700</v>
      </c>
      <c r="F14" s="818" t="s">
        <v>4262</v>
      </c>
      <c r="G14" s="818" t="s">
        <v>11475</v>
      </c>
      <c r="H14" s="823"/>
      <c r="I14" s="823"/>
      <c r="J14" s="823"/>
      <c r="K14" s="823"/>
      <c r="L14" s="823"/>
      <c r="M14" s="823"/>
      <c r="N14" s="823"/>
      <c r="O14" s="823"/>
      <c r="P14" s="823"/>
      <c r="Q14" s="823"/>
      <c r="R14" s="823"/>
      <c r="S14" s="823"/>
      <c r="T14" s="823"/>
      <c r="U14" s="823"/>
      <c r="V14" s="823"/>
      <c r="W14" s="823"/>
      <c r="X14" s="823"/>
      <c r="Y14" s="823"/>
      <c r="Z14" s="823"/>
      <c r="AA14" s="823"/>
      <c r="AB14" s="823"/>
    </row>
    <row r="15" hidden="1">
      <c r="A15" s="862">
        <v>45461.0</v>
      </c>
      <c r="B15" s="818" t="s">
        <v>13701</v>
      </c>
      <c r="C15" s="818" t="s">
        <v>13702</v>
      </c>
      <c r="D15" s="818" t="s">
        <v>13681</v>
      </c>
      <c r="E15" s="818" t="s">
        <v>13700</v>
      </c>
      <c r="F15" s="818" t="s">
        <v>4262</v>
      </c>
      <c r="G15" s="818" t="s">
        <v>11475</v>
      </c>
      <c r="H15" s="823"/>
      <c r="I15" s="823"/>
      <c r="J15" s="823"/>
      <c r="K15" s="823"/>
      <c r="L15" s="823"/>
      <c r="M15" s="823"/>
      <c r="N15" s="823"/>
      <c r="O15" s="823"/>
      <c r="P15" s="823"/>
      <c r="Q15" s="823"/>
      <c r="R15" s="823"/>
      <c r="S15" s="823"/>
      <c r="T15" s="823"/>
      <c r="U15" s="823"/>
      <c r="V15" s="823"/>
      <c r="W15" s="823"/>
      <c r="X15" s="823"/>
      <c r="Y15" s="823"/>
      <c r="Z15" s="823"/>
      <c r="AA15" s="823"/>
      <c r="AB15" s="823"/>
    </row>
    <row r="16" hidden="1">
      <c r="A16" s="862">
        <v>45461.0</v>
      </c>
      <c r="B16" s="818" t="s">
        <v>13703</v>
      </c>
      <c r="C16" s="818" t="s">
        <v>13704</v>
      </c>
      <c r="D16" s="818" t="s">
        <v>13686</v>
      </c>
      <c r="E16" s="818" t="s">
        <v>13700</v>
      </c>
      <c r="F16" s="818" t="s">
        <v>3799</v>
      </c>
      <c r="G16" s="818" t="s">
        <v>11475</v>
      </c>
      <c r="H16" s="823"/>
      <c r="I16" s="823"/>
      <c r="J16" s="823"/>
      <c r="K16" s="823"/>
      <c r="L16" s="823"/>
      <c r="M16" s="823"/>
      <c r="N16" s="823"/>
      <c r="O16" s="823"/>
      <c r="P16" s="823"/>
      <c r="Q16" s="823"/>
      <c r="R16" s="823"/>
      <c r="S16" s="823"/>
      <c r="T16" s="823"/>
      <c r="U16" s="823"/>
      <c r="V16" s="823"/>
      <c r="W16" s="823"/>
      <c r="X16" s="823"/>
      <c r="Y16" s="823"/>
      <c r="Z16" s="823"/>
      <c r="AA16" s="823"/>
      <c r="AB16" s="823"/>
    </row>
    <row r="17" hidden="1">
      <c r="A17" s="862">
        <v>45462.0</v>
      </c>
      <c r="B17" s="818" t="s">
        <v>13705</v>
      </c>
      <c r="C17" s="818" t="s">
        <v>13706</v>
      </c>
      <c r="D17" s="1101">
        <v>0.4583333333333333</v>
      </c>
      <c r="E17" s="818" t="s">
        <v>13676</v>
      </c>
      <c r="F17" s="818" t="s">
        <v>3671</v>
      </c>
      <c r="G17" s="818" t="s">
        <v>11475</v>
      </c>
      <c r="H17" s="823"/>
      <c r="I17" s="823"/>
      <c r="J17" s="823"/>
      <c r="K17" s="823"/>
      <c r="L17" s="823"/>
      <c r="M17" s="823"/>
      <c r="N17" s="823"/>
      <c r="O17" s="823"/>
      <c r="P17" s="823"/>
      <c r="Q17" s="823"/>
      <c r="R17" s="823"/>
      <c r="S17" s="823"/>
      <c r="T17" s="823"/>
      <c r="U17" s="823"/>
      <c r="V17" s="823"/>
      <c r="W17" s="823"/>
      <c r="X17" s="823"/>
      <c r="Y17" s="823"/>
      <c r="Z17" s="823"/>
      <c r="AA17" s="823"/>
      <c r="AB17" s="823"/>
    </row>
    <row r="18" hidden="1">
      <c r="A18" s="862">
        <v>45462.0</v>
      </c>
      <c r="B18" s="818" t="s">
        <v>13707</v>
      </c>
      <c r="C18" s="823"/>
      <c r="D18" s="818" t="s">
        <v>13708</v>
      </c>
      <c r="E18" s="818" t="s">
        <v>13676</v>
      </c>
      <c r="F18" s="818" t="s">
        <v>3799</v>
      </c>
      <c r="G18" s="818" t="s">
        <v>11475</v>
      </c>
      <c r="H18" s="823"/>
      <c r="I18" s="823"/>
      <c r="J18" s="823"/>
      <c r="K18" s="823"/>
      <c r="L18" s="823"/>
      <c r="M18" s="823"/>
      <c r="N18" s="823"/>
      <c r="O18" s="823"/>
      <c r="P18" s="823"/>
      <c r="Q18" s="823"/>
      <c r="R18" s="823"/>
      <c r="S18" s="823"/>
      <c r="T18" s="823"/>
      <c r="U18" s="823"/>
      <c r="V18" s="823"/>
      <c r="W18" s="823"/>
      <c r="X18" s="823"/>
      <c r="Y18" s="823"/>
      <c r="Z18" s="823"/>
      <c r="AA18" s="823"/>
      <c r="AB18" s="823"/>
    </row>
    <row r="19" hidden="1">
      <c r="A19" s="862">
        <v>45463.0</v>
      </c>
      <c r="B19" s="818" t="s">
        <v>13709</v>
      </c>
      <c r="C19" s="818" t="s">
        <v>13710</v>
      </c>
      <c r="D19" s="818" t="s">
        <v>13711</v>
      </c>
      <c r="E19" s="818" t="s">
        <v>13676</v>
      </c>
      <c r="F19" s="818" t="s">
        <v>3799</v>
      </c>
      <c r="G19" s="818" t="s">
        <v>11475</v>
      </c>
      <c r="H19" s="823"/>
      <c r="I19" s="823"/>
      <c r="J19" s="823"/>
      <c r="K19" s="823"/>
      <c r="L19" s="823"/>
      <c r="M19" s="823"/>
      <c r="N19" s="823"/>
      <c r="O19" s="823"/>
      <c r="P19" s="823"/>
      <c r="Q19" s="823"/>
      <c r="R19" s="823"/>
      <c r="S19" s="823"/>
      <c r="T19" s="823"/>
      <c r="U19" s="823"/>
      <c r="V19" s="823"/>
      <c r="W19" s="823"/>
      <c r="X19" s="823"/>
      <c r="Y19" s="823"/>
      <c r="Z19" s="823"/>
      <c r="AA19" s="823"/>
      <c r="AB19" s="823"/>
    </row>
    <row r="20" hidden="1">
      <c r="A20" s="1106">
        <v>45464.0</v>
      </c>
      <c r="B20" s="818" t="s">
        <v>13712</v>
      </c>
      <c r="C20" s="1100" t="s">
        <v>13713</v>
      </c>
      <c r="D20" s="818" t="s">
        <v>13714</v>
      </c>
      <c r="E20" s="818" t="s">
        <v>13700</v>
      </c>
      <c r="F20" s="818" t="s">
        <v>4262</v>
      </c>
      <c r="G20" s="818" t="s">
        <v>11475</v>
      </c>
      <c r="H20" s="823"/>
      <c r="I20" s="823"/>
      <c r="J20" s="823"/>
      <c r="K20" s="823"/>
      <c r="L20" s="823"/>
      <c r="M20" s="823"/>
      <c r="N20" s="823"/>
      <c r="O20" s="823"/>
      <c r="P20" s="823"/>
      <c r="Q20" s="823"/>
      <c r="R20" s="823"/>
      <c r="S20" s="823"/>
      <c r="T20" s="823"/>
      <c r="U20" s="823"/>
      <c r="V20" s="823"/>
      <c r="W20" s="823"/>
      <c r="X20" s="823"/>
      <c r="Y20" s="823"/>
      <c r="Z20" s="823"/>
      <c r="AA20" s="823"/>
      <c r="AB20" s="823"/>
    </row>
    <row r="21" hidden="1">
      <c r="A21" s="862">
        <v>45464.0</v>
      </c>
      <c r="B21" s="818" t="s">
        <v>13715</v>
      </c>
      <c r="C21" s="818" t="s">
        <v>13716</v>
      </c>
      <c r="D21" s="1101">
        <v>0.5833333333333334</v>
      </c>
      <c r="E21" s="818" t="s">
        <v>13700</v>
      </c>
      <c r="F21" s="818" t="s">
        <v>4262</v>
      </c>
      <c r="G21" s="818" t="s">
        <v>11475</v>
      </c>
      <c r="H21" s="823"/>
      <c r="I21" s="823"/>
      <c r="J21" s="823"/>
      <c r="K21" s="823"/>
      <c r="L21" s="823"/>
      <c r="M21" s="823"/>
      <c r="N21" s="823"/>
      <c r="O21" s="823"/>
      <c r="P21" s="823"/>
      <c r="Q21" s="823"/>
      <c r="R21" s="823"/>
      <c r="S21" s="823"/>
      <c r="T21" s="823"/>
      <c r="U21" s="823"/>
      <c r="V21" s="823"/>
      <c r="W21" s="823"/>
      <c r="X21" s="823"/>
      <c r="Y21" s="823"/>
      <c r="Z21" s="823"/>
      <c r="AA21" s="823"/>
      <c r="AB21" s="823"/>
    </row>
    <row r="22" hidden="1">
      <c r="A22" s="862">
        <v>45464.0</v>
      </c>
      <c r="B22" s="818" t="s">
        <v>13717</v>
      </c>
      <c r="C22" s="818" t="s">
        <v>13718</v>
      </c>
      <c r="D22" s="818" t="s">
        <v>13719</v>
      </c>
      <c r="E22" s="818" t="s">
        <v>13700</v>
      </c>
      <c r="F22" s="818" t="s">
        <v>4258</v>
      </c>
      <c r="G22" s="818" t="s">
        <v>11475</v>
      </c>
      <c r="H22" s="823"/>
      <c r="I22" s="823"/>
      <c r="J22" s="823"/>
      <c r="K22" s="823"/>
      <c r="L22" s="823"/>
      <c r="M22" s="823"/>
      <c r="N22" s="823"/>
      <c r="O22" s="823"/>
      <c r="P22" s="823"/>
      <c r="Q22" s="823"/>
      <c r="R22" s="823"/>
      <c r="S22" s="823"/>
      <c r="T22" s="823"/>
      <c r="U22" s="823"/>
      <c r="V22" s="823"/>
      <c r="W22" s="823"/>
      <c r="X22" s="823"/>
      <c r="Y22" s="823"/>
      <c r="Z22" s="823"/>
      <c r="AA22" s="823"/>
      <c r="AB22" s="823"/>
    </row>
    <row r="23" hidden="1">
      <c r="A23" s="862">
        <v>45465.0</v>
      </c>
      <c r="B23" s="818" t="s">
        <v>13720</v>
      </c>
      <c r="C23" s="818" t="s">
        <v>13721</v>
      </c>
      <c r="D23" s="818" t="s">
        <v>13722</v>
      </c>
      <c r="E23" s="818" t="s">
        <v>13676</v>
      </c>
      <c r="F23" s="818" t="s">
        <v>4262</v>
      </c>
      <c r="G23" s="818" t="s">
        <v>11475</v>
      </c>
      <c r="H23" s="823"/>
      <c r="I23" s="823"/>
      <c r="J23" s="823"/>
      <c r="K23" s="823"/>
      <c r="L23" s="823"/>
      <c r="M23" s="823"/>
      <c r="N23" s="823"/>
      <c r="O23" s="823"/>
      <c r="P23" s="823"/>
      <c r="Q23" s="823"/>
      <c r="R23" s="823"/>
      <c r="S23" s="823"/>
      <c r="T23" s="823"/>
      <c r="U23" s="823"/>
      <c r="V23" s="823"/>
      <c r="W23" s="823"/>
      <c r="X23" s="823"/>
      <c r="Y23" s="823"/>
      <c r="Z23" s="823"/>
      <c r="AA23" s="823"/>
      <c r="AB23" s="823"/>
    </row>
    <row r="24" hidden="1">
      <c r="A24" s="862">
        <v>45465.0</v>
      </c>
      <c r="B24" s="818" t="s">
        <v>13723</v>
      </c>
      <c r="C24" s="818" t="s">
        <v>13724</v>
      </c>
      <c r="D24" s="818" t="s">
        <v>13725</v>
      </c>
      <c r="E24" s="818" t="s">
        <v>13700</v>
      </c>
      <c r="F24" s="818" t="s">
        <v>3883</v>
      </c>
      <c r="G24" s="818" t="s">
        <v>11475</v>
      </c>
      <c r="H24" s="823"/>
      <c r="I24" s="823"/>
      <c r="J24" s="823"/>
      <c r="K24" s="823"/>
      <c r="L24" s="823"/>
      <c r="M24" s="823"/>
      <c r="N24" s="823"/>
      <c r="O24" s="823"/>
      <c r="P24" s="823"/>
      <c r="Q24" s="823"/>
      <c r="R24" s="823"/>
      <c r="S24" s="823"/>
      <c r="T24" s="823"/>
      <c r="U24" s="823"/>
      <c r="V24" s="823"/>
      <c r="W24" s="823"/>
      <c r="X24" s="823"/>
      <c r="Y24" s="823"/>
      <c r="Z24" s="823"/>
      <c r="AA24" s="823"/>
      <c r="AB24" s="823"/>
    </row>
    <row r="25" hidden="1">
      <c r="A25" s="862">
        <v>45466.0</v>
      </c>
      <c r="B25" s="818" t="s">
        <v>13726</v>
      </c>
      <c r="C25" s="818" t="s">
        <v>13727</v>
      </c>
      <c r="D25" s="818" t="s">
        <v>13728</v>
      </c>
      <c r="E25" s="818" t="s">
        <v>13676</v>
      </c>
      <c r="F25" s="818" t="s">
        <v>3799</v>
      </c>
      <c r="G25" s="818" t="s">
        <v>11475</v>
      </c>
      <c r="H25" s="823"/>
      <c r="I25" s="823"/>
      <c r="J25" s="823"/>
      <c r="K25" s="823"/>
      <c r="L25" s="823"/>
      <c r="M25" s="823"/>
      <c r="N25" s="823"/>
      <c r="O25" s="823"/>
      <c r="P25" s="823"/>
      <c r="Q25" s="823"/>
      <c r="R25" s="823"/>
      <c r="S25" s="823"/>
      <c r="T25" s="823"/>
      <c r="U25" s="823"/>
      <c r="V25" s="823"/>
      <c r="W25" s="823"/>
      <c r="X25" s="823"/>
      <c r="Y25" s="823"/>
      <c r="Z25" s="823"/>
      <c r="AA25" s="823"/>
      <c r="AB25" s="823"/>
    </row>
    <row r="26" hidden="1">
      <c r="A26" s="862">
        <v>45467.0</v>
      </c>
      <c r="B26" s="818" t="s">
        <v>13729</v>
      </c>
      <c r="C26" s="818" t="s">
        <v>13730</v>
      </c>
      <c r="D26" s="818" t="s">
        <v>13731</v>
      </c>
      <c r="E26" s="818"/>
      <c r="F26" s="818" t="s">
        <v>4262</v>
      </c>
      <c r="G26" s="818" t="s">
        <v>11475</v>
      </c>
      <c r="H26" s="823"/>
      <c r="I26" s="823"/>
      <c r="J26" s="823"/>
      <c r="K26" s="823"/>
      <c r="L26" s="823"/>
      <c r="M26" s="823"/>
      <c r="N26" s="823"/>
      <c r="O26" s="823"/>
      <c r="P26" s="823"/>
      <c r="Q26" s="823"/>
      <c r="R26" s="823"/>
      <c r="S26" s="823"/>
      <c r="T26" s="823"/>
      <c r="U26" s="823"/>
      <c r="V26" s="823"/>
      <c r="W26" s="823"/>
      <c r="X26" s="823"/>
      <c r="Y26" s="823"/>
      <c r="Z26" s="823"/>
      <c r="AA26" s="823"/>
      <c r="AB26" s="823"/>
    </row>
    <row r="27" hidden="1">
      <c r="A27" s="862">
        <v>45467.0</v>
      </c>
      <c r="B27" s="818" t="s">
        <v>13732</v>
      </c>
      <c r="C27" s="818" t="s">
        <v>13733</v>
      </c>
      <c r="D27" s="1107">
        <v>45606.0</v>
      </c>
      <c r="E27" s="818" t="s">
        <v>13700</v>
      </c>
      <c r="F27" s="818" t="s">
        <v>4262</v>
      </c>
      <c r="G27" s="818" t="s">
        <v>11475</v>
      </c>
      <c r="H27" s="823"/>
      <c r="I27" s="823"/>
      <c r="J27" s="823"/>
      <c r="K27" s="823"/>
      <c r="L27" s="823"/>
      <c r="M27" s="823"/>
      <c r="N27" s="823"/>
      <c r="O27" s="823"/>
      <c r="P27" s="823"/>
      <c r="Q27" s="823"/>
      <c r="R27" s="823"/>
      <c r="S27" s="823"/>
      <c r="T27" s="823"/>
      <c r="U27" s="823"/>
      <c r="V27" s="823"/>
      <c r="W27" s="823"/>
      <c r="X27" s="823"/>
      <c r="Y27" s="823"/>
      <c r="Z27" s="823"/>
      <c r="AA27" s="823"/>
      <c r="AB27" s="823"/>
    </row>
    <row r="28" hidden="1">
      <c r="A28" s="862"/>
      <c r="B28" s="818" t="s">
        <v>13734</v>
      </c>
      <c r="C28" s="818"/>
      <c r="D28" s="1107"/>
      <c r="E28" s="818"/>
      <c r="F28" s="818"/>
      <c r="G28" s="818" t="s">
        <v>11475</v>
      </c>
      <c r="H28" s="823"/>
      <c r="I28" s="823"/>
      <c r="J28" s="823"/>
      <c r="K28" s="823"/>
      <c r="L28" s="823"/>
      <c r="M28" s="823"/>
      <c r="N28" s="823"/>
      <c r="O28" s="823"/>
      <c r="P28" s="823"/>
      <c r="Q28" s="823"/>
      <c r="R28" s="823"/>
      <c r="S28" s="823"/>
      <c r="T28" s="823"/>
      <c r="U28" s="823"/>
      <c r="V28" s="823"/>
      <c r="W28" s="823"/>
      <c r="X28" s="823"/>
      <c r="Y28" s="823"/>
      <c r="Z28" s="823"/>
      <c r="AA28" s="823"/>
      <c r="AB28" s="823"/>
    </row>
    <row r="29" hidden="1">
      <c r="A29" s="862">
        <v>45469.0</v>
      </c>
      <c r="B29" s="818" t="s">
        <v>13735</v>
      </c>
      <c r="C29" s="818" t="s">
        <v>13736</v>
      </c>
      <c r="D29" s="1101">
        <v>0.4166666666666667</v>
      </c>
      <c r="E29" s="818" t="s">
        <v>13700</v>
      </c>
      <c r="F29" s="818" t="s">
        <v>3883</v>
      </c>
      <c r="G29" s="818" t="s">
        <v>11475</v>
      </c>
      <c r="H29" s="823"/>
      <c r="I29" s="823"/>
      <c r="J29" s="823"/>
      <c r="K29" s="823"/>
      <c r="L29" s="823"/>
      <c r="M29" s="823"/>
      <c r="N29" s="823"/>
      <c r="O29" s="823"/>
      <c r="P29" s="823"/>
      <c r="Q29" s="823"/>
      <c r="R29" s="823"/>
      <c r="S29" s="823"/>
      <c r="T29" s="823"/>
      <c r="U29" s="823"/>
      <c r="V29" s="823"/>
      <c r="W29" s="823"/>
      <c r="X29" s="823"/>
      <c r="Y29" s="823"/>
      <c r="Z29" s="823"/>
      <c r="AA29" s="823"/>
      <c r="AB29" s="823"/>
    </row>
    <row r="30" hidden="1">
      <c r="A30" s="862">
        <v>45481.0</v>
      </c>
      <c r="B30" s="818" t="s">
        <v>13737</v>
      </c>
      <c r="C30" s="818" t="s">
        <v>13738</v>
      </c>
      <c r="D30" s="818" t="s">
        <v>13739</v>
      </c>
      <c r="E30" s="818" t="s">
        <v>13700</v>
      </c>
      <c r="F30" s="818" t="s">
        <v>4262</v>
      </c>
      <c r="G30" s="818" t="s">
        <v>11475</v>
      </c>
      <c r="H30" s="823"/>
      <c r="I30" s="823"/>
      <c r="J30" s="823"/>
      <c r="K30" s="823"/>
      <c r="L30" s="823"/>
      <c r="M30" s="823"/>
      <c r="N30" s="823"/>
      <c r="O30" s="823"/>
      <c r="P30" s="823"/>
      <c r="Q30" s="823"/>
      <c r="R30" s="823"/>
      <c r="S30" s="823"/>
      <c r="T30" s="823"/>
      <c r="U30" s="823"/>
      <c r="V30" s="823"/>
      <c r="W30" s="823"/>
      <c r="X30" s="823"/>
      <c r="Y30" s="823"/>
      <c r="Z30" s="823"/>
      <c r="AA30" s="823"/>
      <c r="AB30" s="823"/>
    </row>
    <row r="31" hidden="1">
      <c r="A31" s="862">
        <v>45482.0</v>
      </c>
      <c r="B31" s="818" t="s">
        <v>13740</v>
      </c>
      <c r="C31" s="818" t="s">
        <v>13741</v>
      </c>
      <c r="D31" s="1101">
        <v>0.375</v>
      </c>
      <c r="E31" s="818" t="s">
        <v>13700</v>
      </c>
      <c r="F31" s="818" t="s">
        <v>4262</v>
      </c>
      <c r="G31" s="818" t="s">
        <v>11475</v>
      </c>
      <c r="H31" s="823"/>
      <c r="I31" s="823"/>
      <c r="J31" s="823"/>
      <c r="K31" s="823"/>
      <c r="L31" s="823"/>
      <c r="M31" s="823"/>
      <c r="N31" s="823"/>
      <c r="O31" s="823"/>
      <c r="P31" s="823"/>
      <c r="Q31" s="823"/>
      <c r="R31" s="823"/>
      <c r="S31" s="823"/>
      <c r="T31" s="823"/>
      <c r="U31" s="823"/>
      <c r="V31" s="823"/>
      <c r="W31" s="823"/>
      <c r="X31" s="823"/>
      <c r="Y31" s="823"/>
      <c r="Z31" s="823"/>
      <c r="AA31" s="823"/>
      <c r="AB31" s="823"/>
    </row>
    <row r="32" hidden="1">
      <c r="A32" s="862">
        <v>45482.0</v>
      </c>
      <c r="B32" s="818" t="s">
        <v>13742</v>
      </c>
      <c r="C32" s="738" t="s">
        <v>13743</v>
      </c>
      <c r="D32" s="1101">
        <v>0.4166666666666667</v>
      </c>
      <c r="E32" s="818" t="s">
        <v>13700</v>
      </c>
      <c r="F32" s="818" t="s">
        <v>4262</v>
      </c>
      <c r="G32" s="818" t="s">
        <v>11475</v>
      </c>
      <c r="H32" s="823"/>
      <c r="I32" s="823"/>
      <c r="J32" s="823"/>
      <c r="K32" s="823"/>
      <c r="L32" s="823"/>
      <c r="M32" s="823"/>
      <c r="N32" s="823"/>
      <c r="O32" s="823"/>
      <c r="P32" s="823"/>
      <c r="Q32" s="823"/>
      <c r="R32" s="823"/>
      <c r="S32" s="823"/>
      <c r="T32" s="823"/>
      <c r="U32" s="823"/>
      <c r="V32" s="823"/>
      <c r="W32" s="823"/>
      <c r="X32" s="823"/>
      <c r="Y32" s="823"/>
      <c r="Z32" s="823"/>
      <c r="AA32" s="823"/>
      <c r="AB32" s="823"/>
    </row>
    <row r="33" hidden="1">
      <c r="A33" s="862">
        <v>45483.0</v>
      </c>
      <c r="B33" s="818" t="s">
        <v>13744</v>
      </c>
      <c r="C33" s="818" t="s">
        <v>13745</v>
      </c>
      <c r="D33" s="818" t="s">
        <v>13746</v>
      </c>
      <c r="E33" s="818" t="s">
        <v>13700</v>
      </c>
      <c r="F33" s="818" t="s">
        <v>3799</v>
      </c>
      <c r="G33" s="818" t="s">
        <v>11475</v>
      </c>
      <c r="H33" s="823"/>
      <c r="I33" s="823"/>
      <c r="J33" s="823"/>
      <c r="K33" s="823"/>
      <c r="L33" s="823"/>
      <c r="M33" s="823"/>
      <c r="N33" s="823"/>
      <c r="O33" s="823"/>
      <c r="P33" s="823"/>
      <c r="Q33" s="823"/>
      <c r="R33" s="823"/>
      <c r="S33" s="823"/>
      <c r="T33" s="823"/>
      <c r="U33" s="823"/>
      <c r="V33" s="823"/>
      <c r="W33" s="823"/>
      <c r="X33" s="823"/>
      <c r="Y33" s="823"/>
      <c r="Z33" s="823"/>
      <c r="AA33" s="823"/>
      <c r="AB33" s="823"/>
    </row>
    <row r="34" hidden="1">
      <c r="A34" s="862">
        <v>45483.0</v>
      </c>
      <c r="B34" s="818" t="s">
        <v>13747</v>
      </c>
      <c r="C34" s="1108" t="s">
        <v>13748</v>
      </c>
      <c r="D34" s="1101">
        <v>0.5416666666666666</v>
      </c>
      <c r="E34" s="818" t="s">
        <v>12788</v>
      </c>
      <c r="F34" s="818" t="s">
        <v>3883</v>
      </c>
      <c r="G34" s="818" t="s">
        <v>11475</v>
      </c>
      <c r="H34" s="823"/>
      <c r="I34" s="823"/>
      <c r="J34" s="823"/>
      <c r="K34" s="823"/>
      <c r="L34" s="823"/>
      <c r="M34" s="823"/>
      <c r="N34" s="823"/>
      <c r="O34" s="823"/>
      <c r="P34" s="823"/>
      <c r="Q34" s="823"/>
      <c r="R34" s="823"/>
      <c r="S34" s="823"/>
      <c r="T34" s="823"/>
      <c r="U34" s="823"/>
      <c r="V34" s="823"/>
      <c r="W34" s="823"/>
      <c r="X34" s="823"/>
      <c r="Y34" s="823"/>
      <c r="Z34" s="823"/>
      <c r="AA34" s="823"/>
      <c r="AB34" s="823"/>
    </row>
    <row r="35" hidden="1">
      <c r="A35" s="862">
        <v>45484.0</v>
      </c>
      <c r="B35" s="818" t="s">
        <v>13749</v>
      </c>
      <c r="C35" s="818" t="s">
        <v>13750</v>
      </c>
      <c r="D35" s="818" t="s">
        <v>13696</v>
      </c>
      <c r="E35" s="818" t="s">
        <v>13700</v>
      </c>
      <c r="F35" s="818" t="s">
        <v>3799</v>
      </c>
      <c r="G35" s="818" t="s">
        <v>13751</v>
      </c>
      <c r="H35" s="823"/>
      <c r="I35" s="823"/>
      <c r="J35" s="823"/>
      <c r="K35" s="823"/>
      <c r="L35" s="823"/>
      <c r="M35" s="823"/>
      <c r="N35" s="823"/>
      <c r="O35" s="823"/>
      <c r="P35" s="823"/>
      <c r="Q35" s="823"/>
      <c r="R35" s="823"/>
      <c r="S35" s="823"/>
      <c r="T35" s="823"/>
      <c r="U35" s="823"/>
      <c r="V35" s="823"/>
      <c r="W35" s="823"/>
      <c r="X35" s="823"/>
      <c r="Y35" s="823"/>
      <c r="Z35" s="823"/>
      <c r="AA35" s="823"/>
      <c r="AB35" s="823"/>
    </row>
    <row r="36" hidden="1">
      <c r="A36" s="862">
        <v>45484.0</v>
      </c>
      <c r="B36" s="818" t="s">
        <v>13752</v>
      </c>
      <c r="C36" s="818" t="s">
        <v>13753</v>
      </c>
      <c r="D36" s="1101">
        <v>0.4166666666666667</v>
      </c>
      <c r="E36" s="818" t="s">
        <v>13700</v>
      </c>
      <c r="F36" s="818" t="s">
        <v>4262</v>
      </c>
      <c r="G36" s="818" t="s">
        <v>13751</v>
      </c>
      <c r="H36" s="823"/>
      <c r="I36" s="823"/>
      <c r="J36" s="823"/>
      <c r="K36" s="823"/>
      <c r="L36" s="823"/>
      <c r="M36" s="823"/>
      <c r="N36" s="823"/>
      <c r="O36" s="823"/>
      <c r="P36" s="823"/>
      <c r="Q36" s="823"/>
      <c r="R36" s="823"/>
      <c r="S36" s="823"/>
      <c r="T36" s="823"/>
      <c r="U36" s="823"/>
      <c r="V36" s="823"/>
      <c r="W36" s="823"/>
      <c r="X36" s="823"/>
      <c r="Y36" s="823"/>
      <c r="Z36" s="823"/>
      <c r="AA36" s="823"/>
      <c r="AB36" s="823"/>
    </row>
    <row r="37" hidden="1">
      <c r="A37" s="862">
        <v>45484.0</v>
      </c>
      <c r="B37" s="818" t="s">
        <v>13754</v>
      </c>
      <c r="C37" s="818" t="s">
        <v>13755</v>
      </c>
      <c r="D37" s="1101">
        <v>0.625</v>
      </c>
      <c r="E37" s="818" t="s">
        <v>13700</v>
      </c>
      <c r="F37" s="818" t="s">
        <v>4262</v>
      </c>
      <c r="G37" s="818"/>
      <c r="H37" s="823"/>
      <c r="I37" s="823"/>
      <c r="J37" s="823"/>
      <c r="K37" s="823"/>
      <c r="L37" s="823"/>
      <c r="M37" s="823"/>
      <c r="N37" s="823"/>
      <c r="O37" s="823"/>
      <c r="P37" s="823"/>
      <c r="Q37" s="823"/>
      <c r="R37" s="823"/>
      <c r="S37" s="823"/>
      <c r="T37" s="823"/>
      <c r="U37" s="823"/>
      <c r="V37" s="823"/>
      <c r="W37" s="823"/>
      <c r="X37" s="823"/>
      <c r="Y37" s="823"/>
      <c r="Z37" s="823"/>
      <c r="AA37" s="823"/>
      <c r="AB37" s="823"/>
    </row>
    <row r="38" hidden="1">
      <c r="A38" s="862">
        <v>45485.0</v>
      </c>
      <c r="B38" s="818" t="s">
        <v>13756</v>
      </c>
      <c r="C38" s="818" t="s">
        <v>13757</v>
      </c>
      <c r="D38" s="1101">
        <v>0.5416666666666666</v>
      </c>
      <c r="E38" s="818" t="s">
        <v>13700</v>
      </c>
      <c r="F38" s="818" t="s">
        <v>4262</v>
      </c>
      <c r="G38" s="818"/>
      <c r="H38" s="823"/>
      <c r="I38" s="823"/>
      <c r="J38" s="823"/>
      <c r="K38" s="823"/>
      <c r="L38" s="823"/>
      <c r="M38" s="823"/>
      <c r="N38" s="823"/>
      <c r="O38" s="823"/>
      <c r="P38" s="823"/>
      <c r="Q38" s="823"/>
      <c r="R38" s="823"/>
      <c r="S38" s="823"/>
      <c r="T38" s="823"/>
      <c r="U38" s="823"/>
      <c r="V38" s="823"/>
      <c r="W38" s="823"/>
      <c r="X38" s="823"/>
      <c r="Y38" s="823"/>
      <c r="Z38" s="823"/>
      <c r="AA38" s="823"/>
      <c r="AB38" s="823"/>
    </row>
    <row r="39" hidden="1">
      <c r="A39" s="862">
        <v>45486.0</v>
      </c>
      <c r="B39" s="818" t="s">
        <v>13758</v>
      </c>
      <c r="C39" s="818" t="s">
        <v>13759</v>
      </c>
      <c r="D39" s="1101">
        <v>0.375</v>
      </c>
      <c r="E39" s="818" t="s">
        <v>12788</v>
      </c>
      <c r="F39" s="818" t="s">
        <v>4262</v>
      </c>
      <c r="G39" s="818" t="s">
        <v>13751</v>
      </c>
      <c r="H39" s="823"/>
      <c r="I39" s="823"/>
      <c r="J39" s="823"/>
      <c r="K39" s="823"/>
      <c r="L39" s="823"/>
      <c r="M39" s="823"/>
      <c r="N39" s="823"/>
      <c r="O39" s="823"/>
      <c r="P39" s="823"/>
      <c r="Q39" s="823"/>
      <c r="R39" s="823"/>
      <c r="S39" s="823"/>
      <c r="T39" s="823"/>
      <c r="U39" s="823"/>
      <c r="V39" s="823"/>
      <c r="W39" s="823"/>
      <c r="X39" s="823"/>
      <c r="Y39" s="823"/>
      <c r="Z39" s="823"/>
      <c r="AA39" s="823"/>
      <c r="AB39" s="823"/>
    </row>
    <row r="40" hidden="1">
      <c r="A40" s="862">
        <v>45486.0</v>
      </c>
      <c r="B40" s="818" t="s">
        <v>13760</v>
      </c>
      <c r="C40" s="818" t="s">
        <v>13761</v>
      </c>
      <c r="D40" s="1101">
        <v>0.5833333333333334</v>
      </c>
      <c r="E40" s="818" t="s">
        <v>13700</v>
      </c>
      <c r="F40" s="818" t="s">
        <v>4262</v>
      </c>
      <c r="G40" s="818" t="s">
        <v>13751</v>
      </c>
      <c r="H40" s="823"/>
      <c r="I40" s="823"/>
      <c r="J40" s="823"/>
      <c r="K40" s="823"/>
      <c r="L40" s="823"/>
      <c r="M40" s="823"/>
      <c r="N40" s="823"/>
      <c r="O40" s="823"/>
      <c r="P40" s="823"/>
      <c r="Q40" s="823"/>
      <c r="R40" s="823"/>
      <c r="S40" s="823"/>
      <c r="T40" s="823"/>
      <c r="U40" s="823"/>
      <c r="V40" s="823"/>
      <c r="W40" s="823"/>
      <c r="X40" s="823"/>
      <c r="Y40" s="823"/>
      <c r="Z40" s="823"/>
      <c r="AA40" s="823"/>
      <c r="AB40" s="823"/>
    </row>
    <row r="41" hidden="1">
      <c r="A41" s="862">
        <v>45488.0</v>
      </c>
      <c r="B41" s="818" t="s">
        <v>13762</v>
      </c>
      <c r="C41" s="818">
        <v>1020.0</v>
      </c>
      <c r="D41" s="1101">
        <v>0.4375</v>
      </c>
      <c r="E41" s="818" t="s">
        <v>13700</v>
      </c>
      <c r="F41" s="818" t="s">
        <v>4262</v>
      </c>
      <c r="G41" s="818" t="s">
        <v>13751</v>
      </c>
      <c r="H41" s="823"/>
      <c r="I41" s="823"/>
      <c r="J41" s="823"/>
      <c r="K41" s="823"/>
      <c r="L41" s="823"/>
      <c r="M41" s="823"/>
      <c r="N41" s="823"/>
      <c r="O41" s="823"/>
      <c r="P41" s="823"/>
      <c r="Q41" s="823"/>
      <c r="R41" s="823"/>
      <c r="S41" s="823"/>
      <c r="T41" s="823"/>
      <c r="U41" s="823"/>
      <c r="V41" s="823"/>
      <c r="W41" s="823"/>
      <c r="X41" s="823"/>
      <c r="Y41" s="823"/>
      <c r="Z41" s="823"/>
      <c r="AA41" s="823"/>
      <c r="AB41" s="823"/>
    </row>
    <row r="42" hidden="1">
      <c r="A42" s="862">
        <v>45488.0</v>
      </c>
      <c r="B42" s="818" t="s">
        <v>13763</v>
      </c>
      <c r="C42" s="818" t="s">
        <v>13764</v>
      </c>
      <c r="D42" s="818" t="s">
        <v>13765</v>
      </c>
      <c r="E42" s="818" t="s">
        <v>13700</v>
      </c>
      <c r="F42" s="818" t="s">
        <v>3799</v>
      </c>
      <c r="G42" s="818" t="s">
        <v>13751</v>
      </c>
      <c r="H42" s="823"/>
      <c r="I42" s="823"/>
      <c r="J42" s="823"/>
      <c r="K42" s="823"/>
      <c r="L42" s="823"/>
      <c r="M42" s="823"/>
      <c r="N42" s="823"/>
      <c r="O42" s="823"/>
      <c r="P42" s="823"/>
      <c r="Q42" s="823"/>
      <c r="R42" s="823"/>
      <c r="S42" s="823"/>
      <c r="T42" s="823"/>
      <c r="U42" s="823"/>
      <c r="V42" s="823"/>
      <c r="W42" s="823"/>
      <c r="X42" s="823"/>
      <c r="Y42" s="823"/>
      <c r="Z42" s="823"/>
      <c r="AA42" s="823"/>
      <c r="AB42" s="823"/>
    </row>
    <row r="43" hidden="1">
      <c r="A43" s="862"/>
      <c r="B43" s="818" t="s">
        <v>13766</v>
      </c>
      <c r="C43" s="818" t="s">
        <v>13767</v>
      </c>
      <c r="D43" s="818" t="s">
        <v>13728</v>
      </c>
      <c r="E43" s="818" t="s">
        <v>13700</v>
      </c>
      <c r="F43" s="818" t="s">
        <v>3799</v>
      </c>
      <c r="G43" s="818" t="s">
        <v>13751</v>
      </c>
      <c r="H43" s="823"/>
      <c r="I43" s="823"/>
      <c r="J43" s="823"/>
      <c r="K43" s="823"/>
      <c r="L43" s="823"/>
      <c r="M43" s="823"/>
      <c r="N43" s="823"/>
      <c r="O43" s="823"/>
      <c r="P43" s="823"/>
      <c r="Q43" s="823"/>
      <c r="R43" s="823"/>
      <c r="S43" s="823"/>
      <c r="T43" s="823"/>
      <c r="U43" s="823"/>
      <c r="V43" s="823"/>
      <c r="W43" s="823"/>
      <c r="X43" s="823"/>
      <c r="Y43" s="823"/>
      <c r="Z43" s="823"/>
      <c r="AA43" s="823"/>
      <c r="AB43" s="823"/>
    </row>
    <row r="44" hidden="1">
      <c r="A44" s="862">
        <v>45491.0</v>
      </c>
      <c r="B44" s="818" t="s">
        <v>13768</v>
      </c>
      <c r="C44" s="818" t="s">
        <v>13769</v>
      </c>
      <c r="D44" s="818" t="s">
        <v>13711</v>
      </c>
      <c r="E44" s="818" t="s">
        <v>13700</v>
      </c>
      <c r="F44" s="818" t="s">
        <v>3799</v>
      </c>
      <c r="G44" s="818" t="s">
        <v>13751</v>
      </c>
      <c r="H44" s="823"/>
      <c r="I44" s="823"/>
      <c r="J44" s="823"/>
      <c r="K44" s="823"/>
      <c r="L44" s="823"/>
      <c r="M44" s="823"/>
      <c r="N44" s="823"/>
      <c r="O44" s="823"/>
      <c r="P44" s="823"/>
      <c r="Q44" s="823"/>
      <c r="R44" s="823"/>
      <c r="S44" s="823"/>
      <c r="T44" s="823"/>
      <c r="U44" s="823"/>
      <c r="V44" s="823"/>
      <c r="W44" s="823"/>
      <c r="X44" s="823"/>
      <c r="Y44" s="823"/>
      <c r="Z44" s="823"/>
      <c r="AA44" s="823"/>
      <c r="AB44" s="823"/>
    </row>
    <row r="45" hidden="1">
      <c r="A45" s="862">
        <v>45492.0</v>
      </c>
      <c r="B45" s="818" t="s">
        <v>13770</v>
      </c>
      <c r="C45" s="818" t="s">
        <v>13771</v>
      </c>
      <c r="D45" s="818"/>
      <c r="E45" s="818"/>
      <c r="F45" s="818" t="s">
        <v>4262</v>
      </c>
      <c r="G45" s="818" t="s">
        <v>13751</v>
      </c>
      <c r="H45" s="823"/>
      <c r="I45" s="823"/>
      <c r="J45" s="823"/>
      <c r="K45" s="823"/>
      <c r="L45" s="823"/>
      <c r="M45" s="823"/>
      <c r="N45" s="823"/>
      <c r="O45" s="823"/>
      <c r="P45" s="823"/>
      <c r="Q45" s="823"/>
      <c r="R45" s="823"/>
      <c r="S45" s="823"/>
      <c r="T45" s="823"/>
      <c r="U45" s="823"/>
      <c r="V45" s="823"/>
      <c r="W45" s="823"/>
      <c r="X45" s="823"/>
      <c r="Y45" s="823"/>
      <c r="Z45" s="823"/>
      <c r="AA45" s="823"/>
      <c r="AB45" s="823"/>
    </row>
    <row r="46" hidden="1">
      <c r="A46" s="862">
        <v>45492.0</v>
      </c>
      <c r="B46" s="818" t="s">
        <v>13772</v>
      </c>
      <c r="C46" s="818" t="s">
        <v>13773</v>
      </c>
      <c r="D46" s="818" t="s">
        <v>13774</v>
      </c>
      <c r="E46" s="818" t="s">
        <v>13700</v>
      </c>
      <c r="F46" s="818" t="s">
        <v>3799</v>
      </c>
      <c r="G46" s="818" t="s">
        <v>11475</v>
      </c>
      <c r="H46" s="823"/>
      <c r="I46" s="823"/>
      <c r="J46" s="823"/>
      <c r="K46" s="823"/>
      <c r="L46" s="823"/>
      <c r="M46" s="823"/>
      <c r="N46" s="823"/>
      <c r="O46" s="823"/>
      <c r="P46" s="823"/>
      <c r="Q46" s="823"/>
      <c r="R46" s="823"/>
      <c r="S46" s="823"/>
      <c r="T46" s="823"/>
      <c r="U46" s="823"/>
      <c r="V46" s="823"/>
      <c r="W46" s="823"/>
      <c r="X46" s="823"/>
      <c r="Y46" s="823"/>
      <c r="Z46" s="823"/>
      <c r="AA46" s="823"/>
      <c r="AB46" s="823"/>
    </row>
    <row r="47" hidden="1">
      <c r="A47" s="862">
        <v>45492.0</v>
      </c>
      <c r="B47" s="818" t="s">
        <v>13775</v>
      </c>
      <c r="C47" s="818" t="s">
        <v>1478</v>
      </c>
      <c r="D47" s="818" t="s">
        <v>13776</v>
      </c>
      <c r="E47" s="818" t="s">
        <v>13700</v>
      </c>
      <c r="F47" s="818" t="s">
        <v>3799</v>
      </c>
      <c r="G47" s="818" t="s">
        <v>13751</v>
      </c>
      <c r="H47" s="823"/>
      <c r="I47" s="823"/>
      <c r="J47" s="823"/>
      <c r="K47" s="823"/>
      <c r="L47" s="823"/>
      <c r="M47" s="823"/>
      <c r="N47" s="823"/>
      <c r="O47" s="823"/>
      <c r="P47" s="823"/>
      <c r="Q47" s="823"/>
      <c r="R47" s="823"/>
      <c r="S47" s="823"/>
      <c r="T47" s="823"/>
      <c r="U47" s="823"/>
      <c r="V47" s="823"/>
      <c r="W47" s="823"/>
      <c r="X47" s="823"/>
      <c r="Y47" s="823"/>
      <c r="Z47" s="823"/>
      <c r="AA47" s="823"/>
      <c r="AB47" s="823"/>
    </row>
    <row r="48" hidden="1">
      <c r="A48" s="862">
        <v>45493.0</v>
      </c>
      <c r="B48" s="818" t="s">
        <v>13777</v>
      </c>
      <c r="C48" s="818" t="s">
        <v>13778</v>
      </c>
      <c r="D48" s="823"/>
      <c r="E48" s="823"/>
      <c r="F48" s="818" t="s">
        <v>4258</v>
      </c>
      <c r="G48" s="818" t="s">
        <v>13751</v>
      </c>
      <c r="H48" s="823"/>
      <c r="I48" s="823"/>
      <c r="J48" s="823"/>
      <c r="K48" s="823"/>
      <c r="L48" s="823"/>
      <c r="M48" s="823"/>
      <c r="N48" s="823"/>
      <c r="O48" s="823"/>
      <c r="P48" s="823"/>
      <c r="Q48" s="823"/>
      <c r="R48" s="823"/>
      <c r="S48" s="823"/>
      <c r="T48" s="823"/>
      <c r="U48" s="823"/>
      <c r="V48" s="823"/>
      <c r="W48" s="823"/>
      <c r="X48" s="823"/>
      <c r="Y48" s="823"/>
      <c r="Z48" s="823"/>
      <c r="AA48" s="823"/>
      <c r="AB48" s="823"/>
    </row>
    <row r="49" hidden="1">
      <c r="A49" s="862">
        <v>45493.0</v>
      </c>
      <c r="B49" s="818" t="s">
        <v>13779</v>
      </c>
      <c r="C49" s="818" t="s">
        <v>13780</v>
      </c>
      <c r="D49" s="1101">
        <v>0.3333333333333333</v>
      </c>
      <c r="E49" s="818" t="s">
        <v>13700</v>
      </c>
      <c r="F49" s="818" t="s">
        <v>4262</v>
      </c>
      <c r="G49" s="818" t="s">
        <v>13751</v>
      </c>
      <c r="H49" s="823"/>
      <c r="I49" s="823"/>
      <c r="J49" s="823"/>
      <c r="K49" s="823"/>
      <c r="L49" s="823"/>
      <c r="M49" s="823"/>
      <c r="N49" s="823"/>
      <c r="O49" s="823"/>
      <c r="P49" s="823"/>
      <c r="Q49" s="823"/>
      <c r="R49" s="823"/>
      <c r="S49" s="823"/>
      <c r="T49" s="823"/>
      <c r="U49" s="823"/>
      <c r="V49" s="823"/>
      <c r="W49" s="823"/>
      <c r="X49" s="823"/>
      <c r="Y49" s="823"/>
      <c r="Z49" s="823"/>
      <c r="AA49" s="823"/>
      <c r="AB49" s="823"/>
    </row>
    <row r="50" hidden="1">
      <c r="A50" s="862">
        <v>45493.0</v>
      </c>
      <c r="B50" s="818" t="s">
        <v>13781</v>
      </c>
      <c r="C50" s="738" t="s">
        <v>13782</v>
      </c>
      <c r="D50" s="1101"/>
      <c r="E50" s="818"/>
      <c r="F50" s="818" t="s">
        <v>4262</v>
      </c>
      <c r="G50" s="818" t="s">
        <v>13751</v>
      </c>
      <c r="H50" s="823"/>
      <c r="I50" s="823"/>
      <c r="J50" s="823"/>
      <c r="K50" s="823"/>
      <c r="L50" s="823"/>
      <c r="M50" s="823"/>
      <c r="N50" s="823"/>
      <c r="O50" s="823"/>
      <c r="P50" s="823"/>
      <c r="Q50" s="823"/>
      <c r="R50" s="823"/>
      <c r="S50" s="823"/>
      <c r="T50" s="823"/>
      <c r="U50" s="823"/>
      <c r="V50" s="823"/>
      <c r="W50" s="823"/>
      <c r="X50" s="823"/>
      <c r="Y50" s="823"/>
      <c r="Z50" s="823"/>
      <c r="AA50" s="823"/>
      <c r="AB50" s="823"/>
    </row>
    <row r="51" hidden="1">
      <c r="A51" s="862">
        <v>45493.0</v>
      </c>
      <c r="B51" s="818" t="s">
        <v>13783</v>
      </c>
      <c r="C51" s="738" t="s">
        <v>13784</v>
      </c>
      <c r="D51" s="1101">
        <v>0.5416666666666666</v>
      </c>
      <c r="E51" s="818" t="s">
        <v>13700</v>
      </c>
      <c r="F51" s="818" t="s">
        <v>4262</v>
      </c>
      <c r="G51" s="818" t="s">
        <v>13751</v>
      </c>
      <c r="H51" s="823"/>
      <c r="I51" s="823"/>
      <c r="J51" s="823"/>
      <c r="K51" s="823"/>
      <c r="L51" s="823"/>
      <c r="M51" s="823"/>
      <c r="N51" s="823"/>
      <c r="O51" s="823"/>
      <c r="P51" s="823"/>
      <c r="Q51" s="823"/>
      <c r="R51" s="823"/>
      <c r="S51" s="823"/>
      <c r="T51" s="823"/>
      <c r="U51" s="823"/>
      <c r="V51" s="823"/>
      <c r="W51" s="823"/>
      <c r="X51" s="823"/>
      <c r="Y51" s="823"/>
      <c r="Z51" s="823"/>
      <c r="AA51" s="823"/>
      <c r="AB51" s="823"/>
    </row>
    <row r="52" hidden="1">
      <c r="A52" s="862">
        <v>45494.0</v>
      </c>
      <c r="B52" s="818" t="s">
        <v>13785</v>
      </c>
      <c r="C52" s="738" t="s">
        <v>13786</v>
      </c>
      <c r="D52" s="1101">
        <v>0.4583333333333333</v>
      </c>
      <c r="E52" s="818" t="s">
        <v>13700</v>
      </c>
      <c r="F52" s="818" t="s">
        <v>4262</v>
      </c>
      <c r="G52" s="818" t="s">
        <v>13751</v>
      </c>
      <c r="H52" s="823"/>
      <c r="I52" s="823"/>
      <c r="J52" s="823"/>
      <c r="K52" s="823"/>
      <c r="L52" s="823"/>
      <c r="M52" s="823"/>
      <c r="N52" s="823"/>
      <c r="O52" s="823"/>
      <c r="P52" s="823"/>
      <c r="Q52" s="823"/>
      <c r="R52" s="823"/>
      <c r="S52" s="823"/>
      <c r="T52" s="823"/>
      <c r="U52" s="823"/>
      <c r="V52" s="823"/>
      <c r="W52" s="823"/>
      <c r="X52" s="823"/>
      <c r="Y52" s="823"/>
      <c r="Z52" s="823"/>
      <c r="AA52" s="823"/>
      <c r="AB52" s="823"/>
    </row>
    <row r="53" hidden="1">
      <c r="A53" s="862">
        <v>45496.0</v>
      </c>
      <c r="B53" s="818" t="s">
        <v>13787</v>
      </c>
      <c r="C53" s="818" t="s">
        <v>13788</v>
      </c>
      <c r="D53" s="1101">
        <v>0.375</v>
      </c>
      <c r="E53" s="818" t="s">
        <v>13700</v>
      </c>
      <c r="F53" s="818" t="s">
        <v>4262</v>
      </c>
      <c r="G53" s="818" t="s">
        <v>13751</v>
      </c>
      <c r="H53" s="823"/>
      <c r="I53" s="823"/>
      <c r="J53" s="823"/>
      <c r="K53" s="823"/>
      <c r="L53" s="823"/>
      <c r="M53" s="823"/>
      <c r="N53" s="823"/>
      <c r="O53" s="823"/>
      <c r="P53" s="823"/>
      <c r="Q53" s="823"/>
      <c r="R53" s="823"/>
      <c r="S53" s="823"/>
      <c r="T53" s="823"/>
      <c r="U53" s="823"/>
      <c r="V53" s="823"/>
      <c r="W53" s="823"/>
      <c r="X53" s="823"/>
      <c r="Y53" s="823"/>
      <c r="Z53" s="823"/>
      <c r="AA53" s="823"/>
      <c r="AB53" s="823"/>
    </row>
    <row r="54" hidden="1">
      <c r="A54" s="862">
        <v>45496.0</v>
      </c>
      <c r="B54" s="818" t="s">
        <v>13789</v>
      </c>
      <c r="C54" s="818" t="s">
        <v>13790</v>
      </c>
      <c r="D54" s="818" t="s">
        <v>13791</v>
      </c>
      <c r="E54" s="818" t="s">
        <v>13700</v>
      </c>
      <c r="F54" s="818" t="s">
        <v>4262</v>
      </c>
      <c r="G54" s="818"/>
      <c r="H54" s="823"/>
      <c r="I54" s="823"/>
      <c r="J54" s="823"/>
      <c r="K54" s="823"/>
      <c r="L54" s="823"/>
      <c r="M54" s="823"/>
      <c r="N54" s="823"/>
      <c r="O54" s="823"/>
      <c r="P54" s="823"/>
      <c r="Q54" s="823"/>
      <c r="R54" s="823"/>
      <c r="S54" s="823"/>
      <c r="T54" s="823"/>
      <c r="U54" s="823"/>
      <c r="V54" s="823"/>
      <c r="W54" s="823"/>
      <c r="X54" s="823"/>
      <c r="Y54" s="823"/>
      <c r="Z54" s="823"/>
      <c r="AA54" s="823"/>
      <c r="AB54" s="823"/>
    </row>
    <row r="55" hidden="1">
      <c r="A55" s="862">
        <v>45496.0</v>
      </c>
      <c r="B55" s="818" t="s">
        <v>13792</v>
      </c>
      <c r="C55" s="818" t="s">
        <v>13793</v>
      </c>
      <c r="D55" s="818" t="s">
        <v>13794</v>
      </c>
      <c r="E55" s="818" t="s">
        <v>13700</v>
      </c>
      <c r="F55" s="818" t="s">
        <v>4258</v>
      </c>
      <c r="G55" s="823"/>
      <c r="H55" s="823"/>
      <c r="I55" s="823"/>
      <c r="J55" s="823"/>
      <c r="K55" s="823"/>
      <c r="L55" s="823"/>
      <c r="M55" s="823"/>
      <c r="N55" s="823"/>
      <c r="O55" s="823"/>
      <c r="P55" s="823"/>
      <c r="Q55" s="823"/>
      <c r="R55" s="823"/>
      <c r="S55" s="823"/>
      <c r="T55" s="823"/>
      <c r="U55" s="823"/>
      <c r="V55" s="823"/>
      <c r="W55" s="823"/>
      <c r="X55" s="823"/>
      <c r="Y55" s="823"/>
      <c r="Z55" s="823"/>
      <c r="AA55" s="823"/>
      <c r="AB55" s="823"/>
    </row>
    <row r="56" hidden="1">
      <c r="A56" s="862">
        <v>45498.0</v>
      </c>
      <c r="B56" s="818" t="s">
        <v>13795</v>
      </c>
      <c r="C56" s="818" t="s">
        <v>13796</v>
      </c>
      <c r="D56" s="1101">
        <v>0.3333333333333333</v>
      </c>
      <c r="E56" s="818" t="s">
        <v>13700</v>
      </c>
      <c r="F56" s="818" t="s">
        <v>4262</v>
      </c>
      <c r="G56" s="818" t="s">
        <v>13751</v>
      </c>
      <c r="H56" s="823"/>
      <c r="I56" s="823"/>
      <c r="J56" s="823"/>
      <c r="K56" s="823"/>
      <c r="L56" s="823"/>
      <c r="M56" s="823"/>
      <c r="N56" s="823"/>
      <c r="O56" s="823"/>
      <c r="P56" s="823"/>
      <c r="Q56" s="823"/>
      <c r="R56" s="823"/>
      <c r="S56" s="823"/>
      <c r="T56" s="823"/>
      <c r="U56" s="823"/>
      <c r="V56" s="823"/>
      <c r="W56" s="823"/>
      <c r="X56" s="823"/>
      <c r="Y56" s="823"/>
      <c r="Z56" s="823"/>
      <c r="AA56" s="823"/>
      <c r="AB56" s="823"/>
    </row>
    <row r="57" hidden="1">
      <c r="A57" s="862">
        <v>45498.0</v>
      </c>
      <c r="B57" s="818" t="s">
        <v>13797</v>
      </c>
      <c r="C57" s="818" t="s">
        <v>13798</v>
      </c>
      <c r="D57" s="1101">
        <v>0.3958333333333333</v>
      </c>
      <c r="E57" s="818" t="s">
        <v>13700</v>
      </c>
      <c r="F57" s="818" t="s">
        <v>4262</v>
      </c>
      <c r="G57" s="818" t="s">
        <v>13751</v>
      </c>
      <c r="H57" s="823"/>
      <c r="I57" s="823"/>
      <c r="J57" s="823"/>
      <c r="K57" s="823"/>
      <c r="L57" s="823"/>
      <c r="M57" s="823"/>
      <c r="N57" s="823"/>
      <c r="O57" s="823"/>
      <c r="P57" s="823"/>
      <c r="Q57" s="823"/>
      <c r="R57" s="823"/>
      <c r="S57" s="823"/>
      <c r="T57" s="823"/>
      <c r="U57" s="823"/>
      <c r="V57" s="823"/>
      <c r="W57" s="823"/>
      <c r="X57" s="823"/>
      <c r="Y57" s="823"/>
      <c r="Z57" s="823"/>
      <c r="AA57" s="823"/>
      <c r="AB57" s="823"/>
    </row>
    <row r="58" hidden="1">
      <c r="A58" s="862">
        <v>45498.0</v>
      </c>
      <c r="B58" s="818" t="s">
        <v>13799</v>
      </c>
      <c r="C58" s="818" t="s">
        <v>13800</v>
      </c>
      <c r="D58" s="818" t="s">
        <v>13686</v>
      </c>
      <c r="E58" s="818" t="s">
        <v>13700</v>
      </c>
      <c r="F58" s="818" t="s">
        <v>4258</v>
      </c>
      <c r="G58" s="818" t="s">
        <v>13751</v>
      </c>
      <c r="H58" s="823"/>
      <c r="I58" s="823"/>
      <c r="J58" s="823"/>
      <c r="K58" s="823"/>
      <c r="L58" s="823"/>
      <c r="M58" s="823"/>
      <c r="N58" s="823"/>
      <c r="O58" s="823"/>
      <c r="P58" s="823"/>
      <c r="Q58" s="823"/>
      <c r="R58" s="823"/>
      <c r="S58" s="823"/>
      <c r="T58" s="823"/>
      <c r="U58" s="823"/>
      <c r="V58" s="823"/>
      <c r="W58" s="823"/>
      <c r="X58" s="823"/>
      <c r="Y58" s="823"/>
      <c r="Z58" s="823"/>
      <c r="AA58" s="823"/>
      <c r="AB58" s="823"/>
    </row>
    <row r="59" hidden="1">
      <c r="A59" s="862">
        <v>45499.0</v>
      </c>
      <c r="B59" s="818" t="s">
        <v>13801</v>
      </c>
      <c r="C59" s="818" t="s">
        <v>13802</v>
      </c>
      <c r="D59" s="1101">
        <v>0.5833333333333334</v>
      </c>
      <c r="E59" s="818" t="s">
        <v>13700</v>
      </c>
      <c r="F59" s="818" t="s">
        <v>4262</v>
      </c>
      <c r="G59" s="818" t="s">
        <v>13751</v>
      </c>
      <c r="H59" s="823"/>
      <c r="I59" s="823"/>
      <c r="J59" s="823"/>
      <c r="K59" s="823"/>
      <c r="L59" s="823"/>
      <c r="M59" s="823"/>
      <c r="N59" s="823"/>
      <c r="O59" s="823"/>
      <c r="P59" s="823"/>
      <c r="Q59" s="823"/>
      <c r="R59" s="823"/>
      <c r="S59" s="823"/>
      <c r="T59" s="823"/>
      <c r="U59" s="823"/>
      <c r="V59" s="823"/>
      <c r="W59" s="823"/>
      <c r="X59" s="823"/>
      <c r="Y59" s="823"/>
      <c r="Z59" s="823"/>
      <c r="AA59" s="823"/>
      <c r="AB59" s="823"/>
    </row>
    <row r="60" hidden="1">
      <c r="A60" s="862">
        <v>45499.0</v>
      </c>
      <c r="B60" s="818" t="s">
        <v>13803</v>
      </c>
      <c r="C60" s="818" t="s">
        <v>13804</v>
      </c>
      <c r="D60" s="1101">
        <v>0.5416666666666666</v>
      </c>
      <c r="E60" s="818" t="s">
        <v>13700</v>
      </c>
      <c r="F60" s="818" t="s">
        <v>4262</v>
      </c>
      <c r="G60" s="818" t="s">
        <v>13751</v>
      </c>
      <c r="H60" s="823"/>
      <c r="I60" s="823"/>
      <c r="J60" s="823"/>
      <c r="K60" s="823"/>
      <c r="L60" s="823"/>
      <c r="M60" s="823"/>
      <c r="N60" s="823"/>
      <c r="O60" s="823"/>
      <c r="P60" s="823"/>
      <c r="Q60" s="823"/>
      <c r="R60" s="823"/>
      <c r="S60" s="823"/>
      <c r="T60" s="823"/>
      <c r="U60" s="823"/>
      <c r="V60" s="823"/>
      <c r="W60" s="823"/>
      <c r="X60" s="823"/>
      <c r="Y60" s="823"/>
      <c r="Z60" s="823"/>
      <c r="AA60" s="823"/>
      <c r="AB60" s="823"/>
    </row>
    <row r="61" hidden="1">
      <c r="A61" s="862">
        <v>45500.0</v>
      </c>
      <c r="B61" s="818" t="s">
        <v>13805</v>
      </c>
      <c r="C61" s="818" t="s">
        <v>13806</v>
      </c>
      <c r="D61" s="818" t="s">
        <v>13696</v>
      </c>
      <c r="E61" s="818" t="s">
        <v>13700</v>
      </c>
      <c r="F61" s="818" t="s">
        <v>3799</v>
      </c>
      <c r="G61" s="818" t="s">
        <v>13751</v>
      </c>
      <c r="H61" s="823"/>
      <c r="I61" s="823"/>
      <c r="J61" s="823"/>
      <c r="K61" s="823"/>
      <c r="L61" s="823"/>
      <c r="M61" s="823"/>
      <c r="N61" s="823"/>
      <c r="O61" s="823"/>
      <c r="P61" s="823"/>
      <c r="Q61" s="823"/>
      <c r="R61" s="823"/>
      <c r="S61" s="823"/>
      <c r="T61" s="823"/>
      <c r="U61" s="823"/>
      <c r="V61" s="823"/>
      <c r="W61" s="823"/>
      <c r="X61" s="823"/>
      <c r="Y61" s="823"/>
      <c r="Z61" s="823"/>
      <c r="AA61" s="823"/>
      <c r="AB61" s="823"/>
    </row>
    <row r="62" hidden="1">
      <c r="A62" s="862">
        <v>45500.0</v>
      </c>
      <c r="B62" s="818" t="s">
        <v>13807</v>
      </c>
      <c r="C62" s="738" t="s">
        <v>13808</v>
      </c>
      <c r="D62" s="1107">
        <v>45606.0</v>
      </c>
      <c r="E62" s="818" t="s">
        <v>13700</v>
      </c>
      <c r="F62" s="818" t="s">
        <v>4262</v>
      </c>
      <c r="G62" s="818" t="s">
        <v>13751</v>
      </c>
      <c r="H62" s="823"/>
      <c r="I62" s="823"/>
      <c r="J62" s="823"/>
      <c r="K62" s="823"/>
      <c r="L62" s="823"/>
      <c r="M62" s="823"/>
      <c r="N62" s="823"/>
      <c r="O62" s="823"/>
      <c r="P62" s="823"/>
      <c r="Q62" s="823"/>
      <c r="R62" s="823"/>
      <c r="S62" s="823"/>
      <c r="T62" s="823"/>
      <c r="U62" s="823"/>
      <c r="V62" s="823"/>
      <c r="W62" s="823"/>
      <c r="X62" s="823"/>
      <c r="Y62" s="823"/>
      <c r="Z62" s="823"/>
      <c r="AA62" s="823"/>
      <c r="AB62" s="823"/>
    </row>
    <row r="63" hidden="1">
      <c r="A63" s="862">
        <v>45502.0</v>
      </c>
      <c r="B63" s="818" t="s">
        <v>13809</v>
      </c>
      <c r="C63" s="818" t="s">
        <v>13810</v>
      </c>
      <c r="D63" s="1101">
        <v>0.5416666666666666</v>
      </c>
      <c r="E63" s="818" t="s">
        <v>13700</v>
      </c>
      <c r="F63" s="818" t="s">
        <v>4262</v>
      </c>
      <c r="G63" s="818" t="s">
        <v>13751</v>
      </c>
      <c r="H63" s="823"/>
      <c r="I63" s="823"/>
      <c r="J63" s="823"/>
      <c r="K63" s="823"/>
      <c r="L63" s="823"/>
      <c r="M63" s="823"/>
      <c r="N63" s="823"/>
      <c r="O63" s="823"/>
      <c r="P63" s="823"/>
      <c r="Q63" s="823"/>
      <c r="R63" s="823"/>
      <c r="S63" s="823"/>
      <c r="T63" s="823"/>
      <c r="U63" s="823"/>
      <c r="V63" s="823"/>
      <c r="W63" s="823"/>
      <c r="X63" s="823"/>
      <c r="Y63" s="823"/>
      <c r="Z63" s="823"/>
      <c r="AA63" s="823"/>
      <c r="AB63" s="823"/>
    </row>
    <row r="64" hidden="1">
      <c r="A64" s="862">
        <v>45502.0</v>
      </c>
      <c r="B64" s="818" t="s">
        <v>13811</v>
      </c>
      <c r="C64" s="818" t="s">
        <v>13812</v>
      </c>
      <c r="D64" s="823"/>
      <c r="E64" s="818" t="s">
        <v>13700</v>
      </c>
      <c r="F64" s="818" t="s">
        <v>4258</v>
      </c>
      <c r="G64" s="818" t="s">
        <v>13751</v>
      </c>
      <c r="H64" s="823"/>
      <c r="I64" s="823"/>
      <c r="J64" s="823"/>
      <c r="K64" s="823"/>
      <c r="L64" s="823"/>
      <c r="M64" s="823"/>
      <c r="N64" s="823"/>
      <c r="O64" s="823"/>
      <c r="P64" s="823"/>
      <c r="Q64" s="823"/>
      <c r="R64" s="823"/>
      <c r="S64" s="823"/>
      <c r="T64" s="823"/>
      <c r="U64" s="823"/>
      <c r="V64" s="823"/>
      <c r="W64" s="823"/>
      <c r="X64" s="823"/>
      <c r="Y64" s="823"/>
      <c r="Z64" s="823"/>
      <c r="AA64" s="823"/>
      <c r="AB64" s="823"/>
    </row>
    <row r="65" hidden="1">
      <c r="A65" s="862">
        <v>45502.0</v>
      </c>
      <c r="B65" s="818" t="s">
        <v>13813</v>
      </c>
      <c r="C65" s="818" t="s">
        <v>13814</v>
      </c>
      <c r="D65" s="818" t="s">
        <v>13815</v>
      </c>
      <c r="E65" s="818" t="s">
        <v>13700</v>
      </c>
      <c r="F65" s="818" t="s">
        <v>4262</v>
      </c>
      <c r="G65" s="818" t="s">
        <v>13751</v>
      </c>
      <c r="H65" s="823"/>
      <c r="I65" s="823"/>
      <c r="J65" s="823"/>
      <c r="K65" s="823"/>
      <c r="L65" s="823"/>
      <c r="M65" s="823"/>
      <c r="N65" s="823"/>
      <c r="O65" s="823"/>
      <c r="P65" s="823"/>
      <c r="Q65" s="823"/>
      <c r="R65" s="823"/>
      <c r="S65" s="823"/>
      <c r="T65" s="823"/>
      <c r="U65" s="823"/>
      <c r="V65" s="823"/>
      <c r="W65" s="823"/>
      <c r="X65" s="823"/>
      <c r="Y65" s="823"/>
      <c r="Z65" s="823"/>
      <c r="AA65" s="823"/>
      <c r="AB65" s="823"/>
    </row>
    <row r="66" hidden="1">
      <c r="A66" s="862">
        <v>45503.0</v>
      </c>
      <c r="B66" s="818" t="s">
        <v>13816</v>
      </c>
      <c r="C66" s="818" t="s">
        <v>13817</v>
      </c>
      <c r="D66" s="818" t="s">
        <v>13711</v>
      </c>
      <c r="E66" s="818" t="s">
        <v>13700</v>
      </c>
      <c r="F66" s="818" t="s">
        <v>4258</v>
      </c>
      <c r="G66" s="818" t="s">
        <v>13751</v>
      </c>
      <c r="H66" s="823"/>
      <c r="I66" s="823"/>
      <c r="J66" s="823"/>
      <c r="K66" s="823"/>
      <c r="L66" s="823"/>
      <c r="M66" s="823"/>
      <c r="N66" s="823"/>
      <c r="O66" s="823"/>
      <c r="P66" s="823"/>
      <c r="Q66" s="823"/>
      <c r="R66" s="823"/>
      <c r="S66" s="823"/>
      <c r="T66" s="823"/>
      <c r="U66" s="823"/>
      <c r="V66" s="823"/>
      <c r="W66" s="823"/>
      <c r="X66" s="823"/>
      <c r="Y66" s="823"/>
      <c r="Z66" s="823"/>
      <c r="AA66" s="823"/>
      <c r="AB66" s="823"/>
    </row>
    <row r="67" hidden="1">
      <c r="A67" s="862">
        <v>45504.0</v>
      </c>
      <c r="B67" s="818" t="s">
        <v>13818</v>
      </c>
      <c r="C67" s="818" t="s">
        <v>13819</v>
      </c>
      <c r="D67" s="1101">
        <v>0.5416666666666666</v>
      </c>
      <c r="E67" s="818" t="s">
        <v>13700</v>
      </c>
      <c r="F67" s="818" t="s">
        <v>4262</v>
      </c>
      <c r="G67" s="818" t="s">
        <v>13751</v>
      </c>
      <c r="H67" s="823"/>
      <c r="I67" s="823"/>
      <c r="J67" s="823"/>
      <c r="K67" s="823"/>
      <c r="L67" s="823"/>
      <c r="M67" s="823"/>
      <c r="N67" s="823"/>
      <c r="O67" s="823"/>
      <c r="P67" s="823"/>
      <c r="Q67" s="823"/>
      <c r="R67" s="823"/>
      <c r="S67" s="823"/>
      <c r="T67" s="823"/>
      <c r="U67" s="823"/>
      <c r="V67" s="823"/>
      <c r="W67" s="823"/>
      <c r="X67" s="823"/>
      <c r="Y67" s="823"/>
      <c r="Z67" s="823"/>
      <c r="AA67" s="823"/>
      <c r="AB67" s="823"/>
    </row>
    <row r="68" hidden="1">
      <c r="A68" s="862">
        <v>45505.0</v>
      </c>
      <c r="B68" s="818" t="s">
        <v>13820</v>
      </c>
      <c r="C68" s="1109" t="s">
        <v>13821</v>
      </c>
      <c r="D68" s="1101">
        <v>0.3333333333333333</v>
      </c>
      <c r="E68" s="818" t="s">
        <v>12788</v>
      </c>
      <c r="F68" s="818" t="s">
        <v>4262</v>
      </c>
      <c r="G68" s="818" t="s">
        <v>13751</v>
      </c>
      <c r="H68" s="823"/>
      <c r="I68" s="823"/>
      <c r="J68" s="823"/>
      <c r="K68" s="823"/>
      <c r="L68" s="823"/>
      <c r="M68" s="823"/>
      <c r="N68" s="823"/>
      <c r="O68" s="823"/>
      <c r="P68" s="823"/>
      <c r="Q68" s="823"/>
      <c r="R68" s="823"/>
      <c r="S68" s="823"/>
      <c r="T68" s="823"/>
      <c r="U68" s="823"/>
      <c r="V68" s="823"/>
      <c r="W68" s="823"/>
      <c r="X68" s="823"/>
      <c r="Y68" s="823"/>
      <c r="Z68" s="823"/>
      <c r="AA68" s="823"/>
      <c r="AB68" s="823"/>
    </row>
    <row r="69" hidden="1">
      <c r="A69" s="862">
        <v>45505.0</v>
      </c>
      <c r="B69" s="818" t="s">
        <v>13822</v>
      </c>
      <c r="C69" s="818" t="s">
        <v>13823</v>
      </c>
      <c r="D69" s="1101">
        <v>0.4583333333333333</v>
      </c>
      <c r="E69" s="818" t="s">
        <v>13700</v>
      </c>
      <c r="F69" s="818" t="s">
        <v>3883</v>
      </c>
      <c r="G69" s="818" t="s">
        <v>13751</v>
      </c>
      <c r="H69" s="823"/>
      <c r="I69" s="823"/>
      <c r="J69" s="823"/>
      <c r="K69" s="823"/>
      <c r="L69" s="823"/>
      <c r="M69" s="823"/>
      <c r="N69" s="823"/>
      <c r="O69" s="823"/>
      <c r="P69" s="823"/>
      <c r="Q69" s="823"/>
      <c r="R69" s="823"/>
      <c r="S69" s="823"/>
      <c r="T69" s="823"/>
      <c r="U69" s="823"/>
      <c r="V69" s="823"/>
      <c r="W69" s="823"/>
      <c r="X69" s="823"/>
      <c r="Y69" s="823"/>
      <c r="Z69" s="823"/>
      <c r="AA69" s="823"/>
      <c r="AB69" s="823"/>
    </row>
    <row r="70" hidden="1">
      <c r="A70" s="862">
        <v>45505.0</v>
      </c>
      <c r="B70" s="818" t="s">
        <v>13824</v>
      </c>
      <c r="C70" s="818" t="s">
        <v>13825</v>
      </c>
      <c r="D70" s="1101">
        <v>0.5416666666666666</v>
      </c>
      <c r="E70" s="818" t="s">
        <v>13700</v>
      </c>
      <c r="F70" s="818" t="s">
        <v>3883</v>
      </c>
      <c r="G70" s="818" t="s">
        <v>13751</v>
      </c>
      <c r="H70" s="823"/>
      <c r="I70" s="823"/>
      <c r="J70" s="823"/>
      <c r="K70" s="823"/>
      <c r="L70" s="823"/>
      <c r="M70" s="823"/>
      <c r="N70" s="823"/>
      <c r="O70" s="823"/>
      <c r="P70" s="823"/>
      <c r="Q70" s="823"/>
      <c r="R70" s="823"/>
      <c r="S70" s="823"/>
      <c r="T70" s="823"/>
      <c r="U70" s="823"/>
      <c r="V70" s="823"/>
      <c r="W70" s="823"/>
      <c r="X70" s="823"/>
      <c r="Y70" s="823"/>
      <c r="Z70" s="823"/>
      <c r="AA70" s="823"/>
      <c r="AB70" s="823"/>
    </row>
    <row r="71" hidden="1">
      <c r="A71" s="862">
        <v>45505.0</v>
      </c>
      <c r="B71" s="818" t="s">
        <v>13826</v>
      </c>
      <c r="C71" s="818" t="s">
        <v>13827</v>
      </c>
      <c r="D71" s="818" t="s">
        <v>13686</v>
      </c>
      <c r="E71" s="818" t="s">
        <v>13700</v>
      </c>
      <c r="F71" s="818" t="s">
        <v>4258</v>
      </c>
      <c r="G71" s="818" t="s">
        <v>13751</v>
      </c>
      <c r="H71" s="823"/>
      <c r="I71" s="823"/>
      <c r="J71" s="823"/>
      <c r="K71" s="823"/>
      <c r="L71" s="823"/>
      <c r="M71" s="823"/>
      <c r="N71" s="823"/>
      <c r="O71" s="823"/>
      <c r="P71" s="823"/>
      <c r="Q71" s="823"/>
      <c r="R71" s="823"/>
      <c r="S71" s="823"/>
      <c r="T71" s="823"/>
      <c r="U71" s="823"/>
      <c r="V71" s="823"/>
      <c r="W71" s="823"/>
      <c r="X71" s="823"/>
      <c r="Y71" s="823"/>
      <c r="Z71" s="823"/>
      <c r="AA71" s="823"/>
      <c r="AB71" s="823"/>
    </row>
    <row r="72" hidden="1">
      <c r="A72" s="862">
        <v>45506.0</v>
      </c>
      <c r="B72" s="818" t="s">
        <v>13828</v>
      </c>
      <c r="C72" s="818" t="s">
        <v>13829</v>
      </c>
      <c r="D72" s="1101">
        <v>0.4166666666666667</v>
      </c>
      <c r="E72" s="818" t="s">
        <v>13700</v>
      </c>
      <c r="F72" s="818" t="s">
        <v>3883</v>
      </c>
      <c r="G72" s="818" t="s">
        <v>13751</v>
      </c>
      <c r="H72" s="823"/>
      <c r="I72" s="823"/>
      <c r="J72" s="823"/>
      <c r="K72" s="823"/>
      <c r="L72" s="823"/>
      <c r="M72" s="823"/>
      <c r="N72" s="823"/>
      <c r="O72" s="823"/>
      <c r="P72" s="823"/>
      <c r="Q72" s="823"/>
      <c r="R72" s="823"/>
      <c r="S72" s="823"/>
      <c r="T72" s="823"/>
      <c r="U72" s="823"/>
      <c r="V72" s="823"/>
      <c r="W72" s="823"/>
      <c r="X72" s="823"/>
      <c r="Y72" s="823"/>
      <c r="Z72" s="823"/>
      <c r="AA72" s="823"/>
      <c r="AB72" s="823"/>
    </row>
    <row r="73" hidden="1">
      <c r="A73" s="862">
        <v>45506.0</v>
      </c>
      <c r="B73" s="818" t="s">
        <v>13830</v>
      </c>
      <c r="C73" s="818">
        <v>690.0</v>
      </c>
      <c r="D73" s="818" t="s">
        <v>13681</v>
      </c>
      <c r="E73" s="818" t="s">
        <v>13700</v>
      </c>
      <c r="F73" s="818" t="s">
        <v>3883</v>
      </c>
      <c r="G73" s="818" t="s">
        <v>13751</v>
      </c>
      <c r="H73" s="823"/>
      <c r="I73" s="823"/>
      <c r="J73" s="823"/>
      <c r="K73" s="823"/>
      <c r="L73" s="823"/>
      <c r="M73" s="823"/>
      <c r="N73" s="823"/>
      <c r="O73" s="823"/>
      <c r="P73" s="823"/>
      <c r="Q73" s="823"/>
      <c r="R73" s="823"/>
      <c r="S73" s="823"/>
      <c r="T73" s="823"/>
      <c r="U73" s="823"/>
      <c r="V73" s="823"/>
      <c r="W73" s="823"/>
      <c r="X73" s="823"/>
      <c r="Y73" s="823"/>
      <c r="Z73" s="823"/>
      <c r="AA73" s="823"/>
      <c r="AB73" s="823"/>
    </row>
    <row r="74" hidden="1">
      <c r="A74" s="862">
        <v>45507.0</v>
      </c>
      <c r="B74" s="818" t="s">
        <v>13831</v>
      </c>
      <c r="C74" s="818" t="s">
        <v>13832</v>
      </c>
      <c r="D74" s="818" t="s">
        <v>13833</v>
      </c>
      <c r="E74" s="818" t="s">
        <v>13700</v>
      </c>
      <c r="F74" s="818" t="s">
        <v>4258</v>
      </c>
      <c r="G74" s="818" t="s">
        <v>13751</v>
      </c>
      <c r="H74" s="823"/>
      <c r="I74" s="823"/>
      <c r="J74" s="823"/>
      <c r="K74" s="823"/>
      <c r="L74" s="823"/>
      <c r="M74" s="823"/>
      <c r="N74" s="823"/>
      <c r="O74" s="823"/>
      <c r="P74" s="823"/>
      <c r="Q74" s="823"/>
      <c r="R74" s="823"/>
      <c r="S74" s="823"/>
      <c r="T74" s="823"/>
      <c r="U74" s="823"/>
      <c r="V74" s="823"/>
      <c r="W74" s="823"/>
      <c r="X74" s="823"/>
      <c r="Y74" s="823"/>
      <c r="Z74" s="823"/>
      <c r="AA74" s="823"/>
      <c r="AB74" s="823"/>
    </row>
    <row r="75" hidden="1">
      <c r="A75" s="862">
        <v>45507.0</v>
      </c>
      <c r="B75" s="818" t="s">
        <v>13834</v>
      </c>
      <c r="C75" s="818" t="s">
        <v>13835</v>
      </c>
      <c r="D75" s="1101">
        <v>0.4791666666666667</v>
      </c>
      <c r="E75" s="818" t="s">
        <v>12788</v>
      </c>
      <c r="F75" s="818" t="s">
        <v>3883</v>
      </c>
      <c r="G75" s="818" t="s">
        <v>13751</v>
      </c>
      <c r="H75" s="823"/>
      <c r="I75" s="823"/>
      <c r="J75" s="823"/>
      <c r="K75" s="823"/>
      <c r="L75" s="823"/>
      <c r="M75" s="823"/>
      <c r="N75" s="823"/>
      <c r="O75" s="823"/>
      <c r="P75" s="823"/>
      <c r="Q75" s="823"/>
      <c r="R75" s="823"/>
      <c r="S75" s="823"/>
      <c r="T75" s="823"/>
      <c r="U75" s="823"/>
      <c r="V75" s="823"/>
      <c r="W75" s="823"/>
      <c r="X75" s="823"/>
      <c r="Y75" s="823"/>
      <c r="Z75" s="823"/>
      <c r="AA75" s="823"/>
      <c r="AB75" s="823"/>
    </row>
    <row r="76" hidden="1">
      <c r="A76" s="862">
        <v>45509.0</v>
      </c>
      <c r="B76" s="818" t="s">
        <v>13836</v>
      </c>
      <c r="C76" s="818" t="s">
        <v>13837</v>
      </c>
      <c r="D76" s="1101">
        <v>0.5416666666666666</v>
      </c>
      <c r="E76" s="818" t="s">
        <v>13700</v>
      </c>
      <c r="F76" s="818" t="s">
        <v>3883</v>
      </c>
      <c r="G76" s="818" t="s">
        <v>13751</v>
      </c>
      <c r="H76" s="823"/>
      <c r="I76" s="823"/>
      <c r="J76" s="823"/>
      <c r="K76" s="823"/>
      <c r="L76" s="823"/>
      <c r="M76" s="823"/>
      <c r="N76" s="823"/>
      <c r="O76" s="823"/>
      <c r="P76" s="823"/>
      <c r="Q76" s="823"/>
      <c r="R76" s="823"/>
      <c r="S76" s="823"/>
      <c r="T76" s="823"/>
      <c r="U76" s="823"/>
      <c r="V76" s="823"/>
      <c r="W76" s="823"/>
      <c r="X76" s="823"/>
      <c r="Y76" s="823"/>
      <c r="Z76" s="823"/>
      <c r="AA76" s="823"/>
      <c r="AB76" s="823"/>
    </row>
    <row r="77" hidden="1">
      <c r="A77" s="862">
        <v>45509.0</v>
      </c>
      <c r="B77" s="818" t="s">
        <v>13838</v>
      </c>
      <c r="C77" s="818" t="s">
        <v>13839</v>
      </c>
      <c r="D77" s="1101">
        <v>0.5416666666666666</v>
      </c>
      <c r="E77" s="818" t="s">
        <v>13700</v>
      </c>
      <c r="F77" s="818" t="s">
        <v>3883</v>
      </c>
      <c r="G77" s="818" t="s">
        <v>13751</v>
      </c>
      <c r="H77" s="823"/>
      <c r="I77" s="823"/>
      <c r="J77" s="823"/>
      <c r="K77" s="823"/>
      <c r="L77" s="823"/>
      <c r="M77" s="823"/>
      <c r="N77" s="823"/>
      <c r="O77" s="823"/>
      <c r="P77" s="823"/>
      <c r="Q77" s="823"/>
      <c r="R77" s="823"/>
      <c r="S77" s="823"/>
      <c r="T77" s="823"/>
      <c r="U77" s="823"/>
      <c r="V77" s="823"/>
      <c r="W77" s="823"/>
      <c r="X77" s="823"/>
      <c r="Y77" s="823"/>
      <c r="Z77" s="823"/>
      <c r="AA77" s="823"/>
      <c r="AB77" s="823"/>
    </row>
    <row r="78" hidden="1">
      <c r="A78" s="862">
        <v>45510.0</v>
      </c>
      <c r="B78" s="818" t="s">
        <v>13840</v>
      </c>
      <c r="C78" s="818" t="s">
        <v>13841</v>
      </c>
      <c r="D78" s="818" t="s">
        <v>13842</v>
      </c>
      <c r="E78" s="818" t="s">
        <v>13700</v>
      </c>
      <c r="F78" s="818" t="s">
        <v>4258</v>
      </c>
      <c r="G78" s="818" t="s">
        <v>13751</v>
      </c>
      <c r="H78" s="823"/>
      <c r="I78" s="823"/>
      <c r="J78" s="823"/>
      <c r="K78" s="823"/>
      <c r="L78" s="823"/>
      <c r="M78" s="823"/>
      <c r="N78" s="823"/>
      <c r="O78" s="823"/>
      <c r="P78" s="823"/>
      <c r="Q78" s="823"/>
      <c r="R78" s="823"/>
      <c r="S78" s="823"/>
      <c r="T78" s="823"/>
      <c r="U78" s="823"/>
      <c r="V78" s="823"/>
      <c r="W78" s="823"/>
      <c r="X78" s="823"/>
      <c r="Y78" s="823"/>
      <c r="Z78" s="823"/>
      <c r="AA78" s="823"/>
      <c r="AB78" s="823"/>
    </row>
    <row r="79" hidden="1">
      <c r="A79" s="862">
        <v>45511.0</v>
      </c>
      <c r="B79" s="818" t="s">
        <v>13843</v>
      </c>
      <c r="C79" s="818" t="s">
        <v>13844</v>
      </c>
      <c r="D79" s="818" t="s">
        <v>13794</v>
      </c>
      <c r="E79" s="818" t="s">
        <v>13700</v>
      </c>
      <c r="F79" s="818" t="s">
        <v>4258</v>
      </c>
      <c r="G79" s="818" t="s">
        <v>13751</v>
      </c>
      <c r="H79" s="823"/>
      <c r="I79" s="823"/>
      <c r="J79" s="823"/>
      <c r="K79" s="823"/>
      <c r="L79" s="823"/>
      <c r="M79" s="823"/>
      <c r="N79" s="823"/>
      <c r="O79" s="823"/>
      <c r="P79" s="823"/>
      <c r="Q79" s="823"/>
      <c r="R79" s="823"/>
      <c r="S79" s="823"/>
      <c r="T79" s="823"/>
      <c r="U79" s="823"/>
      <c r="V79" s="823"/>
      <c r="W79" s="823"/>
      <c r="X79" s="823"/>
      <c r="Y79" s="823"/>
      <c r="Z79" s="823"/>
      <c r="AA79" s="823"/>
      <c r="AB79" s="823"/>
    </row>
    <row r="80" hidden="1">
      <c r="A80" s="862">
        <v>45512.0</v>
      </c>
      <c r="B80" s="818" t="s">
        <v>13845</v>
      </c>
      <c r="C80" s="818">
        <v>450000.0</v>
      </c>
      <c r="D80" s="818" t="s">
        <v>13690</v>
      </c>
      <c r="E80" s="818" t="s">
        <v>13700</v>
      </c>
      <c r="F80" s="818" t="s">
        <v>4262</v>
      </c>
      <c r="G80" s="818" t="s">
        <v>13751</v>
      </c>
      <c r="H80" s="823"/>
      <c r="I80" s="823"/>
      <c r="J80" s="823"/>
      <c r="K80" s="823"/>
      <c r="L80" s="823"/>
      <c r="M80" s="823"/>
      <c r="N80" s="823"/>
      <c r="O80" s="823"/>
      <c r="P80" s="823"/>
      <c r="Q80" s="823"/>
      <c r="R80" s="823"/>
      <c r="S80" s="823"/>
      <c r="T80" s="823"/>
      <c r="U80" s="823"/>
      <c r="V80" s="823"/>
      <c r="W80" s="823"/>
      <c r="X80" s="823"/>
      <c r="Y80" s="823"/>
      <c r="Z80" s="823"/>
      <c r="AA80" s="823"/>
      <c r="AB80" s="823"/>
    </row>
    <row r="81" hidden="1">
      <c r="A81" s="862">
        <v>45513.0</v>
      </c>
      <c r="B81" s="818" t="s">
        <v>13846</v>
      </c>
      <c r="C81" s="818" t="s">
        <v>13847</v>
      </c>
      <c r="D81" s="818" t="s">
        <v>13815</v>
      </c>
      <c r="E81" s="818" t="s">
        <v>13700</v>
      </c>
      <c r="F81" s="818" t="s">
        <v>3883</v>
      </c>
      <c r="G81" s="818" t="s">
        <v>13751</v>
      </c>
      <c r="H81" s="823"/>
      <c r="I81" s="823"/>
      <c r="J81" s="823"/>
      <c r="K81" s="823"/>
      <c r="L81" s="823"/>
      <c r="M81" s="823"/>
      <c r="N81" s="823"/>
      <c r="O81" s="823"/>
      <c r="P81" s="823"/>
      <c r="Q81" s="823"/>
      <c r="R81" s="823"/>
      <c r="S81" s="823"/>
      <c r="T81" s="823"/>
      <c r="U81" s="823"/>
      <c r="V81" s="823"/>
      <c r="W81" s="823"/>
      <c r="X81" s="823"/>
      <c r="Y81" s="823"/>
      <c r="Z81" s="823"/>
      <c r="AA81" s="823"/>
      <c r="AB81" s="823"/>
    </row>
    <row r="82" hidden="1">
      <c r="A82" s="862">
        <v>45513.0</v>
      </c>
      <c r="B82" s="818" t="s">
        <v>13848</v>
      </c>
      <c r="C82" s="1109" t="s">
        <v>13849</v>
      </c>
      <c r="D82" s="1101">
        <v>0.4166666666666667</v>
      </c>
      <c r="E82" s="818" t="s">
        <v>12788</v>
      </c>
      <c r="F82" s="818" t="s">
        <v>3883</v>
      </c>
      <c r="G82" s="818" t="s">
        <v>13751</v>
      </c>
      <c r="H82" s="823"/>
      <c r="I82" s="823"/>
      <c r="J82" s="823"/>
      <c r="K82" s="823"/>
      <c r="L82" s="823"/>
      <c r="M82" s="823"/>
      <c r="N82" s="823"/>
      <c r="O82" s="823"/>
      <c r="P82" s="823"/>
      <c r="Q82" s="823"/>
      <c r="R82" s="823"/>
      <c r="S82" s="823"/>
      <c r="T82" s="823"/>
      <c r="U82" s="823"/>
      <c r="V82" s="823"/>
      <c r="W82" s="823"/>
      <c r="X82" s="823"/>
      <c r="Y82" s="823"/>
      <c r="Z82" s="823"/>
      <c r="AA82" s="823"/>
      <c r="AB82" s="823"/>
    </row>
    <row r="83" hidden="1">
      <c r="A83" s="862">
        <v>45513.0</v>
      </c>
      <c r="B83" s="818" t="s">
        <v>13850</v>
      </c>
      <c r="C83" s="1109" t="s">
        <v>13851</v>
      </c>
      <c r="D83" s="1101">
        <v>0.5416666666666666</v>
      </c>
      <c r="E83" s="818" t="s">
        <v>12788</v>
      </c>
      <c r="F83" s="818" t="s">
        <v>3883</v>
      </c>
      <c r="G83" s="818" t="s">
        <v>13751</v>
      </c>
      <c r="H83" s="823"/>
      <c r="I83" s="823"/>
      <c r="J83" s="823"/>
      <c r="K83" s="823"/>
      <c r="L83" s="823"/>
      <c r="M83" s="823"/>
      <c r="N83" s="823"/>
      <c r="O83" s="823"/>
      <c r="P83" s="823"/>
      <c r="Q83" s="823"/>
      <c r="R83" s="823"/>
      <c r="S83" s="823"/>
      <c r="T83" s="823"/>
      <c r="U83" s="823"/>
      <c r="V83" s="823"/>
      <c r="W83" s="823"/>
      <c r="X83" s="823"/>
      <c r="Y83" s="823"/>
      <c r="Z83" s="823"/>
      <c r="AA83" s="823"/>
      <c r="AB83" s="823"/>
    </row>
    <row r="84" hidden="1">
      <c r="A84" s="862">
        <v>45513.0</v>
      </c>
      <c r="B84" s="818" t="s">
        <v>13852</v>
      </c>
      <c r="C84" s="818" t="s">
        <v>13853</v>
      </c>
      <c r="D84" s="1101">
        <v>0.5416666666666666</v>
      </c>
      <c r="E84" s="818" t="s">
        <v>13700</v>
      </c>
      <c r="F84" s="818" t="s">
        <v>3883</v>
      </c>
      <c r="G84" s="818" t="s">
        <v>13751</v>
      </c>
      <c r="H84" s="823"/>
      <c r="I84" s="823"/>
      <c r="J84" s="823"/>
      <c r="K84" s="823"/>
      <c r="L84" s="823"/>
      <c r="M84" s="823"/>
      <c r="N84" s="823"/>
      <c r="O84" s="823"/>
      <c r="P84" s="823"/>
      <c r="Q84" s="823"/>
      <c r="R84" s="823"/>
      <c r="S84" s="823"/>
      <c r="T84" s="823"/>
      <c r="U84" s="823"/>
      <c r="V84" s="823"/>
      <c r="W84" s="823"/>
      <c r="X84" s="823"/>
      <c r="Y84" s="823"/>
      <c r="Z84" s="823"/>
      <c r="AA84" s="823"/>
      <c r="AB84" s="823"/>
    </row>
    <row r="85" hidden="1">
      <c r="A85" s="862">
        <v>45513.0</v>
      </c>
      <c r="B85" s="818" t="s">
        <v>13854</v>
      </c>
      <c r="C85" s="818" t="s">
        <v>13855</v>
      </c>
      <c r="D85" s="1101">
        <v>0.4583333333333333</v>
      </c>
      <c r="E85" s="818" t="s">
        <v>13700</v>
      </c>
      <c r="F85" s="818" t="s">
        <v>3883</v>
      </c>
      <c r="G85" s="818" t="s">
        <v>13751</v>
      </c>
      <c r="H85" s="823"/>
      <c r="I85" s="823"/>
      <c r="J85" s="823"/>
      <c r="K85" s="823"/>
      <c r="L85" s="823"/>
      <c r="M85" s="823"/>
      <c r="N85" s="823"/>
      <c r="O85" s="823"/>
      <c r="P85" s="823"/>
      <c r="Q85" s="823"/>
      <c r="R85" s="823"/>
      <c r="S85" s="823"/>
      <c r="T85" s="823"/>
      <c r="U85" s="823"/>
      <c r="V85" s="823"/>
      <c r="W85" s="823"/>
      <c r="X85" s="823"/>
      <c r="Y85" s="823"/>
      <c r="Z85" s="823"/>
      <c r="AA85" s="823"/>
      <c r="AB85" s="823"/>
    </row>
    <row r="86" hidden="1">
      <c r="A86" s="862">
        <v>45514.0</v>
      </c>
      <c r="B86" s="818" t="s">
        <v>13856</v>
      </c>
      <c r="C86" s="818" t="s">
        <v>13857</v>
      </c>
      <c r="D86" s="818" t="s">
        <v>13858</v>
      </c>
      <c r="E86" s="818" t="s">
        <v>13700</v>
      </c>
      <c r="F86" s="818" t="s">
        <v>4258</v>
      </c>
      <c r="G86" s="818" t="s">
        <v>11475</v>
      </c>
      <c r="H86" s="823"/>
      <c r="I86" s="823"/>
      <c r="J86" s="823"/>
      <c r="K86" s="823"/>
      <c r="L86" s="823"/>
      <c r="M86" s="823"/>
      <c r="N86" s="823"/>
      <c r="O86" s="823"/>
      <c r="P86" s="823"/>
      <c r="Q86" s="823"/>
      <c r="R86" s="823"/>
      <c r="S86" s="823"/>
      <c r="T86" s="823"/>
      <c r="U86" s="823"/>
      <c r="V86" s="823"/>
      <c r="W86" s="823"/>
      <c r="X86" s="823"/>
      <c r="Y86" s="823"/>
      <c r="Z86" s="823"/>
      <c r="AA86" s="823"/>
      <c r="AB86" s="823"/>
    </row>
    <row r="87" hidden="1">
      <c r="A87" s="862">
        <v>45516.0</v>
      </c>
      <c r="B87" s="818" t="s">
        <v>13859</v>
      </c>
      <c r="C87" s="818" t="s">
        <v>13860</v>
      </c>
      <c r="D87" s="818" t="s">
        <v>13861</v>
      </c>
      <c r="E87" s="818" t="s">
        <v>13700</v>
      </c>
      <c r="F87" s="818" t="s">
        <v>4258</v>
      </c>
      <c r="G87" s="818" t="s">
        <v>11475</v>
      </c>
      <c r="H87" s="823"/>
      <c r="I87" s="823"/>
      <c r="J87" s="823"/>
      <c r="K87" s="823"/>
      <c r="L87" s="823"/>
      <c r="M87" s="823"/>
      <c r="N87" s="823"/>
      <c r="O87" s="823"/>
      <c r="P87" s="823"/>
      <c r="Q87" s="823"/>
      <c r="R87" s="823"/>
      <c r="S87" s="823"/>
      <c r="T87" s="823"/>
      <c r="U87" s="823"/>
      <c r="V87" s="823"/>
      <c r="W87" s="823"/>
      <c r="X87" s="823"/>
      <c r="Y87" s="823"/>
      <c r="Z87" s="823"/>
      <c r="AA87" s="823"/>
      <c r="AB87" s="823"/>
    </row>
    <row r="88" hidden="1">
      <c r="A88" s="862">
        <v>45516.0</v>
      </c>
      <c r="B88" s="818" t="s">
        <v>13862</v>
      </c>
      <c r="C88" s="818" t="s">
        <v>13863</v>
      </c>
      <c r="D88" s="1101">
        <v>0.375</v>
      </c>
      <c r="E88" s="818" t="s">
        <v>13700</v>
      </c>
      <c r="F88" s="818" t="s">
        <v>3883</v>
      </c>
      <c r="G88" s="818" t="s">
        <v>11475</v>
      </c>
      <c r="H88" s="823"/>
      <c r="I88" s="823"/>
      <c r="J88" s="823"/>
      <c r="K88" s="823"/>
      <c r="L88" s="823"/>
      <c r="M88" s="823"/>
      <c r="N88" s="823"/>
      <c r="O88" s="823"/>
      <c r="P88" s="823"/>
      <c r="Q88" s="823"/>
      <c r="R88" s="823"/>
      <c r="S88" s="823"/>
      <c r="T88" s="823"/>
      <c r="U88" s="823"/>
      <c r="V88" s="823"/>
      <c r="W88" s="823"/>
      <c r="X88" s="823"/>
      <c r="Y88" s="823"/>
      <c r="Z88" s="823"/>
      <c r="AA88" s="823"/>
      <c r="AB88" s="823"/>
    </row>
    <row r="89" hidden="1">
      <c r="A89" s="862">
        <v>45517.0</v>
      </c>
      <c r="B89" s="818" t="s">
        <v>13864</v>
      </c>
      <c r="C89" s="818" t="s">
        <v>13865</v>
      </c>
      <c r="D89" s="1101">
        <v>0.5416666666666666</v>
      </c>
      <c r="E89" s="818" t="s">
        <v>13700</v>
      </c>
      <c r="F89" s="818" t="s">
        <v>3883</v>
      </c>
      <c r="G89" s="818" t="s">
        <v>11475</v>
      </c>
      <c r="H89" s="823"/>
      <c r="I89" s="823"/>
      <c r="J89" s="823"/>
      <c r="K89" s="823"/>
      <c r="L89" s="823"/>
      <c r="M89" s="823"/>
      <c r="N89" s="823"/>
      <c r="O89" s="823"/>
      <c r="P89" s="823"/>
      <c r="Q89" s="823"/>
      <c r="R89" s="823"/>
      <c r="S89" s="823"/>
      <c r="T89" s="823"/>
      <c r="U89" s="823"/>
      <c r="V89" s="823"/>
      <c r="W89" s="823"/>
      <c r="X89" s="823"/>
      <c r="Y89" s="823"/>
      <c r="Z89" s="823"/>
      <c r="AA89" s="823"/>
      <c r="AB89" s="823"/>
    </row>
    <row r="90" hidden="1">
      <c r="A90" s="862">
        <v>45517.0</v>
      </c>
      <c r="B90" s="818" t="s">
        <v>13866</v>
      </c>
      <c r="C90" s="818" t="s">
        <v>13867</v>
      </c>
      <c r="D90" s="818" t="s">
        <v>13868</v>
      </c>
      <c r="E90" s="818" t="s">
        <v>13700</v>
      </c>
      <c r="F90" s="818" t="s">
        <v>3883</v>
      </c>
      <c r="G90" s="818" t="s">
        <v>11475</v>
      </c>
      <c r="H90" s="823"/>
      <c r="I90" s="823"/>
      <c r="J90" s="823"/>
      <c r="K90" s="823"/>
      <c r="L90" s="823"/>
      <c r="M90" s="823"/>
      <c r="N90" s="823"/>
      <c r="O90" s="823"/>
      <c r="P90" s="823"/>
      <c r="Q90" s="823"/>
      <c r="R90" s="823"/>
      <c r="S90" s="823"/>
      <c r="T90" s="823"/>
      <c r="U90" s="823"/>
      <c r="V90" s="823"/>
      <c r="W90" s="823"/>
      <c r="X90" s="823"/>
      <c r="Y90" s="823"/>
      <c r="Z90" s="823"/>
      <c r="AA90" s="823"/>
      <c r="AB90" s="823"/>
    </row>
    <row r="91" hidden="1">
      <c r="A91" s="862">
        <v>45517.0</v>
      </c>
      <c r="B91" s="818" t="s">
        <v>13869</v>
      </c>
      <c r="C91" s="818" t="s">
        <v>13870</v>
      </c>
      <c r="D91" s="818" t="s">
        <v>13815</v>
      </c>
      <c r="E91" s="818" t="s">
        <v>13700</v>
      </c>
      <c r="F91" s="818" t="s">
        <v>3883</v>
      </c>
      <c r="G91" s="818" t="s">
        <v>11475</v>
      </c>
      <c r="H91" s="823"/>
      <c r="I91" s="823"/>
      <c r="J91" s="823"/>
      <c r="K91" s="823"/>
      <c r="L91" s="823"/>
      <c r="M91" s="823"/>
      <c r="N91" s="823"/>
      <c r="O91" s="823"/>
      <c r="P91" s="823"/>
      <c r="Q91" s="823"/>
      <c r="R91" s="823"/>
      <c r="S91" s="823"/>
      <c r="T91" s="823"/>
      <c r="U91" s="823"/>
      <c r="V91" s="823"/>
      <c r="W91" s="823"/>
      <c r="X91" s="823"/>
      <c r="Y91" s="823"/>
      <c r="Z91" s="823"/>
      <c r="AA91" s="823"/>
      <c r="AB91" s="823"/>
    </row>
    <row r="92" hidden="1">
      <c r="A92" s="818" t="s">
        <v>13871</v>
      </c>
      <c r="B92" s="818" t="s">
        <v>13872</v>
      </c>
      <c r="C92" s="818" t="s">
        <v>13873</v>
      </c>
      <c r="D92" s="1101">
        <v>0.5833333333333334</v>
      </c>
      <c r="E92" s="818" t="s">
        <v>13700</v>
      </c>
      <c r="F92" s="818" t="s">
        <v>3883</v>
      </c>
      <c r="G92" s="818" t="s">
        <v>11475</v>
      </c>
      <c r="H92" s="823"/>
      <c r="I92" s="823"/>
      <c r="J92" s="823"/>
      <c r="K92" s="823"/>
      <c r="L92" s="823"/>
      <c r="M92" s="823"/>
      <c r="N92" s="823"/>
      <c r="O92" s="823"/>
      <c r="P92" s="823"/>
      <c r="Q92" s="823"/>
      <c r="R92" s="823"/>
      <c r="S92" s="823"/>
      <c r="T92" s="823"/>
      <c r="U92" s="823"/>
      <c r="V92" s="823"/>
      <c r="W92" s="823"/>
      <c r="X92" s="823"/>
      <c r="Y92" s="823"/>
      <c r="Z92" s="823"/>
      <c r="AA92" s="823"/>
      <c r="AB92" s="823"/>
    </row>
    <row r="93" hidden="1">
      <c r="A93" s="862">
        <v>45518.0</v>
      </c>
      <c r="B93" s="818" t="s">
        <v>13874</v>
      </c>
      <c r="C93" s="818" t="s">
        <v>13875</v>
      </c>
      <c r="D93" s="818" t="s">
        <v>13876</v>
      </c>
      <c r="E93" s="818" t="s">
        <v>13700</v>
      </c>
      <c r="F93" s="818" t="s">
        <v>4258</v>
      </c>
      <c r="G93" s="818" t="s">
        <v>11475</v>
      </c>
      <c r="H93" s="823"/>
      <c r="I93" s="823"/>
      <c r="J93" s="823"/>
      <c r="K93" s="823"/>
      <c r="L93" s="823"/>
      <c r="M93" s="823"/>
      <c r="N93" s="823"/>
      <c r="O93" s="823"/>
      <c r="P93" s="823"/>
      <c r="Q93" s="823"/>
      <c r="R93" s="823"/>
      <c r="S93" s="823"/>
      <c r="T93" s="823"/>
      <c r="U93" s="823"/>
      <c r="V93" s="823"/>
      <c r="W93" s="823"/>
      <c r="X93" s="823"/>
      <c r="Y93" s="823"/>
      <c r="Z93" s="823"/>
      <c r="AA93" s="823"/>
      <c r="AB93" s="823"/>
    </row>
    <row r="94" hidden="1">
      <c r="A94" s="862">
        <v>45518.0</v>
      </c>
      <c r="B94" s="818" t="s">
        <v>13877</v>
      </c>
      <c r="C94" s="818" t="s">
        <v>13878</v>
      </c>
      <c r="D94" s="1101">
        <v>0.5416666666666666</v>
      </c>
      <c r="E94" s="818" t="s">
        <v>13700</v>
      </c>
      <c r="F94" s="818" t="s">
        <v>3883</v>
      </c>
      <c r="G94" s="818" t="s">
        <v>11475</v>
      </c>
      <c r="H94" s="823"/>
      <c r="I94" s="823"/>
      <c r="J94" s="823"/>
      <c r="K94" s="823"/>
      <c r="L94" s="823"/>
      <c r="M94" s="823"/>
      <c r="N94" s="823"/>
      <c r="O94" s="823"/>
      <c r="P94" s="823"/>
      <c r="Q94" s="823"/>
      <c r="R94" s="823"/>
      <c r="S94" s="823"/>
      <c r="T94" s="823"/>
      <c r="U94" s="823"/>
      <c r="V94" s="823"/>
      <c r="W94" s="823"/>
      <c r="X94" s="823"/>
      <c r="Y94" s="823"/>
      <c r="Z94" s="823"/>
      <c r="AA94" s="823"/>
      <c r="AB94" s="823"/>
    </row>
    <row r="95" hidden="1">
      <c r="A95" s="862">
        <v>45518.0</v>
      </c>
      <c r="B95" s="818" t="s">
        <v>13879</v>
      </c>
      <c r="C95" s="818" t="s">
        <v>13880</v>
      </c>
      <c r="D95" s="818" t="s">
        <v>13881</v>
      </c>
      <c r="E95" s="818" t="s">
        <v>13700</v>
      </c>
      <c r="F95" s="818" t="s">
        <v>4258</v>
      </c>
      <c r="G95" s="818" t="s">
        <v>11475</v>
      </c>
      <c r="H95" s="823"/>
      <c r="I95" s="823"/>
      <c r="J95" s="823"/>
      <c r="K95" s="823"/>
      <c r="L95" s="823"/>
      <c r="M95" s="823"/>
      <c r="N95" s="823"/>
      <c r="O95" s="823"/>
      <c r="P95" s="823"/>
      <c r="Q95" s="823"/>
      <c r="R95" s="823"/>
      <c r="S95" s="823"/>
      <c r="T95" s="823"/>
      <c r="U95" s="823"/>
      <c r="V95" s="823"/>
      <c r="W95" s="823"/>
      <c r="X95" s="823"/>
      <c r="Y95" s="823"/>
      <c r="Z95" s="823"/>
      <c r="AA95" s="823"/>
      <c r="AB95" s="823"/>
    </row>
    <row r="96" hidden="1">
      <c r="A96" s="862">
        <v>45519.0</v>
      </c>
      <c r="B96" s="818" t="s">
        <v>13882</v>
      </c>
      <c r="C96" s="818" t="s">
        <v>13883</v>
      </c>
      <c r="D96" s="818" t="s">
        <v>13861</v>
      </c>
      <c r="E96" s="818" t="s">
        <v>13700</v>
      </c>
      <c r="F96" s="818" t="s">
        <v>4258</v>
      </c>
      <c r="G96" s="818" t="s">
        <v>13751</v>
      </c>
      <c r="H96" s="823"/>
      <c r="I96" s="823"/>
      <c r="J96" s="823"/>
      <c r="K96" s="823"/>
      <c r="L96" s="823"/>
      <c r="M96" s="823"/>
      <c r="N96" s="823"/>
      <c r="O96" s="823"/>
      <c r="P96" s="823"/>
      <c r="Q96" s="823"/>
      <c r="R96" s="823"/>
      <c r="S96" s="823"/>
      <c r="T96" s="823"/>
      <c r="U96" s="823"/>
      <c r="V96" s="823"/>
      <c r="W96" s="823"/>
      <c r="X96" s="823"/>
      <c r="Y96" s="823"/>
      <c r="Z96" s="823"/>
      <c r="AA96" s="823"/>
      <c r="AB96" s="823"/>
    </row>
    <row r="97" hidden="1">
      <c r="A97" s="862">
        <v>45519.0</v>
      </c>
      <c r="B97" s="818" t="s">
        <v>13884</v>
      </c>
      <c r="C97" s="738" t="s">
        <v>13885</v>
      </c>
      <c r="D97" s="1101">
        <v>0.5833333333333334</v>
      </c>
      <c r="E97" s="818" t="s">
        <v>13700</v>
      </c>
      <c r="F97" s="818" t="s">
        <v>3883</v>
      </c>
      <c r="G97" s="818" t="s">
        <v>13751</v>
      </c>
      <c r="H97" s="823"/>
      <c r="I97" s="823"/>
      <c r="J97" s="823"/>
      <c r="K97" s="823"/>
      <c r="L97" s="823"/>
      <c r="M97" s="823"/>
      <c r="N97" s="823"/>
      <c r="O97" s="823"/>
      <c r="P97" s="823"/>
      <c r="Q97" s="823"/>
      <c r="R97" s="823"/>
      <c r="S97" s="823"/>
      <c r="T97" s="823"/>
      <c r="U97" s="823"/>
      <c r="V97" s="823"/>
      <c r="W97" s="823"/>
      <c r="X97" s="823"/>
      <c r="Y97" s="823"/>
      <c r="Z97" s="823"/>
      <c r="AA97" s="823"/>
      <c r="AB97" s="823"/>
    </row>
    <row r="98" hidden="1">
      <c r="A98" s="818" t="s">
        <v>13886</v>
      </c>
      <c r="B98" s="818" t="s">
        <v>13887</v>
      </c>
      <c r="C98" s="818" t="s">
        <v>13888</v>
      </c>
      <c r="D98" s="818" t="s">
        <v>13889</v>
      </c>
      <c r="E98" s="818" t="s">
        <v>13890</v>
      </c>
      <c r="F98" s="818" t="s">
        <v>4258</v>
      </c>
      <c r="G98" s="818" t="s">
        <v>13751</v>
      </c>
      <c r="H98" s="823"/>
      <c r="I98" s="823"/>
      <c r="J98" s="823"/>
      <c r="K98" s="823"/>
      <c r="L98" s="823"/>
      <c r="M98" s="823"/>
      <c r="N98" s="823"/>
      <c r="O98" s="823"/>
      <c r="P98" s="823"/>
      <c r="Q98" s="823"/>
      <c r="R98" s="823"/>
      <c r="S98" s="823"/>
      <c r="T98" s="823"/>
      <c r="U98" s="823"/>
      <c r="V98" s="823"/>
      <c r="W98" s="823"/>
      <c r="X98" s="823"/>
      <c r="Y98" s="823"/>
      <c r="Z98" s="823"/>
      <c r="AA98" s="823"/>
      <c r="AB98" s="823"/>
    </row>
    <row r="99" hidden="1">
      <c r="A99" s="862">
        <v>45523.0</v>
      </c>
      <c r="B99" s="818" t="s">
        <v>13891</v>
      </c>
      <c r="C99" s="818" t="s">
        <v>13892</v>
      </c>
      <c r="D99" s="818" t="s">
        <v>13690</v>
      </c>
      <c r="E99" s="818" t="s">
        <v>13700</v>
      </c>
      <c r="F99" s="818" t="s">
        <v>4258</v>
      </c>
      <c r="G99" s="818" t="s">
        <v>13751</v>
      </c>
      <c r="H99" s="823"/>
      <c r="I99" s="823"/>
      <c r="J99" s="823"/>
      <c r="K99" s="823"/>
      <c r="L99" s="823"/>
      <c r="M99" s="823"/>
      <c r="N99" s="823"/>
      <c r="O99" s="823"/>
      <c r="P99" s="823"/>
      <c r="Q99" s="823"/>
      <c r="R99" s="823"/>
      <c r="S99" s="823"/>
      <c r="T99" s="823"/>
      <c r="U99" s="823"/>
      <c r="V99" s="823"/>
      <c r="W99" s="823"/>
      <c r="X99" s="823"/>
      <c r="Y99" s="823"/>
      <c r="Z99" s="823"/>
      <c r="AA99" s="823"/>
      <c r="AB99" s="823"/>
    </row>
    <row r="100" ht="38.25" hidden="1" customHeight="1">
      <c r="A100" s="862">
        <v>45523.0</v>
      </c>
      <c r="B100" s="818" t="s">
        <v>13893</v>
      </c>
      <c r="C100" s="818" t="s">
        <v>13894</v>
      </c>
      <c r="D100" s="818" t="s">
        <v>13690</v>
      </c>
      <c r="E100" s="818" t="s">
        <v>13700</v>
      </c>
      <c r="F100" s="818" t="s">
        <v>4258</v>
      </c>
      <c r="G100" s="818" t="s">
        <v>13751</v>
      </c>
      <c r="H100" s="823"/>
      <c r="I100" s="823"/>
      <c r="J100" s="823"/>
      <c r="K100" s="823"/>
      <c r="L100" s="823"/>
      <c r="M100" s="823"/>
      <c r="N100" s="823"/>
      <c r="O100" s="823"/>
      <c r="P100" s="823"/>
      <c r="Q100" s="823"/>
      <c r="R100" s="823"/>
      <c r="S100" s="823"/>
      <c r="T100" s="823"/>
      <c r="U100" s="823"/>
      <c r="V100" s="823"/>
      <c r="W100" s="823"/>
      <c r="X100" s="823"/>
      <c r="Y100" s="823"/>
      <c r="Z100" s="823"/>
      <c r="AA100" s="823"/>
      <c r="AB100" s="823"/>
    </row>
    <row r="101" hidden="1">
      <c r="A101" s="862">
        <v>45523.0</v>
      </c>
      <c r="B101" s="818" t="s">
        <v>13895</v>
      </c>
      <c r="C101" s="738" t="s">
        <v>13896</v>
      </c>
      <c r="D101" s="1101">
        <v>0.375</v>
      </c>
      <c r="E101" s="818" t="s">
        <v>13700</v>
      </c>
      <c r="F101" s="818" t="s">
        <v>3883</v>
      </c>
      <c r="G101" s="818" t="s">
        <v>13751</v>
      </c>
      <c r="H101" s="823"/>
      <c r="I101" s="823"/>
      <c r="J101" s="823"/>
      <c r="K101" s="823"/>
      <c r="L101" s="823"/>
      <c r="M101" s="823"/>
      <c r="N101" s="823"/>
      <c r="O101" s="823"/>
      <c r="P101" s="823"/>
      <c r="Q101" s="823"/>
      <c r="R101" s="823"/>
      <c r="S101" s="823"/>
      <c r="T101" s="823"/>
      <c r="U101" s="823"/>
      <c r="V101" s="823"/>
      <c r="W101" s="823"/>
      <c r="X101" s="823"/>
      <c r="Y101" s="823"/>
      <c r="Z101" s="823"/>
      <c r="AA101" s="823"/>
      <c r="AB101" s="823"/>
    </row>
    <row r="102" hidden="1">
      <c r="A102" s="862">
        <v>45524.0</v>
      </c>
      <c r="B102" s="818" t="s">
        <v>13897</v>
      </c>
      <c r="C102" s="738" t="s">
        <v>13898</v>
      </c>
      <c r="D102" s="1101">
        <v>0.4583333333333333</v>
      </c>
      <c r="E102" s="818" t="s">
        <v>13700</v>
      </c>
      <c r="F102" s="818" t="s">
        <v>3883</v>
      </c>
      <c r="G102" s="818" t="s">
        <v>13751</v>
      </c>
      <c r="H102" s="823"/>
      <c r="I102" s="823"/>
      <c r="J102" s="823"/>
      <c r="K102" s="823"/>
      <c r="L102" s="823"/>
      <c r="M102" s="823"/>
      <c r="N102" s="823"/>
      <c r="O102" s="823"/>
      <c r="P102" s="823"/>
      <c r="Q102" s="823"/>
      <c r="R102" s="823"/>
      <c r="S102" s="823"/>
      <c r="T102" s="823"/>
      <c r="U102" s="823"/>
      <c r="V102" s="823"/>
      <c r="W102" s="823"/>
      <c r="X102" s="823"/>
      <c r="Y102" s="823"/>
      <c r="Z102" s="823"/>
      <c r="AA102" s="823"/>
      <c r="AB102" s="823"/>
    </row>
    <row r="103" hidden="1">
      <c r="A103" s="862">
        <v>45525.0</v>
      </c>
      <c r="B103" s="818" t="s">
        <v>13899</v>
      </c>
      <c r="C103" s="818" t="s">
        <v>13865</v>
      </c>
      <c r="D103" s="1101">
        <v>0.5416666666666666</v>
      </c>
      <c r="E103" s="818" t="s">
        <v>13700</v>
      </c>
      <c r="F103" s="818" t="s">
        <v>3883</v>
      </c>
      <c r="G103" s="818" t="s">
        <v>13751</v>
      </c>
      <c r="H103" s="823"/>
      <c r="I103" s="823"/>
      <c r="J103" s="823"/>
      <c r="K103" s="823"/>
      <c r="L103" s="823"/>
      <c r="M103" s="823"/>
      <c r="N103" s="823"/>
      <c r="O103" s="823"/>
      <c r="P103" s="823"/>
      <c r="Q103" s="823"/>
      <c r="R103" s="823"/>
      <c r="S103" s="823"/>
      <c r="T103" s="823"/>
      <c r="U103" s="823"/>
      <c r="V103" s="823"/>
      <c r="W103" s="823"/>
      <c r="X103" s="823"/>
      <c r="Y103" s="823"/>
      <c r="Z103" s="823"/>
      <c r="AA103" s="823"/>
      <c r="AB103" s="823"/>
    </row>
    <row r="104" hidden="1">
      <c r="A104" s="862">
        <v>45525.0</v>
      </c>
      <c r="B104" s="818" t="s">
        <v>13900</v>
      </c>
      <c r="C104" s="818" t="s">
        <v>13901</v>
      </c>
      <c r="D104" s="818" t="s">
        <v>13858</v>
      </c>
      <c r="E104" s="818" t="s">
        <v>13700</v>
      </c>
      <c r="F104" s="818" t="s">
        <v>4258</v>
      </c>
      <c r="G104" s="818" t="s">
        <v>13751</v>
      </c>
      <c r="H104" s="823"/>
      <c r="I104" s="823"/>
      <c r="J104" s="823"/>
      <c r="K104" s="823"/>
      <c r="L104" s="823"/>
      <c r="M104" s="823"/>
      <c r="N104" s="823"/>
      <c r="O104" s="823"/>
      <c r="P104" s="823"/>
      <c r="Q104" s="823"/>
      <c r="R104" s="823"/>
      <c r="S104" s="823"/>
      <c r="T104" s="823"/>
      <c r="U104" s="823"/>
      <c r="V104" s="823"/>
      <c r="W104" s="823"/>
      <c r="X104" s="823"/>
      <c r="Y104" s="823"/>
      <c r="Z104" s="823"/>
      <c r="AA104" s="823"/>
      <c r="AB104" s="823"/>
    </row>
    <row r="105" hidden="1">
      <c r="A105" s="862">
        <v>45525.0</v>
      </c>
      <c r="B105" s="818" t="s">
        <v>13902</v>
      </c>
      <c r="C105" s="849" t="s">
        <v>13903</v>
      </c>
      <c r="D105" s="818" t="s">
        <v>13861</v>
      </c>
      <c r="E105" s="818" t="s">
        <v>13700</v>
      </c>
      <c r="F105" s="818" t="s">
        <v>4258</v>
      </c>
      <c r="G105" s="818" t="s">
        <v>13751</v>
      </c>
      <c r="H105" s="823"/>
      <c r="I105" s="823"/>
      <c r="J105" s="823"/>
      <c r="K105" s="823"/>
      <c r="L105" s="823"/>
      <c r="M105" s="823"/>
      <c r="N105" s="823"/>
      <c r="O105" s="823"/>
      <c r="P105" s="823"/>
      <c r="Q105" s="823"/>
      <c r="R105" s="823"/>
      <c r="S105" s="823"/>
      <c r="T105" s="823"/>
      <c r="U105" s="823"/>
      <c r="V105" s="823"/>
      <c r="W105" s="823"/>
      <c r="X105" s="823"/>
      <c r="Y105" s="823"/>
      <c r="Z105" s="823"/>
      <c r="AA105" s="823"/>
      <c r="AB105" s="823"/>
    </row>
    <row r="106" hidden="1">
      <c r="A106" s="862">
        <v>45528.0</v>
      </c>
      <c r="B106" s="818" t="s">
        <v>13904</v>
      </c>
      <c r="C106" s="823"/>
      <c r="D106" s="818" t="s">
        <v>13868</v>
      </c>
      <c r="E106" s="818" t="s">
        <v>13700</v>
      </c>
      <c r="F106" s="818" t="s">
        <v>3883</v>
      </c>
      <c r="G106" s="818" t="s">
        <v>13751</v>
      </c>
      <c r="H106" s="823"/>
      <c r="I106" s="823"/>
      <c r="J106" s="823"/>
      <c r="K106" s="823"/>
      <c r="L106" s="823"/>
      <c r="M106" s="823"/>
      <c r="N106" s="823"/>
      <c r="O106" s="823"/>
      <c r="P106" s="823"/>
      <c r="Q106" s="823"/>
      <c r="R106" s="823"/>
      <c r="S106" s="823"/>
      <c r="T106" s="823"/>
      <c r="U106" s="823"/>
      <c r="V106" s="823"/>
      <c r="W106" s="823"/>
      <c r="X106" s="823"/>
      <c r="Y106" s="823"/>
      <c r="Z106" s="823"/>
      <c r="AA106" s="823"/>
      <c r="AB106" s="823"/>
    </row>
    <row r="107" hidden="1">
      <c r="A107" s="862">
        <v>45528.0</v>
      </c>
      <c r="B107" s="818" t="s">
        <v>13905</v>
      </c>
      <c r="C107" s="818" t="s">
        <v>13906</v>
      </c>
      <c r="D107" s="1101">
        <v>0.375</v>
      </c>
      <c r="E107" s="818" t="s">
        <v>13700</v>
      </c>
      <c r="F107" s="818" t="s">
        <v>3883</v>
      </c>
      <c r="G107" s="818" t="s">
        <v>13751</v>
      </c>
      <c r="H107" s="823"/>
      <c r="I107" s="823"/>
      <c r="J107" s="823"/>
      <c r="K107" s="823"/>
      <c r="L107" s="823"/>
      <c r="M107" s="823"/>
      <c r="N107" s="823"/>
      <c r="O107" s="823"/>
      <c r="P107" s="823"/>
      <c r="Q107" s="823"/>
      <c r="R107" s="823"/>
      <c r="S107" s="823"/>
      <c r="T107" s="823"/>
      <c r="U107" s="823"/>
      <c r="V107" s="823"/>
      <c r="W107" s="823"/>
      <c r="X107" s="823"/>
      <c r="Y107" s="823"/>
      <c r="Z107" s="823"/>
      <c r="AA107" s="823"/>
      <c r="AB107" s="823"/>
    </row>
    <row r="108" hidden="1">
      <c r="A108" s="862">
        <v>45528.0</v>
      </c>
      <c r="B108" s="818" t="s">
        <v>13907</v>
      </c>
      <c r="C108" s="818" t="s">
        <v>13908</v>
      </c>
      <c r="D108" s="818" t="s">
        <v>13861</v>
      </c>
      <c r="E108" s="818" t="s">
        <v>13700</v>
      </c>
      <c r="F108" s="818" t="s">
        <v>4258</v>
      </c>
      <c r="G108" s="818" t="s">
        <v>13751</v>
      </c>
      <c r="H108" s="823"/>
      <c r="I108" s="823"/>
      <c r="J108" s="823"/>
      <c r="K108" s="823"/>
      <c r="L108" s="823"/>
      <c r="M108" s="823"/>
      <c r="N108" s="823"/>
      <c r="O108" s="823"/>
      <c r="P108" s="823"/>
      <c r="Q108" s="823"/>
      <c r="R108" s="823"/>
      <c r="S108" s="823"/>
      <c r="T108" s="823"/>
      <c r="U108" s="823"/>
      <c r="V108" s="823"/>
      <c r="W108" s="823"/>
      <c r="X108" s="823"/>
      <c r="Y108" s="823"/>
      <c r="Z108" s="823"/>
      <c r="AA108" s="823"/>
      <c r="AB108" s="823"/>
    </row>
    <row r="109" hidden="1">
      <c r="A109" s="862">
        <v>45528.0</v>
      </c>
      <c r="B109" s="818" t="s">
        <v>13909</v>
      </c>
      <c r="C109" s="818" t="s">
        <v>13910</v>
      </c>
      <c r="D109" s="1101">
        <v>0.4583333333333333</v>
      </c>
      <c r="E109" s="818" t="s">
        <v>13700</v>
      </c>
      <c r="F109" s="818" t="s">
        <v>3883</v>
      </c>
      <c r="G109" s="818" t="s">
        <v>13751</v>
      </c>
      <c r="H109" s="823"/>
      <c r="I109" s="823"/>
      <c r="J109" s="823"/>
      <c r="K109" s="823"/>
      <c r="L109" s="823"/>
      <c r="M109" s="823"/>
      <c r="N109" s="823"/>
      <c r="O109" s="823"/>
      <c r="P109" s="823"/>
      <c r="Q109" s="823"/>
      <c r="R109" s="823"/>
      <c r="S109" s="823"/>
      <c r="T109" s="823"/>
      <c r="U109" s="823"/>
      <c r="V109" s="823"/>
      <c r="W109" s="823"/>
      <c r="X109" s="823"/>
      <c r="Y109" s="823"/>
      <c r="Z109" s="823"/>
      <c r="AA109" s="823"/>
      <c r="AB109" s="823"/>
    </row>
    <row r="110" hidden="1">
      <c r="A110" s="862">
        <v>45530.0</v>
      </c>
      <c r="B110" s="818" t="s">
        <v>13911</v>
      </c>
      <c r="C110" s="818" t="s">
        <v>13912</v>
      </c>
      <c r="D110" s="1101">
        <v>0.4166666666666667</v>
      </c>
      <c r="E110" s="818" t="s">
        <v>13700</v>
      </c>
      <c r="F110" s="818" t="s">
        <v>3883</v>
      </c>
      <c r="G110" s="818" t="s">
        <v>13751</v>
      </c>
      <c r="H110" s="823"/>
      <c r="I110" s="823"/>
      <c r="J110" s="823"/>
      <c r="K110" s="823"/>
      <c r="L110" s="823"/>
      <c r="M110" s="823"/>
      <c r="N110" s="823"/>
      <c r="O110" s="823"/>
      <c r="P110" s="823"/>
      <c r="Q110" s="823"/>
      <c r="R110" s="823"/>
      <c r="S110" s="823"/>
      <c r="T110" s="823"/>
      <c r="U110" s="823"/>
      <c r="V110" s="823"/>
      <c r="W110" s="823"/>
      <c r="X110" s="823"/>
      <c r="Y110" s="823"/>
      <c r="Z110" s="823"/>
      <c r="AA110" s="823"/>
      <c r="AB110" s="823"/>
    </row>
    <row r="111" hidden="1">
      <c r="A111" s="862">
        <v>45530.0</v>
      </c>
      <c r="B111" s="818" t="s">
        <v>13913</v>
      </c>
      <c r="C111" s="818" t="s">
        <v>13914</v>
      </c>
      <c r="D111" s="1101">
        <v>0.5416666666666666</v>
      </c>
      <c r="E111" s="818" t="s">
        <v>13700</v>
      </c>
      <c r="F111" s="818" t="s">
        <v>3883</v>
      </c>
      <c r="G111" s="818" t="s">
        <v>13751</v>
      </c>
      <c r="H111" s="823"/>
      <c r="I111" s="823"/>
      <c r="J111" s="823"/>
      <c r="K111" s="823"/>
      <c r="L111" s="823"/>
      <c r="M111" s="823"/>
      <c r="N111" s="823"/>
      <c r="O111" s="823"/>
      <c r="P111" s="823"/>
      <c r="Q111" s="823"/>
      <c r="R111" s="823"/>
      <c r="S111" s="823"/>
      <c r="T111" s="823"/>
      <c r="U111" s="823"/>
      <c r="V111" s="823"/>
      <c r="W111" s="823"/>
      <c r="X111" s="823"/>
      <c r="Y111" s="823"/>
      <c r="Z111" s="823"/>
      <c r="AA111" s="823"/>
      <c r="AB111" s="823"/>
    </row>
    <row r="112" hidden="1">
      <c r="A112" s="862">
        <v>45530.0</v>
      </c>
      <c r="B112" s="818" t="s">
        <v>13915</v>
      </c>
      <c r="C112" s="818" t="s">
        <v>13916</v>
      </c>
      <c r="D112" s="818" t="s">
        <v>13876</v>
      </c>
      <c r="E112" s="818" t="s">
        <v>13890</v>
      </c>
      <c r="F112" s="818" t="s">
        <v>4258</v>
      </c>
      <c r="G112" s="818" t="s">
        <v>13751</v>
      </c>
      <c r="H112" s="823"/>
      <c r="I112" s="823"/>
      <c r="J112" s="823"/>
      <c r="K112" s="823"/>
      <c r="L112" s="823"/>
      <c r="M112" s="823"/>
      <c r="N112" s="823"/>
      <c r="O112" s="823"/>
      <c r="P112" s="823"/>
      <c r="Q112" s="823"/>
      <c r="R112" s="823"/>
      <c r="S112" s="823"/>
      <c r="T112" s="823"/>
      <c r="U112" s="823"/>
      <c r="V112" s="823"/>
      <c r="W112" s="823"/>
      <c r="X112" s="823"/>
      <c r="Y112" s="823"/>
      <c r="Z112" s="823"/>
      <c r="AA112" s="823"/>
      <c r="AB112" s="823"/>
    </row>
    <row r="113" hidden="1">
      <c r="A113" s="862">
        <v>45531.0</v>
      </c>
      <c r="B113" s="818" t="s">
        <v>13917</v>
      </c>
      <c r="C113" s="818" t="s">
        <v>13918</v>
      </c>
      <c r="D113" s="818" t="s">
        <v>13919</v>
      </c>
      <c r="E113" s="818" t="s">
        <v>13700</v>
      </c>
      <c r="F113" s="818" t="s">
        <v>4258</v>
      </c>
      <c r="G113" s="818" t="s">
        <v>13751</v>
      </c>
      <c r="H113" s="823"/>
      <c r="I113" s="823"/>
      <c r="J113" s="823"/>
      <c r="K113" s="823"/>
      <c r="L113" s="823"/>
      <c r="M113" s="823"/>
      <c r="N113" s="823"/>
      <c r="O113" s="823"/>
      <c r="P113" s="823"/>
      <c r="Q113" s="823"/>
      <c r="R113" s="823"/>
      <c r="S113" s="823"/>
      <c r="T113" s="823"/>
      <c r="U113" s="823"/>
      <c r="V113" s="823"/>
      <c r="W113" s="823"/>
      <c r="X113" s="823"/>
      <c r="Y113" s="823"/>
      <c r="Z113" s="823"/>
      <c r="AA113" s="823"/>
      <c r="AB113" s="823"/>
    </row>
    <row r="114" hidden="1">
      <c r="A114" s="862">
        <v>45531.0</v>
      </c>
      <c r="B114" s="818" t="s">
        <v>13920</v>
      </c>
      <c r="C114" s="818" t="s">
        <v>13921</v>
      </c>
      <c r="D114" s="818" t="s">
        <v>13861</v>
      </c>
      <c r="E114" s="818" t="s">
        <v>13890</v>
      </c>
      <c r="F114" s="818" t="s">
        <v>4258</v>
      </c>
      <c r="G114" s="818" t="s">
        <v>13751</v>
      </c>
      <c r="H114" s="823"/>
      <c r="I114" s="823"/>
      <c r="J114" s="823"/>
      <c r="K114" s="823"/>
      <c r="L114" s="823"/>
      <c r="M114" s="823"/>
      <c r="N114" s="823"/>
      <c r="O114" s="823"/>
      <c r="P114" s="823"/>
      <c r="Q114" s="823"/>
      <c r="R114" s="823"/>
      <c r="S114" s="823"/>
      <c r="T114" s="823"/>
      <c r="U114" s="823"/>
      <c r="V114" s="823"/>
      <c r="W114" s="823"/>
      <c r="X114" s="823"/>
      <c r="Y114" s="823"/>
      <c r="Z114" s="823"/>
      <c r="AA114" s="823"/>
      <c r="AB114" s="823"/>
    </row>
    <row r="115" hidden="1">
      <c r="A115" s="862">
        <v>45531.0</v>
      </c>
      <c r="B115" s="818" t="s">
        <v>13922</v>
      </c>
      <c r="C115" s="818" t="s">
        <v>13923</v>
      </c>
      <c r="D115" s="1101">
        <v>0.5416666666666666</v>
      </c>
      <c r="E115" s="818" t="s">
        <v>13890</v>
      </c>
      <c r="F115" s="818" t="s">
        <v>3883</v>
      </c>
      <c r="G115" s="818" t="s">
        <v>13751</v>
      </c>
      <c r="H115" s="823"/>
      <c r="I115" s="823"/>
      <c r="J115" s="823"/>
      <c r="K115" s="823"/>
      <c r="L115" s="823"/>
      <c r="M115" s="823"/>
      <c r="N115" s="823"/>
      <c r="O115" s="823"/>
      <c r="P115" s="823"/>
      <c r="Q115" s="823"/>
      <c r="R115" s="823"/>
      <c r="S115" s="823"/>
      <c r="T115" s="823"/>
      <c r="U115" s="823"/>
      <c r="V115" s="823"/>
      <c r="W115" s="823"/>
      <c r="X115" s="823"/>
      <c r="Y115" s="823"/>
      <c r="Z115" s="823"/>
      <c r="AA115" s="823"/>
      <c r="AB115" s="823"/>
    </row>
    <row r="116" hidden="1">
      <c r="A116" s="862">
        <v>45532.0</v>
      </c>
      <c r="B116" s="818" t="s">
        <v>13924</v>
      </c>
      <c r="C116" s="818" t="s">
        <v>1851</v>
      </c>
      <c r="D116" s="1101">
        <v>0.375</v>
      </c>
      <c r="E116" s="818" t="s">
        <v>13890</v>
      </c>
      <c r="F116" s="818" t="s">
        <v>3883</v>
      </c>
      <c r="G116" s="818" t="s">
        <v>13751</v>
      </c>
      <c r="H116" s="823"/>
      <c r="I116" s="823"/>
      <c r="J116" s="823"/>
      <c r="K116" s="823"/>
      <c r="L116" s="823"/>
      <c r="M116" s="823"/>
      <c r="N116" s="823"/>
      <c r="O116" s="823"/>
      <c r="P116" s="823"/>
      <c r="Q116" s="823"/>
      <c r="R116" s="823"/>
      <c r="S116" s="823"/>
      <c r="T116" s="823"/>
      <c r="U116" s="823"/>
      <c r="V116" s="823"/>
      <c r="W116" s="823"/>
      <c r="X116" s="823"/>
      <c r="Y116" s="823"/>
      <c r="Z116" s="823"/>
      <c r="AA116" s="823"/>
      <c r="AB116" s="823"/>
    </row>
    <row r="117" hidden="1">
      <c r="A117" s="862">
        <v>45532.0</v>
      </c>
      <c r="B117" s="818" t="s">
        <v>13925</v>
      </c>
      <c r="C117" s="738" t="s">
        <v>13926</v>
      </c>
      <c r="D117" s="1101">
        <v>0.4166666666666667</v>
      </c>
      <c r="E117" s="818" t="s">
        <v>13700</v>
      </c>
      <c r="F117" s="818" t="s">
        <v>3883</v>
      </c>
      <c r="G117" s="818" t="s">
        <v>13751</v>
      </c>
      <c r="H117" s="823"/>
      <c r="I117" s="823"/>
      <c r="J117" s="823"/>
      <c r="K117" s="823"/>
      <c r="L117" s="823"/>
      <c r="M117" s="823"/>
      <c r="N117" s="823"/>
      <c r="O117" s="823"/>
      <c r="P117" s="823"/>
      <c r="Q117" s="823"/>
      <c r="R117" s="823"/>
      <c r="S117" s="823"/>
      <c r="T117" s="823"/>
      <c r="U117" s="823"/>
      <c r="V117" s="823"/>
      <c r="W117" s="823"/>
      <c r="X117" s="823"/>
      <c r="Y117" s="823"/>
      <c r="Z117" s="823"/>
      <c r="AA117" s="823"/>
      <c r="AB117" s="823"/>
    </row>
    <row r="118" hidden="1">
      <c r="A118" s="862">
        <v>45532.0</v>
      </c>
      <c r="B118" s="818" t="s">
        <v>13927</v>
      </c>
      <c r="C118" s="738">
        <v>1300.0</v>
      </c>
      <c r="D118" s="818" t="s">
        <v>13928</v>
      </c>
      <c r="E118" s="818" t="s">
        <v>13700</v>
      </c>
      <c r="F118" s="818" t="s">
        <v>3883</v>
      </c>
      <c r="G118" s="818" t="s">
        <v>13751</v>
      </c>
      <c r="H118" s="823"/>
      <c r="I118" s="823"/>
      <c r="J118" s="823"/>
      <c r="K118" s="823"/>
      <c r="L118" s="823"/>
      <c r="M118" s="823"/>
      <c r="N118" s="823"/>
      <c r="O118" s="823"/>
      <c r="P118" s="823"/>
      <c r="Q118" s="823"/>
      <c r="R118" s="823"/>
      <c r="S118" s="823"/>
      <c r="T118" s="823"/>
      <c r="U118" s="823"/>
      <c r="V118" s="823"/>
      <c r="W118" s="823"/>
      <c r="X118" s="823"/>
      <c r="Y118" s="823"/>
      <c r="Z118" s="823"/>
      <c r="AA118" s="823"/>
      <c r="AB118" s="823"/>
    </row>
    <row r="119" hidden="1">
      <c r="A119" s="862"/>
      <c r="B119" s="818" t="s">
        <v>13929</v>
      </c>
      <c r="C119" s="738" t="s">
        <v>13930</v>
      </c>
      <c r="D119" s="1101">
        <v>0.625</v>
      </c>
      <c r="E119" s="818" t="s">
        <v>13700</v>
      </c>
      <c r="F119" s="818" t="s">
        <v>3883</v>
      </c>
      <c r="G119" s="818" t="s">
        <v>13751</v>
      </c>
      <c r="H119" s="823"/>
      <c r="I119" s="823"/>
      <c r="J119" s="823"/>
      <c r="K119" s="823"/>
      <c r="L119" s="823"/>
      <c r="M119" s="823"/>
      <c r="N119" s="823"/>
      <c r="O119" s="823"/>
      <c r="P119" s="823"/>
      <c r="Q119" s="823"/>
      <c r="R119" s="823"/>
      <c r="S119" s="823"/>
      <c r="T119" s="823"/>
      <c r="U119" s="823"/>
      <c r="V119" s="823"/>
      <c r="W119" s="823"/>
      <c r="X119" s="823"/>
      <c r="Y119" s="823"/>
      <c r="Z119" s="823"/>
      <c r="AA119" s="823"/>
      <c r="AB119" s="823"/>
    </row>
    <row r="120" hidden="1">
      <c r="A120" s="862">
        <v>45533.0</v>
      </c>
      <c r="B120" s="818" t="s">
        <v>13931</v>
      </c>
      <c r="C120" s="818" t="s">
        <v>13932</v>
      </c>
      <c r="D120" s="818" t="s">
        <v>13711</v>
      </c>
      <c r="E120" s="818" t="s">
        <v>13700</v>
      </c>
      <c r="F120" s="818" t="s">
        <v>4258</v>
      </c>
      <c r="G120" s="818" t="s">
        <v>13751</v>
      </c>
      <c r="H120" s="823"/>
      <c r="I120" s="823"/>
      <c r="J120" s="823"/>
      <c r="K120" s="823"/>
      <c r="L120" s="823"/>
      <c r="M120" s="823"/>
      <c r="N120" s="823"/>
      <c r="O120" s="823"/>
      <c r="P120" s="823"/>
      <c r="Q120" s="823"/>
      <c r="R120" s="823"/>
      <c r="S120" s="823"/>
      <c r="T120" s="823"/>
      <c r="U120" s="823"/>
      <c r="V120" s="823"/>
      <c r="W120" s="823"/>
      <c r="X120" s="823"/>
      <c r="Y120" s="823"/>
      <c r="Z120" s="823"/>
      <c r="AA120" s="823"/>
      <c r="AB120" s="823"/>
    </row>
    <row r="121" hidden="1">
      <c r="A121" s="862">
        <v>45533.0</v>
      </c>
      <c r="B121" s="818" t="s">
        <v>13933</v>
      </c>
      <c r="C121" s="818" t="s">
        <v>13934</v>
      </c>
      <c r="D121" s="1101"/>
      <c r="E121" s="818" t="s">
        <v>13700</v>
      </c>
      <c r="F121" s="818" t="s">
        <v>3883</v>
      </c>
      <c r="G121" s="818" t="s">
        <v>13751</v>
      </c>
      <c r="H121" s="823"/>
      <c r="I121" s="823"/>
      <c r="J121" s="823"/>
      <c r="K121" s="823"/>
      <c r="L121" s="823"/>
      <c r="M121" s="823"/>
      <c r="N121" s="823"/>
      <c r="O121" s="823"/>
      <c r="P121" s="823"/>
      <c r="Q121" s="823"/>
      <c r="R121" s="823"/>
      <c r="S121" s="823"/>
      <c r="T121" s="823"/>
      <c r="U121" s="823"/>
      <c r="V121" s="823"/>
      <c r="W121" s="823"/>
      <c r="X121" s="823"/>
      <c r="Y121" s="823"/>
      <c r="Z121" s="823"/>
      <c r="AA121" s="823"/>
      <c r="AB121" s="823"/>
    </row>
    <row r="122" hidden="1">
      <c r="A122" s="862">
        <v>45534.0</v>
      </c>
      <c r="B122" s="818" t="s">
        <v>13935</v>
      </c>
      <c r="C122" s="738" t="s">
        <v>13936</v>
      </c>
      <c r="D122" s="1101">
        <v>0.375</v>
      </c>
      <c r="E122" s="818" t="s">
        <v>13700</v>
      </c>
      <c r="F122" s="818" t="s">
        <v>3883</v>
      </c>
      <c r="G122" s="818" t="s">
        <v>13751</v>
      </c>
      <c r="H122" s="823"/>
      <c r="I122" s="823"/>
      <c r="J122" s="823"/>
      <c r="K122" s="823"/>
      <c r="L122" s="823"/>
      <c r="M122" s="823"/>
      <c r="N122" s="823"/>
      <c r="O122" s="823"/>
      <c r="P122" s="823"/>
      <c r="Q122" s="823"/>
      <c r="R122" s="823"/>
      <c r="S122" s="823"/>
      <c r="T122" s="823"/>
      <c r="U122" s="823"/>
      <c r="V122" s="823"/>
      <c r="W122" s="823"/>
      <c r="X122" s="823"/>
      <c r="Y122" s="823"/>
      <c r="Z122" s="823"/>
      <c r="AA122" s="823"/>
      <c r="AB122" s="823"/>
    </row>
    <row r="123" hidden="1">
      <c r="A123" s="862">
        <v>45534.0</v>
      </c>
      <c r="B123" s="818" t="s">
        <v>13937</v>
      </c>
      <c r="C123" s="818" t="s">
        <v>13938</v>
      </c>
      <c r="D123" s="818" t="s">
        <v>13739</v>
      </c>
      <c r="E123" s="818" t="s">
        <v>13700</v>
      </c>
      <c r="F123" s="818" t="s">
        <v>4258</v>
      </c>
      <c r="G123" s="818" t="s">
        <v>13751</v>
      </c>
      <c r="H123" s="823"/>
      <c r="I123" s="823"/>
      <c r="J123" s="823"/>
      <c r="K123" s="823"/>
      <c r="L123" s="823"/>
      <c r="M123" s="823"/>
      <c r="N123" s="823"/>
      <c r="O123" s="823"/>
      <c r="P123" s="823"/>
      <c r="Q123" s="823"/>
      <c r="R123" s="823"/>
      <c r="S123" s="823"/>
      <c r="T123" s="823"/>
      <c r="U123" s="823"/>
      <c r="V123" s="823"/>
      <c r="W123" s="823"/>
      <c r="X123" s="823"/>
      <c r="Y123" s="823"/>
      <c r="Z123" s="823"/>
      <c r="AA123" s="823"/>
      <c r="AB123" s="823"/>
    </row>
    <row r="124" hidden="1">
      <c r="A124" s="862">
        <v>45534.0</v>
      </c>
      <c r="B124" s="818" t="s">
        <v>13939</v>
      </c>
      <c r="C124" s="818" t="s">
        <v>13940</v>
      </c>
      <c r="D124" s="818" t="s">
        <v>13739</v>
      </c>
      <c r="E124" s="818" t="s">
        <v>13890</v>
      </c>
      <c r="F124" s="818" t="s">
        <v>3883</v>
      </c>
      <c r="G124" s="818" t="s">
        <v>13751</v>
      </c>
      <c r="H124" s="823"/>
      <c r="I124" s="823"/>
      <c r="J124" s="823"/>
      <c r="K124" s="823"/>
      <c r="L124" s="823"/>
      <c r="M124" s="823"/>
      <c r="N124" s="823"/>
      <c r="O124" s="823"/>
      <c r="P124" s="823"/>
      <c r="Q124" s="823"/>
      <c r="R124" s="823"/>
      <c r="S124" s="823"/>
      <c r="T124" s="823"/>
      <c r="U124" s="823"/>
      <c r="V124" s="823"/>
      <c r="W124" s="823"/>
      <c r="X124" s="823"/>
      <c r="Y124" s="823"/>
      <c r="Z124" s="823"/>
      <c r="AA124" s="823"/>
      <c r="AB124" s="823"/>
    </row>
    <row r="125" hidden="1">
      <c r="A125" s="862">
        <v>45534.0</v>
      </c>
      <c r="B125" s="818" t="s">
        <v>13941</v>
      </c>
      <c r="C125" s="818" t="s">
        <v>13942</v>
      </c>
      <c r="D125" s="818" t="s">
        <v>13696</v>
      </c>
      <c r="E125" s="818" t="s">
        <v>13700</v>
      </c>
      <c r="F125" s="818" t="s">
        <v>4258</v>
      </c>
      <c r="G125" s="818" t="s">
        <v>13751</v>
      </c>
      <c r="H125" s="823"/>
      <c r="I125" s="823"/>
      <c r="J125" s="823"/>
      <c r="K125" s="823"/>
      <c r="L125" s="823"/>
      <c r="M125" s="823"/>
      <c r="N125" s="823"/>
      <c r="O125" s="823"/>
      <c r="P125" s="823"/>
      <c r="Q125" s="823"/>
      <c r="R125" s="823"/>
      <c r="S125" s="823"/>
      <c r="T125" s="823"/>
      <c r="U125" s="823"/>
      <c r="V125" s="823"/>
      <c r="W125" s="823"/>
      <c r="X125" s="823"/>
      <c r="Y125" s="823"/>
      <c r="Z125" s="823"/>
      <c r="AA125" s="823"/>
      <c r="AB125" s="823"/>
    </row>
    <row r="126" hidden="1">
      <c r="A126" s="862">
        <v>45535.0</v>
      </c>
      <c r="B126" s="818" t="s">
        <v>13943</v>
      </c>
      <c r="C126" s="818" t="s">
        <v>13944</v>
      </c>
      <c r="D126" s="1101">
        <v>0.4166666666666667</v>
      </c>
      <c r="E126" s="818" t="s">
        <v>13700</v>
      </c>
      <c r="F126" s="818" t="s">
        <v>3883</v>
      </c>
      <c r="G126" s="818" t="s">
        <v>13751</v>
      </c>
      <c r="H126" s="823"/>
      <c r="I126" s="823"/>
      <c r="J126" s="823"/>
      <c r="K126" s="823"/>
      <c r="L126" s="823"/>
      <c r="M126" s="823"/>
      <c r="N126" s="823"/>
      <c r="O126" s="823"/>
      <c r="P126" s="823"/>
      <c r="Q126" s="823"/>
      <c r="R126" s="823"/>
      <c r="S126" s="823"/>
      <c r="T126" s="823"/>
      <c r="U126" s="823"/>
      <c r="V126" s="823"/>
      <c r="W126" s="823"/>
      <c r="X126" s="823"/>
      <c r="Y126" s="823"/>
      <c r="Z126" s="823"/>
      <c r="AA126" s="823"/>
      <c r="AB126" s="823"/>
    </row>
    <row r="127" hidden="1">
      <c r="A127" s="862">
        <v>45536.0</v>
      </c>
      <c r="B127" s="818" t="s">
        <v>13945</v>
      </c>
      <c r="C127" s="818" t="s">
        <v>13946</v>
      </c>
      <c r="D127" s="818" t="s">
        <v>13696</v>
      </c>
      <c r="E127" s="818" t="s">
        <v>13700</v>
      </c>
      <c r="F127" s="818" t="s">
        <v>4258</v>
      </c>
      <c r="G127" s="818" t="s">
        <v>13751</v>
      </c>
      <c r="H127" s="823"/>
      <c r="I127" s="823"/>
      <c r="J127" s="823"/>
      <c r="K127" s="823"/>
      <c r="L127" s="823"/>
      <c r="M127" s="823"/>
      <c r="N127" s="823"/>
      <c r="O127" s="823"/>
      <c r="P127" s="823"/>
      <c r="Q127" s="823"/>
      <c r="R127" s="823"/>
      <c r="S127" s="823"/>
      <c r="T127" s="823"/>
      <c r="U127" s="823"/>
      <c r="V127" s="823"/>
      <c r="W127" s="823"/>
      <c r="X127" s="823"/>
      <c r="Y127" s="823"/>
      <c r="Z127" s="823"/>
      <c r="AA127" s="823"/>
      <c r="AB127" s="823"/>
    </row>
    <row r="128" hidden="1">
      <c r="A128" s="862">
        <v>45536.0</v>
      </c>
      <c r="B128" s="818" t="s">
        <v>13947</v>
      </c>
      <c r="C128" s="818" t="s">
        <v>13948</v>
      </c>
      <c r="D128" s="1101">
        <v>0.4583333333333333</v>
      </c>
      <c r="E128" s="818" t="s">
        <v>13700</v>
      </c>
      <c r="F128" s="818" t="s">
        <v>3883</v>
      </c>
      <c r="G128" s="818" t="s">
        <v>13751</v>
      </c>
      <c r="H128" s="823"/>
      <c r="I128" s="823"/>
      <c r="J128" s="823"/>
      <c r="K128" s="823"/>
      <c r="L128" s="823"/>
      <c r="M128" s="823"/>
      <c r="N128" s="823"/>
      <c r="O128" s="823"/>
      <c r="P128" s="823"/>
      <c r="Q128" s="823"/>
      <c r="R128" s="823"/>
      <c r="S128" s="823"/>
      <c r="T128" s="823"/>
      <c r="U128" s="823"/>
      <c r="V128" s="823"/>
      <c r="W128" s="823"/>
      <c r="X128" s="823"/>
      <c r="Y128" s="823"/>
      <c r="Z128" s="823"/>
      <c r="AA128" s="823"/>
      <c r="AB128" s="823"/>
    </row>
    <row r="129" hidden="1">
      <c r="A129" s="862">
        <v>45537.0</v>
      </c>
      <c r="B129" s="818" t="s">
        <v>13949</v>
      </c>
      <c r="C129" s="818" t="s">
        <v>13950</v>
      </c>
      <c r="D129" s="1101">
        <v>0.625</v>
      </c>
      <c r="E129" s="818" t="s">
        <v>13700</v>
      </c>
      <c r="F129" s="818" t="s">
        <v>3883</v>
      </c>
      <c r="G129" s="818" t="s">
        <v>13751</v>
      </c>
      <c r="H129" s="823"/>
      <c r="I129" s="823"/>
      <c r="J129" s="823"/>
      <c r="K129" s="823"/>
      <c r="L129" s="823"/>
      <c r="M129" s="823"/>
      <c r="N129" s="823"/>
      <c r="O129" s="823"/>
      <c r="P129" s="823"/>
      <c r="Q129" s="823"/>
      <c r="R129" s="823"/>
      <c r="S129" s="823"/>
      <c r="T129" s="823"/>
      <c r="U129" s="823"/>
      <c r="V129" s="823"/>
      <c r="W129" s="823"/>
      <c r="X129" s="823"/>
      <c r="Y129" s="823"/>
      <c r="Z129" s="823"/>
      <c r="AA129" s="823"/>
      <c r="AB129" s="823"/>
    </row>
    <row r="130" hidden="1">
      <c r="A130" s="862">
        <v>45537.0</v>
      </c>
      <c r="B130" s="818" t="s">
        <v>13951</v>
      </c>
      <c r="C130" s="818" t="s">
        <v>13952</v>
      </c>
      <c r="D130" s="1101">
        <v>0.4583333333333333</v>
      </c>
      <c r="E130" s="818" t="s">
        <v>13700</v>
      </c>
      <c r="F130" s="818" t="s">
        <v>3883</v>
      </c>
      <c r="G130" s="818" t="s">
        <v>13751</v>
      </c>
      <c r="H130" s="823"/>
      <c r="I130" s="823"/>
      <c r="J130" s="823"/>
      <c r="K130" s="823"/>
      <c r="L130" s="823"/>
      <c r="M130" s="823"/>
      <c r="N130" s="823"/>
      <c r="O130" s="823"/>
      <c r="P130" s="823"/>
      <c r="Q130" s="823"/>
      <c r="R130" s="823"/>
      <c r="S130" s="823"/>
      <c r="T130" s="823"/>
      <c r="U130" s="823"/>
      <c r="V130" s="823"/>
      <c r="W130" s="823"/>
      <c r="X130" s="823"/>
      <c r="Y130" s="823"/>
      <c r="Z130" s="823"/>
      <c r="AA130" s="823"/>
      <c r="AB130" s="823"/>
    </row>
    <row r="131" hidden="1">
      <c r="A131" s="862">
        <v>45537.0</v>
      </c>
      <c r="B131" s="818" t="s">
        <v>13953</v>
      </c>
      <c r="C131" s="738">
        <v>1755000.0</v>
      </c>
      <c r="D131" s="1101">
        <v>0.5833333333333334</v>
      </c>
      <c r="E131" s="818" t="s">
        <v>13700</v>
      </c>
      <c r="F131" s="818" t="s">
        <v>3883</v>
      </c>
      <c r="G131" s="818" t="s">
        <v>13751</v>
      </c>
      <c r="H131" s="823"/>
      <c r="I131" s="823"/>
      <c r="J131" s="823"/>
      <c r="K131" s="823"/>
      <c r="L131" s="823"/>
      <c r="M131" s="823"/>
      <c r="N131" s="823"/>
      <c r="O131" s="823"/>
      <c r="P131" s="823"/>
      <c r="Q131" s="823"/>
      <c r="R131" s="823"/>
      <c r="S131" s="823"/>
      <c r="T131" s="823"/>
      <c r="U131" s="823"/>
      <c r="V131" s="823"/>
      <c r="W131" s="823"/>
      <c r="X131" s="823"/>
      <c r="Y131" s="823"/>
      <c r="Z131" s="823"/>
      <c r="AA131" s="823"/>
      <c r="AB131" s="823"/>
    </row>
    <row r="132" hidden="1">
      <c r="A132" s="862">
        <v>45539.0</v>
      </c>
      <c r="B132" s="818" t="s">
        <v>13954</v>
      </c>
      <c r="C132" s="818" t="s">
        <v>13955</v>
      </c>
      <c r="D132" s="818" t="s">
        <v>13956</v>
      </c>
      <c r="E132" s="818" t="s">
        <v>13700</v>
      </c>
      <c r="F132" s="818" t="s">
        <v>4258</v>
      </c>
      <c r="G132" s="818" t="s">
        <v>13751</v>
      </c>
      <c r="H132" s="823"/>
      <c r="I132" s="823"/>
      <c r="J132" s="823"/>
      <c r="K132" s="823"/>
      <c r="L132" s="823"/>
      <c r="M132" s="823"/>
      <c r="N132" s="823"/>
      <c r="O132" s="823"/>
      <c r="P132" s="823"/>
      <c r="Q132" s="823"/>
      <c r="R132" s="823"/>
      <c r="S132" s="823"/>
      <c r="T132" s="823"/>
      <c r="U132" s="823"/>
      <c r="V132" s="823"/>
      <c r="W132" s="823"/>
      <c r="X132" s="823"/>
      <c r="Y132" s="823"/>
      <c r="Z132" s="823"/>
      <c r="AA132" s="823"/>
      <c r="AB132" s="823"/>
    </row>
    <row r="133" hidden="1">
      <c r="A133" s="862">
        <v>45539.0</v>
      </c>
      <c r="B133" s="818" t="s">
        <v>13957</v>
      </c>
      <c r="C133" s="738" t="s">
        <v>13958</v>
      </c>
      <c r="D133" s="818" t="s">
        <v>13959</v>
      </c>
      <c r="E133" s="818" t="s">
        <v>13700</v>
      </c>
      <c r="F133" s="818" t="s">
        <v>3883</v>
      </c>
      <c r="G133" s="818"/>
      <c r="H133" s="823"/>
      <c r="I133" s="823"/>
      <c r="J133" s="823"/>
      <c r="K133" s="823"/>
      <c r="L133" s="823"/>
      <c r="M133" s="823"/>
      <c r="N133" s="823"/>
      <c r="O133" s="823"/>
      <c r="P133" s="823"/>
      <c r="Q133" s="823"/>
      <c r="R133" s="823"/>
      <c r="S133" s="823"/>
      <c r="T133" s="823"/>
      <c r="U133" s="823"/>
      <c r="V133" s="823"/>
      <c r="W133" s="823"/>
      <c r="X133" s="823"/>
      <c r="Y133" s="823"/>
      <c r="Z133" s="823"/>
      <c r="AA133" s="823"/>
      <c r="AB133" s="823"/>
    </row>
    <row r="134" hidden="1">
      <c r="A134" s="862">
        <v>45539.0</v>
      </c>
      <c r="B134" s="818" t="s">
        <v>13960</v>
      </c>
      <c r="C134" s="818" t="s">
        <v>13961</v>
      </c>
      <c r="D134" s="818" t="s">
        <v>13962</v>
      </c>
      <c r="E134" s="818" t="s">
        <v>13890</v>
      </c>
      <c r="F134" s="818" t="s">
        <v>4258</v>
      </c>
      <c r="G134" s="818" t="s">
        <v>13751</v>
      </c>
      <c r="H134" s="823"/>
      <c r="I134" s="823"/>
      <c r="J134" s="823"/>
      <c r="K134" s="823"/>
      <c r="L134" s="823"/>
      <c r="M134" s="823"/>
      <c r="N134" s="823"/>
      <c r="O134" s="823"/>
      <c r="P134" s="823"/>
      <c r="Q134" s="823"/>
      <c r="R134" s="823"/>
      <c r="S134" s="823"/>
      <c r="T134" s="823"/>
      <c r="U134" s="823"/>
      <c r="V134" s="823"/>
      <c r="W134" s="823"/>
      <c r="X134" s="823"/>
      <c r="Y134" s="823"/>
      <c r="Z134" s="823"/>
      <c r="AA134" s="823"/>
      <c r="AB134" s="823"/>
    </row>
    <row r="135" hidden="1">
      <c r="A135" s="862">
        <v>45540.0</v>
      </c>
      <c r="B135" s="818" t="s">
        <v>13963</v>
      </c>
      <c r="C135" s="738" t="s">
        <v>13964</v>
      </c>
      <c r="D135" s="1101">
        <v>0.5416666666666666</v>
      </c>
      <c r="E135" s="818" t="s">
        <v>13700</v>
      </c>
      <c r="F135" s="818" t="s">
        <v>3883</v>
      </c>
      <c r="G135" s="818" t="s">
        <v>13751</v>
      </c>
      <c r="H135" s="823"/>
      <c r="I135" s="823"/>
      <c r="J135" s="823"/>
      <c r="K135" s="823"/>
      <c r="L135" s="823"/>
      <c r="M135" s="823"/>
      <c r="N135" s="823"/>
      <c r="O135" s="823"/>
      <c r="P135" s="823"/>
      <c r="Q135" s="823"/>
      <c r="R135" s="823"/>
      <c r="S135" s="823"/>
      <c r="T135" s="823"/>
      <c r="U135" s="823"/>
      <c r="V135" s="823"/>
      <c r="W135" s="823"/>
      <c r="X135" s="823"/>
      <c r="Y135" s="823"/>
      <c r="Z135" s="823"/>
      <c r="AA135" s="823"/>
      <c r="AB135" s="823"/>
    </row>
    <row r="136" hidden="1">
      <c r="A136" s="862">
        <v>45541.0</v>
      </c>
      <c r="B136" s="818" t="s">
        <v>13965</v>
      </c>
      <c r="C136" s="738">
        <v>1020.0</v>
      </c>
      <c r="D136" s="1101">
        <v>0.4583333333333333</v>
      </c>
      <c r="E136" s="818" t="s">
        <v>13700</v>
      </c>
      <c r="F136" s="818" t="s">
        <v>3883</v>
      </c>
      <c r="G136" s="818" t="s">
        <v>13751</v>
      </c>
      <c r="H136" s="823"/>
      <c r="I136" s="823"/>
      <c r="J136" s="823"/>
      <c r="K136" s="823"/>
      <c r="L136" s="823"/>
      <c r="M136" s="823"/>
      <c r="N136" s="823"/>
      <c r="O136" s="823"/>
      <c r="P136" s="823"/>
      <c r="Q136" s="823"/>
      <c r="R136" s="823"/>
      <c r="S136" s="823"/>
      <c r="T136" s="823"/>
      <c r="U136" s="823"/>
      <c r="V136" s="823"/>
      <c r="W136" s="823"/>
      <c r="X136" s="823"/>
      <c r="Y136" s="823"/>
      <c r="Z136" s="823"/>
      <c r="AA136" s="823"/>
      <c r="AB136" s="823"/>
    </row>
    <row r="137" hidden="1">
      <c r="A137" s="862">
        <v>45541.0</v>
      </c>
      <c r="B137" s="818" t="s">
        <v>13966</v>
      </c>
      <c r="C137" s="818" t="s">
        <v>13967</v>
      </c>
      <c r="D137" s="818" t="s">
        <v>13711</v>
      </c>
      <c r="E137" s="818" t="s">
        <v>13700</v>
      </c>
      <c r="F137" s="818" t="s">
        <v>4258</v>
      </c>
      <c r="G137" s="818" t="s">
        <v>13751</v>
      </c>
      <c r="H137" s="823"/>
      <c r="I137" s="823"/>
      <c r="J137" s="823"/>
      <c r="K137" s="823"/>
      <c r="L137" s="823"/>
      <c r="M137" s="823"/>
      <c r="N137" s="823"/>
      <c r="O137" s="823"/>
      <c r="P137" s="823"/>
      <c r="Q137" s="823"/>
      <c r="R137" s="823"/>
      <c r="S137" s="823"/>
      <c r="T137" s="823"/>
      <c r="U137" s="823"/>
      <c r="V137" s="823"/>
      <c r="W137" s="823"/>
      <c r="X137" s="823"/>
      <c r="Y137" s="823"/>
      <c r="Z137" s="823"/>
      <c r="AA137" s="823"/>
      <c r="AB137" s="823"/>
    </row>
    <row r="138" hidden="1">
      <c r="A138" s="862">
        <v>45542.0</v>
      </c>
      <c r="B138" s="818" t="s">
        <v>13968</v>
      </c>
      <c r="C138" s="818" t="s">
        <v>13969</v>
      </c>
      <c r="D138" s="1101">
        <v>0.3333333333333333</v>
      </c>
      <c r="E138" s="818" t="s">
        <v>13700</v>
      </c>
      <c r="F138" s="818" t="s">
        <v>3883</v>
      </c>
      <c r="G138" s="818" t="s">
        <v>13751</v>
      </c>
      <c r="H138" s="823"/>
      <c r="I138" s="823"/>
      <c r="J138" s="823"/>
      <c r="K138" s="823"/>
      <c r="L138" s="823"/>
      <c r="M138" s="823"/>
      <c r="N138" s="823"/>
      <c r="O138" s="823"/>
      <c r="P138" s="823"/>
      <c r="Q138" s="823"/>
      <c r="R138" s="823"/>
      <c r="S138" s="823"/>
      <c r="T138" s="823"/>
      <c r="U138" s="823"/>
      <c r="V138" s="823"/>
      <c r="W138" s="823"/>
      <c r="X138" s="823"/>
      <c r="Y138" s="823"/>
      <c r="Z138" s="823"/>
      <c r="AA138" s="823"/>
      <c r="AB138" s="823"/>
    </row>
    <row r="139" hidden="1">
      <c r="A139" s="862">
        <v>45542.0</v>
      </c>
      <c r="B139" s="818" t="s">
        <v>13970</v>
      </c>
      <c r="C139" s="818" t="s">
        <v>13971</v>
      </c>
      <c r="D139" s="1101">
        <v>0.4166666666666667</v>
      </c>
      <c r="E139" s="818" t="s">
        <v>13700</v>
      </c>
      <c r="F139" s="818" t="s">
        <v>3883</v>
      </c>
      <c r="G139" s="818" t="s">
        <v>13751</v>
      </c>
      <c r="H139" s="823"/>
      <c r="I139" s="823"/>
      <c r="J139" s="823"/>
      <c r="K139" s="823"/>
      <c r="L139" s="823"/>
      <c r="M139" s="823"/>
      <c r="N139" s="823"/>
      <c r="O139" s="823"/>
      <c r="P139" s="823"/>
      <c r="Q139" s="823"/>
      <c r="R139" s="823"/>
      <c r="S139" s="823"/>
      <c r="T139" s="823"/>
      <c r="U139" s="823"/>
      <c r="V139" s="823"/>
      <c r="W139" s="823"/>
      <c r="X139" s="823"/>
      <c r="Y139" s="823"/>
      <c r="Z139" s="823"/>
      <c r="AA139" s="823"/>
      <c r="AB139" s="823"/>
    </row>
    <row r="140" hidden="1">
      <c r="A140" s="862">
        <v>45543.0</v>
      </c>
      <c r="B140" s="818" t="s">
        <v>13972</v>
      </c>
      <c r="C140" s="818" t="s">
        <v>13973</v>
      </c>
      <c r="D140" s="818" t="s">
        <v>13690</v>
      </c>
      <c r="E140" s="818" t="s">
        <v>13700</v>
      </c>
      <c r="F140" s="818" t="s">
        <v>4258</v>
      </c>
      <c r="G140" s="818" t="s">
        <v>13751</v>
      </c>
      <c r="H140" s="823"/>
      <c r="I140" s="823"/>
      <c r="J140" s="823"/>
      <c r="K140" s="823"/>
      <c r="L140" s="823"/>
      <c r="M140" s="823"/>
      <c r="N140" s="823"/>
      <c r="O140" s="823"/>
      <c r="P140" s="823"/>
      <c r="Q140" s="823"/>
      <c r="R140" s="823"/>
      <c r="S140" s="823"/>
      <c r="T140" s="823"/>
      <c r="U140" s="823"/>
      <c r="V140" s="823"/>
      <c r="W140" s="823"/>
      <c r="X140" s="823"/>
      <c r="Y140" s="823"/>
      <c r="Z140" s="823"/>
      <c r="AA140" s="823"/>
      <c r="AB140" s="823"/>
    </row>
    <row r="141" hidden="1">
      <c r="A141" s="862">
        <v>45543.0</v>
      </c>
      <c r="B141" s="818" t="s">
        <v>13974</v>
      </c>
      <c r="C141" s="818" t="s">
        <v>13975</v>
      </c>
      <c r="D141" s="818" t="s">
        <v>13794</v>
      </c>
      <c r="E141" s="818" t="s">
        <v>13700</v>
      </c>
      <c r="F141" s="818" t="s">
        <v>4258</v>
      </c>
      <c r="G141" s="818" t="s">
        <v>13751</v>
      </c>
      <c r="H141" s="823"/>
      <c r="I141" s="823"/>
      <c r="J141" s="823"/>
      <c r="K141" s="823"/>
      <c r="L141" s="823"/>
      <c r="M141" s="823"/>
      <c r="N141" s="823"/>
      <c r="O141" s="823"/>
      <c r="P141" s="823"/>
      <c r="Q141" s="823"/>
      <c r="R141" s="823"/>
      <c r="S141" s="823"/>
      <c r="T141" s="823"/>
      <c r="U141" s="823"/>
      <c r="V141" s="823"/>
      <c r="W141" s="823"/>
      <c r="X141" s="823"/>
      <c r="Y141" s="823"/>
      <c r="Z141" s="823"/>
      <c r="AA141" s="823"/>
      <c r="AB141" s="823"/>
    </row>
    <row r="142" hidden="1">
      <c r="A142" s="862">
        <v>45543.0</v>
      </c>
      <c r="B142" s="818" t="s">
        <v>13976</v>
      </c>
      <c r="C142" s="818" t="s">
        <v>13977</v>
      </c>
      <c r="D142" s="818" t="s">
        <v>13876</v>
      </c>
      <c r="E142" s="818" t="s">
        <v>13700</v>
      </c>
      <c r="F142" s="818" t="s">
        <v>4258</v>
      </c>
      <c r="G142" s="818" t="s">
        <v>13751</v>
      </c>
      <c r="H142" s="823"/>
      <c r="I142" s="823"/>
      <c r="J142" s="823"/>
      <c r="K142" s="823"/>
      <c r="L142" s="823"/>
      <c r="M142" s="823"/>
      <c r="N142" s="823"/>
      <c r="O142" s="823"/>
      <c r="P142" s="823"/>
      <c r="Q142" s="823"/>
      <c r="R142" s="823"/>
      <c r="S142" s="823"/>
      <c r="T142" s="823"/>
      <c r="U142" s="823"/>
      <c r="V142" s="823"/>
      <c r="W142" s="823"/>
      <c r="X142" s="823"/>
      <c r="Y142" s="823"/>
      <c r="Z142" s="823"/>
      <c r="AA142" s="823"/>
      <c r="AB142" s="823"/>
    </row>
    <row r="143" hidden="1">
      <c r="A143" s="862">
        <v>45544.0</v>
      </c>
      <c r="B143" s="818" t="s">
        <v>13978</v>
      </c>
      <c r="C143" s="818" t="s">
        <v>13979</v>
      </c>
      <c r="D143" s="818" t="s">
        <v>13980</v>
      </c>
      <c r="E143" s="818" t="s">
        <v>13700</v>
      </c>
      <c r="F143" s="818" t="s">
        <v>4258</v>
      </c>
      <c r="G143" s="818" t="s">
        <v>13751</v>
      </c>
      <c r="H143" s="823"/>
      <c r="I143" s="823"/>
      <c r="J143" s="823"/>
      <c r="K143" s="823"/>
      <c r="L143" s="823"/>
      <c r="M143" s="823"/>
      <c r="N143" s="823"/>
      <c r="O143" s="823"/>
      <c r="P143" s="823"/>
      <c r="Q143" s="823"/>
      <c r="R143" s="823"/>
      <c r="S143" s="823"/>
      <c r="T143" s="823"/>
      <c r="U143" s="823"/>
      <c r="V143" s="823"/>
      <c r="W143" s="823"/>
      <c r="X143" s="823"/>
      <c r="Y143" s="823"/>
      <c r="Z143" s="823"/>
      <c r="AA143" s="823"/>
      <c r="AB143" s="823"/>
    </row>
    <row r="144" hidden="1">
      <c r="A144" s="862">
        <v>45544.0</v>
      </c>
      <c r="B144" s="818" t="s">
        <v>13981</v>
      </c>
      <c r="C144" s="818" t="s">
        <v>13979</v>
      </c>
      <c r="D144" s="818" t="s">
        <v>13728</v>
      </c>
      <c r="E144" s="818" t="s">
        <v>13700</v>
      </c>
      <c r="F144" s="818" t="s">
        <v>4258</v>
      </c>
      <c r="G144" s="818" t="s">
        <v>13751</v>
      </c>
      <c r="H144" s="823"/>
      <c r="I144" s="823"/>
      <c r="J144" s="823"/>
      <c r="K144" s="823"/>
      <c r="L144" s="823"/>
      <c r="M144" s="823"/>
      <c r="N144" s="823"/>
      <c r="O144" s="823"/>
      <c r="P144" s="823"/>
      <c r="Q144" s="823"/>
      <c r="R144" s="823"/>
      <c r="S144" s="823"/>
      <c r="T144" s="823"/>
      <c r="U144" s="823"/>
      <c r="V144" s="823"/>
      <c r="W144" s="823"/>
      <c r="X144" s="823"/>
      <c r="Y144" s="823"/>
      <c r="Z144" s="823"/>
      <c r="AA144" s="823"/>
      <c r="AB144" s="823"/>
    </row>
    <row r="145" hidden="1">
      <c r="A145" s="862">
        <v>45544.0</v>
      </c>
      <c r="B145" s="818" t="s">
        <v>13982</v>
      </c>
      <c r="C145" s="818" t="s">
        <v>13983</v>
      </c>
      <c r="D145" s="818" t="s">
        <v>13980</v>
      </c>
      <c r="E145" s="818" t="s">
        <v>13700</v>
      </c>
      <c r="F145" s="818" t="s">
        <v>4258</v>
      </c>
      <c r="G145" s="818" t="s">
        <v>13751</v>
      </c>
      <c r="H145" s="823"/>
      <c r="I145" s="823"/>
      <c r="J145" s="823"/>
      <c r="K145" s="823"/>
      <c r="L145" s="823"/>
      <c r="M145" s="823"/>
      <c r="N145" s="823"/>
      <c r="O145" s="823"/>
      <c r="P145" s="823"/>
      <c r="Q145" s="823"/>
      <c r="R145" s="823"/>
      <c r="S145" s="823"/>
      <c r="T145" s="823"/>
      <c r="U145" s="823"/>
      <c r="V145" s="823"/>
      <c r="W145" s="823"/>
      <c r="X145" s="823"/>
      <c r="Y145" s="823"/>
      <c r="Z145" s="823"/>
      <c r="AA145" s="823"/>
      <c r="AB145" s="823"/>
    </row>
    <row r="146" hidden="1">
      <c r="A146" s="862">
        <v>45544.0</v>
      </c>
      <c r="B146" s="818" t="s">
        <v>13984</v>
      </c>
      <c r="C146" s="818" t="s">
        <v>13985</v>
      </c>
      <c r="D146" s="818" t="s">
        <v>13711</v>
      </c>
      <c r="E146" s="818" t="s">
        <v>13890</v>
      </c>
      <c r="F146" s="818" t="s">
        <v>4258</v>
      </c>
      <c r="G146" s="818" t="s">
        <v>13751</v>
      </c>
      <c r="H146" s="823"/>
      <c r="I146" s="823"/>
      <c r="J146" s="823"/>
      <c r="K146" s="823"/>
      <c r="L146" s="823"/>
      <c r="M146" s="823"/>
      <c r="N146" s="823"/>
      <c r="O146" s="823"/>
      <c r="P146" s="823"/>
      <c r="Q146" s="823"/>
      <c r="R146" s="823"/>
      <c r="S146" s="823"/>
      <c r="T146" s="823"/>
      <c r="U146" s="823"/>
      <c r="V146" s="823"/>
      <c r="W146" s="823"/>
      <c r="X146" s="823"/>
      <c r="Y146" s="823"/>
      <c r="Z146" s="823"/>
      <c r="AA146" s="823"/>
      <c r="AB146" s="823"/>
    </row>
    <row r="147" hidden="1">
      <c r="A147" s="862">
        <v>45544.0</v>
      </c>
      <c r="B147" s="818" t="s">
        <v>13986</v>
      </c>
      <c r="C147" s="818">
        <v>1100.0</v>
      </c>
      <c r="D147" s="1101">
        <v>0.5416666666666666</v>
      </c>
      <c r="E147" s="818" t="s">
        <v>13700</v>
      </c>
      <c r="F147" s="818" t="s">
        <v>3883</v>
      </c>
      <c r="G147" s="818" t="s">
        <v>13751</v>
      </c>
      <c r="H147" s="823"/>
      <c r="I147" s="823"/>
      <c r="J147" s="823"/>
      <c r="K147" s="823"/>
      <c r="L147" s="823"/>
      <c r="M147" s="823"/>
      <c r="N147" s="823"/>
      <c r="O147" s="823"/>
      <c r="P147" s="823"/>
      <c r="Q147" s="823"/>
      <c r="R147" s="823"/>
      <c r="S147" s="823"/>
      <c r="T147" s="823"/>
      <c r="U147" s="823"/>
      <c r="V147" s="823"/>
      <c r="W147" s="823"/>
      <c r="X147" s="823"/>
      <c r="Y147" s="823"/>
      <c r="Z147" s="823"/>
      <c r="AA147" s="823"/>
      <c r="AB147" s="823"/>
    </row>
    <row r="148" hidden="1">
      <c r="A148" s="862">
        <v>45545.0</v>
      </c>
      <c r="B148" s="818" t="s">
        <v>13987</v>
      </c>
      <c r="C148" s="738" t="s">
        <v>13988</v>
      </c>
      <c r="D148" s="1101">
        <v>0.375</v>
      </c>
      <c r="E148" s="818" t="s">
        <v>13700</v>
      </c>
      <c r="F148" s="818" t="s">
        <v>3883</v>
      </c>
      <c r="G148" s="818" t="s">
        <v>13751</v>
      </c>
      <c r="H148" s="823"/>
      <c r="I148" s="823"/>
      <c r="J148" s="823"/>
      <c r="K148" s="823"/>
      <c r="L148" s="823"/>
      <c r="M148" s="823"/>
      <c r="N148" s="823"/>
      <c r="O148" s="823"/>
      <c r="P148" s="823"/>
      <c r="Q148" s="823"/>
      <c r="R148" s="823"/>
      <c r="S148" s="823"/>
      <c r="T148" s="823"/>
      <c r="U148" s="823"/>
      <c r="V148" s="823"/>
      <c r="W148" s="823"/>
      <c r="X148" s="823"/>
      <c r="Y148" s="823"/>
      <c r="Z148" s="823"/>
      <c r="AA148" s="823"/>
      <c r="AB148" s="823"/>
    </row>
    <row r="149" hidden="1">
      <c r="A149" s="862">
        <v>45545.0</v>
      </c>
      <c r="B149" s="818" t="s">
        <v>13989</v>
      </c>
      <c r="C149" s="818" t="s">
        <v>13990</v>
      </c>
      <c r="D149" s="818" t="s">
        <v>13861</v>
      </c>
      <c r="E149" s="818" t="s">
        <v>13890</v>
      </c>
      <c r="F149" s="818" t="s">
        <v>4258</v>
      </c>
      <c r="G149" s="818" t="s">
        <v>13751</v>
      </c>
      <c r="H149" s="823"/>
      <c r="I149" s="823"/>
      <c r="J149" s="823"/>
      <c r="K149" s="823"/>
      <c r="L149" s="823"/>
      <c r="M149" s="823"/>
      <c r="N149" s="823"/>
      <c r="O149" s="823"/>
      <c r="P149" s="823"/>
      <c r="Q149" s="823"/>
      <c r="R149" s="823"/>
      <c r="S149" s="823"/>
      <c r="T149" s="823"/>
      <c r="U149" s="823"/>
      <c r="V149" s="823"/>
      <c r="W149" s="823"/>
      <c r="X149" s="823"/>
      <c r="Y149" s="823"/>
      <c r="Z149" s="823"/>
      <c r="AA149" s="823"/>
      <c r="AB149" s="823"/>
    </row>
    <row r="150" hidden="1">
      <c r="A150" s="862">
        <v>45545.0</v>
      </c>
      <c r="B150" s="818" t="s">
        <v>13991</v>
      </c>
      <c r="C150" s="738" t="s">
        <v>13992</v>
      </c>
      <c r="D150" s="1101">
        <v>0.4166666666666667</v>
      </c>
      <c r="E150" s="818" t="s">
        <v>13700</v>
      </c>
      <c r="F150" s="818" t="s">
        <v>3883</v>
      </c>
      <c r="G150" s="818" t="s">
        <v>13751</v>
      </c>
      <c r="H150" s="823"/>
      <c r="I150" s="823"/>
      <c r="J150" s="823"/>
      <c r="K150" s="823"/>
      <c r="L150" s="823"/>
      <c r="M150" s="823"/>
      <c r="N150" s="823"/>
      <c r="O150" s="823"/>
      <c r="P150" s="823"/>
      <c r="Q150" s="823"/>
      <c r="R150" s="823"/>
      <c r="S150" s="823"/>
      <c r="T150" s="823"/>
      <c r="U150" s="823"/>
      <c r="V150" s="823"/>
      <c r="W150" s="823"/>
      <c r="X150" s="823"/>
      <c r="Y150" s="823"/>
      <c r="Z150" s="823"/>
      <c r="AA150" s="823"/>
      <c r="AB150" s="823"/>
    </row>
    <row r="151" hidden="1">
      <c r="A151" s="862">
        <v>45545.0</v>
      </c>
      <c r="B151" s="818" t="s">
        <v>13993</v>
      </c>
      <c r="C151" s="818" t="s">
        <v>13994</v>
      </c>
      <c r="D151" s="818" t="s">
        <v>13696</v>
      </c>
      <c r="E151" s="818" t="s">
        <v>13700</v>
      </c>
      <c r="F151" s="818" t="s">
        <v>4258</v>
      </c>
      <c r="G151" s="818" t="s">
        <v>13751</v>
      </c>
      <c r="H151" s="823"/>
      <c r="I151" s="823"/>
      <c r="J151" s="823"/>
      <c r="K151" s="823"/>
      <c r="L151" s="823"/>
      <c r="M151" s="823"/>
      <c r="N151" s="823"/>
      <c r="O151" s="823"/>
      <c r="P151" s="823"/>
      <c r="Q151" s="823"/>
      <c r="R151" s="823"/>
      <c r="S151" s="823"/>
      <c r="T151" s="823"/>
      <c r="U151" s="823"/>
      <c r="V151" s="823"/>
      <c r="W151" s="823"/>
      <c r="X151" s="823"/>
      <c r="Y151" s="823"/>
      <c r="Z151" s="823"/>
      <c r="AA151" s="823"/>
      <c r="AB151" s="823"/>
    </row>
    <row r="152" hidden="1">
      <c r="A152" s="862">
        <v>45545.0</v>
      </c>
      <c r="B152" s="818" t="s">
        <v>13995</v>
      </c>
      <c r="C152" s="818" t="s">
        <v>13996</v>
      </c>
      <c r="D152" s="818" t="s">
        <v>13876</v>
      </c>
      <c r="E152" s="818" t="s">
        <v>13700</v>
      </c>
      <c r="F152" s="818" t="s">
        <v>4258</v>
      </c>
      <c r="G152" s="818" t="s">
        <v>13751</v>
      </c>
      <c r="H152" s="823"/>
      <c r="I152" s="823"/>
      <c r="J152" s="823"/>
      <c r="K152" s="823"/>
      <c r="L152" s="823"/>
      <c r="M152" s="823"/>
      <c r="N152" s="823"/>
      <c r="O152" s="823"/>
      <c r="P152" s="823"/>
      <c r="Q152" s="823"/>
      <c r="R152" s="823"/>
      <c r="S152" s="823"/>
      <c r="T152" s="823"/>
      <c r="U152" s="823"/>
      <c r="V152" s="823"/>
      <c r="W152" s="823"/>
      <c r="X152" s="823"/>
      <c r="Y152" s="823"/>
      <c r="Z152" s="823"/>
      <c r="AA152" s="823"/>
      <c r="AB152" s="823"/>
    </row>
    <row r="153" hidden="1">
      <c r="A153" s="862">
        <v>45546.0</v>
      </c>
      <c r="B153" s="818" t="s">
        <v>13997</v>
      </c>
      <c r="C153" s="1110" t="s">
        <v>13998</v>
      </c>
      <c r="D153" s="818" t="s">
        <v>13815</v>
      </c>
      <c r="E153" s="818" t="s">
        <v>13700</v>
      </c>
      <c r="F153" s="818" t="s">
        <v>3883</v>
      </c>
      <c r="G153" s="818" t="s">
        <v>13751</v>
      </c>
      <c r="H153" s="823"/>
      <c r="I153" s="823"/>
      <c r="J153" s="823"/>
      <c r="K153" s="823"/>
      <c r="L153" s="823"/>
      <c r="M153" s="823"/>
      <c r="N153" s="823"/>
      <c r="O153" s="823"/>
      <c r="P153" s="823"/>
      <c r="Q153" s="823"/>
      <c r="R153" s="823"/>
      <c r="S153" s="823"/>
      <c r="T153" s="823"/>
      <c r="U153" s="823"/>
      <c r="V153" s="823"/>
      <c r="W153" s="823"/>
      <c r="X153" s="823"/>
      <c r="Y153" s="823"/>
      <c r="Z153" s="823"/>
      <c r="AA153" s="823"/>
      <c r="AB153" s="823"/>
    </row>
    <row r="154" hidden="1">
      <c r="A154" s="862">
        <v>45547.0</v>
      </c>
      <c r="B154" s="818" t="s">
        <v>13999</v>
      </c>
      <c r="C154" s="1109" t="s">
        <v>14000</v>
      </c>
      <c r="D154" s="1101">
        <v>0.4166666666666667</v>
      </c>
      <c r="E154" s="818" t="s">
        <v>13890</v>
      </c>
      <c r="F154" s="818" t="s">
        <v>3883</v>
      </c>
      <c r="G154" s="818" t="s">
        <v>14001</v>
      </c>
      <c r="H154" s="823"/>
      <c r="I154" s="823"/>
      <c r="J154" s="823"/>
      <c r="K154" s="823"/>
      <c r="L154" s="823"/>
      <c r="M154" s="823"/>
      <c r="N154" s="823"/>
      <c r="O154" s="823"/>
      <c r="P154" s="823"/>
      <c r="Q154" s="823"/>
      <c r="R154" s="823"/>
      <c r="S154" s="823"/>
      <c r="T154" s="823"/>
      <c r="U154" s="823"/>
      <c r="V154" s="823"/>
      <c r="W154" s="823"/>
      <c r="X154" s="823"/>
      <c r="Y154" s="823"/>
      <c r="Z154" s="823"/>
      <c r="AA154" s="823"/>
      <c r="AB154" s="823"/>
    </row>
    <row r="155" hidden="1">
      <c r="A155" s="862">
        <v>45547.0</v>
      </c>
      <c r="B155" s="818" t="s">
        <v>14002</v>
      </c>
      <c r="C155" s="818" t="s">
        <v>14003</v>
      </c>
      <c r="D155" s="818" t="s">
        <v>13980</v>
      </c>
      <c r="E155" s="818" t="s">
        <v>13700</v>
      </c>
      <c r="F155" s="818" t="s">
        <v>4258</v>
      </c>
      <c r="G155" s="818" t="s">
        <v>13751</v>
      </c>
      <c r="H155" s="823"/>
      <c r="I155" s="823"/>
      <c r="J155" s="823"/>
      <c r="K155" s="823"/>
      <c r="L155" s="823"/>
      <c r="M155" s="823"/>
      <c r="N155" s="823"/>
      <c r="O155" s="823"/>
      <c r="P155" s="823"/>
      <c r="Q155" s="823"/>
      <c r="R155" s="823"/>
      <c r="S155" s="823"/>
      <c r="T155" s="823"/>
      <c r="U155" s="823"/>
      <c r="V155" s="823"/>
      <c r="W155" s="823"/>
      <c r="X155" s="823"/>
      <c r="Y155" s="823"/>
      <c r="Z155" s="823"/>
      <c r="AA155" s="823"/>
      <c r="AB155" s="823"/>
    </row>
    <row r="156" hidden="1">
      <c r="A156" s="862">
        <v>45547.0</v>
      </c>
      <c r="B156" s="818" t="s">
        <v>14004</v>
      </c>
      <c r="C156" s="818" t="s">
        <v>14005</v>
      </c>
      <c r="D156" s="818" t="s">
        <v>14006</v>
      </c>
      <c r="E156" s="818" t="s">
        <v>13700</v>
      </c>
      <c r="F156" s="818" t="s">
        <v>3883</v>
      </c>
      <c r="G156" s="818" t="s">
        <v>13751</v>
      </c>
      <c r="H156" s="823"/>
      <c r="I156" s="823"/>
      <c r="J156" s="823"/>
      <c r="K156" s="823"/>
      <c r="L156" s="823"/>
      <c r="M156" s="823"/>
      <c r="N156" s="823"/>
      <c r="O156" s="823"/>
      <c r="P156" s="823"/>
      <c r="Q156" s="823"/>
      <c r="R156" s="823"/>
      <c r="S156" s="823"/>
      <c r="T156" s="823"/>
      <c r="U156" s="823"/>
      <c r="V156" s="823"/>
      <c r="W156" s="823"/>
      <c r="X156" s="823"/>
      <c r="Y156" s="823"/>
      <c r="Z156" s="823"/>
      <c r="AA156" s="823"/>
      <c r="AB156" s="823"/>
    </row>
    <row r="157" hidden="1">
      <c r="A157" s="862">
        <v>45548.0</v>
      </c>
      <c r="B157" s="818" t="s">
        <v>14007</v>
      </c>
      <c r="C157" s="1110" t="s">
        <v>14008</v>
      </c>
      <c r="D157" s="1101">
        <v>0.375</v>
      </c>
      <c r="E157" s="818" t="s">
        <v>13700</v>
      </c>
      <c r="F157" s="818" t="s">
        <v>3883</v>
      </c>
      <c r="G157" s="818" t="s">
        <v>13751</v>
      </c>
      <c r="H157" s="823"/>
      <c r="I157" s="823"/>
      <c r="J157" s="823"/>
      <c r="K157" s="823"/>
      <c r="L157" s="823"/>
      <c r="M157" s="823"/>
      <c r="N157" s="823"/>
      <c r="O157" s="823"/>
      <c r="P157" s="823"/>
      <c r="Q157" s="823"/>
      <c r="R157" s="823"/>
      <c r="S157" s="823"/>
      <c r="T157" s="823"/>
      <c r="U157" s="823"/>
      <c r="V157" s="823"/>
      <c r="W157" s="823"/>
      <c r="X157" s="823"/>
      <c r="Y157" s="823"/>
      <c r="Z157" s="823"/>
      <c r="AA157" s="823"/>
      <c r="AB157" s="823"/>
    </row>
    <row r="158" hidden="1">
      <c r="A158" s="862">
        <v>45548.0</v>
      </c>
      <c r="B158" s="818" t="s">
        <v>14009</v>
      </c>
      <c r="C158" s="818" t="s">
        <v>14010</v>
      </c>
      <c r="D158" s="818" t="s">
        <v>13696</v>
      </c>
      <c r="E158" s="818" t="s">
        <v>13700</v>
      </c>
      <c r="F158" s="818" t="s">
        <v>4258</v>
      </c>
      <c r="G158" s="818" t="s">
        <v>13751</v>
      </c>
      <c r="H158" s="823"/>
      <c r="I158" s="823"/>
      <c r="J158" s="823"/>
      <c r="K158" s="823"/>
      <c r="L158" s="823"/>
      <c r="M158" s="823"/>
      <c r="N158" s="823"/>
      <c r="O158" s="823"/>
      <c r="P158" s="823"/>
      <c r="Q158" s="823"/>
      <c r="R158" s="823"/>
      <c r="S158" s="823"/>
      <c r="T158" s="823"/>
      <c r="U158" s="823"/>
      <c r="V158" s="823"/>
      <c r="W158" s="823"/>
      <c r="X158" s="823"/>
      <c r="Y158" s="823"/>
      <c r="Z158" s="823"/>
      <c r="AA158" s="823"/>
      <c r="AB158" s="823"/>
    </row>
    <row r="159" hidden="1">
      <c r="A159" s="862">
        <v>45549.0</v>
      </c>
      <c r="B159" s="818" t="s">
        <v>14011</v>
      </c>
      <c r="C159" s="1110"/>
      <c r="D159" s="1101">
        <v>0.4166666666666667</v>
      </c>
      <c r="E159" s="818" t="s">
        <v>13700</v>
      </c>
      <c r="F159" s="818" t="s">
        <v>4262</v>
      </c>
      <c r="G159" s="818" t="s">
        <v>13751</v>
      </c>
      <c r="H159" s="823"/>
      <c r="I159" s="823"/>
      <c r="J159" s="823"/>
      <c r="K159" s="823"/>
      <c r="L159" s="823"/>
      <c r="M159" s="823"/>
      <c r="N159" s="823"/>
      <c r="O159" s="823"/>
      <c r="P159" s="823"/>
      <c r="Q159" s="823"/>
      <c r="R159" s="823"/>
      <c r="S159" s="823"/>
      <c r="T159" s="823"/>
      <c r="U159" s="823"/>
      <c r="V159" s="823"/>
      <c r="W159" s="823"/>
      <c r="X159" s="823"/>
      <c r="Y159" s="823"/>
      <c r="Z159" s="823"/>
      <c r="AA159" s="823"/>
      <c r="AB159" s="823"/>
    </row>
    <row r="160" hidden="1">
      <c r="A160" s="862">
        <v>45549.0</v>
      </c>
      <c r="B160" s="818" t="s">
        <v>14012</v>
      </c>
      <c r="C160" s="818" t="s">
        <v>14013</v>
      </c>
      <c r="D160" s="818" t="s">
        <v>13690</v>
      </c>
      <c r="E160" s="818" t="s">
        <v>13700</v>
      </c>
      <c r="F160" s="818" t="s">
        <v>4258</v>
      </c>
      <c r="G160" s="818" t="s">
        <v>14014</v>
      </c>
      <c r="H160" s="823"/>
      <c r="I160" s="823"/>
      <c r="J160" s="823"/>
      <c r="K160" s="823"/>
      <c r="L160" s="823"/>
      <c r="M160" s="823"/>
      <c r="N160" s="823"/>
      <c r="O160" s="823"/>
      <c r="P160" s="823"/>
      <c r="Q160" s="823"/>
      <c r="R160" s="823"/>
      <c r="S160" s="823"/>
      <c r="T160" s="823"/>
      <c r="U160" s="823"/>
      <c r="V160" s="823"/>
      <c r="W160" s="823"/>
      <c r="X160" s="823"/>
      <c r="Y160" s="823"/>
      <c r="Z160" s="823"/>
      <c r="AA160" s="823"/>
      <c r="AB160" s="823"/>
    </row>
    <row r="161" hidden="1">
      <c r="A161" s="862">
        <v>45549.0</v>
      </c>
      <c r="B161" s="818" t="s">
        <v>14015</v>
      </c>
      <c r="C161" s="818" t="s">
        <v>14016</v>
      </c>
      <c r="D161" s="818" t="s">
        <v>13696</v>
      </c>
      <c r="E161" s="818" t="s">
        <v>13700</v>
      </c>
      <c r="F161" s="818" t="s">
        <v>4258</v>
      </c>
      <c r="G161" s="818" t="s">
        <v>14014</v>
      </c>
      <c r="H161" s="823"/>
      <c r="I161" s="823"/>
      <c r="J161" s="823"/>
      <c r="K161" s="823"/>
      <c r="L161" s="823"/>
      <c r="M161" s="823"/>
      <c r="N161" s="823"/>
      <c r="O161" s="823"/>
      <c r="P161" s="823"/>
      <c r="Q161" s="823"/>
      <c r="R161" s="823"/>
      <c r="S161" s="823"/>
      <c r="T161" s="823"/>
      <c r="U161" s="823"/>
      <c r="V161" s="823"/>
      <c r="W161" s="823"/>
      <c r="X161" s="823"/>
      <c r="Y161" s="823"/>
      <c r="Z161" s="823"/>
      <c r="AA161" s="823"/>
      <c r="AB161" s="823"/>
    </row>
    <row r="162" hidden="1">
      <c r="A162" s="862">
        <v>45549.0</v>
      </c>
      <c r="B162" s="818" t="s">
        <v>14017</v>
      </c>
      <c r="C162" s="818" t="s">
        <v>14018</v>
      </c>
      <c r="D162" s="818" t="s">
        <v>13876</v>
      </c>
      <c r="E162" s="818" t="s">
        <v>13700</v>
      </c>
      <c r="F162" s="818" t="s">
        <v>4258</v>
      </c>
      <c r="G162" s="818" t="s">
        <v>14014</v>
      </c>
      <c r="H162" s="823"/>
      <c r="I162" s="823"/>
      <c r="J162" s="823"/>
      <c r="K162" s="823"/>
      <c r="L162" s="823"/>
      <c r="M162" s="823"/>
      <c r="N162" s="823"/>
      <c r="O162" s="823"/>
      <c r="P162" s="823"/>
      <c r="Q162" s="823"/>
      <c r="R162" s="823"/>
      <c r="S162" s="823"/>
      <c r="T162" s="823"/>
      <c r="U162" s="823"/>
      <c r="V162" s="823"/>
      <c r="W162" s="823"/>
      <c r="X162" s="823"/>
      <c r="Y162" s="823"/>
      <c r="Z162" s="823"/>
      <c r="AA162" s="823"/>
      <c r="AB162" s="823"/>
    </row>
    <row r="163" hidden="1">
      <c r="A163" s="862">
        <v>45549.0</v>
      </c>
      <c r="B163" s="818" t="s">
        <v>14019</v>
      </c>
      <c r="C163" s="1110" t="s">
        <v>14020</v>
      </c>
      <c r="D163" s="1101">
        <v>0.3333333333333333</v>
      </c>
      <c r="E163" s="818" t="s">
        <v>13890</v>
      </c>
      <c r="F163" s="818" t="s">
        <v>3883</v>
      </c>
      <c r="G163" s="818" t="s">
        <v>13751</v>
      </c>
      <c r="H163" s="823"/>
      <c r="I163" s="823"/>
      <c r="J163" s="823"/>
      <c r="K163" s="823"/>
      <c r="L163" s="823"/>
      <c r="M163" s="823"/>
      <c r="N163" s="823"/>
      <c r="O163" s="823"/>
      <c r="P163" s="823"/>
      <c r="Q163" s="823"/>
      <c r="R163" s="823"/>
      <c r="S163" s="823"/>
      <c r="T163" s="823"/>
      <c r="U163" s="823"/>
      <c r="V163" s="823"/>
      <c r="W163" s="823"/>
      <c r="X163" s="823"/>
      <c r="Y163" s="823"/>
      <c r="Z163" s="823"/>
      <c r="AA163" s="823"/>
      <c r="AB163" s="823"/>
    </row>
    <row r="164" hidden="1">
      <c r="A164" s="862">
        <v>45550.0</v>
      </c>
      <c r="B164" s="818" t="s">
        <v>14021</v>
      </c>
      <c r="C164" s="1110"/>
      <c r="D164" s="1101"/>
      <c r="E164" s="818"/>
      <c r="F164" s="818"/>
      <c r="G164" s="818" t="s">
        <v>13751</v>
      </c>
      <c r="H164" s="823"/>
      <c r="I164" s="823"/>
      <c r="J164" s="823"/>
      <c r="K164" s="823"/>
      <c r="L164" s="823"/>
      <c r="M164" s="823"/>
      <c r="N164" s="823"/>
      <c r="O164" s="823"/>
      <c r="P164" s="823"/>
      <c r="Q164" s="823"/>
      <c r="R164" s="823"/>
      <c r="S164" s="823"/>
      <c r="T164" s="823"/>
      <c r="U164" s="823"/>
      <c r="V164" s="823"/>
      <c r="W164" s="823"/>
      <c r="X164" s="823"/>
      <c r="Y164" s="823"/>
      <c r="Z164" s="823"/>
      <c r="AA164" s="823"/>
      <c r="AB164" s="823"/>
    </row>
    <row r="165" hidden="1">
      <c r="A165" s="862">
        <v>45552.0</v>
      </c>
      <c r="B165" s="818" t="s">
        <v>14022</v>
      </c>
      <c r="C165" s="1110" t="s">
        <v>14023</v>
      </c>
      <c r="D165" s="1101">
        <v>0.4166666666666667</v>
      </c>
      <c r="E165" s="818" t="s">
        <v>14024</v>
      </c>
      <c r="F165" s="818" t="s">
        <v>4262</v>
      </c>
      <c r="G165" s="818" t="s">
        <v>13751</v>
      </c>
      <c r="H165" s="823"/>
      <c r="I165" s="823"/>
      <c r="J165" s="823"/>
      <c r="K165" s="823"/>
      <c r="L165" s="823"/>
      <c r="M165" s="823"/>
      <c r="N165" s="823"/>
      <c r="O165" s="823"/>
      <c r="P165" s="823"/>
      <c r="Q165" s="823"/>
      <c r="R165" s="823"/>
      <c r="S165" s="823"/>
      <c r="T165" s="823"/>
      <c r="U165" s="823"/>
      <c r="V165" s="823"/>
      <c r="W165" s="823"/>
      <c r="X165" s="823"/>
      <c r="Y165" s="823"/>
      <c r="Z165" s="823"/>
      <c r="AA165" s="823"/>
      <c r="AB165" s="823"/>
    </row>
    <row r="166" hidden="1">
      <c r="A166" s="862">
        <v>45552.0</v>
      </c>
      <c r="B166" s="818" t="s">
        <v>14025</v>
      </c>
      <c r="C166" s="818" t="s">
        <v>14026</v>
      </c>
      <c r="D166" s="818" t="s">
        <v>13696</v>
      </c>
      <c r="E166" s="818" t="s">
        <v>14027</v>
      </c>
      <c r="F166" s="818" t="s">
        <v>4258</v>
      </c>
      <c r="G166" s="818" t="s">
        <v>13751</v>
      </c>
      <c r="H166" s="823"/>
      <c r="I166" s="823"/>
      <c r="J166" s="823"/>
      <c r="K166" s="823"/>
      <c r="L166" s="823"/>
      <c r="M166" s="823"/>
      <c r="N166" s="823"/>
      <c r="O166" s="823"/>
      <c r="P166" s="823"/>
      <c r="Q166" s="823"/>
      <c r="R166" s="823"/>
      <c r="S166" s="823"/>
      <c r="T166" s="823"/>
      <c r="U166" s="823"/>
      <c r="V166" s="823"/>
      <c r="W166" s="823"/>
      <c r="X166" s="823"/>
      <c r="Y166" s="823"/>
      <c r="Z166" s="823"/>
      <c r="AA166" s="823"/>
      <c r="AB166" s="823"/>
    </row>
    <row r="167" hidden="1">
      <c r="A167" s="862">
        <v>45552.0</v>
      </c>
      <c r="B167" s="818" t="s">
        <v>14028</v>
      </c>
      <c r="C167" s="818" t="s">
        <v>14029</v>
      </c>
      <c r="D167" s="818" t="s">
        <v>13696</v>
      </c>
      <c r="E167" s="818" t="s">
        <v>13700</v>
      </c>
      <c r="F167" s="818" t="s">
        <v>4258</v>
      </c>
      <c r="G167" s="818" t="s">
        <v>13751</v>
      </c>
      <c r="H167" s="823"/>
      <c r="I167" s="823"/>
      <c r="J167" s="823"/>
      <c r="K167" s="823"/>
      <c r="L167" s="823"/>
      <c r="M167" s="823"/>
      <c r="N167" s="823"/>
      <c r="O167" s="823"/>
      <c r="P167" s="823"/>
      <c r="Q167" s="823"/>
      <c r="R167" s="823"/>
      <c r="S167" s="823"/>
      <c r="T167" s="823"/>
      <c r="U167" s="823"/>
      <c r="V167" s="823"/>
      <c r="W167" s="823"/>
      <c r="X167" s="823"/>
      <c r="Y167" s="823"/>
      <c r="Z167" s="823"/>
      <c r="AA167" s="823"/>
      <c r="AB167" s="823"/>
    </row>
    <row r="168" hidden="1">
      <c r="A168" s="862">
        <v>45552.0</v>
      </c>
      <c r="B168" s="818" t="s">
        <v>14030</v>
      </c>
      <c r="C168" s="1110" t="s">
        <v>14031</v>
      </c>
      <c r="D168" s="1101">
        <v>0.5833333333333334</v>
      </c>
      <c r="E168" s="818" t="s">
        <v>13700</v>
      </c>
      <c r="F168" s="818" t="s">
        <v>3883</v>
      </c>
      <c r="G168" s="818" t="s">
        <v>13751</v>
      </c>
      <c r="H168" s="823"/>
      <c r="I168" s="823"/>
      <c r="J168" s="823"/>
      <c r="K168" s="823"/>
      <c r="L168" s="823"/>
      <c r="M168" s="823"/>
      <c r="N168" s="823"/>
      <c r="O168" s="823"/>
      <c r="P168" s="823"/>
      <c r="Q168" s="823"/>
      <c r="R168" s="823"/>
      <c r="S168" s="823"/>
      <c r="T168" s="823"/>
      <c r="U168" s="823"/>
      <c r="V168" s="823"/>
      <c r="W168" s="823"/>
      <c r="X168" s="823"/>
      <c r="Y168" s="823"/>
      <c r="Z168" s="823"/>
      <c r="AA168" s="823"/>
      <c r="AB168" s="823"/>
    </row>
    <row r="169" hidden="1">
      <c r="A169" s="862">
        <v>45553.0</v>
      </c>
      <c r="B169" s="818" t="s">
        <v>14032</v>
      </c>
      <c r="C169" s="818" t="s">
        <v>14033</v>
      </c>
      <c r="D169" s="1101">
        <v>0.5833333333333334</v>
      </c>
      <c r="E169" s="818" t="s">
        <v>14024</v>
      </c>
      <c r="F169" s="818" t="s">
        <v>3883</v>
      </c>
      <c r="G169" s="818" t="s">
        <v>13751</v>
      </c>
      <c r="H169" s="823"/>
      <c r="I169" s="823"/>
      <c r="J169" s="823"/>
      <c r="K169" s="823"/>
      <c r="L169" s="823"/>
      <c r="M169" s="823"/>
      <c r="N169" s="823"/>
      <c r="O169" s="823"/>
      <c r="P169" s="823"/>
      <c r="Q169" s="823"/>
      <c r="R169" s="823"/>
      <c r="S169" s="823"/>
      <c r="T169" s="823"/>
      <c r="U169" s="823"/>
      <c r="V169" s="823"/>
      <c r="W169" s="823"/>
      <c r="X169" s="823"/>
      <c r="Y169" s="823"/>
      <c r="Z169" s="823"/>
      <c r="AA169" s="823"/>
      <c r="AB169" s="823"/>
    </row>
    <row r="170" hidden="1">
      <c r="A170" s="862">
        <v>45553.0</v>
      </c>
      <c r="B170" s="818" t="s">
        <v>14034</v>
      </c>
      <c r="C170" s="818" t="s">
        <v>14035</v>
      </c>
      <c r="D170" s="818" t="s">
        <v>13690</v>
      </c>
      <c r="E170" s="818" t="s">
        <v>14024</v>
      </c>
      <c r="F170" s="818" t="s">
        <v>4258</v>
      </c>
      <c r="G170" s="818" t="s">
        <v>13751</v>
      </c>
      <c r="H170" s="823"/>
      <c r="I170" s="823"/>
      <c r="J170" s="823"/>
      <c r="K170" s="823"/>
      <c r="L170" s="823"/>
      <c r="M170" s="823"/>
      <c r="N170" s="823"/>
      <c r="O170" s="823"/>
      <c r="P170" s="823"/>
      <c r="Q170" s="823"/>
      <c r="R170" s="823"/>
      <c r="S170" s="823"/>
      <c r="T170" s="823"/>
      <c r="U170" s="823"/>
      <c r="V170" s="823"/>
      <c r="W170" s="823"/>
      <c r="X170" s="823"/>
      <c r="Y170" s="823"/>
      <c r="Z170" s="823"/>
      <c r="AA170" s="823"/>
      <c r="AB170" s="823"/>
    </row>
    <row r="171" hidden="1">
      <c r="A171" s="862">
        <v>45553.0</v>
      </c>
      <c r="B171" s="818" t="s">
        <v>14036</v>
      </c>
      <c r="C171" s="818" t="s">
        <v>14037</v>
      </c>
      <c r="D171" s="1101">
        <v>0.6666666666666666</v>
      </c>
      <c r="E171" s="818" t="s">
        <v>13700</v>
      </c>
      <c r="F171" s="818" t="s">
        <v>4258</v>
      </c>
      <c r="G171" s="818" t="s">
        <v>13751</v>
      </c>
      <c r="H171" s="823"/>
      <c r="I171" s="823"/>
      <c r="J171" s="823"/>
      <c r="K171" s="823"/>
      <c r="L171" s="823"/>
      <c r="M171" s="823"/>
      <c r="N171" s="823"/>
      <c r="O171" s="823"/>
      <c r="P171" s="823"/>
      <c r="Q171" s="823"/>
      <c r="R171" s="823"/>
      <c r="S171" s="823"/>
      <c r="T171" s="823"/>
      <c r="U171" s="823"/>
      <c r="V171" s="823"/>
      <c r="W171" s="823"/>
      <c r="X171" s="823"/>
      <c r="Y171" s="823"/>
      <c r="Z171" s="823"/>
      <c r="AA171" s="823"/>
      <c r="AB171" s="823"/>
    </row>
    <row r="172" hidden="1">
      <c r="A172" s="818" t="s">
        <v>14038</v>
      </c>
      <c r="B172" s="818" t="s">
        <v>14039</v>
      </c>
      <c r="C172" s="738" t="s">
        <v>14040</v>
      </c>
      <c r="D172" s="818" t="s">
        <v>13722</v>
      </c>
      <c r="E172" s="818" t="s">
        <v>13700</v>
      </c>
      <c r="F172" s="818" t="s">
        <v>3883</v>
      </c>
      <c r="G172" s="818" t="s">
        <v>13751</v>
      </c>
      <c r="H172" s="823"/>
      <c r="I172" s="823"/>
      <c r="J172" s="823"/>
      <c r="K172" s="823"/>
      <c r="L172" s="823"/>
      <c r="M172" s="823"/>
      <c r="N172" s="823"/>
      <c r="O172" s="823"/>
      <c r="P172" s="823"/>
      <c r="Q172" s="823"/>
      <c r="R172" s="823"/>
      <c r="S172" s="823"/>
      <c r="T172" s="823"/>
      <c r="U172" s="823"/>
      <c r="V172" s="823"/>
      <c r="W172" s="823"/>
      <c r="X172" s="823"/>
      <c r="Y172" s="823"/>
      <c r="Z172" s="823"/>
      <c r="AA172" s="823"/>
      <c r="AB172" s="823"/>
    </row>
    <row r="173" hidden="1">
      <c r="A173" s="862">
        <v>45555.0</v>
      </c>
      <c r="B173" s="818" t="s">
        <v>14041</v>
      </c>
      <c r="C173" s="738" t="s">
        <v>14042</v>
      </c>
      <c r="D173" s="1101">
        <v>0.4166666666666667</v>
      </c>
      <c r="E173" s="818" t="s">
        <v>13700</v>
      </c>
      <c r="F173" s="818" t="s">
        <v>3883</v>
      </c>
      <c r="G173" s="818" t="s">
        <v>13751</v>
      </c>
      <c r="H173" s="823"/>
      <c r="I173" s="823"/>
      <c r="J173" s="823"/>
      <c r="K173" s="823"/>
      <c r="L173" s="823"/>
      <c r="M173" s="823"/>
      <c r="N173" s="823"/>
      <c r="O173" s="823"/>
      <c r="P173" s="823"/>
      <c r="Q173" s="823"/>
      <c r="R173" s="823"/>
      <c r="S173" s="823"/>
      <c r="T173" s="823"/>
      <c r="U173" s="823"/>
      <c r="V173" s="823"/>
      <c r="W173" s="823"/>
      <c r="X173" s="823"/>
      <c r="Y173" s="823"/>
      <c r="Z173" s="823"/>
      <c r="AA173" s="823"/>
      <c r="AB173" s="823"/>
    </row>
    <row r="174" hidden="1">
      <c r="A174" s="862">
        <v>45555.0</v>
      </c>
      <c r="B174" s="818" t="s">
        <v>14043</v>
      </c>
      <c r="C174" s="738" t="s">
        <v>14044</v>
      </c>
      <c r="D174" s="1101">
        <v>0.4583333333333333</v>
      </c>
      <c r="E174" s="818" t="s">
        <v>13700</v>
      </c>
      <c r="F174" s="818" t="s">
        <v>3883</v>
      </c>
      <c r="G174" s="818" t="s">
        <v>13751</v>
      </c>
      <c r="H174" s="823"/>
      <c r="I174" s="823"/>
      <c r="J174" s="823"/>
      <c r="K174" s="823"/>
      <c r="L174" s="823"/>
      <c r="M174" s="823"/>
      <c r="N174" s="823"/>
      <c r="O174" s="823"/>
      <c r="P174" s="823"/>
      <c r="Q174" s="823"/>
      <c r="R174" s="823"/>
      <c r="S174" s="823"/>
      <c r="T174" s="823"/>
      <c r="U174" s="823"/>
      <c r="V174" s="823"/>
      <c r="W174" s="823"/>
      <c r="X174" s="823"/>
      <c r="Y174" s="823"/>
      <c r="Z174" s="823"/>
      <c r="AA174" s="823"/>
      <c r="AB174" s="823"/>
    </row>
    <row r="175" hidden="1">
      <c r="A175" s="862">
        <v>45555.0</v>
      </c>
      <c r="B175" s="818" t="s">
        <v>14045</v>
      </c>
      <c r="C175" s="818" t="s">
        <v>14046</v>
      </c>
      <c r="D175" s="818" t="s">
        <v>13696</v>
      </c>
      <c r="E175" s="818" t="s">
        <v>14024</v>
      </c>
      <c r="F175" s="818" t="s">
        <v>4258</v>
      </c>
      <c r="G175" s="818" t="s">
        <v>13751</v>
      </c>
      <c r="H175" s="823"/>
      <c r="I175" s="823"/>
      <c r="J175" s="823"/>
      <c r="K175" s="823"/>
      <c r="L175" s="823"/>
      <c r="M175" s="823"/>
      <c r="N175" s="823"/>
      <c r="O175" s="823"/>
      <c r="P175" s="823"/>
      <c r="Q175" s="823"/>
      <c r="R175" s="823"/>
      <c r="S175" s="823"/>
      <c r="T175" s="823"/>
      <c r="U175" s="823"/>
      <c r="V175" s="823"/>
      <c r="W175" s="823"/>
      <c r="X175" s="823"/>
      <c r="Y175" s="823"/>
      <c r="Z175" s="823"/>
      <c r="AA175" s="823"/>
      <c r="AB175" s="823"/>
    </row>
    <row r="176" hidden="1">
      <c r="A176" s="862">
        <v>45556.0</v>
      </c>
      <c r="B176" s="818" t="s">
        <v>14047</v>
      </c>
      <c r="C176" s="738" t="s">
        <v>14048</v>
      </c>
      <c r="D176" s="818" t="s">
        <v>13815</v>
      </c>
      <c r="E176" s="818" t="s">
        <v>13700</v>
      </c>
      <c r="F176" s="818" t="s">
        <v>3883</v>
      </c>
      <c r="G176" s="818" t="s">
        <v>13751</v>
      </c>
      <c r="H176" s="823"/>
      <c r="I176" s="823"/>
      <c r="J176" s="823"/>
      <c r="K176" s="823"/>
      <c r="L176" s="823"/>
      <c r="M176" s="823"/>
      <c r="N176" s="823"/>
      <c r="O176" s="823"/>
      <c r="P176" s="823"/>
      <c r="Q176" s="823"/>
      <c r="R176" s="823"/>
      <c r="S176" s="823"/>
      <c r="T176" s="823"/>
      <c r="U176" s="823"/>
      <c r="V176" s="823"/>
      <c r="W176" s="823"/>
      <c r="X176" s="823"/>
      <c r="Y176" s="823"/>
      <c r="Z176" s="823"/>
      <c r="AA176" s="823"/>
      <c r="AB176" s="823"/>
    </row>
    <row r="177" hidden="1">
      <c r="A177" s="862">
        <v>45556.0</v>
      </c>
      <c r="B177" s="818" t="s">
        <v>14049</v>
      </c>
      <c r="C177" s="738" t="s">
        <v>14050</v>
      </c>
      <c r="D177" s="1101">
        <v>0.4166666666666667</v>
      </c>
      <c r="E177" s="818" t="s">
        <v>13700</v>
      </c>
      <c r="F177" s="818" t="s">
        <v>4262</v>
      </c>
      <c r="G177" s="818" t="s">
        <v>13751</v>
      </c>
      <c r="H177" s="823"/>
      <c r="I177" s="823"/>
      <c r="J177" s="823"/>
      <c r="K177" s="823"/>
      <c r="L177" s="823"/>
      <c r="M177" s="823"/>
      <c r="N177" s="823"/>
      <c r="O177" s="823"/>
      <c r="P177" s="823"/>
      <c r="Q177" s="823"/>
      <c r="R177" s="823"/>
      <c r="S177" s="823"/>
      <c r="T177" s="823"/>
      <c r="U177" s="823"/>
      <c r="V177" s="823"/>
      <c r="W177" s="823"/>
      <c r="X177" s="823"/>
      <c r="Y177" s="823"/>
      <c r="Z177" s="823"/>
      <c r="AA177" s="823"/>
      <c r="AB177" s="823"/>
    </row>
    <row r="178" hidden="1">
      <c r="A178" s="862">
        <v>45556.0</v>
      </c>
      <c r="B178" s="818" t="s">
        <v>14051</v>
      </c>
      <c r="C178" s="818" t="s">
        <v>14052</v>
      </c>
      <c r="D178" s="818" t="s">
        <v>13690</v>
      </c>
      <c r="E178" s="818" t="s">
        <v>14024</v>
      </c>
      <c r="F178" s="818" t="s">
        <v>4258</v>
      </c>
      <c r="G178" s="818" t="s">
        <v>13751</v>
      </c>
      <c r="H178" s="823"/>
      <c r="I178" s="823"/>
      <c r="J178" s="823"/>
      <c r="K178" s="823"/>
      <c r="L178" s="823"/>
      <c r="M178" s="823"/>
      <c r="N178" s="823"/>
      <c r="O178" s="823"/>
      <c r="P178" s="823"/>
      <c r="Q178" s="823"/>
      <c r="R178" s="823"/>
      <c r="S178" s="823"/>
      <c r="T178" s="823"/>
      <c r="U178" s="823"/>
      <c r="V178" s="823"/>
      <c r="W178" s="823"/>
      <c r="X178" s="823"/>
      <c r="Y178" s="823"/>
      <c r="Z178" s="823"/>
      <c r="AA178" s="823"/>
      <c r="AB178" s="823"/>
    </row>
    <row r="179" hidden="1">
      <c r="A179" s="862">
        <v>45556.0</v>
      </c>
      <c r="B179" s="818" t="s">
        <v>14053</v>
      </c>
      <c r="C179" s="738" t="s">
        <v>14054</v>
      </c>
      <c r="D179" s="1101">
        <v>0.5833333333333334</v>
      </c>
      <c r="E179" s="818" t="s">
        <v>13700</v>
      </c>
      <c r="F179" s="818" t="s">
        <v>3883</v>
      </c>
      <c r="G179" s="818" t="s">
        <v>13751</v>
      </c>
      <c r="H179" s="823"/>
      <c r="I179" s="823"/>
      <c r="J179" s="823"/>
      <c r="K179" s="823"/>
      <c r="L179" s="823"/>
      <c r="M179" s="823"/>
      <c r="N179" s="823"/>
      <c r="O179" s="823"/>
      <c r="P179" s="823"/>
      <c r="Q179" s="823"/>
      <c r="R179" s="823"/>
      <c r="S179" s="823"/>
      <c r="T179" s="823"/>
      <c r="U179" s="823"/>
      <c r="V179" s="823"/>
      <c r="W179" s="823"/>
      <c r="X179" s="823"/>
      <c r="Y179" s="823"/>
      <c r="Z179" s="823"/>
      <c r="AA179" s="823"/>
      <c r="AB179" s="823"/>
    </row>
    <row r="180" hidden="1">
      <c r="A180" s="862">
        <v>45556.0</v>
      </c>
      <c r="B180" s="818" t="s">
        <v>14055</v>
      </c>
      <c r="C180" s="818" t="s">
        <v>14056</v>
      </c>
      <c r="D180" s="818" t="s">
        <v>13739</v>
      </c>
      <c r="E180" s="818" t="s">
        <v>13700</v>
      </c>
      <c r="F180" s="818" t="s">
        <v>4258</v>
      </c>
      <c r="G180" s="818" t="s">
        <v>13751</v>
      </c>
      <c r="H180" s="823"/>
      <c r="I180" s="823"/>
      <c r="J180" s="823"/>
      <c r="K180" s="823"/>
      <c r="L180" s="823"/>
      <c r="M180" s="823"/>
      <c r="N180" s="823"/>
      <c r="O180" s="823"/>
      <c r="P180" s="823"/>
      <c r="Q180" s="823"/>
      <c r="R180" s="823"/>
      <c r="S180" s="823"/>
      <c r="T180" s="823"/>
      <c r="U180" s="823"/>
      <c r="V180" s="823"/>
      <c r="W180" s="823"/>
      <c r="X180" s="823"/>
      <c r="Y180" s="823"/>
      <c r="Z180" s="823"/>
      <c r="AA180" s="823"/>
      <c r="AB180" s="823"/>
    </row>
    <row r="181" hidden="1">
      <c r="A181" s="862">
        <v>45557.0</v>
      </c>
      <c r="B181" s="818" t="s">
        <v>14057</v>
      </c>
      <c r="C181" s="738" t="s">
        <v>14058</v>
      </c>
      <c r="D181" s="1101">
        <v>0.375</v>
      </c>
      <c r="E181" s="818" t="s">
        <v>13700</v>
      </c>
      <c r="F181" s="818" t="s">
        <v>3883</v>
      </c>
      <c r="G181" s="818" t="s">
        <v>11475</v>
      </c>
      <c r="H181" s="823"/>
      <c r="I181" s="823"/>
      <c r="J181" s="823"/>
      <c r="K181" s="823"/>
      <c r="L181" s="823"/>
      <c r="M181" s="823"/>
      <c r="N181" s="823"/>
      <c r="O181" s="823"/>
      <c r="P181" s="823"/>
      <c r="Q181" s="823"/>
      <c r="R181" s="823"/>
      <c r="S181" s="823"/>
      <c r="T181" s="823"/>
      <c r="U181" s="823"/>
      <c r="V181" s="823"/>
      <c r="W181" s="823"/>
      <c r="X181" s="823"/>
      <c r="Y181" s="823"/>
      <c r="Z181" s="823"/>
      <c r="AA181" s="823"/>
      <c r="AB181" s="823"/>
    </row>
    <row r="182" hidden="1">
      <c r="A182" s="862">
        <v>45557.0</v>
      </c>
      <c r="B182" s="818" t="s">
        <v>14059</v>
      </c>
      <c r="C182" s="818" t="s">
        <v>14060</v>
      </c>
      <c r="D182" s="818" t="s">
        <v>13696</v>
      </c>
      <c r="E182" s="818" t="s">
        <v>13700</v>
      </c>
      <c r="F182" s="818" t="s">
        <v>4258</v>
      </c>
      <c r="G182" s="818" t="s">
        <v>11475</v>
      </c>
      <c r="H182" s="823"/>
      <c r="I182" s="823"/>
      <c r="J182" s="823"/>
      <c r="K182" s="823"/>
      <c r="L182" s="823"/>
      <c r="M182" s="823"/>
      <c r="N182" s="823"/>
      <c r="O182" s="823"/>
      <c r="P182" s="823"/>
      <c r="Q182" s="823"/>
      <c r="R182" s="823"/>
      <c r="S182" s="823"/>
      <c r="T182" s="823"/>
      <c r="U182" s="823"/>
      <c r="V182" s="823"/>
      <c r="W182" s="823"/>
      <c r="X182" s="823"/>
      <c r="Y182" s="823"/>
      <c r="Z182" s="823"/>
      <c r="AA182" s="823"/>
      <c r="AB182" s="823"/>
    </row>
    <row r="183" hidden="1">
      <c r="A183" s="862">
        <v>45557.0</v>
      </c>
      <c r="B183" s="818" t="s">
        <v>14061</v>
      </c>
      <c r="C183" s="818" t="s">
        <v>14062</v>
      </c>
      <c r="D183" s="818" t="s">
        <v>13794</v>
      </c>
      <c r="E183" s="818" t="s">
        <v>13700</v>
      </c>
      <c r="F183" s="818" t="s">
        <v>4258</v>
      </c>
      <c r="G183" s="818" t="s">
        <v>11475</v>
      </c>
      <c r="H183" s="823"/>
      <c r="I183" s="823"/>
      <c r="J183" s="823"/>
      <c r="K183" s="823"/>
      <c r="L183" s="823"/>
      <c r="M183" s="823"/>
      <c r="N183" s="823"/>
      <c r="O183" s="823"/>
      <c r="P183" s="823"/>
      <c r="Q183" s="823"/>
      <c r="R183" s="823"/>
      <c r="S183" s="823"/>
      <c r="T183" s="823"/>
      <c r="U183" s="823"/>
      <c r="V183" s="823"/>
      <c r="W183" s="823"/>
      <c r="X183" s="823"/>
      <c r="Y183" s="823"/>
      <c r="Z183" s="823"/>
      <c r="AA183" s="823"/>
      <c r="AB183" s="823"/>
    </row>
    <row r="184" hidden="1">
      <c r="A184" s="862">
        <v>45559.0</v>
      </c>
      <c r="B184" s="818" t="s">
        <v>14063</v>
      </c>
      <c r="C184" s="738" t="s">
        <v>14064</v>
      </c>
      <c r="D184" s="1101">
        <v>0.375</v>
      </c>
      <c r="E184" s="818" t="s">
        <v>13700</v>
      </c>
      <c r="F184" s="818" t="s">
        <v>4262</v>
      </c>
      <c r="G184" s="818" t="s">
        <v>14014</v>
      </c>
      <c r="H184" s="823"/>
      <c r="I184" s="823"/>
      <c r="J184" s="823"/>
      <c r="K184" s="823"/>
      <c r="L184" s="823"/>
      <c r="M184" s="823"/>
      <c r="N184" s="823"/>
      <c r="O184" s="823"/>
      <c r="P184" s="823"/>
      <c r="Q184" s="823"/>
      <c r="R184" s="823"/>
      <c r="S184" s="823"/>
      <c r="T184" s="823"/>
      <c r="U184" s="823"/>
      <c r="V184" s="823"/>
      <c r="W184" s="823"/>
      <c r="X184" s="823"/>
      <c r="Y184" s="823"/>
      <c r="Z184" s="823"/>
      <c r="AA184" s="823"/>
      <c r="AB184" s="823"/>
    </row>
    <row r="185" hidden="1">
      <c r="A185" s="862">
        <v>45559.0</v>
      </c>
      <c r="B185" s="818" t="s">
        <v>14065</v>
      </c>
      <c r="C185" s="818" t="s">
        <v>14066</v>
      </c>
      <c r="D185" s="818" t="s">
        <v>13711</v>
      </c>
      <c r="E185" s="818" t="s">
        <v>13700</v>
      </c>
      <c r="F185" s="818" t="s">
        <v>4258</v>
      </c>
      <c r="G185" s="818" t="s">
        <v>14014</v>
      </c>
      <c r="H185" s="823"/>
      <c r="I185" s="823"/>
      <c r="J185" s="823"/>
      <c r="K185" s="823"/>
      <c r="L185" s="823"/>
      <c r="M185" s="823"/>
      <c r="N185" s="823"/>
      <c r="O185" s="823"/>
      <c r="P185" s="823"/>
      <c r="Q185" s="823"/>
      <c r="R185" s="823"/>
      <c r="S185" s="823"/>
      <c r="T185" s="823"/>
      <c r="U185" s="823"/>
      <c r="V185" s="823"/>
      <c r="W185" s="823"/>
      <c r="X185" s="823"/>
      <c r="Y185" s="823"/>
      <c r="Z185" s="823"/>
      <c r="AA185" s="823"/>
      <c r="AB185" s="823"/>
    </row>
    <row r="186" hidden="1">
      <c r="A186" s="862">
        <v>45559.0</v>
      </c>
      <c r="B186" s="818" t="s">
        <v>14067</v>
      </c>
      <c r="C186" s="1110" t="s">
        <v>14068</v>
      </c>
      <c r="D186" s="818" t="s">
        <v>13722</v>
      </c>
      <c r="E186" s="818" t="s">
        <v>13700</v>
      </c>
      <c r="F186" s="818" t="s">
        <v>4262</v>
      </c>
      <c r="G186" s="818" t="s">
        <v>14014</v>
      </c>
      <c r="H186" s="823"/>
      <c r="I186" s="823"/>
      <c r="J186" s="823"/>
      <c r="K186" s="823"/>
      <c r="L186" s="823"/>
      <c r="M186" s="823"/>
      <c r="N186" s="823"/>
      <c r="O186" s="823"/>
      <c r="P186" s="823"/>
      <c r="Q186" s="823"/>
      <c r="R186" s="823"/>
      <c r="S186" s="823"/>
      <c r="T186" s="823"/>
      <c r="U186" s="823"/>
      <c r="V186" s="823"/>
      <c r="W186" s="823"/>
      <c r="X186" s="823"/>
      <c r="Y186" s="823"/>
      <c r="Z186" s="823"/>
      <c r="AA186" s="823"/>
      <c r="AB186" s="823"/>
    </row>
    <row r="187" hidden="1">
      <c r="A187" s="862">
        <v>45559.0</v>
      </c>
      <c r="B187" s="818" t="s">
        <v>14069</v>
      </c>
      <c r="C187" s="818" t="s">
        <v>14070</v>
      </c>
      <c r="D187" s="818" t="s">
        <v>14071</v>
      </c>
      <c r="E187" s="818" t="s">
        <v>13700</v>
      </c>
      <c r="F187" s="818" t="s">
        <v>4258</v>
      </c>
      <c r="G187" s="818" t="s">
        <v>14014</v>
      </c>
      <c r="H187" s="823"/>
      <c r="I187" s="823"/>
      <c r="J187" s="823"/>
      <c r="K187" s="823"/>
      <c r="L187" s="823"/>
      <c r="M187" s="823"/>
      <c r="N187" s="823"/>
      <c r="O187" s="823"/>
      <c r="P187" s="823"/>
      <c r="Q187" s="823"/>
      <c r="R187" s="823"/>
      <c r="S187" s="823"/>
      <c r="T187" s="823"/>
      <c r="U187" s="823"/>
      <c r="V187" s="823"/>
      <c r="W187" s="823"/>
      <c r="X187" s="823"/>
      <c r="Y187" s="823"/>
      <c r="Z187" s="823"/>
      <c r="AA187" s="823"/>
      <c r="AB187" s="823"/>
    </row>
    <row r="188" hidden="1">
      <c r="A188" s="862">
        <v>45559.0</v>
      </c>
      <c r="B188" s="818" t="s">
        <v>14072</v>
      </c>
      <c r="C188" s="818" t="s">
        <v>14073</v>
      </c>
      <c r="D188" s="818" t="s">
        <v>13686</v>
      </c>
      <c r="E188" s="818" t="s">
        <v>13700</v>
      </c>
      <c r="F188" s="818" t="s">
        <v>4258</v>
      </c>
      <c r="G188" s="818" t="s">
        <v>14014</v>
      </c>
      <c r="H188" s="823"/>
      <c r="I188" s="823"/>
      <c r="J188" s="823"/>
      <c r="K188" s="823"/>
      <c r="L188" s="823"/>
      <c r="M188" s="823"/>
      <c r="N188" s="823"/>
      <c r="O188" s="823"/>
      <c r="P188" s="823"/>
      <c r="Q188" s="823"/>
      <c r="R188" s="823"/>
      <c r="S188" s="823"/>
      <c r="T188" s="823"/>
      <c r="U188" s="823"/>
      <c r="V188" s="823"/>
      <c r="W188" s="823"/>
      <c r="X188" s="823"/>
      <c r="Y188" s="823"/>
      <c r="Z188" s="823"/>
      <c r="AA188" s="823"/>
      <c r="AB188" s="823"/>
    </row>
    <row r="189" hidden="1">
      <c r="A189" s="862">
        <v>45560.0</v>
      </c>
      <c r="B189" s="818" t="s">
        <v>14074</v>
      </c>
      <c r="C189" s="818" t="s">
        <v>14075</v>
      </c>
      <c r="D189" s="818" t="s">
        <v>13722</v>
      </c>
      <c r="E189" s="818" t="s">
        <v>13700</v>
      </c>
      <c r="F189" s="818" t="s">
        <v>4262</v>
      </c>
      <c r="G189" s="818" t="s">
        <v>14014</v>
      </c>
      <c r="H189" s="823"/>
      <c r="I189" s="823"/>
      <c r="J189" s="823"/>
      <c r="K189" s="823"/>
      <c r="L189" s="823"/>
      <c r="M189" s="823"/>
      <c r="N189" s="823"/>
      <c r="O189" s="823"/>
      <c r="P189" s="823"/>
      <c r="Q189" s="823"/>
      <c r="R189" s="823"/>
      <c r="S189" s="823"/>
      <c r="T189" s="823"/>
      <c r="U189" s="823"/>
      <c r="V189" s="823"/>
      <c r="W189" s="823"/>
      <c r="X189" s="823"/>
      <c r="Y189" s="823"/>
      <c r="Z189" s="823"/>
      <c r="AA189" s="823"/>
      <c r="AB189" s="823"/>
    </row>
    <row r="190" hidden="1">
      <c r="A190" s="862">
        <v>45561.0</v>
      </c>
      <c r="B190" s="818" t="s">
        <v>14076</v>
      </c>
      <c r="C190" s="818" t="s">
        <v>14077</v>
      </c>
      <c r="D190" s="818" t="s">
        <v>13868</v>
      </c>
      <c r="E190" s="818" t="s">
        <v>13700</v>
      </c>
      <c r="F190" s="818" t="s">
        <v>4262</v>
      </c>
      <c r="G190" s="818" t="s">
        <v>14014</v>
      </c>
      <c r="H190" s="823"/>
      <c r="I190" s="823"/>
      <c r="J190" s="823"/>
      <c r="K190" s="823"/>
      <c r="L190" s="823"/>
      <c r="M190" s="823"/>
      <c r="N190" s="823"/>
      <c r="O190" s="823"/>
      <c r="P190" s="823"/>
      <c r="Q190" s="823"/>
      <c r="R190" s="823"/>
      <c r="S190" s="823"/>
      <c r="T190" s="823"/>
      <c r="U190" s="823"/>
      <c r="V190" s="823"/>
      <c r="W190" s="823"/>
      <c r="X190" s="823"/>
      <c r="Y190" s="823"/>
      <c r="Z190" s="823"/>
      <c r="AA190" s="823"/>
      <c r="AB190" s="823"/>
    </row>
    <row r="191" hidden="1">
      <c r="A191" s="862">
        <v>45562.0</v>
      </c>
      <c r="B191" s="818" t="s">
        <v>14078</v>
      </c>
      <c r="C191" s="818" t="s">
        <v>14079</v>
      </c>
      <c r="D191" s="818" t="s">
        <v>14080</v>
      </c>
      <c r="E191" s="818" t="s">
        <v>13700</v>
      </c>
      <c r="F191" s="818" t="s">
        <v>4258</v>
      </c>
      <c r="G191" s="818" t="s">
        <v>14014</v>
      </c>
      <c r="H191" s="823"/>
      <c r="I191" s="823"/>
      <c r="J191" s="823"/>
      <c r="K191" s="823"/>
      <c r="L191" s="823"/>
      <c r="M191" s="823"/>
      <c r="N191" s="823"/>
      <c r="O191" s="823"/>
      <c r="P191" s="823"/>
      <c r="Q191" s="823"/>
      <c r="R191" s="823"/>
      <c r="S191" s="823"/>
      <c r="T191" s="823"/>
      <c r="U191" s="823"/>
      <c r="V191" s="823"/>
      <c r="W191" s="823"/>
      <c r="X191" s="823"/>
      <c r="Y191" s="823"/>
      <c r="Z191" s="823"/>
      <c r="AA191" s="823"/>
      <c r="AB191" s="823"/>
    </row>
    <row r="192" hidden="1">
      <c r="A192" s="862">
        <v>45563.0</v>
      </c>
      <c r="B192" s="818" t="s">
        <v>14081</v>
      </c>
      <c r="C192" s="818" t="s">
        <v>14082</v>
      </c>
      <c r="D192" s="818" t="s">
        <v>13868</v>
      </c>
      <c r="E192" s="818" t="s">
        <v>13700</v>
      </c>
      <c r="F192" s="818" t="s">
        <v>4258</v>
      </c>
      <c r="G192" s="818" t="s">
        <v>13751</v>
      </c>
      <c r="H192" s="823"/>
      <c r="I192" s="823"/>
      <c r="J192" s="823"/>
      <c r="K192" s="823"/>
      <c r="L192" s="823"/>
      <c r="M192" s="823"/>
      <c r="N192" s="823"/>
      <c r="O192" s="823"/>
      <c r="P192" s="823"/>
      <c r="Q192" s="823"/>
      <c r="R192" s="823"/>
      <c r="S192" s="823"/>
      <c r="T192" s="823"/>
      <c r="U192" s="823"/>
      <c r="V192" s="823"/>
      <c r="W192" s="823"/>
      <c r="X192" s="823"/>
      <c r="Y192" s="823"/>
      <c r="Z192" s="823"/>
      <c r="AA192" s="823"/>
      <c r="AB192" s="823"/>
    </row>
    <row r="193" hidden="1">
      <c r="A193" s="862">
        <v>45563.0</v>
      </c>
      <c r="B193" s="818" t="s">
        <v>14083</v>
      </c>
      <c r="C193" s="818" t="s">
        <v>14084</v>
      </c>
      <c r="D193" s="1101">
        <v>0.375</v>
      </c>
      <c r="E193" s="818" t="s">
        <v>14024</v>
      </c>
      <c r="F193" s="818" t="s">
        <v>4262</v>
      </c>
      <c r="G193" s="818" t="s">
        <v>13751</v>
      </c>
      <c r="H193" s="823"/>
      <c r="I193" s="823"/>
      <c r="J193" s="823"/>
      <c r="K193" s="823"/>
      <c r="L193" s="823"/>
      <c r="M193" s="823"/>
      <c r="N193" s="823"/>
      <c r="O193" s="823"/>
      <c r="P193" s="823"/>
      <c r="Q193" s="823"/>
      <c r="R193" s="823"/>
      <c r="S193" s="823"/>
      <c r="T193" s="823"/>
      <c r="U193" s="823"/>
      <c r="V193" s="823"/>
      <c r="W193" s="823"/>
      <c r="X193" s="823"/>
      <c r="Y193" s="823"/>
      <c r="Z193" s="823"/>
      <c r="AA193" s="823"/>
      <c r="AB193" s="823"/>
    </row>
    <row r="194" hidden="1">
      <c r="A194" s="862">
        <v>45565.0</v>
      </c>
      <c r="B194" s="818" t="s">
        <v>14085</v>
      </c>
      <c r="C194" s="818" t="s">
        <v>14086</v>
      </c>
      <c r="D194" s="818" t="s">
        <v>13690</v>
      </c>
      <c r="E194" s="818" t="s">
        <v>14024</v>
      </c>
      <c r="F194" s="818" t="s">
        <v>4258</v>
      </c>
      <c r="G194" s="818" t="s">
        <v>13751</v>
      </c>
      <c r="H194" s="823"/>
      <c r="I194" s="823"/>
      <c r="J194" s="823"/>
      <c r="K194" s="823"/>
      <c r="L194" s="823"/>
      <c r="M194" s="823"/>
      <c r="N194" s="823"/>
      <c r="O194" s="823"/>
      <c r="P194" s="823"/>
      <c r="Q194" s="823"/>
      <c r="R194" s="823"/>
      <c r="S194" s="823"/>
      <c r="T194" s="823"/>
      <c r="U194" s="823"/>
      <c r="V194" s="823"/>
      <c r="W194" s="823"/>
      <c r="X194" s="823"/>
      <c r="Y194" s="823"/>
      <c r="Z194" s="823"/>
      <c r="AA194" s="823"/>
      <c r="AB194" s="823"/>
    </row>
    <row r="195" hidden="1">
      <c r="A195" s="862">
        <v>45566.0</v>
      </c>
      <c r="B195" s="818" t="s">
        <v>14087</v>
      </c>
      <c r="C195" s="818" t="s">
        <v>14088</v>
      </c>
      <c r="D195" s="1101">
        <v>0.4166666666666667</v>
      </c>
      <c r="E195" s="818" t="s">
        <v>13700</v>
      </c>
      <c r="F195" s="818" t="s">
        <v>4262</v>
      </c>
      <c r="G195" s="818" t="s">
        <v>13751</v>
      </c>
      <c r="H195" s="823"/>
      <c r="I195" s="823"/>
      <c r="J195" s="823"/>
      <c r="K195" s="823"/>
      <c r="L195" s="823"/>
      <c r="M195" s="823"/>
      <c r="N195" s="823"/>
      <c r="O195" s="823"/>
      <c r="P195" s="823"/>
      <c r="Q195" s="823"/>
      <c r="R195" s="823"/>
      <c r="S195" s="823"/>
      <c r="T195" s="823"/>
      <c r="U195" s="823"/>
      <c r="V195" s="823"/>
      <c r="W195" s="823"/>
      <c r="X195" s="823"/>
      <c r="Y195" s="823"/>
      <c r="Z195" s="823"/>
      <c r="AA195" s="823"/>
      <c r="AB195" s="823"/>
    </row>
    <row r="196" hidden="1">
      <c r="A196" s="862">
        <v>45566.0</v>
      </c>
      <c r="B196" s="818" t="s">
        <v>14089</v>
      </c>
      <c r="C196" s="818" t="s">
        <v>14090</v>
      </c>
      <c r="D196" s="818" t="s">
        <v>13861</v>
      </c>
      <c r="E196" s="818" t="s">
        <v>13700</v>
      </c>
      <c r="F196" s="818" t="s">
        <v>4258</v>
      </c>
      <c r="G196" s="818" t="s">
        <v>13751</v>
      </c>
      <c r="H196" s="823"/>
      <c r="I196" s="823"/>
      <c r="J196" s="823"/>
      <c r="K196" s="823"/>
      <c r="L196" s="823"/>
      <c r="M196" s="823"/>
      <c r="N196" s="823"/>
      <c r="O196" s="823"/>
      <c r="P196" s="823"/>
      <c r="Q196" s="823"/>
      <c r="R196" s="823"/>
      <c r="S196" s="823"/>
      <c r="T196" s="823"/>
      <c r="U196" s="823"/>
      <c r="V196" s="823"/>
      <c r="W196" s="823"/>
      <c r="X196" s="823"/>
      <c r="Y196" s="823"/>
      <c r="Z196" s="823"/>
      <c r="AA196" s="823"/>
      <c r="AB196" s="823"/>
    </row>
    <row r="197" hidden="1">
      <c r="A197" s="862">
        <v>45567.0</v>
      </c>
      <c r="B197" s="818" t="s">
        <v>14091</v>
      </c>
      <c r="C197" s="738">
        <v>1496000.0</v>
      </c>
      <c r="D197" s="1101">
        <v>0.4583333333333333</v>
      </c>
      <c r="E197" s="818" t="s">
        <v>14024</v>
      </c>
      <c r="F197" s="818" t="s">
        <v>3883</v>
      </c>
      <c r="G197" s="818" t="s">
        <v>13751</v>
      </c>
      <c r="H197" s="823"/>
      <c r="I197" s="823"/>
      <c r="J197" s="823"/>
      <c r="K197" s="823"/>
      <c r="L197" s="823"/>
      <c r="M197" s="823"/>
      <c r="N197" s="823"/>
      <c r="O197" s="823"/>
      <c r="P197" s="823"/>
      <c r="Q197" s="823"/>
      <c r="R197" s="823"/>
      <c r="S197" s="823"/>
      <c r="T197" s="823"/>
      <c r="U197" s="823"/>
      <c r="V197" s="823"/>
      <c r="W197" s="823"/>
      <c r="X197" s="823"/>
      <c r="Y197" s="823"/>
      <c r="Z197" s="823"/>
      <c r="AA197" s="823"/>
      <c r="AB197" s="823"/>
    </row>
    <row r="198" hidden="1">
      <c r="A198" s="862">
        <v>45568.0</v>
      </c>
      <c r="B198" s="818" t="s">
        <v>14092</v>
      </c>
      <c r="C198" s="818" t="s">
        <v>14093</v>
      </c>
      <c r="D198" s="818" t="s">
        <v>14094</v>
      </c>
      <c r="E198" s="818" t="s">
        <v>14024</v>
      </c>
      <c r="F198" s="818" t="s">
        <v>4258</v>
      </c>
      <c r="G198" s="818" t="s">
        <v>13751</v>
      </c>
      <c r="H198" s="823"/>
      <c r="I198" s="823"/>
      <c r="J198" s="823"/>
      <c r="K198" s="823"/>
      <c r="L198" s="823"/>
      <c r="M198" s="823"/>
      <c r="N198" s="823"/>
      <c r="O198" s="823"/>
      <c r="P198" s="823"/>
      <c r="Q198" s="823"/>
      <c r="R198" s="823"/>
      <c r="S198" s="823"/>
      <c r="T198" s="823"/>
      <c r="U198" s="823"/>
      <c r="V198" s="823"/>
      <c r="W198" s="823"/>
      <c r="X198" s="823"/>
      <c r="Y198" s="823"/>
      <c r="Z198" s="823"/>
      <c r="AA198" s="823"/>
      <c r="AB198" s="823"/>
    </row>
    <row r="199" hidden="1">
      <c r="A199" s="862">
        <v>45570.0</v>
      </c>
      <c r="B199" s="818" t="s">
        <v>14095</v>
      </c>
      <c r="C199" s="818" t="s">
        <v>14096</v>
      </c>
      <c r="D199" s="1101">
        <v>0.625</v>
      </c>
      <c r="E199" s="818" t="s">
        <v>13700</v>
      </c>
      <c r="F199" s="818" t="s">
        <v>3883</v>
      </c>
      <c r="G199" s="818" t="s">
        <v>13751</v>
      </c>
      <c r="H199" s="823"/>
      <c r="I199" s="823"/>
      <c r="J199" s="823"/>
      <c r="K199" s="823"/>
      <c r="L199" s="823"/>
      <c r="M199" s="823"/>
      <c r="N199" s="823"/>
      <c r="O199" s="823"/>
      <c r="P199" s="823"/>
      <c r="Q199" s="823"/>
      <c r="R199" s="823"/>
      <c r="S199" s="823"/>
      <c r="T199" s="823"/>
      <c r="U199" s="823"/>
      <c r="V199" s="823"/>
      <c r="W199" s="823"/>
      <c r="X199" s="823"/>
      <c r="Y199" s="823"/>
      <c r="Z199" s="823"/>
      <c r="AA199" s="823"/>
      <c r="AB199" s="823"/>
    </row>
    <row r="200" hidden="1">
      <c r="A200" s="862">
        <v>45570.0</v>
      </c>
      <c r="B200" s="818" t="s">
        <v>14097</v>
      </c>
      <c r="C200" s="738" t="s">
        <v>14098</v>
      </c>
      <c r="D200" s="818" t="s">
        <v>13696</v>
      </c>
      <c r="E200" s="818" t="s">
        <v>13700</v>
      </c>
      <c r="F200" s="818" t="s">
        <v>4258</v>
      </c>
      <c r="G200" s="818" t="s">
        <v>13751</v>
      </c>
      <c r="H200" s="823"/>
      <c r="I200" s="823"/>
      <c r="J200" s="823"/>
      <c r="K200" s="823"/>
      <c r="L200" s="823"/>
      <c r="M200" s="823"/>
      <c r="N200" s="823"/>
      <c r="O200" s="823"/>
      <c r="P200" s="823"/>
      <c r="Q200" s="823"/>
      <c r="R200" s="823"/>
      <c r="S200" s="823"/>
      <c r="T200" s="823"/>
      <c r="U200" s="823"/>
      <c r="V200" s="823"/>
      <c r="W200" s="823"/>
      <c r="X200" s="823"/>
      <c r="Y200" s="823"/>
      <c r="Z200" s="823"/>
      <c r="AA200" s="823"/>
      <c r="AB200" s="823"/>
    </row>
    <row r="201" hidden="1">
      <c r="A201" s="862">
        <v>45570.0</v>
      </c>
      <c r="B201" s="818" t="s">
        <v>14099</v>
      </c>
      <c r="C201" s="818">
        <v>880.0</v>
      </c>
      <c r="D201" s="1101">
        <v>0.625</v>
      </c>
      <c r="E201" s="818" t="s">
        <v>13700</v>
      </c>
      <c r="F201" s="818" t="s">
        <v>3883</v>
      </c>
      <c r="G201" s="818" t="s">
        <v>13751</v>
      </c>
      <c r="H201" s="823"/>
      <c r="I201" s="823"/>
      <c r="J201" s="823"/>
      <c r="K201" s="823"/>
      <c r="L201" s="823"/>
      <c r="M201" s="823"/>
      <c r="N201" s="823"/>
      <c r="O201" s="823"/>
      <c r="P201" s="823"/>
      <c r="Q201" s="823"/>
      <c r="R201" s="823"/>
      <c r="S201" s="823"/>
      <c r="T201" s="823"/>
      <c r="U201" s="823"/>
      <c r="V201" s="823"/>
      <c r="W201" s="823"/>
      <c r="X201" s="823"/>
      <c r="Y201" s="823"/>
      <c r="Z201" s="823"/>
      <c r="AA201" s="823"/>
      <c r="AB201" s="823"/>
    </row>
    <row r="202" hidden="1">
      <c r="A202" s="862">
        <v>45571.0</v>
      </c>
      <c r="B202" s="818" t="s">
        <v>14100</v>
      </c>
      <c r="C202" s="823"/>
      <c r="D202" s="818" t="s">
        <v>14101</v>
      </c>
      <c r="E202" s="818" t="s">
        <v>13700</v>
      </c>
      <c r="F202" s="818" t="s">
        <v>4258</v>
      </c>
      <c r="G202" s="818" t="s">
        <v>13751</v>
      </c>
      <c r="H202" s="823"/>
      <c r="I202" s="823"/>
      <c r="J202" s="823"/>
      <c r="K202" s="823"/>
      <c r="L202" s="823"/>
      <c r="M202" s="823"/>
      <c r="N202" s="823"/>
      <c r="O202" s="823"/>
      <c r="P202" s="823"/>
      <c r="Q202" s="823"/>
      <c r="R202" s="823"/>
      <c r="S202" s="823"/>
      <c r="T202" s="823"/>
      <c r="U202" s="823"/>
      <c r="V202" s="823"/>
      <c r="W202" s="823"/>
      <c r="X202" s="823"/>
      <c r="Y202" s="823"/>
      <c r="Z202" s="823"/>
      <c r="AA202" s="823"/>
      <c r="AB202" s="823"/>
    </row>
    <row r="203" hidden="1">
      <c r="A203" s="862">
        <v>45571.0</v>
      </c>
      <c r="B203" s="818" t="s">
        <v>14102</v>
      </c>
      <c r="C203" s="818" t="s">
        <v>14103</v>
      </c>
      <c r="D203" s="818" t="s">
        <v>13686</v>
      </c>
      <c r="E203" s="818" t="s">
        <v>13700</v>
      </c>
      <c r="F203" s="818" t="s">
        <v>4258</v>
      </c>
      <c r="G203" s="818" t="s">
        <v>13751</v>
      </c>
      <c r="H203" s="823"/>
      <c r="I203" s="823"/>
      <c r="J203" s="823"/>
      <c r="K203" s="823"/>
      <c r="L203" s="823"/>
      <c r="M203" s="823"/>
      <c r="N203" s="823"/>
      <c r="O203" s="823"/>
      <c r="P203" s="823"/>
      <c r="Q203" s="823"/>
      <c r="R203" s="823"/>
      <c r="S203" s="823"/>
      <c r="T203" s="823"/>
      <c r="U203" s="823"/>
      <c r="V203" s="823"/>
      <c r="W203" s="823"/>
      <c r="X203" s="823"/>
      <c r="Y203" s="823"/>
      <c r="Z203" s="823"/>
      <c r="AA203" s="823"/>
      <c r="AB203" s="823"/>
    </row>
    <row r="204" hidden="1">
      <c r="A204" s="862">
        <v>45572.0</v>
      </c>
      <c r="B204" s="818" t="s">
        <v>14104</v>
      </c>
      <c r="C204" s="818" t="s">
        <v>1460</v>
      </c>
      <c r="D204" s="823"/>
      <c r="E204" s="818" t="s">
        <v>13700</v>
      </c>
      <c r="F204" s="818" t="s">
        <v>4258</v>
      </c>
      <c r="G204" s="818" t="s">
        <v>13751</v>
      </c>
      <c r="H204" s="823"/>
      <c r="I204" s="823"/>
      <c r="J204" s="823"/>
      <c r="K204" s="823"/>
      <c r="L204" s="823"/>
      <c r="M204" s="823"/>
      <c r="N204" s="823"/>
      <c r="O204" s="823"/>
      <c r="P204" s="823"/>
      <c r="Q204" s="823"/>
      <c r="R204" s="823"/>
      <c r="S204" s="823"/>
      <c r="T204" s="823"/>
      <c r="U204" s="823"/>
      <c r="V204" s="823"/>
      <c r="W204" s="823"/>
      <c r="X204" s="823"/>
      <c r="Y204" s="823"/>
      <c r="Z204" s="823"/>
      <c r="AA204" s="823"/>
      <c r="AB204" s="823"/>
    </row>
    <row r="205" hidden="1">
      <c r="A205" s="862">
        <v>45572.0</v>
      </c>
      <c r="B205" s="818" t="s">
        <v>14105</v>
      </c>
      <c r="C205" s="818" t="s">
        <v>1567</v>
      </c>
      <c r="D205" s="823"/>
      <c r="E205" s="818" t="s">
        <v>13700</v>
      </c>
      <c r="F205" s="818" t="s">
        <v>4258</v>
      </c>
      <c r="G205" s="818" t="s">
        <v>13751</v>
      </c>
      <c r="H205" s="823"/>
      <c r="I205" s="823"/>
      <c r="J205" s="823"/>
      <c r="K205" s="823"/>
      <c r="L205" s="823"/>
      <c r="M205" s="823"/>
      <c r="N205" s="823"/>
      <c r="O205" s="823"/>
      <c r="P205" s="823"/>
      <c r="Q205" s="823"/>
      <c r="R205" s="823"/>
      <c r="S205" s="823"/>
      <c r="T205" s="823"/>
      <c r="U205" s="823"/>
      <c r="V205" s="823"/>
      <c r="W205" s="823"/>
      <c r="X205" s="823"/>
      <c r="Y205" s="823"/>
      <c r="Z205" s="823"/>
      <c r="AA205" s="823"/>
      <c r="AB205" s="823"/>
    </row>
    <row r="206" hidden="1">
      <c r="A206" s="862">
        <v>45543.0</v>
      </c>
      <c r="B206" s="818" t="s">
        <v>14106</v>
      </c>
      <c r="C206" s="818" t="s">
        <v>14107</v>
      </c>
      <c r="D206" s="1101">
        <v>0.5416666666666666</v>
      </c>
      <c r="E206" s="818" t="s">
        <v>13700</v>
      </c>
      <c r="F206" s="818" t="s">
        <v>3883</v>
      </c>
      <c r="G206" s="818" t="s">
        <v>13751</v>
      </c>
      <c r="H206" s="823"/>
      <c r="I206" s="823"/>
      <c r="J206" s="823"/>
      <c r="K206" s="823"/>
      <c r="L206" s="823"/>
      <c r="M206" s="823"/>
      <c r="N206" s="823"/>
      <c r="O206" s="823"/>
      <c r="P206" s="823"/>
      <c r="Q206" s="823"/>
      <c r="R206" s="823"/>
      <c r="S206" s="823"/>
      <c r="T206" s="823"/>
      <c r="U206" s="823"/>
      <c r="V206" s="823"/>
      <c r="W206" s="823"/>
      <c r="X206" s="823"/>
      <c r="Y206" s="823"/>
      <c r="Z206" s="823"/>
      <c r="AA206" s="823"/>
      <c r="AB206" s="823"/>
    </row>
    <row r="207" hidden="1">
      <c r="A207" s="862">
        <v>45573.0</v>
      </c>
      <c r="B207" s="818" t="s">
        <v>14108</v>
      </c>
      <c r="C207" s="818" t="s">
        <v>14109</v>
      </c>
      <c r="D207" s="1101"/>
      <c r="E207" s="818" t="s">
        <v>13700</v>
      </c>
      <c r="F207" s="818" t="s">
        <v>14110</v>
      </c>
      <c r="G207" s="818" t="s">
        <v>13751</v>
      </c>
    </row>
    <row r="208" hidden="1">
      <c r="A208" s="862">
        <v>45573.0</v>
      </c>
      <c r="B208" s="818" t="s">
        <v>14111</v>
      </c>
      <c r="C208" s="818"/>
      <c r="D208" s="1101"/>
      <c r="E208" s="818" t="s">
        <v>13700</v>
      </c>
      <c r="F208" s="818" t="s">
        <v>3883</v>
      </c>
      <c r="G208" s="818" t="s">
        <v>13751</v>
      </c>
    </row>
    <row r="209" hidden="1">
      <c r="A209" s="862">
        <v>45574.0</v>
      </c>
      <c r="B209" s="818" t="s">
        <v>14112</v>
      </c>
      <c r="C209" s="818" t="s">
        <v>14113</v>
      </c>
      <c r="D209" s="818" t="s">
        <v>14114</v>
      </c>
      <c r="E209" s="818" t="s">
        <v>14024</v>
      </c>
      <c r="F209" s="818" t="s">
        <v>4258</v>
      </c>
      <c r="G209" s="818" t="s">
        <v>13751</v>
      </c>
      <c r="H209" s="823"/>
      <c r="I209" s="823"/>
      <c r="J209" s="823"/>
      <c r="K209" s="823"/>
      <c r="L209" s="823"/>
      <c r="M209" s="823"/>
      <c r="N209" s="823"/>
      <c r="O209" s="823"/>
      <c r="P209" s="823"/>
      <c r="Q209" s="823"/>
      <c r="R209" s="823"/>
      <c r="S209" s="823"/>
      <c r="T209" s="823"/>
      <c r="U209" s="823"/>
      <c r="V209" s="823"/>
      <c r="W209" s="823"/>
      <c r="X209" s="823"/>
      <c r="Y209" s="823"/>
      <c r="Z209" s="823"/>
      <c r="AA209" s="823"/>
      <c r="AB209" s="823"/>
    </row>
    <row r="210" hidden="1">
      <c r="A210" s="830">
        <v>45575.0</v>
      </c>
      <c r="B210" s="818" t="s">
        <v>14115</v>
      </c>
      <c r="C210" s="818" t="s">
        <v>14116</v>
      </c>
      <c r="D210" s="818" t="s">
        <v>13728</v>
      </c>
      <c r="E210" s="818" t="s">
        <v>13700</v>
      </c>
      <c r="F210" s="818" t="s">
        <v>4258</v>
      </c>
      <c r="G210" s="818" t="s">
        <v>13751</v>
      </c>
      <c r="H210" s="823"/>
      <c r="I210" s="823"/>
      <c r="J210" s="823"/>
      <c r="K210" s="823"/>
      <c r="L210" s="823"/>
      <c r="M210" s="823"/>
      <c r="N210" s="823"/>
      <c r="O210" s="823"/>
      <c r="P210" s="823"/>
      <c r="Q210" s="823"/>
      <c r="R210" s="823"/>
      <c r="S210" s="823"/>
      <c r="T210" s="823"/>
      <c r="U210" s="823"/>
      <c r="V210" s="823"/>
      <c r="W210" s="823"/>
      <c r="X210" s="823"/>
      <c r="Y210" s="823"/>
      <c r="Z210" s="823"/>
      <c r="AA210" s="823"/>
      <c r="AB210" s="823"/>
    </row>
    <row r="211" hidden="1">
      <c r="A211" s="830">
        <v>45575.0</v>
      </c>
      <c r="B211" s="818" t="s">
        <v>14117</v>
      </c>
      <c r="C211" s="818" t="s">
        <v>14118</v>
      </c>
      <c r="D211" s="1101">
        <v>0.5416666666666666</v>
      </c>
      <c r="E211" s="818" t="s">
        <v>14024</v>
      </c>
      <c r="F211" s="818" t="s">
        <v>4262</v>
      </c>
      <c r="G211" s="818" t="s">
        <v>13751</v>
      </c>
      <c r="H211" s="823"/>
      <c r="I211" s="823"/>
      <c r="J211" s="823"/>
      <c r="K211" s="823"/>
      <c r="L211" s="823"/>
      <c r="M211" s="823"/>
      <c r="N211" s="823"/>
      <c r="O211" s="823"/>
      <c r="P211" s="823"/>
      <c r="Q211" s="823"/>
      <c r="R211" s="823"/>
      <c r="S211" s="823"/>
      <c r="T211" s="823"/>
      <c r="U211" s="823"/>
      <c r="V211" s="823"/>
      <c r="W211" s="823"/>
      <c r="X211" s="823"/>
      <c r="Y211" s="823"/>
      <c r="Z211" s="823"/>
      <c r="AA211" s="823"/>
      <c r="AB211" s="823"/>
    </row>
    <row r="212" hidden="1">
      <c r="A212" s="830">
        <v>45576.0</v>
      </c>
      <c r="B212" s="818" t="s">
        <v>14119</v>
      </c>
      <c r="C212" s="818" t="s">
        <v>14120</v>
      </c>
      <c r="D212" s="1101"/>
      <c r="E212" s="818" t="s">
        <v>13700</v>
      </c>
      <c r="F212" s="818" t="s">
        <v>4262</v>
      </c>
      <c r="G212" s="818" t="s">
        <v>13751</v>
      </c>
      <c r="H212" s="823"/>
      <c r="I212" s="823"/>
      <c r="J212" s="823"/>
      <c r="K212" s="823"/>
      <c r="L212" s="823"/>
      <c r="M212" s="823"/>
      <c r="N212" s="823"/>
      <c r="O212" s="823"/>
      <c r="P212" s="823"/>
      <c r="Q212" s="823"/>
      <c r="R212" s="823"/>
      <c r="S212" s="823"/>
      <c r="T212" s="823"/>
      <c r="U212" s="823"/>
      <c r="V212" s="823"/>
      <c r="W212" s="823"/>
      <c r="X212" s="823"/>
      <c r="Y212" s="823"/>
      <c r="Z212" s="823"/>
      <c r="AA212" s="823"/>
      <c r="AB212" s="823"/>
    </row>
    <row r="213" hidden="1">
      <c r="A213" s="830">
        <v>45576.0</v>
      </c>
      <c r="B213" s="818" t="s">
        <v>14121</v>
      </c>
      <c r="C213" s="818" t="s">
        <v>14122</v>
      </c>
      <c r="D213" s="1101">
        <v>0.5416666666666666</v>
      </c>
      <c r="E213" s="818" t="s">
        <v>14024</v>
      </c>
      <c r="F213" s="818" t="s">
        <v>3883</v>
      </c>
      <c r="G213" s="818" t="s">
        <v>13751</v>
      </c>
      <c r="H213" s="823"/>
      <c r="I213" s="823"/>
      <c r="J213" s="823"/>
      <c r="K213" s="823"/>
      <c r="L213" s="823"/>
      <c r="M213" s="823"/>
      <c r="N213" s="823"/>
      <c r="O213" s="823"/>
      <c r="P213" s="823"/>
      <c r="Q213" s="823"/>
      <c r="R213" s="823"/>
      <c r="S213" s="823"/>
      <c r="T213" s="823"/>
      <c r="U213" s="823"/>
      <c r="V213" s="823"/>
      <c r="W213" s="823"/>
      <c r="X213" s="823"/>
      <c r="Y213" s="823"/>
      <c r="Z213" s="823"/>
      <c r="AA213" s="823"/>
      <c r="AB213" s="823"/>
    </row>
    <row r="214" hidden="1">
      <c r="A214" s="862">
        <v>45577.0</v>
      </c>
      <c r="B214" s="818" t="s">
        <v>14123</v>
      </c>
      <c r="C214" s="818" t="s">
        <v>14124</v>
      </c>
      <c r="D214" s="1101">
        <v>0.5833333333333334</v>
      </c>
      <c r="E214" s="818" t="s">
        <v>13700</v>
      </c>
      <c r="F214" s="818" t="s">
        <v>14110</v>
      </c>
      <c r="G214" s="818" t="s">
        <v>13751</v>
      </c>
      <c r="H214" s="823"/>
      <c r="I214" s="823"/>
      <c r="J214" s="823"/>
      <c r="K214" s="823"/>
      <c r="L214" s="823"/>
      <c r="M214" s="823"/>
      <c r="N214" s="823"/>
      <c r="O214" s="823"/>
      <c r="P214" s="823"/>
      <c r="Q214" s="823"/>
      <c r="R214" s="823"/>
      <c r="S214" s="823"/>
      <c r="T214" s="823"/>
      <c r="U214" s="823"/>
      <c r="V214" s="823"/>
      <c r="W214" s="823"/>
      <c r="X214" s="823"/>
      <c r="Y214" s="823"/>
      <c r="Z214" s="823"/>
      <c r="AA214" s="823"/>
      <c r="AB214" s="823"/>
    </row>
    <row r="215" hidden="1">
      <c r="A215" s="862">
        <v>45577.0</v>
      </c>
      <c r="B215" s="818" t="s">
        <v>14125</v>
      </c>
      <c r="C215" s="818" t="s">
        <v>14126</v>
      </c>
      <c r="D215" s="1101">
        <v>0.375</v>
      </c>
      <c r="E215" s="818" t="s">
        <v>13700</v>
      </c>
      <c r="F215" s="818" t="s">
        <v>4262</v>
      </c>
      <c r="G215" s="818" t="s">
        <v>13751</v>
      </c>
      <c r="H215" s="823"/>
      <c r="I215" s="823"/>
      <c r="J215" s="823"/>
      <c r="K215" s="823"/>
      <c r="L215" s="823"/>
      <c r="M215" s="823"/>
      <c r="N215" s="823"/>
      <c r="O215" s="823"/>
      <c r="P215" s="823"/>
      <c r="Q215" s="823"/>
      <c r="R215" s="823"/>
      <c r="S215" s="823"/>
      <c r="T215" s="823"/>
      <c r="U215" s="823"/>
      <c r="V215" s="823"/>
      <c r="W215" s="823"/>
      <c r="X215" s="823"/>
      <c r="Y215" s="823"/>
      <c r="Z215" s="823"/>
      <c r="AA215" s="823"/>
      <c r="AB215" s="823"/>
    </row>
    <row r="216" hidden="1">
      <c r="A216" s="862">
        <v>45579.0</v>
      </c>
      <c r="B216" s="818" t="s">
        <v>14127</v>
      </c>
      <c r="C216" s="818" t="s">
        <v>14128</v>
      </c>
      <c r="D216" s="1101">
        <v>0.625</v>
      </c>
      <c r="E216" s="818" t="s">
        <v>13700</v>
      </c>
      <c r="F216" s="818" t="s">
        <v>3883</v>
      </c>
      <c r="G216" s="818" t="s">
        <v>13751</v>
      </c>
      <c r="H216" s="823"/>
      <c r="I216" s="823"/>
      <c r="J216" s="823"/>
      <c r="K216" s="823"/>
      <c r="L216" s="823"/>
      <c r="M216" s="823"/>
      <c r="N216" s="823"/>
      <c r="O216" s="823"/>
      <c r="P216" s="823"/>
      <c r="Q216" s="823"/>
      <c r="R216" s="823"/>
      <c r="S216" s="823"/>
      <c r="T216" s="823"/>
      <c r="U216" s="823"/>
      <c r="V216" s="823"/>
      <c r="W216" s="823"/>
      <c r="X216" s="823"/>
      <c r="Y216" s="823"/>
      <c r="Z216" s="823"/>
      <c r="AA216" s="823"/>
      <c r="AB216" s="823"/>
    </row>
    <row r="217" hidden="1">
      <c r="A217" s="862">
        <v>45580.0</v>
      </c>
      <c r="B217" s="818" t="s">
        <v>14129</v>
      </c>
      <c r="C217" s="738">
        <v>1500000.0</v>
      </c>
      <c r="D217" s="1101">
        <v>0.375</v>
      </c>
      <c r="E217" s="818" t="s">
        <v>14024</v>
      </c>
      <c r="F217" s="818" t="s">
        <v>3883</v>
      </c>
      <c r="G217" s="818" t="s">
        <v>13751</v>
      </c>
      <c r="H217" s="823"/>
      <c r="I217" s="823"/>
      <c r="J217" s="823"/>
      <c r="K217" s="823"/>
      <c r="L217" s="823"/>
      <c r="M217" s="823"/>
      <c r="N217" s="823"/>
      <c r="O217" s="823"/>
      <c r="P217" s="823"/>
      <c r="Q217" s="823"/>
      <c r="R217" s="823"/>
      <c r="S217" s="823"/>
      <c r="T217" s="823"/>
      <c r="U217" s="823"/>
      <c r="V217" s="823"/>
      <c r="W217" s="823"/>
      <c r="X217" s="823"/>
      <c r="Y217" s="823"/>
      <c r="Z217" s="823"/>
      <c r="AA217" s="823"/>
      <c r="AB217" s="823"/>
    </row>
    <row r="218" hidden="1">
      <c r="A218" s="862">
        <v>45580.0</v>
      </c>
      <c r="B218" s="818" t="s">
        <v>14130</v>
      </c>
      <c r="C218" s="818" t="s">
        <v>14131</v>
      </c>
      <c r="D218" s="1101">
        <v>0.3958333333333333</v>
      </c>
      <c r="E218" s="818" t="s">
        <v>13700</v>
      </c>
      <c r="F218" s="818" t="s">
        <v>3883</v>
      </c>
      <c r="G218" s="818" t="s">
        <v>13751</v>
      </c>
      <c r="H218" s="823"/>
      <c r="I218" s="823"/>
      <c r="J218" s="823"/>
      <c r="K218" s="823"/>
      <c r="L218" s="823"/>
      <c r="M218" s="823"/>
      <c r="N218" s="823"/>
      <c r="O218" s="823"/>
      <c r="P218" s="823"/>
      <c r="Q218" s="823"/>
      <c r="R218" s="823"/>
      <c r="S218" s="823"/>
      <c r="T218" s="823"/>
      <c r="U218" s="823"/>
      <c r="V218" s="823"/>
      <c r="W218" s="823"/>
      <c r="X218" s="823"/>
      <c r="Y218" s="823"/>
      <c r="Z218" s="823"/>
      <c r="AA218" s="823"/>
      <c r="AB218" s="823"/>
    </row>
    <row r="219" hidden="1">
      <c r="A219" s="830">
        <v>45581.0</v>
      </c>
      <c r="B219" s="818" t="s">
        <v>14132</v>
      </c>
      <c r="C219" s="818" t="s">
        <v>14133</v>
      </c>
      <c r="D219" s="1101">
        <v>0.375</v>
      </c>
      <c r="E219" s="818" t="s">
        <v>13700</v>
      </c>
      <c r="F219" s="818" t="s">
        <v>3883</v>
      </c>
      <c r="G219" s="818" t="s">
        <v>13751</v>
      </c>
      <c r="H219" s="823"/>
      <c r="I219" s="823"/>
      <c r="J219" s="823"/>
      <c r="K219" s="823"/>
      <c r="L219" s="823"/>
      <c r="M219" s="823"/>
      <c r="N219" s="823"/>
      <c r="O219" s="823"/>
      <c r="P219" s="823"/>
      <c r="Q219" s="823"/>
      <c r="R219" s="823"/>
      <c r="S219" s="823"/>
      <c r="T219" s="823"/>
      <c r="U219" s="823"/>
      <c r="V219" s="823"/>
      <c r="W219" s="823"/>
      <c r="X219" s="823"/>
      <c r="Y219" s="823"/>
      <c r="Z219" s="823"/>
      <c r="AA219" s="823"/>
      <c r="AB219" s="823"/>
    </row>
    <row r="220" hidden="1">
      <c r="A220" s="830">
        <v>45581.0</v>
      </c>
      <c r="B220" s="818" t="s">
        <v>14134</v>
      </c>
      <c r="C220" s="818" t="s">
        <v>14135</v>
      </c>
      <c r="D220" s="1101">
        <v>0.3333333333333333</v>
      </c>
      <c r="E220" s="818" t="s">
        <v>13700</v>
      </c>
      <c r="F220" s="818" t="s">
        <v>3883</v>
      </c>
      <c r="G220" s="818" t="s">
        <v>13751</v>
      </c>
      <c r="H220" s="823"/>
      <c r="I220" s="823"/>
      <c r="J220" s="823"/>
      <c r="K220" s="823"/>
      <c r="L220" s="823"/>
      <c r="M220" s="823"/>
      <c r="N220" s="823"/>
      <c r="O220" s="823"/>
      <c r="P220" s="823"/>
      <c r="Q220" s="823"/>
      <c r="R220" s="823"/>
      <c r="S220" s="823"/>
      <c r="T220" s="823"/>
      <c r="U220" s="823"/>
      <c r="V220" s="823"/>
      <c r="W220" s="823"/>
      <c r="X220" s="823"/>
      <c r="Y220" s="823"/>
      <c r="Z220" s="823"/>
      <c r="AA220" s="823"/>
      <c r="AB220" s="823"/>
    </row>
    <row r="221" hidden="1">
      <c r="A221" s="830">
        <v>45581.0</v>
      </c>
      <c r="B221" s="818" t="s">
        <v>14136</v>
      </c>
      <c r="C221" s="818" t="s">
        <v>14062</v>
      </c>
      <c r="D221" s="818" t="s">
        <v>13711</v>
      </c>
      <c r="E221" s="818" t="s">
        <v>13700</v>
      </c>
      <c r="F221" s="818" t="s">
        <v>4258</v>
      </c>
      <c r="G221" s="818" t="s">
        <v>13751</v>
      </c>
      <c r="H221" s="823"/>
      <c r="I221" s="823"/>
      <c r="J221" s="823"/>
      <c r="K221" s="823"/>
      <c r="L221" s="823"/>
      <c r="M221" s="823"/>
      <c r="N221" s="823"/>
      <c r="O221" s="823"/>
      <c r="P221" s="823"/>
      <c r="Q221" s="823"/>
      <c r="R221" s="823"/>
      <c r="S221" s="823"/>
      <c r="T221" s="823"/>
      <c r="U221" s="823"/>
      <c r="V221" s="823"/>
      <c r="W221" s="823"/>
      <c r="X221" s="823"/>
      <c r="Y221" s="823"/>
      <c r="Z221" s="823"/>
      <c r="AA221" s="823"/>
      <c r="AB221" s="823"/>
    </row>
    <row r="222" hidden="1">
      <c r="A222" s="830">
        <v>45582.0</v>
      </c>
      <c r="B222" s="818" t="s">
        <v>14137</v>
      </c>
      <c r="C222" s="818" t="s">
        <v>14138</v>
      </c>
      <c r="D222" s="818" t="s">
        <v>14139</v>
      </c>
      <c r="E222" s="818" t="s">
        <v>13700</v>
      </c>
      <c r="F222" s="818" t="s">
        <v>4262</v>
      </c>
      <c r="G222" s="818" t="s">
        <v>13751</v>
      </c>
      <c r="H222" s="823"/>
      <c r="I222" s="823"/>
      <c r="J222" s="823"/>
      <c r="K222" s="823"/>
      <c r="L222" s="823"/>
      <c r="M222" s="823"/>
      <c r="N222" s="823"/>
      <c r="O222" s="823"/>
      <c r="P222" s="823"/>
      <c r="Q222" s="823"/>
      <c r="R222" s="823"/>
      <c r="S222" s="823"/>
      <c r="T222" s="823"/>
      <c r="U222" s="823"/>
      <c r="V222" s="823"/>
      <c r="W222" s="823"/>
      <c r="X222" s="823"/>
      <c r="Y222" s="823"/>
      <c r="Z222" s="823"/>
      <c r="AA222" s="823"/>
      <c r="AB222" s="823"/>
    </row>
    <row r="223" hidden="1">
      <c r="A223" s="862">
        <v>45585.0</v>
      </c>
      <c r="B223" s="818" t="s">
        <v>14140</v>
      </c>
      <c r="C223" s="818" t="s">
        <v>14141</v>
      </c>
      <c r="D223" s="1101">
        <v>0.4375</v>
      </c>
      <c r="E223" s="818" t="s">
        <v>13700</v>
      </c>
      <c r="F223" s="818" t="s">
        <v>3883</v>
      </c>
      <c r="G223" s="818" t="s">
        <v>13751</v>
      </c>
      <c r="H223" s="823"/>
      <c r="I223" s="823"/>
      <c r="J223" s="823"/>
      <c r="K223" s="823"/>
      <c r="L223" s="823"/>
      <c r="M223" s="823"/>
      <c r="N223" s="823"/>
      <c r="O223" s="823"/>
      <c r="P223" s="823"/>
      <c r="Q223" s="823"/>
      <c r="R223" s="823"/>
      <c r="S223" s="823"/>
      <c r="T223" s="823"/>
      <c r="U223" s="823"/>
      <c r="V223" s="823"/>
      <c r="W223" s="823"/>
      <c r="X223" s="823"/>
      <c r="Y223" s="823"/>
      <c r="Z223" s="823"/>
      <c r="AA223" s="823"/>
      <c r="AB223" s="823"/>
    </row>
    <row r="224" hidden="1">
      <c r="A224" s="830">
        <v>45586.0</v>
      </c>
      <c r="B224" s="818" t="s">
        <v>14142</v>
      </c>
      <c r="C224" s="818" t="s">
        <v>14143</v>
      </c>
      <c r="D224" s="818" t="s">
        <v>13696</v>
      </c>
      <c r="E224" s="818" t="s">
        <v>13700</v>
      </c>
      <c r="F224" s="818" t="s">
        <v>4258</v>
      </c>
      <c r="G224" s="818" t="s">
        <v>13751</v>
      </c>
      <c r="H224" s="823"/>
      <c r="I224" s="823"/>
      <c r="J224" s="823"/>
      <c r="K224" s="823"/>
      <c r="L224" s="823"/>
      <c r="M224" s="823"/>
      <c r="N224" s="823"/>
      <c r="O224" s="823"/>
      <c r="P224" s="823"/>
      <c r="Q224" s="823"/>
      <c r="R224" s="823"/>
      <c r="S224" s="823"/>
      <c r="T224" s="823"/>
      <c r="U224" s="823"/>
      <c r="V224" s="823"/>
      <c r="W224" s="823"/>
      <c r="X224" s="823"/>
      <c r="Y224" s="823"/>
      <c r="Z224" s="823"/>
      <c r="AA224" s="823"/>
      <c r="AB224" s="823"/>
    </row>
    <row r="225" hidden="1">
      <c r="A225" s="830">
        <v>45586.0</v>
      </c>
      <c r="B225" s="818" t="s">
        <v>14144</v>
      </c>
      <c r="C225" s="818" t="s">
        <v>14145</v>
      </c>
      <c r="D225" s="1101">
        <v>0.375</v>
      </c>
      <c r="E225" s="818" t="s">
        <v>13700</v>
      </c>
      <c r="F225" s="818" t="s">
        <v>3883</v>
      </c>
      <c r="G225" s="818" t="s">
        <v>13751</v>
      </c>
      <c r="H225" s="823"/>
      <c r="I225" s="823"/>
      <c r="J225" s="823"/>
      <c r="K225" s="823"/>
      <c r="L225" s="823"/>
      <c r="M225" s="823"/>
      <c r="N225" s="823"/>
      <c r="O225" s="823"/>
      <c r="P225" s="823"/>
      <c r="Q225" s="823"/>
      <c r="R225" s="823"/>
      <c r="S225" s="823"/>
      <c r="T225" s="823"/>
      <c r="U225" s="823"/>
      <c r="V225" s="823"/>
      <c r="W225" s="823"/>
      <c r="X225" s="823"/>
      <c r="Y225" s="823"/>
      <c r="Z225" s="823"/>
      <c r="AA225" s="823"/>
      <c r="AB225" s="823"/>
    </row>
    <row r="226" hidden="1">
      <c r="A226" s="830">
        <v>45586.0</v>
      </c>
      <c r="B226" s="818" t="s">
        <v>14146</v>
      </c>
      <c r="C226" s="818" t="s">
        <v>14147</v>
      </c>
      <c r="D226" s="1101">
        <v>0.4583333333333333</v>
      </c>
      <c r="E226" s="818" t="s">
        <v>14024</v>
      </c>
      <c r="F226" s="818" t="s">
        <v>3883</v>
      </c>
      <c r="G226" s="818" t="s">
        <v>13751</v>
      </c>
      <c r="H226" s="823"/>
      <c r="I226" s="823"/>
      <c r="J226" s="823"/>
      <c r="K226" s="823"/>
      <c r="L226" s="823"/>
      <c r="M226" s="823"/>
      <c r="N226" s="823"/>
      <c r="O226" s="823"/>
      <c r="P226" s="823"/>
      <c r="Q226" s="823"/>
      <c r="R226" s="823"/>
      <c r="S226" s="823"/>
      <c r="T226" s="823"/>
      <c r="U226" s="823"/>
      <c r="V226" s="823"/>
      <c r="W226" s="823"/>
      <c r="X226" s="823"/>
      <c r="Y226" s="823"/>
      <c r="Z226" s="823"/>
      <c r="AA226" s="823"/>
      <c r="AB226" s="823"/>
    </row>
    <row r="227" hidden="1">
      <c r="A227" s="830">
        <v>45587.0</v>
      </c>
      <c r="B227" s="818" t="s">
        <v>14148</v>
      </c>
      <c r="C227" s="818" t="s">
        <v>14149</v>
      </c>
      <c r="D227" s="818" t="s">
        <v>13815</v>
      </c>
      <c r="E227" s="818" t="s">
        <v>13700</v>
      </c>
      <c r="F227" s="818" t="s">
        <v>4258</v>
      </c>
      <c r="G227" s="818" t="s">
        <v>13751</v>
      </c>
      <c r="H227" s="823"/>
      <c r="I227" s="823"/>
      <c r="J227" s="823"/>
      <c r="K227" s="823"/>
      <c r="L227" s="823"/>
      <c r="M227" s="823"/>
      <c r="N227" s="823"/>
      <c r="O227" s="823"/>
      <c r="P227" s="823"/>
      <c r="Q227" s="823"/>
      <c r="R227" s="823"/>
      <c r="S227" s="823"/>
      <c r="T227" s="823"/>
      <c r="U227" s="823"/>
      <c r="V227" s="823"/>
      <c r="W227" s="823"/>
      <c r="X227" s="823"/>
      <c r="Y227" s="823"/>
      <c r="Z227" s="823"/>
      <c r="AA227" s="823"/>
      <c r="AB227" s="823"/>
    </row>
    <row r="228" hidden="1">
      <c r="A228" s="830">
        <v>45587.0</v>
      </c>
      <c r="B228" s="818" t="s">
        <v>14150</v>
      </c>
      <c r="C228" s="818" t="s">
        <v>14151</v>
      </c>
      <c r="D228" s="1101">
        <v>0.5416666666666666</v>
      </c>
      <c r="E228" s="818" t="s">
        <v>13700</v>
      </c>
      <c r="F228" s="818" t="s">
        <v>3883</v>
      </c>
      <c r="G228" s="818" t="s">
        <v>13751</v>
      </c>
      <c r="H228" s="823"/>
      <c r="I228" s="823"/>
      <c r="J228" s="823"/>
      <c r="K228" s="823"/>
      <c r="L228" s="823"/>
      <c r="M228" s="823"/>
      <c r="N228" s="823"/>
      <c r="O228" s="823"/>
      <c r="P228" s="823"/>
      <c r="Q228" s="823"/>
      <c r="R228" s="823"/>
      <c r="S228" s="823"/>
      <c r="T228" s="823"/>
      <c r="U228" s="823"/>
      <c r="V228" s="823"/>
      <c r="W228" s="823"/>
      <c r="X228" s="823"/>
      <c r="Y228" s="823"/>
      <c r="Z228" s="823"/>
      <c r="AA228" s="823"/>
      <c r="AB228" s="823"/>
    </row>
    <row r="229" hidden="1">
      <c r="A229" s="830">
        <v>45588.0</v>
      </c>
      <c r="B229" s="818" t="s">
        <v>14152</v>
      </c>
      <c r="C229" s="818" t="s">
        <v>14153</v>
      </c>
      <c r="D229" s="818" t="s">
        <v>13794</v>
      </c>
      <c r="E229" s="818" t="s">
        <v>13700</v>
      </c>
      <c r="F229" s="818" t="s">
        <v>4258</v>
      </c>
      <c r="G229" s="818" t="s">
        <v>13751</v>
      </c>
      <c r="H229" s="823"/>
      <c r="I229" s="823"/>
      <c r="J229" s="823"/>
      <c r="K229" s="823"/>
      <c r="L229" s="823"/>
      <c r="M229" s="823"/>
      <c r="N229" s="823"/>
      <c r="O229" s="823"/>
      <c r="P229" s="823"/>
      <c r="Q229" s="823"/>
      <c r="R229" s="823"/>
      <c r="S229" s="823"/>
      <c r="T229" s="823"/>
      <c r="U229" s="823"/>
      <c r="V229" s="823"/>
      <c r="W229" s="823"/>
      <c r="X229" s="823"/>
      <c r="Y229" s="823"/>
      <c r="Z229" s="823"/>
      <c r="AA229" s="823"/>
      <c r="AB229" s="823"/>
    </row>
    <row r="230" hidden="1">
      <c r="A230" s="830">
        <v>45590.0</v>
      </c>
      <c r="B230" s="818" t="s">
        <v>14154</v>
      </c>
      <c r="C230" s="818" t="s">
        <v>14155</v>
      </c>
      <c r="D230" s="818" t="s">
        <v>13980</v>
      </c>
      <c r="E230" s="818" t="s">
        <v>13700</v>
      </c>
      <c r="F230" s="818" t="s">
        <v>4258</v>
      </c>
      <c r="G230" s="818" t="s">
        <v>13751</v>
      </c>
      <c r="H230" s="823"/>
      <c r="I230" s="823"/>
      <c r="J230" s="823"/>
      <c r="K230" s="823"/>
      <c r="L230" s="823"/>
      <c r="M230" s="823"/>
      <c r="N230" s="823"/>
      <c r="O230" s="823"/>
      <c r="P230" s="823"/>
      <c r="Q230" s="823"/>
      <c r="R230" s="823"/>
      <c r="S230" s="823"/>
      <c r="T230" s="823"/>
      <c r="U230" s="823"/>
      <c r="V230" s="823"/>
      <c r="W230" s="823"/>
      <c r="X230" s="823"/>
      <c r="Y230" s="823"/>
      <c r="Z230" s="823"/>
      <c r="AA230" s="823"/>
      <c r="AB230" s="823"/>
    </row>
    <row r="231" hidden="1">
      <c r="A231" s="830">
        <v>45590.0</v>
      </c>
      <c r="B231" s="818" t="s">
        <v>14156</v>
      </c>
      <c r="C231" s="818" t="s">
        <v>14157</v>
      </c>
      <c r="D231" s="818" t="s">
        <v>13690</v>
      </c>
      <c r="E231" s="818" t="s">
        <v>13700</v>
      </c>
      <c r="F231" s="818" t="s">
        <v>4258</v>
      </c>
      <c r="G231" s="818" t="s">
        <v>13751</v>
      </c>
      <c r="H231" s="823"/>
      <c r="I231" s="823"/>
      <c r="J231" s="823"/>
      <c r="K231" s="823"/>
      <c r="L231" s="823"/>
      <c r="M231" s="823"/>
      <c r="N231" s="823"/>
      <c r="O231" s="823"/>
      <c r="P231" s="823"/>
      <c r="Q231" s="823"/>
      <c r="R231" s="823"/>
      <c r="S231" s="823"/>
      <c r="T231" s="823"/>
      <c r="U231" s="823"/>
      <c r="V231" s="823"/>
      <c r="W231" s="823"/>
      <c r="X231" s="823"/>
      <c r="Y231" s="823"/>
      <c r="Z231" s="823"/>
      <c r="AA231" s="823"/>
      <c r="AB231" s="823"/>
    </row>
    <row r="232" hidden="1">
      <c r="A232" s="830">
        <v>45590.0</v>
      </c>
      <c r="B232" s="818" t="s">
        <v>14158</v>
      </c>
      <c r="C232" s="818" t="s">
        <v>14159</v>
      </c>
      <c r="D232" s="1101">
        <v>0.4583333333333333</v>
      </c>
      <c r="E232" s="818" t="s">
        <v>13700</v>
      </c>
      <c r="F232" s="818" t="s">
        <v>4262</v>
      </c>
      <c r="G232" s="818" t="s">
        <v>13751</v>
      </c>
      <c r="H232" s="823"/>
      <c r="I232" s="823"/>
      <c r="J232" s="823"/>
      <c r="K232" s="823"/>
      <c r="L232" s="823"/>
      <c r="M232" s="823"/>
      <c r="N232" s="823"/>
      <c r="O232" s="823"/>
      <c r="P232" s="823"/>
      <c r="Q232" s="823"/>
      <c r="R232" s="823"/>
      <c r="S232" s="823"/>
      <c r="T232" s="823"/>
      <c r="U232" s="823"/>
      <c r="V232" s="823"/>
      <c r="W232" s="823"/>
      <c r="X232" s="823"/>
      <c r="Y232" s="823"/>
      <c r="Z232" s="823"/>
      <c r="AA232" s="823"/>
      <c r="AB232" s="823"/>
    </row>
    <row r="233" hidden="1">
      <c r="A233" s="830">
        <v>45592.0</v>
      </c>
      <c r="B233" s="818" t="s">
        <v>14160</v>
      </c>
      <c r="C233" s="818" t="s">
        <v>14161</v>
      </c>
      <c r="D233" s="1101">
        <v>0.3333333333333333</v>
      </c>
      <c r="E233" s="818" t="s">
        <v>13700</v>
      </c>
      <c r="F233" s="818" t="s">
        <v>3883</v>
      </c>
      <c r="G233" s="818" t="s">
        <v>13751</v>
      </c>
      <c r="H233" s="823"/>
      <c r="I233" s="823"/>
      <c r="J233" s="823"/>
      <c r="K233" s="823"/>
      <c r="L233" s="823"/>
      <c r="M233" s="823"/>
      <c r="N233" s="823"/>
      <c r="O233" s="823"/>
      <c r="P233" s="823"/>
      <c r="Q233" s="823"/>
      <c r="R233" s="823"/>
      <c r="S233" s="823"/>
      <c r="T233" s="823"/>
      <c r="U233" s="823"/>
      <c r="V233" s="823"/>
      <c r="W233" s="823"/>
      <c r="X233" s="823"/>
      <c r="Y233" s="823"/>
      <c r="Z233" s="823"/>
      <c r="AA233" s="823"/>
      <c r="AB233" s="823"/>
    </row>
    <row r="234" hidden="1">
      <c r="A234" s="830">
        <v>45593.0</v>
      </c>
      <c r="B234" s="818" t="s">
        <v>14162</v>
      </c>
      <c r="C234" s="818" t="s">
        <v>1716</v>
      </c>
      <c r="D234" s="823"/>
      <c r="E234" s="818" t="s">
        <v>13700</v>
      </c>
      <c r="F234" s="818" t="s">
        <v>4258</v>
      </c>
      <c r="G234" s="818" t="s">
        <v>13751</v>
      </c>
      <c r="H234" s="823"/>
      <c r="I234" s="823"/>
      <c r="J234" s="823"/>
      <c r="K234" s="823"/>
      <c r="L234" s="823"/>
      <c r="M234" s="823"/>
      <c r="N234" s="823"/>
      <c r="O234" s="823"/>
      <c r="P234" s="823"/>
      <c r="Q234" s="823"/>
      <c r="R234" s="823"/>
      <c r="S234" s="823"/>
      <c r="T234" s="823"/>
      <c r="U234" s="823"/>
      <c r="V234" s="823"/>
      <c r="W234" s="823"/>
      <c r="X234" s="823"/>
      <c r="Y234" s="823"/>
      <c r="Z234" s="823"/>
      <c r="AA234" s="823"/>
      <c r="AB234" s="823"/>
    </row>
    <row r="235" hidden="1">
      <c r="A235" s="830">
        <v>45593.0</v>
      </c>
      <c r="B235" s="818" t="s">
        <v>14163</v>
      </c>
      <c r="C235" s="818" t="s">
        <v>14164</v>
      </c>
      <c r="D235" s="818" t="s">
        <v>14139</v>
      </c>
      <c r="E235" s="818" t="s">
        <v>13700</v>
      </c>
      <c r="F235" s="818" t="s">
        <v>3883</v>
      </c>
      <c r="G235" s="818" t="s">
        <v>13751</v>
      </c>
      <c r="H235" s="823"/>
      <c r="I235" s="823"/>
      <c r="J235" s="823"/>
      <c r="K235" s="823"/>
      <c r="L235" s="823"/>
      <c r="M235" s="823"/>
      <c r="N235" s="823"/>
      <c r="O235" s="823"/>
      <c r="P235" s="823"/>
      <c r="Q235" s="823"/>
      <c r="R235" s="823"/>
      <c r="S235" s="823"/>
      <c r="T235" s="823"/>
      <c r="U235" s="823"/>
      <c r="V235" s="823"/>
      <c r="W235" s="823"/>
      <c r="X235" s="823"/>
      <c r="Y235" s="823"/>
      <c r="Z235" s="823"/>
      <c r="AA235" s="823"/>
      <c r="AB235" s="823"/>
    </row>
    <row r="236" hidden="1">
      <c r="A236" s="830">
        <v>45593.0</v>
      </c>
      <c r="B236" s="818" t="s">
        <v>14165</v>
      </c>
      <c r="C236" s="818" t="s">
        <v>14166</v>
      </c>
      <c r="D236" s="818" t="s">
        <v>13881</v>
      </c>
      <c r="E236" s="818" t="s">
        <v>13700</v>
      </c>
      <c r="F236" s="818" t="s">
        <v>3883</v>
      </c>
      <c r="G236" s="818" t="s">
        <v>13751</v>
      </c>
      <c r="H236" s="823"/>
      <c r="I236" s="823"/>
      <c r="J236" s="823"/>
      <c r="K236" s="823"/>
      <c r="L236" s="823"/>
      <c r="M236" s="823"/>
      <c r="N236" s="823"/>
      <c r="O236" s="823"/>
      <c r="P236" s="823"/>
      <c r="Q236" s="823"/>
      <c r="R236" s="823"/>
      <c r="S236" s="823"/>
      <c r="T236" s="823"/>
      <c r="U236" s="823"/>
      <c r="V236" s="823"/>
      <c r="W236" s="823"/>
      <c r="X236" s="823"/>
      <c r="Y236" s="823"/>
      <c r="Z236" s="823"/>
      <c r="AA236" s="823"/>
      <c r="AB236" s="823"/>
    </row>
    <row r="237" hidden="1">
      <c r="A237" s="830">
        <v>45593.0</v>
      </c>
      <c r="B237" s="818" t="s">
        <v>14167</v>
      </c>
      <c r="C237" s="818" t="s">
        <v>14168</v>
      </c>
      <c r="D237" s="818" t="s">
        <v>13696</v>
      </c>
      <c r="E237" s="818" t="s">
        <v>13700</v>
      </c>
      <c r="F237" s="818" t="s">
        <v>4258</v>
      </c>
      <c r="G237" s="818" t="s">
        <v>13751</v>
      </c>
      <c r="H237" s="823"/>
      <c r="I237" s="823"/>
      <c r="J237" s="823"/>
      <c r="K237" s="823"/>
      <c r="L237" s="823"/>
      <c r="M237" s="823"/>
      <c r="N237" s="823"/>
      <c r="O237" s="823"/>
      <c r="P237" s="823"/>
      <c r="Q237" s="823"/>
      <c r="R237" s="823"/>
      <c r="S237" s="823"/>
      <c r="T237" s="823"/>
      <c r="U237" s="823"/>
      <c r="V237" s="823"/>
      <c r="W237" s="823"/>
      <c r="X237" s="823"/>
      <c r="Y237" s="823"/>
      <c r="Z237" s="823"/>
      <c r="AA237" s="823"/>
      <c r="AB237" s="823"/>
    </row>
    <row r="238" hidden="1">
      <c r="A238" s="830">
        <v>45593.0</v>
      </c>
      <c r="B238" s="818" t="s">
        <v>14169</v>
      </c>
      <c r="C238" s="738" t="s">
        <v>14170</v>
      </c>
      <c r="D238" s="818" t="s">
        <v>14171</v>
      </c>
      <c r="E238" s="818" t="s">
        <v>13700</v>
      </c>
      <c r="F238" s="818" t="s">
        <v>4262</v>
      </c>
      <c r="G238" s="818" t="s">
        <v>13751</v>
      </c>
      <c r="H238" s="823"/>
      <c r="I238" s="823"/>
      <c r="J238" s="823"/>
      <c r="K238" s="823"/>
      <c r="L238" s="823"/>
      <c r="M238" s="823"/>
      <c r="N238" s="823"/>
      <c r="O238" s="823"/>
      <c r="P238" s="823"/>
      <c r="Q238" s="823"/>
      <c r="R238" s="823"/>
      <c r="S238" s="823"/>
      <c r="T238" s="823"/>
      <c r="U238" s="823"/>
      <c r="V238" s="823"/>
      <c r="W238" s="823"/>
      <c r="X238" s="823"/>
      <c r="Y238" s="823"/>
      <c r="Z238" s="823"/>
      <c r="AA238" s="823"/>
      <c r="AB238" s="823"/>
    </row>
    <row r="239" hidden="1">
      <c r="A239" s="830">
        <v>45593.0</v>
      </c>
      <c r="B239" s="818" t="s">
        <v>14172</v>
      </c>
      <c r="C239" s="818" t="s">
        <v>14173</v>
      </c>
      <c r="D239" s="818" t="s">
        <v>14174</v>
      </c>
      <c r="E239" s="818" t="s">
        <v>13700</v>
      </c>
      <c r="F239" s="818" t="s">
        <v>4258</v>
      </c>
      <c r="G239" s="818" t="s">
        <v>13751</v>
      </c>
      <c r="H239" s="823"/>
      <c r="I239" s="823"/>
      <c r="J239" s="823"/>
      <c r="K239" s="823"/>
      <c r="L239" s="823"/>
      <c r="M239" s="823"/>
      <c r="N239" s="823"/>
      <c r="O239" s="823"/>
      <c r="P239" s="823"/>
      <c r="Q239" s="823"/>
      <c r="R239" s="823"/>
      <c r="S239" s="823"/>
      <c r="T239" s="823"/>
      <c r="U239" s="823"/>
      <c r="V239" s="823"/>
      <c r="W239" s="823"/>
      <c r="X239" s="823"/>
      <c r="Y239" s="823"/>
      <c r="Z239" s="823"/>
      <c r="AA239" s="823"/>
      <c r="AB239" s="823"/>
    </row>
    <row r="240" hidden="1">
      <c r="A240" s="830">
        <v>45594.0</v>
      </c>
      <c r="B240" s="818" t="s">
        <v>14175</v>
      </c>
      <c r="C240" s="818" t="s">
        <v>14176</v>
      </c>
      <c r="D240" s="818" t="s">
        <v>13722</v>
      </c>
      <c r="E240" s="818" t="s">
        <v>13700</v>
      </c>
      <c r="F240" s="818" t="s">
        <v>3883</v>
      </c>
      <c r="G240" s="818" t="s">
        <v>13751</v>
      </c>
      <c r="H240" s="823"/>
      <c r="I240" s="823"/>
      <c r="J240" s="823"/>
      <c r="K240" s="823"/>
      <c r="L240" s="823"/>
      <c r="M240" s="823"/>
      <c r="N240" s="823"/>
      <c r="O240" s="823"/>
      <c r="P240" s="823"/>
      <c r="Q240" s="823"/>
      <c r="R240" s="823"/>
      <c r="S240" s="823"/>
      <c r="T240" s="823"/>
      <c r="U240" s="823"/>
      <c r="V240" s="823"/>
      <c r="W240" s="823"/>
      <c r="X240" s="823"/>
      <c r="Y240" s="823"/>
      <c r="Z240" s="823"/>
      <c r="AA240" s="823"/>
      <c r="AB240" s="823"/>
    </row>
    <row r="241" hidden="1">
      <c r="A241" s="830">
        <v>45594.0</v>
      </c>
      <c r="B241" s="818" t="s">
        <v>14177</v>
      </c>
      <c r="C241" s="818">
        <v>1680.0</v>
      </c>
      <c r="D241" s="1101">
        <v>0.4375</v>
      </c>
      <c r="E241" s="818" t="s">
        <v>13700</v>
      </c>
      <c r="F241" s="818" t="s">
        <v>4262</v>
      </c>
      <c r="G241" s="818" t="s">
        <v>13751</v>
      </c>
      <c r="H241" s="823"/>
      <c r="I241" s="823"/>
      <c r="J241" s="823"/>
      <c r="K241" s="823"/>
      <c r="L241" s="823"/>
      <c r="M241" s="823"/>
      <c r="N241" s="823"/>
      <c r="O241" s="823"/>
      <c r="P241" s="823"/>
      <c r="Q241" s="823"/>
      <c r="R241" s="823"/>
      <c r="S241" s="823"/>
      <c r="T241" s="823"/>
      <c r="U241" s="823"/>
      <c r="V241" s="823"/>
      <c r="W241" s="823"/>
      <c r="X241" s="823"/>
      <c r="Y241" s="823"/>
      <c r="Z241" s="823"/>
      <c r="AA241" s="823"/>
      <c r="AB241" s="823"/>
    </row>
    <row r="242" hidden="1">
      <c r="A242" s="862">
        <v>45595.0</v>
      </c>
      <c r="B242" s="818" t="s">
        <v>14178</v>
      </c>
      <c r="C242" s="818" t="s">
        <v>14179</v>
      </c>
      <c r="D242" s="1101">
        <v>0.5416666666666666</v>
      </c>
      <c r="E242" s="818" t="s">
        <v>13700</v>
      </c>
      <c r="F242" s="818" t="s">
        <v>4258</v>
      </c>
      <c r="G242" s="818" t="s">
        <v>13751</v>
      </c>
      <c r="H242" s="823"/>
      <c r="I242" s="823"/>
      <c r="J242" s="823"/>
      <c r="K242" s="823"/>
      <c r="L242" s="823"/>
      <c r="M242" s="823"/>
      <c r="N242" s="823"/>
      <c r="O242" s="823"/>
      <c r="P242" s="823"/>
      <c r="Q242" s="823"/>
      <c r="R242" s="823"/>
      <c r="S242" s="823"/>
      <c r="T242" s="823"/>
      <c r="U242" s="823"/>
      <c r="V242" s="823"/>
      <c r="W242" s="823"/>
      <c r="X242" s="823"/>
      <c r="Y242" s="823"/>
      <c r="Z242" s="823"/>
      <c r="AA242" s="823"/>
      <c r="AB242" s="823"/>
    </row>
    <row r="243" hidden="1">
      <c r="A243" s="830">
        <v>45596.0</v>
      </c>
      <c r="B243" s="818" t="s">
        <v>14180</v>
      </c>
      <c r="C243" s="818" t="s">
        <v>14181</v>
      </c>
      <c r="D243" s="818" t="s">
        <v>13711</v>
      </c>
      <c r="E243" s="818" t="s">
        <v>14024</v>
      </c>
      <c r="F243" s="818" t="s">
        <v>3799</v>
      </c>
      <c r="G243" s="818" t="s">
        <v>13751</v>
      </c>
      <c r="H243" s="823"/>
      <c r="I243" s="823"/>
      <c r="J243" s="823"/>
      <c r="K243" s="823"/>
      <c r="L243" s="823"/>
      <c r="M243" s="823"/>
      <c r="N243" s="823"/>
      <c r="O243" s="823"/>
      <c r="P243" s="823"/>
      <c r="Q243" s="823"/>
      <c r="R243" s="823"/>
      <c r="S243" s="823"/>
      <c r="T243" s="823"/>
      <c r="U243" s="823"/>
      <c r="V243" s="823"/>
      <c r="W243" s="823"/>
      <c r="X243" s="823"/>
      <c r="Y243" s="823"/>
      <c r="Z243" s="823"/>
      <c r="AA243" s="823"/>
      <c r="AB243" s="823"/>
    </row>
    <row r="244" hidden="1">
      <c r="A244" s="862">
        <v>45598.0</v>
      </c>
      <c r="B244" s="818" t="s">
        <v>14182</v>
      </c>
      <c r="C244" s="818" t="s">
        <v>14183</v>
      </c>
      <c r="D244" s="818" t="s">
        <v>14184</v>
      </c>
      <c r="E244" s="818" t="s">
        <v>14024</v>
      </c>
      <c r="F244" s="818" t="s">
        <v>4258</v>
      </c>
      <c r="G244" s="818" t="s">
        <v>13751</v>
      </c>
      <c r="H244" s="823"/>
      <c r="I244" s="823"/>
      <c r="J244" s="823"/>
      <c r="K244" s="823"/>
      <c r="L244" s="823"/>
      <c r="M244" s="823"/>
      <c r="N244" s="823"/>
      <c r="O244" s="823"/>
      <c r="P244" s="823"/>
      <c r="Q244" s="823"/>
      <c r="R244" s="823"/>
      <c r="S244" s="823"/>
      <c r="T244" s="823"/>
      <c r="U244" s="823"/>
      <c r="V244" s="823"/>
      <c r="W244" s="823"/>
      <c r="X244" s="823"/>
      <c r="Y244" s="823"/>
      <c r="Z244" s="823"/>
      <c r="AA244" s="823"/>
      <c r="AB244" s="823"/>
    </row>
    <row r="245" hidden="1">
      <c r="A245" s="862">
        <v>45598.0</v>
      </c>
      <c r="B245" s="818" t="s">
        <v>14185</v>
      </c>
      <c r="C245" s="738" t="s">
        <v>14186</v>
      </c>
      <c r="D245" s="1101">
        <v>0.4791666666666667</v>
      </c>
      <c r="E245" s="818" t="s">
        <v>13700</v>
      </c>
      <c r="F245" s="818" t="s">
        <v>3883</v>
      </c>
      <c r="G245" s="818" t="s">
        <v>13751</v>
      </c>
      <c r="H245" s="823"/>
      <c r="I245" s="823"/>
      <c r="J245" s="823"/>
      <c r="K245" s="823"/>
      <c r="L245" s="823"/>
      <c r="M245" s="823"/>
      <c r="N245" s="823"/>
      <c r="O245" s="823"/>
      <c r="P245" s="823"/>
      <c r="Q245" s="823"/>
      <c r="R245" s="823"/>
      <c r="S245" s="823"/>
      <c r="T245" s="823"/>
      <c r="U245" s="823"/>
      <c r="V245" s="823"/>
      <c r="W245" s="823"/>
      <c r="X245" s="823"/>
      <c r="Y245" s="823"/>
      <c r="Z245" s="823"/>
      <c r="AA245" s="823"/>
      <c r="AB245" s="823"/>
    </row>
    <row r="246" hidden="1">
      <c r="A246" s="862">
        <v>45598.0</v>
      </c>
      <c r="B246" s="818" t="s">
        <v>14187</v>
      </c>
      <c r="C246" s="818" t="s">
        <v>14188</v>
      </c>
      <c r="D246" s="818" t="s">
        <v>13711</v>
      </c>
      <c r="E246" s="818" t="s">
        <v>13700</v>
      </c>
      <c r="F246" s="818" t="s">
        <v>4258</v>
      </c>
      <c r="G246" s="818" t="s">
        <v>13751</v>
      </c>
      <c r="H246" s="823"/>
      <c r="I246" s="823"/>
      <c r="J246" s="823"/>
      <c r="K246" s="823"/>
      <c r="L246" s="823"/>
      <c r="M246" s="823"/>
      <c r="N246" s="823"/>
      <c r="O246" s="823"/>
      <c r="P246" s="823"/>
      <c r="Q246" s="823"/>
      <c r="R246" s="823"/>
      <c r="S246" s="823"/>
      <c r="T246" s="823"/>
      <c r="U246" s="823"/>
      <c r="V246" s="823"/>
      <c r="W246" s="823"/>
      <c r="X246" s="823"/>
      <c r="Y246" s="823"/>
      <c r="Z246" s="823"/>
      <c r="AA246" s="823"/>
      <c r="AB246" s="823"/>
    </row>
    <row r="247" hidden="1">
      <c r="A247" s="862">
        <v>45598.0</v>
      </c>
      <c r="B247" s="818" t="s">
        <v>14189</v>
      </c>
      <c r="C247" s="818" t="s">
        <v>14190</v>
      </c>
      <c r="D247" s="1101">
        <v>0.5833333333333334</v>
      </c>
      <c r="E247" s="818" t="s">
        <v>13700</v>
      </c>
      <c r="F247" s="818" t="s">
        <v>3883</v>
      </c>
      <c r="G247" s="818" t="s">
        <v>13751</v>
      </c>
      <c r="H247" s="823"/>
      <c r="I247" s="823"/>
      <c r="J247" s="823"/>
      <c r="K247" s="823"/>
      <c r="L247" s="823"/>
      <c r="M247" s="823"/>
      <c r="N247" s="823"/>
      <c r="O247" s="823"/>
      <c r="P247" s="823"/>
      <c r="Q247" s="823"/>
      <c r="R247" s="823"/>
      <c r="S247" s="823"/>
      <c r="T247" s="823"/>
      <c r="U247" s="823"/>
      <c r="V247" s="823"/>
      <c r="W247" s="823"/>
      <c r="X247" s="823"/>
      <c r="Y247" s="823"/>
      <c r="Z247" s="823"/>
      <c r="AA247" s="823"/>
      <c r="AB247" s="823"/>
    </row>
    <row r="248" hidden="1">
      <c r="A248" s="862">
        <v>45599.0</v>
      </c>
      <c r="B248" s="818" t="s">
        <v>14191</v>
      </c>
      <c r="C248" s="818" t="s">
        <v>14192</v>
      </c>
      <c r="D248" s="818" t="s">
        <v>13980</v>
      </c>
      <c r="E248" s="818" t="s">
        <v>13700</v>
      </c>
      <c r="F248" s="818" t="s">
        <v>4258</v>
      </c>
      <c r="G248" s="818" t="s">
        <v>13751</v>
      </c>
      <c r="H248" s="823"/>
      <c r="I248" s="823"/>
      <c r="J248" s="823"/>
      <c r="K248" s="823"/>
      <c r="L248" s="823"/>
      <c r="M248" s="823"/>
      <c r="N248" s="823"/>
      <c r="O248" s="823"/>
      <c r="P248" s="823"/>
      <c r="Q248" s="823"/>
      <c r="R248" s="823"/>
      <c r="S248" s="823"/>
      <c r="T248" s="823"/>
      <c r="U248" s="823"/>
      <c r="V248" s="823"/>
      <c r="W248" s="823"/>
      <c r="X248" s="823"/>
      <c r="Y248" s="823"/>
      <c r="Z248" s="823"/>
      <c r="AA248" s="823"/>
      <c r="AB248" s="823"/>
    </row>
    <row r="249" hidden="1">
      <c r="A249" s="862">
        <v>45599.0</v>
      </c>
      <c r="B249" s="818" t="s">
        <v>14193</v>
      </c>
      <c r="C249" s="818" t="s">
        <v>14194</v>
      </c>
      <c r="D249" s="818" t="s">
        <v>14006</v>
      </c>
      <c r="E249" s="818" t="s">
        <v>13700</v>
      </c>
      <c r="F249" s="818" t="s">
        <v>3883</v>
      </c>
      <c r="G249" s="818" t="s">
        <v>13751</v>
      </c>
      <c r="H249" s="823"/>
      <c r="I249" s="823"/>
      <c r="J249" s="823"/>
      <c r="K249" s="823"/>
      <c r="L249" s="823"/>
      <c r="M249" s="823"/>
      <c r="N249" s="823"/>
      <c r="O249" s="823"/>
      <c r="P249" s="823"/>
      <c r="Q249" s="823"/>
      <c r="R249" s="823"/>
      <c r="S249" s="823"/>
      <c r="T249" s="823"/>
      <c r="U249" s="823"/>
      <c r="V249" s="823"/>
      <c r="W249" s="823"/>
      <c r="X249" s="823"/>
      <c r="Y249" s="823"/>
      <c r="Z249" s="823"/>
      <c r="AA249" s="823"/>
      <c r="AB249" s="823"/>
    </row>
    <row r="250" hidden="1">
      <c r="A250" s="862">
        <v>45599.0</v>
      </c>
      <c r="B250" s="818" t="s">
        <v>14195</v>
      </c>
      <c r="C250" s="818" t="s">
        <v>14196</v>
      </c>
      <c r="D250" s="818" t="s">
        <v>13696</v>
      </c>
      <c r="E250" s="818" t="s">
        <v>13700</v>
      </c>
      <c r="F250" s="818" t="s">
        <v>4258</v>
      </c>
      <c r="G250" s="823"/>
      <c r="H250" s="823"/>
      <c r="I250" s="823"/>
      <c r="J250" s="823"/>
      <c r="K250" s="823"/>
      <c r="L250" s="823"/>
      <c r="M250" s="823"/>
      <c r="N250" s="823"/>
      <c r="O250" s="823"/>
      <c r="P250" s="823"/>
      <c r="Q250" s="823"/>
      <c r="R250" s="823"/>
      <c r="S250" s="823"/>
      <c r="T250" s="823"/>
      <c r="U250" s="823"/>
      <c r="V250" s="823"/>
      <c r="W250" s="823"/>
      <c r="X250" s="823"/>
      <c r="Y250" s="823"/>
      <c r="Z250" s="823"/>
      <c r="AA250" s="823"/>
      <c r="AB250" s="823"/>
    </row>
    <row r="251" hidden="1">
      <c r="A251" s="862">
        <v>45600.0</v>
      </c>
      <c r="B251" s="818" t="s">
        <v>14197</v>
      </c>
      <c r="C251" s="818" t="s">
        <v>14198</v>
      </c>
      <c r="D251" s="818" t="s">
        <v>13696</v>
      </c>
      <c r="E251" s="818" t="s">
        <v>14024</v>
      </c>
      <c r="F251" s="818" t="s">
        <v>4258</v>
      </c>
      <c r="G251" s="823"/>
      <c r="H251" s="823"/>
      <c r="I251" s="823"/>
      <c r="J251" s="823"/>
      <c r="K251" s="823"/>
      <c r="L251" s="823"/>
      <c r="M251" s="823"/>
      <c r="N251" s="823"/>
      <c r="O251" s="823"/>
      <c r="P251" s="823"/>
      <c r="Q251" s="823"/>
      <c r="R251" s="823"/>
      <c r="S251" s="823"/>
      <c r="T251" s="823"/>
      <c r="U251" s="823"/>
      <c r="V251" s="823"/>
      <c r="W251" s="823"/>
      <c r="X251" s="823"/>
      <c r="Y251" s="823"/>
      <c r="Z251" s="823"/>
      <c r="AA251" s="823"/>
      <c r="AB251" s="823"/>
    </row>
    <row r="252" hidden="1">
      <c r="A252" s="862">
        <v>45601.0</v>
      </c>
      <c r="B252" s="818" t="s">
        <v>14199</v>
      </c>
      <c r="C252" s="818" t="s">
        <v>14200</v>
      </c>
      <c r="D252" s="818" t="s">
        <v>14201</v>
      </c>
      <c r="E252" s="818" t="s">
        <v>13700</v>
      </c>
      <c r="F252" s="818" t="s">
        <v>3883</v>
      </c>
      <c r="G252" s="818" t="s">
        <v>13751</v>
      </c>
      <c r="H252" s="823"/>
      <c r="I252" s="823"/>
      <c r="J252" s="823"/>
      <c r="K252" s="823"/>
      <c r="L252" s="823"/>
      <c r="M252" s="823"/>
      <c r="N252" s="823"/>
      <c r="O252" s="823"/>
      <c r="P252" s="823"/>
      <c r="Q252" s="823"/>
      <c r="R252" s="823"/>
      <c r="S252" s="823"/>
      <c r="T252" s="823"/>
      <c r="U252" s="823"/>
      <c r="V252" s="823"/>
      <c r="W252" s="823"/>
      <c r="X252" s="823"/>
      <c r="Y252" s="823"/>
      <c r="Z252" s="823"/>
      <c r="AA252" s="823"/>
      <c r="AB252" s="823"/>
    </row>
    <row r="253" hidden="1">
      <c r="A253" s="862">
        <v>45602.0</v>
      </c>
      <c r="B253" s="818" t="s">
        <v>14202</v>
      </c>
      <c r="C253" s="818" t="s">
        <v>14203</v>
      </c>
      <c r="D253" s="818" t="s">
        <v>13739</v>
      </c>
      <c r="E253" s="818" t="s">
        <v>13700</v>
      </c>
      <c r="F253" s="818" t="s">
        <v>3883</v>
      </c>
      <c r="G253" s="818" t="s">
        <v>13751</v>
      </c>
      <c r="H253" s="823"/>
      <c r="I253" s="823"/>
      <c r="J253" s="823"/>
      <c r="K253" s="823"/>
      <c r="L253" s="823"/>
      <c r="M253" s="823"/>
      <c r="N253" s="823"/>
      <c r="O253" s="823"/>
      <c r="P253" s="823"/>
      <c r="Q253" s="823"/>
      <c r="R253" s="823"/>
      <c r="S253" s="823"/>
      <c r="T253" s="823"/>
      <c r="U253" s="823"/>
      <c r="V253" s="823"/>
      <c r="W253" s="823"/>
      <c r="X253" s="823"/>
      <c r="Y253" s="823"/>
      <c r="Z253" s="823"/>
      <c r="AA253" s="823"/>
      <c r="AB253" s="823"/>
    </row>
    <row r="254" hidden="1">
      <c r="A254" s="862">
        <v>45602.0</v>
      </c>
      <c r="B254" s="818" t="s">
        <v>14204</v>
      </c>
      <c r="C254" s="818" t="s">
        <v>14205</v>
      </c>
      <c r="D254" s="1101">
        <v>0.5416666666666666</v>
      </c>
      <c r="E254" s="818" t="s">
        <v>13700</v>
      </c>
      <c r="F254" s="818" t="s">
        <v>3883</v>
      </c>
      <c r="G254" s="818" t="s">
        <v>13751</v>
      </c>
      <c r="H254" s="823"/>
      <c r="I254" s="823"/>
      <c r="J254" s="823"/>
      <c r="K254" s="823"/>
      <c r="L254" s="823"/>
      <c r="M254" s="823"/>
      <c r="N254" s="823"/>
      <c r="O254" s="823"/>
      <c r="P254" s="823"/>
      <c r="Q254" s="823"/>
      <c r="R254" s="823"/>
      <c r="S254" s="823"/>
      <c r="T254" s="823"/>
      <c r="U254" s="823"/>
      <c r="V254" s="823"/>
      <c r="W254" s="823"/>
      <c r="X254" s="823"/>
      <c r="Y254" s="823"/>
      <c r="Z254" s="823"/>
      <c r="AA254" s="823"/>
      <c r="AB254" s="823"/>
    </row>
    <row r="255" hidden="1">
      <c r="A255" s="862">
        <v>45603.0</v>
      </c>
      <c r="B255" s="818" t="s">
        <v>14206</v>
      </c>
      <c r="C255" s="738" t="s">
        <v>14207</v>
      </c>
      <c r="D255" s="818">
        <v>100.0</v>
      </c>
      <c r="E255" s="818" t="s">
        <v>14024</v>
      </c>
      <c r="F255" s="818" t="s">
        <v>4262</v>
      </c>
      <c r="G255" s="818" t="s">
        <v>13751</v>
      </c>
      <c r="H255" s="823"/>
      <c r="I255" s="823"/>
      <c r="J255" s="823"/>
      <c r="K255" s="823"/>
      <c r="L255" s="823"/>
      <c r="M255" s="823"/>
      <c r="N255" s="823"/>
      <c r="O255" s="823"/>
      <c r="P255" s="823"/>
      <c r="Q255" s="823"/>
      <c r="R255" s="823"/>
      <c r="S255" s="823"/>
      <c r="T255" s="823"/>
      <c r="U255" s="823"/>
      <c r="V255" s="823"/>
      <c r="W255" s="823"/>
      <c r="X255" s="823"/>
      <c r="Y255" s="823"/>
      <c r="Z255" s="823"/>
      <c r="AA255" s="823"/>
      <c r="AB255" s="823"/>
    </row>
    <row r="256" hidden="1">
      <c r="A256" s="862">
        <v>45604.0</v>
      </c>
      <c r="B256" s="818" t="s">
        <v>14208</v>
      </c>
      <c r="C256" s="818" t="s">
        <v>13829</v>
      </c>
      <c r="D256" s="1101">
        <v>0.625</v>
      </c>
      <c r="E256" s="818" t="s">
        <v>13700</v>
      </c>
      <c r="F256" s="818" t="s">
        <v>3883</v>
      </c>
      <c r="G256" s="818" t="s">
        <v>13751</v>
      </c>
      <c r="H256" s="823"/>
      <c r="I256" s="823"/>
      <c r="J256" s="823"/>
      <c r="K256" s="823"/>
      <c r="L256" s="823"/>
      <c r="M256" s="823"/>
      <c r="N256" s="823"/>
      <c r="O256" s="823"/>
      <c r="P256" s="823"/>
      <c r="Q256" s="823"/>
      <c r="R256" s="823"/>
      <c r="S256" s="823"/>
      <c r="T256" s="823"/>
      <c r="U256" s="823"/>
      <c r="V256" s="823"/>
      <c r="W256" s="823"/>
      <c r="X256" s="823"/>
      <c r="Y256" s="823"/>
      <c r="Z256" s="823"/>
      <c r="AA256" s="823"/>
      <c r="AB256" s="823"/>
    </row>
    <row r="257" hidden="1">
      <c r="A257" s="862">
        <v>45605.0</v>
      </c>
      <c r="B257" s="818" t="s">
        <v>14209</v>
      </c>
      <c r="C257" s="738" t="s">
        <v>14210</v>
      </c>
      <c r="D257" s="818" t="s">
        <v>13861</v>
      </c>
      <c r="E257" s="818" t="s">
        <v>13700</v>
      </c>
      <c r="F257" s="818" t="s">
        <v>4258</v>
      </c>
      <c r="G257" s="818" t="s">
        <v>13751</v>
      </c>
      <c r="H257" s="823"/>
      <c r="I257" s="823"/>
      <c r="J257" s="823"/>
      <c r="K257" s="823"/>
      <c r="L257" s="823"/>
      <c r="M257" s="823"/>
      <c r="N257" s="823"/>
      <c r="O257" s="823"/>
      <c r="P257" s="823"/>
      <c r="Q257" s="823"/>
      <c r="R257" s="823"/>
      <c r="S257" s="823"/>
      <c r="T257" s="823"/>
      <c r="U257" s="823"/>
      <c r="V257" s="823"/>
      <c r="W257" s="823"/>
      <c r="X257" s="823"/>
      <c r="Y257" s="823"/>
      <c r="Z257" s="823"/>
      <c r="AA257" s="823"/>
      <c r="AB257" s="823"/>
    </row>
    <row r="258" hidden="1">
      <c r="A258" s="862">
        <v>45605.0</v>
      </c>
      <c r="B258" s="818" t="s">
        <v>14211</v>
      </c>
      <c r="C258" s="818" t="s">
        <v>14212</v>
      </c>
      <c r="D258" s="1101">
        <v>0.4166666666666667</v>
      </c>
      <c r="E258" s="818" t="s">
        <v>13700</v>
      </c>
      <c r="F258" s="818" t="s">
        <v>3883</v>
      </c>
      <c r="G258" s="818" t="s">
        <v>13751</v>
      </c>
      <c r="H258" s="823"/>
      <c r="I258" s="823"/>
      <c r="J258" s="823"/>
      <c r="K258" s="823"/>
      <c r="L258" s="823"/>
      <c r="M258" s="823"/>
      <c r="N258" s="823"/>
      <c r="O258" s="823"/>
      <c r="P258" s="823"/>
      <c r="Q258" s="823"/>
      <c r="R258" s="823"/>
      <c r="S258" s="823"/>
      <c r="T258" s="823"/>
      <c r="U258" s="823"/>
      <c r="V258" s="823"/>
      <c r="W258" s="823"/>
      <c r="X258" s="823"/>
      <c r="Y258" s="823"/>
      <c r="Z258" s="823"/>
      <c r="AA258" s="823"/>
      <c r="AB258" s="823"/>
    </row>
    <row r="259" hidden="1">
      <c r="A259" s="862">
        <v>45605.0</v>
      </c>
      <c r="B259" s="818" t="s">
        <v>14213</v>
      </c>
      <c r="C259" s="818" t="s">
        <v>14214</v>
      </c>
      <c r="D259" s="1101">
        <v>0.375</v>
      </c>
      <c r="E259" s="818" t="s">
        <v>13700</v>
      </c>
      <c r="F259" s="818" t="s">
        <v>3883</v>
      </c>
      <c r="G259" s="818" t="s">
        <v>13751</v>
      </c>
      <c r="H259" s="823"/>
      <c r="I259" s="823"/>
      <c r="J259" s="823"/>
      <c r="K259" s="823"/>
      <c r="L259" s="823"/>
      <c r="M259" s="823"/>
      <c r="N259" s="823"/>
      <c r="O259" s="823"/>
      <c r="P259" s="823"/>
      <c r="Q259" s="823"/>
      <c r="R259" s="823"/>
      <c r="S259" s="823"/>
      <c r="T259" s="823"/>
      <c r="U259" s="823"/>
      <c r="V259" s="823"/>
      <c r="W259" s="823"/>
      <c r="X259" s="823"/>
      <c r="Y259" s="823"/>
      <c r="Z259" s="823"/>
      <c r="AA259" s="823"/>
      <c r="AB259" s="823"/>
    </row>
    <row r="260" hidden="1">
      <c r="A260" s="862">
        <v>45605.0</v>
      </c>
      <c r="B260" s="818" t="s">
        <v>14215</v>
      </c>
      <c r="C260" s="818" t="s">
        <v>14216</v>
      </c>
      <c r="D260" s="818" t="s">
        <v>13696</v>
      </c>
      <c r="E260" s="818" t="s">
        <v>13700</v>
      </c>
      <c r="F260" s="818" t="s">
        <v>4258</v>
      </c>
      <c r="G260" s="818" t="s">
        <v>13751</v>
      </c>
      <c r="H260" s="823"/>
      <c r="I260" s="823"/>
      <c r="J260" s="823"/>
      <c r="K260" s="823"/>
      <c r="L260" s="823"/>
      <c r="M260" s="823"/>
      <c r="N260" s="823"/>
      <c r="O260" s="823"/>
      <c r="P260" s="823"/>
      <c r="Q260" s="823"/>
      <c r="R260" s="823"/>
      <c r="S260" s="823"/>
      <c r="T260" s="823"/>
      <c r="U260" s="823"/>
      <c r="V260" s="823"/>
      <c r="W260" s="823"/>
      <c r="X260" s="823"/>
      <c r="Y260" s="823"/>
      <c r="Z260" s="823"/>
      <c r="AA260" s="823"/>
      <c r="AB260" s="823"/>
    </row>
    <row r="261" hidden="1">
      <c r="A261" s="862">
        <v>45605.0</v>
      </c>
      <c r="B261" s="818" t="s">
        <v>14217</v>
      </c>
      <c r="C261" s="818" t="s">
        <v>14218</v>
      </c>
      <c r="D261" s="818" t="s">
        <v>13746</v>
      </c>
      <c r="E261" s="818" t="s">
        <v>13700</v>
      </c>
      <c r="F261" s="818" t="s">
        <v>4262</v>
      </c>
      <c r="G261" s="818" t="s">
        <v>13751</v>
      </c>
      <c r="H261" s="823"/>
      <c r="I261" s="823"/>
      <c r="J261" s="823"/>
      <c r="K261" s="823"/>
      <c r="L261" s="823"/>
      <c r="M261" s="823"/>
      <c r="N261" s="823"/>
      <c r="O261" s="823"/>
      <c r="P261" s="823"/>
      <c r="Q261" s="823"/>
      <c r="R261" s="823"/>
      <c r="S261" s="823"/>
      <c r="T261" s="823"/>
      <c r="U261" s="823"/>
      <c r="V261" s="823"/>
      <c r="W261" s="823"/>
      <c r="X261" s="823"/>
      <c r="Y261" s="823"/>
      <c r="Z261" s="823"/>
      <c r="AA261" s="823"/>
      <c r="AB261" s="823"/>
    </row>
    <row r="262" hidden="1">
      <c r="A262" s="830">
        <v>45606.0</v>
      </c>
      <c r="B262" s="818" t="s">
        <v>14219</v>
      </c>
      <c r="C262" s="818" t="s">
        <v>14220</v>
      </c>
      <c r="D262" s="818" t="s">
        <v>13861</v>
      </c>
      <c r="E262" s="818" t="s">
        <v>13700</v>
      </c>
      <c r="F262" s="818" t="s">
        <v>4258</v>
      </c>
      <c r="G262" s="818" t="s">
        <v>13751</v>
      </c>
      <c r="H262" s="823"/>
      <c r="I262" s="823"/>
      <c r="J262" s="823"/>
      <c r="K262" s="823"/>
      <c r="L262" s="823"/>
      <c r="M262" s="823"/>
      <c r="N262" s="823"/>
      <c r="O262" s="823"/>
      <c r="P262" s="823"/>
      <c r="Q262" s="823"/>
      <c r="R262" s="823"/>
      <c r="S262" s="823"/>
      <c r="T262" s="823"/>
      <c r="U262" s="823"/>
      <c r="V262" s="823"/>
      <c r="W262" s="823"/>
      <c r="X262" s="823"/>
      <c r="Y262" s="823"/>
      <c r="Z262" s="823"/>
      <c r="AA262" s="823"/>
      <c r="AB262" s="823"/>
    </row>
    <row r="263" hidden="1">
      <c r="A263" s="830">
        <v>45606.0</v>
      </c>
      <c r="B263" s="818" t="s">
        <v>14221</v>
      </c>
      <c r="C263" s="738" t="s">
        <v>14222</v>
      </c>
      <c r="D263" s="818" t="s">
        <v>14174</v>
      </c>
      <c r="E263" s="818" t="s">
        <v>13700</v>
      </c>
      <c r="F263" s="818" t="s">
        <v>4258</v>
      </c>
      <c r="G263" s="818" t="s">
        <v>13751</v>
      </c>
      <c r="H263" s="823"/>
      <c r="I263" s="823"/>
      <c r="J263" s="823"/>
      <c r="K263" s="823"/>
      <c r="L263" s="823"/>
      <c r="M263" s="823"/>
      <c r="N263" s="823"/>
      <c r="O263" s="823"/>
      <c r="P263" s="823"/>
      <c r="Q263" s="823"/>
      <c r="R263" s="823"/>
      <c r="S263" s="823"/>
      <c r="T263" s="823"/>
      <c r="U263" s="823"/>
      <c r="V263" s="823"/>
      <c r="W263" s="823"/>
      <c r="X263" s="823"/>
      <c r="Y263" s="823"/>
      <c r="Z263" s="823"/>
      <c r="AA263" s="823"/>
      <c r="AB263" s="823"/>
    </row>
    <row r="264" hidden="1">
      <c r="A264" s="830">
        <v>45606.0</v>
      </c>
      <c r="B264" s="818" t="s">
        <v>14223</v>
      </c>
      <c r="C264" s="738" t="s">
        <v>14224</v>
      </c>
      <c r="D264" s="1101">
        <v>0.5833333333333334</v>
      </c>
      <c r="E264" s="818" t="s">
        <v>13700</v>
      </c>
      <c r="F264" s="818" t="s">
        <v>4262</v>
      </c>
      <c r="G264" s="818" t="s">
        <v>13751</v>
      </c>
      <c r="H264" s="823"/>
      <c r="I264" s="823"/>
      <c r="J264" s="823"/>
      <c r="K264" s="823"/>
      <c r="L264" s="823"/>
      <c r="M264" s="823"/>
      <c r="N264" s="823"/>
      <c r="O264" s="823"/>
      <c r="P264" s="823"/>
      <c r="Q264" s="823"/>
      <c r="R264" s="823"/>
      <c r="S264" s="823"/>
      <c r="T264" s="823"/>
      <c r="U264" s="823"/>
      <c r="V264" s="823"/>
      <c r="W264" s="823"/>
      <c r="X264" s="823"/>
      <c r="Y264" s="823"/>
      <c r="Z264" s="823"/>
      <c r="AA264" s="823"/>
      <c r="AB264" s="823"/>
    </row>
    <row r="265" hidden="1">
      <c r="A265" s="830">
        <v>45607.0</v>
      </c>
      <c r="B265" s="818" t="s">
        <v>14225</v>
      </c>
      <c r="C265" s="738" t="s">
        <v>14226</v>
      </c>
      <c r="D265" s="818" t="s">
        <v>14227</v>
      </c>
      <c r="E265" s="818" t="s">
        <v>13700</v>
      </c>
      <c r="F265" s="818" t="s">
        <v>3883</v>
      </c>
      <c r="G265" s="818" t="s">
        <v>13751</v>
      </c>
      <c r="H265" s="823"/>
      <c r="I265" s="823"/>
      <c r="J265" s="823"/>
      <c r="K265" s="823"/>
      <c r="L265" s="823"/>
      <c r="M265" s="823"/>
      <c r="N265" s="823"/>
      <c r="O265" s="823"/>
      <c r="P265" s="823"/>
      <c r="Q265" s="823"/>
      <c r="R265" s="823"/>
      <c r="S265" s="823"/>
      <c r="T265" s="823"/>
      <c r="U265" s="823"/>
      <c r="V265" s="823"/>
      <c r="W265" s="823"/>
      <c r="X265" s="823"/>
      <c r="Y265" s="823"/>
      <c r="Z265" s="823"/>
      <c r="AA265" s="823"/>
      <c r="AB265" s="823"/>
    </row>
    <row r="266" hidden="1">
      <c r="A266" s="830">
        <v>45607.0</v>
      </c>
      <c r="B266" s="818" t="s">
        <v>14228</v>
      </c>
      <c r="C266" s="818" t="s">
        <v>14229</v>
      </c>
      <c r="D266" s="818" t="s">
        <v>14230</v>
      </c>
      <c r="E266" s="818" t="s">
        <v>13700</v>
      </c>
      <c r="F266" s="818" t="s">
        <v>4258</v>
      </c>
      <c r="G266" s="818" t="s">
        <v>13751</v>
      </c>
      <c r="H266" s="823"/>
      <c r="I266" s="823"/>
      <c r="J266" s="823"/>
      <c r="K266" s="823"/>
      <c r="L266" s="823"/>
      <c r="M266" s="823"/>
      <c r="N266" s="823"/>
      <c r="O266" s="823"/>
      <c r="P266" s="823"/>
      <c r="Q266" s="823"/>
      <c r="R266" s="823"/>
      <c r="S266" s="823"/>
      <c r="T266" s="823"/>
      <c r="U266" s="823"/>
      <c r="V266" s="823"/>
      <c r="W266" s="823"/>
      <c r="X266" s="823"/>
      <c r="Y266" s="823"/>
      <c r="Z266" s="823"/>
      <c r="AA266" s="823"/>
      <c r="AB266" s="823"/>
    </row>
    <row r="267" hidden="1">
      <c r="A267" s="830">
        <v>45608.0</v>
      </c>
      <c r="B267" s="818" t="s">
        <v>14231</v>
      </c>
      <c r="C267" s="818" t="s">
        <v>14232</v>
      </c>
      <c r="D267" s="818" t="s">
        <v>13876</v>
      </c>
      <c r="E267" s="818" t="s">
        <v>13700</v>
      </c>
      <c r="F267" s="818" t="s">
        <v>4258</v>
      </c>
      <c r="G267" s="818" t="s">
        <v>13751</v>
      </c>
      <c r="H267" s="823"/>
      <c r="I267" s="823"/>
      <c r="J267" s="823"/>
      <c r="K267" s="823"/>
      <c r="L267" s="823"/>
      <c r="M267" s="823"/>
      <c r="N267" s="823"/>
      <c r="O267" s="823"/>
      <c r="P267" s="823"/>
      <c r="Q267" s="823"/>
      <c r="R267" s="823"/>
      <c r="S267" s="823"/>
      <c r="T267" s="823"/>
      <c r="U267" s="823"/>
      <c r="V267" s="823"/>
      <c r="W267" s="823"/>
      <c r="X267" s="823"/>
      <c r="Y267" s="823"/>
      <c r="Z267" s="823"/>
      <c r="AA267" s="823"/>
      <c r="AB267" s="823"/>
    </row>
    <row r="268" hidden="1">
      <c r="A268" s="830">
        <v>45609.0</v>
      </c>
      <c r="B268" s="818" t="s">
        <v>14233</v>
      </c>
      <c r="C268" s="818" t="s">
        <v>14234</v>
      </c>
      <c r="D268" s="818" t="s">
        <v>13861</v>
      </c>
      <c r="E268" s="818" t="s">
        <v>14024</v>
      </c>
      <c r="F268" s="818" t="s">
        <v>4258</v>
      </c>
      <c r="G268" s="818" t="s">
        <v>13751</v>
      </c>
      <c r="H268" s="823"/>
      <c r="I268" s="823"/>
      <c r="J268" s="823"/>
      <c r="K268" s="823"/>
      <c r="L268" s="823"/>
      <c r="M268" s="823"/>
      <c r="N268" s="823"/>
      <c r="O268" s="823"/>
      <c r="P268" s="823"/>
      <c r="Q268" s="823"/>
      <c r="R268" s="823"/>
      <c r="S268" s="823"/>
      <c r="T268" s="823"/>
      <c r="U268" s="823"/>
      <c r="V268" s="823"/>
      <c r="W268" s="823"/>
      <c r="X268" s="823"/>
      <c r="Y268" s="823"/>
      <c r="Z268" s="823"/>
      <c r="AA268" s="823"/>
      <c r="AB268" s="823"/>
    </row>
    <row r="269" hidden="1">
      <c r="A269" s="830">
        <v>45609.0</v>
      </c>
      <c r="B269" s="818" t="s">
        <v>14235</v>
      </c>
      <c r="C269" s="818" t="s">
        <v>14236</v>
      </c>
      <c r="D269" s="818" t="s">
        <v>13980</v>
      </c>
      <c r="E269" s="818" t="s">
        <v>13700</v>
      </c>
      <c r="F269" s="818" t="s">
        <v>4258</v>
      </c>
      <c r="G269" s="818" t="s">
        <v>13751</v>
      </c>
      <c r="H269" s="823"/>
      <c r="I269" s="823"/>
      <c r="J269" s="823"/>
      <c r="K269" s="823"/>
      <c r="L269" s="823"/>
      <c r="M269" s="823"/>
      <c r="N269" s="823"/>
      <c r="O269" s="823"/>
      <c r="P269" s="823"/>
      <c r="Q269" s="823"/>
      <c r="R269" s="823"/>
      <c r="S269" s="823"/>
      <c r="T269" s="823"/>
      <c r="U269" s="823"/>
      <c r="V269" s="823"/>
      <c r="W269" s="823"/>
      <c r="X269" s="823"/>
      <c r="Y269" s="823"/>
      <c r="Z269" s="823"/>
      <c r="AA269" s="823"/>
      <c r="AB269" s="823"/>
    </row>
    <row r="270" hidden="1">
      <c r="A270" s="830">
        <v>45609.0</v>
      </c>
      <c r="B270" s="818" t="s">
        <v>14237</v>
      </c>
      <c r="C270" s="818" t="s">
        <v>14238</v>
      </c>
      <c r="D270" s="818" t="s">
        <v>13686</v>
      </c>
      <c r="E270" s="818" t="s">
        <v>13700</v>
      </c>
      <c r="F270" s="818" t="s">
        <v>4258</v>
      </c>
      <c r="G270" s="823"/>
      <c r="H270" s="823"/>
      <c r="I270" s="823"/>
      <c r="J270" s="823"/>
      <c r="K270" s="823"/>
      <c r="L270" s="823"/>
      <c r="M270" s="823"/>
      <c r="N270" s="823"/>
      <c r="O270" s="823"/>
      <c r="P270" s="823"/>
      <c r="Q270" s="823"/>
      <c r="R270" s="823"/>
      <c r="S270" s="823"/>
      <c r="T270" s="823"/>
      <c r="U270" s="823"/>
      <c r="V270" s="823"/>
      <c r="W270" s="823"/>
      <c r="X270" s="823"/>
      <c r="Y270" s="823"/>
      <c r="Z270" s="823"/>
      <c r="AA270" s="823"/>
      <c r="AB270" s="823"/>
    </row>
    <row r="271" hidden="1">
      <c r="A271" s="830">
        <v>45579.0</v>
      </c>
      <c r="B271" s="818" t="s">
        <v>14239</v>
      </c>
      <c r="C271" s="738" t="s">
        <v>14240</v>
      </c>
      <c r="D271" s="1101">
        <v>0.4166666666666667</v>
      </c>
      <c r="E271" s="818" t="s">
        <v>13700</v>
      </c>
      <c r="F271" s="818" t="s">
        <v>3883</v>
      </c>
      <c r="G271" s="823"/>
      <c r="H271" s="823"/>
      <c r="I271" s="823"/>
      <c r="J271" s="823"/>
      <c r="K271" s="823"/>
      <c r="L271" s="823"/>
      <c r="M271" s="823"/>
      <c r="N271" s="823"/>
      <c r="O271" s="823"/>
      <c r="P271" s="823"/>
      <c r="Q271" s="823"/>
      <c r="R271" s="823"/>
      <c r="S271" s="823"/>
      <c r="T271" s="823"/>
      <c r="U271" s="823"/>
      <c r="V271" s="823"/>
      <c r="W271" s="823"/>
      <c r="X271" s="823"/>
      <c r="Y271" s="823"/>
      <c r="Z271" s="823"/>
      <c r="AA271" s="823"/>
      <c r="AB271" s="823"/>
    </row>
    <row r="272" hidden="1">
      <c r="A272" s="830">
        <v>45579.0</v>
      </c>
      <c r="B272" s="818" t="s">
        <v>14241</v>
      </c>
      <c r="C272" s="738" t="s">
        <v>14242</v>
      </c>
      <c r="D272" s="1101">
        <v>0.5416666666666666</v>
      </c>
      <c r="E272" s="818" t="s">
        <v>13700</v>
      </c>
      <c r="F272" s="818" t="s">
        <v>4262</v>
      </c>
      <c r="G272" s="823"/>
      <c r="H272" s="823"/>
      <c r="I272" s="823"/>
      <c r="J272" s="823"/>
      <c r="K272" s="823"/>
      <c r="L272" s="823"/>
      <c r="M272" s="823"/>
      <c r="N272" s="823"/>
      <c r="O272" s="823"/>
      <c r="P272" s="823"/>
      <c r="Q272" s="823"/>
      <c r="R272" s="823"/>
      <c r="S272" s="823"/>
      <c r="T272" s="823"/>
      <c r="U272" s="823"/>
      <c r="V272" s="823"/>
      <c r="W272" s="823"/>
      <c r="X272" s="823"/>
      <c r="Y272" s="823"/>
      <c r="Z272" s="823"/>
      <c r="AA272" s="823"/>
      <c r="AB272" s="823"/>
    </row>
    <row r="273" ht="69.75" hidden="1" customHeight="1">
      <c r="A273" s="830"/>
      <c r="B273" s="818" t="s">
        <v>14243</v>
      </c>
      <c r="C273" s="738" t="s">
        <v>14244</v>
      </c>
      <c r="D273" s="1101">
        <v>0.4583333333333333</v>
      </c>
      <c r="E273" s="818" t="s">
        <v>13700</v>
      </c>
      <c r="F273" s="818" t="s">
        <v>4262</v>
      </c>
      <c r="G273" s="823"/>
      <c r="H273" s="823"/>
      <c r="I273" s="823"/>
      <c r="J273" s="823"/>
      <c r="K273" s="823"/>
      <c r="L273" s="823"/>
      <c r="M273" s="823"/>
      <c r="N273" s="823"/>
      <c r="O273" s="823"/>
      <c r="P273" s="823"/>
      <c r="Q273" s="823"/>
      <c r="R273" s="823"/>
      <c r="S273" s="823"/>
      <c r="T273" s="823"/>
      <c r="U273" s="823"/>
      <c r="V273" s="823"/>
      <c r="W273" s="823"/>
      <c r="X273" s="823"/>
      <c r="Y273" s="823"/>
      <c r="Z273" s="823"/>
      <c r="AA273" s="823"/>
      <c r="AB273" s="823"/>
    </row>
    <row r="274" ht="69.75" hidden="1" customHeight="1">
      <c r="A274" s="830"/>
      <c r="B274" s="818" t="s">
        <v>14245</v>
      </c>
      <c r="C274" s="818">
        <v>450.0</v>
      </c>
      <c r="D274" s="1101">
        <v>0.5833333333333334</v>
      </c>
      <c r="E274" s="818" t="s">
        <v>13700</v>
      </c>
      <c r="F274" s="818" t="s">
        <v>3883</v>
      </c>
      <c r="G274" s="818" t="s">
        <v>14246</v>
      </c>
      <c r="H274" s="823"/>
      <c r="I274" s="823"/>
      <c r="J274" s="823"/>
      <c r="K274" s="823"/>
      <c r="L274" s="823"/>
      <c r="M274" s="823"/>
      <c r="N274" s="823"/>
      <c r="O274" s="823"/>
      <c r="P274" s="823"/>
      <c r="Q274" s="823"/>
      <c r="R274" s="823"/>
      <c r="S274" s="823"/>
      <c r="T274" s="823"/>
      <c r="U274" s="823"/>
      <c r="V274" s="823"/>
      <c r="W274" s="823"/>
      <c r="X274" s="823"/>
      <c r="Y274" s="823"/>
      <c r="Z274" s="823"/>
      <c r="AA274" s="823"/>
      <c r="AB274" s="823"/>
    </row>
    <row r="275" hidden="1">
      <c r="A275" s="830"/>
      <c r="B275" s="818" t="s">
        <v>14247</v>
      </c>
      <c r="C275" s="818" t="s">
        <v>14248</v>
      </c>
      <c r="D275" s="818" t="s">
        <v>13739</v>
      </c>
      <c r="E275" s="818" t="s">
        <v>13700</v>
      </c>
      <c r="F275" s="818" t="s">
        <v>4262</v>
      </c>
      <c r="G275" s="823"/>
      <c r="H275" s="823"/>
      <c r="I275" s="823"/>
      <c r="J275" s="823"/>
      <c r="K275" s="823"/>
      <c r="L275" s="823"/>
      <c r="M275" s="823"/>
      <c r="N275" s="823"/>
      <c r="O275" s="823"/>
      <c r="P275" s="823"/>
      <c r="Q275" s="823"/>
      <c r="R275" s="823"/>
      <c r="S275" s="823"/>
      <c r="T275" s="823"/>
      <c r="U275" s="823"/>
      <c r="V275" s="823"/>
      <c r="W275" s="823"/>
      <c r="X275" s="823"/>
      <c r="Y275" s="823"/>
      <c r="Z275" s="823"/>
      <c r="AA275" s="823"/>
      <c r="AB275" s="823"/>
    </row>
    <row r="276" hidden="1">
      <c r="A276" s="862">
        <v>45611.0</v>
      </c>
      <c r="B276" s="818" t="s">
        <v>14249</v>
      </c>
      <c r="C276" s="818" t="s">
        <v>14250</v>
      </c>
      <c r="D276" s="1101">
        <v>0.4166666666666667</v>
      </c>
      <c r="E276" s="818" t="s">
        <v>13700</v>
      </c>
      <c r="F276" s="818" t="s">
        <v>3883</v>
      </c>
      <c r="G276" s="823"/>
      <c r="H276" s="823"/>
      <c r="I276" s="823"/>
      <c r="J276" s="823"/>
      <c r="K276" s="823"/>
      <c r="L276" s="823"/>
      <c r="M276" s="823"/>
      <c r="N276" s="823"/>
      <c r="O276" s="823"/>
      <c r="P276" s="823"/>
      <c r="Q276" s="823"/>
      <c r="R276" s="823"/>
      <c r="S276" s="823"/>
      <c r="T276" s="823"/>
      <c r="U276" s="823"/>
      <c r="V276" s="823"/>
      <c r="W276" s="823"/>
      <c r="X276" s="823"/>
      <c r="Y276" s="823"/>
      <c r="Z276" s="823"/>
      <c r="AA276" s="823"/>
      <c r="AB276" s="823"/>
    </row>
    <row r="277" hidden="1">
      <c r="A277" s="862">
        <v>45611.0</v>
      </c>
      <c r="B277" s="818" t="s">
        <v>14251</v>
      </c>
      <c r="C277" s="818" t="s">
        <v>14252</v>
      </c>
      <c r="D277" s="1101">
        <v>0.4166666666666667</v>
      </c>
      <c r="E277" s="818" t="s">
        <v>13700</v>
      </c>
      <c r="F277" s="818" t="s">
        <v>4262</v>
      </c>
      <c r="G277" s="823"/>
      <c r="H277" s="823"/>
      <c r="I277" s="823"/>
      <c r="J277" s="823"/>
      <c r="K277" s="823"/>
      <c r="L277" s="823"/>
      <c r="M277" s="823"/>
      <c r="N277" s="823"/>
      <c r="O277" s="823"/>
      <c r="P277" s="823"/>
      <c r="Q277" s="823"/>
      <c r="R277" s="823"/>
      <c r="S277" s="823"/>
      <c r="T277" s="823"/>
      <c r="U277" s="823"/>
      <c r="V277" s="823"/>
      <c r="W277" s="823"/>
      <c r="X277" s="823"/>
      <c r="Y277" s="823"/>
      <c r="Z277" s="823"/>
      <c r="AA277" s="823"/>
      <c r="AB277" s="823"/>
    </row>
    <row r="278" hidden="1">
      <c r="A278" s="862">
        <v>45611.0</v>
      </c>
      <c r="B278" s="818" t="s">
        <v>14253</v>
      </c>
      <c r="C278" s="818">
        <v>1338.0</v>
      </c>
      <c r="D278" s="1101">
        <v>0.3958333333333333</v>
      </c>
      <c r="E278" s="818" t="s">
        <v>13700</v>
      </c>
      <c r="F278" s="818" t="s">
        <v>4262</v>
      </c>
      <c r="G278" s="823"/>
      <c r="H278" s="823"/>
      <c r="I278" s="823"/>
      <c r="J278" s="823"/>
      <c r="K278" s="823"/>
      <c r="L278" s="823"/>
      <c r="M278" s="823"/>
      <c r="N278" s="823"/>
      <c r="O278" s="823"/>
      <c r="P278" s="823"/>
      <c r="Q278" s="823"/>
      <c r="R278" s="823"/>
      <c r="S278" s="823"/>
      <c r="T278" s="823"/>
      <c r="U278" s="823"/>
      <c r="V278" s="823"/>
      <c r="W278" s="823"/>
      <c r="X278" s="823"/>
      <c r="Y278" s="823"/>
      <c r="Z278" s="823"/>
      <c r="AA278" s="823"/>
      <c r="AB278" s="823"/>
    </row>
    <row r="279" hidden="1">
      <c r="A279" s="830">
        <v>45611.0</v>
      </c>
      <c r="B279" s="818" t="s">
        <v>14254</v>
      </c>
      <c r="C279" s="818" t="s">
        <v>14255</v>
      </c>
      <c r="D279" s="818" t="s">
        <v>13696</v>
      </c>
      <c r="E279" s="818" t="s">
        <v>13700</v>
      </c>
      <c r="F279" s="818" t="s">
        <v>4258</v>
      </c>
      <c r="G279" s="823"/>
      <c r="H279" s="823"/>
      <c r="I279" s="823"/>
      <c r="J279" s="823"/>
      <c r="K279" s="823"/>
      <c r="L279" s="823"/>
      <c r="M279" s="823"/>
      <c r="N279" s="823"/>
      <c r="O279" s="823"/>
      <c r="P279" s="823"/>
      <c r="Q279" s="823"/>
      <c r="R279" s="823"/>
      <c r="S279" s="823"/>
      <c r="T279" s="823"/>
      <c r="U279" s="823"/>
      <c r="V279" s="823"/>
      <c r="W279" s="823"/>
      <c r="X279" s="823"/>
      <c r="Y279" s="823"/>
      <c r="Z279" s="823"/>
      <c r="AA279" s="823"/>
      <c r="AB279" s="823"/>
    </row>
    <row r="280" hidden="1">
      <c r="A280" s="830">
        <v>45612.0</v>
      </c>
      <c r="B280" s="818" t="s">
        <v>14256</v>
      </c>
      <c r="C280" s="818" t="s">
        <v>14257</v>
      </c>
      <c r="D280" s="1101">
        <v>0.4166666666666667</v>
      </c>
      <c r="E280" s="818" t="s">
        <v>14024</v>
      </c>
      <c r="F280" s="818" t="s">
        <v>4262</v>
      </c>
      <c r="G280" s="823"/>
      <c r="H280" s="823"/>
      <c r="I280" s="823"/>
      <c r="J280" s="823"/>
      <c r="K280" s="823"/>
      <c r="L280" s="823"/>
      <c r="M280" s="823"/>
      <c r="N280" s="823"/>
      <c r="O280" s="823"/>
      <c r="P280" s="823"/>
      <c r="Q280" s="823"/>
      <c r="R280" s="823"/>
      <c r="S280" s="823"/>
      <c r="T280" s="823"/>
      <c r="U280" s="823"/>
      <c r="V280" s="823"/>
      <c r="W280" s="823"/>
      <c r="X280" s="823"/>
      <c r="Y280" s="823"/>
      <c r="Z280" s="823"/>
      <c r="AA280" s="823"/>
      <c r="AB280" s="823"/>
    </row>
    <row r="281" hidden="1">
      <c r="A281" s="830"/>
      <c r="B281" s="818" t="s">
        <v>14258</v>
      </c>
      <c r="C281" s="738">
        <v>400.0</v>
      </c>
      <c r="D281" s="1101">
        <v>0.6666666666666666</v>
      </c>
      <c r="E281" s="818" t="s">
        <v>13700</v>
      </c>
      <c r="F281" s="818" t="s">
        <v>3883</v>
      </c>
      <c r="G281" s="823"/>
      <c r="H281" s="823"/>
      <c r="I281" s="823"/>
      <c r="J281" s="823"/>
      <c r="K281" s="823"/>
      <c r="L281" s="823"/>
      <c r="M281" s="823"/>
      <c r="N281" s="823"/>
      <c r="O281" s="823"/>
      <c r="P281" s="823"/>
      <c r="Q281" s="823"/>
      <c r="R281" s="823"/>
      <c r="S281" s="823"/>
      <c r="T281" s="823"/>
      <c r="U281" s="823"/>
      <c r="V281" s="823"/>
      <c r="W281" s="823"/>
      <c r="X281" s="823"/>
      <c r="Y281" s="823"/>
      <c r="Z281" s="823"/>
      <c r="AA281" s="823"/>
      <c r="AB281" s="823"/>
    </row>
    <row r="282" hidden="1">
      <c r="A282" s="830">
        <v>45614.0</v>
      </c>
      <c r="B282" s="818" t="s">
        <v>14259</v>
      </c>
      <c r="C282" s="738" t="s">
        <v>14260</v>
      </c>
      <c r="D282" s="1101">
        <v>0.4166666666666667</v>
      </c>
      <c r="E282" s="818" t="s">
        <v>14024</v>
      </c>
      <c r="F282" s="818" t="s">
        <v>3883</v>
      </c>
      <c r="G282" s="823"/>
      <c r="H282" s="823"/>
      <c r="I282" s="823"/>
      <c r="J282" s="823"/>
      <c r="K282" s="823"/>
      <c r="L282" s="823"/>
      <c r="M282" s="823"/>
      <c r="N282" s="823"/>
      <c r="O282" s="823"/>
      <c r="P282" s="823"/>
      <c r="Q282" s="823"/>
      <c r="R282" s="823"/>
      <c r="S282" s="823"/>
      <c r="T282" s="823"/>
      <c r="U282" s="823"/>
      <c r="V282" s="823"/>
      <c r="W282" s="823"/>
      <c r="X282" s="823"/>
      <c r="Y282" s="823"/>
      <c r="Z282" s="823"/>
      <c r="AA282" s="823"/>
      <c r="AB282" s="823"/>
    </row>
    <row r="283" hidden="1">
      <c r="A283" s="830">
        <v>45614.0</v>
      </c>
      <c r="B283" s="818" t="s">
        <v>14261</v>
      </c>
      <c r="C283" s="738">
        <v>350000.0</v>
      </c>
      <c r="D283" s="1101">
        <v>0.5416666666666666</v>
      </c>
      <c r="E283" s="818" t="s">
        <v>14024</v>
      </c>
      <c r="F283" s="818" t="s">
        <v>3883</v>
      </c>
      <c r="G283" s="823"/>
      <c r="H283" s="823"/>
      <c r="I283" s="823"/>
      <c r="J283" s="823"/>
      <c r="K283" s="823"/>
      <c r="L283" s="823"/>
      <c r="M283" s="823"/>
      <c r="N283" s="823"/>
      <c r="O283" s="823"/>
      <c r="P283" s="823"/>
      <c r="Q283" s="823"/>
      <c r="R283" s="823"/>
      <c r="S283" s="823"/>
      <c r="T283" s="823"/>
      <c r="U283" s="823"/>
      <c r="V283" s="823"/>
      <c r="W283" s="823"/>
      <c r="X283" s="823"/>
      <c r="Y283" s="823"/>
      <c r="Z283" s="823"/>
      <c r="AA283" s="823"/>
      <c r="AB283" s="823"/>
    </row>
    <row r="284" hidden="1">
      <c r="A284" s="830">
        <v>45614.0</v>
      </c>
      <c r="B284" s="818" t="s">
        <v>14262</v>
      </c>
      <c r="C284" s="738" t="s">
        <v>14263</v>
      </c>
      <c r="D284" s="818" t="s">
        <v>14264</v>
      </c>
      <c r="E284" s="818"/>
      <c r="F284" s="818"/>
      <c r="G284" s="823"/>
      <c r="H284" s="823"/>
      <c r="I284" s="823"/>
      <c r="J284" s="823"/>
      <c r="K284" s="823"/>
      <c r="L284" s="823"/>
      <c r="M284" s="823"/>
      <c r="N284" s="823"/>
      <c r="O284" s="823"/>
      <c r="P284" s="823"/>
      <c r="Q284" s="823"/>
      <c r="R284" s="823"/>
      <c r="S284" s="823"/>
      <c r="T284" s="823"/>
      <c r="U284" s="823"/>
      <c r="V284" s="823"/>
      <c r="W284" s="823"/>
      <c r="X284" s="823"/>
      <c r="Y284" s="823"/>
      <c r="Z284" s="823"/>
      <c r="AA284" s="823"/>
      <c r="AB284" s="823"/>
    </row>
    <row r="285" hidden="1">
      <c r="A285" s="830">
        <v>45614.0</v>
      </c>
      <c r="B285" s="818" t="s">
        <v>14265</v>
      </c>
      <c r="C285" s="738"/>
      <c r="D285" s="1101">
        <v>0.625</v>
      </c>
      <c r="E285" s="818" t="s">
        <v>13700</v>
      </c>
      <c r="F285" s="818" t="s">
        <v>4262</v>
      </c>
      <c r="G285" s="823"/>
      <c r="H285" s="823"/>
      <c r="I285" s="823"/>
      <c r="J285" s="823"/>
      <c r="K285" s="823"/>
      <c r="L285" s="823"/>
      <c r="M285" s="823"/>
      <c r="N285" s="823"/>
      <c r="O285" s="823"/>
      <c r="P285" s="823"/>
      <c r="Q285" s="823"/>
      <c r="R285" s="823"/>
      <c r="S285" s="823"/>
      <c r="T285" s="823"/>
      <c r="U285" s="823"/>
      <c r="V285" s="823"/>
      <c r="W285" s="823"/>
      <c r="X285" s="823"/>
      <c r="Y285" s="823"/>
      <c r="Z285" s="823"/>
      <c r="AA285" s="823"/>
      <c r="AB285" s="823"/>
    </row>
    <row r="286" hidden="1">
      <c r="A286" s="830">
        <v>45615.0</v>
      </c>
      <c r="B286" s="818" t="s">
        <v>14266</v>
      </c>
      <c r="C286" s="738" t="s">
        <v>14267</v>
      </c>
      <c r="D286" s="1101">
        <v>0.4166666666666667</v>
      </c>
      <c r="E286" s="818" t="s">
        <v>13700</v>
      </c>
      <c r="F286" s="818" t="s">
        <v>3883</v>
      </c>
      <c r="G286" s="823"/>
      <c r="H286" s="823"/>
      <c r="I286" s="823"/>
      <c r="J286" s="823"/>
      <c r="K286" s="823"/>
      <c r="L286" s="823"/>
      <c r="M286" s="823"/>
      <c r="N286" s="823"/>
      <c r="O286" s="823"/>
      <c r="P286" s="823"/>
      <c r="Q286" s="823"/>
      <c r="R286" s="823"/>
      <c r="S286" s="823"/>
      <c r="T286" s="823"/>
      <c r="U286" s="823"/>
      <c r="V286" s="823"/>
      <c r="W286" s="823"/>
      <c r="X286" s="823"/>
      <c r="Y286" s="823"/>
      <c r="Z286" s="823"/>
      <c r="AA286" s="823"/>
      <c r="AB286" s="823"/>
    </row>
    <row r="287" hidden="1">
      <c r="A287" s="830">
        <v>45615.0</v>
      </c>
      <c r="B287" s="818" t="s">
        <v>14268</v>
      </c>
      <c r="C287" s="818" t="s">
        <v>14269</v>
      </c>
      <c r="D287" s="818" t="s">
        <v>13956</v>
      </c>
      <c r="E287" s="818" t="s">
        <v>13700</v>
      </c>
      <c r="F287" s="818" t="s">
        <v>4258</v>
      </c>
      <c r="G287" s="823"/>
      <c r="H287" s="823"/>
      <c r="I287" s="823"/>
      <c r="J287" s="823"/>
      <c r="K287" s="823"/>
      <c r="L287" s="823"/>
      <c r="M287" s="823"/>
      <c r="N287" s="823"/>
      <c r="O287" s="823"/>
      <c r="P287" s="823"/>
      <c r="Q287" s="823"/>
      <c r="R287" s="823"/>
      <c r="S287" s="823"/>
      <c r="T287" s="823"/>
      <c r="U287" s="823"/>
      <c r="V287" s="823"/>
      <c r="W287" s="823"/>
      <c r="X287" s="823"/>
      <c r="Y287" s="823"/>
      <c r="Z287" s="823"/>
      <c r="AA287" s="823"/>
      <c r="AB287" s="823"/>
    </row>
    <row r="288" hidden="1">
      <c r="A288" s="830">
        <v>45615.0</v>
      </c>
      <c r="B288" s="818" t="s">
        <v>14270</v>
      </c>
      <c r="C288" s="738" t="s">
        <v>14271</v>
      </c>
      <c r="D288" s="1101">
        <v>0.375</v>
      </c>
      <c r="E288" s="818" t="s">
        <v>13700</v>
      </c>
      <c r="F288" s="818" t="s">
        <v>3883</v>
      </c>
      <c r="G288" s="823"/>
      <c r="H288" s="823"/>
      <c r="I288" s="823"/>
      <c r="J288" s="823"/>
      <c r="K288" s="823"/>
      <c r="L288" s="823"/>
      <c r="M288" s="823"/>
      <c r="N288" s="823"/>
      <c r="O288" s="823"/>
      <c r="P288" s="823"/>
      <c r="Q288" s="823"/>
      <c r="R288" s="823"/>
      <c r="S288" s="823"/>
      <c r="T288" s="823"/>
      <c r="U288" s="823"/>
      <c r="V288" s="823"/>
      <c r="W288" s="823"/>
      <c r="X288" s="823"/>
      <c r="Y288" s="823"/>
      <c r="Z288" s="823"/>
      <c r="AA288" s="823"/>
      <c r="AB288" s="823"/>
    </row>
    <row r="289" hidden="1">
      <c r="A289" s="830">
        <v>45615.0</v>
      </c>
      <c r="B289" s="818" t="s">
        <v>14272</v>
      </c>
      <c r="C289" s="738" t="s">
        <v>14273</v>
      </c>
      <c r="D289" s="1101">
        <v>0.375</v>
      </c>
      <c r="E289" s="818" t="s">
        <v>14024</v>
      </c>
      <c r="F289" s="818" t="s">
        <v>4262</v>
      </c>
      <c r="G289" s="823"/>
      <c r="H289" s="823"/>
      <c r="I289" s="823"/>
      <c r="J289" s="823"/>
      <c r="K289" s="823"/>
      <c r="L289" s="823"/>
      <c r="M289" s="823"/>
      <c r="N289" s="823"/>
      <c r="O289" s="823"/>
      <c r="P289" s="823"/>
      <c r="Q289" s="823"/>
      <c r="R289" s="823"/>
      <c r="S289" s="823"/>
      <c r="T289" s="823"/>
      <c r="U289" s="823"/>
      <c r="V289" s="823"/>
      <c r="W289" s="823"/>
      <c r="X289" s="823"/>
      <c r="Y289" s="823"/>
      <c r="Z289" s="823"/>
      <c r="AA289" s="823"/>
      <c r="AB289" s="823"/>
    </row>
    <row r="290" hidden="1">
      <c r="A290" s="830">
        <v>45615.0</v>
      </c>
      <c r="B290" s="818" t="s">
        <v>14274</v>
      </c>
      <c r="C290" s="818" t="s">
        <v>14275</v>
      </c>
      <c r="D290" s="818" t="s">
        <v>13696</v>
      </c>
      <c r="E290" s="818" t="s">
        <v>13700</v>
      </c>
      <c r="F290" s="818" t="s">
        <v>4258</v>
      </c>
      <c r="G290" s="823"/>
      <c r="H290" s="823"/>
      <c r="I290" s="823"/>
      <c r="J290" s="823"/>
      <c r="K290" s="823"/>
      <c r="L290" s="823"/>
      <c r="M290" s="823"/>
      <c r="N290" s="823"/>
      <c r="O290" s="823"/>
      <c r="P290" s="823"/>
      <c r="Q290" s="823"/>
      <c r="R290" s="823"/>
      <c r="S290" s="823"/>
      <c r="T290" s="823"/>
      <c r="U290" s="823"/>
      <c r="V290" s="823"/>
      <c r="W290" s="823"/>
      <c r="X290" s="823"/>
      <c r="Y290" s="823"/>
      <c r="Z290" s="823"/>
      <c r="AA290" s="823"/>
      <c r="AB290" s="823"/>
    </row>
    <row r="291" hidden="1">
      <c r="A291" s="830">
        <v>45618.0</v>
      </c>
      <c r="B291" s="818" t="s">
        <v>14276</v>
      </c>
      <c r="C291" s="818">
        <v>3000.0</v>
      </c>
      <c r="D291" s="1101">
        <v>0.375</v>
      </c>
      <c r="E291" s="818" t="s">
        <v>14024</v>
      </c>
      <c r="F291" s="818" t="s">
        <v>4262</v>
      </c>
      <c r="G291" s="823"/>
      <c r="H291" s="823"/>
      <c r="I291" s="823"/>
      <c r="J291" s="823"/>
      <c r="K291" s="823"/>
      <c r="L291" s="823"/>
      <c r="M291" s="823"/>
      <c r="N291" s="823"/>
      <c r="O291" s="823"/>
      <c r="P291" s="823"/>
      <c r="Q291" s="823"/>
      <c r="R291" s="823"/>
      <c r="S291" s="823"/>
      <c r="T291" s="823"/>
      <c r="U291" s="823"/>
      <c r="V291" s="823"/>
      <c r="W291" s="823"/>
      <c r="X291" s="823"/>
      <c r="Y291" s="823"/>
      <c r="Z291" s="823"/>
      <c r="AA291" s="823"/>
      <c r="AB291" s="823"/>
    </row>
    <row r="292" hidden="1">
      <c r="A292" s="830">
        <v>45618.0</v>
      </c>
      <c r="B292" s="818" t="s">
        <v>14277</v>
      </c>
      <c r="C292" s="818" t="s">
        <v>14278</v>
      </c>
      <c r="D292" s="818" t="s">
        <v>13861</v>
      </c>
      <c r="E292" s="818" t="s">
        <v>13700</v>
      </c>
      <c r="F292" s="818" t="s">
        <v>4258</v>
      </c>
      <c r="G292" s="823"/>
      <c r="H292" s="823"/>
      <c r="I292" s="823"/>
      <c r="J292" s="823"/>
      <c r="K292" s="823"/>
      <c r="L292" s="823"/>
      <c r="M292" s="823"/>
      <c r="N292" s="823"/>
      <c r="O292" s="823"/>
      <c r="P292" s="823"/>
      <c r="Q292" s="823"/>
      <c r="R292" s="823"/>
      <c r="S292" s="823"/>
      <c r="T292" s="823"/>
      <c r="U292" s="823"/>
      <c r="V292" s="823"/>
      <c r="W292" s="823"/>
      <c r="X292" s="823"/>
      <c r="Y292" s="823"/>
      <c r="Z292" s="823"/>
      <c r="AA292" s="823"/>
      <c r="AB292" s="823"/>
    </row>
    <row r="293" hidden="1">
      <c r="A293" s="830">
        <v>45619.0</v>
      </c>
      <c r="B293" s="818" t="s">
        <v>14279</v>
      </c>
      <c r="C293" s="738" t="s">
        <v>14280</v>
      </c>
      <c r="D293" s="1101">
        <v>0.375</v>
      </c>
      <c r="E293" s="818" t="s">
        <v>14024</v>
      </c>
      <c r="F293" s="818" t="s">
        <v>3883</v>
      </c>
      <c r="G293" s="823"/>
      <c r="H293" s="823"/>
      <c r="I293" s="823"/>
      <c r="J293" s="823"/>
      <c r="K293" s="823"/>
      <c r="L293" s="823"/>
      <c r="M293" s="823"/>
      <c r="N293" s="823"/>
      <c r="O293" s="823"/>
      <c r="P293" s="823"/>
      <c r="Q293" s="823"/>
      <c r="R293" s="823"/>
      <c r="S293" s="823"/>
      <c r="T293" s="823"/>
      <c r="U293" s="823"/>
      <c r="V293" s="823"/>
      <c r="W293" s="823"/>
      <c r="X293" s="823"/>
      <c r="Y293" s="823"/>
      <c r="Z293" s="823"/>
      <c r="AA293" s="823"/>
      <c r="AB293" s="823"/>
    </row>
    <row r="294" hidden="1">
      <c r="A294" s="830">
        <v>45619.0</v>
      </c>
      <c r="B294" s="818" t="s">
        <v>14281</v>
      </c>
      <c r="C294" s="738" t="s">
        <v>14282</v>
      </c>
      <c r="D294" s="1101">
        <v>0.375</v>
      </c>
      <c r="E294" s="818" t="s">
        <v>13700</v>
      </c>
      <c r="F294" s="818" t="s">
        <v>4262</v>
      </c>
      <c r="G294" s="823"/>
      <c r="H294" s="823"/>
      <c r="I294" s="823"/>
      <c r="J294" s="823"/>
      <c r="K294" s="823"/>
      <c r="L294" s="823"/>
      <c r="M294" s="823"/>
      <c r="N294" s="823"/>
      <c r="O294" s="823"/>
      <c r="P294" s="823"/>
      <c r="Q294" s="823"/>
      <c r="R294" s="823"/>
      <c r="S294" s="823"/>
      <c r="T294" s="823"/>
      <c r="U294" s="823"/>
      <c r="V294" s="823"/>
      <c r="W294" s="823"/>
      <c r="X294" s="823"/>
      <c r="Y294" s="823"/>
      <c r="Z294" s="823"/>
      <c r="AA294" s="823"/>
      <c r="AB294" s="823"/>
    </row>
    <row r="295" hidden="1">
      <c r="A295" s="830">
        <v>45620.0</v>
      </c>
      <c r="B295" s="818" t="s">
        <v>14283</v>
      </c>
      <c r="C295" s="738" t="s">
        <v>14284</v>
      </c>
      <c r="D295" s="1101">
        <v>0.4583333333333333</v>
      </c>
      <c r="E295" s="818" t="s">
        <v>13700</v>
      </c>
      <c r="F295" s="818" t="s">
        <v>4262</v>
      </c>
      <c r="G295" s="823"/>
      <c r="H295" s="823"/>
      <c r="I295" s="823"/>
      <c r="J295" s="823"/>
      <c r="K295" s="823"/>
      <c r="L295" s="823"/>
      <c r="M295" s="823"/>
      <c r="N295" s="823"/>
      <c r="O295" s="823"/>
      <c r="P295" s="823"/>
      <c r="Q295" s="823"/>
      <c r="R295" s="823"/>
      <c r="S295" s="823"/>
      <c r="T295" s="823"/>
      <c r="U295" s="823"/>
      <c r="V295" s="823"/>
      <c r="W295" s="823"/>
      <c r="X295" s="823"/>
      <c r="Y295" s="823"/>
      <c r="Z295" s="823"/>
      <c r="AA295" s="823"/>
      <c r="AB295" s="823"/>
    </row>
    <row r="296" hidden="1">
      <c r="A296" s="830">
        <v>45621.0</v>
      </c>
      <c r="B296" s="818" t="s">
        <v>14285</v>
      </c>
      <c r="C296" s="738" t="s">
        <v>14286</v>
      </c>
      <c r="D296" s="818" t="s">
        <v>13722</v>
      </c>
      <c r="E296" s="818" t="s">
        <v>13700</v>
      </c>
      <c r="F296" s="818" t="s">
        <v>4262</v>
      </c>
      <c r="G296" s="823"/>
      <c r="H296" s="823"/>
      <c r="I296" s="823"/>
      <c r="J296" s="823"/>
      <c r="K296" s="823"/>
      <c r="L296" s="823"/>
      <c r="M296" s="823"/>
      <c r="N296" s="823"/>
      <c r="O296" s="823"/>
      <c r="P296" s="823"/>
      <c r="Q296" s="823"/>
      <c r="R296" s="823"/>
      <c r="S296" s="823"/>
      <c r="T296" s="823"/>
      <c r="U296" s="823"/>
      <c r="V296" s="823"/>
      <c r="W296" s="823"/>
      <c r="X296" s="823"/>
      <c r="Y296" s="823"/>
      <c r="Z296" s="823"/>
      <c r="AA296" s="823"/>
      <c r="AB296" s="823"/>
    </row>
    <row r="297" hidden="1">
      <c r="A297" s="830">
        <v>45621.0</v>
      </c>
      <c r="B297" s="1111" t="s">
        <v>14287</v>
      </c>
      <c r="C297" s="738" t="s">
        <v>14288</v>
      </c>
      <c r="D297" s="1101">
        <v>0.3333333333333333</v>
      </c>
      <c r="E297" s="818" t="s">
        <v>13700</v>
      </c>
      <c r="F297" s="818" t="s">
        <v>4262</v>
      </c>
      <c r="G297" s="823"/>
      <c r="H297" s="823"/>
      <c r="I297" s="823"/>
      <c r="J297" s="823"/>
      <c r="K297" s="823"/>
      <c r="L297" s="823"/>
      <c r="M297" s="823"/>
      <c r="N297" s="823"/>
      <c r="O297" s="823"/>
      <c r="P297" s="823"/>
      <c r="Q297" s="823"/>
      <c r="R297" s="823"/>
      <c r="S297" s="823"/>
      <c r="T297" s="823"/>
      <c r="U297" s="823"/>
      <c r="V297" s="823"/>
      <c r="W297" s="823"/>
      <c r="X297" s="823"/>
      <c r="Y297" s="823"/>
      <c r="Z297" s="823"/>
      <c r="AA297" s="823"/>
      <c r="AB297" s="823"/>
    </row>
    <row r="298" hidden="1">
      <c r="A298" s="830">
        <v>45621.0</v>
      </c>
      <c r="B298" s="1111" t="s">
        <v>14289</v>
      </c>
      <c r="C298" s="738"/>
      <c r="D298" s="1101">
        <v>0.5</v>
      </c>
      <c r="E298" s="818" t="s">
        <v>13700</v>
      </c>
      <c r="F298" s="818" t="s">
        <v>3883</v>
      </c>
      <c r="G298" s="823"/>
      <c r="H298" s="823"/>
      <c r="I298" s="823"/>
      <c r="J298" s="823"/>
      <c r="K298" s="823"/>
      <c r="L298" s="823"/>
      <c r="M298" s="823"/>
      <c r="N298" s="823"/>
      <c r="O298" s="823"/>
      <c r="P298" s="823"/>
      <c r="Q298" s="823"/>
      <c r="R298" s="823"/>
      <c r="S298" s="823"/>
      <c r="T298" s="823"/>
      <c r="U298" s="823"/>
      <c r="V298" s="823"/>
      <c r="W298" s="823"/>
      <c r="X298" s="823"/>
      <c r="Y298" s="823"/>
      <c r="Z298" s="823"/>
      <c r="AA298" s="823"/>
      <c r="AB298" s="823"/>
    </row>
    <row r="299" hidden="1">
      <c r="A299" s="830">
        <v>45622.0</v>
      </c>
      <c r="B299" s="818" t="s">
        <v>14290</v>
      </c>
      <c r="C299" s="738" t="s">
        <v>14291</v>
      </c>
      <c r="D299" s="1101">
        <v>0.3333333333333333</v>
      </c>
      <c r="E299" s="818" t="s">
        <v>14024</v>
      </c>
      <c r="F299" s="818" t="s">
        <v>4262</v>
      </c>
      <c r="G299" s="823"/>
      <c r="H299" s="823"/>
      <c r="I299" s="823"/>
      <c r="J299" s="823"/>
      <c r="K299" s="823"/>
      <c r="L299" s="823"/>
      <c r="M299" s="823"/>
      <c r="N299" s="823"/>
      <c r="O299" s="823"/>
      <c r="P299" s="823"/>
      <c r="Q299" s="823"/>
      <c r="R299" s="823"/>
      <c r="S299" s="823"/>
      <c r="T299" s="823"/>
      <c r="U299" s="823"/>
      <c r="V299" s="823"/>
      <c r="W299" s="823"/>
      <c r="X299" s="823"/>
      <c r="Y299" s="823"/>
      <c r="Z299" s="823"/>
      <c r="AA299" s="823"/>
      <c r="AB299" s="823"/>
    </row>
    <row r="300" hidden="1">
      <c r="A300" s="830">
        <v>45622.0</v>
      </c>
      <c r="B300" s="818" t="s">
        <v>14292</v>
      </c>
      <c r="C300" s="738" t="s">
        <v>14293</v>
      </c>
      <c r="D300" s="818" t="s">
        <v>13746</v>
      </c>
      <c r="E300" s="818" t="s">
        <v>13700</v>
      </c>
      <c r="F300" s="818" t="s">
        <v>3883</v>
      </c>
      <c r="G300" s="823"/>
      <c r="H300" s="823"/>
      <c r="I300" s="823"/>
      <c r="J300" s="823"/>
      <c r="K300" s="823"/>
      <c r="L300" s="823"/>
      <c r="M300" s="823"/>
      <c r="N300" s="823"/>
      <c r="O300" s="823"/>
      <c r="P300" s="823"/>
      <c r="Q300" s="823"/>
      <c r="R300" s="823"/>
      <c r="S300" s="823"/>
      <c r="T300" s="823"/>
      <c r="U300" s="823"/>
      <c r="V300" s="823"/>
      <c r="W300" s="823"/>
      <c r="X300" s="823"/>
      <c r="Y300" s="823"/>
      <c r="Z300" s="823"/>
      <c r="AA300" s="823"/>
      <c r="AB300" s="823"/>
    </row>
    <row r="301" hidden="1">
      <c r="A301" s="830">
        <v>45622.0</v>
      </c>
      <c r="B301" s="818" t="s">
        <v>14294</v>
      </c>
      <c r="C301" s="818" t="s">
        <v>14295</v>
      </c>
      <c r="D301" s="818" t="s">
        <v>13711</v>
      </c>
      <c r="E301" s="818" t="s">
        <v>14024</v>
      </c>
      <c r="F301" s="818" t="s">
        <v>4258</v>
      </c>
      <c r="G301" s="823"/>
      <c r="H301" s="823"/>
      <c r="I301" s="823"/>
      <c r="J301" s="823"/>
      <c r="K301" s="823"/>
      <c r="L301" s="823"/>
      <c r="M301" s="823"/>
      <c r="N301" s="823"/>
      <c r="O301" s="823"/>
      <c r="P301" s="823"/>
      <c r="Q301" s="823"/>
      <c r="R301" s="823"/>
      <c r="S301" s="823"/>
      <c r="T301" s="823"/>
      <c r="U301" s="823"/>
      <c r="V301" s="823"/>
      <c r="W301" s="823"/>
      <c r="X301" s="823"/>
      <c r="Y301" s="823"/>
      <c r="Z301" s="823"/>
      <c r="AA301" s="823"/>
      <c r="AB301" s="823"/>
    </row>
    <row r="302" hidden="1">
      <c r="A302" s="830">
        <v>45624.0</v>
      </c>
      <c r="B302" s="818" t="s">
        <v>14296</v>
      </c>
      <c r="C302" s="818" t="s">
        <v>14297</v>
      </c>
      <c r="D302" s="1101">
        <v>0.375</v>
      </c>
      <c r="E302" s="818" t="s">
        <v>13700</v>
      </c>
      <c r="F302" s="818" t="s">
        <v>4262</v>
      </c>
      <c r="G302" s="823"/>
      <c r="H302" s="823"/>
      <c r="I302" s="823"/>
      <c r="J302" s="823"/>
      <c r="K302" s="823"/>
      <c r="L302" s="823"/>
      <c r="M302" s="823"/>
      <c r="N302" s="823"/>
      <c r="O302" s="823"/>
      <c r="P302" s="823"/>
      <c r="Q302" s="823"/>
      <c r="R302" s="823"/>
      <c r="S302" s="823"/>
      <c r="T302" s="823"/>
      <c r="U302" s="823"/>
      <c r="V302" s="823"/>
      <c r="W302" s="823"/>
      <c r="X302" s="823"/>
      <c r="Y302" s="823"/>
      <c r="Z302" s="823"/>
      <c r="AA302" s="823"/>
      <c r="AB302" s="823"/>
    </row>
    <row r="303" hidden="1">
      <c r="A303" s="830">
        <v>45624.0</v>
      </c>
      <c r="B303" s="818" t="s">
        <v>14298</v>
      </c>
      <c r="C303" s="818" t="s">
        <v>14098</v>
      </c>
      <c r="D303" s="818" t="s">
        <v>14299</v>
      </c>
      <c r="E303" s="818" t="s">
        <v>13700</v>
      </c>
      <c r="F303" s="818" t="s">
        <v>4258</v>
      </c>
      <c r="G303" s="823"/>
      <c r="H303" s="823"/>
      <c r="I303" s="823"/>
      <c r="J303" s="823"/>
      <c r="K303" s="823"/>
      <c r="L303" s="823"/>
      <c r="M303" s="823"/>
      <c r="N303" s="823"/>
      <c r="O303" s="823"/>
      <c r="P303" s="823"/>
      <c r="Q303" s="823"/>
      <c r="R303" s="823"/>
      <c r="S303" s="823"/>
      <c r="T303" s="823"/>
      <c r="U303" s="823"/>
      <c r="V303" s="823"/>
      <c r="W303" s="823"/>
      <c r="X303" s="823"/>
      <c r="Y303" s="823"/>
      <c r="Z303" s="823"/>
      <c r="AA303" s="823"/>
      <c r="AB303" s="823"/>
    </row>
    <row r="304" hidden="1">
      <c r="A304" s="830">
        <v>45624.0</v>
      </c>
      <c r="B304" s="818" t="s">
        <v>14300</v>
      </c>
      <c r="C304" s="818" t="s">
        <v>14301</v>
      </c>
      <c r="D304" s="1101">
        <v>0.5416666666666666</v>
      </c>
      <c r="E304" s="818" t="s">
        <v>13700</v>
      </c>
      <c r="F304" s="818" t="s">
        <v>3883</v>
      </c>
      <c r="G304" s="823"/>
      <c r="H304" s="823"/>
      <c r="I304" s="823"/>
      <c r="J304" s="823"/>
      <c r="K304" s="823"/>
      <c r="L304" s="823"/>
      <c r="M304" s="823"/>
      <c r="N304" s="823"/>
      <c r="O304" s="823"/>
      <c r="P304" s="823"/>
      <c r="Q304" s="823"/>
      <c r="R304" s="823"/>
      <c r="S304" s="823"/>
      <c r="T304" s="823"/>
      <c r="U304" s="823"/>
      <c r="V304" s="823"/>
      <c r="W304" s="823"/>
      <c r="X304" s="823"/>
      <c r="Y304" s="823"/>
      <c r="Z304" s="823"/>
      <c r="AA304" s="823"/>
      <c r="AB304" s="823"/>
    </row>
    <row r="305" hidden="1">
      <c r="A305" s="830">
        <v>45625.0</v>
      </c>
      <c r="B305" s="818" t="s">
        <v>14302</v>
      </c>
      <c r="C305" s="818" t="s">
        <v>14303</v>
      </c>
      <c r="D305" s="1101">
        <v>0.375</v>
      </c>
      <c r="E305" s="818" t="s">
        <v>14024</v>
      </c>
      <c r="F305" s="818" t="s">
        <v>3883</v>
      </c>
      <c r="G305" s="823"/>
      <c r="H305" s="823"/>
      <c r="I305" s="823"/>
      <c r="J305" s="823"/>
      <c r="K305" s="823"/>
      <c r="L305" s="823"/>
      <c r="M305" s="823"/>
      <c r="N305" s="823"/>
      <c r="O305" s="823"/>
      <c r="P305" s="823"/>
      <c r="Q305" s="823"/>
      <c r="R305" s="823"/>
      <c r="S305" s="823"/>
      <c r="T305" s="823"/>
      <c r="U305" s="823"/>
      <c r="V305" s="823"/>
      <c r="W305" s="823"/>
      <c r="X305" s="823"/>
      <c r="Y305" s="823"/>
      <c r="Z305" s="823"/>
      <c r="AA305" s="823"/>
      <c r="AB305" s="823"/>
    </row>
    <row r="306" hidden="1">
      <c r="A306" s="830">
        <v>45625.0</v>
      </c>
      <c r="B306" s="818" t="s">
        <v>14304</v>
      </c>
      <c r="C306" s="818" t="s">
        <v>14305</v>
      </c>
      <c r="D306" s="1101">
        <v>0.5</v>
      </c>
      <c r="E306" s="818" t="s">
        <v>13700</v>
      </c>
      <c r="F306" s="818" t="s">
        <v>4262</v>
      </c>
      <c r="G306" s="823"/>
      <c r="H306" s="823"/>
      <c r="I306" s="823"/>
      <c r="J306" s="823"/>
      <c r="K306" s="823"/>
      <c r="L306" s="823"/>
      <c r="M306" s="823"/>
      <c r="N306" s="823"/>
      <c r="O306" s="823"/>
      <c r="P306" s="823"/>
      <c r="Q306" s="823"/>
      <c r="R306" s="823"/>
      <c r="S306" s="823"/>
      <c r="T306" s="823"/>
      <c r="U306" s="823"/>
      <c r="V306" s="823"/>
      <c r="W306" s="823"/>
      <c r="X306" s="823"/>
      <c r="Y306" s="823"/>
      <c r="Z306" s="823"/>
      <c r="AA306" s="823"/>
      <c r="AB306" s="823"/>
    </row>
    <row r="307" hidden="1">
      <c r="A307" s="830">
        <v>45626.0</v>
      </c>
      <c r="B307" s="818" t="s">
        <v>14306</v>
      </c>
      <c r="C307" s="818"/>
      <c r="D307" s="1101">
        <v>0.5</v>
      </c>
      <c r="E307" s="818" t="s">
        <v>13700</v>
      </c>
      <c r="F307" s="818" t="s">
        <v>3883</v>
      </c>
      <c r="G307" s="823"/>
      <c r="H307" s="823"/>
      <c r="I307" s="823"/>
      <c r="J307" s="823"/>
      <c r="K307" s="823"/>
      <c r="L307" s="823"/>
      <c r="M307" s="823"/>
      <c r="N307" s="823"/>
      <c r="O307" s="823"/>
      <c r="P307" s="823"/>
      <c r="Q307" s="823"/>
      <c r="R307" s="823"/>
      <c r="S307" s="823"/>
      <c r="T307" s="823"/>
      <c r="U307" s="823"/>
      <c r="V307" s="823"/>
      <c r="W307" s="823"/>
      <c r="X307" s="823"/>
      <c r="Y307" s="823"/>
      <c r="Z307" s="823"/>
      <c r="AA307" s="823"/>
      <c r="AB307" s="823"/>
    </row>
    <row r="308" hidden="1">
      <c r="A308" s="830">
        <v>45627.0</v>
      </c>
      <c r="B308" s="818" t="s">
        <v>14307</v>
      </c>
      <c r="C308" s="818" t="s">
        <v>14308</v>
      </c>
      <c r="D308" s="1101">
        <v>0.4166666666666667</v>
      </c>
      <c r="E308" s="818" t="s">
        <v>13700</v>
      </c>
      <c r="F308" s="818" t="s">
        <v>3883</v>
      </c>
      <c r="G308" s="823"/>
      <c r="H308" s="823"/>
      <c r="I308" s="823"/>
      <c r="J308" s="823"/>
      <c r="K308" s="823"/>
      <c r="L308" s="823"/>
      <c r="M308" s="823"/>
      <c r="N308" s="823"/>
      <c r="O308" s="823"/>
      <c r="P308" s="823"/>
      <c r="Q308" s="823"/>
      <c r="R308" s="823"/>
      <c r="S308" s="823"/>
      <c r="T308" s="823"/>
      <c r="U308" s="823"/>
      <c r="V308" s="823"/>
      <c r="W308" s="823"/>
      <c r="X308" s="823"/>
      <c r="Y308" s="823"/>
      <c r="Z308" s="823"/>
      <c r="AA308" s="823"/>
      <c r="AB308" s="823"/>
    </row>
    <row r="309" hidden="1">
      <c r="A309" s="830">
        <v>45626.0</v>
      </c>
      <c r="B309" s="818" t="s">
        <v>14309</v>
      </c>
      <c r="C309" s="738" t="s">
        <v>14310</v>
      </c>
      <c r="D309" s="818" t="s">
        <v>13686</v>
      </c>
      <c r="E309" s="818" t="s">
        <v>13700</v>
      </c>
      <c r="F309" s="818" t="s">
        <v>4258</v>
      </c>
      <c r="G309" s="823"/>
      <c r="H309" s="823"/>
      <c r="I309" s="823"/>
      <c r="J309" s="823"/>
      <c r="K309" s="823"/>
      <c r="L309" s="823"/>
      <c r="M309" s="823"/>
      <c r="N309" s="823"/>
      <c r="O309" s="823"/>
      <c r="P309" s="823"/>
      <c r="Q309" s="823"/>
      <c r="R309" s="823"/>
      <c r="S309" s="823"/>
      <c r="T309" s="823"/>
      <c r="U309" s="823"/>
      <c r="V309" s="823"/>
      <c r="W309" s="823"/>
      <c r="X309" s="823"/>
      <c r="Y309" s="823"/>
      <c r="Z309" s="823"/>
      <c r="AA309" s="823"/>
      <c r="AB309" s="823"/>
    </row>
    <row r="310" hidden="1">
      <c r="A310" s="862">
        <v>45629.0</v>
      </c>
      <c r="B310" s="818" t="s">
        <v>14311</v>
      </c>
      <c r="C310" s="818">
        <v>550.0</v>
      </c>
      <c r="D310" s="1101">
        <v>0.3958333333333333</v>
      </c>
      <c r="E310" s="818" t="s">
        <v>13700</v>
      </c>
      <c r="F310" s="818" t="s">
        <v>3883</v>
      </c>
      <c r="G310" s="823"/>
      <c r="H310" s="823"/>
      <c r="I310" s="823"/>
      <c r="J310" s="823"/>
      <c r="K310" s="823"/>
      <c r="L310" s="823"/>
      <c r="M310" s="823"/>
      <c r="N310" s="823"/>
      <c r="O310" s="823"/>
      <c r="P310" s="823"/>
      <c r="Q310" s="823"/>
      <c r="R310" s="823"/>
      <c r="S310" s="823"/>
      <c r="T310" s="823"/>
      <c r="U310" s="823"/>
      <c r="V310" s="823"/>
      <c r="W310" s="823"/>
      <c r="X310" s="823"/>
      <c r="Y310" s="823"/>
      <c r="Z310" s="823"/>
      <c r="AA310" s="823"/>
      <c r="AB310" s="823"/>
    </row>
    <row r="311" hidden="1">
      <c r="A311" s="862">
        <v>45628.0</v>
      </c>
      <c r="B311" s="818" t="s">
        <v>14312</v>
      </c>
      <c r="C311" s="818" t="s">
        <v>14313</v>
      </c>
      <c r="D311" s="1101">
        <v>0.5833333333333334</v>
      </c>
      <c r="E311" s="818" t="s">
        <v>13700</v>
      </c>
      <c r="F311" s="818" t="s">
        <v>4262</v>
      </c>
      <c r="G311" s="823"/>
      <c r="H311" s="823"/>
      <c r="I311" s="823"/>
      <c r="J311" s="823"/>
      <c r="K311" s="823"/>
      <c r="L311" s="823"/>
      <c r="M311" s="823"/>
      <c r="N311" s="823"/>
      <c r="O311" s="823"/>
      <c r="P311" s="823"/>
      <c r="Q311" s="823"/>
      <c r="R311" s="823"/>
      <c r="S311" s="823"/>
      <c r="T311" s="823"/>
      <c r="U311" s="823"/>
      <c r="V311" s="823"/>
      <c r="W311" s="823"/>
      <c r="X311" s="823"/>
      <c r="Y311" s="823"/>
      <c r="Z311" s="823"/>
      <c r="AA311" s="823"/>
      <c r="AB311" s="823"/>
    </row>
    <row r="312" hidden="1">
      <c r="A312" s="862">
        <v>45630.0</v>
      </c>
      <c r="B312" s="818" t="s">
        <v>14314</v>
      </c>
      <c r="C312" s="818" t="s">
        <v>14315</v>
      </c>
      <c r="D312" s="1101">
        <v>0.4583333333333333</v>
      </c>
      <c r="E312" s="818" t="s">
        <v>13700</v>
      </c>
      <c r="F312" s="818" t="s">
        <v>4262</v>
      </c>
      <c r="G312" s="823"/>
      <c r="H312" s="823"/>
      <c r="I312" s="823"/>
      <c r="J312" s="823"/>
      <c r="K312" s="823"/>
      <c r="L312" s="823"/>
      <c r="M312" s="823"/>
      <c r="N312" s="823"/>
      <c r="O312" s="823"/>
      <c r="P312" s="823"/>
      <c r="Q312" s="823"/>
      <c r="R312" s="823"/>
      <c r="S312" s="823"/>
      <c r="T312" s="823"/>
      <c r="U312" s="823"/>
      <c r="V312" s="823"/>
      <c r="W312" s="823"/>
      <c r="X312" s="823"/>
      <c r="Y312" s="823"/>
      <c r="Z312" s="823"/>
      <c r="AA312" s="823"/>
      <c r="AB312" s="823"/>
    </row>
    <row r="313" hidden="1">
      <c r="A313" s="862">
        <v>45631.0</v>
      </c>
      <c r="B313" s="1111" t="s">
        <v>14316</v>
      </c>
      <c r="C313" s="818" t="s">
        <v>14317</v>
      </c>
      <c r="D313" s="1101">
        <v>0.5416666666666666</v>
      </c>
      <c r="E313" s="818" t="s">
        <v>13700</v>
      </c>
      <c r="F313" s="818" t="s">
        <v>4262</v>
      </c>
      <c r="G313" s="823"/>
      <c r="H313" s="823"/>
      <c r="I313" s="823"/>
      <c r="J313" s="823"/>
      <c r="K313" s="823"/>
      <c r="L313" s="823"/>
      <c r="M313" s="823"/>
      <c r="N313" s="823"/>
      <c r="O313" s="823"/>
      <c r="P313" s="823"/>
      <c r="Q313" s="823"/>
      <c r="R313" s="823"/>
      <c r="S313" s="823"/>
      <c r="T313" s="823"/>
      <c r="U313" s="823"/>
      <c r="V313" s="823"/>
      <c r="W313" s="823"/>
      <c r="X313" s="823"/>
      <c r="Y313" s="823"/>
      <c r="Z313" s="823"/>
      <c r="AA313" s="823"/>
      <c r="AB313" s="823"/>
    </row>
    <row r="314" hidden="1">
      <c r="A314" s="862">
        <v>45632.0</v>
      </c>
      <c r="B314" s="818" t="s">
        <v>14318</v>
      </c>
      <c r="C314" s="818" t="s">
        <v>14319</v>
      </c>
      <c r="D314" s="1101">
        <v>0.4166666666666667</v>
      </c>
      <c r="E314" s="818" t="s">
        <v>13700</v>
      </c>
      <c r="F314" s="818" t="s">
        <v>3883</v>
      </c>
      <c r="G314" s="823"/>
      <c r="H314" s="823"/>
      <c r="I314" s="823"/>
      <c r="J314" s="823"/>
      <c r="K314" s="823"/>
      <c r="L314" s="823"/>
      <c r="M314" s="823"/>
      <c r="N314" s="823"/>
      <c r="O314" s="823"/>
      <c r="P314" s="823"/>
      <c r="Q314" s="823"/>
      <c r="R314" s="823"/>
      <c r="S314" s="823"/>
      <c r="T314" s="823"/>
      <c r="U314" s="823"/>
      <c r="V314" s="823"/>
      <c r="W314" s="823"/>
      <c r="X314" s="823"/>
      <c r="Y314" s="823"/>
      <c r="Z314" s="823"/>
      <c r="AA314" s="823"/>
      <c r="AB314" s="823"/>
    </row>
    <row r="315" hidden="1">
      <c r="A315" s="862">
        <v>45632.0</v>
      </c>
      <c r="B315" s="818" t="s">
        <v>14320</v>
      </c>
      <c r="C315" s="818" t="s">
        <v>14321</v>
      </c>
      <c r="D315" s="1101">
        <v>0.5833333333333334</v>
      </c>
      <c r="E315" s="818" t="s">
        <v>14024</v>
      </c>
      <c r="F315" s="818" t="s">
        <v>3883</v>
      </c>
      <c r="G315" s="823"/>
      <c r="H315" s="823"/>
      <c r="I315" s="823"/>
      <c r="J315" s="823"/>
      <c r="K315" s="823"/>
      <c r="L315" s="823"/>
      <c r="M315" s="823"/>
      <c r="N315" s="823"/>
      <c r="O315" s="823"/>
      <c r="P315" s="823"/>
      <c r="Q315" s="823"/>
      <c r="R315" s="823"/>
      <c r="S315" s="823"/>
      <c r="T315" s="823"/>
      <c r="U315" s="823"/>
      <c r="V315" s="823"/>
      <c r="W315" s="823"/>
      <c r="X315" s="823"/>
      <c r="Y315" s="823"/>
      <c r="Z315" s="823"/>
      <c r="AA315" s="823"/>
      <c r="AB315" s="823"/>
    </row>
    <row r="316" hidden="1">
      <c r="A316" s="862">
        <v>45633.0</v>
      </c>
      <c r="B316" s="818" t="s">
        <v>14322</v>
      </c>
      <c r="C316" s="818" t="s">
        <v>14323</v>
      </c>
      <c r="D316" s="1101">
        <v>0.375</v>
      </c>
      <c r="E316" s="818" t="s">
        <v>14024</v>
      </c>
      <c r="F316" s="818" t="s">
        <v>4262</v>
      </c>
      <c r="G316" s="823"/>
      <c r="H316" s="823"/>
      <c r="I316" s="823"/>
      <c r="J316" s="823"/>
      <c r="K316" s="823"/>
      <c r="L316" s="823"/>
      <c r="M316" s="823"/>
      <c r="N316" s="823"/>
      <c r="O316" s="823"/>
      <c r="P316" s="823"/>
      <c r="Q316" s="823"/>
      <c r="R316" s="823"/>
      <c r="S316" s="823"/>
      <c r="T316" s="823"/>
      <c r="U316" s="823"/>
      <c r="V316" s="823"/>
      <c r="W316" s="823"/>
      <c r="X316" s="823"/>
      <c r="Y316" s="823"/>
      <c r="Z316" s="823"/>
      <c r="AA316" s="823"/>
      <c r="AB316" s="823"/>
    </row>
    <row r="317" hidden="1">
      <c r="A317" s="862"/>
      <c r="B317" s="818" t="s">
        <v>14324</v>
      </c>
      <c r="C317" s="818"/>
      <c r="D317" s="1101"/>
      <c r="E317" s="818"/>
      <c r="F317" s="818"/>
      <c r="G317" s="823"/>
      <c r="H317" s="823"/>
      <c r="I317" s="823"/>
      <c r="J317" s="823"/>
      <c r="K317" s="823"/>
      <c r="L317" s="823"/>
      <c r="M317" s="823"/>
      <c r="N317" s="823"/>
      <c r="O317" s="823"/>
      <c r="P317" s="823"/>
      <c r="Q317" s="823"/>
      <c r="R317" s="823"/>
      <c r="S317" s="823"/>
      <c r="T317" s="823"/>
      <c r="U317" s="823"/>
      <c r="V317" s="823"/>
      <c r="W317" s="823"/>
      <c r="X317" s="823"/>
      <c r="Y317" s="823"/>
      <c r="Z317" s="823"/>
      <c r="AA317" s="823"/>
      <c r="AB317" s="823"/>
    </row>
    <row r="318" hidden="1">
      <c r="A318" s="862">
        <v>45633.0</v>
      </c>
      <c r="B318" s="818" t="s">
        <v>14325</v>
      </c>
      <c r="C318" s="818" t="s">
        <v>14326</v>
      </c>
      <c r="D318" s="1101">
        <v>0.4166666666666667</v>
      </c>
      <c r="E318" s="818" t="s">
        <v>14024</v>
      </c>
      <c r="F318" s="818" t="s">
        <v>4262</v>
      </c>
      <c r="G318" s="823"/>
      <c r="H318" s="823"/>
      <c r="I318" s="823"/>
      <c r="J318" s="823"/>
      <c r="K318" s="823"/>
      <c r="L318" s="823"/>
      <c r="M318" s="823"/>
      <c r="N318" s="823"/>
      <c r="O318" s="823"/>
      <c r="P318" s="823"/>
      <c r="Q318" s="823"/>
      <c r="R318" s="823"/>
      <c r="S318" s="823"/>
      <c r="T318" s="823"/>
      <c r="U318" s="823"/>
      <c r="V318" s="823"/>
      <c r="W318" s="823"/>
      <c r="X318" s="823"/>
      <c r="Y318" s="823"/>
      <c r="Z318" s="823"/>
      <c r="AA318" s="823"/>
      <c r="AB318" s="823"/>
    </row>
    <row r="319" hidden="1">
      <c r="A319" s="862">
        <v>45633.0</v>
      </c>
      <c r="B319" s="818" t="s">
        <v>14327</v>
      </c>
      <c r="C319" s="818" t="s">
        <v>14328</v>
      </c>
      <c r="D319" s="1101">
        <v>0.4166666666666667</v>
      </c>
      <c r="E319" s="818" t="s">
        <v>13700</v>
      </c>
      <c r="F319" s="818" t="s">
        <v>4262</v>
      </c>
      <c r="G319" s="823"/>
      <c r="H319" s="823"/>
      <c r="I319" s="823"/>
      <c r="J319" s="823"/>
      <c r="K319" s="823"/>
      <c r="L319" s="823"/>
      <c r="M319" s="823"/>
      <c r="N319" s="823"/>
      <c r="O319" s="823"/>
      <c r="P319" s="823"/>
      <c r="Q319" s="823"/>
      <c r="R319" s="823"/>
      <c r="S319" s="823"/>
      <c r="T319" s="823"/>
      <c r="U319" s="823"/>
      <c r="V319" s="823"/>
      <c r="W319" s="823"/>
      <c r="X319" s="823"/>
      <c r="Y319" s="823"/>
      <c r="Z319" s="823"/>
      <c r="AA319" s="823"/>
      <c r="AB319" s="823"/>
    </row>
    <row r="320" hidden="1">
      <c r="A320" s="862">
        <v>45633.0</v>
      </c>
      <c r="B320" s="818" t="s">
        <v>14329</v>
      </c>
      <c r="C320" s="818"/>
      <c r="D320" s="1101">
        <v>0.625</v>
      </c>
      <c r="E320" s="818" t="s">
        <v>13700</v>
      </c>
      <c r="F320" s="818" t="s">
        <v>4262</v>
      </c>
      <c r="G320" s="823"/>
      <c r="H320" s="823"/>
      <c r="I320" s="823"/>
      <c r="J320" s="823"/>
      <c r="K320" s="823"/>
      <c r="L320" s="823"/>
      <c r="M320" s="823"/>
      <c r="N320" s="823"/>
      <c r="O320" s="823"/>
      <c r="P320" s="823"/>
      <c r="Q320" s="823"/>
      <c r="R320" s="823"/>
      <c r="S320" s="823"/>
      <c r="T320" s="823"/>
      <c r="U320" s="823"/>
      <c r="V320" s="823"/>
      <c r="W320" s="823"/>
      <c r="X320" s="823"/>
      <c r="Y320" s="823"/>
      <c r="Z320" s="823"/>
      <c r="AA320" s="823"/>
      <c r="AB320" s="823"/>
    </row>
    <row r="321" hidden="1">
      <c r="A321" s="862">
        <v>45635.0</v>
      </c>
      <c r="B321" s="818" t="s">
        <v>14330</v>
      </c>
      <c r="C321" s="818">
        <v>2988.0</v>
      </c>
      <c r="D321" s="1101">
        <v>0.4583333333333333</v>
      </c>
      <c r="E321" s="818" t="s">
        <v>13700</v>
      </c>
      <c r="F321" s="818" t="s">
        <v>3883</v>
      </c>
      <c r="G321" s="823"/>
      <c r="H321" s="823"/>
      <c r="I321" s="823"/>
      <c r="J321" s="823"/>
      <c r="K321" s="823"/>
      <c r="L321" s="823"/>
      <c r="M321" s="823"/>
      <c r="N321" s="823"/>
      <c r="O321" s="823"/>
      <c r="P321" s="823"/>
      <c r="Q321" s="823"/>
      <c r="R321" s="823"/>
      <c r="S321" s="823"/>
      <c r="T321" s="823"/>
      <c r="U321" s="823"/>
      <c r="V321" s="823"/>
      <c r="W321" s="823"/>
      <c r="X321" s="823"/>
      <c r="Y321" s="823"/>
      <c r="Z321" s="823"/>
      <c r="AA321" s="823"/>
      <c r="AB321" s="823"/>
    </row>
    <row r="322" hidden="1">
      <c r="A322" s="862">
        <v>45635.0</v>
      </c>
      <c r="B322" s="818" t="s">
        <v>14331</v>
      </c>
      <c r="C322" s="1100" t="s">
        <v>14332</v>
      </c>
      <c r="D322" s="1101"/>
      <c r="E322" s="818"/>
      <c r="F322" s="818"/>
      <c r="G322" s="823"/>
      <c r="H322" s="823"/>
      <c r="I322" s="823"/>
      <c r="J322" s="823"/>
      <c r="K322" s="823"/>
      <c r="L322" s="823"/>
      <c r="M322" s="823"/>
      <c r="N322" s="823"/>
      <c r="O322" s="823"/>
      <c r="P322" s="823"/>
      <c r="Q322" s="823"/>
      <c r="R322" s="823"/>
      <c r="S322" s="823"/>
      <c r="T322" s="823"/>
      <c r="U322" s="823"/>
      <c r="V322" s="823"/>
      <c r="W322" s="823"/>
      <c r="X322" s="823"/>
      <c r="Y322" s="823"/>
      <c r="Z322" s="823"/>
      <c r="AA322" s="823"/>
      <c r="AB322" s="823"/>
    </row>
    <row r="323" hidden="1">
      <c r="A323" s="862">
        <v>45635.0</v>
      </c>
      <c r="B323" s="818" t="s">
        <v>14333</v>
      </c>
      <c r="C323" s="818" t="s">
        <v>14334</v>
      </c>
      <c r="D323" s="1101">
        <v>0.5416666666666666</v>
      </c>
      <c r="E323" s="818" t="s">
        <v>13700</v>
      </c>
      <c r="F323" s="818" t="s">
        <v>4262</v>
      </c>
      <c r="G323" s="823"/>
      <c r="H323" s="823"/>
      <c r="I323" s="823"/>
      <c r="J323" s="823"/>
      <c r="K323" s="823"/>
      <c r="L323" s="823"/>
      <c r="M323" s="823"/>
      <c r="N323" s="823"/>
      <c r="O323" s="823"/>
      <c r="P323" s="823"/>
      <c r="Q323" s="823"/>
      <c r="R323" s="823"/>
      <c r="S323" s="823"/>
      <c r="T323" s="823"/>
      <c r="U323" s="823"/>
      <c r="V323" s="823"/>
      <c r="W323" s="823"/>
      <c r="X323" s="823"/>
      <c r="Y323" s="823"/>
      <c r="Z323" s="823"/>
      <c r="AA323" s="823"/>
      <c r="AB323" s="823"/>
    </row>
    <row r="324" hidden="1">
      <c r="A324" s="862">
        <v>45636.0</v>
      </c>
      <c r="B324" s="818" t="s">
        <v>14335</v>
      </c>
      <c r="C324" s="818" t="s">
        <v>14336</v>
      </c>
      <c r="D324" s="1101">
        <v>0.625</v>
      </c>
      <c r="E324" s="818" t="s">
        <v>14024</v>
      </c>
      <c r="F324" s="818" t="s">
        <v>4262</v>
      </c>
      <c r="G324" s="823"/>
      <c r="H324" s="823"/>
      <c r="I324" s="823"/>
      <c r="J324" s="823"/>
      <c r="K324" s="823"/>
      <c r="L324" s="823"/>
      <c r="M324" s="823"/>
      <c r="N324" s="823"/>
      <c r="O324" s="823"/>
      <c r="P324" s="823"/>
      <c r="Q324" s="823"/>
      <c r="R324" s="823"/>
      <c r="S324" s="823"/>
      <c r="T324" s="823"/>
      <c r="U324" s="823"/>
      <c r="V324" s="823"/>
      <c r="W324" s="823"/>
      <c r="X324" s="823"/>
      <c r="Y324" s="823"/>
      <c r="Z324" s="823"/>
      <c r="AA324" s="823"/>
      <c r="AB324" s="823"/>
    </row>
    <row r="325" hidden="1">
      <c r="A325" s="862">
        <v>45636.0</v>
      </c>
      <c r="B325" s="818" t="s">
        <v>14337</v>
      </c>
      <c r="C325" s="818" t="s">
        <v>14338</v>
      </c>
      <c r="D325" s="1101"/>
      <c r="E325" s="818"/>
      <c r="F325" s="818" t="s">
        <v>4262</v>
      </c>
      <c r="G325" s="823"/>
      <c r="H325" s="823"/>
      <c r="I325" s="823"/>
      <c r="J325" s="823"/>
      <c r="K325" s="823"/>
      <c r="L325" s="823"/>
      <c r="M325" s="823"/>
      <c r="N325" s="823"/>
      <c r="O325" s="823"/>
      <c r="P325" s="823"/>
      <c r="Q325" s="823"/>
      <c r="R325" s="823"/>
      <c r="S325" s="823"/>
      <c r="T325" s="823"/>
      <c r="U325" s="823"/>
      <c r="V325" s="823"/>
      <c r="W325" s="823"/>
      <c r="X325" s="823"/>
      <c r="Y325" s="823"/>
      <c r="Z325" s="823"/>
      <c r="AA325" s="823"/>
      <c r="AB325" s="823"/>
    </row>
    <row r="326" hidden="1">
      <c r="A326" s="862">
        <v>45637.0</v>
      </c>
      <c r="B326" s="818" t="s">
        <v>14339</v>
      </c>
      <c r="C326" s="818" t="s">
        <v>14340</v>
      </c>
      <c r="D326" s="818" t="s">
        <v>14139</v>
      </c>
      <c r="E326" s="818" t="s">
        <v>13700</v>
      </c>
      <c r="F326" s="818" t="s">
        <v>3883</v>
      </c>
      <c r="G326" s="823"/>
      <c r="H326" s="823"/>
      <c r="I326" s="823"/>
      <c r="J326" s="823"/>
      <c r="K326" s="823"/>
      <c r="L326" s="823"/>
      <c r="M326" s="823"/>
      <c r="N326" s="823"/>
      <c r="O326" s="823"/>
      <c r="P326" s="823"/>
      <c r="Q326" s="823"/>
      <c r="R326" s="823"/>
      <c r="S326" s="823"/>
      <c r="T326" s="823"/>
      <c r="U326" s="823"/>
      <c r="V326" s="823"/>
      <c r="W326" s="823"/>
      <c r="X326" s="823"/>
      <c r="Y326" s="823"/>
      <c r="Z326" s="823"/>
      <c r="AA326" s="823"/>
      <c r="AB326" s="823"/>
    </row>
    <row r="327" hidden="1">
      <c r="A327" s="830">
        <v>45640.0</v>
      </c>
      <c r="B327" s="818" t="s">
        <v>14341</v>
      </c>
      <c r="C327" s="818">
        <v>1200.0</v>
      </c>
      <c r="D327" s="1101">
        <v>0.3333333333333333</v>
      </c>
      <c r="E327" s="818" t="s">
        <v>13700</v>
      </c>
      <c r="F327" s="818" t="s">
        <v>3883</v>
      </c>
      <c r="G327" s="823"/>
      <c r="H327" s="823"/>
      <c r="I327" s="823"/>
      <c r="J327" s="823"/>
      <c r="K327" s="823"/>
      <c r="L327" s="823"/>
      <c r="M327" s="823"/>
      <c r="N327" s="823"/>
      <c r="O327" s="823"/>
      <c r="P327" s="823"/>
      <c r="Q327" s="823"/>
      <c r="R327" s="823"/>
      <c r="S327" s="823"/>
      <c r="T327" s="823"/>
      <c r="U327" s="823"/>
      <c r="V327" s="823"/>
      <c r="W327" s="823"/>
      <c r="X327" s="823"/>
      <c r="Y327" s="823"/>
      <c r="Z327" s="823"/>
      <c r="AA327" s="823"/>
      <c r="AB327" s="823"/>
    </row>
    <row r="328" hidden="1">
      <c r="A328" s="830">
        <v>45640.0</v>
      </c>
      <c r="B328" s="818" t="s">
        <v>14342</v>
      </c>
      <c r="C328" s="818" t="s">
        <v>14343</v>
      </c>
      <c r="D328" s="1101">
        <v>0.4166666666666667</v>
      </c>
      <c r="E328" s="818" t="s">
        <v>13700</v>
      </c>
      <c r="F328" s="818" t="s">
        <v>3883</v>
      </c>
      <c r="G328" s="823"/>
      <c r="H328" s="823"/>
      <c r="I328" s="823"/>
      <c r="J328" s="823"/>
      <c r="K328" s="823"/>
      <c r="L328" s="823"/>
      <c r="M328" s="823"/>
      <c r="N328" s="823"/>
      <c r="O328" s="823"/>
      <c r="P328" s="823"/>
      <c r="Q328" s="823"/>
      <c r="R328" s="823"/>
      <c r="S328" s="823"/>
      <c r="T328" s="823"/>
      <c r="U328" s="823"/>
      <c r="V328" s="823"/>
      <c r="W328" s="823"/>
      <c r="X328" s="823"/>
      <c r="Y328" s="823"/>
      <c r="Z328" s="823"/>
      <c r="AA328" s="823"/>
      <c r="AB328" s="823"/>
    </row>
    <row r="329" hidden="1">
      <c r="A329" s="830">
        <v>45643.0</v>
      </c>
      <c r="B329" s="818" t="s">
        <v>14344</v>
      </c>
      <c r="C329" s="818">
        <v>1100.0</v>
      </c>
      <c r="D329" s="1101">
        <v>0.3541666666666667</v>
      </c>
      <c r="E329" s="818" t="s">
        <v>13700</v>
      </c>
      <c r="F329" s="818" t="s">
        <v>3883</v>
      </c>
      <c r="G329" s="823"/>
      <c r="H329" s="823"/>
      <c r="I329" s="823"/>
      <c r="J329" s="823"/>
      <c r="K329" s="823"/>
      <c r="L329" s="823"/>
      <c r="M329" s="823"/>
      <c r="N329" s="823"/>
      <c r="O329" s="823"/>
      <c r="P329" s="823"/>
      <c r="Q329" s="823"/>
      <c r="R329" s="823"/>
      <c r="S329" s="823"/>
      <c r="T329" s="823"/>
      <c r="U329" s="823"/>
      <c r="V329" s="823"/>
      <c r="W329" s="823"/>
      <c r="X329" s="823"/>
      <c r="Y329" s="823"/>
      <c r="Z329" s="823"/>
      <c r="AA329" s="823"/>
      <c r="AB329" s="823"/>
    </row>
    <row r="330" hidden="1">
      <c r="A330" s="830">
        <v>45643.0</v>
      </c>
      <c r="B330" s="818" t="s">
        <v>14345</v>
      </c>
      <c r="C330" s="818" t="s">
        <v>14346</v>
      </c>
      <c r="D330" s="1101">
        <v>0.4583333333333333</v>
      </c>
      <c r="E330" s="818" t="s">
        <v>13700</v>
      </c>
      <c r="F330" s="818" t="s">
        <v>3883</v>
      </c>
      <c r="G330" s="823"/>
      <c r="H330" s="823"/>
      <c r="I330" s="823"/>
      <c r="J330" s="823"/>
      <c r="K330" s="823"/>
      <c r="L330" s="823"/>
      <c r="M330" s="823"/>
      <c r="N330" s="823"/>
      <c r="O330" s="823"/>
      <c r="P330" s="823"/>
      <c r="Q330" s="823"/>
      <c r="R330" s="823"/>
      <c r="S330" s="823"/>
      <c r="T330" s="823"/>
      <c r="U330" s="823"/>
      <c r="V330" s="823"/>
      <c r="W330" s="823"/>
      <c r="X330" s="823"/>
      <c r="Y330" s="823"/>
      <c r="Z330" s="823"/>
      <c r="AA330" s="823"/>
      <c r="AB330" s="823"/>
    </row>
    <row r="331" hidden="1">
      <c r="A331" s="830">
        <v>45643.0</v>
      </c>
      <c r="B331" s="818" t="s">
        <v>14347</v>
      </c>
      <c r="C331" s="818" t="s">
        <v>14348</v>
      </c>
      <c r="D331" s="1101">
        <v>0.3333333333333333</v>
      </c>
      <c r="E331" s="818" t="s">
        <v>13700</v>
      </c>
      <c r="F331" s="818" t="s">
        <v>3883</v>
      </c>
      <c r="G331" s="823"/>
      <c r="H331" s="823"/>
      <c r="I331" s="823"/>
      <c r="J331" s="823"/>
      <c r="K331" s="823"/>
      <c r="L331" s="823"/>
      <c r="M331" s="823"/>
      <c r="N331" s="823"/>
      <c r="O331" s="823"/>
      <c r="P331" s="823"/>
      <c r="Q331" s="823"/>
      <c r="R331" s="823"/>
      <c r="S331" s="823"/>
      <c r="T331" s="823"/>
      <c r="U331" s="823"/>
      <c r="V331" s="823"/>
      <c r="W331" s="823"/>
      <c r="X331" s="823"/>
      <c r="Y331" s="823"/>
      <c r="Z331" s="823"/>
      <c r="AA331" s="823"/>
      <c r="AB331" s="823"/>
    </row>
    <row r="332" hidden="1">
      <c r="A332" s="830">
        <v>45643.0</v>
      </c>
      <c r="B332" s="818" t="s">
        <v>14349</v>
      </c>
      <c r="C332" s="818" t="s">
        <v>14350</v>
      </c>
      <c r="D332" s="1101">
        <v>0.3333333333333333</v>
      </c>
      <c r="E332" s="818" t="s">
        <v>13700</v>
      </c>
      <c r="F332" s="818" t="s">
        <v>4262</v>
      </c>
      <c r="G332" s="823"/>
      <c r="H332" s="823"/>
      <c r="I332" s="823"/>
      <c r="J332" s="823"/>
      <c r="K332" s="823"/>
      <c r="L332" s="823"/>
      <c r="M332" s="823"/>
      <c r="N332" s="823"/>
      <c r="O332" s="823"/>
      <c r="P332" s="823"/>
      <c r="Q332" s="823"/>
      <c r="R332" s="823"/>
      <c r="S332" s="823"/>
      <c r="T332" s="823"/>
      <c r="U332" s="823"/>
      <c r="V332" s="823"/>
      <c r="W332" s="823"/>
      <c r="X332" s="823"/>
      <c r="Y332" s="823"/>
      <c r="Z332" s="823"/>
      <c r="AA332" s="823"/>
      <c r="AB332" s="823"/>
    </row>
    <row r="333" hidden="1">
      <c r="A333" s="818"/>
      <c r="B333" s="818" t="s">
        <v>14351</v>
      </c>
      <c r="C333" s="818" t="s">
        <v>14352</v>
      </c>
      <c r="D333" s="1101">
        <v>0.5416666666666666</v>
      </c>
      <c r="E333" s="818" t="s">
        <v>13700</v>
      </c>
      <c r="F333" s="818" t="s">
        <v>3883</v>
      </c>
      <c r="G333" s="823"/>
      <c r="H333" s="823"/>
      <c r="I333" s="823"/>
      <c r="J333" s="823"/>
      <c r="K333" s="823"/>
      <c r="L333" s="823"/>
      <c r="M333" s="823"/>
      <c r="N333" s="823"/>
      <c r="O333" s="823"/>
      <c r="P333" s="823"/>
      <c r="Q333" s="823"/>
      <c r="R333" s="823"/>
      <c r="S333" s="823"/>
      <c r="T333" s="823"/>
      <c r="U333" s="823"/>
      <c r="V333" s="823"/>
      <c r="W333" s="823"/>
      <c r="X333" s="823"/>
      <c r="Y333" s="823"/>
      <c r="Z333" s="823"/>
      <c r="AA333" s="823"/>
      <c r="AB333" s="823"/>
    </row>
    <row r="334" hidden="1">
      <c r="A334" s="830">
        <v>45646.0</v>
      </c>
      <c r="B334" s="818" t="s">
        <v>14353</v>
      </c>
      <c r="C334" s="818">
        <v>790.0</v>
      </c>
      <c r="D334" s="1101">
        <v>0.375</v>
      </c>
      <c r="E334" s="818" t="s">
        <v>13700</v>
      </c>
      <c r="F334" s="818" t="s">
        <v>3883</v>
      </c>
      <c r="G334" s="823"/>
      <c r="H334" s="823"/>
      <c r="I334" s="823"/>
      <c r="J334" s="823"/>
      <c r="K334" s="823"/>
      <c r="L334" s="823"/>
      <c r="M334" s="823"/>
      <c r="N334" s="823"/>
      <c r="O334" s="823"/>
      <c r="P334" s="823"/>
      <c r="Q334" s="823"/>
      <c r="R334" s="823"/>
      <c r="S334" s="823"/>
      <c r="T334" s="823"/>
      <c r="U334" s="823"/>
      <c r="V334" s="823"/>
      <c r="W334" s="823"/>
      <c r="X334" s="823"/>
      <c r="Y334" s="823"/>
      <c r="Z334" s="823"/>
      <c r="AA334" s="823"/>
      <c r="AB334" s="823"/>
    </row>
    <row r="335" hidden="1">
      <c r="A335" s="818" t="s">
        <v>14354</v>
      </c>
      <c r="B335" s="818" t="s">
        <v>14355</v>
      </c>
      <c r="C335" s="818" t="s">
        <v>14356</v>
      </c>
      <c r="D335" s="1101">
        <v>0.625</v>
      </c>
      <c r="E335" s="818" t="s">
        <v>13700</v>
      </c>
      <c r="F335" s="818" t="s">
        <v>4262</v>
      </c>
      <c r="G335" s="823"/>
      <c r="H335" s="823"/>
      <c r="I335" s="823"/>
      <c r="J335" s="823"/>
      <c r="K335" s="823"/>
      <c r="L335" s="823"/>
      <c r="M335" s="823"/>
      <c r="N335" s="823"/>
      <c r="O335" s="823"/>
      <c r="P335" s="823"/>
      <c r="Q335" s="823"/>
      <c r="R335" s="823"/>
      <c r="S335" s="823"/>
      <c r="T335" s="823"/>
      <c r="U335" s="823"/>
      <c r="V335" s="823"/>
      <c r="W335" s="823"/>
      <c r="X335" s="823"/>
      <c r="Y335" s="823"/>
      <c r="Z335" s="823"/>
      <c r="AA335" s="823"/>
      <c r="AB335" s="823"/>
    </row>
    <row r="336" hidden="1">
      <c r="A336" s="830">
        <v>45647.0</v>
      </c>
      <c r="B336" s="818" t="s">
        <v>14357</v>
      </c>
      <c r="C336" s="818" t="s">
        <v>14358</v>
      </c>
      <c r="D336" s="1101">
        <v>0.375</v>
      </c>
      <c r="E336" s="818" t="s">
        <v>14024</v>
      </c>
      <c r="F336" s="818" t="s">
        <v>4262</v>
      </c>
      <c r="G336" s="823"/>
      <c r="H336" s="823"/>
      <c r="I336" s="823"/>
      <c r="J336" s="823"/>
      <c r="K336" s="823"/>
      <c r="L336" s="823"/>
      <c r="M336" s="823"/>
      <c r="N336" s="823"/>
      <c r="O336" s="823"/>
      <c r="P336" s="823"/>
      <c r="Q336" s="823"/>
      <c r="R336" s="823"/>
      <c r="S336" s="823"/>
      <c r="T336" s="823"/>
      <c r="U336" s="823"/>
      <c r="V336" s="823"/>
      <c r="W336" s="823"/>
      <c r="X336" s="823"/>
      <c r="Y336" s="823"/>
      <c r="Z336" s="823"/>
      <c r="AA336" s="823"/>
      <c r="AB336" s="823"/>
    </row>
    <row r="337" hidden="1">
      <c r="A337" s="862">
        <v>45647.0</v>
      </c>
      <c r="B337" s="818" t="s">
        <v>14359</v>
      </c>
      <c r="C337" s="818" t="s">
        <v>14360</v>
      </c>
      <c r="D337" s="818" t="s">
        <v>13746</v>
      </c>
      <c r="E337" s="818" t="s">
        <v>14024</v>
      </c>
      <c r="F337" s="818" t="s">
        <v>4262</v>
      </c>
      <c r="G337" s="823"/>
      <c r="H337" s="823"/>
      <c r="I337" s="823"/>
      <c r="J337" s="823"/>
      <c r="K337" s="823"/>
      <c r="L337" s="823"/>
      <c r="M337" s="823"/>
      <c r="N337" s="823"/>
      <c r="O337" s="823"/>
      <c r="P337" s="823"/>
      <c r="Q337" s="823"/>
      <c r="R337" s="823"/>
      <c r="S337" s="823"/>
      <c r="T337" s="823"/>
      <c r="U337" s="823"/>
      <c r="V337" s="823"/>
      <c r="W337" s="823"/>
      <c r="X337" s="823"/>
      <c r="Y337" s="823"/>
      <c r="Z337" s="823"/>
      <c r="AA337" s="823"/>
      <c r="AB337" s="823"/>
    </row>
    <row r="338" hidden="1">
      <c r="A338" s="830">
        <v>45648.0</v>
      </c>
      <c r="B338" s="818" t="s">
        <v>14361</v>
      </c>
      <c r="C338" s="818" t="s">
        <v>14362</v>
      </c>
      <c r="D338" s="1101">
        <v>0.375</v>
      </c>
      <c r="E338" s="818" t="s">
        <v>13700</v>
      </c>
      <c r="F338" s="818" t="s">
        <v>4262</v>
      </c>
      <c r="G338" s="823"/>
      <c r="H338" s="823"/>
      <c r="I338" s="823"/>
      <c r="J338" s="823"/>
      <c r="K338" s="823"/>
      <c r="L338" s="823"/>
      <c r="M338" s="823"/>
      <c r="N338" s="823"/>
      <c r="O338" s="823"/>
      <c r="P338" s="823"/>
      <c r="Q338" s="823"/>
      <c r="R338" s="823"/>
      <c r="S338" s="823"/>
      <c r="T338" s="823"/>
      <c r="U338" s="823"/>
      <c r="V338" s="823"/>
      <c r="W338" s="823"/>
      <c r="X338" s="823"/>
      <c r="Y338" s="823"/>
      <c r="Z338" s="823"/>
      <c r="AA338" s="823"/>
      <c r="AB338" s="823"/>
    </row>
    <row r="339" hidden="1">
      <c r="A339" s="830">
        <v>45648.0</v>
      </c>
      <c r="B339" s="818" t="s">
        <v>14363</v>
      </c>
      <c r="C339" s="818" t="s">
        <v>14364</v>
      </c>
      <c r="D339" s="1101">
        <v>0.375</v>
      </c>
      <c r="E339" s="818" t="s">
        <v>13700</v>
      </c>
      <c r="F339" s="818" t="s">
        <v>3883</v>
      </c>
      <c r="G339" s="823"/>
      <c r="H339" s="823"/>
      <c r="I339" s="823"/>
      <c r="J339" s="823"/>
      <c r="K339" s="823"/>
      <c r="L339" s="823"/>
      <c r="M339" s="823"/>
      <c r="N339" s="823"/>
      <c r="O339" s="823"/>
      <c r="P339" s="823"/>
      <c r="Q339" s="823"/>
      <c r="R339" s="823"/>
      <c r="S339" s="823"/>
      <c r="T339" s="823"/>
      <c r="U339" s="823"/>
      <c r="V339" s="823"/>
      <c r="W339" s="823"/>
      <c r="X339" s="823"/>
      <c r="Y339" s="823"/>
      <c r="Z339" s="823"/>
      <c r="AA339" s="823"/>
      <c r="AB339" s="823"/>
    </row>
    <row r="340" hidden="1">
      <c r="A340" s="830">
        <v>45649.0</v>
      </c>
      <c r="B340" s="818" t="s">
        <v>14365</v>
      </c>
      <c r="C340" s="818">
        <v>1200.0</v>
      </c>
      <c r="D340" s="1101">
        <v>0.5416666666666666</v>
      </c>
      <c r="E340" s="818" t="s">
        <v>13700</v>
      </c>
      <c r="F340" s="818" t="s">
        <v>4262</v>
      </c>
      <c r="G340" s="823"/>
      <c r="H340" s="823"/>
      <c r="I340" s="823"/>
      <c r="J340" s="823"/>
      <c r="K340" s="823"/>
      <c r="L340" s="823"/>
      <c r="M340" s="823"/>
      <c r="N340" s="823"/>
      <c r="O340" s="823"/>
      <c r="P340" s="823"/>
      <c r="Q340" s="823"/>
      <c r="R340" s="823"/>
      <c r="S340" s="823"/>
      <c r="T340" s="823"/>
      <c r="U340" s="823"/>
      <c r="V340" s="823"/>
      <c r="W340" s="823"/>
      <c r="X340" s="823"/>
      <c r="Y340" s="823"/>
      <c r="Z340" s="823"/>
      <c r="AA340" s="823"/>
      <c r="AB340" s="823"/>
    </row>
    <row r="341" hidden="1">
      <c r="A341" s="830">
        <v>45649.0</v>
      </c>
      <c r="B341" s="818" t="s">
        <v>14366</v>
      </c>
      <c r="C341" s="818" t="s">
        <v>14367</v>
      </c>
      <c r="D341" s="1101">
        <v>0.5833333333333334</v>
      </c>
      <c r="E341" s="818" t="s">
        <v>13700</v>
      </c>
      <c r="F341" s="818" t="s">
        <v>4262</v>
      </c>
      <c r="G341" s="823"/>
      <c r="H341" s="823"/>
      <c r="I341" s="823"/>
      <c r="J341" s="823"/>
      <c r="K341" s="823"/>
      <c r="L341" s="823"/>
      <c r="M341" s="823"/>
      <c r="N341" s="823"/>
      <c r="O341" s="823"/>
      <c r="P341" s="823"/>
      <c r="Q341" s="823"/>
      <c r="R341" s="823"/>
      <c r="S341" s="823"/>
      <c r="T341" s="823"/>
      <c r="U341" s="823"/>
      <c r="V341" s="823"/>
      <c r="W341" s="823"/>
      <c r="X341" s="823"/>
      <c r="Y341" s="823"/>
      <c r="Z341" s="823"/>
      <c r="AA341" s="823"/>
      <c r="AB341" s="823"/>
    </row>
    <row r="342" hidden="1">
      <c r="A342" s="830">
        <v>45649.0</v>
      </c>
      <c r="B342" s="818" t="s">
        <v>14368</v>
      </c>
      <c r="C342" s="818" t="s">
        <v>14369</v>
      </c>
      <c r="D342" s="1101">
        <v>0.7083333333333334</v>
      </c>
      <c r="E342" s="818" t="s">
        <v>13700</v>
      </c>
      <c r="F342" s="818" t="s">
        <v>3883</v>
      </c>
      <c r="G342" s="823"/>
      <c r="H342" s="823"/>
      <c r="I342" s="823"/>
      <c r="J342" s="823"/>
      <c r="K342" s="823"/>
      <c r="L342" s="823"/>
      <c r="M342" s="823"/>
      <c r="N342" s="823"/>
      <c r="O342" s="823"/>
      <c r="P342" s="823"/>
      <c r="Q342" s="823"/>
      <c r="R342" s="823"/>
      <c r="S342" s="823"/>
      <c r="T342" s="823"/>
      <c r="U342" s="823"/>
      <c r="V342" s="823"/>
      <c r="W342" s="823"/>
      <c r="X342" s="823"/>
      <c r="Y342" s="823"/>
      <c r="Z342" s="823"/>
      <c r="AA342" s="823"/>
      <c r="AB342" s="823"/>
    </row>
    <row r="343" hidden="1">
      <c r="A343" s="862">
        <v>45689.0</v>
      </c>
      <c r="B343" s="818" t="s">
        <v>14370</v>
      </c>
      <c r="C343" s="818" t="s">
        <v>14305</v>
      </c>
      <c r="D343" s="818" t="s">
        <v>13686</v>
      </c>
      <c r="E343" s="818" t="s">
        <v>13700</v>
      </c>
      <c r="F343" s="818" t="s">
        <v>4258</v>
      </c>
      <c r="G343" s="823"/>
      <c r="H343" s="823"/>
      <c r="I343" s="823"/>
      <c r="J343" s="823"/>
      <c r="K343" s="823"/>
      <c r="L343" s="823"/>
      <c r="M343" s="823"/>
      <c r="N343" s="823"/>
      <c r="O343" s="823"/>
      <c r="P343" s="823"/>
      <c r="Q343" s="823"/>
      <c r="R343" s="823"/>
      <c r="S343" s="823"/>
      <c r="T343" s="823"/>
      <c r="U343" s="823"/>
      <c r="V343" s="823"/>
      <c r="W343" s="823"/>
      <c r="X343" s="823"/>
      <c r="Y343" s="823"/>
      <c r="Z343" s="823"/>
      <c r="AA343" s="823"/>
      <c r="AB343" s="823"/>
    </row>
    <row r="344" hidden="1">
      <c r="A344" s="862">
        <v>45691.0</v>
      </c>
      <c r="B344" s="818" t="s">
        <v>14371</v>
      </c>
      <c r="C344" s="818" t="s">
        <v>14372</v>
      </c>
      <c r="D344" s="818" t="s">
        <v>14373</v>
      </c>
      <c r="E344" s="818" t="s">
        <v>13700</v>
      </c>
      <c r="F344" s="818" t="s">
        <v>4258</v>
      </c>
      <c r="G344" s="823"/>
      <c r="H344" s="823"/>
      <c r="I344" s="823"/>
      <c r="J344" s="823"/>
      <c r="K344" s="823"/>
      <c r="L344" s="823"/>
      <c r="M344" s="823"/>
      <c r="N344" s="823"/>
      <c r="O344" s="823"/>
      <c r="P344" s="823"/>
      <c r="Q344" s="823"/>
      <c r="R344" s="823"/>
      <c r="S344" s="823"/>
      <c r="T344" s="823"/>
      <c r="U344" s="823"/>
      <c r="V344" s="823"/>
      <c r="W344" s="823"/>
      <c r="X344" s="823"/>
      <c r="Y344" s="823"/>
      <c r="Z344" s="823"/>
      <c r="AA344" s="823"/>
      <c r="AB344" s="823"/>
    </row>
    <row r="345" hidden="1">
      <c r="A345" s="862">
        <v>45691.0</v>
      </c>
      <c r="B345" s="818" t="s">
        <v>14374</v>
      </c>
      <c r="C345" s="818" t="s">
        <v>13983</v>
      </c>
      <c r="D345" s="818" t="s">
        <v>13711</v>
      </c>
      <c r="E345" s="818" t="s">
        <v>13700</v>
      </c>
      <c r="F345" s="818" t="s">
        <v>4258</v>
      </c>
      <c r="G345" s="823"/>
      <c r="H345" s="823"/>
      <c r="I345" s="823"/>
      <c r="J345" s="823"/>
      <c r="K345" s="823"/>
      <c r="L345" s="823"/>
      <c r="M345" s="823"/>
      <c r="N345" s="823"/>
      <c r="O345" s="823"/>
      <c r="P345" s="823"/>
      <c r="Q345" s="823"/>
      <c r="R345" s="823"/>
      <c r="S345" s="823"/>
      <c r="T345" s="823"/>
      <c r="U345" s="823"/>
      <c r="V345" s="823"/>
      <c r="W345" s="823"/>
      <c r="X345" s="823"/>
      <c r="Y345" s="823"/>
      <c r="Z345" s="823"/>
      <c r="AA345" s="823"/>
      <c r="AB345" s="823"/>
    </row>
    <row r="346" hidden="1">
      <c r="A346" s="862">
        <v>45691.0</v>
      </c>
      <c r="B346" s="818" t="s">
        <v>14375</v>
      </c>
      <c r="C346" s="818" t="s">
        <v>14376</v>
      </c>
      <c r="D346" s="818" t="s">
        <v>13876</v>
      </c>
      <c r="E346" s="818" t="s">
        <v>13700</v>
      </c>
      <c r="F346" s="818" t="s">
        <v>4258</v>
      </c>
      <c r="G346" s="823"/>
      <c r="H346" s="823"/>
      <c r="I346" s="823"/>
      <c r="J346" s="823"/>
      <c r="K346" s="823"/>
      <c r="L346" s="823"/>
      <c r="M346" s="823"/>
      <c r="N346" s="823"/>
      <c r="O346" s="823"/>
      <c r="P346" s="823"/>
      <c r="Q346" s="823"/>
      <c r="R346" s="823"/>
      <c r="S346" s="823"/>
      <c r="T346" s="823"/>
      <c r="U346" s="823"/>
      <c r="V346" s="823"/>
      <c r="W346" s="823"/>
      <c r="X346" s="823"/>
      <c r="Y346" s="823"/>
      <c r="Z346" s="823"/>
      <c r="AA346" s="823"/>
      <c r="AB346" s="823"/>
    </row>
    <row r="347" hidden="1">
      <c r="A347" s="862">
        <v>45694.0</v>
      </c>
      <c r="B347" s="818" t="s">
        <v>14377</v>
      </c>
      <c r="C347" s="818" t="s">
        <v>14378</v>
      </c>
      <c r="D347" s="818" t="s">
        <v>13690</v>
      </c>
      <c r="E347" s="818" t="s">
        <v>13700</v>
      </c>
      <c r="F347" s="818" t="s">
        <v>4258</v>
      </c>
      <c r="G347" s="823"/>
      <c r="H347" s="823"/>
      <c r="I347" s="823"/>
      <c r="J347" s="823"/>
      <c r="K347" s="823"/>
      <c r="L347" s="823"/>
      <c r="M347" s="823"/>
      <c r="N347" s="823"/>
      <c r="O347" s="823"/>
      <c r="P347" s="823"/>
      <c r="Q347" s="823"/>
      <c r="R347" s="823"/>
      <c r="S347" s="823"/>
      <c r="T347" s="823"/>
      <c r="U347" s="823"/>
      <c r="V347" s="823"/>
      <c r="W347" s="823"/>
      <c r="X347" s="823"/>
      <c r="Y347" s="823"/>
      <c r="Z347" s="823"/>
      <c r="AA347" s="823"/>
      <c r="AB347" s="823"/>
    </row>
    <row r="348" hidden="1">
      <c r="A348" s="862">
        <v>45694.0</v>
      </c>
      <c r="B348" s="818" t="s">
        <v>14379</v>
      </c>
      <c r="C348" s="818" t="s">
        <v>14380</v>
      </c>
      <c r="D348" s="1101">
        <v>0.5416666666666666</v>
      </c>
      <c r="E348" s="818" t="s">
        <v>13700</v>
      </c>
      <c r="F348" s="818" t="s">
        <v>3883</v>
      </c>
      <c r="G348" s="823"/>
      <c r="H348" s="823"/>
      <c r="I348" s="823"/>
      <c r="J348" s="823"/>
      <c r="K348" s="823"/>
      <c r="L348" s="823"/>
      <c r="M348" s="823"/>
      <c r="N348" s="823"/>
      <c r="O348" s="823"/>
      <c r="P348" s="823"/>
      <c r="Q348" s="823"/>
      <c r="R348" s="823"/>
      <c r="S348" s="823"/>
      <c r="T348" s="823"/>
      <c r="U348" s="823"/>
      <c r="V348" s="823"/>
      <c r="W348" s="823"/>
      <c r="X348" s="823"/>
      <c r="Y348" s="823"/>
      <c r="Z348" s="823"/>
      <c r="AA348" s="823"/>
      <c r="AB348" s="823"/>
    </row>
    <row r="349" hidden="1">
      <c r="A349" s="862">
        <v>45695.0</v>
      </c>
      <c r="B349" s="818" t="s">
        <v>14381</v>
      </c>
      <c r="C349" s="818" t="s">
        <v>14382</v>
      </c>
      <c r="D349" s="818" t="s">
        <v>13686</v>
      </c>
      <c r="E349" s="818" t="s">
        <v>13700</v>
      </c>
      <c r="F349" s="818" t="s">
        <v>4258</v>
      </c>
      <c r="G349" s="823"/>
      <c r="H349" s="823"/>
      <c r="I349" s="823"/>
      <c r="J349" s="823"/>
      <c r="K349" s="823"/>
      <c r="L349" s="823"/>
      <c r="M349" s="823"/>
      <c r="N349" s="823"/>
      <c r="O349" s="823"/>
      <c r="P349" s="823"/>
      <c r="Q349" s="823"/>
      <c r="R349" s="823"/>
      <c r="S349" s="823"/>
      <c r="T349" s="823"/>
      <c r="U349" s="823"/>
      <c r="V349" s="823"/>
      <c r="W349" s="823"/>
      <c r="X349" s="823"/>
      <c r="Y349" s="823"/>
      <c r="Z349" s="823"/>
      <c r="AA349" s="823"/>
      <c r="AB349" s="823"/>
    </row>
    <row r="350">
      <c r="A350" s="830"/>
      <c r="B350" s="818" t="s">
        <v>14383</v>
      </c>
      <c r="C350" s="818" t="s">
        <v>14384</v>
      </c>
      <c r="D350" s="818" t="s">
        <v>14385</v>
      </c>
      <c r="E350" s="818" t="s">
        <v>14024</v>
      </c>
      <c r="F350" s="818" t="s">
        <v>4258</v>
      </c>
      <c r="G350" s="823"/>
      <c r="H350" s="823"/>
      <c r="I350" s="823"/>
      <c r="J350" s="823"/>
      <c r="K350" s="818" t="s">
        <v>3066</v>
      </c>
      <c r="L350" s="823"/>
      <c r="M350" s="823"/>
      <c r="N350" s="823"/>
      <c r="O350" s="823"/>
      <c r="P350" s="823"/>
      <c r="Q350" s="823"/>
      <c r="R350" s="823"/>
      <c r="S350" s="823"/>
      <c r="T350" s="823"/>
      <c r="U350" s="823"/>
      <c r="V350" s="823"/>
      <c r="W350" s="823"/>
      <c r="X350" s="823"/>
      <c r="Y350" s="823"/>
      <c r="Z350" s="823"/>
      <c r="AA350" s="823"/>
      <c r="AB350" s="823"/>
    </row>
    <row r="351" hidden="1">
      <c r="A351" s="830">
        <v>45650.0</v>
      </c>
      <c r="B351" s="818" t="s">
        <v>14386</v>
      </c>
      <c r="C351" s="818" t="s">
        <v>14387</v>
      </c>
      <c r="D351" s="818" t="s">
        <v>13980</v>
      </c>
      <c r="E351" s="818" t="s">
        <v>13700</v>
      </c>
      <c r="F351" s="818" t="s">
        <v>4258</v>
      </c>
      <c r="G351" s="823"/>
      <c r="H351" s="823"/>
      <c r="I351" s="823"/>
      <c r="J351" s="823"/>
      <c r="K351" s="823"/>
      <c r="L351" s="823"/>
      <c r="M351" s="823"/>
      <c r="N351" s="823"/>
      <c r="O351" s="823"/>
      <c r="P351" s="823"/>
      <c r="Q351" s="823"/>
      <c r="R351" s="823"/>
      <c r="S351" s="823"/>
      <c r="T351" s="823"/>
      <c r="U351" s="823"/>
      <c r="V351" s="823"/>
      <c r="W351" s="823"/>
      <c r="X351" s="823"/>
      <c r="Y351" s="823"/>
      <c r="Z351" s="823"/>
      <c r="AA351" s="823"/>
      <c r="AB351" s="823"/>
    </row>
    <row r="352" hidden="1">
      <c r="A352" s="830">
        <v>45650.0</v>
      </c>
      <c r="B352" s="818" t="s">
        <v>14388</v>
      </c>
      <c r="C352" s="818" t="s">
        <v>14389</v>
      </c>
      <c r="D352" s="1101">
        <v>0.3333333333333333</v>
      </c>
      <c r="E352" s="818" t="s">
        <v>14024</v>
      </c>
      <c r="F352" s="818" t="s">
        <v>4262</v>
      </c>
      <c r="G352" s="823"/>
      <c r="H352" s="823"/>
      <c r="I352" s="823"/>
      <c r="J352" s="823"/>
      <c r="K352" s="818"/>
      <c r="L352" s="823"/>
      <c r="M352" s="823"/>
      <c r="N352" s="823"/>
      <c r="O352" s="823"/>
      <c r="P352" s="823"/>
      <c r="Q352" s="823"/>
      <c r="R352" s="823"/>
      <c r="S352" s="823"/>
      <c r="T352" s="823"/>
      <c r="U352" s="823"/>
      <c r="V352" s="823"/>
      <c r="W352" s="823"/>
      <c r="X352" s="823"/>
      <c r="Y352" s="823"/>
      <c r="Z352" s="823"/>
      <c r="AA352" s="823"/>
      <c r="AB352" s="823"/>
    </row>
    <row r="353" hidden="1">
      <c r="A353" s="830">
        <v>45650.0</v>
      </c>
      <c r="B353" s="818" t="s">
        <v>14390</v>
      </c>
      <c r="C353" s="818" t="s">
        <v>14391</v>
      </c>
      <c r="D353" s="818" t="s">
        <v>13696</v>
      </c>
      <c r="E353" s="818" t="s">
        <v>13700</v>
      </c>
      <c r="F353" s="818" t="s">
        <v>4258</v>
      </c>
      <c r="G353" s="823"/>
      <c r="H353" s="823"/>
      <c r="I353" s="823"/>
      <c r="J353" s="823"/>
      <c r="K353" s="823"/>
      <c r="L353" s="823"/>
      <c r="M353" s="823"/>
      <c r="N353" s="823"/>
      <c r="O353" s="823"/>
      <c r="P353" s="823"/>
      <c r="Q353" s="823"/>
      <c r="R353" s="823"/>
      <c r="S353" s="823"/>
      <c r="T353" s="823"/>
      <c r="U353" s="823"/>
      <c r="V353" s="823"/>
      <c r="W353" s="823"/>
      <c r="X353" s="823"/>
      <c r="Y353" s="823"/>
      <c r="Z353" s="823"/>
      <c r="AA353" s="823"/>
      <c r="AB353" s="823"/>
    </row>
    <row r="354" hidden="1">
      <c r="A354" s="830">
        <v>45650.0</v>
      </c>
      <c r="B354" s="818" t="s">
        <v>14392</v>
      </c>
      <c r="C354" s="818">
        <v>1300.0</v>
      </c>
      <c r="D354" s="818" t="s">
        <v>14393</v>
      </c>
      <c r="E354" s="818" t="s">
        <v>13700</v>
      </c>
      <c r="F354" s="818" t="s">
        <v>3883</v>
      </c>
      <c r="G354" s="823"/>
      <c r="H354" s="823"/>
      <c r="I354" s="823"/>
      <c r="J354" s="823"/>
      <c r="K354" s="818"/>
      <c r="L354" s="823"/>
      <c r="M354" s="823"/>
      <c r="N354" s="823"/>
      <c r="O354" s="823"/>
      <c r="P354" s="823"/>
      <c r="Q354" s="823"/>
      <c r="R354" s="823"/>
      <c r="S354" s="823"/>
      <c r="T354" s="823"/>
      <c r="U354" s="823"/>
      <c r="V354" s="823"/>
      <c r="W354" s="823"/>
      <c r="X354" s="823"/>
      <c r="Y354" s="823"/>
      <c r="Z354" s="823"/>
      <c r="AA354" s="823"/>
      <c r="AB354" s="823"/>
    </row>
    <row r="355" hidden="1">
      <c r="A355" s="830">
        <v>45650.0</v>
      </c>
      <c r="B355" s="818" t="s">
        <v>14394</v>
      </c>
      <c r="C355" s="818" t="s">
        <v>14395</v>
      </c>
      <c r="D355" s="818" t="s">
        <v>13686</v>
      </c>
      <c r="E355" s="818" t="s">
        <v>13700</v>
      </c>
      <c r="F355" s="818" t="s">
        <v>4258</v>
      </c>
      <c r="G355" s="823"/>
      <c r="H355" s="823"/>
      <c r="I355" s="823"/>
      <c r="J355" s="823"/>
      <c r="K355" s="823"/>
      <c r="L355" s="823"/>
      <c r="M355" s="823"/>
      <c r="N355" s="823"/>
      <c r="O355" s="823"/>
      <c r="P355" s="823"/>
      <c r="Q355" s="823"/>
      <c r="R355" s="823"/>
      <c r="S355" s="823"/>
      <c r="T355" s="823"/>
      <c r="U355" s="823"/>
      <c r="V355" s="823"/>
      <c r="W355" s="823"/>
      <c r="X355" s="823"/>
      <c r="Y355" s="823"/>
      <c r="Z355" s="823"/>
      <c r="AA355" s="823"/>
      <c r="AB355" s="823"/>
    </row>
    <row r="356" hidden="1">
      <c r="A356" s="830">
        <v>45652.0</v>
      </c>
      <c r="B356" s="818" t="s">
        <v>14396</v>
      </c>
      <c r="C356" s="818" t="s">
        <v>14397</v>
      </c>
      <c r="D356" s="818" t="s">
        <v>13861</v>
      </c>
      <c r="E356" s="818" t="s">
        <v>13700</v>
      </c>
      <c r="F356" s="818" t="s">
        <v>4258</v>
      </c>
      <c r="G356" s="823"/>
      <c r="H356" s="823"/>
      <c r="I356" s="823"/>
      <c r="J356" s="823"/>
      <c r="K356" s="823"/>
      <c r="L356" s="823"/>
      <c r="M356" s="823"/>
      <c r="N356" s="823"/>
      <c r="O356" s="823"/>
      <c r="P356" s="823"/>
      <c r="Q356" s="823"/>
      <c r="R356" s="823"/>
      <c r="S356" s="823"/>
      <c r="T356" s="823"/>
      <c r="U356" s="823"/>
      <c r="V356" s="823"/>
      <c r="W356" s="823"/>
      <c r="X356" s="823"/>
      <c r="Y356" s="823"/>
      <c r="Z356" s="823"/>
      <c r="AA356" s="823"/>
      <c r="AB356" s="823"/>
    </row>
    <row r="357" hidden="1">
      <c r="A357" s="830">
        <v>45652.0</v>
      </c>
      <c r="B357" s="818" t="s">
        <v>14398</v>
      </c>
      <c r="C357" s="818" t="s">
        <v>14399</v>
      </c>
      <c r="D357" s="818" t="s">
        <v>13696</v>
      </c>
      <c r="E357" s="818" t="s">
        <v>13700</v>
      </c>
      <c r="F357" s="818" t="s">
        <v>4258</v>
      </c>
      <c r="G357" s="823"/>
      <c r="H357" s="823"/>
      <c r="I357" s="823"/>
      <c r="J357" s="823"/>
      <c r="K357" s="823"/>
      <c r="L357" s="823"/>
      <c r="M357" s="823"/>
      <c r="N357" s="823"/>
      <c r="O357" s="823"/>
      <c r="P357" s="823"/>
      <c r="Q357" s="823"/>
      <c r="R357" s="823"/>
      <c r="S357" s="823"/>
      <c r="T357" s="823"/>
      <c r="U357" s="823"/>
      <c r="V357" s="823"/>
      <c r="W357" s="823"/>
      <c r="X357" s="823"/>
      <c r="Y357" s="823"/>
      <c r="Z357" s="823"/>
      <c r="AA357" s="823"/>
      <c r="AB357" s="823"/>
    </row>
    <row r="358" hidden="1">
      <c r="A358" s="830">
        <v>45652.0</v>
      </c>
      <c r="B358" s="818" t="s">
        <v>14400</v>
      </c>
      <c r="C358" s="818" t="s">
        <v>14401</v>
      </c>
      <c r="D358" s="818" t="s">
        <v>13696</v>
      </c>
      <c r="E358" s="818" t="s">
        <v>13700</v>
      </c>
      <c r="F358" s="818" t="s">
        <v>4258</v>
      </c>
      <c r="G358" s="823"/>
      <c r="H358" s="823"/>
      <c r="I358" s="823"/>
      <c r="J358" s="823"/>
      <c r="K358" s="823"/>
      <c r="L358" s="823"/>
      <c r="M358" s="823"/>
      <c r="N358" s="823"/>
      <c r="O358" s="823"/>
      <c r="P358" s="823"/>
      <c r="Q358" s="823"/>
      <c r="R358" s="823"/>
      <c r="S358" s="823"/>
      <c r="T358" s="823"/>
      <c r="U358" s="823"/>
      <c r="V358" s="823"/>
      <c r="W358" s="823"/>
      <c r="X358" s="823"/>
      <c r="Y358" s="823"/>
      <c r="Z358" s="823"/>
      <c r="AA358" s="823"/>
      <c r="AB358" s="823"/>
    </row>
    <row r="359" hidden="1">
      <c r="A359" s="830">
        <v>45652.0</v>
      </c>
      <c r="B359" s="818" t="s">
        <v>14402</v>
      </c>
      <c r="C359" s="818" t="s">
        <v>14403</v>
      </c>
      <c r="D359" s="1101">
        <v>0.625</v>
      </c>
      <c r="E359" s="818" t="s">
        <v>14024</v>
      </c>
      <c r="F359" s="818" t="s">
        <v>4262</v>
      </c>
      <c r="G359" s="823"/>
      <c r="H359" s="823"/>
      <c r="I359" s="823"/>
      <c r="J359" s="823"/>
      <c r="K359" s="823"/>
      <c r="L359" s="823"/>
      <c r="M359" s="823"/>
      <c r="N359" s="823"/>
      <c r="O359" s="823"/>
      <c r="P359" s="823"/>
      <c r="Q359" s="823"/>
      <c r="R359" s="823"/>
      <c r="S359" s="823"/>
      <c r="T359" s="823"/>
      <c r="U359" s="823"/>
      <c r="V359" s="823"/>
      <c r="W359" s="823"/>
      <c r="X359" s="823"/>
      <c r="Y359" s="823"/>
      <c r="Z359" s="823"/>
      <c r="AA359" s="823"/>
      <c r="AB359" s="823"/>
    </row>
    <row r="360" hidden="1">
      <c r="A360" s="818" t="s">
        <v>14404</v>
      </c>
      <c r="B360" s="818" t="s">
        <v>14405</v>
      </c>
      <c r="C360" s="818">
        <v>1149.0</v>
      </c>
      <c r="D360" s="1101">
        <v>0.4166666666666667</v>
      </c>
      <c r="E360" s="818" t="s">
        <v>13700</v>
      </c>
      <c r="F360" s="818" t="s">
        <v>4262</v>
      </c>
      <c r="G360" s="823"/>
      <c r="H360" s="823"/>
      <c r="I360" s="823"/>
      <c r="J360" s="823"/>
      <c r="K360" s="823"/>
      <c r="L360" s="823"/>
      <c r="M360" s="823"/>
      <c r="N360" s="823"/>
      <c r="O360" s="823"/>
      <c r="P360" s="823"/>
      <c r="Q360" s="823"/>
      <c r="R360" s="823"/>
      <c r="S360" s="823"/>
      <c r="T360" s="823"/>
      <c r="U360" s="823"/>
      <c r="V360" s="823"/>
      <c r="W360" s="823"/>
      <c r="X360" s="823"/>
      <c r="Y360" s="823"/>
      <c r="Z360" s="823"/>
      <c r="AA360" s="823"/>
      <c r="AB360" s="823"/>
    </row>
    <row r="361" hidden="1">
      <c r="A361" s="830">
        <v>45653.0</v>
      </c>
      <c r="B361" s="818" t="s">
        <v>14406</v>
      </c>
      <c r="C361" s="818" t="s">
        <v>14407</v>
      </c>
      <c r="D361" s="818" t="s">
        <v>13686</v>
      </c>
      <c r="E361" s="818" t="s">
        <v>14024</v>
      </c>
      <c r="F361" s="818" t="s">
        <v>4258</v>
      </c>
      <c r="G361" s="823"/>
      <c r="H361" s="823"/>
      <c r="I361" s="823"/>
      <c r="J361" s="823"/>
      <c r="K361" s="823"/>
      <c r="L361" s="823"/>
      <c r="M361" s="823"/>
      <c r="N361" s="823"/>
      <c r="O361" s="823"/>
      <c r="P361" s="823"/>
      <c r="Q361" s="823"/>
      <c r="R361" s="823"/>
      <c r="S361" s="823"/>
      <c r="T361" s="823"/>
      <c r="U361" s="823"/>
      <c r="V361" s="823"/>
      <c r="W361" s="823"/>
      <c r="X361" s="823"/>
      <c r="Y361" s="823"/>
      <c r="Z361" s="823"/>
      <c r="AA361" s="823"/>
      <c r="AB361" s="823"/>
    </row>
    <row r="362" hidden="1">
      <c r="A362" s="830">
        <v>45654.0</v>
      </c>
      <c r="B362" s="818" t="s">
        <v>14408</v>
      </c>
      <c r="C362" s="818" t="s">
        <v>14409</v>
      </c>
      <c r="D362" s="1101">
        <v>0.375</v>
      </c>
      <c r="E362" s="818" t="s">
        <v>13700</v>
      </c>
      <c r="F362" s="818" t="s">
        <v>3883</v>
      </c>
      <c r="G362" s="823"/>
      <c r="H362" s="823"/>
      <c r="I362" s="823"/>
      <c r="J362" s="823"/>
      <c r="K362" s="823"/>
      <c r="L362" s="823"/>
      <c r="M362" s="823"/>
      <c r="N362" s="823"/>
      <c r="O362" s="823"/>
      <c r="P362" s="823"/>
      <c r="Q362" s="823"/>
      <c r="R362" s="823"/>
      <c r="S362" s="823"/>
      <c r="T362" s="823"/>
      <c r="U362" s="823"/>
      <c r="V362" s="823"/>
      <c r="W362" s="823"/>
      <c r="X362" s="823"/>
      <c r="Y362" s="823"/>
      <c r="Z362" s="823"/>
      <c r="AA362" s="823"/>
      <c r="AB362" s="823"/>
    </row>
    <row r="363" hidden="1">
      <c r="A363" s="830">
        <v>45654.0</v>
      </c>
      <c r="B363" s="818" t="s">
        <v>14410</v>
      </c>
      <c r="C363" s="818" t="s">
        <v>14411</v>
      </c>
      <c r="D363" s="1101">
        <v>0.3333333333333333</v>
      </c>
      <c r="E363" s="818" t="s">
        <v>13700</v>
      </c>
      <c r="F363" s="818" t="s">
        <v>3883</v>
      </c>
      <c r="G363" s="823"/>
      <c r="H363" s="823"/>
      <c r="I363" s="823"/>
      <c r="J363" s="823"/>
      <c r="K363" s="823"/>
      <c r="L363" s="823"/>
      <c r="M363" s="823"/>
      <c r="N363" s="823"/>
      <c r="O363" s="823"/>
      <c r="P363" s="823"/>
      <c r="Q363" s="823"/>
      <c r="R363" s="823"/>
      <c r="S363" s="823"/>
      <c r="T363" s="823"/>
      <c r="U363" s="823"/>
      <c r="V363" s="823"/>
      <c r="W363" s="823"/>
      <c r="X363" s="823"/>
      <c r="Y363" s="823"/>
      <c r="Z363" s="823"/>
      <c r="AA363" s="823"/>
      <c r="AB363" s="823"/>
    </row>
    <row r="364" hidden="1">
      <c r="A364" s="830">
        <v>45654.0</v>
      </c>
      <c r="B364" s="818" t="s">
        <v>14412</v>
      </c>
      <c r="C364" s="818"/>
      <c r="D364" s="1101">
        <v>0.6041666666666666</v>
      </c>
      <c r="E364" s="818" t="s">
        <v>13700</v>
      </c>
      <c r="F364" s="818" t="s">
        <v>3883</v>
      </c>
      <c r="G364" s="823"/>
      <c r="H364" s="823"/>
      <c r="I364" s="823"/>
      <c r="J364" s="823"/>
      <c r="K364" s="823"/>
      <c r="L364" s="823"/>
      <c r="M364" s="823"/>
      <c r="N364" s="823"/>
      <c r="O364" s="823"/>
      <c r="P364" s="823"/>
      <c r="Q364" s="823"/>
      <c r="R364" s="823"/>
      <c r="S364" s="823"/>
      <c r="T364" s="823"/>
      <c r="U364" s="823"/>
      <c r="V364" s="823"/>
      <c r="W364" s="823"/>
      <c r="X364" s="823"/>
      <c r="Y364" s="823"/>
      <c r="Z364" s="823"/>
      <c r="AA364" s="823"/>
      <c r="AB364" s="823"/>
    </row>
    <row r="365" hidden="1">
      <c r="A365" s="830">
        <v>45655.0</v>
      </c>
      <c r="B365" s="818" t="s">
        <v>14413</v>
      </c>
      <c r="C365" s="818" t="s">
        <v>14414</v>
      </c>
      <c r="D365" s="818" t="s">
        <v>13861</v>
      </c>
      <c r="E365" s="818" t="s">
        <v>13700</v>
      </c>
      <c r="F365" s="818" t="s">
        <v>4258</v>
      </c>
      <c r="G365" s="823"/>
      <c r="H365" s="823"/>
      <c r="I365" s="823"/>
      <c r="J365" s="823"/>
      <c r="K365" s="823"/>
      <c r="L365" s="823"/>
      <c r="M365" s="823"/>
      <c r="N365" s="823"/>
      <c r="O365" s="823"/>
      <c r="P365" s="823"/>
      <c r="Q365" s="823"/>
      <c r="R365" s="823"/>
      <c r="S365" s="823"/>
      <c r="T365" s="823"/>
      <c r="U365" s="823"/>
      <c r="V365" s="823"/>
      <c r="W365" s="823"/>
      <c r="X365" s="823"/>
      <c r="Y365" s="823"/>
      <c r="Z365" s="823"/>
      <c r="AA365" s="823"/>
      <c r="AB365" s="823"/>
    </row>
    <row r="366" hidden="1">
      <c r="A366" s="830">
        <v>45655.0</v>
      </c>
      <c r="B366" s="818" t="s">
        <v>14415</v>
      </c>
      <c r="C366" s="738" t="s">
        <v>14416</v>
      </c>
      <c r="D366" s="818" t="s">
        <v>14417</v>
      </c>
      <c r="E366" s="818" t="s">
        <v>13700</v>
      </c>
      <c r="F366" s="818" t="s">
        <v>3883</v>
      </c>
      <c r="G366" s="823"/>
      <c r="H366" s="823"/>
      <c r="I366" s="823"/>
      <c r="J366" s="823"/>
      <c r="K366" s="823"/>
      <c r="L366" s="823"/>
      <c r="M366" s="823"/>
      <c r="N366" s="823"/>
      <c r="O366" s="823"/>
      <c r="P366" s="823"/>
      <c r="Q366" s="823"/>
      <c r="R366" s="823"/>
      <c r="S366" s="823"/>
      <c r="T366" s="823"/>
      <c r="U366" s="823"/>
      <c r="V366" s="823"/>
      <c r="W366" s="823"/>
      <c r="X366" s="823"/>
      <c r="Y366" s="823"/>
      <c r="Z366" s="823"/>
      <c r="AA366" s="823"/>
      <c r="AB366" s="823"/>
    </row>
    <row r="367" hidden="1">
      <c r="A367" s="830">
        <v>45656.0</v>
      </c>
      <c r="B367" s="818" t="s">
        <v>14418</v>
      </c>
      <c r="C367" s="818" t="s">
        <v>14419</v>
      </c>
      <c r="D367" s="818" t="s">
        <v>13861</v>
      </c>
      <c r="E367" s="818" t="s">
        <v>13700</v>
      </c>
      <c r="F367" s="818" t="s">
        <v>4258</v>
      </c>
      <c r="G367" s="823"/>
      <c r="H367" s="823"/>
      <c r="I367" s="823"/>
      <c r="J367" s="823"/>
      <c r="K367" s="823"/>
      <c r="L367" s="823"/>
      <c r="M367" s="823"/>
      <c r="N367" s="823"/>
      <c r="O367" s="823"/>
      <c r="P367" s="823"/>
      <c r="Q367" s="823"/>
      <c r="R367" s="823"/>
      <c r="S367" s="823"/>
      <c r="T367" s="823"/>
      <c r="U367" s="823"/>
      <c r="V367" s="823"/>
      <c r="W367" s="823"/>
      <c r="X367" s="823"/>
      <c r="Y367" s="823"/>
      <c r="Z367" s="823"/>
      <c r="AA367" s="823"/>
      <c r="AB367" s="823"/>
    </row>
    <row r="368" hidden="1">
      <c r="A368" s="830">
        <v>45656.0</v>
      </c>
      <c r="B368" s="818" t="s">
        <v>14420</v>
      </c>
      <c r="C368" s="818" t="s">
        <v>14421</v>
      </c>
      <c r="D368" s="1101">
        <v>0.4583333333333333</v>
      </c>
      <c r="E368" s="818" t="s">
        <v>13700</v>
      </c>
      <c r="F368" s="818" t="s">
        <v>4262</v>
      </c>
      <c r="G368" s="823"/>
      <c r="H368" s="823"/>
      <c r="I368" s="823"/>
      <c r="J368" s="823"/>
      <c r="K368" s="823"/>
      <c r="L368" s="823"/>
      <c r="M368" s="823"/>
      <c r="N368" s="823"/>
      <c r="O368" s="823"/>
      <c r="P368" s="823"/>
      <c r="Q368" s="823"/>
      <c r="R368" s="823"/>
      <c r="S368" s="823"/>
      <c r="T368" s="823"/>
      <c r="U368" s="823"/>
      <c r="V368" s="823"/>
      <c r="W368" s="823"/>
      <c r="X368" s="823"/>
      <c r="Y368" s="823"/>
      <c r="Z368" s="823"/>
      <c r="AA368" s="823"/>
      <c r="AB368" s="823"/>
    </row>
    <row r="369" hidden="1">
      <c r="A369" s="830">
        <v>45656.0</v>
      </c>
      <c r="B369" s="818" t="s">
        <v>14422</v>
      </c>
      <c r="C369" s="818" t="s">
        <v>14423</v>
      </c>
      <c r="D369" s="818" t="s">
        <v>13690</v>
      </c>
      <c r="E369" s="818" t="s">
        <v>13700</v>
      </c>
      <c r="F369" s="818" t="s">
        <v>4258</v>
      </c>
      <c r="G369" s="823"/>
      <c r="H369" s="823"/>
      <c r="I369" s="823"/>
      <c r="J369" s="823"/>
      <c r="K369" s="823"/>
      <c r="L369" s="823"/>
      <c r="M369" s="823"/>
      <c r="N369" s="823"/>
      <c r="O369" s="823"/>
      <c r="P369" s="823"/>
      <c r="Q369" s="823"/>
      <c r="R369" s="823"/>
      <c r="S369" s="823"/>
      <c r="T369" s="823"/>
      <c r="U369" s="823"/>
      <c r="V369" s="823"/>
      <c r="W369" s="823"/>
      <c r="X369" s="823"/>
      <c r="Y369" s="823"/>
      <c r="Z369" s="823"/>
      <c r="AA369" s="823"/>
      <c r="AB369" s="823"/>
    </row>
    <row r="370" hidden="1">
      <c r="A370" s="830">
        <v>45656.0</v>
      </c>
      <c r="B370" s="818" t="s">
        <v>14424</v>
      </c>
      <c r="C370" s="818" t="s">
        <v>14210</v>
      </c>
      <c r="D370" s="1101">
        <v>0.5416666666666666</v>
      </c>
      <c r="E370" s="818" t="s">
        <v>13700</v>
      </c>
      <c r="F370" s="818" t="s">
        <v>4262</v>
      </c>
      <c r="G370" s="823"/>
      <c r="H370" s="823"/>
      <c r="I370" s="823"/>
      <c r="J370" s="823"/>
      <c r="K370" s="823"/>
      <c r="L370" s="823"/>
      <c r="M370" s="823"/>
      <c r="N370" s="823"/>
      <c r="O370" s="823"/>
      <c r="P370" s="823"/>
      <c r="Q370" s="823"/>
      <c r="R370" s="823"/>
      <c r="S370" s="823"/>
      <c r="T370" s="823"/>
      <c r="U370" s="823"/>
      <c r="V370" s="823"/>
      <c r="W370" s="823"/>
      <c r="X370" s="823"/>
      <c r="Y370" s="823"/>
      <c r="Z370" s="823"/>
      <c r="AA370" s="823"/>
      <c r="AB370" s="823"/>
    </row>
    <row r="371" hidden="1">
      <c r="A371" s="830">
        <v>45656.0</v>
      </c>
      <c r="B371" s="818" t="s">
        <v>14425</v>
      </c>
      <c r="C371" s="818" t="s">
        <v>14426</v>
      </c>
      <c r="D371" s="818" t="s">
        <v>14171</v>
      </c>
      <c r="E371" s="818" t="s">
        <v>13700</v>
      </c>
      <c r="F371" s="818" t="s">
        <v>3883</v>
      </c>
      <c r="G371" s="823"/>
      <c r="H371" s="823"/>
      <c r="I371" s="823"/>
      <c r="J371" s="823"/>
      <c r="K371" s="823"/>
      <c r="L371" s="823"/>
      <c r="M371" s="823"/>
      <c r="N371" s="823"/>
      <c r="O371" s="823"/>
      <c r="P371" s="823"/>
      <c r="Q371" s="823"/>
      <c r="R371" s="823"/>
      <c r="S371" s="823"/>
      <c r="T371" s="823"/>
      <c r="U371" s="823"/>
      <c r="V371" s="823"/>
      <c r="W371" s="823"/>
      <c r="X371" s="823"/>
      <c r="Y371" s="823"/>
      <c r="Z371" s="823"/>
      <c r="AA371" s="823"/>
      <c r="AB371" s="823"/>
    </row>
    <row r="372" hidden="1">
      <c r="A372" s="830">
        <v>6693072.0</v>
      </c>
      <c r="B372" s="818" t="s">
        <v>14427</v>
      </c>
      <c r="C372" s="818">
        <v>1052.0</v>
      </c>
      <c r="D372" s="818" t="s">
        <v>13956</v>
      </c>
      <c r="E372" s="818" t="s">
        <v>13700</v>
      </c>
      <c r="F372" s="818" t="s">
        <v>3883</v>
      </c>
      <c r="G372" s="823"/>
      <c r="H372" s="823"/>
      <c r="I372" s="823"/>
      <c r="J372" s="823"/>
      <c r="K372" s="823"/>
      <c r="L372" s="823"/>
      <c r="M372" s="823"/>
      <c r="N372" s="823"/>
      <c r="O372" s="823"/>
      <c r="P372" s="823"/>
      <c r="Q372" s="823"/>
      <c r="R372" s="823"/>
      <c r="S372" s="823"/>
      <c r="T372" s="823"/>
      <c r="U372" s="823"/>
      <c r="V372" s="823"/>
      <c r="W372" s="823"/>
      <c r="X372" s="823"/>
      <c r="Y372" s="823"/>
      <c r="Z372" s="823"/>
      <c r="AA372" s="823"/>
      <c r="AB372" s="823"/>
    </row>
    <row r="373" hidden="1">
      <c r="A373" s="862">
        <v>45660.0</v>
      </c>
      <c r="B373" s="818" t="s">
        <v>14428</v>
      </c>
      <c r="C373" s="818" t="s">
        <v>14429</v>
      </c>
      <c r="D373" s="818" t="s">
        <v>13696</v>
      </c>
      <c r="E373" s="818" t="s">
        <v>13700</v>
      </c>
      <c r="F373" s="818" t="s">
        <v>4258</v>
      </c>
      <c r="G373" s="823"/>
      <c r="H373" s="823"/>
      <c r="I373" s="823"/>
      <c r="J373" s="823"/>
      <c r="K373" s="823"/>
      <c r="L373" s="823"/>
      <c r="M373" s="823"/>
      <c r="N373" s="823"/>
      <c r="O373" s="823"/>
      <c r="P373" s="823"/>
      <c r="Q373" s="823"/>
      <c r="R373" s="823"/>
      <c r="S373" s="823"/>
      <c r="T373" s="823"/>
      <c r="U373" s="823"/>
      <c r="V373" s="823"/>
      <c r="W373" s="823"/>
      <c r="X373" s="823"/>
      <c r="Y373" s="823"/>
      <c r="Z373" s="823"/>
      <c r="AA373" s="823"/>
      <c r="AB373" s="823"/>
    </row>
    <row r="374" hidden="1">
      <c r="A374" s="830">
        <v>45660.0</v>
      </c>
      <c r="B374" s="818" t="s">
        <v>14430</v>
      </c>
      <c r="C374" s="818" t="s">
        <v>14431</v>
      </c>
      <c r="D374" s="818" t="s">
        <v>14432</v>
      </c>
      <c r="E374" s="818" t="s">
        <v>13700</v>
      </c>
      <c r="F374" s="818" t="s">
        <v>3883</v>
      </c>
      <c r="G374" s="823"/>
      <c r="H374" s="823"/>
      <c r="I374" s="823"/>
      <c r="J374" s="823"/>
      <c r="K374" s="823"/>
      <c r="L374" s="823"/>
      <c r="M374" s="823"/>
      <c r="N374" s="823"/>
      <c r="O374" s="823"/>
      <c r="P374" s="823"/>
      <c r="Q374" s="823"/>
      <c r="R374" s="823"/>
      <c r="S374" s="823"/>
      <c r="T374" s="823"/>
      <c r="U374" s="823"/>
      <c r="V374" s="823"/>
      <c r="W374" s="823"/>
      <c r="X374" s="823"/>
      <c r="Y374" s="823"/>
      <c r="Z374" s="823"/>
      <c r="AA374" s="823"/>
      <c r="AB374" s="823"/>
    </row>
    <row r="375" hidden="1">
      <c r="A375" s="830">
        <v>45661.0</v>
      </c>
      <c r="B375" s="818" t="s">
        <v>14433</v>
      </c>
      <c r="C375" s="818">
        <v>450.0</v>
      </c>
      <c r="D375" s="1101">
        <v>0.3333333333333333</v>
      </c>
      <c r="E375" s="818" t="s">
        <v>13700</v>
      </c>
      <c r="F375" s="818" t="s">
        <v>3883</v>
      </c>
      <c r="G375" s="823"/>
      <c r="H375" s="823"/>
      <c r="I375" s="823"/>
      <c r="J375" s="823"/>
      <c r="K375" s="823"/>
      <c r="L375" s="823"/>
      <c r="M375" s="823"/>
      <c r="N375" s="823"/>
      <c r="O375" s="823"/>
      <c r="P375" s="823"/>
      <c r="Q375" s="823"/>
      <c r="R375" s="823"/>
      <c r="S375" s="823"/>
      <c r="T375" s="823"/>
      <c r="U375" s="823"/>
      <c r="V375" s="823"/>
      <c r="W375" s="823"/>
      <c r="X375" s="823"/>
      <c r="Y375" s="823"/>
      <c r="Z375" s="823"/>
      <c r="AA375" s="823"/>
      <c r="AB375" s="823"/>
    </row>
    <row r="376" hidden="1">
      <c r="A376" s="862">
        <v>45661.0</v>
      </c>
      <c r="B376" s="818" t="s">
        <v>14434</v>
      </c>
      <c r="C376" s="818" t="s">
        <v>14435</v>
      </c>
      <c r="D376" s="818" t="s">
        <v>13690</v>
      </c>
      <c r="E376" s="818" t="s">
        <v>13700</v>
      </c>
      <c r="F376" s="818" t="s">
        <v>4258</v>
      </c>
      <c r="G376" s="823"/>
      <c r="H376" s="823"/>
      <c r="I376" s="823"/>
      <c r="J376" s="823"/>
      <c r="K376" s="823"/>
      <c r="L376" s="823"/>
      <c r="M376" s="823"/>
      <c r="N376" s="823"/>
      <c r="O376" s="823"/>
      <c r="P376" s="823"/>
      <c r="Q376" s="823"/>
      <c r="R376" s="823"/>
      <c r="S376" s="823"/>
      <c r="T376" s="823"/>
      <c r="U376" s="823"/>
      <c r="V376" s="823"/>
      <c r="W376" s="823"/>
      <c r="X376" s="823"/>
      <c r="Y376" s="823"/>
      <c r="Z376" s="823"/>
      <c r="AA376" s="823"/>
      <c r="AB376" s="823"/>
    </row>
    <row r="377" hidden="1">
      <c r="A377" s="862">
        <v>45295.0</v>
      </c>
      <c r="B377" s="818" t="s">
        <v>14436</v>
      </c>
      <c r="C377" s="818" t="s">
        <v>14437</v>
      </c>
      <c r="D377" s="1101">
        <v>0.4791666666666667</v>
      </c>
      <c r="E377" s="818" t="s">
        <v>13700</v>
      </c>
      <c r="F377" s="818" t="s">
        <v>3883</v>
      </c>
      <c r="G377" s="823"/>
      <c r="H377" s="823"/>
      <c r="I377" s="823"/>
      <c r="J377" s="823"/>
      <c r="K377" s="823"/>
      <c r="L377" s="823"/>
      <c r="M377" s="823"/>
      <c r="N377" s="823"/>
      <c r="O377" s="823"/>
      <c r="P377" s="823"/>
      <c r="Q377" s="823"/>
      <c r="R377" s="823"/>
      <c r="S377" s="823"/>
      <c r="T377" s="823"/>
      <c r="U377" s="823"/>
      <c r="V377" s="823"/>
      <c r="W377" s="823"/>
      <c r="X377" s="823"/>
      <c r="Y377" s="823"/>
      <c r="Z377" s="823"/>
      <c r="AA377" s="823"/>
      <c r="AB377" s="823"/>
    </row>
    <row r="378" hidden="1">
      <c r="A378" s="862">
        <v>45661.0</v>
      </c>
      <c r="B378" s="818" t="s">
        <v>14438</v>
      </c>
      <c r="C378" s="818" t="s">
        <v>14439</v>
      </c>
      <c r="D378" s="818" t="s">
        <v>13696</v>
      </c>
      <c r="E378" s="818" t="s">
        <v>13700</v>
      </c>
      <c r="F378" s="818" t="s">
        <v>4258</v>
      </c>
      <c r="G378" s="823"/>
      <c r="H378" s="823"/>
      <c r="I378" s="823"/>
      <c r="J378" s="823"/>
      <c r="K378" s="823"/>
      <c r="L378" s="823"/>
      <c r="M378" s="823"/>
      <c r="N378" s="823"/>
      <c r="O378" s="823"/>
      <c r="P378" s="823"/>
      <c r="Q378" s="823"/>
      <c r="R378" s="823"/>
      <c r="S378" s="823"/>
      <c r="T378" s="823"/>
      <c r="U378" s="823"/>
      <c r="V378" s="823"/>
      <c r="W378" s="823"/>
      <c r="X378" s="823"/>
      <c r="Y378" s="823"/>
      <c r="Z378" s="823"/>
      <c r="AA378" s="823"/>
      <c r="AB378" s="823"/>
    </row>
    <row r="379" hidden="1">
      <c r="A379" s="862">
        <v>45296.0</v>
      </c>
      <c r="B379" s="818" t="s">
        <v>14440</v>
      </c>
      <c r="C379" s="818"/>
      <c r="D379" s="1101"/>
      <c r="E379" s="818" t="s">
        <v>13700</v>
      </c>
      <c r="F379" s="818" t="s">
        <v>3883</v>
      </c>
      <c r="G379" s="823"/>
      <c r="H379" s="823"/>
      <c r="I379" s="823"/>
      <c r="J379" s="823"/>
      <c r="K379" s="823"/>
      <c r="L379" s="823"/>
      <c r="M379" s="823"/>
      <c r="N379" s="823"/>
      <c r="O379" s="823"/>
      <c r="P379" s="823"/>
      <c r="Q379" s="823"/>
      <c r="R379" s="823"/>
      <c r="S379" s="823"/>
      <c r="T379" s="823"/>
      <c r="U379" s="823"/>
      <c r="V379" s="823"/>
      <c r="W379" s="823"/>
      <c r="X379" s="823"/>
      <c r="Y379" s="823"/>
      <c r="Z379" s="823"/>
      <c r="AA379" s="823"/>
      <c r="AB379" s="823"/>
    </row>
    <row r="380" hidden="1">
      <c r="A380" s="862">
        <v>45663.0</v>
      </c>
      <c r="B380" s="818" t="s">
        <v>14441</v>
      </c>
      <c r="C380" s="818" t="s">
        <v>14442</v>
      </c>
      <c r="D380" s="1101">
        <v>0.375</v>
      </c>
      <c r="E380" s="818" t="s">
        <v>14024</v>
      </c>
      <c r="F380" s="818" t="s">
        <v>3883</v>
      </c>
      <c r="G380" s="823"/>
      <c r="H380" s="823"/>
      <c r="I380" s="823"/>
      <c r="J380" s="823"/>
      <c r="K380" s="823"/>
      <c r="L380" s="823"/>
      <c r="M380" s="823"/>
      <c r="N380" s="823"/>
      <c r="O380" s="823"/>
      <c r="P380" s="823"/>
      <c r="Q380" s="823"/>
      <c r="R380" s="823"/>
      <c r="S380" s="823"/>
      <c r="T380" s="823"/>
      <c r="U380" s="823"/>
      <c r="V380" s="823"/>
      <c r="W380" s="823"/>
      <c r="X380" s="823"/>
      <c r="Y380" s="823"/>
      <c r="Z380" s="823"/>
      <c r="AA380" s="823"/>
      <c r="AB380" s="823"/>
    </row>
    <row r="381" hidden="1">
      <c r="A381" s="862">
        <v>45663.0</v>
      </c>
      <c r="B381" s="818" t="s">
        <v>14443</v>
      </c>
      <c r="C381" s="818" t="s">
        <v>14444</v>
      </c>
      <c r="D381" s="818" t="s">
        <v>13696</v>
      </c>
      <c r="E381" s="818" t="s">
        <v>13700</v>
      </c>
      <c r="F381" s="818" t="s">
        <v>4258</v>
      </c>
      <c r="G381" s="823"/>
      <c r="H381" s="823"/>
      <c r="I381" s="823"/>
      <c r="J381" s="823"/>
      <c r="K381" s="823"/>
      <c r="L381" s="823"/>
      <c r="M381" s="823"/>
      <c r="N381" s="823"/>
      <c r="O381" s="823"/>
      <c r="P381" s="823"/>
      <c r="Q381" s="823"/>
      <c r="R381" s="823"/>
      <c r="S381" s="823"/>
      <c r="T381" s="823"/>
      <c r="U381" s="823"/>
      <c r="V381" s="823"/>
      <c r="W381" s="823"/>
      <c r="X381" s="823"/>
      <c r="Y381" s="823"/>
      <c r="Z381" s="823"/>
      <c r="AA381" s="823"/>
      <c r="AB381" s="823"/>
    </row>
    <row r="382" hidden="1">
      <c r="A382" s="862">
        <v>45664.0</v>
      </c>
      <c r="B382" s="818" t="s">
        <v>14445</v>
      </c>
      <c r="C382" s="738" t="s">
        <v>14446</v>
      </c>
      <c r="D382" s="1101">
        <v>0.3333333333333333</v>
      </c>
      <c r="E382" s="818" t="s">
        <v>13700</v>
      </c>
      <c r="F382" s="818" t="s">
        <v>3883</v>
      </c>
      <c r="G382" s="823"/>
      <c r="H382" s="823"/>
      <c r="I382" s="823"/>
      <c r="J382" s="823"/>
      <c r="K382" s="823"/>
      <c r="L382" s="823"/>
      <c r="M382" s="823"/>
      <c r="N382" s="823"/>
      <c r="O382" s="823"/>
      <c r="P382" s="823"/>
      <c r="Q382" s="823"/>
      <c r="R382" s="823"/>
      <c r="S382" s="823"/>
      <c r="T382" s="823"/>
      <c r="U382" s="823"/>
      <c r="V382" s="823"/>
      <c r="W382" s="823"/>
      <c r="X382" s="823"/>
      <c r="Y382" s="823"/>
      <c r="Z382" s="823"/>
      <c r="AA382" s="823"/>
      <c r="AB382" s="823"/>
    </row>
    <row r="383" hidden="1">
      <c r="A383" s="862">
        <v>45664.0</v>
      </c>
      <c r="B383" s="818" t="s">
        <v>14447</v>
      </c>
      <c r="C383" s="818" t="s">
        <v>14448</v>
      </c>
      <c r="D383" s="818" t="s">
        <v>13861</v>
      </c>
      <c r="E383" s="818" t="s">
        <v>13700</v>
      </c>
      <c r="F383" s="818" t="s">
        <v>4258</v>
      </c>
      <c r="G383" s="823"/>
      <c r="H383" s="823"/>
      <c r="I383" s="823"/>
      <c r="J383" s="823"/>
      <c r="K383" s="823"/>
      <c r="L383" s="823"/>
      <c r="M383" s="823"/>
      <c r="N383" s="823"/>
      <c r="O383" s="823"/>
      <c r="P383" s="823"/>
      <c r="Q383" s="823"/>
      <c r="R383" s="823"/>
      <c r="S383" s="823"/>
      <c r="T383" s="823"/>
      <c r="U383" s="823"/>
      <c r="V383" s="823"/>
      <c r="W383" s="823"/>
      <c r="X383" s="823"/>
      <c r="Y383" s="823"/>
      <c r="Z383" s="823"/>
      <c r="AA383" s="823"/>
      <c r="AB383" s="823"/>
    </row>
    <row r="384" hidden="1">
      <c r="A384" s="862">
        <v>45664.0</v>
      </c>
      <c r="B384" s="818" t="s">
        <v>14449</v>
      </c>
      <c r="C384" s="738">
        <v>2187000.0</v>
      </c>
      <c r="D384" s="818" t="s">
        <v>13711</v>
      </c>
      <c r="E384" s="818" t="s">
        <v>13700</v>
      </c>
      <c r="F384" s="818" t="s">
        <v>4258</v>
      </c>
      <c r="G384" s="823"/>
      <c r="H384" s="823"/>
      <c r="I384" s="823"/>
      <c r="J384" s="823"/>
      <c r="K384" s="823"/>
      <c r="L384" s="823"/>
      <c r="M384" s="823"/>
      <c r="N384" s="823"/>
      <c r="O384" s="823"/>
      <c r="P384" s="823"/>
      <c r="Q384" s="823"/>
      <c r="R384" s="823"/>
      <c r="S384" s="823"/>
      <c r="T384" s="823"/>
      <c r="U384" s="823"/>
      <c r="V384" s="823"/>
      <c r="W384" s="823"/>
      <c r="X384" s="823"/>
      <c r="Y384" s="823"/>
      <c r="Z384" s="823"/>
      <c r="AA384" s="823"/>
      <c r="AB384" s="823"/>
    </row>
    <row r="385" hidden="1">
      <c r="A385" s="862">
        <v>45664.0</v>
      </c>
      <c r="B385" s="818" t="s">
        <v>14450</v>
      </c>
      <c r="C385" s="818" t="s">
        <v>14451</v>
      </c>
      <c r="D385" s="818" t="s">
        <v>14452</v>
      </c>
      <c r="E385" s="818" t="s">
        <v>14453</v>
      </c>
      <c r="F385" s="818" t="s">
        <v>4258</v>
      </c>
      <c r="G385" s="823"/>
      <c r="H385" s="823"/>
      <c r="I385" s="823"/>
      <c r="J385" s="823"/>
      <c r="K385" s="823"/>
      <c r="L385" s="823"/>
      <c r="M385" s="823"/>
      <c r="N385" s="823"/>
      <c r="O385" s="823"/>
      <c r="P385" s="823"/>
      <c r="Q385" s="823"/>
      <c r="R385" s="823"/>
      <c r="S385" s="823"/>
      <c r="T385" s="823"/>
      <c r="U385" s="823"/>
      <c r="V385" s="823"/>
      <c r="W385" s="823"/>
      <c r="X385" s="823"/>
      <c r="Y385" s="823"/>
      <c r="Z385" s="823"/>
      <c r="AA385" s="823"/>
      <c r="AB385" s="823"/>
    </row>
    <row r="386" hidden="1">
      <c r="A386" s="862">
        <v>45665.0</v>
      </c>
      <c r="B386" s="818" t="s">
        <v>14454</v>
      </c>
      <c r="C386" s="818" t="s">
        <v>14455</v>
      </c>
      <c r="D386" s="818" t="s">
        <v>13980</v>
      </c>
      <c r="E386" s="818" t="s">
        <v>13700</v>
      </c>
      <c r="F386" s="818" t="s">
        <v>4258</v>
      </c>
      <c r="G386" s="823"/>
      <c r="H386" s="823"/>
      <c r="I386" s="823"/>
      <c r="J386" s="823"/>
      <c r="K386" s="823"/>
      <c r="L386" s="823"/>
      <c r="M386" s="823"/>
      <c r="N386" s="823"/>
      <c r="O386" s="823"/>
      <c r="P386" s="823"/>
      <c r="Q386" s="823"/>
      <c r="R386" s="823"/>
      <c r="S386" s="823"/>
      <c r="T386" s="823"/>
      <c r="U386" s="823"/>
      <c r="V386" s="823"/>
      <c r="W386" s="823"/>
      <c r="X386" s="823"/>
      <c r="Y386" s="823"/>
      <c r="Z386" s="823"/>
      <c r="AA386" s="823"/>
      <c r="AB386" s="823"/>
    </row>
    <row r="387" hidden="1">
      <c r="A387" s="862">
        <v>45665.0</v>
      </c>
      <c r="B387" s="818" t="s">
        <v>14456</v>
      </c>
      <c r="C387" s="818" t="s">
        <v>14457</v>
      </c>
      <c r="D387" s="818" t="s">
        <v>14458</v>
      </c>
      <c r="E387" s="818" t="s">
        <v>14453</v>
      </c>
      <c r="F387" s="818" t="s">
        <v>4258</v>
      </c>
      <c r="G387" s="823"/>
      <c r="H387" s="823"/>
      <c r="I387" s="823"/>
      <c r="J387" s="823"/>
      <c r="K387" s="823"/>
      <c r="L387" s="823"/>
      <c r="M387" s="823"/>
      <c r="N387" s="823"/>
      <c r="O387" s="823"/>
      <c r="P387" s="823"/>
      <c r="Q387" s="823"/>
      <c r="R387" s="823"/>
      <c r="S387" s="823"/>
      <c r="T387" s="823"/>
      <c r="U387" s="823"/>
      <c r="V387" s="823"/>
      <c r="W387" s="823"/>
      <c r="X387" s="823"/>
      <c r="Y387" s="823"/>
      <c r="Z387" s="823"/>
      <c r="AA387" s="823"/>
      <c r="AB387" s="823"/>
    </row>
    <row r="388" hidden="1">
      <c r="A388" s="862">
        <v>45666.0</v>
      </c>
      <c r="B388" s="818" t="s">
        <v>14459</v>
      </c>
      <c r="C388" s="738">
        <v>1491.0</v>
      </c>
      <c r="D388" s="818" t="s">
        <v>13690</v>
      </c>
      <c r="E388" s="818" t="s">
        <v>13700</v>
      </c>
      <c r="F388" s="818" t="s">
        <v>4258</v>
      </c>
      <c r="G388" s="823"/>
      <c r="H388" s="823"/>
      <c r="I388" s="823"/>
      <c r="J388" s="823"/>
      <c r="K388" s="823"/>
      <c r="L388" s="823"/>
      <c r="M388" s="823"/>
      <c r="N388" s="823"/>
      <c r="O388" s="823"/>
      <c r="P388" s="823"/>
      <c r="Q388" s="823"/>
      <c r="R388" s="823"/>
      <c r="S388" s="823"/>
      <c r="T388" s="823"/>
      <c r="U388" s="823"/>
      <c r="V388" s="823"/>
      <c r="W388" s="823"/>
      <c r="X388" s="823"/>
      <c r="Y388" s="823"/>
      <c r="Z388" s="823"/>
      <c r="AA388" s="823"/>
      <c r="AB388" s="823"/>
    </row>
    <row r="389" hidden="1">
      <c r="A389" s="862">
        <v>45666.0</v>
      </c>
      <c r="B389" s="818" t="s">
        <v>14460</v>
      </c>
      <c r="C389" s="818" t="s">
        <v>14461</v>
      </c>
      <c r="D389" s="1101">
        <v>1.4166666666666667</v>
      </c>
      <c r="E389" s="818" t="s">
        <v>13700</v>
      </c>
      <c r="F389" s="818" t="s">
        <v>4258</v>
      </c>
      <c r="G389" s="823"/>
      <c r="H389" s="823"/>
      <c r="I389" s="823"/>
      <c r="J389" s="823"/>
      <c r="K389" s="823"/>
      <c r="L389" s="823"/>
      <c r="M389" s="823"/>
      <c r="N389" s="823"/>
      <c r="O389" s="823"/>
      <c r="P389" s="823"/>
      <c r="Q389" s="823"/>
      <c r="R389" s="823"/>
      <c r="S389" s="823"/>
      <c r="T389" s="823"/>
      <c r="U389" s="823"/>
      <c r="V389" s="823"/>
      <c r="W389" s="823"/>
      <c r="X389" s="823"/>
      <c r="Y389" s="823"/>
      <c r="Z389" s="823"/>
      <c r="AA389" s="823"/>
      <c r="AB389" s="823"/>
    </row>
    <row r="390" hidden="1">
      <c r="A390" s="862">
        <v>45667.0</v>
      </c>
      <c r="B390" s="818" t="s">
        <v>14462</v>
      </c>
      <c r="C390" s="818" t="s">
        <v>14463</v>
      </c>
      <c r="D390" s="818" t="s">
        <v>13696</v>
      </c>
      <c r="E390" s="818" t="s">
        <v>12788</v>
      </c>
      <c r="F390" s="818" t="s">
        <v>4258</v>
      </c>
      <c r="G390" s="823"/>
      <c r="H390" s="823"/>
      <c r="I390" s="823"/>
      <c r="J390" s="823"/>
      <c r="K390" s="823"/>
      <c r="L390" s="823"/>
      <c r="M390" s="823"/>
      <c r="N390" s="823"/>
      <c r="O390" s="823"/>
      <c r="P390" s="823"/>
      <c r="Q390" s="823"/>
      <c r="R390" s="823"/>
      <c r="S390" s="823"/>
      <c r="T390" s="823"/>
      <c r="U390" s="823"/>
      <c r="V390" s="823"/>
      <c r="W390" s="823"/>
      <c r="X390" s="823"/>
      <c r="Y390" s="823"/>
      <c r="Z390" s="823"/>
      <c r="AA390" s="823"/>
      <c r="AB390" s="823"/>
    </row>
    <row r="391" hidden="1">
      <c r="A391" s="862">
        <v>45667.0</v>
      </c>
      <c r="B391" s="818" t="s">
        <v>14464</v>
      </c>
      <c r="C391" s="818" t="s">
        <v>14465</v>
      </c>
      <c r="D391" s="1101">
        <v>0.5416666666666666</v>
      </c>
      <c r="E391" s="818" t="s">
        <v>13700</v>
      </c>
      <c r="F391" s="818" t="s">
        <v>3883</v>
      </c>
      <c r="G391" s="823"/>
      <c r="H391" s="823"/>
      <c r="I391" s="823"/>
      <c r="J391" s="823"/>
      <c r="K391" s="823"/>
      <c r="L391" s="823"/>
      <c r="M391" s="823"/>
      <c r="N391" s="823"/>
      <c r="O391" s="823"/>
      <c r="P391" s="823"/>
      <c r="Q391" s="823"/>
      <c r="R391" s="823"/>
      <c r="S391" s="823"/>
      <c r="T391" s="823"/>
      <c r="U391" s="823"/>
      <c r="V391" s="823"/>
      <c r="W391" s="823"/>
      <c r="X391" s="823"/>
      <c r="Y391" s="823"/>
      <c r="Z391" s="823"/>
      <c r="AA391" s="823"/>
      <c r="AB391" s="823"/>
    </row>
    <row r="392" hidden="1">
      <c r="A392" s="862">
        <v>45667.0</v>
      </c>
      <c r="B392" s="818" t="s">
        <v>14466</v>
      </c>
      <c r="C392" s="818" t="s">
        <v>14467</v>
      </c>
      <c r="D392" s="818" t="s">
        <v>13765</v>
      </c>
      <c r="E392" s="818" t="s">
        <v>13700</v>
      </c>
      <c r="F392" s="818" t="s">
        <v>4258</v>
      </c>
      <c r="G392" s="823"/>
      <c r="H392" s="823"/>
      <c r="I392" s="823"/>
      <c r="J392" s="823"/>
      <c r="K392" s="823"/>
      <c r="L392" s="823"/>
      <c r="M392" s="823"/>
      <c r="N392" s="823"/>
      <c r="O392" s="823"/>
      <c r="P392" s="823"/>
      <c r="Q392" s="823"/>
      <c r="R392" s="823"/>
      <c r="S392" s="823"/>
      <c r="T392" s="823"/>
      <c r="U392" s="823"/>
      <c r="V392" s="823"/>
      <c r="W392" s="823"/>
      <c r="X392" s="823"/>
      <c r="Y392" s="823"/>
      <c r="Z392" s="823"/>
      <c r="AA392" s="823"/>
      <c r="AB392" s="823"/>
    </row>
    <row r="393" hidden="1">
      <c r="A393" s="862">
        <v>45668.0</v>
      </c>
      <c r="B393" s="818" t="s">
        <v>14468</v>
      </c>
      <c r="C393" s="818" t="s">
        <v>14469</v>
      </c>
      <c r="D393" s="1101">
        <v>0.375</v>
      </c>
      <c r="E393" s="818" t="s">
        <v>13700</v>
      </c>
      <c r="F393" s="818" t="s">
        <v>4262</v>
      </c>
      <c r="G393" s="823"/>
      <c r="H393" s="823"/>
      <c r="I393" s="823"/>
      <c r="J393" s="823"/>
      <c r="K393" s="823"/>
      <c r="L393" s="823"/>
      <c r="M393" s="823"/>
      <c r="N393" s="823"/>
      <c r="O393" s="823"/>
      <c r="P393" s="823"/>
      <c r="Q393" s="823"/>
      <c r="R393" s="823"/>
      <c r="S393" s="823"/>
      <c r="T393" s="823"/>
      <c r="U393" s="823"/>
      <c r="V393" s="823"/>
      <c r="W393" s="823"/>
      <c r="X393" s="823"/>
      <c r="Y393" s="823"/>
      <c r="Z393" s="823"/>
      <c r="AA393" s="823"/>
      <c r="AB393" s="823"/>
    </row>
    <row r="394" hidden="1">
      <c r="A394" s="862">
        <v>45668.0</v>
      </c>
      <c r="B394" s="818" t="s">
        <v>14470</v>
      </c>
      <c r="C394" s="818" t="s">
        <v>14471</v>
      </c>
      <c r="D394" s="818" t="s">
        <v>13690</v>
      </c>
      <c r="E394" s="818" t="s">
        <v>13700</v>
      </c>
      <c r="F394" s="818" t="s">
        <v>4258</v>
      </c>
      <c r="G394" s="823"/>
      <c r="H394" s="823"/>
      <c r="I394" s="823"/>
      <c r="J394" s="823"/>
      <c r="K394" s="823"/>
      <c r="L394" s="823"/>
      <c r="M394" s="823"/>
      <c r="N394" s="823"/>
      <c r="O394" s="823"/>
      <c r="P394" s="823"/>
      <c r="Q394" s="823"/>
      <c r="R394" s="823"/>
      <c r="S394" s="823"/>
      <c r="T394" s="823"/>
      <c r="U394" s="823"/>
      <c r="V394" s="823"/>
      <c r="W394" s="823"/>
      <c r="X394" s="823"/>
      <c r="Y394" s="823"/>
      <c r="Z394" s="823"/>
      <c r="AA394" s="823"/>
      <c r="AB394" s="823"/>
    </row>
    <row r="395" hidden="1">
      <c r="A395" s="862">
        <v>45668.0</v>
      </c>
      <c r="B395" s="818" t="s">
        <v>14472</v>
      </c>
      <c r="C395" s="818" t="s">
        <v>14473</v>
      </c>
      <c r="D395" s="1101">
        <v>0.4583333333333333</v>
      </c>
      <c r="E395" s="818" t="s">
        <v>13700</v>
      </c>
      <c r="F395" s="818" t="s">
        <v>4262</v>
      </c>
      <c r="G395" s="823"/>
      <c r="H395" s="823"/>
      <c r="I395" s="823"/>
      <c r="J395" s="823"/>
      <c r="K395" s="823"/>
      <c r="L395" s="823"/>
      <c r="M395" s="823"/>
      <c r="N395" s="823"/>
      <c r="O395" s="823"/>
      <c r="P395" s="823"/>
      <c r="Q395" s="823"/>
      <c r="R395" s="823"/>
      <c r="S395" s="823"/>
      <c r="T395" s="823"/>
      <c r="U395" s="823"/>
      <c r="V395" s="823"/>
      <c r="W395" s="823"/>
      <c r="X395" s="823"/>
      <c r="Y395" s="823"/>
      <c r="Z395" s="823"/>
      <c r="AA395" s="823"/>
      <c r="AB395" s="823"/>
    </row>
    <row r="396" hidden="1">
      <c r="A396" s="862">
        <v>45668.0</v>
      </c>
      <c r="B396" s="818" t="s">
        <v>14474</v>
      </c>
      <c r="C396" s="818" t="s">
        <v>14475</v>
      </c>
      <c r="D396" s="818" t="s">
        <v>13690</v>
      </c>
      <c r="E396" s="818" t="s">
        <v>13700</v>
      </c>
      <c r="F396" s="818" t="s">
        <v>4258</v>
      </c>
      <c r="G396" s="823"/>
      <c r="H396" s="823"/>
      <c r="I396" s="823"/>
      <c r="J396" s="823"/>
      <c r="K396" s="823"/>
      <c r="L396" s="823"/>
      <c r="M396" s="823"/>
      <c r="N396" s="823"/>
      <c r="O396" s="823"/>
      <c r="P396" s="823"/>
      <c r="Q396" s="823"/>
      <c r="R396" s="823"/>
      <c r="S396" s="823"/>
      <c r="T396" s="823"/>
      <c r="U396" s="823"/>
      <c r="V396" s="823"/>
      <c r="W396" s="823"/>
      <c r="X396" s="823"/>
      <c r="Y396" s="823"/>
      <c r="Z396" s="823"/>
      <c r="AA396" s="823"/>
      <c r="AB396" s="823"/>
    </row>
    <row r="397" hidden="1">
      <c r="A397" s="862">
        <v>45668.0</v>
      </c>
      <c r="B397" s="818" t="s">
        <v>14476</v>
      </c>
      <c r="C397" s="818" t="s">
        <v>14477</v>
      </c>
      <c r="D397" s="818" t="s">
        <v>13711</v>
      </c>
      <c r="E397" s="818" t="s">
        <v>13700</v>
      </c>
      <c r="F397" s="818" t="s">
        <v>4258</v>
      </c>
      <c r="G397" s="823"/>
      <c r="H397" s="823"/>
      <c r="I397" s="823"/>
      <c r="J397" s="823"/>
      <c r="K397" s="823"/>
      <c r="L397" s="823"/>
      <c r="M397" s="823"/>
      <c r="N397" s="823"/>
      <c r="O397" s="823"/>
      <c r="P397" s="823"/>
      <c r="Q397" s="823"/>
      <c r="R397" s="823"/>
      <c r="S397" s="823"/>
      <c r="T397" s="823"/>
      <c r="U397" s="823"/>
      <c r="V397" s="823"/>
      <c r="W397" s="823"/>
      <c r="X397" s="823"/>
      <c r="Y397" s="823"/>
      <c r="Z397" s="823"/>
      <c r="AA397" s="823"/>
      <c r="AB397" s="823"/>
    </row>
    <row r="398" hidden="1">
      <c r="A398" s="862">
        <v>45668.0</v>
      </c>
      <c r="B398" s="818" t="s">
        <v>14478</v>
      </c>
      <c r="C398" s="818" t="s">
        <v>14479</v>
      </c>
      <c r="D398" s="1101">
        <v>0.5416666666666666</v>
      </c>
      <c r="E398" s="818" t="s">
        <v>13700</v>
      </c>
      <c r="F398" s="818" t="s">
        <v>3883</v>
      </c>
      <c r="G398" s="823"/>
      <c r="H398" s="823"/>
      <c r="I398" s="823"/>
      <c r="J398" s="823"/>
      <c r="K398" s="823"/>
      <c r="L398" s="823"/>
      <c r="M398" s="823"/>
      <c r="N398" s="823"/>
      <c r="O398" s="823"/>
      <c r="P398" s="823"/>
      <c r="Q398" s="823"/>
      <c r="R398" s="823"/>
      <c r="S398" s="823"/>
      <c r="T398" s="823"/>
      <c r="U398" s="823"/>
      <c r="V398" s="823"/>
      <c r="W398" s="823"/>
      <c r="X398" s="823"/>
      <c r="Y398" s="823"/>
      <c r="Z398" s="823"/>
      <c r="AA398" s="823"/>
      <c r="AB398" s="823"/>
    </row>
    <row r="399" hidden="1">
      <c r="A399" s="862">
        <v>45669.0</v>
      </c>
      <c r="B399" s="818" t="s">
        <v>14480</v>
      </c>
      <c r="C399" s="818" t="s">
        <v>14317</v>
      </c>
      <c r="D399" s="1101">
        <v>0.4166666666666667</v>
      </c>
      <c r="E399" s="818" t="s">
        <v>13700</v>
      </c>
      <c r="F399" s="818" t="s">
        <v>4262</v>
      </c>
      <c r="G399" s="823"/>
      <c r="H399" s="823"/>
      <c r="I399" s="823"/>
      <c r="J399" s="823"/>
      <c r="K399" s="823"/>
      <c r="L399" s="823"/>
      <c r="M399" s="823"/>
      <c r="N399" s="823"/>
      <c r="O399" s="823"/>
      <c r="P399" s="823"/>
      <c r="Q399" s="823"/>
      <c r="R399" s="823"/>
      <c r="S399" s="823"/>
      <c r="T399" s="823"/>
      <c r="U399" s="823"/>
      <c r="V399" s="823"/>
      <c r="W399" s="823"/>
      <c r="X399" s="823"/>
      <c r="Y399" s="823"/>
      <c r="Z399" s="823"/>
      <c r="AA399" s="823"/>
      <c r="AB399" s="823"/>
    </row>
    <row r="400" hidden="1">
      <c r="A400" s="862">
        <v>45669.0</v>
      </c>
      <c r="B400" s="818" t="s">
        <v>14481</v>
      </c>
      <c r="C400" s="818" t="s">
        <v>14482</v>
      </c>
      <c r="D400" s="818" t="s">
        <v>13696</v>
      </c>
      <c r="E400" s="818" t="s">
        <v>13700</v>
      </c>
      <c r="F400" s="818" t="s">
        <v>4258</v>
      </c>
      <c r="G400" s="823"/>
      <c r="H400" s="823"/>
      <c r="I400" s="823"/>
      <c r="J400" s="823"/>
      <c r="K400" s="823"/>
      <c r="L400" s="823"/>
      <c r="M400" s="823"/>
      <c r="N400" s="823"/>
      <c r="O400" s="823"/>
      <c r="P400" s="823"/>
      <c r="Q400" s="823"/>
      <c r="R400" s="823"/>
      <c r="S400" s="823"/>
      <c r="T400" s="823"/>
      <c r="U400" s="823"/>
      <c r="V400" s="823"/>
      <c r="W400" s="823"/>
      <c r="X400" s="823"/>
      <c r="Y400" s="823"/>
      <c r="Z400" s="823"/>
      <c r="AA400" s="823"/>
      <c r="AB400" s="823"/>
    </row>
    <row r="401" hidden="1">
      <c r="A401" s="862">
        <v>45669.0</v>
      </c>
      <c r="B401" s="818" t="s">
        <v>14483</v>
      </c>
      <c r="C401" s="818" t="s">
        <v>14484</v>
      </c>
      <c r="D401" s="818" t="s">
        <v>13696</v>
      </c>
      <c r="E401" s="818" t="s">
        <v>13700</v>
      </c>
      <c r="F401" s="818" t="s">
        <v>4258</v>
      </c>
      <c r="G401" s="823"/>
      <c r="H401" s="823"/>
      <c r="I401" s="823"/>
      <c r="J401" s="823"/>
      <c r="K401" s="823"/>
      <c r="L401" s="823"/>
      <c r="M401" s="823"/>
      <c r="N401" s="823"/>
      <c r="O401" s="823"/>
      <c r="P401" s="823"/>
      <c r="Q401" s="823"/>
      <c r="R401" s="823"/>
      <c r="S401" s="823"/>
      <c r="T401" s="823"/>
      <c r="U401" s="823"/>
      <c r="V401" s="823"/>
      <c r="W401" s="823"/>
      <c r="X401" s="823"/>
      <c r="Y401" s="823"/>
      <c r="Z401" s="823"/>
      <c r="AA401" s="823"/>
      <c r="AB401" s="823"/>
    </row>
    <row r="402" hidden="1">
      <c r="A402" s="862">
        <v>45670.0</v>
      </c>
      <c r="B402" s="818" t="s">
        <v>14485</v>
      </c>
      <c r="C402" s="818" t="s">
        <v>13979</v>
      </c>
      <c r="D402" s="818" t="s">
        <v>14174</v>
      </c>
      <c r="E402" s="818" t="s">
        <v>13700</v>
      </c>
      <c r="F402" s="818" t="s">
        <v>4258</v>
      </c>
      <c r="G402" s="823"/>
      <c r="H402" s="823"/>
      <c r="I402" s="823"/>
      <c r="J402" s="823"/>
      <c r="K402" s="823"/>
      <c r="L402" s="823"/>
      <c r="M402" s="823"/>
      <c r="N402" s="823"/>
      <c r="O402" s="823"/>
      <c r="P402" s="823"/>
      <c r="Q402" s="823"/>
      <c r="R402" s="823"/>
      <c r="S402" s="823"/>
      <c r="T402" s="823"/>
      <c r="U402" s="823"/>
      <c r="V402" s="823"/>
      <c r="W402" s="823"/>
      <c r="X402" s="823"/>
      <c r="Y402" s="823"/>
      <c r="Z402" s="823"/>
      <c r="AA402" s="823"/>
      <c r="AB402" s="823"/>
    </row>
    <row r="403" hidden="1">
      <c r="A403" s="862">
        <v>45670.0</v>
      </c>
      <c r="B403" s="818" t="s">
        <v>14486</v>
      </c>
      <c r="C403" s="818" t="s">
        <v>14487</v>
      </c>
      <c r="D403" s="1101">
        <v>0.5833333333333334</v>
      </c>
      <c r="E403" s="818" t="s">
        <v>13700</v>
      </c>
      <c r="F403" s="818" t="s">
        <v>4262</v>
      </c>
      <c r="G403" s="823"/>
      <c r="H403" s="823"/>
      <c r="I403" s="823"/>
      <c r="J403" s="823"/>
      <c r="K403" s="823"/>
      <c r="L403" s="823"/>
      <c r="M403" s="823"/>
      <c r="N403" s="823"/>
      <c r="O403" s="823"/>
      <c r="P403" s="823"/>
      <c r="Q403" s="823"/>
      <c r="R403" s="823"/>
      <c r="S403" s="823"/>
      <c r="T403" s="823"/>
      <c r="U403" s="823"/>
      <c r="V403" s="823"/>
      <c r="W403" s="823"/>
      <c r="X403" s="823"/>
      <c r="Y403" s="823"/>
      <c r="Z403" s="823"/>
      <c r="AA403" s="823"/>
      <c r="AB403" s="823"/>
    </row>
    <row r="404" hidden="1">
      <c r="A404" s="862">
        <v>45670.0</v>
      </c>
      <c r="B404" s="818" t="s">
        <v>14488</v>
      </c>
      <c r="C404" s="823"/>
      <c r="D404" s="818" t="s">
        <v>14373</v>
      </c>
      <c r="E404" s="818" t="s">
        <v>14489</v>
      </c>
      <c r="F404" s="818" t="s">
        <v>4258</v>
      </c>
      <c r="G404" s="823"/>
      <c r="H404" s="823"/>
      <c r="I404" s="823"/>
      <c r="J404" s="823"/>
      <c r="K404" s="823"/>
      <c r="L404" s="823"/>
      <c r="M404" s="823"/>
      <c r="N404" s="823"/>
      <c r="O404" s="823"/>
      <c r="P404" s="823"/>
      <c r="Q404" s="823"/>
      <c r="R404" s="823"/>
      <c r="S404" s="823"/>
      <c r="T404" s="823"/>
      <c r="U404" s="823"/>
      <c r="V404" s="823"/>
      <c r="W404" s="823"/>
      <c r="X404" s="823"/>
      <c r="Y404" s="823"/>
      <c r="Z404" s="823"/>
      <c r="AA404" s="823"/>
      <c r="AB404" s="823"/>
    </row>
    <row r="405" hidden="1">
      <c r="A405" s="862">
        <v>45670.0</v>
      </c>
      <c r="B405" s="818" t="s">
        <v>14490</v>
      </c>
      <c r="C405" s="738">
        <v>3772.0</v>
      </c>
      <c r="D405" s="818" t="s">
        <v>13686</v>
      </c>
      <c r="E405" s="818" t="s">
        <v>13700</v>
      </c>
      <c r="F405" s="818" t="s">
        <v>4258</v>
      </c>
      <c r="G405" s="823"/>
      <c r="H405" s="823"/>
      <c r="I405" s="823"/>
      <c r="J405" s="823"/>
      <c r="K405" s="823"/>
      <c r="L405" s="823"/>
      <c r="M405" s="823"/>
      <c r="N405" s="823"/>
      <c r="O405" s="823"/>
      <c r="P405" s="823"/>
      <c r="Q405" s="823"/>
      <c r="R405" s="823"/>
      <c r="S405" s="823"/>
      <c r="T405" s="823"/>
      <c r="U405" s="823"/>
      <c r="V405" s="823"/>
      <c r="W405" s="823"/>
      <c r="X405" s="823"/>
      <c r="Y405" s="823"/>
      <c r="Z405" s="823"/>
      <c r="AA405" s="823"/>
      <c r="AB405" s="823"/>
    </row>
    <row r="406" hidden="1">
      <c r="A406" s="862">
        <v>45671.0</v>
      </c>
      <c r="B406" s="818" t="s">
        <v>14491</v>
      </c>
      <c r="C406" s="818" t="s">
        <v>14492</v>
      </c>
      <c r="D406" s="818" t="s">
        <v>14493</v>
      </c>
      <c r="E406" s="818" t="s">
        <v>14489</v>
      </c>
      <c r="F406" s="818" t="s">
        <v>4258</v>
      </c>
      <c r="G406" s="823"/>
      <c r="H406" s="823"/>
      <c r="I406" s="823"/>
      <c r="J406" s="823"/>
      <c r="K406" s="823"/>
      <c r="L406" s="823"/>
      <c r="M406" s="823"/>
      <c r="N406" s="823"/>
      <c r="O406" s="823"/>
      <c r="P406" s="823"/>
      <c r="Q406" s="823"/>
      <c r="R406" s="823"/>
      <c r="S406" s="823"/>
      <c r="T406" s="823"/>
      <c r="U406" s="823"/>
      <c r="V406" s="823"/>
      <c r="W406" s="823"/>
      <c r="X406" s="823"/>
      <c r="Y406" s="823"/>
      <c r="Z406" s="823"/>
      <c r="AA406" s="823"/>
      <c r="AB406" s="823"/>
    </row>
    <row r="407" hidden="1">
      <c r="A407" s="862">
        <v>45671.0</v>
      </c>
      <c r="B407" s="818" t="s">
        <v>14494</v>
      </c>
      <c r="C407" s="818" t="s">
        <v>14495</v>
      </c>
      <c r="D407" s="818" t="s">
        <v>13728</v>
      </c>
      <c r="E407" s="818" t="s">
        <v>13700</v>
      </c>
      <c r="F407" s="818" t="s">
        <v>4258</v>
      </c>
      <c r="G407" s="823"/>
      <c r="H407" s="823"/>
      <c r="I407" s="823"/>
      <c r="J407" s="823"/>
      <c r="K407" s="823"/>
      <c r="L407" s="823"/>
      <c r="M407" s="823"/>
      <c r="N407" s="823"/>
      <c r="O407" s="823"/>
      <c r="P407" s="823"/>
      <c r="Q407" s="823"/>
      <c r="R407" s="823"/>
      <c r="S407" s="823"/>
      <c r="T407" s="823"/>
      <c r="U407" s="823"/>
      <c r="V407" s="823"/>
      <c r="W407" s="823"/>
      <c r="X407" s="823"/>
      <c r="Y407" s="823"/>
      <c r="Z407" s="823"/>
      <c r="AA407" s="823"/>
      <c r="AB407" s="823"/>
    </row>
    <row r="408" hidden="1">
      <c r="A408" s="862">
        <v>45672.0</v>
      </c>
      <c r="B408" s="818" t="s">
        <v>14496</v>
      </c>
      <c r="C408" s="818" t="s">
        <v>14497</v>
      </c>
      <c r="D408" s="818"/>
      <c r="E408" s="818"/>
      <c r="F408" s="818"/>
      <c r="G408" s="823"/>
      <c r="H408" s="823"/>
      <c r="I408" s="823"/>
      <c r="J408" s="823"/>
      <c r="K408" s="823"/>
      <c r="L408" s="823"/>
      <c r="M408" s="823"/>
      <c r="N408" s="823"/>
      <c r="O408" s="823"/>
      <c r="P408" s="823"/>
      <c r="Q408" s="823"/>
      <c r="R408" s="823"/>
      <c r="S408" s="823"/>
      <c r="T408" s="823"/>
      <c r="U408" s="823"/>
      <c r="V408" s="823"/>
      <c r="W408" s="823"/>
      <c r="X408" s="823"/>
      <c r="Y408" s="823"/>
      <c r="Z408" s="823"/>
      <c r="AA408" s="823"/>
      <c r="AB408" s="823"/>
    </row>
    <row r="409" hidden="1">
      <c r="A409" s="862">
        <v>45672.0</v>
      </c>
      <c r="B409" s="818" t="s">
        <v>14498</v>
      </c>
      <c r="C409" s="818">
        <v>550.0</v>
      </c>
      <c r="D409" s="818"/>
      <c r="E409" s="818"/>
      <c r="F409" s="818"/>
      <c r="G409" s="823"/>
      <c r="H409" s="823"/>
      <c r="I409" s="823"/>
      <c r="J409" s="823"/>
      <c r="K409" s="823"/>
      <c r="L409" s="823"/>
      <c r="M409" s="823"/>
      <c r="N409" s="823"/>
      <c r="O409" s="823"/>
      <c r="P409" s="823"/>
      <c r="Q409" s="823"/>
      <c r="R409" s="823"/>
      <c r="S409" s="823"/>
      <c r="T409" s="823"/>
      <c r="U409" s="823"/>
      <c r="V409" s="823"/>
      <c r="W409" s="823"/>
      <c r="X409" s="823"/>
      <c r="Y409" s="823"/>
      <c r="Z409" s="823"/>
      <c r="AA409" s="823"/>
      <c r="AB409" s="823"/>
    </row>
    <row r="410" hidden="1">
      <c r="A410" s="862">
        <v>45674.0</v>
      </c>
      <c r="B410" s="818" t="s">
        <v>14499</v>
      </c>
      <c r="C410" s="818" t="s">
        <v>14419</v>
      </c>
      <c r="D410" s="818" t="s">
        <v>13861</v>
      </c>
      <c r="E410" s="818" t="s">
        <v>13700</v>
      </c>
      <c r="F410" s="818" t="s">
        <v>4258</v>
      </c>
      <c r="G410" s="823"/>
      <c r="H410" s="823"/>
      <c r="I410" s="823"/>
      <c r="J410" s="823"/>
      <c r="K410" s="823"/>
      <c r="L410" s="823"/>
      <c r="M410" s="823"/>
      <c r="N410" s="823"/>
      <c r="O410" s="823"/>
      <c r="P410" s="823"/>
      <c r="Q410" s="823"/>
      <c r="R410" s="823"/>
      <c r="S410" s="823"/>
      <c r="T410" s="823"/>
      <c r="U410" s="823"/>
      <c r="V410" s="823"/>
      <c r="W410" s="823"/>
      <c r="X410" s="823"/>
      <c r="Y410" s="823"/>
      <c r="Z410" s="823"/>
      <c r="AA410" s="823"/>
      <c r="AB410" s="823"/>
    </row>
    <row r="411" hidden="1">
      <c r="A411" s="862">
        <v>45675.0</v>
      </c>
      <c r="B411" s="818" t="s">
        <v>14500</v>
      </c>
      <c r="C411" s="818" t="s">
        <v>14501</v>
      </c>
      <c r="D411" s="1101">
        <v>0.3333333333333333</v>
      </c>
      <c r="E411" s="818" t="s">
        <v>13700</v>
      </c>
      <c r="F411" s="818" t="s">
        <v>3883</v>
      </c>
      <c r="G411" s="823"/>
      <c r="H411" s="823"/>
      <c r="I411" s="823"/>
      <c r="J411" s="823"/>
      <c r="K411" s="823"/>
      <c r="L411" s="823"/>
      <c r="M411" s="823"/>
      <c r="N411" s="823"/>
      <c r="O411" s="823"/>
      <c r="P411" s="823"/>
      <c r="Q411" s="823"/>
      <c r="R411" s="823"/>
      <c r="S411" s="823"/>
      <c r="T411" s="823"/>
      <c r="U411" s="823"/>
      <c r="V411" s="823"/>
      <c r="W411" s="823"/>
      <c r="X411" s="823"/>
      <c r="Y411" s="823"/>
      <c r="Z411" s="823"/>
      <c r="AA411" s="823"/>
      <c r="AB411" s="823"/>
    </row>
    <row r="412" hidden="1">
      <c r="A412" s="862">
        <v>45675.0</v>
      </c>
      <c r="B412" s="818" t="s">
        <v>14502</v>
      </c>
      <c r="C412" s="818" t="s">
        <v>14503</v>
      </c>
      <c r="D412" s="818" t="s">
        <v>13980</v>
      </c>
      <c r="E412" s="818" t="s">
        <v>13700</v>
      </c>
      <c r="F412" s="818" t="s">
        <v>4258</v>
      </c>
      <c r="G412" s="823"/>
      <c r="H412" s="823"/>
      <c r="I412" s="823"/>
      <c r="J412" s="823"/>
      <c r="K412" s="823"/>
      <c r="L412" s="823"/>
      <c r="M412" s="823"/>
      <c r="N412" s="823"/>
      <c r="O412" s="823"/>
      <c r="P412" s="823"/>
      <c r="Q412" s="823"/>
      <c r="R412" s="823"/>
      <c r="S412" s="823"/>
      <c r="T412" s="823"/>
      <c r="U412" s="823"/>
      <c r="V412" s="823"/>
      <c r="W412" s="823"/>
      <c r="X412" s="823"/>
      <c r="Y412" s="823"/>
      <c r="Z412" s="823"/>
      <c r="AA412" s="823"/>
      <c r="AB412" s="823"/>
    </row>
    <row r="413" hidden="1">
      <c r="A413" s="862">
        <v>45676.0</v>
      </c>
      <c r="B413" s="818" t="s">
        <v>14504</v>
      </c>
      <c r="C413" s="818" t="s">
        <v>14505</v>
      </c>
      <c r="D413" s="818" t="s">
        <v>13696</v>
      </c>
      <c r="E413" s="818" t="s">
        <v>13700</v>
      </c>
      <c r="F413" s="818" t="s">
        <v>4258</v>
      </c>
      <c r="G413" s="823"/>
      <c r="H413" s="823"/>
      <c r="I413" s="823"/>
      <c r="J413" s="823"/>
      <c r="K413" s="823"/>
      <c r="L413" s="823"/>
      <c r="M413" s="823"/>
      <c r="N413" s="823"/>
      <c r="O413" s="823"/>
      <c r="P413" s="823"/>
      <c r="Q413" s="823"/>
      <c r="R413" s="823"/>
      <c r="S413" s="823"/>
      <c r="T413" s="823"/>
      <c r="U413" s="823"/>
      <c r="V413" s="823"/>
      <c r="W413" s="823"/>
      <c r="X413" s="823"/>
      <c r="Y413" s="823"/>
      <c r="Z413" s="823"/>
      <c r="AA413" s="823"/>
      <c r="AB413" s="823"/>
    </row>
    <row r="414" hidden="1">
      <c r="A414" s="862">
        <v>45676.0</v>
      </c>
      <c r="B414" s="818" t="s">
        <v>14506</v>
      </c>
      <c r="C414" s="818" t="s">
        <v>14507</v>
      </c>
      <c r="D414" s="1101">
        <v>0.4166666666666667</v>
      </c>
      <c r="E414" s="818" t="s">
        <v>13700</v>
      </c>
      <c r="F414" s="818" t="s">
        <v>4262</v>
      </c>
      <c r="G414" s="823"/>
      <c r="H414" s="823"/>
      <c r="I414" s="823"/>
      <c r="J414" s="823"/>
      <c r="K414" s="823"/>
      <c r="L414" s="823"/>
      <c r="M414" s="823"/>
      <c r="N414" s="823"/>
      <c r="O414" s="823"/>
      <c r="P414" s="823"/>
      <c r="Q414" s="823"/>
      <c r="R414" s="823"/>
      <c r="S414" s="823"/>
      <c r="T414" s="823"/>
      <c r="U414" s="823"/>
      <c r="V414" s="823"/>
      <c r="W414" s="823"/>
      <c r="X414" s="823"/>
      <c r="Y414" s="823"/>
      <c r="Z414" s="823"/>
      <c r="AA414" s="823"/>
      <c r="AB414" s="823"/>
    </row>
    <row r="415" hidden="1">
      <c r="A415" s="862">
        <v>45677.0</v>
      </c>
      <c r="B415" s="818" t="s">
        <v>14508</v>
      </c>
      <c r="C415" s="818" t="s">
        <v>14509</v>
      </c>
      <c r="D415" s="1101">
        <v>0.4166666666666667</v>
      </c>
      <c r="E415" s="818" t="s">
        <v>13700</v>
      </c>
      <c r="F415" s="818" t="s">
        <v>3883</v>
      </c>
      <c r="G415" s="823"/>
      <c r="H415" s="823"/>
      <c r="I415" s="823"/>
      <c r="J415" s="823"/>
      <c r="K415" s="823"/>
      <c r="L415" s="823"/>
      <c r="M415" s="823"/>
      <c r="N415" s="823"/>
      <c r="O415" s="823"/>
      <c r="P415" s="823"/>
      <c r="Q415" s="823"/>
      <c r="R415" s="823"/>
      <c r="S415" s="823"/>
      <c r="T415" s="823"/>
      <c r="U415" s="823"/>
      <c r="V415" s="823"/>
      <c r="W415" s="823"/>
      <c r="X415" s="823"/>
      <c r="Y415" s="823"/>
      <c r="Z415" s="823"/>
      <c r="AA415" s="823"/>
      <c r="AB415" s="823"/>
    </row>
    <row r="416" hidden="1">
      <c r="A416" s="862">
        <v>45677.0</v>
      </c>
      <c r="B416" s="818" t="s">
        <v>14510</v>
      </c>
      <c r="C416" s="818"/>
      <c r="D416" s="1101">
        <v>0.5416666666666666</v>
      </c>
      <c r="E416" s="818" t="s">
        <v>13700</v>
      </c>
      <c r="F416" s="818" t="s">
        <v>3883</v>
      </c>
      <c r="G416" s="823"/>
      <c r="H416" s="823"/>
      <c r="I416" s="823"/>
      <c r="J416" s="823"/>
      <c r="K416" s="823"/>
      <c r="L416" s="823"/>
      <c r="M416" s="823"/>
      <c r="N416" s="823"/>
      <c r="O416" s="823"/>
      <c r="P416" s="823"/>
      <c r="Q416" s="823"/>
      <c r="R416" s="823"/>
      <c r="S416" s="823"/>
      <c r="T416" s="823"/>
      <c r="U416" s="823"/>
      <c r="V416" s="823"/>
      <c r="W416" s="823"/>
      <c r="X416" s="823"/>
      <c r="Y416" s="823"/>
      <c r="Z416" s="823"/>
      <c r="AA416" s="823"/>
      <c r="AB416" s="823"/>
    </row>
    <row r="417" hidden="1">
      <c r="A417" s="862">
        <v>45678.0</v>
      </c>
      <c r="B417" s="818" t="s">
        <v>14221</v>
      </c>
      <c r="C417" s="818" t="s">
        <v>13979</v>
      </c>
      <c r="D417" s="818" t="s">
        <v>13861</v>
      </c>
      <c r="E417" s="818" t="s">
        <v>13700</v>
      </c>
      <c r="F417" s="818" t="s">
        <v>4258</v>
      </c>
      <c r="G417" s="823"/>
      <c r="H417" s="823"/>
      <c r="I417" s="823"/>
      <c r="J417" s="823"/>
      <c r="K417" s="823"/>
      <c r="L417" s="823"/>
      <c r="M417" s="823"/>
      <c r="N417" s="823"/>
      <c r="O417" s="823"/>
      <c r="P417" s="823"/>
      <c r="Q417" s="823"/>
      <c r="R417" s="823"/>
      <c r="S417" s="823"/>
      <c r="T417" s="823"/>
      <c r="U417" s="823"/>
      <c r="V417" s="823"/>
      <c r="W417" s="823"/>
      <c r="X417" s="823"/>
      <c r="Y417" s="823"/>
      <c r="Z417" s="823"/>
      <c r="AA417" s="823"/>
      <c r="AB417" s="823"/>
    </row>
    <row r="418" hidden="1">
      <c r="A418" s="862">
        <v>45678.0</v>
      </c>
      <c r="B418" s="818" t="s">
        <v>14511</v>
      </c>
      <c r="C418" s="818" t="s">
        <v>14512</v>
      </c>
      <c r="D418" s="818" t="s">
        <v>13690</v>
      </c>
      <c r="E418" s="818" t="s">
        <v>13700</v>
      </c>
      <c r="F418" s="818" t="s">
        <v>4258</v>
      </c>
      <c r="G418" s="823"/>
      <c r="H418" s="823"/>
      <c r="I418" s="823"/>
      <c r="J418" s="823"/>
      <c r="K418" s="823"/>
      <c r="L418" s="823"/>
      <c r="M418" s="823"/>
      <c r="N418" s="823"/>
      <c r="O418" s="823"/>
      <c r="P418" s="823"/>
      <c r="Q418" s="823"/>
      <c r="R418" s="823"/>
      <c r="S418" s="823"/>
      <c r="T418" s="823"/>
      <c r="U418" s="823"/>
      <c r="V418" s="823"/>
      <c r="W418" s="823"/>
      <c r="X418" s="823"/>
      <c r="Y418" s="823"/>
      <c r="Z418" s="823"/>
      <c r="AA418" s="823"/>
      <c r="AB418" s="823"/>
    </row>
    <row r="419" hidden="1">
      <c r="A419" s="862">
        <v>45679.0</v>
      </c>
      <c r="B419" s="818" t="s">
        <v>14513</v>
      </c>
      <c r="C419" s="818" t="s">
        <v>14514</v>
      </c>
      <c r="D419" s="818" t="s">
        <v>14515</v>
      </c>
      <c r="E419" s="818" t="s">
        <v>13700</v>
      </c>
      <c r="F419" s="818" t="s">
        <v>4258</v>
      </c>
      <c r="G419" s="823"/>
      <c r="H419" s="823"/>
      <c r="I419" s="823"/>
      <c r="J419" s="823"/>
      <c r="K419" s="823"/>
      <c r="L419" s="823"/>
      <c r="M419" s="823"/>
      <c r="N419" s="823"/>
      <c r="O419" s="823"/>
      <c r="P419" s="823"/>
      <c r="Q419" s="823"/>
      <c r="R419" s="823"/>
      <c r="S419" s="823"/>
      <c r="T419" s="823"/>
      <c r="U419" s="823"/>
      <c r="V419" s="823"/>
      <c r="W419" s="823"/>
      <c r="X419" s="823"/>
      <c r="Y419" s="823"/>
      <c r="Z419" s="823"/>
      <c r="AA419" s="823"/>
      <c r="AB419" s="823"/>
    </row>
    <row r="420" hidden="1">
      <c r="A420" s="862">
        <v>45953.0</v>
      </c>
      <c r="B420" s="818" t="s">
        <v>14516</v>
      </c>
      <c r="C420" s="818">
        <v>550.0</v>
      </c>
      <c r="D420" s="1101">
        <v>0.4166666666666667</v>
      </c>
      <c r="E420" s="818" t="s">
        <v>13700</v>
      </c>
      <c r="F420" s="818" t="s">
        <v>3883</v>
      </c>
      <c r="G420" s="823"/>
      <c r="H420" s="823"/>
      <c r="I420" s="823"/>
      <c r="J420" s="823"/>
      <c r="K420" s="823"/>
      <c r="L420" s="823"/>
      <c r="M420" s="823"/>
      <c r="N420" s="823"/>
      <c r="O420" s="823"/>
      <c r="P420" s="823"/>
      <c r="Q420" s="823"/>
      <c r="R420" s="823"/>
      <c r="S420" s="823"/>
      <c r="T420" s="823"/>
      <c r="U420" s="823"/>
      <c r="V420" s="823"/>
      <c r="W420" s="823"/>
      <c r="X420" s="823"/>
      <c r="Y420" s="823"/>
      <c r="Z420" s="823"/>
      <c r="AA420" s="823"/>
      <c r="AB420" s="823"/>
    </row>
    <row r="421" hidden="1">
      <c r="A421" s="862">
        <v>45681.0</v>
      </c>
      <c r="B421" s="818" t="s">
        <v>14517</v>
      </c>
      <c r="C421" s="818" t="s">
        <v>14518</v>
      </c>
      <c r="D421" s="818" t="s">
        <v>14230</v>
      </c>
      <c r="E421" s="818" t="s">
        <v>13700</v>
      </c>
      <c r="F421" s="818" t="s">
        <v>4258</v>
      </c>
      <c r="G421" s="823"/>
      <c r="H421" s="823"/>
      <c r="I421" s="823"/>
      <c r="J421" s="823"/>
      <c r="K421" s="823"/>
      <c r="L421" s="823"/>
      <c r="M421" s="823"/>
      <c r="N421" s="823"/>
      <c r="O421" s="823"/>
      <c r="P421" s="823"/>
      <c r="Q421" s="823"/>
      <c r="R421" s="823"/>
      <c r="S421" s="823"/>
      <c r="T421" s="823"/>
      <c r="U421" s="823"/>
      <c r="V421" s="823"/>
      <c r="W421" s="823"/>
      <c r="X421" s="823"/>
      <c r="Y421" s="823"/>
      <c r="Z421" s="823"/>
      <c r="AA421" s="823"/>
      <c r="AB421" s="823"/>
    </row>
    <row r="422" hidden="1">
      <c r="A422" s="862">
        <v>45682.0</v>
      </c>
      <c r="B422" s="818" t="s">
        <v>14519</v>
      </c>
      <c r="C422" s="818" t="s">
        <v>14323</v>
      </c>
      <c r="D422" s="818" t="s">
        <v>13980</v>
      </c>
      <c r="E422" s="818" t="s">
        <v>13700</v>
      </c>
      <c r="F422" s="818" t="s">
        <v>4258</v>
      </c>
      <c r="G422" s="823"/>
      <c r="H422" s="823"/>
      <c r="I422" s="823"/>
      <c r="J422" s="823"/>
      <c r="K422" s="823"/>
      <c r="L422" s="823"/>
      <c r="M422" s="823"/>
      <c r="N422" s="823"/>
      <c r="O422" s="823"/>
      <c r="P422" s="823"/>
      <c r="Q422" s="823"/>
      <c r="R422" s="823"/>
      <c r="S422" s="823"/>
      <c r="T422" s="823"/>
      <c r="U422" s="823"/>
      <c r="V422" s="823"/>
      <c r="W422" s="823"/>
      <c r="X422" s="823"/>
      <c r="Y422" s="823"/>
      <c r="Z422" s="823"/>
      <c r="AA422" s="823"/>
      <c r="AB422" s="823"/>
    </row>
    <row r="423" hidden="1">
      <c r="A423" s="862">
        <v>45682.0</v>
      </c>
      <c r="B423" s="818" t="s">
        <v>14520</v>
      </c>
      <c r="C423" s="818">
        <v>1600.0</v>
      </c>
      <c r="D423" s="1101">
        <v>0.4583333333333333</v>
      </c>
      <c r="E423" s="818" t="s">
        <v>13700</v>
      </c>
      <c r="F423" s="818" t="s">
        <v>4262</v>
      </c>
      <c r="G423" s="823"/>
      <c r="H423" s="823"/>
      <c r="I423" s="823"/>
      <c r="J423" s="823"/>
      <c r="K423" s="823"/>
      <c r="L423" s="823"/>
      <c r="M423" s="823"/>
      <c r="N423" s="823"/>
      <c r="O423" s="823"/>
      <c r="P423" s="823"/>
      <c r="Q423" s="823"/>
      <c r="R423" s="823"/>
      <c r="S423" s="823"/>
      <c r="T423" s="823"/>
      <c r="U423" s="823"/>
      <c r="V423" s="823"/>
      <c r="W423" s="823"/>
      <c r="X423" s="823"/>
      <c r="Y423" s="823"/>
      <c r="Z423" s="823"/>
      <c r="AA423" s="823"/>
      <c r="AB423" s="823"/>
    </row>
    <row r="424" hidden="1">
      <c r="A424" s="862">
        <v>45682.0</v>
      </c>
      <c r="B424" s="818" t="s">
        <v>14521</v>
      </c>
      <c r="C424" s="818" t="s">
        <v>14522</v>
      </c>
      <c r="D424" s="818" t="s">
        <v>14523</v>
      </c>
      <c r="E424" s="818" t="s">
        <v>13700</v>
      </c>
      <c r="F424" s="818" t="s">
        <v>4258</v>
      </c>
      <c r="G424" s="823"/>
      <c r="H424" s="823"/>
      <c r="I424" s="823"/>
      <c r="J424" s="823"/>
      <c r="K424" s="823"/>
      <c r="L424" s="823"/>
      <c r="M424" s="823"/>
      <c r="N424" s="823"/>
      <c r="O424" s="823"/>
      <c r="P424" s="823"/>
      <c r="Q424" s="823"/>
      <c r="R424" s="823"/>
      <c r="S424" s="823"/>
      <c r="T424" s="823"/>
      <c r="U424" s="823"/>
      <c r="V424" s="823"/>
      <c r="W424" s="823"/>
      <c r="X424" s="823"/>
      <c r="Y424" s="823"/>
      <c r="Z424" s="823"/>
      <c r="AA424" s="823"/>
      <c r="AB424" s="823"/>
    </row>
    <row r="425" hidden="1">
      <c r="A425" s="862">
        <v>45685.0</v>
      </c>
      <c r="B425" s="818" t="s">
        <v>14524</v>
      </c>
      <c r="C425" s="738">
        <v>1352.0</v>
      </c>
      <c r="D425" s="1101">
        <v>0.5833333333333334</v>
      </c>
      <c r="E425" s="818" t="s">
        <v>13700</v>
      </c>
      <c r="F425" s="818" t="s">
        <v>4262</v>
      </c>
      <c r="G425" s="823"/>
      <c r="H425" s="823"/>
      <c r="I425" s="823"/>
      <c r="J425" s="823"/>
      <c r="K425" s="823"/>
      <c r="L425" s="823"/>
      <c r="M425" s="823"/>
      <c r="N425" s="823"/>
      <c r="O425" s="823"/>
      <c r="P425" s="823"/>
      <c r="Q425" s="823"/>
      <c r="R425" s="823"/>
      <c r="S425" s="823"/>
      <c r="T425" s="823"/>
      <c r="U425" s="823"/>
      <c r="V425" s="823"/>
      <c r="W425" s="823"/>
      <c r="X425" s="823"/>
      <c r="Y425" s="823"/>
      <c r="Z425" s="823"/>
      <c r="AA425" s="823"/>
      <c r="AB425" s="823"/>
    </row>
    <row r="426" hidden="1">
      <c r="A426" s="862">
        <v>45685.0</v>
      </c>
      <c r="B426" s="818" t="s">
        <v>14525</v>
      </c>
      <c r="C426" s="738">
        <v>1338000.0</v>
      </c>
      <c r="D426" s="1101">
        <v>0.5625</v>
      </c>
      <c r="E426" s="818" t="s">
        <v>13700</v>
      </c>
      <c r="F426" s="818" t="s">
        <v>4262</v>
      </c>
      <c r="G426" s="823"/>
      <c r="H426" s="823"/>
      <c r="I426" s="823"/>
      <c r="J426" s="823"/>
      <c r="K426" s="823"/>
      <c r="L426" s="823"/>
      <c r="M426" s="823"/>
      <c r="N426" s="823"/>
      <c r="O426" s="823"/>
      <c r="P426" s="823"/>
      <c r="Q426" s="823"/>
      <c r="R426" s="823"/>
      <c r="S426" s="823"/>
      <c r="T426" s="823"/>
      <c r="U426" s="823"/>
      <c r="V426" s="823"/>
      <c r="W426" s="823"/>
      <c r="X426" s="823"/>
      <c r="Y426" s="823"/>
      <c r="Z426" s="823"/>
      <c r="AA426" s="823"/>
      <c r="AB426" s="823"/>
    </row>
    <row r="427" hidden="1">
      <c r="A427" s="862">
        <v>45688.0</v>
      </c>
      <c r="B427" s="818" t="s">
        <v>14526</v>
      </c>
      <c r="C427" s="818" t="s">
        <v>14527</v>
      </c>
      <c r="D427" s="818" t="s">
        <v>13861</v>
      </c>
      <c r="E427" s="818" t="s">
        <v>13700</v>
      </c>
      <c r="F427" s="818" t="s">
        <v>4258</v>
      </c>
      <c r="G427" s="823"/>
      <c r="H427" s="823"/>
      <c r="I427" s="823"/>
      <c r="J427" s="823"/>
      <c r="K427" s="823"/>
      <c r="L427" s="823"/>
      <c r="M427" s="823"/>
      <c r="N427" s="823"/>
      <c r="O427" s="823"/>
      <c r="P427" s="823"/>
      <c r="Q427" s="823"/>
      <c r="R427" s="823"/>
      <c r="S427" s="823"/>
      <c r="T427" s="823"/>
      <c r="U427" s="823"/>
      <c r="V427" s="823"/>
      <c r="W427" s="823"/>
      <c r="X427" s="823"/>
      <c r="Y427" s="823"/>
      <c r="Z427" s="823"/>
      <c r="AA427" s="823"/>
      <c r="AB427" s="823"/>
    </row>
    <row r="428" hidden="1">
      <c r="A428" s="862">
        <v>45688.0</v>
      </c>
      <c r="B428" s="818" t="s">
        <v>14528</v>
      </c>
      <c r="C428" s="818" t="s">
        <v>14529</v>
      </c>
      <c r="D428" s="818" t="s">
        <v>13690</v>
      </c>
      <c r="E428" s="818" t="s">
        <v>13700</v>
      </c>
      <c r="F428" s="818" t="s">
        <v>4258</v>
      </c>
      <c r="G428" s="823"/>
      <c r="H428" s="823"/>
      <c r="I428" s="823"/>
      <c r="J428" s="823"/>
      <c r="K428" s="823"/>
      <c r="L428" s="823"/>
      <c r="M428" s="823"/>
      <c r="N428" s="823"/>
      <c r="O428" s="823"/>
      <c r="P428" s="823"/>
      <c r="Q428" s="823"/>
      <c r="R428" s="823"/>
      <c r="S428" s="823"/>
      <c r="T428" s="823"/>
      <c r="U428" s="823"/>
      <c r="V428" s="823"/>
      <c r="W428" s="823"/>
      <c r="X428" s="823"/>
      <c r="Y428" s="823"/>
      <c r="Z428" s="823"/>
      <c r="AA428" s="823"/>
      <c r="AB428" s="823"/>
    </row>
    <row r="429" hidden="1">
      <c r="A429" s="862">
        <v>45696.0</v>
      </c>
      <c r="B429" s="818" t="s">
        <v>14530</v>
      </c>
      <c r="C429" s="818" t="s">
        <v>14531</v>
      </c>
      <c r="D429" s="1101">
        <v>0.5</v>
      </c>
      <c r="E429" s="818" t="s">
        <v>14024</v>
      </c>
      <c r="F429" s="818" t="s">
        <v>4262</v>
      </c>
      <c r="G429" s="823"/>
      <c r="H429" s="823"/>
      <c r="I429" s="823"/>
      <c r="J429" s="823"/>
      <c r="K429" s="823"/>
      <c r="L429" s="823"/>
      <c r="M429" s="823"/>
      <c r="N429" s="823"/>
      <c r="O429" s="823"/>
      <c r="P429" s="823"/>
      <c r="Q429" s="823"/>
      <c r="R429" s="823"/>
      <c r="S429" s="823"/>
      <c r="T429" s="823"/>
      <c r="U429" s="823"/>
      <c r="V429" s="823"/>
      <c r="W429" s="823"/>
      <c r="X429" s="823"/>
      <c r="Y429" s="823"/>
      <c r="Z429" s="823"/>
      <c r="AA429" s="823"/>
      <c r="AB429" s="823"/>
    </row>
    <row r="430" hidden="1">
      <c r="A430" s="862">
        <v>45696.0</v>
      </c>
      <c r="B430" s="818" t="s">
        <v>14532</v>
      </c>
      <c r="C430" s="818" t="s">
        <v>14533</v>
      </c>
      <c r="D430" s="1101">
        <v>0.3888888888888889</v>
      </c>
      <c r="E430" s="818" t="s">
        <v>13700</v>
      </c>
      <c r="F430" s="818" t="s">
        <v>3883</v>
      </c>
      <c r="G430" s="823"/>
      <c r="H430" s="823"/>
      <c r="I430" s="823"/>
      <c r="J430" s="823"/>
      <c r="K430" s="823"/>
      <c r="L430" s="823"/>
      <c r="M430" s="823"/>
      <c r="N430" s="823"/>
      <c r="O430" s="823"/>
      <c r="P430" s="823"/>
      <c r="Q430" s="823"/>
      <c r="R430" s="823"/>
      <c r="S430" s="823"/>
      <c r="T430" s="823"/>
      <c r="U430" s="823"/>
      <c r="V430" s="823"/>
      <c r="W430" s="823"/>
      <c r="X430" s="823"/>
      <c r="Y430" s="823"/>
      <c r="Z430" s="823"/>
      <c r="AA430" s="823"/>
      <c r="AB430" s="823"/>
    </row>
    <row r="431" hidden="1">
      <c r="A431" s="862">
        <v>45696.0</v>
      </c>
      <c r="B431" s="818" t="s">
        <v>14534</v>
      </c>
      <c r="C431" s="818" t="s">
        <v>14535</v>
      </c>
      <c r="D431" s="1101">
        <v>0.5416666666666666</v>
      </c>
      <c r="E431" s="818" t="s">
        <v>13700</v>
      </c>
      <c r="F431" s="818" t="s">
        <v>3883</v>
      </c>
      <c r="G431" s="823"/>
      <c r="H431" s="823"/>
      <c r="I431" s="823"/>
      <c r="J431" s="823"/>
      <c r="K431" s="823"/>
      <c r="L431" s="823"/>
      <c r="M431" s="823"/>
      <c r="N431" s="823"/>
      <c r="O431" s="823"/>
      <c r="P431" s="823"/>
      <c r="Q431" s="823"/>
      <c r="R431" s="823"/>
      <c r="S431" s="823"/>
      <c r="T431" s="823"/>
      <c r="U431" s="823"/>
      <c r="V431" s="823"/>
      <c r="W431" s="823"/>
      <c r="X431" s="823"/>
      <c r="Y431" s="823"/>
      <c r="Z431" s="823"/>
      <c r="AA431" s="823"/>
      <c r="AB431" s="823"/>
    </row>
    <row r="432" hidden="1">
      <c r="A432" s="862">
        <v>45697.0</v>
      </c>
      <c r="B432" s="818" t="s">
        <v>14536</v>
      </c>
      <c r="C432" s="818"/>
      <c r="D432" s="818"/>
      <c r="E432" s="818" t="s">
        <v>13700</v>
      </c>
      <c r="F432" s="818" t="s">
        <v>3883</v>
      </c>
      <c r="G432" s="823"/>
      <c r="H432" s="823"/>
      <c r="I432" s="823"/>
      <c r="J432" s="823"/>
      <c r="K432" s="823"/>
      <c r="L432" s="823"/>
      <c r="M432" s="823"/>
      <c r="N432" s="823"/>
      <c r="O432" s="823"/>
      <c r="P432" s="823"/>
      <c r="Q432" s="823"/>
      <c r="R432" s="823"/>
      <c r="S432" s="823"/>
      <c r="T432" s="823"/>
      <c r="U432" s="823"/>
      <c r="V432" s="823"/>
      <c r="W432" s="823"/>
      <c r="X432" s="823"/>
      <c r="Y432" s="823"/>
      <c r="Z432" s="823"/>
      <c r="AA432" s="823"/>
      <c r="AB432" s="823"/>
    </row>
    <row r="433" hidden="1">
      <c r="A433" s="862"/>
      <c r="B433" s="818" t="s">
        <v>14537</v>
      </c>
      <c r="C433" s="818"/>
      <c r="D433" s="818"/>
      <c r="E433" s="818" t="s">
        <v>13700</v>
      </c>
      <c r="F433" s="818" t="s">
        <v>3883</v>
      </c>
      <c r="G433" s="823"/>
      <c r="H433" s="823"/>
      <c r="I433" s="823"/>
      <c r="J433" s="823"/>
      <c r="K433" s="823"/>
      <c r="L433" s="823"/>
      <c r="M433" s="823"/>
      <c r="N433" s="823"/>
      <c r="O433" s="823"/>
      <c r="P433" s="823"/>
      <c r="Q433" s="823"/>
      <c r="R433" s="823"/>
      <c r="S433" s="823"/>
      <c r="T433" s="823"/>
      <c r="U433" s="823"/>
      <c r="V433" s="823"/>
      <c r="W433" s="823"/>
      <c r="X433" s="823"/>
      <c r="Y433" s="823"/>
      <c r="Z433" s="823"/>
      <c r="AA433" s="823"/>
      <c r="AB433" s="823"/>
    </row>
    <row r="434" hidden="1">
      <c r="A434" s="862">
        <v>45698.0</v>
      </c>
      <c r="B434" s="818" t="s">
        <v>14538</v>
      </c>
      <c r="C434" s="818" t="s">
        <v>14539</v>
      </c>
      <c r="D434" s="1101">
        <v>0.5416666666666666</v>
      </c>
      <c r="E434" s="818" t="s">
        <v>14024</v>
      </c>
      <c r="F434" s="818" t="s">
        <v>3883</v>
      </c>
      <c r="G434" s="823"/>
      <c r="H434" s="823"/>
      <c r="I434" s="823"/>
      <c r="J434" s="823"/>
      <c r="K434" s="823"/>
      <c r="L434" s="823"/>
      <c r="M434" s="823"/>
      <c r="N434" s="823"/>
      <c r="O434" s="823"/>
      <c r="P434" s="823"/>
      <c r="Q434" s="823"/>
      <c r="R434" s="823"/>
      <c r="S434" s="823"/>
      <c r="T434" s="823"/>
      <c r="U434" s="823"/>
      <c r="V434" s="823"/>
      <c r="W434" s="823"/>
      <c r="X434" s="823"/>
      <c r="Y434" s="823"/>
      <c r="Z434" s="823"/>
      <c r="AA434" s="823"/>
      <c r="AB434" s="823"/>
    </row>
    <row r="435" hidden="1">
      <c r="A435" s="862">
        <v>45699.0</v>
      </c>
      <c r="B435" s="818" t="s">
        <v>14540</v>
      </c>
      <c r="C435" s="818" t="s">
        <v>14541</v>
      </c>
      <c r="D435" s="1101">
        <v>0.375</v>
      </c>
      <c r="E435" s="818" t="s">
        <v>13700</v>
      </c>
      <c r="F435" s="818" t="s">
        <v>4262</v>
      </c>
      <c r="G435" s="823"/>
      <c r="H435" s="823"/>
      <c r="I435" s="823"/>
      <c r="J435" s="823"/>
      <c r="K435" s="823"/>
      <c r="L435" s="823"/>
      <c r="M435" s="823"/>
      <c r="N435" s="823"/>
      <c r="O435" s="823"/>
      <c r="P435" s="823"/>
      <c r="Q435" s="823"/>
      <c r="R435" s="823"/>
      <c r="S435" s="823"/>
      <c r="T435" s="823"/>
      <c r="U435" s="823"/>
      <c r="V435" s="823"/>
      <c r="W435" s="823"/>
      <c r="X435" s="823"/>
      <c r="Y435" s="823"/>
      <c r="Z435" s="823"/>
      <c r="AA435" s="823"/>
      <c r="AB435" s="823"/>
    </row>
    <row r="436" hidden="1">
      <c r="A436" s="862">
        <v>45699.0</v>
      </c>
      <c r="B436" s="818" t="s">
        <v>14542</v>
      </c>
      <c r="C436" s="818" t="s">
        <v>14543</v>
      </c>
      <c r="D436" s="818" t="s">
        <v>14544</v>
      </c>
      <c r="E436" s="818" t="s">
        <v>13700</v>
      </c>
      <c r="F436" s="818" t="s">
        <v>3883</v>
      </c>
      <c r="G436" s="823"/>
      <c r="H436" s="823"/>
      <c r="I436" s="823"/>
      <c r="J436" s="823"/>
      <c r="K436" s="823"/>
      <c r="L436" s="823"/>
      <c r="M436" s="823"/>
      <c r="N436" s="823"/>
      <c r="O436" s="823"/>
      <c r="P436" s="823"/>
      <c r="Q436" s="823"/>
      <c r="R436" s="823"/>
      <c r="S436" s="823"/>
      <c r="T436" s="823"/>
      <c r="U436" s="823"/>
      <c r="V436" s="823"/>
      <c r="W436" s="823"/>
      <c r="X436" s="823"/>
      <c r="Y436" s="823"/>
      <c r="Z436" s="823"/>
      <c r="AA436" s="823"/>
      <c r="AB436" s="823"/>
    </row>
    <row r="437" hidden="1">
      <c r="A437" s="862">
        <v>45700.0</v>
      </c>
      <c r="B437" s="818" t="s">
        <v>14545</v>
      </c>
      <c r="C437" s="818" t="s">
        <v>14323</v>
      </c>
      <c r="D437" s="818" t="s">
        <v>14417</v>
      </c>
      <c r="E437" s="818" t="s">
        <v>13700</v>
      </c>
      <c r="F437" s="818" t="s">
        <v>4258</v>
      </c>
      <c r="G437" s="823"/>
      <c r="H437" s="823"/>
      <c r="I437" s="823"/>
      <c r="J437" s="823"/>
      <c r="K437" s="823"/>
      <c r="L437" s="823"/>
      <c r="M437" s="823"/>
      <c r="N437" s="823"/>
      <c r="O437" s="823"/>
      <c r="P437" s="823"/>
      <c r="Q437" s="823"/>
      <c r="R437" s="823"/>
      <c r="S437" s="823"/>
      <c r="T437" s="823"/>
      <c r="U437" s="823"/>
      <c r="V437" s="823"/>
      <c r="W437" s="823"/>
      <c r="X437" s="823"/>
      <c r="Y437" s="823"/>
      <c r="Z437" s="823"/>
      <c r="AA437" s="823"/>
      <c r="AB437" s="823"/>
    </row>
    <row r="438" hidden="1">
      <c r="A438" s="862">
        <v>45700.0</v>
      </c>
      <c r="B438" s="818" t="s">
        <v>14546</v>
      </c>
      <c r="C438" s="818" t="s">
        <v>14547</v>
      </c>
      <c r="D438" s="1101">
        <v>0.5416666666666666</v>
      </c>
      <c r="E438" s="818" t="s">
        <v>13700</v>
      </c>
      <c r="F438" s="818" t="s">
        <v>3883</v>
      </c>
      <c r="G438" s="823"/>
      <c r="H438" s="823"/>
      <c r="I438" s="823"/>
      <c r="J438" s="823"/>
      <c r="K438" s="823"/>
      <c r="L438" s="823"/>
      <c r="M438" s="823"/>
      <c r="N438" s="823"/>
      <c r="O438" s="823"/>
      <c r="P438" s="823"/>
      <c r="Q438" s="823"/>
      <c r="R438" s="823"/>
      <c r="S438" s="823"/>
      <c r="T438" s="823"/>
      <c r="U438" s="823"/>
      <c r="V438" s="823"/>
      <c r="W438" s="823"/>
      <c r="X438" s="823"/>
      <c r="Y438" s="823"/>
      <c r="Z438" s="823"/>
      <c r="AA438" s="823"/>
      <c r="AB438" s="823"/>
    </row>
    <row r="439" hidden="1">
      <c r="A439" s="862">
        <v>45702.0</v>
      </c>
      <c r="B439" s="818" t="s">
        <v>14548</v>
      </c>
      <c r="C439" s="818" t="s">
        <v>14549</v>
      </c>
      <c r="D439" s="818" t="s">
        <v>13815</v>
      </c>
      <c r="E439" s="818" t="s">
        <v>13700</v>
      </c>
      <c r="F439" s="818" t="s">
        <v>4262</v>
      </c>
      <c r="G439" s="823"/>
      <c r="H439" s="823"/>
      <c r="I439" s="823"/>
      <c r="J439" s="823"/>
      <c r="K439" s="823"/>
      <c r="L439" s="823"/>
      <c r="M439" s="823"/>
      <c r="N439" s="823"/>
      <c r="O439" s="823"/>
      <c r="P439" s="823"/>
      <c r="Q439" s="823"/>
      <c r="R439" s="823"/>
      <c r="S439" s="823"/>
      <c r="T439" s="823"/>
      <c r="U439" s="823"/>
      <c r="V439" s="823"/>
      <c r="W439" s="823"/>
      <c r="X439" s="823"/>
      <c r="Y439" s="823"/>
      <c r="Z439" s="823"/>
      <c r="AA439" s="823"/>
      <c r="AB439" s="823"/>
    </row>
    <row r="440" hidden="1">
      <c r="A440" s="862">
        <v>45702.0</v>
      </c>
      <c r="B440" s="818" t="s">
        <v>14550</v>
      </c>
      <c r="C440" s="818" t="s">
        <v>14551</v>
      </c>
      <c r="D440" s="818" t="s">
        <v>13696</v>
      </c>
      <c r="E440" s="818" t="s">
        <v>14453</v>
      </c>
      <c r="F440" s="818" t="s">
        <v>4258</v>
      </c>
      <c r="G440" s="823"/>
      <c r="H440" s="823"/>
      <c r="I440" s="823"/>
      <c r="J440" s="823"/>
      <c r="K440" s="823"/>
      <c r="L440" s="823"/>
      <c r="M440" s="823"/>
      <c r="N440" s="823"/>
      <c r="O440" s="823"/>
      <c r="P440" s="823"/>
      <c r="Q440" s="823"/>
      <c r="R440" s="823"/>
      <c r="S440" s="823"/>
      <c r="T440" s="823"/>
      <c r="U440" s="823"/>
      <c r="V440" s="823"/>
      <c r="W440" s="823"/>
      <c r="X440" s="823"/>
      <c r="Y440" s="823"/>
      <c r="Z440" s="823"/>
      <c r="AA440" s="823"/>
      <c r="AB440" s="823"/>
    </row>
    <row r="441" hidden="1">
      <c r="A441" s="862">
        <v>45702.0</v>
      </c>
      <c r="B441" s="818" t="s">
        <v>14552</v>
      </c>
      <c r="C441" s="818" t="s">
        <v>14553</v>
      </c>
      <c r="D441" s="818" t="s">
        <v>13876</v>
      </c>
      <c r="E441" s="818" t="s">
        <v>13700</v>
      </c>
      <c r="F441" s="818" t="s">
        <v>4258</v>
      </c>
      <c r="G441" s="823"/>
      <c r="H441" s="823"/>
      <c r="I441" s="823"/>
      <c r="J441" s="823"/>
      <c r="K441" s="823"/>
      <c r="L441" s="823"/>
      <c r="M441" s="823"/>
      <c r="N441" s="823"/>
      <c r="O441" s="823"/>
      <c r="P441" s="823"/>
      <c r="Q441" s="823"/>
      <c r="R441" s="823"/>
      <c r="S441" s="823"/>
      <c r="T441" s="823"/>
      <c r="U441" s="823"/>
      <c r="V441" s="823"/>
      <c r="W441" s="823"/>
      <c r="X441" s="823"/>
      <c r="Y441" s="823"/>
      <c r="Z441" s="823"/>
      <c r="AA441" s="823"/>
      <c r="AB441" s="823"/>
    </row>
    <row r="442" hidden="1">
      <c r="A442" s="862">
        <v>45703.0</v>
      </c>
      <c r="B442" s="818" t="s">
        <v>14554</v>
      </c>
      <c r="C442" s="818" t="s">
        <v>14555</v>
      </c>
      <c r="D442" s="818" t="s">
        <v>13722</v>
      </c>
      <c r="E442" s="818" t="s">
        <v>13700</v>
      </c>
      <c r="F442" s="818" t="s">
        <v>3883</v>
      </c>
      <c r="G442" s="823"/>
      <c r="H442" s="823"/>
      <c r="I442" s="823"/>
      <c r="J442" s="823"/>
      <c r="K442" s="823"/>
      <c r="L442" s="823"/>
      <c r="M442" s="823"/>
      <c r="N442" s="823"/>
      <c r="O442" s="823"/>
      <c r="P442" s="823"/>
      <c r="Q442" s="823"/>
      <c r="R442" s="823"/>
      <c r="S442" s="823"/>
      <c r="T442" s="823"/>
      <c r="U442" s="823"/>
      <c r="V442" s="823"/>
      <c r="W442" s="823"/>
      <c r="X442" s="823"/>
      <c r="Y442" s="823"/>
      <c r="Z442" s="823"/>
      <c r="AA442" s="823"/>
      <c r="AB442" s="823"/>
    </row>
    <row r="443" hidden="1">
      <c r="A443" s="862">
        <v>45704.0</v>
      </c>
      <c r="B443" s="818" t="s">
        <v>14556</v>
      </c>
      <c r="C443" s="818" t="s">
        <v>14218</v>
      </c>
      <c r="D443" s="1101">
        <v>0.375</v>
      </c>
      <c r="E443" s="818" t="s">
        <v>13700</v>
      </c>
      <c r="F443" s="818" t="s">
        <v>4262</v>
      </c>
      <c r="G443" s="823"/>
      <c r="H443" s="823"/>
      <c r="I443" s="823"/>
      <c r="J443" s="823"/>
      <c r="K443" s="823"/>
      <c r="L443" s="823"/>
      <c r="M443" s="823"/>
      <c r="N443" s="823"/>
      <c r="O443" s="823"/>
      <c r="P443" s="823"/>
      <c r="Q443" s="823"/>
      <c r="R443" s="823"/>
      <c r="S443" s="823"/>
      <c r="T443" s="823"/>
      <c r="U443" s="823"/>
      <c r="V443" s="823"/>
      <c r="W443" s="823"/>
      <c r="X443" s="823"/>
      <c r="Y443" s="823"/>
      <c r="Z443" s="823"/>
      <c r="AA443" s="823"/>
      <c r="AB443" s="823"/>
    </row>
    <row r="444" hidden="1">
      <c r="A444" s="862">
        <v>45704.0</v>
      </c>
      <c r="B444" s="818" t="s">
        <v>14557</v>
      </c>
      <c r="C444" s="818">
        <v>450.0</v>
      </c>
      <c r="D444" s="1101">
        <v>0.4166666666666667</v>
      </c>
      <c r="E444" s="818" t="s">
        <v>13700</v>
      </c>
      <c r="F444" s="818" t="s">
        <v>3883</v>
      </c>
      <c r="G444" s="823"/>
      <c r="H444" s="823"/>
      <c r="I444" s="823"/>
      <c r="J444" s="823"/>
      <c r="K444" s="823"/>
      <c r="L444" s="823"/>
      <c r="M444" s="823"/>
      <c r="N444" s="823"/>
      <c r="O444" s="823"/>
      <c r="P444" s="823"/>
      <c r="Q444" s="823"/>
      <c r="R444" s="823"/>
      <c r="S444" s="823"/>
      <c r="T444" s="823"/>
      <c r="U444" s="823"/>
      <c r="V444" s="823"/>
      <c r="W444" s="823"/>
      <c r="X444" s="823"/>
      <c r="Y444" s="823"/>
      <c r="Z444" s="823"/>
      <c r="AA444" s="823"/>
      <c r="AB444" s="823"/>
    </row>
    <row r="445" hidden="1">
      <c r="A445" s="862">
        <v>45704.0</v>
      </c>
      <c r="B445" s="818" t="s">
        <v>14558</v>
      </c>
      <c r="C445" s="818" t="s">
        <v>14559</v>
      </c>
      <c r="D445" s="818" t="s">
        <v>13696</v>
      </c>
      <c r="E445" s="818" t="s">
        <v>13700</v>
      </c>
      <c r="F445" s="818" t="s">
        <v>4258</v>
      </c>
      <c r="G445" s="823"/>
      <c r="H445" s="823"/>
      <c r="I445" s="823"/>
      <c r="J445" s="823"/>
      <c r="K445" s="823"/>
      <c r="L445" s="823"/>
      <c r="M445" s="823"/>
      <c r="N445" s="823"/>
      <c r="O445" s="823"/>
      <c r="P445" s="823"/>
      <c r="Q445" s="823"/>
      <c r="R445" s="823"/>
      <c r="S445" s="823"/>
      <c r="T445" s="823"/>
      <c r="U445" s="823"/>
      <c r="V445" s="823"/>
      <c r="W445" s="823"/>
      <c r="X445" s="823"/>
      <c r="Y445" s="823"/>
      <c r="Z445" s="823"/>
      <c r="AA445" s="823"/>
      <c r="AB445" s="823"/>
    </row>
    <row r="446" hidden="1">
      <c r="A446" s="862">
        <v>45707.0</v>
      </c>
      <c r="B446" s="818" t="s">
        <v>14560</v>
      </c>
      <c r="C446" s="818" t="s">
        <v>14561</v>
      </c>
      <c r="D446" s="818" t="s">
        <v>13696</v>
      </c>
      <c r="E446" s="818" t="s">
        <v>13700</v>
      </c>
      <c r="F446" s="818" t="s">
        <v>4258</v>
      </c>
      <c r="G446" s="823"/>
      <c r="H446" s="823"/>
      <c r="I446" s="823"/>
      <c r="J446" s="823"/>
      <c r="K446" s="823"/>
      <c r="L446" s="823"/>
      <c r="M446" s="823"/>
      <c r="N446" s="823"/>
      <c r="O446" s="823"/>
      <c r="P446" s="823"/>
      <c r="Q446" s="823"/>
      <c r="R446" s="823"/>
      <c r="S446" s="823"/>
      <c r="T446" s="823"/>
      <c r="U446" s="823"/>
      <c r="V446" s="823"/>
      <c r="W446" s="823"/>
      <c r="X446" s="823"/>
      <c r="Y446" s="823"/>
      <c r="Z446" s="823"/>
      <c r="AA446" s="823"/>
      <c r="AB446" s="823"/>
    </row>
    <row r="447" hidden="1">
      <c r="A447" s="862">
        <v>45708.0</v>
      </c>
      <c r="B447" s="818" t="s">
        <v>14562</v>
      </c>
      <c r="C447" s="738" t="s">
        <v>14563</v>
      </c>
      <c r="D447" s="818" t="s">
        <v>14139</v>
      </c>
      <c r="E447" s="818" t="s">
        <v>13700</v>
      </c>
      <c r="F447" s="818" t="s">
        <v>4262</v>
      </c>
      <c r="G447" s="823"/>
      <c r="H447" s="823"/>
      <c r="I447" s="823"/>
      <c r="J447" s="823"/>
      <c r="K447" s="823"/>
      <c r="L447" s="823"/>
      <c r="M447" s="823"/>
      <c r="N447" s="823"/>
      <c r="O447" s="823"/>
      <c r="P447" s="823"/>
      <c r="Q447" s="823"/>
      <c r="R447" s="823"/>
      <c r="S447" s="823"/>
      <c r="T447" s="823"/>
      <c r="U447" s="823"/>
      <c r="V447" s="823"/>
      <c r="W447" s="823"/>
      <c r="X447" s="823"/>
      <c r="Y447" s="823"/>
      <c r="Z447" s="823"/>
      <c r="AA447" s="823"/>
      <c r="AB447" s="823"/>
    </row>
    <row r="448" hidden="1">
      <c r="A448" s="862">
        <v>45708.0</v>
      </c>
      <c r="B448" s="818" t="s">
        <v>14564</v>
      </c>
      <c r="C448" s="818" t="s">
        <v>14565</v>
      </c>
      <c r="D448" s="1101">
        <v>0.6666666666666666</v>
      </c>
      <c r="E448" s="818" t="s">
        <v>13700</v>
      </c>
      <c r="F448" s="818" t="s">
        <v>4262</v>
      </c>
      <c r="G448" s="823"/>
      <c r="H448" s="823"/>
      <c r="I448" s="823"/>
      <c r="J448" s="823"/>
      <c r="K448" s="823"/>
      <c r="L448" s="823"/>
      <c r="M448" s="823"/>
      <c r="N448" s="823"/>
      <c r="O448" s="823"/>
      <c r="P448" s="823"/>
      <c r="Q448" s="823"/>
      <c r="R448" s="823"/>
      <c r="S448" s="823"/>
      <c r="T448" s="823"/>
      <c r="U448" s="823"/>
      <c r="V448" s="823"/>
      <c r="W448" s="823"/>
      <c r="X448" s="823"/>
      <c r="Y448" s="823"/>
      <c r="Z448" s="823"/>
      <c r="AA448" s="823"/>
      <c r="AB448" s="823"/>
    </row>
    <row r="449" hidden="1">
      <c r="A449" s="862">
        <v>45343.0</v>
      </c>
      <c r="B449" s="818" t="s">
        <v>14566</v>
      </c>
      <c r="C449" s="818" t="s">
        <v>14567</v>
      </c>
      <c r="D449" s="1101">
        <v>0.3541666666666667</v>
      </c>
      <c r="E449" s="818" t="s">
        <v>13700</v>
      </c>
      <c r="F449" s="818" t="s">
        <v>3883</v>
      </c>
      <c r="G449" s="823"/>
      <c r="H449" s="823"/>
      <c r="I449" s="823"/>
      <c r="J449" s="823"/>
      <c r="K449" s="823"/>
      <c r="L449" s="823"/>
      <c r="M449" s="823"/>
      <c r="N449" s="823"/>
      <c r="O449" s="823"/>
      <c r="P449" s="823"/>
      <c r="Q449" s="823"/>
      <c r="R449" s="823"/>
      <c r="S449" s="823"/>
      <c r="T449" s="823"/>
      <c r="U449" s="823"/>
      <c r="V449" s="823"/>
      <c r="W449" s="823"/>
      <c r="X449" s="823"/>
      <c r="Y449" s="823"/>
      <c r="Z449" s="823"/>
      <c r="AA449" s="823"/>
      <c r="AB449" s="823"/>
    </row>
    <row r="450" hidden="1">
      <c r="A450" s="862">
        <v>45343.0</v>
      </c>
      <c r="B450" s="818" t="s">
        <v>14568</v>
      </c>
      <c r="C450" s="738" t="s">
        <v>14569</v>
      </c>
      <c r="D450" s="1101">
        <v>0.3541666666666667</v>
      </c>
      <c r="E450" s="818" t="s">
        <v>13700</v>
      </c>
      <c r="F450" s="818" t="s">
        <v>3883</v>
      </c>
      <c r="G450" s="823"/>
      <c r="H450" s="823"/>
      <c r="I450" s="823"/>
      <c r="J450" s="823"/>
      <c r="K450" s="823"/>
      <c r="L450" s="823"/>
      <c r="M450" s="823"/>
      <c r="N450" s="823"/>
      <c r="O450" s="823"/>
      <c r="P450" s="823"/>
      <c r="Q450" s="823"/>
      <c r="R450" s="823"/>
      <c r="S450" s="823"/>
      <c r="T450" s="823"/>
      <c r="U450" s="823"/>
      <c r="V450" s="823"/>
      <c r="W450" s="823"/>
      <c r="X450" s="823"/>
      <c r="Y450" s="823"/>
      <c r="Z450" s="823"/>
      <c r="AA450" s="823"/>
      <c r="AB450" s="823"/>
    </row>
    <row r="451" hidden="1">
      <c r="A451" s="862">
        <v>45709.0</v>
      </c>
      <c r="B451" s="818" t="s">
        <v>14570</v>
      </c>
      <c r="C451" s="818" t="s">
        <v>14571</v>
      </c>
      <c r="D451" s="818" t="s">
        <v>14572</v>
      </c>
      <c r="E451" s="818" t="s">
        <v>13700</v>
      </c>
      <c r="F451" s="818" t="s">
        <v>4262</v>
      </c>
      <c r="G451" s="823"/>
      <c r="H451" s="823"/>
      <c r="I451" s="823"/>
      <c r="J451" s="823"/>
      <c r="K451" s="823"/>
      <c r="L451" s="823"/>
      <c r="M451" s="823"/>
      <c r="N451" s="823"/>
      <c r="O451" s="823"/>
      <c r="P451" s="823"/>
      <c r="Q451" s="823"/>
      <c r="R451" s="823"/>
      <c r="S451" s="823"/>
      <c r="T451" s="823"/>
      <c r="U451" s="823"/>
      <c r="V451" s="823"/>
      <c r="W451" s="823"/>
      <c r="X451" s="823"/>
      <c r="Y451" s="823"/>
      <c r="Z451" s="823"/>
      <c r="AA451" s="823"/>
      <c r="AB451" s="823"/>
    </row>
    <row r="452" hidden="1">
      <c r="A452" s="862">
        <v>45710.0</v>
      </c>
      <c r="B452" s="818" t="s">
        <v>14573</v>
      </c>
      <c r="C452" s="818" t="s">
        <v>14574</v>
      </c>
      <c r="D452" s="818" t="s">
        <v>13861</v>
      </c>
      <c r="E452" s="818" t="s">
        <v>13700</v>
      </c>
      <c r="F452" s="818" t="s">
        <v>4258</v>
      </c>
      <c r="G452" s="823"/>
      <c r="H452" s="823"/>
      <c r="I452" s="823"/>
      <c r="J452" s="823"/>
      <c r="K452" s="823"/>
      <c r="L452" s="823"/>
      <c r="M452" s="823"/>
      <c r="N452" s="823"/>
      <c r="O452" s="823"/>
      <c r="P452" s="823"/>
      <c r="Q452" s="823"/>
      <c r="R452" s="823"/>
      <c r="S452" s="823"/>
      <c r="T452" s="823"/>
      <c r="U452" s="823"/>
      <c r="V452" s="823"/>
      <c r="W452" s="823"/>
      <c r="X452" s="823"/>
      <c r="Y452" s="823"/>
      <c r="Z452" s="823"/>
      <c r="AA452" s="823"/>
      <c r="AB452" s="823"/>
    </row>
    <row r="453" hidden="1">
      <c r="A453" s="862">
        <v>45710.0</v>
      </c>
      <c r="B453" s="818" t="s">
        <v>14575</v>
      </c>
      <c r="C453" s="818" t="s">
        <v>14576</v>
      </c>
      <c r="D453" s="818" t="s">
        <v>14577</v>
      </c>
      <c r="E453" s="818" t="s">
        <v>13700</v>
      </c>
      <c r="F453" s="818" t="s">
        <v>4262</v>
      </c>
      <c r="G453" s="823"/>
      <c r="H453" s="823"/>
      <c r="I453" s="823"/>
      <c r="J453" s="823"/>
      <c r="K453" s="823"/>
      <c r="L453" s="823"/>
      <c r="M453" s="823"/>
      <c r="N453" s="823"/>
      <c r="O453" s="823"/>
      <c r="P453" s="823"/>
      <c r="Q453" s="823"/>
      <c r="R453" s="823"/>
      <c r="S453" s="823"/>
      <c r="T453" s="823"/>
      <c r="U453" s="823"/>
      <c r="V453" s="823"/>
      <c r="W453" s="823"/>
      <c r="X453" s="823"/>
      <c r="Y453" s="823"/>
      <c r="Z453" s="823"/>
      <c r="AA453" s="823"/>
      <c r="AB453" s="823"/>
    </row>
    <row r="454" hidden="1">
      <c r="A454" s="862">
        <v>45710.0</v>
      </c>
      <c r="B454" s="818" t="s">
        <v>14578</v>
      </c>
      <c r="C454" s="818" t="s">
        <v>14579</v>
      </c>
      <c r="D454" s="818" t="s">
        <v>14577</v>
      </c>
      <c r="E454" s="818" t="s">
        <v>13700</v>
      </c>
      <c r="F454" s="818" t="s">
        <v>4262</v>
      </c>
      <c r="G454" s="823"/>
      <c r="H454" s="823"/>
      <c r="I454" s="823"/>
      <c r="J454" s="823"/>
      <c r="K454" s="823"/>
      <c r="L454" s="823"/>
      <c r="M454" s="823"/>
      <c r="N454" s="823"/>
      <c r="O454" s="823"/>
      <c r="P454" s="823"/>
      <c r="Q454" s="823"/>
      <c r="R454" s="823"/>
      <c r="S454" s="823"/>
      <c r="T454" s="823"/>
      <c r="U454" s="823"/>
      <c r="V454" s="823"/>
      <c r="W454" s="823"/>
      <c r="X454" s="823"/>
      <c r="Y454" s="823"/>
      <c r="Z454" s="823"/>
      <c r="AA454" s="823"/>
      <c r="AB454" s="823"/>
    </row>
    <row r="455" hidden="1">
      <c r="A455" s="862">
        <v>45711.0</v>
      </c>
      <c r="B455" s="818" t="s">
        <v>14580</v>
      </c>
      <c r="C455" s="818" t="s">
        <v>14574</v>
      </c>
      <c r="D455" s="818" t="s">
        <v>13696</v>
      </c>
      <c r="E455" s="818" t="s">
        <v>13700</v>
      </c>
      <c r="F455" s="818" t="s">
        <v>4258</v>
      </c>
      <c r="G455" s="823"/>
      <c r="H455" s="823"/>
      <c r="I455" s="823"/>
      <c r="J455" s="823"/>
      <c r="K455" s="823"/>
      <c r="L455" s="823"/>
      <c r="M455" s="823"/>
      <c r="N455" s="823"/>
      <c r="O455" s="823"/>
      <c r="P455" s="823"/>
      <c r="Q455" s="823"/>
      <c r="R455" s="823"/>
      <c r="S455" s="823"/>
      <c r="T455" s="823"/>
      <c r="U455" s="823"/>
      <c r="V455" s="823"/>
      <c r="W455" s="823"/>
      <c r="X455" s="823"/>
      <c r="Y455" s="823"/>
      <c r="Z455" s="823"/>
      <c r="AA455" s="823"/>
      <c r="AB455" s="823"/>
    </row>
    <row r="456" hidden="1">
      <c r="A456" s="862">
        <v>45712.0</v>
      </c>
      <c r="B456" s="818" t="s">
        <v>14581</v>
      </c>
      <c r="C456" s="818" t="s">
        <v>14582</v>
      </c>
      <c r="D456" s="1101">
        <v>0.375</v>
      </c>
      <c r="E456" s="818" t="s">
        <v>13700</v>
      </c>
      <c r="F456" s="818" t="s">
        <v>4262</v>
      </c>
      <c r="G456" s="823"/>
      <c r="H456" s="823"/>
      <c r="I456" s="823"/>
      <c r="J456" s="823"/>
      <c r="K456" s="823"/>
      <c r="L456" s="823"/>
      <c r="M456" s="823"/>
      <c r="N456" s="823"/>
      <c r="O456" s="823"/>
      <c r="P456" s="823"/>
      <c r="Q456" s="823"/>
      <c r="R456" s="823"/>
      <c r="S456" s="823"/>
      <c r="T456" s="823"/>
      <c r="U456" s="823"/>
      <c r="V456" s="823"/>
      <c r="W456" s="823"/>
      <c r="X456" s="823"/>
      <c r="Y456" s="823"/>
      <c r="Z456" s="823"/>
      <c r="AA456" s="823"/>
      <c r="AB456" s="823"/>
    </row>
    <row r="457" hidden="1">
      <c r="A457" s="862">
        <v>45712.0</v>
      </c>
      <c r="B457" s="818" t="s">
        <v>14583</v>
      </c>
      <c r="C457" s="818" t="s">
        <v>14584</v>
      </c>
      <c r="D457" s="818" t="s">
        <v>13696</v>
      </c>
      <c r="E457" s="818" t="s">
        <v>13700</v>
      </c>
      <c r="F457" s="818" t="s">
        <v>4258</v>
      </c>
      <c r="G457" s="823"/>
      <c r="H457" s="823"/>
      <c r="I457" s="823"/>
      <c r="J457" s="823"/>
      <c r="K457" s="823"/>
      <c r="L457" s="823"/>
      <c r="M457" s="823"/>
      <c r="N457" s="823"/>
      <c r="O457" s="823"/>
      <c r="P457" s="823"/>
      <c r="Q457" s="823"/>
      <c r="R457" s="823"/>
      <c r="S457" s="823"/>
      <c r="T457" s="823"/>
      <c r="U457" s="823"/>
      <c r="V457" s="823"/>
      <c r="W457" s="823"/>
      <c r="X457" s="823"/>
      <c r="Y457" s="823"/>
      <c r="Z457" s="823"/>
      <c r="AA457" s="823"/>
      <c r="AB457" s="823"/>
    </row>
    <row r="458" hidden="1">
      <c r="A458" s="862">
        <v>45713.0</v>
      </c>
      <c r="B458" s="818" t="s">
        <v>14585</v>
      </c>
      <c r="C458" s="818" t="s">
        <v>14586</v>
      </c>
      <c r="D458" s="1101">
        <v>0.3333333333333333</v>
      </c>
      <c r="E458" s="818" t="s">
        <v>13700</v>
      </c>
      <c r="F458" s="818" t="s">
        <v>3883</v>
      </c>
      <c r="G458" s="823"/>
      <c r="H458" s="823"/>
      <c r="I458" s="823"/>
      <c r="J458" s="823"/>
      <c r="K458" s="823"/>
      <c r="L458" s="823"/>
      <c r="M458" s="823"/>
      <c r="N458" s="823"/>
      <c r="O458" s="823"/>
      <c r="P458" s="823"/>
      <c r="Q458" s="823"/>
      <c r="R458" s="823"/>
      <c r="S458" s="823"/>
      <c r="T458" s="823"/>
      <c r="U458" s="823"/>
      <c r="V458" s="823"/>
      <c r="W458" s="823"/>
      <c r="X458" s="823"/>
      <c r="Y458" s="823"/>
      <c r="Z458" s="823"/>
      <c r="AA458" s="823"/>
      <c r="AB458" s="823"/>
    </row>
    <row r="459" hidden="1">
      <c r="A459" s="862">
        <v>45713.0</v>
      </c>
      <c r="B459" s="818" t="s">
        <v>14587</v>
      </c>
      <c r="C459" s="818" t="s">
        <v>14588</v>
      </c>
      <c r="D459" s="1101">
        <v>0.5416666666666666</v>
      </c>
      <c r="E459" s="818" t="s">
        <v>13700</v>
      </c>
      <c r="F459" s="818" t="s">
        <v>4262</v>
      </c>
      <c r="G459" s="823"/>
      <c r="H459" s="823"/>
      <c r="I459" s="823"/>
      <c r="J459" s="823"/>
      <c r="K459" s="823"/>
      <c r="L459" s="823"/>
      <c r="M459" s="823"/>
      <c r="N459" s="823"/>
      <c r="O459" s="823"/>
      <c r="P459" s="823"/>
      <c r="Q459" s="823"/>
      <c r="R459" s="823"/>
      <c r="S459" s="823"/>
      <c r="T459" s="823"/>
      <c r="U459" s="823"/>
      <c r="V459" s="823"/>
      <c r="W459" s="823"/>
      <c r="X459" s="823"/>
      <c r="Y459" s="823"/>
      <c r="Z459" s="823"/>
      <c r="AA459" s="823"/>
      <c r="AB459" s="823"/>
    </row>
    <row r="460" hidden="1">
      <c r="A460" s="862">
        <v>45715.0</v>
      </c>
      <c r="B460" s="818" t="s">
        <v>14589</v>
      </c>
      <c r="C460" s="818" t="s">
        <v>14590</v>
      </c>
      <c r="D460" s="1101">
        <v>0.4583333333333333</v>
      </c>
      <c r="E460" s="818" t="s">
        <v>13700</v>
      </c>
      <c r="F460" s="818" t="s">
        <v>4262</v>
      </c>
      <c r="G460" s="823"/>
      <c r="H460" s="823"/>
      <c r="I460" s="823"/>
      <c r="J460" s="823"/>
      <c r="K460" s="823"/>
      <c r="L460" s="823"/>
      <c r="M460" s="823"/>
      <c r="N460" s="823"/>
      <c r="O460" s="823"/>
      <c r="P460" s="823"/>
      <c r="Q460" s="823"/>
      <c r="R460" s="823"/>
      <c r="S460" s="823"/>
      <c r="T460" s="823"/>
      <c r="U460" s="823"/>
      <c r="V460" s="823"/>
      <c r="W460" s="823"/>
      <c r="X460" s="823"/>
      <c r="Y460" s="823"/>
      <c r="Z460" s="823"/>
      <c r="AA460" s="823"/>
      <c r="AB460" s="823"/>
    </row>
    <row r="461" hidden="1">
      <c r="A461" s="862">
        <v>45717.0</v>
      </c>
      <c r="B461" s="818" t="s">
        <v>14591</v>
      </c>
      <c r="C461" s="738" t="s">
        <v>14364</v>
      </c>
      <c r="D461" s="1101">
        <v>0.5416666666666666</v>
      </c>
      <c r="E461" s="818" t="s">
        <v>13700</v>
      </c>
      <c r="F461" s="818" t="s">
        <v>3883</v>
      </c>
      <c r="G461" s="823"/>
      <c r="H461" s="823"/>
      <c r="I461" s="823"/>
      <c r="J461" s="823"/>
      <c r="K461" s="823"/>
      <c r="L461" s="823"/>
      <c r="M461" s="823"/>
      <c r="N461" s="823"/>
      <c r="O461" s="823"/>
      <c r="P461" s="823"/>
      <c r="Q461" s="823"/>
      <c r="R461" s="823"/>
      <c r="S461" s="823"/>
      <c r="T461" s="823"/>
      <c r="U461" s="823"/>
      <c r="V461" s="823"/>
      <c r="W461" s="823"/>
      <c r="X461" s="823"/>
      <c r="Y461" s="823"/>
      <c r="Z461" s="823"/>
      <c r="AA461" s="823"/>
      <c r="AB461" s="823"/>
    </row>
    <row r="462" hidden="1">
      <c r="A462" s="862">
        <v>45717.0</v>
      </c>
      <c r="B462" s="818" t="s">
        <v>14592</v>
      </c>
      <c r="C462" s="818" t="s">
        <v>14593</v>
      </c>
      <c r="D462" s="1101">
        <v>0.5416666666666666</v>
      </c>
      <c r="E462" s="818" t="s">
        <v>13700</v>
      </c>
      <c r="F462" s="818" t="s">
        <v>3883</v>
      </c>
      <c r="G462" s="823"/>
      <c r="H462" s="823"/>
      <c r="I462" s="823"/>
      <c r="J462" s="823"/>
      <c r="K462" s="823"/>
      <c r="L462" s="823"/>
      <c r="M462" s="823"/>
      <c r="N462" s="823"/>
      <c r="O462" s="823"/>
      <c r="P462" s="823"/>
      <c r="Q462" s="823"/>
      <c r="R462" s="823"/>
      <c r="S462" s="823"/>
      <c r="T462" s="823"/>
      <c r="U462" s="823"/>
      <c r="V462" s="823"/>
      <c r="W462" s="823"/>
      <c r="X462" s="823"/>
      <c r="Y462" s="823"/>
      <c r="Z462" s="823"/>
      <c r="AA462" s="823"/>
      <c r="AB462" s="823"/>
    </row>
    <row r="463" hidden="1">
      <c r="A463" s="862">
        <v>45718.0</v>
      </c>
      <c r="B463" s="818" t="s">
        <v>14594</v>
      </c>
      <c r="C463" s="849" t="s">
        <v>14595</v>
      </c>
      <c r="D463" s="818" t="s">
        <v>13696</v>
      </c>
      <c r="E463" s="818" t="s">
        <v>13700</v>
      </c>
      <c r="F463" s="818" t="s">
        <v>4258</v>
      </c>
      <c r="G463" s="823"/>
      <c r="H463" s="823"/>
      <c r="I463" s="823"/>
      <c r="J463" s="823"/>
      <c r="K463" s="823"/>
      <c r="L463" s="823"/>
      <c r="M463" s="823"/>
      <c r="N463" s="823"/>
      <c r="O463" s="823"/>
      <c r="P463" s="823"/>
      <c r="Q463" s="823"/>
      <c r="R463" s="823"/>
      <c r="S463" s="823"/>
      <c r="T463" s="823"/>
      <c r="U463" s="823"/>
      <c r="V463" s="823"/>
      <c r="W463" s="823"/>
      <c r="X463" s="823"/>
      <c r="Y463" s="823"/>
      <c r="Z463" s="823"/>
      <c r="AA463" s="823"/>
      <c r="AB463" s="823"/>
    </row>
    <row r="464" hidden="1">
      <c r="A464" s="862">
        <v>45719.0</v>
      </c>
      <c r="B464" s="818" t="s">
        <v>14596</v>
      </c>
      <c r="C464" s="818" t="s">
        <v>14597</v>
      </c>
      <c r="D464" s="818" t="s">
        <v>14598</v>
      </c>
      <c r="E464" s="818" t="s">
        <v>13700</v>
      </c>
      <c r="F464" s="818" t="s">
        <v>4258</v>
      </c>
      <c r="G464" s="823"/>
      <c r="H464" s="823"/>
      <c r="I464" s="823"/>
      <c r="J464" s="823"/>
      <c r="K464" s="823"/>
      <c r="L464" s="823"/>
      <c r="M464" s="823"/>
      <c r="N464" s="823"/>
      <c r="O464" s="823"/>
      <c r="P464" s="823"/>
      <c r="Q464" s="823"/>
      <c r="R464" s="823"/>
      <c r="S464" s="823"/>
      <c r="T464" s="823"/>
      <c r="U464" s="823"/>
      <c r="V464" s="823"/>
      <c r="W464" s="823"/>
      <c r="X464" s="823"/>
      <c r="Y464" s="823"/>
      <c r="Z464" s="823"/>
      <c r="AA464" s="823"/>
      <c r="AB464" s="823"/>
    </row>
    <row r="465" hidden="1">
      <c r="A465" s="862">
        <v>45719.0</v>
      </c>
      <c r="B465" s="818" t="s">
        <v>14599</v>
      </c>
      <c r="C465" s="818" t="s">
        <v>14600</v>
      </c>
      <c r="D465" s="818" t="s">
        <v>14601</v>
      </c>
      <c r="E465" s="818" t="s">
        <v>13700</v>
      </c>
      <c r="F465" s="818" t="s">
        <v>4258</v>
      </c>
      <c r="G465" s="823"/>
      <c r="H465" s="823"/>
      <c r="I465" s="823"/>
      <c r="J465" s="823"/>
      <c r="K465" s="823"/>
      <c r="L465" s="823"/>
      <c r="M465" s="823"/>
      <c r="N465" s="823"/>
      <c r="O465" s="823"/>
      <c r="P465" s="823"/>
      <c r="Q465" s="823"/>
      <c r="R465" s="823"/>
      <c r="S465" s="823"/>
      <c r="T465" s="823"/>
      <c r="U465" s="823"/>
      <c r="V465" s="823"/>
      <c r="W465" s="823"/>
      <c r="X465" s="823"/>
      <c r="Y465" s="823"/>
      <c r="Z465" s="823"/>
      <c r="AA465" s="823"/>
      <c r="AB465" s="823"/>
    </row>
    <row r="466" hidden="1">
      <c r="A466" s="862">
        <v>45719.0</v>
      </c>
      <c r="B466" s="818" t="s">
        <v>14602</v>
      </c>
      <c r="C466" s="818" t="s">
        <v>14603</v>
      </c>
      <c r="D466" s="818" t="s">
        <v>13765</v>
      </c>
      <c r="E466" s="818" t="s">
        <v>13700</v>
      </c>
      <c r="F466" s="818" t="s">
        <v>4258</v>
      </c>
      <c r="G466" s="823"/>
      <c r="H466" s="823"/>
      <c r="I466" s="823"/>
      <c r="J466" s="823"/>
      <c r="K466" s="823"/>
      <c r="L466" s="823"/>
      <c r="M466" s="823"/>
      <c r="N466" s="823"/>
      <c r="O466" s="823"/>
      <c r="P466" s="823"/>
      <c r="Q466" s="823"/>
      <c r="R466" s="823"/>
      <c r="S466" s="823"/>
      <c r="T466" s="823"/>
      <c r="U466" s="823"/>
      <c r="V466" s="823"/>
      <c r="W466" s="823"/>
      <c r="X466" s="823"/>
      <c r="Y466" s="823"/>
      <c r="Z466" s="823"/>
      <c r="AA466" s="823"/>
      <c r="AB466" s="823"/>
    </row>
    <row r="467" hidden="1">
      <c r="A467" s="862">
        <v>45720.0</v>
      </c>
      <c r="B467" s="818" t="s">
        <v>14604</v>
      </c>
      <c r="C467" s="818" t="s">
        <v>14605</v>
      </c>
      <c r="D467" s="1101">
        <v>0.3958333333333333</v>
      </c>
      <c r="E467" s="818" t="s">
        <v>14024</v>
      </c>
      <c r="F467" s="818" t="s">
        <v>4262</v>
      </c>
      <c r="G467" s="823"/>
      <c r="H467" s="823"/>
      <c r="I467" s="823"/>
      <c r="J467" s="823"/>
      <c r="K467" s="823"/>
      <c r="L467" s="823"/>
      <c r="M467" s="823"/>
      <c r="N467" s="823"/>
      <c r="O467" s="823"/>
      <c r="P467" s="823"/>
      <c r="Q467" s="823"/>
      <c r="R467" s="823"/>
      <c r="S467" s="823"/>
      <c r="T467" s="823"/>
      <c r="U467" s="823"/>
      <c r="V467" s="823"/>
      <c r="W467" s="823"/>
      <c r="X467" s="823"/>
      <c r="Y467" s="823"/>
      <c r="Z467" s="823"/>
      <c r="AA467" s="823"/>
      <c r="AB467" s="823"/>
    </row>
    <row r="468" hidden="1">
      <c r="A468" s="862">
        <v>45721.0</v>
      </c>
      <c r="B468" s="818" t="s">
        <v>14606</v>
      </c>
      <c r="C468" s="818" t="s">
        <v>14607</v>
      </c>
      <c r="D468" s="818" t="s">
        <v>13728</v>
      </c>
      <c r="E468" s="818" t="s">
        <v>13700</v>
      </c>
      <c r="F468" s="818" t="s">
        <v>4258</v>
      </c>
      <c r="G468" s="823"/>
      <c r="H468" s="823"/>
      <c r="I468" s="823"/>
      <c r="J468" s="823"/>
      <c r="K468" s="823"/>
      <c r="L468" s="823"/>
      <c r="M468" s="823"/>
      <c r="N468" s="823"/>
      <c r="O468" s="823"/>
      <c r="P468" s="823"/>
      <c r="Q468" s="823"/>
      <c r="R468" s="823"/>
      <c r="S468" s="823"/>
      <c r="T468" s="823"/>
      <c r="U468" s="823"/>
      <c r="V468" s="823"/>
      <c r="W468" s="823"/>
      <c r="X468" s="823"/>
      <c r="Y468" s="823"/>
      <c r="Z468" s="823"/>
      <c r="AA468" s="823"/>
      <c r="AB468" s="823"/>
    </row>
    <row r="469" hidden="1">
      <c r="A469" s="862">
        <v>45721.0</v>
      </c>
      <c r="B469" s="818" t="s">
        <v>14608</v>
      </c>
      <c r="C469" s="818" t="s">
        <v>14609</v>
      </c>
      <c r="D469" s="1101">
        <v>0.5833333333333334</v>
      </c>
      <c r="E469" s="818" t="s">
        <v>13700</v>
      </c>
      <c r="F469" s="818" t="s">
        <v>4262</v>
      </c>
      <c r="G469" s="823"/>
      <c r="H469" s="823"/>
      <c r="I469" s="823"/>
      <c r="J469" s="823"/>
      <c r="K469" s="823"/>
      <c r="L469" s="823"/>
      <c r="M469" s="823"/>
      <c r="N469" s="823"/>
      <c r="O469" s="823"/>
      <c r="P469" s="823"/>
      <c r="Q469" s="823"/>
      <c r="R469" s="823"/>
      <c r="S469" s="823"/>
      <c r="T469" s="823"/>
      <c r="U469" s="823"/>
      <c r="V469" s="823"/>
      <c r="W469" s="823"/>
      <c r="X469" s="823"/>
      <c r="Y469" s="823"/>
      <c r="Z469" s="823"/>
      <c r="AA469" s="823"/>
      <c r="AB469" s="823"/>
    </row>
    <row r="470" hidden="1">
      <c r="A470" s="862">
        <v>45721.0</v>
      </c>
      <c r="B470" s="818" t="s">
        <v>14610</v>
      </c>
      <c r="C470" s="818" t="s">
        <v>14611</v>
      </c>
      <c r="D470" s="1101">
        <v>0.4166666666666667</v>
      </c>
      <c r="E470" s="818" t="s">
        <v>13700</v>
      </c>
      <c r="F470" s="818" t="s">
        <v>3883</v>
      </c>
      <c r="G470" s="823"/>
      <c r="H470" s="823"/>
      <c r="I470" s="823"/>
      <c r="J470" s="823"/>
      <c r="K470" s="823"/>
      <c r="L470" s="823"/>
      <c r="M470" s="823"/>
      <c r="N470" s="823"/>
      <c r="O470" s="823"/>
      <c r="P470" s="823"/>
      <c r="Q470" s="823"/>
      <c r="R470" s="823"/>
      <c r="S470" s="823"/>
      <c r="T470" s="823"/>
      <c r="U470" s="823"/>
      <c r="V470" s="823"/>
      <c r="W470" s="823"/>
      <c r="X470" s="823"/>
      <c r="Y470" s="823"/>
      <c r="Z470" s="823"/>
      <c r="AA470" s="823"/>
      <c r="AB470" s="823"/>
    </row>
    <row r="471" hidden="1">
      <c r="A471" s="862">
        <v>45722.0</v>
      </c>
      <c r="B471" s="818" t="s">
        <v>14612</v>
      </c>
      <c r="C471" s="818" t="s">
        <v>14613</v>
      </c>
      <c r="D471" s="1101">
        <v>0.375</v>
      </c>
      <c r="E471" s="818" t="s">
        <v>13700</v>
      </c>
      <c r="F471" s="818" t="s">
        <v>4258</v>
      </c>
      <c r="G471" s="823"/>
      <c r="H471" s="823"/>
      <c r="I471" s="823"/>
      <c r="J471" s="823"/>
      <c r="K471" s="823"/>
      <c r="L471" s="823"/>
      <c r="M471" s="823"/>
      <c r="N471" s="823"/>
      <c r="O471" s="823"/>
      <c r="P471" s="823"/>
      <c r="Q471" s="823"/>
      <c r="R471" s="823"/>
      <c r="S471" s="823"/>
      <c r="T471" s="823"/>
      <c r="U471" s="823"/>
      <c r="V471" s="823"/>
      <c r="W471" s="823"/>
      <c r="X471" s="823"/>
      <c r="Y471" s="823"/>
      <c r="Z471" s="823"/>
      <c r="AA471" s="823"/>
      <c r="AB471" s="823"/>
    </row>
    <row r="472" hidden="1">
      <c r="A472" s="862">
        <v>45722.0</v>
      </c>
      <c r="B472" s="818" t="s">
        <v>14614</v>
      </c>
      <c r="C472" s="818" t="s">
        <v>14615</v>
      </c>
      <c r="D472" s="1101">
        <v>0.375</v>
      </c>
      <c r="E472" s="818" t="s">
        <v>13700</v>
      </c>
      <c r="F472" s="818" t="s">
        <v>3883</v>
      </c>
      <c r="G472" s="823"/>
      <c r="H472" s="823"/>
      <c r="I472" s="823"/>
      <c r="J472" s="823"/>
      <c r="K472" s="823"/>
      <c r="L472" s="823"/>
      <c r="M472" s="823"/>
      <c r="N472" s="823"/>
      <c r="O472" s="823"/>
      <c r="P472" s="823"/>
      <c r="Q472" s="823"/>
      <c r="R472" s="823"/>
      <c r="S472" s="823"/>
      <c r="T472" s="823"/>
      <c r="U472" s="823"/>
      <c r="V472" s="823"/>
      <c r="W472" s="823"/>
      <c r="X472" s="823"/>
      <c r="Y472" s="823"/>
      <c r="Z472" s="823"/>
      <c r="AA472" s="823"/>
      <c r="AB472" s="823"/>
    </row>
    <row r="473" hidden="1">
      <c r="A473" s="862">
        <v>45723.0</v>
      </c>
      <c r="B473" s="818" t="s">
        <v>14616</v>
      </c>
      <c r="C473" s="818" t="s">
        <v>14617</v>
      </c>
      <c r="D473" s="818" t="s">
        <v>13861</v>
      </c>
      <c r="E473" s="818" t="s">
        <v>13700</v>
      </c>
      <c r="F473" s="818" t="s">
        <v>4258</v>
      </c>
      <c r="G473" s="823"/>
      <c r="H473" s="823"/>
      <c r="I473" s="823"/>
      <c r="J473" s="823"/>
      <c r="K473" s="823"/>
      <c r="L473" s="823"/>
      <c r="M473" s="823"/>
      <c r="N473" s="823"/>
      <c r="O473" s="823"/>
      <c r="P473" s="823"/>
      <c r="Q473" s="823"/>
      <c r="R473" s="823"/>
      <c r="S473" s="823"/>
      <c r="T473" s="823"/>
      <c r="U473" s="823"/>
      <c r="V473" s="823"/>
      <c r="W473" s="823"/>
      <c r="X473" s="823"/>
      <c r="Y473" s="823"/>
      <c r="Z473" s="823"/>
      <c r="AA473" s="823"/>
      <c r="AB473" s="823"/>
    </row>
    <row r="474" hidden="1">
      <c r="A474" s="862">
        <v>45723.0</v>
      </c>
      <c r="B474" s="818" t="s">
        <v>14618</v>
      </c>
      <c r="C474" s="1110" t="s">
        <v>14619</v>
      </c>
      <c r="D474" s="818" t="s">
        <v>13876</v>
      </c>
      <c r="E474" s="818" t="s">
        <v>13700</v>
      </c>
      <c r="F474" s="818" t="s">
        <v>4258</v>
      </c>
      <c r="G474" s="823"/>
      <c r="H474" s="823"/>
      <c r="I474" s="823"/>
      <c r="J474" s="823"/>
      <c r="K474" s="823"/>
      <c r="L474" s="823"/>
      <c r="M474" s="823"/>
      <c r="N474" s="823"/>
      <c r="O474" s="823"/>
      <c r="P474" s="823"/>
      <c r="Q474" s="823"/>
      <c r="R474" s="823"/>
      <c r="S474" s="823"/>
      <c r="T474" s="823"/>
      <c r="U474" s="823"/>
      <c r="V474" s="823"/>
      <c r="W474" s="823"/>
      <c r="X474" s="823"/>
      <c r="Y474" s="823"/>
      <c r="Z474" s="823"/>
      <c r="AA474" s="823"/>
      <c r="AB474" s="823"/>
    </row>
    <row r="475" hidden="1">
      <c r="A475" s="862">
        <v>45724.0</v>
      </c>
      <c r="B475" s="818" t="s">
        <v>14620</v>
      </c>
      <c r="C475" s="818" t="s">
        <v>14343</v>
      </c>
      <c r="D475" s="818" t="s">
        <v>13696</v>
      </c>
      <c r="E475" s="818" t="s">
        <v>13700</v>
      </c>
      <c r="F475" s="818" t="s">
        <v>4258</v>
      </c>
      <c r="G475" s="823"/>
      <c r="H475" s="823"/>
      <c r="I475" s="823"/>
      <c r="J475" s="823"/>
      <c r="K475" s="823"/>
      <c r="L475" s="823"/>
      <c r="M475" s="823"/>
      <c r="N475" s="823"/>
      <c r="O475" s="823"/>
      <c r="P475" s="823"/>
      <c r="Q475" s="823"/>
      <c r="R475" s="823"/>
      <c r="S475" s="823"/>
      <c r="T475" s="823"/>
      <c r="U475" s="823"/>
      <c r="V475" s="823"/>
      <c r="W475" s="823"/>
      <c r="X475" s="823"/>
      <c r="Y475" s="823"/>
      <c r="Z475" s="823"/>
      <c r="AA475" s="823"/>
      <c r="AB475" s="823"/>
    </row>
    <row r="476" hidden="1">
      <c r="A476" s="862">
        <v>45726.0</v>
      </c>
      <c r="B476" s="818" t="s">
        <v>14621</v>
      </c>
      <c r="C476" s="818" t="s">
        <v>14622</v>
      </c>
      <c r="D476" s="1101">
        <v>0.5416666666666666</v>
      </c>
      <c r="E476" s="818" t="s">
        <v>13700</v>
      </c>
      <c r="F476" s="818" t="s">
        <v>4258</v>
      </c>
      <c r="G476" s="823"/>
      <c r="H476" s="823"/>
      <c r="I476" s="823"/>
      <c r="J476" s="823"/>
      <c r="K476" s="823"/>
      <c r="L476" s="823"/>
      <c r="M476" s="823"/>
      <c r="N476" s="823"/>
      <c r="O476" s="823"/>
      <c r="P476" s="823"/>
      <c r="Q476" s="823"/>
      <c r="R476" s="823"/>
      <c r="S476" s="823"/>
      <c r="T476" s="823"/>
      <c r="U476" s="823"/>
      <c r="V476" s="823"/>
      <c r="W476" s="823"/>
      <c r="X476" s="823"/>
      <c r="Y476" s="823"/>
      <c r="Z476" s="823"/>
      <c r="AA476" s="823"/>
      <c r="AB476" s="823"/>
    </row>
    <row r="477" hidden="1">
      <c r="A477" s="862">
        <v>45700.0</v>
      </c>
      <c r="B477" s="818" t="s">
        <v>14623</v>
      </c>
      <c r="C477" s="738" t="s">
        <v>14624</v>
      </c>
      <c r="D477" s="1101">
        <v>0.5416666666666666</v>
      </c>
      <c r="E477" s="818" t="s">
        <v>13700</v>
      </c>
      <c r="F477" s="818" t="s">
        <v>3883</v>
      </c>
      <c r="G477" s="823"/>
      <c r="H477" s="823"/>
      <c r="I477" s="823"/>
      <c r="J477" s="823"/>
      <c r="K477" s="823"/>
      <c r="L477" s="823"/>
      <c r="M477" s="823"/>
      <c r="N477" s="823"/>
      <c r="O477" s="823"/>
      <c r="P477" s="823"/>
      <c r="Q477" s="823"/>
      <c r="R477" s="823"/>
      <c r="S477" s="823"/>
      <c r="T477" s="823"/>
      <c r="U477" s="823"/>
      <c r="V477" s="823"/>
      <c r="W477" s="823"/>
      <c r="X477" s="823"/>
      <c r="Y477" s="823"/>
      <c r="Z477" s="823"/>
      <c r="AA477" s="823"/>
      <c r="AB477" s="823"/>
    </row>
    <row r="478" hidden="1">
      <c r="A478" s="862">
        <v>45700.0</v>
      </c>
      <c r="B478" s="818" t="s">
        <v>14625</v>
      </c>
      <c r="C478" s="738" t="s">
        <v>14626</v>
      </c>
      <c r="D478" s="1101">
        <v>0.625</v>
      </c>
      <c r="E478" s="818" t="s">
        <v>13700</v>
      </c>
      <c r="F478" s="818" t="s">
        <v>3883</v>
      </c>
      <c r="G478" s="823"/>
      <c r="H478" s="823"/>
      <c r="I478" s="823"/>
      <c r="J478" s="823"/>
      <c r="K478" s="823"/>
      <c r="L478" s="823"/>
      <c r="M478" s="823"/>
      <c r="N478" s="823"/>
      <c r="O478" s="823"/>
      <c r="P478" s="823"/>
      <c r="Q478" s="823"/>
      <c r="R478" s="823"/>
      <c r="S478" s="823"/>
      <c r="T478" s="823"/>
      <c r="U478" s="823"/>
      <c r="V478" s="823"/>
      <c r="W478" s="823"/>
      <c r="X478" s="823"/>
      <c r="Y478" s="823"/>
      <c r="Z478" s="823"/>
      <c r="AA478" s="823"/>
      <c r="AB478" s="823"/>
    </row>
    <row r="479" hidden="1">
      <c r="A479" s="862">
        <v>45729.0</v>
      </c>
      <c r="B479" s="818" t="s">
        <v>14627</v>
      </c>
      <c r="C479" s="738" t="s">
        <v>14628</v>
      </c>
      <c r="D479" s="1101">
        <v>0.3333333333333333</v>
      </c>
      <c r="E479" s="818" t="s">
        <v>13700</v>
      </c>
      <c r="F479" s="818" t="s">
        <v>4262</v>
      </c>
      <c r="G479" s="823"/>
      <c r="H479" s="823"/>
      <c r="I479" s="823"/>
      <c r="J479" s="823"/>
      <c r="K479" s="823"/>
      <c r="L479" s="823"/>
      <c r="M479" s="823"/>
      <c r="N479" s="823"/>
      <c r="O479" s="823"/>
      <c r="P479" s="823"/>
      <c r="Q479" s="823"/>
      <c r="R479" s="823"/>
      <c r="S479" s="823"/>
      <c r="T479" s="823"/>
      <c r="U479" s="823"/>
      <c r="V479" s="823"/>
      <c r="W479" s="823"/>
      <c r="X479" s="823"/>
      <c r="Y479" s="823"/>
      <c r="Z479" s="823"/>
      <c r="AA479" s="823"/>
      <c r="AB479" s="823"/>
    </row>
    <row r="480" hidden="1">
      <c r="A480" s="862">
        <v>45730.0</v>
      </c>
      <c r="B480" s="818" t="s">
        <v>14629</v>
      </c>
      <c r="C480" s="738" t="s">
        <v>14630</v>
      </c>
      <c r="D480" s="1101">
        <v>0.5416666666666666</v>
      </c>
      <c r="E480" s="818" t="s">
        <v>13700</v>
      </c>
      <c r="F480" s="818" t="s">
        <v>3883</v>
      </c>
      <c r="G480" s="823"/>
      <c r="H480" s="823"/>
      <c r="I480" s="823"/>
      <c r="J480" s="823"/>
      <c r="K480" s="823"/>
      <c r="L480" s="823"/>
      <c r="M480" s="823"/>
      <c r="N480" s="823"/>
      <c r="O480" s="823"/>
      <c r="P480" s="823"/>
      <c r="Q480" s="823"/>
      <c r="R480" s="823"/>
      <c r="S480" s="823"/>
      <c r="T480" s="823"/>
      <c r="U480" s="823"/>
      <c r="V480" s="823"/>
      <c r="W480" s="823"/>
      <c r="X480" s="823"/>
      <c r="Y480" s="823"/>
      <c r="Z480" s="823"/>
      <c r="AA480" s="823"/>
      <c r="AB480" s="823"/>
    </row>
    <row r="481" hidden="1">
      <c r="A481" s="862">
        <v>45731.0</v>
      </c>
      <c r="B481" s="818" t="s">
        <v>14631</v>
      </c>
      <c r="C481" s="738" t="s">
        <v>14090</v>
      </c>
      <c r="D481" s="818" t="s">
        <v>14139</v>
      </c>
      <c r="E481" s="818" t="s">
        <v>13700</v>
      </c>
      <c r="F481" s="818" t="s">
        <v>4262</v>
      </c>
      <c r="G481" s="823"/>
      <c r="H481" s="823"/>
      <c r="I481" s="823"/>
      <c r="J481" s="823"/>
      <c r="K481" s="823"/>
      <c r="L481" s="823"/>
      <c r="M481" s="823"/>
      <c r="N481" s="823"/>
      <c r="O481" s="823"/>
      <c r="P481" s="823"/>
      <c r="Q481" s="823"/>
      <c r="R481" s="823"/>
      <c r="S481" s="823"/>
      <c r="T481" s="823"/>
      <c r="U481" s="823"/>
      <c r="V481" s="823"/>
      <c r="W481" s="823"/>
      <c r="X481" s="823"/>
      <c r="Y481" s="823"/>
      <c r="Z481" s="823"/>
      <c r="AA481" s="823"/>
      <c r="AB481" s="823"/>
    </row>
    <row r="482" hidden="1">
      <c r="A482" s="862">
        <v>45731.0</v>
      </c>
      <c r="B482" s="818" t="s">
        <v>14632</v>
      </c>
      <c r="C482" s="738" t="s">
        <v>14633</v>
      </c>
      <c r="D482" s="1101">
        <v>0.3333333333333333</v>
      </c>
      <c r="E482" s="818" t="s">
        <v>13700</v>
      </c>
      <c r="F482" s="818" t="s">
        <v>4262</v>
      </c>
      <c r="G482" s="823"/>
      <c r="H482" s="823"/>
      <c r="I482" s="823"/>
      <c r="J482" s="823"/>
      <c r="K482" s="823"/>
      <c r="L482" s="823"/>
      <c r="M482" s="823"/>
      <c r="N482" s="823"/>
      <c r="O482" s="823"/>
      <c r="P482" s="823"/>
      <c r="Q482" s="823"/>
      <c r="R482" s="823"/>
      <c r="S482" s="823"/>
      <c r="T482" s="823"/>
      <c r="U482" s="823"/>
      <c r="V482" s="823"/>
      <c r="W482" s="823"/>
      <c r="X482" s="823"/>
      <c r="Y482" s="823"/>
      <c r="Z482" s="823"/>
      <c r="AA482" s="823"/>
      <c r="AB482" s="823"/>
    </row>
    <row r="483" hidden="1">
      <c r="A483" s="830">
        <v>45731.0</v>
      </c>
      <c r="B483" s="818" t="s">
        <v>14634</v>
      </c>
      <c r="C483" s="818" t="s">
        <v>14635</v>
      </c>
      <c r="D483" s="818" t="s">
        <v>14636</v>
      </c>
      <c r="E483" s="818" t="s">
        <v>13700</v>
      </c>
      <c r="F483" s="818" t="s">
        <v>4258</v>
      </c>
      <c r="G483" s="823"/>
      <c r="H483" s="823"/>
      <c r="I483" s="823"/>
      <c r="J483" s="823"/>
      <c r="K483" s="823"/>
      <c r="L483" s="823"/>
      <c r="M483" s="823"/>
      <c r="N483" s="823"/>
      <c r="O483" s="823"/>
      <c r="P483" s="823"/>
      <c r="Q483" s="823"/>
      <c r="R483" s="823"/>
      <c r="S483" s="823"/>
      <c r="T483" s="823"/>
      <c r="U483" s="823"/>
      <c r="V483" s="823"/>
      <c r="W483" s="823"/>
      <c r="X483" s="823"/>
      <c r="Y483" s="823"/>
      <c r="Z483" s="823"/>
      <c r="AA483" s="823"/>
      <c r="AB483" s="823"/>
    </row>
    <row r="484" hidden="1">
      <c r="A484" s="862">
        <v>45731.0</v>
      </c>
      <c r="B484" s="818" t="s">
        <v>14637</v>
      </c>
      <c r="C484" s="738" t="s">
        <v>14638</v>
      </c>
      <c r="D484" s="1101">
        <v>0.4583333333333333</v>
      </c>
      <c r="E484" s="818" t="s">
        <v>13700</v>
      </c>
      <c r="F484" s="818" t="s">
        <v>4262</v>
      </c>
      <c r="G484" s="823"/>
      <c r="H484" s="823"/>
      <c r="I484" s="823"/>
      <c r="J484" s="823"/>
      <c r="K484" s="823"/>
      <c r="L484" s="823"/>
      <c r="M484" s="823"/>
      <c r="N484" s="823"/>
      <c r="O484" s="823"/>
      <c r="P484" s="823"/>
      <c r="Q484" s="823"/>
      <c r="R484" s="823"/>
      <c r="S484" s="823"/>
      <c r="T484" s="823"/>
      <c r="U484" s="823"/>
      <c r="V484" s="823"/>
      <c r="W484" s="823"/>
      <c r="X484" s="823"/>
      <c r="Y484" s="823"/>
      <c r="Z484" s="823"/>
      <c r="AA484" s="823"/>
      <c r="AB484" s="823"/>
    </row>
    <row r="485" hidden="1">
      <c r="A485" s="862">
        <v>45731.0</v>
      </c>
      <c r="B485" s="818" t="s">
        <v>14639</v>
      </c>
      <c r="C485" s="738" t="s">
        <v>14640</v>
      </c>
      <c r="D485" s="1101">
        <v>0.5833333333333334</v>
      </c>
      <c r="E485" s="818" t="s">
        <v>14024</v>
      </c>
      <c r="F485" s="818" t="s">
        <v>4262</v>
      </c>
      <c r="G485" s="823"/>
      <c r="H485" s="823"/>
      <c r="I485" s="823"/>
      <c r="J485" s="823"/>
      <c r="K485" s="823"/>
      <c r="L485" s="823"/>
      <c r="M485" s="823"/>
      <c r="N485" s="823"/>
      <c r="O485" s="823"/>
      <c r="P485" s="823"/>
      <c r="Q485" s="823"/>
      <c r="R485" s="823"/>
      <c r="S485" s="823"/>
      <c r="T485" s="823"/>
      <c r="U485" s="823"/>
      <c r="V485" s="823"/>
      <c r="W485" s="823"/>
      <c r="X485" s="823"/>
      <c r="Y485" s="823"/>
      <c r="Z485" s="823"/>
      <c r="AA485" s="823"/>
      <c r="AB485" s="823"/>
    </row>
    <row r="486" hidden="1">
      <c r="A486" s="862">
        <v>45732.0</v>
      </c>
      <c r="B486" s="818" t="s">
        <v>14641</v>
      </c>
      <c r="C486" s="818" t="s">
        <v>14642</v>
      </c>
      <c r="D486" s="818" t="s">
        <v>13861</v>
      </c>
      <c r="E486" s="818" t="s">
        <v>13700</v>
      </c>
      <c r="F486" s="818" t="s">
        <v>4258</v>
      </c>
      <c r="G486" s="823"/>
      <c r="H486" s="823"/>
      <c r="I486" s="823"/>
      <c r="J486" s="823"/>
      <c r="K486" s="823"/>
      <c r="L486" s="823"/>
      <c r="M486" s="823"/>
      <c r="N486" s="823"/>
      <c r="O486" s="823"/>
      <c r="P486" s="823"/>
      <c r="Q486" s="823"/>
      <c r="R486" s="823"/>
      <c r="S486" s="823"/>
      <c r="T486" s="823"/>
      <c r="U486" s="823"/>
      <c r="V486" s="823"/>
      <c r="W486" s="823"/>
      <c r="X486" s="823"/>
      <c r="Y486" s="823"/>
      <c r="Z486" s="823"/>
      <c r="AA486" s="823"/>
      <c r="AB486" s="823"/>
    </row>
    <row r="487" hidden="1">
      <c r="A487" s="862">
        <v>45732.0</v>
      </c>
      <c r="B487" s="818" t="s">
        <v>14643</v>
      </c>
      <c r="C487" s="818" t="s">
        <v>14644</v>
      </c>
      <c r="D487" s="818" t="s">
        <v>14601</v>
      </c>
      <c r="E487" s="818" t="s">
        <v>13700</v>
      </c>
      <c r="F487" s="818" t="s">
        <v>4258</v>
      </c>
      <c r="G487" s="823"/>
      <c r="H487" s="823"/>
      <c r="I487" s="823"/>
      <c r="J487" s="823"/>
      <c r="K487" s="823"/>
      <c r="L487" s="823"/>
      <c r="M487" s="823"/>
      <c r="N487" s="823"/>
      <c r="O487" s="823"/>
      <c r="P487" s="823"/>
      <c r="Q487" s="823"/>
      <c r="R487" s="823"/>
      <c r="S487" s="823"/>
      <c r="T487" s="823"/>
      <c r="U487" s="823"/>
      <c r="V487" s="823"/>
      <c r="W487" s="823"/>
      <c r="X487" s="823"/>
      <c r="Y487" s="823"/>
      <c r="Z487" s="823"/>
      <c r="AA487" s="823"/>
      <c r="AB487" s="823"/>
    </row>
    <row r="488" hidden="1">
      <c r="A488" s="862">
        <v>45733.0</v>
      </c>
      <c r="B488" s="818" t="s">
        <v>14645</v>
      </c>
      <c r="C488" s="738" t="s">
        <v>14646</v>
      </c>
      <c r="D488" s="1101">
        <v>0.375</v>
      </c>
      <c r="E488" s="818" t="s">
        <v>12788</v>
      </c>
      <c r="F488" s="818" t="s">
        <v>3883</v>
      </c>
      <c r="G488" s="823"/>
      <c r="H488" s="823"/>
      <c r="I488" s="823"/>
      <c r="J488" s="823"/>
      <c r="K488" s="823"/>
      <c r="L488" s="823"/>
      <c r="M488" s="823"/>
      <c r="N488" s="823"/>
      <c r="O488" s="823"/>
      <c r="P488" s="823"/>
      <c r="Q488" s="823"/>
      <c r="R488" s="823"/>
      <c r="S488" s="823"/>
      <c r="T488" s="823"/>
      <c r="U488" s="823"/>
      <c r="V488" s="823"/>
      <c r="W488" s="823"/>
      <c r="X488" s="823"/>
      <c r="Y488" s="823"/>
      <c r="Z488" s="823"/>
      <c r="AA488" s="823"/>
      <c r="AB488" s="823"/>
    </row>
    <row r="489" hidden="1">
      <c r="A489" s="862">
        <v>45733.0</v>
      </c>
      <c r="B489" s="818" t="s">
        <v>14647</v>
      </c>
      <c r="C489" s="818" t="s">
        <v>14090</v>
      </c>
      <c r="D489" s="818" t="s">
        <v>13696</v>
      </c>
      <c r="E489" s="818" t="s">
        <v>13700</v>
      </c>
      <c r="F489" s="818" t="s">
        <v>4258</v>
      </c>
      <c r="G489" s="823"/>
      <c r="H489" s="823"/>
      <c r="I489" s="823"/>
      <c r="J489" s="823"/>
      <c r="K489" s="823"/>
      <c r="L489" s="823"/>
      <c r="M489" s="823"/>
      <c r="N489" s="823"/>
      <c r="O489" s="823"/>
      <c r="P489" s="823"/>
      <c r="Q489" s="823"/>
      <c r="R489" s="823"/>
      <c r="S489" s="823"/>
      <c r="T489" s="823"/>
      <c r="U489" s="823"/>
      <c r="V489" s="823"/>
      <c r="W489" s="823"/>
      <c r="X489" s="823"/>
      <c r="Y489" s="823"/>
      <c r="Z489" s="823"/>
      <c r="AA489" s="823"/>
      <c r="AB489" s="823"/>
    </row>
    <row r="490" hidden="1">
      <c r="A490" s="862">
        <v>45734.0</v>
      </c>
      <c r="B490" s="818" t="s">
        <v>14648</v>
      </c>
      <c r="C490" s="818" t="s">
        <v>14090</v>
      </c>
      <c r="D490" s="1101">
        <v>0.4166666666666667</v>
      </c>
      <c r="E490" s="818" t="s">
        <v>13700</v>
      </c>
      <c r="F490" s="818" t="s">
        <v>4258</v>
      </c>
      <c r="G490" s="823"/>
      <c r="H490" s="823"/>
      <c r="I490" s="823"/>
      <c r="J490" s="823"/>
      <c r="K490" s="823"/>
      <c r="L490" s="823"/>
      <c r="M490" s="823"/>
      <c r="N490" s="823"/>
      <c r="O490" s="823"/>
      <c r="P490" s="823"/>
      <c r="Q490" s="823"/>
      <c r="R490" s="823"/>
      <c r="S490" s="823"/>
      <c r="T490" s="823"/>
      <c r="U490" s="823"/>
      <c r="V490" s="823"/>
      <c r="W490" s="823"/>
      <c r="X490" s="823"/>
      <c r="Y490" s="823"/>
      <c r="Z490" s="823"/>
      <c r="AA490" s="823"/>
      <c r="AB490" s="823"/>
    </row>
    <row r="491" hidden="1">
      <c r="A491" s="862">
        <v>45734.0</v>
      </c>
      <c r="B491" s="818" t="s">
        <v>14649</v>
      </c>
      <c r="C491" s="818" t="s">
        <v>14650</v>
      </c>
      <c r="D491" s="1101">
        <v>0.4166666666666667</v>
      </c>
      <c r="E491" s="818" t="s">
        <v>14651</v>
      </c>
      <c r="F491" s="818" t="s">
        <v>3883</v>
      </c>
      <c r="G491" s="823"/>
      <c r="H491" s="823"/>
      <c r="I491" s="823"/>
      <c r="J491" s="823"/>
      <c r="K491" s="823"/>
      <c r="L491" s="823"/>
      <c r="M491" s="823"/>
      <c r="N491" s="823"/>
      <c r="O491" s="823"/>
      <c r="P491" s="823"/>
      <c r="Q491" s="823"/>
      <c r="R491" s="823"/>
      <c r="S491" s="823"/>
      <c r="T491" s="823"/>
      <c r="U491" s="823"/>
      <c r="V491" s="823"/>
      <c r="W491" s="823"/>
      <c r="X491" s="823"/>
      <c r="Y491" s="823"/>
      <c r="Z491" s="823"/>
      <c r="AA491" s="823"/>
      <c r="AB491" s="823"/>
    </row>
    <row r="492" hidden="1">
      <c r="A492" s="862">
        <v>45735.0</v>
      </c>
      <c r="B492" s="818" t="s">
        <v>14652</v>
      </c>
      <c r="C492" s="818" t="s">
        <v>14653</v>
      </c>
      <c r="D492" s="1101">
        <v>0.375</v>
      </c>
      <c r="E492" s="818" t="s">
        <v>13700</v>
      </c>
      <c r="F492" s="818" t="s">
        <v>4258</v>
      </c>
      <c r="G492" s="823"/>
      <c r="H492" s="823"/>
      <c r="I492" s="823"/>
      <c r="J492" s="823"/>
      <c r="K492" s="823"/>
      <c r="L492" s="823"/>
      <c r="M492" s="823"/>
      <c r="N492" s="823"/>
      <c r="O492" s="823"/>
      <c r="P492" s="823"/>
      <c r="Q492" s="823"/>
      <c r="R492" s="823"/>
      <c r="S492" s="823"/>
      <c r="T492" s="823"/>
      <c r="U492" s="823"/>
      <c r="V492" s="823"/>
      <c r="W492" s="823"/>
      <c r="X492" s="823"/>
      <c r="Y492" s="823"/>
      <c r="Z492" s="823"/>
      <c r="AA492" s="823"/>
      <c r="AB492" s="823"/>
    </row>
    <row r="493" hidden="1">
      <c r="A493" s="862">
        <v>45736.0</v>
      </c>
      <c r="B493" s="818" t="s">
        <v>14654</v>
      </c>
      <c r="C493" s="738">
        <v>2988000.0</v>
      </c>
      <c r="D493" s="1101">
        <v>0.4166666666666667</v>
      </c>
      <c r="E493" s="818" t="s">
        <v>13700</v>
      </c>
      <c r="F493" s="818" t="s">
        <v>4262</v>
      </c>
      <c r="G493" s="823"/>
      <c r="H493" s="823"/>
      <c r="I493" s="823"/>
      <c r="J493" s="823"/>
      <c r="K493" s="823"/>
      <c r="L493" s="823"/>
      <c r="M493" s="823"/>
      <c r="N493" s="823"/>
      <c r="O493" s="823"/>
      <c r="P493" s="823"/>
      <c r="Q493" s="823"/>
      <c r="R493" s="823"/>
      <c r="S493" s="823"/>
      <c r="T493" s="823"/>
      <c r="U493" s="823"/>
      <c r="V493" s="823"/>
      <c r="W493" s="823"/>
      <c r="X493" s="823"/>
      <c r="Y493" s="823"/>
      <c r="Z493" s="823"/>
      <c r="AA493" s="823"/>
      <c r="AB493" s="823"/>
    </row>
    <row r="494" hidden="1">
      <c r="A494" s="862">
        <v>45737.0</v>
      </c>
      <c r="B494" s="818" t="s">
        <v>14655</v>
      </c>
      <c r="C494" s="738" t="s">
        <v>14584</v>
      </c>
      <c r="D494" s="818" t="s">
        <v>13980</v>
      </c>
      <c r="E494" s="818" t="s">
        <v>13700</v>
      </c>
      <c r="F494" s="818" t="s">
        <v>4258</v>
      </c>
      <c r="G494" s="823"/>
      <c r="H494" s="823"/>
      <c r="I494" s="823"/>
      <c r="J494" s="823"/>
      <c r="K494" s="823"/>
      <c r="L494" s="823"/>
      <c r="M494" s="823"/>
      <c r="N494" s="823"/>
      <c r="O494" s="823"/>
      <c r="P494" s="823"/>
      <c r="Q494" s="823"/>
      <c r="R494" s="823"/>
      <c r="S494" s="823"/>
      <c r="T494" s="823"/>
      <c r="U494" s="823"/>
      <c r="V494" s="823"/>
      <c r="W494" s="823"/>
      <c r="X494" s="823"/>
      <c r="Y494" s="823"/>
      <c r="Z494" s="823"/>
      <c r="AA494" s="823"/>
      <c r="AB494" s="823"/>
    </row>
    <row r="495" hidden="1">
      <c r="A495" s="862">
        <v>45737.0</v>
      </c>
      <c r="B495" s="818" t="s">
        <v>14656</v>
      </c>
      <c r="C495" s="738" t="s">
        <v>14657</v>
      </c>
      <c r="D495" s="818" t="s">
        <v>14139</v>
      </c>
      <c r="E495" s="818" t="s">
        <v>13700</v>
      </c>
      <c r="F495" s="818" t="s">
        <v>4262</v>
      </c>
      <c r="G495" s="823"/>
      <c r="H495" s="823"/>
      <c r="I495" s="823"/>
      <c r="J495" s="823"/>
      <c r="K495" s="823"/>
      <c r="L495" s="823"/>
      <c r="M495" s="823"/>
      <c r="N495" s="823"/>
      <c r="O495" s="823"/>
      <c r="P495" s="823"/>
      <c r="Q495" s="823"/>
      <c r="R495" s="823"/>
      <c r="S495" s="823"/>
      <c r="T495" s="823"/>
      <c r="U495" s="823"/>
      <c r="V495" s="823"/>
      <c r="W495" s="823"/>
      <c r="X495" s="823"/>
      <c r="Y495" s="823"/>
      <c r="Z495" s="823"/>
      <c r="AA495" s="823"/>
      <c r="AB495" s="823"/>
    </row>
    <row r="496" hidden="1">
      <c r="A496" s="862">
        <v>45738.0</v>
      </c>
      <c r="B496" s="818" t="s">
        <v>14658</v>
      </c>
      <c r="C496" s="818" t="s">
        <v>14659</v>
      </c>
      <c r="D496" s="818" t="s">
        <v>13980</v>
      </c>
      <c r="E496" s="818" t="s">
        <v>13700</v>
      </c>
      <c r="F496" s="818" t="s">
        <v>4258</v>
      </c>
      <c r="G496" s="823"/>
      <c r="H496" s="823"/>
      <c r="I496" s="823"/>
      <c r="J496" s="823"/>
      <c r="K496" s="823"/>
      <c r="L496" s="823"/>
      <c r="M496" s="823"/>
      <c r="N496" s="823"/>
      <c r="O496" s="823"/>
      <c r="P496" s="823"/>
      <c r="Q496" s="823"/>
      <c r="R496" s="823"/>
      <c r="S496" s="823"/>
      <c r="T496" s="823"/>
      <c r="U496" s="823"/>
      <c r="V496" s="823"/>
      <c r="W496" s="823"/>
      <c r="X496" s="823"/>
      <c r="Y496" s="823"/>
      <c r="Z496" s="823"/>
      <c r="AA496" s="823"/>
      <c r="AB496" s="823"/>
    </row>
    <row r="497" hidden="1">
      <c r="A497" s="862">
        <v>45738.0</v>
      </c>
      <c r="B497" s="818" t="s">
        <v>14660</v>
      </c>
      <c r="C497" s="818" t="s">
        <v>14661</v>
      </c>
      <c r="D497" s="1101">
        <v>0.375</v>
      </c>
      <c r="E497" s="818" t="s">
        <v>13700</v>
      </c>
      <c r="F497" s="818" t="s">
        <v>4258</v>
      </c>
      <c r="G497" s="823"/>
      <c r="H497" s="823"/>
      <c r="I497" s="823"/>
      <c r="J497" s="823"/>
      <c r="K497" s="823"/>
      <c r="L497" s="823"/>
      <c r="M497" s="823"/>
      <c r="N497" s="823"/>
      <c r="O497" s="823"/>
      <c r="P497" s="823"/>
      <c r="Q497" s="823"/>
      <c r="R497" s="823"/>
      <c r="S497" s="823"/>
      <c r="T497" s="823"/>
      <c r="U497" s="823"/>
      <c r="V497" s="823"/>
      <c r="W497" s="823"/>
      <c r="X497" s="823"/>
      <c r="Y497" s="823"/>
      <c r="Z497" s="823"/>
      <c r="AA497" s="823"/>
      <c r="AB497" s="823"/>
    </row>
    <row r="498" hidden="1">
      <c r="A498" s="862">
        <v>45472.0</v>
      </c>
      <c r="B498" s="818" t="s">
        <v>14662</v>
      </c>
      <c r="C498" s="818" t="s">
        <v>14663</v>
      </c>
      <c r="D498" s="1101">
        <v>0.5833333333333334</v>
      </c>
      <c r="E498" s="818" t="s">
        <v>13700</v>
      </c>
      <c r="F498" s="818" t="s">
        <v>4258</v>
      </c>
      <c r="G498" s="818" t="s">
        <v>11475</v>
      </c>
      <c r="H498" s="823"/>
      <c r="I498" s="823"/>
      <c r="J498" s="823"/>
      <c r="K498" s="823"/>
      <c r="L498" s="823"/>
      <c r="M498" s="823"/>
      <c r="N498" s="823"/>
      <c r="O498" s="823"/>
      <c r="P498" s="823"/>
      <c r="Q498" s="823"/>
      <c r="R498" s="823"/>
      <c r="S498" s="823"/>
      <c r="T498" s="823"/>
      <c r="U498" s="823"/>
      <c r="V498" s="823"/>
      <c r="W498" s="823"/>
      <c r="X498" s="823"/>
      <c r="Y498" s="823"/>
      <c r="Z498" s="823"/>
      <c r="AA498" s="823"/>
      <c r="AB498" s="823"/>
    </row>
    <row r="499" hidden="1">
      <c r="A499" s="862">
        <v>45469.0</v>
      </c>
      <c r="B499" s="818" t="s">
        <v>14664</v>
      </c>
      <c r="C499" s="818" t="s">
        <v>14665</v>
      </c>
      <c r="D499" s="1101">
        <v>0.625</v>
      </c>
      <c r="E499" s="818" t="s">
        <v>13700</v>
      </c>
      <c r="F499" s="818" t="s">
        <v>4258</v>
      </c>
      <c r="G499" s="818" t="s">
        <v>11475</v>
      </c>
      <c r="H499" s="823"/>
      <c r="I499" s="823"/>
      <c r="J499" s="823"/>
      <c r="K499" s="823"/>
      <c r="L499" s="823"/>
      <c r="M499" s="823"/>
      <c r="N499" s="823"/>
      <c r="O499" s="823"/>
      <c r="P499" s="823"/>
      <c r="Q499" s="823"/>
      <c r="R499" s="823"/>
      <c r="S499" s="823"/>
      <c r="T499" s="823"/>
      <c r="U499" s="823"/>
      <c r="V499" s="823"/>
      <c r="W499" s="823"/>
      <c r="X499" s="823"/>
      <c r="Y499" s="823"/>
      <c r="Z499" s="823"/>
      <c r="AA499" s="823"/>
      <c r="AB499" s="823"/>
    </row>
    <row r="500" hidden="1">
      <c r="A500" s="862">
        <v>45471.0</v>
      </c>
      <c r="B500" s="818" t="s">
        <v>14666</v>
      </c>
      <c r="C500" s="818" t="s">
        <v>14667</v>
      </c>
      <c r="D500" s="1101">
        <v>0.6666666666666666</v>
      </c>
      <c r="E500" s="818" t="s">
        <v>13700</v>
      </c>
      <c r="F500" s="818" t="s">
        <v>4258</v>
      </c>
      <c r="G500" s="818" t="s">
        <v>11475</v>
      </c>
      <c r="H500" s="823"/>
      <c r="I500" s="823"/>
      <c r="J500" s="823"/>
      <c r="K500" s="823"/>
      <c r="L500" s="823"/>
      <c r="M500" s="823"/>
      <c r="N500" s="823"/>
      <c r="O500" s="823"/>
      <c r="P500" s="823"/>
      <c r="Q500" s="823"/>
      <c r="R500" s="823"/>
      <c r="S500" s="823"/>
      <c r="T500" s="823"/>
      <c r="U500" s="823"/>
      <c r="V500" s="823"/>
      <c r="W500" s="823"/>
      <c r="X500" s="823"/>
      <c r="Y500" s="823"/>
      <c r="Z500" s="823"/>
      <c r="AA500" s="823"/>
      <c r="AB500" s="823"/>
    </row>
    <row r="501" hidden="1">
      <c r="A501" s="862">
        <v>45532.0</v>
      </c>
      <c r="B501" s="818" t="s">
        <v>14668</v>
      </c>
      <c r="C501" s="818" t="s">
        <v>14669</v>
      </c>
      <c r="D501" s="1101">
        <v>0.7083333333333334</v>
      </c>
      <c r="E501" s="818" t="s">
        <v>13700</v>
      </c>
      <c r="F501" s="818" t="s">
        <v>4258</v>
      </c>
      <c r="G501" s="818" t="s">
        <v>11475</v>
      </c>
      <c r="H501" s="823"/>
      <c r="I501" s="823"/>
      <c r="J501" s="823"/>
      <c r="K501" s="823"/>
      <c r="L501" s="823"/>
      <c r="M501" s="823"/>
      <c r="N501" s="823"/>
      <c r="O501" s="823"/>
      <c r="P501" s="823"/>
      <c r="Q501" s="823"/>
      <c r="R501" s="823"/>
      <c r="S501" s="823"/>
      <c r="T501" s="823"/>
      <c r="U501" s="823"/>
      <c r="V501" s="823"/>
      <c r="W501" s="823"/>
      <c r="X501" s="823"/>
      <c r="Y501" s="823"/>
      <c r="Z501" s="823"/>
      <c r="AA501" s="823"/>
      <c r="AB501" s="823"/>
    </row>
    <row r="502" hidden="1">
      <c r="A502" s="823"/>
      <c r="B502" s="818" t="s">
        <v>14670</v>
      </c>
      <c r="C502" s="818" t="s">
        <v>14671</v>
      </c>
      <c r="D502" s="1101">
        <v>0.75</v>
      </c>
      <c r="E502" s="818" t="s">
        <v>13700</v>
      </c>
      <c r="F502" s="818" t="s">
        <v>4258</v>
      </c>
      <c r="G502" s="823"/>
      <c r="H502" s="823"/>
      <c r="I502" s="823"/>
      <c r="J502" s="823"/>
      <c r="K502" s="823"/>
      <c r="L502" s="823"/>
      <c r="M502" s="823"/>
      <c r="N502" s="823"/>
      <c r="O502" s="823"/>
      <c r="P502" s="823"/>
      <c r="Q502" s="823"/>
      <c r="R502" s="823"/>
      <c r="S502" s="823"/>
      <c r="T502" s="823"/>
      <c r="U502" s="823"/>
      <c r="V502" s="823"/>
      <c r="W502" s="823"/>
      <c r="X502" s="823"/>
      <c r="Y502" s="823"/>
      <c r="Z502" s="823"/>
      <c r="AA502" s="823"/>
      <c r="AB502" s="823"/>
    </row>
    <row r="503" hidden="1">
      <c r="A503" s="862">
        <v>45472.0</v>
      </c>
      <c r="B503" s="818" t="s">
        <v>14672</v>
      </c>
      <c r="C503" s="818" t="s">
        <v>14673</v>
      </c>
      <c r="D503" s="1101">
        <v>0.7916666666666666</v>
      </c>
      <c r="E503" s="818" t="s">
        <v>13700</v>
      </c>
      <c r="F503" s="818" t="s">
        <v>4258</v>
      </c>
      <c r="G503" s="818" t="s">
        <v>11475</v>
      </c>
      <c r="H503" s="823"/>
      <c r="I503" s="823"/>
      <c r="J503" s="823"/>
      <c r="K503" s="823"/>
      <c r="L503" s="823"/>
      <c r="M503" s="823"/>
      <c r="N503" s="823"/>
      <c r="O503" s="823"/>
      <c r="P503" s="823"/>
      <c r="Q503" s="823"/>
      <c r="R503" s="823"/>
      <c r="S503" s="823"/>
      <c r="T503" s="823"/>
      <c r="U503" s="823"/>
      <c r="V503" s="823"/>
      <c r="W503" s="823"/>
      <c r="X503" s="823"/>
      <c r="Y503" s="823"/>
      <c r="Z503" s="823"/>
      <c r="AA503" s="823"/>
      <c r="AB503" s="823"/>
    </row>
    <row r="504" hidden="1">
      <c r="A504" s="862">
        <v>45472.0</v>
      </c>
      <c r="B504" s="818" t="s">
        <v>14674</v>
      </c>
      <c r="C504" s="823"/>
      <c r="D504" s="1101">
        <v>0.8333333333333334</v>
      </c>
      <c r="E504" s="818" t="s">
        <v>13700</v>
      </c>
      <c r="F504" s="818" t="s">
        <v>4258</v>
      </c>
      <c r="G504" s="818" t="s">
        <v>11475</v>
      </c>
      <c r="H504" s="823"/>
      <c r="I504" s="823"/>
      <c r="J504" s="823"/>
      <c r="K504" s="823"/>
      <c r="L504" s="823"/>
      <c r="M504" s="823"/>
      <c r="N504" s="823"/>
      <c r="O504" s="823"/>
      <c r="P504" s="823"/>
      <c r="Q504" s="823"/>
      <c r="R504" s="823"/>
      <c r="S504" s="823"/>
      <c r="T504" s="823"/>
      <c r="U504" s="823"/>
      <c r="V504" s="823"/>
      <c r="W504" s="823"/>
      <c r="X504" s="823"/>
      <c r="Y504" s="823"/>
      <c r="Z504" s="823"/>
      <c r="AA504" s="823"/>
      <c r="AB504" s="823"/>
    </row>
    <row r="505" hidden="1">
      <c r="A505" s="862">
        <v>45472.0</v>
      </c>
      <c r="B505" s="818" t="s">
        <v>14675</v>
      </c>
      <c r="C505" s="818" t="s">
        <v>14676</v>
      </c>
      <c r="D505" s="1101">
        <v>0.875</v>
      </c>
      <c r="E505" s="818" t="s">
        <v>13700</v>
      </c>
      <c r="F505" s="818" t="s">
        <v>4258</v>
      </c>
      <c r="G505" s="818" t="s">
        <v>11475</v>
      </c>
      <c r="H505" s="823"/>
      <c r="I505" s="823"/>
      <c r="J505" s="823"/>
      <c r="K505" s="823"/>
      <c r="L505" s="823"/>
      <c r="M505" s="823"/>
      <c r="N505" s="823"/>
      <c r="O505" s="823"/>
      <c r="P505" s="823"/>
      <c r="Q505" s="823"/>
      <c r="R505" s="823"/>
      <c r="S505" s="823"/>
      <c r="T505" s="823"/>
      <c r="U505" s="823"/>
      <c r="V505" s="823"/>
      <c r="W505" s="823"/>
      <c r="X505" s="823"/>
      <c r="Y505" s="823"/>
      <c r="Z505" s="823"/>
      <c r="AA505" s="823"/>
      <c r="AB505" s="823"/>
    </row>
    <row r="506" hidden="1">
      <c r="A506" s="862">
        <v>45474.0</v>
      </c>
      <c r="B506" s="818" t="s">
        <v>14677</v>
      </c>
      <c r="C506" s="818" t="s">
        <v>14678</v>
      </c>
      <c r="D506" s="1101">
        <v>0.9166666666666666</v>
      </c>
      <c r="E506" s="818" t="s">
        <v>13700</v>
      </c>
      <c r="F506" s="818" t="s">
        <v>4258</v>
      </c>
      <c r="G506" s="818" t="s">
        <v>13751</v>
      </c>
      <c r="H506" s="823"/>
      <c r="I506" s="823"/>
      <c r="J506" s="823"/>
      <c r="K506" s="823"/>
      <c r="L506" s="823"/>
      <c r="M506" s="823"/>
      <c r="N506" s="823"/>
      <c r="O506" s="823"/>
      <c r="P506" s="823"/>
      <c r="Q506" s="823"/>
      <c r="R506" s="823"/>
      <c r="S506" s="823"/>
      <c r="T506" s="823"/>
      <c r="U506" s="823"/>
      <c r="V506" s="823"/>
      <c r="W506" s="823"/>
      <c r="X506" s="823"/>
      <c r="Y506" s="823"/>
      <c r="Z506" s="823"/>
      <c r="AA506" s="823"/>
      <c r="AB506" s="823"/>
    </row>
    <row r="507" hidden="1">
      <c r="A507" s="862">
        <v>45477.0</v>
      </c>
      <c r="B507" s="818" t="s">
        <v>14679</v>
      </c>
      <c r="C507" s="738" t="s">
        <v>14680</v>
      </c>
      <c r="D507" s="1101">
        <v>0.9583333333333334</v>
      </c>
      <c r="E507" s="818" t="s">
        <v>13700</v>
      </c>
      <c r="F507" s="818" t="s">
        <v>4258</v>
      </c>
      <c r="G507" s="818" t="s">
        <v>11475</v>
      </c>
      <c r="H507" s="823"/>
      <c r="I507" s="823"/>
      <c r="J507" s="823"/>
      <c r="K507" s="823"/>
      <c r="L507" s="823"/>
      <c r="M507" s="823"/>
      <c r="N507" s="823"/>
      <c r="O507" s="823"/>
      <c r="P507" s="823"/>
      <c r="Q507" s="823"/>
      <c r="R507" s="823"/>
      <c r="S507" s="823"/>
      <c r="T507" s="823"/>
      <c r="U507" s="823"/>
      <c r="V507" s="823"/>
      <c r="W507" s="823"/>
      <c r="X507" s="823"/>
      <c r="Y507" s="823"/>
      <c r="Z507" s="823"/>
      <c r="AA507" s="823"/>
      <c r="AB507" s="823"/>
    </row>
    <row r="508" hidden="1">
      <c r="A508" s="862">
        <v>45478.0</v>
      </c>
      <c r="B508" s="818" t="s">
        <v>14681</v>
      </c>
      <c r="C508" s="1112" t="s">
        <v>14682</v>
      </c>
      <c r="D508" s="1101">
        <v>1.0</v>
      </c>
      <c r="E508" s="818" t="s">
        <v>13700</v>
      </c>
      <c r="F508" s="818" t="s">
        <v>4258</v>
      </c>
      <c r="G508" s="818" t="s">
        <v>11475</v>
      </c>
      <c r="H508" s="823"/>
      <c r="I508" s="823"/>
      <c r="J508" s="823"/>
      <c r="K508" s="823"/>
      <c r="L508" s="823"/>
      <c r="M508" s="823"/>
      <c r="N508" s="823"/>
      <c r="O508" s="823"/>
      <c r="P508" s="823"/>
      <c r="Q508" s="823"/>
      <c r="R508" s="823"/>
      <c r="S508" s="823"/>
      <c r="T508" s="823"/>
      <c r="U508" s="823"/>
      <c r="V508" s="823"/>
      <c r="W508" s="823"/>
      <c r="X508" s="823"/>
      <c r="Y508" s="823"/>
      <c r="Z508" s="823"/>
      <c r="AA508" s="823"/>
      <c r="AB508" s="823"/>
    </row>
    <row r="509" hidden="1">
      <c r="A509" s="862">
        <v>45478.0</v>
      </c>
      <c r="B509" s="818" t="s">
        <v>14683</v>
      </c>
      <c r="C509" s="818" t="s">
        <v>14684</v>
      </c>
      <c r="D509" s="1101">
        <v>1.0416666666666667</v>
      </c>
      <c r="E509" s="818" t="s">
        <v>13700</v>
      </c>
      <c r="F509" s="818" t="s">
        <v>4258</v>
      </c>
      <c r="G509" s="818" t="s">
        <v>11475</v>
      </c>
      <c r="H509" s="823"/>
      <c r="I509" s="823"/>
      <c r="J509" s="823"/>
      <c r="K509" s="823"/>
      <c r="L509" s="823"/>
      <c r="M509" s="823"/>
      <c r="N509" s="823"/>
      <c r="O509" s="823"/>
      <c r="P509" s="823"/>
      <c r="Q509" s="823"/>
      <c r="R509" s="823"/>
      <c r="S509" s="823"/>
      <c r="T509" s="823"/>
      <c r="U509" s="823"/>
      <c r="V509" s="823"/>
      <c r="W509" s="823"/>
      <c r="X509" s="823"/>
      <c r="Y509" s="823"/>
      <c r="Z509" s="823"/>
      <c r="AA509" s="823"/>
      <c r="AB509" s="823"/>
    </row>
    <row r="510" hidden="1">
      <c r="A510" s="862">
        <v>45478.0</v>
      </c>
      <c r="B510" s="818" t="s">
        <v>14685</v>
      </c>
      <c r="C510" s="1113"/>
      <c r="D510" s="1101">
        <v>1.0833333333333333</v>
      </c>
      <c r="E510" s="818" t="s">
        <v>13700</v>
      </c>
      <c r="F510" s="818" t="s">
        <v>4258</v>
      </c>
      <c r="G510" s="818" t="s">
        <v>11475</v>
      </c>
      <c r="H510" s="823"/>
      <c r="I510" s="823"/>
      <c r="J510" s="823"/>
      <c r="K510" s="823"/>
      <c r="L510" s="823"/>
      <c r="M510" s="823"/>
      <c r="N510" s="823"/>
      <c r="O510" s="823"/>
      <c r="P510" s="823"/>
      <c r="Q510" s="823"/>
      <c r="R510" s="823"/>
      <c r="S510" s="823"/>
      <c r="T510" s="823"/>
      <c r="U510" s="823"/>
      <c r="V510" s="823"/>
      <c r="W510" s="823"/>
      <c r="X510" s="823"/>
      <c r="Y510" s="823"/>
      <c r="Z510" s="823"/>
      <c r="AA510" s="823"/>
      <c r="AB510" s="823"/>
    </row>
    <row r="511" hidden="1">
      <c r="A511" s="862">
        <v>45479.0</v>
      </c>
      <c r="B511" s="818" t="s">
        <v>14686</v>
      </c>
      <c r="C511" s="849" t="s">
        <v>14687</v>
      </c>
      <c r="D511" s="1101">
        <v>1.125</v>
      </c>
      <c r="E511" s="818" t="s">
        <v>13700</v>
      </c>
      <c r="F511" s="818" t="s">
        <v>4258</v>
      </c>
      <c r="G511" s="818" t="s">
        <v>11475</v>
      </c>
      <c r="H511" s="823"/>
      <c r="I511" s="823"/>
      <c r="J511" s="823"/>
      <c r="K511" s="823"/>
      <c r="L511" s="823"/>
      <c r="M511" s="823"/>
      <c r="N511" s="823"/>
      <c r="O511" s="823"/>
      <c r="P511" s="823"/>
      <c r="Q511" s="823"/>
      <c r="R511" s="823"/>
      <c r="S511" s="823"/>
      <c r="T511" s="823"/>
      <c r="U511" s="823"/>
      <c r="V511" s="823"/>
      <c r="W511" s="823"/>
      <c r="X511" s="823"/>
      <c r="Y511" s="823"/>
      <c r="Z511" s="823"/>
      <c r="AA511" s="823"/>
      <c r="AB511" s="823"/>
    </row>
    <row r="512" hidden="1">
      <c r="A512" s="862">
        <v>45479.0</v>
      </c>
      <c r="B512" s="818" t="s">
        <v>14688</v>
      </c>
      <c r="C512" s="1112" t="s">
        <v>14260</v>
      </c>
      <c r="D512" s="1101">
        <v>1.1666666666666667</v>
      </c>
      <c r="E512" s="818" t="s">
        <v>13700</v>
      </c>
      <c r="F512" s="818" t="s">
        <v>4258</v>
      </c>
      <c r="G512" s="818"/>
      <c r="H512" s="823"/>
      <c r="I512" s="823"/>
      <c r="J512" s="823"/>
      <c r="K512" s="823"/>
      <c r="L512" s="823"/>
      <c r="M512" s="823"/>
      <c r="N512" s="823"/>
      <c r="O512" s="823"/>
      <c r="P512" s="823"/>
      <c r="Q512" s="823"/>
      <c r="R512" s="823"/>
      <c r="S512" s="823"/>
      <c r="T512" s="823"/>
      <c r="U512" s="823"/>
      <c r="V512" s="823"/>
      <c r="W512" s="823"/>
      <c r="X512" s="823"/>
      <c r="Y512" s="823"/>
      <c r="Z512" s="823"/>
      <c r="AA512" s="823"/>
      <c r="AB512" s="823"/>
    </row>
    <row r="513" hidden="1">
      <c r="A513" s="862">
        <v>45474.0</v>
      </c>
      <c r="B513" s="818" t="s">
        <v>14689</v>
      </c>
      <c r="C513" s="818" t="s">
        <v>14690</v>
      </c>
      <c r="D513" s="1101">
        <v>1.2083333333333333</v>
      </c>
      <c r="E513" s="818" t="s">
        <v>13700</v>
      </c>
      <c r="F513" s="818" t="s">
        <v>4258</v>
      </c>
      <c r="G513" s="818" t="s">
        <v>13751</v>
      </c>
      <c r="H513" s="823"/>
      <c r="I513" s="823"/>
      <c r="J513" s="823"/>
      <c r="K513" s="823"/>
      <c r="L513" s="823"/>
      <c r="M513" s="823"/>
      <c r="N513" s="823"/>
      <c r="O513" s="823"/>
      <c r="P513" s="823"/>
      <c r="Q513" s="823"/>
      <c r="R513" s="823"/>
      <c r="S513" s="823"/>
      <c r="T513" s="823"/>
      <c r="U513" s="823"/>
      <c r="V513" s="823"/>
      <c r="W513" s="823"/>
      <c r="X513" s="823"/>
      <c r="Y513" s="823"/>
      <c r="Z513" s="823"/>
      <c r="AA513" s="823"/>
      <c r="AB513" s="823"/>
    </row>
    <row r="514" hidden="1">
      <c r="A514" s="862">
        <v>45474.0</v>
      </c>
      <c r="B514" s="818" t="s">
        <v>14691</v>
      </c>
      <c r="C514" s="818" t="s">
        <v>14692</v>
      </c>
      <c r="D514" s="1101">
        <v>1.25</v>
      </c>
      <c r="E514" s="818" t="s">
        <v>13700</v>
      </c>
      <c r="F514" s="818" t="s">
        <v>4258</v>
      </c>
      <c r="G514" s="818" t="s">
        <v>13751</v>
      </c>
      <c r="H514" s="823"/>
      <c r="I514" s="823"/>
      <c r="J514" s="823"/>
      <c r="K514" s="823"/>
      <c r="L514" s="823"/>
      <c r="M514" s="823"/>
      <c r="N514" s="823"/>
      <c r="O514" s="823"/>
      <c r="P514" s="823"/>
      <c r="Q514" s="823"/>
      <c r="R514" s="823"/>
      <c r="S514" s="823"/>
      <c r="T514" s="823"/>
      <c r="U514" s="823"/>
      <c r="V514" s="823"/>
      <c r="W514" s="823"/>
      <c r="X514" s="823"/>
      <c r="Y514" s="823"/>
      <c r="Z514" s="823"/>
      <c r="AA514" s="823"/>
      <c r="AB514" s="823"/>
    </row>
    <row r="515" hidden="1">
      <c r="A515" s="862"/>
      <c r="B515" s="818" t="s">
        <v>14693</v>
      </c>
      <c r="C515" s="818" t="s">
        <v>14694</v>
      </c>
      <c r="D515" s="1101">
        <v>1.2916666666666667</v>
      </c>
      <c r="E515" s="818" t="s">
        <v>13700</v>
      </c>
      <c r="F515" s="818" t="s">
        <v>4258</v>
      </c>
      <c r="G515" s="818" t="s">
        <v>11475</v>
      </c>
      <c r="H515" s="823"/>
      <c r="I515" s="823"/>
      <c r="J515" s="823"/>
      <c r="K515" s="823"/>
      <c r="L515" s="823"/>
      <c r="M515" s="823"/>
      <c r="N515" s="823"/>
      <c r="O515" s="823"/>
      <c r="P515" s="823"/>
      <c r="Q515" s="823"/>
      <c r="R515" s="823"/>
      <c r="S515" s="823"/>
      <c r="T515" s="823"/>
      <c r="U515" s="823"/>
      <c r="V515" s="823"/>
      <c r="W515" s="823"/>
      <c r="X515" s="823"/>
      <c r="Y515" s="823"/>
      <c r="Z515" s="823"/>
      <c r="AA515" s="823"/>
      <c r="AB515" s="823"/>
    </row>
    <row r="516" hidden="1">
      <c r="A516" s="862">
        <v>45479.0</v>
      </c>
      <c r="B516" s="818" t="s">
        <v>14695</v>
      </c>
      <c r="C516" s="818" t="s">
        <v>14696</v>
      </c>
      <c r="D516" s="1101">
        <v>1.3333333333333333</v>
      </c>
      <c r="E516" s="818" t="s">
        <v>13700</v>
      </c>
      <c r="F516" s="818" t="s">
        <v>4258</v>
      </c>
      <c r="G516" s="818" t="s">
        <v>11475</v>
      </c>
      <c r="H516" s="823"/>
      <c r="I516" s="823"/>
      <c r="J516" s="823"/>
      <c r="K516" s="823"/>
      <c r="L516" s="823"/>
      <c r="M516" s="823"/>
      <c r="N516" s="823"/>
      <c r="O516" s="823"/>
      <c r="P516" s="823"/>
      <c r="Q516" s="823"/>
      <c r="R516" s="823"/>
      <c r="S516" s="823"/>
      <c r="T516" s="823"/>
      <c r="U516" s="823"/>
      <c r="V516" s="823"/>
      <c r="W516" s="823"/>
      <c r="X516" s="823"/>
      <c r="Y516" s="823"/>
      <c r="Z516" s="823"/>
      <c r="AA516" s="823"/>
      <c r="AB516" s="823"/>
    </row>
    <row r="517" hidden="1">
      <c r="A517" s="862">
        <v>45479.0</v>
      </c>
      <c r="B517" s="818" t="s">
        <v>14697</v>
      </c>
      <c r="C517" s="818" t="s">
        <v>1473</v>
      </c>
      <c r="D517" s="1101">
        <v>1.375</v>
      </c>
      <c r="E517" s="818" t="s">
        <v>13700</v>
      </c>
      <c r="F517" s="818" t="s">
        <v>4258</v>
      </c>
      <c r="G517" s="818" t="s">
        <v>11475</v>
      </c>
      <c r="H517" s="823"/>
      <c r="I517" s="823"/>
      <c r="J517" s="823"/>
      <c r="K517" s="823"/>
      <c r="L517" s="823"/>
      <c r="M517" s="823"/>
      <c r="N517" s="823"/>
      <c r="O517" s="823"/>
      <c r="P517" s="823"/>
      <c r="Q517" s="823"/>
      <c r="R517" s="823"/>
      <c r="S517" s="823"/>
      <c r="T517" s="823"/>
      <c r="U517" s="823"/>
      <c r="V517" s="823"/>
      <c r="W517" s="823"/>
      <c r="X517" s="823"/>
      <c r="Y517" s="823"/>
      <c r="Z517" s="823"/>
      <c r="AA517" s="823"/>
      <c r="AB517" s="823"/>
    </row>
    <row r="518" hidden="1">
      <c r="A518" s="862">
        <v>45738.0</v>
      </c>
      <c r="B518" s="818" t="s">
        <v>14698</v>
      </c>
      <c r="C518" s="818" t="s">
        <v>14699</v>
      </c>
      <c r="D518" s="1101">
        <v>0.375</v>
      </c>
      <c r="E518" s="818" t="s">
        <v>14489</v>
      </c>
      <c r="F518" s="818" t="s">
        <v>4258</v>
      </c>
      <c r="G518" s="823"/>
      <c r="H518" s="823"/>
      <c r="I518" s="823"/>
      <c r="J518" s="823"/>
      <c r="K518" s="823"/>
      <c r="L518" s="823"/>
      <c r="M518" s="823"/>
      <c r="N518" s="823"/>
      <c r="O518" s="823"/>
      <c r="P518" s="823"/>
      <c r="Q518" s="823"/>
      <c r="R518" s="823"/>
      <c r="S518" s="823"/>
      <c r="T518" s="823"/>
      <c r="U518" s="823"/>
      <c r="V518" s="823"/>
      <c r="W518" s="823"/>
      <c r="X518" s="823"/>
      <c r="Y518" s="823"/>
      <c r="Z518" s="823"/>
      <c r="AA518" s="823"/>
      <c r="AB518" s="823"/>
    </row>
    <row r="519" hidden="1">
      <c r="A519" s="862">
        <v>45740.0</v>
      </c>
      <c r="B519" s="818" t="s">
        <v>14700</v>
      </c>
      <c r="C519" s="818" t="s">
        <v>14701</v>
      </c>
      <c r="D519" s="818" t="s">
        <v>1484</v>
      </c>
      <c r="E519" s="818" t="s">
        <v>14489</v>
      </c>
      <c r="F519" s="818" t="s">
        <v>4258</v>
      </c>
      <c r="G519" s="823"/>
      <c r="H519" s="823"/>
      <c r="I519" s="823"/>
      <c r="J519" s="823"/>
      <c r="K519" s="823"/>
      <c r="L519" s="823"/>
      <c r="M519" s="823"/>
      <c r="N519" s="823"/>
      <c r="O519" s="823"/>
      <c r="P519" s="823"/>
      <c r="Q519" s="823"/>
      <c r="R519" s="823"/>
      <c r="S519" s="823"/>
      <c r="T519" s="823"/>
      <c r="U519" s="823"/>
      <c r="V519" s="823"/>
      <c r="W519" s="823"/>
      <c r="X519" s="823"/>
      <c r="Y519" s="823"/>
      <c r="Z519" s="823"/>
      <c r="AA519" s="823"/>
      <c r="AB519" s="823"/>
    </row>
    <row r="520" hidden="1">
      <c r="A520" s="862">
        <v>45740.0</v>
      </c>
      <c r="B520" s="818" t="s">
        <v>14702</v>
      </c>
      <c r="C520" s="818" t="s">
        <v>14703</v>
      </c>
      <c r="D520" s="1101">
        <v>0.5416666666666666</v>
      </c>
      <c r="E520" s="818" t="s">
        <v>14704</v>
      </c>
      <c r="F520" s="818" t="s">
        <v>4262</v>
      </c>
      <c r="G520" s="823"/>
      <c r="H520" s="823"/>
      <c r="I520" s="823"/>
      <c r="J520" s="823"/>
      <c r="K520" s="823"/>
      <c r="L520" s="823"/>
      <c r="M520" s="823"/>
      <c r="N520" s="823"/>
      <c r="O520" s="823"/>
      <c r="P520" s="823"/>
      <c r="Q520" s="823"/>
      <c r="R520" s="823"/>
      <c r="S520" s="823"/>
      <c r="T520" s="823"/>
      <c r="U520" s="823"/>
      <c r="V520" s="823"/>
      <c r="W520" s="823"/>
      <c r="X520" s="823"/>
      <c r="Y520" s="823"/>
      <c r="Z520" s="823"/>
      <c r="AA520" s="823"/>
      <c r="AB520" s="823"/>
    </row>
    <row r="521" hidden="1">
      <c r="A521" s="862">
        <v>45740.0</v>
      </c>
      <c r="B521" s="818" t="s">
        <v>14705</v>
      </c>
      <c r="C521" s="818" t="s">
        <v>14706</v>
      </c>
      <c r="D521" s="1101">
        <v>0.5833333333333334</v>
      </c>
      <c r="E521" s="818" t="s">
        <v>6113</v>
      </c>
      <c r="F521" s="818" t="s">
        <v>4262</v>
      </c>
      <c r="G521" s="823"/>
      <c r="H521" s="823"/>
      <c r="I521" s="823"/>
      <c r="J521" s="823"/>
      <c r="K521" s="823"/>
      <c r="L521" s="823"/>
      <c r="M521" s="823"/>
      <c r="N521" s="823"/>
      <c r="O521" s="823"/>
      <c r="P521" s="823"/>
      <c r="Q521" s="823"/>
      <c r="R521" s="823"/>
      <c r="S521" s="823"/>
      <c r="T521" s="823"/>
      <c r="U521" s="823"/>
      <c r="V521" s="823"/>
      <c r="W521" s="823"/>
      <c r="X521" s="823"/>
      <c r="Y521" s="823"/>
      <c r="Z521" s="823"/>
      <c r="AA521" s="823"/>
      <c r="AB521" s="823"/>
    </row>
    <row r="522" hidden="1">
      <c r="A522" s="862">
        <v>45740.0</v>
      </c>
      <c r="B522" s="818" t="s">
        <v>14707</v>
      </c>
      <c r="C522" s="818" t="s">
        <v>14708</v>
      </c>
      <c r="D522" s="1101">
        <v>0.625</v>
      </c>
      <c r="E522" s="818" t="s">
        <v>6113</v>
      </c>
      <c r="F522" s="818" t="s">
        <v>4262</v>
      </c>
      <c r="G522" s="823"/>
      <c r="H522" s="823"/>
      <c r="I522" s="823"/>
      <c r="J522" s="823"/>
      <c r="K522" s="823"/>
      <c r="L522" s="823"/>
      <c r="M522" s="823"/>
      <c r="N522" s="823"/>
      <c r="O522" s="823"/>
      <c r="P522" s="823"/>
      <c r="Q522" s="823"/>
      <c r="R522" s="823"/>
      <c r="S522" s="823"/>
      <c r="T522" s="823"/>
      <c r="U522" s="823"/>
      <c r="V522" s="823"/>
      <c r="W522" s="823"/>
      <c r="X522" s="823"/>
      <c r="Y522" s="823"/>
      <c r="Z522" s="823"/>
      <c r="AA522" s="823"/>
      <c r="AB522" s="823"/>
    </row>
    <row r="523" hidden="1">
      <c r="A523" s="862">
        <v>45741.0</v>
      </c>
      <c r="B523" s="818" t="s">
        <v>14709</v>
      </c>
      <c r="C523" s="818" t="s">
        <v>14710</v>
      </c>
      <c r="D523" s="1101">
        <v>0.4166666666666667</v>
      </c>
      <c r="E523" s="818" t="s">
        <v>14704</v>
      </c>
      <c r="F523" s="818" t="s">
        <v>4262</v>
      </c>
      <c r="G523" s="823"/>
      <c r="H523" s="823"/>
      <c r="I523" s="823"/>
      <c r="J523" s="823"/>
      <c r="K523" s="823"/>
      <c r="L523" s="823"/>
      <c r="M523" s="823"/>
      <c r="N523" s="823"/>
      <c r="O523" s="823"/>
      <c r="P523" s="823"/>
      <c r="Q523" s="823"/>
      <c r="R523" s="823"/>
      <c r="S523" s="823"/>
      <c r="T523" s="823"/>
      <c r="U523" s="823"/>
      <c r="V523" s="823"/>
      <c r="W523" s="823"/>
      <c r="X523" s="823"/>
      <c r="Y523" s="823"/>
      <c r="Z523" s="823"/>
      <c r="AA523" s="823"/>
      <c r="AB523" s="823"/>
    </row>
    <row r="524" hidden="1">
      <c r="A524" s="862">
        <v>45741.0</v>
      </c>
      <c r="B524" s="818" t="s">
        <v>14711</v>
      </c>
      <c r="C524" s="818" t="s">
        <v>14712</v>
      </c>
      <c r="D524" s="1101">
        <v>0.3333333333333333</v>
      </c>
      <c r="E524" s="818" t="s">
        <v>13700</v>
      </c>
      <c r="F524" s="818" t="s">
        <v>4262</v>
      </c>
      <c r="G524" s="823"/>
      <c r="H524" s="823"/>
      <c r="I524" s="823"/>
      <c r="J524" s="823"/>
      <c r="K524" s="823"/>
      <c r="L524" s="823"/>
      <c r="M524" s="823"/>
      <c r="N524" s="823"/>
      <c r="O524" s="823"/>
      <c r="P524" s="823"/>
      <c r="Q524" s="823"/>
      <c r="R524" s="823"/>
      <c r="S524" s="823"/>
      <c r="T524" s="823"/>
      <c r="U524" s="823"/>
      <c r="V524" s="823"/>
      <c r="W524" s="823"/>
      <c r="X524" s="823"/>
      <c r="Y524" s="823"/>
      <c r="Z524" s="823"/>
      <c r="AA524" s="823"/>
      <c r="AB524" s="823"/>
    </row>
    <row r="525" hidden="1">
      <c r="A525" s="862">
        <v>45741.0</v>
      </c>
      <c r="B525" s="818" t="s">
        <v>14713</v>
      </c>
      <c r="C525" s="1100" t="s">
        <v>14714</v>
      </c>
      <c r="D525" s="823"/>
      <c r="E525" s="823"/>
      <c r="F525" s="823"/>
      <c r="G525" s="823"/>
      <c r="H525" s="823"/>
      <c r="I525" s="823"/>
      <c r="J525" s="823"/>
      <c r="K525" s="823"/>
      <c r="L525" s="823"/>
      <c r="M525" s="823"/>
      <c r="N525" s="823"/>
      <c r="O525" s="823"/>
      <c r="P525" s="823"/>
      <c r="Q525" s="823"/>
      <c r="R525" s="823"/>
      <c r="S525" s="823"/>
      <c r="T525" s="823"/>
      <c r="U525" s="823"/>
      <c r="V525" s="823"/>
      <c r="W525" s="823"/>
      <c r="X525" s="823"/>
      <c r="Y525" s="823"/>
      <c r="Z525" s="823"/>
      <c r="AA525" s="823"/>
      <c r="AB525" s="823"/>
    </row>
    <row r="526" hidden="1">
      <c r="A526" s="862">
        <v>45743.0</v>
      </c>
      <c r="B526" s="818" t="s">
        <v>14715</v>
      </c>
      <c r="C526" s="818" t="s">
        <v>14716</v>
      </c>
      <c r="D526" s="1101">
        <v>0.5416666666666666</v>
      </c>
      <c r="E526" s="818" t="s">
        <v>13700</v>
      </c>
      <c r="F526" s="818" t="s">
        <v>4258</v>
      </c>
      <c r="G526" s="823"/>
      <c r="H526" s="823"/>
      <c r="I526" s="823"/>
      <c r="J526" s="823"/>
      <c r="K526" s="823"/>
      <c r="L526" s="823"/>
      <c r="M526" s="823"/>
      <c r="N526" s="823"/>
      <c r="O526" s="823"/>
      <c r="P526" s="823"/>
      <c r="Q526" s="823"/>
      <c r="R526" s="823"/>
      <c r="S526" s="823"/>
      <c r="T526" s="823"/>
      <c r="U526" s="823"/>
      <c r="V526" s="823"/>
      <c r="W526" s="823"/>
      <c r="X526" s="823"/>
      <c r="Y526" s="823"/>
      <c r="Z526" s="823"/>
      <c r="AA526" s="823"/>
      <c r="AB526" s="823"/>
    </row>
    <row r="527" hidden="1">
      <c r="A527" s="862">
        <v>45744.0</v>
      </c>
      <c r="B527" s="818" t="s">
        <v>14717</v>
      </c>
      <c r="C527" s="818" t="s">
        <v>14718</v>
      </c>
      <c r="D527" s="1101">
        <v>0.4166666666666667</v>
      </c>
      <c r="E527" s="818" t="s">
        <v>14024</v>
      </c>
      <c r="F527" s="818" t="s">
        <v>4262</v>
      </c>
      <c r="G527" s="823"/>
      <c r="H527" s="823"/>
      <c r="I527" s="823"/>
      <c r="J527" s="823"/>
      <c r="K527" s="823"/>
      <c r="L527" s="823"/>
      <c r="M527" s="823"/>
      <c r="N527" s="823"/>
      <c r="O527" s="823"/>
      <c r="P527" s="823"/>
      <c r="Q527" s="823"/>
      <c r="R527" s="823"/>
      <c r="S527" s="823"/>
      <c r="T527" s="823"/>
      <c r="U527" s="823"/>
      <c r="V527" s="823"/>
      <c r="W527" s="823"/>
      <c r="X527" s="823"/>
      <c r="Y527" s="823"/>
      <c r="Z527" s="823"/>
      <c r="AA527" s="823"/>
      <c r="AB527" s="823"/>
    </row>
    <row r="528" hidden="1">
      <c r="A528" s="862">
        <v>45744.0</v>
      </c>
      <c r="B528" s="818" t="s">
        <v>14719</v>
      </c>
      <c r="C528" s="818" t="s">
        <v>14720</v>
      </c>
      <c r="D528" s="1101">
        <v>0.5833333333333334</v>
      </c>
      <c r="E528" s="818" t="s">
        <v>13700</v>
      </c>
      <c r="F528" s="818" t="s">
        <v>4262</v>
      </c>
      <c r="G528" s="823"/>
      <c r="H528" s="823"/>
      <c r="I528" s="823"/>
      <c r="J528" s="823"/>
      <c r="K528" s="823"/>
      <c r="L528" s="823"/>
      <c r="M528" s="823"/>
      <c r="N528" s="823"/>
      <c r="O528" s="823"/>
      <c r="P528" s="823"/>
      <c r="Q528" s="823"/>
      <c r="R528" s="823"/>
      <c r="S528" s="823"/>
      <c r="T528" s="823"/>
      <c r="U528" s="823"/>
      <c r="V528" s="823"/>
      <c r="W528" s="823"/>
      <c r="X528" s="823"/>
      <c r="Y528" s="823"/>
      <c r="Z528" s="823"/>
      <c r="AA528" s="823"/>
      <c r="AB528" s="823"/>
    </row>
    <row r="529" hidden="1">
      <c r="A529" s="862">
        <v>45744.0</v>
      </c>
      <c r="B529" s="818" t="s">
        <v>14721</v>
      </c>
      <c r="C529" s="818">
        <v>450.0</v>
      </c>
      <c r="D529" s="1101">
        <v>0.5416666666666666</v>
      </c>
      <c r="E529" s="818" t="s">
        <v>13700</v>
      </c>
      <c r="F529" s="823"/>
      <c r="G529" s="823"/>
      <c r="H529" s="823"/>
      <c r="I529" s="823"/>
      <c r="J529" s="823"/>
      <c r="K529" s="823"/>
      <c r="L529" s="823"/>
      <c r="M529" s="823"/>
      <c r="N529" s="823"/>
      <c r="O529" s="823"/>
      <c r="P529" s="823"/>
      <c r="Q529" s="823"/>
      <c r="R529" s="823"/>
      <c r="S529" s="823"/>
      <c r="T529" s="823"/>
      <c r="U529" s="823"/>
      <c r="V529" s="823"/>
      <c r="W529" s="823"/>
      <c r="X529" s="823"/>
      <c r="Y529" s="823"/>
      <c r="Z529" s="823"/>
      <c r="AA529" s="823"/>
      <c r="AB529" s="823"/>
    </row>
    <row r="530" hidden="1">
      <c r="A530" s="862">
        <v>45754.0</v>
      </c>
      <c r="B530" s="818" t="s">
        <v>14722</v>
      </c>
      <c r="C530" s="818" t="s">
        <v>14723</v>
      </c>
      <c r="D530" s="818" t="s">
        <v>13711</v>
      </c>
      <c r="E530" s="818" t="s">
        <v>13700</v>
      </c>
      <c r="F530" s="818" t="s">
        <v>4258</v>
      </c>
      <c r="G530" s="823"/>
      <c r="H530" s="823"/>
      <c r="I530" s="823"/>
      <c r="J530" s="823"/>
      <c r="K530" s="823"/>
      <c r="L530" s="823"/>
      <c r="M530" s="823"/>
      <c r="N530" s="823"/>
      <c r="O530" s="823"/>
      <c r="P530" s="823"/>
      <c r="Q530" s="823"/>
      <c r="R530" s="823"/>
      <c r="S530" s="823"/>
      <c r="T530" s="823"/>
      <c r="U530" s="823"/>
      <c r="V530" s="823"/>
      <c r="W530" s="823"/>
      <c r="X530" s="823"/>
      <c r="Y530" s="823"/>
      <c r="Z530" s="823"/>
      <c r="AA530" s="823"/>
      <c r="AB530" s="823"/>
    </row>
    <row r="531" hidden="1">
      <c r="A531" s="862">
        <v>45754.0</v>
      </c>
      <c r="B531" s="818" t="s">
        <v>14724</v>
      </c>
      <c r="C531" s="818" t="s">
        <v>14725</v>
      </c>
      <c r="D531" s="1101">
        <v>0.5416666666666666</v>
      </c>
      <c r="E531" s="818" t="s">
        <v>13700</v>
      </c>
      <c r="F531" s="818" t="s">
        <v>4262</v>
      </c>
      <c r="G531" s="823"/>
      <c r="H531" s="823"/>
      <c r="I531" s="823"/>
      <c r="J531" s="823"/>
      <c r="K531" s="823"/>
      <c r="L531" s="823"/>
      <c r="M531" s="823"/>
      <c r="N531" s="823"/>
      <c r="O531" s="823"/>
      <c r="P531" s="823"/>
      <c r="Q531" s="823"/>
      <c r="R531" s="823"/>
      <c r="S531" s="823"/>
      <c r="T531" s="823"/>
      <c r="U531" s="823"/>
      <c r="V531" s="823"/>
      <c r="W531" s="823"/>
      <c r="X531" s="823"/>
      <c r="Y531" s="823"/>
      <c r="Z531" s="823"/>
      <c r="AA531" s="823"/>
      <c r="AB531" s="823"/>
    </row>
    <row r="532" hidden="1">
      <c r="A532" s="862">
        <v>45758.0</v>
      </c>
      <c r="B532" s="818" t="s">
        <v>14726</v>
      </c>
      <c r="C532" s="818" t="s">
        <v>14507</v>
      </c>
      <c r="D532" s="818" t="s">
        <v>13861</v>
      </c>
      <c r="E532" s="818" t="s">
        <v>13700</v>
      </c>
      <c r="F532" s="818" t="s">
        <v>4258</v>
      </c>
      <c r="G532" s="823"/>
      <c r="H532" s="823"/>
      <c r="I532" s="823"/>
      <c r="J532" s="823"/>
      <c r="K532" s="823"/>
      <c r="L532" s="823"/>
      <c r="M532" s="823"/>
      <c r="N532" s="823"/>
      <c r="O532" s="823"/>
      <c r="P532" s="823"/>
      <c r="Q532" s="823"/>
      <c r="R532" s="823"/>
      <c r="S532" s="823"/>
      <c r="T532" s="823"/>
      <c r="U532" s="823"/>
      <c r="V532" s="823"/>
      <c r="W532" s="823"/>
      <c r="X532" s="823"/>
      <c r="Y532" s="823"/>
      <c r="Z532" s="823"/>
      <c r="AA532" s="823"/>
      <c r="AB532" s="823"/>
    </row>
    <row r="533" hidden="1">
      <c r="A533" s="862">
        <v>45758.0</v>
      </c>
      <c r="B533" s="818" t="s">
        <v>14727</v>
      </c>
      <c r="C533" s="818"/>
      <c r="D533" s="818"/>
      <c r="E533" s="818"/>
      <c r="F533" s="818"/>
      <c r="G533" s="823"/>
      <c r="H533" s="823"/>
      <c r="I533" s="823"/>
      <c r="J533" s="823"/>
      <c r="K533" s="823"/>
      <c r="L533" s="823"/>
      <c r="M533" s="823"/>
      <c r="N533" s="823"/>
      <c r="O533" s="823"/>
      <c r="P533" s="823"/>
      <c r="Q533" s="823"/>
      <c r="R533" s="823"/>
      <c r="S533" s="823"/>
      <c r="T533" s="823"/>
      <c r="U533" s="823"/>
      <c r="V533" s="823"/>
      <c r="W533" s="823"/>
      <c r="X533" s="823"/>
      <c r="Y533" s="823"/>
      <c r="Z533" s="823"/>
      <c r="AA533" s="823"/>
      <c r="AB533" s="823"/>
    </row>
    <row r="534" hidden="1">
      <c r="A534" s="862">
        <v>45758.0</v>
      </c>
      <c r="B534" s="818" t="s">
        <v>14728</v>
      </c>
      <c r="C534" s="818" t="s">
        <v>14729</v>
      </c>
      <c r="D534" s="1101">
        <v>0.5416666666666666</v>
      </c>
      <c r="E534" s="818" t="s">
        <v>13700</v>
      </c>
      <c r="F534" s="818" t="s">
        <v>4262</v>
      </c>
      <c r="G534" s="823"/>
      <c r="H534" s="823"/>
      <c r="I534" s="823"/>
      <c r="J534" s="823"/>
      <c r="K534" s="823"/>
      <c r="L534" s="823"/>
      <c r="M534" s="823"/>
      <c r="N534" s="823"/>
      <c r="O534" s="823"/>
      <c r="P534" s="823"/>
      <c r="Q534" s="823"/>
      <c r="R534" s="823"/>
      <c r="S534" s="823"/>
      <c r="T534" s="823"/>
      <c r="U534" s="823"/>
      <c r="V534" s="823"/>
      <c r="W534" s="823"/>
      <c r="X534" s="823"/>
      <c r="Y534" s="823"/>
      <c r="Z534" s="823"/>
      <c r="AA534" s="823"/>
      <c r="AB534" s="823"/>
    </row>
    <row r="535" hidden="1">
      <c r="A535" s="862">
        <v>45759.0</v>
      </c>
      <c r="B535" s="818" t="s">
        <v>14730</v>
      </c>
      <c r="C535" s="818" t="s">
        <v>14507</v>
      </c>
      <c r="D535" s="818" t="s">
        <v>13980</v>
      </c>
      <c r="E535" s="818" t="s">
        <v>13700</v>
      </c>
      <c r="F535" s="818" t="s">
        <v>4258</v>
      </c>
      <c r="G535" s="823"/>
      <c r="H535" s="823"/>
      <c r="I535" s="823"/>
      <c r="J535" s="823"/>
      <c r="K535" s="823"/>
      <c r="L535" s="823"/>
      <c r="M535" s="823"/>
      <c r="N535" s="823"/>
      <c r="O535" s="823"/>
      <c r="P535" s="823"/>
      <c r="Q535" s="823"/>
      <c r="R535" s="823"/>
      <c r="S535" s="823"/>
      <c r="T535" s="823"/>
      <c r="U535" s="823"/>
      <c r="V535" s="823"/>
      <c r="W535" s="823"/>
      <c r="X535" s="823"/>
      <c r="Y535" s="823"/>
      <c r="Z535" s="823"/>
      <c r="AA535" s="823"/>
      <c r="AB535" s="823"/>
    </row>
    <row r="536" hidden="1">
      <c r="A536" s="862">
        <v>45759.0</v>
      </c>
      <c r="B536" s="818" t="s">
        <v>14731</v>
      </c>
      <c r="C536" s="818" t="s">
        <v>14732</v>
      </c>
      <c r="D536" s="1101">
        <v>0.375</v>
      </c>
      <c r="E536" s="818" t="s">
        <v>14024</v>
      </c>
      <c r="F536" s="818" t="s">
        <v>4262</v>
      </c>
      <c r="G536" s="823"/>
      <c r="H536" s="823"/>
      <c r="I536" s="823"/>
      <c r="J536" s="823"/>
      <c r="K536" s="823"/>
      <c r="L536" s="823"/>
      <c r="M536" s="823"/>
      <c r="N536" s="823"/>
      <c r="O536" s="823"/>
      <c r="P536" s="823"/>
      <c r="Q536" s="823"/>
      <c r="R536" s="823"/>
      <c r="S536" s="823"/>
      <c r="T536" s="823"/>
      <c r="U536" s="823"/>
      <c r="V536" s="823"/>
      <c r="W536" s="823"/>
      <c r="X536" s="823"/>
      <c r="Y536" s="823"/>
      <c r="Z536" s="823"/>
      <c r="AA536" s="823"/>
      <c r="AB536" s="823"/>
    </row>
    <row r="537" hidden="1">
      <c r="A537" s="862">
        <v>45759.0</v>
      </c>
      <c r="B537" s="818" t="s">
        <v>14733</v>
      </c>
      <c r="C537" s="818" t="s">
        <v>14734</v>
      </c>
      <c r="D537" s="1107">
        <v>45971.0</v>
      </c>
      <c r="E537" s="818" t="s">
        <v>13700</v>
      </c>
      <c r="F537" s="818" t="s">
        <v>4262</v>
      </c>
      <c r="G537" s="823"/>
      <c r="H537" s="823"/>
      <c r="I537" s="823"/>
      <c r="J537" s="823"/>
      <c r="K537" s="823"/>
      <c r="L537" s="823"/>
      <c r="M537" s="823"/>
      <c r="N537" s="823"/>
      <c r="O537" s="823"/>
      <c r="P537" s="823"/>
      <c r="Q537" s="823"/>
      <c r="R537" s="823"/>
      <c r="S537" s="823"/>
      <c r="T537" s="823"/>
      <c r="U537" s="823"/>
      <c r="V537" s="823"/>
      <c r="W537" s="823"/>
      <c r="X537" s="823"/>
      <c r="Y537" s="823"/>
      <c r="Z537" s="823"/>
      <c r="AA537" s="823"/>
      <c r="AB537" s="823"/>
    </row>
    <row r="538" hidden="1">
      <c r="A538" s="862">
        <v>45759.0</v>
      </c>
      <c r="B538" s="818" t="s">
        <v>14735</v>
      </c>
      <c r="C538" s="738" t="s">
        <v>14736</v>
      </c>
      <c r="D538" s="818" t="s">
        <v>14139</v>
      </c>
      <c r="E538" s="818" t="s">
        <v>13700</v>
      </c>
      <c r="F538" s="818" t="s">
        <v>4262</v>
      </c>
      <c r="G538" s="823"/>
      <c r="H538" s="823"/>
      <c r="I538" s="823"/>
      <c r="J538" s="823"/>
      <c r="K538" s="823"/>
      <c r="L538" s="823"/>
      <c r="M538" s="823"/>
      <c r="N538" s="823"/>
      <c r="O538" s="823"/>
      <c r="P538" s="823"/>
      <c r="Q538" s="823"/>
      <c r="R538" s="823"/>
      <c r="S538" s="823"/>
      <c r="T538" s="823"/>
      <c r="U538" s="823"/>
      <c r="V538" s="823"/>
      <c r="W538" s="823"/>
      <c r="X538" s="823"/>
      <c r="Y538" s="823"/>
      <c r="Z538" s="823"/>
      <c r="AA538" s="823"/>
      <c r="AB538" s="823"/>
    </row>
    <row r="539" hidden="1">
      <c r="A539" s="862">
        <v>45759.0</v>
      </c>
      <c r="B539" s="818" t="s">
        <v>14737</v>
      </c>
      <c r="C539" s="818" t="s">
        <v>14738</v>
      </c>
      <c r="D539" s="1101">
        <v>0.5416666666666666</v>
      </c>
      <c r="E539" s="818" t="s">
        <v>13700</v>
      </c>
      <c r="F539" s="818" t="s">
        <v>3883</v>
      </c>
      <c r="G539" s="823"/>
      <c r="H539" s="823"/>
      <c r="I539" s="823"/>
      <c r="J539" s="823"/>
      <c r="K539" s="823"/>
      <c r="L539" s="823"/>
      <c r="M539" s="823"/>
      <c r="N539" s="823"/>
      <c r="O539" s="823"/>
      <c r="P539" s="823"/>
      <c r="Q539" s="823"/>
      <c r="R539" s="823"/>
      <c r="S539" s="823"/>
      <c r="T539" s="823"/>
      <c r="U539" s="823"/>
      <c r="V539" s="823"/>
      <c r="W539" s="823"/>
      <c r="X539" s="823"/>
      <c r="Y539" s="823"/>
      <c r="Z539" s="823"/>
      <c r="AA539" s="823"/>
      <c r="AB539" s="823"/>
    </row>
    <row r="540" hidden="1">
      <c r="A540" s="862">
        <v>45760.0</v>
      </c>
      <c r="B540" s="818" t="s">
        <v>14739</v>
      </c>
      <c r="C540" s="818" t="s">
        <v>14740</v>
      </c>
      <c r="D540" s="818" t="s">
        <v>14741</v>
      </c>
      <c r="E540" s="818" t="s">
        <v>13700</v>
      </c>
      <c r="F540" s="818" t="s">
        <v>4258</v>
      </c>
      <c r="G540" s="823"/>
      <c r="H540" s="823"/>
      <c r="I540" s="823"/>
      <c r="J540" s="823"/>
      <c r="K540" s="823"/>
      <c r="L540" s="823"/>
      <c r="M540" s="823"/>
      <c r="N540" s="823"/>
      <c r="O540" s="823"/>
      <c r="P540" s="823"/>
      <c r="Q540" s="823"/>
      <c r="R540" s="823"/>
      <c r="S540" s="823"/>
      <c r="T540" s="823"/>
      <c r="U540" s="823"/>
      <c r="V540" s="823"/>
      <c r="W540" s="823"/>
      <c r="X540" s="823"/>
      <c r="Y540" s="823"/>
      <c r="Z540" s="823"/>
      <c r="AA540" s="823"/>
      <c r="AB540" s="823"/>
    </row>
    <row r="541" hidden="1">
      <c r="A541" s="862">
        <v>45761.0</v>
      </c>
      <c r="B541" s="818" t="s">
        <v>14742</v>
      </c>
      <c r="C541" s="818" t="s">
        <v>14743</v>
      </c>
      <c r="D541" s="1101">
        <v>0.375</v>
      </c>
      <c r="E541" s="818" t="s">
        <v>14024</v>
      </c>
      <c r="F541" s="818" t="s">
        <v>4258</v>
      </c>
      <c r="G541" s="823"/>
      <c r="H541" s="823"/>
      <c r="I541" s="823"/>
      <c r="J541" s="823"/>
      <c r="K541" s="823"/>
      <c r="L541" s="823"/>
      <c r="M541" s="823"/>
      <c r="N541" s="823"/>
      <c r="O541" s="823"/>
      <c r="P541" s="823"/>
      <c r="Q541" s="823"/>
      <c r="R541" s="823"/>
      <c r="S541" s="823"/>
      <c r="T541" s="823"/>
      <c r="U541" s="823"/>
      <c r="V541" s="823"/>
      <c r="W541" s="823"/>
      <c r="X541" s="823"/>
      <c r="Y541" s="823"/>
      <c r="Z541" s="823"/>
      <c r="AA541" s="823"/>
      <c r="AB541" s="823"/>
    </row>
    <row r="542" hidden="1">
      <c r="A542" s="862">
        <v>45761.0</v>
      </c>
      <c r="B542" s="818" t="s">
        <v>14744</v>
      </c>
      <c r="C542" s="818" t="s">
        <v>14745</v>
      </c>
      <c r="D542" s="1101">
        <v>0.4583333333333333</v>
      </c>
      <c r="E542" s="818" t="s">
        <v>13700</v>
      </c>
      <c r="F542" s="818" t="s">
        <v>3664</v>
      </c>
      <c r="G542" s="823"/>
      <c r="H542" s="823"/>
      <c r="I542" s="823"/>
      <c r="J542" s="823"/>
      <c r="K542" s="823"/>
      <c r="L542" s="823"/>
      <c r="M542" s="823"/>
      <c r="N542" s="823"/>
      <c r="O542" s="823"/>
      <c r="P542" s="823"/>
      <c r="Q542" s="823"/>
      <c r="R542" s="823"/>
      <c r="S542" s="823"/>
      <c r="T542" s="823"/>
      <c r="U542" s="823"/>
      <c r="V542" s="823"/>
      <c r="W542" s="823"/>
      <c r="X542" s="823"/>
      <c r="Y542" s="823"/>
      <c r="Z542" s="823"/>
      <c r="AA542" s="823"/>
      <c r="AB542" s="823"/>
    </row>
    <row r="543" hidden="1">
      <c r="A543" s="862">
        <v>45761.0</v>
      </c>
      <c r="B543" s="818" t="s">
        <v>14746</v>
      </c>
      <c r="C543" s="818" t="s">
        <v>14747</v>
      </c>
      <c r="D543" s="1101">
        <v>0.5416666666666666</v>
      </c>
      <c r="E543" s="818" t="s">
        <v>13700</v>
      </c>
      <c r="F543" s="818" t="s">
        <v>3883</v>
      </c>
      <c r="G543" s="823"/>
      <c r="H543" s="823"/>
      <c r="I543" s="823"/>
      <c r="J543" s="823"/>
      <c r="K543" s="823"/>
      <c r="L543" s="823"/>
      <c r="M543" s="823"/>
      <c r="N543" s="823"/>
      <c r="O543" s="823"/>
      <c r="P543" s="823"/>
      <c r="Q543" s="823"/>
      <c r="R543" s="823"/>
      <c r="S543" s="823"/>
      <c r="T543" s="823"/>
      <c r="U543" s="823"/>
      <c r="V543" s="823"/>
      <c r="W543" s="823"/>
      <c r="X543" s="823"/>
      <c r="Y543" s="823"/>
      <c r="Z543" s="823"/>
      <c r="AA543" s="823"/>
      <c r="AB543" s="823"/>
    </row>
    <row r="544" hidden="1">
      <c r="A544" s="862">
        <v>45762.0</v>
      </c>
      <c r="B544" s="818" t="s">
        <v>14748</v>
      </c>
      <c r="C544" s="738" t="s">
        <v>14749</v>
      </c>
      <c r="D544" s="1101">
        <v>0.4166666666666667</v>
      </c>
      <c r="E544" s="818" t="s">
        <v>14024</v>
      </c>
      <c r="F544" s="818" t="s">
        <v>3883</v>
      </c>
      <c r="G544" s="823"/>
      <c r="H544" s="823"/>
      <c r="I544" s="823"/>
      <c r="J544" s="823"/>
      <c r="K544" s="823"/>
      <c r="L544" s="823"/>
      <c r="M544" s="823"/>
      <c r="N544" s="823"/>
      <c r="O544" s="823"/>
      <c r="P544" s="823"/>
      <c r="Q544" s="823"/>
      <c r="R544" s="823"/>
      <c r="S544" s="823"/>
      <c r="T544" s="823"/>
      <c r="U544" s="823"/>
      <c r="V544" s="823"/>
      <c r="W544" s="823"/>
      <c r="X544" s="823"/>
      <c r="Y544" s="823"/>
      <c r="Z544" s="823"/>
      <c r="AA544" s="823"/>
      <c r="AB544" s="823"/>
    </row>
    <row r="545" hidden="1">
      <c r="A545" s="862">
        <v>45762.0</v>
      </c>
      <c r="B545" s="818" t="s">
        <v>14750</v>
      </c>
      <c r="C545" s="818" t="s">
        <v>14751</v>
      </c>
      <c r="D545" s="1101">
        <v>0.4583333333333333</v>
      </c>
      <c r="E545" s="818" t="s">
        <v>13700</v>
      </c>
      <c r="F545" s="818" t="s">
        <v>3664</v>
      </c>
      <c r="G545" s="823"/>
      <c r="H545" s="823"/>
      <c r="I545" s="823"/>
      <c r="J545" s="823"/>
      <c r="K545" s="823"/>
      <c r="L545" s="823"/>
      <c r="M545" s="823"/>
      <c r="N545" s="823"/>
      <c r="O545" s="823"/>
      <c r="P545" s="823"/>
      <c r="Q545" s="823"/>
      <c r="R545" s="823"/>
      <c r="S545" s="823"/>
      <c r="T545" s="823"/>
      <c r="U545" s="823"/>
      <c r="V545" s="823"/>
      <c r="W545" s="823"/>
      <c r="X545" s="823"/>
      <c r="Y545" s="823"/>
      <c r="Z545" s="823"/>
      <c r="AA545" s="823"/>
      <c r="AB545" s="823"/>
    </row>
    <row r="546" hidden="1">
      <c r="A546" s="862"/>
      <c r="B546" s="818" t="s">
        <v>14752</v>
      </c>
      <c r="C546" s="818" t="s">
        <v>14753</v>
      </c>
      <c r="D546" s="1101">
        <v>0.4166666666666667</v>
      </c>
      <c r="E546" s="818" t="s">
        <v>13700</v>
      </c>
      <c r="F546" s="818" t="s">
        <v>3883</v>
      </c>
      <c r="G546" s="823"/>
      <c r="H546" s="823"/>
      <c r="I546" s="823"/>
      <c r="J546" s="823"/>
      <c r="K546" s="823"/>
      <c r="L546" s="823"/>
      <c r="M546" s="823"/>
      <c r="N546" s="823"/>
      <c r="O546" s="823"/>
      <c r="P546" s="823"/>
      <c r="Q546" s="823"/>
      <c r="R546" s="823"/>
      <c r="S546" s="823"/>
      <c r="T546" s="823"/>
      <c r="U546" s="823"/>
      <c r="V546" s="823"/>
      <c r="W546" s="823"/>
      <c r="X546" s="823"/>
      <c r="Y546" s="823"/>
      <c r="Z546" s="823"/>
      <c r="AA546" s="823"/>
      <c r="AB546" s="823"/>
    </row>
    <row r="547" hidden="1">
      <c r="A547" s="862">
        <v>45764.0</v>
      </c>
      <c r="B547" s="818" t="s">
        <v>14754</v>
      </c>
      <c r="C547" s="818" t="s">
        <v>14755</v>
      </c>
      <c r="D547" s="1101">
        <v>0.5833333333333334</v>
      </c>
      <c r="E547" s="818" t="s">
        <v>13700</v>
      </c>
      <c r="F547" s="818" t="s">
        <v>4262</v>
      </c>
      <c r="G547" s="823"/>
      <c r="H547" s="823"/>
      <c r="I547" s="823"/>
      <c r="J547" s="823"/>
      <c r="K547" s="823"/>
      <c r="L547" s="823"/>
      <c r="M547" s="823"/>
      <c r="N547" s="823"/>
      <c r="O547" s="823"/>
      <c r="P547" s="823"/>
      <c r="Q547" s="823"/>
      <c r="R547" s="823"/>
      <c r="S547" s="823"/>
      <c r="T547" s="823"/>
      <c r="U547" s="823"/>
      <c r="V547" s="823"/>
      <c r="W547" s="823"/>
      <c r="X547" s="823"/>
      <c r="Y547" s="823"/>
      <c r="Z547" s="823"/>
      <c r="AA547" s="823"/>
      <c r="AB547" s="823"/>
    </row>
    <row r="548" hidden="1">
      <c r="A548" s="862">
        <v>45764.0</v>
      </c>
      <c r="B548" s="818" t="s">
        <v>14756</v>
      </c>
      <c r="C548" s="818"/>
      <c r="D548" s="1101">
        <v>0.375</v>
      </c>
      <c r="E548" s="818" t="s">
        <v>13700</v>
      </c>
      <c r="F548" s="818" t="s">
        <v>3883</v>
      </c>
      <c r="G548" s="823"/>
      <c r="H548" s="823"/>
      <c r="I548" s="823"/>
      <c r="J548" s="823"/>
      <c r="K548" s="823"/>
      <c r="L548" s="823"/>
      <c r="M548" s="823"/>
      <c r="N548" s="823"/>
      <c r="O548" s="823"/>
      <c r="P548" s="823"/>
      <c r="Q548" s="823"/>
      <c r="R548" s="823"/>
      <c r="S548" s="823"/>
      <c r="T548" s="823"/>
      <c r="U548" s="823"/>
      <c r="V548" s="823"/>
      <c r="W548" s="823"/>
      <c r="X548" s="823"/>
      <c r="Y548" s="823"/>
      <c r="Z548" s="823"/>
      <c r="AA548" s="823"/>
      <c r="AB548" s="823"/>
    </row>
    <row r="549" hidden="1">
      <c r="A549" s="862">
        <v>45766.0</v>
      </c>
      <c r="B549" s="818" t="s">
        <v>14757</v>
      </c>
      <c r="C549" s="818" t="s">
        <v>14758</v>
      </c>
      <c r="D549" s="818" t="s">
        <v>13690</v>
      </c>
      <c r="E549" s="818" t="s">
        <v>13700</v>
      </c>
      <c r="F549" s="818" t="s">
        <v>3664</v>
      </c>
      <c r="G549" s="823"/>
      <c r="H549" s="823"/>
      <c r="I549" s="823"/>
      <c r="J549" s="823"/>
      <c r="K549" s="823"/>
      <c r="L549" s="823"/>
      <c r="M549" s="823"/>
      <c r="N549" s="823"/>
      <c r="O549" s="823"/>
      <c r="P549" s="823"/>
      <c r="Q549" s="823"/>
      <c r="R549" s="823"/>
      <c r="S549" s="823"/>
      <c r="T549" s="823"/>
      <c r="U549" s="823"/>
      <c r="V549" s="823"/>
      <c r="W549" s="823"/>
      <c r="X549" s="823"/>
      <c r="Y549" s="823"/>
      <c r="Z549" s="823"/>
      <c r="AA549" s="823"/>
      <c r="AB549" s="823"/>
    </row>
    <row r="550" hidden="1">
      <c r="A550" s="862">
        <v>45766.0</v>
      </c>
      <c r="B550" s="818" t="s">
        <v>14759</v>
      </c>
      <c r="C550" s="818" t="s">
        <v>14210</v>
      </c>
      <c r="D550" s="1101">
        <v>0.625</v>
      </c>
      <c r="E550" s="818" t="s">
        <v>13700</v>
      </c>
      <c r="F550" s="818" t="s">
        <v>3664</v>
      </c>
      <c r="G550" s="823"/>
      <c r="H550" s="823"/>
      <c r="I550" s="823"/>
      <c r="J550" s="823"/>
      <c r="K550" s="823"/>
      <c r="L550" s="823"/>
      <c r="M550" s="823"/>
      <c r="N550" s="823"/>
      <c r="O550" s="823"/>
      <c r="P550" s="823"/>
      <c r="Q550" s="823"/>
      <c r="R550" s="823"/>
      <c r="S550" s="823"/>
      <c r="T550" s="823"/>
      <c r="U550" s="823"/>
      <c r="V550" s="823"/>
      <c r="W550" s="823"/>
      <c r="X550" s="823"/>
      <c r="Y550" s="823"/>
      <c r="Z550" s="823"/>
      <c r="AA550" s="823"/>
      <c r="AB550" s="823"/>
    </row>
    <row r="551" hidden="1">
      <c r="A551" s="862">
        <v>45768.0</v>
      </c>
      <c r="B551" s="818" t="s">
        <v>14760</v>
      </c>
      <c r="C551" s="818" t="s">
        <v>14761</v>
      </c>
      <c r="D551" s="1101">
        <v>0.3333333333333333</v>
      </c>
      <c r="E551" s="818" t="s">
        <v>13700</v>
      </c>
      <c r="F551" s="818" t="s">
        <v>3664</v>
      </c>
      <c r="G551" s="823"/>
      <c r="H551" s="823"/>
      <c r="I551" s="823"/>
      <c r="J551" s="823"/>
      <c r="K551" s="823"/>
      <c r="L551" s="823"/>
      <c r="M551" s="823"/>
      <c r="N551" s="823"/>
      <c r="O551" s="823"/>
      <c r="P551" s="823"/>
      <c r="Q551" s="823"/>
      <c r="R551" s="823"/>
      <c r="S551" s="823"/>
      <c r="T551" s="823"/>
      <c r="U551" s="823"/>
      <c r="V551" s="823"/>
      <c r="W551" s="823"/>
      <c r="X551" s="823"/>
      <c r="Y551" s="823"/>
      <c r="Z551" s="823"/>
      <c r="AA551" s="823"/>
      <c r="AB551" s="823"/>
    </row>
    <row r="552" hidden="1">
      <c r="A552" s="862">
        <v>45769.0</v>
      </c>
      <c r="B552" s="818" t="s">
        <v>14762</v>
      </c>
      <c r="C552" s="738" t="s">
        <v>14763</v>
      </c>
      <c r="D552" s="1101"/>
      <c r="E552" s="818"/>
      <c r="F552" s="818" t="s">
        <v>4262</v>
      </c>
      <c r="G552" s="823"/>
      <c r="H552" s="823"/>
      <c r="I552" s="823"/>
      <c r="J552" s="823"/>
      <c r="K552" s="823"/>
      <c r="L552" s="823"/>
      <c r="M552" s="823"/>
      <c r="N552" s="823"/>
      <c r="O552" s="823"/>
      <c r="P552" s="823"/>
      <c r="Q552" s="823"/>
      <c r="R552" s="823"/>
      <c r="S552" s="823"/>
      <c r="T552" s="823"/>
      <c r="U552" s="823"/>
      <c r="V552" s="823"/>
      <c r="W552" s="823"/>
      <c r="X552" s="823"/>
      <c r="Y552" s="823"/>
      <c r="Z552" s="823"/>
      <c r="AA552" s="823"/>
      <c r="AB552" s="823"/>
    </row>
    <row r="553" hidden="1">
      <c r="A553" s="862">
        <v>45769.0</v>
      </c>
      <c r="B553" s="818" t="s">
        <v>14764</v>
      </c>
      <c r="C553" s="818" t="s">
        <v>14765</v>
      </c>
      <c r="D553" s="1101">
        <v>0.6666666666666666</v>
      </c>
      <c r="E553" s="818" t="s">
        <v>13700</v>
      </c>
      <c r="F553" s="818" t="s">
        <v>3664</v>
      </c>
      <c r="G553" s="823"/>
      <c r="H553" s="823"/>
      <c r="I553" s="823"/>
      <c r="J553" s="823"/>
      <c r="K553" s="823"/>
      <c r="L553" s="823"/>
      <c r="M553" s="823"/>
      <c r="N553" s="823"/>
      <c r="O553" s="823"/>
      <c r="P553" s="823"/>
      <c r="Q553" s="823"/>
      <c r="R553" s="823"/>
      <c r="S553" s="823"/>
      <c r="T553" s="823"/>
      <c r="U553" s="823"/>
      <c r="V553" s="823"/>
      <c r="W553" s="823"/>
      <c r="X553" s="823"/>
      <c r="Y553" s="823"/>
      <c r="Z553" s="823"/>
      <c r="AA553" s="823"/>
      <c r="AB553" s="823"/>
    </row>
    <row r="554" hidden="1">
      <c r="A554" s="862"/>
      <c r="B554" s="818" t="s">
        <v>14766</v>
      </c>
      <c r="C554" s="818" t="s">
        <v>14767</v>
      </c>
      <c r="D554" s="1101">
        <v>0.375</v>
      </c>
      <c r="E554" s="818" t="s">
        <v>14024</v>
      </c>
      <c r="F554" s="818" t="s">
        <v>4262</v>
      </c>
      <c r="G554" s="823"/>
      <c r="H554" s="823"/>
      <c r="I554" s="823"/>
      <c r="J554" s="823"/>
      <c r="K554" s="823"/>
      <c r="L554" s="823"/>
      <c r="M554" s="823"/>
      <c r="N554" s="823"/>
      <c r="O554" s="823"/>
      <c r="P554" s="823"/>
      <c r="Q554" s="823"/>
      <c r="R554" s="823"/>
      <c r="S554" s="823"/>
      <c r="T554" s="823"/>
      <c r="U554" s="823"/>
      <c r="V554" s="823"/>
      <c r="W554" s="823"/>
      <c r="X554" s="823"/>
      <c r="Y554" s="823"/>
      <c r="Z554" s="823"/>
      <c r="AA554" s="823"/>
      <c r="AB554" s="823"/>
    </row>
    <row r="555" hidden="1">
      <c r="A555" s="862">
        <v>45772.0</v>
      </c>
      <c r="B555" s="818" t="s">
        <v>14768</v>
      </c>
      <c r="C555" s="818" t="s">
        <v>14769</v>
      </c>
      <c r="D555" s="818" t="s">
        <v>14171</v>
      </c>
      <c r="E555" s="818" t="s">
        <v>13700</v>
      </c>
      <c r="F555" s="818" t="s">
        <v>4262</v>
      </c>
      <c r="G555" s="823"/>
      <c r="H555" s="823"/>
      <c r="I555" s="823"/>
      <c r="J555" s="823"/>
      <c r="K555" s="823"/>
      <c r="L555" s="823"/>
      <c r="M555" s="823"/>
      <c r="N555" s="823"/>
      <c r="O555" s="823"/>
      <c r="P555" s="823"/>
      <c r="Q555" s="823"/>
      <c r="R555" s="823"/>
      <c r="S555" s="823"/>
      <c r="T555" s="823"/>
      <c r="U555" s="823"/>
      <c r="V555" s="823"/>
      <c r="W555" s="823"/>
      <c r="X555" s="823"/>
      <c r="Y555" s="823"/>
      <c r="Z555" s="823"/>
      <c r="AA555" s="823"/>
      <c r="AB555" s="823"/>
    </row>
    <row r="556" hidden="1">
      <c r="A556" s="862">
        <v>45775.0</v>
      </c>
      <c r="B556" s="818" t="s">
        <v>14770</v>
      </c>
      <c r="C556" s="818" t="s">
        <v>14771</v>
      </c>
      <c r="D556" s="1101">
        <v>0.5416666666666666</v>
      </c>
      <c r="E556" s="818" t="s">
        <v>13700</v>
      </c>
      <c r="F556" s="818" t="s">
        <v>3883</v>
      </c>
      <c r="G556" s="823"/>
      <c r="H556" s="823"/>
      <c r="I556" s="823"/>
      <c r="J556" s="823"/>
      <c r="K556" s="823"/>
      <c r="L556" s="823"/>
      <c r="M556" s="823"/>
      <c r="N556" s="823"/>
      <c r="O556" s="823"/>
      <c r="P556" s="823"/>
      <c r="Q556" s="823"/>
      <c r="R556" s="823"/>
      <c r="S556" s="823"/>
      <c r="T556" s="823"/>
      <c r="U556" s="823"/>
      <c r="V556" s="823"/>
      <c r="W556" s="823"/>
      <c r="X556" s="823"/>
      <c r="Y556" s="823"/>
      <c r="Z556" s="823"/>
      <c r="AA556" s="823"/>
      <c r="AB556" s="823"/>
    </row>
    <row r="557" hidden="1">
      <c r="A557" s="862">
        <v>45776.0</v>
      </c>
      <c r="B557" s="818" t="s">
        <v>14772</v>
      </c>
      <c r="C557" s="818" t="s">
        <v>14773</v>
      </c>
      <c r="D557" s="818" t="s">
        <v>13696</v>
      </c>
      <c r="E557" s="818" t="s">
        <v>13700</v>
      </c>
      <c r="F557" s="818" t="s">
        <v>3799</v>
      </c>
      <c r="G557" s="823"/>
      <c r="H557" s="823"/>
      <c r="I557" s="823"/>
      <c r="J557" s="823"/>
      <c r="K557" s="823"/>
      <c r="L557" s="823"/>
      <c r="M557" s="823"/>
      <c r="N557" s="823"/>
      <c r="O557" s="823"/>
      <c r="P557" s="823"/>
      <c r="Q557" s="823"/>
      <c r="R557" s="823"/>
      <c r="S557" s="823"/>
      <c r="T557" s="823"/>
      <c r="U557" s="823"/>
      <c r="V557" s="823"/>
      <c r="W557" s="823"/>
      <c r="X557" s="823"/>
      <c r="Y557" s="823"/>
      <c r="Z557" s="823"/>
      <c r="AA557" s="823"/>
      <c r="AB557" s="823"/>
    </row>
    <row r="558" hidden="1">
      <c r="A558" s="862">
        <v>45777.0</v>
      </c>
      <c r="B558" s="818" t="s">
        <v>14774</v>
      </c>
      <c r="C558" s="818" t="s">
        <v>13910</v>
      </c>
      <c r="D558" s="1101">
        <v>0.3333333333333333</v>
      </c>
      <c r="E558" s="818" t="s">
        <v>13700</v>
      </c>
      <c r="F558" s="818" t="s">
        <v>4262</v>
      </c>
      <c r="G558" s="823"/>
      <c r="H558" s="823"/>
      <c r="I558" s="823"/>
      <c r="J558" s="823"/>
      <c r="K558" s="823"/>
      <c r="L558" s="823"/>
      <c r="M558" s="823"/>
      <c r="N558" s="823"/>
      <c r="O558" s="823"/>
      <c r="P558" s="823"/>
      <c r="Q558" s="823"/>
      <c r="R558" s="823"/>
      <c r="S558" s="823"/>
      <c r="T558" s="823"/>
      <c r="U558" s="823"/>
      <c r="V558" s="823"/>
      <c r="W558" s="823"/>
      <c r="X558" s="823"/>
      <c r="Y558" s="823"/>
      <c r="Z558" s="823"/>
      <c r="AA558" s="823"/>
      <c r="AB558" s="823"/>
    </row>
    <row r="559" hidden="1">
      <c r="A559" s="862">
        <v>45779.0</v>
      </c>
      <c r="B559" s="818" t="s">
        <v>14775</v>
      </c>
      <c r="C559" s="818" t="s">
        <v>14210</v>
      </c>
      <c r="D559" s="1101">
        <v>0.5416666666666666</v>
      </c>
      <c r="E559" s="818" t="s">
        <v>13700</v>
      </c>
      <c r="F559" s="818" t="s">
        <v>4258</v>
      </c>
      <c r="G559" s="823"/>
      <c r="H559" s="823"/>
      <c r="I559" s="823"/>
      <c r="J559" s="823"/>
      <c r="K559" s="823"/>
      <c r="L559" s="823"/>
      <c r="M559" s="823"/>
      <c r="N559" s="823"/>
      <c r="O559" s="823"/>
      <c r="P559" s="823"/>
      <c r="Q559" s="823"/>
      <c r="R559" s="823"/>
      <c r="S559" s="823"/>
      <c r="T559" s="823"/>
      <c r="U559" s="823"/>
      <c r="V559" s="823"/>
      <c r="W559" s="823"/>
      <c r="X559" s="823"/>
      <c r="Y559" s="823"/>
      <c r="Z559" s="823"/>
      <c r="AA559" s="823"/>
      <c r="AB559" s="823"/>
    </row>
    <row r="560" hidden="1">
      <c r="A560" s="862">
        <v>45782.0</v>
      </c>
      <c r="B560" s="818" t="s">
        <v>14776</v>
      </c>
      <c r="C560" s="818" t="s">
        <v>14777</v>
      </c>
      <c r="D560" s="1101">
        <v>0.5416666666666666</v>
      </c>
      <c r="E560" s="818" t="s">
        <v>13700</v>
      </c>
      <c r="F560" s="818" t="s">
        <v>4258</v>
      </c>
      <c r="G560" s="823"/>
      <c r="H560" s="823"/>
      <c r="I560" s="823"/>
      <c r="J560" s="823"/>
      <c r="K560" s="823"/>
      <c r="L560" s="823"/>
      <c r="M560" s="823"/>
      <c r="N560" s="823"/>
      <c r="O560" s="823"/>
      <c r="P560" s="823"/>
      <c r="Q560" s="823"/>
      <c r="R560" s="823"/>
      <c r="S560" s="823"/>
      <c r="T560" s="823"/>
      <c r="U560" s="823"/>
      <c r="V560" s="823"/>
      <c r="W560" s="823"/>
      <c r="X560" s="823"/>
      <c r="Y560" s="823"/>
      <c r="Z560" s="823"/>
      <c r="AA560" s="823"/>
      <c r="AB560" s="823"/>
    </row>
    <row r="561" hidden="1">
      <c r="A561" s="862">
        <v>45782.0</v>
      </c>
      <c r="B561" s="818" t="s">
        <v>14778</v>
      </c>
      <c r="C561" s="818" t="s">
        <v>14210</v>
      </c>
      <c r="D561" s="1101">
        <v>0.6458333333333334</v>
      </c>
      <c r="E561" s="818" t="s">
        <v>13700</v>
      </c>
      <c r="F561" s="818" t="s">
        <v>4258</v>
      </c>
      <c r="G561" s="823"/>
      <c r="H561" s="823"/>
      <c r="I561" s="823"/>
      <c r="J561" s="823"/>
      <c r="K561" s="823"/>
      <c r="L561" s="823"/>
      <c r="M561" s="823"/>
      <c r="N561" s="823"/>
      <c r="O561" s="823"/>
      <c r="P561" s="823"/>
      <c r="Q561" s="823"/>
      <c r="R561" s="823"/>
      <c r="S561" s="823"/>
      <c r="T561" s="823"/>
      <c r="U561" s="823"/>
      <c r="V561" s="823"/>
      <c r="W561" s="823"/>
      <c r="X561" s="823"/>
      <c r="Y561" s="823"/>
      <c r="Z561" s="823"/>
      <c r="AA561" s="823"/>
      <c r="AB561" s="823"/>
    </row>
    <row r="562" hidden="1">
      <c r="A562" s="862">
        <v>45783.0</v>
      </c>
      <c r="B562" s="818" t="s">
        <v>14779</v>
      </c>
      <c r="C562" s="818" t="s">
        <v>14780</v>
      </c>
      <c r="D562" s="1101">
        <v>0.5416666666666666</v>
      </c>
      <c r="E562" s="818" t="s">
        <v>13700</v>
      </c>
      <c r="F562" s="818" t="s">
        <v>3799</v>
      </c>
      <c r="G562" s="823"/>
      <c r="H562" s="823"/>
      <c r="I562" s="823"/>
      <c r="J562" s="823"/>
      <c r="K562" s="823"/>
      <c r="L562" s="823"/>
      <c r="M562" s="823"/>
      <c r="N562" s="823"/>
      <c r="O562" s="823"/>
      <c r="P562" s="823"/>
      <c r="Q562" s="823"/>
      <c r="R562" s="823"/>
      <c r="S562" s="823"/>
      <c r="T562" s="823"/>
      <c r="U562" s="823"/>
      <c r="V562" s="823"/>
      <c r="W562" s="823"/>
      <c r="X562" s="823"/>
      <c r="Y562" s="823"/>
      <c r="Z562" s="823"/>
      <c r="AA562" s="823"/>
      <c r="AB562" s="823"/>
    </row>
    <row r="563" hidden="1">
      <c r="A563" s="862">
        <v>45783.0</v>
      </c>
      <c r="B563" s="818" t="s">
        <v>14781</v>
      </c>
      <c r="C563" s="818" t="s">
        <v>14782</v>
      </c>
      <c r="D563" s="1101">
        <v>0.625</v>
      </c>
      <c r="E563" s="818" t="s">
        <v>13700</v>
      </c>
      <c r="F563" s="818" t="s">
        <v>4258</v>
      </c>
      <c r="G563" s="823"/>
      <c r="H563" s="823"/>
      <c r="I563" s="823"/>
      <c r="J563" s="823"/>
      <c r="K563" s="823"/>
      <c r="L563" s="823"/>
      <c r="M563" s="823"/>
      <c r="N563" s="823"/>
      <c r="O563" s="823"/>
      <c r="P563" s="823"/>
      <c r="Q563" s="823"/>
      <c r="R563" s="823"/>
      <c r="S563" s="823"/>
      <c r="T563" s="823"/>
      <c r="U563" s="823"/>
      <c r="V563" s="823"/>
      <c r="W563" s="823"/>
      <c r="X563" s="823"/>
      <c r="Y563" s="823"/>
      <c r="Z563" s="823"/>
      <c r="AA563" s="823"/>
      <c r="AB563" s="823"/>
    </row>
    <row r="564" hidden="1">
      <c r="A564" s="862">
        <v>45785.0</v>
      </c>
      <c r="B564" s="818" t="s">
        <v>14783</v>
      </c>
      <c r="C564" s="818" t="s">
        <v>14784</v>
      </c>
      <c r="D564" s="1101">
        <v>0.4583333333333333</v>
      </c>
      <c r="E564" s="818" t="s">
        <v>13700</v>
      </c>
      <c r="F564" s="818" t="s">
        <v>3664</v>
      </c>
      <c r="G564" s="823"/>
      <c r="H564" s="823"/>
      <c r="I564" s="823"/>
      <c r="J564" s="823"/>
      <c r="K564" s="823"/>
      <c r="L564" s="823"/>
      <c r="M564" s="823"/>
      <c r="N564" s="823"/>
      <c r="O564" s="823"/>
      <c r="P564" s="823"/>
      <c r="Q564" s="823"/>
      <c r="R564" s="823"/>
      <c r="S564" s="823"/>
      <c r="T564" s="823"/>
      <c r="U564" s="823"/>
      <c r="V564" s="823"/>
      <c r="W564" s="823"/>
      <c r="X564" s="823"/>
      <c r="Y564" s="823"/>
      <c r="Z564" s="823"/>
      <c r="AA564" s="823"/>
      <c r="AB564" s="823"/>
    </row>
    <row r="565" hidden="1">
      <c r="A565" s="862">
        <v>45785.0</v>
      </c>
      <c r="B565" s="818" t="s">
        <v>14785</v>
      </c>
      <c r="C565" s="818" t="s">
        <v>14786</v>
      </c>
      <c r="D565" s="818" t="s">
        <v>13868</v>
      </c>
      <c r="E565" s="818" t="s">
        <v>13700</v>
      </c>
      <c r="F565" s="818" t="s">
        <v>3883</v>
      </c>
      <c r="G565" s="823"/>
      <c r="H565" s="823"/>
      <c r="I565" s="823"/>
      <c r="J565" s="823"/>
      <c r="K565" s="823"/>
      <c r="L565" s="823"/>
      <c r="M565" s="823"/>
      <c r="N565" s="823"/>
      <c r="O565" s="823"/>
      <c r="P565" s="823"/>
      <c r="Q565" s="823"/>
      <c r="R565" s="823"/>
      <c r="S565" s="823"/>
      <c r="T565" s="823"/>
      <c r="U565" s="823"/>
      <c r="V565" s="823"/>
      <c r="W565" s="823"/>
      <c r="X565" s="823"/>
      <c r="Y565" s="823"/>
      <c r="Z565" s="823"/>
      <c r="AA565" s="823"/>
      <c r="AB565" s="823"/>
    </row>
    <row r="566" hidden="1">
      <c r="A566" s="862">
        <v>45786.0</v>
      </c>
      <c r="B566" s="818" t="s">
        <v>14787</v>
      </c>
      <c r="C566" s="818" t="s">
        <v>14788</v>
      </c>
      <c r="D566" s="818" t="s">
        <v>14789</v>
      </c>
      <c r="E566" s="818" t="s">
        <v>13700</v>
      </c>
      <c r="F566" s="818" t="s">
        <v>3883</v>
      </c>
      <c r="G566" s="823"/>
      <c r="H566" s="823"/>
      <c r="I566" s="823"/>
      <c r="J566" s="823"/>
      <c r="K566" s="823"/>
      <c r="L566" s="823"/>
      <c r="M566" s="823"/>
      <c r="N566" s="823"/>
      <c r="O566" s="823"/>
      <c r="P566" s="823"/>
      <c r="Q566" s="823"/>
      <c r="R566" s="823"/>
      <c r="S566" s="823"/>
      <c r="T566" s="823"/>
      <c r="U566" s="823"/>
      <c r="V566" s="823"/>
      <c r="W566" s="823"/>
      <c r="X566" s="823"/>
      <c r="Y566" s="823"/>
      <c r="Z566" s="823"/>
      <c r="AA566" s="823"/>
      <c r="AB566" s="823"/>
    </row>
    <row r="567" hidden="1">
      <c r="A567" s="862">
        <v>45787.0</v>
      </c>
      <c r="B567" s="818" t="s">
        <v>14790</v>
      </c>
      <c r="C567" s="818" t="s">
        <v>14791</v>
      </c>
      <c r="D567" s="818" t="s">
        <v>14792</v>
      </c>
      <c r="E567" s="818" t="s">
        <v>13700</v>
      </c>
      <c r="F567" s="818" t="s">
        <v>4258</v>
      </c>
      <c r="G567" s="823"/>
      <c r="H567" s="823"/>
      <c r="I567" s="823"/>
      <c r="J567" s="823"/>
      <c r="K567" s="823"/>
      <c r="L567" s="823"/>
      <c r="M567" s="823"/>
      <c r="N567" s="823"/>
      <c r="O567" s="823"/>
      <c r="P567" s="823"/>
      <c r="Q567" s="823"/>
      <c r="R567" s="823"/>
      <c r="S567" s="823"/>
      <c r="T567" s="823"/>
      <c r="U567" s="823"/>
      <c r="V567" s="823"/>
      <c r="W567" s="823"/>
      <c r="X567" s="823"/>
      <c r="Y567" s="823"/>
      <c r="Z567" s="823"/>
      <c r="AA567" s="823"/>
      <c r="AB567" s="823"/>
    </row>
    <row r="568" hidden="1">
      <c r="A568" s="862">
        <v>45787.0</v>
      </c>
      <c r="B568" s="818" t="s">
        <v>14793</v>
      </c>
      <c r="C568" s="818" t="s">
        <v>14794</v>
      </c>
      <c r="D568" s="1101">
        <v>0.3958333333333333</v>
      </c>
      <c r="E568" s="818" t="s">
        <v>13700</v>
      </c>
      <c r="F568" s="818" t="s">
        <v>4258</v>
      </c>
      <c r="G568" s="823"/>
      <c r="H568" s="823"/>
      <c r="I568" s="823"/>
      <c r="J568" s="823"/>
      <c r="K568" s="823"/>
      <c r="L568" s="823"/>
      <c r="M568" s="823"/>
      <c r="N568" s="823"/>
      <c r="O568" s="823"/>
      <c r="P568" s="823"/>
      <c r="Q568" s="823"/>
      <c r="R568" s="823"/>
      <c r="S568" s="823"/>
      <c r="T568" s="823"/>
      <c r="U568" s="823"/>
      <c r="V568" s="823"/>
      <c r="W568" s="823"/>
      <c r="X568" s="823"/>
      <c r="Y568" s="823"/>
      <c r="Z568" s="823"/>
      <c r="AA568" s="823"/>
      <c r="AB568" s="823"/>
    </row>
    <row r="569" hidden="1">
      <c r="A569" s="1114">
        <v>45787.0</v>
      </c>
      <c r="B569" s="1115" t="s">
        <v>14795</v>
      </c>
      <c r="C569" s="1115" t="s">
        <v>14796</v>
      </c>
      <c r="D569" s="1115" t="s">
        <v>14577</v>
      </c>
      <c r="E569" s="1115" t="s">
        <v>13700</v>
      </c>
      <c r="F569" s="1115" t="s">
        <v>3883</v>
      </c>
      <c r="G569" s="1116"/>
      <c r="H569" s="1116"/>
      <c r="I569" s="1116"/>
      <c r="J569" s="1116"/>
      <c r="K569" s="1116"/>
      <c r="L569" s="1116"/>
      <c r="M569" s="1116"/>
      <c r="N569" s="1116"/>
      <c r="O569" s="1116"/>
      <c r="P569" s="1116"/>
      <c r="Q569" s="1116"/>
      <c r="R569" s="1116"/>
      <c r="S569" s="1116"/>
      <c r="T569" s="1116"/>
      <c r="U569" s="1116"/>
      <c r="V569" s="1116"/>
      <c r="W569" s="1116"/>
      <c r="X569" s="1116"/>
      <c r="Y569" s="1116"/>
      <c r="Z569" s="1116"/>
      <c r="AA569" s="1116"/>
      <c r="AB569" s="1116"/>
    </row>
    <row r="570" hidden="1">
      <c r="A570" s="862">
        <v>45788.0</v>
      </c>
      <c r="B570" s="818" t="s">
        <v>14797</v>
      </c>
      <c r="C570" s="818" t="s">
        <v>14798</v>
      </c>
      <c r="D570" s="818" t="s">
        <v>13868</v>
      </c>
      <c r="E570" s="818" t="s">
        <v>13700</v>
      </c>
      <c r="F570" s="818" t="s">
        <v>3883</v>
      </c>
      <c r="G570" s="823"/>
      <c r="H570" s="823"/>
      <c r="I570" s="823"/>
      <c r="J570" s="823"/>
      <c r="K570" s="823"/>
      <c r="L570" s="823"/>
      <c r="M570" s="823"/>
      <c r="N570" s="823"/>
      <c r="O570" s="823"/>
      <c r="P570" s="823"/>
      <c r="Q570" s="823"/>
      <c r="R570" s="823"/>
      <c r="S570" s="823"/>
      <c r="T570" s="823"/>
      <c r="U570" s="823"/>
      <c r="V570" s="823"/>
      <c r="W570" s="823"/>
      <c r="X570" s="823"/>
      <c r="Y570" s="823"/>
      <c r="Z570" s="823"/>
      <c r="AA570" s="823"/>
      <c r="AB570" s="823"/>
    </row>
    <row r="571" hidden="1">
      <c r="A571" s="862">
        <v>45791.0</v>
      </c>
      <c r="B571" s="818" t="s">
        <v>14799</v>
      </c>
      <c r="C571" s="818" t="s">
        <v>14800</v>
      </c>
      <c r="D571" s="1101">
        <v>0.375</v>
      </c>
      <c r="E571" s="818" t="s">
        <v>13700</v>
      </c>
      <c r="F571" s="818" t="s">
        <v>4258</v>
      </c>
      <c r="G571" s="823"/>
      <c r="H571" s="823"/>
      <c r="I571" s="823"/>
      <c r="J571" s="823"/>
      <c r="K571" s="823"/>
      <c r="L571" s="823"/>
      <c r="M571" s="823"/>
      <c r="N571" s="823"/>
      <c r="O571" s="823"/>
      <c r="P571" s="823"/>
      <c r="Q571" s="823"/>
      <c r="R571" s="823"/>
      <c r="S571" s="823"/>
      <c r="T571" s="823"/>
      <c r="U571" s="823"/>
      <c r="V571" s="823"/>
      <c r="W571" s="823"/>
      <c r="X571" s="823"/>
      <c r="Y571" s="823"/>
      <c r="Z571" s="823"/>
      <c r="AA571" s="823"/>
      <c r="AB571" s="823"/>
    </row>
    <row r="572" hidden="1">
      <c r="A572" s="862">
        <v>45791.0</v>
      </c>
      <c r="B572" s="818" t="s">
        <v>14801</v>
      </c>
      <c r="C572" s="818" t="s">
        <v>14802</v>
      </c>
      <c r="D572" s="1101">
        <v>0.5416666666666666</v>
      </c>
      <c r="E572" s="818" t="s">
        <v>13700</v>
      </c>
      <c r="F572" s="818" t="s">
        <v>4262</v>
      </c>
      <c r="G572" s="823"/>
      <c r="H572" s="823"/>
      <c r="I572" s="823"/>
      <c r="J572" s="823"/>
      <c r="K572" s="823"/>
      <c r="L572" s="823"/>
      <c r="M572" s="823"/>
      <c r="N572" s="823"/>
      <c r="O572" s="823"/>
      <c r="P572" s="823"/>
      <c r="Q572" s="823"/>
      <c r="R572" s="823"/>
      <c r="S572" s="823"/>
      <c r="T572" s="823"/>
      <c r="U572" s="823"/>
      <c r="V572" s="823"/>
      <c r="W572" s="823"/>
      <c r="X572" s="823"/>
      <c r="Y572" s="823"/>
      <c r="Z572" s="823"/>
      <c r="AA572" s="823"/>
      <c r="AB572" s="823"/>
    </row>
    <row r="573" hidden="1">
      <c r="A573" s="862">
        <v>45792.0</v>
      </c>
      <c r="B573" s="818" t="s">
        <v>14803</v>
      </c>
      <c r="C573" s="818" t="s">
        <v>14804</v>
      </c>
      <c r="D573" s="818" t="s">
        <v>13722</v>
      </c>
      <c r="E573" s="818" t="s">
        <v>13700</v>
      </c>
      <c r="F573" s="818" t="s">
        <v>4258</v>
      </c>
      <c r="G573" s="823"/>
      <c r="H573" s="823"/>
      <c r="I573" s="823"/>
      <c r="J573" s="823"/>
      <c r="K573" s="823"/>
      <c r="L573" s="823"/>
      <c r="M573" s="823"/>
      <c r="N573" s="823"/>
      <c r="O573" s="823"/>
      <c r="P573" s="823"/>
      <c r="Q573" s="823"/>
      <c r="R573" s="823"/>
      <c r="S573" s="823"/>
      <c r="T573" s="823"/>
      <c r="U573" s="823"/>
      <c r="V573" s="823"/>
      <c r="W573" s="823"/>
      <c r="X573" s="823"/>
      <c r="Y573" s="823"/>
      <c r="Z573" s="823"/>
      <c r="AA573" s="823"/>
      <c r="AB573" s="823"/>
    </row>
    <row r="574" hidden="1">
      <c r="A574" s="862">
        <v>45793.0</v>
      </c>
      <c r="B574" s="818" t="s">
        <v>14805</v>
      </c>
      <c r="C574" s="818" t="s">
        <v>14806</v>
      </c>
      <c r="D574" s="1101">
        <v>0.3333333333333333</v>
      </c>
      <c r="E574" s="818" t="s">
        <v>13700</v>
      </c>
      <c r="F574" s="818" t="s">
        <v>3799</v>
      </c>
      <c r="G574" s="823"/>
      <c r="H574" s="823"/>
      <c r="I574" s="823"/>
      <c r="J574" s="823"/>
      <c r="K574" s="823"/>
      <c r="L574" s="823"/>
      <c r="M574" s="823"/>
      <c r="N574" s="823"/>
      <c r="O574" s="823"/>
      <c r="P574" s="823"/>
      <c r="Q574" s="823"/>
      <c r="R574" s="823"/>
      <c r="S574" s="823"/>
      <c r="T574" s="823"/>
      <c r="U574" s="823"/>
      <c r="V574" s="823"/>
      <c r="W574" s="823"/>
      <c r="X574" s="823"/>
      <c r="Y574" s="823"/>
      <c r="Z574" s="823"/>
      <c r="AA574" s="823"/>
      <c r="AB574" s="823"/>
    </row>
    <row r="575" hidden="1">
      <c r="A575" s="862">
        <v>45794.0</v>
      </c>
      <c r="B575" s="818" t="s">
        <v>14807</v>
      </c>
      <c r="C575" s="818" t="s">
        <v>14808</v>
      </c>
      <c r="D575" s="1101">
        <v>0.4583333333333333</v>
      </c>
      <c r="E575" s="818" t="s">
        <v>13700</v>
      </c>
      <c r="F575" s="818" t="s">
        <v>4262</v>
      </c>
      <c r="G575" s="823"/>
      <c r="H575" s="823"/>
      <c r="I575" s="823"/>
      <c r="J575" s="823"/>
      <c r="K575" s="823"/>
      <c r="L575" s="823"/>
      <c r="M575" s="823"/>
      <c r="N575" s="823"/>
      <c r="O575" s="823"/>
      <c r="P575" s="823"/>
      <c r="Q575" s="823"/>
      <c r="R575" s="823"/>
      <c r="S575" s="823"/>
      <c r="T575" s="823"/>
      <c r="U575" s="823"/>
      <c r="V575" s="823"/>
      <c r="W575" s="823"/>
      <c r="X575" s="823"/>
      <c r="Y575" s="823"/>
      <c r="Z575" s="823"/>
      <c r="AA575" s="823"/>
      <c r="AB575" s="823"/>
    </row>
    <row r="576" hidden="1">
      <c r="A576" s="862">
        <v>45796.0</v>
      </c>
      <c r="B576" s="818" t="s">
        <v>14809</v>
      </c>
      <c r="C576" s="1109" t="s">
        <v>14810</v>
      </c>
      <c r="D576" s="1101">
        <v>0.4166666666666667</v>
      </c>
      <c r="E576" s="818" t="s">
        <v>14024</v>
      </c>
      <c r="F576" s="818" t="s">
        <v>3883</v>
      </c>
      <c r="G576" s="823"/>
      <c r="H576" s="823"/>
      <c r="I576" s="823"/>
      <c r="J576" s="823"/>
      <c r="K576" s="823"/>
      <c r="L576" s="823"/>
      <c r="M576" s="823"/>
      <c r="N576" s="823"/>
      <c r="O576" s="823"/>
      <c r="P576" s="823"/>
      <c r="Q576" s="823"/>
      <c r="R576" s="823"/>
      <c r="S576" s="823"/>
      <c r="T576" s="823"/>
      <c r="U576" s="823"/>
      <c r="V576" s="823"/>
      <c r="W576" s="823"/>
      <c r="X576" s="823"/>
      <c r="Y576" s="823"/>
      <c r="Z576" s="823"/>
      <c r="AA576" s="823"/>
      <c r="AB576" s="823"/>
    </row>
    <row r="577" hidden="1">
      <c r="A577" s="862">
        <v>45799.0</v>
      </c>
      <c r="B577" s="818" t="s">
        <v>14811</v>
      </c>
      <c r="C577" s="818" t="s">
        <v>14812</v>
      </c>
      <c r="D577" s="818" t="s">
        <v>14139</v>
      </c>
      <c r="E577" s="818" t="s">
        <v>13700</v>
      </c>
      <c r="F577" s="818" t="s">
        <v>3883</v>
      </c>
      <c r="G577" s="823"/>
      <c r="H577" s="823"/>
      <c r="I577" s="823"/>
      <c r="J577" s="823"/>
      <c r="K577" s="823"/>
      <c r="L577" s="823"/>
      <c r="M577" s="823"/>
      <c r="N577" s="823"/>
      <c r="O577" s="823"/>
      <c r="P577" s="823"/>
      <c r="Q577" s="823"/>
      <c r="R577" s="823"/>
      <c r="S577" s="823"/>
      <c r="T577" s="823"/>
      <c r="U577" s="823"/>
      <c r="V577" s="823"/>
      <c r="W577" s="823"/>
      <c r="X577" s="823"/>
      <c r="Y577" s="823"/>
      <c r="Z577" s="823"/>
      <c r="AA577" s="823"/>
      <c r="AB577" s="823"/>
    </row>
    <row r="578" hidden="1">
      <c r="A578" s="862">
        <v>45799.0</v>
      </c>
      <c r="B578" s="818" t="s">
        <v>14813</v>
      </c>
      <c r="C578" s="818" t="s">
        <v>14814</v>
      </c>
      <c r="D578" s="1101">
        <v>0.5</v>
      </c>
      <c r="E578" s="818" t="s">
        <v>13700</v>
      </c>
      <c r="F578" s="818" t="s">
        <v>3883</v>
      </c>
      <c r="G578" s="823"/>
      <c r="H578" s="823"/>
      <c r="I578" s="823"/>
      <c r="J578" s="823"/>
      <c r="K578" s="823"/>
      <c r="L578" s="823"/>
      <c r="M578" s="823"/>
      <c r="N578" s="823"/>
      <c r="O578" s="823"/>
      <c r="P578" s="823"/>
      <c r="Q578" s="823"/>
      <c r="R578" s="823"/>
      <c r="S578" s="823"/>
      <c r="T578" s="823"/>
      <c r="U578" s="823"/>
      <c r="V578" s="823"/>
      <c r="W578" s="823"/>
      <c r="X578" s="823"/>
      <c r="Y578" s="823"/>
      <c r="Z578" s="823"/>
      <c r="AA578" s="823"/>
      <c r="AB578" s="823"/>
    </row>
    <row r="579" hidden="1">
      <c r="A579" s="862">
        <v>45800.0</v>
      </c>
      <c r="B579" s="818" t="s">
        <v>14815</v>
      </c>
      <c r="C579" s="818" t="s">
        <v>14816</v>
      </c>
      <c r="D579" s="1101">
        <v>0.5416666666666666</v>
      </c>
      <c r="E579" s="818" t="s">
        <v>13700</v>
      </c>
      <c r="F579" s="818" t="s">
        <v>4262</v>
      </c>
      <c r="G579" s="823"/>
      <c r="H579" s="823"/>
      <c r="I579" s="823"/>
      <c r="J579" s="823"/>
      <c r="K579" s="823"/>
      <c r="L579" s="823"/>
      <c r="M579" s="823"/>
      <c r="N579" s="823"/>
      <c r="O579" s="823"/>
      <c r="P579" s="823"/>
      <c r="Q579" s="823"/>
      <c r="R579" s="823"/>
      <c r="S579" s="823"/>
      <c r="T579" s="823"/>
      <c r="U579" s="823"/>
      <c r="V579" s="823"/>
      <c r="W579" s="823"/>
      <c r="X579" s="823"/>
      <c r="Y579" s="823"/>
      <c r="Z579" s="823"/>
      <c r="AA579" s="823"/>
      <c r="AB579" s="823"/>
    </row>
    <row r="580" hidden="1">
      <c r="A580" s="862">
        <v>45801.0</v>
      </c>
      <c r="B580" s="818" t="s">
        <v>14817</v>
      </c>
      <c r="C580" s="818">
        <v>2171.0</v>
      </c>
      <c r="D580" s="818" t="s">
        <v>13746</v>
      </c>
      <c r="E580" s="818" t="s">
        <v>13746</v>
      </c>
      <c r="F580" s="818" t="s">
        <v>4262</v>
      </c>
      <c r="G580" s="823"/>
      <c r="H580" s="823"/>
      <c r="I580" s="823"/>
      <c r="J580" s="823"/>
      <c r="K580" s="823"/>
      <c r="L580" s="823"/>
      <c r="M580" s="823"/>
      <c r="N580" s="823"/>
      <c r="O580" s="823"/>
      <c r="P580" s="823"/>
      <c r="Q580" s="823"/>
      <c r="R580" s="823"/>
      <c r="S580" s="823"/>
      <c r="T580" s="823"/>
      <c r="U580" s="823"/>
      <c r="V580" s="823"/>
      <c r="W580" s="823"/>
      <c r="X580" s="823"/>
      <c r="Y580" s="823"/>
      <c r="Z580" s="823"/>
      <c r="AA580" s="823"/>
      <c r="AB580" s="823"/>
    </row>
    <row r="581" hidden="1">
      <c r="A581" s="862">
        <v>45801.0</v>
      </c>
      <c r="B581" s="818" t="s">
        <v>14818</v>
      </c>
      <c r="C581" s="818" t="s">
        <v>14819</v>
      </c>
      <c r="D581" s="818" t="s">
        <v>13722</v>
      </c>
      <c r="E581" s="818" t="s">
        <v>13700</v>
      </c>
      <c r="F581" s="818" t="s">
        <v>4262</v>
      </c>
      <c r="G581" s="823"/>
      <c r="H581" s="823"/>
      <c r="I581" s="823"/>
      <c r="J581" s="823"/>
      <c r="K581" s="823"/>
      <c r="L581" s="823"/>
      <c r="M581" s="823"/>
      <c r="N581" s="823"/>
      <c r="O581" s="823"/>
      <c r="P581" s="823"/>
      <c r="Q581" s="823"/>
      <c r="R581" s="823"/>
      <c r="S581" s="823"/>
      <c r="T581" s="823"/>
      <c r="U581" s="823"/>
      <c r="V581" s="823"/>
      <c r="W581" s="823"/>
      <c r="X581" s="823"/>
      <c r="Y581" s="823"/>
      <c r="Z581" s="823"/>
      <c r="AA581" s="823"/>
      <c r="AB581" s="823"/>
    </row>
    <row r="582" hidden="1">
      <c r="A582" s="862">
        <v>45801.0</v>
      </c>
      <c r="B582" s="818" t="s">
        <v>14820</v>
      </c>
      <c r="C582" s="818" t="s">
        <v>14821</v>
      </c>
      <c r="D582" s="1101">
        <v>0.4166666666666667</v>
      </c>
      <c r="E582" s="818" t="s">
        <v>13700</v>
      </c>
      <c r="F582" s="818" t="s">
        <v>4262</v>
      </c>
      <c r="G582" s="823"/>
      <c r="H582" s="823"/>
      <c r="I582" s="823"/>
      <c r="J582" s="823"/>
      <c r="K582" s="823"/>
      <c r="L582" s="823"/>
      <c r="M582" s="823"/>
      <c r="N582" s="823"/>
      <c r="O582" s="823"/>
      <c r="P582" s="823"/>
      <c r="Q582" s="823"/>
      <c r="R582" s="823"/>
      <c r="S582" s="823"/>
      <c r="T582" s="823"/>
      <c r="U582" s="823"/>
      <c r="V582" s="823"/>
      <c r="W582" s="823"/>
      <c r="X582" s="823"/>
      <c r="Y582" s="823"/>
      <c r="Z582" s="823"/>
      <c r="AA582" s="823"/>
      <c r="AB582" s="823"/>
    </row>
    <row r="583" hidden="1">
      <c r="A583" s="862">
        <v>45801.0</v>
      </c>
      <c r="B583" s="818" t="s">
        <v>14822</v>
      </c>
      <c r="C583" s="818" t="s">
        <v>14823</v>
      </c>
      <c r="D583" s="1101">
        <v>0.6666666666666666</v>
      </c>
      <c r="E583" s="818" t="s">
        <v>13676</v>
      </c>
      <c r="F583" s="818" t="s">
        <v>3799</v>
      </c>
      <c r="G583" s="823"/>
      <c r="H583" s="823"/>
      <c r="I583" s="823"/>
      <c r="J583" s="823"/>
      <c r="K583" s="823"/>
      <c r="L583" s="823"/>
      <c r="M583" s="823"/>
      <c r="N583" s="823"/>
      <c r="O583" s="823"/>
      <c r="P583" s="823"/>
      <c r="Q583" s="823"/>
      <c r="R583" s="823"/>
      <c r="S583" s="823"/>
      <c r="T583" s="823"/>
      <c r="U583" s="823"/>
      <c r="V583" s="823"/>
      <c r="W583" s="823"/>
      <c r="X583" s="823"/>
      <c r="Y583" s="823"/>
      <c r="Z583" s="823"/>
      <c r="AA583" s="823"/>
      <c r="AB583" s="823"/>
    </row>
    <row r="584" hidden="1">
      <c r="A584" s="862"/>
      <c r="B584" s="818" t="s">
        <v>14824</v>
      </c>
      <c r="C584" s="818" t="s">
        <v>14825</v>
      </c>
      <c r="D584" s="1101">
        <v>0.6666666666666666</v>
      </c>
      <c r="E584" s="818" t="s">
        <v>14024</v>
      </c>
      <c r="F584" s="818" t="s">
        <v>4262</v>
      </c>
      <c r="G584" s="818" t="s">
        <v>11475</v>
      </c>
      <c r="H584" s="823"/>
      <c r="I584" s="823"/>
      <c r="J584" s="823"/>
      <c r="K584" s="823"/>
      <c r="L584" s="823"/>
      <c r="M584" s="823"/>
      <c r="N584" s="823"/>
      <c r="O584" s="823"/>
      <c r="P584" s="823"/>
      <c r="Q584" s="823"/>
      <c r="R584" s="823"/>
      <c r="S584" s="823"/>
      <c r="T584" s="823"/>
      <c r="U584" s="823"/>
      <c r="V584" s="823"/>
      <c r="W584" s="823"/>
      <c r="X584" s="823"/>
      <c r="Y584" s="823"/>
      <c r="Z584" s="823"/>
      <c r="AA584" s="823"/>
      <c r="AB584" s="823"/>
    </row>
    <row r="585" hidden="1">
      <c r="A585" s="862">
        <v>45803.0</v>
      </c>
      <c r="B585" s="818" t="s">
        <v>14826</v>
      </c>
      <c r="C585" s="738" t="s">
        <v>14827</v>
      </c>
      <c r="D585" s="1101">
        <v>0.5416666666666666</v>
      </c>
      <c r="E585" s="818" t="s">
        <v>13700</v>
      </c>
      <c r="F585" s="818" t="s">
        <v>4262</v>
      </c>
      <c r="G585" s="823"/>
      <c r="H585" s="823"/>
      <c r="I585" s="823"/>
      <c r="J585" s="823"/>
      <c r="K585" s="823"/>
      <c r="L585" s="823"/>
      <c r="M585" s="823"/>
      <c r="N585" s="823"/>
      <c r="O585" s="823"/>
      <c r="P585" s="823"/>
      <c r="Q585" s="823"/>
      <c r="R585" s="823"/>
      <c r="S585" s="823"/>
      <c r="T585" s="823"/>
      <c r="U585" s="823"/>
      <c r="V585" s="823"/>
      <c r="W585" s="823"/>
      <c r="X585" s="823"/>
      <c r="Y585" s="823"/>
      <c r="Z585" s="823"/>
      <c r="AA585" s="823"/>
      <c r="AB585" s="823"/>
    </row>
    <row r="586" hidden="1">
      <c r="A586" s="862">
        <v>45804.0</v>
      </c>
      <c r="B586" s="818" t="s">
        <v>14828</v>
      </c>
      <c r="C586" s="818" t="s">
        <v>14829</v>
      </c>
      <c r="D586" s="1101">
        <v>0.3333333333333333</v>
      </c>
      <c r="E586" s="818" t="s">
        <v>13700</v>
      </c>
      <c r="F586" s="818" t="s">
        <v>4258</v>
      </c>
      <c r="G586" s="823"/>
      <c r="H586" s="823"/>
      <c r="I586" s="823"/>
      <c r="J586" s="823"/>
      <c r="K586" s="823"/>
      <c r="L586" s="823"/>
      <c r="M586" s="823"/>
      <c r="N586" s="823"/>
      <c r="O586" s="823"/>
      <c r="P586" s="823"/>
      <c r="Q586" s="823"/>
      <c r="R586" s="823"/>
      <c r="S586" s="823"/>
      <c r="T586" s="823"/>
      <c r="U586" s="823"/>
      <c r="V586" s="823"/>
      <c r="W586" s="823"/>
      <c r="X586" s="823"/>
      <c r="Y586" s="823"/>
      <c r="Z586" s="823"/>
      <c r="AA586" s="823"/>
      <c r="AB586" s="823"/>
    </row>
    <row r="587" hidden="1">
      <c r="A587" s="862">
        <v>45804.0</v>
      </c>
      <c r="B587" s="818" t="s">
        <v>14830</v>
      </c>
      <c r="C587" s="818" t="s">
        <v>14831</v>
      </c>
      <c r="D587" s="1101">
        <v>0.375</v>
      </c>
      <c r="E587" s="818" t="s">
        <v>14453</v>
      </c>
      <c r="F587" s="818" t="s">
        <v>3799</v>
      </c>
      <c r="G587" s="823"/>
      <c r="H587" s="823"/>
      <c r="I587" s="823"/>
      <c r="J587" s="823"/>
      <c r="K587" s="823"/>
      <c r="L587" s="823"/>
      <c r="M587" s="823"/>
      <c r="N587" s="823"/>
      <c r="O587" s="823"/>
      <c r="P587" s="823"/>
      <c r="Q587" s="823"/>
      <c r="R587" s="823"/>
      <c r="S587" s="823"/>
      <c r="T587" s="823"/>
      <c r="U587" s="823"/>
      <c r="V587" s="823"/>
      <c r="W587" s="823"/>
      <c r="X587" s="823"/>
      <c r="Y587" s="823"/>
      <c r="Z587" s="823"/>
      <c r="AA587" s="823"/>
      <c r="AB587" s="823"/>
    </row>
    <row r="588" hidden="1">
      <c r="A588" s="862">
        <v>45804.0</v>
      </c>
      <c r="B588" s="818" t="s">
        <v>14832</v>
      </c>
      <c r="C588" s="818" t="s">
        <v>14833</v>
      </c>
      <c r="D588" s="1101">
        <v>0.4166666666666667</v>
      </c>
      <c r="E588" s="818" t="s">
        <v>13700</v>
      </c>
      <c r="F588" s="818" t="s">
        <v>3664</v>
      </c>
      <c r="G588" s="823"/>
      <c r="H588" s="823"/>
      <c r="I588" s="823"/>
      <c r="J588" s="823"/>
      <c r="K588" s="823"/>
      <c r="L588" s="823"/>
      <c r="M588" s="823"/>
      <c r="N588" s="823"/>
      <c r="O588" s="823"/>
      <c r="P588" s="823"/>
      <c r="Q588" s="823"/>
      <c r="R588" s="823"/>
      <c r="S588" s="823"/>
      <c r="T588" s="823"/>
      <c r="U588" s="823"/>
      <c r="V588" s="823"/>
      <c r="W588" s="823"/>
      <c r="X588" s="823"/>
      <c r="Y588" s="823"/>
      <c r="Z588" s="823"/>
      <c r="AA588" s="823"/>
      <c r="AB588" s="823"/>
    </row>
    <row r="589" hidden="1">
      <c r="A589" s="862">
        <v>45804.0</v>
      </c>
      <c r="B589" s="818" t="s">
        <v>14834</v>
      </c>
      <c r="C589" s="818" t="s">
        <v>14835</v>
      </c>
      <c r="D589" s="1101">
        <v>0.5833333333333334</v>
      </c>
      <c r="E589" s="818" t="s">
        <v>13700</v>
      </c>
      <c r="F589" s="818" t="s">
        <v>3664</v>
      </c>
      <c r="G589" s="823"/>
      <c r="H589" s="823"/>
      <c r="I589" s="823"/>
      <c r="J589" s="823"/>
      <c r="K589" s="823"/>
      <c r="L589" s="823"/>
      <c r="M589" s="823"/>
      <c r="N589" s="823"/>
      <c r="O589" s="823"/>
      <c r="P589" s="823"/>
      <c r="Q589" s="823"/>
      <c r="R589" s="823"/>
      <c r="S589" s="823"/>
      <c r="T589" s="823"/>
      <c r="U589" s="823"/>
      <c r="V589" s="823"/>
      <c r="W589" s="823"/>
      <c r="X589" s="823"/>
      <c r="Y589" s="823"/>
      <c r="Z589" s="823"/>
      <c r="AA589" s="823"/>
      <c r="AB589" s="823"/>
    </row>
    <row r="590" hidden="1">
      <c r="A590" s="862">
        <v>45805.0</v>
      </c>
      <c r="B590" s="818" t="s">
        <v>14836</v>
      </c>
      <c r="C590" s="738" t="s">
        <v>14837</v>
      </c>
      <c r="D590" s="818" t="s">
        <v>14139</v>
      </c>
      <c r="E590" s="818" t="s">
        <v>13700</v>
      </c>
      <c r="F590" s="818" t="s">
        <v>4262</v>
      </c>
      <c r="G590" s="823"/>
      <c r="H590" s="823"/>
      <c r="I590" s="823"/>
      <c r="J590" s="823"/>
      <c r="K590" s="823"/>
      <c r="L590" s="823"/>
      <c r="M590" s="823"/>
      <c r="N590" s="823"/>
      <c r="O590" s="823"/>
      <c r="P590" s="823"/>
      <c r="Q590" s="823"/>
      <c r="R590" s="823"/>
      <c r="S590" s="823"/>
      <c r="T590" s="823"/>
      <c r="U590" s="823"/>
      <c r="V590" s="823"/>
      <c r="W590" s="823"/>
      <c r="X590" s="823"/>
      <c r="Y590" s="823"/>
      <c r="Z590" s="823"/>
      <c r="AA590" s="823"/>
      <c r="AB590" s="823"/>
    </row>
    <row r="591" hidden="1">
      <c r="A591" s="862">
        <v>45807.0</v>
      </c>
      <c r="B591" s="818" t="s">
        <v>14838</v>
      </c>
      <c r="C591" s="738" t="s">
        <v>14839</v>
      </c>
      <c r="D591" s="1101">
        <v>0.375</v>
      </c>
      <c r="E591" s="818" t="s">
        <v>13700</v>
      </c>
      <c r="F591" s="818" t="s">
        <v>3883</v>
      </c>
      <c r="G591" s="823"/>
      <c r="H591" s="823"/>
      <c r="I591" s="823"/>
      <c r="J591" s="823"/>
      <c r="K591" s="823"/>
      <c r="L591" s="823"/>
      <c r="M591" s="823"/>
      <c r="N591" s="823"/>
      <c r="O591" s="823"/>
      <c r="P591" s="823"/>
      <c r="Q591" s="823"/>
      <c r="R591" s="823"/>
      <c r="S591" s="823"/>
      <c r="T591" s="823"/>
      <c r="U591" s="823"/>
      <c r="V591" s="823"/>
      <c r="W591" s="823"/>
      <c r="X591" s="823"/>
      <c r="Y591" s="823"/>
      <c r="Z591" s="823"/>
      <c r="AA591" s="823"/>
      <c r="AB591" s="823"/>
    </row>
    <row r="592" hidden="1">
      <c r="A592" s="862">
        <v>45807.0</v>
      </c>
      <c r="B592" s="818" t="s">
        <v>14840</v>
      </c>
      <c r="C592" s="738" t="s">
        <v>14426</v>
      </c>
      <c r="D592" s="1101">
        <v>0.5416666666666666</v>
      </c>
      <c r="E592" s="818" t="s">
        <v>13700</v>
      </c>
      <c r="F592" s="818" t="s">
        <v>4262</v>
      </c>
      <c r="G592" s="823"/>
      <c r="H592" s="823"/>
      <c r="I592" s="823"/>
      <c r="J592" s="823"/>
      <c r="K592" s="823"/>
      <c r="L592" s="823"/>
      <c r="M592" s="823"/>
      <c r="N592" s="823"/>
      <c r="O592" s="823"/>
      <c r="P592" s="823"/>
      <c r="Q592" s="823"/>
      <c r="R592" s="823"/>
      <c r="S592" s="823"/>
      <c r="T592" s="823"/>
      <c r="U592" s="823"/>
      <c r="V592" s="823"/>
      <c r="W592" s="823"/>
      <c r="X592" s="823"/>
      <c r="Y592" s="823"/>
      <c r="Z592" s="823"/>
      <c r="AA592" s="823"/>
      <c r="AB592" s="823"/>
    </row>
    <row r="593" hidden="1">
      <c r="A593" s="862">
        <v>45807.0</v>
      </c>
      <c r="B593" s="818" t="s">
        <v>14841</v>
      </c>
      <c r="C593" s="738" t="s">
        <v>14842</v>
      </c>
      <c r="D593" s="1101">
        <v>0.4583333333333333</v>
      </c>
      <c r="E593" s="818" t="s">
        <v>13700</v>
      </c>
      <c r="F593" s="818" t="s">
        <v>3883</v>
      </c>
      <c r="G593" s="823"/>
      <c r="H593" s="823"/>
      <c r="I593" s="823"/>
      <c r="J593" s="823"/>
      <c r="K593" s="823"/>
      <c r="L593" s="823"/>
      <c r="M593" s="823"/>
      <c r="N593" s="823"/>
      <c r="O593" s="823"/>
      <c r="P593" s="823"/>
      <c r="Q593" s="823"/>
      <c r="R593" s="823"/>
      <c r="S593" s="823"/>
      <c r="T593" s="823"/>
      <c r="U593" s="823"/>
      <c r="V593" s="823"/>
      <c r="W593" s="823"/>
      <c r="X593" s="823"/>
      <c r="Y593" s="823"/>
      <c r="Z593" s="823"/>
      <c r="AA593" s="823"/>
      <c r="AB593" s="823"/>
    </row>
    <row r="594" hidden="1">
      <c r="A594" s="862">
        <v>45809.0</v>
      </c>
      <c r="B594" s="818" t="s">
        <v>14843</v>
      </c>
      <c r="C594" s="738" t="s">
        <v>14844</v>
      </c>
      <c r="D594" s="1101">
        <v>0.375</v>
      </c>
      <c r="E594" s="818" t="s">
        <v>13700</v>
      </c>
      <c r="F594" s="818" t="s">
        <v>3883</v>
      </c>
      <c r="G594" s="823"/>
      <c r="H594" s="823"/>
      <c r="I594" s="823"/>
      <c r="J594" s="823"/>
      <c r="K594" s="823"/>
      <c r="L594" s="823"/>
      <c r="M594" s="823"/>
      <c r="N594" s="823"/>
      <c r="O594" s="823"/>
      <c r="P594" s="823"/>
      <c r="Q594" s="823"/>
      <c r="R594" s="823"/>
      <c r="S594" s="823"/>
      <c r="T594" s="823"/>
      <c r="U594" s="823"/>
      <c r="V594" s="823"/>
      <c r="W594" s="823"/>
      <c r="X594" s="823"/>
      <c r="Y594" s="823"/>
      <c r="Z594" s="823"/>
      <c r="AA594" s="823"/>
      <c r="AB594" s="823"/>
    </row>
    <row r="595" hidden="1">
      <c r="A595" s="862">
        <v>45810.0</v>
      </c>
      <c r="B595" s="818" t="s">
        <v>14845</v>
      </c>
      <c r="C595" s="738" t="s">
        <v>14846</v>
      </c>
      <c r="D595" s="1101">
        <v>0.5416666666666666</v>
      </c>
      <c r="E595" s="818" t="s">
        <v>13700</v>
      </c>
      <c r="F595" s="818" t="s">
        <v>4262</v>
      </c>
      <c r="G595" s="823"/>
      <c r="H595" s="823"/>
      <c r="I595" s="823"/>
      <c r="J595" s="823"/>
      <c r="K595" s="823"/>
      <c r="L595" s="823"/>
      <c r="M595" s="823"/>
      <c r="N595" s="823"/>
      <c r="O595" s="823"/>
      <c r="P595" s="823"/>
      <c r="Q595" s="823"/>
      <c r="R595" s="823"/>
      <c r="S595" s="823"/>
      <c r="T595" s="823"/>
      <c r="U595" s="823"/>
      <c r="V595" s="823"/>
      <c r="W595" s="823"/>
      <c r="X595" s="823"/>
      <c r="Y595" s="823"/>
      <c r="Z595" s="823"/>
      <c r="AA595" s="823"/>
      <c r="AB595" s="823"/>
    </row>
    <row r="596" hidden="1">
      <c r="A596" s="862">
        <v>45810.0</v>
      </c>
      <c r="B596" s="818" t="s">
        <v>14847</v>
      </c>
      <c r="C596" s="818" t="s">
        <v>14848</v>
      </c>
      <c r="D596" s="1101">
        <v>0.5416666666666666</v>
      </c>
      <c r="E596" s="818" t="s">
        <v>13700</v>
      </c>
      <c r="F596" s="818" t="s">
        <v>3799</v>
      </c>
      <c r="G596" s="823"/>
      <c r="H596" s="823"/>
      <c r="I596" s="823"/>
      <c r="J596" s="823"/>
      <c r="K596" s="823"/>
      <c r="L596" s="823"/>
      <c r="M596" s="823"/>
      <c r="N596" s="823"/>
      <c r="O596" s="823"/>
      <c r="P596" s="823"/>
      <c r="Q596" s="823"/>
      <c r="R596" s="823"/>
      <c r="S596" s="823"/>
      <c r="T596" s="823"/>
      <c r="U596" s="823"/>
      <c r="V596" s="823"/>
      <c r="W596" s="823"/>
      <c r="X596" s="823"/>
      <c r="Y596" s="823"/>
      <c r="Z596" s="823"/>
      <c r="AA596" s="823"/>
      <c r="AB596" s="823"/>
    </row>
    <row r="597" hidden="1">
      <c r="A597" s="862">
        <v>45811.0</v>
      </c>
      <c r="B597" s="818" t="s">
        <v>14849</v>
      </c>
      <c r="C597" s="818" t="s">
        <v>14850</v>
      </c>
      <c r="D597" s="1101">
        <v>0.5416666666666666</v>
      </c>
      <c r="E597" s="818" t="s">
        <v>13676</v>
      </c>
      <c r="F597" s="818" t="s">
        <v>3799</v>
      </c>
      <c r="G597" s="823"/>
      <c r="H597" s="823"/>
      <c r="I597" s="823"/>
      <c r="J597" s="823"/>
      <c r="K597" s="823"/>
      <c r="L597" s="823"/>
      <c r="M597" s="823"/>
      <c r="N597" s="823"/>
      <c r="O597" s="823"/>
      <c r="P597" s="823"/>
      <c r="Q597" s="823"/>
      <c r="R597" s="823"/>
      <c r="S597" s="823"/>
      <c r="T597" s="823"/>
      <c r="U597" s="823"/>
      <c r="V597" s="823"/>
      <c r="W597" s="823"/>
      <c r="X597" s="823"/>
      <c r="Y597" s="823"/>
      <c r="Z597" s="823"/>
      <c r="AA597" s="823"/>
      <c r="AB597" s="823"/>
    </row>
    <row r="598" hidden="1">
      <c r="A598" s="862">
        <v>45811.0</v>
      </c>
      <c r="B598" s="818" t="s">
        <v>14851</v>
      </c>
      <c r="C598" s="818" t="s">
        <v>14852</v>
      </c>
      <c r="D598" s="1101">
        <v>0.5</v>
      </c>
      <c r="E598" s="818" t="s">
        <v>13700</v>
      </c>
      <c r="F598" s="818" t="s">
        <v>4258</v>
      </c>
      <c r="G598" s="823"/>
      <c r="H598" s="823"/>
      <c r="I598" s="823"/>
      <c r="J598" s="823"/>
      <c r="K598" s="823"/>
      <c r="L598" s="823"/>
      <c r="M598" s="823"/>
      <c r="N598" s="823"/>
      <c r="O598" s="823"/>
      <c r="P598" s="823"/>
      <c r="Q598" s="823"/>
      <c r="R598" s="823"/>
      <c r="S598" s="823"/>
      <c r="T598" s="823"/>
      <c r="U598" s="823"/>
      <c r="V598" s="823"/>
      <c r="W598" s="823"/>
      <c r="X598" s="823"/>
      <c r="Y598" s="823"/>
      <c r="Z598" s="823"/>
      <c r="AA598" s="823"/>
      <c r="AB598" s="823"/>
    </row>
    <row r="599" hidden="1">
      <c r="A599" s="862">
        <v>45812.0</v>
      </c>
      <c r="B599" s="818" t="s">
        <v>14853</v>
      </c>
      <c r="C599" s="818" t="s">
        <v>14854</v>
      </c>
      <c r="D599" s="1101">
        <v>0.4583333333333333</v>
      </c>
      <c r="E599" s="818" t="s">
        <v>13700</v>
      </c>
      <c r="F599" s="818" t="s">
        <v>4258</v>
      </c>
      <c r="G599" s="823"/>
      <c r="H599" s="823"/>
      <c r="I599" s="823"/>
      <c r="J599" s="823"/>
      <c r="K599" s="823"/>
      <c r="L599" s="823"/>
      <c r="M599" s="823"/>
      <c r="N599" s="823"/>
      <c r="O599" s="823"/>
      <c r="P599" s="823"/>
      <c r="Q599" s="823"/>
      <c r="R599" s="823"/>
      <c r="S599" s="823"/>
      <c r="T599" s="823"/>
      <c r="U599" s="823"/>
      <c r="V599" s="823"/>
      <c r="W599" s="823"/>
      <c r="X599" s="823"/>
      <c r="Y599" s="823"/>
      <c r="Z599" s="823"/>
      <c r="AA599" s="823"/>
      <c r="AB599" s="823"/>
    </row>
    <row r="600" hidden="1">
      <c r="A600" s="862">
        <v>45812.0</v>
      </c>
      <c r="B600" s="818" t="s">
        <v>14855</v>
      </c>
      <c r="C600" s="818" t="s">
        <v>14574</v>
      </c>
      <c r="D600" s="1101">
        <v>0.5416666666666666</v>
      </c>
      <c r="E600" s="818" t="s">
        <v>13700</v>
      </c>
      <c r="F600" s="818" t="s">
        <v>4258</v>
      </c>
      <c r="G600" s="823"/>
      <c r="H600" s="823"/>
      <c r="I600" s="823"/>
      <c r="J600" s="823"/>
      <c r="K600" s="823"/>
      <c r="L600" s="823"/>
      <c r="M600" s="823"/>
      <c r="N600" s="823"/>
      <c r="O600" s="823"/>
      <c r="P600" s="823"/>
      <c r="Q600" s="823"/>
      <c r="R600" s="823"/>
      <c r="S600" s="823"/>
      <c r="T600" s="823"/>
      <c r="U600" s="823"/>
      <c r="V600" s="823"/>
      <c r="W600" s="823"/>
      <c r="X600" s="823"/>
      <c r="Y600" s="823"/>
      <c r="Z600" s="823"/>
      <c r="AA600" s="823"/>
      <c r="AB600" s="823"/>
    </row>
    <row r="601" hidden="1">
      <c r="A601" s="862">
        <v>45812.0</v>
      </c>
      <c r="B601" s="818" t="s">
        <v>14856</v>
      </c>
      <c r="C601" s="818" t="s">
        <v>14857</v>
      </c>
      <c r="D601" s="1101">
        <v>0.625</v>
      </c>
      <c r="E601" s="818" t="s">
        <v>13700</v>
      </c>
      <c r="F601" s="818" t="s">
        <v>4258</v>
      </c>
      <c r="G601" s="823"/>
      <c r="H601" s="823"/>
      <c r="I601" s="823"/>
      <c r="J601" s="823"/>
      <c r="K601" s="823"/>
      <c r="L601" s="823"/>
      <c r="M601" s="823"/>
      <c r="N601" s="823"/>
      <c r="O601" s="823"/>
      <c r="P601" s="823"/>
      <c r="Q601" s="823"/>
      <c r="R601" s="823"/>
      <c r="S601" s="823"/>
      <c r="T601" s="823"/>
      <c r="U601" s="823"/>
      <c r="V601" s="823"/>
      <c r="W601" s="823"/>
      <c r="X601" s="823"/>
      <c r="Y601" s="823"/>
      <c r="Z601" s="823"/>
      <c r="AA601" s="823"/>
      <c r="AB601" s="823"/>
    </row>
    <row r="602" hidden="1">
      <c r="A602" s="862">
        <v>45812.0</v>
      </c>
      <c r="B602" s="818" t="s">
        <v>14858</v>
      </c>
      <c r="C602" s="738" t="s">
        <v>14859</v>
      </c>
      <c r="D602" s="1101">
        <v>0.5416666666666666</v>
      </c>
      <c r="E602" s="818" t="s">
        <v>13700</v>
      </c>
      <c r="F602" s="818" t="s">
        <v>4262</v>
      </c>
      <c r="G602" s="823"/>
      <c r="H602" s="823"/>
      <c r="I602" s="823"/>
      <c r="J602" s="823"/>
      <c r="K602" s="823"/>
      <c r="L602" s="823"/>
      <c r="M602" s="823"/>
      <c r="N602" s="823"/>
      <c r="O602" s="823"/>
      <c r="P602" s="823"/>
      <c r="Q602" s="823"/>
      <c r="R602" s="823"/>
      <c r="S602" s="823"/>
      <c r="T602" s="823"/>
      <c r="U602" s="823"/>
      <c r="V602" s="823"/>
      <c r="W602" s="823"/>
      <c r="X602" s="823"/>
      <c r="Y602" s="823"/>
      <c r="Z602" s="823"/>
      <c r="AA602" s="823"/>
      <c r="AB602" s="823"/>
    </row>
    <row r="603" hidden="1">
      <c r="A603" s="862">
        <v>45813.0</v>
      </c>
      <c r="B603" s="818" t="s">
        <v>14860</v>
      </c>
      <c r="C603" s="818" t="s">
        <v>14861</v>
      </c>
      <c r="D603" s="1101">
        <v>0.4166666666666667</v>
      </c>
      <c r="E603" s="818" t="s">
        <v>13700</v>
      </c>
      <c r="F603" s="818" t="s">
        <v>4262</v>
      </c>
      <c r="G603" s="823"/>
      <c r="H603" s="823"/>
      <c r="I603" s="823"/>
      <c r="J603" s="823"/>
      <c r="K603" s="823"/>
      <c r="L603" s="823"/>
      <c r="M603" s="823"/>
      <c r="N603" s="823"/>
      <c r="O603" s="823"/>
      <c r="P603" s="823"/>
      <c r="Q603" s="823"/>
      <c r="R603" s="823"/>
      <c r="S603" s="823"/>
      <c r="T603" s="823"/>
      <c r="U603" s="823"/>
      <c r="V603" s="823"/>
      <c r="W603" s="823"/>
      <c r="X603" s="823"/>
      <c r="Y603" s="823"/>
      <c r="Z603" s="823"/>
      <c r="AA603" s="823"/>
      <c r="AB603" s="823"/>
    </row>
    <row r="604" hidden="1">
      <c r="A604" s="862">
        <v>45813.0</v>
      </c>
      <c r="B604" s="818" t="s">
        <v>14862</v>
      </c>
      <c r="C604" s="818" t="s">
        <v>14852</v>
      </c>
      <c r="D604" s="1101">
        <v>0.3333333333333333</v>
      </c>
      <c r="E604" s="818" t="s">
        <v>13700</v>
      </c>
      <c r="F604" s="818" t="s">
        <v>4258</v>
      </c>
      <c r="G604" s="823"/>
      <c r="H604" s="823"/>
      <c r="I604" s="823"/>
      <c r="J604" s="823"/>
      <c r="K604" s="823"/>
      <c r="L604" s="823"/>
      <c r="M604" s="823"/>
      <c r="N604" s="823"/>
      <c r="O604" s="823"/>
      <c r="P604" s="823"/>
      <c r="Q604" s="823"/>
      <c r="R604" s="823"/>
      <c r="S604" s="823"/>
      <c r="T604" s="823"/>
      <c r="U604" s="823"/>
      <c r="V604" s="823"/>
      <c r="W604" s="823"/>
      <c r="X604" s="823"/>
      <c r="Y604" s="823"/>
      <c r="Z604" s="823"/>
      <c r="AA604" s="823"/>
      <c r="AB604" s="823"/>
    </row>
    <row r="605" hidden="1">
      <c r="A605" s="862">
        <v>45816.0</v>
      </c>
      <c r="B605" s="818" t="s">
        <v>14863</v>
      </c>
      <c r="C605" s="818" t="s">
        <v>14864</v>
      </c>
      <c r="D605" s="1101">
        <v>0.5416666666666666</v>
      </c>
      <c r="E605" s="818" t="s">
        <v>13700</v>
      </c>
      <c r="F605" s="818" t="s">
        <v>4258</v>
      </c>
      <c r="G605" s="823"/>
      <c r="H605" s="823"/>
      <c r="I605" s="823"/>
      <c r="J605" s="823"/>
      <c r="K605" s="823"/>
      <c r="L605" s="823"/>
      <c r="M605" s="823"/>
      <c r="N605" s="823"/>
      <c r="O605" s="823"/>
      <c r="P605" s="823"/>
      <c r="Q605" s="823"/>
      <c r="R605" s="823"/>
      <c r="S605" s="823"/>
      <c r="T605" s="823"/>
      <c r="U605" s="823"/>
      <c r="V605" s="823"/>
      <c r="W605" s="823"/>
      <c r="X605" s="823"/>
      <c r="Y605" s="823"/>
      <c r="Z605" s="823"/>
      <c r="AA605" s="823"/>
      <c r="AB605" s="823"/>
    </row>
    <row r="606" hidden="1">
      <c r="A606" s="862">
        <v>45817.0</v>
      </c>
      <c r="B606" s="818" t="s">
        <v>14865</v>
      </c>
      <c r="C606" s="738" t="s">
        <v>14866</v>
      </c>
      <c r="D606" s="1101">
        <v>0.375</v>
      </c>
      <c r="E606" s="818" t="s">
        <v>14453</v>
      </c>
      <c r="F606" s="818" t="s">
        <v>3883</v>
      </c>
      <c r="G606" s="823"/>
      <c r="H606" s="823"/>
      <c r="I606" s="823"/>
      <c r="J606" s="823"/>
      <c r="K606" s="823"/>
      <c r="L606" s="823"/>
      <c r="M606" s="823"/>
      <c r="N606" s="823"/>
      <c r="O606" s="823"/>
      <c r="P606" s="823"/>
      <c r="Q606" s="823"/>
      <c r="R606" s="823"/>
      <c r="S606" s="823"/>
      <c r="T606" s="823"/>
      <c r="U606" s="823"/>
      <c r="V606" s="823"/>
      <c r="W606" s="823"/>
      <c r="X606" s="823"/>
      <c r="Y606" s="823"/>
      <c r="Z606" s="823"/>
      <c r="AA606" s="823"/>
      <c r="AB606" s="823"/>
    </row>
    <row r="607" hidden="1">
      <c r="A607" s="862">
        <v>45817.0</v>
      </c>
      <c r="B607" s="818" t="s">
        <v>14867</v>
      </c>
      <c r="C607" s="818" t="s">
        <v>14868</v>
      </c>
      <c r="D607" s="1101">
        <v>0.5416666666666666</v>
      </c>
      <c r="E607" s="818" t="s">
        <v>3204</v>
      </c>
      <c r="F607" s="818" t="s">
        <v>3799</v>
      </c>
      <c r="G607" s="823"/>
      <c r="H607" s="823"/>
      <c r="I607" s="823"/>
      <c r="J607" s="823"/>
      <c r="K607" s="823"/>
      <c r="L607" s="823"/>
      <c r="M607" s="823"/>
      <c r="N607" s="823"/>
      <c r="O607" s="823"/>
      <c r="P607" s="823"/>
      <c r="Q607" s="823"/>
      <c r="R607" s="823"/>
      <c r="S607" s="823"/>
      <c r="T607" s="823"/>
      <c r="U607" s="823"/>
      <c r="V607" s="823"/>
      <c r="W607" s="823"/>
      <c r="X607" s="823"/>
      <c r="Y607" s="823"/>
      <c r="Z607" s="823"/>
      <c r="AA607" s="823"/>
      <c r="AB607" s="823"/>
    </row>
    <row r="608" hidden="1">
      <c r="A608" s="862">
        <v>45817.0</v>
      </c>
      <c r="B608" s="818" t="s">
        <v>14869</v>
      </c>
      <c r="C608" s="818" t="s">
        <v>14870</v>
      </c>
      <c r="D608" s="1101">
        <v>0.5416666666666666</v>
      </c>
      <c r="E608" s="818" t="s">
        <v>13700</v>
      </c>
      <c r="F608" s="818" t="s">
        <v>3883</v>
      </c>
      <c r="G608" s="823"/>
      <c r="H608" s="823"/>
      <c r="I608" s="823"/>
      <c r="J608" s="823"/>
      <c r="K608" s="823"/>
      <c r="L608" s="823"/>
      <c r="M608" s="823"/>
      <c r="N608" s="823"/>
      <c r="O608" s="823"/>
      <c r="P608" s="823"/>
      <c r="Q608" s="823"/>
      <c r="R608" s="823"/>
      <c r="S608" s="823"/>
      <c r="T608" s="823"/>
      <c r="U608" s="823"/>
      <c r="V608" s="823"/>
      <c r="W608" s="823"/>
      <c r="X608" s="823"/>
      <c r="Y608" s="823"/>
      <c r="Z608" s="823"/>
      <c r="AA608" s="823"/>
      <c r="AB608" s="823"/>
    </row>
    <row r="609" hidden="1">
      <c r="A609" s="862">
        <v>45818.0</v>
      </c>
      <c r="B609" s="818" t="s">
        <v>14871</v>
      </c>
      <c r="C609" s="818" t="s">
        <v>14872</v>
      </c>
      <c r="D609" s="1101">
        <v>0.4583333333333333</v>
      </c>
      <c r="E609" s="818" t="s">
        <v>13700</v>
      </c>
      <c r="F609" s="818" t="s">
        <v>3799</v>
      </c>
      <c r="G609" s="823"/>
      <c r="H609" s="823"/>
      <c r="I609" s="823"/>
      <c r="J609" s="823"/>
      <c r="K609" s="823"/>
      <c r="L609" s="823"/>
      <c r="M609" s="823"/>
      <c r="N609" s="823"/>
      <c r="O609" s="823"/>
      <c r="P609" s="823"/>
      <c r="Q609" s="823"/>
      <c r="R609" s="823"/>
      <c r="S609" s="823"/>
      <c r="T609" s="823"/>
      <c r="U609" s="823"/>
      <c r="V609" s="823"/>
      <c r="W609" s="823"/>
      <c r="X609" s="823"/>
      <c r="Y609" s="823"/>
      <c r="Z609" s="823"/>
      <c r="AA609" s="823"/>
      <c r="AB609" s="823"/>
    </row>
    <row r="610" hidden="1">
      <c r="A610" s="862">
        <v>45818.0</v>
      </c>
      <c r="B610" s="818" t="s">
        <v>14873</v>
      </c>
      <c r="C610" s="818" t="s">
        <v>14874</v>
      </c>
      <c r="D610" s="1101">
        <v>0.5416666666666666</v>
      </c>
      <c r="E610" s="818" t="s">
        <v>14875</v>
      </c>
      <c r="F610" s="818" t="s">
        <v>3799</v>
      </c>
      <c r="G610" s="823"/>
      <c r="H610" s="823"/>
      <c r="I610" s="823"/>
      <c r="J610" s="823"/>
      <c r="K610" s="823"/>
      <c r="L610" s="823"/>
      <c r="M610" s="823"/>
      <c r="N610" s="823"/>
      <c r="O610" s="823"/>
      <c r="P610" s="823"/>
      <c r="Q610" s="823"/>
      <c r="R610" s="823"/>
      <c r="S610" s="823"/>
      <c r="T610" s="823"/>
      <c r="U610" s="823"/>
      <c r="V610" s="823"/>
      <c r="W610" s="823"/>
      <c r="X610" s="823"/>
      <c r="Y610" s="823"/>
      <c r="Z610" s="823"/>
      <c r="AA610" s="823"/>
      <c r="AB610" s="823"/>
    </row>
    <row r="611" hidden="1">
      <c r="A611" s="862">
        <v>45820.0</v>
      </c>
      <c r="B611" s="818" t="s">
        <v>14876</v>
      </c>
      <c r="C611" s="818" t="s">
        <v>14877</v>
      </c>
      <c r="D611" s="1101">
        <v>0.5416666666666666</v>
      </c>
      <c r="E611" s="818" t="s">
        <v>14024</v>
      </c>
      <c r="F611" s="818" t="s">
        <v>3883</v>
      </c>
      <c r="G611" s="823"/>
      <c r="H611" s="823"/>
      <c r="I611" s="823"/>
      <c r="J611" s="823"/>
      <c r="K611" s="823"/>
      <c r="L611" s="823"/>
      <c r="M611" s="823"/>
      <c r="N611" s="823"/>
      <c r="O611" s="823"/>
      <c r="P611" s="823"/>
      <c r="Q611" s="823"/>
      <c r="R611" s="823"/>
      <c r="S611" s="823"/>
      <c r="T611" s="823"/>
      <c r="U611" s="823"/>
      <c r="V611" s="823"/>
      <c r="W611" s="823"/>
      <c r="X611" s="823"/>
      <c r="Y611" s="823"/>
      <c r="Z611" s="823"/>
      <c r="AA611" s="823"/>
      <c r="AB611" s="823"/>
    </row>
    <row r="612" hidden="1">
      <c r="A612" s="862">
        <v>45821.0</v>
      </c>
      <c r="B612" s="818" t="s">
        <v>14878</v>
      </c>
      <c r="C612" s="818">
        <v>668.0</v>
      </c>
      <c r="D612" s="1101">
        <v>0.4583333333333333</v>
      </c>
      <c r="E612" s="818" t="s">
        <v>14875</v>
      </c>
      <c r="F612" s="818" t="s">
        <v>3883</v>
      </c>
      <c r="G612" s="823"/>
      <c r="H612" s="823"/>
      <c r="I612" s="823"/>
      <c r="J612" s="823"/>
      <c r="K612" s="823"/>
      <c r="L612" s="823"/>
      <c r="M612" s="823"/>
      <c r="N612" s="823"/>
      <c r="O612" s="823"/>
      <c r="P612" s="823"/>
      <c r="Q612" s="823"/>
      <c r="R612" s="823"/>
      <c r="S612" s="823"/>
      <c r="T612" s="823"/>
      <c r="U612" s="823"/>
      <c r="V612" s="823"/>
      <c r="W612" s="823"/>
      <c r="X612" s="823"/>
      <c r="Y612" s="823"/>
      <c r="Z612" s="823"/>
      <c r="AA612" s="823"/>
      <c r="AB612" s="823"/>
    </row>
    <row r="613" hidden="1">
      <c r="A613" s="862">
        <v>45821.0</v>
      </c>
      <c r="B613" s="818" t="s">
        <v>14879</v>
      </c>
      <c r="C613" s="818" t="s">
        <v>14880</v>
      </c>
      <c r="D613" s="818" t="s">
        <v>13919</v>
      </c>
      <c r="E613" s="818" t="s">
        <v>14489</v>
      </c>
      <c r="F613" s="818" t="s">
        <v>3799</v>
      </c>
      <c r="G613" s="823"/>
      <c r="H613" s="823"/>
      <c r="I613" s="823"/>
      <c r="J613" s="823"/>
      <c r="K613" s="823"/>
      <c r="L613" s="823"/>
      <c r="M613" s="823"/>
      <c r="N613" s="823"/>
      <c r="O613" s="823"/>
      <c r="P613" s="823"/>
      <c r="Q613" s="823"/>
      <c r="R613" s="823"/>
      <c r="S613" s="823"/>
      <c r="T613" s="823"/>
      <c r="U613" s="823"/>
      <c r="V613" s="823"/>
      <c r="W613" s="823"/>
      <c r="X613" s="823"/>
      <c r="Y613" s="823"/>
      <c r="Z613" s="823"/>
      <c r="AA613" s="823"/>
      <c r="AB613" s="823"/>
    </row>
    <row r="614" hidden="1">
      <c r="A614" s="862">
        <v>45821.0</v>
      </c>
      <c r="B614" s="818" t="s">
        <v>14881</v>
      </c>
      <c r="C614" s="818" t="s">
        <v>14882</v>
      </c>
      <c r="D614" s="1101">
        <v>0.5416666666666666</v>
      </c>
      <c r="E614" s="818" t="s">
        <v>13700</v>
      </c>
      <c r="F614" s="818" t="s">
        <v>4258</v>
      </c>
      <c r="G614" s="823"/>
      <c r="H614" s="823"/>
      <c r="I614" s="823"/>
      <c r="J614" s="823"/>
      <c r="K614" s="823"/>
      <c r="L614" s="823"/>
      <c r="M614" s="823"/>
      <c r="N614" s="823"/>
      <c r="O614" s="823"/>
      <c r="P614" s="823"/>
      <c r="Q614" s="823"/>
      <c r="R614" s="823"/>
      <c r="S614" s="823"/>
      <c r="T614" s="823"/>
      <c r="U614" s="823"/>
      <c r="V614" s="823"/>
      <c r="W614" s="823"/>
      <c r="X614" s="823"/>
      <c r="Y614" s="823"/>
      <c r="Z614" s="823"/>
      <c r="AA614" s="823"/>
      <c r="AB614" s="823"/>
    </row>
    <row r="615" hidden="1">
      <c r="A615" s="862">
        <v>45822.0</v>
      </c>
      <c r="B615" s="818" t="s">
        <v>14883</v>
      </c>
      <c r="C615" s="818" t="s">
        <v>14884</v>
      </c>
      <c r="D615" s="1101">
        <v>0.3333333333333333</v>
      </c>
      <c r="E615" s="818" t="s">
        <v>13700</v>
      </c>
      <c r="F615" s="818" t="s">
        <v>3883</v>
      </c>
      <c r="G615" s="823"/>
      <c r="H615" s="823"/>
      <c r="I615" s="823"/>
      <c r="J615" s="823"/>
      <c r="K615" s="823"/>
      <c r="L615" s="823"/>
      <c r="M615" s="823"/>
      <c r="N615" s="823"/>
      <c r="O615" s="823"/>
      <c r="P615" s="823"/>
      <c r="Q615" s="823"/>
      <c r="R615" s="823"/>
      <c r="S615" s="823"/>
      <c r="T615" s="823"/>
      <c r="U615" s="823"/>
      <c r="V615" s="823"/>
      <c r="W615" s="823"/>
      <c r="X615" s="823"/>
      <c r="Y615" s="823"/>
      <c r="Z615" s="823"/>
      <c r="AA615" s="823"/>
      <c r="AB615" s="823"/>
    </row>
    <row r="616" hidden="1">
      <c r="A616" s="862">
        <v>45826.0</v>
      </c>
      <c r="B616" s="818" t="s">
        <v>14885</v>
      </c>
      <c r="C616" s="818" t="s">
        <v>14886</v>
      </c>
      <c r="D616" s="818" t="s">
        <v>14887</v>
      </c>
      <c r="E616" s="818" t="s">
        <v>14888</v>
      </c>
      <c r="F616" s="818" t="s">
        <v>3799</v>
      </c>
      <c r="G616" s="823"/>
      <c r="H616" s="823"/>
      <c r="I616" s="823"/>
      <c r="J616" s="823"/>
      <c r="K616" s="823"/>
      <c r="L616" s="823"/>
      <c r="M616" s="823"/>
      <c r="N616" s="823"/>
      <c r="O616" s="823"/>
      <c r="P616" s="823"/>
      <c r="Q616" s="823"/>
      <c r="R616" s="823"/>
      <c r="S616" s="823"/>
      <c r="T616" s="823"/>
      <c r="U616" s="823"/>
      <c r="V616" s="823"/>
      <c r="W616" s="823"/>
      <c r="X616" s="823"/>
      <c r="Y616" s="823"/>
      <c r="Z616" s="823"/>
      <c r="AA616" s="823"/>
      <c r="AB616" s="823"/>
    </row>
    <row r="617" hidden="1">
      <c r="A617" s="862">
        <v>45826.0</v>
      </c>
      <c r="B617" s="818" t="s">
        <v>14889</v>
      </c>
      <c r="C617" s="818" t="s">
        <v>14890</v>
      </c>
      <c r="D617" s="1101">
        <v>0.4166666666666667</v>
      </c>
      <c r="E617" s="818" t="s">
        <v>13700</v>
      </c>
      <c r="F617" s="818" t="s">
        <v>4262</v>
      </c>
      <c r="G617" s="823"/>
      <c r="H617" s="823"/>
      <c r="I617" s="823"/>
      <c r="J617" s="823"/>
      <c r="K617" s="823"/>
      <c r="L617" s="823"/>
      <c r="M617" s="823"/>
      <c r="N617" s="823"/>
      <c r="O617" s="823"/>
      <c r="P617" s="823"/>
      <c r="Q617" s="823"/>
      <c r="R617" s="823"/>
      <c r="S617" s="823"/>
      <c r="T617" s="823"/>
      <c r="U617" s="823"/>
      <c r="V617" s="823"/>
      <c r="W617" s="823"/>
      <c r="X617" s="823"/>
      <c r="Y617" s="823"/>
      <c r="Z617" s="823"/>
      <c r="AA617" s="823"/>
      <c r="AB617" s="823"/>
    </row>
    <row r="618" hidden="1">
      <c r="A618" s="862">
        <v>45826.0</v>
      </c>
      <c r="B618" s="818" t="s">
        <v>14891</v>
      </c>
      <c r="C618" s="818" t="s">
        <v>14892</v>
      </c>
      <c r="D618" s="1101">
        <v>0.4166666666666667</v>
      </c>
      <c r="E618" s="818" t="s">
        <v>13700</v>
      </c>
      <c r="F618" s="818" t="s">
        <v>4258</v>
      </c>
      <c r="G618" s="823"/>
      <c r="H618" s="823"/>
      <c r="I618" s="823"/>
      <c r="J618" s="823"/>
      <c r="K618" s="823"/>
      <c r="L618" s="823"/>
      <c r="M618" s="823"/>
      <c r="N618" s="823"/>
      <c r="O618" s="823"/>
      <c r="P618" s="823"/>
      <c r="Q618" s="823"/>
      <c r="R618" s="823"/>
      <c r="S618" s="823"/>
      <c r="T618" s="823"/>
      <c r="U618" s="823"/>
      <c r="V618" s="823"/>
      <c r="W618" s="823"/>
      <c r="X618" s="823"/>
      <c r="Y618" s="823"/>
      <c r="Z618" s="823"/>
      <c r="AA618" s="823"/>
      <c r="AB618" s="823"/>
    </row>
    <row r="619" hidden="1">
      <c r="A619" s="862">
        <v>45827.0</v>
      </c>
      <c r="B619" s="818" t="s">
        <v>14893</v>
      </c>
      <c r="C619" s="818" t="s">
        <v>14699</v>
      </c>
      <c r="D619" s="1101">
        <v>0.3541666666666667</v>
      </c>
      <c r="E619" s="818" t="s">
        <v>13700</v>
      </c>
      <c r="F619" s="818" t="s">
        <v>4262</v>
      </c>
      <c r="G619" s="823"/>
      <c r="H619" s="823"/>
      <c r="I619" s="823"/>
      <c r="J619" s="823"/>
      <c r="K619" s="823"/>
      <c r="L619" s="823"/>
      <c r="M619" s="823"/>
      <c r="N619" s="823"/>
      <c r="O619" s="823"/>
      <c r="P619" s="823"/>
      <c r="Q619" s="823"/>
      <c r="R619" s="823"/>
      <c r="S619" s="823"/>
      <c r="T619" s="823"/>
      <c r="U619" s="823"/>
      <c r="V619" s="823"/>
      <c r="W619" s="823"/>
      <c r="X619" s="823"/>
      <c r="Y619" s="823"/>
      <c r="Z619" s="823"/>
      <c r="AA619" s="823"/>
      <c r="AB619" s="823"/>
    </row>
    <row r="620" hidden="1">
      <c r="A620" s="862">
        <v>45828.0</v>
      </c>
      <c r="B620" s="818" t="s">
        <v>14894</v>
      </c>
      <c r="C620" s="90" t="s">
        <v>14895</v>
      </c>
      <c r="D620" s="1101">
        <v>0.4166666666666667</v>
      </c>
      <c r="E620" s="818" t="s">
        <v>14875</v>
      </c>
      <c r="F620" s="818" t="s">
        <v>3799</v>
      </c>
      <c r="G620" s="823"/>
      <c r="H620" s="823"/>
      <c r="I620" s="823"/>
      <c r="J620" s="823"/>
      <c r="K620" s="823"/>
      <c r="L620" s="823"/>
      <c r="M620" s="823"/>
      <c r="N620" s="823"/>
      <c r="O620" s="823"/>
      <c r="P620" s="823"/>
      <c r="Q620" s="823"/>
      <c r="R620" s="823"/>
      <c r="S620" s="823"/>
      <c r="T620" s="823"/>
      <c r="U620" s="823"/>
      <c r="V620" s="823"/>
      <c r="W620" s="823"/>
      <c r="X620" s="823"/>
      <c r="Y620" s="823"/>
      <c r="Z620" s="823"/>
      <c r="AA620" s="823"/>
      <c r="AB620" s="823"/>
    </row>
    <row r="621" hidden="1">
      <c r="A621" s="862">
        <v>45828.0</v>
      </c>
      <c r="B621" s="818" t="s">
        <v>14896</v>
      </c>
      <c r="C621" s="818" t="s">
        <v>14897</v>
      </c>
      <c r="D621" s="1101">
        <v>0.5416666666666666</v>
      </c>
      <c r="E621" s="818" t="s">
        <v>14489</v>
      </c>
      <c r="F621" s="818" t="s">
        <v>3799</v>
      </c>
      <c r="G621" s="823"/>
      <c r="H621" s="823"/>
      <c r="I621" s="823"/>
      <c r="J621" s="823"/>
      <c r="K621" s="823"/>
      <c r="L621" s="823"/>
      <c r="M621" s="823"/>
      <c r="N621" s="823"/>
      <c r="O621" s="823"/>
      <c r="P621" s="823"/>
      <c r="Q621" s="823"/>
      <c r="R621" s="823"/>
      <c r="S621" s="823"/>
      <c r="T621" s="823"/>
      <c r="U621" s="823"/>
      <c r="V621" s="823"/>
      <c r="W621" s="823"/>
      <c r="X621" s="823"/>
      <c r="Y621" s="823"/>
      <c r="Z621" s="823"/>
      <c r="AA621" s="823"/>
      <c r="AB621" s="823"/>
    </row>
    <row r="622" hidden="1">
      <c r="A622" s="862">
        <v>45829.0</v>
      </c>
      <c r="B622" s="818" t="s">
        <v>14898</v>
      </c>
      <c r="C622" s="818" t="s">
        <v>14899</v>
      </c>
      <c r="D622" s="1101">
        <v>0.3333333333333333</v>
      </c>
      <c r="E622" s="818" t="s">
        <v>14024</v>
      </c>
      <c r="F622" s="818" t="s">
        <v>4262</v>
      </c>
      <c r="G622" s="823"/>
      <c r="H622" s="823"/>
      <c r="I622" s="823"/>
      <c r="J622" s="823"/>
      <c r="K622" s="823"/>
      <c r="L622" s="823"/>
      <c r="M622" s="823"/>
      <c r="N622" s="823"/>
      <c r="O622" s="823"/>
      <c r="P622" s="823"/>
      <c r="Q622" s="823"/>
      <c r="R622" s="823"/>
      <c r="S622" s="823"/>
      <c r="T622" s="823"/>
      <c r="U622" s="823"/>
      <c r="V622" s="823"/>
      <c r="W622" s="823"/>
      <c r="X622" s="823"/>
      <c r="Y622" s="823"/>
      <c r="Z622" s="823"/>
      <c r="AA622" s="823"/>
      <c r="AB622" s="823"/>
    </row>
    <row r="623" hidden="1">
      <c r="A623" s="862">
        <v>45829.0</v>
      </c>
      <c r="B623" s="818" t="s">
        <v>14900</v>
      </c>
      <c r="C623" s="818" t="s">
        <v>14901</v>
      </c>
      <c r="D623" s="818" t="s">
        <v>14902</v>
      </c>
      <c r="E623" s="818" t="s">
        <v>13700</v>
      </c>
      <c r="F623" s="818" t="s">
        <v>4258</v>
      </c>
      <c r="G623" s="823"/>
      <c r="H623" s="823"/>
      <c r="I623" s="823"/>
      <c r="J623" s="823"/>
      <c r="K623" s="823"/>
      <c r="L623" s="823"/>
      <c r="M623" s="823"/>
      <c r="N623" s="823"/>
      <c r="O623" s="823"/>
      <c r="P623" s="823"/>
      <c r="Q623" s="823"/>
      <c r="R623" s="823"/>
      <c r="S623" s="823"/>
      <c r="T623" s="823"/>
      <c r="U623" s="823"/>
      <c r="V623" s="823"/>
      <c r="W623" s="823"/>
      <c r="X623" s="823"/>
      <c r="Y623" s="823"/>
      <c r="Z623" s="823"/>
      <c r="AA623" s="823"/>
      <c r="AB623" s="823"/>
    </row>
    <row r="624" hidden="1">
      <c r="A624" s="862">
        <v>45831.0</v>
      </c>
      <c r="B624" s="818" t="s">
        <v>14903</v>
      </c>
      <c r="C624" s="818" t="s">
        <v>14904</v>
      </c>
      <c r="D624" s="1101">
        <v>0.4166666666666667</v>
      </c>
      <c r="E624" s="818" t="s">
        <v>13700</v>
      </c>
      <c r="F624" s="818" t="s">
        <v>4262</v>
      </c>
      <c r="G624" s="823"/>
      <c r="H624" s="823"/>
      <c r="I624" s="823"/>
      <c r="J624" s="823"/>
      <c r="K624" s="823"/>
      <c r="L624" s="823"/>
      <c r="M624" s="823"/>
      <c r="N624" s="823"/>
      <c r="O624" s="823"/>
      <c r="P624" s="823"/>
      <c r="Q624" s="823"/>
      <c r="R624" s="823"/>
      <c r="S624" s="823"/>
      <c r="T624" s="823"/>
      <c r="U624" s="823"/>
      <c r="V624" s="823"/>
      <c r="W624" s="823"/>
      <c r="X624" s="823"/>
      <c r="Y624" s="823"/>
      <c r="Z624" s="823"/>
      <c r="AA624" s="823"/>
      <c r="AB624" s="823"/>
    </row>
    <row r="625" hidden="1">
      <c r="A625" s="862">
        <v>45831.0</v>
      </c>
      <c r="B625" s="818" t="s">
        <v>14905</v>
      </c>
      <c r="C625" s="818" t="s">
        <v>14906</v>
      </c>
      <c r="D625" s="818" t="s">
        <v>13739</v>
      </c>
      <c r="E625" s="818" t="s">
        <v>14453</v>
      </c>
      <c r="F625" s="818" t="s">
        <v>3799</v>
      </c>
      <c r="G625" s="823"/>
      <c r="H625" s="823"/>
      <c r="I625" s="823"/>
      <c r="J625" s="823"/>
      <c r="K625" s="823"/>
      <c r="L625" s="823"/>
      <c r="M625" s="823"/>
      <c r="N625" s="823"/>
      <c r="O625" s="823"/>
      <c r="P625" s="823"/>
      <c r="Q625" s="823"/>
      <c r="R625" s="823"/>
      <c r="S625" s="823"/>
      <c r="T625" s="823"/>
      <c r="U625" s="823"/>
      <c r="V625" s="823"/>
      <c r="W625" s="823"/>
      <c r="X625" s="823"/>
      <c r="Y625" s="823"/>
      <c r="Z625" s="823"/>
      <c r="AA625" s="823"/>
      <c r="AB625" s="823"/>
    </row>
    <row r="626" hidden="1">
      <c r="A626" s="862">
        <v>45831.0</v>
      </c>
      <c r="B626" s="818" t="s">
        <v>14907</v>
      </c>
      <c r="C626" s="818" t="s">
        <v>14908</v>
      </c>
      <c r="D626" s="1101">
        <v>0.4583333333333333</v>
      </c>
      <c r="E626" s="818" t="s">
        <v>13700</v>
      </c>
      <c r="F626" s="818" t="s">
        <v>4262</v>
      </c>
      <c r="G626" s="823"/>
      <c r="H626" s="823"/>
      <c r="I626" s="823"/>
      <c r="J626" s="823"/>
      <c r="K626" s="823"/>
      <c r="L626" s="823"/>
      <c r="M626" s="823"/>
      <c r="N626" s="823"/>
      <c r="O626" s="823"/>
      <c r="P626" s="823"/>
      <c r="Q626" s="823"/>
      <c r="R626" s="823"/>
      <c r="S626" s="823"/>
      <c r="T626" s="823"/>
      <c r="U626" s="823"/>
      <c r="V626" s="823"/>
      <c r="W626" s="823"/>
      <c r="X626" s="823"/>
      <c r="Y626" s="823"/>
      <c r="Z626" s="823"/>
      <c r="AA626" s="823"/>
      <c r="AB626" s="823"/>
    </row>
    <row r="627" hidden="1">
      <c r="A627" s="862">
        <v>45832.0</v>
      </c>
      <c r="B627" s="818" t="s">
        <v>14909</v>
      </c>
      <c r="C627" s="818" t="s">
        <v>14210</v>
      </c>
      <c r="D627" s="1101">
        <v>0.375</v>
      </c>
      <c r="E627" s="818" t="s">
        <v>13700</v>
      </c>
      <c r="F627" s="818" t="s">
        <v>4262</v>
      </c>
      <c r="G627" s="823"/>
      <c r="H627" s="823"/>
      <c r="I627" s="823"/>
      <c r="J627" s="823"/>
      <c r="K627" s="823"/>
      <c r="L627" s="823"/>
      <c r="M627" s="823"/>
      <c r="N627" s="823"/>
      <c r="O627" s="823"/>
      <c r="P627" s="823"/>
      <c r="Q627" s="823"/>
      <c r="R627" s="823"/>
      <c r="S627" s="823"/>
      <c r="T627" s="823"/>
      <c r="U627" s="823"/>
      <c r="V627" s="823"/>
      <c r="W627" s="823"/>
      <c r="X627" s="823"/>
      <c r="Y627" s="823"/>
      <c r="Z627" s="823"/>
      <c r="AA627" s="823"/>
      <c r="AB627" s="823"/>
    </row>
    <row r="628" hidden="1">
      <c r="A628" s="862">
        <v>45832.0</v>
      </c>
      <c r="B628" s="818" t="s">
        <v>14910</v>
      </c>
      <c r="C628" s="818" t="s">
        <v>14911</v>
      </c>
      <c r="D628" s="1101">
        <v>0.4583333333333333</v>
      </c>
      <c r="E628" s="818" t="s">
        <v>13700</v>
      </c>
      <c r="F628" s="818" t="s">
        <v>4262</v>
      </c>
      <c r="G628" s="823"/>
      <c r="H628" s="823"/>
      <c r="I628" s="823"/>
      <c r="J628" s="823"/>
      <c r="K628" s="823"/>
      <c r="L628" s="823"/>
      <c r="M628" s="823"/>
      <c r="N628" s="823"/>
      <c r="O628" s="823"/>
      <c r="P628" s="823"/>
      <c r="Q628" s="823"/>
      <c r="R628" s="823"/>
      <c r="S628" s="823"/>
      <c r="T628" s="823"/>
      <c r="U628" s="823"/>
      <c r="V628" s="823"/>
      <c r="W628" s="823"/>
      <c r="X628" s="823"/>
      <c r="Y628" s="823"/>
      <c r="Z628" s="823"/>
      <c r="AA628" s="823"/>
      <c r="AB628" s="823"/>
    </row>
    <row r="629" hidden="1">
      <c r="A629" s="862">
        <v>45832.0</v>
      </c>
      <c r="B629" s="818" t="s">
        <v>14912</v>
      </c>
      <c r="C629" s="818" t="s">
        <v>14913</v>
      </c>
      <c r="D629" s="1101">
        <v>0.75</v>
      </c>
      <c r="E629" s="818" t="s">
        <v>13700</v>
      </c>
      <c r="F629" s="818" t="s">
        <v>4262</v>
      </c>
      <c r="G629" s="818"/>
      <c r="H629" s="823"/>
      <c r="I629" s="823"/>
      <c r="J629" s="823"/>
      <c r="K629" s="823"/>
      <c r="L629" s="823"/>
      <c r="M629" s="823"/>
      <c r="N629" s="823"/>
      <c r="O629" s="823"/>
      <c r="P629" s="823"/>
      <c r="Q629" s="823"/>
      <c r="R629" s="823"/>
      <c r="S629" s="823"/>
      <c r="T629" s="823"/>
      <c r="U629" s="823"/>
      <c r="V629" s="823"/>
      <c r="W629" s="823"/>
      <c r="X629" s="823"/>
      <c r="Y629" s="823"/>
      <c r="Z629" s="823"/>
      <c r="AA629" s="823"/>
      <c r="AB629" s="823"/>
    </row>
    <row r="630" hidden="1">
      <c r="A630" s="862">
        <v>45834.0</v>
      </c>
      <c r="B630" s="818" t="s">
        <v>14914</v>
      </c>
      <c r="C630" s="818" t="s">
        <v>14837</v>
      </c>
      <c r="D630" s="1101">
        <v>0.5416666666666666</v>
      </c>
      <c r="E630" s="818" t="s">
        <v>13700</v>
      </c>
      <c r="F630" s="818" t="s">
        <v>4262</v>
      </c>
      <c r="G630" s="823"/>
      <c r="H630" s="823"/>
      <c r="I630" s="823"/>
      <c r="J630" s="823"/>
      <c r="K630" s="823"/>
      <c r="L630" s="823"/>
      <c r="M630" s="823"/>
      <c r="N630" s="823"/>
      <c r="O630" s="823"/>
      <c r="P630" s="823"/>
      <c r="Q630" s="823"/>
      <c r="R630" s="823"/>
      <c r="S630" s="823"/>
      <c r="T630" s="823"/>
      <c r="U630" s="823"/>
      <c r="V630" s="823"/>
      <c r="W630" s="823"/>
      <c r="X630" s="823"/>
      <c r="Y630" s="823"/>
      <c r="Z630" s="823"/>
      <c r="AA630" s="823"/>
      <c r="AB630" s="823"/>
    </row>
    <row r="631" hidden="1">
      <c r="A631" s="862">
        <v>45834.0</v>
      </c>
      <c r="B631" s="818" t="s">
        <v>14915</v>
      </c>
      <c r="C631" s="818" t="s">
        <v>14916</v>
      </c>
      <c r="D631" s="818" t="s">
        <v>14917</v>
      </c>
      <c r="E631" s="818" t="s">
        <v>13700</v>
      </c>
      <c r="F631" s="818" t="s">
        <v>3883</v>
      </c>
      <c r="G631" s="823"/>
      <c r="H631" s="823"/>
      <c r="I631" s="823"/>
      <c r="J631" s="823"/>
      <c r="K631" s="823"/>
      <c r="L631" s="823"/>
      <c r="M631" s="823"/>
      <c r="N631" s="823"/>
      <c r="O631" s="823"/>
      <c r="P631" s="823"/>
      <c r="Q631" s="823"/>
      <c r="R631" s="823"/>
      <c r="S631" s="823"/>
      <c r="T631" s="823"/>
      <c r="U631" s="823"/>
      <c r="V631" s="823"/>
      <c r="W631" s="823"/>
      <c r="X631" s="823"/>
      <c r="Y631" s="823"/>
      <c r="Z631" s="823"/>
      <c r="AA631" s="823"/>
      <c r="AB631" s="823"/>
    </row>
    <row r="632" hidden="1">
      <c r="A632" s="862">
        <v>45836.0</v>
      </c>
      <c r="B632" s="818" t="s">
        <v>14918</v>
      </c>
      <c r="C632" s="818" t="s">
        <v>14919</v>
      </c>
      <c r="D632" s="1101">
        <v>0.4166666666666667</v>
      </c>
      <c r="E632" s="818" t="s">
        <v>13700</v>
      </c>
      <c r="F632" s="818" t="s">
        <v>3883</v>
      </c>
      <c r="G632" s="823"/>
      <c r="H632" s="823"/>
      <c r="I632" s="823"/>
      <c r="J632" s="823"/>
      <c r="K632" s="823"/>
      <c r="L632" s="823"/>
      <c r="M632" s="823"/>
      <c r="N632" s="823"/>
      <c r="O632" s="823"/>
      <c r="P632" s="823"/>
      <c r="Q632" s="823"/>
      <c r="R632" s="823"/>
      <c r="S632" s="823"/>
      <c r="T632" s="823"/>
      <c r="U632" s="823"/>
      <c r="V632" s="823"/>
      <c r="W632" s="823"/>
      <c r="X632" s="823"/>
      <c r="Y632" s="823"/>
      <c r="Z632" s="823"/>
      <c r="AA632" s="823"/>
      <c r="AB632" s="823"/>
    </row>
    <row r="633" hidden="1">
      <c r="A633" s="862">
        <v>45836.0</v>
      </c>
      <c r="B633" s="818" t="s">
        <v>14920</v>
      </c>
      <c r="C633" s="818" t="s">
        <v>14921</v>
      </c>
      <c r="D633" s="1101">
        <v>0.5416666666666666</v>
      </c>
      <c r="E633" s="818" t="s">
        <v>13700</v>
      </c>
      <c r="F633" s="818" t="s">
        <v>3883</v>
      </c>
      <c r="G633" s="823"/>
      <c r="H633" s="823"/>
      <c r="I633" s="823"/>
      <c r="J633" s="823"/>
      <c r="K633" s="823"/>
      <c r="L633" s="823"/>
      <c r="M633" s="823"/>
      <c r="N633" s="823"/>
      <c r="O633" s="823"/>
      <c r="P633" s="823"/>
      <c r="Q633" s="823"/>
      <c r="R633" s="823"/>
      <c r="S633" s="823"/>
      <c r="T633" s="823"/>
      <c r="U633" s="823"/>
      <c r="V633" s="823"/>
      <c r="W633" s="823"/>
      <c r="X633" s="823"/>
      <c r="Y633" s="823"/>
      <c r="Z633" s="823"/>
      <c r="AA633" s="823"/>
      <c r="AB633" s="823"/>
    </row>
    <row r="634" hidden="1">
      <c r="A634" s="862">
        <v>45839.0</v>
      </c>
      <c r="B634" s="818" t="s">
        <v>14922</v>
      </c>
      <c r="C634" s="818" t="s">
        <v>2020</v>
      </c>
      <c r="D634" s="1101">
        <v>0.5416666666666666</v>
      </c>
      <c r="E634" s="818" t="s">
        <v>14875</v>
      </c>
      <c r="F634" s="818" t="s">
        <v>3883</v>
      </c>
      <c r="G634" s="823"/>
      <c r="H634" s="823"/>
      <c r="I634" s="823"/>
      <c r="J634" s="823"/>
      <c r="K634" s="823"/>
      <c r="L634" s="823"/>
      <c r="M634" s="823"/>
      <c r="N634" s="823"/>
      <c r="O634" s="823"/>
      <c r="P634" s="823"/>
      <c r="Q634" s="823"/>
      <c r="R634" s="823"/>
      <c r="S634" s="823"/>
      <c r="T634" s="823"/>
      <c r="U634" s="823"/>
      <c r="V634" s="823"/>
      <c r="W634" s="823"/>
      <c r="X634" s="823"/>
      <c r="Y634" s="823"/>
      <c r="Z634" s="823"/>
      <c r="AA634" s="823"/>
      <c r="AB634" s="823"/>
    </row>
    <row r="635" hidden="1">
      <c r="A635" s="862">
        <v>45839.0</v>
      </c>
      <c r="B635" s="818" t="s">
        <v>14923</v>
      </c>
      <c r="C635" s="818" t="s">
        <v>14924</v>
      </c>
      <c r="D635" s="1101">
        <v>0.3333333333333333</v>
      </c>
      <c r="E635" s="818" t="s">
        <v>14925</v>
      </c>
      <c r="F635" s="818" t="s">
        <v>4262</v>
      </c>
      <c r="G635" s="823"/>
      <c r="H635" s="823"/>
      <c r="I635" s="823"/>
      <c r="J635" s="823"/>
      <c r="K635" s="823"/>
      <c r="L635" s="823"/>
      <c r="M635" s="823"/>
      <c r="N635" s="823"/>
      <c r="O635" s="823"/>
      <c r="P635" s="823"/>
      <c r="Q635" s="823"/>
      <c r="R635" s="823"/>
      <c r="S635" s="823"/>
      <c r="T635" s="823"/>
      <c r="U635" s="823"/>
      <c r="V635" s="823"/>
      <c r="W635" s="823"/>
      <c r="X635" s="823"/>
      <c r="Y635" s="823"/>
      <c r="Z635" s="823"/>
      <c r="AA635" s="823"/>
      <c r="AB635" s="823"/>
    </row>
    <row r="636" hidden="1">
      <c r="A636" s="862">
        <v>45840.0</v>
      </c>
      <c r="B636" s="818" t="s">
        <v>14926</v>
      </c>
      <c r="C636" s="818">
        <v>1639.0</v>
      </c>
      <c r="D636" s="1101">
        <v>0.5</v>
      </c>
      <c r="E636" s="818" t="s">
        <v>13700</v>
      </c>
      <c r="F636" s="818" t="s">
        <v>4262</v>
      </c>
      <c r="G636" s="823"/>
      <c r="H636" s="823"/>
      <c r="I636" s="823"/>
      <c r="J636" s="823"/>
      <c r="K636" s="823"/>
      <c r="L636" s="823"/>
      <c r="M636" s="823"/>
      <c r="N636" s="823"/>
      <c r="O636" s="823"/>
      <c r="P636" s="823"/>
      <c r="Q636" s="823"/>
      <c r="R636" s="823"/>
      <c r="S636" s="823"/>
      <c r="T636" s="823"/>
      <c r="U636" s="823"/>
      <c r="V636" s="823"/>
      <c r="W636" s="823"/>
      <c r="X636" s="823"/>
      <c r="Y636" s="823"/>
      <c r="Z636" s="823"/>
      <c r="AA636" s="823"/>
      <c r="AB636" s="823"/>
    </row>
    <row r="637" hidden="1">
      <c r="A637" s="862">
        <v>45840.0</v>
      </c>
      <c r="B637" s="818" t="s">
        <v>14927</v>
      </c>
      <c r="C637" s="818" t="s">
        <v>14928</v>
      </c>
      <c r="D637" s="1101">
        <v>0.375</v>
      </c>
      <c r="E637" s="818" t="s">
        <v>13700</v>
      </c>
      <c r="F637" s="818" t="s">
        <v>4262</v>
      </c>
      <c r="G637" s="823"/>
      <c r="H637" s="823"/>
      <c r="I637" s="823"/>
      <c r="J637" s="823"/>
      <c r="K637" s="823"/>
      <c r="L637" s="823"/>
      <c r="M637" s="823"/>
      <c r="N637" s="823"/>
      <c r="O637" s="823"/>
      <c r="P637" s="823"/>
      <c r="Q637" s="823"/>
      <c r="R637" s="823"/>
      <c r="S637" s="823"/>
      <c r="T637" s="823"/>
      <c r="U637" s="823"/>
      <c r="V637" s="823"/>
      <c r="W637" s="823"/>
      <c r="X637" s="823"/>
      <c r="Y637" s="823"/>
      <c r="Z637" s="823"/>
      <c r="AA637" s="823"/>
      <c r="AB637" s="823"/>
    </row>
    <row r="638" hidden="1">
      <c r="A638" s="862">
        <v>45842.0</v>
      </c>
      <c r="B638" s="818" t="s">
        <v>14929</v>
      </c>
      <c r="C638" s="818" t="s">
        <v>14930</v>
      </c>
      <c r="D638" s="1101">
        <v>0.375</v>
      </c>
      <c r="E638" s="818" t="s">
        <v>13700</v>
      </c>
      <c r="F638" s="818" t="s">
        <v>4262</v>
      </c>
      <c r="G638" s="823"/>
      <c r="H638" s="823"/>
      <c r="I638" s="823"/>
      <c r="J638" s="823"/>
      <c r="K638" s="823"/>
      <c r="L638" s="823"/>
      <c r="M638" s="823"/>
      <c r="N638" s="823"/>
      <c r="O638" s="823"/>
      <c r="P638" s="823"/>
      <c r="Q638" s="823"/>
      <c r="R638" s="823"/>
      <c r="S638" s="823"/>
      <c r="T638" s="823"/>
      <c r="U638" s="823"/>
      <c r="V638" s="823"/>
      <c r="W638" s="823"/>
      <c r="X638" s="823"/>
      <c r="Y638" s="823"/>
      <c r="Z638" s="823"/>
      <c r="AA638" s="823"/>
      <c r="AB638" s="823"/>
    </row>
    <row r="639" hidden="1">
      <c r="A639" s="862">
        <v>45842.0</v>
      </c>
      <c r="B639" s="818" t="s">
        <v>14931</v>
      </c>
      <c r="C639" s="818" t="s">
        <v>14932</v>
      </c>
      <c r="D639" s="1101"/>
      <c r="E639" s="818"/>
      <c r="F639" s="818" t="s">
        <v>4262</v>
      </c>
      <c r="G639" s="823"/>
      <c r="H639" s="823"/>
      <c r="I639" s="823"/>
      <c r="J639" s="823"/>
      <c r="K639" s="823"/>
      <c r="L639" s="823"/>
      <c r="M639" s="823"/>
      <c r="N639" s="823"/>
      <c r="O639" s="823"/>
      <c r="P639" s="823"/>
      <c r="Q639" s="823"/>
      <c r="R639" s="823"/>
      <c r="S639" s="823"/>
      <c r="T639" s="823"/>
      <c r="U639" s="823"/>
      <c r="V639" s="823"/>
      <c r="W639" s="823"/>
      <c r="X639" s="823"/>
      <c r="Y639" s="823"/>
      <c r="Z639" s="823"/>
      <c r="AA639" s="823"/>
      <c r="AB639" s="823"/>
    </row>
    <row r="640" hidden="1">
      <c r="A640" s="862">
        <v>45842.0</v>
      </c>
      <c r="B640" s="818" t="s">
        <v>14933</v>
      </c>
      <c r="C640" s="738" t="s">
        <v>14934</v>
      </c>
      <c r="D640" s="818" t="s">
        <v>13681</v>
      </c>
      <c r="E640" s="818" t="s">
        <v>13700</v>
      </c>
      <c r="F640" s="818" t="s">
        <v>3883</v>
      </c>
      <c r="G640" s="823"/>
      <c r="H640" s="823"/>
      <c r="I640" s="823"/>
      <c r="J640" s="823"/>
      <c r="K640" s="823"/>
      <c r="L640" s="823"/>
      <c r="M640" s="823"/>
      <c r="N640" s="823"/>
      <c r="O640" s="823"/>
      <c r="P640" s="823"/>
      <c r="Q640" s="823"/>
      <c r="R640" s="823"/>
      <c r="S640" s="823"/>
      <c r="T640" s="823"/>
      <c r="U640" s="823"/>
      <c r="V640" s="823"/>
      <c r="W640" s="823"/>
      <c r="X640" s="823"/>
      <c r="Y640" s="823"/>
      <c r="Z640" s="823"/>
      <c r="AA640" s="823"/>
      <c r="AB640" s="823"/>
    </row>
    <row r="641" hidden="1">
      <c r="A641" s="862">
        <v>45842.0</v>
      </c>
      <c r="B641" s="818" t="s">
        <v>14935</v>
      </c>
      <c r="C641" s="738">
        <v>1679000.0</v>
      </c>
      <c r="D641" s="1101">
        <v>0.5</v>
      </c>
      <c r="E641" s="818" t="s">
        <v>13700</v>
      </c>
      <c r="F641" s="818" t="s">
        <v>4262</v>
      </c>
      <c r="G641" s="823"/>
      <c r="H641" s="823"/>
      <c r="I641" s="823"/>
      <c r="J641" s="823"/>
      <c r="K641" s="823"/>
      <c r="L641" s="823"/>
      <c r="M641" s="823"/>
      <c r="N641" s="823"/>
      <c r="O641" s="823"/>
      <c r="P641" s="823"/>
      <c r="Q641" s="823"/>
      <c r="R641" s="823"/>
      <c r="S641" s="823"/>
      <c r="T641" s="823"/>
      <c r="U641" s="823"/>
      <c r="V641" s="823"/>
      <c r="W641" s="823"/>
      <c r="X641" s="823"/>
      <c r="Y641" s="823"/>
      <c r="Z641" s="823"/>
      <c r="AA641" s="823"/>
      <c r="AB641" s="823"/>
    </row>
    <row r="642" hidden="1">
      <c r="A642" s="862">
        <v>45842.0</v>
      </c>
      <c r="B642" s="818" t="s">
        <v>14936</v>
      </c>
      <c r="C642" s="738" t="s">
        <v>14937</v>
      </c>
      <c r="D642" s="818" t="s">
        <v>14938</v>
      </c>
      <c r="E642" s="818" t="s">
        <v>13700</v>
      </c>
      <c r="F642" s="818" t="s">
        <v>4262</v>
      </c>
      <c r="G642" s="823"/>
      <c r="H642" s="823"/>
      <c r="I642" s="823"/>
      <c r="J642" s="823"/>
      <c r="K642" s="823"/>
      <c r="L642" s="823"/>
      <c r="M642" s="823"/>
      <c r="N642" s="823"/>
      <c r="O642" s="823"/>
      <c r="P642" s="823"/>
      <c r="Q642" s="823"/>
      <c r="R642" s="823"/>
      <c r="S642" s="823"/>
      <c r="T642" s="823"/>
      <c r="U642" s="823"/>
      <c r="V642" s="823"/>
      <c r="W642" s="823"/>
      <c r="X642" s="823"/>
      <c r="Y642" s="823"/>
      <c r="Z642" s="823"/>
      <c r="AA642" s="823"/>
      <c r="AB642" s="823"/>
    </row>
    <row r="643" hidden="1">
      <c r="A643" s="862">
        <v>45843.0</v>
      </c>
      <c r="B643" s="818" t="s">
        <v>14939</v>
      </c>
      <c r="C643" s="738">
        <v>1299.0</v>
      </c>
      <c r="D643" s="818" t="s">
        <v>14940</v>
      </c>
      <c r="E643" s="818" t="s">
        <v>13700</v>
      </c>
      <c r="F643" s="818" t="s">
        <v>3883</v>
      </c>
      <c r="G643" s="823"/>
      <c r="H643" s="823"/>
      <c r="I643" s="823"/>
      <c r="J643" s="823"/>
      <c r="K643" s="823"/>
      <c r="L643" s="823"/>
      <c r="M643" s="823"/>
      <c r="N643" s="823"/>
      <c r="O643" s="823"/>
      <c r="P643" s="823"/>
      <c r="Q643" s="823"/>
      <c r="R643" s="823"/>
      <c r="S643" s="823"/>
      <c r="T643" s="823"/>
      <c r="U643" s="823"/>
      <c r="V643" s="823"/>
      <c r="W643" s="823"/>
      <c r="X643" s="823"/>
      <c r="Y643" s="823"/>
      <c r="Z643" s="823"/>
      <c r="AA643" s="823"/>
      <c r="AB643" s="823"/>
    </row>
    <row r="644" hidden="1">
      <c r="A644" s="862">
        <v>45844.0</v>
      </c>
      <c r="B644" s="818" t="s">
        <v>14941</v>
      </c>
      <c r="C644" s="738" t="s">
        <v>14942</v>
      </c>
      <c r="D644" s="818" t="s">
        <v>13868</v>
      </c>
      <c r="E644" s="818" t="s">
        <v>13700</v>
      </c>
      <c r="F644" s="818" t="s">
        <v>3883</v>
      </c>
      <c r="G644" s="823"/>
      <c r="H644" s="823"/>
      <c r="I644" s="823"/>
      <c r="J644" s="823"/>
      <c r="K644" s="823"/>
      <c r="L644" s="823"/>
      <c r="M644" s="823"/>
      <c r="N644" s="823"/>
      <c r="O644" s="823"/>
      <c r="P644" s="823"/>
      <c r="Q644" s="823"/>
      <c r="R644" s="823"/>
      <c r="S644" s="823"/>
      <c r="T644" s="823"/>
      <c r="U644" s="823"/>
      <c r="V644" s="823"/>
      <c r="W644" s="823"/>
      <c r="X644" s="823"/>
      <c r="Y644" s="823"/>
      <c r="Z644" s="823"/>
      <c r="AA644" s="823"/>
      <c r="AB644" s="823"/>
    </row>
    <row r="645" hidden="1">
      <c r="A645" s="862">
        <v>45845.0</v>
      </c>
      <c r="B645" s="818" t="s">
        <v>14943</v>
      </c>
      <c r="C645" s="738" t="s">
        <v>14944</v>
      </c>
      <c r="D645" s="1101">
        <v>0.5416666666666666</v>
      </c>
      <c r="E645" s="818" t="s">
        <v>13700</v>
      </c>
      <c r="F645" s="818" t="s">
        <v>4262</v>
      </c>
      <c r="G645" s="823"/>
      <c r="H645" s="823"/>
      <c r="I645" s="823"/>
      <c r="J645" s="823"/>
      <c r="K645" s="823"/>
      <c r="L645" s="823"/>
      <c r="M645" s="823"/>
      <c r="N645" s="823"/>
      <c r="O645" s="823"/>
      <c r="P645" s="823"/>
      <c r="Q645" s="823"/>
      <c r="R645" s="823"/>
      <c r="S645" s="823"/>
      <c r="T645" s="823"/>
      <c r="U645" s="823"/>
      <c r="V645" s="823"/>
      <c r="W645" s="823"/>
      <c r="X645" s="823"/>
      <c r="Y645" s="823"/>
      <c r="Z645" s="823"/>
      <c r="AA645" s="823"/>
      <c r="AB645" s="823"/>
    </row>
    <row r="646" hidden="1">
      <c r="A646" s="862">
        <v>45845.0</v>
      </c>
      <c r="B646" s="818" t="s">
        <v>14945</v>
      </c>
      <c r="C646" s="738"/>
      <c r="D646" s="1101">
        <v>0.4583333333333333</v>
      </c>
      <c r="E646" s="818" t="s">
        <v>14925</v>
      </c>
      <c r="F646" s="818" t="s">
        <v>4778</v>
      </c>
      <c r="G646" s="823"/>
      <c r="H646" s="823"/>
      <c r="I646" s="823"/>
      <c r="J646" s="823"/>
      <c r="K646" s="823"/>
      <c r="L646" s="823"/>
      <c r="M646" s="823"/>
      <c r="N646" s="823"/>
      <c r="O646" s="823"/>
      <c r="P646" s="823"/>
      <c r="Q646" s="823"/>
      <c r="R646" s="823"/>
      <c r="S646" s="823"/>
      <c r="T646" s="823"/>
      <c r="U646" s="823"/>
      <c r="V646" s="823"/>
      <c r="W646" s="823"/>
      <c r="X646" s="823"/>
      <c r="Y646" s="823"/>
      <c r="Z646" s="823"/>
      <c r="AA646" s="823"/>
      <c r="AB646" s="823"/>
    </row>
    <row r="647" hidden="1">
      <c r="A647" s="862">
        <v>45846.0</v>
      </c>
      <c r="B647" s="818" t="s">
        <v>14946</v>
      </c>
      <c r="C647" s="738" t="s">
        <v>14947</v>
      </c>
      <c r="D647" s="1101">
        <v>0.4166666666666667</v>
      </c>
      <c r="E647" s="818" t="s">
        <v>14925</v>
      </c>
      <c r="F647" s="818" t="s">
        <v>4262</v>
      </c>
      <c r="G647" s="823"/>
      <c r="H647" s="823"/>
      <c r="I647" s="823"/>
      <c r="J647" s="823"/>
      <c r="K647" s="823"/>
      <c r="L647" s="823"/>
      <c r="M647" s="823"/>
      <c r="N647" s="823"/>
      <c r="O647" s="823"/>
      <c r="P647" s="823"/>
      <c r="Q647" s="823"/>
      <c r="R647" s="823"/>
      <c r="S647" s="823"/>
      <c r="T647" s="823"/>
      <c r="U647" s="823"/>
      <c r="V647" s="823"/>
      <c r="W647" s="823"/>
      <c r="X647" s="823"/>
      <c r="Y647" s="823"/>
      <c r="Z647" s="823"/>
      <c r="AA647" s="823"/>
      <c r="AB647" s="823"/>
    </row>
    <row r="648" hidden="1">
      <c r="A648" s="818" t="s">
        <v>14948</v>
      </c>
      <c r="B648" s="818" t="s">
        <v>14949</v>
      </c>
      <c r="C648" s="738" t="s">
        <v>14950</v>
      </c>
      <c r="D648" s="1101">
        <v>0.4166666666666667</v>
      </c>
      <c r="E648" s="818" t="s">
        <v>13700</v>
      </c>
      <c r="F648" s="818" t="s">
        <v>4262</v>
      </c>
      <c r="G648" s="823"/>
      <c r="H648" s="823"/>
      <c r="I648" s="823"/>
      <c r="J648" s="823"/>
      <c r="K648" s="823"/>
      <c r="L648" s="823"/>
      <c r="M648" s="823"/>
      <c r="N648" s="823"/>
      <c r="O648" s="823"/>
      <c r="P648" s="823"/>
      <c r="Q648" s="823"/>
      <c r="R648" s="823"/>
      <c r="S648" s="823"/>
      <c r="T648" s="823"/>
      <c r="U648" s="823"/>
      <c r="V648" s="823"/>
      <c r="W648" s="823"/>
      <c r="X648" s="823"/>
      <c r="Y648" s="823"/>
      <c r="Z648" s="823"/>
      <c r="AA648" s="823"/>
      <c r="AB648" s="823"/>
    </row>
    <row r="649">
      <c r="A649" s="862">
        <v>45848.0</v>
      </c>
      <c r="B649" s="818" t="s">
        <v>14951</v>
      </c>
      <c r="C649" s="738" t="s">
        <v>14952</v>
      </c>
      <c r="D649" s="818" t="s">
        <v>14953</v>
      </c>
      <c r="E649" s="818" t="s">
        <v>13700</v>
      </c>
      <c r="F649" s="818" t="s">
        <v>4262</v>
      </c>
      <c r="G649" s="823"/>
      <c r="H649" s="823"/>
      <c r="I649" s="823"/>
      <c r="J649" s="823"/>
      <c r="K649" s="823"/>
      <c r="L649" s="823"/>
      <c r="M649" s="823"/>
      <c r="N649" s="823"/>
      <c r="O649" s="823"/>
      <c r="P649" s="823"/>
      <c r="Q649" s="823"/>
      <c r="R649" s="823"/>
      <c r="S649" s="823"/>
      <c r="T649" s="823"/>
      <c r="U649" s="823"/>
      <c r="V649" s="823"/>
      <c r="W649" s="823"/>
      <c r="X649" s="823"/>
      <c r="Y649" s="823"/>
      <c r="Z649" s="823"/>
      <c r="AA649" s="823"/>
      <c r="AB649" s="823"/>
    </row>
    <row r="650">
      <c r="A650" s="862">
        <v>45849.0</v>
      </c>
      <c r="B650" s="818" t="s">
        <v>14954</v>
      </c>
      <c r="C650" s="738" t="s">
        <v>14955</v>
      </c>
      <c r="D650" s="1101">
        <v>0.3958333333333333</v>
      </c>
      <c r="E650" s="818" t="s">
        <v>13700</v>
      </c>
      <c r="F650" s="818" t="s">
        <v>4262</v>
      </c>
      <c r="G650" s="823"/>
      <c r="H650" s="823"/>
      <c r="I650" s="823"/>
      <c r="J650" s="823"/>
      <c r="K650" s="823"/>
      <c r="L650" s="823"/>
      <c r="M650" s="823"/>
      <c r="N650" s="823"/>
      <c r="O650" s="823"/>
      <c r="P650" s="823"/>
      <c r="Q650" s="823"/>
      <c r="R650" s="823"/>
      <c r="S650" s="823"/>
      <c r="T650" s="823"/>
      <c r="U650" s="823"/>
      <c r="V650" s="823"/>
      <c r="W650" s="823"/>
      <c r="X650" s="823"/>
      <c r="Y650" s="823"/>
      <c r="Z650" s="823"/>
      <c r="AA650" s="823"/>
      <c r="AB650" s="823"/>
    </row>
    <row r="651">
      <c r="A651" s="862">
        <v>45849.0</v>
      </c>
      <c r="B651" s="818" t="s">
        <v>14956</v>
      </c>
      <c r="C651" s="738" t="s">
        <v>14957</v>
      </c>
      <c r="D651" s="1101">
        <v>0.3333333333333333</v>
      </c>
      <c r="E651" s="818" t="s">
        <v>13700</v>
      </c>
      <c r="F651" s="818" t="s">
        <v>4281</v>
      </c>
      <c r="G651" s="823"/>
      <c r="H651" s="823"/>
      <c r="I651" s="823"/>
      <c r="J651" s="823"/>
      <c r="K651" s="823"/>
      <c r="L651" s="823"/>
      <c r="M651" s="823"/>
      <c r="N651" s="823"/>
      <c r="O651" s="823"/>
      <c r="P651" s="823"/>
      <c r="Q651" s="823"/>
      <c r="R651" s="823"/>
      <c r="S651" s="823"/>
      <c r="T651" s="823"/>
      <c r="U651" s="823"/>
      <c r="V651" s="823"/>
      <c r="W651" s="823"/>
      <c r="X651" s="823"/>
      <c r="Y651" s="823"/>
      <c r="Z651" s="823"/>
      <c r="AA651" s="823"/>
      <c r="AB651" s="823"/>
    </row>
    <row r="652">
      <c r="A652" s="862">
        <v>45851.0</v>
      </c>
      <c r="B652" s="818" t="s">
        <v>14958</v>
      </c>
      <c r="C652" s="818" t="s">
        <v>14959</v>
      </c>
      <c r="D652" s="1101">
        <v>0.4375</v>
      </c>
      <c r="E652" s="818" t="s">
        <v>13700</v>
      </c>
      <c r="F652" s="818" t="s">
        <v>14960</v>
      </c>
      <c r="G652" s="823"/>
      <c r="H652" s="823"/>
      <c r="I652" s="823"/>
      <c r="J652" s="823"/>
      <c r="K652" s="823"/>
      <c r="L652" s="823"/>
      <c r="M652" s="823"/>
      <c r="N652" s="823"/>
      <c r="O652" s="823"/>
      <c r="P652" s="823"/>
      <c r="Q652" s="823"/>
      <c r="R652" s="823"/>
      <c r="S652" s="823"/>
      <c r="T652" s="823"/>
      <c r="U652" s="823"/>
      <c r="V652" s="823"/>
      <c r="W652" s="823"/>
      <c r="X652" s="823"/>
      <c r="Y652" s="823"/>
      <c r="Z652" s="823"/>
      <c r="AA652" s="823"/>
      <c r="AB652" s="823"/>
    </row>
    <row r="653">
      <c r="A653" s="862">
        <v>45851.0</v>
      </c>
      <c r="B653" s="818" t="s">
        <v>14961</v>
      </c>
      <c r="C653" s="818"/>
      <c r="D653" s="1101"/>
      <c r="E653" s="818"/>
      <c r="F653" s="818"/>
      <c r="G653" s="823"/>
      <c r="H653" s="823"/>
      <c r="I653" s="823"/>
      <c r="J653" s="823"/>
      <c r="K653" s="823"/>
      <c r="L653" s="823"/>
      <c r="M653" s="823"/>
      <c r="N653" s="823"/>
      <c r="O653" s="823"/>
      <c r="P653" s="823"/>
      <c r="Q653" s="823"/>
      <c r="R653" s="823"/>
      <c r="S653" s="823"/>
      <c r="T653" s="823"/>
      <c r="U653" s="823"/>
      <c r="V653" s="823"/>
      <c r="W653" s="823"/>
      <c r="X653" s="823"/>
      <c r="Y653" s="823"/>
      <c r="Z653" s="823"/>
      <c r="AA653" s="823"/>
      <c r="AB653" s="823"/>
    </row>
    <row r="654">
      <c r="A654" s="862">
        <v>45852.0</v>
      </c>
      <c r="B654" s="818" t="s">
        <v>14962</v>
      </c>
      <c r="C654" s="818" t="s">
        <v>14963</v>
      </c>
      <c r="D654" s="1101">
        <v>0.4583333333333333</v>
      </c>
      <c r="E654" s="818" t="s">
        <v>14875</v>
      </c>
      <c r="F654" s="818" t="s">
        <v>3883</v>
      </c>
      <c r="G654" s="823"/>
      <c r="H654" s="823"/>
      <c r="I654" s="823"/>
      <c r="J654" s="823"/>
      <c r="K654" s="823"/>
      <c r="L654" s="823"/>
      <c r="M654" s="823"/>
      <c r="N654" s="823"/>
      <c r="O654" s="823"/>
      <c r="P654" s="823"/>
      <c r="Q654" s="823"/>
      <c r="R654" s="823"/>
      <c r="S654" s="823"/>
      <c r="T654" s="823"/>
      <c r="U654" s="823"/>
      <c r="V654" s="823"/>
      <c r="W654" s="823"/>
      <c r="X654" s="823"/>
      <c r="Y654" s="823"/>
      <c r="Z654" s="823"/>
      <c r="AA654" s="823"/>
      <c r="AB654" s="823"/>
    </row>
    <row r="655">
      <c r="A655" s="862">
        <v>45852.0</v>
      </c>
      <c r="B655" s="818" t="s">
        <v>14964</v>
      </c>
      <c r="C655" s="818" t="s">
        <v>14965</v>
      </c>
      <c r="D655" s="1101">
        <v>0.4166666666666667</v>
      </c>
      <c r="E655" s="818" t="s">
        <v>14925</v>
      </c>
      <c r="F655" s="818" t="s">
        <v>3883</v>
      </c>
      <c r="G655" s="823"/>
      <c r="H655" s="823"/>
      <c r="I655" s="823"/>
      <c r="J655" s="823"/>
      <c r="K655" s="823"/>
      <c r="L655" s="823"/>
      <c r="M655" s="823"/>
      <c r="N655" s="823"/>
      <c r="O655" s="823"/>
      <c r="P655" s="823"/>
      <c r="Q655" s="823"/>
      <c r="R655" s="823"/>
      <c r="S655" s="823"/>
      <c r="T655" s="823"/>
      <c r="U655" s="823"/>
      <c r="V655" s="823"/>
      <c r="W655" s="823"/>
      <c r="X655" s="823"/>
      <c r="Y655" s="823"/>
      <c r="Z655" s="823"/>
      <c r="AA655" s="823"/>
      <c r="AB655" s="823"/>
    </row>
    <row r="656">
      <c r="A656" s="113">
        <v>45867.0</v>
      </c>
      <c r="B656" s="6" t="s">
        <v>14966</v>
      </c>
      <c r="C656" s="6" t="s">
        <v>14967</v>
      </c>
      <c r="D656" s="1117">
        <v>0.3958333333333333</v>
      </c>
      <c r="E656" s="6" t="s">
        <v>14875</v>
      </c>
      <c r="F656" s="6" t="s">
        <v>3799</v>
      </c>
    </row>
    <row r="657">
      <c r="A657" s="113">
        <v>45877.0</v>
      </c>
      <c r="B657" s="6" t="s">
        <v>14968</v>
      </c>
      <c r="C657" s="6">
        <v>1545.0</v>
      </c>
      <c r="D657" s="1117">
        <v>0.3958333333333333</v>
      </c>
      <c r="E657" s="6" t="s">
        <v>14875</v>
      </c>
      <c r="F657" s="6" t="s">
        <v>3883</v>
      </c>
    </row>
    <row r="658">
      <c r="A658" s="113"/>
      <c r="B658" s="6" t="s">
        <v>14969</v>
      </c>
      <c r="C658" s="6" t="s">
        <v>14970</v>
      </c>
      <c r="D658" s="1117">
        <v>0.5833333333333334</v>
      </c>
      <c r="E658" s="6" t="s">
        <v>13700</v>
      </c>
      <c r="F658" s="6" t="s">
        <v>4262</v>
      </c>
    </row>
    <row r="659">
      <c r="A659" s="113"/>
      <c r="B659" s="6" t="s">
        <v>14971</v>
      </c>
      <c r="C659" s="6">
        <v>1850.0</v>
      </c>
      <c r="D659" s="1117">
        <v>0.375</v>
      </c>
      <c r="E659" s="6" t="s">
        <v>13700</v>
      </c>
      <c r="F659" s="6" t="s">
        <v>4262</v>
      </c>
    </row>
    <row r="660">
      <c r="A660" s="113"/>
      <c r="B660" s="6" t="s">
        <v>14972</v>
      </c>
      <c r="C660" s="6" t="s">
        <v>14973</v>
      </c>
      <c r="D660" s="6" t="s">
        <v>13739</v>
      </c>
      <c r="E660" s="6" t="s">
        <v>13700</v>
      </c>
      <c r="F660" s="6" t="s">
        <v>3799</v>
      </c>
    </row>
    <row r="661">
      <c r="A661" s="113"/>
      <c r="B661" s="6" t="s">
        <v>14974</v>
      </c>
      <c r="C661" s="6" t="s">
        <v>14600</v>
      </c>
      <c r="D661" s="1117">
        <v>0.5833333333333334</v>
      </c>
      <c r="E661" s="6" t="s">
        <v>13700</v>
      </c>
      <c r="F661" s="6" t="s">
        <v>4262</v>
      </c>
    </row>
    <row r="662">
      <c r="A662" s="113"/>
      <c r="B662" s="6" t="s">
        <v>14975</v>
      </c>
      <c r="C662" s="6" t="s">
        <v>14725</v>
      </c>
      <c r="D662" s="6" t="s">
        <v>14577</v>
      </c>
      <c r="E662" s="6" t="s">
        <v>13700</v>
      </c>
      <c r="F662" s="6" t="s">
        <v>4262</v>
      </c>
    </row>
    <row r="663">
      <c r="A663" s="113"/>
      <c r="B663" s="6" t="s">
        <v>14976</v>
      </c>
      <c r="C663" s="6" t="s">
        <v>14977</v>
      </c>
      <c r="D663" s="6" t="s">
        <v>13681</v>
      </c>
      <c r="E663" s="6" t="s">
        <v>13700</v>
      </c>
      <c r="F663" s="6" t="s">
        <v>4262</v>
      </c>
    </row>
    <row r="664">
      <c r="A664" s="113"/>
      <c r="B664" s="6" t="s">
        <v>14978</v>
      </c>
      <c r="C664" s="6" t="s">
        <v>13870</v>
      </c>
      <c r="D664" s="6" t="s">
        <v>14979</v>
      </c>
      <c r="E664" s="6" t="s">
        <v>13700</v>
      </c>
      <c r="F664" s="6" t="s">
        <v>3664</v>
      </c>
    </row>
    <row r="665">
      <c r="A665" s="113"/>
      <c r="B665" s="6" t="s">
        <v>14980</v>
      </c>
      <c r="C665" s="729" t="s">
        <v>14981</v>
      </c>
      <c r="D665" s="1117">
        <v>0.3333333333333333</v>
      </c>
      <c r="E665" s="6" t="s">
        <v>13700</v>
      </c>
      <c r="F665" s="6" t="s">
        <v>4262</v>
      </c>
    </row>
    <row r="666">
      <c r="A666" s="113"/>
      <c r="B666" s="6" t="s">
        <v>14982</v>
      </c>
      <c r="C666" s="6" t="s">
        <v>14983</v>
      </c>
      <c r="D666" s="1117">
        <v>0.4166666666666667</v>
      </c>
      <c r="E666" s="6" t="s">
        <v>13700</v>
      </c>
      <c r="F666" s="6" t="s">
        <v>4262</v>
      </c>
    </row>
    <row r="667">
      <c r="B667" s="6" t="s">
        <v>14984</v>
      </c>
    </row>
    <row r="670">
      <c r="B670" s="6" t="s">
        <v>14985</v>
      </c>
    </row>
    <row r="671">
      <c r="A671" s="113">
        <v>45833.0</v>
      </c>
      <c r="B671" s="6" t="s">
        <v>14986</v>
      </c>
      <c r="C671" s="6" t="s">
        <v>14987</v>
      </c>
      <c r="D671" s="1117">
        <v>0.375</v>
      </c>
      <c r="E671" s="6" t="s">
        <v>13700</v>
      </c>
      <c r="F671" s="6" t="s">
        <v>4258</v>
      </c>
    </row>
    <row r="673">
      <c r="B673" s="6" t="s">
        <v>14988</v>
      </c>
    </row>
    <row r="674">
      <c r="A674" s="113">
        <v>45833.0</v>
      </c>
      <c r="B674" s="6" t="s">
        <v>14989</v>
      </c>
      <c r="C674" s="6" t="s">
        <v>14990</v>
      </c>
      <c r="D674" s="6" t="s">
        <v>13739</v>
      </c>
      <c r="E674" s="6" t="s">
        <v>14875</v>
      </c>
      <c r="F674" s="6" t="s">
        <v>3799</v>
      </c>
    </row>
  </sheetData>
  <hyperlinks>
    <hyperlink r:id="rId1" ref="C34"/>
    <hyperlink r:id="rId2" ref="C68"/>
    <hyperlink r:id="rId3" ref="C82"/>
    <hyperlink r:id="rId4" ref="C83"/>
    <hyperlink r:id="rId5" ref="C154"/>
    <hyperlink r:id="rId6" ref="C576"/>
  </hyperlinks>
  <drawing r:id="rId7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8.71"/>
    <col customWidth="1" min="3" max="3" width="38.43"/>
    <col customWidth="1" min="4" max="4" width="28.86"/>
    <col customWidth="1" hidden="1" min="5" max="5" width="33.14"/>
    <col hidden="1" min="6" max="6" width="14.43"/>
    <col customWidth="1" hidden="1" min="7" max="8" width="20.86"/>
    <col customWidth="1" hidden="1" min="9" max="9" width="24.43"/>
    <col hidden="1" min="10" max="10" width="14.43"/>
    <col customWidth="1" hidden="1" min="11" max="11" width="23.71"/>
    <col hidden="1" min="12" max="12" width="14.43"/>
    <col customWidth="1" hidden="1" min="13" max="13" width="20.14"/>
  </cols>
  <sheetData>
    <row r="1">
      <c r="A1" s="1118" t="s">
        <v>14991</v>
      </c>
      <c r="B1" s="1118" t="s">
        <v>14992</v>
      </c>
      <c r="C1" s="1118" t="s">
        <v>14993</v>
      </c>
      <c r="D1" s="1118" t="s">
        <v>11449</v>
      </c>
      <c r="E1" s="1118" t="s">
        <v>2540</v>
      </c>
      <c r="F1" s="1118" t="s">
        <v>11450</v>
      </c>
      <c r="G1" s="1119" t="s">
        <v>14994</v>
      </c>
      <c r="H1" s="1119"/>
      <c r="I1" s="1119" t="s">
        <v>11471</v>
      </c>
      <c r="J1" s="1118" t="s">
        <v>7172</v>
      </c>
      <c r="K1" s="1119" t="s">
        <v>14995</v>
      </c>
      <c r="L1" s="1118" t="s">
        <v>14996</v>
      </c>
      <c r="M1" s="1119" t="s">
        <v>14997</v>
      </c>
      <c r="N1" s="1033"/>
      <c r="O1" s="1033"/>
      <c r="P1" s="1033"/>
      <c r="Q1" s="1033"/>
      <c r="R1" s="1033"/>
      <c r="S1" s="1033"/>
      <c r="T1" s="1033"/>
      <c r="U1" s="1033"/>
      <c r="V1" s="1033"/>
      <c r="W1" s="1033"/>
      <c r="X1" s="1033"/>
      <c r="Y1" s="1033"/>
      <c r="Z1" s="1033"/>
      <c r="AA1" s="1033"/>
      <c r="AB1" s="1033"/>
      <c r="AC1" s="1033"/>
      <c r="AD1" s="1033"/>
      <c r="AE1" s="1033"/>
    </row>
    <row r="2" hidden="1">
      <c r="A2" s="59" t="s">
        <v>11900</v>
      </c>
      <c r="B2" s="59" t="s">
        <v>14998</v>
      </c>
      <c r="C2" s="59" t="s">
        <v>14999</v>
      </c>
      <c r="D2" s="59" t="s">
        <v>2617</v>
      </c>
      <c r="E2" s="82"/>
      <c r="F2" s="82"/>
      <c r="G2" s="1120"/>
      <c r="H2" s="1120"/>
      <c r="I2" s="1120"/>
      <c r="J2" s="82"/>
      <c r="K2" s="1120"/>
      <c r="L2" s="82"/>
      <c r="M2" s="1120"/>
    </row>
    <row r="3">
      <c r="A3" s="59" t="s">
        <v>11900</v>
      </c>
      <c r="B3" s="59" t="s">
        <v>15000</v>
      </c>
      <c r="C3" s="59" t="s">
        <v>15001</v>
      </c>
      <c r="D3" s="59" t="s">
        <v>5100</v>
      </c>
      <c r="E3" s="59" t="s">
        <v>15002</v>
      </c>
      <c r="F3" s="59">
        <v>1.0</v>
      </c>
      <c r="G3" s="1121">
        <v>2420000.0</v>
      </c>
      <c r="H3" s="1121">
        <v>2057000.0</v>
      </c>
      <c r="I3" s="1120">
        <f t="shared" ref="I3:I19" si="1">G3*F3</f>
        <v>2420000</v>
      </c>
      <c r="J3" s="59">
        <v>0.0</v>
      </c>
      <c r="K3" s="1121">
        <f t="shared" ref="K3:K19" si="2">J3*G3</f>
        <v>0</v>
      </c>
      <c r="L3" s="59">
        <v>1.0</v>
      </c>
      <c r="M3" s="1121">
        <f t="shared" ref="M3:M19" si="3">L3*G3</f>
        <v>2420000</v>
      </c>
    </row>
    <row r="4">
      <c r="A4" s="59" t="s">
        <v>11900</v>
      </c>
      <c r="B4" s="59" t="s">
        <v>14998</v>
      </c>
      <c r="C4" s="59" t="s">
        <v>14999</v>
      </c>
      <c r="D4" s="59" t="s">
        <v>2617</v>
      </c>
      <c r="E4" s="59" t="s">
        <v>15003</v>
      </c>
      <c r="F4" s="59">
        <v>3.0</v>
      </c>
      <c r="G4" s="1121">
        <v>1710000.0</v>
      </c>
      <c r="H4" s="1121">
        <v>1100000.0</v>
      </c>
      <c r="I4" s="1120">
        <f t="shared" si="1"/>
        <v>5130000</v>
      </c>
      <c r="J4" s="59">
        <v>0.0</v>
      </c>
      <c r="K4" s="1121">
        <f t="shared" si="2"/>
        <v>0</v>
      </c>
      <c r="L4" s="59">
        <v>3.0</v>
      </c>
      <c r="M4" s="1121">
        <f t="shared" si="3"/>
        <v>5130000</v>
      </c>
    </row>
    <row r="5">
      <c r="A5" s="59" t="s">
        <v>11900</v>
      </c>
      <c r="B5" s="59" t="s">
        <v>14998</v>
      </c>
      <c r="C5" s="63" t="s">
        <v>15004</v>
      </c>
      <c r="D5" s="59" t="s">
        <v>12972</v>
      </c>
      <c r="E5" s="59" t="s">
        <v>15005</v>
      </c>
      <c r="F5" s="59">
        <v>2.0</v>
      </c>
      <c r="G5" s="1121">
        <v>162000.0</v>
      </c>
      <c r="H5" s="1121">
        <v>153000.0</v>
      </c>
      <c r="I5" s="1120">
        <f t="shared" si="1"/>
        <v>324000</v>
      </c>
      <c r="J5" s="59">
        <v>2.0</v>
      </c>
      <c r="K5" s="1121">
        <f t="shared" si="2"/>
        <v>324000</v>
      </c>
      <c r="L5" s="59">
        <v>0.0</v>
      </c>
      <c r="M5" s="1121">
        <f t="shared" si="3"/>
        <v>0</v>
      </c>
    </row>
    <row r="6">
      <c r="A6" s="59" t="s">
        <v>11900</v>
      </c>
      <c r="B6" s="59" t="s">
        <v>14998</v>
      </c>
      <c r="C6" s="63" t="s">
        <v>15006</v>
      </c>
      <c r="D6" s="59" t="s">
        <v>12973</v>
      </c>
      <c r="E6" s="59" t="s">
        <v>15007</v>
      </c>
      <c r="F6" s="59">
        <v>2.0</v>
      </c>
      <c r="G6" s="1121">
        <v>162000.0</v>
      </c>
      <c r="H6" s="1121">
        <v>153000.0</v>
      </c>
      <c r="I6" s="1120">
        <f t="shared" si="1"/>
        <v>324000</v>
      </c>
      <c r="J6" s="59">
        <v>2.0</v>
      </c>
      <c r="K6" s="1121">
        <f t="shared" si="2"/>
        <v>324000</v>
      </c>
      <c r="L6" s="59">
        <v>0.0</v>
      </c>
      <c r="M6" s="1121">
        <f t="shared" si="3"/>
        <v>0</v>
      </c>
    </row>
    <row r="7">
      <c r="A7" s="59" t="s">
        <v>11900</v>
      </c>
      <c r="B7" s="59" t="s">
        <v>14998</v>
      </c>
      <c r="C7" s="63" t="s">
        <v>15008</v>
      </c>
      <c r="D7" s="59" t="s">
        <v>8241</v>
      </c>
      <c r="E7" s="59" t="s">
        <v>15009</v>
      </c>
      <c r="F7" s="59">
        <v>2.0</v>
      </c>
      <c r="G7" s="1121">
        <v>189000.0</v>
      </c>
      <c r="H7" s="1121">
        <v>178500.0</v>
      </c>
      <c r="I7" s="1120">
        <f t="shared" si="1"/>
        <v>378000</v>
      </c>
      <c r="J7" s="59">
        <v>2.0</v>
      </c>
      <c r="K7" s="1121">
        <f t="shared" si="2"/>
        <v>378000</v>
      </c>
      <c r="L7" s="59">
        <v>0.0</v>
      </c>
      <c r="M7" s="1121">
        <f t="shared" si="3"/>
        <v>0</v>
      </c>
    </row>
    <row r="8">
      <c r="A8" s="59" t="s">
        <v>11900</v>
      </c>
      <c r="B8" s="59" t="s">
        <v>14998</v>
      </c>
      <c r="C8" s="63" t="s">
        <v>15010</v>
      </c>
      <c r="D8" s="59" t="s">
        <v>12974</v>
      </c>
      <c r="E8" s="59" t="s">
        <v>15011</v>
      </c>
      <c r="F8" s="59">
        <v>2.0</v>
      </c>
      <c r="G8" s="1121">
        <v>189000.0</v>
      </c>
      <c r="H8" s="1121">
        <v>178500.0</v>
      </c>
      <c r="I8" s="1120">
        <f t="shared" si="1"/>
        <v>378000</v>
      </c>
      <c r="J8" s="59">
        <v>2.0</v>
      </c>
      <c r="K8" s="1121">
        <f t="shared" si="2"/>
        <v>378000</v>
      </c>
      <c r="L8" s="59">
        <v>0.0</v>
      </c>
      <c r="M8" s="1121">
        <f t="shared" si="3"/>
        <v>0</v>
      </c>
    </row>
    <row r="9">
      <c r="A9" s="59" t="s">
        <v>11900</v>
      </c>
      <c r="B9" s="59" t="s">
        <v>14998</v>
      </c>
      <c r="C9" s="63" t="s">
        <v>15012</v>
      </c>
      <c r="D9" s="59" t="s">
        <v>7405</v>
      </c>
      <c r="E9" s="59" t="s">
        <v>15013</v>
      </c>
      <c r="F9" s="59">
        <v>1.0</v>
      </c>
      <c r="G9" s="1121">
        <v>1080000.0</v>
      </c>
      <c r="H9" s="1121">
        <v>1020000.0</v>
      </c>
      <c r="I9" s="1120">
        <f t="shared" si="1"/>
        <v>1080000</v>
      </c>
      <c r="J9" s="59">
        <v>0.0</v>
      </c>
      <c r="K9" s="1121">
        <f t="shared" si="2"/>
        <v>0</v>
      </c>
      <c r="L9" s="59">
        <v>1.0</v>
      </c>
      <c r="M9" s="1121">
        <f t="shared" si="3"/>
        <v>1080000</v>
      </c>
    </row>
    <row r="10" hidden="1">
      <c r="A10" s="59" t="s">
        <v>11900</v>
      </c>
      <c r="B10" s="59" t="s">
        <v>14998</v>
      </c>
      <c r="C10" s="59" t="s">
        <v>15014</v>
      </c>
      <c r="D10" s="59" t="s">
        <v>10105</v>
      </c>
      <c r="E10" s="59"/>
      <c r="F10" s="59">
        <v>2.0</v>
      </c>
      <c r="G10" s="1121">
        <v>513000.0</v>
      </c>
      <c r="H10" s="1121"/>
      <c r="I10" s="1120">
        <f t="shared" si="1"/>
        <v>1026000</v>
      </c>
      <c r="J10" s="82"/>
      <c r="K10" s="1121">
        <f t="shared" si="2"/>
        <v>0</v>
      </c>
      <c r="L10" s="82"/>
      <c r="M10" s="1121">
        <f t="shared" si="3"/>
        <v>0</v>
      </c>
    </row>
    <row r="11" hidden="1">
      <c r="A11" s="82"/>
      <c r="B11" s="82"/>
      <c r="C11" s="82"/>
      <c r="D11" s="82"/>
      <c r="E11" s="82"/>
      <c r="F11" s="82"/>
      <c r="G11" s="1120"/>
      <c r="H11" s="1120"/>
      <c r="I11" s="1120">
        <f t="shared" si="1"/>
        <v>0</v>
      </c>
      <c r="J11" s="82"/>
      <c r="K11" s="1121">
        <f t="shared" si="2"/>
        <v>0</v>
      </c>
      <c r="L11" s="82"/>
      <c r="M11" s="1121">
        <f t="shared" si="3"/>
        <v>0</v>
      </c>
    </row>
    <row r="12" hidden="1">
      <c r="A12" s="82"/>
      <c r="B12" s="82"/>
      <c r="C12" s="82"/>
      <c r="D12" s="82"/>
      <c r="E12" s="82"/>
      <c r="F12" s="82"/>
      <c r="G12" s="1120"/>
      <c r="H12" s="1120"/>
      <c r="I12" s="1120">
        <f t="shared" si="1"/>
        <v>0</v>
      </c>
      <c r="J12" s="82"/>
      <c r="K12" s="1121">
        <f t="shared" si="2"/>
        <v>0</v>
      </c>
      <c r="L12" s="82"/>
      <c r="M12" s="1121">
        <f t="shared" si="3"/>
        <v>0</v>
      </c>
    </row>
    <row r="13" hidden="1">
      <c r="A13" s="59" t="s">
        <v>11900</v>
      </c>
      <c r="B13" s="59" t="s">
        <v>15015</v>
      </c>
      <c r="C13" s="63" t="s">
        <v>15016</v>
      </c>
      <c r="D13" s="59" t="s">
        <v>15017</v>
      </c>
      <c r="E13" s="59"/>
      <c r="F13" s="59">
        <v>0.0</v>
      </c>
      <c r="G13" s="1121">
        <v>180000.0</v>
      </c>
      <c r="H13" s="1121"/>
      <c r="I13" s="1120">
        <f t="shared" si="1"/>
        <v>0</v>
      </c>
      <c r="J13" s="82"/>
      <c r="K13" s="1121">
        <f t="shared" si="2"/>
        <v>0</v>
      </c>
      <c r="L13" s="82"/>
      <c r="M13" s="1121">
        <f t="shared" si="3"/>
        <v>0</v>
      </c>
    </row>
    <row r="14" hidden="1">
      <c r="A14" s="59" t="s">
        <v>11900</v>
      </c>
      <c r="B14" s="59" t="s">
        <v>15015</v>
      </c>
      <c r="C14" s="63" t="s">
        <v>15016</v>
      </c>
      <c r="D14" s="59" t="s">
        <v>7142</v>
      </c>
      <c r="E14" s="59" t="s">
        <v>15007</v>
      </c>
      <c r="F14" s="59">
        <v>0.0</v>
      </c>
      <c r="G14" s="1121">
        <v>180000.0</v>
      </c>
      <c r="H14" s="1121"/>
      <c r="I14" s="1120">
        <f t="shared" si="1"/>
        <v>0</v>
      </c>
      <c r="J14" s="82"/>
      <c r="K14" s="1121">
        <f t="shared" si="2"/>
        <v>0</v>
      </c>
      <c r="L14" s="82"/>
      <c r="M14" s="1121">
        <f t="shared" si="3"/>
        <v>0</v>
      </c>
    </row>
    <row r="15">
      <c r="A15" s="59" t="s">
        <v>11900</v>
      </c>
      <c r="B15" s="59" t="s">
        <v>15015</v>
      </c>
      <c r="C15" s="63" t="s">
        <v>15018</v>
      </c>
      <c r="D15" s="59" t="s">
        <v>4063</v>
      </c>
      <c r="E15" s="59" t="s">
        <v>15019</v>
      </c>
      <c r="F15" s="59">
        <v>7.0</v>
      </c>
      <c r="G15" s="1121">
        <v>423000.0</v>
      </c>
      <c r="H15" s="1121">
        <v>399500.0</v>
      </c>
      <c r="I15" s="1120">
        <f t="shared" si="1"/>
        <v>2961000</v>
      </c>
      <c r="J15" s="59">
        <v>2.0</v>
      </c>
      <c r="K15" s="1121">
        <f t="shared" si="2"/>
        <v>846000</v>
      </c>
      <c r="L15" s="59">
        <v>5.0</v>
      </c>
      <c r="M15" s="1121">
        <f t="shared" si="3"/>
        <v>2115000</v>
      </c>
    </row>
    <row r="16">
      <c r="A16" s="59" t="s">
        <v>11900</v>
      </c>
      <c r="B16" s="59" t="s">
        <v>15015</v>
      </c>
      <c r="C16" s="63" t="s">
        <v>15020</v>
      </c>
      <c r="D16" s="59" t="s">
        <v>3975</v>
      </c>
      <c r="E16" s="59" t="s">
        <v>15021</v>
      </c>
      <c r="F16" s="59">
        <v>7.0</v>
      </c>
      <c r="G16" s="1121">
        <v>378000.0</v>
      </c>
      <c r="H16" s="1121">
        <v>357000.0</v>
      </c>
      <c r="I16" s="1120">
        <f t="shared" si="1"/>
        <v>2646000</v>
      </c>
      <c r="J16" s="59">
        <v>2.0</v>
      </c>
      <c r="K16" s="1121">
        <f t="shared" si="2"/>
        <v>756000</v>
      </c>
      <c r="L16" s="59">
        <v>5.0</v>
      </c>
      <c r="M16" s="1121">
        <f t="shared" si="3"/>
        <v>1890000</v>
      </c>
    </row>
    <row r="17">
      <c r="A17" s="59" t="s">
        <v>11900</v>
      </c>
      <c r="B17" s="59" t="s">
        <v>15022</v>
      </c>
      <c r="C17" s="59" t="s">
        <v>15023</v>
      </c>
      <c r="D17" s="59" t="s">
        <v>15024</v>
      </c>
      <c r="E17" s="59" t="s">
        <v>15019</v>
      </c>
      <c r="F17" s="59">
        <v>7.0</v>
      </c>
      <c r="G17" s="1121">
        <v>435600.0</v>
      </c>
      <c r="H17" s="1121">
        <v>411400.0</v>
      </c>
      <c r="I17" s="1120">
        <f t="shared" si="1"/>
        <v>3049200</v>
      </c>
      <c r="J17" s="59">
        <v>2.0</v>
      </c>
      <c r="K17" s="1121">
        <f t="shared" si="2"/>
        <v>871200</v>
      </c>
      <c r="L17" s="59">
        <v>5.0</v>
      </c>
      <c r="M17" s="1121">
        <f t="shared" si="3"/>
        <v>2178000</v>
      </c>
    </row>
    <row r="18">
      <c r="A18" s="59" t="s">
        <v>107</v>
      </c>
      <c r="B18" s="59" t="s">
        <v>15025</v>
      </c>
      <c r="C18" s="59" t="s">
        <v>15026</v>
      </c>
      <c r="D18" s="63" t="s">
        <v>7154</v>
      </c>
      <c r="E18" s="59" t="s">
        <v>15013</v>
      </c>
      <c r="F18" s="59">
        <v>1.0</v>
      </c>
      <c r="G18" s="1121">
        <v>316350.0</v>
      </c>
      <c r="H18" s="1121">
        <v>286000.0</v>
      </c>
      <c r="I18" s="1120">
        <f t="shared" si="1"/>
        <v>316350</v>
      </c>
      <c r="J18" s="59">
        <v>1.0</v>
      </c>
      <c r="K18" s="1121">
        <f t="shared" si="2"/>
        <v>316350</v>
      </c>
      <c r="L18" s="59">
        <v>0.0</v>
      </c>
      <c r="M18" s="1121">
        <f t="shared" si="3"/>
        <v>0</v>
      </c>
    </row>
    <row r="19">
      <c r="A19" s="59" t="s">
        <v>107</v>
      </c>
      <c r="B19" s="59" t="s">
        <v>15027</v>
      </c>
      <c r="C19" s="59" t="s">
        <v>15028</v>
      </c>
      <c r="D19" s="63" t="s">
        <v>3745</v>
      </c>
      <c r="E19" s="59" t="s">
        <v>15003</v>
      </c>
      <c r="F19" s="59">
        <v>2.0</v>
      </c>
      <c r="G19" s="1121">
        <v>738150.0</v>
      </c>
      <c r="H19" s="1121">
        <v>723000.0</v>
      </c>
      <c r="I19" s="1120">
        <f t="shared" si="1"/>
        <v>1476300</v>
      </c>
      <c r="J19" s="59">
        <v>2.0</v>
      </c>
      <c r="K19" s="1121">
        <f t="shared" si="2"/>
        <v>1476300</v>
      </c>
      <c r="L19" s="59">
        <v>0.0</v>
      </c>
      <c r="M19" s="1121">
        <f t="shared" si="3"/>
        <v>0</v>
      </c>
    </row>
    <row r="20">
      <c r="D20" s="82"/>
      <c r="E20" s="82"/>
      <c r="F20" s="82"/>
      <c r="G20" s="1120"/>
      <c r="H20" s="1120"/>
      <c r="I20" s="1120">
        <f>SUM(I2:I19)</f>
        <v>21508850</v>
      </c>
      <c r="J20" s="82"/>
      <c r="K20" s="1121">
        <f>SUM(K2:K19)</f>
        <v>5669850</v>
      </c>
      <c r="L20" s="82"/>
      <c r="M20" s="1121">
        <f>SUM(M2:M19)</f>
        <v>14813000</v>
      </c>
    </row>
    <row r="21">
      <c r="A21" s="6" t="s">
        <v>107</v>
      </c>
      <c r="B21" s="6" t="s">
        <v>15027</v>
      </c>
      <c r="C21" s="6" t="s">
        <v>15028</v>
      </c>
      <c r="D21" s="63" t="s">
        <v>3745</v>
      </c>
      <c r="G21" s="1122"/>
      <c r="H21" s="1122"/>
      <c r="I21" s="1122"/>
      <c r="K21" s="1122"/>
      <c r="M21" s="1122"/>
    </row>
    <row r="22">
      <c r="A22" s="6" t="s">
        <v>107</v>
      </c>
      <c r="B22" s="6"/>
      <c r="C22" s="6" t="s">
        <v>15029</v>
      </c>
      <c r="D22" s="63" t="s">
        <v>8066</v>
      </c>
      <c r="G22" s="1122"/>
      <c r="H22" s="1122"/>
      <c r="I22" s="1122"/>
      <c r="K22" s="1122"/>
      <c r="M22" s="1122"/>
    </row>
    <row r="23">
      <c r="A23" s="6" t="s">
        <v>107</v>
      </c>
      <c r="B23" s="6"/>
      <c r="C23" s="6" t="s">
        <v>15030</v>
      </c>
      <c r="D23" s="63" t="s">
        <v>7408</v>
      </c>
      <c r="G23" s="1122"/>
      <c r="H23" s="1122"/>
      <c r="I23" s="1122"/>
      <c r="K23" s="1122"/>
      <c r="M23" s="1122"/>
    </row>
    <row r="24">
      <c r="A24" s="6" t="s">
        <v>107</v>
      </c>
      <c r="B24" s="6"/>
      <c r="C24" s="6" t="s">
        <v>15031</v>
      </c>
      <c r="D24" s="63" t="s">
        <v>12946</v>
      </c>
      <c r="G24" s="1122"/>
      <c r="H24" s="1122"/>
      <c r="I24" s="1122"/>
      <c r="K24" s="1122"/>
      <c r="M24" s="1122"/>
    </row>
    <row r="25">
      <c r="A25" s="6" t="s">
        <v>107</v>
      </c>
      <c r="B25" s="6"/>
      <c r="C25" s="6" t="s">
        <v>15032</v>
      </c>
      <c r="D25" s="63" t="s">
        <v>3988</v>
      </c>
      <c r="G25" s="1122"/>
      <c r="H25" s="1122"/>
      <c r="I25" s="1122"/>
      <c r="K25" s="1122"/>
      <c r="M25" s="1122"/>
    </row>
    <row r="26">
      <c r="A26" s="6" t="s">
        <v>107</v>
      </c>
      <c r="B26" s="6"/>
      <c r="C26" s="6" t="s">
        <v>15026</v>
      </c>
      <c r="D26" s="63" t="s">
        <v>7154</v>
      </c>
      <c r="G26" s="1122"/>
      <c r="H26" s="1122"/>
      <c r="I26" s="1122"/>
      <c r="K26" s="1122"/>
      <c r="M26" s="1122"/>
    </row>
    <row r="27">
      <c r="A27" s="6" t="s">
        <v>107</v>
      </c>
      <c r="B27" s="6"/>
      <c r="C27" s="6" t="s">
        <v>15033</v>
      </c>
      <c r="D27" s="63" t="s">
        <v>7393</v>
      </c>
      <c r="G27" s="1122"/>
      <c r="H27" s="1122"/>
      <c r="I27" s="1122"/>
      <c r="K27" s="1122"/>
      <c r="M27" s="1122"/>
    </row>
    <row r="28">
      <c r="A28" s="6" t="s">
        <v>107</v>
      </c>
      <c r="B28" s="6"/>
      <c r="C28" s="6" t="s">
        <v>15034</v>
      </c>
      <c r="D28" s="6" t="s">
        <v>9321</v>
      </c>
      <c r="G28" s="1122"/>
      <c r="H28" s="1122"/>
      <c r="I28" s="1122"/>
      <c r="K28" s="1122"/>
      <c r="M28" s="1122"/>
    </row>
    <row r="29">
      <c r="A29" s="6" t="s">
        <v>11757</v>
      </c>
      <c r="B29" s="6"/>
      <c r="C29" s="6" t="s">
        <v>15035</v>
      </c>
      <c r="D29" s="6" t="s">
        <v>2983</v>
      </c>
      <c r="G29" s="1122"/>
      <c r="H29" s="1122"/>
      <c r="I29" s="1122"/>
      <c r="K29" s="1122"/>
      <c r="M29" s="1122"/>
    </row>
    <row r="30">
      <c r="A30" s="6" t="s">
        <v>2392</v>
      </c>
      <c r="B30" s="6" t="s">
        <v>15036</v>
      </c>
      <c r="C30" s="6" t="s">
        <v>15037</v>
      </c>
      <c r="D30" s="6" t="s">
        <v>15038</v>
      </c>
      <c r="G30" s="1122"/>
      <c r="H30" s="1122"/>
      <c r="I30" s="1122"/>
      <c r="K30" s="1122"/>
      <c r="M30" s="1122"/>
    </row>
    <row r="31">
      <c r="G31" s="1122"/>
      <c r="H31" s="1122"/>
      <c r="I31" s="1122"/>
      <c r="K31" s="1122"/>
      <c r="M31" s="1122"/>
    </row>
    <row r="32">
      <c r="B32" s="1033"/>
      <c r="G32" s="1122"/>
      <c r="H32" s="1122"/>
      <c r="I32" s="1122"/>
      <c r="K32" s="1122"/>
      <c r="M32" s="1122"/>
    </row>
    <row r="33">
      <c r="G33" s="1122"/>
      <c r="H33" s="1122"/>
      <c r="I33" s="1122"/>
      <c r="K33" s="1122"/>
      <c r="M33" s="1122"/>
    </row>
    <row r="34">
      <c r="G34" s="1122"/>
      <c r="H34" s="1122"/>
      <c r="I34" s="1122"/>
      <c r="K34" s="1122"/>
      <c r="M34" s="1122"/>
    </row>
    <row r="35">
      <c r="G35" s="1122"/>
      <c r="H35" s="1122"/>
      <c r="I35" s="1122"/>
      <c r="K35" s="1122"/>
      <c r="M35" s="1122"/>
    </row>
    <row r="36">
      <c r="G36" s="1122"/>
      <c r="H36" s="1122"/>
      <c r="I36" s="1122"/>
      <c r="K36" s="1122"/>
      <c r="M36" s="1122"/>
    </row>
    <row r="37">
      <c r="G37" s="1122"/>
      <c r="H37" s="1122"/>
      <c r="I37" s="1122"/>
      <c r="K37" s="1122"/>
      <c r="M37" s="1122"/>
    </row>
    <row r="38">
      <c r="G38" s="1122"/>
      <c r="H38" s="1122"/>
      <c r="I38" s="1122"/>
      <c r="K38" s="1122"/>
      <c r="M38" s="1122"/>
    </row>
    <row r="39">
      <c r="G39" s="1122"/>
      <c r="H39" s="1122"/>
      <c r="I39" s="1122"/>
      <c r="K39" s="1122"/>
      <c r="M39" s="1122"/>
    </row>
    <row r="40">
      <c r="G40" s="1122"/>
      <c r="H40" s="1122"/>
      <c r="I40" s="1122"/>
      <c r="K40" s="1122"/>
      <c r="M40" s="1122"/>
    </row>
    <row r="41">
      <c r="G41" s="1122"/>
      <c r="H41" s="1122"/>
      <c r="I41" s="1122"/>
      <c r="K41" s="1122"/>
      <c r="M41" s="1122"/>
    </row>
    <row r="42">
      <c r="G42" s="1122"/>
      <c r="H42" s="1122"/>
      <c r="I42" s="1122"/>
      <c r="K42" s="1122"/>
      <c r="M42" s="1122"/>
    </row>
    <row r="43">
      <c r="G43" s="1122"/>
      <c r="H43" s="1122"/>
      <c r="I43" s="1122"/>
      <c r="K43" s="1122"/>
      <c r="M43" s="1122"/>
    </row>
    <row r="44">
      <c r="G44" s="1122"/>
      <c r="H44" s="1122"/>
      <c r="I44" s="1122"/>
      <c r="K44" s="1122"/>
      <c r="M44" s="1122"/>
    </row>
    <row r="45">
      <c r="G45" s="1122"/>
      <c r="H45" s="1122"/>
      <c r="I45" s="1122"/>
      <c r="K45" s="1122"/>
      <c r="M45" s="1122"/>
    </row>
    <row r="46">
      <c r="G46" s="1122"/>
      <c r="H46" s="1122"/>
      <c r="I46" s="1122"/>
      <c r="K46" s="1122"/>
      <c r="M46" s="1122"/>
    </row>
    <row r="47">
      <c r="G47" s="1122"/>
      <c r="H47" s="1122"/>
      <c r="I47" s="1122"/>
      <c r="K47" s="1122"/>
      <c r="M47" s="1122"/>
    </row>
    <row r="48">
      <c r="G48" s="1122"/>
      <c r="H48" s="1122"/>
      <c r="I48" s="1122"/>
      <c r="K48" s="1122"/>
      <c r="M48" s="1122"/>
    </row>
    <row r="49">
      <c r="G49" s="1122"/>
      <c r="H49" s="1122"/>
      <c r="I49" s="1122"/>
      <c r="K49" s="1122"/>
      <c r="M49" s="1122"/>
    </row>
    <row r="50">
      <c r="G50" s="1122"/>
      <c r="H50" s="1122"/>
      <c r="I50" s="1122"/>
      <c r="K50" s="1122"/>
      <c r="M50" s="1122"/>
    </row>
    <row r="51">
      <c r="G51" s="1122"/>
      <c r="H51" s="1122"/>
      <c r="I51" s="1122"/>
      <c r="K51" s="1122"/>
      <c r="M51" s="1122"/>
    </row>
    <row r="52">
      <c r="G52" s="1122"/>
      <c r="H52" s="1122"/>
      <c r="I52" s="1122"/>
      <c r="K52" s="1122"/>
      <c r="M52" s="1122"/>
    </row>
    <row r="53">
      <c r="G53" s="1122"/>
      <c r="H53" s="1122"/>
      <c r="I53" s="1122"/>
      <c r="K53" s="1122"/>
      <c r="M53" s="1122"/>
    </row>
    <row r="54">
      <c r="G54" s="1122"/>
      <c r="H54" s="1122"/>
      <c r="I54" s="1122"/>
      <c r="K54" s="1122"/>
      <c r="M54" s="1122"/>
    </row>
    <row r="55">
      <c r="G55" s="1122"/>
      <c r="H55" s="1122"/>
      <c r="I55" s="1122"/>
      <c r="K55" s="1122"/>
      <c r="M55" s="1122"/>
    </row>
    <row r="56">
      <c r="G56" s="1122"/>
      <c r="H56" s="1122"/>
      <c r="I56" s="1122"/>
      <c r="K56" s="1122"/>
      <c r="M56" s="1122"/>
    </row>
    <row r="57">
      <c r="G57" s="1122"/>
      <c r="H57" s="1122"/>
      <c r="I57" s="1122"/>
      <c r="K57" s="1122"/>
      <c r="M57" s="1122"/>
    </row>
    <row r="58">
      <c r="G58" s="1122"/>
      <c r="H58" s="1122"/>
      <c r="I58" s="1122"/>
      <c r="K58" s="1122"/>
      <c r="M58" s="1122"/>
    </row>
    <row r="59">
      <c r="G59" s="1122"/>
      <c r="H59" s="1122"/>
      <c r="I59" s="1122"/>
      <c r="K59" s="1122"/>
      <c r="M59" s="1122"/>
    </row>
    <row r="60">
      <c r="G60" s="1122"/>
      <c r="H60" s="1122"/>
      <c r="I60" s="1122"/>
      <c r="K60" s="1122"/>
      <c r="M60" s="1122"/>
    </row>
    <row r="61">
      <c r="G61" s="1122"/>
      <c r="H61" s="1122"/>
      <c r="I61" s="1122"/>
      <c r="K61" s="1122"/>
      <c r="M61" s="1122"/>
    </row>
    <row r="62">
      <c r="G62" s="1122"/>
      <c r="H62" s="1122"/>
      <c r="I62" s="1122"/>
      <c r="K62" s="1122"/>
      <c r="M62" s="1122"/>
    </row>
    <row r="63">
      <c r="G63" s="1122"/>
      <c r="H63" s="1122"/>
      <c r="I63" s="1122"/>
      <c r="K63" s="1122"/>
      <c r="M63" s="1122"/>
    </row>
    <row r="64">
      <c r="G64" s="1122"/>
      <c r="H64" s="1122"/>
      <c r="I64" s="1122"/>
      <c r="K64" s="1122"/>
      <c r="M64" s="1122"/>
    </row>
    <row r="65">
      <c r="G65" s="1122"/>
      <c r="H65" s="1122"/>
      <c r="I65" s="1122"/>
      <c r="K65" s="1122"/>
      <c r="M65" s="1122"/>
    </row>
    <row r="66">
      <c r="G66" s="1122"/>
      <c r="H66" s="1122"/>
      <c r="I66" s="1122"/>
      <c r="K66" s="1122"/>
      <c r="M66" s="1122"/>
    </row>
    <row r="67">
      <c r="G67" s="1122"/>
      <c r="H67" s="1122"/>
      <c r="I67" s="1122"/>
      <c r="K67" s="1122"/>
      <c r="M67" s="1122"/>
    </row>
    <row r="68">
      <c r="G68" s="1122"/>
      <c r="H68" s="1122"/>
      <c r="I68" s="1122"/>
      <c r="K68" s="1122"/>
      <c r="M68" s="1122"/>
    </row>
    <row r="69">
      <c r="G69" s="1122"/>
      <c r="H69" s="1122"/>
      <c r="I69" s="1122"/>
      <c r="K69" s="1122"/>
      <c r="M69" s="1122"/>
    </row>
    <row r="70">
      <c r="G70" s="1122"/>
      <c r="H70" s="1122"/>
      <c r="I70" s="1122"/>
      <c r="K70" s="1122"/>
      <c r="M70" s="1122"/>
    </row>
    <row r="71">
      <c r="G71" s="1122"/>
      <c r="H71" s="1122"/>
      <c r="I71" s="1122"/>
      <c r="K71" s="1122"/>
      <c r="M71" s="1122"/>
    </row>
    <row r="72">
      <c r="G72" s="1122"/>
      <c r="H72" s="1122"/>
      <c r="I72" s="1122"/>
      <c r="K72" s="1122"/>
      <c r="M72" s="1122"/>
    </row>
    <row r="73">
      <c r="G73" s="1122"/>
      <c r="H73" s="1122"/>
      <c r="I73" s="1122"/>
      <c r="K73" s="1122"/>
      <c r="M73" s="1122"/>
    </row>
    <row r="74">
      <c r="G74" s="1122"/>
      <c r="H74" s="1122"/>
      <c r="I74" s="1122"/>
      <c r="K74" s="1122"/>
      <c r="M74" s="1122"/>
    </row>
    <row r="75">
      <c r="G75" s="1122"/>
      <c r="H75" s="1122"/>
      <c r="I75" s="1122"/>
      <c r="K75" s="1122"/>
      <c r="M75" s="1122"/>
    </row>
    <row r="76">
      <c r="G76" s="1122"/>
      <c r="H76" s="1122"/>
      <c r="I76" s="1122"/>
      <c r="K76" s="1122"/>
      <c r="M76" s="1122"/>
    </row>
    <row r="77">
      <c r="G77" s="1122"/>
      <c r="H77" s="1122"/>
      <c r="I77" s="1122"/>
      <c r="K77" s="1122"/>
      <c r="M77" s="1122"/>
    </row>
    <row r="78">
      <c r="G78" s="1122"/>
      <c r="H78" s="1122"/>
      <c r="I78" s="1122"/>
      <c r="K78" s="1122"/>
      <c r="M78" s="1122"/>
    </row>
    <row r="79">
      <c r="G79" s="1122"/>
      <c r="H79" s="1122"/>
      <c r="I79" s="1122"/>
      <c r="K79" s="1122"/>
      <c r="M79" s="1122"/>
    </row>
    <row r="80">
      <c r="G80" s="1122"/>
      <c r="H80" s="1122"/>
      <c r="I80" s="1122"/>
      <c r="K80" s="1122"/>
      <c r="M80" s="1122"/>
    </row>
    <row r="81">
      <c r="G81" s="1122"/>
      <c r="H81" s="1122"/>
      <c r="I81" s="1122"/>
      <c r="K81" s="1122"/>
      <c r="M81" s="1122"/>
    </row>
    <row r="82">
      <c r="G82" s="1122"/>
      <c r="H82" s="1122"/>
      <c r="I82" s="1122"/>
      <c r="K82" s="1122"/>
      <c r="M82" s="1122"/>
    </row>
    <row r="83">
      <c r="G83" s="1122"/>
      <c r="H83" s="1122"/>
      <c r="I83" s="1122"/>
      <c r="K83" s="1122"/>
      <c r="M83" s="1122"/>
    </row>
    <row r="84">
      <c r="G84" s="1122"/>
      <c r="H84" s="1122"/>
      <c r="I84" s="1122"/>
      <c r="K84" s="1122"/>
      <c r="M84" s="1122"/>
    </row>
    <row r="85">
      <c r="G85" s="1122"/>
      <c r="H85" s="1122"/>
      <c r="I85" s="1122"/>
      <c r="K85" s="1122"/>
      <c r="M85" s="1122"/>
    </row>
    <row r="86">
      <c r="G86" s="1122"/>
      <c r="H86" s="1122"/>
      <c r="I86" s="1122"/>
      <c r="K86" s="1122"/>
      <c r="M86" s="1122"/>
    </row>
    <row r="87">
      <c r="G87" s="1122"/>
      <c r="H87" s="1122"/>
      <c r="I87" s="1122"/>
      <c r="K87" s="1122"/>
      <c r="M87" s="1122"/>
    </row>
    <row r="88">
      <c r="G88" s="1122"/>
      <c r="H88" s="1122"/>
      <c r="I88" s="1122"/>
      <c r="K88" s="1122"/>
      <c r="M88" s="1122"/>
    </row>
    <row r="89">
      <c r="G89" s="1122"/>
      <c r="H89" s="1122"/>
      <c r="I89" s="1122"/>
      <c r="K89" s="1122"/>
      <c r="M89" s="1122"/>
    </row>
    <row r="90">
      <c r="G90" s="1122"/>
      <c r="H90" s="1122"/>
      <c r="I90" s="1122"/>
      <c r="K90" s="1122"/>
      <c r="M90" s="1122"/>
    </row>
    <row r="91">
      <c r="G91" s="1122"/>
      <c r="H91" s="1122"/>
      <c r="I91" s="1122"/>
      <c r="K91" s="1122"/>
      <c r="M91" s="1122"/>
    </row>
    <row r="92">
      <c r="G92" s="1122"/>
      <c r="H92" s="1122"/>
      <c r="I92" s="1122"/>
      <c r="K92" s="1122"/>
      <c r="M92" s="1122"/>
    </row>
    <row r="93">
      <c r="G93" s="1122"/>
      <c r="H93" s="1122"/>
      <c r="I93" s="1122"/>
      <c r="K93" s="1122"/>
      <c r="M93" s="1122"/>
    </row>
    <row r="94">
      <c r="G94" s="1122"/>
      <c r="H94" s="1122"/>
      <c r="I94" s="1122"/>
      <c r="K94" s="1122"/>
      <c r="M94" s="1122"/>
    </row>
    <row r="95">
      <c r="G95" s="1122"/>
      <c r="H95" s="1122"/>
      <c r="I95" s="1122"/>
      <c r="K95" s="1122"/>
      <c r="M95" s="1122"/>
    </row>
    <row r="96">
      <c r="G96" s="1122"/>
      <c r="H96" s="1122"/>
      <c r="I96" s="1122"/>
      <c r="K96" s="1122"/>
      <c r="M96" s="1122"/>
    </row>
    <row r="97">
      <c r="G97" s="1122"/>
      <c r="H97" s="1122"/>
      <c r="I97" s="1122"/>
      <c r="K97" s="1122"/>
      <c r="M97" s="1122"/>
    </row>
    <row r="98">
      <c r="G98" s="1122"/>
      <c r="H98" s="1122"/>
      <c r="I98" s="1122"/>
      <c r="K98" s="1122"/>
      <c r="M98" s="1122"/>
    </row>
    <row r="99">
      <c r="G99" s="1122"/>
      <c r="H99" s="1122"/>
      <c r="I99" s="1122"/>
      <c r="K99" s="1122"/>
      <c r="M99" s="1122"/>
    </row>
    <row r="100">
      <c r="G100" s="1122"/>
      <c r="H100" s="1122"/>
      <c r="I100" s="1122"/>
      <c r="K100" s="1122"/>
      <c r="M100" s="1122"/>
    </row>
    <row r="101">
      <c r="G101" s="1122"/>
      <c r="H101" s="1122"/>
      <c r="I101" s="1122"/>
      <c r="K101" s="1122"/>
      <c r="M101" s="1122"/>
    </row>
    <row r="102">
      <c r="G102" s="1122"/>
      <c r="H102" s="1122"/>
      <c r="I102" s="1122"/>
      <c r="K102" s="1122"/>
      <c r="M102" s="1122"/>
    </row>
    <row r="103">
      <c r="G103" s="1122"/>
      <c r="H103" s="1122"/>
      <c r="I103" s="1122"/>
      <c r="K103" s="1122"/>
      <c r="M103" s="1122"/>
    </row>
    <row r="104">
      <c r="G104" s="1122"/>
      <c r="H104" s="1122"/>
      <c r="I104" s="1122"/>
      <c r="K104" s="1122"/>
      <c r="M104" s="1122"/>
    </row>
    <row r="105">
      <c r="G105" s="1122"/>
      <c r="H105" s="1122"/>
      <c r="I105" s="1122"/>
      <c r="K105" s="1122"/>
      <c r="M105" s="1122"/>
    </row>
    <row r="106">
      <c r="G106" s="1122"/>
      <c r="H106" s="1122"/>
      <c r="I106" s="1122"/>
      <c r="K106" s="1122"/>
      <c r="M106" s="1122"/>
    </row>
    <row r="107">
      <c r="G107" s="1122"/>
      <c r="H107" s="1122"/>
      <c r="I107" s="1122"/>
      <c r="K107" s="1122"/>
      <c r="M107" s="1122"/>
    </row>
    <row r="108">
      <c r="G108" s="1122"/>
      <c r="H108" s="1122"/>
      <c r="I108" s="1122"/>
      <c r="K108" s="1122"/>
      <c r="M108" s="1122"/>
    </row>
    <row r="109">
      <c r="G109" s="1122"/>
      <c r="H109" s="1122"/>
      <c r="I109" s="1122"/>
      <c r="K109" s="1122"/>
      <c r="M109" s="1122"/>
    </row>
    <row r="110">
      <c r="G110" s="1122"/>
      <c r="H110" s="1122"/>
      <c r="I110" s="1122"/>
      <c r="K110" s="1122"/>
      <c r="M110" s="1122"/>
    </row>
    <row r="111">
      <c r="G111" s="1122"/>
      <c r="H111" s="1122"/>
      <c r="I111" s="1122"/>
      <c r="K111" s="1122"/>
      <c r="M111" s="1122"/>
    </row>
    <row r="112">
      <c r="G112" s="1122"/>
      <c r="H112" s="1122"/>
      <c r="I112" s="1122"/>
      <c r="K112" s="1122"/>
      <c r="M112" s="1122"/>
    </row>
    <row r="113">
      <c r="G113" s="1122"/>
      <c r="H113" s="1122"/>
      <c r="I113" s="1122"/>
      <c r="K113" s="1122"/>
      <c r="M113" s="1122"/>
    </row>
    <row r="114">
      <c r="G114" s="1122"/>
      <c r="H114" s="1122"/>
      <c r="I114" s="1122"/>
      <c r="K114" s="1122"/>
      <c r="M114" s="1122"/>
    </row>
    <row r="115">
      <c r="G115" s="1122"/>
      <c r="H115" s="1122"/>
      <c r="I115" s="1122"/>
      <c r="K115" s="1122"/>
      <c r="M115" s="1122"/>
    </row>
    <row r="116">
      <c r="G116" s="1122"/>
      <c r="H116" s="1122"/>
      <c r="I116" s="1122"/>
      <c r="K116" s="1122"/>
      <c r="M116" s="1122"/>
    </row>
    <row r="117">
      <c r="G117" s="1122"/>
      <c r="H117" s="1122"/>
      <c r="I117" s="1122"/>
      <c r="K117" s="1122"/>
      <c r="M117" s="1122"/>
    </row>
    <row r="118">
      <c r="G118" s="1122"/>
      <c r="H118" s="1122"/>
      <c r="I118" s="1122"/>
      <c r="K118" s="1122"/>
      <c r="M118" s="1122"/>
    </row>
    <row r="119">
      <c r="G119" s="1122"/>
      <c r="H119" s="1122"/>
      <c r="I119" s="1122"/>
      <c r="K119" s="1122"/>
      <c r="M119" s="1122"/>
    </row>
    <row r="120">
      <c r="G120" s="1122"/>
      <c r="H120" s="1122"/>
      <c r="I120" s="1122"/>
      <c r="K120" s="1122"/>
      <c r="M120" s="1122"/>
    </row>
    <row r="121">
      <c r="G121" s="1122"/>
      <c r="H121" s="1122"/>
      <c r="I121" s="1122"/>
      <c r="K121" s="1122"/>
      <c r="M121" s="1122"/>
    </row>
    <row r="122">
      <c r="G122" s="1122"/>
      <c r="H122" s="1122"/>
      <c r="I122" s="1122"/>
      <c r="K122" s="1122"/>
      <c r="M122" s="1122"/>
    </row>
    <row r="123">
      <c r="G123" s="1122"/>
      <c r="H123" s="1122"/>
      <c r="I123" s="1122"/>
      <c r="K123" s="1122"/>
      <c r="M123" s="1122"/>
    </row>
    <row r="124">
      <c r="G124" s="1122"/>
      <c r="H124" s="1122"/>
      <c r="I124" s="1122"/>
      <c r="K124" s="1122"/>
      <c r="M124" s="1122"/>
    </row>
    <row r="125">
      <c r="G125" s="1122"/>
      <c r="H125" s="1122"/>
      <c r="I125" s="1122"/>
      <c r="K125" s="1122"/>
      <c r="M125" s="1122"/>
    </row>
    <row r="126">
      <c r="G126" s="1122"/>
      <c r="H126" s="1122"/>
      <c r="I126" s="1122"/>
      <c r="K126" s="1122"/>
      <c r="M126" s="1122"/>
    </row>
    <row r="127">
      <c r="G127" s="1122"/>
      <c r="H127" s="1122"/>
      <c r="I127" s="1122"/>
      <c r="K127" s="1122"/>
      <c r="M127" s="1122"/>
    </row>
    <row r="128">
      <c r="G128" s="1122"/>
      <c r="H128" s="1122"/>
      <c r="I128" s="1122"/>
      <c r="K128" s="1122"/>
      <c r="M128" s="1122"/>
    </row>
    <row r="129">
      <c r="G129" s="1122"/>
      <c r="H129" s="1122"/>
      <c r="I129" s="1122"/>
      <c r="K129" s="1122"/>
      <c r="M129" s="1122"/>
    </row>
    <row r="130">
      <c r="G130" s="1122"/>
      <c r="H130" s="1122"/>
      <c r="I130" s="1122"/>
      <c r="K130" s="1122"/>
      <c r="M130" s="1122"/>
    </row>
    <row r="131">
      <c r="G131" s="1122"/>
      <c r="H131" s="1122"/>
      <c r="I131" s="1122"/>
      <c r="K131" s="1122"/>
      <c r="M131" s="1122"/>
    </row>
    <row r="132">
      <c r="G132" s="1122"/>
      <c r="H132" s="1122"/>
      <c r="I132" s="1122"/>
      <c r="K132" s="1122"/>
      <c r="M132" s="1122"/>
    </row>
    <row r="133">
      <c r="G133" s="1122"/>
      <c r="H133" s="1122"/>
      <c r="I133" s="1122"/>
      <c r="K133" s="1122"/>
      <c r="M133" s="1122"/>
    </row>
    <row r="134">
      <c r="G134" s="1122"/>
      <c r="H134" s="1122"/>
      <c r="I134" s="1122"/>
      <c r="K134" s="1122"/>
      <c r="M134" s="1122"/>
    </row>
    <row r="135">
      <c r="G135" s="1122"/>
      <c r="H135" s="1122"/>
      <c r="I135" s="1122"/>
      <c r="K135" s="1122"/>
      <c r="M135" s="1122"/>
    </row>
    <row r="136">
      <c r="G136" s="1122"/>
      <c r="H136" s="1122"/>
      <c r="I136" s="1122"/>
      <c r="K136" s="1122"/>
      <c r="M136" s="1122"/>
    </row>
    <row r="137">
      <c r="G137" s="1122"/>
      <c r="H137" s="1122"/>
      <c r="I137" s="1122"/>
      <c r="K137" s="1122"/>
      <c r="M137" s="1122"/>
    </row>
    <row r="138">
      <c r="G138" s="1122"/>
      <c r="H138" s="1122"/>
      <c r="I138" s="1122"/>
      <c r="K138" s="1122"/>
      <c r="M138" s="1122"/>
    </row>
    <row r="139">
      <c r="G139" s="1122"/>
      <c r="H139" s="1122"/>
      <c r="I139" s="1122"/>
      <c r="K139" s="1122"/>
      <c r="M139" s="1122"/>
    </row>
    <row r="140">
      <c r="G140" s="1122"/>
      <c r="H140" s="1122"/>
      <c r="I140" s="1122"/>
      <c r="K140" s="1122"/>
      <c r="M140" s="1122"/>
    </row>
    <row r="141">
      <c r="G141" s="1122"/>
      <c r="H141" s="1122"/>
      <c r="I141" s="1122"/>
      <c r="K141" s="1122"/>
      <c r="M141" s="1122"/>
    </row>
    <row r="142">
      <c r="G142" s="1122"/>
      <c r="H142" s="1122"/>
      <c r="I142" s="1122"/>
      <c r="K142" s="1122"/>
      <c r="M142" s="1122"/>
    </row>
    <row r="143">
      <c r="G143" s="1122"/>
      <c r="H143" s="1122"/>
      <c r="I143" s="1122"/>
      <c r="K143" s="1122"/>
      <c r="M143" s="1122"/>
    </row>
    <row r="144">
      <c r="G144" s="1122"/>
      <c r="H144" s="1122"/>
      <c r="I144" s="1122"/>
      <c r="K144" s="1122"/>
      <c r="M144" s="1122"/>
    </row>
    <row r="145">
      <c r="G145" s="1122"/>
      <c r="H145" s="1122"/>
      <c r="I145" s="1122"/>
      <c r="K145" s="1122"/>
      <c r="M145" s="1122"/>
    </row>
    <row r="146">
      <c r="G146" s="1122"/>
      <c r="H146" s="1122"/>
      <c r="I146" s="1122"/>
      <c r="K146" s="1122"/>
      <c r="M146" s="1122"/>
    </row>
    <row r="147">
      <c r="G147" s="1122"/>
      <c r="H147" s="1122"/>
      <c r="I147" s="1122"/>
      <c r="K147" s="1122"/>
      <c r="M147" s="1122"/>
    </row>
    <row r="148">
      <c r="G148" s="1122"/>
      <c r="H148" s="1122"/>
      <c r="I148" s="1122"/>
      <c r="K148" s="1122"/>
      <c r="M148" s="1122"/>
    </row>
    <row r="149">
      <c r="G149" s="1122"/>
      <c r="H149" s="1122"/>
      <c r="I149" s="1122"/>
      <c r="K149" s="1122"/>
      <c r="M149" s="1122"/>
    </row>
    <row r="150">
      <c r="G150" s="1122"/>
      <c r="H150" s="1122"/>
      <c r="I150" s="1122"/>
      <c r="K150" s="1122"/>
      <c r="M150" s="1122"/>
    </row>
    <row r="151">
      <c r="G151" s="1122"/>
      <c r="H151" s="1122"/>
      <c r="I151" s="1122"/>
      <c r="K151" s="1122"/>
      <c r="M151" s="1122"/>
    </row>
    <row r="152">
      <c r="G152" s="1122"/>
      <c r="H152" s="1122"/>
      <c r="I152" s="1122"/>
      <c r="K152" s="1122"/>
      <c r="M152" s="1122"/>
    </row>
    <row r="153">
      <c r="G153" s="1122"/>
      <c r="H153" s="1122"/>
      <c r="I153" s="1122"/>
      <c r="K153" s="1122"/>
      <c r="M153" s="1122"/>
    </row>
    <row r="154">
      <c r="G154" s="1122"/>
      <c r="H154" s="1122"/>
      <c r="I154" s="1122"/>
      <c r="K154" s="1122"/>
      <c r="M154" s="1122"/>
    </row>
    <row r="155">
      <c r="G155" s="1122"/>
      <c r="H155" s="1122"/>
      <c r="I155" s="1122"/>
      <c r="K155" s="1122"/>
      <c r="M155" s="1122"/>
    </row>
    <row r="156">
      <c r="G156" s="1122"/>
      <c r="H156" s="1122"/>
      <c r="I156" s="1122"/>
      <c r="K156" s="1122"/>
      <c r="M156" s="1122"/>
    </row>
    <row r="157">
      <c r="G157" s="1122"/>
      <c r="H157" s="1122"/>
      <c r="I157" s="1122"/>
      <c r="K157" s="1122"/>
      <c r="M157" s="1122"/>
    </row>
    <row r="158">
      <c r="G158" s="1122"/>
      <c r="H158" s="1122"/>
      <c r="I158" s="1122"/>
      <c r="K158" s="1122"/>
      <c r="M158" s="1122"/>
    </row>
    <row r="159">
      <c r="G159" s="1122"/>
      <c r="H159" s="1122"/>
      <c r="I159" s="1122"/>
      <c r="K159" s="1122"/>
      <c r="M159" s="1122"/>
    </row>
    <row r="160">
      <c r="G160" s="1122"/>
      <c r="H160" s="1122"/>
      <c r="I160" s="1122"/>
      <c r="K160" s="1122"/>
      <c r="M160" s="1122"/>
    </row>
    <row r="161">
      <c r="G161" s="1122"/>
      <c r="H161" s="1122"/>
      <c r="I161" s="1122"/>
      <c r="K161" s="1122"/>
      <c r="M161" s="1122"/>
    </row>
    <row r="162">
      <c r="G162" s="1122"/>
      <c r="H162" s="1122"/>
      <c r="I162" s="1122"/>
      <c r="K162" s="1122"/>
      <c r="M162" s="1122"/>
    </row>
    <row r="163">
      <c r="G163" s="1122"/>
      <c r="H163" s="1122"/>
      <c r="I163" s="1122"/>
      <c r="K163" s="1122"/>
      <c r="M163" s="1122"/>
    </row>
    <row r="164">
      <c r="G164" s="1122"/>
      <c r="H164" s="1122"/>
      <c r="I164" s="1122"/>
      <c r="K164" s="1122"/>
      <c r="M164" s="1122"/>
    </row>
    <row r="165">
      <c r="G165" s="1122"/>
      <c r="H165" s="1122"/>
      <c r="I165" s="1122"/>
      <c r="K165" s="1122"/>
      <c r="M165" s="1122"/>
    </row>
    <row r="166">
      <c r="G166" s="1122"/>
      <c r="H166" s="1122"/>
      <c r="I166" s="1122"/>
      <c r="K166" s="1122"/>
      <c r="M166" s="1122"/>
    </row>
    <row r="167">
      <c r="G167" s="1122"/>
      <c r="H167" s="1122"/>
      <c r="I167" s="1122"/>
      <c r="K167" s="1122"/>
      <c r="M167" s="1122"/>
    </row>
    <row r="168">
      <c r="G168" s="1122"/>
      <c r="H168" s="1122"/>
      <c r="I168" s="1122"/>
      <c r="K168" s="1122"/>
      <c r="M168" s="1122"/>
    </row>
    <row r="169">
      <c r="G169" s="1122"/>
      <c r="H169" s="1122"/>
      <c r="I169" s="1122"/>
      <c r="K169" s="1122"/>
      <c r="M169" s="1122"/>
    </row>
    <row r="170">
      <c r="G170" s="1122"/>
      <c r="H170" s="1122"/>
      <c r="I170" s="1122"/>
      <c r="K170" s="1122"/>
      <c r="M170" s="1122"/>
    </row>
    <row r="171">
      <c r="G171" s="1122"/>
      <c r="H171" s="1122"/>
      <c r="I171" s="1122"/>
      <c r="K171" s="1122"/>
      <c r="M171" s="1122"/>
    </row>
    <row r="172">
      <c r="G172" s="1122"/>
      <c r="H172" s="1122"/>
      <c r="I172" s="1122"/>
      <c r="K172" s="1122"/>
      <c r="M172" s="1122"/>
    </row>
    <row r="173">
      <c r="G173" s="1122"/>
      <c r="H173" s="1122"/>
      <c r="I173" s="1122"/>
      <c r="K173" s="1122"/>
      <c r="M173" s="1122"/>
    </row>
    <row r="174">
      <c r="G174" s="1122"/>
      <c r="H174" s="1122"/>
      <c r="I174" s="1122"/>
      <c r="K174" s="1122"/>
      <c r="M174" s="1122"/>
    </row>
    <row r="175">
      <c r="G175" s="1122"/>
      <c r="H175" s="1122"/>
      <c r="I175" s="1122"/>
      <c r="K175" s="1122"/>
      <c r="M175" s="1122"/>
    </row>
    <row r="176">
      <c r="G176" s="1122"/>
      <c r="H176" s="1122"/>
      <c r="I176" s="1122"/>
      <c r="K176" s="1122"/>
      <c r="M176" s="1122"/>
    </row>
    <row r="177">
      <c r="G177" s="1122"/>
      <c r="H177" s="1122"/>
      <c r="I177" s="1122"/>
      <c r="K177" s="1122"/>
      <c r="M177" s="1122"/>
    </row>
    <row r="178">
      <c r="G178" s="1122"/>
      <c r="H178" s="1122"/>
      <c r="I178" s="1122"/>
      <c r="K178" s="1122"/>
      <c r="M178" s="1122"/>
    </row>
    <row r="179">
      <c r="G179" s="1122"/>
      <c r="H179" s="1122"/>
      <c r="I179" s="1122"/>
      <c r="K179" s="1122"/>
      <c r="M179" s="1122"/>
    </row>
    <row r="180">
      <c r="G180" s="1122"/>
      <c r="H180" s="1122"/>
      <c r="I180" s="1122"/>
      <c r="K180" s="1122"/>
      <c r="M180" s="1122"/>
    </row>
    <row r="181">
      <c r="G181" s="1122"/>
      <c r="H181" s="1122"/>
      <c r="I181" s="1122"/>
      <c r="K181" s="1122"/>
      <c r="M181" s="1122"/>
    </row>
    <row r="182">
      <c r="G182" s="1122"/>
      <c r="H182" s="1122"/>
      <c r="I182" s="1122"/>
      <c r="K182" s="1122"/>
      <c r="M182" s="1122"/>
    </row>
    <row r="183">
      <c r="G183" s="1122"/>
      <c r="H183" s="1122"/>
      <c r="I183" s="1122"/>
      <c r="K183" s="1122"/>
      <c r="M183" s="1122"/>
    </row>
    <row r="184">
      <c r="G184" s="1122"/>
      <c r="H184" s="1122"/>
      <c r="I184" s="1122"/>
      <c r="K184" s="1122"/>
      <c r="M184" s="1122"/>
    </row>
    <row r="185">
      <c r="G185" s="1122"/>
      <c r="H185" s="1122"/>
      <c r="I185" s="1122"/>
      <c r="K185" s="1122"/>
      <c r="M185" s="1122"/>
    </row>
    <row r="186">
      <c r="G186" s="1122"/>
      <c r="H186" s="1122"/>
      <c r="I186" s="1122"/>
      <c r="K186" s="1122"/>
      <c r="M186" s="1122"/>
    </row>
    <row r="187">
      <c r="G187" s="1122"/>
      <c r="H187" s="1122"/>
      <c r="I187" s="1122"/>
      <c r="K187" s="1122"/>
      <c r="M187" s="1122"/>
    </row>
    <row r="188">
      <c r="G188" s="1122"/>
      <c r="H188" s="1122"/>
      <c r="I188" s="1122"/>
      <c r="K188" s="1122"/>
      <c r="M188" s="1122"/>
    </row>
    <row r="189">
      <c r="G189" s="1122"/>
      <c r="H189" s="1122"/>
      <c r="I189" s="1122"/>
      <c r="K189" s="1122"/>
      <c r="M189" s="1122"/>
    </row>
    <row r="190">
      <c r="G190" s="1122"/>
      <c r="H190" s="1122"/>
      <c r="I190" s="1122"/>
      <c r="K190" s="1122"/>
      <c r="M190" s="1122"/>
    </row>
    <row r="191">
      <c r="G191" s="1122"/>
      <c r="H191" s="1122"/>
      <c r="I191" s="1122"/>
      <c r="K191" s="1122"/>
      <c r="M191" s="1122"/>
    </row>
    <row r="192">
      <c r="G192" s="1122"/>
      <c r="H192" s="1122"/>
      <c r="I192" s="1122"/>
      <c r="K192" s="1122"/>
      <c r="M192" s="1122"/>
    </row>
    <row r="193">
      <c r="G193" s="1122"/>
      <c r="H193" s="1122"/>
      <c r="I193" s="1122"/>
      <c r="K193" s="1122"/>
      <c r="M193" s="1122"/>
    </row>
    <row r="194">
      <c r="G194" s="1122"/>
      <c r="H194" s="1122"/>
      <c r="I194" s="1122"/>
      <c r="K194" s="1122"/>
      <c r="M194" s="1122"/>
    </row>
    <row r="195">
      <c r="G195" s="1122"/>
      <c r="H195" s="1122"/>
      <c r="I195" s="1122"/>
      <c r="K195" s="1122"/>
      <c r="M195" s="1122"/>
    </row>
    <row r="196">
      <c r="G196" s="1122"/>
      <c r="H196" s="1122"/>
      <c r="I196" s="1122"/>
      <c r="K196" s="1122"/>
      <c r="M196" s="1122"/>
    </row>
    <row r="197">
      <c r="G197" s="1122"/>
      <c r="H197" s="1122"/>
      <c r="I197" s="1122"/>
      <c r="K197" s="1122"/>
      <c r="M197" s="1122"/>
    </row>
    <row r="198">
      <c r="G198" s="1122"/>
      <c r="H198" s="1122"/>
      <c r="I198" s="1122"/>
      <c r="K198" s="1122"/>
      <c r="M198" s="1122"/>
    </row>
    <row r="199">
      <c r="G199" s="1122"/>
      <c r="H199" s="1122"/>
      <c r="I199" s="1122"/>
      <c r="K199" s="1122"/>
      <c r="M199" s="1122"/>
    </row>
    <row r="200">
      <c r="G200" s="1122"/>
      <c r="H200" s="1122"/>
      <c r="I200" s="1122"/>
      <c r="K200" s="1122"/>
      <c r="M200" s="1122"/>
    </row>
    <row r="201">
      <c r="G201" s="1122"/>
      <c r="H201" s="1122"/>
      <c r="I201" s="1122"/>
      <c r="K201" s="1122"/>
      <c r="M201" s="1122"/>
    </row>
    <row r="202">
      <c r="G202" s="1122"/>
      <c r="H202" s="1122"/>
      <c r="I202" s="1122"/>
      <c r="K202" s="1122"/>
      <c r="M202" s="1122"/>
    </row>
    <row r="203">
      <c r="G203" s="1122"/>
      <c r="H203" s="1122"/>
      <c r="I203" s="1122"/>
      <c r="K203" s="1122"/>
      <c r="M203" s="1122"/>
    </row>
    <row r="204">
      <c r="G204" s="1122"/>
      <c r="H204" s="1122"/>
      <c r="I204" s="1122"/>
      <c r="K204" s="1122"/>
      <c r="M204" s="1122"/>
    </row>
    <row r="205">
      <c r="G205" s="1122"/>
      <c r="H205" s="1122"/>
      <c r="I205" s="1122"/>
      <c r="K205" s="1122"/>
      <c r="M205" s="1122"/>
    </row>
    <row r="206">
      <c r="G206" s="1122"/>
      <c r="H206" s="1122"/>
      <c r="I206" s="1122"/>
      <c r="K206" s="1122"/>
      <c r="M206" s="1122"/>
    </row>
    <row r="207">
      <c r="G207" s="1122"/>
      <c r="H207" s="1122"/>
      <c r="I207" s="1122"/>
      <c r="K207" s="1122"/>
      <c r="M207" s="1122"/>
    </row>
    <row r="208">
      <c r="G208" s="1122"/>
      <c r="H208" s="1122"/>
      <c r="I208" s="1122"/>
      <c r="K208" s="1122"/>
      <c r="M208" s="1122"/>
    </row>
    <row r="209">
      <c r="G209" s="1122"/>
      <c r="H209" s="1122"/>
      <c r="I209" s="1122"/>
      <c r="K209" s="1122"/>
      <c r="M209" s="1122"/>
    </row>
    <row r="210">
      <c r="G210" s="1122"/>
      <c r="H210" s="1122"/>
      <c r="I210" s="1122"/>
      <c r="K210" s="1122"/>
      <c r="M210" s="1122"/>
    </row>
    <row r="211">
      <c r="G211" s="1122"/>
      <c r="H211" s="1122"/>
      <c r="I211" s="1122"/>
      <c r="K211" s="1122"/>
      <c r="M211" s="1122"/>
    </row>
    <row r="212">
      <c r="G212" s="1122"/>
      <c r="H212" s="1122"/>
      <c r="I212" s="1122"/>
      <c r="K212" s="1122"/>
      <c r="M212" s="1122"/>
    </row>
    <row r="213">
      <c r="G213" s="1122"/>
      <c r="H213" s="1122"/>
      <c r="I213" s="1122"/>
      <c r="K213" s="1122"/>
      <c r="M213" s="1122"/>
    </row>
    <row r="214">
      <c r="G214" s="1122"/>
      <c r="H214" s="1122"/>
      <c r="I214" s="1122"/>
      <c r="K214" s="1122"/>
      <c r="M214" s="1122"/>
    </row>
    <row r="215">
      <c r="G215" s="1122"/>
      <c r="H215" s="1122"/>
      <c r="I215" s="1122"/>
      <c r="K215" s="1122"/>
      <c r="M215" s="1122"/>
    </row>
    <row r="216">
      <c r="G216" s="1122"/>
      <c r="H216" s="1122"/>
      <c r="I216" s="1122"/>
      <c r="K216" s="1122"/>
      <c r="M216" s="1122"/>
    </row>
    <row r="217">
      <c r="G217" s="1122"/>
      <c r="H217" s="1122"/>
      <c r="I217" s="1122"/>
      <c r="K217" s="1122"/>
      <c r="M217" s="1122"/>
    </row>
    <row r="218">
      <c r="G218" s="1122"/>
      <c r="H218" s="1122"/>
      <c r="I218" s="1122"/>
      <c r="K218" s="1122"/>
      <c r="M218" s="1122"/>
    </row>
    <row r="219">
      <c r="G219" s="1122"/>
      <c r="H219" s="1122"/>
      <c r="I219" s="1122"/>
      <c r="K219" s="1122"/>
      <c r="M219" s="1122"/>
    </row>
    <row r="220">
      <c r="G220" s="1122"/>
      <c r="H220" s="1122"/>
      <c r="I220" s="1122"/>
      <c r="K220" s="1122"/>
      <c r="M220" s="1122"/>
    </row>
    <row r="221">
      <c r="G221" s="1122"/>
      <c r="H221" s="1122"/>
      <c r="I221" s="1122"/>
      <c r="K221" s="1122"/>
      <c r="M221" s="1122"/>
    </row>
    <row r="222">
      <c r="G222" s="1122"/>
      <c r="H222" s="1122"/>
      <c r="I222" s="1122"/>
      <c r="K222" s="1122"/>
      <c r="M222" s="1122"/>
    </row>
    <row r="223">
      <c r="G223" s="1122"/>
      <c r="H223" s="1122"/>
      <c r="I223" s="1122"/>
      <c r="K223" s="1122"/>
      <c r="M223" s="1122"/>
    </row>
    <row r="224">
      <c r="G224" s="1122"/>
      <c r="H224" s="1122"/>
      <c r="I224" s="1122"/>
      <c r="K224" s="1122"/>
      <c r="M224" s="1122"/>
    </row>
    <row r="225">
      <c r="G225" s="1122"/>
      <c r="H225" s="1122"/>
      <c r="I225" s="1122"/>
      <c r="K225" s="1122"/>
      <c r="M225" s="1122"/>
    </row>
    <row r="226">
      <c r="G226" s="1122"/>
      <c r="H226" s="1122"/>
      <c r="I226" s="1122"/>
      <c r="K226" s="1122"/>
      <c r="M226" s="1122"/>
    </row>
    <row r="227">
      <c r="G227" s="1122"/>
      <c r="H227" s="1122"/>
      <c r="I227" s="1122"/>
      <c r="K227" s="1122"/>
      <c r="M227" s="1122"/>
    </row>
    <row r="228">
      <c r="G228" s="1122"/>
      <c r="H228" s="1122"/>
      <c r="I228" s="1122"/>
      <c r="K228" s="1122"/>
      <c r="M228" s="1122"/>
    </row>
    <row r="229">
      <c r="G229" s="1122"/>
      <c r="H229" s="1122"/>
      <c r="I229" s="1122"/>
      <c r="K229" s="1122"/>
      <c r="M229" s="1122"/>
    </row>
    <row r="230">
      <c r="G230" s="1122"/>
      <c r="H230" s="1122"/>
      <c r="I230" s="1122"/>
      <c r="K230" s="1122"/>
      <c r="M230" s="1122"/>
    </row>
    <row r="231">
      <c r="G231" s="1122"/>
      <c r="H231" s="1122"/>
      <c r="I231" s="1122"/>
      <c r="K231" s="1122"/>
      <c r="M231" s="1122"/>
    </row>
    <row r="232">
      <c r="G232" s="1122"/>
      <c r="H232" s="1122"/>
      <c r="I232" s="1122"/>
      <c r="K232" s="1122"/>
      <c r="M232" s="1122"/>
    </row>
    <row r="233">
      <c r="G233" s="1122"/>
      <c r="H233" s="1122"/>
      <c r="I233" s="1122"/>
      <c r="K233" s="1122"/>
      <c r="M233" s="1122"/>
    </row>
    <row r="234">
      <c r="G234" s="1122"/>
      <c r="H234" s="1122"/>
      <c r="I234" s="1122"/>
      <c r="K234" s="1122"/>
      <c r="M234" s="1122"/>
    </row>
    <row r="235">
      <c r="G235" s="1122"/>
      <c r="H235" s="1122"/>
      <c r="I235" s="1122"/>
      <c r="K235" s="1122"/>
      <c r="M235" s="1122"/>
    </row>
    <row r="236">
      <c r="G236" s="1122"/>
      <c r="H236" s="1122"/>
      <c r="I236" s="1122"/>
      <c r="K236" s="1122"/>
      <c r="M236" s="1122"/>
    </row>
    <row r="237">
      <c r="G237" s="1122"/>
      <c r="H237" s="1122"/>
      <c r="I237" s="1122"/>
      <c r="K237" s="1122"/>
      <c r="M237" s="1122"/>
    </row>
    <row r="238">
      <c r="G238" s="1122"/>
      <c r="H238" s="1122"/>
      <c r="I238" s="1122"/>
      <c r="K238" s="1122"/>
      <c r="M238" s="1122"/>
    </row>
    <row r="239">
      <c r="G239" s="1122"/>
      <c r="H239" s="1122"/>
      <c r="I239" s="1122"/>
      <c r="K239" s="1122"/>
      <c r="M239" s="1122"/>
    </row>
    <row r="240">
      <c r="G240" s="1122"/>
      <c r="H240" s="1122"/>
      <c r="I240" s="1122"/>
      <c r="K240" s="1122"/>
      <c r="M240" s="1122"/>
    </row>
    <row r="241">
      <c r="G241" s="1122"/>
      <c r="H241" s="1122"/>
      <c r="I241" s="1122"/>
      <c r="K241" s="1122"/>
      <c r="M241" s="1122"/>
    </row>
    <row r="242">
      <c r="G242" s="1122"/>
      <c r="H242" s="1122"/>
      <c r="I242" s="1122"/>
      <c r="K242" s="1122"/>
      <c r="M242" s="1122"/>
    </row>
    <row r="243">
      <c r="G243" s="1122"/>
      <c r="H243" s="1122"/>
      <c r="I243" s="1122"/>
      <c r="K243" s="1122"/>
      <c r="M243" s="1122"/>
    </row>
    <row r="244">
      <c r="G244" s="1122"/>
      <c r="H244" s="1122"/>
      <c r="I244" s="1122"/>
      <c r="K244" s="1122"/>
      <c r="M244" s="1122"/>
    </row>
    <row r="245">
      <c r="G245" s="1122"/>
      <c r="H245" s="1122"/>
      <c r="I245" s="1122"/>
      <c r="K245" s="1122"/>
      <c r="M245" s="1122"/>
    </row>
    <row r="246">
      <c r="G246" s="1122"/>
      <c r="H246" s="1122"/>
      <c r="I246" s="1122"/>
      <c r="K246" s="1122"/>
      <c r="M246" s="1122"/>
    </row>
    <row r="247">
      <c r="G247" s="1122"/>
      <c r="H247" s="1122"/>
      <c r="I247" s="1122"/>
      <c r="K247" s="1122"/>
      <c r="M247" s="1122"/>
    </row>
    <row r="248">
      <c r="G248" s="1122"/>
      <c r="H248" s="1122"/>
      <c r="I248" s="1122"/>
      <c r="K248" s="1122"/>
      <c r="M248" s="1122"/>
    </row>
    <row r="249">
      <c r="G249" s="1122"/>
      <c r="H249" s="1122"/>
      <c r="I249" s="1122"/>
      <c r="K249" s="1122"/>
      <c r="M249" s="1122"/>
    </row>
    <row r="250">
      <c r="G250" s="1122"/>
      <c r="H250" s="1122"/>
      <c r="I250" s="1122"/>
      <c r="K250" s="1122"/>
      <c r="M250" s="1122"/>
    </row>
    <row r="251">
      <c r="G251" s="1122"/>
      <c r="H251" s="1122"/>
      <c r="I251" s="1122"/>
      <c r="K251" s="1122"/>
      <c r="M251" s="1122"/>
    </row>
    <row r="252">
      <c r="G252" s="1122"/>
      <c r="H252" s="1122"/>
      <c r="I252" s="1122"/>
      <c r="K252" s="1122"/>
      <c r="M252" s="1122"/>
    </row>
    <row r="253">
      <c r="G253" s="1122"/>
      <c r="H253" s="1122"/>
      <c r="I253" s="1122"/>
      <c r="K253" s="1122"/>
      <c r="M253" s="1122"/>
    </row>
    <row r="254">
      <c r="G254" s="1122"/>
      <c r="H254" s="1122"/>
      <c r="I254" s="1122"/>
      <c r="K254" s="1122"/>
      <c r="M254" s="1122"/>
    </row>
    <row r="255">
      <c r="G255" s="1122"/>
      <c r="H255" s="1122"/>
      <c r="I255" s="1122"/>
      <c r="K255" s="1122"/>
      <c r="M255" s="1122"/>
    </row>
    <row r="256">
      <c r="G256" s="1122"/>
      <c r="H256" s="1122"/>
      <c r="I256" s="1122"/>
      <c r="K256" s="1122"/>
      <c r="M256" s="1122"/>
    </row>
    <row r="257">
      <c r="G257" s="1122"/>
      <c r="H257" s="1122"/>
      <c r="I257" s="1122"/>
      <c r="K257" s="1122"/>
      <c r="M257" s="1122"/>
    </row>
    <row r="258">
      <c r="G258" s="1122"/>
      <c r="H258" s="1122"/>
      <c r="I258" s="1122"/>
      <c r="K258" s="1122"/>
      <c r="M258" s="1122"/>
    </row>
    <row r="259">
      <c r="G259" s="1122"/>
      <c r="H259" s="1122"/>
      <c r="I259" s="1122"/>
      <c r="K259" s="1122"/>
      <c r="M259" s="1122"/>
    </row>
    <row r="260">
      <c r="G260" s="1122"/>
      <c r="H260" s="1122"/>
      <c r="I260" s="1122"/>
      <c r="K260" s="1122"/>
      <c r="M260" s="1122"/>
    </row>
    <row r="261">
      <c r="G261" s="1122"/>
      <c r="H261" s="1122"/>
      <c r="I261" s="1122"/>
      <c r="K261" s="1122"/>
      <c r="M261" s="1122"/>
    </row>
    <row r="262">
      <c r="G262" s="1122"/>
      <c r="H262" s="1122"/>
      <c r="I262" s="1122"/>
      <c r="K262" s="1122"/>
      <c r="M262" s="1122"/>
    </row>
    <row r="263">
      <c r="G263" s="1122"/>
      <c r="H263" s="1122"/>
      <c r="I263" s="1122"/>
      <c r="K263" s="1122"/>
      <c r="M263" s="1122"/>
    </row>
    <row r="264">
      <c r="G264" s="1122"/>
      <c r="H264" s="1122"/>
      <c r="I264" s="1122"/>
      <c r="K264" s="1122"/>
      <c r="M264" s="1122"/>
    </row>
    <row r="265">
      <c r="G265" s="1122"/>
      <c r="H265" s="1122"/>
      <c r="I265" s="1122"/>
      <c r="K265" s="1122"/>
      <c r="M265" s="1122"/>
    </row>
    <row r="266">
      <c r="G266" s="1122"/>
      <c r="H266" s="1122"/>
      <c r="I266" s="1122"/>
      <c r="K266" s="1122"/>
      <c r="M266" s="1122"/>
    </row>
    <row r="267">
      <c r="G267" s="1122"/>
      <c r="H267" s="1122"/>
      <c r="I267" s="1122"/>
      <c r="K267" s="1122"/>
      <c r="M267" s="1122"/>
    </row>
    <row r="268">
      <c r="G268" s="1122"/>
      <c r="H268" s="1122"/>
      <c r="I268" s="1122"/>
      <c r="K268" s="1122"/>
      <c r="M268" s="1122"/>
    </row>
    <row r="269">
      <c r="G269" s="1122"/>
      <c r="H269" s="1122"/>
      <c r="I269" s="1122"/>
      <c r="K269" s="1122"/>
      <c r="M269" s="1122"/>
    </row>
    <row r="270">
      <c r="G270" s="1122"/>
      <c r="H270" s="1122"/>
      <c r="I270" s="1122"/>
      <c r="K270" s="1122"/>
      <c r="M270" s="1122"/>
    </row>
    <row r="271">
      <c r="G271" s="1122"/>
      <c r="H271" s="1122"/>
      <c r="I271" s="1122"/>
      <c r="K271" s="1122"/>
      <c r="M271" s="1122"/>
    </row>
    <row r="272">
      <c r="G272" s="1122"/>
      <c r="H272" s="1122"/>
      <c r="I272" s="1122"/>
      <c r="K272" s="1122"/>
      <c r="M272" s="1122"/>
    </row>
    <row r="273">
      <c r="G273" s="1122"/>
      <c r="H273" s="1122"/>
      <c r="I273" s="1122"/>
      <c r="K273" s="1122"/>
      <c r="M273" s="1122"/>
    </row>
    <row r="274">
      <c r="G274" s="1122"/>
      <c r="H274" s="1122"/>
      <c r="I274" s="1122"/>
      <c r="K274" s="1122"/>
      <c r="M274" s="1122"/>
    </row>
    <row r="275">
      <c r="G275" s="1122"/>
      <c r="H275" s="1122"/>
      <c r="I275" s="1122"/>
      <c r="K275" s="1122"/>
      <c r="M275" s="1122"/>
    </row>
    <row r="276">
      <c r="G276" s="1122"/>
      <c r="H276" s="1122"/>
      <c r="I276" s="1122"/>
      <c r="K276" s="1122"/>
      <c r="M276" s="1122"/>
    </row>
    <row r="277">
      <c r="G277" s="1122"/>
      <c r="H277" s="1122"/>
      <c r="I277" s="1122"/>
      <c r="K277" s="1122"/>
      <c r="M277" s="1122"/>
    </row>
    <row r="278">
      <c r="G278" s="1122"/>
      <c r="H278" s="1122"/>
      <c r="I278" s="1122"/>
      <c r="K278" s="1122"/>
      <c r="M278" s="1122"/>
    </row>
    <row r="279">
      <c r="G279" s="1122"/>
      <c r="H279" s="1122"/>
      <c r="I279" s="1122"/>
      <c r="K279" s="1122"/>
      <c r="M279" s="1122"/>
    </row>
    <row r="280">
      <c r="G280" s="1122"/>
      <c r="H280" s="1122"/>
      <c r="I280" s="1122"/>
      <c r="K280" s="1122"/>
      <c r="M280" s="1122"/>
    </row>
    <row r="281">
      <c r="G281" s="1122"/>
      <c r="H281" s="1122"/>
      <c r="I281" s="1122"/>
      <c r="K281" s="1122"/>
      <c r="M281" s="1122"/>
    </row>
    <row r="282">
      <c r="G282" s="1122"/>
      <c r="H282" s="1122"/>
      <c r="I282" s="1122"/>
      <c r="K282" s="1122"/>
      <c r="M282" s="1122"/>
    </row>
    <row r="283">
      <c r="G283" s="1122"/>
      <c r="H283" s="1122"/>
      <c r="I283" s="1122"/>
      <c r="K283" s="1122"/>
      <c r="M283" s="1122"/>
    </row>
    <row r="284">
      <c r="G284" s="1122"/>
      <c r="H284" s="1122"/>
      <c r="I284" s="1122"/>
      <c r="K284" s="1122"/>
      <c r="M284" s="1122"/>
    </row>
    <row r="285">
      <c r="G285" s="1122"/>
      <c r="H285" s="1122"/>
      <c r="I285" s="1122"/>
      <c r="K285" s="1122"/>
      <c r="M285" s="1122"/>
    </row>
    <row r="286">
      <c r="G286" s="1122"/>
      <c r="H286" s="1122"/>
      <c r="I286" s="1122"/>
      <c r="K286" s="1122"/>
      <c r="M286" s="1122"/>
    </row>
    <row r="287">
      <c r="G287" s="1122"/>
      <c r="H287" s="1122"/>
      <c r="I287" s="1122"/>
      <c r="K287" s="1122"/>
      <c r="M287" s="1122"/>
    </row>
    <row r="288">
      <c r="G288" s="1122"/>
      <c r="H288" s="1122"/>
      <c r="I288" s="1122"/>
      <c r="K288" s="1122"/>
      <c r="M288" s="1122"/>
    </row>
    <row r="289">
      <c r="G289" s="1122"/>
      <c r="H289" s="1122"/>
      <c r="I289" s="1122"/>
      <c r="K289" s="1122"/>
      <c r="M289" s="1122"/>
    </row>
    <row r="290">
      <c r="G290" s="1122"/>
      <c r="H290" s="1122"/>
      <c r="I290" s="1122"/>
      <c r="K290" s="1122"/>
      <c r="M290" s="1122"/>
    </row>
    <row r="291">
      <c r="G291" s="1122"/>
      <c r="H291" s="1122"/>
      <c r="I291" s="1122"/>
      <c r="K291" s="1122"/>
      <c r="M291" s="1122"/>
    </row>
    <row r="292">
      <c r="G292" s="1122"/>
      <c r="H292" s="1122"/>
      <c r="I292" s="1122"/>
      <c r="K292" s="1122"/>
      <c r="M292" s="1122"/>
    </row>
    <row r="293">
      <c r="G293" s="1122"/>
      <c r="H293" s="1122"/>
      <c r="I293" s="1122"/>
      <c r="K293" s="1122"/>
      <c r="M293" s="1122"/>
    </row>
    <row r="294">
      <c r="G294" s="1122"/>
      <c r="H294" s="1122"/>
      <c r="I294" s="1122"/>
      <c r="K294" s="1122"/>
      <c r="M294" s="1122"/>
    </row>
    <row r="295">
      <c r="G295" s="1122"/>
      <c r="H295" s="1122"/>
      <c r="I295" s="1122"/>
      <c r="K295" s="1122"/>
      <c r="M295" s="1122"/>
    </row>
    <row r="296">
      <c r="G296" s="1122"/>
      <c r="H296" s="1122"/>
      <c r="I296" s="1122"/>
      <c r="K296" s="1122"/>
      <c r="M296" s="1122"/>
    </row>
    <row r="297">
      <c r="G297" s="1122"/>
      <c r="H297" s="1122"/>
      <c r="I297" s="1122"/>
      <c r="K297" s="1122"/>
      <c r="M297" s="1122"/>
    </row>
    <row r="298">
      <c r="G298" s="1122"/>
      <c r="H298" s="1122"/>
      <c r="I298" s="1122"/>
      <c r="K298" s="1122"/>
      <c r="M298" s="1122"/>
    </row>
    <row r="299">
      <c r="G299" s="1122"/>
      <c r="H299" s="1122"/>
      <c r="I299" s="1122"/>
      <c r="K299" s="1122"/>
      <c r="M299" s="1122"/>
    </row>
    <row r="300">
      <c r="G300" s="1122"/>
      <c r="H300" s="1122"/>
      <c r="I300" s="1122"/>
      <c r="K300" s="1122"/>
      <c r="M300" s="1122"/>
    </row>
    <row r="301">
      <c r="G301" s="1122"/>
      <c r="H301" s="1122"/>
      <c r="I301" s="1122"/>
      <c r="K301" s="1122"/>
      <c r="M301" s="1122"/>
    </row>
    <row r="302">
      <c r="G302" s="1122"/>
      <c r="H302" s="1122"/>
      <c r="I302" s="1122"/>
      <c r="K302" s="1122"/>
      <c r="M302" s="1122"/>
    </row>
    <row r="303">
      <c r="G303" s="1122"/>
      <c r="H303" s="1122"/>
      <c r="I303" s="1122"/>
      <c r="K303" s="1122"/>
      <c r="M303" s="1122"/>
    </row>
    <row r="304">
      <c r="G304" s="1122"/>
      <c r="H304" s="1122"/>
      <c r="I304" s="1122"/>
      <c r="K304" s="1122"/>
      <c r="M304" s="1122"/>
    </row>
    <row r="305">
      <c r="G305" s="1122"/>
      <c r="H305" s="1122"/>
      <c r="I305" s="1122"/>
      <c r="K305" s="1122"/>
      <c r="M305" s="1122"/>
    </row>
    <row r="306">
      <c r="G306" s="1122"/>
      <c r="H306" s="1122"/>
      <c r="I306" s="1122"/>
      <c r="K306" s="1122"/>
      <c r="M306" s="1122"/>
    </row>
    <row r="307">
      <c r="G307" s="1122"/>
      <c r="H307" s="1122"/>
      <c r="I307" s="1122"/>
      <c r="K307" s="1122"/>
      <c r="M307" s="1122"/>
    </row>
    <row r="308">
      <c r="G308" s="1122"/>
      <c r="H308" s="1122"/>
      <c r="I308" s="1122"/>
      <c r="K308" s="1122"/>
      <c r="M308" s="1122"/>
    </row>
    <row r="309">
      <c r="G309" s="1122"/>
      <c r="H309" s="1122"/>
      <c r="I309" s="1122"/>
      <c r="K309" s="1122"/>
      <c r="M309" s="1122"/>
    </row>
    <row r="310">
      <c r="G310" s="1122"/>
      <c r="H310" s="1122"/>
      <c r="I310" s="1122"/>
      <c r="K310" s="1122"/>
      <c r="M310" s="1122"/>
    </row>
    <row r="311">
      <c r="G311" s="1122"/>
      <c r="H311" s="1122"/>
      <c r="I311" s="1122"/>
      <c r="K311" s="1122"/>
      <c r="M311" s="1122"/>
    </row>
    <row r="312">
      <c r="G312" s="1122"/>
      <c r="H312" s="1122"/>
      <c r="I312" s="1122"/>
      <c r="K312" s="1122"/>
      <c r="M312" s="1122"/>
    </row>
    <row r="313">
      <c r="G313" s="1122"/>
      <c r="H313" s="1122"/>
      <c r="I313" s="1122"/>
      <c r="K313" s="1122"/>
      <c r="M313" s="1122"/>
    </row>
    <row r="314">
      <c r="G314" s="1122"/>
      <c r="H314" s="1122"/>
      <c r="I314" s="1122"/>
      <c r="K314" s="1122"/>
      <c r="M314" s="1122"/>
    </row>
    <row r="315">
      <c r="G315" s="1122"/>
      <c r="H315" s="1122"/>
      <c r="I315" s="1122"/>
      <c r="K315" s="1122"/>
      <c r="M315" s="1122"/>
    </row>
    <row r="316">
      <c r="G316" s="1122"/>
      <c r="H316" s="1122"/>
      <c r="I316" s="1122"/>
      <c r="K316" s="1122"/>
      <c r="M316" s="1122"/>
    </row>
    <row r="317">
      <c r="G317" s="1122"/>
      <c r="H317" s="1122"/>
      <c r="I317" s="1122"/>
      <c r="K317" s="1122"/>
      <c r="M317" s="1122"/>
    </row>
    <row r="318">
      <c r="G318" s="1122"/>
      <c r="H318" s="1122"/>
      <c r="I318" s="1122"/>
      <c r="K318" s="1122"/>
      <c r="M318" s="1122"/>
    </row>
    <row r="319">
      <c r="G319" s="1122"/>
      <c r="H319" s="1122"/>
      <c r="I319" s="1122"/>
      <c r="K319" s="1122"/>
      <c r="M319" s="1122"/>
    </row>
    <row r="320">
      <c r="G320" s="1122"/>
      <c r="H320" s="1122"/>
      <c r="I320" s="1122"/>
      <c r="K320" s="1122"/>
      <c r="M320" s="1122"/>
    </row>
    <row r="321">
      <c r="G321" s="1122"/>
      <c r="H321" s="1122"/>
      <c r="I321" s="1122"/>
      <c r="K321" s="1122"/>
      <c r="M321" s="1122"/>
    </row>
    <row r="322">
      <c r="G322" s="1122"/>
      <c r="H322" s="1122"/>
      <c r="I322" s="1122"/>
      <c r="K322" s="1122"/>
      <c r="M322" s="1122"/>
    </row>
    <row r="323">
      <c r="G323" s="1122"/>
      <c r="H323" s="1122"/>
      <c r="I323" s="1122"/>
      <c r="K323" s="1122"/>
      <c r="M323" s="1122"/>
    </row>
    <row r="324">
      <c r="G324" s="1122"/>
      <c r="H324" s="1122"/>
      <c r="I324" s="1122"/>
      <c r="K324" s="1122"/>
      <c r="M324" s="1122"/>
    </row>
    <row r="325">
      <c r="G325" s="1122"/>
      <c r="H325" s="1122"/>
      <c r="I325" s="1122"/>
      <c r="K325" s="1122"/>
      <c r="M325" s="1122"/>
    </row>
    <row r="326">
      <c r="G326" s="1122"/>
      <c r="H326" s="1122"/>
      <c r="I326" s="1122"/>
      <c r="K326" s="1122"/>
      <c r="M326" s="1122"/>
    </row>
    <row r="327">
      <c r="G327" s="1122"/>
      <c r="H327" s="1122"/>
      <c r="I327" s="1122"/>
      <c r="K327" s="1122"/>
      <c r="M327" s="1122"/>
    </row>
    <row r="328">
      <c r="G328" s="1122"/>
      <c r="H328" s="1122"/>
      <c r="I328" s="1122"/>
      <c r="K328" s="1122"/>
      <c r="M328" s="1122"/>
    </row>
    <row r="329">
      <c r="G329" s="1122"/>
      <c r="H329" s="1122"/>
      <c r="I329" s="1122"/>
      <c r="K329" s="1122"/>
      <c r="M329" s="1122"/>
    </row>
    <row r="330">
      <c r="G330" s="1122"/>
      <c r="H330" s="1122"/>
      <c r="I330" s="1122"/>
      <c r="K330" s="1122"/>
      <c r="M330" s="1122"/>
    </row>
    <row r="331">
      <c r="G331" s="1122"/>
      <c r="H331" s="1122"/>
      <c r="I331" s="1122"/>
      <c r="K331" s="1122"/>
      <c r="M331" s="1122"/>
    </row>
    <row r="332">
      <c r="G332" s="1122"/>
      <c r="H332" s="1122"/>
      <c r="I332" s="1122"/>
      <c r="K332" s="1122"/>
      <c r="M332" s="1122"/>
    </row>
    <row r="333">
      <c r="G333" s="1122"/>
      <c r="H333" s="1122"/>
      <c r="I333" s="1122"/>
      <c r="K333" s="1122"/>
      <c r="M333" s="1122"/>
    </row>
    <row r="334">
      <c r="G334" s="1122"/>
      <c r="H334" s="1122"/>
      <c r="I334" s="1122"/>
      <c r="K334" s="1122"/>
      <c r="M334" s="1122"/>
    </row>
    <row r="335">
      <c r="G335" s="1122"/>
      <c r="H335" s="1122"/>
      <c r="I335" s="1122"/>
      <c r="K335" s="1122"/>
      <c r="M335" s="1122"/>
    </row>
    <row r="336">
      <c r="G336" s="1122"/>
      <c r="H336" s="1122"/>
      <c r="I336" s="1122"/>
      <c r="K336" s="1122"/>
      <c r="M336" s="1122"/>
    </row>
    <row r="337">
      <c r="G337" s="1122"/>
      <c r="H337" s="1122"/>
      <c r="I337" s="1122"/>
      <c r="K337" s="1122"/>
      <c r="M337" s="1122"/>
    </row>
    <row r="338">
      <c r="G338" s="1122"/>
      <c r="H338" s="1122"/>
      <c r="I338" s="1122"/>
      <c r="K338" s="1122"/>
      <c r="M338" s="1122"/>
    </row>
    <row r="339">
      <c r="G339" s="1122"/>
      <c r="H339" s="1122"/>
      <c r="I339" s="1122"/>
      <c r="K339" s="1122"/>
      <c r="M339" s="1122"/>
    </row>
    <row r="340">
      <c r="G340" s="1122"/>
      <c r="H340" s="1122"/>
      <c r="I340" s="1122"/>
      <c r="K340" s="1122"/>
      <c r="M340" s="1122"/>
    </row>
    <row r="341">
      <c r="G341" s="1122"/>
      <c r="H341" s="1122"/>
      <c r="I341" s="1122"/>
      <c r="K341" s="1122"/>
      <c r="M341" s="1122"/>
    </row>
    <row r="342">
      <c r="G342" s="1122"/>
      <c r="H342" s="1122"/>
      <c r="I342" s="1122"/>
      <c r="K342" s="1122"/>
      <c r="M342" s="1122"/>
    </row>
    <row r="343">
      <c r="G343" s="1122"/>
      <c r="H343" s="1122"/>
      <c r="I343" s="1122"/>
      <c r="K343" s="1122"/>
      <c r="M343" s="1122"/>
    </row>
    <row r="344">
      <c r="G344" s="1122"/>
      <c r="H344" s="1122"/>
      <c r="I344" s="1122"/>
      <c r="K344" s="1122"/>
      <c r="M344" s="1122"/>
    </row>
    <row r="345">
      <c r="G345" s="1122"/>
      <c r="H345" s="1122"/>
      <c r="I345" s="1122"/>
      <c r="K345" s="1122"/>
      <c r="M345" s="1122"/>
    </row>
    <row r="346">
      <c r="G346" s="1122"/>
      <c r="H346" s="1122"/>
      <c r="I346" s="1122"/>
      <c r="K346" s="1122"/>
      <c r="M346" s="1122"/>
    </row>
    <row r="347">
      <c r="G347" s="1122"/>
      <c r="H347" s="1122"/>
      <c r="I347" s="1122"/>
      <c r="K347" s="1122"/>
      <c r="M347" s="1122"/>
    </row>
    <row r="348">
      <c r="G348" s="1122"/>
      <c r="H348" s="1122"/>
      <c r="I348" s="1122"/>
      <c r="K348" s="1122"/>
      <c r="M348" s="1122"/>
    </row>
    <row r="349">
      <c r="G349" s="1122"/>
      <c r="H349" s="1122"/>
      <c r="I349" s="1122"/>
      <c r="K349" s="1122"/>
      <c r="M349" s="1122"/>
    </row>
    <row r="350">
      <c r="G350" s="1122"/>
      <c r="H350" s="1122"/>
      <c r="I350" s="1122"/>
      <c r="K350" s="1122"/>
      <c r="M350" s="1122"/>
    </row>
    <row r="351">
      <c r="G351" s="1122"/>
      <c r="H351" s="1122"/>
      <c r="I351" s="1122"/>
      <c r="K351" s="1122"/>
      <c r="M351" s="1122"/>
    </row>
    <row r="352">
      <c r="G352" s="1122"/>
      <c r="H352" s="1122"/>
      <c r="I352" s="1122"/>
      <c r="K352" s="1122"/>
      <c r="M352" s="1122"/>
    </row>
    <row r="353">
      <c r="G353" s="1122"/>
      <c r="H353" s="1122"/>
      <c r="I353" s="1122"/>
      <c r="K353" s="1122"/>
      <c r="M353" s="1122"/>
    </row>
    <row r="354">
      <c r="G354" s="1122"/>
      <c r="H354" s="1122"/>
      <c r="I354" s="1122"/>
      <c r="K354" s="1122"/>
      <c r="M354" s="1122"/>
    </row>
    <row r="355">
      <c r="G355" s="1122"/>
      <c r="H355" s="1122"/>
      <c r="I355" s="1122"/>
      <c r="K355" s="1122"/>
      <c r="M355" s="1122"/>
    </row>
    <row r="356">
      <c r="G356" s="1122"/>
      <c r="H356" s="1122"/>
      <c r="I356" s="1122"/>
      <c r="K356" s="1122"/>
      <c r="M356" s="1122"/>
    </row>
    <row r="357">
      <c r="G357" s="1122"/>
      <c r="H357" s="1122"/>
      <c r="I357" s="1122"/>
      <c r="K357" s="1122"/>
      <c r="M357" s="1122"/>
    </row>
    <row r="358">
      <c r="G358" s="1122"/>
      <c r="H358" s="1122"/>
      <c r="I358" s="1122"/>
      <c r="K358" s="1122"/>
      <c r="M358" s="1122"/>
    </row>
    <row r="359">
      <c r="G359" s="1122"/>
      <c r="H359" s="1122"/>
      <c r="I359" s="1122"/>
      <c r="K359" s="1122"/>
      <c r="M359" s="1122"/>
    </row>
    <row r="360">
      <c r="G360" s="1122"/>
      <c r="H360" s="1122"/>
      <c r="I360" s="1122"/>
      <c r="K360" s="1122"/>
      <c r="M360" s="1122"/>
    </row>
    <row r="361">
      <c r="G361" s="1122"/>
      <c r="H361" s="1122"/>
      <c r="I361" s="1122"/>
      <c r="K361" s="1122"/>
      <c r="M361" s="1122"/>
    </row>
    <row r="362">
      <c r="G362" s="1122"/>
      <c r="H362" s="1122"/>
      <c r="I362" s="1122"/>
      <c r="K362" s="1122"/>
      <c r="M362" s="1122"/>
    </row>
    <row r="363">
      <c r="G363" s="1122"/>
      <c r="H363" s="1122"/>
      <c r="I363" s="1122"/>
      <c r="K363" s="1122"/>
      <c r="M363" s="1122"/>
    </row>
    <row r="364">
      <c r="G364" s="1122"/>
      <c r="H364" s="1122"/>
      <c r="I364" s="1122"/>
      <c r="K364" s="1122"/>
      <c r="M364" s="1122"/>
    </row>
    <row r="365">
      <c r="G365" s="1122"/>
      <c r="H365" s="1122"/>
      <c r="I365" s="1122"/>
      <c r="K365" s="1122"/>
      <c r="M365" s="1122"/>
    </row>
    <row r="366">
      <c r="G366" s="1122"/>
      <c r="H366" s="1122"/>
      <c r="I366" s="1122"/>
      <c r="K366" s="1122"/>
      <c r="M366" s="1122"/>
    </row>
    <row r="367">
      <c r="G367" s="1122"/>
      <c r="H367" s="1122"/>
      <c r="I367" s="1122"/>
      <c r="K367" s="1122"/>
      <c r="M367" s="1122"/>
    </row>
    <row r="368">
      <c r="G368" s="1122"/>
      <c r="H368" s="1122"/>
      <c r="I368" s="1122"/>
      <c r="K368" s="1122"/>
      <c r="M368" s="1122"/>
    </row>
    <row r="369">
      <c r="G369" s="1122"/>
      <c r="H369" s="1122"/>
      <c r="I369" s="1122"/>
      <c r="K369" s="1122"/>
      <c r="M369" s="1122"/>
    </row>
    <row r="370">
      <c r="G370" s="1122"/>
      <c r="H370" s="1122"/>
      <c r="I370" s="1122"/>
      <c r="K370" s="1122"/>
      <c r="M370" s="1122"/>
    </row>
    <row r="371">
      <c r="G371" s="1122"/>
      <c r="H371" s="1122"/>
      <c r="I371" s="1122"/>
      <c r="K371" s="1122"/>
      <c r="M371" s="1122"/>
    </row>
    <row r="372">
      <c r="G372" s="1122"/>
      <c r="H372" s="1122"/>
      <c r="I372" s="1122"/>
      <c r="K372" s="1122"/>
      <c r="M372" s="1122"/>
    </row>
    <row r="373">
      <c r="G373" s="1122"/>
      <c r="H373" s="1122"/>
      <c r="I373" s="1122"/>
      <c r="K373" s="1122"/>
      <c r="M373" s="1122"/>
    </row>
    <row r="374">
      <c r="G374" s="1122"/>
      <c r="H374" s="1122"/>
      <c r="I374" s="1122"/>
      <c r="K374" s="1122"/>
      <c r="M374" s="1122"/>
    </row>
    <row r="375">
      <c r="G375" s="1122"/>
      <c r="H375" s="1122"/>
      <c r="I375" s="1122"/>
      <c r="K375" s="1122"/>
      <c r="M375" s="1122"/>
    </row>
    <row r="376">
      <c r="G376" s="1122"/>
      <c r="H376" s="1122"/>
      <c r="I376" s="1122"/>
      <c r="K376" s="1122"/>
      <c r="M376" s="1122"/>
    </row>
    <row r="377">
      <c r="G377" s="1122"/>
      <c r="H377" s="1122"/>
      <c r="I377" s="1122"/>
      <c r="K377" s="1122"/>
      <c r="M377" s="1122"/>
    </row>
    <row r="378">
      <c r="G378" s="1122"/>
      <c r="H378" s="1122"/>
      <c r="I378" s="1122"/>
      <c r="K378" s="1122"/>
      <c r="M378" s="1122"/>
    </row>
    <row r="379">
      <c r="G379" s="1122"/>
      <c r="H379" s="1122"/>
      <c r="I379" s="1122"/>
      <c r="K379" s="1122"/>
      <c r="M379" s="1122"/>
    </row>
    <row r="380">
      <c r="G380" s="1122"/>
      <c r="H380" s="1122"/>
      <c r="I380" s="1122"/>
      <c r="K380" s="1122"/>
      <c r="M380" s="1122"/>
    </row>
    <row r="381">
      <c r="G381" s="1122"/>
      <c r="H381" s="1122"/>
      <c r="I381" s="1122"/>
      <c r="K381" s="1122"/>
      <c r="M381" s="1122"/>
    </row>
    <row r="382">
      <c r="G382" s="1122"/>
      <c r="H382" s="1122"/>
      <c r="I382" s="1122"/>
      <c r="K382" s="1122"/>
      <c r="M382" s="1122"/>
    </row>
    <row r="383">
      <c r="G383" s="1122"/>
      <c r="H383" s="1122"/>
      <c r="I383" s="1122"/>
      <c r="K383" s="1122"/>
      <c r="M383" s="1122"/>
    </row>
    <row r="384">
      <c r="G384" s="1122"/>
      <c r="H384" s="1122"/>
      <c r="I384" s="1122"/>
      <c r="K384" s="1122"/>
      <c r="M384" s="1122"/>
    </row>
    <row r="385">
      <c r="G385" s="1122"/>
      <c r="H385" s="1122"/>
      <c r="I385" s="1122"/>
      <c r="K385" s="1122"/>
      <c r="M385" s="1122"/>
    </row>
    <row r="386">
      <c r="G386" s="1122"/>
      <c r="H386" s="1122"/>
      <c r="I386" s="1122"/>
      <c r="K386" s="1122"/>
      <c r="M386" s="1122"/>
    </row>
    <row r="387">
      <c r="G387" s="1122"/>
      <c r="H387" s="1122"/>
      <c r="I387" s="1122"/>
      <c r="K387" s="1122"/>
      <c r="M387" s="1122"/>
    </row>
    <row r="388">
      <c r="G388" s="1122"/>
      <c r="H388" s="1122"/>
      <c r="I388" s="1122"/>
      <c r="K388" s="1122"/>
      <c r="M388" s="1122"/>
    </row>
    <row r="389">
      <c r="G389" s="1122"/>
      <c r="H389" s="1122"/>
      <c r="I389" s="1122"/>
      <c r="K389" s="1122"/>
      <c r="M389" s="1122"/>
    </row>
    <row r="390">
      <c r="G390" s="1122"/>
      <c r="H390" s="1122"/>
      <c r="I390" s="1122"/>
      <c r="K390" s="1122"/>
      <c r="M390" s="1122"/>
    </row>
    <row r="391">
      <c r="G391" s="1122"/>
      <c r="H391" s="1122"/>
      <c r="I391" s="1122"/>
      <c r="K391" s="1122"/>
      <c r="M391" s="1122"/>
    </row>
    <row r="392">
      <c r="G392" s="1122"/>
      <c r="H392" s="1122"/>
      <c r="I392" s="1122"/>
      <c r="K392" s="1122"/>
      <c r="M392" s="1122"/>
    </row>
    <row r="393">
      <c r="G393" s="1122"/>
      <c r="H393" s="1122"/>
      <c r="I393" s="1122"/>
      <c r="K393" s="1122"/>
      <c r="M393" s="1122"/>
    </row>
    <row r="394">
      <c r="G394" s="1122"/>
      <c r="H394" s="1122"/>
      <c r="I394" s="1122"/>
      <c r="K394" s="1122"/>
      <c r="M394" s="1122"/>
    </row>
    <row r="395">
      <c r="G395" s="1122"/>
      <c r="H395" s="1122"/>
      <c r="I395" s="1122"/>
      <c r="K395" s="1122"/>
      <c r="M395" s="1122"/>
    </row>
    <row r="396">
      <c r="G396" s="1122"/>
      <c r="H396" s="1122"/>
      <c r="I396" s="1122"/>
      <c r="K396" s="1122"/>
      <c r="M396" s="1122"/>
    </row>
    <row r="397">
      <c r="G397" s="1122"/>
      <c r="H397" s="1122"/>
      <c r="I397" s="1122"/>
      <c r="K397" s="1122"/>
      <c r="M397" s="1122"/>
    </row>
    <row r="398">
      <c r="G398" s="1122"/>
      <c r="H398" s="1122"/>
      <c r="I398" s="1122"/>
      <c r="K398" s="1122"/>
      <c r="M398" s="1122"/>
    </row>
    <row r="399">
      <c r="G399" s="1122"/>
      <c r="H399" s="1122"/>
      <c r="I399" s="1122"/>
      <c r="K399" s="1122"/>
      <c r="M399" s="1122"/>
    </row>
    <row r="400">
      <c r="G400" s="1122"/>
      <c r="H400" s="1122"/>
      <c r="I400" s="1122"/>
      <c r="K400" s="1122"/>
      <c r="M400" s="1122"/>
    </row>
    <row r="401">
      <c r="G401" s="1122"/>
      <c r="H401" s="1122"/>
      <c r="I401" s="1122"/>
      <c r="K401" s="1122"/>
      <c r="M401" s="1122"/>
    </row>
    <row r="402">
      <c r="G402" s="1122"/>
      <c r="H402" s="1122"/>
      <c r="I402" s="1122"/>
      <c r="K402" s="1122"/>
      <c r="M402" s="1122"/>
    </row>
    <row r="403">
      <c r="G403" s="1122"/>
      <c r="H403" s="1122"/>
      <c r="I403" s="1122"/>
      <c r="K403" s="1122"/>
      <c r="M403" s="1122"/>
    </row>
    <row r="404">
      <c r="G404" s="1122"/>
      <c r="H404" s="1122"/>
      <c r="I404" s="1122"/>
      <c r="K404" s="1122"/>
      <c r="M404" s="1122"/>
    </row>
    <row r="405">
      <c r="G405" s="1122"/>
      <c r="H405" s="1122"/>
      <c r="I405" s="1122"/>
      <c r="K405" s="1122"/>
      <c r="M405" s="1122"/>
    </row>
    <row r="406">
      <c r="G406" s="1122"/>
      <c r="H406" s="1122"/>
      <c r="I406" s="1122"/>
      <c r="K406" s="1122"/>
      <c r="M406" s="1122"/>
    </row>
    <row r="407">
      <c r="G407" s="1122"/>
      <c r="H407" s="1122"/>
      <c r="I407" s="1122"/>
      <c r="K407" s="1122"/>
      <c r="M407" s="1122"/>
    </row>
    <row r="408">
      <c r="G408" s="1122"/>
      <c r="H408" s="1122"/>
      <c r="I408" s="1122"/>
      <c r="K408" s="1122"/>
      <c r="M408" s="1122"/>
    </row>
    <row r="409">
      <c r="G409" s="1122"/>
      <c r="H409" s="1122"/>
      <c r="I409" s="1122"/>
      <c r="K409" s="1122"/>
      <c r="M409" s="1122"/>
    </row>
    <row r="410">
      <c r="G410" s="1122"/>
      <c r="H410" s="1122"/>
      <c r="I410" s="1122"/>
      <c r="K410" s="1122"/>
      <c r="M410" s="1122"/>
    </row>
    <row r="411">
      <c r="G411" s="1122"/>
      <c r="H411" s="1122"/>
      <c r="I411" s="1122"/>
      <c r="K411" s="1122"/>
      <c r="M411" s="1122"/>
    </row>
    <row r="412">
      <c r="G412" s="1122"/>
      <c r="H412" s="1122"/>
      <c r="I412" s="1122"/>
      <c r="K412" s="1122"/>
      <c r="M412" s="1122"/>
    </row>
    <row r="413">
      <c r="G413" s="1122"/>
      <c r="H413" s="1122"/>
      <c r="I413" s="1122"/>
      <c r="K413" s="1122"/>
      <c r="M413" s="1122"/>
    </row>
    <row r="414">
      <c r="G414" s="1122"/>
      <c r="H414" s="1122"/>
      <c r="I414" s="1122"/>
      <c r="K414" s="1122"/>
      <c r="M414" s="1122"/>
    </row>
    <row r="415">
      <c r="G415" s="1122"/>
      <c r="H415" s="1122"/>
      <c r="I415" s="1122"/>
      <c r="K415" s="1122"/>
      <c r="M415" s="1122"/>
    </row>
    <row r="416">
      <c r="G416" s="1122"/>
      <c r="H416" s="1122"/>
      <c r="I416" s="1122"/>
      <c r="K416" s="1122"/>
      <c r="M416" s="1122"/>
    </row>
    <row r="417">
      <c r="G417" s="1122"/>
      <c r="H417" s="1122"/>
      <c r="I417" s="1122"/>
      <c r="K417" s="1122"/>
      <c r="M417" s="1122"/>
    </row>
    <row r="418">
      <c r="G418" s="1122"/>
      <c r="H418" s="1122"/>
      <c r="I418" s="1122"/>
      <c r="K418" s="1122"/>
      <c r="M418" s="1122"/>
    </row>
    <row r="419">
      <c r="G419" s="1122"/>
      <c r="H419" s="1122"/>
      <c r="I419" s="1122"/>
      <c r="K419" s="1122"/>
      <c r="M419" s="1122"/>
    </row>
    <row r="420">
      <c r="G420" s="1122"/>
      <c r="H420" s="1122"/>
      <c r="I420" s="1122"/>
      <c r="K420" s="1122"/>
      <c r="M420" s="1122"/>
    </row>
    <row r="421">
      <c r="G421" s="1122"/>
      <c r="H421" s="1122"/>
      <c r="I421" s="1122"/>
      <c r="K421" s="1122"/>
      <c r="M421" s="1122"/>
    </row>
    <row r="422">
      <c r="G422" s="1122"/>
      <c r="H422" s="1122"/>
      <c r="I422" s="1122"/>
      <c r="K422" s="1122"/>
      <c r="M422" s="1122"/>
    </row>
    <row r="423">
      <c r="G423" s="1122"/>
      <c r="H423" s="1122"/>
      <c r="I423" s="1122"/>
      <c r="K423" s="1122"/>
      <c r="M423" s="1122"/>
    </row>
    <row r="424">
      <c r="G424" s="1122"/>
      <c r="H424" s="1122"/>
      <c r="I424" s="1122"/>
      <c r="K424" s="1122"/>
      <c r="M424" s="1122"/>
    </row>
    <row r="425">
      <c r="G425" s="1122"/>
      <c r="H425" s="1122"/>
      <c r="I425" s="1122"/>
      <c r="K425" s="1122"/>
      <c r="M425" s="1122"/>
    </row>
    <row r="426">
      <c r="G426" s="1122"/>
      <c r="H426" s="1122"/>
      <c r="I426" s="1122"/>
      <c r="K426" s="1122"/>
      <c r="M426" s="1122"/>
    </row>
    <row r="427">
      <c r="G427" s="1122"/>
      <c r="H427" s="1122"/>
      <c r="I427" s="1122"/>
      <c r="K427" s="1122"/>
      <c r="M427" s="1122"/>
    </row>
    <row r="428">
      <c r="G428" s="1122"/>
      <c r="H428" s="1122"/>
      <c r="I428" s="1122"/>
      <c r="K428" s="1122"/>
      <c r="M428" s="1122"/>
    </row>
    <row r="429">
      <c r="G429" s="1122"/>
      <c r="H429" s="1122"/>
      <c r="I429" s="1122"/>
      <c r="K429" s="1122"/>
      <c r="M429" s="1122"/>
    </row>
    <row r="430">
      <c r="G430" s="1122"/>
      <c r="H430" s="1122"/>
      <c r="I430" s="1122"/>
      <c r="K430" s="1122"/>
      <c r="M430" s="1122"/>
    </row>
    <row r="431">
      <c r="G431" s="1122"/>
      <c r="H431" s="1122"/>
      <c r="I431" s="1122"/>
      <c r="K431" s="1122"/>
      <c r="M431" s="1122"/>
    </row>
    <row r="432">
      <c r="G432" s="1122"/>
      <c r="H432" s="1122"/>
      <c r="I432" s="1122"/>
      <c r="K432" s="1122"/>
      <c r="M432" s="1122"/>
    </row>
    <row r="433">
      <c r="G433" s="1122"/>
      <c r="H433" s="1122"/>
      <c r="I433" s="1122"/>
      <c r="K433" s="1122"/>
      <c r="M433" s="1122"/>
    </row>
    <row r="434">
      <c r="G434" s="1122"/>
      <c r="H434" s="1122"/>
      <c r="I434" s="1122"/>
      <c r="K434" s="1122"/>
      <c r="M434" s="1122"/>
    </row>
    <row r="435">
      <c r="G435" s="1122"/>
      <c r="H435" s="1122"/>
      <c r="I435" s="1122"/>
      <c r="K435" s="1122"/>
      <c r="M435" s="1122"/>
    </row>
    <row r="436">
      <c r="G436" s="1122"/>
      <c r="H436" s="1122"/>
      <c r="I436" s="1122"/>
      <c r="K436" s="1122"/>
      <c r="M436" s="1122"/>
    </row>
    <row r="437">
      <c r="G437" s="1122"/>
      <c r="H437" s="1122"/>
      <c r="I437" s="1122"/>
      <c r="K437" s="1122"/>
      <c r="M437" s="1122"/>
    </row>
    <row r="438">
      <c r="G438" s="1122"/>
      <c r="H438" s="1122"/>
      <c r="I438" s="1122"/>
      <c r="K438" s="1122"/>
      <c r="M438" s="1122"/>
    </row>
    <row r="439">
      <c r="G439" s="1122"/>
      <c r="H439" s="1122"/>
      <c r="I439" s="1122"/>
      <c r="K439" s="1122"/>
      <c r="M439" s="1122"/>
    </row>
    <row r="440">
      <c r="G440" s="1122"/>
      <c r="H440" s="1122"/>
      <c r="I440" s="1122"/>
      <c r="K440" s="1122"/>
      <c r="M440" s="1122"/>
    </row>
    <row r="441">
      <c r="G441" s="1122"/>
      <c r="H441" s="1122"/>
      <c r="I441" s="1122"/>
      <c r="K441" s="1122"/>
      <c r="M441" s="1122"/>
    </row>
    <row r="442">
      <c r="G442" s="1122"/>
      <c r="H442" s="1122"/>
      <c r="I442" s="1122"/>
      <c r="K442" s="1122"/>
      <c r="M442" s="1122"/>
    </row>
    <row r="443">
      <c r="G443" s="1122"/>
      <c r="H443" s="1122"/>
      <c r="I443" s="1122"/>
      <c r="K443" s="1122"/>
      <c r="M443" s="1122"/>
    </row>
    <row r="444">
      <c r="G444" s="1122"/>
      <c r="H444" s="1122"/>
      <c r="I444" s="1122"/>
      <c r="K444" s="1122"/>
      <c r="M444" s="1122"/>
    </row>
    <row r="445">
      <c r="G445" s="1122"/>
      <c r="H445" s="1122"/>
      <c r="I445" s="1122"/>
      <c r="K445" s="1122"/>
      <c r="M445" s="1122"/>
    </row>
    <row r="446">
      <c r="G446" s="1122"/>
      <c r="H446" s="1122"/>
      <c r="I446" s="1122"/>
      <c r="K446" s="1122"/>
      <c r="M446" s="1122"/>
    </row>
    <row r="447">
      <c r="G447" s="1122"/>
      <c r="H447" s="1122"/>
      <c r="I447" s="1122"/>
      <c r="K447" s="1122"/>
      <c r="M447" s="1122"/>
    </row>
    <row r="448">
      <c r="G448" s="1122"/>
      <c r="H448" s="1122"/>
      <c r="I448" s="1122"/>
      <c r="K448" s="1122"/>
      <c r="M448" s="1122"/>
    </row>
    <row r="449">
      <c r="G449" s="1122"/>
      <c r="H449" s="1122"/>
      <c r="I449" s="1122"/>
      <c r="K449" s="1122"/>
      <c r="M449" s="1122"/>
    </row>
    <row r="450">
      <c r="G450" s="1122"/>
      <c r="H450" s="1122"/>
      <c r="I450" s="1122"/>
      <c r="K450" s="1122"/>
      <c r="M450" s="1122"/>
    </row>
    <row r="451">
      <c r="G451" s="1122"/>
      <c r="H451" s="1122"/>
      <c r="I451" s="1122"/>
      <c r="K451" s="1122"/>
      <c r="M451" s="1122"/>
    </row>
    <row r="452">
      <c r="G452" s="1122"/>
      <c r="H452" s="1122"/>
      <c r="I452" s="1122"/>
      <c r="K452" s="1122"/>
      <c r="M452" s="1122"/>
    </row>
    <row r="453">
      <c r="G453" s="1122"/>
      <c r="H453" s="1122"/>
      <c r="I453" s="1122"/>
      <c r="K453" s="1122"/>
      <c r="M453" s="1122"/>
    </row>
    <row r="454">
      <c r="G454" s="1122"/>
      <c r="H454" s="1122"/>
      <c r="I454" s="1122"/>
      <c r="K454" s="1122"/>
      <c r="M454" s="1122"/>
    </row>
    <row r="455">
      <c r="G455" s="1122"/>
      <c r="H455" s="1122"/>
      <c r="I455" s="1122"/>
      <c r="K455" s="1122"/>
      <c r="M455" s="1122"/>
    </row>
    <row r="456">
      <c r="G456" s="1122"/>
      <c r="H456" s="1122"/>
      <c r="I456" s="1122"/>
      <c r="K456" s="1122"/>
      <c r="M456" s="1122"/>
    </row>
    <row r="457">
      <c r="G457" s="1122"/>
      <c r="H457" s="1122"/>
      <c r="I457" s="1122"/>
      <c r="K457" s="1122"/>
      <c r="M457" s="1122"/>
    </row>
    <row r="458">
      <c r="G458" s="1122"/>
      <c r="H458" s="1122"/>
      <c r="I458" s="1122"/>
      <c r="K458" s="1122"/>
      <c r="M458" s="1122"/>
    </row>
    <row r="459">
      <c r="G459" s="1122"/>
      <c r="H459" s="1122"/>
      <c r="I459" s="1122"/>
      <c r="K459" s="1122"/>
      <c r="M459" s="1122"/>
    </row>
    <row r="460">
      <c r="G460" s="1122"/>
      <c r="H460" s="1122"/>
      <c r="I460" s="1122"/>
      <c r="K460" s="1122"/>
      <c r="M460" s="1122"/>
    </row>
    <row r="461">
      <c r="G461" s="1122"/>
      <c r="H461" s="1122"/>
      <c r="I461" s="1122"/>
      <c r="K461" s="1122"/>
      <c r="M461" s="1122"/>
    </row>
    <row r="462">
      <c r="G462" s="1122"/>
      <c r="H462" s="1122"/>
      <c r="I462" s="1122"/>
      <c r="K462" s="1122"/>
      <c r="M462" s="1122"/>
    </row>
    <row r="463">
      <c r="G463" s="1122"/>
      <c r="H463" s="1122"/>
      <c r="I463" s="1122"/>
      <c r="K463" s="1122"/>
      <c r="M463" s="1122"/>
    </row>
    <row r="464">
      <c r="G464" s="1122"/>
      <c r="H464" s="1122"/>
      <c r="I464" s="1122"/>
      <c r="K464" s="1122"/>
      <c r="M464" s="1122"/>
    </row>
    <row r="465">
      <c r="G465" s="1122"/>
      <c r="H465" s="1122"/>
      <c r="I465" s="1122"/>
      <c r="K465" s="1122"/>
      <c r="M465" s="1122"/>
    </row>
    <row r="466">
      <c r="G466" s="1122"/>
      <c r="H466" s="1122"/>
      <c r="I466" s="1122"/>
      <c r="K466" s="1122"/>
      <c r="M466" s="1122"/>
    </row>
    <row r="467">
      <c r="G467" s="1122"/>
      <c r="H467" s="1122"/>
      <c r="I467" s="1122"/>
      <c r="K467" s="1122"/>
      <c r="M467" s="1122"/>
    </row>
    <row r="468">
      <c r="G468" s="1122"/>
      <c r="H468" s="1122"/>
      <c r="I468" s="1122"/>
      <c r="K468" s="1122"/>
      <c r="M468" s="1122"/>
    </row>
    <row r="469">
      <c r="G469" s="1122"/>
      <c r="H469" s="1122"/>
      <c r="I469" s="1122"/>
      <c r="K469" s="1122"/>
      <c r="M469" s="1122"/>
    </row>
    <row r="470">
      <c r="G470" s="1122"/>
      <c r="H470" s="1122"/>
      <c r="I470" s="1122"/>
      <c r="K470" s="1122"/>
      <c r="M470" s="1122"/>
    </row>
    <row r="471">
      <c r="G471" s="1122"/>
      <c r="H471" s="1122"/>
      <c r="I471" s="1122"/>
      <c r="K471" s="1122"/>
      <c r="M471" s="1122"/>
    </row>
    <row r="472">
      <c r="G472" s="1122"/>
      <c r="H472" s="1122"/>
      <c r="I472" s="1122"/>
      <c r="K472" s="1122"/>
      <c r="M472" s="1122"/>
    </row>
    <row r="473">
      <c r="G473" s="1122"/>
      <c r="H473" s="1122"/>
      <c r="I473" s="1122"/>
      <c r="K473" s="1122"/>
      <c r="M473" s="1122"/>
    </row>
    <row r="474">
      <c r="G474" s="1122"/>
      <c r="H474" s="1122"/>
      <c r="I474" s="1122"/>
      <c r="K474" s="1122"/>
      <c r="M474" s="1122"/>
    </row>
    <row r="475">
      <c r="G475" s="1122"/>
      <c r="H475" s="1122"/>
      <c r="I475" s="1122"/>
      <c r="K475" s="1122"/>
      <c r="M475" s="1122"/>
    </row>
    <row r="476">
      <c r="G476" s="1122"/>
      <c r="H476" s="1122"/>
      <c r="I476" s="1122"/>
      <c r="K476" s="1122"/>
      <c r="M476" s="1122"/>
    </row>
    <row r="477">
      <c r="G477" s="1122"/>
      <c r="H477" s="1122"/>
      <c r="I477" s="1122"/>
      <c r="K477" s="1122"/>
      <c r="M477" s="1122"/>
    </row>
    <row r="478">
      <c r="G478" s="1122"/>
      <c r="H478" s="1122"/>
      <c r="I478" s="1122"/>
      <c r="K478" s="1122"/>
      <c r="M478" s="1122"/>
    </row>
    <row r="479">
      <c r="G479" s="1122"/>
      <c r="H479" s="1122"/>
      <c r="I479" s="1122"/>
      <c r="K479" s="1122"/>
      <c r="M479" s="1122"/>
    </row>
    <row r="480">
      <c r="G480" s="1122"/>
      <c r="H480" s="1122"/>
      <c r="I480" s="1122"/>
      <c r="K480" s="1122"/>
      <c r="M480" s="1122"/>
    </row>
    <row r="481">
      <c r="G481" s="1122"/>
      <c r="H481" s="1122"/>
      <c r="I481" s="1122"/>
      <c r="K481" s="1122"/>
      <c r="M481" s="1122"/>
    </row>
    <row r="482">
      <c r="G482" s="1122"/>
      <c r="H482" s="1122"/>
      <c r="I482" s="1122"/>
      <c r="K482" s="1122"/>
      <c r="M482" s="1122"/>
    </row>
    <row r="483">
      <c r="G483" s="1122"/>
      <c r="H483" s="1122"/>
      <c r="I483" s="1122"/>
      <c r="K483" s="1122"/>
      <c r="M483" s="1122"/>
    </row>
    <row r="484">
      <c r="G484" s="1122"/>
      <c r="H484" s="1122"/>
      <c r="I484" s="1122"/>
      <c r="K484" s="1122"/>
      <c r="M484" s="1122"/>
    </row>
    <row r="485">
      <c r="G485" s="1122"/>
      <c r="H485" s="1122"/>
      <c r="I485" s="1122"/>
      <c r="K485" s="1122"/>
      <c r="M485" s="1122"/>
    </row>
    <row r="486">
      <c r="G486" s="1122"/>
      <c r="H486" s="1122"/>
      <c r="I486" s="1122"/>
      <c r="K486" s="1122"/>
      <c r="M486" s="1122"/>
    </row>
    <row r="487">
      <c r="G487" s="1122"/>
      <c r="H487" s="1122"/>
      <c r="I487" s="1122"/>
      <c r="K487" s="1122"/>
      <c r="M487" s="1122"/>
    </row>
    <row r="488">
      <c r="G488" s="1122"/>
      <c r="H488" s="1122"/>
      <c r="I488" s="1122"/>
      <c r="K488" s="1122"/>
      <c r="M488" s="1122"/>
    </row>
    <row r="489">
      <c r="G489" s="1122"/>
      <c r="H489" s="1122"/>
      <c r="I489" s="1122"/>
      <c r="K489" s="1122"/>
      <c r="M489" s="1122"/>
    </row>
    <row r="490">
      <c r="G490" s="1122"/>
      <c r="H490" s="1122"/>
      <c r="I490" s="1122"/>
      <c r="K490" s="1122"/>
      <c r="M490" s="1122"/>
    </row>
    <row r="491">
      <c r="G491" s="1122"/>
      <c r="H491" s="1122"/>
      <c r="I491" s="1122"/>
      <c r="K491" s="1122"/>
      <c r="M491" s="1122"/>
    </row>
    <row r="492">
      <c r="G492" s="1122"/>
      <c r="H492" s="1122"/>
      <c r="I492" s="1122"/>
      <c r="K492" s="1122"/>
      <c r="M492" s="1122"/>
    </row>
    <row r="493">
      <c r="G493" s="1122"/>
      <c r="H493" s="1122"/>
      <c r="I493" s="1122"/>
      <c r="K493" s="1122"/>
      <c r="M493" s="1122"/>
    </row>
    <row r="494">
      <c r="G494" s="1122"/>
      <c r="H494" s="1122"/>
      <c r="I494" s="1122"/>
      <c r="K494" s="1122"/>
      <c r="M494" s="1122"/>
    </row>
    <row r="495">
      <c r="G495" s="1122"/>
      <c r="H495" s="1122"/>
      <c r="I495" s="1122"/>
      <c r="K495" s="1122"/>
      <c r="M495" s="1122"/>
    </row>
    <row r="496">
      <c r="G496" s="1122"/>
      <c r="H496" s="1122"/>
      <c r="I496" s="1122"/>
      <c r="K496" s="1122"/>
      <c r="M496" s="1122"/>
    </row>
    <row r="497">
      <c r="G497" s="1122"/>
      <c r="H497" s="1122"/>
      <c r="I497" s="1122"/>
      <c r="K497" s="1122"/>
      <c r="M497" s="1122"/>
    </row>
    <row r="498">
      <c r="G498" s="1122"/>
      <c r="H498" s="1122"/>
      <c r="I498" s="1122"/>
      <c r="K498" s="1122"/>
      <c r="M498" s="1122"/>
    </row>
    <row r="499">
      <c r="G499" s="1122"/>
      <c r="H499" s="1122"/>
      <c r="I499" s="1122"/>
      <c r="K499" s="1122"/>
      <c r="M499" s="1122"/>
    </row>
    <row r="500">
      <c r="G500" s="1122"/>
      <c r="H500" s="1122"/>
      <c r="I500" s="1122"/>
      <c r="K500" s="1122"/>
      <c r="M500" s="1122"/>
    </row>
    <row r="501">
      <c r="G501" s="1122"/>
      <c r="H501" s="1122"/>
      <c r="I501" s="1122"/>
      <c r="K501" s="1122"/>
      <c r="M501" s="1122"/>
    </row>
    <row r="502">
      <c r="G502" s="1122"/>
      <c r="H502" s="1122"/>
      <c r="I502" s="1122"/>
      <c r="K502" s="1122"/>
      <c r="M502" s="1122"/>
    </row>
    <row r="503">
      <c r="G503" s="1122"/>
      <c r="H503" s="1122"/>
      <c r="I503" s="1122"/>
      <c r="K503" s="1122"/>
      <c r="M503" s="1122"/>
    </row>
    <row r="504">
      <c r="G504" s="1122"/>
      <c r="H504" s="1122"/>
      <c r="I504" s="1122"/>
      <c r="K504" s="1122"/>
      <c r="M504" s="1122"/>
    </row>
    <row r="505">
      <c r="G505" s="1122"/>
      <c r="H505" s="1122"/>
      <c r="I505" s="1122"/>
      <c r="K505" s="1122"/>
      <c r="M505" s="1122"/>
    </row>
    <row r="506">
      <c r="G506" s="1122"/>
      <c r="H506" s="1122"/>
      <c r="I506" s="1122"/>
      <c r="K506" s="1122"/>
      <c r="M506" s="1122"/>
    </row>
    <row r="507">
      <c r="G507" s="1122"/>
      <c r="H507" s="1122"/>
      <c r="I507" s="1122"/>
      <c r="K507" s="1122"/>
      <c r="M507" s="1122"/>
    </row>
    <row r="508">
      <c r="G508" s="1122"/>
      <c r="H508" s="1122"/>
      <c r="I508" s="1122"/>
      <c r="K508" s="1122"/>
      <c r="M508" s="1122"/>
    </row>
    <row r="509">
      <c r="G509" s="1122"/>
      <c r="H509" s="1122"/>
      <c r="I509" s="1122"/>
      <c r="K509" s="1122"/>
      <c r="M509" s="1122"/>
    </row>
    <row r="510">
      <c r="G510" s="1122"/>
      <c r="H510" s="1122"/>
      <c r="I510" s="1122"/>
      <c r="K510" s="1122"/>
      <c r="M510" s="1122"/>
    </row>
    <row r="511">
      <c r="G511" s="1122"/>
      <c r="H511" s="1122"/>
      <c r="I511" s="1122"/>
      <c r="K511" s="1122"/>
      <c r="M511" s="1122"/>
    </row>
    <row r="512">
      <c r="G512" s="1122"/>
      <c r="H512" s="1122"/>
      <c r="I512" s="1122"/>
      <c r="K512" s="1122"/>
      <c r="M512" s="1122"/>
    </row>
    <row r="513">
      <c r="G513" s="1122"/>
      <c r="H513" s="1122"/>
      <c r="I513" s="1122"/>
      <c r="K513" s="1122"/>
      <c r="M513" s="1122"/>
    </row>
    <row r="514">
      <c r="G514" s="1122"/>
      <c r="H514" s="1122"/>
      <c r="I514" s="1122"/>
      <c r="K514" s="1122"/>
      <c r="M514" s="1122"/>
    </row>
    <row r="515">
      <c r="G515" s="1122"/>
      <c r="H515" s="1122"/>
      <c r="I515" s="1122"/>
      <c r="K515" s="1122"/>
      <c r="M515" s="1122"/>
    </row>
    <row r="516">
      <c r="G516" s="1122"/>
      <c r="H516" s="1122"/>
      <c r="I516" s="1122"/>
      <c r="K516" s="1122"/>
      <c r="M516" s="1122"/>
    </row>
    <row r="517">
      <c r="G517" s="1122"/>
      <c r="H517" s="1122"/>
      <c r="I517" s="1122"/>
      <c r="K517" s="1122"/>
      <c r="M517" s="1122"/>
    </row>
    <row r="518">
      <c r="G518" s="1122"/>
      <c r="H518" s="1122"/>
      <c r="I518" s="1122"/>
      <c r="K518" s="1122"/>
      <c r="M518" s="1122"/>
    </row>
    <row r="519">
      <c r="G519" s="1122"/>
      <c r="H519" s="1122"/>
      <c r="I519" s="1122"/>
      <c r="K519" s="1122"/>
      <c r="M519" s="1122"/>
    </row>
    <row r="520">
      <c r="G520" s="1122"/>
      <c r="H520" s="1122"/>
      <c r="I520" s="1122"/>
      <c r="K520" s="1122"/>
      <c r="M520" s="1122"/>
    </row>
    <row r="521">
      <c r="G521" s="1122"/>
      <c r="H521" s="1122"/>
      <c r="I521" s="1122"/>
      <c r="K521" s="1122"/>
      <c r="M521" s="1122"/>
    </row>
    <row r="522">
      <c r="G522" s="1122"/>
      <c r="H522" s="1122"/>
      <c r="I522" s="1122"/>
      <c r="K522" s="1122"/>
      <c r="M522" s="1122"/>
    </row>
    <row r="523">
      <c r="G523" s="1122"/>
      <c r="H523" s="1122"/>
      <c r="I523" s="1122"/>
      <c r="K523" s="1122"/>
      <c r="M523" s="1122"/>
    </row>
    <row r="524">
      <c r="G524" s="1122"/>
      <c r="H524" s="1122"/>
      <c r="I524" s="1122"/>
      <c r="K524" s="1122"/>
      <c r="M524" s="1122"/>
    </row>
    <row r="525">
      <c r="G525" s="1122"/>
      <c r="H525" s="1122"/>
      <c r="I525" s="1122"/>
      <c r="K525" s="1122"/>
      <c r="M525" s="1122"/>
    </row>
    <row r="526">
      <c r="G526" s="1122"/>
      <c r="H526" s="1122"/>
      <c r="I526" s="1122"/>
      <c r="K526" s="1122"/>
      <c r="M526" s="1122"/>
    </row>
    <row r="527">
      <c r="G527" s="1122"/>
      <c r="H527" s="1122"/>
      <c r="I527" s="1122"/>
      <c r="K527" s="1122"/>
      <c r="M527" s="1122"/>
    </row>
    <row r="528">
      <c r="G528" s="1122"/>
      <c r="H528" s="1122"/>
      <c r="I528" s="1122"/>
      <c r="K528" s="1122"/>
      <c r="M528" s="1122"/>
    </row>
    <row r="529">
      <c r="G529" s="1122"/>
      <c r="H529" s="1122"/>
      <c r="I529" s="1122"/>
      <c r="K529" s="1122"/>
      <c r="M529" s="1122"/>
    </row>
    <row r="530">
      <c r="G530" s="1122"/>
      <c r="H530" s="1122"/>
      <c r="I530" s="1122"/>
      <c r="K530" s="1122"/>
      <c r="M530" s="1122"/>
    </row>
    <row r="531">
      <c r="G531" s="1122"/>
      <c r="H531" s="1122"/>
      <c r="I531" s="1122"/>
      <c r="K531" s="1122"/>
      <c r="M531" s="1122"/>
    </row>
    <row r="532">
      <c r="G532" s="1122"/>
      <c r="H532" s="1122"/>
      <c r="I532" s="1122"/>
      <c r="K532" s="1122"/>
      <c r="M532" s="1122"/>
    </row>
    <row r="533">
      <c r="G533" s="1122"/>
      <c r="H533" s="1122"/>
      <c r="I533" s="1122"/>
      <c r="K533" s="1122"/>
      <c r="M533" s="1122"/>
    </row>
    <row r="534">
      <c r="G534" s="1122"/>
      <c r="H534" s="1122"/>
      <c r="I534" s="1122"/>
      <c r="K534" s="1122"/>
      <c r="M534" s="1122"/>
    </row>
    <row r="535">
      <c r="G535" s="1122"/>
      <c r="H535" s="1122"/>
      <c r="I535" s="1122"/>
      <c r="K535" s="1122"/>
      <c r="M535" s="1122"/>
    </row>
    <row r="536">
      <c r="G536" s="1122"/>
      <c r="H536" s="1122"/>
      <c r="I536" s="1122"/>
      <c r="K536" s="1122"/>
      <c r="M536" s="1122"/>
    </row>
    <row r="537">
      <c r="G537" s="1122"/>
      <c r="H537" s="1122"/>
      <c r="I537" s="1122"/>
      <c r="K537" s="1122"/>
      <c r="M537" s="1122"/>
    </row>
    <row r="538">
      <c r="G538" s="1122"/>
      <c r="H538" s="1122"/>
      <c r="I538" s="1122"/>
      <c r="K538" s="1122"/>
      <c r="M538" s="1122"/>
    </row>
    <row r="539">
      <c r="G539" s="1122"/>
      <c r="H539" s="1122"/>
      <c r="I539" s="1122"/>
      <c r="K539" s="1122"/>
      <c r="M539" s="1122"/>
    </row>
    <row r="540">
      <c r="G540" s="1122"/>
      <c r="H540" s="1122"/>
      <c r="I540" s="1122"/>
      <c r="K540" s="1122"/>
      <c r="M540" s="1122"/>
    </row>
    <row r="541">
      <c r="G541" s="1122"/>
      <c r="H541" s="1122"/>
      <c r="I541" s="1122"/>
      <c r="K541" s="1122"/>
      <c r="M541" s="1122"/>
    </row>
    <row r="542">
      <c r="G542" s="1122"/>
      <c r="H542" s="1122"/>
      <c r="I542" s="1122"/>
      <c r="K542" s="1122"/>
      <c r="M542" s="1122"/>
    </row>
    <row r="543">
      <c r="G543" s="1122"/>
      <c r="H543" s="1122"/>
      <c r="I543" s="1122"/>
      <c r="K543" s="1122"/>
      <c r="M543" s="1122"/>
    </row>
    <row r="544">
      <c r="G544" s="1122"/>
      <c r="H544" s="1122"/>
      <c r="I544" s="1122"/>
      <c r="K544" s="1122"/>
      <c r="M544" s="1122"/>
    </row>
    <row r="545">
      <c r="G545" s="1122"/>
      <c r="H545" s="1122"/>
      <c r="I545" s="1122"/>
      <c r="K545" s="1122"/>
      <c r="M545" s="1122"/>
    </row>
    <row r="546">
      <c r="G546" s="1122"/>
      <c r="H546" s="1122"/>
      <c r="I546" s="1122"/>
      <c r="K546" s="1122"/>
      <c r="M546" s="1122"/>
    </row>
    <row r="547">
      <c r="G547" s="1122"/>
      <c r="H547" s="1122"/>
      <c r="I547" s="1122"/>
      <c r="K547" s="1122"/>
      <c r="M547" s="1122"/>
    </row>
    <row r="548">
      <c r="G548" s="1122"/>
      <c r="H548" s="1122"/>
      <c r="I548" s="1122"/>
      <c r="K548" s="1122"/>
      <c r="M548" s="1122"/>
    </row>
    <row r="549">
      <c r="G549" s="1122"/>
      <c r="H549" s="1122"/>
      <c r="I549" s="1122"/>
      <c r="K549" s="1122"/>
      <c r="M549" s="1122"/>
    </row>
    <row r="550">
      <c r="G550" s="1122"/>
      <c r="H550" s="1122"/>
      <c r="I550" s="1122"/>
      <c r="K550" s="1122"/>
      <c r="M550" s="1122"/>
    </row>
    <row r="551">
      <c r="G551" s="1122"/>
      <c r="H551" s="1122"/>
      <c r="I551" s="1122"/>
      <c r="K551" s="1122"/>
      <c r="M551" s="1122"/>
    </row>
    <row r="552">
      <c r="G552" s="1122"/>
      <c r="H552" s="1122"/>
      <c r="I552" s="1122"/>
      <c r="K552" s="1122"/>
      <c r="M552" s="1122"/>
    </row>
    <row r="553">
      <c r="G553" s="1122"/>
      <c r="H553" s="1122"/>
      <c r="I553" s="1122"/>
      <c r="K553" s="1122"/>
      <c r="M553" s="1122"/>
    </row>
    <row r="554">
      <c r="G554" s="1122"/>
      <c r="H554" s="1122"/>
      <c r="I554" s="1122"/>
      <c r="K554" s="1122"/>
      <c r="M554" s="1122"/>
    </row>
    <row r="555">
      <c r="G555" s="1122"/>
      <c r="H555" s="1122"/>
      <c r="I555" s="1122"/>
      <c r="K555" s="1122"/>
      <c r="M555" s="1122"/>
    </row>
    <row r="556">
      <c r="G556" s="1122"/>
      <c r="H556" s="1122"/>
      <c r="I556" s="1122"/>
      <c r="K556" s="1122"/>
      <c r="M556" s="1122"/>
    </row>
    <row r="557">
      <c r="G557" s="1122"/>
      <c r="H557" s="1122"/>
      <c r="I557" s="1122"/>
      <c r="K557" s="1122"/>
      <c r="M557" s="1122"/>
    </row>
    <row r="558">
      <c r="G558" s="1122"/>
      <c r="H558" s="1122"/>
      <c r="I558" s="1122"/>
      <c r="K558" s="1122"/>
      <c r="M558" s="1122"/>
    </row>
    <row r="559">
      <c r="G559" s="1122"/>
      <c r="H559" s="1122"/>
      <c r="I559" s="1122"/>
      <c r="K559" s="1122"/>
      <c r="M559" s="1122"/>
    </row>
    <row r="560">
      <c r="G560" s="1122"/>
      <c r="H560" s="1122"/>
      <c r="I560" s="1122"/>
      <c r="K560" s="1122"/>
      <c r="M560" s="1122"/>
    </row>
    <row r="561">
      <c r="G561" s="1122"/>
      <c r="H561" s="1122"/>
      <c r="I561" s="1122"/>
      <c r="K561" s="1122"/>
      <c r="M561" s="1122"/>
    </row>
    <row r="562">
      <c r="G562" s="1122"/>
      <c r="H562" s="1122"/>
      <c r="I562" s="1122"/>
      <c r="K562" s="1122"/>
      <c r="M562" s="1122"/>
    </row>
    <row r="563">
      <c r="G563" s="1122"/>
      <c r="H563" s="1122"/>
      <c r="I563" s="1122"/>
      <c r="K563" s="1122"/>
      <c r="M563" s="1122"/>
    </row>
    <row r="564">
      <c r="G564" s="1122"/>
      <c r="H564" s="1122"/>
      <c r="I564" s="1122"/>
      <c r="K564" s="1122"/>
      <c r="M564" s="1122"/>
    </row>
    <row r="565">
      <c r="G565" s="1122"/>
      <c r="H565" s="1122"/>
      <c r="I565" s="1122"/>
      <c r="K565" s="1122"/>
      <c r="M565" s="1122"/>
    </row>
    <row r="566">
      <c r="G566" s="1122"/>
      <c r="H566" s="1122"/>
      <c r="I566" s="1122"/>
      <c r="K566" s="1122"/>
      <c r="M566" s="1122"/>
    </row>
    <row r="567">
      <c r="G567" s="1122"/>
      <c r="H567" s="1122"/>
      <c r="I567" s="1122"/>
      <c r="K567" s="1122"/>
      <c r="M567" s="1122"/>
    </row>
    <row r="568">
      <c r="G568" s="1122"/>
      <c r="H568" s="1122"/>
      <c r="I568" s="1122"/>
      <c r="K568" s="1122"/>
      <c r="M568" s="1122"/>
    </row>
    <row r="569">
      <c r="G569" s="1122"/>
      <c r="H569" s="1122"/>
      <c r="I569" s="1122"/>
      <c r="K569" s="1122"/>
      <c r="M569" s="1122"/>
    </row>
    <row r="570">
      <c r="G570" s="1122"/>
      <c r="H570" s="1122"/>
      <c r="I570" s="1122"/>
      <c r="K570" s="1122"/>
      <c r="M570" s="1122"/>
    </row>
    <row r="571">
      <c r="G571" s="1122"/>
      <c r="H571" s="1122"/>
      <c r="I571" s="1122"/>
      <c r="K571" s="1122"/>
      <c r="M571" s="1122"/>
    </row>
    <row r="572">
      <c r="G572" s="1122"/>
      <c r="H572" s="1122"/>
      <c r="I572" s="1122"/>
      <c r="K572" s="1122"/>
      <c r="M572" s="1122"/>
    </row>
    <row r="573">
      <c r="G573" s="1122"/>
      <c r="H573" s="1122"/>
      <c r="I573" s="1122"/>
      <c r="K573" s="1122"/>
      <c r="M573" s="1122"/>
    </row>
    <row r="574">
      <c r="G574" s="1122"/>
      <c r="H574" s="1122"/>
      <c r="I574" s="1122"/>
      <c r="K574" s="1122"/>
      <c r="M574" s="1122"/>
    </row>
    <row r="575">
      <c r="G575" s="1122"/>
      <c r="H575" s="1122"/>
      <c r="I575" s="1122"/>
      <c r="K575" s="1122"/>
      <c r="M575" s="1122"/>
    </row>
    <row r="576">
      <c r="G576" s="1122"/>
      <c r="H576" s="1122"/>
      <c r="I576" s="1122"/>
      <c r="K576" s="1122"/>
      <c r="M576" s="1122"/>
    </row>
    <row r="577">
      <c r="G577" s="1122"/>
      <c r="H577" s="1122"/>
      <c r="I577" s="1122"/>
      <c r="K577" s="1122"/>
      <c r="M577" s="1122"/>
    </row>
    <row r="578">
      <c r="G578" s="1122"/>
      <c r="H578" s="1122"/>
      <c r="I578" s="1122"/>
      <c r="K578" s="1122"/>
      <c r="M578" s="1122"/>
    </row>
    <row r="579">
      <c r="G579" s="1122"/>
      <c r="H579" s="1122"/>
      <c r="I579" s="1122"/>
      <c r="K579" s="1122"/>
      <c r="M579" s="1122"/>
    </row>
    <row r="580">
      <c r="G580" s="1122"/>
      <c r="H580" s="1122"/>
      <c r="I580" s="1122"/>
      <c r="K580" s="1122"/>
      <c r="M580" s="1122"/>
    </row>
    <row r="581">
      <c r="G581" s="1122"/>
      <c r="H581" s="1122"/>
      <c r="I581" s="1122"/>
      <c r="K581" s="1122"/>
      <c r="M581" s="1122"/>
    </row>
    <row r="582">
      <c r="G582" s="1122"/>
      <c r="H582" s="1122"/>
      <c r="I582" s="1122"/>
      <c r="K582" s="1122"/>
      <c r="M582" s="1122"/>
    </row>
    <row r="583">
      <c r="G583" s="1122"/>
      <c r="H583" s="1122"/>
      <c r="I583" s="1122"/>
      <c r="K583" s="1122"/>
      <c r="M583" s="1122"/>
    </row>
    <row r="584">
      <c r="G584" s="1122"/>
      <c r="H584" s="1122"/>
      <c r="I584" s="1122"/>
      <c r="K584" s="1122"/>
      <c r="M584" s="1122"/>
    </row>
    <row r="585">
      <c r="G585" s="1122"/>
      <c r="H585" s="1122"/>
      <c r="I585" s="1122"/>
      <c r="K585" s="1122"/>
      <c r="M585" s="1122"/>
    </row>
    <row r="586">
      <c r="G586" s="1122"/>
      <c r="H586" s="1122"/>
      <c r="I586" s="1122"/>
      <c r="K586" s="1122"/>
      <c r="M586" s="1122"/>
    </row>
    <row r="587">
      <c r="G587" s="1122"/>
      <c r="H587" s="1122"/>
      <c r="I587" s="1122"/>
      <c r="K587" s="1122"/>
      <c r="M587" s="1122"/>
    </row>
    <row r="588">
      <c r="G588" s="1122"/>
      <c r="H588" s="1122"/>
      <c r="I588" s="1122"/>
      <c r="K588" s="1122"/>
      <c r="M588" s="1122"/>
    </row>
    <row r="589">
      <c r="G589" s="1122"/>
      <c r="H589" s="1122"/>
      <c r="I589" s="1122"/>
      <c r="K589" s="1122"/>
      <c r="M589" s="1122"/>
    </row>
    <row r="590">
      <c r="G590" s="1122"/>
      <c r="H590" s="1122"/>
      <c r="I590" s="1122"/>
      <c r="K590" s="1122"/>
      <c r="M590" s="1122"/>
    </row>
    <row r="591">
      <c r="G591" s="1122"/>
      <c r="H591" s="1122"/>
      <c r="I591" s="1122"/>
      <c r="K591" s="1122"/>
      <c r="M591" s="1122"/>
    </row>
    <row r="592">
      <c r="G592" s="1122"/>
      <c r="H592" s="1122"/>
      <c r="I592" s="1122"/>
      <c r="K592" s="1122"/>
      <c r="M592" s="1122"/>
    </row>
    <row r="593">
      <c r="G593" s="1122"/>
      <c r="H593" s="1122"/>
      <c r="I593" s="1122"/>
      <c r="K593" s="1122"/>
      <c r="M593" s="1122"/>
    </row>
    <row r="594">
      <c r="G594" s="1122"/>
      <c r="H594" s="1122"/>
      <c r="I594" s="1122"/>
      <c r="K594" s="1122"/>
      <c r="M594" s="1122"/>
    </row>
    <row r="595">
      <c r="G595" s="1122"/>
      <c r="H595" s="1122"/>
      <c r="I595" s="1122"/>
      <c r="K595" s="1122"/>
      <c r="M595" s="1122"/>
    </row>
    <row r="596">
      <c r="G596" s="1122"/>
      <c r="H596" s="1122"/>
      <c r="I596" s="1122"/>
      <c r="K596" s="1122"/>
      <c r="M596" s="1122"/>
    </row>
    <row r="597">
      <c r="G597" s="1122"/>
      <c r="H597" s="1122"/>
      <c r="I597" s="1122"/>
      <c r="K597" s="1122"/>
      <c r="M597" s="1122"/>
    </row>
    <row r="598">
      <c r="G598" s="1122"/>
      <c r="H598" s="1122"/>
      <c r="I598" s="1122"/>
      <c r="K598" s="1122"/>
      <c r="M598" s="1122"/>
    </row>
    <row r="599">
      <c r="G599" s="1122"/>
      <c r="H599" s="1122"/>
      <c r="I599" s="1122"/>
      <c r="K599" s="1122"/>
      <c r="M599" s="1122"/>
    </row>
    <row r="600">
      <c r="G600" s="1122"/>
      <c r="H600" s="1122"/>
      <c r="I600" s="1122"/>
      <c r="K600" s="1122"/>
      <c r="M600" s="1122"/>
    </row>
    <row r="601">
      <c r="G601" s="1122"/>
      <c r="H601" s="1122"/>
      <c r="I601" s="1122"/>
      <c r="K601" s="1122"/>
      <c r="M601" s="1122"/>
    </row>
    <row r="602">
      <c r="G602" s="1122"/>
      <c r="H602" s="1122"/>
      <c r="I602" s="1122"/>
      <c r="K602" s="1122"/>
      <c r="M602" s="1122"/>
    </row>
    <row r="603">
      <c r="G603" s="1122"/>
      <c r="H603" s="1122"/>
      <c r="I603" s="1122"/>
      <c r="K603" s="1122"/>
      <c r="M603" s="1122"/>
    </row>
    <row r="604">
      <c r="G604" s="1122"/>
      <c r="H604" s="1122"/>
      <c r="I604" s="1122"/>
      <c r="K604" s="1122"/>
      <c r="M604" s="1122"/>
    </row>
    <row r="605">
      <c r="G605" s="1122"/>
      <c r="H605" s="1122"/>
      <c r="I605" s="1122"/>
      <c r="K605" s="1122"/>
      <c r="M605" s="1122"/>
    </row>
    <row r="606">
      <c r="G606" s="1122"/>
      <c r="H606" s="1122"/>
      <c r="I606" s="1122"/>
      <c r="K606" s="1122"/>
      <c r="M606" s="1122"/>
    </row>
    <row r="607">
      <c r="G607" s="1122"/>
      <c r="H607" s="1122"/>
      <c r="I607" s="1122"/>
      <c r="K607" s="1122"/>
      <c r="M607" s="1122"/>
    </row>
    <row r="608">
      <c r="G608" s="1122"/>
      <c r="H608" s="1122"/>
      <c r="I608" s="1122"/>
      <c r="K608" s="1122"/>
      <c r="M608" s="1122"/>
    </row>
    <row r="609">
      <c r="G609" s="1122"/>
      <c r="H609" s="1122"/>
      <c r="I609" s="1122"/>
      <c r="K609" s="1122"/>
      <c r="M609" s="1122"/>
    </row>
    <row r="610">
      <c r="G610" s="1122"/>
      <c r="H610" s="1122"/>
      <c r="I610" s="1122"/>
      <c r="K610" s="1122"/>
      <c r="M610" s="1122"/>
    </row>
    <row r="611">
      <c r="G611" s="1122"/>
      <c r="H611" s="1122"/>
      <c r="I611" s="1122"/>
      <c r="K611" s="1122"/>
      <c r="M611" s="1122"/>
    </row>
    <row r="612">
      <c r="G612" s="1122"/>
      <c r="H612" s="1122"/>
      <c r="I612" s="1122"/>
      <c r="K612" s="1122"/>
      <c r="M612" s="1122"/>
    </row>
    <row r="613">
      <c r="G613" s="1122"/>
      <c r="H613" s="1122"/>
      <c r="I613" s="1122"/>
      <c r="K613" s="1122"/>
      <c r="M613" s="1122"/>
    </row>
    <row r="614">
      <c r="G614" s="1122"/>
      <c r="H614" s="1122"/>
      <c r="I614" s="1122"/>
      <c r="K614" s="1122"/>
      <c r="M614" s="1122"/>
    </row>
    <row r="615">
      <c r="G615" s="1122"/>
      <c r="H615" s="1122"/>
      <c r="I615" s="1122"/>
      <c r="K615" s="1122"/>
      <c r="M615" s="1122"/>
    </row>
    <row r="616">
      <c r="G616" s="1122"/>
      <c r="H616" s="1122"/>
      <c r="I616" s="1122"/>
      <c r="K616" s="1122"/>
      <c r="M616" s="1122"/>
    </row>
    <row r="617">
      <c r="G617" s="1122"/>
      <c r="H617" s="1122"/>
      <c r="I617" s="1122"/>
      <c r="K617" s="1122"/>
      <c r="M617" s="1122"/>
    </row>
    <row r="618">
      <c r="G618" s="1122"/>
      <c r="H618" s="1122"/>
      <c r="I618" s="1122"/>
      <c r="K618" s="1122"/>
      <c r="M618" s="1122"/>
    </row>
    <row r="619">
      <c r="G619" s="1122"/>
      <c r="H619" s="1122"/>
      <c r="I619" s="1122"/>
      <c r="K619" s="1122"/>
      <c r="M619" s="1122"/>
    </row>
    <row r="620">
      <c r="G620" s="1122"/>
      <c r="H620" s="1122"/>
      <c r="I620" s="1122"/>
      <c r="K620" s="1122"/>
      <c r="M620" s="1122"/>
    </row>
    <row r="621">
      <c r="G621" s="1122"/>
      <c r="H621" s="1122"/>
      <c r="I621" s="1122"/>
      <c r="K621" s="1122"/>
      <c r="M621" s="1122"/>
    </row>
    <row r="622">
      <c r="G622" s="1122"/>
      <c r="H622" s="1122"/>
      <c r="I622" s="1122"/>
      <c r="K622" s="1122"/>
      <c r="M622" s="1122"/>
    </row>
    <row r="623">
      <c r="G623" s="1122"/>
      <c r="H623" s="1122"/>
      <c r="I623" s="1122"/>
      <c r="K623" s="1122"/>
      <c r="M623" s="1122"/>
    </row>
    <row r="624">
      <c r="G624" s="1122"/>
      <c r="H624" s="1122"/>
      <c r="I624" s="1122"/>
      <c r="K624" s="1122"/>
      <c r="M624" s="1122"/>
    </row>
    <row r="625">
      <c r="G625" s="1122"/>
      <c r="H625" s="1122"/>
      <c r="I625" s="1122"/>
      <c r="K625" s="1122"/>
      <c r="M625" s="1122"/>
    </row>
    <row r="626">
      <c r="G626" s="1122"/>
      <c r="H626" s="1122"/>
      <c r="I626" s="1122"/>
      <c r="K626" s="1122"/>
      <c r="M626" s="1122"/>
    </row>
    <row r="627">
      <c r="G627" s="1122"/>
      <c r="H627" s="1122"/>
      <c r="I627" s="1122"/>
      <c r="K627" s="1122"/>
      <c r="M627" s="1122"/>
    </row>
    <row r="628">
      <c r="G628" s="1122"/>
      <c r="H628" s="1122"/>
      <c r="I628" s="1122"/>
      <c r="K628" s="1122"/>
      <c r="M628" s="1122"/>
    </row>
    <row r="629">
      <c r="G629" s="1122"/>
      <c r="H629" s="1122"/>
      <c r="I629" s="1122"/>
      <c r="K629" s="1122"/>
      <c r="M629" s="1122"/>
    </row>
    <row r="630">
      <c r="G630" s="1122"/>
      <c r="H630" s="1122"/>
      <c r="I630" s="1122"/>
      <c r="K630" s="1122"/>
      <c r="M630" s="1122"/>
    </row>
    <row r="631">
      <c r="G631" s="1122"/>
      <c r="H631" s="1122"/>
      <c r="I631" s="1122"/>
      <c r="K631" s="1122"/>
      <c r="M631" s="1122"/>
    </row>
    <row r="632">
      <c r="G632" s="1122"/>
      <c r="H632" s="1122"/>
      <c r="I632" s="1122"/>
      <c r="K632" s="1122"/>
      <c r="M632" s="1122"/>
    </row>
    <row r="633">
      <c r="G633" s="1122"/>
      <c r="H633" s="1122"/>
      <c r="I633" s="1122"/>
      <c r="K633" s="1122"/>
      <c r="M633" s="1122"/>
    </row>
    <row r="634">
      <c r="G634" s="1122"/>
      <c r="H634" s="1122"/>
      <c r="I634" s="1122"/>
      <c r="K634" s="1122"/>
      <c r="M634" s="1122"/>
    </row>
    <row r="635">
      <c r="G635" s="1122"/>
      <c r="H635" s="1122"/>
      <c r="I635" s="1122"/>
      <c r="K635" s="1122"/>
      <c r="M635" s="1122"/>
    </row>
    <row r="636">
      <c r="G636" s="1122"/>
      <c r="H636" s="1122"/>
      <c r="I636" s="1122"/>
      <c r="K636" s="1122"/>
      <c r="M636" s="1122"/>
    </row>
    <row r="637">
      <c r="G637" s="1122"/>
      <c r="H637" s="1122"/>
      <c r="I637" s="1122"/>
      <c r="K637" s="1122"/>
      <c r="M637" s="1122"/>
    </row>
    <row r="638">
      <c r="G638" s="1122"/>
      <c r="H638" s="1122"/>
      <c r="I638" s="1122"/>
      <c r="K638" s="1122"/>
      <c r="M638" s="1122"/>
    </row>
    <row r="639">
      <c r="G639" s="1122"/>
      <c r="H639" s="1122"/>
      <c r="I639" s="1122"/>
      <c r="K639" s="1122"/>
      <c r="M639" s="1122"/>
    </row>
    <row r="640">
      <c r="G640" s="1122"/>
      <c r="H640" s="1122"/>
      <c r="I640" s="1122"/>
      <c r="K640" s="1122"/>
      <c r="M640" s="1122"/>
    </row>
    <row r="641">
      <c r="G641" s="1122"/>
      <c r="H641" s="1122"/>
      <c r="I641" s="1122"/>
      <c r="K641" s="1122"/>
      <c r="M641" s="1122"/>
    </row>
    <row r="642">
      <c r="G642" s="1122"/>
      <c r="H642" s="1122"/>
      <c r="I642" s="1122"/>
      <c r="K642" s="1122"/>
      <c r="M642" s="1122"/>
    </row>
    <row r="643">
      <c r="G643" s="1122"/>
      <c r="H643" s="1122"/>
      <c r="I643" s="1122"/>
      <c r="K643" s="1122"/>
      <c r="M643" s="1122"/>
    </row>
    <row r="644">
      <c r="G644" s="1122"/>
      <c r="H644" s="1122"/>
      <c r="I644" s="1122"/>
      <c r="K644" s="1122"/>
      <c r="M644" s="1122"/>
    </row>
    <row r="645">
      <c r="G645" s="1122"/>
      <c r="H645" s="1122"/>
      <c r="I645" s="1122"/>
      <c r="K645" s="1122"/>
      <c r="M645" s="1122"/>
    </row>
    <row r="646">
      <c r="G646" s="1122"/>
      <c r="H646" s="1122"/>
      <c r="I646" s="1122"/>
      <c r="K646" s="1122"/>
      <c r="M646" s="1122"/>
    </row>
    <row r="647">
      <c r="G647" s="1122"/>
      <c r="H647" s="1122"/>
      <c r="I647" s="1122"/>
      <c r="K647" s="1122"/>
      <c r="M647" s="1122"/>
    </row>
    <row r="648">
      <c r="G648" s="1122"/>
      <c r="H648" s="1122"/>
      <c r="I648" s="1122"/>
      <c r="K648" s="1122"/>
      <c r="M648" s="1122"/>
    </row>
    <row r="649">
      <c r="G649" s="1122"/>
      <c r="H649" s="1122"/>
      <c r="I649" s="1122"/>
      <c r="K649" s="1122"/>
      <c r="M649" s="1122"/>
    </row>
    <row r="650">
      <c r="G650" s="1122"/>
      <c r="H650" s="1122"/>
      <c r="I650" s="1122"/>
      <c r="K650" s="1122"/>
      <c r="M650" s="1122"/>
    </row>
    <row r="651">
      <c r="G651" s="1122"/>
      <c r="H651" s="1122"/>
      <c r="I651" s="1122"/>
      <c r="K651" s="1122"/>
      <c r="M651" s="1122"/>
    </row>
    <row r="652">
      <c r="G652" s="1122"/>
      <c r="H652" s="1122"/>
      <c r="I652" s="1122"/>
      <c r="K652" s="1122"/>
      <c r="M652" s="1122"/>
    </row>
    <row r="653">
      <c r="G653" s="1122"/>
      <c r="H653" s="1122"/>
      <c r="I653" s="1122"/>
      <c r="K653" s="1122"/>
      <c r="M653" s="1122"/>
    </row>
    <row r="654">
      <c r="G654" s="1122"/>
      <c r="H654" s="1122"/>
      <c r="I654" s="1122"/>
      <c r="K654" s="1122"/>
      <c r="M654" s="1122"/>
    </row>
    <row r="655">
      <c r="G655" s="1122"/>
      <c r="H655" s="1122"/>
      <c r="I655" s="1122"/>
      <c r="K655" s="1122"/>
      <c r="M655" s="1122"/>
    </row>
    <row r="656">
      <c r="G656" s="1122"/>
      <c r="H656" s="1122"/>
      <c r="I656" s="1122"/>
      <c r="K656" s="1122"/>
      <c r="M656" s="1122"/>
    </row>
    <row r="657">
      <c r="G657" s="1122"/>
      <c r="H657" s="1122"/>
      <c r="I657" s="1122"/>
      <c r="K657" s="1122"/>
      <c r="M657" s="1122"/>
    </row>
    <row r="658">
      <c r="G658" s="1122"/>
      <c r="H658" s="1122"/>
      <c r="I658" s="1122"/>
      <c r="K658" s="1122"/>
      <c r="M658" s="1122"/>
    </row>
    <row r="659">
      <c r="G659" s="1122"/>
      <c r="H659" s="1122"/>
      <c r="I659" s="1122"/>
      <c r="K659" s="1122"/>
      <c r="M659" s="1122"/>
    </row>
    <row r="660">
      <c r="G660" s="1122"/>
      <c r="H660" s="1122"/>
      <c r="I660" s="1122"/>
      <c r="K660" s="1122"/>
      <c r="M660" s="1122"/>
    </row>
    <row r="661">
      <c r="G661" s="1122"/>
      <c r="H661" s="1122"/>
      <c r="I661" s="1122"/>
      <c r="K661" s="1122"/>
      <c r="M661" s="1122"/>
    </row>
    <row r="662">
      <c r="G662" s="1122"/>
      <c r="H662" s="1122"/>
      <c r="I662" s="1122"/>
      <c r="K662" s="1122"/>
      <c r="M662" s="1122"/>
    </row>
    <row r="663">
      <c r="G663" s="1122"/>
      <c r="H663" s="1122"/>
      <c r="I663" s="1122"/>
      <c r="K663" s="1122"/>
      <c r="M663" s="1122"/>
    </row>
    <row r="664">
      <c r="G664" s="1122"/>
      <c r="H664" s="1122"/>
      <c r="I664" s="1122"/>
      <c r="K664" s="1122"/>
      <c r="M664" s="1122"/>
    </row>
    <row r="665">
      <c r="G665" s="1122"/>
      <c r="H665" s="1122"/>
      <c r="I665" s="1122"/>
      <c r="K665" s="1122"/>
      <c r="M665" s="1122"/>
    </row>
    <row r="666">
      <c r="G666" s="1122"/>
      <c r="H666" s="1122"/>
      <c r="I666" s="1122"/>
      <c r="K666" s="1122"/>
      <c r="M666" s="1122"/>
    </row>
    <row r="667">
      <c r="G667" s="1122"/>
      <c r="H667" s="1122"/>
      <c r="I667" s="1122"/>
      <c r="K667" s="1122"/>
      <c r="M667" s="1122"/>
    </row>
    <row r="668">
      <c r="G668" s="1122"/>
      <c r="H668" s="1122"/>
      <c r="I668" s="1122"/>
      <c r="K668" s="1122"/>
      <c r="M668" s="1122"/>
    </row>
    <row r="669">
      <c r="G669" s="1122"/>
      <c r="H669" s="1122"/>
      <c r="I669" s="1122"/>
      <c r="K669" s="1122"/>
      <c r="M669" s="1122"/>
    </row>
    <row r="670">
      <c r="G670" s="1122"/>
      <c r="H670" s="1122"/>
      <c r="I670" s="1122"/>
      <c r="K670" s="1122"/>
      <c r="M670" s="1122"/>
    </row>
    <row r="671">
      <c r="G671" s="1122"/>
      <c r="H671" s="1122"/>
      <c r="I671" s="1122"/>
      <c r="K671" s="1122"/>
      <c r="M671" s="1122"/>
    </row>
    <row r="672">
      <c r="G672" s="1122"/>
      <c r="H672" s="1122"/>
      <c r="I672" s="1122"/>
      <c r="K672" s="1122"/>
      <c r="M672" s="1122"/>
    </row>
    <row r="673">
      <c r="G673" s="1122"/>
      <c r="H673" s="1122"/>
      <c r="I673" s="1122"/>
      <c r="K673" s="1122"/>
      <c r="M673" s="1122"/>
    </row>
    <row r="674">
      <c r="G674" s="1122"/>
      <c r="H674" s="1122"/>
      <c r="I674" s="1122"/>
      <c r="K674" s="1122"/>
      <c r="M674" s="1122"/>
    </row>
    <row r="675">
      <c r="G675" s="1122"/>
      <c r="H675" s="1122"/>
      <c r="I675" s="1122"/>
      <c r="K675" s="1122"/>
      <c r="M675" s="1122"/>
    </row>
    <row r="676">
      <c r="G676" s="1122"/>
      <c r="H676" s="1122"/>
      <c r="I676" s="1122"/>
      <c r="K676" s="1122"/>
      <c r="M676" s="1122"/>
    </row>
    <row r="677">
      <c r="G677" s="1122"/>
      <c r="H677" s="1122"/>
      <c r="I677" s="1122"/>
      <c r="K677" s="1122"/>
      <c r="M677" s="1122"/>
    </row>
    <row r="678">
      <c r="G678" s="1122"/>
      <c r="H678" s="1122"/>
      <c r="I678" s="1122"/>
      <c r="K678" s="1122"/>
      <c r="M678" s="1122"/>
    </row>
    <row r="679">
      <c r="G679" s="1122"/>
      <c r="H679" s="1122"/>
      <c r="I679" s="1122"/>
      <c r="K679" s="1122"/>
      <c r="M679" s="1122"/>
    </row>
    <row r="680">
      <c r="G680" s="1122"/>
      <c r="H680" s="1122"/>
      <c r="I680" s="1122"/>
      <c r="K680" s="1122"/>
      <c r="M680" s="1122"/>
    </row>
    <row r="681">
      <c r="G681" s="1122"/>
      <c r="H681" s="1122"/>
      <c r="I681" s="1122"/>
      <c r="K681" s="1122"/>
      <c r="M681" s="1122"/>
    </row>
    <row r="682">
      <c r="G682" s="1122"/>
      <c r="H682" s="1122"/>
      <c r="I682" s="1122"/>
      <c r="K682" s="1122"/>
      <c r="M682" s="1122"/>
    </row>
    <row r="683">
      <c r="G683" s="1122"/>
      <c r="H683" s="1122"/>
      <c r="I683" s="1122"/>
      <c r="K683" s="1122"/>
      <c r="M683" s="1122"/>
    </row>
    <row r="684">
      <c r="G684" s="1122"/>
      <c r="H684" s="1122"/>
      <c r="I684" s="1122"/>
      <c r="K684" s="1122"/>
      <c r="M684" s="1122"/>
    </row>
    <row r="685">
      <c r="G685" s="1122"/>
      <c r="H685" s="1122"/>
      <c r="I685" s="1122"/>
      <c r="K685" s="1122"/>
      <c r="M685" s="1122"/>
    </row>
    <row r="686">
      <c r="G686" s="1122"/>
      <c r="H686" s="1122"/>
      <c r="I686" s="1122"/>
      <c r="K686" s="1122"/>
      <c r="M686" s="1122"/>
    </row>
    <row r="687">
      <c r="G687" s="1122"/>
      <c r="H687" s="1122"/>
      <c r="I687" s="1122"/>
      <c r="K687" s="1122"/>
      <c r="M687" s="1122"/>
    </row>
    <row r="688">
      <c r="G688" s="1122"/>
      <c r="H688" s="1122"/>
      <c r="I688" s="1122"/>
      <c r="K688" s="1122"/>
      <c r="M688" s="1122"/>
    </row>
    <row r="689">
      <c r="G689" s="1122"/>
      <c r="H689" s="1122"/>
      <c r="I689" s="1122"/>
      <c r="K689" s="1122"/>
      <c r="M689" s="1122"/>
    </row>
    <row r="690">
      <c r="G690" s="1122"/>
      <c r="H690" s="1122"/>
      <c r="I690" s="1122"/>
      <c r="K690" s="1122"/>
      <c r="M690" s="1122"/>
    </row>
    <row r="691">
      <c r="G691" s="1122"/>
      <c r="H691" s="1122"/>
      <c r="I691" s="1122"/>
      <c r="K691" s="1122"/>
      <c r="M691" s="1122"/>
    </row>
    <row r="692">
      <c r="G692" s="1122"/>
      <c r="H692" s="1122"/>
      <c r="I692" s="1122"/>
      <c r="K692" s="1122"/>
      <c r="M692" s="1122"/>
    </row>
    <row r="693">
      <c r="G693" s="1122"/>
      <c r="H693" s="1122"/>
      <c r="I693" s="1122"/>
      <c r="K693" s="1122"/>
      <c r="M693" s="1122"/>
    </row>
    <row r="694">
      <c r="G694" s="1122"/>
      <c r="H694" s="1122"/>
      <c r="I694" s="1122"/>
      <c r="K694" s="1122"/>
      <c r="M694" s="1122"/>
    </row>
    <row r="695">
      <c r="G695" s="1122"/>
      <c r="H695" s="1122"/>
      <c r="I695" s="1122"/>
      <c r="K695" s="1122"/>
      <c r="M695" s="1122"/>
    </row>
    <row r="696">
      <c r="G696" s="1122"/>
      <c r="H696" s="1122"/>
      <c r="I696" s="1122"/>
      <c r="K696" s="1122"/>
      <c r="M696" s="1122"/>
    </row>
    <row r="697">
      <c r="G697" s="1122"/>
      <c r="H697" s="1122"/>
      <c r="I697" s="1122"/>
      <c r="K697" s="1122"/>
      <c r="M697" s="1122"/>
    </row>
    <row r="698">
      <c r="G698" s="1122"/>
      <c r="H698" s="1122"/>
      <c r="I698" s="1122"/>
      <c r="K698" s="1122"/>
      <c r="M698" s="1122"/>
    </row>
    <row r="699">
      <c r="G699" s="1122"/>
      <c r="H699" s="1122"/>
      <c r="I699" s="1122"/>
      <c r="K699" s="1122"/>
      <c r="M699" s="1122"/>
    </row>
    <row r="700">
      <c r="G700" s="1122"/>
      <c r="H700" s="1122"/>
      <c r="I700" s="1122"/>
      <c r="K700" s="1122"/>
      <c r="M700" s="1122"/>
    </row>
    <row r="701">
      <c r="G701" s="1122"/>
      <c r="H701" s="1122"/>
      <c r="I701" s="1122"/>
      <c r="K701" s="1122"/>
      <c r="M701" s="1122"/>
    </row>
    <row r="702">
      <c r="G702" s="1122"/>
      <c r="H702" s="1122"/>
      <c r="I702" s="1122"/>
      <c r="K702" s="1122"/>
      <c r="M702" s="1122"/>
    </row>
    <row r="703">
      <c r="G703" s="1122"/>
      <c r="H703" s="1122"/>
      <c r="I703" s="1122"/>
      <c r="K703" s="1122"/>
      <c r="M703" s="1122"/>
    </row>
    <row r="704">
      <c r="G704" s="1122"/>
      <c r="H704" s="1122"/>
      <c r="I704" s="1122"/>
      <c r="K704" s="1122"/>
      <c r="M704" s="1122"/>
    </row>
    <row r="705">
      <c r="G705" s="1122"/>
      <c r="H705" s="1122"/>
      <c r="I705" s="1122"/>
      <c r="K705" s="1122"/>
      <c r="M705" s="1122"/>
    </row>
    <row r="706">
      <c r="G706" s="1122"/>
      <c r="H706" s="1122"/>
      <c r="I706" s="1122"/>
      <c r="K706" s="1122"/>
      <c r="M706" s="1122"/>
    </row>
    <row r="707">
      <c r="G707" s="1122"/>
      <c r="H707" s="1122"/>
      <c r="I707" s="1122"/>
      <c r="K707" s="1122"/>
      <c r="M707" s="1122"/>
    </row>
    <row r="708">
      <c r="G708" s="1122"/>
      <c r="H708" s="1122"/>
      <c r="I708" s="1122"/>
      <c r="K708" s="1122"/>
      <c r="M708" s="1122"/>
    </row>
    <row r="709">
      <c r="G709" s="1122"/>
      <c r="H709" s="1122"/>
      <c r="I709" s="1122"/>
      <c r="K709" s="1122"/>
      <c r="M709" s="1122"/>
    </row>
    <row r="710">
      <c r="G710" s="1122"/>
      <c r="H710" s="1122"/>
      <c r="I710" s="1122"/>
      <c r="K710" s="1122"/>
      <c r="M710" s="1122"/>
    </row>
    <row r="711">
      <c r="G711" s="1122"/>
      <c r="H711" s="1122"/>
      <c r="I711" s="1122"/>
      <c r="K711" s="1122"/>
      <c r="M711" s="1122"/>
    </row>
    <row r="712">
      <c r="G712" s="1122"/>
      <c r="H712" s="1122"/>
      <c r="I712" s="1122"/>
      <c r="K712" s="1122"/>
      <c r="M712" s="1122"/>
    </row>
    <row r="713">
      <c r="G713" s="1122"/>
      <c r="H713" s="1122"/>
      <c r="I713" s="1122"/>
      <c r="K713" s="1122"/>
      <c r="M713" s="1122"/>
    </row>
    <row r="714">
      <c r="G714" s="1122"/>
      <c r="H714" s="1122"/>
      <c r="I714" s="1122"/>
      <c r="K714" s="1122"/>
      <c r="M714" s="1122"/>
    </row>
    <row r="715">
      <c r="G715" s="1122"/>
      <c r="H715" s="1122"/>
      <c r="I715" s="1122"/>
      <c r="K715" s="1122"/>
      <c r="M715" s="1122"/>
    </row>
    <row r="716">
      <c r="G716" s="1122"/>
      <c r="H716" s="1122"/>
      <c r="I716" s="1122"/>
      <c r="K716" s="1122"/>
      <c r="M716" s="1122"/>
    </row>
    <row r="717">
      <c r="G717" s="1122"/>
      <c r="H717" s="1122"/>
      <c r="I717" s="1122"/>
      <c r="K717" s="1122"/>
      <c r="M717" s="1122"/>
    </row>
    <row r="718">
      <c r="G718" s="1122"/>
      <c r="H718" s="1122"/>
      <c r="I718" s="1122"/>
      <c r="K718" s="1122"/>
      <c r="M718" s="1122"/>
    </row>
    <row r="719">
      <c r="G719" s="1122"/>
      <c r="H719" s="1122"/>
      <c r="I719" s="1122"/>
      <c r="K719" s="1122"/>
      <c r="M719" s="1122"/>
    </row>
    <row r="720">
      <c r="G720" s="1122"/>
      <c r="H720" s="1122"/>
      <c r="I720" s="1122"/>
      <c r="K720" s="1122"/>
      <c r="M720" s="1122"/>
    </row>
    <row r="721">
      <c r="G721" s="1122"/>
      <c r="H721" s="1122"/>
      <c r="I721" s="1122"/>
      <c r="K721" s="1122"/>
      <c r="M721" s="1122"/>
    </row>
    <row r="722">
      <c r="G722" s="1122"/>
      <c r="H722" s="1122"/>
      <c r="I722" s="1122"/>
      <c r="K722" s="1122"/>
      <c r="M722" s="1122"/>
    </row>
    <row r="723">
      <c r="G723" s="1122"/>
      <c r="H723" s="1122"/>
      <c r="I723" s="1122"/>
      <c r="K723" s="1122"/>
      <c r="M723" s="1122"/>
    </row>
    <row r="724">
      <c r="G724" s="1122"/>
      <c r="H724" s="1122"/>
      <c r="I724" s="1122"/>
      <c r="K724" s="1122"/>
      <c r="M724" s="1122"/>
    </row>
    <row r="725">
      <c r="G725" s="1122"/>
      <c r="H725" s="1122"/>
      <c r="I725" s="1122"/>
      <c r="K725" s="1122"/>
      <c r="M725" s="1122"/>
    </row>
    <row r="726">
      <c r="G726" s="1122"/>
      <c r="H726" s="1122"/>
      <c r="I726" s="1122"/>
      <c r="K726" s="1122"/>
      <c r="M726" s="1122"/>
    </row>
    <row r="727">
      <c r="G727" s="1122"/>
      <c r="H727" s="1122"/>
      <c r="I727" s="1122"/>
      <c r="K727" s="1122"/>
      <c r="M727" s="1122"/>
    </row>
    <row r="728">
      <c r="G728" s="1122"/>
      <c r="H728" s="1122"/>
      <c r="I728" s="1122"/>
      <c r="K728" s="1122"/>
      <c r="M728" s="1122"/>
    </row>
    <row r="729">
      <c r="G729" s="1122"/>
      <c r="H729" s="1122"/>
      <c r="I729" s="1122"/>
      <c r="K729" s="1122"/>
      <c r="M729" s="1122"/>
    </row>
    <row r="730">
      <c r="G730" s="1122"/>
      <c r="H730" s="1122"/>
      <c r="I730" s="1122"/>
      <c r="K730" s="1122"/>
      <c r="M730" s="1122"/>
    </row>
    <row r="731">
      <c r="G731" s="1122"/>
      <c r="H731" s="1122"/>
      <c r="I731" s="1122"/>
      <c r="K731" s="1122"/>
      <c r="M731" s="1122"/>
    </row>
    <row r="732">
      <c r="G732" s="1122"/>
      <c r="H732" s="1122"/>
      <c r="I732" s="1122"/>
      <c r="K732" s="1122"/>
      <c r="M732" s="1122"/>
    </row>
    <row r="733">
      <c r="G733" s="1122"/>
      <c r="H733" s="1122"/>
      <c r="I733" s="1122"/>
      <c r="K733" s="1122"/>
      <c r="M733" s="1122"/>
    </row>
    <row r="734">
      <c r="G734" s="1122"/>
      <c r="H734" s="1122"/>
      <c r="I734" s="1122"/>
      <c r="K734" s="1122"/>
      <c r="M734" s="1122"/>
    </row>
    <row r="735">
      <c r="G735" s="1122"/>
      <c r="H735" s="1122"/>
      <c r="I735" s="1122"/>
      <c r="K735" s="1122"/>
      <c r="M735" s="1122"/>
    </row>
    <row r="736">
      <c r="G736" s="1122"/>
      <c r="H736" s="1122"/>
      <c r="I736" s="1122"/>
      <c r="K736" s="1122"/>
      <c r="M736" s="1122"/>
    </row>
    <row r="737">
      <c r="G737" s="1122"/>
      <c r="H737" s="1122"/>
      <c r="I737" s="1122"/>
      <c r="K737" s="1122"/>
      <c r="M737" s="1122"/>
    </row>
    <row r="738">
      <c r="G738" s="1122"/>
      <c r="H738" s="1122"/>
      <c r="I738" s="1122"/>
      <c r="K738" s="1122"/>
      <c r="M738" s="1122"/>
    </row>
    <row r="739">
      <c r="G739" s="1122"/>
      <c r="H739" s="1122"/>
      <c r="I739" s="1122"/>
      <c r="K739" s="1122"/>
      <c r="M739" s="1122"/>
    </row>
    <row r="740">
      <c r="G740" s="1122"/>
      <c r="H740" s="1122"/>
      <c r="I740" s="1122"/>
      <c r="K740" s="1122"/>
      <c r="M740" s="1122"/>
    </row>
    <row r="741">
      <c r="G741" s="1122"/>
      <c r="H741" s="1122"/>
      <c r="I741" s="1122"/>
      <c r="K741" s="1122"/>
      <c r="M741" s="1122"/>
    </row>
    <row r="742">
      <c r="G742" s="1122"/>
      <c r="H742" s="1122"/>
      <c r="I742" s="1122"/>
      <c r="K742" s="1122"/>
      <c r="M742" s="1122"/>
    </row>
    <row r="743">
      <c r="G743" s="1122"/>
      <c r="H743" s="1122"/>
      <c r="I743" s="1122"/>
      <c r="K743" s="1122"/>
      <c r="M743" s="1122"/>
    </row>
    <row r="744">
      <c r="G744" s="1122"/>
      <c r="H744" s="1122"/>
      <c r="I744" s="1122"/>
      <c r="K744" s="1122"/>
      <c r="M744" s="1122"/>
    </row>
    <row r="745">
      <c r="G745" s="1122"/>
      <c r="H745" s="1122"/>
      <c r="I745" s="1122"/>
      <c r="K745" s="1122"/>
      <c r="M745" s="1122"/>
    </row>
    <row r="746">
      <c r="G746" s="1122"/>
      <c r="H746" s="1122"/>
      <c r="I746" s="1122"/>
      <c r="K746" s="1122"/>
      <c r="M746" s="1122"/>
    </row>
    <row r="747">
      <c r="G747" s="1122"/>
      <c r="H747" s="1122"/>
      <c r="I747" s="1122"/>
      <c r="K747" s="1122"/>
      <c r="M747" s="1122"/>
    </row>
    <row r="748">
      <c r="G748" s="1122"/>
      <c r="H748" s="1122"/>
      <c r="I748" s="1122"/>
      <c r="K748" s="1122"/>
      <c r="M748" s="1122"/>
    </row>
    <row r="749">
      <c r="G749" s="1122"/>
      <c r="H749" s="1122"/>
      <c r="I749" s="1122"/>
      <c r="K749" s="1122"/>
      <c r="M749" s="1122"/>
    </row>
    <row r="750">
      <c r="G750" s="1122"/>
      <c r="H750" s="1122"/>
      <c r="I750" s="1122"/>
      <c r="K750" s="1122"/>
      <c r="M750" s="1122"/>
    </row>
    <row r="751">
      <c r="G751" s="1122"/>
      <c r="H751" s="1122"/>
      <c r="I751" s="1122"/>
      <c r="K751" s="1122"/>
      <c r="M751" s="1122"/>
    </row>
    <row r="752">
      <c r="G752" s="1122"/>
      <c r="H752" s="1122"/>
      <c r="I752" s="1122"/>
      <c r="K752" s="1122"/>
      <c r="M752" s="1122"/>
    </row>
    <row r="753">
      <c r="G753" s="1122"/>
      <c r="H753" s="1122"/>
      <c r="I753" s="1122"/>
      <c r="K753" s="1122"/>
      <c r="M753" s="1122"/>
    </row>
    <row r="754">
      <c r="G754" s="1122"/>
      <c r="H754" s="1122"/>
      <c r="I754" s="1122"/>
      <c r="K754" s="1122"/>
      <c r="M754" s="1122"/>
    </row>
    <row r="755">
      <c r="G755" s="1122"/>
      <c r="H755" s="1122"/>
      <c r="I755" s="1122"/>
      <c r="K755" s="1122"/>
      <c r="M755" s="1122"/>
    </row>
    <row r="756">
      <c r="G756" s="1122"/>
      <c r="H756" s="1122"/>
      <c r="I756" s="1122"/>
      <c r="K756" s="1122"/>
      <c r="M756" s="1122"/>
    </row>
    <row r="757">
      <c r="G757" s="1122"/>
      <c r="H757" s="1122"/>
      <c r="I757" s="1122"/>
      <c r="K757" s="1122"/>
      <c r="M757" s="1122"/>
    </row>
    <row r="758">
      <c r="G758" s="1122"/>
      <c r="H758" s="1122"/>
      <c r="I758" s="1122"/>
      <c r="K758" s="1122"/>
      <c r="M758" s="1122"/>
    </row>
    <row r="759">
      <c r="G759" s="1122"/>
      <c r="H759" s="1122"/>
      <c r="I759" s="1122"/>
      <c r="K759" s="1122"/>
      <c r="M759" s="1122"/>
    </row>
    <row r="760">
      <c r="G760" s="1122"/>
      <c r="H760" s="1122"/>
      <c r="I760" s="1122"/>
      <c r="K760" s="1122"/>
      <c r="M760" s="1122"/>
    </row>
    <row r="761">
      <c r="G761" s="1122"/>
      <c r="H761" s="1122"/>
      <c r="I761" s="1122"/>
      <c r="K761" s="1122"/>
      <c r="M761" s="1122"/>
    </row>
    <row r="762">
      <c r="G762" s="1122"/>
      <c r="H762" s="1122"/>
      <c r="I762" s="1122"/>
      <c r="K762" s="1122"/>
      <c r="M762" s="1122"/>
    </row>
    <row r="763">
      <c r="G763" s="1122"/>
      <c r="H763" s="1122"/>
      <c r="I763" s="1122"/>
      <c r="K763" s="1122"/>
      <c r="M763" s="1122"/>
    </row>
    <row r="764">
      <c r="G764" s="1122"/>
      <c r="H764" s="1122"/>
      <c r="I764" s="1122"/>
      <c r="K764" s="1122"/>
      <c r="M764" s="1122"/>
    </row>
    <row r="765">
      <c r="G765" s="1122"/>
      <c r="H765" s="1122"/>
      <c r="I765" s="1122"/>
      <c r="K765" s="1122"/>
      <c r="M765" s="1122"/>
    </row>
    <row r="766">
      <c r="G766" s="1122"/>
      <c r="H766" s="1122"/>
      <c r="I766" s="1122"/>
      <c r="K766" s="1122"/>
      <c r="M766" s="1122"/>
    </row>
    <row r="767">
      <c r="G767" s="1122"/>
      <c r="H767" s="1122"/>
      <c r="I767" s="1122"/>
      <c r="K767" s="1122"/>
      <c r="M767" s="1122"/>
    </row>
    <row r="768">
      <c r="G768" s="1122"/>
      <c r="H768" s="1122"/>
      <c r="I768" s="1122"/>
      <c r="K768" s="1122"/>
      <c r="M768" s="1122"/>
    </row>
    <row r="769">
      <c r="G769" s="1122"/>
      <c r="H769" s="1122"/>
      <c r="I769" s="1122"/>
      <c r="K769" s="1122"/>
      <c r="M769" s="1122"/>
    </row>
    <row r="770">
      <c r="G770" s="1122"/>
      <c r="H770" s="1122"/>
      <c r="I770" s="1122"/>
      <c r="K770" s="1122"/>
      <c r="M770" s="1122"/>
    </row>
    <row r="771">
      <c r="G771" s="1122"/>
      <c r="H771" s="1122"/>
      <c r="I771" s="1122"/>
      <c r="K771" s="1122"/>
      <c r="M771" s="1122"/>
    </row>
    <row r="772">
      <c r="G772" s="1122"/>
      <c r="H772" s="1122"/>
      <c r="I772" s="1122"/>
      <c r="K772" s="1122"/>
      <c r="M772" s="1122"/>
    </row>
    <row r="773">
      <c r="G773" s="1122"/>
      <c r="H773" s="1122"/>
      <c r="I773" s="1122"/>
      <c r="K773" s="1122"/>
      <c r="M773" s="1122"/>
    </row>
    <row r="774">
      <c r="G774" s="1122"/>
      <c r="H774" s="1122"/>
      <c r="I774" s="1122"/>
      <c r="K774" s="1122"/>
      <c r="M774" s="1122"/>
    </row>
    <row r="775">
      <c r="G775" s="1122"/>
      <c r="H775" s="1122"/>
      <c r="I775" s="1122"/>
      <c r="K775" s="1122"/>
      <c r="M775" s="1122"/>
    </row>
    <row r="776">
      <c r="G776" s="1122"/>
      <c r="H776" s="1122"/>
      <c r="I776" s="1122"/>
      <c r="K776" s="1122"/>
      <c r="M776" s="1122"/>
    </row>
    <row r="777">
      <c r="G777" s="1122"/>
      <c r="H777" s="1122"/>
      <c r="I777" s="1122"/>
      <c r="K777" s="1122"/>
      <c r="M777" s="1122"/>
    </row>
    <row r="778">
      <c r="G778" s="1122"/>
      <c r="H778" s="1122"/>
      <c r="I778" s="1122"/>
      <c r="K778" s="1122"/>
      <c r="M778" s="1122"/>
    </row>
    <row r="779">
      <c r="G779" s="1122"/>
      <c r="H779" s="1122"/>
      <c r="I779" s="1122"/>
      <c r="K779" s="1122"/>
      <c r="M779" s="1122"/>
    </row>
    <row r="780">
      <c r="G780" s="1122"/>
      <c r="H780" s="1122"/>
      <c r="I780" s="1122"/>
      <c r="K780" s="1122"/>
      <c r="M780" s="1122"/>
    </row>
    <row r="781">
      <c r="G781" s="1122"/>
      <c r="H781" s="1122"/>
      <c r="I781" s="1122"/>
      <c r="K781" s="1122"/>
      <c r="M781" s="1122"/>
    </row>
    <row r="782">
      <c r="G782" s="1122"/>
      <c r="H782" s="1122"/>
      <c r="I782" s="1122"/>
      <c r="K782" s="1122"/>
      <c r="M782" s="1122"/>
    </row>
    <row r="783">
      <c r="G783" s="1122"/>
      <c r="H783" s="1122"/>
      <c r="I783" s="1122"/>
      <c r="K783" s="1122"/>
      <c r="M783" s="1122"/>
    </row>
    <row r="784">
      <c r="G784" s="1122"/>
      <c r="H784" s="1122"/>
      <c r="I784" s="1122"/>
      <c r="K784" s="1122"/>
      <c r="M784" s="1122"/>
    </row>
    <row r="785">
      <c r="G785" s="1122"/>
      <c r="H785" s="1122"/>
      <c r="I785" s="1122"/>
      <c r="K785" s="1122"/>
      <c r="M785" s="1122"/>
    </row>
    <row r="786">
      <c r="G786" s="1122"/>
      <c r="H786" s="1122"/>
      <c r="I786" s="1122"/>
      <c r="K786" s="1122"/>
      <c r="M786" s="1122"/>
    </row>
    <row r="787">
      <c r="G787" s="1122"/>
      <c r="H787" s="1122"/>
      <c r="I787" s="1122"/>
      <c r="K787" s="1122"/>
      <c r="M787" s="1122"/>
    </row>
    <row r="788">
      <c r="G788" s="1122"/>
      <c r="H788" s="1122"/>
      <c r="I788" s="1122"/>
      <c r="K788" s="1122"/>
      <c r="M788" s="1122"/>
    </row>
    <row r="789">
      <c r="G789" s="1122"/>
      <c r="H789" s="1122"/>
      <c r="I789" s="1122"/>
      <c r="K789" s="1122"/>
      <c r="M789" s="1122"/>
    </row>
    <row r="790">
      <c r="G790" s="1122"/>
      <c r="H790" s="1122"/>
      <c r="I790" s="1122"/>
      <c r="K790" s="1122"/>
      <c r="M790" s="1122"/>
    </row>
    <row r="791">
      <c r="G791" s="1122"/>
      <c r="H791" s="1122"/>
      <c r="I791" s="1122"/>
      <c r="K791" s="1122"/>
      <c r="M791" s="1122"/>
    </row>
    <row r="792">
      <c r="G792" s="1122"/>
      <c r="H792" s="1122"/>
      <c r="I792" s="1122"/>
      <c r="K792" s="1122"/>
      <c r="M792" s="1122"/>
    </row>
    <row r="793">
      <c r="G793" s="1122"/>
      <c r="H793" s="1122"/>
      <c r="I793" s="1122"/>
      <c r="K793" s="1122"/>
      <c r="M793" s="1122"/>
    </row>
    <row r="794">
      <c r="G794" s="1122"/>
      <c r="H794" s="1122"/>
      <c r="I794" s="1122"/>
      <c r="K794" s="1122"/>
      <c r="M794" s="1122"/>
    </row>
    <row r="795">
      <c r="G795" s="1122"/>
      <c r="H795" s="1122"/>
      <c r="I795" s="1122"/>
      <c r="K795" s="1122"/>
      <c r="M795" s="1122"/>
    </row>
    <row r="796">
      <c r="G796" s="1122"/>
      <c r="H796" s="1122"/>
      <c r="I796" s="1122"/>
      <c r="K796" s="1122"/>
      <c r="M796" s="1122"/>
    </row>
    <row r="797">
      <c r="G797" s="1122"/>
      <c r="H797" s="1122"/>
      <c r="I797" s="1122"/>
      <c r="K797" s="1122"/>
      <c r="M797" s="1122"/>
    </row>
    <row r="798">
      <c r="G798" s="1122"/>
      <c r="H798" s="1122"/>
      <c r="I798" s="1122"/>
      <c r="K798" s="1122"/>
      <c r="M798" s="1122"/>
    </row>
    <row r="799">
      <c r="G799" s="1122"/>
      <c r="H799" s="1122"/>
      <c r="I799" s="1122"/>
      <c r="K799" s="1122"/>
      <c r="M799" s="1122"/>
    </row>
    <row r="800">
      <c r="G800" s="1122"/>
      <c r="H800" s="1122"/>
      <c r="I800" s="1122"/>
      <c r="K800" s="1122"/>
      <c r="M800" s="1122"/>
    </row>
    <row r="801">
      <c r="G801" s="1122"/>
      <c r="H801" s="1122"/>
      <c r="I801" s="1122"/>
      <c r="K801" s="1122"/>
      <c r="M801" s="1122"/>
    </row>
    <row r="802">
      <c r="G802" s="1122"/>
      <c r="H802" s="1122"/>
      <c r="I802" s="1122"/>
      <c r="K802" s="1122"/>
      <c r="M802" s="1122"/>
    </row>
    <row r="803">
      <c r="G803" s="1122"/>
      <c r="H803" s="1122"/>
      <c r="I803" s="1122"/>
      <c r="K803" s="1122"/>
      <c r="M803" s="1122"/>
    </row>
    <row r="804">
      <c r="G804" s="1122"/>
      <c r="H804" s="1122"/>
      <c r="I804" s="1122"/>
      <c r="K804" s="1122"/>
      <c r="M804" s="1122"/>
    </row>
    <row r="805">
      <c r="G805" s="1122"/>
      <c r="H805" s="1122"/>
      <c r="I805" s="1122"/>
      <c r="K805" s="1122"/>
      <c r="M805" s="1122"/>
    </row>
    <row r="806">
      <c r="G806" s="1122"/>
      <c r="H806" s="1122"/>
      <c r="I806" s="1122"/>
      <c r="K806" s="1122"/>
      <c r="M806" s="1122"/>
    </row>
    <row r="807">
      <c r="G807" s="1122"/>
      <c r="H807" s="1122"/>
      <c r="I807" s="1122"/>
      <c r="K807" s="1122"/>
      <c r="M807" s="1122"/>
    </row>
    <row r="808">
      <c r="G808" s="1122"/>
      <c r="H808" s="1122"/>
      <c r="I808" s="1122"/>
      <c r="K808" s="1122"/>
      <c r="M808" s="1122"/>
    </row>
    <row r="809">
      <c r="G809" s="1122"/>
      <c r="H809" s="1122"/>
      <c r="I809" s="1122"/>
      <c r="K809" s="1122"/>
      <c r="M809" s="1122"/>
    </row>
    <row r="810">
      <c r="G810" s="1122"/>
      <c r="H810" s="1122"/>
      <c r="I810" s="1122"/>
      <c r="K810" s="1122"/>
      <c r="M810" s="1122"/>
    </row>
    <row r="811">
      <c r="G811" s="1122"/>
      <c r="H811" s="1122"/>
      <c r="I811" s="1122"/>
      <c r="K811" s="1122"/>
      <c r="M811" s="1122"/>
    </row>
    <row r="812">
      <c r="G812" s="1122"/>
      <c r="H812" s="1122"/>
      <c r="I812" s="1122"/>
      <c r="K812" s="1122"/>
      <c r="M812" s="1122"/>
    </row>
    <row r="813">
      <c r="G813" s="1122"/>
      <c r="H813" s="1122"/>
      <c r="I813" s="1122"/>
      <c r="K813" s="1122"/>
      <c r="M813" s="1122"/>
    </row>
    <row r="814">
      <c r="G814" s="1122"/>
      <c r="H814" s="1122"/>
      <c r="I814" s="1122"/>
      <c r="K814" s="1122"/>
      <c r="M814" s="1122"/>
    </row>
    <row r="815">
      <c r="G815" s="1122"/>
      <c r="H815" s="1122"/>
      <c r="I815" s="1122"/>
      <c r="K815" s="1122"/>
      <c r="M815" s="1122"/>
    </row>
    <row r="816">
      <c r="G816" s="1122"/>
      <c r="H816" s="1122"/>
      <c r="I816" s="1122"/>
      <c r="K816" s="1122"/>
      <c r="M816" s="1122"/>
    </row>
    <row r="817">
      <c r="G817" s="1122"/>
      <c r="H817" s="1122"/>
      <c r="I817" s="1122"/>
      <c r="K817" s="1122"/>
      <c r="M817" s="1122"/>
    </row>
    <row r="818">
      <c r="G818" s="1122"/>
      <c r="H818" s="1122"/>
      <c r="I818" s="1122"/>
      <c r="K818" s="1122"/>
      <c r="M818" s="1122"/>
    </row>
    <row r="819">
      <c r="G819" s="1122"/>
      <c r="H819" s="1122"/>
      <c r="I819" s="1122"/>
      <c r="K819" s="1122"/>
      <c r="M819" s="1122"/>
    </row>
    <row r="820">
      <c r="G820" s="1122"/>
      <c r="H820" s="1122"/>
      <c r="I820" s="1122"/>
      <c r="K820" s="1122"/>
      <c r="M820" s="1122"/>
    </row>
    <row r="821">
      <c r="G821" s="1122"/>
      <c r="H821" s="1122"/>
      <c r="I821" s="1122"/>
      <c r="K821" s="1122"/>
      <c r="M821" s="1122"/>
    </row>
    <row r="822">
      <c r="G822" s="1122"/>
      <c r="H822" s="1122"/>
      <c r="I822" s="1122"/>
      <c r="K822" s="1122"/>
      <c r="M822" s="1122"/>
    </row>
    <row r="823">
      <c r="G823" s="1122"/>
      <c r="H823" s="1122"/>
      <c r="I823" s="1122"/>
      <c r="K823" s="1122"/>
      <c r="M823" s="1122"/>
    </row>
    <row r="824">
      <c r="G824" s="1122"/>
      <c r="H824" s="1122"/>
      <c r="I824" s="1122"/>
      <c r="K824" s="1122"/>
      <c r="M824" s="1122"/>
    </row>
    <row r="825">
      <c r="G825" s="1122"/>
      <c r="H825" s="1122"/>
      <c r="I825" s="1122"/>
      <c r="K825" s="1122"/>
      <c r="M825" s="1122"/>
    </row>
    <row r="826">
      <c r="G826" s="1122"/>
      <c r="H826" s="1122"/>
      <c r="I826" s="1122"/>
      <c r="K826" s="1122"/>
      <c r="M826" s="1122"/>
    </row>
    <row r="827">
      <c r="G827" s="1122"/>
      <c r="H827" s="1122"/>
      <c r="I827" s="1122"/>
      <c r="K827" s="1122"/>
      <c r="M827" s="1122"/>
    </row>
    <row r="828">
      <c r="G828" s="1122"/>
      <c r="H828" s="1122"/>
      <c r="I828" s="1122"/>
      <c r="K828" s="1122"/>
      <c r="M828" s="1122"/>
    </row>
    <row r="829">
      <c r="G829" s="1122"/>
      <c r="H829" s="1122"/>
      <c r="I829" s="1122"/>
      <c r="K829" s="1122"/>
      <c r="M829" s="1122"/>
    </row>
    <row r="830">
      <c r="G830" s="1122"/>
      <c r="H830" s="1122"/>
      <c r="I830" s="1122"/>
      <c r="K830" s="1122"/>
      <c r="M830" s="1122"/>
    </row>
    <row r="831">
      <c r="G831" s="1122"/>
      <c r="H831" s="1122"/>
      <c r="I831" s="1122"/>
      <c r="K831" s="1122"/>
      <c r="M831" s="1122"/>
    </row>
    <row r="832">
      <c r="G832" s="1122"/>
      <c r="H832" s="1122"/>
      <c r="I832" s="1122"/>
      <c r="K832" s="1122"/>
      <c r="M832" s="1122"/>
    </row>
    <row r="833">
      <c r="G833" s="1122"/>
      <c r="H833" s="1122"/>
      <c r="I833" s="1122"/>
      <c r="K833" s="1122"/>
      <c r="M833" s="1122"/>
    </row>
    <row r="834">
      <c r="G834" s="1122"/>
      <c r="H834" s="1122"/>
      <c r="I834" s="1122"/>
      <c r="K834" s="1122"/>
      <c r="M834" s="1122"/>
    </row>
    <row r="835">
      <c r="G835" s="1122"/>
      <c r="H835" s="1122"/>
      <c r="I835" s="1122"/>
      <c r="K835" s="1122"/>
      <c r="M835" s="1122"/>
    </row>
    <row r="836">
      <c r="G836" s="1122"/>
      <c r="H836" s="1122"/>
      <c r="I836" s="1122"/>
      <c r="K836" s="1122"/>
      <c r="M836" s="1122"/>
    </row>
    <row r="837">
      <c r="G837" s="1122"/>
      <c r="H837" s="1122"/>
      <c r="I837" s="1122"/>
      <c r="K837" s="1122"/>
      <c r="M837" s="1122"/>
    </row>
    <row r="838">
      <c r="G838" s="1122"/>
      <c r="H838" s="1122"/>
      <c r="I838" s="1122"/>
      <c r="K838" s="1122"/>
      <c r="M838" s="1122"/>
    </row>
    <row r="839">
      <c r="G839" s="1122"/>
      <c r="H839" s="1122"/>
      <c r="I839" s="1122"/>
      <c r="K839" s="1122"/>
      <c r="M839" s="1122"/>
    </row>
    <row r="840">
      <c r="G840" s="1122"/>
      <c r="H840" s="1122"/>
      <c r="I840" s="1122"/>
      <c r="K840" s="1122"/>
      <c r="M840" s="1122"/>
    </row>
    <row r="841">
      <c r="G841" s="1122"/>
      <c r="H841" s="1122"/>
      <c r="I841" s="1122"/>
      <c r="K841" s="1122"/>
      <c r="M841" s="1122"/>
    </row>
    <row r="842">
      <c r="G842" s="1122"/>
      <c r="H842" s="1122"/>
      <c r="I842" s="1122"/>
      <c r="K842" s="1122"/>
      <c r="M842" s="1122"/>
    </row>
    <row r="843">
      <c r="G843" s="1122"/>
      <c r="H843" s="1122"/>
      <c r="I843" s="1122"/>
      <c r="K843" s="1122"/>
      <c r="M843" s="1122"/>
    </row>
    <row r="844">
      <c r="G844" s="1122"/>
      <c r="H844" s="1122"/>
      <c r="I844" s="1122"/>
      <c r="K844" s="1122"/>
      <c r="M844" s="1122"/>
    </row>
    <row r="845">
      <c r="G845" s="1122"/>
      <c r="H845" s="1122"/>
      <c r="I845" s="1122"/>
      <c r="K845" s="1122"/>
      <c r="M845" s="1122"/>
    </row>
    <row r="846">
      <c r="G846" s="1122"/>
      <c r="H846" s="1122"/>
      <c r="I846" s="1122"/>
      <c r="K846" s="1122"/>
      <c r="M846" s="1122"/>
    </row>
    <row r="847">
      <c r="G847" s="1122"/>
      <c r="H847" s="1122"/>
      <c r="I847" s="1122"/>
      <c r="K847" s="1122"/>
      <c r="M847" s="1122"/>
    </row>
    <row r="848">
      <c r="G848" s="1122"/>
      <c r="H848" s="1122"/>
      <c r="I848" s="1122"/>
      <c r="K848" s="1122"/>
      <c r="M848" s="1122"/>
    </row>
    <row r="849">
      <c r="G849" s="1122"/>
      <c r="H849" s="1122"/>
      <c r="I849" s="1122"/>
      <c r="K849" s="1122"/>
      <c r="M849" s="1122"/>
    </row>
    <row r="850">
      <c r="G850" s="1122"/>
      <c r="H850" s="1122"/>
      <c r="I850" s="1122"/>
      <c r="K850" s="1122"/>
      <c r="M850" s="1122"/>
    </row>
    <row r="851">
      <c r="G851" s="1122"/>
      <c r="H851" s="1122"/>
      <c r="I851" s="1122"/>
      <c r="K851" s="1122"/>
      <c r="M851" s="1122"/>
    </row>
    <row r="852">
      <c r="G852" s="1122"/>
      <c r="H852" s="1122"/>
      <c r="I852" s="1122"/>
      <c r="K852" s="1122"/>
      <c r="M852" s="1122"/>
    </row>
    <row r="853">
      <c r="G853" s="1122"/>
      <c r="H853" s="1122"/>
      <c r="I853" s="1122"/>
      <c r="K853" s="1122"/>
      <c r="M853" s="1122"/>
    </row>
    <row r="854">
      <c r="G854" s="1122"/>
      <c r="H854" s="1122"/>
      <c r="I854" s="1122"/>
      <c r="K854" s="1122"/>
      <c r="M854" s="1122"/>
    </row>
    <row r="855">
      <c r="G855" s="1122"/>
      <c r="H855" s="1122"/>
      <c r="I855" s="1122"/>
      <c r="K855" s="1122"/>
      <c r="M855" s="1122"/>
    </row>
    <row r="856">
      <c r="G856" s="1122"/>
      <c r="H856" s="1122"/>
      <c r="I856" s="1122"/>
      <c r="K856" s="1122"/>
      <c r="M856" s="1122"/>
    </row>
    <row r="857">
      <c r="G857" s="1122"/>
      <c r="H857" s="1122"/>
      <c r="I857" s="1122"/>
      <c r="K857" s="1122"/>
      <c r="M857" s="1122"/>
    </row>
    <row r="858">
      <c r="G858" s="1122"/>
      <c r="H858" s="1122"/>
      <c r="I858" s="1122"/>
      <c r="K858" s="1122"/>
      <c r="M858" s="1122"/>
    </row>
    <row r="859">
      <c r="G859" s="1122"/>
      <c r="H859" s="1122"/>
      <c r="I859" s="1122"/>
      <c r="K859" s="1122"/>
      <c r="M859" s="1122"/>
    </row>
    <row r="860">
      <c r="G860" s="1122"/>
      <c r="H860" s="1122"/>
      <c r="I860" s="1122"/>
      <c r="K860" s="1122"/>
      <c r="M860" s="1122"/>
    </row>
    <row r="861">
      <c r="G861" s="1122"/>
      <c r="H861" s="1122"/>
      <c r="I861" s="1122"/>
      <c r="K861" s="1122"/>
      <c r="M861" s="1122"/>
    </row>
    <row r="862">
      <c r="G862" s="1122"/>
      <c r="H862" s="1122"/>
      <c r="I862" s="1122"/>
      <c r="K862" s="1122"/>
      <c r="M862" s="1122"/>
    </row>
    <row r="863">
      <c r="G863" s="1122"/>
      <c r="H863" s="1122"/>
      <c r="I863" s="1122"/>
      <c r="K863" s="1122"/>
      <c r="M863" s="1122"/>
    </row>
    <row r="864">
      <c r="G864" s="1122"/>
      <c r="H864" s="1122"/>
      <c r="I864" s="1122"/>
      <c r="K864" s="1122"/>
      <c r="M864" s="1122"/>
    </row>
    <row r="865">
      <c r="G865" s="1122"/>
      <c r="H865" s="1122"/>
      <c r="I865" s="1122"/>
      <c r="K865" s="1122"/>
      <c r="M865" s="1122"/>
    </row>
    <row r="866">
      <c r="G866" s="1122"/>
      <c r="H866" s="1122"/>
      <c r="I866" s="1122"/>
      <c r="K866" s="1122"/>
      <c r="M866" s="1122"/>
    </row>
    <row r="867">
      <c r="G867" s="1122"/>
      <c r="H867" s="1122"/>
      <c r="I867" s="1122"/>
      <c r="K867" s="1122"/>
      <c r="M867" s="1122"/>
    </row>
    <row r="868">
      <c r="G868" s="1122"/>
      <c r="H868" s="1122"/>
      <c r="I868" s="1122"/>
      <c r="K868" s="1122"/>
      <c r="M868" s="1122"/>
    </row>
    <row r="869">
      <c r="G869" s="1122"/>
      <c r="H869" s="1122"/>
      <c r="I869" s="1122"/>
      <c r="K869" s="1122"/>
      <c r="M869" s="1122"/>
    </row>
    <row r="870">
      <c r="G870" s="1122"/>
      <c r="H870" s="1122"/>
      <c r="I870" s="1122"/>
      <c r="K870" s="1122"/>
      <c r="M870" s="1122"/>
    </row>
    <row r="871">
      <c r="G871" s="1122"/>
      <c r="H871" s="1122"/>
      <c r="I871" s="1122"/>
      <c r="K871" s="1122"/>
      <c r="M871" s="1122"/>
    </row>
    <row r="872">
      <c r="G872" s="1122"/>
      <c r="H872" s="1122"/>
      <c r="I872" s="1122"/>
      <c r="K872" s="1122"/>
      <c r="M872" s="1122"/>
    </row>
    <row r="873">
      <c r="G873" s="1122"/>
      <c r="H873" s="1122"/>
      <c r="I873" s="1122"/>
      <c r="K873" s="1122"/>
      <c r="M873" s="1122"/>
    </row>
    <row r="874">
      <c r="G874" s="1122"/>
      <c r="H874" s="1122"/>
      <c r="I874" s="1122"/>
      <c r="K874" s="1122"/>
      <c r="M874" s="1122"/>
    </row>
    <row r="875">
      <c r="G875" s="1122"/>
      <c r="H875" s="1122"/>
      <c r="I875" s="1122"/>
      <c r="K875" s="1122"/>
      <c r="M875" s="1122"/>
    </row>
    <row r="876">
      <c r="G876" s="1122"/>
      <c r="H876" s="1122"/>
      <c r="I876" s="1122"/>
      <c r="K876" s="1122"/>
      <c r="M876" s="1122"/>
    </row>
    <row r="877">
      <c r="G877" s="1122"/>
      <c r="H877" s="1122"/>
      <c r="I877" s="1122"/>
      <c r="K877" s="1122"/>
      <c r="M877" s="1122"/>
    </row>
    <row r="878">
      <c r="G878" s="1122"/>
      <c r="H878" s="1122"/>
      <c r="I878" s="1122"/>
      <c r="K878" s="1122"/>
      <c r="M878" s="1122"/>
    </row>
    <row r="879">
      <c r="G879" s="1122"/>
      <c r="H879" s="1122"/>
      <c r="I879" s="1122"/>
      <c r="K879" s="1122"/>
      <c r="M879" s="1122"/>
    </row>
    <row r="880">
      <c r="G880" s="1122"/>
      <c r="H880" s="1122"/>
      <c r="I880" s="1122"/>
      <c r="K880" s="1122"/>
      <c r="M880" s="1122"/>
    </row>
    <row r="881">
      <c r="G881" s="1122"/>
      <c r="H881" s="1122"/>
      <c r="I881" s="1122"/>
      <c r="K881" s="1122"/>
      <c r="M881" s="1122"/>
    </row>
    <row r="882">
      <c r="G882" s="1122"/>
      <c r="H882" s="1122"/>
      <c r="I882" s="1122"/>
      <c r="K882" s="1122"/>
      <c r="M882" s="1122"/>
    </row>
    <row r="883">
      <c r="G883" s="1122"/>
      <c r="H883" s="1122"/>
      <c r="I883" s="1122"/>
      <c r="K883" s="1122"/>
      <c r="M883" s="1122"/>
    </row>
    <row r="884">
      <c r="G884" s="1122"/>
      <c r="H884" s="1122"/>
      <c r="I884" s="1122"/>
      <c r="K884" s="1122"/>
      <c r="M884" s="1122"/>
    </row>
    <row r="885">
      <c r="G885" s="1122"/>
      <c r="H885" s="1122"/>
      <c r="I885" s="1122"/>
      <c r="K885" s="1122"/>
      <c r="M885" s="1122"/>
    </row>
    <row r="886">
      <c r="G886" s="1122"/>
      <c r="H886" s="1122"/>
      <c r="I886" s="1122"/>
      <c r="K886" s="1122"/>
      <c r="M886" s="1122"/>
    </row>
    <row r="887">
      <c r="G887" s="1122"/>
      <c r="H887" s="1122"/>
      <c r="I887" s="1122"/>
      <c r="K887" s="1122"/>
      <c r="M887" s="1122"/>
    </row>
    <row r="888">
      <c r="G888" s="1122"/>
      <c r="H888" s="1122"/>
      <c r="I888" s="1122"/>
      <c r="K888" s="1122"/>
      <c r="M888" s="1122"/>
    </row>
    <row r="889">
      <c r="G889" s="1122"/>
      <c r="H889" s="1122"/>
      <c r="I889" s="1122"/>
      <c r="K889" s="1122"/>
      <c r="M889" s="1122"/>
    </row>
    <row r="890">
      <c r="G890" s="1122"/>
      <c r="H890" s="1122"/>
      <c r="I890" s="1122"/>
      <c r="K890" s="1122"/>
      <c r="M890" s="1122"/>
    </row>
    <row r="891">
      <c r="G891" s="1122"/>
      <c r="H891" s="1122"/>
      <c r="I891" s="1122"/>
      <c r="K891" s="1122"/>
      <c r="M891" s="1122"/>
    </row>
    <row r="892">
      <c r="G892" s="1122"/>
      <c r="H892" s="1122"/>
      <c r="I892" s="1122"/>
      <c r="K892" s="1122"/>
      <c r="M892" s="1122"/>
    </row>
    <row r="893">
      <c r="G893" s="1122"/>
      <c r="H893" s="1122"/>
      <c r="I893" s="1122"/>
      <c r="K893" s="1122"/>
      <c r="M893" s="1122"/>
    </row>
    <row r="894">
      <c r="G894" s="1122"/>
      <c r="H894" s="1122"/>
      <c r="I894" s="1122"/>
      <c r="K894" s="1122"/>
      <c r="M894" s="1122"/>
    </row>
    <row r="895">
      <c r="G895" s="1122"/>
      <c r="H895" s="1122"/>
      <c r="I895" s="1122"/>
      <c r="K895" s="1122"/>
      <c r="M895" s="1122"/>
    </row>
    <row r="896">
      <c r="G896" s="1122"/>
      <c r="H896" s="1122"/>
      <c r="I896" s="1122"/>
      <c r="K896" s="1122"/>
      <c r="M896" s="1122"/>
    </row>
    <row r="897">
      <c r="G897" s="1122"/>
      <c r="H897" s="1122"/>
      <c r="I897" s="1122"/>
      <c r="K897" s="1122"/>
      <c r="M897" s="1122"/>
    </row>
    <row r="898">
      <c r="G898" s="1122"/>
      <c r="H898" s="1122"/>
      <c r="I898" s="1122"/>
      <c r="K898" s="1122"/>
      <c r="M898" s="1122"/>
    </row>
    <row r="899">
      <c r="G899" s="1122"/>
      <c r="H899" s="1122"/>
      <c r="I899" s="1122"/>
      <c r="K899" s="1122"/>
      <c r="M899" s="1122"/>
    </row>
    <row r="900">
      <c r="G900" s="1122"/>
      <c r="H900" s="1122"/>
      <c r="I900" s="1122"/>
      <c r="K900" s="1122"/>
      <c r="M900" s="1122"/>
    </row>
    <row r="901">
      <c r="G901" s="1122"/>
      <c r="H901" s="1122"/>
      <c r="I901" s="1122"/>
      <c r="K901" s="1122"/>
      <c r="M901" s="1122"/>
    </row>
    <row r="902">
      <c r="G902" s="1122"/>
      <c r="H902" s="1122"/>
      <c r="I902" s="1122"/>
      <c r="K902" s="1122"/>
      <c r="M902" s="1122"/>
    </row>
    <row r="903">
      <c r="G903" s="1122"/>
      <c r="H903" s="1122"/>
      <c r="I903" s="1122"/>
      <c r="K903" s="1122"/>
      <c r="M903" s="1122"/>
    </row>
    <row r="904">
      <c r="G904" s="1122"/>
      <c r="H904" s="1122"/>
      <c r="I904" s="1122"/>
      <c r="K904" s="1122"/>
      <c r="M904" s="1122"/>
    </row>
    <row r="905">
      <c r="G905" s="1122"/>
      <c r="H905" s="1122"/>
      <c r="I905" s="1122"/>
      <c r="K905" s="1122"/>
      <c r="M905" s="1122"/>
    </row>
    <row r="906">
      <c r="G906" s="1122"/>
      <c r="H906" s="1122"/>
      <c r="I906" s="1122"/>
      <c r="K906" s="1122"/>
      <c r="M906" s="1122"/>
    </row>
    <row r="907">
      <c r="G907" s="1122"/>
      <c r="H907" s="1122"/>
      <c r="I907" s="1122"/>
      <c r="K907" s="1122"/>
      <c r="M907" s="1122"/>
    </row>
    <row r="908">
      <c r="G908" s="1122"/>
      <c r="H908" s="1122"/>
      <c r="I908" s="1122"/>
      <c r="K908" s="1122"/>
      <c r="M908" s="1122"/>
    </row>
    <row r="909">
      <c r="G909" s="1122"/>
      <c r="H909" s="1122"/>
      <c r="I909" s="1122"/>
      <c r="K909" s="1122"/>
      <c r="M909" s="1122"/>
    </row>
    <row r="910">
      <c r="G910" s="1122"/>
      <c r="H910" s="1122"/>
      <c r="I910" s="1122"/>
      <c r="K910" s="1122"/>
      <c r="M910" s="1122"/>
    </row>
    <row r="911">
      <c r="G911" s="1122"/>
      <c r="H911" s="1122"/>
      <c r="I911" s="1122"/>
      <c r="K911" s="1122"/>
      <c r="M911" s="1122"/>
    </row>
    <row r="912">
      <c r="G912" s="1122"/>
      <c r="H912" s="1122"/>
      <c r="I912" s="1122"/>
      <c r="K912" s="1122"/>
      <c r="M912" s="1122"/>
    </row>
    <row r="913">
      <c r="G913" s="1122"/>
      <c r="H913" s="1122"/>
      <c r="I913" s="1122"/>
      <c r="K913" s="1122"/>
      <c r="M913" s="1122"/>
    </row>
    <row r="914">
      <c r="G914" s="1122"/>
      <c r="H914" s="1122"/>
      <c r="I914" s="1122"/>
      <c r="K914" s="1122"/>
      <c r="M914" s="1122"/>
    </row>
    <row r="915">
      <c r="G915" s="1122"/>
      <c r="H915" s="1122"/>
      <c r="I915" s="1122"/>
      <c r="K915" s="1122"/>
      <c r="M915" s="1122"/>
    </row>
    <row r="916">
      <c r="G916" s="1122"/>
      <c r="H916" s="1122"/>
      <c r="I916" s="1122"/>
      <c r="K916" s="1122"/>
      <c r="M916" s="1122"/>
    </row>
    <row r="917">
      <c r="G917" s="1122"/>
      <c r="H917" s="1122"/>
      <c r="I917" s="1122"/>
      <c r="K917" s="1122"/>
      <c r="M917" s="1122"/>
    </row>
    <row r="918">
      <c r="G918" s="1122"/>
      <c r="H918" s="1122"/>
      <c r="I918" s="1122"/>
      <c r="K918" s="1122"/>
      <c r="M918" s="1122"/>
    </row>
    <row r="919">
      <c r="G919" s="1122"/>
      <c r="H919" s="1122"/>
      <c r="I919" s="1122"/>
      <c r="K919" s="1122"/>
      <c r="M919" s="1122"/>
    </row>
    <row r="920">
      <c r="G920" s="1122"/>
      <c r="H920" s="1122"/>
      <c r="I920" s="1122"/>
      <c r="K920" s="1122"/>
      <c r="M920" s="1122"/>
    </row>
    <row r="921">
      <c r="G921" s="1122"/>
      <c r="H921" s="1122"/>
      <c r="I921" s="1122"/>
      <c r="K921" s="1122"/>
      <c r="M921" s="1122"/>
    </row>
    <row r="922">
      <c r="G922" s="1122"/>
      <c r="H922" s="1122"/>
      <c r="I922" s="1122"/>
      <c r="K922" s="1122"/>
      <c r="M922" s="1122"/>
    </row>
    <row r="923">
      <c r="G923" s="1122"/>
      <c r="H923" s="1122"/>
      <c r="I923" s="1122"/>
      <c r="K923" s="1122"/>
      <c r="M923" s="1122"/>
    </row>
    <row r="924">
      <c r="G924" s="1122"/>
      <c r="H924" s="1122"/>
      <c r="I924" s="1122"/>
      <c r="K924" s="1122"/>
      <c r="M924" s="1122"/>
    </row>
    <row r="925">
      <c r="G925" s="1122"/>
      <c r="H925" s="1122"/>
      <c r="I925" s="1122"/>
      <c r="K925" s="1122"/>
      <c r="M925" s="1122"/>
    </row>
    <row r="926">
      <c r="G926" s="1122"/>
      <c r="H926" s="1122"/>
      <c r="I926" s="1122"/>
      <c r="K926" s="1122"/>
      <c r="M926" s="1122"/>
    </row>
    <row r="927">
      <c r="G927" s="1122"/>
      <c r="H927" s="1122"/>
      <c r="I927" s="1122"/>
      <c r="K927" s="1122"/>
      <c r="M927" s="1122"/>
    </row>
    <row r="928">
      <c r="G928" s="1122"/>
      <c r="H928" s="1122"/>
      <c r="I928" s="1122"/>
      <c r="K928" s="1122"/>
      <c r="M928" s="1122"/>
    </row>
    <row r="929">
      <c r="G929" s="1122"/>
      <c r="H929" s="1122"/>
      <c r="I929" s="1122"/>
      <c r="K929" s="1122"/>
      <c r="M929" s="1122"/>
    </row>
    <row r="930">
      <c r="G930" s="1122"/>
      <c r="H930" s="1122"/>
      <c r="I930" s="1122"/>
      <c r="K930" s="1122"/>
      <c r="M930" s="1122"/>
    </row>
    <row r="931">
      <c r="G931" s="1122"/>
      <c r="H931" s="1122"/>
      <c r="I931" s="1122"/>
      <c r="K931" s="1122"/>
      <c r="M931" s="1122"/>
    </row>
    <row r="932">
      <c r="G932" s="1122"/>
      <c r="H932" s="1122"/>
      <c r="I932" s="1122"/>
      <c r="K932" s="1122"/>
      <c r="M932" s="1122"/>
    </row>
    <row r="933">
      <c r="G933" s="1122"/>
      <c r="H933" s="1122"/>
      <c r="I933" s="1122"/>
      <c r="K933" s="1122"/>
      <c r="M933" s="1122"/>
    </row>
    <row r="934">
      <c r="G934" s="1122"/>
      <c r="H934" s="1122"/>
      <c r="I934" s="1122"/>
      <c r="K934" s="1122"/>
      <c r="M934" s="1122"/>
    </row>
    <row r="935">
      <c r="G935" s="1122"/>
      <c r="H935" s="1122"/>
      <c r="I935" s="1122"/>
      <c r="K935" s="1122"/>
      <c r="M935" s="1122"/>
    </row>
    <row r="936">
      <c r="G936" s="1122"/>
      <c r="H936" s="1122"/>
      <c r="I936" s="1122"/>
      <c r="K936" s="1122"/>
      <c r="M936" s="1122"/>
    </row>
    <row r="937">
      <c r="G937" s="1122"/>
      <c r="H937" s="1122"/>
      <c r="I937" s="1122"/>
      <c r="K937" s="1122"/>
      <c r="M937" s="1122"/>
    </row>
    <row r="938">
      <c r="G938" s="1122"/>
      <c r="H938" s="1122"/>
      <c r="I938" s="1122"/>
      <c r="K938" s="1122"/>
      <c r="M938" s="1122"/>
    </row>
    <row r="939">
      <c r="G939" s="1122"/>
      <c r="H939" s="1122"/>
      <c r="I939" s="1122"/>
      <c r="K939" s="1122"/>
      <c r="M939" s="1122"/>
    </row>
    <row r="940">
      <c r="G940" s="1122"/>
      <c r="H940" s="1122"/>
      <c r="I940" s="1122"/>
      <c r="K940" s="1122"/>
      <c r="M940" s="1122"/>
    </row>
    <row r="941">
      <c r="G941" s="1122"/>
      <c r="H941" s="1122"/>
      <c r="I941" s="1122"/>
      <c r="K941" s="1122"/>
      <c r="M941" s="1122"/>
    </row>
    <row r="942">
      <c r="G942" s="1122"/>
      <c r="H942" s="1122"/>
      <c r="I942" s="1122"/>
      <c r="K942" s="1122"/>
      <c r="M942" s="1122"/>
    </row>
    <row r="943">
      <c r="G943" s="1122"/>
      <c r="H943" s="1122"/>
      <c r="I943" s="1122"/>
      <c r="K943" s="1122"/>
      <c r="M943" s="1122"/>
    </row>
    <row r="944">
      <c r="G944" s="1122"/>
      <c r="H944" s="1122"/>
      <c r="I944" s="1122"/>
      <c r="K944" s="1122"/>
      <c r="M944" s="1122"/>
    </row>
    <row r="945">
      <c r="G945" s="1122"/>
      <c r="H945" s="1122"/>
      <c r="I945" s="1122"/>
      <c r="K945" s="1122"/>
      <c r="M945" s="1122"/>
    </row>
    <row r="946">
      <c r="G946" s="1122"/>
      <c r="H946" s="1122"/>
      <c r="I946" s="1122"/>
      <c r="K946" s="1122"/>
      <c r="M946" s="1122"/>
    </row>
    <row r="947">
      <c r="G947" s="1122"/>
      <c r="H947" s="1122"/>
      <c r="I947" s="1122"/>
      <c r="K947" s="1122"/>
      <c r="M947" s="1122"/>
    </row>
    <row r="948">
      <c r="G948" s="1122"/>
      <c r="H948" s="1122"/>
      <c r="I948" s="1122"/>
      <c r="K948" s="1122"/>
      <c r="M948" s="1122"/>
    </row>
    <row r="949">
      <c r="G949" s="1122"/>
      <c r="H949" s="1122"/>
      <c r="I949" s="1122"/>
      <c r="K949" s="1122"/>
      <c r="M949" s="1122"/>
    </row>
    <row r="950">
      <c r="G950" s="1122"/>
      <c r="H950" s="1122"/>
      <c r="I950" s="1122"/>
      <c r="K950" s="1122"/>
      <c r="M950" s="1122"/>
    </row>
    <row r="951">
      <c r="G951" s="1122"/>
      <c r="H951" s="1122"/>
      <c r="I951" s="1122"/>
      <c r="K951" s="1122"/>
      <c r="M951" s="1122"/>
    </row>
    <row r="952">
      <c r="G952" s="1122"/>
      <c r="H952" s="1122"/>
      <c r="I952" s="1122"/>
      <c r="K952" s="1122"/>
      <c r="M952" s="1122"/>
    </row>
    <row r="953">
      <c r="G953" s="1122"/>
      <c r="H953" s="1122"/>
      <c r="I953" s="1122"/>
      <c r="K953" s="1122"/>
      <c r="M953" s="1122"/>
    </row>
    <row r="954">
      <c r="G954" s="1122"/>
      <c r="H954" s="1122"/>
      <c r="I954" s="1122"/>
      <c r="K954" s="1122"/>
      <c r="M954" s="1122"/>
    </row>
    <row r="955">
      <c r="G955" s="1122"/>
      <c r="H955" s="1122"/>
      <c r="I955" s="1122"/>
      <c r="K955" s="1122"/>
      <c r="M955" s="1122"/>
    </row>
    <row r="956">
      <c r="G956" s="1122"/>
      <c r="H956" s="1122"/>
      <c r="I956" s="1122"/>
      <c r="K956" s="1122"/>
      <c r="M956" s="1122"/>
    </row>
    <row r="957">
      <c r="G957" s="1122"/>
      <c r="H957" s="1122"/>
      <c r="I957" s="1122"/>
      <c r="K957" s="1122"/>
      <c r="M957" s="1122"/>
    </row>
    <row r="958">
      <c r="G958" s="1122"/>
      <c r="H958" s="1122"/>
      <c r="I958" s="1122"/>
      <c r="K958" s="1122"/>
      <c r="M958" s="1122"/>
    </row>
    <row r="959">
      <c r="G959" s="1122"/>
      <c r="H959" s="1122"/>
      <c r="I959" s="1122"/>
      <c r="K959" s="1122"/>
      <c r="M959" s="1122"/>
    </row>
    <row r="960">
      <c r="G960" s="1122"/>
      <c r="H960" s="1122"/>
      <c r="I960" s="1122"/>
      <c r="K960" s="1122"/>
      <c r="M960" s="1122"/>
    </row>
    <row r="961">
      <c r="G961" s="1122"/>
      <c r="H961" s="1122"/>
      <c r="I961" s="1122"/>
      <c r="K961" s="1122"/>
      <c r="M961" s="1122"/>
    </row>
    <row r="962">
      <c r="G962" s="1122"/>
      <c r="H962" s="1122"/>
      <c r="I962" s="1122"/>
      <c r="K962" s="1122"/>
      <c r="M962" s="1122"/>
    </row>
    <row r="963">
      <c r="G963" s="1122"/>
      <c r="H963" s="1122"/>
      <c r="I963" s="1122"/>
      <c r="K963" s="1122"/>
      <c r="M963" s="1122"/>
    </row>
    <row r="964">
      <c r="G964" s="1122"/>
      <c r="H964" s="1122"/>
      <c r="I964" s="1122"/>
      <c r="K964" s="1122"/>
      <c r="M964" s="1122"/>
    </row>
    <row r="965">
      <c r="G965" s="1122"/>
      <c r="H965" s="1122"/>
      <c r="I965" s="1122"/>
      <c r="K965" s="1122"/>
      <c r="M965" s="1122"/>
    </row>
    <row r="966">
      <c r="G966" s="1122"/>
      <c r="H966" s="1122"/>
      <c r="I966" s="1122"/>
      <c r="K966" s="1122"/>
      <c r="M966" s="1122"/>
    </row>
    <row r="967">
      <c r="G967" s="1122"/>
      <c r="H967" s="1122"/>
      <c r="I967" s="1122"/>
      <c r="K967" s="1122"/>
      <c r="M967" s="1122"/>
    </row>
    <row r="968">
      <c r="G968" s="1122"/>
      <c r="H968" s="1122"/>
      <c r="I968" s="1122"/>
      <c r="K968" s="1122"/>
      <c r="M968" s="1122"/>
    </row>
    <row r="969">
      <c r="G969" s="1122"/>
      <c r="H969" s="1122"/>
      <c r="I969" s="1122"/>
      <c r="K969" s="1122"/>
      <c r="M969" s="1122"/>
    </row>
    <row r="970">
      <c r="G970" s="1122"/>
      <c r="H970" s="1122"/>
      <c r="I970" s="1122"/>
      <c r="K970" s="1122"/>
      <c r="M970" s="1122"/>
    </row>
    <row r="971">
      <c r="G971" s="1122"/>
      <c r="H971" s="1122"/>
      <c r="I971" s="1122"/>
      <c r="K971" s="1122"/>
      <c r="M971" s="1122"/>
    </row>
    <row r="972">
      <c r="G972" s="1122"/>
      <c r="H972" s="1122"/>
      <c r="I972" s="1122"/>
      <c r="K972" s="1122"/>
      <c r="M972" s="1122"/>
    </row>
    <row r="973">
      <c r="G973" s="1122"/>
      <c r="H973" s="1122"/>
      <c r="I973" s="1122"/>
      <c r="K973" s="1122"/>
      <c r="M973" s="1122"/>
    </row>
    <row r="974">
      <c r="G974" s="1122"/>
      <c r="H974" s="1122"/>
      <c r="I974" s="1122"/>
      <c r="K974" s="1122"/>
      <c r="M974" s="1122"/>
    </row>
    <row r="975">
      <c r="G975" s="1122"/>
      <c r="H975" s="1122"/>
      <c r="I975" s="1122"/>
      <c r="K975" s="1122"/>
      <c r="M975" s="1122"/>
    </row>
    <row r="976">
      <c r="G976" s="1122"/>
      <c r="H976" s="1122"/>
      <c r="I976" s="1122"/>
      <c r="K976" s="1122"/>
      <c r="M976" s="1122"/>
    </row>
    <row r="977">
      <c r="G977" s="1122"/>
      <c r="H977" s="1122"/>
      <c r="I977" s="1122"/>
      <c r="K977" s="1122"/>
      <c r="M977" s="1122"/>
    </row>
    <row r="978">
      <c r="G978" s="1122"/>
      <c r="H978" s="1122"/>
      <c r="I978" s="1122"/>
      <c r="K978" s="1122"/>
      <c r="M978" s="1122"/>
    </row>
    <row r="979">
      <c r="G979" s="1122"/>
      <c r="H979" s="1122"/>
      <c r="I979" s="1122"/>
      <c r="K979" s="1122"/>
      <c r="M979" s="1122"/>
    </row>
    <row r="980">
      <c r="G980" s="1122"/>
      <c r="H980" s="1122"/>
      <c r="I980" s="1122"/>
      <c r="K980" s="1122"/>
      <c r="M980" s="1122"/>
    </row>
    <row r="981">
      <c r="G981" s="1122"/>
      <c r="H981" s="1122"/>
      <c r="I981" s="1122"/>
      <c r="K981" s="1122"/>
      <c r="M981" s="1122"/>
    </row>
    <row r="982">
      <c r="G982" s="1122"/>
      <c r="H982" s="1122"/>
      <c r="I982" s="1122"/>
      <c r="K982" s="1122"/>
      <c r="M982" s="1122"/>
    </row>
    <row r="983">
      <c r="G983" s="1122"/>
      <c r="H983" s="1122"/>
      <c r="I983" s="1122"/>
      <c r="K983" s="1122"/>
      <c r="M983" s="1122"/>
    </row>
    <row r="984">
      <c r="G984" s="1122"/>
      <c r="H984" s="1122"/>
      <c r="I984" s="1122"/>
      <c r="K984" s="1122"/>
      <c r="M984" s="1122"/>
    </row>
    <row r="985">
      <c r="G985" s="1122"/>
      <c r="H985" s="1122"/>
      <c r="I985" s="1122"/>
      <c r="K985" s="1122"/>
      <c r="M985" s="1122"/>
    </row>
    <row r="986">
      <c r="G986" s="1122"/>
      <c r="H986" s="1122"/>
      <c r="I986" s="1122"/>
      <c r="K986" s="1122"/>
      <c r="M986" s="1122"/>
    </row>
    <row r="987">
      <c r="G987" s="1122"/>
      <c r="H987" s="1122"/>
      <c r="I987" s="1122"/>
      <c r="K987" s="1122"/>
      <c r="M987" s="1122"/>
    </row>
    <row r="988">
      <c r="G988" s="1122"/>
      <c r="H988" s="1122"/>
      <c r="I988" s="1122"/>
      <c r="K988" s="1122"/>
      <c r="M988" s="1122"/>
    </row>
    <row r="989">
      <c r="G989" s="1122"/>
      <c r="H989" s="1122"/>
      <c r="I989" s="1122"/>
      <c r="K989" s="1122"/>
      <c r="M989" s="1122"/>
    </row>
    <row r="990">
      <c r="G990" s="1122"/>
      <c r="H990" s="1122"/>
      <c r="I990" s="1122"/>
      <c r="K990" s="1122"/>
      <c r="M990" s="1122"/>
    </row>
    <row r="991">
      <c r="G991" s="1122"/>
      <c r="H991" s="1122"/>
      <c r="I991" s="1122"/>
      <c r="K991" s="1122"/>
      <c r="M991" s="1122"/>
    </row>
    <row r="992">
      <c r="G992" s="1122"/>
      <c r="H992" s="1122"/>
      <c r="I992" s="1122"/>
      <c r="K992" s="1122"/>
      <c r="M992" s="1122"/>
    </row>
    <row r="993">
      <c r="G993" s="1122"/>
      <c r="H993" s="1122"/>
      <c r="I993" s="1122"/>
      <c r="K993" s="1122"/>
      <c r="M993" s="1122"/>
    </row>
    <row r="994">
      <c r="G994" s="1122"/>
      <c r="H994" s="1122"/>
      <c r="I994" s="1122"/>
      <c r="K994" s="1122"/>
      <c r="M994" s="1122"/>
    </row>
    <row r="995">
      <c r="G995" s="1122"/>
      <c r="H995" s="1122"/>
      <c r="I995" s="1122"/>
      <c r="K995" s="1122"/>
      <c r="M995" s="1122"/>
    </row>
    <row r="996">
      <c r="G996" s="1122"/>
      <c r="H996" s="1122"/>
      <c r="I996" s="1122"/>
      <c r="K996" s="1122"/>
      <c r="M996" s="1122"/>
    </row>
    <row r="997">
      <c r="G997" s="1122"/>
      <c r="H997" s="1122"/>
      <c r="I997" s="1122"/>
      <c r="K997" s="1122"/>
      <c r="M997" s="1122"/>
    </row>
    <row r="998">
      <c r="G998" s="1122"/>
      <c r="H998" s="1122"/>
      <c r="I998" s="1122"/>
      <c r="K998" s="1122"/>
      <c r="M998" s="1122"/>
    </row>
    <row r="999">
      <c r="G999" s="1122"/>
      <c r="H999" s="1122"/>
      <c r="I999" s="1122"/>
      <c r="K999" s="1122"/>
      <c r="M999" s="1122"/>
    </row>
    <row r="1000">
      <c r="G1000" s="1122"/>
      <c r="H1000" s="1122"/>
      <c r="I1000" s="1122"/>
      <c r="K1000" s="1122"/>
      <c r="M1000" s="1122"/>
    </row>
    <row r="1001">
      <c r="G1001" s="1122"/>
      <c r="H1001" s="1122"/>
      <c r="I1001" s="1122"/>
      <c r="K1001" s="1122"/>
      <c r="M1001" s="1122"/>
    </row>
    <row r="1002">
      <c r="G1002" s="1122"/>
      <c r="H1002" s="1122"/>
      <c r="I1002" s="1122"/>
      <c r="K1002" s="1122"/>
      <c r="M1002" s="1122"/>
    </row>
    <row r="1003">
      <c r="G1003" s="1122"/>
      <c r="H1003" s="1122"/>
      <c r="I1003" s="1122"/>
      <c r="K1003" s="1122"/>
      <c r="M1003" s="1122"/>
    </row>
    <row r="1004">
      <c r="G1004" s="1122"/>
      <c r="H1004" s="1122"/>
      <c r="I1004" s="1122"/>
      <c r="K1004" s="1122"/>
      <c r="M1004" s="1122"/>
    </row>
    <row r="1005">
      <c r="G1005" s="1122"/>
      <c r="H1005" s="1122"/>
      <c r="I1005" s="1122"/>
      <c r="K1005" s="1122"/>
      <c r="M1005" s="1122"/>
    </row>
    <row r="1006">
      <c r="G1006" s="1122"/>
      <c r="H1006" s="1122"/>
      <c r="I1006" s="1122"/>
      <c r="K1006" s="1122"/>
      <c r="M1006" s="1122"/>
    </row>
    <row r="1007">
      <c r="G1007" s="1122"/>
      <c r="H1007" s="1122"/>
      <c r="I1007" s="1122"/>
      <c r="K1007" s="1122"/>
      <c r="M1007" s="1122"/>
    </row>
    <row r="1008">
      <c r="G1008" s="1122"/>
      <c r="H1008" s="1122"/>
      <c r="I1008" s="1122"/>
      <c r="K1008" s="1122"/>
      <c r="M1008" s="112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9.29"/>
    <col customWidth="1" min="2" max="2" width="13.43"/>
    <col customWidth="1" min="3" max="3" width="9.29"/>
    <col customWidth="1" min="4" max="4" width="35.29"/>
    <col customWidth="1" min="5" max="5" width="11.57"/>
    <col customWidth="1" min="6" max="6" width="11.29"/>
    <col customWidth="1" min="7" max="7" width="10.57"/>
    <col customWidth="1" min="8" max="9" width="10.43"/>
    <col customWidth="1" min="10" max="10" width="12.71"/>
    <col customWidth="1" min="11" max="11" width="12.29"/>
    <col customWidth="1" min="12" max="12" width="14.71"/>
    <col customWidth="1" min="13" max="13" width="13.29"/>
    <col customWidth="1" min="14" max="14" width="13.71"/>
    <col customWidth="1" min="15" max="15" width="13.43"/>
    <col customWidth="1" min="16" max="16" width="12.57"/>
    <col customWidth="1" min="17" max="19" width="10.71"/>
    <col customWidth="1" min="20" max="20" width="63.71"/>
    <col customWidth="1" min="21" max="21" width="10.71"/>
    <col customWidth="1" min="22" max="22" width="10.29"/>
    <col customWidth="1" min="24" max="24" width="10.29"/>
    <col customWidth="1" min="25" max="25" width="13.71"/>
    <col customWidth="1" min="26" max="29" width="8.71"/>
  </cols>
  <sheetData>
    <row r="1">
      <c r="A1" s="1123" t="s">
        <v>15039</v>
      </c>
      <c r="B1" s="1124" t="s">
        <v>2810</v>
      </c>
      <c r="C1" s="1125" t="s">
        <v>15040</v>
      </c>
      <c r="D1" s="1126" t="s">
        <v>15041</v>
      </c>
      <c r="E1" s="1127"/>
      <c r="F1" s="1127"/>
      <c r="G1" s="1127"/>
      <c r="H1" s="1128"/>
      <c r="I1" s="1128"/>
      <c r="J1" s="1129" t="s">
        <v>15042</v>
      </c>
      <c r="K1" s="1128"/>
      <c r="L1" s="1129" t="s">
        <v>15043</v>
      </c>
      <c r="M1" s="1127"/>
      <c r="N1" s="1129" t="s">
        <v>15044</v>
      </c>
      <c r="O1" s="1127"/>
      <c r="P1" s="1129" t="s">
        <v>15045</v>
      </c>
      <c r="Q1" s="1130"/>
      <c r="R1" s="1130"/>
      <c r="S1" s="1130"/>
      <c r="T1" s="1130"/>
      <c r="U1" s="1130"/>
      <c r="V1" s="1130"/>
      <c r="W1" s="1130"/>
      <c r="X1" s="1130"/>
      <c r="Y1" s="1130"/>
      <c r="Z1" s="1130"/>
      <c r="AA1" s="1130"/>
      <c r="AB1" s="1130"/>
      <c r="AC1" s="1130"/>
    </row>
    <row r="2">
      <c r="A2" s="943"/>
      <c r="B2" s="153"/>
      <c r="C2" s="153"/>
      <c r="D2" s="1126"/>
      <c r="E2" s="1131" t="s">
        <v>15046</v>
      </c>
      <c r="F2" s="1131" t="s">
        <v>15047</v>
      </c>
      <c r="G2" s="1132" t="s">
        <v>15048</v>
      </c>
      <c r="H2" s="1133" t="s">
        <v>15049</v>
      </c>
      <c r="I2" s="1134" t="s">
        <v>15050</v>
      </c>
      <c r="J2" s="1135" t="s">
        <v>15051</v>
      </c>
      <c r="K2" s="1136" t="s">
        <v>15052</v>
      </c>
      <c r="L2" s="1137" t="s">
        <v>15053</v>
      </c>
      <c r="M2" s="1136" t="s">
        <v>15054</v>
      </c>
      <c r="N2" s="1135" t="s">
        <v>15055</v>
      </c>
      <c r="O2" s="1136" t="s">
        <v>15056</v>
      </c>
      <c r="P2" s="1135" t="s">
        <v>15057</v>
      </c>
      <c r="Q2" s="1138">
        <v>0.005</v>
      </c>
      <c r="R2" s="1139" t="s">
        <v>15058</v>
      </c>
      <c r="S2" s="1139" t="s">
        <v>15059</v>
      </c>
      <c r="T2" s="1139" t="s">
        <v>15060</v>
      </c>
      <c r="U2" s="1130"/>
      <c r="V2" s="1130"/>
      <c r="W2" s="1130"/>
      <c r="X2" s="1130"/>
      <c r="Y2" s="1130"/>
      <c r="Z2" s="1130"/>
      <c r="AA2" s="1130"/>
      <c r="AB2" s="1130"/>
      <c r="AC2" s="1130"/>
    </row>
    <row r="3" ht="16.5" customHeight="1">
      <c r="A3" s="943"/>
      <c r="B3" s="1140" t="s">
        <v>2392</v>
      </c>
      <c r="C3" s="1141" t="s">
        <v>15061</v>
      </c>
      <c r="D3" s="1140" t="s">
        <v>15062</v>
      </c>
      <c r="E3" s="1142">
        <v>325000.0</v>
      </c>
      <c r="F3" s="1142">
        <f t="shared" ref="F3:F43" si="1">E3*1.11</f>
        <v>360750</v>
      </c>
      <c r="G3" s="1143">
        <f t="shared" ref="G3:G10" si="2">(F3*1.1)+15000</f>
        <v>411825</v>
      </c>
      <c r="H3" s="1142">
        <f t="shared" ref="H3:H6" si="3">G3* 1.3</f>
        <v>535372.5</v>
      </c>
      <c r="I3" s="1144">
        <v>536000.0</v>
      </c>
      <c r="J3" s="1145">
        <v>516000.0</v>
      </c>
      <c r="K3" s="1142">
        <f t="shared" ref="K3:K6" si="4">G3*1.542</f>
        <v>635034.15</v>
      </c>
      <c r="L3" s="1145">
        <v>612000.0</v>
      </c>
      <c r="M3" s="1142">
        <f>G3*1.801</f>
        <v>741696.825</v>
      </c>
      <c r="N3" s="1145">
        <v>715000.0</v>
      </c>
      <c r="O3" s="1146">
        <f>G3*1.96</f>
        <v>807177</v>
      </c>
      <c r="P3" s="1145">
        <v>778000.0</v>
      </c>
      <c r="Q3" s="1147">
        <f t="shared" ref="Q3:Q10" si="5">P3*1.05</f>
        <v>816900</v>
      </c>
      <c r="R3" s="1147">
        <v>817000.0</v>
      </c>
      <c r="S3" s="1148">
        <v>855000.0</v>
      </c>
      <c r="T3" s="1149">
        <f t="shared" ref="T3:T10" si="6">R3-P3</f>
        <v>39000</v>
      </c>
      <c r="U3" s="1150"/>
      <c r="V3" s="1150"/>
      <c r="W3" s="1130"/>
      <c r="X3" s="1150"/>
      <c r="Y3" s="1130"/>
      <c r="Z3" s="1130"/>
      <c r="AA3" s="1130"/>
      <c r="AB3" s="1130"/>
      <c r="AC3" s="1130"/>
    </row>
    <row r="4">
      <c r="A4" s="943"/>
      <c r="B4" s="1140" t="s">
        <v>15063</v>
      </c>
      <c r="C4" s="1141" t="s">
        <v>15064</v>
      </c>
      <c r="D4" s="1140" t="s">
        <v>15065</v>
      </c>
      <c r="E4" s="1142">
        <v>325000.0</v>
      </c>
      <c r="F4" s="1142">
        <f t="shared" si="1"/>
        <v>360750</v>
      </c>
      <c r="G4" s="1143">
        <f t="shared" si="2"/>
        <v>411825</v>
      </c>
      <c r="H4" s="1142">
        <f t="shared" si="3"/>
        <v>535372.5</v>
      </c>
      <c r="I4" s="1144">
        <v>536000.0</v>
      </c>
      <c r="J4" s="1145">
        <v>516000.0</v>
      </c>
      <c r="K4" s="1142">
        <f t="shared" si="4"/>
        <v>635034.15</v>
      </c>
      <c r="L4" s="1145">
        <v>612000.0</v>
      </c>
      <c r="M4" s="1142">
        <f t="shared" ref="M4:M6" si="7">G4*1.66</f>
        <v>683629.5</v>
      </c>
      <c r="N4" s="1145">
        <v>659000.0</v>
      </c>
      <c r="O4" s="1146">
        <f t="shared" ref="O4:O6" si="8">G4*1.731</f>
        <v>712869.075</v>
      </c>
      <c r="P4" s="1145">
        <v>687000.0</v>
      </c>
      <c r="Q4" s="1147">
        <f t="shared" si="5"/>
        <v>721350</v>
      </c>
      <c r="R4" s="1147">
        <v>70.0</v>
      </c>
      <c r="S4" s="1148">
        <v>758000.0</v>
      </c>
      <c r="T4" s="1149">
        <f t="shared" si="6"/>
        <v>-686930</v>
      </c>
      <c r="U4" s="1150"/>
      <c r="V4" s="1150"/>
      <c r="W4" s="1130"/>
      <c r="X4" s="1150"/>
      <c r="Y4" s="1130"/>
      <c r="Z4" s="1130"/>
      <c r="AA4" s="1130"/>
      <c r="AB4" s="1130"/>
      <c r="AC4" s="1130"/>
    </row>
    <row r="5">
      <c r="A5" s="943"/>
      <c r="B5" s="1140" t="s">
        <v>15063</v>
      </c>
      <c r="C5" s="1141" t="s">
        <v>15066</v>
      </c>
      <c r="D5" s="1140" t="s">
        <v>15067</v>
      </c>
      <c r="E5" s="1142">
        <v>325000.0</v>
      </c>
      <c r="F5" s="1142">
        <f t="shared" si="1"/>
        <v>360750</v>
      </c>
      <c r="G5" s="1143">
        <f t="shared" si="2"/>
        <v>411825</v>
      </c>
      <c r="H5" s="1142">
        <f t="shared" si="3"/>
        <v>535372.5</v>
      </c>
      <c r="I5" s="1144">
        <v>536000.0</v>
      </c>
      <c r="J5" s="1145">
        <v>516000.0</v>
      </c>
      <c r="K5" s="1142">
        <f t="shared" si="4"/>
        <v>635034.15</v>
      </c>
      <c r="L5" s="1145">
        <v>612000.0</v>
      </c>
      <c r="M5" s="1142">
        <f t="shared" si="7"/>
        <v>683629.5</v>
      </c>
      <c r="N5" s="1145">
        <v>659000.0</v>
      </c>
      <c r="O5" s="1146">
        <f t="shared" si="8"/>
        <v>712869.075</v>
      </c>
      <c r="P5" s="1145">
        <v>687000.0</v>
      </c>
      <c r="Q5" s="1147">
        <f t="shared" si="5"/>
        <v>721350</v>
      </c>
      <c r="R5" s="1147">
        <v>729000.0</v>
      </c>
      <c r="S5" s="1148">
        <v>758000.0</v>
      </c>
      <c r="T5" s="1149">
        <f t="shared" si="6"/>
        <v>42000</v>
      </c>
      <c r="U5" s="1150"/>
      <c r="V5" s="1150"/>
      <c r="W5" s="1130"/>
      <c r="X5" s="1130"/>
      <c r="Y5" s="1130"/>
      <c r="Z5" s="1130"/>
      <c r="AA5" s="1130"/>
      <c r="AB5" s="1130"/>
      <c r="AC5" s="1130"/>
    </row>
    <row r="6">
      <c r="A6" s="943"/>
      <c r="B6" s="1140" t="s">
        <v>15063</v>
      </c>
      <c r="C6" s="1141" t="s">
        <v>15068</v>
      </c>
      <c r="D6" s="1140" t="s">
        <v>15069</v>
      </c>
      <c r="E6" s="1142">
        <v>325000.0</v>
      </c>
      <c r="F6" s="1142">
        <f t="shared" si="1"/>
        <v>360750</v>
      </c>
      <c r="G6" s="1143">
        <f t="shared" si="2"/>
        <v>411825</v>
      </c>
      <c r="H6" s="1142">
        <f t="shared" si="3"/>
        <v>535372.5</v>
      </c>
      <c r="I6" s="1144">
        <v>536000.0</v>
      </c>
      <c r="J6" s="1145">
        <v>516000.0</v>
      </c>
      <c r="K6" s="1142">
        <f t="shared" si="4"/>
        <v>635034.15</v>
      </c>
      <c r="L6" s="1145">
        <v>612000.0</v>
      </c>
      <c r="M6" s="1142">
        <f t="shared" si="7"/>
        <v>683629.5</v>
      </c>
      <c r="N6" s="1145">
        <v>659000.0</v>
      </c>
      <c r="O6" s="1146">
        <f t="shared" si="8"/>
        <v>712869.075</v>
      </c>
      <c r="P6" s="1145">
        <v>687000.0</v>
      </c>
      <c r="Q6" s="1147">
        <f t="shared" si="5"/>
        <v>721350</v>
      </c>
      <c r="R6" s="1147">
        <v>729000.0</v>
      </c>
      <c r="S6" s="1148">
        <v>758000.0</v>
      </c>
      <c r="T6" s="1149">
        <f t="shared" si="6"/>
        <v>42000</v>
      </c>
      <c r="U6" s="1150"/>
      <c r="V6" s="1150"/>
      <c r="W6" s="1130"/>
      <c r="X6" s="1130"/>
      <c r="Y6" s="1130"/>
      <c r="Z6" s="1130"/>
      <c r="AA6" s="1130"/>
      <c r="AB6" s="1130"/>
      <c r="AC6" s="1130"/>
    </row>
    <row r="7" ht="16.5" customHeight="1">
      <c r="A7" s="943"/>
      <c r="B7" s="1140" t="s">
        <v>15063</v>
      </c>
      <c r="C7" s="1151" t="s">
        <v>15070</v>
      </c>
      <c r="D7" s="1140" t="s">
        <v>15071</v>
      </c>
      <c r="E7" s="1142">
        <v>495000.0</v>
      </c>
      <c r="F7" s="1142">
        <f t="shared" si="1"/>
        <v>549450</v>
      </c>
      <c r="G7" s="1143">
        <f t="shared" si="2"/>
        <v>619395</v>
      </c>
      <c r="H7" s="1142">
        <f>G7* 1.32</f>
        <v>817601.4</v>
      </c>
      <c r="I7" s="1144">
        <v>818000.0</v>
      </c>
      <c r="J7" s="1145">
        <v>798000.0</v>
      </c>
      <c r="K7" s="1142">
        <f>G7*1.555</f>
        <v>963159.225</v>
      </c>
      <c r="L7" s="1145">
        <v>940000.0</v>
      </c>
      <c r="M7" s="1142">
        <f>G7*1.737</f>
        <v>1075889.115</v>
      </c>
      <c r="N7" s="1145">
        <v>1050000.0</v>
      </c>
      <c r="O7" s="1146">
        <f>G7*1.8</f>
        <v>1114911</v>
      </c>
      <c r="P7" s="1145">
        <v>1088000.0</v>
      </c>
      <c r="Q7" s="1147">
        <f t="shared" si="5"/>
        <v>1142400</v>
      </c>
      <c r="R7" s="1147">
        <v>1154000.0</v>
      </c>
      <c r="S7" s="1148">
        <v>1190000.0</v>
      </c>
      <c r="T7" s="1149">
        <f t="shared" si="6"/>
        <v>66000</v>
      </c>
      <c r="U7" s="1150"/>
      <c r="V7" s="1150"/>
      <c r="W7" s="1130"/>
      <c r="X7" s="1130"/>
      <c r="Y7" s="1130"/>
      <c r="Z7" s="1130"/>
      <c r="AA7" s="1130"/>
      <c r="AB7" s="1130"/>
      <c r="AC7" s="1130"/>
    </row>
    <row r="8">
      <c r="A8" s="943"/>
      <c r="B8" s="1140" t="s">
        <v>15063</v>
      </c>
      <c r="C8" s="1140" t="s">
        <v>15072</v>
      </c>
      <c r="D8" s="1140" t="s">
        <v>15073</v>
      </c>
      <c r="E8" s="1142">
        <v>277000.0</v>
      </c>
      <c r="F8" s="1142">
        <f t="shared" si="1"/>
        <v>307470</v>
      </c>
      <c r="G8" s="1143">
        <f t="shared" si="2"/>
        <v>353217</v>
      </c>
      <c r="H8" s="1142">
        <f>G8* 1.433</f>
        <v>506159.961</v>
      </c>
      <c r="I8" s="1144">
        <v>507000.0</v>
      </c>
      <c r="J8" s="1145">
        <v>485000.0</v>
      </c>
      <c r="K8" s="1142">
        <f>G8*1.75</f>
        <v>618129.75</v>
      </c>
      <c r="L8" s="1145">
        <v>592000.0</v>
      </c>
      <c r="M8" s="1142">
        <f>G8*1.821</f>
        <v>643208.157</v>
      </c>
      <c r="N8" s="1145">
        <v>616000.0</v>
      </c>
      <c r="O8" s="1146">
        <f>G8*1.889</f>
        <v>667226.913</v>
      </c>
      <c r="P8" s="1145">
        <v>639000.0</v>
      </c>
      <c r="Q8" s="1147">
        <f t="shared" si="5"/>
        <v>670950</v>
      </c>
      <c r="R8" s="1147">
        <v>678000.0</v>
      </c>
      <c r="S8" s="1148">
        <v>700000.0</v>
      </c>
      <c r="T8" s="1149">
        <f t="shared" si="6"/>
        <v>39000</v>
      </c>
      <c r="U8" s="1150"/>
      <c r="V8" s="1150"/>
      <c r="W8" s="1130"/>
      <c r="X8" s="1130"/>
      <c r="Y8" s="1130"/>
      <c r="Z8" s="1130"/>
      <c r="AA8" s="1130"/>
      <c r="AB8" s="1130"/>
      <c r="AC8" s="1130"/>
    </row>
    <row r="9">
      <c r="A9" s="943"/>
      <c r="B9" s="1140" t="s">
        <v>15063</v>
      </c>
      <c r="C9" s="1140" t="s">
        <v>15074</v>
      </c>
      <c r="D9" s="1140" t="s">
        <v>15075</v>
      </c>
      <c r="E9" s="1142">
        <v>368000.0</v>
      </c>
      <c r="F9" s="1142">
        <f t="shared" si="1"/>
        <v>408480</v>
      </c>
      <c r="G9" s="1143">
        <f t="shared" si="2"/>
        <v>464328</v>
      </c>
      <c r="H9" s="1142">
        <f>G9* 1.25</f>
        <v>580410</v>
      </c>
      <c r="I9" s="1144">
        <v>581000.0</v>
      </c>
      <c r="J9" s="1145">
        <v>562000.0</v>
      </c>
      <c r="K9" s="1142">
        <f>G9*1.5</f>
        <v>696492</v>
      </c>
      <c r="L9" s="1145">
        <v>674000.0</v>
      </c>
      <c r="M9" s="1142">
        <f>G9*1.751</f>
        <v>813038.328</v>
      </c>
      <c r="N9" s="1145">
        <v>787000.0</v>
      </c>
      <c r="O9" s="1146">
        <f>G9*1.856</f>
        <v>861792.768</v>
      </c>
      <c r="P9" s="1145">
        <v>834000.0</v>
      </c>
      <c r="Q9" s="1147">
        <f t="shared" si="5"/>
        <v>875700</v>
      </c>
      <c r="R9" s="1147">
        <v>885000.0</v>
      </c>
      <c r="S9" s="1148">
        <v>919000.0</v>
      </c>
      <c r="T9" s="1149">
        <f t="shared" si="6"/>
        <v>51000</v>
      </c>
      <c r="U9" s="1150"/>
      <c r="V9" s="1150"/>
      <c r="W9" s="1130"/>
      <c r="X9" s="1130"/>
      <c r="Y9" s="1130"/>
      <c r="Z9" s="1130"/>
      <c r="AA9" s="1130"/>
      <c r="AB9" s="1130"/>
      <c r="AC9" s="1130"/>
    </row>
    <row r="10">
      <c r="A10" s="943"/>
      <c r="B10" s="1140" t="s">
        <v>15063</v>
      </c>
      <c r="C10" s="1140" t="s">
        <v>15076</v>
      </c>
      <c r="D10" s="1140" t="s">
        <v>15077</v>
      </c>
      <c r="E10" s="1142">
        <v>398000.0</v>
      </c>
      <c r="F10" s="1142">
        <f t="shared" si="1"/>
        <v>441780</v>
      </c>
      <c r="G10" s="1143">
        <f t="shared" si="2"/>
        <v>500958</v>
      </c>
      <c r="H10" s="1142">
        <f>G10* 1.306</f>
        <v>654251.148</v>
      </c>
      <c r="I10" s="1144">
        <v>655000.0</v>
      </c>
      <c r="J10" s="1145">
        <v>635000.0</v>
      </c>
      <c r="K10" s="1142">
        <f>G10*1.551</f>
        <v>776985.858</v>
      </c>
      <c r="L10" s="1145">
        <v>754000.0</v>
      </c>
      <c r="M10" s="1142">
        <f>G10*1.8</f>
        <v>901724.4</v>
      </c>
      <c r="N10" s="1145">
        <v>875000.0</v>
      </c>
      <c r="O10" s="1146">
        <f>G10*1.954</f>
        <v>978871.932</v>
      </c>
      <c r="P10" s="1145">
        <v>950000.0</v>
      </c>
      <c r="Q10" s="1147">
        <f t="shared" si="5"/>
        <v>997500</v>
      </c>
      <c r="R10" s="1147">
        <v>1008000.0</v>
      </c>
      <c r="S10" s="1148">
        <v>1048000.0</v>
      </c>
      <c r="T10" s="1149">
        <f t="shared" si="6"/>
        <v>58000</v>
      </c>
      <c r="U10" s="1150"/>
      <c r="V10" s="1150"/>
      <c r="W10" s="1130"/>
      <c r="X10" s="1130"/>
      <c r="Y10" s="1130"/>
      <c r="Z10" s="1130"/>
      <c r="AA10" s="1130"/>
      <c r="AB10" s="1130"/>
      <c r="AC10" s="1130"/>
    </row>
    <row r="11" hidden="1">
      <c r="A11" s="943"/>
      <c r="B11" s="1140" t="s">
        <v>15063</v>
      </c>
      <c r="C11" s="1140" t="s">
        <v>15078</v>
      </c>
      <c r="D11" s="1140" t="s">
        <v>15079</v>
      </c>
      <c r="E11" s="1142">
        <v>404000.0</v>
      </c>
      <c r="F11" s="1142">
        <f t="shared" si="1"/>
        <v>448440</v>
      </c>
      <c r="G11" s="1143">
        <f>F11*1.1</f>
        <v>493284</v>
      </c>
      <c r="H11" s="1142">
        <f>G11* 1.301</f>
        <v>641762.484</v>
      </c>
      <c r="I11" s="1142"/>
      <c r="J11" s="1145">
        <v>642000.0</v>
      </c>
      <c r="K11" s="1142">
        <f>G11*1.55</f>
        <v>764590.2</v>
      </c>
      <c r="L11" s="1145">
        <v>765000.0</v>
      </c>
      <c r="M11" s="1142">
        <f>G11*1.751</f>
        <v>863740.284</v>
      </c>
      <c r="N11" s="1145">
        <v>864000.0</v>
      </c>
      <c r="O11" s="1146">
        <f>G11*1.822</f>
        <v>898763.448</v>
      </c>
      <c r="P11" s="1145">
        <v>899000.0</v>
      </c>
      <c r="Q11" s="1152"/>
      <c r="R11" s="1152"/>
      <c r="S11" s="1150"/>
      <c r="T11" s="1150"/>
      <c r="U11" s="1150"/>
      <c r="V11" s="1150"/>
      <c r="W11" s="1130"/>
      <c r="X11" s="1130"/>
      <c r="Y11" s="1130"/>
      <c r="Z11" s="1130"/>
      <c r="AA11" s="1130"/>
      <c r="AB11" s="1130"/>
      <c r="AC11" s="1130"/>
    </row>
    <row r="12">
      <c r="A12" s="943"/>
      <c r="B12" s="1140" t="s">
        <v>107</v>
      </c>
      <c r="C12" s="1140" t="s">
        <v>15080</v>
      </c>
      <c r="D12" s="1140" t="s">
        <v>15081</v>
      </c>
      <c r="E12" s="1142">
        <v>398000.0</v>
      </c>
      <c r="F12" s="1142">
        <f t="shared" si="1"/>
        <v>441780</v>
      </c>
      <c r="G12" s="1143">
        <f t="shared" ref="G12:G43" si="9">(F12*1.1)+15000</f>
        <v>500958</v>
      </c>
      <c r="H12" s="1142">
        <f>G12* 1.271</f>
        <v>636717.618</v>
      </c>
      <c r="I12" s="1144">
        <v>637000.0</v>
      </c>
      <c r="J12" s="1145">
        <v>618000.0</v>
      </c>
      <c r="K12" s="1142">
        <f>G12*1.502</f>
        <v>752438.916</v>
      </c>
      <c r="L12" s="1145">
        <v>730000.0</v>
      </c>
      <c r="M12" s="1142">
        <f t="shared" ref="M12:M13" si="10">G12*1.8</f>
        <v>901724.4</v>
      </c>
      <c r="N12" s="1145">
        <v>875000.0</v>
      </c>
      <c r="O12" s="1146">
        <f>G12*1.952</f>
        <v>977870.016</v>
      </c>
      <c r="P12" s="1145">
        <v>949000.0</v>
      </c>
      <c r="Q12" s="1147">
        <f t="shared" ref="Q12:Q43" si="11">P12*1.05</f>
        <v>996450</v>
      </c>
      <c r="R12" s="1147">
        <v>1006000.0</v>
      </c>
      <c r="S12" s="1148">
        <v>1042000.0</v>
      </c>
      <c r="T12" s="1149">
        <f t="shared" ref="T12:T43" si="12">R12-P12</f>
        <v>57000</v>
      </c>
      <c r="U12" s="1150"/>
      <c r="V12" s="1150"/>
      <c r="W12" s="1130"/>
      <c r="X12" s="1130"/>
      <c r="Y12" s="1130"/>
      <c r="Z12" s="1130"/>
      <c r="AA12" s="1130"/>
      <c r="AB12" s="1130"/>
      <c r="AC12" s="1130"/>
    </row>
    <row r="13">
      <c r="A13" s="943"/>
      <c r="B13" s="1140" t="s">
        <v>107</v>
      </c>
      <c r="C13" s="1153" t="s">
        <v>15082</v>
      </c>
      <c r="D13" s="1140" t="s">
        <v>15083</v>
      </c>
      <c r="E13" s="1142">
        <v>441000.0</v>
      </c>
      <c r="F13" s="1142">
        <f t="shared" si="1"/>
        <v>489510</v>
      </c>
      <c r="G13" s="1143">
        <f t="shared" si="9"/>
        <v>553461</v>
      </c>
      <c r="H13" s="1142">
        <f t="shared" ref="H13:H14" si="13">G13* 1.251</f>
        <v>692379.711</v>
      </c>
      <c r="I13" s="1144">
        <v>639000.0</v>
      </c>
      <c r="J13" s="1145">
        <v>674000.0</v>
      </c>
      <c r="K13" s="1142">
        <f>G13*1.6</f>
        <v>885537.6</v>
      </c>
      <c r="L13" s="1145">
        <v>862000.0</v>
      </c>
      <c r="M13" s="1142">
        <f t="shared" si="10"/>
        <v>996229.8</v>
      </c>
      <c r="N13" s="1145">
        <v>970000.0</v>
      </c>
      <c r="O13" s="1146">
        <f>G13*2.039</f>
        <v>1128506.979</v>
      </c>
      <c r="P13" s="1145">
        <v>1098000.0</v>
      </c>
      <c r="Q13" s="1147">
        <f t="shared" si="11"/>
        <v>1152900</v>
      </c>
      <c r="R13" s="1147">
        <v>1164000.0</v>
      </c>
      <c r="S13" s="1150"/>
      <c r="T13" s="1149">
        <f t="shared" si="12"/>
        <v>66000</v>
      </c>
      <c r="U13" s="1150"/>
      <c r="V13" s="1150"/>
      <c r="W13" s="1130"/>
      <c r="X13" s="1130"/>
      <c r="Y13" s="1130"/>
      <c r="Z13" s="1130"/>
      <c r="AA13" s="1130"/>
      <c r="AB13" s="1130"/>
      <c r="AC13" s="1130"/>
    </row>
    <row r="14">
      <c r="A14" s="943"/>
      <c r="B14" s="1140" t="s">
        <v>107</v>
      </c>
      <c r="C14" s="1140" t="s">
        <v>15084</v>
      </c>
      <c r="D14" s="1140" t="s">
        <v>15085</v>
      </c>
      <c r="E14" s="1142">
        <v>515000.0</v>
      </c>
      <c r="F14" s="1142">
        <f t="shared" si="1"/>
        <v>571650</v>
      </c>
      <c r="G14" s="1143">
        <f t="shared" si="9"/>
        <v>643815</v>
      </c>
      <c r="H14" s="1142">
        <f t="shared" si="13"/>
        <v>805412.565</v>
      </c>
      <c r="I14" s="1144">
        <v>806000.0</v>
      </c>
      <c r="J14" s="1145">
        <v>787000.0</v>
      </c>
      <c r="K14" s="1142">
        <f>G14*1.501</f>
        <v>966366.315</v>
      </c>
      <c r="L14" s="1145">
        <v>944000.0</v>
      </c>
      <c r="M14" s="1142">
        <f>G14*1.749</f>
        <v>1126032.435</v>
      </c>
      <c r="N14" s="1145">
        <v>1073000.0</v>
      </c>
      <c r="O14" s="1154">
        <f>G15*1.635</f>
        <v>1120512.915</v>
      </c>
      <c r="P14" s="1155">
        <v>1096000.0</v>
      </c>
      <c r="Q14" s="1147">
        <f t="shared" si="11"/>
        <v>1150800</v>
      </c>
      <c r="R14" s="1147">
        <v>1162000.0</v>
      </c>
      <c r="S14" s="1130"/>
      <c r="T14" s="1149">
        <f t="shared" si="12"/>
        <v>66000</v>
      </c>
      <c r="U14" s="1130"/>
      <c r="V14" s="1150"/>
      <c r="W14" s="1130"/>
      <c r="X14" s="1130"/>
      <c r="Y14" s="1130"/>
      <c r="Z14" s="1130"/>
      <c r="AA14" s="1130"/>
      <c r="AB14" s="1130"/>
      <c r="AC14" s="1130"/>
    </row>
    <row r="15">
      <c r="A15" s="943"/>
      <c r="B15" s="1140" t="s">
        <v>107</v>
      </c>
      <c r="C15" s="1140" t="s">
        <v>15086</v>
      </c>
      <c r="D15" s="1140" t="s">
        <v>15087</v>
      </c>
      <c r="E15" s="1142">
        <v>549000.0</v>
      </c>
      <c r="F15" s="1142">
        <f t="shared" si="1"/>
        <v>609390</v>
      </c>
      <c r="G15" s="1143">
        <f t="shared" si="9"/>
        <v>685329</v>
      </c>
      <c r="H15" s="1142">
        <f>G15* 1.305</f>
        <v>894354.345</v>
      </c>
      <c r="I15" s="1144">
        <v>895000.0</v>
      </c>
      <c r="J15" s="1145">
        <v>875000.0</v>
      </c>
      <c r="K15" s="1142">
        <f>G15*1.484</f>
        <v>1017028.236</v>
      </c>
      <c r="L15" s="1145">
        <v>995000.0</v>
      </c>
      <c r="M15" s="1142">
        <f>G15*1.6</f>
        <v>1096526.4</v>
      </c>
      <c r="N15" s="1145">
        <v>1100000.0</v>
      </c>
      <c r="O15" s="1146">
        <f>G14*2</f>
        <v>1287630</v>
      </c>
      <c r="P15" s="1145">
        <v>1258000.0</v>
      </c>
      <c r="Q15" s="1147">
        <f t="shared" si="11"/>
        <v>1320900</v>
      </c>
      <c r="R15" s="1147">
        <v>13.0</v>
      </c>
      <c r="S15" s="1150"/>
      <c r="T15" s="1149">
        <f t="shared" si="12"/>
        <v>-1257987</v>
      </c>
      <c r="U15" s="1150"/>
      <c r="V15" s="1150"/>
      <c r="W15" s="1130"/>
      <c r="X15" s="1130"/>
      <c r="Y15" s="1130"/>
      <c r="Z15" s="1130"/>
      <c r="AA15" s="1130"/>
      <c r="AB15" s="1130"/>
      <c r="AC15" s="1130"/>
    </row>
    <row r="16" ht="16.5" customHeight="1">
      <c r="A16" s="943"/>
      <c r="B16" s="1140" t="s">
        <v>11900</v>
      </c>
      <c r="C16" s="1140" t="s">
        <v>15088</v>
      </c>
      <c r="D16" s="1140" t="s">
        <v>15089</v>
      </c>
      <c r="E16" s="1142">
        <v>374000.0</v>
      </c>
      <c r="F16" s="1142">
        <f t="shared" si="1"/>
        <v>415140</v>
      </c>
      <c r="G16" s="1143">
        <f t="shared" si="9"/>
        <v>471654</v>
      </c>
      <c r="H16" s="1142">
        <f t="shared" ref="H16:H17" si="14">G16* 1.46</f>
        <v>688614.84</v>
      </c>
      <c r="I16" s="1144">
        <v>689000.0</v>
      </c>
      <c r="J16" s="1145">
        <v>667000.0</v>
      </c>
      <c r="K16" s="1142">
        <f t="shared" ref="K16:K17" si="15">G16*1.898</f>
        <v>895199.292</v>
      </c>
      <c r="L16" s="1145">
        <v>867000.0</v>
      </c>
      <c r="M16" s="1142">
        <f t="shared" ref="M16:M17" si="16">G16*2.097</f>
        <v>989058.438</v>
      </c>
      <c r="N16" s="1145">
        <v>958000.0</v>
      </c>
      <c r="O16" s="1146">
        <f t="shared" ref="O16:O17" si="17">G16*2.397</f>
        <v>1130554.638</v>
      </c>
      <c r="P16" s="1145">
        <v>1095000.0</v>
      </c>
      <c r="Q16" s="1147">
        <f t="shared" si="11"/>
        <v>1149750</v>
      </c>
      <c r="R16" s="1147"/>
      <c r="S16" s="1150"/>
      <c r="T16" s="1149">
        <f t="shared" si="12"/>
        <v>-1095000</v>
      </c>
      <c r="U16" s="1150"/>
      <c r="V16" s="1150"/>
      <c r="W16" s="1130"/>
      <c r="X16" s="1130"/>
      <c r="Y16" s="1130"/>
      <c r="Z16" s="1130"/>
      <c r="AA16" s="1130"/>
      <c r="AB16" s="1130"/>
      <c r="AC16" s="1130"/>
    </row>
    <row r="17" ht="16.5" customHeight="1">
      <c r="A17" s="943"/>
      <c r="B17" s="1140" t="s">
        <v>11900</v>
      </c>
      <c r="C17" s="1140" t="s">
        <v>15090</v>
      </c>
      <c r="D17" s="1140" t="s">
        <v>15091</v>
      </c>
      <c r="E17" s="1142">
        <v>374000.0</v>
      </c>
      <c r="F17" s="1142">
        <f t="shared" si="1"/>
        <v>415140</v>
      </c>
      <c r="G17" s="1143">
        <f t="shared" si="9"/>
        <v>471654</v>
      </c>
      <c r="H17" s="1142">
        <f t="shared" si="14"/>
        <v>688614.84</v>
      </c>
      <c r="I17" s="1144">
        <v>689000.0</v>
      </c>
      <c r="J17" s="1145">
        <v>667000.0</v>
      </c>
      <c r="K17" s="1142">
        <f t="shared" si="15"/>
        <v>895199.292</v>
      </c>
      <c r="L17" s="1145">
        <v>867000.0</v>
      </c>
      <c r="M17" s="1142">
        <f t="shared" si="16"/>
        <v>989058.438</v>
      </c>
      <c r="N17" s="1145">
        <v>958000.0</v>
      </c>
      <c r="O17" s="1146">
        <f t="shared" si="17"/>
        <v>1130554.638</v>
      </c>
      <c r="P17" s="1145">
        <v>1095000.0</v>
      </c>
      <c r="Q17" s="1147">
        <f t="shared" si="11"/>
        <v>1149750</v>
      </c>
      <c r="R17" s="1147"/>
      <c r="S17" s="1150"/>
      <c r="T17" s="1149">
        <f t="shared" si="12"/>
        <v>-1095000</v>
      </c>
      <c r="U17" s="1150"/>
      <c r="V17" s="1150"/>
      <c r="W17" s="1130"/>
      <c r="X17" s="1130"/>
      <c r="Y17" s="1130"/>
      <c r="Z17" s="1130"/>
      <c r="AA17" s="1130"/>
      <c r="AB17" s="1130"/>
      <c r="AC17" s="1130"/>
    </row>
    <row r="18" ht="16.5" customHeight="1">
      <c r="A18" s="943"/>
      <c r="B18" s="1140" t="s">
        <v>11900</v>
      </c>
      <c r="C18" s="1140" t="s">
        <v>15092</v>
      </c>
      <c r="D18" s="1140" t="s">
        <v>15093</v>
      </c>
      <c r="E18" s="1142">
        <v>398000.0</v>
      </c>
      <c r="F18" s="1142">
        <f t="shared" si="1"/>
        <v>441780</v>
      </c>
      <c r="G18" s="1143">
        <f t="shared" si="9"/>
        <v>500958</v>
      </c>
      <c r="H18" s="1142">
        <f t="shared" ref="H18:H19" si="18">G18* 1.382</f>
        <v>692323.956</v>
      </c>
      <c r="I18" s="1144">
        <v>693000.0</v>
      </c>
      <c r="J18" s="1145">
        <v>672000.0</v>
      </c>
      <c r="K18" s="1142">
        <f t="shared" ref="K18:K19" si="19">G18*1.701</f>
        <v>852129.558</v>
      </c>
      <c r="L18" s="1145">
        <v>827000.0</v>
      </c>
      <c r="M18" s="1142">
        <f t="shared" ref="M18:M19" si="20">G18*1.901</f>
        <v>952321.158</v>
      </c>
      <c r="N18" s="1145">
        <v>924000.0</v>
      </c>
      <c r="O18" s="1146">
        <f t="shared" ref="O18:O19" si="21">G18*2.201</f>
        <v>1102608.558</v>
      </c>
      <c r="P18" s="1145">
        <v>1070000.0</v>
      </c>
      <c r="Q18" s="1147">
        <f t="shared" si="11"/>
        <v>1123500</v>
      </c>
      <c r="R18" s="1147"/>
      <c r="S18" s="1150"/>
      <c r="T18" s="1149">
        <f t="shared" si="12"/>
        <v>-1070000</v>
      </c>
      <c r="U18" s="1150"/>
      <c r="V18" s="1150"/>
      <c r="W18" s="1130"/>
      <c r="X18" s="1130"/>
      <c r="Y18" s="1130"/>
      <c r="Z18" s="1130"/>
      <c r="AA18" s="1130"/>
      <c r="AB18" s="1130"/>
      <c r="AC18" s="1130"/>
    </row>
    <row r="19" ht="16.5" customHeight="1">
      <c r="A19" s="943"/>
      <c r="B19" s="1140" t="s">
        <v>11900</v>
      </c>
      <c r="C19" s="1140" t="s">
        <v>15094</v>
      </c>
      <c r="D19" s="1140" t="s">
        <v>15095</v>
      </c>
      <c r="E19" s="1142">
        <v>398000.0</v>
      </c>
      <c r="F19" s="1142">
        <f t="shared" si="1"/>
        <v>441780</v>
      </c>
      <c r="G19" s="1143">
        <f t="shared" si="9"/>
        <v>500958</v>
      </c>
      <c r="H19" s="1142">
        <f t="shared" si="18"/>
        <v>692323.956</v>
      </c>
      <c r="I19" s="1144">
        <v>693000.0</v>
      </c>
      <c r="J19" s="1145">
        <v>672000.0</v>
      </c>
      <c r="K19" s="1142">
        <f t="shared" si="19"/>
        <v>852129.558</v>
      </c>
      <c r="L19" s="1145">
        <v>827000.0</v>
      </c>
      <c r="M19" s="1142">
        <f t="shared" si="20"/>
        <v>952321.158</v>
      </c>
      <c r="N19" s="1145">
        <v>924000.0</v>
      </c>
      <c r="O19" s="1146">
        <f t="shared" si="21"/>
        <v>1102608.558</v>
      </c>
      <c r="P19" s="1145">
        <v>1070000.0</v>
      </c>
      <c r="Q19" s="1147">
        <f t="shared" si="11"/>
        <v>1123500</v>
      </c>
      <c r="R19" s="1147"/>
      <c r="S19" s="1150"/>
      <c r="T19" s="1149">
        <f t="shared" si="12"/>
        <v>-1070000</v>
      </c>
      <c r="U19" s="1150"/>
      <c r="V19" s="1150"/>
      <c r="W19" s="1130"/>
      <c r="X19" s="1130"/>
      <c r="Y19" s="1130"/>
      <c r="Z19" s="1130"/>
      <c r="AA19" s="1130"/>
      <c r="AB19" s="1130"/>
      <c r="AC19" s="1130"/>
    </row>
    <row r="20" ht="16.5" customHeight="1">
      <c r="A20" s="943"/>
      <c r="B20" s="1140" t="s">
        <v>11900</v>
      </c>
      <c r="C20" s="1140" t="s">
        <v>15096</v>
      </c>
      <c r="D20" s="1140" t="s">
        <v>15097</v>
      </c>
      <c r="E20" s="1142">
        <v>551000.0</v>
      </c>
      <c r="F20" s="1142">
        <f t="shared" si="1"/>
        <v>611610</v>
      </c>
      <c r="G20" s="1143">
        <f t="shared" si="9"/>
        <v>687771</v>
      </c>
      <c r="H20" s="1142">
        <f t="shared" ref="H20:H22" si="22">G20* 1.251</f>
        <v>860401.521</v>
      </c>
      <c r="I20" s="1144">
        <v>861000.0</v>
      </c>
      <c r="J20" s="1145">
        <v>842000.0</v>
      </c>
      <c r="K20" s="1142">
        <f>G20*1.501</f>
        <v>1032344.271</v>
      </c>
      <c r="L20" s="1145">
        <v>1010000.0</v>
      </c>
      <c r="M20" s="1142">
        <f>G20*1.731</f>
        <v>1190531.601</v>
      </c>
      <c r="N20" s="1145">
        <v>1165000.0</v>
      </c>
      <c r="O20" s="1146">
        <f>G20*1.805</f>
        <v>1241426.655</v>
      </c>
      <c r="P20" s="1145">
        <v>1215000.0</v>
      </c>
      <c r="Q20" s="1147">
        <f t="shared" si="11"/>
        <v>1275750</v>
      </c>
      <c r="R20" s="1147"/>
      <c r="S20" s="1150"/>
      <c r="T20" s="1149">
        <f t="shared" si="12"/>
        <v>-1215000</v>
      </c>
      <c r="U20" s="1150"/>
      <c r="V20" s="1150"/>
      <c r="W20" s="1130"/>
      <c r="X20" s="1130"/>
      <c r="Y20" s="1130"/>
      <c r="Z20" s="1130"/>
      <c r="AA20" s="1130"/>
      <c r="AB20" s="1130"/>
      <c r="AC20" s="1130"/>
    </row>
    <row r="21" ht="15.75" customHeight="1">
      <c r="A21" s="943"/>
      <c r="B21" s="1140" t="s">
        <v>11912</v>
      </c>
      <c r="C21" s="1140" t="s">
        <v>15098</v>
      </c>
      <c r="D21" s="1140" t="s">
        <v>15099</v>
      </c>
      <c r="E21" s="1142">
        <v>453000.0</v>
      </c>
      <c r="F21" s="1142">
        <f t="shared" si="1"/>
        <v>502830</v>
      </c>
      <c r="G21" s="1143">
        <f t="shared" si="9"/>
        <v>568113</v>
      </c>
      <c r="H21" s="1142">
        <f t="shared" si="22"/>
        <v>710709.363</v>
      </c>
      <c r="I21" s="1144">
        <v>711000.0</v>
      </c>
      <c r="J21" s="1145">
        <v>692000.0</v>
      </c>
      <c r="K21" s="1142">
        <f>G21*1.5</f>
        <v>852169.5</v>
      </c>
      <c r="L21" s="1145">
        <v>830000.0</v>
      </c>
      <c r="M21" s="1142">
        <f>G21*1.751</f>
        <v>994765.863</v>
      </c>
      <c r="N21" s="1145">
        <v>969000.0</v>
      </c>
      <c r="O21" s="1146">
        <f>G21*1.789</f>
        <v>1016354.157</v>
      </c>
      <c r="P21" s="1155">
        <v>990000.0</v>
      </c>
      <c r="Q21" s="1147">
        <f t="shared" si="11"/>
        <v>1039500</v>
      </c>
      <c r="R21" s="1147"/>
      <c r="S21" s="1150"/>
      <c r="T21" s="1149">
        <f t="shared" si="12"/>
        <v>-990000</v>
      </c>
      <c r="U21" s="1150"/>
      <c r="V21" s="1150"/>
      <c r="W21" s="1130"/>
      <c r="X21" s="1130"/>
      <c r="Y21" s="1130"/>
      <c r="Z21" s="1130"/>
      <c r="AA21" s="1130"/>
      <c r="AB21" s="1130"/>
      <c r="AC21" s="1130"/>
    </row>
    <row r="22" ht="15.75" customHeight="1">
      <c r="A22" s="943"/>
      <c r="B22" s="1140" t="s">
        <v>11912</v>
      </c>
      <c r="C22" s="1140" t="s">
        <v>15096</v>
      </c>
      <c r="D22" s="1140" t="s">
        <v>15100</v>
      </c>
      <c r="E22" s="1142">
        <v>551000.0</v>
      </c>
      <c r="F22" s="1142">
        <f t="shared" si="1"/>
        <v>611610</v>
      </c>
      <c r="G22" s="1143">
        <f t="shared" si="9"/>
        <v>687771</v>
      </c>
      <c r="H22" s="1142">
        <f t="shared" si="22"/>
        <v>860401.521</v>
      </c>
      <c r="I22" s="1144">
        <v>861000.0</v>
      </c>
      <c r="J22" s="1145">
        <v>842000.0</v>
      </c>
      <c r="K22" s="1142">
        <f>G22*1.501</f>
        <v>1032344.271</v>
      </c>
      <c r="L22" s="1145">
        <v>1010000.0</v>
      </c>
      <c r="M22" s="1142">
        <f>G22*1.731</f>
        <v>1190531.601</v>
      </c>
      <c r="N22" s="1145">
        <v>1165000.0</v>
      </c>
      <c r="O22" s="1146">
        <f>G22*1.805</f>
        <v>1241426.655</v>
      </c>
      <c r="P22" s="1145">
        <v>1215000.0</v>
      </c>
      <c r="Q22" s="1147">
        <f t="shared" si="11"/>
        <v>1275750</v>
      </c>
      <c r="R22" s="1147"/>
      <c r="S22" s="1150"/>
      <c r="T22" s="1149">
        <f t="shared" si="12"/>
        <v>-1215000</v>
      </c>
      <c r="U22" s="1150"/>
      <c r="V22" s="1150"/>
      <c r="W22" s="1130"/>
      <c r="X22" s="1130"/>
      <c r="Y22" s="1130"/>
      <c r="Z22" s="1130"/>
      <c r="AA22" s="1130"/>
      <c r="AB22" s="1130"/>
      <c r="AC22" s="1130"/>
    </row>
    <row r="23" ht="15.75" customHeight="1">
      <c r="A23" s="943"/>
      <c r="B23" s="1140" t="s">
        <v>11961</v>
      </c>
      <c r="C23" s="1140" t="s">
        <v>15101</v>
      </c>
      <c r="D23" s="1140" t="s">
        <v>15102</v>
      </c>
      <c r="E23" s="1142">
        <v>270000.0</v>
      </c>
      <c r="F23" s="1142">
        <f t="shared" si="1"/>
        <v>299700</v>
      </c>
      <c r="G23" s="1143">
        <f t="shared" si="9"/>
        <v>344670</v>
      </c>
      <c r="H23" s="1142">
        <f>G23* 1.352</f>
        <v>465993.84</v>
      </c>
      <c r="I23" s="1144">
        <v>466000.0</v>
      </c>
      <c r="J23" s="1145">
        <v>446000.0</v>
      </c>
      <c r="K23" s="1142">
        <f>G23*1.601</f>
        <v>551816.67</v>
      </c>
      <c r="L23" s="1145">
        <v>528000.0</v>
      </c>
      <c r="M23" s="1142">
        <f>G23*1.85</f>
        <v>637639.5</v>
      </c>
      <c r="N23" s="1145">
        <v>610000.0</v>
      </c>
      <c r="O23" s="1146">
        <f>G23*2.002</f>
        <v>690029.34</v>
      </c>
      <c r="P23" s="1145">
        <v>660000.0</v>
      </c>
      <c r="Q23" s="1147">
        <f t="shared" si="11"/>
        <v>693000</v>
      </c>
      <c r="R23" s="1147"/>
      <c r="S23" s="1150"/>
      <c r="T23" s="1149">
        <f t="shared" si="12"/>
        <v>-660000</v>
      </c>
      <c r="U23" s="1150"/>
      <c r="V23" s="1150"/>
      <c r="W23" s="1130"/>
      <c r="X23" s="1130"/>
      <c r="Y23" s="1130"/>
      <c r="Z23" s="1130"/>
      <c r="AA23" s="1130"/>
      <c r="AB23" s="1130"/>
      <c r="AC23" s="1130"/>
    </row>
    <row r="24" ht="15.75" customHeight="1">
      <c r="A24" s="943"/>
      <c r="B24" s="1140" t="s">
        <v>11961</v>
      </c>
      <c r="C24" s="1140" t="s">
        <v>15103</v>
      </c>
      <c r="D24" s="1140" t="s">
        <v>15104</v>
      </c>
      <c r="E24" s="1142">
        <v>404000.0</v>
      </c>
      <c r="F24" s="1142">
        <f t="shared" si="1"/>
        <v>448440</v>
      </c>
      <c r="G24" s="1143">
        <f t="shared" si="9"/>
        <v>508284</v>
      </c>
      <c r="H24" s="1156">
        <f>G24* 1.25</f>
        <v>635355</v>
      </c>
      <c r="I24" s="1157">
        <v>636000.0</v>
      </c>
      <c r="J24" s="1155">
        <v>617000.0</v>
      </c>
      <c r="K24" s="1156">
        <f>G24*1.4</f>
        <v>711597.6</v>
      </c>
      <c r="L24" s="1155">
        <v>691000.0</v>
      </c>
      <c r="M24" s="1156">
        <f>G24*1.5</f>
        <v>762426</v>
      </c>
      <c r="N24" s="1155">
        <v>740000.0</v>
      </c>
      <c r="O24" s="1154">
        <f>G24*1.571</f>
        <v>798514.164</v>
      </c>
      <c r="P24" s="1155">
        <v>775000.0</v>
      </c>
      <c r="Q24" s="1147">
        <f t="shared" si="11"/>
        <v>813750</v>
      </c>
      <c r="R24" s="1147"/>
      <c r="S24" s="1150"/>
      <c r="T24" s="1149">
        <f t="shared" si="12"/>
        <v>-775000</v>
      </c>
      <c r="U24" s="1150"/>
      <c r="V24" s="1150"/>
      <c r="W24" s="1130"/>
      <c r="X24" s="1130"/>
      <c r="Y24" s="1130"/>
      <c r="Z24" s="1130"/>
      <c r="AA24" s="1130"/>
      <c r="AB24" s="1130"/>
      <c r="AC24" s="1130"/>
    </row>
    <row r="25" ht="15.75" customHeight="1">
      <c r="A25" s="943"/>
      <c r="B25" s="1140" t="s">
        <v>11961</v>
      </c>
      <c r="C25" s="1140" t="s">
        <v>15105</v>
      </c>
      <c r="D25" s="1140" t="s">
        <v>15106</v>
      </c>
      <c r="E25" s="1142">
        <v>396000.0</v>
      </c>
      <c r="F25" s="1142">
        <f t="shared" si="1"/>
        <v>439560</v>
      </c>
      <c r="G25" s="1143">
        <f t="shared" si="9"/>
        <v>498516</v>
      </c>
      <c r="H25" s="1142">
        <f>G25* 1.35</f>
        <v>672996.6</v>
      </c>
      <c r="I25" s="1144">
        <v>673000.0</v>
      </c>
      <c r="J25" s="1145">
        <v>653000.0</v>
      </c>
      <c r="K25" s="1142">
        <f>G25*1.549</f>
        <v>772201.284</v>
      </c>
      <c r="L25" s="1145">
        <v>749000.0</v>
      </c>
      <c r="M25" s="1142">
        <f>G25*1.801</f>
        <v>897827.316</v>
      </c>
      <c r="N25" s="1145">
        <v>871000.0</v>
      </c>
      <c r="O25" s="1146">
        <f>G25*2.006</f>
        <v>1000023.096</v>
      </c>
      <c r="P25" s="1145">
        <v>970000.0</v>
      </c>
      <c r="Q25" s="1147">
        <f t="shared" si="11"/>
        <v>1018500</v>
      </c>
      <c r="R25" s="1147"/>
      <c r="S25" s="1150"/>
      <c r="T25" s="1149">
        <f t="shared" si="12"/>
        <v>-970000</v>
      </c>
      <c r="U25" s="1150"/>
      <c r="V25" s="1150"/>
      <c r="W25" s="1130"/>
      <c r="X25" s="1130"/>
      <c r="Y25" s="1130"/>
      <c r="Z25" s="1130"/>
      <c r="AA25" s="1130"/>
      <c r="AB25" s="1130"/>
      <c r="AC25" s="1130"/>
    </row>
    <row r="26" ht="15.75" customHeight="1">
      <c r="A26" s="943"/>
      <c r="B26" s="1140" t="s">
        <v>11961</v>
      </c>
      <c r="C26" s="1140" t="s">
        <v>15107</v>
      </c>
      <c r="D26" s="1140" t="s">
        <v>15108</v>
      </c>
      <c r="E26" s="1142">
        <v>396000.0</v>
      </c>
      <c r="F26" s="1142">
        <f t="shared" si="1"/>
        <v>439560</v>
      </c>
      <c r="G26" s="1143">
        <f t="shared" si="9"/>
        <v>498516</v>
      </c>
      <c r="H26" s="1142">
        <f>G26* 1.261</f>
        <v>628628.676</v>
      </c>
      <c r="I26" s="1144">
        <v>629000.0</v>
      </c>
      <c r="J26" s="1145">
        <v>610000.0</v>
      </c>
      <c r="K26" s="1142">
        <f>G26*1.501</f>
        <v>748272.516</v>
      </c>
      <c r="L26" s="1145">
        <v>726000.0</v>
      </c>
      <c r="M26" s="1142">
        <f>G26*1.751</f>
        <v>872901.516</v>
      </c>
      <c r="N26" s="1145">
        <v>847000.0</v>
      </c>
      <c r="O26" s="1146">
        <f>G26*1.921</f>
        <v>957649.236</v>
      </c>
      <c r="P26" s="1145">
        <v>929000.0</v>
      </c>
      <c r="Q26" s="1147">
        <f t="shared" si="11"/>
        <v>975450</v>
      </c>
      <c r="R26" s="1147"/>
      <c r="S26" s="1150"/>
      <c r="T26" s="1149">
        <f t="shared" si="12"/>
        <v>-929000</v>
      </c>
      <c r="U26" s="1150"/>
      <c r="V26" s="1150"/>
      <c r="W26" s="1130"/>
      <c r="X26" s="1130"/>
      <c r="Y26" s="1130"/>
      <c r="Z26" s="1130"/>
      <c r="AA26" s="1130"/>
      <c r="AB26" s="1130"/>
      <c r="AC26" s="1130"/>
    </row>
    <row r="27" ht="15.75" customHeight="1">
      <c r="A27" s="943"/>
      <c r="B27" s="1140" t="s">
        <v>11961</v>
      </c>
      <c r="C27" s="1140" t="s">
        <v>15109</v>
      </c>
      <c r="D27" s="1140" t="s">
        <v>15110</v>
      </c>
      <c r="E27" s="1142">
        <v>380000.0</v>
      </c>
      <c r="F27" s="1142">
        <f t="shared" si="1"/>
        <v>421800</v>
      </c>
      <c r="G27" s="1143">
        <f t="shared" si="9"/>
        <v>478980</v>
      </c>
      <c r="H27" s="1142">
        <f>G27* 1.25</f>
        <v>598725</v>
      </c>
      <c r="I27" s="1144">
        <v>599000.0</v>
      </c>
      <c r="J27" s="1145">
        <v>580000.0</v>
      </c>
      <c r="K27" s="1142">
        <f>G27*1.5</f>
        <v>718470</v>
      </c>
      <c r="L27" s="1145">
        <v>696000.0</v>
      </c>
      <c r="M27" s="1142">
        <f>G27*1.75</f>
        <v>838215</v>
      </c>
      <c r="N27" s="1145">
        <v>812000.0</v>
      </c>
      <c r="O27" s="1146">
        <f>G27*1.872</f>
        <v>896650.56</v>
      </c>
      <c r="P27" s="1145">
        <v>869000.0</v>
      </c>
      <c r="Q27" s="1147">
        <f t="shared" si="11"/>
        <v>912450</v>
      </c>
      <c r="R27" s="1147"/>
      <c r="S27" s="1150"/>
      <c r="T27" s="1149">
        <f t="shared" si="12"/>
        <v>-869000</v>
      </c>
      <c r="U27" s="1150"/>
      <c r="V27" s="1150"/>
      <c r="W27" s="1130"/>
      <c r="X27" s="1130"/>
      <c r="Y27" s="1130"/>
      <c r="Z27" s="1130"/>
      <c r="AA27" s="1130"/>
      <c r="AB27" s="1130"/>
      <c r="AC27" s="1130"/>
    </row>
    <row r="28" ht="15.75" customHeight="1">
      <c r="A28" s="943"/>
      <c r="B28" s="1140" t="s">
        <v>11961</v>
      </c>
      <c r="C28" s="1140" t="s">
        <v>15111</v>
      </c>
      <c r="D28" s="1140" t="s">
        <v>15112</v>
      </c>
      <c r="E28" s="1142">
        <v>505000.0</v>
      </c>
      <c r="F28" s="1142">
        <f t="shared" si="1"/>
        <v>560550</v>
      </c>
      <c r="G28" s="1143">
        <f t="shared" si="9"/>
        <v>631605</v>
      </c>
      <c r="H28" s="1142">
        <f>G28* 1.337</f>
        <v>844455.885</v>
      </c>
      <c r="I28" s="1144">
        <v>845000.0</v>
      </c>
      <c r="J28" s="1145">
        <v>825000.0</v>
      </c>
      <c r="K28" s="1142">
        <f>G28*1.553</f>
        <v>980882.565</v>
      </c>
      <c r="L28" s="1145">
        <v>958000.0</v>
      </c>
      <c r="M28" s="1142">
        <f>G28*1.824</f>
        <v>1152047.52</v>
      </c>
      <c r="N28" s="1145">
        <v>1125000.0</v>
      </c>
      <c r="O28" s="1146">
        <f>G28*1.783</f>
        <v>1126151.715</v>
      </c>
      <c r="P28" s="1145">
        <v>1100000.0</v>
      </c>
      <c r="Q28" s="1147">
        <f t="shared" si="11"/>
        <v>1155000</v>
      </c>
      <c r="R28" s="1147"/>
      <c r="S28" s="1150"/>
      <c r="T28" s="1149">
        <f t="shared" si="12"/>
        <v>-1100000</v>
      </c>
      <c r="U28" s="1150"/>
      <c r="V28" s="1150"/>
      <c r="W28" s="1130"/>
      <c r="X28" s="1130"/>
      <c r="Y28" s="1130"/>
      <c r="Z28" s="1130"/>
      <c r="AA28" s="1130"/>
      <c r="AB28" s="1130"/>
      <c r="AC28" s="1130"/>
    </row>
    <row r="29" ht="15.75" customHeight="1">
      <c r="A29" s="943"/>
      <c r="B29" s="1140" t="s">
        <v>11973</v>
      </c>
      <c r="C29" s="1140" t="s">
        <v>15113</v>
      </c>
      <c r="D29" s="1140" t="s">
        <v>15114</v>
      </c>
      <c r="E29" s="1142">
        <v>404000.0</v>
      </c>
      <c r="F29" s="1142">
        <f t="shared" si="1"/>
        <v>448440</v>
      </c>
      <c r="G29" s="1143">
        <f t="shared" si="9"/>
        <v>508284</v>
      </c>
      <c r="H29" s="1142">
        <f>G29* 1.301</f>
        <v>661277.484</v>
      </c>
      <c r="I29" s="1144">
        <v>662000.0</v>
      </c>
      <c r="J29" s="1145">
        <v>642000.0</v>
      </c>
      <c r="K29" s="1142">
        <f>G29*1.55</f>
        <v>787840.2</v>
      </c>
      <c r="L29" s="1145">
        <v>765000.0</v>
      </c>
      <c r="M29" s="1142">
        <f>G29*1.802</f>
        <v>915927.768</v>
      </c>
      <c r="N29" s="1145">
        <v>889000.0</v>
      </c>
      <c r="O29" s="1146">
        <f>G29*2.006</f>
        <v>1019617.704</v>
      </c>
      <c r="P29" s="1145">
        <v>990000.0</v>
      </c>
      <c r="Q29" s="1147">
        <f t="shared" si="11"/>
        <v>1039500</v>
      </c>
      <c r="R29" s="1147"/>
      <c r="S29" s="1150"/>
      <c r="T29" s="1149">
        <f t="shared" si="12"/>
        <v>-990000</v>
      </c>
      <c r="U29" s="1150"/>
      <c r="V29" s="1150"/>
      <c r="W29" s="1130"/>
      <c r="X29" s="1130"/>
      <c r="Y29" s="1130"/>
      <c r="Z29" s="1130"/>
      <c r="AA29" s="1130"/>
      <c r="AB29" s="1130"/>
      <c r="AC29" s="1130"/>
    </row>
    <row r="30" ht="15.75" customHeight="1">
      <c r="A30" s="943"/>
      <c r="B30" s="1140" t="s">
        <v>11973</v>
      </c>
      <c r="C30" s="1140" t="s">
        <v>15115</v>
      </c>
      <c r="D30" s="1140" t="s">
        <v>15116</v>
      </c>
      <c r="E30" s="1142">
        <v>429000.0</v>
      </c>
      <c r="F30" s="1142">
        <f t="shared" si="1"/>
        <v>476190</v>
      </c>
      <c r="G30" s="1143">
        <f t="shared" si="9"/>
        <v>538809</v>
      </c>
      <c r="H30" s="1142">
        <f>G30* 1.401</f>
        <v>754871.409</v>
      </c>
      <c r="I30" s="1144">
        <v>755000.0</v>
      </c>
      <c r="J30" s="1145">
        <v>734000.0</v>
      </c>
      <c r="K30" s="1142">
        <f t="shared" ref="K30:K32" si="23">G30*1.5</f>
        <v>808213.5</v>
      </c>
      <c r="L30" s="1145">
        <v>786000.0</v>
      </c>
      <c r="M30" s="1142">
        <f>G30*1.75</f>
        <v>942915.75</v>
      </c>
      <c r="N30" s="1145">
        <v>917000.0</v>
      </c>
      <c r="O30" s="1146">
        <f>G30*2</f>
        <v>1077618</v>
      </c>
      <c r="P30" s="1145">
        <v>1048000.0</v>
      </c>
      <c r="Q30" s="1147">
        <f t="shared" si="11"/>
        <v>1100400</v>
      </c>
      <c r="R30" s="1147"/>
      <c r="S30" s="1150"/>
      <c r="T30" s="1149">
        <f t="shared" si="12"/>
        <v>-1048000</v>
      </c>
      <c r="U30" s="1150"/>
      <c r="V30" s="1150"/>
      <c r="W30" s="1130"/>
      <c r="X30" s="1130"/>
      <c r="Y30" s="1130"/>
      <c r="Z30" s="1130"/>
      <c r="AA30" s="1130"/>
      <c r="AB30" s="1130"/>
      <c r="AC30" s="1130"/>
    </row>
    <row r="31" ht="15.75" customHeight="1">
      <c r="A31" s="943"/>
      <c r="B31" s="1140" t="s">
        <v>11973</v>
      </c>
      <c r="C31" s="1140" t="s">
        <v>15117</v>
      </c>
      <c r="D31" s="1140" t="s">
        <v>15118</v>
      </c>
      <c r="E31" s="1142">
        <v>435000.0</v>
      </c>
      <c r="F31" s="1142">
        <f t="shared" si="1"/>
        <v>482850</v>
      </c>
      <c r="G31" s="1143">
        <f t="shared" si="9"/>
        <v>546135</v>
      </c>
      <c r="H31" s="1142">
        <f>G31* 1.3</f>
        <v>709975.5</v>
      </c>
      <c r="I31" s="1144">
        <v>710000.0</v>
      </c>
      <c r="J31" s="1145">
        <v>691000.0</v>
      </c>
      <c r="K31" s="1142">
        <f t="shared" si="23"/>
        <v>819202.5</v>
      </c>
      <c r="L31" s="1145">
        <v>797000.0</v>
      </c>
      <c r="M31" s="1142">
        <f>G31*1.743</f>
        <v>951913.305</v>
      </c>
      <c r="N31" s="1145">
        <v>926000.0</v>
      </c>
      <c r="O31" s="1146">
        <f>G31*1.88</f>
        <v>1026733.8</v>
      </c>
      <c r="P31" s="1145">
        <v>999000.0</v>
      </c>
      <c r="Q31" s="1147">
        <f t="shared" si="11"/>
        <v>1048950</v>
      </c>
      <c r="R31" s="1147"/>
      <c r="S31" s="1150"/>
      <c r="T31" s="1149">
        <f t="shared" si="12"/>
        <v>-999000</v>
      </c>
      <c r="U31" s="1150"/>
      <c r="V31" s="1150"/>
      <c r="W31" s="1130"/>
      <c r="X31" s="1130"/>
      <c r="Y31" s="1130"/>
      <c r="Z31" s="1130"/>
      <c r="AA31" s="1130"/>
      <c r="AB31" s="1130"/>
      <c r="AC31" s="1130"/>
    </row>
    <row r="32" ht="15.75" customHeight="1">
      <c r="A32" s="943"/>
      <c r="B32" s="1140" t="s">
        <v>11973</v>
      </c>
      <c r="C32" s="1140" t="s">
        <v>15119</v>
      </c>
      <c r="D32" s="1140" t="s">
        <v>15120</v>
      </c>
      <c r="E32" s="1142">
        <v>453000.0</v>
      </c>
      <c r="F32" s="1142">
        <f t="shared" si="1"/>
        <v>502830</v>
      </c>
      <c r="G32" s="1143">
        <f t="shared" si="9"/>
        <v>568113</v>
      </c>
      <c r="H32" s="1142">
        <f>G32* 1.301</f>
        <v>739115.013</v>
      </c>
      <c r="I32" s="1144">
        <v>740000.0</v>
      </c>
      <c r="J32" s="1145">
        <v>720000.0</v>
      </c>
      <c r="K32" s="1142">
        <f t="shared" si="23"/>
        <v>852169.5</v>
      </c>
      <c r="L32" s="1145">
        <v>830000.0</v>
      </c>
      <c r="M32" s="1142">
        <f>G32*1.751</f>
        <v>994765.863</v>
      </c>
      <c r="N32" s="1145">
        <v>969000.0</v>
      </c>
      <c r="O32" s="1146">
        <f>G32*1.961</f>
        <v>1114069.593</v>
      </c>
      <c r="P32" s="1145">
        <v>1085000.0</v>
      </c>
      <c r="Q32" s="1147">
        <f t="shared" si="11"/>
        <v>1139250</v>
      </c>
      <c r="R32" s="1147"/>
      <c r="S32" s="1150"/>
      <c r="T32" s="1149">
        <f t="shared" si="12"/>
        <v>-1085000</v>
      </c>
      <c r="U32" s="1150"/>
      <c r="V32" s="1150"/>
      <c r="W32" s="1130"/>
      <c r="X32" s="1130"/>
      <c r="Y32" s="1130"/>
      <c r="Z32" s="1130"/>
      <c r="AA32" s="1130"/>
      <c r="AB32" s="1130"/>
      <c r="AC32" s="1130"/>
    </row>
    <row r="33" ht="15.75" customHeight="1">
      <c r="A33" s="943"/>
      <c r="B33" s="1140" t="s">
        <v>11973</v>
      </c>
      <c r="C33" s="1140" t="s">
        <v>15121</v>
      </c>
      <c r="D33" s="1140" t="s">
        <v>15122</v>
      </c>
      <c r="E33" s="1142">
        <v>459000.0</v>
      </c>
      <c r="F33" s="1142">
        <f t="shared" si="1"/>
        <v>509490</v>
      </c>
      <c r="G33" s="1143">
        <f t="shared" si="9"/>
        <v>575439</v>
      </c>
      <c r="H33" s="1142">
        <f>G33* 1.302</f>
        <v>749221.578</v>
      </c>
      <c r="I33" s="1144">
        <v>750000.0</v>
      </c>
      <c r="J33" s="1145">
        <v>730000.0</v>
      </c>
      <c r="K33" s="1142">
        <f>G33*1.552</f>
        <v>893081.328</v>
      </c>
      <c r="L33" s="1145">
        <v>870000.0</v>
      </c>
      <c r="M33" s="1142">
        <f>G33*1.802</f>
        <v>1036941.078</v>
      </c>
      <c r="N33" s="1145">
        <v>1010000.0</v>
      </c>
      <c r="O33" s="1146">
        <f>G33*2.132</f>
        <v>1226835.948</v>
      </c>
      <c r="P33" s="1145">
        <v>1195000.0</v>
      </c>
      <c r="Q33" s="1147">
        <f t="shared" si="11"/>
        <v>1254750</v>
      </c>
      <c r="R33" s="1147"/>
      <c r="S33" s="1150"/>
      <c r="T33" s="1149">
        <f t="shared" si="12"/>
        <v>-1195000</v>
      </c>
      <c r="U33" s="1150"/>
      <c r="V33" s="1150"/>
      <c r="W33" s="1130"/>
      <c r="X33" s="1130"/>
      <c r="Y33" s="1130"/>
      <c r="Z33" s="1130"/>
      <c r="AA33" s="1130"/>
      <c r="AB33" s="1130"/>
      <c r="AC33" s="1130"/>
    </row>
    <row r="34" ht="15.75" customHeight="1">
      <c r="A34" s="943"/>
      <c r="B34" s="1140" t="s">
        <v>11973</v>
      </c>
      <c r="C34" s="1140" t="s">
        <v>15123</v>
      </c>
      <c r="D34" s="1140" t="s">
        <v>15124</v>
      </c>
      <c r="E34" s="1142">
        <v>466000.0</v>
      </c>
      <c r="F34" s="1142">
        <f t="shared" si="1"/>
        <v>517260</v>
      </c>
      <c r="G34" s="1143">
        <f t="shared" si="9"/>
        <v>583986</v>
      </c>
      <c r="H34" s="1142">
        <f>G34* 1.3</f>
        <v>759181.8</v>
      </c>
      <c r="I34" s="1144">
        <v>760000.0</v>
      </c>
      <c r="J34" s="1145">
        <v>740000.0</v>
      </c>
      <c r="K34" s="1142">
        <f>G34*1.55</f>
        <v>905178.3</v>
      </c>
      <c r="L34" s="1145">
        <v>882000.0</v>
      </c>
      <c r="M34" s="1142">
        <f>G34*1.801</f>
        <v>1051758.786</v>
      </c>
      <c r="N34" s="1145">
        <v>1025000.0</v>
      </c>
      <c r="O34" s="1146">
        <f>G34*1.901</f>
        <v>1110157.386</v>
      </c>
      <c r="P34" s="1145">
        <v>1082000.0</v>
      </c>
      <c r="Q34" s="1147">
        <f t="shared" si="11"/>
        <v>1136100</v>
      </c>
      <c r="R34" s="1147"/>
      <c r="S34" s="1150"/>
      <c r="T34" s="1149">
        <f t="shared" si="12"/>
        <v>-1082000</v>
      </c>
      <c r="U34" s="1150"/>
      <c r="V34" s="1150"/>
      <c r="W34" s="1130"/>
      <c r="X34" s="1130"/>
      <c r="Y34" s="1130"/>
      <c r="Z34" s="1130"/>
      <c r="AA34" s="1130"/>
      <c r="AB34" s="1130"/>
      <c r="AC34" s="1130"/>
    </row>
    <row r="35" ht="15.75" customHeight="1">
      <c r="A35" s="943"/>
      <c r="B35" s="1140" t="s">
        <v>11973</v>
      </c>
      <c r="C35" s="1140" t="s">
        <v>15121</v>
      </c>
      <c r="D35" s="1140" t="s">
        <v>15125</v>
      </c>
      <c r="E35" s="1142">
        <v>459000.0</v>
      </c>
      <c r="F35" s="1142">
        <f t="shared" si="1"/>
        <v>509490</v>
      </c>
      <c r="G35" s="1143">
        <f t="shared" si="9"/>
        <v>575439</v>
      </c>
      <c r="H35" s="1142">
        <f t="shared" ref="H35:H36" si="24">G35* 1.302</f>
        <v>749221.578</v>
      </c>
      <c r="I35" s="1144">
        <v>750000.0</v>
      </c>
      <c r="J35" s="1145">
        <v>730000.0</v>
      </c>
      <c r="K35" s="1142">
        <f t="shared" ref="K35:K36" si="25">G35*1.552</f>
        <v>893081.328</v>
      </c>
      <c r="L35" s="1145">
        <v>870000.0</v>
      </c>
      <c r="M35" s="1142">
        <f t="shared" ref="M35:M36" si="26">G35*1.802</f>
        <v>1036941.078</v>
      </c>
      <c r="N35" s="1145">
        <v>1010000.0</v>
      </c>
      <c r="O35" s="1146">
        <f t="shared" ref="O35:O36" si="27">G35*2.132</f>
        <v>1226835.948</v>
      </c>
      <c r="P35" s="1145">
        <v>1195000.0</v>
      </c>
      <c r="Q35" s="1147">
        <f t="shared" si="11"/>
        <v>1254750</v>
      </c>
      <c r="R35" s="1147"/>
      <c r="S35" s="1150"/>
      <c r="T35" s="1149">
        <f t="shared" si="12"/>
        <v>-1195000</v>
      </c>
      <c r="U35" s="1150"/>
      <c r="V35" s="1150"/>
      <c r="W35" s="1130"/>
      <c r="X35" s="1130"/>
      <c r="Y35" s="1130"/>
      <c r="Z35" s="1130"/>
      <c r="AA35" s="1130"/>
      <c r="AB35" s="1130"/>
      <c r="AC35" s="1130"/>
    </row>
    <row r="36" ht="15.75" customHeight="1">
      <c r="A36" s="943"/>
      <c r="B36" s="1140" t="s">
        <v>11973</v>
      </c>
      <c r="C36" s="1140" t="s">
        <v>15121</v>
      </c>
      <c r="D36" s="1140" t="s">
        <v>15126</v>
      </c>
      <c r="E36" s="1142">
        <v>459000.0</v>
      </c>
      <c r="F36" s="1142">
        <f t="shared" si="1"/>
        <v>509490</v>
      </c>
      <c r="G36" s="1143">
        <f t="shared" si="9"/>
        <v>575439</v>
      </c>
      <c r="H36" s="1142">
        <f t="shared" si="24"/>
        <v>749221.578</v>
      </c>
      <c r="I36" s="1144">
        <v>750000.0</v>
      </c>
      <c r="J36" s="1145">
        <v>730000.0</v>
      </c>
      <c r="K36" s="1142">
        <f t="shared" si="25"/>
        <v>893081.328</v>
      </c>
      <c r="L36" s="1145">
        <v>870000.0</v>
      </c>
      <c r="M36" s="1142">
        <f t="shared" si="26"/>
        <v>1036941.078</v>
      </c>
      <c r="N36" s="1145">
        <v>1010000.0</v>
      </c>
      <c r="O36" s="1146">
        <f t="shared" si="27"/>
        <v>1226835.948</v>
      </c>
      <c r="P36" s="1145">
        <v>1195000.0</v>
      </c>
      <c r="Q36" s="1147">
        <f t="shared" si="11"/>
        <v>1254750</v>
      </c>
      <c r="R36" s="1147"/>
      <c r="S36" s="1150"/>
      <c r="T36" s="1149">
        <f t="shared" si="12"/>
        <v>-1195000</v>
      </c>
      <c r="U36" s="1150"/>
      <c r="V36" s="1150"/>
      <c r="W36" s="1130"/>
      <c r="X36" s="1130"/>
      <c r="Y36" s="1130"/>
      <c r="Z36" s="1130"/>
      <c r="AA36" s="1130"/>
      <c r="AB36" s="1130"/>
      <c r="AC36" s="1130"/>
    </row>
    <row r="37" ht="15.75" customHeight="1">
      <c r="A37" s="943"/>
      <c r="B37" s="1140" t="s">
        <v>11973</v>
      </c>
      <c r="C37" s="1140" t="s">
        <v>15127</v>
      </c>
      <c r="D37" s="1140" t="s">
        <v>15128</v>
      </c>
      <c r="E37" s="1142">
        <v>392000.0</v>
      </c>
      <c r="F37" s="1142">
        <f t="shared" si="1"/>
        <v>435120</v>
      </c>
      <c r="G37" s="1143">
        <f t="shared" si="9"/>
        <v>493632</v>
      </c>
      <c r="H37" s="1142">
        <f>G37* 1.351</f>
        <v>666896.832</v>
      </c>
      <c r="I37" s="1144">
        <v>667000.0</v>
      </c>
      <c r="J37" s="1145">
        <v>647000.0</v>
      </c>
      <c r="K37" s="1142">
        <f>G37*1.6</f>
        <v>789811.2</v>
      </c>
      <c r="L37" s="1145">
        <v>766000.0</v>
      </c>
      <c r="M37" s="1142">
        <f>G37*1.851</f>
        <v>913712.832</v>
      </c>
      <c r="N37" s="1145">
        <v>886000.0</v>
      </c>
      <c r="O37" s="1146">
        <f>G37*2.085</f>
        <v>1029222.72</v>
      </c>
      <c r="P37" s="1145">
        <v>998000.0</v>
      </c>
      <c r="Q37" s="1147">
        <f t="shared" si="11"/>
        <v>1047900</v>
      </c>
      <c r="R37" s="1147"/>
      <c r="S37" s="1150"/>
      <c r="T37" s="1149">
        <f t="shared" si="12"/>
        <v>-998000</v>
      </c>
      <c r="U37" s="1150"/>
      <c r="V37" s="1150"/>
      <c r="W37" s="1130"/>
      <c r="X37" s="1130"/>
      <c r="Y37" s="1130"/>
      <c r="Z37" s="1130"/>
      <c r="AA37" s="1130"/>
      <c r="AB37" s="1130"/>
      <c r="AC37" s="1130"/>
    </row>
    <row r="38" ht="15.75" customHeight="1">
      <c r="A38" s="943"/>
      <c r="B38" s="1140" t="s">
        <v>11973</v>
      </c>
      <c r="C38" s="1140" t="s">
        <v>15129</v>
      </c>
      <c r="D38" s="1140" t="s">
        <v>15130</v>
      </c>
      <c r="E38" s="1142">
        <v>522000.0</v>
      </c>
      <c r="F38" s="1142">
        <f t="shared" si="1"/>
        <v>579420</v>
      </c>
      <c r="G38" s="1143">
        <f t="shared" si="9"/>
        <v>652362</v>
      </c>
      <c r="H38" s="1142">
        <f>G38* 1.3</f>
        <v>848070.6</v>
      </c>
      <c r="I38" s="1144">
        <v>849000.0</v>
      </c>
      <c r="J38" s="1145">
        <v>829000.0</v>
      </c>
      <c r="K38" s="1142">
        <f>G38*1.55</f>
        <v>1011161.1</v>
      </c>
      <c r="L38" s="1145">
        <v>988000.0</v>
      </c>
      <c r="M38" s="1142">
        <f>G38*1.801</f>
        <v>1174903.962</v>
      </c>
      <c r="N38" s="1145">
        <v>1148000.0</v>
      </c>
      <c r="O38" s="1146">
        <f>G38*1.931</f>
        <v>1259711.022</v>
      </c>
      <c r="P38" s="1145">
        <v>1231000.0</v>
      </c>
      <c r="Q38" s="1147">
        <f t="shared" si="11"/>
        <v>1292550</v>
      </c>
      <c r="R38" s="1147"/>
      <c r="S38" s="1150"/>
      <c r="T38" s="1149">
        <f t="shared" si="12"/>
        <v>-1231000</v>
      </c>
      <c r="U38" s="1150"/>
      <c r="V38" s="1150"/>
      <c r="W38" s="1130"/>
      <c r="X38" s="1130"/>
      <c r="Y38" s="1130"/>
      <c r="Z38" s="1130"/>
      <c r="AA38" s="1130"/>
      <c r="AB38" s="1130"/>
      <c r="AC38" s="1130"/>
    </row>
    <row r="39" ht="15.75" customHeight="1">
      <c r="A39" s="943"/>
      <c r="B39" s="1140" t="s">
        <v>15131</v>
      </c>
      <c r="C39" s="1140" t="s">
        <v>15132</v>
      </c>
      <c r="D39" s="1140" t="s">
        <v>15133</v>
      </c>
      <c r="E39" s="1142">
        <v>679000.0</v>
      </c>
      <c r="F39" s="1142">
        <f t="shared" si="1"/>
        <v>753690</v>
      </c>
      <c r="G39" s="1143">
        <f t="shared" si="9"/>
        <v>844059</v>
      </c>
      <c r="H39" s="1142">
        <f>G39* 1.33</f>
        <v>1122598.47</v>
      </c>
      <c r="I39" s="1144">
        <v>1123000.0</v>
      </c>
      <c r="J39" s="1145">
        <v>1103000.0</v>
      </c>
      <c r="K39" s="1142">
        <f>G39*1.6</f>
        <v>1350494.4</v>
      </c>
      <c r="L39" s="1145">
        <v>1327000.0</v>
      </c>
      <c r="M39" s="1142">
        <f>G39*1.682</f>
        <v>1419707.238</v>
      </c>
      <c r="N39" s="1145">
        <v>1395000.0</v>
      </c>
      <c r="O39" s="1146">
        <f>G39*1.72</f>
        <v>1451781.48</v>
      </c>
      <c r="P39" s="1145">
        <v>1426000.0</v>
      </c>
      <c r="Q39" s="1147">
        <f t="shared" si="11"/>
        <v>1497300</v>
      </c>
      <c r="R39" s="1147"/>
      <c r="S39" s="1150"/>
      <c r="T39" s="1149">
        <f t="shared" si="12"/>
        <v>-1426000</v>
      </c>
      <c r="U39" s="1150"/>
      <c r="V39" s="1150"/>
      <c r="W39" s="1130"/>
      <c r="X39" s="1130"/>
      <c r="Y39" s="1130"/>
      <c r="Z39" s="1130"/>
      <c r="AA39" s="1130"/>
      <c r="AB39" s="1130"/>
      <c r="AC39" s="1130"/>
    </row>
    <row r="40" ht="15.75" customHeight="1">
      <c r="A40" s="943"/>
      <c r="B40" s="1140" t="s">
        <v>15134</v>
      </c>
      <c r="C40" s="1140" t="s">
        <v>15135</v>
      </c>
      <c r="D40" s="1140" t="s">
        <v>15136</v>
      </c>
      <c r="E40" s="1142">
        <v>325000.0</v>
      </c>
      <c r="F40" s="1142">
        <f t="shared" si="1"/>
        <v>360750</v>
      </c>
      <c r="G40" s="1143">
        <f t="shared" si="9"/>
        <v>411825</v>
      </c>
      <c r="H40" s="1142">
        <f>G40* 1.401</f>
        <v>576966.825</v>
      </c>
      <c r="I40" s="1144">
        <v>577000.0</v>
      </c>
      <c r="J40" s="1145">
        <v>556000.0</v>
      </c>
      <c r="K40" s="1142">
        <f>G40*1.751</f>
        <v>721105.575</v>
      </c>
      <c r="L40" s="1145">
        <v>695000.0</v>
      </c>
      <c r="M40" s="1142">
        <f>G40*2</f>
        <v>823650</v>
      </c>
      <c r="N40" s="1145">
        <v>794000.0</v>
      </c>
      <c r="O40" s="1146">
        <f>G40*2.205</f>
        <v>908074.125</v>
      </c>
      <c r="P40" s="1145">
        <v>875000.0</v>
      </c>
      <c r="Q40" s="1147">
        <f t="shared" si="11"/>
        <v>918750</v>
      </c>
      <c r="R40" s="1147"/>
      <c r="S40" s="1150"/>
      <c r="T40" s="1149">
        <f t="shared" si="12"/>
        <v>-875000</v>
      </c>
      <c r="U40" s="1150"/>
      <c r="V40" s="1150"/>
      <c r="W40" s="1130"/>
      <c r="X40" s="1130"/>
      <c r="Y40" s="1130"/>
      <c r="Z40" s="1130"/>
      <c r="AA40" s="1130"/>
      <c r="AB40" s="1130"/>
      <c r="AC40" s="1130"/>
    </row>
    <row r="41" ht="15.75" customHeight="1">
      <c r="A41" s="943"/>
      <c r="B41" s="1140" t="s">
        <v>11900</v>
      </c>
      <c r="C41" s="1140" t="s">
        <v>15137</v>
      </c>
      <c r="D41" s="1140" t="s">
        <v>15138</v>
      </c>
      <c r="E41" s="1142">
        <v>573000.0</v>
      </c>
      <c r="F41" s="1142">
        <f t="shared" si="1"/>
        <v>636030</v>
      </c>
      <c r="G41" s="1143">
        <f t="shared" si="9"/>
        <v>714633</v>
      </c>
      <c r="H41" s="1142">
        <f>G41* 1.3</f>
        <v>929022.9</v>
      </c>
      <c r="I41" s="1144">
        <v>930000.0</v>
      </c>
      <c r="J41" s="1145">
        <v>910000.0</v>
      </c>
      <c r="K41" s="1142">
        <f>G41*1.55</f>
        <v>1107681.15</v>
      </c>
      <c r="L41" s="1145">
        <v>1085000.0</v>
      </c>
      <c r="M41" s="1142">
        <f>G41*1.8</f>
        <v>1286339.4</v>
      </c>
      <c r="N41" s="1145">
        <v>1260000.0</v>
      </c>
      <c r="O41" s="1146">
        <f>G41*1.85</f>
        <v>1322071.05</v>
      </c>
      <c r="P41" s="1145">
        <v>1295000.0</v>
      </c>
      <c r="Q41" s="1147">
        <f t="shared" si="11"/>
        <v>1359750</v>
      </c>
      <c r="R41" s="1147"/>
      <c r="S41" s="1150"/>
      <c r="T41" s="1149">
        <f t="shared" si="12"/>
        <v>-1295000</v>
      </c>
      <c r="U41" s="1150"/>
      <c r="V41" s="1150"/>
      <c r="W41" s="1130"/>
      <c r="X41" s="1130"/>
      <c r="Y41" s="1130"/>
      <c r="Z41" s="1130"/>
      <c r="AA41" s="1130"/>
      <c r="AB41" s="1130"/>
      <c r="AC41" s="1130"/>
    </row>
    <row r="42" ht="15.75" customHeight="1">
      <c r="A42" s="943"/>
      <c r="B42" s="1140" t="s">
        <v>11900</v>
      </c>
      <c r="C42" s="1140" t="s">
        <v>15139</v>
      </c>
      <c r="D42" s="1140" t="s">
        <v>15140</v>
      </c>
      <c r="E42" s="1142">
        <v>325000.0</v>
      </c>
      <c r="F42" s="1142">
        <f t="shared" si="1"/>
        <v>360750</v>
      </c>
      <c r="G42" s="1143">
        <f t="shared" si="9"/>
        <v>411825</v>
      </c>
      <c r="H42" s="1142">
        <f>G42* 1.35</f>
        <v>555963.75</v>
      </c>
      <c r="I42" s="1144">
        <v>556000.0</v>
      </c>
      <c r="J42" s="1145">
        <v>536000.0</v>
      </c>
      <c r="K42" s="1142">
        <f>G42*1.6</f>
        <v>658920</v>
      </c>
      <c r="L42" s="1145">
        <v>635000.0</v>
      </c>
      <c r="M42" s="1142">
        <f>G42*1.852</f>
        <v>762699.9</v>
      </c>
      <c r="N42" s="1145">
        <v>735000.0</v>
      </c>
      <c r="O42" s="1146">
        <f>G42*1.915</f>
        <v>788644.875</v>
      </c>
      <c r="P42" s="1145">
        <v>760000.0</v>
      </c>
      <c r="Q42" s="1147">
        <f t="shared" si="11"/>
        <v>798000</v>
      </c>
      <c r="R42" s="1147"/>
      <c r="S42" s="1150"/>
      <c r="T42" s="1149">
        <f t="shared" si="12"/>
        <v>-760000</v>
      </c>
      <c r="U42" s="1150"/>
      <c r="V42" s="1150"/>
      <c r="W42" s="1130"/>
      <c r="X42" s="1130"/>
      <c r="Y42" s="1130"/>
      <c r="Z42" s="1130"/>
      <c r="AA42" s="1130"/>
      <c r="AB42" s="1130"/>
      <c r="AC42" s="1130"/>
    </row>
    <row r="43" ht="15.75" customHeight="1">
      <c r="A43" s="153"/>
      <c r="B43" s="1140" t="s">
        <v>11900</v>
      </c>
      <c r="C43" s="1140" t="s">
        <v>15141</v>
      </c>
      <c r="D43" s="1140" t="s">
        <v>15142</v>
      </c>
      <c r="E43" s="1142">
        <v>340000.0</v>
      </c>
      <c r="F43" s="1142">
        <f t="shared" si="1"/>
        <v>377400</v>
      </c>
      <c r="G43" s="1143">
        <f t="shared" si="9"/>
        <v>430140</v>
      </c>
      <c r="H43" s="1142">
        <f>G43* 1.341</f>
        <v>576817.74</v>
      </c>
      <c r="I43" s="1144">
        <v>577000.0</v>
      </c>
      <c r="J43" s="1145">
        <v>557000.0</v>
      </c>
      <c r="K43" s="1142">
        <f>G43*1.601</f>
        <v>688654.14</v>
      </c>
      <c r="L43" s="1145">
        <v>665000.0</v>
      </c>
      <c r="M43" s="1142">
        <f>G43*1.849</f>
        <v>795328.86</v>
      </c>
      <c r="N43" s="1145">
        <v>768000.0</v>
      </c>
      <c r="O43" s="1146">
        <f>G43*2.163</f>
        <v>930392.82</v>
      </c>
      <c r="P43" s="1145">
        <v>898000.0</v>
      </c>
      <c r="Q43" s="1147">
        <f t="shared" si="11"/>
        <v>942900</v>
      </c>
      <c r="R43" s="1147"/>
      <c r="S43" s="1150"/>
      <c r="T43" s="1149">
        <f t="shared" si="12"/>
        <v>-898000</v>
      </c>
      <c r="U43" s="1150"/>
      <c r="V43" s="1150"/>
      <c r="W43" s="1130"/>
      <c r="X43" s="1130"/>
      <c r="Y43" s="1130"/>
      <c r="Z43" s="1130"/>
      <c r="AA43" s="1130"/>
      <c r="AB43" s="1130"/>
      <c r="AC43" s="1130"/>
    </row>
    <row r="44" ht="15.75" customHeight="1">
      <c r="A44" s="1158"/>
      <c r="B44" s="1159"/>
      <c r="C44" s="1159"/>
      <c r="D44" s="1159"/>
      <c r="E44" s="1160"/>
      <c r="F44" s="1160"/>
      <c r="G44" s="1161"/>
      <c r="H44" s="1160"/>
      <c r="I44" s="1160"/>
      <c r="J44" s="1162"/>
      <c r="K44" s="1160"/>
      <c r="L44" s="1162"/>
      <c r="M44" s="1160"/>
      <c r="N44" s="1162"/>
      <c r="O44" s="1163"/>
      <c r="P44" s="1162"/>
      <c r="Q44" s="1147"/>
      <c r="R44" s="1150"/>
      <c r="S44" s="1150"/>
      <c r="T44" s="1150"/>
      <c r="U44" s="1150"/>
      <c r="V44" s="1150"/>
      <c r="W44" s="1150"/>
      <c r="X44" s="1150"/>
      <c r="Y44" s="1150"/>
      <c r="Z44" s="1150"/>
      <c r="AA44" s="1150"/>
      <c r="AB44" s="1150"/>
      <c r="AC44" s="1150"/>
    </row>
    <row r="45" ht="18.0" customHeight="1">
      <c r="A45" s="1164" t="s">
        <v>15143</v>
      </c>
      <c r="B45" s="1165" t="s">
        <v>2810</v>
      </c>
      <c r="C45" s="1166" t="s">
        <v>15144</v>
      </c>
      <c r="D45" s="1167" t="s">
        <v>15145</v>
      </c>
      <c r="E45" s="1168"/>
      <c r="F45" s="1169"/>
      <c r="G45" s="1143"/>
      <c r="H45" s="1170"/>
      <c r="I45" s="1170"/>
      <c r="J45" s="1171" t="s">
        <v>15146</v>
      </c>
      <c r="K45" s="1170"/>
      <c r="L45" s="1171" t="s">
        <v>15147</v>
      </c>
      <c r="M45" s="1172"/>
      <c r="N45" s="1171" t="s">
        <v>15148</v>
      </c>
      <c r="O45" s="1172"/>
      <c r="P45" s="1173" t="s">
        <v>15149</v>
      </c>
      <c r="Q45" s="1147"/>
      <c r="R45" s="1174"/>
      <c r="S45" s="1175"/>
      <c r="T45" s="1176"/>
      <c r="U45" s="1150"/>
      <c r="V45" s="1176"/>
      <c r="W45" s="1150"/>
      <c r="X45" s="1176"/>
      <c r="Y45" s="1150"/>
      <c r="Z45" s="1130"/>
      <c r="AA45" s="1130"/>
      <c r="AB45" s="1130"/>
      <c r="AC45" s="1130"/>
    </row>
    <row r="46" ht="15.0" customHeight="1">
      <c r="A46" s="943"/>
      <c r="B46" s="153"/>
      <c r="C46" s="153"/>
      <c r="D46" s="1167"/>
      <c r="E46" s="1172" t="s">
        <v>15046</v>
      </c>
      <c r="F46" s="1172" t="s">
        <v>15150</v>
      </c>
      <c r="G46" s="1143"/>
      <c r="H46" s="1177" t="s">
        <v>15151</v>
      </c>
      <c r="I46" s="1177"/>
      <c r="J46" s="1178" t="s">
        <v>15152</v>
      </c>
      <c r="K46" s="1177" t="s">
        <v>15153</v>
      </c>
      <c r="L46" s="1178" t="s">
        <v>15154</v>
      </c>
      <c r="M46" s="1177" t="s">
        <v>15155</v>
      </c>
      <c r="N46" s="1178" t="s">
        <v>15156</v>
      </c>
      <c r="O46" s="1177" t="s">
        <v>15157</v>
      </c>
      <c r="P46" s="1178" t="s">
        <v>15158</v>
      </c>
      <c r="Q46" s="1147"/>
      <c r="R46" s="1130"/>
      <c r="S46" s="1130"/>
      <c r="T46" s="1130"/>
      <c r="U46" s="1130"/>
      <c r="V46" s="1130"/>
      <c r="W46" s="1130"/>
      <c r="X46" s="1130"/>
      <c r="Y46" s="1130"/>
      <c r="Z46" s="1130"/>
      <c r="AA46" s="1130"/>
      <c r="AB46" s="1130"/>
      <c r="AC46" s="1130"/>
    </row>
    <row r="47" ht="17.25" customHeight="1">
      <c r="A47" s="943"/>
      <c r="B47" s="1179" t="s">
        <v>11586</v>
      </c>
      <c r="C47" s="1180" t="s">
        <v>15159</v>
      </c>
      <c r="D47" s="1179" t="s">
        <v>15160</v>
      </c>
      <c r="E47" s="1181">
        <v>603000.0</v>
      </c>
      <c r="F47" s="1181">
        <f t="shared" ref="F47:F69" si="28">E47*1.11</f>
        <v>669330</v>
      </c>
      <c r="G47" s="1143">
        <f t="shared" ref="G47:G69" si="29">(F47*1.1)+15000</f>
        <v>751263</v>
      </c>
      <c r="H47" s="1181">
        <f>G47*1.269</f>
        <v>953352.747</v>
      </c>
      <c r="I47" s="1181"/>
      <c r="J47" s="1182">
        <v>935000.0</v>
      </c>
      <c r="K47" s="1181">
        <f>G47*1.473</f>
        <v>1106610.399</v>
      </c>
      <c r="L47" s="1182">
        <v>1085000.0</v>
      </c>
      <c r="M47" s="1181">
        <f>G47*1.881</f>
        <v>1413125.703</v>
      </c>
      <c r="N47" s="1182">
        <f>L47+300000</f>
        <v>1385000</v>
      </c>
      <c r="O47" s="1181">
        <f>G47*1.935</f>
        <v>1453693.905</v>
      </c>
      <c r="P47" s="1182">
        <v>1425000.0</v>
      </c>
      <c r="Q47" s="1147">
        <f t="shared" ref="Q47:Q69" si="30">P47*1.05</f>
        <v>1496250</v>
      </c>
      <c r="R47" s="1183">
        <f>Q47-P47</f>
        <v>71250</v>
      </c>
      <c r="S47" s="1130"/>
      <c r="T47" s="1130"/>
      <c r="U47" s="1130"/>
      <c r="V47" s="1130"/>
      <c r="W47" s="1130"/>
      <c r="X47" s="1130"/>
      <c r="Y47" s="1130"/>
      <c r="Z47" s="1130"/>
      <c r="AA47" s="1130"/>
      <c r="AB47" s="1130"/>
      <c r="AC47" s="1130"/>
    </row>
    <row r="48" ht="17.25" customHeight="1">
      <c r="A48" s="943"/>
      <c r="B48" s="1179" t="s">
        <v>11586</v>
      </c>
      <c r="C48" s="1180" t="s">
        <v>15161</v>
      </c>
      <c r="D48" s="1179" t="s">
        <v>15162</v>
      </c>
      <c r="E48" s="1181">
        <v>662000.0</v>
      </c>
      <c r="F48" s="1181">
        <f t="shared" si="28"/>
        <v>734820</v>
      </c>
      <c r="G48" s="1143">
        <f t="shared" si="29"/>
        <v>823302</v>
      </c>
      <c r="H48" s="1181">
        <f>G48*1.36</f>
        <v>1119690.72</v>
      </c>
      <c r="I48" s="1181"/>
      <c r="J48" s="1182">
        <v>1100000.0</v>
      </c>
      <c r="K48" s="1181">
        <f>G48*1.855</f>
        <v>1527225.21</v>
      </c>
      <c r="L48" s="1182">
        <v>1500000.0</v>
      </c>
      <c r="M48" s="1181">
        <f>G48*2.35</f>
        <v>1934759.7</v>
      </c>
      <c r="N48" s="1182">
        <f>L48+400000</f>
        <v>1900000</v>
      </c>
      <c r="O48" s="1181">
        <f>G48*3.34</f>
        <v>2749828.68</v>
      </c>
      <c r="P48" s="1182">
        <f>N48+800000</f>
        <v>2700000</v>
      </c>
      <c r="Q48" s="1147">
        <f t="shared" si="30"/>
        <v>2835000</v>
      </c>
      <c r="R48" s="1130"/>
      <c r="S48" s="1130"/>
      <c r="T48" s="1130"/>
      <c r="U48" s="1130"/>
      <c r="V48" s="1130"/>
      <c r="W48" s="1130"/>
      <c r="X48" s="1130"/>
      <c r="Y48" s="1130"/>
      <c r="Z48" s="1130"/>
      <c r="AA48" s="1130"/>
      <c r="AB48" s="1130"/>
      <c r="AC48" s="1130"/>
    </row>
    <row r="49" ht="17.25" customHeight="1">
      <c r="A49" s="943"/>
      <c r="B49" s="1179" t="s">
        <v>11632</v>
      </c>
      <c r="C49" s="1180" t="s">
        <v>15163</v>
      </c>
      <c r="D49" s="1179" t="s">
        <v>15164</v>
      </c>
      <c r="E49" s="1181">
        <v>589000.0</v>
      </c>
      <c r="F49" s="1181">
        <f t="shared" si="28"/>
        <v>653790</v>
      </c>
      <c r="G49" s="1143">
        <f t="shared" si="29"/>
        <v>734169</v>
      </c>
      <c r="H49" s="1181">
        <f>G49*1.223</f>
        <v>897888.687</v>
      </c>
      <c r="I49" s="1181"/>
      <c r="J49" s="1182">
        <v>880000.0</v>
      </c>
      <c r="K49" s="1181">
        <f>G49*1.362</f>
        <v>999938.178</v>
      </c>
      <c r="L49" s="1182">
        <v>980000.0</v>
      </c>
      <c r="M49" s="1181">
        <f>G49*1.571</f>
        <v>1153379.499</v>
      </c>
      <c r="N49" s="1182">
        <f>L49+150000</f>
        <v>1130000</v>
      </c>
      <c r="O49" s="1181">
        <f>G49*1.856</f>
        <v>1362617.664</v>
      </c>
      <c r="P49" s="1182">
        <v>1335000.0</v>
      </c>
      <c r="Q49" s="1147">
        <f t="shared" si="30"/>
        <v>1401750</v>
      </c>
      <c r="R49" s="1130"/>
      <c r="S49" s="1130"/>
      <c r="T49" s="1130"/>
      <c r="U49" s="1130"/>
      <c r="V49" s="1130"/>
      <c r="W49" s="1130"/>
      <c r="X49" s="1130"/>
      <c r="Y49" s="1130"/>
      <c r="Z49" s="1130"/>
      <c r="AA49" s="1130"/>
      <c r="AB49" s="1130"/>
      <c r="AC49" s="1130"/>
    </row>
    <row r="50" ht="17.25" customHeight="1">
      <c r="A50" s="943"/>
      <c r="B50" s="1179" t="s">
        <v>15165</v>
      </c>
      <c r="C50" s="1180" t="s">
        <v>15166</v>
      </c>
      <c r="D50" s="1179" t="s">
        <v>15167</v>
      </c>
      <c r="E50" s="1181">
        <v>431000.0</v>
      </c>
      <c r="F50" s="1181">
        <f t="shared" si="28"/>
        <v>478410</v>
      </c>
      <c r="G50" s="1143">
        <f t="shared" si="29"/>
        <v>541251</v>
      </c>
      <c r="H50" s="1181">
        <f>G50*1.254</f>
        <v>678728.754</v>
      </c>
      <c r="I50" s="1181"/>
      <c r="J50" s="1182">
        <v>660000.0</v>
      </c>
      <c r="K50" s="1181">
        <f>G50*1.501</f>
        <v>812417.751</v>
      </c>
      <c r="L50" s="1182">
        <v>790000.0</v>
      </c>
      <c r="M50" s="1181">
        <f>G50*1.9</f>
        <v>1028376.9</v>
      </c>
      <c r="N50" s="1182">
        <f>L50+210000</f>
        <v>1000000</v>
      </c>
      <c r="O50" s="1181">
        <f>G50*2.09</f>
        <v>1131214.59</v>
      </c>
      <c r="P50" s="1182">
        <v>1100000.0</v>
      </c>
      <c r="Q50" s="1147">
        <f t="shared" si="30"/>
        <v>1155000</v>
      </c>
      <c r="R50" s="1130"/>
      <c r="S50" s="1130"/>
      <c r="T50" s="1130"/>
      <c r="U50" s="1130"/>
      <c r="V50" s="1130"/>
      <c r="W50" s="1130"/>
      <c r="X50" s="1130"/>
      <c r="Y50" s="1130"/>
      <c r="Z50" s="1130"/>
      <c r="AA50" s="1130"/>
      <c r="AB50" s="1130"/>
      <c r="AC50" s="1130"/>
    </row>
    <row r="51" ht="17.25" customHeight="1">
      <c r="A51" s="943"/>
      <c r="B51" s="1179" t="s">
        <v>11666</v>
      </c>
      <c r="C51" s="1180" t="s">
        <v>15168</v>
      </c>
      <c r="D51" s="1179" t="s">
        <v>15169</v>
      </c>
      <c r="E51" s="1184">
        <v>492000.0</v>
      </c>
      <c r="F51" s="1181">
        <f t="shared" si="28"/>
        <v>546120</v>
      </c>
      <c r="G51" s="1143">
        <f t="shared" si="29"/>
        <v>615732</v>
      </c>
      <c r="H51" s="1185">
        <f>G51*1.148</f>
        <v>706860.336</v>
      </c>
      <c r="I51" s="1185"/>
      <c r="J51" s="1186">
        <v>690000.0</v>
      </c>
      <c r="K51" s="1185">
        <f>G51* 1.306</f>
        <v>804145.992</v>
      </c>
      <c r="L51" s="1186">
        <v>785000.0</v>
      </c>
      <c r="M51" s="1181">
        <f>G51*1.722</f>
        <v>1060290.504</v>
      </c>
      <c r="N51" s="1182">
        <f>L51+250000</f>
        <v>1035000</v>
      </c>
      <c r="O51" s="1181">
        <f>G51*1.872</f>
        <v>1152650.304</v>
      </c>
      <c r="P51" s="1182">
        <v>1125000.0</v>
      </c>
      <c r="Q51" s="1147">
        <f t="shared" si="30"/>
        <v>1181250</v>
      </c>
      <c r="R51" s="1130"/>
      <c r="S51" s="1130"/>
      <c r="T51" s="1130"/>
      <c r="U51" s="1130"/>
      <c r="V51" s="1130"/>
      <c r="W51" s="1130"/>
      <c r="X51" s="1130"/>
      <c r="Y51" s="1130"/>
      <c r="Z51" s="1130"/>
      <c r="AA51" s="1130"/>
      <c r="AB51" s="1130"/>
      <c r="AC51" s="1130"/>
    </row>
    <row r="52" ht="17.25" customHeight="1">
      <c r="A52" s="943"/>
      <c r="B52" s="1179" t="s">
        <v>11666</v>
      </c>
      <c r="C52" s="1180" t="s">
        <v>15170</v>
      </c>
      <c r="D52" s="1179" t="s">
        <v>15171</v>
      </c>
      <c r="E52" s="1181">
        <v>603000.0</v>
      </c>
      <c r="F52" s="1181">
        <f t="shared" si="28"/>
        <v>669330</v>
      </c>
      <c r="G52" s="1143">
        <f t="shared" si="29"/>
        <v>751263</v>
      </c>
      <c r="H52" s="1181">
        <f>G52*1.269</f>
        <v>953352.747</v>
      </c>
      <c r="I52" s="1181"/>
      <c r="J52" s="1182">
        <v>935000.0</v>
      </c>
      <c r="K52" s="1181">
        <f>G52*1.473</f>
        <v>1106610.399</v>
      </c>
      <c r="L52" s="1182">
        <v>1085000.0</v>
      </c>
      <c r="M52" s="1181">
        <f>G52*1.881</f>
        <v>1413125.703</v>
      </c>
      <c r="N52" s="1182">
        <f>L52+300000</f>
        <v>1385000</v>
      </c>
      <c r="O52" s="1181">
        <f>G52*2.037</f>
        <v>1530322.731</v>
      </c>
      <c r="P52" s="1182">
        <v>1500000.0</v>
      </c>
      <c r="Q52" s="1147">
        <f t="shared" si="30"/>
        <v>1575000</v>
      </c>
      <c r="R52" s="1130"/>
      <c r="S52" s="1130"/>
      <c r="T52" s="1130"/>
      <c r="U52" s="1130"/>
      <c r="V52" s="1130"/>
      <c r="W52" s="1130"/>
      <c r="X52" s="1130"/>
      <c r="Y52" s="1130"/>
      <c r="Z52" s="1130"/>
      <c r="AA52" s="1130"/>
      <c r="AB52" s="1130"/>
      <c r="AC52" s="1130"/>
    </row>
    <row r="53" ht="17.25" customHeight="1">
      <c r="A53" s="943"/>
      <c r="B53" s="1179" t="s">
        <v>15172</v>
      </c>
      <c r="C53" s="1180" t="s">
        <v>15173</v>
      </c>
      <c r="D53" s="1179" t="s">
        <v>15174</v>
      </c>
      <c r="E53" s="1181">
        <v>523000.0</v>
      </c>
      <c r="F53" s="1181">
        <f t="shared" si="28"/>
        <v>580530</v>
      </c>
      <c r="G53" s="1143">
        <f t="shared" si="29"/>
        <v>653583</v>
      </c>
      <c r="H53" s="1181">
        <f>G53*1.205</f>
        <v>787567.515</v>
      </c>
      <c r="I53" s="1181"/>
      <c r="J53" s="1182">
        <v>770000.0</v>
      </c>
      <c r="K53" s="1181">
        <f>G53*1.44</f>
        <v>941159.52</v>
      </c>
      <c r="L53" s="1182">
        <v>920000.0</v>
      </c>
      <c r="M53" s="1181">
        <f>G53*1.832</f>
        <v>1197364.056</v>
      </c>
      <c r="N53" s="1182">
        <f>L53+250000</f>
        <v>1170000</v>
      </c>
      <c r="O53" s="1181">
        <f>G53*1.957</f>
        <v>1279061.931</v>
      </c>
      <c r="P53" s="1182">
        <v>1250000.0</v>
      </c>
      <c r="Q53" s="1147">
        <f t="shared" si="30"/>
        <v>1312500</v>
      </c>
      <c r="R53" s="1130"/>
      <c r="S53" s="1130"/>
      <c r="T53" s="1130"/>
      <c r="U53" s="1130"/>
      <c r="V53" s="1130"/>
      <c r="W53" s="1130"/>
      <c r="X53" s="1130"/>
      <c r="Y53" s="1130"/>
      <c r="Z53" s="1130"/>
      <c r="AA53" s="1130"/>
      <c r="AB53" s="1130"/>
      <c r="AC53" s="1130"/>
    </row>
    <row r="54" ht="17.25" customHeight="1">
      <c r="A54" s="943"/>
      <c r="B54" s="1179" t="s">
        <v>107</v>
      </c>
      <c r="C54" s="1180" t="s">
        <v>15175</v>
      </c>
      <c r="D54" s="1179" t="s">
        <v>15176</v>
      </c>
      <c r="E54" s="1181">
        <v>595000.0</v>
      </c>
      <c r="F54" s="1181">
        <f t="shared" si="28"/>
        <v>660450</v>
      </c>
      <c r="G54" s="1143">
        <f t="shared" si="29"/>
        <v>741495</v>
      </c>
      <c r="H54" s="1181">
        <f>G54*1.307</f>
        <v>969133.965</v>
      </c>
      <c r="I54" s="1181"/>
      <c r="J54" s="1182">
        <v>950000.0</v>
      </c>
      <c r="K54" s="1181">
        <f>G54*1.445</f>
        <v>1071460.275</v>
      </c>
      <c r="L54" s="1182">
        <v>1050000.0</v>
      </c>
      <c r="M54" s="1181">
        <f>G54*1.617</f>
        <v>1198997.415</v>
      </c>
      <c r="N54" s="1182">
        <v>1175000.0</v>
      </c>
      <c r="O54" s="1181">
        <f>G54*1.858</f>
        <v>1377697.71</v>
      </c>
      <c r="P54" s="1182">
        <v>1350000.0</v>
      </c>
      <c r="Q54" s="1147">
        <f t="shared" si="30"/>
        <v>1417500</v>
      </c>
      <c r="R54" s="1130"/>
      <c r="S54" s="1130"/>
      <c r="T54" s="1130"/>
      <c r="U54" s="1130"/>
      <c r="V54" s="1130"/>
      <c r="W54" s="1130"/>
      <c r="X54" s="1130"/>
      <c r="Y54" s="1130"/>
      <c r="Z54" s="1130"/>
      <c r="AA54" s="1130"/>
      <c r="AB54" s="1130"/>
      <c r="AC54" s="1130"/>
    </row>
    <row r="55" ht="17.25" customHeight="1">
      <c r="A55" s="943"/>
      <c r="B55" s="1179" t="s">
        <v>107</v>
      </c>
      <c r="C55" s="1187" t="s">
        <v>15177</v>
      </c>
      <c r="D55" s="1179" t="s">
        <v>15178</v>
      </c>
      <c r="E55" s="1188">
        <v>612000.0</v>
      </c>
      <c r="F55" s="1181">
        <f t="shared" si="28"/>
        <v>679320</v>
      </c>
      <c r="G55" s="1143">
        <f t="shared" si="29"/>
        <v>762252</v>
      </c>
      <c r="H55" s="1185">
        <f>G55*1.164</f>
        <v>887261.328</v>
      </c>
      <c r="I55" s="1185"/>
      <c r="J55" s="1186">
        <v>870000.0</v>
      </c>
      <c r="K55" s="1181">
        <f>G55*1.405</f>
        <v>1070964.06</v>
      </c>
      <c r="L55" s="1182">
        <v>1050000.0</v>
      </c>
      <c r="M55" s="1181">
        <f>G55*1.605</f>
        <v>1223414.46</v>
      </c>
      <c r="N55" s="1182">
        <f>L55+150000</f>
        <v>1200000</v>
      </c>
      <c r="O55" s="1181">
        <f>G55*1.873</f>
        <v>1427697.996</v>
      </c>
      <c r="P55" s="1182">
        <v>1400000.0</v>
      </c>
      <c r="Q55" s="1147">
        <f t="shared" si="30"/>
        <v>1470000</v>
      </c>
      <c r="R55" s="1130"/>
      <c r="S55" s="1130"/>
      <c r="T55" s="1130"/>
      <c r="U55" s="1130"/>
      <c r="V55" s="1130"/>
      <c r="W55" s="1130"/>
      <c r="X55" s="1130"/>
      <c r="Y55" s="1130"/>
      <c r="Z55" s="1130"/>
      <c r="AA55" s="1130"/>
      <c r="AB55" s="1130"/>
      <c r="AC55" s="1130"/>
    </row>
    <row r="56" ht="17.25" customHeight="1">
      <c r="A56" s="943"/>
      <c r="B56" s="1179" t="s">
        <v>107</v>
      </c>
      <c r="C56" s="1180" t="s">
        <v>15179</v>
      </c>
      <c r="D56" s="1179" t="s">
        <v>15180</v>
      </c>
      <c r="E56" s="1181">
        <v>546000.0</v>
      </c>
      <c r="F56" s="1181">
        <f t="shared" si="28"/>
        <v>606060</v>
      </c>
      <c r="G56" s="1143">
        <f t="shared" si="29"/>
        <v>681666</v>
      </c>
      <c r="H56" s="1181">
        <f>G56*1.222</f>
        <v>832995.852</v>
      </c>
      <c r="I56" s="1181"/>
      <c r="J56" s="1182">
        <v>815000.0</v>
      </c>
      <c r="K56" s="1181">
        <f>G56* 1.35</f>
        <v>920249.1</v>
      </c>
      <c r="L56" s="1182">
        <v>900000.0</v>
      </c>
      <c r="M56" s="1185">
        <f>G56*1.552</f>
        <v>1057945.632</v>
      </c>
      <c r="N56" s="1186">
        <v>1035000.0</v>
      </c>
      <c r="O56" s="1181">
        <f>G56*1.875</f>
        <v>1278123.75</v>
      </c>
      <c r="P56" s="1182">
        <v>1250000.0</v>
      </c>
      <c r="Q56" s="1147">
        <f t="shared" si="30"/>
        <v>1312500</v>
      </c>
      <c r="R56" s="1130"/>
      <c r="S56" s="1130"/>
      <c r="T56" s="1130"/>
      <c r="U56" s="1130"/>
      <c r="V56" s="1130"/>
      <c r="W56" s="1130"/>
      <c r="X56" s="1130"/>
      <c r="Y56" s="1130"/>
      <c r="Z56" s="1130"/>
      <c r="AA56" s="1130"/>
      <c r="AB56" s="1130"/>
      <c r="AC56" s="1130"/>
    </row>
    <row r="57" ht="17.25" customHeight="1">
      <c r="A57" s="943"/>
      <c r="B57" s="1179" t="s">
        <v>11720</v>
      </c>
      <c r="C57" s="1180" t="s">
        <v>15181</v>
      </c>
      <c r="D57" s="1179" t="s">
        <v>15182</v>
      </c>
      <c r="E57" s="1181">
        <v>460000.0</v>
      </c>
      <c r="F57" s="1181">
        <f t="shared" si="28"/>
        <v>510600</v>
      </c>
      <c r="G57" s="1143">
        <f t="shared" si="29"/>
        <v>576660</v>
      </c>
      <c r="H57" s="1181">
        <f>G57*1.237</f>
        <v>713328.42</v>
      </c>
      <c r="I57" s="1181"/>
      <c r="J57" s="1182">
        <v>695000.0</v>
      </c>
      <c r="K57" s="1181">
        <f>G57*1.397</f>
        <v>805594.02</v>
      </c>
      <c r="L57" s="1182">
        <v>785000.0</v>
      </c>
      <c r="M57" s="1181">
        <f>G57*1.584</f>
        <v>913429.44</v>
      </c>
      <c r="N57" s="1186">
        <v>890000.0</v>
      </c>
      <c r="O57" s="1181">
        <f>G57*1.869</f>
        <v>1077777.54</v>
      </c>
      <c r="P57" s="1182">
        <v>1050000.0</v>
      </c>
      <c r="Q57" s="1147">
        <f t="shared" si="30"/>
        <v>1102500</v>
      </c>
      <c r="R57" s="1130"/>
      <c r="S57" s="1130"/>
      <c r="T57" s="1130"/>
      <c r="U57" s="1130"/>
      <c r="V57" s="1130"/>
      <c r="W57" s="1130"/>
      <c r="X57" s="1130"/>
      <c r="Y57" s="1130"/>
      <c r="Z57" s="1130"/>
      <c r="AA57" s="1130"/>
      <c r="AB57" s="1130"/>
      <c r="AC57" s="1130"/>
    </row>
    <row r="58" ht="17.25" customHeight="1">
      <c r="A58" s="943"/>
      <c r="B58" s="1179" t="s">
        <v>11746</v>
      </c>
      <c r="C58" s="1180" t="s">
        <v>15183</v>
      </c>
      <c r="D58" s="1179" t="s">
        <v>15184</v>
      </c>
      <c r="E58" s="1181">
        <v>370000.0</v>
      </c>
      <c r="F58" s="1181">
        <f t="shared" si="28"/>
        <v>410700</v>
      </c>
      <c r="G58" s="1143">
        <f t="shared" si="29"/>
        <v>466770</v>
      </c>
      <c r="H58" s="1181">
        <f>G58*1.217</f>
        <v>568059.09</v>
      </c>
      <c r="I58" s="1181"/>
      <c r="J58" s="1182">
        <v>550000.0</v>
      </c>
      <c r="K58" s="1181">
        <f>G58*1.372</f>
        <v>640408.44</v>
      </c>
      <c r="L58" s="1182">
        <v>620000.0</v>
      </c>
      <c r="M58" s="1181">
        <f>G58*1.549</f>
        <v>723026.73</v>
      </c>
      <c r="N58" s="1186">
        <v>700000.0</v>
      </c>
      <c r="O58" s="1181">
        <f>G58*1.881</f>
        <v>877994.37</v>
      </c>
      <c r="P58" s="1182">
        <v>850000.0</v>
      </c>
      <c r="Q58" s="1147">
        <f t="shared" si="30"/>
        <v>892500</v>
      </c>
      <c r="R58" s="1130"/>
      <c r="S58" s="1130"/>
      <c r="T58" s="1130"/>
      <c r="U58" s="1130"/>
      <c r="V58" s="1130"/>
      <c r="W58" s="1130"/>
      <c r="X58" s="1130"/>
      <c r="Y58" s="1130"/>
      <c r="Z58" s="1130"/>
      <c r="AA58" s="1130"/>
      <c r="AB58" s="1130"/>
      <c r="AC58" s="1130"/>
    </row>
    <row r="59" ht="17.25" customHeight="1">
      <c r="A59" s="943"/>
      <c r="B59" s="1179" t="s">
        <v>11751</v>
      </c>
      <c r="C59" s="1180" t="s">
        <v>15185</v>
      </c>
      <c r="D59" s="1179" t="s">
        <v>15186</v>
      </c>
      <c r="E59" s="1181">
        <v>553000.0</v>
      </c>
      <c r="F59" s="1181">
        <f t="shared" si="28"/>
        <v>613830</v>
      </c>
      <c r="G59" s="1143">
        <f t="shared" si="29"/>
        <v>690213</v>
      </c>
      <c r="H59" s="1181">
        <f>G59*1.221</f>
        <v>842750.073</v>
      </c>
      <c r="I59" s="1181"/>
      <c r="J59" s="1182">
        <v>825000.0</v>
      </c>
      <c r="K59" s="1181">
        <f>G59*1.443</f>
        <v>995977.359</v>
      </c>
      <c r="L59" s="1182">
        <v>975000.0</v>
      </c>
      <c r="M59" s="1181">
        <f>G59*1.666</f>
        <v>1149894.858</v>
      </c>
      <c r="N59" s="1182">
        <f>L59+150000</f>
        <v>1125000</v>
      </c>
      <c r="O59" s="1181">
        <f>G59*1.888</f>
        <v>1303122.144</v>
      </c>
      <c r="P59" s="1182">
        <v>1275000.0</v>
      </c>
      <c r="Q59" s="1147">
        <f t="shared" si="30"/>
        <v>1338750</v>
      </c>
      <c r="R59" s="1130"/>
      <c r="S59" s="1130"/>
      <c r="T59" s="1130"/>
      <c r="U59" s="1130"/>
      <c r="V59" s="1130"/>
      <c r="W59" s="1130"/>
      <c r="X59" s="1130"/>
      <c r="Y59" s="1130"/>
      <c r="Z59" s="1130"/>
      <c r="AA59" s="1130"/>
      <c r="AB59" s="1130"/>
      <c r="AC59" s="1130"/>
    </row>
    <row r="60" ht="17.25" customHeight="1">
      <c r="A60" s="943"/>
      <c r="B60" s="1179" t="s">
        <v>11757</v>
      </c>
      <c r="C60" s="1180" t="s">
        <v>15187</v>
      </c>
      <c r="D60" s="1179" t="s">
        <v>15188</v>
      </c>
      <c r="E60" s="1181">
        <v>501000.0</v>
      </c>
      <c r="F60" s="1181">
        <f t="shared" si="28"/>
        <v>556110</v>
      </c>
      <c r="G60" s="1143">
        <f t="shared" si="29"/>
        <v>626721</v>
      </c>
      <c r="H60" s="1181">
        <f>G60*1.258</f>
        <v>788415.018</v>
      </c>
      <c r="I60" s="1181"/>
      <c r="J60" s="1182">
        <v>770000.0</v>
      </c>
      <c r="K60" s="1181">
        <f>G60*1.454</f>
        <v>911252.334</v>
      </c>
      <c r="L60" s="1182">
        <v>890000.0</v>
      </c>
      <c r="M60" s="1181">
        <f>G60*1.626</f>
        <v>1019048.346</v>
      </c>
      <c r="N60" s="1182">
        <v>995000.0</v>
      </c>
      <c r="O60" s="1181">
        <f>G60*1.879</f>
        <v>1177608.759</v>
      </c>
      <c r="P60" s="1182">
        <v>1150000.0</v>
      </c>
      <c r="Q60" s="1147">
        <f t="shared" si="30"/>
        <v>1207500</v>
      </c>
      <c r="R60" s="1130"/>
      <c r="S60" s="1130"/>
      <c r="T60" s="1130"/>
      <c r="U60" s="1130"/>
      <c r="V60" s="1130"/>
      <c r="W60" s="1130"/>
      <c r="X60" s="1130"/>
      <c r="Y60" s="1130"/>
      <c r="Z60" s="1130"/>
      <c r="AA60" s="1130"/>
      <c r="AB60" s="1130"/>
      <c r="AC60" s="1130"/>
    </row>
    <row r="61" ht="17.25" customHeight="1">
      <c r="A61" s="943"/>
      <c r="B61" s="1179" t="s">
        <v>15189</v>
      </c>
      <c r="C61" s="1180" t="s">
        <v>15190</v>
      </c>
      <c r="D61" s="1179" t="s">
        <v>15191</v>
      </c>
      <c r="E61" s="1181">
        <v>487000.0</v>
      </c>
      <c r="F61" s="1181">
        <f t="shared" si="28"/>
        <v>540570</v>
      </c>
      <c r="G61" s="1143">
        <f t="shared" si="29"/>
        <v>609627</v>
      </c>
      <c r="H61" s="1181">
        <f>G61*1.387</f>
        <v>845552.649</v>
      </c>
      <c r="I61" s="1181"/>
      <c r="J61" s="1182">
        <v>825000.0</v>
      </c>
      <c r="K61" s="1181">
        <f>G61*1.639</f>
        <v>999178.653</v>
      </c>
      <c r="L61" s="1182">
        <v>975000.0</v>
      </c>
      <c r="M61" s="1181">
        <f>G61*1.891</f>
        <v>1152804.657</v>
      </c>
      <c r="N61" s="1182">
        <f>L61+150000</f>
        <v>1125000</v>
      </c>
      <c r="O61" s="1181">
        <f>G61*2.354</f>
        <v>1435061.958</v>
      </c>
      <c r="P61" s="1182">
        <v>1400000.0</v>
      </c>
      <c r="Q61" s="1147">
        <f t="shared" si="30"/>
        <v>1470000</v>
      </c>
      <c r="R61" s="1130"/>
      <c r="S61" s="1130"/>
      <c r="T61" s="1130"/>
      <c r="U61" s="1130"/>
      <c r="V61" s="1130"/>
      <c r="W61" s="1130"/>
      <c r="X61" s="1130"/>
      <c r="Y61" s="1130"/>
      <c r="Z61" s="1130"/>
      <c r="AA61" s="1130"/>
      <c r="AB61" s="1130"/>
      <c r="AC61" s="1130"/>
    </row>
    <row r="62" ht="17.25" customHeight="1">
      <c r="A62" s="943"/>
      <c r="B62" s="1179" t="s">
        <v>11900</v>
      </c>
      <c r="C62" s="1187" t="s">
        <v>15192</v>
      </c>
      <c r="D62" s="1179" t="s">
        <v>15193</v>
      </c>
      <c r="E62" s="1188">
        <v>356000.0</v>
      </c>
      <c r="F62" s="1181">
        <f t="shared" si="28"/>
        <v>395160</v>
      </c>
      <c r="G62" s="1143">
        <f t="shared" si="29"/>
        <v>449676</v>
      </c>
      <c r="H62" s="1185">
        <f>G62*1.138</f>
        <v>511731.288</v>
      </c>
      <c r="I62" s="1185"/>
      <c r="J62" s="1186">
        <v>495000.0</v>
      </c>
      <c r="K62" s="1181">
        <f>G62*1.368</f>
        <v>615156.768</v>
      </c>
      <c r="L62" s="1182">
        <v>595000.0</v>
      </c>
      <c r="M62" s="1181">
        <f>G62*1.552</f>
        <v>697897.152</v>
      </c>
      <c r="N62" s="1186">
        <v>675000.0</v>
      </c>
      <c r="O62" s="1181">
        <f>G62*1.863</f>
        <v>837746.388</v>
      </c>
      <c r="P62" s="1186">
        <v>810000.0</v>
      </c>
      <c r="Q62" s="1147">
        <f t="shared" si="30"/>
        <v>850500</v>
      </c>
      <c r="R62" s="1130"/>
      <c r="S62" s="1130"/>
      <c r="T62" s="1130"/>
      <c r="U62" s="1130"/>
      <c r="V62" s="1130"/>
      <c r="W62" s="1130"/>
      <c r="X62" s="1130"/>
      <c r="Y62" s="1130"/>
      <c r="Z62" s="1130"/>
      <c r="AA62" s="1130"/>
      <c r="AB62" s="1130"/>
      <c r="AC62" s="1130"/>
    </row>
    <row r="63" ht="17.25" customHeight="1">
      <c r="A63" s="943"/>
      <c r="B63" s="1179" t="s">
        <v>11912</v>
      </c>
      <c r="C63" s="1180" t="s">
        <v>15194</v>
      </c>
      <c r="D63" s="1179" t="s">
        <v>15195</v>
      </c>
      <c r="E63" s="1181">
        <v>576000.0</v>
      </c>
      <c r="F63" s="1181">
        <f t="shared" si="28"/>
        <v>639360</v>
      </c>
      <c r="G63" s="1143">
        <f t="shared" si="29"/>
        <v>718296</v>
      </c>
      <c r="H63" s="1181">
        <f>G63* 1.251</f>
        <v>898588.296</v>
      </c>
      <c r="I63" s="1181"/>
      <c r="J63" s="1182">
        <v>880000.0</v>
      </c>
      <c r="K63" s="1181">
        <f>G63*1.464</f>
        <v>1051585.344</v>
      </c>
      <c r="L63" s="1182">
        <v>1030000.0</v>
      </c>
      <c r="M63" s="1181">
        <f>G63*1.677</f>
        <v>1204582.392</v>
      </c>
      <c r="N63" s="1182">
        <f>L63+150000</f>
        <v>1180000</v>
      </c>
      <c r="O63" s="1181">
        <f>G63*1.919</f>
        <v>1378410.024</v>
      </c>
      <c r="P63" s="1182">
        <v>1350000.0</v>
      </c>
      <c r="Q63" s="1147">
        <f t="shared" si="30"/>
        <v>1417500</v>
      </c>
      <c r="R63" s="1130"/>
      <c r="S63" s="1130"/>
      <c r="T63" s="1130"/>
      <c r="U63" s="1130"/>
      <c r="V63" s="1130"/>
      <c r="W63" s="1130"/>
      <c r="X63" s="1130"/>
      <c r="Y63" s="1130"/>
      <c r="Z63" s="1130"/>
      <c r="AA63" s="1130"/>
      <c r="AB63" s="1130"/>
      <c r="AC63" s="1130"/>
    </row>
    <row r="64" ht="17.25" customHeight="1">
      <c r="A64" s="943"/>
      <c r="B64" s="1179" t="s">
        <v>11961</v>
      </c>
      <c r="C64" s="1180" t="s">
        <v>15196</v>
      </c>
      <c r="D64" s="1179" t="s">
        <v>15197</v>
      </c>
      <c r="E64" s="1181">
        <v>224000.0</v>
      </c>
      <c r="F64" s="1181">
        <f t="shared" si="28"/>
        <v>248640</v>
      </c>
      <c r="G64" s="1143">
        <f t="shared" si="29"/>
        <v>288504</v>
      </c>
      <c r="H64" s="1181">
        <f>G64*1.407</f>
        <v>405925.128</v>
      </c>
      <c r="I64" s="1181"/>
      <c r="J64" s="1182">
        <v>385000.0</v>
      </c>
      <c r="K64" s="1181">
        <f>G64*1.773</f>
        <v>511517.592</v>
      </c>
      <c r="L64" s="1182">
        <v>485000.0</v>
      </c>
      <c r="M64" s="1181">
        <f>G64*2.175</f>
        <v>627496.2</v>
      </c>
      <c r="N64" s="1182">
        <v>595000.0</v>
      </c>
      <c r="O64" s="1181">
        <f>G64*2.376</f>
        <v>685485.504</v>
      </c>
      <c r="P64" s="1182">
        <v>650000.0</v>
      </c>
      <c r="Q64" s="1147">
        <f t="shared" si="30"/>
        <v>682500</v>
      </c>
      <c r="R64" s="1130"/>
      <c r="S64" s="1130"/>
      <c r="T64" s="1130"/>
      <c r="U64" s="1130"/>
      <c r="V64" s="1130"/>
      <c r="W64" s="1130"/>
      <c r="X64" s="1130"/>
      <c r="Y64" s="1130"/>
      <c r="Z64" s="1130"/>
      <c r="AA64" s="1130"/>
      <c r="AB64" s="1130"/>
      <c r="AC64" s="1130"/>
    </row>
    <row r="65" ht="17.25" customHeight="1">
      <c r="A65" s="943"/>
      <c r="B65" s="1179" t="s">
        <v>11973</v>
      </c>
      <c r="C65" s="1180" t="s">
        <v>15198</v>
      </c>
      <c r="D65" s="1179" t="s">
        <v>15199</v>
      </c>
      <c r="E65" s="1181">
        <v>458000.0</v>
      </c>
      <c r="F65" s="1181">
        <f t="shared" si="28"/>
        <v>508380</v>
      </c>
      <c r="G65" s="1143">
        <f t="shared" si="29"/>
        <v>574218</v>
      </c>
      <c r="H65" s="1181">
        <f>G65*1.278</f>
        <v>733850.604</v>
      </c>
      <c r="I65" s="1181"/>
      <c r="J65" s="1182">
        <v>715000.0</v>
      </c>
      <c r="K65" s="1181">
        <f>G65*1.546</f>
        <v>887741.028</v>
      </c>
      <c r="L65" s="1182">
        <v>865000.0</v>
      </c>
      <c r="M65" s="1181">
        <f>G65*1.743</f>
        <v>1000861.974</v>
      </c>
      <c r="N65" s="1182">
        <v>975000.0</v>
      </c>
      <c r="O65" s="1181">
        <f>G65*1.877</f>
        <v>1077807.186</v>
      </c>
      <c r="P65" s="1182">
        <v>1050000.0</v>
      </c>
      <c r="Q65" s="1147">
        <f t="shared" si="30"/>
        <v>1102500</v>
      </c>
      <c r="R65" s="1130"/>
      <c r="S65" s="1130"/>
      <c r="T65" s="1130"/>
      <c r="U65" s="1130"/>
      <c r="V65" s="1130"/>
      <c r="W65" s="1130"/>
      <c r="X65" s="1130"/>
      <c r="Y65" s="1130"/>
      <c r="Z65" s="1130"/>
      <c r="AA65" s="1130"/>
      <c r="AB65" s="1130"/>
      <c r="AC65" s="1130"/>
    </row>
    <row r="66" ht="17.25" customHeight="1">
      <c r="A66" s="943"/>
      <c r="B66" s="1179" t="s">
        <v>11973</v>
      </c>
      <c r="C66" s="1180" t="s">
        <v>15200</v>
      </c>
      <c r="D66" s="1179" t="s">
        <v>15201</v>
      </c>
      <c r="E66" s="1181">
        <v>299000.0</v>
      </c>
      <c r="F66" s="1181">
        <f t="shared" si="28"/>
        <v>331890</v>
      </c>
      <c r="G66" s="1143">
        <f t="shared" si="29"/>
        <v>380079</v>
      </c>
      <c r="H66" s="1181">
        <f>G66*1.506</f>
        <v>572398.974</v>
      </c>
      <c r="I66" s="1181"/>
      <c r="J66" s="1182">
        <v>550000.0</v>
      </c>
      <c r="K66" s="1181">
        <f>G66*1.575</f>
        <v>598624.425</v>
      </c>
      <c r="L66" s="1182">
        <v>575000.0</v>
      </c>
      <c r="M66" s="1181">
        <f>G66*1.711</f>
        <v>650315.169</v>
      </c>
      <c r="N66" s="1182">
        <v>625000.0</v>
      </c>
      <c r="O66" s="1181">
        <f>G66*1.862</f>
        <v>707707.098</v>
      </c>
      <c r="P66" s="1182">
        <v>680000.0</v>
      </c>
      <c r="Q66" s="1147">
        <f t="shared" si="30"/>
        <v>714000</v>
      </c>
      <c r="R66" s="1130"/>
      <c r="S66" s="1130"/>
      <c r="T66" s="1189"/>
      <c r="U66" s="1189"/>
      <c r="V66" s="1130"/>
      <c r="W66" s="1130"/>
      <c r="X66" s="1130"/>
      <c r="Y66" s="1130"/>
      <c r="Z66" s="1130"/>
      <c r="AA66" s="1130"/>
      <c r="AB66" s="1130"/>
      <c r="AC66" s="1130"/>
    </row>
    <row r="67" ht="17.25" customHeight="1">
      <c r="A67" s="943"/>
      <c r="B67" s="1179" t="s">
        <v>11973</v>
      </c>
      <c r="C67" s="1180" t="s">
        <v>15202</v>
      </c>
      <c r="D67" s="1179" t="s">
        <v>15203</v>
      </c>
      <c r="E67" s="1181">
        <v>548000.0</v>
      </c>
      <c r="F67" s="1181">
        <f t="shared" si="28"/>
        <v>608280</v>
      </c>
      <c r="G67" s="1143">
        <f t="shared" si="29"/>
        <v>684108</v>
      </c>
      <c r="H67" s="1181">
        <f>G67*1.232</f>
        <v>842821.056</v>
      </c>
      <c r="I67" s="1181"/>
      <c r="J67" s="1182">
        <v>825000.0</v>
      </c>
      <c r="K67" s="1181">
        <f>G67* 1.382</f>
        <v>945437.256</v>
      </c>
      <c r="L67" s="1182">
        <v>925000.0</v>
      </c>
      <c r="M67" s="1181">
        <f>G67*1.606</f>
        <v>1098677.448</v>
      </c>
      <c r="N67" s="1182">
        <f t="shared" ref="N67:N68" si="31">L67+150000</f>
        <v>1075000</v>
      </c>
      <c r="O67" s="1181">
        <f>G67*1.868</f>
        <v>1277913.744</v>
      </c>
      <c r="P67" s="1182">
        <v>1250000.0</v>
      </c>
      <c r="Q67" s="1147">
        <f t="shared" si="30"/>
        <v>1312500</v>
      </c>
      <c r="R67" s="1130"/>
      <c r="S67" s="1130"/>
      <c r="T67" s="1189"/>
      <c r="U67" s="1189"/>
      <c r="V67" s="1130"/>
      <c r="W67" s="1130"/>
      <c r="X67" s="1130"/>
      <c r="Y67" s="1130"/>
      <c r="Z67" s="1130"/>
      <c r="AA67" s="1130"/>
      <c r="AB67" s="1130"/>
      <c r="AC67" s="1130"/>
    </row>
    <row r="68" ht="17.25" customHeight="1">
      <c r="A68" s="943"/>
      <c r="B68" s="1179" t="s">
        <v>11973</v>
      </c>
      <c r="C68" s="1187" t="s">
        <v>15204</v>
      </c>
      <c r="D68" s="1179" t="s">
        <v>15205</v>
      </c>
      <c r="E68" s="1188">
        <v>601000.0</v>
      </c>
      <c r="F68" s="1188">
        <f t="shared" si="28"/>
        <v>667110</v>
      </c>
      <c r="G68" s="1143">
        <f t="shared" si="29"/>
        <v>748821</v>
      </c>
      <c r="H68" s="1185">
        <f>G68*1.199</f>
        <v>897836.379</v>
      </c>
      <c r="I68" s="1185"/>
      <c r="J68" s="1186">
        <v>880000.0</v>
      </c>
      <c r="K68" s="1181">
        <f>G68*1.403</f>
        <v>1050595.863</v>
      </c>
      <c r="L68" s="1182">
        <v>1030000.0</v>
      </c>
      <c r="M68" s="1181">
        <f>G68*1.608</f>
        <v>1204104.168</v>
      </c>
      <c r="N68" s="1182">
        <f t="shared" si="31"/>
        <v>1180000</v>
      </c>
      <c r="O68" s="1181">
        <f>G68*1.88</f>
        <v>1407783.48</v>
      </c>
      <c r="P68" s="1182">
        <v>1380000.0</v>
      </c>
      <c r="Q68" s="1147">
        <f t="shared" si="30"/>
        <v>1449000</v>
      </c>
      <c r="R68" s="1130"/>
      <c r="S68" s="1130"/>
      <c r="T68" s="1189"/>
      <c r="U68" s="1189"/>
      <c r="V68" s="1130"/>
      <c r="W68" s="1130"/>
      <c r="X68" s="1130"/>
      <c r="Y68" s="1130"/>
      <c r="Z68" s="1130"/>
      <c r="AA68" s="1130"/>
      <c r="AB68" s="1130"/>
      <c r="AC68" s="1130"/>
    </row>
    <row r="69" ht="17.25" customHeight="1">
      <c r="A69" s="153"/>
      <c r="B69" s="1179" t="s">
        <v>11973</v>
      </c>
      <c r="C69" s="1187" t="s">
        <v>15206</v>
      </c>
      <c r="D69" s="1179" t="s">
        <v>15207</v>
      </c>
      <c r="E69" s="1188">
        <v>484000.0</v>
      </c>
      <c r="F69" s="1181">
        <f t="shared" si="28"/>
        <v>537240</v>
      </c>
      <c r="G69" s="1143">
        <f t="shared" si="29"/>
        <v>605964</v>
      </c>
      <c r="H69" s="1185">
        <f>G69*1.116</f>
        <v>676255.824</v>
      </c>
      <c r="I69" s="1185"/>
      <c r="J69" s="1186">
        <v>660000.0</v>
      </c>
      <c r="K69" s="1181">
        <f>G69* 1.302</f>
        <v>788965.128</v>
      </c>
      <c r="L69" s="1186">
        <v>770000.0</v>
      </c>
      <c r="M69" s="1181">
        <f>G69*1.607</f>
        <v>973784.148</v>
      </c>
      <c r="N69" s="1182">
        <v>950000.0</v>
      </c>
      <c r="O69" s="1181">
        <f>G69*1.861</f>
        <v>1127699.004</v>
      </c>
      <c r="P69" s="1182">
        <v>1100000.0</v>
      </c>
      <c r="Q69" s="1147">
        <f t="shared" si="30"/>
        <v>1155000</v>
      </c>
      <c r="R69" s="1130"/>
      <c r="S69" s="1130"/>
      <c r="T69" s="1189"/>
      <c r="U69" s="1189"/>
      <c r="V69" s="1130"/>
      <c r="W69" s="1130"/>
      <c r="X69" s="1130"/>
      <c r="Y69" s="1130"/>
      <c r="Z69" s="1130"/>
      <c r="AA69" s="1130"/>
      <c r="AB69" s="1130"/>
      <c r="AC69" s="1130"/>
    </row>
    <row r="70" ht="15.75" customHeight="1">
      <c r="A70" s="1130"/>
      <c r="B70" s="1130"/>
      <c r="C70" s="1130"/>
      <c r="D70" s="1130"/>
      <c r="E70" s="1150"/>
      <c r="F70" s="1150"/>
      <c r="G70" s="1161"/>
      <c r="H70" s="1130"/>
      <c r="I70" s="1130"/>
      <c r="J70" s="1130"/>
      <c r="K70" s="1130"/>
      <c r="L70" s="1130"/>
      <c r="M70" s="1150"/>
      <c r="N70" s="1130"/>
      <c r="O70" s="1130"/>
      <c r="P70" s="1130"/>
      <c r="Q70" s="1130"/>
      <c r="R70" s="1130"/>
      <c r="S70" s="1130"/>
      <c r="T70" s="1130"/>
      <c r="U70" s="1130"/>
      <c r="V70" s="1130"/>
      <c r="W70" s="1130"/>
      <c r="X70" s="1130"/>
      <c r="Y70" s="1130"/>
      <c r="Z70" s="1130"/>
      <c r="AA70" s="1130"/>
      <c r="AB70" s="1130"/>
      <c r="AC70" s="1130"/>
    </row>
    <row r="71" ht="15.75" customHeight="1">
      <c r="A71" s="1190" t="s">
        <v>15208</v>
      </c>
      <c r="B71" s="1191" t="s">
        <v>2810</v>
      </c>
      <c r="C71" s="1191" t="s">
        <v>15144</v>
      </c>
      <c r="D71" s="1192" t="s">
        <v>15041</v>
      </c>
      <c r="E71" s="1170"/>
      <c r="F71" s="1170"/>
      <c r="G71" s="1143"/>
      <c r="H71" s="1172"/>
      <c r="I71" s="1172"/>
      <c r="J71" s="1193" t="s">
        <v>15209</v>
      </c>
      <c r="K71" s="1172"/>
      <c r="L71" s="1194" t="s">
        <v>15210</v>
      </c>
      <c r="M71" s="1170"/>
      <c r="N71" s="1195" t="s">
        <v>15211</v>
      </c>
      <c r="O71" s="1172"/>
      <c r="P71" s="1196" t="s">
        <v>15212</v>
      </c>
      <c r="Q71" s="1172"/>
      <c r="R71" s="1172"/>
      <c r="S71" s="1172"/>
      <c r="T71" s="1172" t="s">
        <v>15213</v>
      </c>
      <c r="U71" s="1130"/>
      <c r="V71" s="1130"/>
      <c r="W71" s="1130"/>
      <c r="X71" s="1130"/>
      <c r="Y71" s="1130"/>
      <c r="Z71" s="1130"/>
      <c r="AA71" s="1130"/>
      <c r="AB71" s="1130"/>
      <c r="AC71" s="1130"/>
    </row>
    <row r="72" ht="15.75" customHeight="1">
      <c r="A72" s="943"/>
      <c r="B72" s="153"/>
      <c r="C72" s="153"/>
      <c r="D72" s="1192"/>
      <c r="E72" s="1197" t="s">
        <v>15214</v>
      </c>
      <c r="F72" s="1197" t="s">
        <v>15215</v>
      </c>
      <c r="G72" s="1143"/>
      <c r="H72" s="1198" t="s">
        <v>15216</v>
      </c>
      <c r="I72" s="1198"/>
      <c r="J72" s="1199" t="s">
        <v>15152</v>
      </c>
      <c r="K72" s="1200" t="s">
        <v>15217</v>
      </c>
      <c r="L72" s="1201" t="s">
        <v>15218</v>
      </c>
      <c r="M72" s="1200" t="s">
        <v>15219</v>
      </c>
      <c r="N72" s="1202" t="s">
        <v>15156</v>
      </c>
      <c r="O72" s="1203" t="s">
        <v>15220</v>
      </c>
      <c r="P72" s="1203" t="s">
        <v>15221</v>
      </c>
      <c r="Q72" s="1204"/>
      <c r="R72" s="1204"/>
      <c r="S72" s="1205" t="s">
        <v>15222</v>
      </c>
      <c r="T72" s="1206" t="s">
        <v>13538</v>
      </c>
      <c r="U72" s="1130"/>
      <c r="V72" s="1130"/>
      <c r="W72" s="1130"/>
      <c r="X72" s="1130"/>
      <c r="Y72" s="1130"/>
      <c r="Z72" s="1130"/>
      <c r="AA72" s="1130"/>
      <c r="AB72" s="1130"/>
      <c r="AC72" s="1130"/>
    </row>
    <row r="73" ht="15.75" customHeight="1">
      <c r="A73" s="943"/>
      <c r="B73" s="1207" t="s">
        <v>11568</v>
      </c>
      <c r="C73" s="1208" t="s">
        <v>15223</v>
      </c>
      <c r="D73" s="1209" t="s">
        <v>15224</v>
      </c>
      <c r="E73" s="1181">
        <v>539000.0</v>
      </c>
      <c r="F73" s="1181">
        <f t="shared" ref="F73:F231" si="32">E73*1.11</f>
        <v>598290</v>
      </c>
      <c r="G73" s="1143">
        <f t="shared" ref="G73:G204" si="33">(F73*1.1)+15000</f>
        <v>673119</v>
      </c>
      <c r="H73" s="1210">
        <f>G73*3.52</f>
        <v>2369378.88</v>
      </c>
      <c r="I73" s="1210"/>
      <c r="J73" s="1181">
        <f>P73*80%</f>
        <v>2369378.88</v>
      </c>
      <c r="K73" s="1181">
        <f>G73*3.74</f>
        <v>2517465.06</v>
      </c>
      <c r="L73" s="1181">
        <f t="shared" ref="L73:L75" si="34">P73*85%</f>
        <v>2517465.06</v>
      </c>
      <c r="M73" s="1181">
        <f>G73*3.96</f>
        <v>2665551.24</v>
      </c>
      <c r="N73" s="1181">
        <f>P73*90%</f>
        <v>2665551.24</v>
      </c>
      <c r="O73" s="1181">
        <f>G73*4.4</f>
        <v>2961723.6</v>
      </c>
      <c r="P73" s="1210">
        <f>G73*4.4</f>
        <v>2961723.6</v>
      </c>
      <c r="Q73" s="1211"/>
      <c r="R73" s="1211"/>
      <c r="S73" s="1211">
        <v>800000.0</v>
      </c>
      <c r="T73" s="1210" t="s">
        <v>15225</v>
      </c>
      <c r="U73" s="1130"/>
      <c r="V73" s="1130"/>
      <c r="W73" s="1130"/>
      <c r="X73" s="1130"/>
      <c r="Y73" s="1130"/>
      <c r="Z73" s="1130"/>
      <c r="AA73" s="1130"/>
      <c r="AB73" s="1130"/>
      <c r="AC73" s="1130"/>
    </row>
    <row r="74" ht="15.75" customHeight="1">
      <c r="A74" s="943"/>
      <c r="B74" s="1207" t="s">
        <v>11586</v>
      </c>
      <c r="C74" s="1207" t="s">
        <v>15226</v>
      </c>
      <c r="D74" s="1209" t="s">
        <v>15227</v>
      </c>
      <c r="E74" s="1181">
        <v>515000.0</v>
      </c>
      <c r="F74" s="1181">
        <f t="shared" si="32"/>
        <v>571650</v>
      </c>
      <c r="G74" s="1143">
        <f t="shared" si="33"/>
        <v>643815</v>
      </c>
      <c r="H74" s="1210">
        <f>G74*1.749</f>
        <v>1126032.435</v>
      </c>
      <c r="I74" s="1210"/>
      <c r="J74" s="1181">
        <f>P74*79.5%</f>
        <v>1126032.435</v>
      </c>
      <c r="K74" s="1181">
        <f t="shared" ref="K74:K75" si="35">G74*1.87</f>
        <v>1203934.05</v>
      </c>
      <c r="L74" s="1181">
        <f t="shared" si="34"/>
        <v>1203934.05</v>
      </c>
      <c r="M74" s="1181">
        <f>G74*1.923</f>
        <v>1238056.245</v>
      </c>
      <c r="N74" s="1181">
        <f>P74*87.45%</f>
        <v>1238635.679</v>
      </c>
      <c r="O74" s="1181">
        <f t="shared" ref="O74:O75" si="36">G74*2.2</f>
        <v>1416393</v>
      </c>
      <c r="P74" s="1210">
        <f t="shared" ref="P74:P75" si="37">G74*2.2</f>
        <v>1416393</v>
      </c>
      <c r="Q74" s="1211"/>
      <c r="R74" s="1211"/>
      <c r="S74" s="1211">
        <v>500000.0</v>
      </c>
      <c r="T74" s="1210" t="s">
        <v>15225</v>
      </c>
      <c r="U74" s="1130"/>
      <c r="V74" s="1130"/>
      <c r="W74" s="1130"/>
      <c r="X74" s="1130"/>
      <c r="Y74" s="1130"/>
      <c r="Z74" s="1130"/>
      <c r="AA74" s="1130"/>
      <c r="AB74" s="1130"/>
      <c r="AC74" s="1130"/>
    </row>
    <row r="75" ht="15.75" customHeight="1">
      <c r="A75" s="943"/>
      <c r="B75" s="1212" t="s">
        <v>11586</v>
      </c>
      <c r="C75" s="1212" t="s">
        <v>15228</v>
      </c>
      <c r="D75" s="1213" t="s">
        <v>15229</v>
      </c>
      <c r="E75" s="1188">
        <v>526000.0</v>
      </c>
      <c r="F75" s="1181">
        <f t="shared" si="32"/>
        <v>583860</v>
      </c>
      <c r="G75" s="1143">
        <f t="shared" si="33"/>
        <v>657246</v>
      </c>
      <c r="H75" s="1210">
        <f>G75*1.551</f>
        <v>1019388.546</v>
      </c>
      <c r="I75" s="1210"/>
      <c r="J75" s="1181">
        <f>P75*70.5%</f>
        <v>1019388.546</v>
      </c>
      <c r="K75" s="1181">
        <f t="shared" si="35"/>
        <v>1229050.02</v>
      </c>
      <c r="L75" s="1181">
        <f t="shared" si="34"/>
        <v>1229050.02</v>
      </c>
      <c r="M75" s="1181">
        <f>G75*1.98</f>
        <v>1301347.08</v>
      </c>
      <c r="N75" s="1181">
        <f>P75*90%</f>
        <v>1301347.08</v>
      </c>
      <c r="O75" s="1181">
        <f t="shared" si="36"/>
        <v>1445941.2</v>
      </c>
      <c r="P75" s="1210">
        <f t="shared" si="37"/>
        <v>1445941.2</v>
      </c>
      <c r="Q75" s="1211"/>
      <c r="R75" s="1211"/>
      <c r="S75" s="1211" t="s">
        <v>11484</v>
      </c>
      <c r="T75" s="1210"/>
      <c r="U75" s="1130"/>
      <c r="V75" s="1130"/>
      <c r="W75" s="1130"/>
      <c r="X75" s="1130"/>
      <c r="Y75" s="1130"/>
      <c r="Z75" s="1130"/>
      <c r="AA75" s="1130"/>
      <c r="AB75" s="1130"/>
      <c r="AC75" s="1130"/>
    </row>
    <row r="76" ht="15.75" customHeight="1">
      <c r="A76" s="943"/>
      <c r="B76" s="1207" t="s">
        <v>11586</v>
      </c>
      <c r="C76" s="1207" t="s">
        <v>15159</v>
      </c>
      <c r="D76" s="1209" t="s">
        <v>15230</v>
      </c>
      <c r="E76" s="1181">
        <v>603000.0</v>
      </c>
      <c r="F76" s="1181">
        <f t="shared" si="32"/>
        <v>669330</v>
      </c>
      <c r="G76" s="1143">
        <f t="shared" si="33"/>
        <v>751263</v>
      </c>
      <c r="H76" s="1214"/>
      <c r="I76" s="1214"/>
      <c r="J76" s="1214"/>
      <c r="K76" s="1214"/>
      <c r="L76" s="1214"/>
      <c r="M76" s="1214"/>
      <c r="N76" s="1214"/>
      <c r="O76" s="1214"/>
      <c r="P76" s="1214"/>
      <c r="Q76" s="1211"/>
      <c r="R76" s="1211"/>
      <c r="S76" s="1211" t="s">
        <v>11484</v>
      </c>
      <c r="T76" s="1210"/>
      <c r="U76" s="1130"/>
      <c r="V76" s="1130"/>
      <c r="W76" s="1130"/>
      <c r="X76" s="1130"/>
      <c r="Y76" s="1130"/>
      <c r="Z76" s="1130"/>
      <c r="AA76" s="1130"/>
      <c r="AB76" s="1130"/>
      <c r="AC76" s="1130"/>
    </row>
    <row r="77" ht="15.75" customHeight="1">
      <c r="A77" s="943"/>
      <c r="B77" s="1207" t="s">
        <v>11586</v>
      </c>
      <c r="C77" s="1208" t="s">
        <v>15161</v>
      </c>
      <c r="D77" s="1209" t="s">
        <v>15231</v>
      </c>
      <c r="E77" s="1181">
        <v>662000.0</v>
      </c>
      <c r="F77" s="1181">
        <f t="shared" si="32"/>
        <v>734820</v>
      </c>
      <c r="G77" s="1143">
        <f t="shared" si="33"/>
        <v>823302</v>
      </c>
      <c r="H77" s="1214"/>
      <c r="I77" s="1214"/>
      <c r="J77" s="1214"/>
      <c r="K77" s="1214"/>
      <c r="L77" s="1214"/>
      <c r="M77" s="1214"/>
      <c r="N77" s="1214"/>
      <c r="O77" s="1214"/>
      <c r="P77" s="1214"/>
      <c r="Q77" s="1211"/>
      <c r="R77" s="1211"/>
      <c r="S77" s="1211">
        <v>1200000.0</v>
      </c>
      <c r="T77" s="1210" t="s">
        <v>15225</v>
      </c>
      <c r="U77" s="1130"/>
      <c r="V77" s="1130"/>
      <c r="W77" s="1130"/>
      <c r="X77" s="1130"/>
      <c r="Y77" s="1130"/>
      <c r="Z77" s="1130"/>
      <c r="AA77" s="1130"/>
      <c r="AB77" s="1130"/>
      <c r="AC77" s="1130"/>
    </row>
    <row r="78" ht="15.75" customHeight="1">
      <c r="A78" s="943"/>
      <c r="B78" s="1207" t="s">
        <v>15165</v>
      </c>
      <c r="C78" s="1207" t="s">
        <v>15166</v>
      </c>
      <c r="D78" s="1209" t="s">
        <v>15232</v>
      </c>
      <c r="E78" s="1181">
        <v>431000.0</v>
      </c>
      <c r="F78" s="1181">
        <f t="shared" si="32"/>
        <v>478410</v>
      </c>
      <c r="G78" s="1143">
        <f t="shared" si="33"/>
        <v>541251</v>
      </c>
      <c r="H78" s="1214"/>
      <c r="I78" s="1214"/>
      <c r="J78" s="1214"/>
      <c r="K78" s="1214"/>
      <c r="L78" s="1214"/>
      <c r="M78" s="1214"/>
      <c r="N78" s="1214"/>
      <c r="O78" s="1214"/>
      <c r="P78" s="1214"/>
      <c r="Q78" s="1211"/>
      <c r="R78" s="1211"/>
      <c r="S78" s="1211" t="s">
        <v>11484</v>
      </c>
      <c r="T78" s="1210"/>
      <c r="U78" s="1130"/>
      <c r="V78" s="1130"/>
      <c r="W78" s="1130"/>
      <c r="X78" s="1130"/>
      <c r="Y78" s="1130"/>
      <c r="Z78" s="1130"/>
      <c r="AA78" s="1130"/>
      <c r="AB78" s="1130"/>
      <c r="AC78" s="1130"/>
    </row>
    <row r="79" ht="15.75" customHeight="1">
      <c r="A79" s="943"/>
      <c r="B79" s="1207" t="s">
        <v>15233</v>
      </c>
      <c r="C79" s="1207" t="s">
        <v>15163</v>
      </c>
      <c r="D79" s="1209" t="s">
        <v>15234</v>
      </c>
      <c r="E79" s="1181">
        <v>589000.0</v>
      </c>
      <c r="F79" s="1181">
        <f t="shared" si="32"/>
        <v>653790</v>
      </c>
      <c r="G79" s="1143">
        <f t="shared" si="33"/>
        <v>734169</v>
      </c>
      <c r="H79" s="1214"/>
      <c r="I79" s="1214"/>
      <c r="J79" s="1214"/>
      <c r="K79" s="1214"/>
      <c r="L79" s="1214"/>
      <c r="M79" s="1214"/>
      <c r="N79" s="1214"/>
      <c r="O79" s="1214"/>
      <c r="P79" s="1214"/>
      <c r="Q79" s="1211"/>
      <c r="R79" s="1211"/>
      <c r="S79" s="1211" t="s">
        <v>11484</v>
      </c>
      <c r="T79" s="1210"/>
      <c r="U79" s="1130"/>
      <c r="V79" s="1130"/>
      <c r="W79" s="1130"/>
      <c r="X79" s="1130"/>
      <c r="Y79" s="1130"/>
      <c r="Z79" s="1130"/>
      <c r="AA79" s="1130"/>
      <c r="AB79" s="1130"/>
      <c r="AC79" s="1130"/>
    </row>
    <row r="80" ht="15.75" customHeight="1">
      <c r="A80" s="943"/>
      <c r="B80" s="1207" t="s">
        <v>11632</v>
      </c>
      <c r="C80" s="1208" t="s">
        <v>15235</v>
      </c>
      <c r="D80" s="1209" t="s">
        <v>15236</v>
      </c>
      <c r="E80" s="1181">
        <v>541000.0</v>
      </c>
      <c r="F80" s="1181">
        <f t="shared" si="32"/>
        <v>600510</v>
      </c>
      <c r="G80" s="1143">
        <f t="shared" si="33"/>
        <v>675561</v>
      </c>
      <c r="H80" s="1210">
        <f>G80*1.92</f>
        <v>1297077.12</v>
      </c>
      <c r="I80" s="1210"/>
      <c r="J80" s="1181">
        <f>P80*80%</f>
        <v>1297077.12</v>
      </c>
      <c r="K80" s="1181">
        <f>G80*2.04</f>
        <v>1378144.44</v>
      </c>
      <c r="L80" s="1181">
        <f t="shared" ref="L80:L82" si="38">P80*85%</f>
        <v>1378144.44</v>
      </c>
      <c r="M80" s="1181">
        <f>G80*2.16</f>
        <v>1459211.76</v>
      </c>
      <c r="N80" s="1181">
        <f t="shared" ref="N80:N83" si="39">P80*90%</f>
        <v>1459211.76</v>
      </c>
      <c r="O80" s="1181">
        <f>G80*2.4</f>
        <v>1621346.4</v>
      </c>
      <c r="P80" s="1210">
        <f>G80*2.4</f>
        <v>1621346.4</v>
      </c>
      <c r="Q80" s="1211"/>
      <c r="R80" s="1211"/>
      <c r="S80" s="1211">
        <v>600000.0</v>
      </c>
      <c r="T80" s="1210" t="s">
        <v>15237</v>
      </c>
      <c r="U80" s="1130"/>
      <c r="V80" s="1130"/>
      <c r="W80" s="1130"/>
      <c r="X80" s="1130"/>
      <c r="Y80" s="1130"/>
      <c r="Z80" s="1130"/>
      <c r="AA80" s="1130"/>
      <c r="AB80" s="1130"/>
      <c r="AC80" s="1130"/>
    </row>
    <row r="81" ht="15.75" customHeight="1">
      <c r="A81" s="943"/>
      <c r="B81" s="1207" t="s">
        <v>11632</v>
      </c>
      <c r="C81" s="1207" t="s">
        <v>15238</v>
      </c>
      <c r="D81" s="1209" t="s">
        <v>15239</v>
      </c>
      <c r="E81" s="1181">
        <v>525000.0</v>
      </c>
      <c r="F81" s="1181">
        <f t="shared" si="32"/>
        <v>582750</v>
      </c>
      <c r="G81" s="1143">
        <f t="shared" si="33"/>
        <v>656025</v>
      </c>
      <c r="H81" s="1210">
        <f>G81*1.44</f>
        <v>944676</v>
      </c>
      <c r="I81" s="1210"/>
      <c r="J81" s="1181">
        <f>P81*72%</f>
        <v>944676</v>
      </c>
      <c r="K81" s="1181">
        <f>G81*1.7</f>
        <v>1115242.5</v>
      </c>
      <c r="L81" s="1181">
        <f t="shared" si="38"/>
        <v>1115242.5</v>
      </c>
      <c r="M81" s="1185">
        <f>G81*1.8</f>
        <v>1180845</v>
      </c>
      <c r="N81" s="1181">
        <f t="shared" si="39"/>
        <v>1180845</v>
      </c>
      <c r="O81" s="1181">
        <f>G81*2</f>
        <v>1312050</v>
      </c>
      <c r="P81" s="1210">
        <f>G81*2</f>
        <v>1312050</v>
      </c>
      <c r="Q81" s="1211"/>
      <c r="R81" s="1211"/>
      <c r="S81" s="1211" t="s">
        <v>11484</v>
      </c>
      <c r="T81" s="1210"/>
      <c r="U81" s="1130"/>
      <c r="V81" s="1130"/>
      <c r="W81" s="1130"/>
      <c r="X81" s="1130"/>
      <c r="Y81" s="1130"/>
      <c r="Z81" s="1130"/>
      <c r="AA81" s="1130"/>
      <c r="AB81" s="1130"/>
      <c r="AC81" s="1130"/>
    </row>
    <row r="82" ht="15.75" customHeight="1">
      <c r="A82" s="943"/>
      <c r="B82" s="1215" t="s">
        <v>2392</v>
      </c>
      <c r="C82" s="1215" t="s">
        <v>15061</v>
      </c>
      <c r="D82" s="1216" t="s">
        <v>15240</v>
      </c>
      <c r="E82" s="1185">
        <v>465000.0</v>
      </c>
      <c r="F82" s="1181">
        <f t="shared" si="32"/>
        <v>516150</v>
      </c>
      <c r="G82" s="1143">
        <f t="shared" si="33"/>
        <v>582765</v>
      </c>
      <c r="H82" s="1217"/>
      <c r="I82" s="1217"/>
      <c r="J82" s="1218">
        <f>P82*80%</f>
        <v>0</v>
      </c>
      <c r="K82" s="1218"/>
      <c r="L82" s="1218">
        <f t="shared" si="38"/>
        <v>0</v>
      </c>
      <c r="M82" s="1218"/>
      <c r="N82" s="1218">
        <f t="shared" si="39"/>
        <v>0</v>
      </c>
      <c r="O82" s="1218"/>
      <c r="P82" s="1219"/>
      <c r="Q82" s="1220"/>
      <c r="R82" s="1220"/>
      <c r="S82" s="1220"/>
      <c r="T82" s="1219"/>
      <c r="U82" s="1130"/>
      <c r="V82" s="1130"/>
      <c r="W82" s="1130"/>
      <c r="X82" s="1130"/>
      <c r="Y82" s="1130"/>
      <c r="Z82" s="1130"/>
      <c r="AA82" s="1130"/>
      <c r="AB82" s="1130"/>
      <c r="AC82" s="1130"/>
    </row>
    <row r="83" ht="15.75" customHeight="1">
      <c r="A83" s="943"/>
      <c r="B83" s="1212" t="s">
        <v>2392</v>
      </c>
      <c r="C83" s="1212" t="s">
        <v>15241</v>
      </c>
      <c r="D83" s="1213" t="s">
        <v>15242</v>
      </c>
      <c r="E83" s="1181">
        <v>191000.0</v>
      </c>
      <c r="F83" s="1181">
        <f t="shared" si="32"/>
        <v>212010</v>
      </c>
      <c r="G83" s="1143">
        <f t="shared" si="33"/>
        <v>248211</v>
      </c>
      <c r="H83" s="1210">
        <f>G83*1.4</f>
        <v>347495.4</v>
      </c>
      <c r="I83" s="1210"/>
      <c r="J83" s="1181">
        <f>P83*70%</f>
        <v>347495.4</v>
      </c>
      <c r="K83" s="1181">
        <f t="shared" ref="K83:K84" si="40">G83*1.6</f>
        <v>397137.6</v>
      </c>
      <c r="L83" s="1181">
        <f t="shared" ref="L83:L84" si="41">P83*80%</f>
        <v>397137.6</v>
      </c>
      <c r="M83" s="1181">
        <f>G83*1.8</f>
        <v>446779.8</v>
      </c>
      <c r="N83" s="1181">
        <f t="shared" si="39"/>
        <v>446779.8</v>
      </c>
      <c r="O83" s="1181">
        <f t="shared" ref="O83:O86" si="42">G83*2</f>
        <v>496422</v>
      </c>
      <c r="P83" s="1210">
        <f t="shared" ref="P83:P86" si="43">G83*2</f>
        <v>496422</v>
      </c>
      <c r="Q83" s="1211"/>
      <c r="R83" s="1211"/>
      <c r="S83" s="1211">
        <v>350000.0</v>
      </c>
      <c r="T83" s="1210" t="s">
        <v>15243</v>
      </c>
      <c r="U83" s="1130"/>
      <c r="V83" s="1130"/>
      <c r="W83" s="1130"/>
      <c r="X83" s="1130"/>
      <c r="Y83" s="1130"/>
      <c r="Z83" s="1130"/>
      <c r="AA83" s="1130"/>
      <c r="AB83" s="1130"/>
      <c r="AC83" s="1130"/>
    </row>
    <row r="84" ht="15.75" customHeight="1">
      <c r="A84" s="943"/>
      <c r="B84" s="1207" t="s">
        <v>2392</v>
      </c>
      <c r="C84" s="1207" t="s">
        <v>15244</v>
      </c>
      <c r="D84" s="1209" t="s">
        <v>15245</v>
      </c>
      <c r="E84" s="1181">
        <v>665000.0</v>
      </c>
      <c r="F84" s="1181">
        <f t="shared" si="32"/>
        <v>738150</v>
      </c>
      <c r="G84" s="1143">
        <f t="shared" si="33"/>
        <v>826965</v>
      </c>
      <c r="H84" s="1221">
        <f>G84* 1.3</f>
        <v>1075054.5</v>
      </c>
      <c r="I84" s="1221"/>
      <c r="J84" s="1185">
        <f>P84*65%</f>
        <v>1075054.5</v>
      </c>
      <c r="K84" s="1185">
        <f t="shared" si="40"/>
        <v>1323144</v>
      </c>
      <c r="L84" s="1185">
        <f t="shared" si="41"/>
        <v>1323144</v>
      </c>
      <c r="M84" s="1185">
        <f>G84*1.7</f>
        <v>1405840.5</v>
      </c>
      <c r="N84" s="1181">
        <f>P84*85%</f>
        <v>1405840.5</v>
      </c>
      <c r="O84" s="1181">
        <f t="shared" si="42"/>
        <v>1653930</v>
      </c>
      <c r="P84" s="1210">
        <f t="shared" si="43"/>
        <v>1653930</v>
      </c>
      <c r="Q84" s="1211"/>
      <c r="R84" s="1211"/>
      <c r="S84" s="1211" t="s">
        <v>11484</v>
      </c>
      <c r="T84" s="1210"/>
      <c r="U84" s="1130"/>
      <c r="V84" s="1130"/>
      <c r="W84" s="1130"/>
      <c r="X84" s="1130"/>
      <c r="Y84" s="1130"/>
      <c r="Z84" s="1130"/>
      <c r="AA84" s="1130"/>
      <c r="AB84" s="1130"/>
      <c r="AC84" s="1130"/>
    </row>
    <row r="85" ht="15.75" customHeight="1">
      <c r="A85" s="943"/>
      <c r="B85" s="1207" t="s">
        <v>2392</v>
      </c>
      <c r="C85" s="1207" t="s">
        <v>15246</v>
      </c>
      <c r="D85" s="1209" t="s">
        <v>15247</v>
      </c>
      <c r="E85" s="1181">
        <v>506000.0</v>
      </c>
      <c r="F85" s="1181">
        <f t="shared" si="32"/>
        <v>561660</v>
      </c>
      <c r="G85" s="1143">
        <f t="shared" si="33"/>
        <v>632826</v>
      </c>
      <c r="H85" s="1210">
        <f t="shared" ref="H85:H86" si="44">G85*1.6</f>
        <v>1012521.6</v>
      </c>
      <c r="I85" s="1210"/>
      <c r="J85" s="1181">
        <f t="shared" ref="J85:J86" si="45">P85*80%</f>
        <v>1012521.6</v>
      </c>
      <c r="K85" s="1181">
        <f t="shared" ref="K85:K86" si="46">G85*1.7</f>
        <v>1075804.2</v>
      </c>
      <c r="L85" s="1181">
        <f t="shared" ref="L85:L86" si="47">P85*85%</f>
        <v>1075804.2</v>
      </c>
      <c r="M85" s="1181">
        <f>G85*1.8</f>
        <v>1139086.8</v>
      </c>
      <c r="N85" s="1181">
        <f>P85*90%</f>
        <v>1139086.8</v>
      </c>
      <c r="O85" s="1181">
        <f t="shared" si="42"/>
        <v>1265652</v>
      </c>
      <c r="P85" s="1210">
        <f t="shared" si="43"/>
        <v>1265652</v>
      </c>
      <c r="Q85" s="1211"/>
      <c r="R85" s="1211"/>
      <c r="S85" s="1211" t="s">
        <v>11484</v>
      </c>
      <c r="T85" s="1210"/>
      <c r="U85" s="1130"/>
      <c r="V85" s="1130"/>
      <c r="W85" s="1130"/>
      <c r="X85" s="1130"/>
      <c r="Y85" s="1130"/>
      <c r="Z85" s="1130"/>
      <c r="AA85" s="1130"/>
      <c r="AB85" s="1130"/>
      <c r="AC85" s="1130"/>
    </row>
    <row r="86" ht="15.75" customHeight="1">
      <c r="A86" s="943"/>
      <c r="B86" s="1207" t="s">
        <v>2392</v>
      </c>
      <c r="C86" s="1207" t="s">
        <v>15248</v>
      </c>
      <c r="D86" s="1209" t="s">
        <v>15249</v>
      </c>
      <c r="E86" s="1181">
        <v>457000.0</v>
      </c>
      <c r="F86" s="1181">
        <f t="shared" si="32"/>
        <v>507270</v>
      </c>
      <c r="G86" s="1143">
        <f t="shared" si="33"/>
        <v>572997</v>
      </c>
      <c r="H86" s="1210">
        <f t="shared" si="44"/>
        <v>916795.2</v>
      </c>
      <c r="I86" s="1210"/>
      <c r="J86" s="1181">
        <f t="shared" si="45"/>
        <v>916795.2</v>
      </c>
      <c r="K86" s="1181">
        <f t="shared" si="46"/>
        <v>974094.9</v>
      </c>
      <c r="L86" s="1181">
        <f t="shared" si="47"/>
        <v>974094.9</v>
      </c>
      <c r="M86" s="1181">
        <f>G86*1.79</f>
        <v>1025664.63</v>
      </c>
      <c r="N86" s="1181">
        <f>P86*89.5%</f>
        <v>1025664.63</v>
      </c>
      <c r="O86" s="1181">
        <f t="shared" si="42"/>
        <v>1145994</v>
      </c>
      <c r="P86" s="1210">
        <f t="shared" si="43"/>
        <v>1145994</v>
      </c>
      <c r="Q86" s="1211"/>
      <c r="R86" s="1211"/>
      <c r="S86" s="1211" t="s">
        <v>11484</v>
      </c>
      <c r="T86" s="1210"/>
      <c r="U86" s="1130"/>
      <c r="V86" s="1130"/>
      <c r="W86" s="1130"/>
      <c r="X86" s="1130"/>
      <c r="Y86" s="1130"/>
      <c r="Z86" s="1130"/>
      <c r="AA86" s="1130"/>
      <c r="AB86" s="1130"/>
      <c r="AC86" s="1130"/>
    </row>
    <row r="87" ht="15.75" customHeight="1">
      <c r="A87" s="943"/>
      <c r="B87" s="1207" t="s">
        <v>15172</v>
      </c>
      <c r="C87" s="1208" t="s">
        <v>15173</v>
      </c>
      <c r="D87" s="1209" t="s">
        <v>15250</v>
      </c>
      <c r="E87" s="1181">
        <v>523000.0</v>
      </c>
      <c r="F87" s="1181">
        <f t="shared" si="32"/>
        <v>580530</v>
      </c>
      <c r="G87" s="1143">
        <f t="shared" si="33"/>
        <v>653583</v>
      </c>
      <c r="H87" s="1214"/>
      <c r="I87" s="1214"/>
      <c r="J87" s="1214"/>
      <c r="K87" s="1214"/>
      <c r="L87" s="1214"/>
      <c r="M87" s="1214"/>
      <c r="N87" s="1214"/>
      <c r="O87" s="1214"/>
      <c r="P87" s="1214"/>
      <c r="Q87" s="1211"/>
      <c r="R87" s="1211"/>
      <c r="S87" s="1211">
        <v>600000.0</v>
      </c>
      <c r="T87" s="1210" t="s">
        <v>15225</v>
      </c>
      <c r="U87" s="1130"/>
      <c r="V87" s="1130"/>
      <c r="W87" s="1130"/>
      <c r="X87" s="1130"/>
      <c r="Y87" s="1130"/>
      <c r="Z87" s="1130"/>
      <c r="AA87" s="1130"/>
      <c r="AB87" s="1130"/>
      <c r="AC87" s="1130"/>
    </row>
    <row r="88" ht="15.75" customHeight="1">
      <c r="A88" s="943"/>
      <c r="B88" s="1207" t="s">
        <v>15172</v>
      </c>
      <c r="C88" s="1207" t="s">
        <v>15168</v>
      </c>
      <c r="D88" s="1209" t="s">
        <v>15251</v>
      </c>
      <c r="E88" s="1184">
        <v>492000.0</v>
      </c>
      <c r="F88" s="1181">
        <f t="shared" si="32"/>
        <v>546120</v>
      </c>
      <c r="G88" s="1143">
        <f t="shared" si="33"/>
        <v>615732</v>
      </c>
      <c r="H88" s="1214"/>
      <c r="I88" s="1214"/>
      <c r="J88" s="1214"/>
      <c r="K88" s="1214"/>
      <c r="L88" s="1214"/>
      <c r="M88" s="1214"/>
      <c r="N88" s="1214"/>
      <c r="O88" s="1214"/>
      <c r="P88" s="1214"/>
      <c r="Q88" s="1211"/>
      <c r="R88" s="1211"/>
      <c r="S88" s="1211" t="s">
        <v>11484</v>
      </c>
      <c r="T88" s="1210"/>
      <c r="U88" s="1130"/>
      <c r="V88" s="1130"/>
      <c r="W88" s="1130"/>
      <c r="X88" s="1130"/>
      <c r="Y88" s="1130"/>
      <c r="Z88" s="1130"/>
      <c r="AA88" s="1130"/>
      <c r="AB88" s="1130"/>
      <c r="AC88" s="1130"/>
    </row>
    <row r="89" ht="15.75" customHeight="1">
      <c r="A89" s="943"/>
      <c r="B89" s="1207" t="s">
        <v>15172</v>
      </c>
      <c r="C89" s="1207" t="s">
        <v>15252</v>
      </c>
      <c r="D89" s="1209" t="s">
        <v>15253</v>
      </c>
      <c r="E89" s="1222">
        <v>541000.0</v>
      </c>
      <c r="F89" s="1181">
        <f t="shared" si="32"/>
        <v>600510</v>
      </c>
      <c r="G89" s="1143">
        <f t="shared" si="33"/>
        <v>675561</v>
      </c>
      <c r="H89" s="1210">
        <f>G89*1.72</f>
        <v>1161964.92</v>
      </c>
      <c r="I89" s="1210"/>
      <c r="J89" s="1181">
        <f>P89*80%</f>
        <v>1161964.92</v>
      </c>
      <c r="K89" s="1181">
        <f>G89*1.827</f>
        <v>1234249.947</v>
      </c>
      <c r="L89" s="1181">
        <f>P89*85%</f>
        <v>1234587.728</v>
      </c>
      <c r="M89" s="1181">
        <f>G89</f>
        <v>675561</v>
      </c>
      <c r="N89" s="1181">
        <f>P89*90%</f>
        <v>1307210.535</v>
      </c>
      <c r="O89" s="1181">
        <f>G89*2.15</f>
        <v>1452456.15</v>
      </c>
      <c r="P89" s="1210">
        <f>G89*2.15</f>
        <v>1452456.15</v>
      </c>
      <c r="Q89" s="1211"/>
      <c r="R89" s="1211"/>
      <c r="S89" s="1211" t="s">
        <v>11484</v>
      </c>
      <c r="T89" s="1210"/>
      <c r="U89" s="1130"/>
      <c r="V89" s="1130"/>
      <c r="W89" s="1130"/>
      <c r="X89" s="1130"/>
      <c r="Y89" s="1130"/>
      <c r="Z89" s="1130"/>
      <c r="AA89" s="1130"/>
      <c r="AB89" s="1130"/>
      <c r="AC89" s="1130"/>
    </row>
    <row r="90" ht="15.75" customHeight="1">
      <c r="A90" s="943"/>
      <c r="B90" s="1207" t="s">
        <v>11666</v>
      </c>
      <c r="C90" s="1207" t="s">
        <v>15170</v>
      </c>
      <c r="D90" s="1209" t="s">
        <v>15254</v>
      </c>
      <c r="E90" s="1181">
        <v>603000.0</v>
      </c>
      <c r="F90" s="1181">
        <f t="shared" si="32"/>
        <v>669330</v>
      </c>
      <c r="G90" s="1143">
        <f t="shared" si="33"/>
        <v>751263</v>
      </c>
      <c r="H90" s="1214"/>
      <c r="I90" s="1214"/>
      <c r="J90" s="1214"/>
      <c r="K90" s="1214"/>
      <c r="L90" s="1214"/>
      <c r="M90" s="1214"/>
      <c r="N90" s="1214"/>
      <c r="O90" s="1214"/>
      <c r="P90" s="1214"/>
      <c r="Q90" s="1211"/>
      <c r="R90" s="1211"/>
      <c r="S90" s="1211" t="s">
        <v>11484</v>
      </c>
      <c r="T90" s="1210"/>
      <c r="U90" s="1130"/>
      <c r="V90" s="1130"/>
      <c r="W90" s="1130"/>
      <c r="X90" s="1130"/>
      <c r="Y90" s="1130"/>
      <c r="Z90" s="1130"/>
      <c r="AA90" s="1130"/>
      <c r="AB90" s="1130"/>
      <c r="AC90" s="1130"/>
    </row>
    <row r="91" ht="15.75" customHeight="1">
      <c r="A91" s="943"/>
      <c r="B91" s="1207" t="s">
        <v>11666</v>
      </c>
      <c r="C91" s="1207" t="s">
        <v>15255</v>
      </c>
      <c r="D91" s="1209" t="s">
        <v>15256</v>
      </c>
      <c r="E91" s="1181">
        <v>467000.0</v>
      </c>
      <c r="F91" s="1181">
        <f t="shared" si="32"/>
        <v>518370</v>
      </c>
      <c r="G91" s="1143">
        <f t="shared" si="33"/>
        <v>585207</v>
      </c>
      <c r="H91" s="1210">
        <f>G91*1.728</f>
        <v>1011237.696</v>
      </c>
      <c r="I91" s="1210"/>
      <c r="J91" s="1181">
        <f>P91*72%</f>
        <v>1011237.696</v>
      </c>
      <c r="K91" s="1181">
        <f>G91*2.04</f>
        <v>1193822.28</v>
      </c>
      <c r="L91" s="1181">
        <f t="shared" ref="L91:L99" si="48">P91*85%</f>
        <v>1193822.28</v>
      </c>
      <c r="M91" s="1181">
        <f>G91*2.16</f>
        <v>1264047.12</v>
      </c>
      <c r="N91" s="1181">
        <f t="shared" ref="N91:N99" si="49">P91*90%</f>
        <v>1264047.12</v>
      </c>
      <c r="O91" s="1181">
        <f>G91*2.4</f>
        <v>1404496.8</v>
      </c>
      <c r="P91" s="1210">
        <f>G91*2.4</f>
        <v>1404496.8</v>
      </c>
      <c r="Q91" s="1211"/>
      <c r="R91" s="1211"/>
      <c r="S91" s="1211" t="s">
        <v>11484</v>
      </c>
      <c r="T91" s="1210"/>
      <c r="U91" s="1130"/>
      <c r="V91" s="1130"/>
      <c r="W91" s="1130"/>
      <c r="X91" s="1130"/>
      <c r="Y91" s="1130"/>
      <c r="Z91" s="1130"/>
      <c r="AA91" s="1130"/>
      <c r="AB91" s="1130"/>
      <c r="AC91" s="1130"/>
    </row>
    <row r="92" ht="15.75" customHeight="1">
      <c r="A92" s="943"/>
      <c r="B92" s="1207" t="s">
        <v>11666</v>
      </c>
      <c r="C92" s="1208" t="s">
        <v>15257</v>
      </c>
      <c r="D92" s="1209" t="s">
        <v>15258</v>
      </c>
      <c r="E92" s="1181">
        <v>543000.0</v>
      </c>
      <c r="F92" s="1181">
        <f t="shared" si="32"/>
        <v>602730</v>
      </c>
      <c r="G92" s="1143">
        <f t="shared" si="33"/>
        <v>678003</v>
      </c>
      <c r="H92" s="1210">
        <f t="shared" ref="H92:H93" si="50">G92*2.4</f>
        <v>1627207.2</v>
      </c>
      <c r="I92" s="1210"/>
      <c r="J92" s="1181">
        <f t="shared" ref="J92:J99" si="51">P92*80%</f>
        <v>1627207.2</v>
      </c>
      <c r="K92" s="1181">
        <f t="shared" ref="K92:K93" si="52">G92*2.55</f>
        <v>1728907.65</v>
      </c>
      <c r="L92" s="1181">
        <f t="shared" si="48"/>
        <v>1728907.65</v>
      </c>
      <c r="M92" s="1181">
        <f t="shared" ref="M92:M93" si="53">G92*2.7</f>
        <v>1830608.1</v>
      </c>
      <c r="N92" s="1181">
        <f t="shared" si="49"/>
        <v>1830608.1</v>
      </c>
      <c r="O92" s="1181">
        <f t="shared" ref="O92:O93" si="54">G92*3</f>
        <v>2034009</v>
      </c>
      <c r="P92" s="1210">
        <f t="shared" ref="P92:P93" si="55">G92*3</f>
        <v>2034009</v>
      </c>
      <c r="Q92" s="1211"/>
      <c r="R92" s="1211"/>
      <c r="S92" s="1211">
        <v>600000.0</v>
      </c>
      <c r="T92" s="1210" t="s">
        <v>15225</v>
      </c>
      <c r="U92" s="1130"/>
      <c r="V92" s="1130"/>
      <c r="W92" s="1130"/>
      <c r="X92" s="1130"/>
      <c r="Y92" s="1130"/>
      <c r="Z92" s="1130"/>
      <c r="AA92" s="1130"/>
      <c r="AB92" s="1130"/>
      <c r="AC92" s="1130"/>
    </row>
    <row r="93" ht="15.75" customHeight="1">
      <c r="A93" s="943"/>
      <c r="B93" s="1207" t="s">
        <v>11666</v>
      </c>
      <c r="C93" s="1208" t="s">
        <v>15259</v>
      </c>
      <c r="D93" s="1209" t="s">
        <v>15260</v>
      </c>
      <c r="E93" s="1181">
        <v>539000.0</v>
      </c>
      <c r="F93" s="1181">
        <f t="shared" si="32"/>
        <v>598290</v>
      </c>
      <c r="G93" s="1143">
        <f t="shared" si="33"/>
        <v>673119</v>
      </c>
      <c r="H93" s="1210">
        <f t="shared" si="50"/>
        <v>1615485.6</v>
      </c>
      <c r="I93" s="1210"/>
      <c r="J93" s="1181">
        <f t="shared" si="51"/>
        <v>1615485.6</v>
      </c>
      <c r="K93" s="1181">
        <f t="shared" si="52"/>
        <v>1716453.45</v>
      </c>
      <c r="L93" s="1181">
        <f t="shared" si="48"/>
        <v>1716453.45</v>
      </c>
      <c r="M93" s="1181">
        <f t="shared" si="53"/>
        <v>1817421.3</v>
      </c>
      <c r="N93" s="1181">
        <f t="shared" si="49"/>
        <v>1817421.3</v>
      </c>
      <c r="O93" s="1181">
        <f t="shared" si="54"/>
        <v>2019357</v>
      </c>
      <c r="P93" s="1210">
        <f t="shared" si="55"/>
        <v>2019357</v>
      </c>
      <c r="Q93" s="1211"/>
      <c r="R93" s="1211"/>
      <c r="S93" s="1211">
        <v>600000.0</v>
      </c>
      <c r="T93" s="1210" t="s">
        <v>15225</v>
      </c>
      <c r="U93" s="1130"/>
      <c r="V93" s="1130"/>
      <c r="W93" s="1130"/>
      <c r="X93" s="1130"/>
      <c r="Y93" s="1130"/>
      <c r="Z93" s="1130"/>
      <c r="AA93" s="1130"/>
      <c r="AB93" s="1130"/>
      <c r="AC93" s="1130"/>
    </row>
    <row r="94" ht="15.75" customHeight="1">
      <c r="A94" s="943"/>
      <c r="B94" s="1215" t="s">
        <v>15131</v>
      </c>
      <c r="C94" s="1215" t="s">
        <v>15132</v>
      </c>
      <c r="D94" s="1216" t="s">
        <v>15261</v>
      </c>
      <c r="E94" s="1185">
        <v>913000.0</v>
      </c>
      <c r="F94" s="1181">
        <f t="shared" si="32"/>
        <v>1013430</v>
      </c>
      <c r="G94" s="1143">
        <f t="shared" si="33"/>
        <v>1129773</v>
      </c>
      <c r="H94" s="1217"/>
      <c r="I94" s="1217"/>
      <c r="J94" s="1218">
        <f t="shared" si="51"/>
        <v>0</v>
      </c>
      <c r="K94" s="1218"/>
      <c r="L94" s="1218">
        <f t="shared" si="48"/>
        <v>0</v>
      </c>
      <c r="M94" s="1218"/>
      <c r="N94" s="1218">
        <f t="shared" si="49"/>
        <v>0</v>
      </c>
      <c r="O94" s="1218"/>
      <c r="P94" s="1219"/>
      <c r="Q94" s="1220"/>
      <c r="R94" s="1220"/>
      <c r="S94" s="1220"/>
      <c r="T94" s="1219"/>
      <c r="U94" s="1130"/>
      <c r="V94" s="1130"/>
      <c r="W94" s="1130"/>
      <c r="X94" s="1130"/>
      <c r="Y94" s="1130"/>
      <c r="Z94" s="1130"/>
      <c r="AA94" s="1130"/>
      <c r="AB94" s="1130"/>
      <c r="AC94" s="1130"/>
    </row>
    <row r="95" ht="15.75" customHeight="1">
      <c r="A95" s="943"/>
      <c r="B95" s="1223" t="s">
        <v>15131</v>
      </c>
      <c r="C95" s="1224" t="s">
        <v>15262</v>
      </c>
      <c r="D95" s="1225" t="s">
        <v>15263</v>
      </c>
      <c r="E95" s="1181">
        <v>179000.0</v>
      </c>
      <c r="F95" s="1181">
        <f t="shared" si="32"/>
        <v>198690</v>
      </c>
      <c r="G95" s="1143">
        <f t="shared" si="33"/>
        <v>233559</v>
      </c>
      <c r="H95" s="1210">
        <f>G95*1.8</f>
        <v>420406.2</v>
      </c>
      <c r="I95" s="1210"/>
      <c r="J95" s="1181">
        <f t="shared" si="51"/>
        <v>420406.2</v>
      </c>
      <c r="K95" s="1181">
        <f>G95*1.912</f>
        <v>446564.808</v>
      </c>
      <c r="L95" s="1181">
        <f t="shared" si="48"/>
        <v>446681.5875</v>
      </c>
      <c r="M95" s="1181">
        <f>G95*2.025</f>
        <v>472956.975</v>
      </c>
      <c r="N95" s="1181">
        <f t="shared" si="49"/>
        <v>472956.975</v>
      </c>
      <c r="O95" s="1181">
        <f>G95*2.25</f>
        <v>525507.75</v>
      </c>
      <c r="P95" s="1210">
        <f>G95*2.25</f>
        <v>525507.75</v>
      </c>
      <c r="Q95" s="1211"/>
      <c r="R95" s="1211"/>
      <c r="S95" s="1211" t="s">
        <v>11484</v>
      </c>
      <c r="T95" s="1210"/>
      <c r="U95" s="1130"/>
      <c r="V95" s="1130"/>
      <c r="W95" s="1130"/>
      <c r="X95" s="1130"/>
      <c r="Y95" s="1130"/>
      <c r="Z95" s="1130"/>
      <c r="AA95" s="1130"/>
      <c r="AB95" s="1130"/>
      <c r="AC95" s="1130"/>
    </row>
    <row r="96" ht="15.75" customHeight="1">
      <c r="A96" s="943"/>
      <c r="B96" s="1215" t="s">
        <v>15131</v>
      </c>
      <c r="C96" s="1215" t="s">
        <v>15135</v>
      </c>
      <c r="D96" s="1216" t="s">
        <v>15264</v>
      </c>
      <c r="E96" s="1185">
        <v>450000.0</v>
      </c>
      <c r="F96" s="1181">
        <f t="shared" si="32"/>
        <v>499500</v>
      </c>
      <c r="G96" s="1143">
        <f t="shared" si="33"/>
        <v>564450</v>
      </c>
      <c r="H96" s="1217"/>
      <c r="I96" s="1217"/>
      <c r="J96" s="1218">
        <f t="shared" si="51"/>
        <v>0</v>
      </c>
      <c r="K96" s="1218"/>
      <c r="L96" s="1218">
        <f t="shared" si="48"/>
        <v>0</v>
      </c>
      <c r="M96" s="1218"/>
      <c r="N96" s="1218">
        <f t="shared" si="49"/>
        <v>0</v>
      </c>
      <c r="O96" s="1218"/>
      <c r="P96" s="1219"/>
      <c r="Q96" s="1220"/>
      <c r="R96" s="1220"/>
      <c r="S96" s="1220"/>
      <c r="T96" s="1219"/>
      <c r="U96" s="1130"/>
      <c r="V96" s="1130"/>
      <c r="W96" s="1130"/>
      <c r="X96" s="1130"/>
      <c r="Y96" s="1130"/>
      <c r="Z96" s="1130"/>
      <c r="AA96" s="1130"/>
      <c r="AB96" s="1130"/>
      <c r="AC96" s="1130"/>
    </row>
    <row r="97" ht="15.75" customHeight="1">
      <c r="A97" s="943"/>
      <c r="B97" s="1207" t="s">
        <v>107</v>
      </c>
      <c r="C97" s="1207" t="s">
        <v>15265</v>
      </c>
      <c r="D97" s="1209" t="s">
        <v>15266</v>
      </c>
      <c r="E97" s="1181">
        <v>623000.0</v>
      </c>
      <c r="F97" s="1181">
        <f t="shared" si="32"/>
        <v>691530</v>
      </c>
      <c r="G97" s="1143">
        <f t="shared" si="33"/>
        <v>775683</v>
      </c>
      <c r="H97" s="1210">
        <f>G97*1.6</f>
        <v>1241092.8</v>
      </c>
      <c r="I97" s="1210"/>
      <c r="J97" s="1181">
        <f t="shared" si="51"/>
        <v>1241092.8</v>
      </c>
      <c r="K97" s="1181">
        <f>G97*1.7</f>
        <v>1318661.1</v>
      </c>
      <c r="L97" s="1181">
        <f t="shared" si="48"/>
        <v>1318661.1</v>
      </c>
      <c r="M97" s="1181">
        <f>G97*1.8</f>
        <v>1396229.4</v>
      </c>
      <c r="N97" s="1181">
        <f t="shared" si="49"/>
        <v>1396229.4</v>
      </c>
      <c r="O97" s="1181">
        <f>G97*2</f>
        <v>1551366</v>
      </c>
      <c r="P97" s="1210">
        <f>G97*2</f>
        <v>1551366</v>
      </c>
      <c r="Q97" s="1211"/>
      <c r="R97" s="1211"/>
      <c r="S97" s="1211" t="s">
        <v>11484</v>
      </c>
      <c r="T97" s="1210"/>
      <c r="U97" s="1130"/>
      <c r="V97" s="1130"/>
      <c r="W97" s="1130"/>
      <c r="X97" s="1130"/>
      <c r="Y97" s="1130"/>
      <c r="Z97" s="1130"/>
      <c r="AA97" s="1130"/>
      <c r="AB97" s="1130"/>
      <c r="AC97" s="1130"/>
    </row>
    <row r="98" ht="15.75" customHeight="1">
      <c r="A98" s="943"/>
      <c r="B98" s="1226" t="s">
        <v>107</v>
      </c>
      <c r="C98" s="1215" t="s">
        <v>15080</v>
      </c>
      <c r="D98" s="1227" t="s">
        <v>15267</v>
      </c>
      <c r="E98" s="1185">
        <v>453000.0</v>
      </c>
      <c r="F98" s="1181">
        <f t="shared" si="32"/>
        <v>502830</v>
      </c>
      <c r="G98" s="1143">
        <f t="shared" si="33"/>
        <v>568113</v>
      </c>
      <c r="H98" s="1217"/>
      <c r="I98" s="1217"/>
      <c r="J98" s="1218">
        <f t="shared" si="51"/>
        <v>0</v>
      </c>
      <c r="K98" s="1218"/>
      <c r="L98" s="1218">
        <f t="shared" si="48"/>
        <v>0</v>
      </c>
      <c r="M98" s="1218"/>
      <c r="N98" s="1218">
        <f t="shared" si="49"/>
        <v>0</v>
      </c>
      <c r="O98" s="1218"/>
      <c r="P98" s="1219"/>
      <c r="Q98" s="1220"/>
      <c r="R98" s="1220"/>
      <c r="S98" s="1220"/>
      <c r="T98" s="1219"/>
      <c r="U98" s="1130"/>
      <c r="V98" s="1130"/>
      <c r="W98" s="1130"/>
      <c r="X98" s="1130"/>
      <c r="Y98" s="1130"/>
      <c r="Z98" s="1130"/>
      <c r="AA98" s="1130"/>
      <c r="AB98" s="1130"/>
      <c r="AC98" s="1130"/>
    </row>
    <row r="99" ht="15.75" customHeight="1">
      <c r="A99" s="943"/>
      <c r="B99" s="1207" t="s">
        <v>107</v>
      </c>
      <c r="C99" s="1207" t="s">
        <v>15268</v>
      </c>
      <c r="D99" s="1209" t="s">
        <v>15269</v>
      </c>
      <c r="E99" s="1188">
        <v>481000.0</v>
      </c>
      <c r="F99" s="1188">
        <f t="shared" si="32"/>
        <v>533910</v>
      </c>
      <c r="G99" s="1143">
        <f t="shared" si="33"/>
        <v>602301</v>
      </c>
      <c r="H99" s="1210">
        <f>G99*1.6</f>
        <v>963681.6</v>
      </c>
      <c r="I99" s="1210"/>
      <c r="J99" s="1181">
        <f t="shared" si="51"/>
        <v>963681.6</v>
      </c>
      <c r="K99" s="1181">
        <f>G99*1.7</f>
        <v>1023911.7</v>
      </c>
      <c r="L99" s="1181">
        <f t="shared" si="48"/>
        <v>1023911.7</v>
      </c>
      <c r="M99" s="1181">
        <f>G99*1.8</f>
        <v>1084141.8</v>
      </c>
      <c r="N99" s="1181">
        <f t="shared" si="49"/>
        <v>1084141.8</v>
      </c>
      <c r="O99" s="1181">
        <f>G99*2</f>
        <v>1204602</v>
      </c>
      <c r="P99" s="1210">
        <f>G99*2</f>
        <v>1204602</v>
      </c>
      <c r="Q99" s="1211"/>
      <c r="R99" s="1211"/>
      <c r="S99" s="1211" t="s">
        <v>11484</v>
      </c>
      <c r="T99" s="1210"/>
      <c r="U99" s="1130"/>
      <c r="V99" s="1130"/>
      <c r="W99" s="1130"/>
      <c r="X99" s="1130"/>
      <c r="Y99" s="1130"/>
      <c r="Z99" s="1130"/>
      <c r="AA99" s="1130"/>
      <c r="AB99" s="1130"/>
      <c r="AC99" s="1130"/>
    </row>
    <row r="100" ht="15.75" customHeight="1">
      <c r="A100" s="943"/>
      <c r="B100" s="1207" t="s">
        <v>107</v>
      </c>
      <c r="C100" s="1207" t="s">
        <v>15179</v>
      </c>
      <c r="D100" s="1209" t="s">
        <v>15180</v>
      </c>
      <c r="E100" s="1181">
        <v>546000.0</v>
      </c>
      <c r="F100" s="1181">
        <f t="shared" si="32"/>
        <v>606060</v>
      </c>
      <c r="G100" s="1143">
        <f t="shared" si="33"/>
        <v>681666</v>
      </c>
      <c r="H100" s="1214"/>
      <c r="I100" s="1214"/>
      <c r="J100" s="1214"/>
      <c r="K100" s="1214"/>
      <c r="L100" s="1214"/>
      <c r="M100" s="1214"/>
      <c r="N100" s="1214"/>
      <c r="O100" s="1214"/>
      <c r="P100" s="1214"/>
      <c r="Q100" s="1211"/>
      <c r="R100" s="1211"/>
      <c r="S100" s="1211" t="s">
        <v>11484</v>
      </c>
      <c r="T100" s="1210"/>
      <c r="U100" s="1130"/>
      <c r="V100" s="1130"/>
      <c r="W100" s="1130"/>
      <c r="X100" s="1130"/>
      <c r="Y100" s="1130"/>
      <c r="Z100" s="1130"/>
      <c r="AA100" s="1130"/>
      <c r="AB100" s="1130"/>
      <c r="AC100" s="1130"/>
    </row>
    <row r="101" ht="15.75" customHeight="1">
      <c r="A101" s="943"/>
      <c r="B101" s="1207" t="s">
        <v>107</v>
      </c>
      <c r="C101" s="1207" t="s">
        <v>15270</v>
      </c>
      <c r="D101" s="1209" t="s">
        <v>15271</v>
      </c>
      <c r="E101" s="1181">
        <v>496000.0</v>
      </c>
      <c r="F101" s="1181">
        <f t="shared" si="32"/>
        <v>550560</v>
      </c>
      <c r="G101" s="1143">
        <f t="shared" si="33"/>
        <v>620616</v>
      </c>
      <c r="H101" s="1210">
        <f>G101*2.1</f>
        <v>1303293.6</v>
      </c>
      <c r="I101" s="1210"/>
      <c r="J101" s="1181">
        <f>P101*70%</f>
        <v>1303293.6</v>
      </c>
      <c r="K101" s="1181">
        <f>G101*2.46</f>
        <v>1526715.36</v>
      </c>
      <c r="L101" s="1181">
        <f>P101*82%</f>
        <v>1526715.36</v>
      </c>
      <c r="M101" s="1181">
        <f>G101*2.7</f>
        <v>1675663.2</v>
      </c>
      <c r="N101" s="1181">
        <f t="shared" ref="N101:N104" si="56">P101*90%</f>
        <v>1675663.2</v>
      </c>
      <c r="O101" s="1181">
        <f>G101*3</f>
        <v>1861848</v>
      </c>
      <c r="P101" s="1210">
        <f>G101*3</f>
        <v>1861848</v>
      </c>
      <c r="Q101" s="1211"/>
      <c r="R101" s="1211"/>
      <c r="S101" s="1211" t="s">
        <v>11484</v>
      </c>
      <c r="T101" s="1210"/>
      <c r="U101" s="1130"/>
      <c r="V101" s="1130"/>
      <c r="W101" s="1130"/>
      <c r="X101" s="1130"/>
      <c r="Y101" s="1130"/>
      <c r="Z101" s="1130"/>
      <c r="AA101" s="1130"/>
      <c r="AB101" s="1130"/>
      <c r="AC101" s="1130"/>
    </row>
    <row r="102" ht="15.75" customHeight="1">
      <c r="A102" s="943"/>
      <c r="B102" s="1207" t="s">
        <v>107</v>
      </c>
      <c r="C102" s="1207" t="s">
        <v>15272</v>
      </c>
      <c r="D102" s="1209" t="s">
        <v>15273</v>
      </c>
      <c r="E102" s="1181">
        <v>535000.0</v>
      </c>
      <c r="F102" s="1181">
        <f t="shared" si="32"/>
        <v>593850</v>
      </c>
      <c r="G102" s="1143">
        <f t="shared" si="33"/>
        <v>668235</v>
      </c>
      <c r="H102" s="1210">
        <f>G102*1.5015</f>
        <v>1003354.853</v>
      </c>
      <c r="I102" s="1210"/>
      <c r="J102" s="1181">
        <f>P102*77%</f>
        <v>1003354.853</v>
      </c>
      <c r="K102" s="1181">
        <f>G102*1.657</f>
        <v>1107265.395</v>
      </c>
      <c r="L102" s="1181">
        <f t="shared" ref="L102:L104" si="57">P102*85%</f>
        <v>1107599.513</v>
      </c>
      <c r="M102" s="1181">
        <f>G102*1.755</f>
        <v>1172752.425</v>
      </c>
      <c r="N102" s="1181">
        <f t="shared" si="56"/>
        <v>1172752.425</v>
      </c>
      <c r="O102" s="1185">
        <f>G102*1.95</f>
        <v>1303058.25</v>
      </c>
      <c r="P102" s="1221">
        <f>G102*1.95</f>
        <v>1303058.25</v>
      </c>
      <c r="Q102" s="1211"/>
      <c r="R102" s="1211"/>
      <c r="S102" s="1211" t="s">
        <v>11484</v>
      </c>
      <c r="T102" s="1210"/>
      <c r="U102" s="1130"/>
      <c r="V102" s="1130"/>
      <c r="W102" s="1130"/>
      <c r="X102" s="1130"/>
      <c r="Y102" s="1130"/>
      <c r="Z102" s="1130"/>
      <c r="AA102" s="1130"/>
      <c r="AB102" s="1130"/>
      <c r="AC102" s="1130"/>
    </row>
    <row r="103" ht="15.75" customHeight="1">
      <c r="A103" s="943"/>
      <c r="B103" s="1207" t="s">
        <v>107</v>
      </c>
      <c r="C103" s="1207" t="s">
        <v>15274</v>
      </c>
      <c r="D103" s="1209" t="s">
        <v>15275</v>
      </c>
      <c r="E103" s="1181">
        <v>543000.0</v>
      </c>
      <c r="F103" s="1181">
        <f t="shared" si="32"/>
        <v>602730</v>
      </c>
      <c r="G103" s="1143">
        <f t="shared" si="33"/>
        <v>678003</v>
      </c>
      <c r="H103" s="1210">
        <f>G103*1.5</f>
        <v>1017004.5</v>
      </c>
      <c r="I103" s="1210"/>
      <c r="J103" s="1181">
        <f>P103*75%</f>
        <v>1017004.5</v>
      </c>
      <c r="K103" s="1181">
        <f>G103*1.7</f>
        <v>1152605.1</v>
      </c>
      <c r="L103" s="1181">
        <f t="shared" si="57"/>
        <v>1152605.1</v>
      </c>
      <c r="M103" s="1181">
        <f>G103*1.8</f>
        <v>1220405.4</v>
      </c>
      <c r="N103" s="1181">
        <f t="shared" si="56"/>
        <v>1220405.4</v>
      </c>
      <c r="O103" s="1181">
        <f>G103*2</f>
        <v>1356006</v>
      </c>
      <c r="P103" s="1210">
        <f>G103*2</f>
        <v>1356006</v>
      </c>
      <c r="Q103" s="1211"/>
      <c r="R103" s="1211"/>
      <c r="S103" s="1211" t="s">
        <v>11484</v>
      </c>
      <c r="T103" s="1210"/>
      <c r="U103" s="1130"/>
      <c r="V103" s="1130"/>
      <c r="W103" s="1130"/>
      <c r="X103" s="1130"/>
      <c r="Y103" s="1130"/>
      <c r="Z103" s="1130"/>
      <c r="AA103" s="1130"/>
      <c r="AB103" s="1130"/>
      <c r="AC103" s="1130"/>
    </row>
    <row r="104" ht="15.75" customHeight="1">
      <c r="A104" s="943"/>
      <c r="B104" s="1207" t="s">
        <v>107</v>
      </c>
      <c r="C104" s="1208" t="s">
        <v>15276</v>
      </c>
      <c r="D104" s="1209" t="s">
        <v>15277</v>
      </c>
      <c r="E104" s="1181">
        <v>527000.0</v>
      </c>
      <c r="F104" s="1181">
        <f t="shared" si="32"/>
        <v>584970</v>
      </c>
      <c r="G104" s="1143">
        <f t="shared" si="33"/>
        <v>658467</v>
      </c>
      <c r="H104" s="1210">
        <f>G104*3.6</f>
        <v>2370481.2</v>
      </c>
      <c r="I104" s="1210"/>
      <c r="J104" s="1181">
        <f>P104*80%</f>
        <v>2370481.2</v>
      </c>
      <c r="K104" s="1181">
        <f>G104*3.825</f>
        <v>2518636.275</v>
      </c>
      <c r="L104" s="1181">
        <f t="shared" si="57"/>
        <v>2518636.275</v>
      </c>
      <c r="M104" s="1181">
        <f>G104*4.05</f>
        <v>2666791.35</v>
      </c>
      <c r="N104" s="1181">
        <f t="shared" si="56"/>
        <v>2666791.35</v>
      </c>
      <c r="O104" s="1181">
        <f>G104*4.5</f>
        <v>2963101.5</v>
      </c>
      <c r="P104" s="1210">
        <f>G104*4.5</f>
        <v>2963101.5</v>
      </c>
      <c r="Q104" s="1211"/>
      <c r="R104" s="1211"/>
      <c r="S104" s="1211">
        <v>600000.0</v>
      </c>
      <c r="T104" s="1210" t="s">
        <v>15278</v>
      </c>
      <c r="U104" s="1130"/>
      <c r="V104" s="1130"/>
      <c r="W104" s="1130"/>
      <c r="X104" s="1130"/>
      <c r="Y104" s="1130"/>
      <c r="Z104" s="1130"/>
      <c r="AA104" s="1130"/>
      <c r="AB104" s="1130"/>
      <c r="AC104" s="1130"/>
    </row>
    <row r="105" ht="15.75" customHeight="1">
      <c r="A105" s="943"/>
      <c r="B105" s="1212" t="s">
        <v>107</v>
      </c>
      <c r="C105" s="1212" t="s">
        <v>15177</v>
      </c>
      <c r="D105" s="1213" t="s">
        <v>15279</v>
      </c>
      <c r="E105" s="1188">
        <v>612000.0</v>
      </c>
      <c r="F105" s="1181">
        <f t="shared" si="32"/>
        <v>679320</v>
      </c>
      <c r="G105" s="1143">
        <f t="shared" si="33"/>
        <v>762252</v>
      </c>
      <c r="H105" s="1214"/>
      <c r="I105" s="1214"/>
      <c r="J105" s="1214"/>
      <c r="K105" s="1214"/>
      <c r="L105" s="1214"/>
      <c r="M105" s="1214"/>
      <c r="N105" s="1214"/>
      <c r="O105" s="1214"/>
      <c r="P105" s="1214"/>
      <c r="Q105" s="1211"/>
      <c r="R105" s="1211"/>
      <c r="S105" s="1211" t="s">
        <v>11484</v>
      </c>
      <c r="T105" s="1210"/>
      <c r="U105" s="1130"/>
      <c r="V105" s="1130"/>
      <c r="W105" s="1130"/>
      <c r="X105" s="1130"/>
      <c r="Y105" s="1130"/>
      <c r="Z105" s="1130"/>
      <c r="AA105" s="1130"/>
      <c r="AB105" s="1130"/>
      <c r="AC105" s="1130"/>
    </row>
    <row r="106" ht="15.75" customHeight="1">
      <c r="A106" s="943"/>
      <c r="B106" s="1207" t="s">
        <v>107</v>
      </c>
      <c r="C106" s="1207" t="s">
        <v>15175</v>
      </c>
      <c r="D106" s="1209" t="s">
        <v>15280</v>
      </c>
      <c r="E106" s="1181">
        <v>595000.0</v>
      </c>
      <c r="F106" s="1181">
        <f t="shared" si="32"/>
        <v>660450</v>
      </c>
      <c r="G106" s="1143">
        <f t="shared" si="33"/>
        <v>741495</v>
      </c>
      <c r="H106" s="1214"/>
      <c r="I106" s="1214"/>
      <c r="J106" s="1214"/>
      <c r="K106" s="1214"/>
      <c r="L106" s="1214"/>
      <c r="M106" s="1214"/>
      <c r="N106" s="1214"/>
      <c r="O106" s="1214"/>
      <c r="P106" s="1214"/>
      <c r="Q106" s="1211"/>
      <c r="R106" s="1211"/>
      <c r="S106" s="1211" t="s">
        <v>11484</v>
      </c>
      <c r="T106" s="1210"/>
      <c r="U106" s="1130"/>
      <c r="V106" s="1130"/>
      <c r="W106" s="1130"/>
      <c r="X106" s="1130"/>
      <c r="Y106" s="1130"/>
      <c r="Z106" s="1130"/>
      <c r="AA106" s="1130"/>
      <c r="AB106" s="1130"/>
      <c r="AC106" s="1130"/>
    </row>
    <row r="107" ht="15.75" customHeight="1">
      <c r="A107" s="943"/>
      <c r="B107" s="1207" t="s">
        <v>107</v>
      </c>
      <c r="C107" s="1207" t="s">
        <v>15281</v>
      </c>
      <c r="D107" s="1209" t="s">
        <v>15282</v>
      </c>
      <c r="E107" s="1188">
        <v>824000.0</v>
      </c>
      <c r="F107" s="1188">
        <f t="shared" si="32"/>
        <v>914640</v>
      </c>
      <c r="G107" s="1143">
        <f t="shared" si="33"/>
        <v>1021104</v>
      </c>
      <c r="H107" s="1210">
        <f>G107* 1.35</f>
        <v>1378490.4</v>
      </c>
      <c r="I107" s="1210"/>
      <c r="J107" s="1181">
        <f>P107*75%</f>
        <v>1378490.4</v>
      </c>
      <c r="K107" s="1185">
        <f>G107*1.44</f>
        <v>1470389.76</v>
      </c>
      <c r="L107" s="1185">
        <f>P107*80%</f>
        <v>1470389.76</v>
      </c>
      <c r="M107" s="1185">
        <f>G107*1.485</f>
        <v>1516339.44</v>
      </c>
      <c r="N107" s="1185">
        <f>P107*82.5%</f>
        <v>1516339.44</v>
      </c>
      <c r="O107" s="1185">
        <f>G107*1.8</f>
        <v>1837987.2</v>
      </c>
      <c r="P107" s="1221">
        <f>G107*1.8</f>
        <v>1837987.2</v>
      </c>
      <c r="Q107" s="1211"/>
      <c r="R107" s="1211"/>
      <c r="S107" s="1211" t="s">
        <v>11484</v>
      </c>
      <c r="T107" s="1210"/>
      <c r="U107" s="1130"/>
      <c r="V107" s="1130"/>
      <c r="W107" s="1130"/>
      <c r="X107" s="1130"/>
      <c r="Y107" s="1130"/>
      <c r="Z107" s="1130"/>
      <c r="AA107" s="1130"/>
      <c r="AB107" s="1130"/>
      <c r="AC107" s="1130"/>
    </row>
    <row r="108" ht="15.75" customHeight="1">
      <c r="A108" s="943"/>
      <c r="B108" s="1226" t="s">
        <v>107</v>
      </c>
      <c r="C108" s="1215" t="s">
        <v>15283</v>
      </c>
      <c r="D108" s="1227" t="s">
        <v>15284</v>
      </c>
      <c r="E108" s="1228">
        <v>546000.0</v>
      </c>
      <c r="F108" s="1181">
        <f t="shared" si="32"/>
        <v>606060</v>
      </c>
      <c r="G108" s="1143">
        <f t="shared" si="33"/>
        <v>681666</v>
      </c>
      <c r="H108" s="1217"/>
      <c r="I108" s="1217"/>
      <c r="J108" s="1218">
        <f t="shared" ref="J108:J110" si="58">P108*80%</f>
        <v>0</v>
      </c>
      <c r="K108" s="1218"/>
      <c r="L108" s="1218">
        <f t="shared" ref="L108:L111" si="59">P108*85%</f>
        <v>0</v>
      </c>
      <c r="M108" s="1218"/>
      <c r="N108" s="1218">
        <f t="shared" ref="N108:N111" si="60">P108*90%</f>
        <v>0</v>
      </c>
      <c r="O108" s="1218"/>
      <c r="P108" s="1219"/>
      <c r="Q108" s="1220"/>
      <c r="R108" s="1220"/>
      <c r="S108" s="1220"/>
      <c r="T108" s="1219"/>
      <c r="U108" s="1130"/>
      <c r="V108" s="1130"/>
      <c r="W108" s="1130"/>
      <c r="X108" s="1130"/>
      <c r="Y108" s="1130"/>
      <c r="Z108" s="1130"/>
      <c r="AA108" s="1130"/>
      <c r="AB108" s="1130"/>
      <c r="AC108" s="1130"/>
    </row>
    <row r="109" ht="15.75" customHeight="1">
      <c r="A109" s="943"/>
      <c r="B109" s="1226" t="s">
        <v>107</v>
      </c>
      <c r="C109" s="1215" t="s">
        <v>15084</v>
      </c>
      <c r="D109" s="1227" t="s">
        <v>15285</v>
      </c>
      <c r="E109" s="1228">
        <v>627000.0</v>
      </c>
      <c r="F109" s="1181">
        <f t="shared" si="32"/>
        <v>695970</v>
      </c>
      <c r="G109" s="1143">
        <f t="shared" si="33"/>
        <v>780567</v>
      </c>
      <c r="H109" s="1217"/>
      <c r="I109" s="1217"/>
      <c r="J109" s="1218">
        <f t="shared" si="58"/>
        <v>0</v>
      </c>
      <c r="K109" s="1218"/>
      <c r="L109" s="1218">
        <f t="shared" si="59"/>
        <v>0</v>
      </c>
      <c r="M109" s="1218"/>
      <c r="N109" s="1218">
        <f t="shared" si="60"/>
        <v>0</v>
      </c>
      <c r="O109" s="1218"/>
      <c r="P109" s="1219"/>
      <c r="Q109" s="1220"/>
      <c r="R109" s="1220"/>
      <c r="S109" s="1220"/>
      <c r="T109" s="1219"/>
      <c r="U109" s="1130"/>
      <c r="V109" s="1130"/>
      <c r="W109" s="1130"/>
      <c r="X109" s="1130"/>
      <c r="Y109" s="1130"/>
      <c r="Z109" s="1130"/>
      <c r="AA109" s="1130"/>
      <c r="AB109" s="1130"/>
      <c r="AC109" s="1130"/>
    </row>
    <row r="110" ht="15.75" customHeight="1">
      <c r="A110" s="943"/>
      <c r="B110" s="1226" t="s">
        <v>107</v>
      </c>
      <c r="C110" s="1226" t="s">
        <v>15086</v>
      </c>
      <c r="D110" s="1227" t="s">
        <v>15286</v>
      </c>
      <c r="E110" s="1228">
        <v>549000.0</v>
      </c>
      <c r="F110" s="1181">
        <f t="shared" si="32"/>
        <v>609390</v>
      </c>
      <c r="G110" s="1143">
        <f t="shared" si="33"/>
        <v>685329</v>
      </c>
      <c r="H110" s="1217"/>
      <c r="I110" s="1217"/>
      <c r="J110" s="1218">
        <f t="shared" si="58"/>
        <v>0</v>
      </c>
      <c r="K110" s="1218"/>
      <c r="L110" s="1218">
        <f t="shared" si="59"/>
        <v>0</v>
      </c>
      <c r="M110" s="1218"/>
      <c r="N110" s="1218">
        <f t="shared" si="60"/>
        <v>0</v>
      </c>
      <c r="O110" s="1218"/>
      <c r="P110" s="1219"/>
      <c r="Q110" s="1220"/>
      <c r="R110" s="1220"/>
      <c r="S110" s="1220"/>
      <c r="T110" s="1219"/>
      <c r="U110" s="1130"/>
      <c r="V110" s="1130"/>
      <c r="W110" s="1130"/>
      <c r="X110" s="1130"/>
      <c r="Y110" s="1130"/>
      <c r="Z110" s="1130"/>
      <c r="AA110" s="1130"/>
      <c r="AB110" s="1130"/>
      <c r="AC110" s="1130"/>
    </row>
    <row r="111" ht="15.75" customHeight="1">
      <c r="A111" s="943"/>
      <c r="B111" s="1207" t="s">
        <v>11720</v>
      </c>
      <c r="C111" s="1207" t="s">
        <v>15287</v>
      </c>
      <c r="D111" s="1209" t="s">
        <v>15288</v>
      </c>
      <c r="E111" s="1181">
        <v>567000.0</v>
      </c>
      <c r="F111" s="1181">
        <f t="shared" si="32"/>
        <v>629370</v>
      </c>
      <c r="G111" s="1143">
        <f t="shared" si="33"/>
        <v>707307</v>
      </c>
      <c r="H111" s="1210">
        <f>G111*1.44</f>
        <v>1018522.08</v>
      </c>
      <c r="I111" s="1210"/>
      <c r="J111" s="1181">
        <f>P111*72%</f>
        <v>1018522.08</v>
      </c>
      <c r="K111" s="1181">
        <f>G111*1.7</f>
        <v>1202421.9</v>
      </c>
      <c r="L111" s="1181">
        <f t="shared" si="59"/>
        <v>1202421.9</v>
      </c>
      <c r="M111" s="1181">
        <f>G111*1.8</f>
        <v>1273152.6</v>
      </c>
      <c r="N111" s="1181">
        <f t="shared" si="60"/>
        <v>1273152.6</v>
      </c>
      <c r="O111" s="1181">
        <f>G111*2</f>
        <v>1414614</v>
      </c>
      <c r="P111" s="1210">
        <f>G111*2</f>
        <v>1414614</v>
      </c>
      <c r="Q111" s="1211"/>
      <c r="R111" s="1211"/>
      <c r="S111" s="1211" t="s">
        <v>11484</v>
      </c>
      <c r="T111" s="1210"/>
      <c r="U111" s="1130"/>
      <c r="V111" s="1130"/>
      <c r="W111" s="1130"/>
      <c r="X111" s="1130"/>
      <c r="Y111" s="1130"/>
      <c r="Z111" s="1130"/>
      <c r="AA111" s="1130"/>
      <c r="AB111" s="1130"/>
      <c r="AC111" s="1130"/>
    </row>
    <row r="112" ht="15.75" customHeight="1">
      <c r="A112" s="943"/>
      <c r="B112" s="1207" t="s">
        <v>11720</v>
      </c>
      <c r="C112" s="1207" t="s">
        <v>15181</v>
      </c>
      <c r="D112" s="1209" t="s">
        <v>15289</v>
      </c>
      <c r="E112" s="1181">
        <v>460000.0</v>
      </c>
      <c r="F112" s="1181">
        <f t="shared" si="32"/>
        <v>510600</v>
      </c>
      <c r="G112" s="1143">
        <f t="shared" si="33"/>
        <v>576660</v>
      </c>
      <c r="H112" s="1214"/>
      <c r="I112" s="1214"/>
      <c r="J112" s="1214"/>
      <c r="K112" s="1214"/>
      <c r="L112" s="1214"/>
      <c r="M112" s="1214"/>
      <c r="N112" s="1214"/>
      <c r="O112" s="1214"/>
      <c r="P112" s="1214"/>
      <c r="Q112" s="1211"/>
      <c r="R112" s="1211"/>
      <c r="S112" s="1211" t="s">
        <v>11484</v>
      </c>
      <c r="T112" s="1210"/>
      <c r="U112" s="1130"/>
      <c r="V112" s="1130"/>
      <c r="W112" s="1130"/>
      <c r="X112" s="1130"/>
      <c r="Y112" s="1130"/>
      <c r="Z112" s="1130"/>
      <c r="AA112" s="1130"/>
      <c r="AB112" s="1130"/>
      <c r="AC112" s="1130"/>
    </row>
    <row r="113" ht="15.75" customHeight="1">
      <c r="A113" s="943"/>
      <c r="B113" s="1207" t="s">
        <v>11720</v>
      </c>
      <c r="C113" s="1207" t="s">
        <v>15290</v>
      </c>
      <c r="D113" s="1209" t="s">
        <v>15291</v>
      </c>
      <c r="E113" s="1181">
        <v>624000.0</v>
      </c>
      <c r="F113" s="1181">
        <f t="shared" si="32"/>
        <v>692640</v>
      </c>
      <c r="G113" s="1143">
        <f t="shared" si="33"/>
        <v>776904</v>
      </c>
      <c r="H113" s="1210">
        <f>G113*1.56</f>
        <v>1211970.24</v>
      </c>
      <c r="I113" s="1210"/>
      <c r="J113" s="1181">
        <f>P113*78%</f>
        <v>1211970.24</v>
      </c>
      <c r="K113" s="1181">
        <f>G113*1.7</f>
        <v>1320736.8</v>
      </c>
      <c r="L113" s="1181">
        <f t="shared" ref="L113:L119" si="61">P113*85%</f>
        <v>1320736.8</v>
      </c>
      <c r="M113" s="1181">
        <f>G113*1.8</f>
        <v>1398427.2</v>
      </c>
      <c r="N113" s="1181">
        <f t="shared" ref="N113:N119" si="62">P113*90%</f>
        <v>1398427.2</v>
      </c>
      <c r="O113" s="1181">
        <f>G113*2</f>
        <v>1553808</v>
      </c>
      <c r="P113" s="1210">
        <f>G113*2</f>
        <v>1553808</v>
      </c>
      <c r="Q113" s="1211"/>
      <c r="R113" s="1211"/>
      <c r="S113" s="1211" t="s">
        <v>11484</v>
      </c>
      <c r="T113" s="1210"/>
      <c r="U113" s="1130"/>
      <c r="V113" s="1130"/>
      <c r="W113" s="1130"/>
      <c r="X113" s="1130"/>
      <c r="Y113" s="1130"/>
      <c r="Z113" s="1130"/>
      <c r="AA113" s="1130"/>
      <c r="AB113" s="1130"/>
      <c r="AC113" s="1130"/>
    </row>
    <row r="114" ht="15.75" customHeight="1">
      <c r="A114" s="943"/>
      <c r="B114" s="1207" t="s">
        <v>11720</v>
      </c>
      <c r="C114" s="1207" t="s">
        <v>15292</v>
      </c>
      <c r="D114" s="1209" t="s">
        <v>15293</v>
      </c>
      <c r="E114" s="1181">
        <v>504000.0</v>
      </c>
      <c r="F114" s="1181">
        <f t="shared" si="32"/>
        <v>559440</v>
      </c>
      <c r="G114" s="1143">
        <f t="shared" si="33"/>
        <v>630384</v>
      </c>
      <c r="H114" s="1210">
        <f>G114*1.62</f>
        <v>1021222.08</v>
      </c>
      <c r="I114" s="1210"/>
      <c r="J114" s="1181">
        <f>P114*79%</f>
        <v>1020906.888</v>
      </c>
      <c r="K114" s="1181">
        <f>G114*1.742</f>
        <v>1098128.928</v>
      </c>
      <c r="L114" s="1181">
        <f t="shared" si="61"/>
        <v>1098444.12</v>
      </c>
      <c r="M114" s="1181">
        <f>G114*1.845</f>
        <v>1163058.48</v>
      </c>
      <c r="N114" s="1181">
        <f t="shared" si="62"/>
        <v>1163058.48</v>
      </c>
      <c r="O114" s="1181">
        <f>G114*2.05</f>
        <v>1292287.2</v>
      </c>
      <c r="P114" s="1210">
        <f>G114*2.05</f>
        <v>1292287.2</v>
      </c>
      <c r="Q114" s="1211"/>
      <c r="R114" s="1211"/>
      <c r="S114" s="1211" t="s">
        <v>11484</v>
      </c>
      <c r="T114" s="1210"/>
      <c r="U114" s="1130"/>
      <c r="V114" s="1130"/>
      <c r="W114" s="1130"/>
      <c r="X114" s="1130"/>
      <c r="Y114" s="1130"/>
      <c r="Z114" s="1130"/>
      <c r="AA114" s="1130"/>
      <c r="AB114" s="1130"/>
      <c r="AC114" s="1130"/>
    </row>
    <row r="115" ht="15.75" customHeight="1">
      <c r="A115" s="943"/>
      <c r="B115" s="1229" t="s">
        <v>11720</v>
      </c>
      <c r="C115" s="1230" t="s">
        <v>15294</v>
      </c>
      <c r="D115" s="1213" t="s">
        <v>15295</v>
      </c>
      <c r="E115" s="1181">
        <v>549000.0</v>
      </c>
      <c r="F115" s="1181">
        <f t="shared" si="32"/>
        <v>609390</v>
      </c>
      <c r="G115" s="1143">
        <f t="shared" si="33"/>
        <v>685329</v>
      </c>
      <c r="H115" s="1210">
        <f>G115*2.36</f>
        <v>1617376.44</v>
      </c>
      <c r="I115" s="1210"/>
      <c r="J115" s="1181">
        <f>P115*80%</f>
        <v>1617376.44</v>
      </c>
      <c r="K115" s="1181">
        <f>G115*2.507</f>
        <v>1718119.803</v>
      </c>
      <c r="L115" s="1181">
        <f t="shared" si="61"/>
        <v>1718462.468</v>
      </c>
      <c r="M115" s="1181">
        <f>G115*2.655</f>
        <v>1819548.495</v>
      </c>
      <c r="N115" s="1181">
        <f t="shared" si="62"/>
        <v>1819548.495</v>
      </c>
      <c r="O115" s="1181">
        <f>G115*2.95</f>
        <v>2021720.55</v>
      </c>
      <c r="P115" s="1210">
        <f>G115*2.95</f>
        <v>2021720.55</v>
      </c>
      <c r="Q115" s="1211"/>
      <c r="R115" s="1211"/>
      <c r="S115" s="1211">
        <v>600000.0</v>
      </c>
      <c r="T115" s="1210" t="s">
        <v>15237</v>
      </c>
      <c r="U115" s="1130"/>
      <c r="V115" s="1130"/>
      <c r="W115" s="1130"/>
      <c r="X115" s="1130"/>
      <c r="Y115" s="1130"/>
      <c r="Z115" s="1130"/>
      <c r="AA115" s="1130"/>
      <c r="AB115" s="1130"/>
      <c r="AC115" s="1130"/>
    </row>
    <row r="116" ht="15.75" customHeight="1">
      <c r="A116" s="943"/>
      <c r="B116" s="1207" t="s">
        <v>11746</v>
      </c>
      <c r="C116" s="1207" t="s">
        <v>15296</v>
      </c>
      <c r="D116" s="1209" t="s">
        <v>15297</v>
      </c>
      <c r="E116" s="1181">
        <v>530000.0</v>
      </c>
      <c r="F116" s="1181">
        <f t="shared" si="32"/>
        <v>588300</v>
      </c>
      <c r="G116" s="1143">
        <f t="shared" si="33"/>
        <v>662130</v>
      </c>
      <c r="H116" s="1210">
        <f>G116*1.54</f>
        <v>1019680.2</v>
      </c>
      <c r="I116" s="1210"/>
      <c r="J116" s="1181">
        <f>P116*70%</f>
        <v>1019680.2</v>
      </c>
      <c r="K116" s="1181">
        <f>G116*1.87</f>
        <v>1238183.1</v>
      </c>
      <c r="L116" s="1181">
        <f t="shared" si="61"/>
        <v>1238183.1</v>
      </c>
      <c r="M116" s="1181">
        <f>G116*1.98</f>
        <v>1311017.4</v>
      </c>
      <c r="N116" s="1181">
        <f t="shared" si="62"/>
        <v>1311017.4</v>
      </c>
      <c r="O116" s="1181">
        <f>G116*2.2</f>
        <v>1456686</v>
      </c>
      <c r="P116" s="1210">
        <f>G116*2.2</f>
        <v>1456686</v>
      </c>
      <c r="Q116" s="1211"/>
      <c r="R116" s="1211"/>
      <c r="S116" s="1211" t="s">
        <v>11484</v>
      </c>
      <c r="T116" s="1210"/>
      <c r="U116" s="1130"/>
      <c r="V116" s="1130"/>
      <c r="W116" s="1130"/>
      <c r="X116" s="1130"/>
      <c r="Y116" s="1130"/>
      <c r="Z116" s="1130"/>
      <c r="AA116" s="1130"/>
      <c r="AB116" s="1130"/>
      <c r="AC116" s="1130"/>
    </row>
    <row r="117" ht="15.75" customHeight="1">
      <c r="A117" s="943"/>
      <c r="B117" s="1207" t="s">
        <v>11746</v>
      </c>
      <c r="C117" s="1207" t="s">
        <v>15298</v>
      </c>
      <c r="D117" s="1209" t="s">
        <v>15299</v>
      </c>
      <c r="E117" s="1181">
        <v>506000.0</v>
      </c>
      <c r="F117" s="1181">
        <f t="shared" si="32"/>
        <v>561660</v>
      </c>
      <c r="G117" s="1143">
        <f t="shared" si="33"/>
        <v>632826</v>
      </c>
      <c r="H117" s="1210">
        <f>G117*1.4</f>
        <v>885956.4</v>
      </c>
      <c r="I117" s="1210"/>
      <c r="J117" s="1185">
        <f t="shared" ref="J117:J119" si="63">P117*80%</f>
        <v>885956.4</v>
      </c>
      <c r="K117" s="1185">
        <f>G117*1.4875</f>
        <v>941328.675</v>
      </c>
      <c r="L117" s="1185">
        <f t="shared" si="61"/>
        <v>941328.675</v>
      </c>
      <c r="M117" s="1185">
        <f>G117*1.575</f>
        <v>996700.95</v>
      </c>
      <c r="N117" s="1185">
        <f t="shared" si="62"/>
        <v>996700.95</v>
      </c>
      <c r="O117" s="1185">
        <f>G117*1.75</f>
        <v>1107445.5</v>
      </c>
      <c r="P117" s="1221">
        <f>G117*1.75</f>
        <v>1107445.5</v>
      </c>
      <c r="Q117" s="1211"/>
      <c r="R117" s="1211"/>
      <c r="S117" s="1211">
        <v>400000.0</v>
      </c>
      <c r="T117" s="1210" t="s">
        <v>15237</v>
      </c>
      <c r="U117" s="1130"/>
      <c r="V117" s="1130"/>
      <c r="W117" s="1130"/>
      <c r="X117" s="1130"/>
      <c r="Y117" s="1130"/>
      <c r="Z117" s="1130"/>
      <c r="AA117" s="1130"/>
      <c r="AB117" s="1130"/>
      <c r="AC117" s="1130"/>
    </row>
    <row r="118" ht="15.75" customHeight="1">
      <c r="A118" s="943"/>
      <c r="B118" s="1231" t="s">
        <v>11746</v>
      </c>
      <c r="C118" s="1212" t="s">
        <v>15300</v>
      </c>
      <c r="D118" s="1213" t="s">
        <v>15301</v>
      </c>
      <c r="E118" s="1181">
        <v>585000.0</v>
      </c>
      <c r="F118" s="1181">
        <f t="shared" si="32"/>
        <v>649350</v>
      </c>
      <c r="G118" s="1143">
        <f t="shared" si="33"/>
        <v>729285</v>
      </c>
      <c r="H118" s="1210">
        <f>G118*1.24</f>
        <v>904313.4</v>
      </c>
      <c r="I118" s="1210"/>
      <c r="J118" s="1185">
        <f t="shared" si="63"/>
        <v>904313.4</v>
      </c>
      <c r="K118" s="1185">
        <f>G118*1.3175</f>
        <v>960832.9875</v>
      </c>
      <c r="L118" s="1185">
        <f t="shared" si="61"/>
        <v>960832.9875</v>
      </c>
      <c r="M118" s="1185">
        <f>G118*1.395</f>
        <v>1017352.575</v>
      </c>
      <c r="N118" s="1185">
        <f t="shared" si="62"/>
        <v>1017352.575</v>
      </c>
      <c r="O118" s="1185">
        <f>G118*1.55</f>
        <v>1130391.75</v>
      </c>
      <c r="P118" s="1221">
        <f>G118*1.55</f>
        <v>1130391.75</v>
      </c>
      <c r="Q118" s="1211"/>
      <c r="R118" s="1211"/>
      <c r="S118" s="1211">
        <v>600000.0</v>
      </c>
      <c r="T118" s="1210" t="s">
        <v>15225</v>
      </c>
      <c r="U118" s="1130"/>
      <c r="V118" s="1130"/>
      <c r="W118" s="1130"/>
      <c r="X118" s="1130"/>
      <c r="Y118" s="1130"/>
      <c r="Z118" s="1130"/>
      <c r="AA118" s="1130"/>
      <c r="AB118" s="1130"/>
      <c r="AC118" s="1130"/>
    </row>
    <row r="119" ht="15.75" customHeight="1">
      <c r="A119" s="943"/>
      <c r="B119" s="1231" t="s">
        <v>11746</v>
      </c>
      <c r="C119" s="1230" t="s">
        <v>15302</v>
      </c>
      <c r="D119" s="1213" t="s">
        <v>15303</v>
      </c>
      <c r="E119" s="1181">
        <v>579000.0</v>
      </c>
      <c r="F119" s="1181">
        <f t="shared" si="32"/>
        <v>642690</v>
      </c>
      <c r="G119" s="1143">
        <f t="shared" si="33"/>
        <v>721959</v>
      </c>
      <c r="H119" s="1210">
        <f>G119*3.36</f>
        <v>2425782.24</v>
      </c>
      <c r="I119" s="1210"/>
      <c r="J119" s="1181">
        <f t="shared" si="63"/>
        <v>2425782.24</v>
      </c>
      <c r="K119" s="1181">
        <f>G119*3.57</f>
        <v>2577393.63</v>
      </c>
      <c r="L119" s="1181">
        <f t="shared" si="61"/>
        <v>2577393.63</v>
      </c>
      <c r="M119" s="1181">
        <f>G119*3.78</f>
        <v>2729005.02</v>
      </c>
      <c r="N119" s="1181">
        <f t="shared" si="62"/>
        <v>2729005.02</v>
      </c>
      <c r="O119" s="1181">
        <f>G119*4.2</f>
        <v>3032227.8</v>
      </c>
      <c r="P119" s="1210">
        <f>G119*4.2</f>
        <v>3032227.8</v>
      </c>
      <c r="Q119" s="1211"/>
      <c r="R119" s="1211"/>
      <c r="S119" s="1211">
        <v>600000.0</v>
      </c>
      <c r="T119" s="1210" t="s">
        <v>15225</v>
      </c>
      <c r="U119" s="1130"/>
      <c r="V119" s="1130"/>
      <c r="W119" s="1130"/>
      <c r="X119" s="1130"/>
      <c r="Y119" s="1130"/>
      <c r="Z119" s="1130"/>
      <c r="AA119" s="1130"/>
      <c r="AB119" s="1130"/>
      <c r="AC119" s="1130"/>
    </row>
    <row r="120" ht="15.75" customHeight="1">
      <c r="A120" s="943"/>
      <c r="B120" s="1207" t="s">
        <v>11746</v>
      </c>
      <c r="C120" s="1207" t="s">
        <v>15183</v>
      </c>
      <c r="D120" s="1209" t="s">
        <v>15304</v>
      </c>
      <c r="E120" s="1181">
        <v>370000.0</v>
      </c>
      <c r="F120" s="1181">
        <f t="shared" si="32"/>
        <v>410700</v>
      </c>
      <c r="G120" s="1143">
        <f t="shared" si="33"/>
        <v>466770</v>
      </c>
      <c r="H120" s="1214"/>
      <c r="I120" s="1214"/>
      <c r="J120" s="1214"/>
      <c r="K120" s="1214"/>
      <c r="L120" s="1214"/>
      <c r="M120" s="1214"/>
      <c r="N120" s="1214"/>
      <c r="O120" s="1214"/>
      <c r="P120" s="1214"/>
      <c r="Q120" s="1211"/>
      <c r="R120" s="1211"/>
      <c r="S120" s="1211">
        <v>500000.0</v>
      </c>
      <c r="T120" s="1210" t="s">
        <v>15237</v>
      </c>
      <c r="U120" s="1130"/>
      <c r="V120" s="1130"/>
      <c r="W120" s="1130"/>
      <c r="X120" s="1130"/>
      <c r="Y120" s="1130"/>
      <c r="Z120" s="1130"/>
      <c r="AA120" s="1130"/>
      <c r="AB120" s="1130"/>
      <c r="AC120" s="1130"/>
    </row>
    <row r="121" ht="15.75" customHeight="1">
      <c r="A121" s="943"/>
      <c r="B121" s="1207" t="s">
        <v>11746</v>
      </c>
      <c r="C121" s="1207" t="s">
        <v>15305</v>
      </c>
      <c r="D121" s="1209" t="s">
        <v>15306</v>
      </c>
      <c r="E121" s="1181">
        <v>582000.0</v>
      </c>
      <c r="F121" s="1181">
        <f t="shared" si="32"/>
        <v>646020</v>
      </c>
      <c r="G121" s="1143">
        <f t="shared" si="33"/>
        <v>725622</v>
      </c>
      <c r="H121" s="1210">
        <f>G121*1.24</f>
        <v>899771.28</v>
      </c>
      <c r="I121" s="1210"/>
      <c r="J121" s="1185">
        <f>P121*80%</f>
        <v>899771.28</v>
      </c>
      <c r="K121" s="1185">
        <f>G121*1.3175</f>
        <v>956006.985</v>
      </c>
      <c r="L121" s="1185">
        <f t="shared" ref="L121:L122" si="64">P121*85%</f>
        <v>956006.985</v>
      </c>
      <c r="M121" s="1185">
        <f>G121*1.395</f>
        <v>1012242.69</v>
      </c>
      <c r="N121" s="1185">
        <f>P121*90%</f>
        <v>1012242.69</v>
      </c>
      <c r="O121" s="1185">
        <f>G121*1.55</f>
        <v>1124714.1</v>
      </c>
      <c r="P121" s="1221">
        <f>G121*1.55</f>
        <v>1124714.1</v>
      </c>
      <c r="Q121" s="1211"/>
      <c r="R121" s="1211"/>
      <c r="S121" s="1211">
        <v>600000.0</v>
      </c>
      <c r="T121" s="1210" t="s">
        <v>15225</v>
      </c>
      <c r="U121" s="1130"/>
      <c r="V121" s="1130"/>
      <c r="W121" s="1130"/>
      <c r="X121" s="1130"/>
      <c r="Y121" s="1130"/>
      <c r="Z121" s="1130"/>
      <c r="AA121" s="1130"/>
      <c r="AB121" s="1130"/>
      <c r="AC121" s="1130"/>
    </row>
    <row r="122" ht="15.75" customHeight="1">
      <c r="A122" s="943"/>
      <c r="B122" s="1207" t="s">
        <v>11751</v>
      </c>
      <c r="C122" s="1207" t="s">
        <v>15307</v>
      </c>
      <c r="D122" s="1209" t="s">
        <v>15308</v>
      </c>
      <c r="E122" s="1181">
        <v>389000.0</v>
      </c>
      <c r="F122" s="1181">
        <f t="shared" si="32"/>
        <v>431790</v>
      </c>
      <c r="G122" s="1143">
        <f t="shared" si="33"/>
        <v>489969</v>
      </c>
      <c r="H122" s="1210">
        <f>G122*2.1021</f>
        <v>1029963.835</v>
      </c>
      <c r="I122" s="1210"/>
      <c r="J122" s="1181">
        <f>P122*78%</f>
        <v>1029963.835</v>
      </c>
      <c r="K122" s="1181">
        <f>G122*2.291</f>
        <v>1122518.979</v>
      </c>
      <c r="L122" s="1181">
        <f t="shared" si="64"/>
        <v>1122396.487</v>
      </c>
      <c r="M122" s="1181">
        <f>G122*2.29</f>
        <v>1122029.01</v>
      </c>
      <c r="N122" s="1181">
        <f>P122*85%</f>
        <v>1122396.487</v>
      </c>
      <c r="O122" s="1181">
        <f>G122*2.695</f>
        <v>1320466.455</v>
      </c>
      <c r="P122" s="1210">
        <f>G122*2.695</f>
        <v>1320466.455</v>
      </c>
      <c r="Q122" s="1211"/>
      <c r="R122" s="1211"/>
      <c r="S122" s="1211" t="s">
        <v>11484</v>
      </c>
      <c r="T122" s="1210"/>
      <c r="U122" s="1130"/>
      <c r="V122" s="1130"/>
      <c r="W122" s="1130"/>
      <c r="X122" s="1130"/>
      <c r="Y122" s="1130"/>
      <c r="Z122" s="1130"/>
      <c r="AA122" s="1130"/>
      <c r="AB122" s="1130"/>
      <c r="AC122" s="1130"/>
    </row>
    <row r="123" ht="15.75" customHeight="1">
      <c r="A123" s="943"/>
      <c r="B123" s="1207" t="s">
        <v>11751</v>
      </c>
      <c r="C123" s="1207" t="s">
        <v>15185</v>
      </c>
      <c r="D123" s="1209" t="s">
        <v>15309</v>
      </c>
      <c r="E123" s="1181">
        <v>553000.0</v>
      </c>
      <c r="F123" s="1181">
        <f t="shared" si="32"/>
        <v>613830</v>
      </c>
      <c r="G123" s="1143">
        <f t="shared" si="33"/>
        <v>690213</v>
      </c>
      <c r="H123" s="1214"/>
      <c r="I123" s="1214"/>
      <c r="J123" s="1214"/>
      <c r="K123" s="1214"/>
      <c r="L123" s="1214"/>
      <c r="M123" s="1214"/>
      <c r="N123" s="1214"/>
      <c r="O123" s="1214"/>
      <c r="P123" s="1214"/>
      <c r="Q123" s="1211"/>
      <c r="R123" s="1211"/>
      <c r="S123" s="1211" t="s">
        <v>11484</v>
      </c>
      <c r="T123" s="1210"/>
      <c r="U123" s="1130"/>
      <c r="V123" s="1130"/>
      <c r="W123" s="1130"/>
      <c r="X123" s="1130"/>
      <c r="Y123" s="1130"/>
      <c r="Z123" s="1130"/>
      <c r="AA123" s="1130"/>
      <c r="AB123" s="1130"/>
      <c r="AC123" s="1130"/>
    </row>
    <row r="124" ht="15.75" customHeight="1">
      <c r="A124" s="943"/>
      <c r="B124" s="1207" t="s">
        <v>11757</v>
      </c>
      <c r="C124" s="1207" t="s">
        <v>15310</v>
      </c>
      <c r="D124" s="1209" t="s">
        <v>15311</v>
      </c>
      <c r="E124" s="1232">
        <v>879000.0</v>
      </c>
      <c r="F124" s="1181">
        <f t="shared" si="32"/>
        <v>975690</v>
      </c>
      <c r="G124" s="1143">
        <f t="shared" si="33"/>
        <v>1088259</v>
      </c>
      <c r="H124" s="1210">
        <f>G124* 1.46</f>
        <v>1588858.14</v>
      </c>
      <c r="I124" s="1210"/>
      <c r="J124" s="1181">
        <f>P124*67%</f>
        <v>1589511.095</v>
      </c>
      <c r="K124" s="1181">
        <f>G124*1.853</f>
        <v>2016543.927</v>
      </c>
      <c r="L124" s="1181">
        <f t="shared" ref="L124:L128" si="65">P124*85%</f>
        <v>2016543.927</v>
      </c>
      <c r="M124" s="1181">
        <f>G124*1.962</f>
        <v>2135164.158</v>
      </c>
      <c r="N124" s="1181">
        <f t="shared" ref="N124:N128" si="66">P124*90%</f>
        <v>2135164.158</v>
      </c>
      <c r="O124" s="1181">
        <f>G124*2.18</f>
        <v>2372404.62</v>
      </c>
      <c r="P124" s="1210">
        <f>G124*2.18</f>
        <v>2372404.62</v>
      </c>
      <c r="Q124" s="1211"/>
      <c r="R124" s="1211"/>
      <c r="S124" s="1211" t="s">
        <v>11484</v>
      </c>
      <c r="T124" s="1210"/>
      <c r="U124" s="1130"/>
      <c r="V124" s="1130"/>
      <c r="W124" s="1130"/>
      <c r="X124" s="1130"/>
      <c r="Y124" s="1130"/>
      <c r="Z124" s="1130"/>
      <c r="AA124" s="1130"/>
      <c r="AB124" s="1130"/>
      <c r="AC124" s="1130"/>
    </row>
    <row r="125" ht="15.75" customHeight="1">
      <c r="A125" s="943"/>
      <c r="B125" s="1207" t="s">
        <v>11757</v>
      </c>
      <c r="C125" s="1207" t="s">
        <v>15312</v>
      </c>
      <c r="D125" s="1209" t="s">
        <v>15313</v>
      </c>
      <c r="E125" s="1232">
        <v>535000.0</v>
      </c>
      <c r="F125" s="1181">
        <f t="shared" si="32"/>
        <v>593850</v>
      </c>
      <c r="G125" s="1143">
        <f t="shared" si="33"/>
        <v>668235</v>
      </c>
      <c r="H125" s="1210">
        <f>G125*1.657</f>
        <v>1107265.395</v>
      </c>
      <c r="I125" s="1210"/>
      <c r="J125" s="1181">
        <f>P125*75%</f>
        <v>1107599.513</v>
      </c>
      <c r="K125" s="1181">
        <f>G125*1.878</f>
        <v>1254945.33</v>
      </c>
      <c r="L125" s="1181">
        <f t="shared" si="65"/>
        <v>1255279.448</v>
      </c>
      <c r="M125" s="1181">
        <f>G125*1.989</f>
        <v>1329119.415</v>
      </c>
      <c r="N125" s="1181">
        <f t="shared" si="66"/>
        <v>1329119.415</v>
      </c>
      <c r="O125" s="1181">
        <f>G125*2.21</f>
        <v>1476799.35</v>
      </c>
      <c r="P125" s="1210">
        <f>G125*2.21</f>
        <v>1476799.35</v>
      </c>
      <c r="Q125" s="1211"/>
      <c r="R125" s="1211"/>
      <c r="S125" s="1211" t="s">
        <v>11484</v>
      </c>
      <c r="T125" s="1210"/>
      <c r="U125" s="1130"/>
      <c r="V125" s="1130"/>
      <c r="W125" s="1130"/>
      <c r="X125" s="1130"/>
      <c r="Y125" s="1130"/>
      <c r="Z125" s="1130"/>
      <c r="AA125" s="1130"/>
      <c r="AB125" s="1130"/>
      <c r="AC125" s="1130"/>
    </row>
    <row r="126" ht="15.75" customHeight="1">
      <c r="A126" s="943"/>
      <c r="B126" s="1207" t="s">
        <v>11757</v>
      </c>
      <c r="C126" s="1207" t="s">
        <v>15314</v>
      </c>
      <c r="D126" s="1209" t="s">
        <v>15315</v>
      </c>
      <c r="E126" s="1232">
        <v>767000.0</v>
      </c>
      <c r="F126" s="1181">
        <f t="shared" si="32"/>
        <v>851370</v>
      </c>
      <c r="G126" s="1143">
        <f t="shared" si="33"/>
        <v>951507</v>
      </c>
      <c r="H126" s="1210">
        <f>G126*1.36</f>
        <v>1294049.52</v>
      </c>
      <c r="I126" s="1210"/>
      <c r="J126" s="1185">
        <f t="shared" ref="J126:J127" si="67">P126*80%</f>
        <v>1294049.52</v>
      </c>
      <c r="K126" s="1185">
        <f>G126*1.445</f>
        <v>1374927.615</v>
      </c>
      <c r="L126" s="1185">
        <f t="shared" si="65"/>
        <v>1374927.615</v>
      </c>
      <c r="M126" s="1185">
        <f>G126*1.53</f>
        <v>1455805.71</v>
      </c>
      <c r="N126" s="1185">
        <f t="shared" si="66"/>
        <v>1455805.71</v>
      </c>
      <c r="O126" s="1185">
        <f>G126*1.7</f>
        <v>1617561.9</v>
      </c>
      <c r="P126" s="1221">
        <f>G126*1.7</f>
        <v>1617561.9</v>
      </c>
      <c r="Q126" s="1211"/>
      <c r="R126" s="1211"/>
      <c r="S126" s="1211" t="s">
        <v>11484</v>
      </c>
      <c r="T126" s="1210"/>
      <c r="U126" s="1130"/>
      <c r="V126" s="1130"/>
      <c r="W126" s="1130"/>
      <c r="X126" s="1130"/>
      <c r="Y126" s="1130"/>
      <c r="Z126" s="1130"/>
      <c r="AA126" s="1130"/>
      <c r="AB126" s="1130"/>
      <c r="AC126" s="1130"/>
    </row>
    <row r="127" ht="15.75" customHeight="1">
      <c r="A127" s="943"/>
      <c r="B127" s="1207" t="s">
        <v>11757</v>
      </c>
      <c r="C127" s="1207" t="s">
        <v>15316</v>
      </c>
      <c r="D127" s="1209" t="s">
        <v>15317</v>
      </c>
      <c r="E127" s="1232">
        <v>805000.0</v>
      </c>
      <c r="F127" s="1181">
        <f t="shared" si="32"/>
        <v>893550</v>
      </c>
      <c r="G127" s="1143">
        <f t="shared" si="33"/>
        <v>997905</v>
      </c>
      <c r="H127" s="1210">
        <f>G127*1.296</f>
        <v>1293284.88</v>
      </c>
      <c r="I127" s="1210"/>
      <c r="J127" s="1185">
        <f t="shared" si="67"/>
        <v>1293284.88</v>
      </c>
      <c r="K127" s="1185">
        <f>G127*1.377</f>
        <v>1374115.185</v>
      </c>
      <c r="L127" s="1185">
        <f t="shared" si="65"/>
        <v>1374115.185</v>
      </c>
      <c r="M127" s="1185">
        <f>G127*1.458</f>
        <v>1454945.49</v>
      </c>
      <c r="N127" s="1185">
        <f t="shared" si="66"/>
        <v>1454945.49</v>
      </c>
      <c r="O127" s="1185">
        <f>G127*1.62</f>
        <v>1616606.1</v>
      </c>
      <c r="P127" s="1221">
        <f>G127*1.62</f>
        <v>1616606.1</v>
      </c>
      <c r="Q127" s="1211"/>
      <c r="R127" s="1211"/>
      <c r="S127" s="1211">
        <v>600000.0</v>
      </c>
      <c r="T127" s="1210" t="s">
        <v>15225</v>
      </c>
      <c r="U127" s="1130"/>
      <c r="V127" s="1130"/>
      <c r="W127" s="1130"/>
      <c r="X127" s="1130"/>
      <c r="Y127" s="1130"/>
      <c r="Z127" s="1130"/>
      <c r="AA127" s="1130"/>
      <c r="AB127" s="1130"/>
      <c r="AC127" s="1130"/>
    </row>
    <row r="128" ht="15.75" customHeight="1">
      <c r="A128" s="943"/>
      <c r="B128" s="1207" t="s">
        <v>11757</v>
      </c>
      <c r="C128" s="1207" t="s">
        <v>15318</v>
      </c>
      <c r="D128" s="1209" t="s">
        <v>15319</v>
      </c>
      <c r="E128" s="1181">
        <v>624000.0</v>
      </c>
      <c r="F128" s="1181">
        <f t="shared" si="32"/>
        <v>692640</v>
      </c>
      <c r="G128" s="1143">
        <f t="shared" si="33"/>
        <v>776904</v>
      </c>
      <c r="H128" s="1210">
        <f>G128*1.4</f>
        <v>1087665.6</v>
      </c>
      <c r="I128" s="1210"/>
      <c r="J128" s="1181">
        <f>P128*70%</f>
        <v>1087665.6</v>
      </c>
      <c r="K128" s="1181">
        <f>G128*1.7</f>
        <v>1320736.8</v>
      </c>
      <c r="L128" s="1181">
        <f t="shared" si="65"/>
        <v>1320736.8</v>
      </c>
      <c r="M128" s="1181">
        <f>G128*1.8</f>
        <v>1398427.2</v>
      </c>
      <c r="N128" s="1181">
        <f t="shared" si="66"/>
        <v>1398427.2</v>
      </c>
      <c r="O128" s="1181">
        <f>G128*2</f>
        <v>1553808</v>
      </c>
      <c r="P128" s="1210">
        <f>G128*2</f>
        <v>1553808</v>
      </c>
      <c r="Q128" s="1211"/>
      <c r="R128" s="1211"/>
      <c r="S128" s="1211" t="s">
        <v>11484</v>
      </c>
      <c r="T128" s="1210"/>
      <c r="U128" s="1130"/>
      <c r="V128" s="1130"/>
      <c r="W128" s="1130"/>
      <c r="X128" s="1130"/>
      <c r="Y128" s="1130"/>
      <c r="Z128" s="1130"/>
      <c r="AA128" s="1130"/>
      <c r="AB128" s="1130"/>
      <c r="AC128" s="1130"/>
    </row>
    <row r="129" ht="15.75" customHeight="1">
      <c r="A129" s="943"/>
      <c r="B129" s="1207" t="s">
        <v>11757</v>
      </c>
      <c r="C129" s="1207" t="s">
        <v>15187</v>
      </c>
      <c r="D129" s="1209" t="s">
        <v>15320</v>
      </c>
      <c r="E129" s="1181">
        <v>501000.0</v>
      </c>
      <c r="F129" s="1181">
        <f t="shared" si="32"/>
        <v>556110</v>
      </c>
      <c r="G129" s="1143">
        <f t="shared" si="33"/>
        <v>626721</v>
      </c>
      <c r="H129" s="1214"/>
      <c r="I129" s="1214"/>
      <c r="J129" s="1214"/>
      <c r="K129" s="1214"/>
      <c r="L129" s="1214"/>
      <c r="M129" s="1214"/>
      <c r="N129" s="1214"/>
      <c r="O129" s="1214"/>
      <c r="P129" s="1214"/>
      <c r="Q129" s="1211"/>
      <c r="R129" s="1211"/>
      <c r="S129" s="1211" t="s">
        <v>11484</v>
      </c>
      <c r="T129" s="1210"/>
      <c r="U129" s="1130"/>
      <c r="V129" s="1130"/>
      <c r="W129" s="1130"/>
      <c r="X129" s="1130"/>
      <c r="Y129" s="1130"/>
      <c r="Z129" s="1130"/>
      <c r="AA129" s="1130"/>
      <c r="AB129" s="1130"/>
      <c r="AC129" s="1130"/>
    </row>
    <row r="130" ht="15.75" customHeight="1">
      <c r="A130" s="943"/>
      <c r="B130" s="1207" t="s">
        <v>11757</v>
      </c>
      <c r="C130" s="1207" t="s">
        <v>15321</v>
      </c>
      <c r="D130" s="1209" t="s">
        <v>15322</v>
      </c>
      <c r="E130" s="1181">
        <v>819000.0</v>
      </c>
      <c r="F130" s="1181">
        <f t="shared" si="32"/>
        <v>909090</v>
      </c>
      <c r="G130" s="1143">
        <f t="shared" si="33"/>
        <v>1014999</v>
      </c>
      <c r="H130" s="1210">
        <f>G130*1.584</f>
        <v>1607758.416</v>
      </c>
      <c r="I130" s="1210"/>
      <c r="J130" s="1181">
        <f t="shared" ref="J130:J131" si="68">P130*80%</f>
        <v>1607758.416</v>
      </c>
      <c r="K130" s="1181">
        <f>G130*1.683</f>
        <v>1708243.317</v>
      </c>
      <c r="L130" s="1181">
        <f t="shared" ref="L130:L138" si="69">P130*85%</f>
        <v>1708243.317</v>
      </c>
      <c r="M130" s="1181">
        <f>G130*1.782</f>
        <v>1808728.218</v>
      </c>
      <c r="N130" s="1181">
        <f t="shared" ref="N130:N132" si="70">P130*90%</f>
        <v>1808728.218</v>
      </c>
      <c r="O130" s="1181">
        <f>G130*1.98</f>
        <v>2009698.02</v>
      </c>
      <c r="P130" s="1210">
        <f>G130*1.98</f>
        <v>2009698.02</v>
      </c>
      <c r="Q130" s="1211"/>
      <c r="R130" s="1211"/>
      <c r="S130" s="1211" t="s">
        <v>11484</v>
      </c>
      <c r="T130" s="1210"/>
      <c r="U130" s="1130"/>
      <c r="V130" s="1130"/>
      <c r="W130" s="1130"/>
      <c r="X130" s="1130"/>
      <c r="Y130" s="1130"/>
      <c r="Z130" s="1130"/>
      <c r="AA130" s="1130"/>
      <c r="AB130" s="1130"/>
      <c r="AC130" s="1130"/>
    </row>
    <row r="131" ht="15.75" customHeight="1">
      <c r="A131" s="943"/>
      <c r="B131" s="1207" t="s">
        <v>11757</v>
      </c>
      <c r="C131" s="1208" t="s">
        <v>15323</v>
      </c>
      <c r="D131" s="1209" t="s">
        <v>15324</v>
      </c>
      <c r="E131" s="1181">
        <v>460000.0</v>
      </c>
      <c r="F131" s="1181">
        <f t="shared" si="32"/>
        <v>510600</v>
      </c>
      <c r="G131" s="1143">
        <f t="shared" si="33"/>
        <v>576660</v>
      </c>
      <c r="H131" s="1210">
        <f>G131*3.2</f>
        <v>1845312</v>
      </c>
      <c r="I131" s="1210"/>
      <c r="J131" s="1181">
        <f t="shared" si="68"/>
        <v>1845312</v>
      </c>
      <c r="K131" s="1181">
        <f>G131*3.4</f>
        <v>1960644</v>
      </c>
      <c r="L131" s="1181">
        <f t="shared" si="69"/>
        <v>1960644</v>
      </c>
      <c r="M131" s="1181">
        <f>G131*3.6</f>
        <v>2075976</v>
      </c>
      <c r="N131" s="1181">
        <f t="shared" si="70"/>
        <v>2075976</v>
      </c>
      <c r="O131" s="1181">
        <f>G131*4</f>
        <v>2306640</v>
      </c>
      <c r="P131" s="1210">
        <f>G131*4</f>
        <v>2306640</v>
      </c>
      <c r="Q131" s="1211"/>
      <c r="R131" s="1211"/>
      <c r="S131" s="1211">
        <v>600000.0</v>
      </c>
      <c r="T131" s="1210" t="s">
        <v>15225</v>
      </c>
      <c r="U131" s="1130"/>
      <c r="V131" s="1130"/>
      <c r="W131" s="1130"/>
      <c r="X131" s="1130"/>
      <c r="Y131" s="1130"/>
      <c r="Z131" s="1130"/>
      <c r="AA131" s="1130"/>
      <c r="AB131" s="1130"/>
      <c r="AC131" s="1130"/>
    </row>
    <row r="132" ht="15.75" customHeight="1">
      <c r="A132" s="943"/>
      <c r="B132" s="1207" t="s">
        <v>11757</v>
      </c>
      <c r="C132" s="1208" t="s">
        <v>15325</v>
      </c>
      <c r="D132" s="1209" t="s">
        <v>15326</v>
      </c>
      <c r="E132" s="1181">
        <v>642000.0</v>
      </c>
      <c r="F132" s="1181">
        <f t="shared" si="32"/>
        <v>712620</v>
      </c>
      <c r="G132" s="1143">
        <f t="shared" si="33"/>
        <v>798882</v>
      </c>
      <c r="H132" s="1210">
        <f>G132*2.45</f>
        <v>1957260.9</v>
      </c>
      <c r="I132" s="1210"/>
      <c r="J132" s="1181">
        <f>P132*70%</f>
        <v>1957260.9</v>
      </c>
      <c r="K132" s="1181">
        <f>G132*2.975</f>
        <v>2376673.95</v>
      </c>
      <c r="L132" s="1181">
        <f t="shared" si="69"/>
        <v>2376673.95</v>
      </c>
      <c r="M132" s="1181">
        <f>G132*3.15</f>
        <v>2516478.3</v>
      </c>
      <c r="N132" s="1181">
        <f t="shared" si="70"/>
        <v>2516478.3</v>
      </c>
      <c r="O132" s="1181">
        <f>G132*3.5</f>
        <v>2796087</v>
      </c>
      <c r="P132" s="1210">
        <f>G132*3.5</f>
        <v>2796087</v>
      </c>
      <c r="Q132" s="1211"/>
      <c r="R132" s="1211"/>
      <c r="S132" s="1211">
        <v>600000.0</v>
      </c>
      <c r="T132" s="1210" t="s">
        <v>15225</v>
      </c>
      <c r="U132" s="1130"/>
      <c r="V132" s="1130"/>
      <c r="W132" s="1130"/>
      <c r="X132" s="1130"/>
      <c r="Y132" s="1130"/>
      <c r="Z132" s="1130"/>
      <c r="AA132" s="1130"/>
      <c r="AB132" s="1130"/>
      <c r="AC132" s="1130"/>
    </row>
    <row r="133" ht="15.75" customHeight="1">
      <c r="A133" s="943"/>
      <c r="B133" s="1207" t="s">
        <v>11757</v>
      </c>
      <c r="C133" s="1207" t="s">
        <v>15327</v>
      </c>
      <c r="D133" s="1209" t="s">
        <v>15328</v>
      </c>
      <c r="E133" s="1181">
        <v>669000.0</v>
      </c>
      <c r="F133" s="1181">
        <f t="shared" si="32"/>
        <v>742590</v>
      </c>
      <c r="G133" s="1143">
        <f t="shared" si="33"/>
        <v>831849</v>
      </c>
      <c r="H133" s="1210">
        <f>G133*1.58</f>
        <v>1314321.42</v>
      </c>
      <c r="I133" s="1210"/>
      <c r="J133" s="1181">
        <f>P133*79%</f>
        <v>1314321.42</v>
      </c>
      <c r="K133" s="1181">
        <f t="shared" ref="K133:K134" si="71">G133*1.7</f>
        <v>1414143.3</v>
      </c>
      <c r="L133" s="1181">
        <f t="shared" si="69"/>
        <v>1414143.3</v>
      </c>
      <c r="M133" s="1181">
        <f>G133*1.76</f>
        <v>1464054.24</v>
      </c>
      <c r="N133" s="1181">
        <f>P133*88%</f>
        <v>1464054.24</v>
      </c>
      <c r="O133" s="1181">
        <f t="shared" ref="O133:O134" si="72">G133*2</f>
        <v>1663698</v>
      </c>
      <c r="P133" s="1210">
        <f t="shared" ref="P133:P134" si="73">G133*2</f>
        <v>1663698</v>
      </c>
      <c r="Q133" s="1211"/>
      <c r="R133" s="1211"/>
      <c r="S133" s="1211" t="s">
        <v>11484</v>
      </c>
      <c r="T133" s="1210"/>
      <c r="U133" s="1130"/>
      <c r="V133" s="1130"/>
      <c r="W133" s="1130"/>
      <c r="X133" s="1130"/>
      <c r="Y133" s="1130"/>
      <c r="Z133" s="1130"/>
      <c r="AA133" s="1130"/>
      <c r="AB133" s="1130"/>
      <c r="AC133" s="1130"/>
    </row>
    <row r="134" ht="15.75" customHeight="1">
      <c r="A134" s="943"/>
      <c r="B134" s="1207" t="s">
        <v>11757</v>
      </c>
      <c r="C134" s="1212" t="s">
        <v>15329</v>
      </c>
      <c r="D134" s="1209" t="s">
        <v>15330</v>
      </c>
      <c r="E134" s="1188">
        <v>490000.0</v>
      </c>
      <c r="F134" s="1181">
        <f t="shared" si="32"/>
        <v>543900</v>
      </c>
      <c r="G134" s="1143">
        <f t="shared" si="33"/>
        <v>613290</v>
      </c>
      <c r="H134" s="1210">
        <f>G134*1.6</f>
        <v>981264</v>
      </c>
      <c r="I134" s="1210"/>
      <c r="J134" s="1181">
        <f>P134*80%</f>
        <v>981264</v>
      </c>
      <c r="K134" s="1181">
        <f t="shared" si="71"/>
        <v>1042593</v>
      </c>
      <c r="L134" s="1181">
        <f t="shared" si="69"/>
        <v>1042593</v>
      </c>
      <c r="M134" s="1181">
        <f>G134*1.8</f>
        <v>1103922</v>
      </c>
      <c r="N134" s="1181">
        <f t="shared" ref="N134:N138" si="74">P134*90%</f>
        <v>1103922</v>
      </c>
      <c r="O134" s="1181">
        <f t="shared" si="72"/>
        <v>1226580</v>
      </c>
      <c r="P134" s="1210">
        <f t="shared" si="73"/>
        <v>1226580</v>
      </c>
      <c r="Q134" s="1211"/>
      <c r="R134" s="1211"/>
      <c r="S134" s="1211" t="s">
        <v>11484</v>
      </c>
      <c r="T134" s="1210"/>
      <c r="U134" s="1130"/>
      <c r="V134" s="1130"/>
      <c r="W134" s="1130"/>
      <c r="X134" s="1130"/>
      <c r="Y134" s="1130"/>
      <c r="Z134" s="1130"/>
      <c r="AA134" s="1130"/>
      <c r="AB134" s="1130"/>
      <c r="AC134" s="1130"/>
    </row>
    <row r="135" ht="15.75" customHeight="1">
      <c r="A135" s="943"/>
      <c r="B135" s="1207" t="s">
        <v>11757</v>
      </c>
      <c r="C135" s="1207" t="s">
        <v>15331</v>
      </c>
      <c r="D135" s="1209" t="s">
        <v>15332</v>
      </c>
      <c r="E135" s="1181">
        <v>477000.0</v>
      </c>
      <c r="F135" s="1181">
        <f t="shared" si="32"/>
        <v>529470</v>
      </c>
      <c r="G135" s="1143">
        <f t="shared" si="33"/>
        <v>597417</v>
      </c>
      <c r="H135" s="1210">
        <f>G135*1.6985</f>
        <v>1014712.775</v>
      </c>
      <c r="I135" s="1210"/>
      <c r="J135" s="1181">
        <f>P135*79%</f>
        <v>1014712.775</v>
      </c>
      <c r="K135" s="1181">
        <f>G135*1.827</f>
        <v>1091480.859</v>
      </c>
      <c r="L135" s="1181">
        <f t="shared" si="69"/>
        <v>1091779.568</v>
      </c>
      <c r="M135" s="1181">
        <f>G135*1.935</f>
        <v>1156001.895</v>
      </c>
      <c r="N135" s="1181">
        <f t="shared" si="74"/>
        <v>1156001.895</v>
      </c>
      <c r="O135" s="1181">
        <f>G135*2.15</f>
        <v>1284446.55</v>
      </c>
      <c r="P135" s="1210">
        <f>G135*2.15</f>
        <v>1284446.55</v>
      </c>
      <c r="Q135" s="1211"/>
      <c r="R135" s="1211"/>
      <c r="S135" s="1211" t="s">
        <v>11484</v>
      </c>
      <c r="T135" s="1210"/>
      <c r="U135" s="1130"/>
      <c r="V135" s="1130"/>
      <c r="W135" s="1130"/>
      <c r="X135" s="1130"/>
      <c r="Y135" s="1130"/>
      <c r="Z135" s="1130"/>
      <c r="AA135" s="1130"/>
      <c r="AB135" s="1130"/>
      <c r="AC135" s="1130"/>
    </row>
    <row r="136" ht="15.75" customHeight="1">
      <c r="A136" s="943"/>
      <c r="B136" s="1207" t="s">
        <v>11781</v>
      </c>
      <c r="C136" s="1208" t="s">
        <v>15333</v>
      </c>
      <c r="D136" s="1209" t="s">
        <v>15334</v>
      </c>
      <c r="E136" s="1181">
        <v>481000.0</v>
      </c>
      <c r="F136" s="1181">
        <f t="shared" si="32"/>
        <v>533910</v>
      </c>
      <c r="G136" s="1143">
        <f t="shared" si="33"/>
        <v>602301</v>
      </c>
      <c r="H136" s="1210">
        <f>G136*2.4</f>
        <v>1445522.4</v>
      </c>
      <c r="I136" s="1210"/>
      <c r="J136" s="1181">
        <f t="shared" ref="J136:J138" si="75">P136*80%</f>
        <v>1445522.4</v>
      </c>
      <c r="K136" s="1181">
        <f>G136*2.55</f>
        <v>1535867.55</v>
      </c>
      <c r="L136" s="1181">
        <f t="shared" si="69"/>
        <v>1535867.55</v>
      </c>
      <c r="M136" s="1181">
        <f>G136*2.7</f>
        <v>1626212.7</v>
      </c>
      <c r="N136" s="1181">
        <f t="shared" si="74"/>
        <v>1626212.7</v>
      </c>
      <c r="O136" s="1181">
        <f>G136*3</f>
        <v>1806903</v>
      </c>
      <c r="P136" s="1210">
        <f>G136*3</f>
        <v>1806903</v>
      </c>
      <c r="Q136" s="1211"/>
      <c r="R136" s="1211"/>
      <c r="S136" s="1211">
        <v>600000.0</v>
      </c>
      <c r="T136" s="1210" t="s">
        <v>15225</v>
      </c>
      <c r="U136" s="1130"/>
      <c r="V136" s="1130"/>
      <c r="W136" s="1130"/>
      <c r="X136" s="1130"/>
      <c r="Y136" s="1130"/>
      <c r="Z136" s="1130"/>
      <c r="AA136" s="1130"/>
      <c r="AB136" s="1130"/>
      <c r="AC136" s="1130"/>
    </row>
    <row r="137" ht="15.75" customHeight="1">
      <c r="A137" s="943"/>
      <c r="B137" s="1207" t="s">
        <v>11781</v>
      </c>
      <c r="C137" s="1233" t="s">
        <v>15335</v>
      </c>
      <c r="D137" s="1209" t="s">
        <v>15336</v>
      </c>
      <c r="E137" s="1181">
        <v>422000.0</v>
      </c>
      <c r="F137" s="1181">
        <f t="shared" si="32"/>
        <v>468420</v>
      </c>
      <c r="G137" s="1143">
        <f t="shared" si="33"/>
        <v>530262</v>
      </c>
      <c r="H137" s="1210">
        <f>G137*3.6</f>
        <v>1908943.2</v>
      </c>
      <c r="I137" s="1210"/>
      <c r="J137" s="1181">
        <f t="shared" si="75"/>
        <v>1908943.2</v>
      </c>
      <c r="K137" s="1181">
        <f>G137*3.825</f>
        <v>2028252.15</v>
      </c>
      <c r="L137" s="1181">
        <f t="shared" si="69"/>
        <v>2028252.15</v>
      </c>
      <c r="M137" s="1181">
        <f>G137*4.05</f>
        <v>2147561.1</v>
      </c>
      <c r="N137" s="1181">
        <f t="shared" si="74"/>
        <v>2147561.1</v>
      </c>
      <c r="O137" s="1181">
        <f>G137*4.5</f>
        <v>2386179</v>
      </c>
      <c r="P137" s="1210">
        <f>G137*4.5</f>
        <v>2386179</v>
      </c>
      <c r="Q137" s="1211"/>
      <c r="R137" s="1211"/>
      <c r="S137" s="1211">
        <v>600000.0</v>
      </c>
      <c r="T137" s="1210" t="s">
        <v>15225</v>
      </c>
      <c r="U137" s="1130"/>
      <c r="V137" s="1130"/>
      <c r="W137" s="1130"/>
      <c r="X137" s="1130"/>
      <c r="Y137" s="1130"/>
      <c r="Z137" s="1130"/>
      <c r="AA137" s="1130"/>
      <c r="AB137" s="1130"/>
      <c r="AC137" s="1130"/>
    </row>
    <row r="138" ht="15.75" customHeight="1">
      <c r="A138" s="943"/>
      <c r="B138" s="1207" t="s">
        <v>11781</v>
      </c>
      <c r="C138" s="1208" t="s">
        <v>15337</v>
      </c>
      <c r="D138" s="1234" t="s">
        <v>15338</v>
      </c>
      <c r="E138" s="1181">
        <v>483000.0</v>
      </c>
      <c r="F138" s="1181">
        <f t="shared" si="32"/>
        <v>536130</v>
      </c>
      <c r="G138" s="1143">
        <f t="shared" si="33"/>
        <v>604743</v>
      </c>
      <c r="H138" s="1210">
        <f>G138*3.2</f>
        <v>1935177.6</v>
      </c>
      <c r="I138" s="1210"/>
      <c r="J138" s="1181">
        <f t="shared" si="75"/>
        <v>1935177.6</v>
      </c>
      <c r="K138" s="1181">
        <f>G138*3.4</f>
        <v>2056126.2</v>
      </c>
      <c r="L138" s="1181">
        <f t="shared" si="69"/>
        <v>2056126.2</v>
      </c>
      <c r="M138" s="1181">
        <f>G138*3.6</f>
        <v>2177074.8</v>
      </c>
      <c r="N138" s="1181">
        <f t="shared" si="74"/>
        <v>2177074.8</v>
      </c>
      <c r="O138" s="1181">
        <f>G138*4</f>
        <v>2418972</v>
      </c>
      <c r="P138" s="1210">
        <f>G138*4</f>
        <v>2418972</v>
      </c>
      <c r="Q138" s="1211"/>
      <c r="R138" s="1211"/>
      <c r="S138" s="1211">
        <v>600000.0</v>
      </c>
      <c r="T138" s="1210" t="s">
        <v>15225</v>
      </c>
      <c r="U138" s="1130"/>
      <c r="V138" s="1130"/>
      <c r="W138" s="1130"/>
      <c r="X138" s="1130"/>
      <c r="Y138" s="1130"/>
      <c r="Z138" s="1130"/>
      <c r="AA138" s="1130"/>
      <c r="AB138" s="1130"/>
      <c r="AC138" s="1130"/>
    </row>
    <row r="139" ht="15.75" customHeight="1">
      <c r="A139" s="943"/>
      <c r="B139" s="1207" t="s">
        <v>15189</v>
      </c>
      <c r="C139" s="1208" t="s">
        <v>15190</v>
      </c>
      <c r="D139" s="1209" t="s">
        <v>15339</v>
      </c>
      <c r="E139" s="1181">
        <v>487000.0</v>
      </c>
      <c r="F139" s="1181">
        <f t="shared" si="32"/>
        <v>540570</v>
      </c>
      <c r="G139" s="1143">
        <f t="shared" si="33"/>
        <v>609627</v>
      </c>
      <c r="H139" s="1214"/>
      <c r="I139" s="1214"/>
      <c r="J139" s="1214"/>
      <c r="K139" s="1214"/>
      <c r="L139" s="1214"/>
      <c r="M139" s="1214"/>
      <c r="N139" s="1214"/>
      <c r="O139" s="1214"/>
      <c r="P139" s="1214"/>
      <c r="Q139" s="1211"/>
      <c r="R139" s="1211"/>
      <c r="S139" s="1211" t="s">
        <v>11484</v>
      </c>
      <c r="T139" s="1210"/>
      <c r="U139" s="1130"/>
      <c r="V139" s="1130"/>
      <c r="W139" s="1130"/>
      <c r="X139" s="1130"/>
      <c r="Y139" s="1130"/>
      <c r="Z139" s="1130"/>
      <c r="AA139" s="1130"/>
      <c r="AB139" s="1130"/>
      <c r="AC139" s="1130"/>
    </row>
    <row r="140" ht="15.75" customHeight="1">
      <c r="A140" s="943"/>
      <c r="B140" s="1207" t="s">
        <v>15189</v>
      </c>
      <c r="C140" s="1207" t="s">
        <v>15340</v>
      </c>
      <c r="D140" s="1209" t="s">
        <v>15341</v>
      </c>
      <c r="E140" s="1181">
        <v>918000.0</v>
      </c>
      <c r="F140" s="1181">
        <f t="shared" si="32"/>
        <v>1018980</v>
      </c>
      <c r="G140" s="1143">
        <f t="shared" si="33"/>
        <v>1135878</v>
      </c>
      <c r="H140" s="1210">
        <f>G140*2.135</f>
        <v>2425099.53</v>
      </c>
      <c r="I140" s="1210"/>
      <c r="J140" s="1181">
        <f t="shared" ref="J140:J141" si="76">P140*70%</f>
        <v>2425099.53</v>
      </c>
      <c r="K140" s="1181">
        <f>G140*2.44</f>
        <v>2771542.32</v>
      </c>
      <c r="L140" s="1181">
        <f>P140*80%</f>
        <v>2771542.32</v>
      </c>
      <c r="M140" s="1181">
        <f>G140*2.745</f>
        <v>3117985.11</v>
      </c>
      <c r="N140" s="1181">
        <f t="shared" ref="N140:N145" si="77">P140*90%</f>
        <v>3117985.11</v>
      </c>
      <c r="O140" s="1181">
        <f>G140*3.05</f>
        <v>3464427.9</v>
      </c>
      <c r="P140" s="1210">
        <f>G140*3.05</f>
        <v>3464427.9</v>
      </c>
      <c r="Q140" s="1211"/>
      <c r="R140" s="1211"/>
      <c r="S140" s="1211" t="s">
        <v>11484</v>
      </c>
      <c r="T140" s="1210"/>
      <c r="U140" s="1130"/>
      <c r="V140" s="1130"/>
      <c r="W140" s="1130"/>
      <c r="X140" s="1130"/>
      <c r="Y140" s="1130"/>
      <c r="Z140" s="1130"/>
      <c r="AA140" s="1130"/>
      <c r="AB140" s="1130"/>
      <c r="AC140" s="1130"/>
    </row>
    <row r="141" ht="15.75" customHeight="1">
      <c r="A141" s="943"/>
      <c r="B141" s="1207" t="s">
        <v>15189</v>
      </c>
      <c r="C141" s="1207" t="s">
        <v>15342</v>
      </c>
      <c r="D141" s="1209" t="s">
        <v>15343</v>
      </c>
      <c r="E141" s="1232">
        <v>692000.0</v>
      </c>
      <c r="F141" s="1181">
        <f t="shared" si="32"/>
        <v>768120</v>
      </c>
      <c r="G141" s="1143">
        <f t="shared" si="33"/>
        <v>859932</v>
      </c>
      <c r="H141" s="1210">
        <f>G141*2.555</f>
        <v>2197126.26</v>
      </c>
      <c r="I141" s="1210"/>
      <c r="J141" s="1181">
        <f t="shared" si="76"/>
        <v>2197126.26</v>
      </c>
      <c r="K141" s="1181">
        <f>G141*3.102</f>
        <v>2667509.064</v>
      </c>
      <c r="L141" s="1181">
        <f t="shared" ref="L141:L145" si="78">P141*85%</f>
        <v>2667939.03</v>
      </c>
      <c r="M141" s="1181">
        <f>G141*3.285</f>
        <v>2824876.62</v>
      </c>
      <c r="N141" s="1181">
        <f t="shared" si="77"/>
        <v>2824876.62</v>
      </c>
      <c r="O141" s="1181">
        <f>G141*3.65</f>
        <v>3138751.8</v>
      </c>
      <c r="P141" s="1210">
        <f>G141*3.65</f>
        <v>3138751.8</v>
      </c>
      <c r="Q141" s="1211"/>
      <c r="R141" s="1211"/>
      <c r="S141" s="1211" t="s">
        <v>11484</v>
      </c>
      <c r="T141" s="1210"/>
      <c r="U141" s="1130"/>
      <c r="V141" s="1130"/>
      <c r="W141" s="1130"/>
      <c r="X141" s="1130"/>
      <c r="Y141" s="1130"/>
      <c r="Z141" s="1130"/>
      <c r="AA141" s="1130"/>
      <c r="AB141" s="1130"/>
      <c r="AC141" s="1130"/>
    </row>
    <row r="142" ht="15.75" customHeight="1">
      <c r="A142" s="943"/>
      <c r="B142" s="1207" t="s">
        <v>15189</v>
      </c>
      <c r="C142" s="1208" t="s">
        <v>15344</v>
      </c>
      <c r="D142" s="1209" t="s">
        <v>15345</v>
      </c>
      <c r="E142" s="1232">
        <v>399000.0</v>
      </c>
      <c r="F142" s="1181">
        <f t="shared" si="32"/>
        <v>442890</v>
      </c>
      <c r="G142" s="1143">
        <f t="shared" si="33"/>
        <v>502179</v>
      </c>
      <c r="H142" s="1210">
        <f>G142*3.45</f>
        <v>1732517.55</v>
      </c>
      <c r="I142" s="1210"/>
      <c r="J142" s="1181">
        <f>P142*69%</f>
        <v>1732517.55</v>
      </c>
      <c r="K142" s="1181">
        <f>G142*4.25</f>
        <v>2134260.75</v>
      </c>
      <c r="L142" s="1181">
        <f t="shared" si="78"/>
        <v>2134260.75</v>
      </c>
      <c r="M142" s="1181">
        <f>G142*4.5</f>
        <v>2259805.5</v>
      </c>
      <c r="N142" s="1181">
        <f t="shared" si="77"/>
        <v>2259805.5</v>
      </c>
      <c r="O142" s="1181">
        <f>G142*5</f>
        <v>2510895</v>
      </c>
      <c r="P142" s="1210">
        <f>G142*5</f>
        <v>2510895</v>
      </c>
      <c r="Q142" s="1211"/>
      <c r="R142" s="1211"/>
      <c r="S142" s="1211">
        <v>600000.0</v>
      </c>
      <c r="T142" s="1210" t="s">
        <v>15346</v>
      </c>
      <c r="U142" s="1130"/>
      <c r="V142" s="1130"/>
      <c r="W142" s="1130"/>
      <c r="X142" s="1130"/>
      <c r="Y142" s="1130"/>
      <c r="Z142" s="1130"/>
      <c r="AA142" s="1130"/>
      <c r="AB142" s="1130"/>
      <c r="AC142" s="1130"/>
    </row>
    <row r="143" ht="15.75" customHeight="1">
      <c r="A143" s="943"/>
      <c r="B143" s="1207" t="s">
        <v>15189</v>
      </c>
      <c r="C143" s="1207" t="s">
        <v>15347</v>
      </c>
      <c r="D143" s="1209" t="s">
        <v>15348</v>
      </c>
      <c r="E143" s="1232">
        <v>612000.0</v>
      </c>
      <c r="F143" s="1181">
        <f t="shared" si="32"/>
        <v>679320</v>
      </c>
      <c r="G143" s="1143">
        <f t="shared" si="33"/>
        <v>762252</v>
      </c>
      <c r="H143" s="1210">
        <f>G143*2.911</f>
        <v>2218915.572</v>
      </c>
      <c r="I143" s="1210"/>
      <c r="J143" s="1181">
        <f>P143*71%</f>
        <v>2218915.572</v>
      </c>
      <c r="K143" s="1181">
        <f>G143*3.485</f>
        <v>2656448.22</v>
      </c>
      <c r="L143" s="1181">
        <f t="shared" si="78"/>
        <v>2656448.22</v>
      </c>
      <c r="M143" s="1181">
        <f>G143*3.69</f>
        <v>2812709.88</v>
      </c>
      <c r="N143" s="1181">
        <f t="shared" si="77"/>
        <v>2812709.88</v>
      </c>
      <c r="O143" s="1181">
        <f>G143*4.1</f>
        <v>3125233.2</v>
      </c>
      <c r="P143" s="1210">
        <f>G143*4.1</f>
        <v>3125233.2</v>
      </c>
      <c r="Q143" s="1211"/>
      <c r="R143" s="1211"/>
      <c r="S143" s="1211" t="s">
        <v>11484</v>
      </c>
      <c r="T143" s="1210"/>
      <c r="U143" s="1130"/>
      <c r="V143" s="1130"/>
      <c r="W143" s="1130"/>
      <c r="X143" s="1130"/>
      <c r="Y143" s="1130"/>
      <c r="Z143" s="1130"/>
      <c r="AA143" s="1130"/>
      <c r="AB143" s="1130"/>
      <c r="AC143" s="1130"/>
    </row>
    <row r="144" ht="15.75" customHeight="1">
      <c r="A144" s="943"/>
      <c r="B144" s="1207" t="s">
        <v>11900</v>
      </c>
      <c r="C144" s="1207" t="s">
        <v>15349</v>
      </c>
      <c r="D144" s="1209" t="s">
        <v>15350</v>
      </c>
      <c r="E144" s="1181">
        <v>478000.0</v>
      </c>
      <c r="F144" s="1181">
        <f t="shared" si="32"/>
        <v>530580</v>
      </c>
      <c r="G144" s="1143">
        <f t="shared" si="33"/>
        <v>598638</v>
      </c>
      <c r="H144" s="1210">
        <f>G144*1.5375</f>
        <v>920405.925</v>
      </c>
      <c r="I144" s="1210"/>
      <c r="J144" s="1181">
        <f>P144*75%</f>
        <v>920405.925</v>
      </c>
      <c r="K144" s="1181">
        <f>G144*1.742</f>
        <v>1042827.396</v>
      </c>
      <c r="L144" s="1181">
        <f t="shared" si="78"/>
        <v>1043126.715</v>
      </c>
      <c r="M144" s="1181">
        <f>G144*1.845</f>
        <v>1104487.11</v>
      </c>
      <c r="N144" s="1181">
        <f t="shared" si="77"/>
        <v>1104487.11</v>
      </c>
      <c r="O144" s="1181">
        <f>G144*2.05</f>
        <v>1227207.9</v>
      </c>
      <c r="P144" s="1210">
        <f>G144*2.05</f>
        <v>1227207.9</v>
      </c>
      <c r="Q144" s="1211"/>
      <c r="R144" s="1211"/>
      <c r="S144" s="1211" t="s">
        <v>11484</v>
      </c>
      <c r="T144" s="1210"/>
      <c r="U144" s="1130"/>
      <c r="V144" s="1130"/>
      <c r="W144" s="1130"/>
      <c r="X144" s="1130"/>
      <c r="Y144" s="1130"/>
      <c r="Z144" s="1130"/>
      <c r="AA144" s="1130"/>
      <c r="AB144" s="1130"/>
      <c r="AC144" s="1130"/>
    </row>
    <row r="145" ht="15.75" customHeight="1">
      <c r="A145" s="943"/>
      <c r="B145" s="1207" t="s">
        <v>11900</v>
      </c>
      <c r="C145" s="1207" t="s">
        <v>15351</v>
      </c>
      <c r="D145" s="1209" t="s">
        <v>15352</v>
      </c>
      <c r="E145" s="1181">
        <v>508000.0</v>
      </c>
      <c r="F145" s="1181">
        <f t="shared" si="32"/>
        <v>563880</v>
      </c>
      <c r="G145" s="1143">
        <f t="shared" si="33"/>
        <v>635268</v>
      </c>
      <c r="H145" s="1210">
        <f>G145*1.596</f>
        <v>1013887.728</v>
      </c>
      <c r="I145" s="1210"/>
      <c r="J145" s="1181">
        <f>P145*76%</f>
        <v>1013887.728</v>
      </c>
      <c r="K145" s="1181">
        <f>G145*1.785</f>
        <v>1133953.38</v>
      </c>
      <c r="L145" s="1181">
        <f t="shared" si="78"/>
        <v>1133953.38</v>
      </c>
      <c r="M145" s="1181">
        <f>G145*1.89</f>
        <v>1200656.52</v>
      </c>
      <c r="N145" s="1181">
        <f t="shared" si="77"/>
        <v>1200656.52</v>
      </c>
      <c r="O145" s="1181">
        <f>G145*2.1</f>
        <v>1334062.8</v>
      </c>
      <c r="P145" s="1210">
        <f>G145*2.1</f>
        <v>1334062.8</v>
      </c>
      <c r="Q145" s="1211"/>
      <c r="R145" s="1211"/>
      <c r="S145" s="1211" t="s">
        <v>11484</v>
      </c>
      <c r="T145" s="1210"/>
      <c r="U145" s="1130"/>
      <c r="V145" s="1130"/>
      <c r="W145" s="1130"/>
      <c r="X145" s="1130"/>
      <c r="Y145" s="1130"/>
      <c r="Z145" s="1130"/>
      <c r="AA145" s="1130"/>
      <c r="AB145" s="1130"/>
      <c r="AC145" s="1130"/>
    </row>
    <row r="146" ht="15.75" customHeight="1">
      <c r="A146" s="943"/>
      <c r="B146" s="1207" t="s">
        <v>11900</v>
      </c>
      <c r="C146" s="1212" t="s">
        <v>15192</v>
      </c>
      <c r="D146" s="1209" t="s">
        <v>15353</v>
      </c>
      <c r="E146" s="1188">
        <v>356000.0</v>
      </c>
      <c r="F146" s="1181">
        <f t="shared" si="32"/>
        <v>395160</v>
      </c>
      <c r="G146" s="1143">
        <f t="shared" si="33"/>
        <v>449676</v>
      </c>
      <c r="H146" s="1214"/>
      <c r="I146" s="1214"/>
      <c r="J146" s="1214"/>
      <c r="K146" s="1214"/>
      <c r="L146" s="1214"/>
      <c r="M146" s="1214"/>
      <c r="N146" s="1214"/>
      <c r="O146" s="1214"/>
      <c r="P146" s="1214"/>
      <c r="Q146" s="1211"/>
      <c r="R146" s="1211"/>
      <c r="S146" s="1211" t="s">
        <v>11484</v>
      </c>
      <c r="T146" s="1210"/>
      <c r="U146" s="1130"/>
      <c r="V146" s="1130"/>
      <c r="W146" s="1130"/>
      <c r="X146" s="1130"/>
      <c r="Y146" s="1130"/>
      <c r="Z146" s="1130"/>
      <c r="AA146" s="1130"/>
      <c r="AB146" s="1130"/>
      <c r="AC146" s="1130"/>
    </row>
    <row r="147" ht="15.75" customHeight="1">
      <c r="A147" s="943"/>
      <c r="B147" s="1207" t="s">
        <v>11900</v>
      </c>
      <c r="C147" s="1207" t="s">
        <v>15354</v>
      </c>
      <c r="D147" s="1209" t="s">
        <v>15355</v>
      </c>
      <c r="E147" s="1181">
        <v>467000.0</v>
      </c>
      <c r="F147" s="1181">
        <f t="shared" si="32"/>
        <v>518370</v>
      </c>
      <c r="G147" s="1143">
        <f t="shared" si="33"/>
        <v>585207</v>
      </c>
      <c r="H147" s="1210">
        <f>G147*1.7925</f>
        <v>1048983.548</v>
      </c>
      <c r="I147" s="1210"/>
      <c r="J147" s="1181">
        <f>P147*75%</f>
        <v>1048983.548</v>
      </c>
      <c r="K147" s="1181">
        <f>G147*2.031</f>
        <v>1188555.417</v>
      </c>
      <c r="L147" s="1181">
        <f t="shared" ref="L147:L158" si="79">P147*85%</f>
        <v>1188848.021</v>
      </c>
      <c r="M147" s="1181">
        <f>G147*2.151</f>
        <v>1258780.257</v>
      </c>
      <c r="N147" s="1181">
        <f t="shared" ref="N147:N158" si="80">P147*90%</f>
        <v>1258780.257</v>
      </c>
      <c r="O147" s="1181">
        <f>G147*2.39</f>
        <v>1398644.73</v>
      </c>
      <c r="P147" s="1210">
        <f>G147*2.39</f>
        <v>1398644.73</v>
      </c>
      <c r="Q147" s="1211"/>
      <c r="R147" s="1211"/>
      <c r="S147" s="1211" t="s">
        <v>11484</v>
      </c>
      <c r="T147" s="1210"/>
      <c r="U147" s="1130"/>
      <c r="V147" s="1130"/>
      <c r="W147" s="1130"/>
      <c r="X147" s="1130"/>
      <c r="Y147" s="1130"/>
      <c r="Z147" s="1130"/>
      <c r="AA147" s="1130"/>
      <c r="AB147" s="1130"/>
      <c r="AC147" s="1130"/>
    </row>
    <row r="148" ht="15.75" customHeight="1">
      <c r="A148" s="943"/>
      <c r="B148" s="1226" t="s">
        <v>11900</v>
      </c>
      <c r="C148" s="1215" t="s">
        <v>15356</v>
      </c>
      <c r="D148" s="1227" t="s">
        <v>15357</v>
      </c>
      <c r="E148" s="1185">
        <v>640000.0</v>
      </c>
      <c r="F148" s="1181">
        <f t="shared" si="32"/>
        <v>710400</v>
      </c>
      <c r="G148" s="1143">
        <f t="shared" si="33"/>
        <v>796440</v>
      </c>
      <c r="H148" s="1217"/>
      <c r="I148" s="1217"/>
      <c r="J148" s="1218">
        <f t="shared" ref="J148:J159" si="81">P148*80%</f>
        <v>0</v>
      </c>
      <c r="K148" s="1218"/>
      <c r="L148" s="1218">
        <f t="shared" si="79"/>
        <v>0</v>
      </c>
      <c r="M148" s="1218"/>
      <c r="N148" s="1218">
        <f t="shared" si="80"/>
        <v>0</v>
      </c>
      <c r="O148" s="1218"/>
      <c r="P148" s="1219"/>
      <c r="Q148" s="1220"/>
      <c r="R148" s="1220"/>
      <c r="S148" s="1220"/>
      <c r="T148" s="1219"/>
      <c r="U148" s="1130"/>
      <c r="V148" s="1130"/>
      <c r="W148" s="1130"/>
      <c r="X148" s="1130"/>
      <c r="Y148" s="1130"/>
      <c r="Z148" s="1130"/>
      <c r="AA148" s="1130"/>
      <c r="AB148" s="1130"/>
      <c r="AC148" s="1130"/>
    </row>
    <row r="149" ht="15.75" customHeight="1">
      <c r="A149" s="943"/>
      <c r="B149" s="1226" t="s">
        <v>11900</v>
      </c>
      <c r="C149" s="1215" t="s">
        <v>15092</v>
      </c>
      <c r="D149" s="1227" t="s">
        <v>15358</v>
      </c>
      <c r="E149" s="1185">
        <v>572000.0</v>
      </c>
      <c r="F149" s="1181">
        <f t="shared" si="32"/>
        <v>634920</v>
      </c>
      <c r="G149" s="1143">
        <f t="shared" si="33"/>
        <v>713412</v>
      </c>
      <c r="H149" s="1217"/>
      <c r="I149" s="1217"/>
      <c r="J149" s="1218">
        <f t="shared" si="81"/>
        <v>0</v>
      </c>
      <c r="K149" s="1218"/>
      <c r="L149" s="1218">
        <f t="shared" si="79"/>
        <v>0</v>
      </c>
      <c r="M149" s="1218"/>
      <c r="N149" s="1218">
        <f t="shared" si="80"/>
        <v>0</v>
      </c>
      <c r="O149" s="1218"/>
      <c r="P149" s="1219"/>
      <c r="Q149" s="1220"/>
      <c r="R149" s="1220"/>
      <c r="S149" s="1220"/>
      <c r="T149" s="1219"/>
      <c r="U149" s="1130"/>
      <c r="V149" s="1130"/>
      <c r="W149" s="1130"/>
      <c r="X149" s="1130"/>
      <c r="Y149" s="1130"/>
      <c r="Z149" s="1130"/>
      <c r="AA149" s="1130"/>
      <c r="AB149" s="1130"/>
      <c r="AC149" s="1130"/>
    </row>
    <row r="150" ht="15.75" customHeight="1">
      <c r="A150" s="943"/>
      <c r="B150" s="1215" t="s">
        <v>11900</v>
      </c>
      <c r="C150" s="1215" t="s">
        <v>15137</v>
      </c>
      <c r="D150" s="1216" t="s">
        <v>15359</v>
      </c>
      <c r="E150" s="1185">
        <v>657000.0</v>
      </c>
      <c r="F150" s="1181">
        <f t="shared" si="32"/>
        <v>729270</v>
      </c>
      <c r="G150" s="1143">
        <f t="shared" si="33"/>
        <v>817197</v>
      </c>
      <c r="H150" s="1217"/>
      <c r="I150" s="1217"/>
      <c r="J150" s="1218">
        <f t="shared" si="81"/>
        <v>0</v>
      </c>
      <c r="K150" s="1218"/>
      <c r="L150" s="1218">
        <f t="shared" si="79"/>
        <v>0</v>
      </c>
      <c r="M150" s="1218"/>
      <c r="N150" s="1218">
        <f t="shared" si="80"/>
        <v>0</v>
      </c>
      <c r="O150" s="1218"/>
      <c r="P150" s="1219"/>
      <c r="Q150" s="1220"/>
      <c r="R150" s="1220"/>
      <c r="S150" s="1220"/>
      <c r="T150" s="1219"/>
      <c r="U150" s="1130"/>
      <c r="V150" s="1130"/>
      <c r="W150" s="1130"/>
      <c r="X150" s="1130"/>
      <c r="Y150" s="1130"/>
      <c r="Z150" s="1130"/>
      <c r="AA150" s="1130"/>
      <c r="AB150" s="1130"/>
      <c r="AC150" s="1130"/>
    </row>
    <row r="151" ht="15.75" customHeight="1">
      <c r="A151" s="943"/>
      <c r="B151" s="1215" t="s">
        <v>11900</v>
      </c>
      <c r="C151" s="1215" t="s">
        <v>15141</v>
      </c>
      <c r="D151" s="1216" t="s">
        <v>15360</v>
      </c>
      <c r="E151" s="1185">
        <v>400000.0</v>
      </c>
      <c r="F151" s="1181">
        <f t="shared" si="32"/>
        <v>444000</v>
      </c>
      <c r="G151" s="1143">
        <f t="shared" si="33"/>
        <v>503400</v>
      </c>
      <c r="H151" s="1217"/>
      <c r="I151" s="1217"/>
      <c r="J151" s="1218">
        <f t="shared" si="81"/>
        <v>0</v>
      </c>
      <c r="K151" s="1218"/>
      <c r="L151" s="1218">
        <f t="shared" si="79"/>
        <v>0</v>
      </c>
      <c r="M151" s="1218"/>
      <c r="N151" s="1218">
        <f t="shared" si="80"/>
        <v>0</v>
      </c>
      <c r="O151" s="1218"/>
      <c r="P151" s="1219"/>
      <c r="Q151" s="1220"/>
      <c r="R151" s="1220"/>
      <c r="S151" s="1220"/>
      <c r="T151" s="1219"/>
      <c r="U151" s="1130"/>
      <c r="V151" s="1130"/>
      <c r="W151" s="1130"/>
      <c r="X151" s="1130"/>
      <c r="Y151" s="1130"/>
      <c r="Z151" s="1130"/>
      <c r="AA151" s="1130"/>
      <c r="AB151" s="1130"/>
      <c r="AC151" s="1130"/>
    </row>
    <row r="152" ht="15.75" customHeight="1">
      <c r="A152" s="943"/>
      <c r="B152" s="1215" t="s">
        <v>11900</v>
      </c>
      <c r="C152" s="1215" t="s">
        <v>15139</v>
      </c>
      <c r="D152" s="1216" t="s">
        <v>15361</v>
      </c>
      <c r="E152" s="1185">
        <v>402000.0</v>
      </c>
      <c r="F152" s="1181">
        <f t="shared" si="32"/>
        <v>446220</v>
      </c>
      <c r="G152" s="1143">
        <f t="shared" si="33"/>
        <v>505842</v>
      </c>
      <c r="H152" s="1217"/>
      <c r="I152" s="1217"/>
      <c r="J152" s="1218">
        <f t="shared" si="81"/>
        <v>0</v>
      </c>
      <c r="K152" s="1218"/>
      <c r="L152" s="1218">
        <f t="shared" si="79"/>
        <v>0</v>
      </c>
      <c r="M152" s="1218"/>
      <c r="N152" s="1218">
        <f t="shared" si="80"/>
        <v>0</v>
      </c>
      <c r="O152" s="1218"/>
      <c r="P152" s="1219"/>
      <c r="Q152" s="1220"/>
      <c r="R152" s="1220"/>
      <c r="S152" s="1220"/>
      <c r="T152" s="1219"/>
      <c r="U152" s="1130"/>
      <c r="V152" s="1130"/>
      <c r="W152" s="1130"/>
      <c r="X152" s="1130"/>
      <c r="Y152" s="1130"/>
      <c r="Z152" s="1130"/>
      <c r="AA152" s="1130"/>
      <c r="AB152" s="1130"/>
      <c r="AC152" s="1130"/>
    </row>
    <row r="153" ht="15.75" customHeight="1">
      <c r="A153" s="943"/>
      <c r="B153" s="1207" t="s">
        <v>11900</v>
      </c>
      <c r="C153" s="1207" t="s">
        <v>15096</v>
      </c>
      <c r="D153" s="1209" t="s">
        <v>15362</v>
      </c>
      <c r="E153" s="1185">
        <v>673000.0</v>
      </c>
      <c r="F153" s="1181">
        <f t="shared" si="32"/>
        <v>747030</v>
      </c>
      <c r="G153" s="1143">
        <f t="shared" si="33"/>
        <v>836733</v>
      </c>
      <c r="H153" s="1217"/>
      <c r="I153" s="1217"/>
      <c r="J153" s="1218">
        <f t="shared" si="81"/>
        <v>0</v>
      </c>
      <c r="K153" s="1218"/>
      <c r="L153" s="1218">
        <f t="shared" si="79"/>
        <v>0</v>
      </c>
      <c r="M153" s="1218"/>
      <c r="N153" s="1218">
        <f t="shared" si="80"/>
        <v>0</v>
      </c>
      <c r="O153" s="1218"/>
      <c r="P153" s="1219"/>
      <c r="Q153" s="1220"/>
      <c r="R153" s="1220"/>
      <c r="S153" s="1220"/>
      <c r="T153" s="1219"/>
      <c r="U153" s="1130"/>
      <c r="V153" s="1130"/>
      <c r="W153" s="1130"/>
      <c r="X153" s="1130"/>
      <c r="Y153" s="1130"/>
      <c r="Z153" s="1130"/>
      <c r="AA153" s="1130"/>
      <c r="AB153" s="1130"/>
      <c r="AC153" s="1130"/>
    </row>
    <row r="154" ht="15.75" customHeight="1">
      <c r="A154" s="943"/>
      <c r="B154" s="1207" t="s">
        <v>15363</v>
      </c>
      <c r="C154" s="1208" t="s">
        <v>15364</v>
      </c>
      <c r="D154" s="1209" t="s">
        <v>15365</v>
      </c>
      <c r="E154" s="1181">
        <v>214000.0</v>
      </c>
      <c r="F154" s="1181">
        <f t="shared" si="32"/>
        <v>237540</v>
      </c>
      <c r="G154" s="1143">
        <f t="shared" si="33"/>
        <v>276294</v>
      </c>
      <c r="H154" s="1210">
        <f>G154*8.8</f>
        <v>2431387.2</v>
      </c>
      <c r="I154" s="1210"/>
      <c r="J154" s="1181">
        <f t="shared" si="81"/>
        <v>2431387.2</v>
      </c>
      <c r="K154" s="1181">
        <f>G154*9.35</f>
        <v>2583348.9</v>
      </c>
      <c r="L154" s="1181">
        <f t="shared" si="79"/>
        <v>2583348.9</v>
      </c>
      <c r="M154" s="1181">
        <f>G154*9.9</f>
        <v>2735310.6</v>
      </c>
      <c r="N154" s="1181">
        <f t="shared" si="80"/>
        <v>2735310.6</v>
      </c>
      <c r="O154" s="1181">
        <f>G154*11</f>
        <v>3039234</v>
      </c>
      <c r="P154" s="1210">
        <f>G154*11</f>
        <v>3039234</v>
      </c>
      <c r="Q154" s="1211"/>
      <c r="R154" s="1211"/>
      <c r="S154" s="1211">
        <v>800000.0</v>
      </c>
      <c r="T154" s="1210" t="s">
        <v>15366</v>
      </c>
      <c r="U154" s="1130"/>
      <c r="V154" s="1130"/>
      <c r="W154" s="1130"/>
      <c r="X154" s="1130"/>
      <c r="Y154" s="1130"/>
      <c r="Z154" s="1130"/>
      <c r="AA154" s="1130"/>
      <c r="AB154" s="1130"/>
      <c r="AC154" s="1130"/>
    </row>
    <row r="155" ht="15.75" customHeight="1">
      <c r="A155" s="943"/>
      <c r="B155" s="1207" t="s">
        <v>11912</v>
      </c>
      <c r="C155" s="1208" t="s">
        <v>15367</v>
      </c>
      <c r="D155" s="1209" t="s">
        <v>15368</v>
      </c>
      <c r="E155" s="1181">
        <v>501000.0</v>
      </c>
      <c r="F155" s="1181">
        <f t="shared" si="32"/>
        <v>556110</v>
      </c>
      <c r="G155" s="1143">
        <f t="shared" si="33"/>
        <v>626721</v>
      </c>
      <c r="H155" s="1210">
        <f>G155*2.8</f>
        <v>1754818.8</v>
      </c>
      <c r="I155" s="1210"/>
      <c r="J155" s="1181">
        <f t="shared" si="81"/>
        <v>1754818.8</v>
      </c>
      <c r="K155" s="1181">
        <f>G155*2.975</f>
        <v>1864494.975</v>
      </c>
      <c r="L155" s="1181">
        <f t="shared" si="79"/>
        <v>1864494.975</v>
      </c>
      <c r="M155" s="1181">
        <f>G155*3.15</f>
        <v>1974171.15</v>
      </c>
      <c r="N155" s="1181">
        <f t="shared" si="80"/>
        <v>1974171.15</v>
      </c>
      <c r="O155" s="1181">
        <f>G155*3.5</f>
        <v>2193523.5</v>
      </c>
      <c r="P155" s="1210">
        <f>G155*3.5</f>
        <v>2193523.5</v>
      </c>
      <c r="Q155" s="1211"/>
      <c r="R155" s="1211"/>
      <c r="S155" s="1211">
        <v>600000.0</v>
      </c>
      <c r="T155" s="1210" t="s">
        <v>15225</v>
      </c>
      <c r="U155" s="1130"/>
      <c r="V155" s="1130"/>
      <c r="W155" s="1130"/>
      <c r="X155" s="1130"/>
      <c r="Y155" s="1130"/>
      <c r="Z155" s="1130"/>
      <c r="AA155" s="1130"/>
      <c r="AB155" s="1130"/>
      <c r="AC155" s="1130"/>
    </row>
    <row r="156" ht="15.75" customHeight="1">
      <c r="A156" s="943"/>
      <c r="B156" s="1207" t="s">
        <v>11912</v>
      </c>
      <c r="C156" s="1208" t="s">
        <v>15369</v>
      </c>
      <c r="D156" s="1209" t="s">
        <v>15370</v>
      </c>
      <c r="E156" s="1181">
        <v>531000.0</v>
      </c>
      <c r="F156" s="1181">
        <f t="shared" si="32"/>
        <v>589410</v>
      </c>
      <c r="G156" s="1143">
        <f t="shared" si="33"/>
        <v>663351</v>
      </c>
      <c r="H156" s="1210">
        <f t="shared" ref="H156:H157" si="82">G156*2.72</f>
        <v>1804314.72</v>
      </c>
      <c r="I156" s="1210"/>
      <c r="J156" s="1181">
        <f t="shared" si="81"/>
        <v>1804314.72</v>
      </c>
      <c r="K156" s="1181">
        <f t="shared" ref="K156:K157" si="83">G156*2.89</f>
        <v>1917084.39</v>
      </c>
      <c r="L156" s="1181">
        <f t="shared" si="79"/>
        <v>1917084.39</v>
      </c>
      <c r="M156" s="1181">
        <f t="shared" ref="M156:M157" si="84">G156*3.06</f>
        <v>2029854.06</v>
      </c>
      <c r="N156" s="1181">
        <f t="shared" si="80"/>
        <v>2029854.06</v>
      </c>
      <c r="O156" s="1181">
        <f t="shared" ref="O156:O157" si="85">G156*3.4</f>
        <v>2255393.4</v>
      </c>
      <c r="P156" s="1210">
        <f t="shared" ref="P156:P157" si="86">G156*3.4</f>
        <v>2255393.4</v>
      </c>
      <c r="Q156" s="1211"/>
      <c r="R156" s="1211"/>
      <c r="S156" s="1211">
        <v>600000.0</v>
      </c>
      <c r="T156" s="1210" t="s">
        <v>15225</v>
      </c>
      <c r="U156" s="1130"/>
      <c r="V156" s="1130"/>
      <c r="W156" s="1130"/>
      <c r="X156" s="1130"/>
      <c r="Y156" s="1130"/>
      <c r="Z156" s="1130"/>
      <c r="AA156" s="1130"/>
      <c r="AB156" s="1130"/>
      <c r="AC156" s="1130"/>
    </row>
    <row r="157" ht="15.75" customHeight="1">
      <c r="A157" s="943"/>
      <c r="B157" s="1207" t="s">
        <v>11912</v>
      </c>
      <c r="C157" s="1208" t="s">
        <v>15371</v>
      </c>
      <c r="D157" s="1209" t="s">
        <v>15372</v>
      </c>
      <c r="E157" s="1181">
        <v>531000.0</v>
      </c>
      <c r="F157" s="1181">
        <f t="shared" si="32"/>
        <v>589410</v>
      </c>
      <c r="G157" s="1143">
        <f t="shared" si="33"/>
        <v>663351</v>
      </c>
      <c r="H157" s="1210">
        <f t="shared" si="82"/>
        <v>1804314.72</v>
      </c>
      <c r="I157" s="1210"/>
      <c r="J157" s="1181">
        <f t="shared" si="81"/>
        <v>1804314.72</v>
      </c>
      <c r="K157" s="1181">
        <f t="shared" si="83"/>
        <v>1917084.39</v>
      </c>
      <c r="L157" s="1181">
        <f t="shared" si="79"/>
        <v>1917084.39</v>
      </c>
      <c r="M157" s="1181">
        <f t="shared" si="84"/>
        <v>2029854.06</v>
      </c>
      <c r="N157" s="1181">
        <f t="shared" si="80"/>
        <v>2029854.06</v>
      </c>
      <c r="O157" s="1181">
        <f t="shared" si="85"/>
        <v>2255393.4</v>
      </c>
      <c r="P157" s="1210">
        <f t="shared" si="86"/>
        <v>2255393.4</v>
      </c>
      <c r="Q157" s="1211"/>
      <c r="R157" s="1211"/>
      <c r="S157" s="1211">
        <v>600000.0</v>
      </c>
      <c r="T157" s="1210" t="s">
        <v>15225</v>
      </c>
      <c r="U157" s="1130"/>
      <c r="V157" s="1130"/>
      <c r="W157" s="1130"/>
      <c r="X157" s="1130"/>
      <c r="Y157" s="1130"/>
      <c r="Z157" s="1130"/>
      <c r="AA157" s="1130"/>
      <c r="AB157" s="1130"/>
      <c r="AC157" s="1130"/>
    </row>
    <row r="158" ht="15.75" customHeight="1">
      <c r="A158" s="943"/>
      <c r="B158" s="1207" t="s">
        <v>11912</v>
      </c>
      <c r="C158" s="1207" t="s">
        <v>15373</v>
      </c>
      <c r="D158" s="1209" t="s">
        <v>15374</v>
      </c>
      <c r="E158" s="1181">
        <v>483000.0</v>
      </c>
      <c r="F158" s="1181">
        <f t="shared" si="32"/>
        <v>536130</v>
      </c>
      <c r="G158" s="1143">
        <f t="shared" si="33"/>
        <v>604743</v>
      </c>
      <c r="H158" s="1210">
        <f>G158*1.84</f>
        <v>1112727.12</v>
      </c>
      <c r="I158" s="1210"/>
      <c r="J158" s="1181">
        <f t="shared" si="81"/>
        <v>1112727.12</v>
      </c>
      <c r="K158" s="1181">
        <f>G158*1.955</f>
        <v>1182272.565</v>
      </c>
      <c r="L158" s="1181">
        <f t="shared" si="79"/>
        <v>1182272.565</v>
      </c>
      <c r="M158" s="1181">
        <f>G158*2.07</f>
        <v>1251818.01</v>
      </c>
      <c r="N158" s="1181">
        <f t="shared" si="80"/>
        <v>1251818.01</v>
      </c>
      <c r="O158" s="1181">
        <f>G158*2.3</f>
        <v>1390908.9</v>
      </c>
      <c r="P158" s="1210">
        <f>G158*2.3</f>
        <v>1390908.9</v>
      </c>
      <c r="Q158" s="1211"/>
      <c r="R158" s="1211"/>
      <c r="S158" s="1211" t="s">
        <v>11484</v>
      </c>
      <c r="T158" s="1210"/>
      <c r="U158" s="1130"/>
      <c r="V158" s="1130"/>
      <c r="W158" s="1130"/>
      <c r="X158" s="1130"/>
      <c r="Y158" s="1130"/>
      <c r="Z158" s="1130"/>
      <c r="AA158" s="1130"/>
      <c r="AB158" s="1130"/>
      <c r="AC158" s="1130"/>
    </row>
    <row r="159" ht="15.75" customHeight="1">
      <c r="A159" s="943"/>
      <c r="B159" s="1207" t="s">
        <v>11912</v>
      </c>
      <c r="C159" s="1207" t="s">
        <v>15375</v>
      </c>
      <c r="D159" s="1209" t="s">
        <v>15376</v>
      </c>
      <c r="E159" s="1181">
        <v>604000.0</v>
      </c>
      <c r="F159" s="1181">
        <f t="shared" si="32"/>
        <v>670440</v>
      </c>
      <c r="G159" s="1143">
        <f t="shared" si="33"/>
        <v>752484</v>
      </c>
      <c r="H159" s="1210">
        <f>G159*1.6</f>
        <v>1203974.4</v>
      </c>
      <c r="I159" s="1210"/>
      <c r="J159" s="1181">
        <f t="shared" si="81"/>
        <v>1203974.4</v>
      </c>
      <c r="K159" s="1181">
        <f>G159*1.66</f>
        <v>1249123.44</v>
      </c>
      <c r="L159" s="1181">
        <f>P159*83%</f>
        <v>1249123.44</v>
      </c>
      <c r="M159" s="1181">
        <f>G159*1.7</f>
        <v>1279222.8</v>
      </c>
      <c r="N159" s="1181">
        <f>P159*85%</f>
        <v>1279222.8</v>
      </c>
      <c r="O159" s="1181">
        <f t="shared" ref="O159:O160" si="87">G159*2</f>
        <v>1504968</v>
      </c>
      <c r="P159" s="1210">
        <f t="shared" ref="P159:P160" si="88">G159*2</f>
        <v>1504968</v>
      </c>
      <c r="Q159" s="1211"/>
      <c r="R159" s="1211"/>
      <c r="S159" s="1211" t="s">
        <v>11484</v>
      </c>
      <c r="T159" s="1210"/>
      <c r="U159" s="1130"/>
      <c r="V159" s="1130"/>
      <c r="W159" s="1130"/>
      <c r="X159" s="1130"/>
      <c r="Y159" s="1130"/>
      <c r="Z159" s="1130"/>
      <c r="AA159" s="1130"/>
      <c r="AB159" s="1130"/>
      <c r="AC159" s="1130"/>
    </row>
    <row r="160" ht="15.75" customHeight="1">
      <c r="A160" s="943"/>
      <c r="B160" s="1207" t="s">
        <v>11912</v>
      </c>
      <c r="C160" s="1207" t="s">
        <v>15377</v>
      </c>
      <c r="D160" s="1234" t="s">
        <v>15378</v>
      </c>
      <c r="E160" s="1181">
        <v>811000.0</v>
      </c>
      <c r="F160" s="1181">
        <f t="shared" si="32"/>
        <v>900210</v>
      </c>
      <c r="G160" s="1143">
        <f t="shared" si="33"/>
        <v>1005231</v>
      </c>
      <c r="H160" s="1210">
        <f>G160*1.5</f>
        <v>1507846.5</v>
      </c>
      <c r="I160" s="1210"/>
      <c r="J160" s="1181">
        <f>P160*75%</f>
        <v>1507846.5</v>
      </c>
      <c r="K160" s="1181">
        <f>G160*1.7</f>
        <v>1708892.7</v>
      </c>
      <c r="L160" s="1181">
        <f>P160*85%</f>
        <v>1708892.7</v>
      </c>
      <c r="M160" s="1181">
        <f>G160*1.8</f>
        <v>1809415.8</v>
      </c>
      <c r="N160" s="1181">
        <f>P160*90%</f>
        <v>1809415.8</v>
      </c>
      <c r="O160" s="1181">
        <f t="shared" si="87"/>
        <v>2010462</v>
      </c>
      <c r="P160" s="1210">
        <f t="shared" si="88"/>
        <v>2010462</v>
      </c>
      <c r="Q160" s="1211"/>
      <c r="R160" s="1211"/>
      <c r="S160" s="1211" t="s">
        <v>11484</v>
      </c>
      <c r="T160" s="1210"/>
      <c r="U160" s="1130"/>
      <c r="V160" s="1130"/>
      <c r="W160" s="1130"/>
      <c r="X160" s="1130"/>
      <c r="Y160" s="1130"/>
      <c r="Z160" s="1130"/>
      <c r="AA160" s="1130"/>
      <c r="AB160" s="1130"/>
      <c r="AC160" s="1130"/>
    </row>
    <row r="161" ht="15.75" customHeight="1">
      <c r="A161" s="943"/>
      <c r="B161" s="1207" t="s">
        <v>11912</v>
      </c>
      <c r="C161" s="1207" t="s">
        <v>15194</v>
      </c>
      <c r="D161" s="1209" t="s">
        <v>15379</v>
      </c>
      <c r="E161" s="1181">
        <v>576000.0</v>
      </c>
      <c r="F161" s="1181">
        <f t="shared" si="32"/>
        <v>639360</v>
      </c>
      <c r="G161" s="1143">
        <f t="shared" si="33"/>
        <v>718296</v>
      </c>
      <c r="H161" s="1214"/>
      <c r="I161" s="1214"/>
      <c r="J161" s="1214"/>
      <c r="K161" s="1214"/>
      <c r="L161" s="1214"/>
      <c r="M161" s="1214"/>
      <c r="N161" s="1214"/>
      <c r="O161" s="1214"/>
      <c r="P161" s="1214"/>
      <c r="Q161" s="1211"/>
      <c r="R161" s="1211"/>
      <c r="S161" s="1211" t="s">
        <v>11484</v>
      </c>
      <c r="T161" s="1210"/>
      <c r="U161" s="1130"/>
      <c r="V161" s="1130"/>
      <c r="W161" s="1130"/>
      <c r="X161" s="1130"/>
      <c r="Y161" s="1130"/>
      <c r="Z161" s="1130"/>
      <c r="AA161" s="1130"/>
      <c r="AB161" s="1130"/>
      <c r="AC161" s="1130"/>
    </row>
    <row r="162" ht="15.75" customHeight="1">
      <c r="A162" s="943"/>
      <c r="B162" s="1226" t="s">
        <v>11912</v>
      </c>
      <c r="C162" s="1215" t="s">
        <v>15098</v>
      </c>
      <c r="D162" s="1227" t="s">
        <v>15380</v>
      </c>
      <c r="E162" s="1185">
        <v>499000.0</v>
      </c>
      <c r="F162" s="1181">
        <f t="shared" si="32"/>
        <v>553890</v>
      </c>
      <c r="G162" s="1143">
        <f t="shared" si="33"/>
        <v>624279</v>
      </c>
      <c r="H162" s="1217"/>
      <c r="I162" s="1217"/>
      <c r="J162" s="1218">
        <f t="shared" ref="J162:J163" si="89">P162*80%</f>
        <v>0</v>
      </c>
      <c r="K162" s="1218"/>
      <c r="L162" s="1218">
        <f t="shared" ref="L162:L163" si="90">P162*85%</f>
        <v>0</v>
      </c>
      <c r="M162" s="1218"/>
      <c r="N162" s="1218">
        <f t="shared" ref="N162:N184" si="91">P162*90%</f>
        <v>0</v>
      </c>
      <c r="O162" s="1218"/>
      <c r="P162" s="1219"/>
      <c r="Q162" s="1220"/>
      <c r="R162" s="1220"/>
      <c r="S162" s="1220"/>
      <c r="T162" s="1219"/>
      <c r="U162" s="1130"/>
      <c r="V162" s="1130"/>
      <c r="W162" s="1130"/>
      <c r="X162" s="1130"/>
      <c r="Y162" s="1130"/>
      <c r="Z162" s="1130"/>
      <c r="AA162" s="1130"/>
      <c r="AB162" s="1130"/>
      <c r="AC162" s="1130"/>
    </row>
    <row r="163" ht="15.75" customHeight="1">
      <c r="A163" s="943"/>
      <c r="B163" s="1207" t="s">
        <v>11912</v>
      </c>
      <c r="C163" s="1208" t="s">
        <v>15381</v>
      </c>
      <c r="D163" s="1209" t="s">
        <v>15382</v>
      </c>
      <c r="E163" s="1181">
        <v>633000.0</v>
      </c>
      <c r="F163" s="1181">
        <f t="shared" si="32"/>
        <v>702630</v>
      </c>
      <c r="G163" s="1143">
        <f t="shared" si="33"/>
        <v>787893</v>
      </c>
      <c r="H163" s="1210">
        <f>G163*3.08</f>
        <v>2426710.44</v>
      </c>
      <c r="I163" s="1210"/>
      <c r="J163" s="1181">
        <f t="shared" si="89"/>
        <v>2426710.44</v>
      </c>
      <c r="K163" s="1235">
        <f>G163*3.272</f>
        <v>2577985.896</v>
      </c>
      <c r="L163" s="1181">
        <f t="shared" si="90"/>
        <v>2578379.843</v>
      </c>
      <c r="M163" s="1181">
        <f>G163*3.465</f>
        <v>2730049.245</v>
      </c>
      <c r="N163" s="1181">
        <f t="shared" si="91"/>
        <v>2730049.245</v>
      </c>
      <c r="O163" s="1181">
        <f>G163*3.85</f>
        <v>3033388.05</v>
      </c>
      <c r="P163" s="1210">
        <f>G163*3.85</f>
        <v>3033388.05</v>
      </c>
      <c r="Q163" s="1211"/>
      <c r="R163" s="1211"/>
      <c r="S163" s="1211">
        <v>600000.0</v>
      </c>
      <c r="T163" s="1210" t="s">
        <v>15225</v>
      </c>
      <c r="U163" s="1130"/>
      <c r="V163" s="1130"/>
      <c r="W163" s="1130"/>
      <c r="X163" s="1130"/>
      <c r="Y163" s="1130"/>
      <c r="Z163" s="1130"/>
      <c r="AA163" s="1130"/>
      <c r="AB163" s="1130"/>
      <c r="AC163" s="1130"/>
    </row>
    <row r="164" ht="15.75" customHeight="1">
      <c r="A164" s="943"/>
      <c r="B164" s="1207" t="s">
        <v>11912</v>
      </c>
      <c r="C164" s="1207" t="s">
        <v>15383</v>
      </c>
      <c r="D164" s="1209" t="s">
        <v>15384</v>
      </c>
      <c r="E164" s="1181">
        <v>501000.0</v>
      </c>
      <c r="F164" s="1181">
        <f t="shared" si="32"/>
        <v>556110</v>
      </c>
      <c r="G164" s="1143">
        <f t="shared" si="33"/>
        <v>626721</v>
      </c>
      <c r="H164" s="1210">
        <f>G164*1.736</f>
        <v>1087987.656</v>
      </c>
      <c r="I164" s="1210"/>
      <c r="J164" s="1181">
        <f>P164*62%</f>
        <v>1087987.656</v>
      </c>
      <c r="K164" s="1181">
        <f>G164*2.1</f>
        <v>1316114.1</v>
      </c>
      <c r="L164" s="1181">
        <f>P164*75%</f>
        <v>1316114.1</v>
      </c>
      <c r="M164" s="1181">
        <f>G164*2.52</f>
        <v>1579336.92</v>
      </c>
      <c r="N164" s="1181">
        <f t="shared" si="91"/>
        <v>1579336.92</v>
      </c>
      <c r="O164" s="1181">
        <f>G164*2.8</f>
        <v>1754818.8</v>
      </c>
      <c r="P164" s="1210">
        <f>G164*2.8</f>
        <v>1754818.8</v>
      </c>
      <c r="Q164" s="1211"/>
      <c r="R164" s="1211"/>
      <c r="S164" s="1211" t="s">
        <v>11484</v>
      </c>
      <c r="T164" s="1210"/>
      <c r="U164" s="1130"/>
      <c r="V164" s="1130"/>
      <c r="W164" s="1130"/>
      <c r="X164" s="1130"/>
      <c r="Y164" s="1130"/>
      <c r="Z164" s="1130"/>
      <c r="AA164" s="1130"/>
      <c r="AB164" s="1130"/>
      <c r="AC164" s="1130"/>
    </row>
    <row r="165" ht="15.75" customHeight="1">
      <c r="A165" s="943"/>
      <c r="B165" s="1207" t="s">
        <v>11912</v>
      </c>
      <c r="C165" s="1207" t="s">
        <v>15385</v>
      </c>
      <c r="D165" s="1209" t="s">
        <v>15386</v>
      </c>
      <c r="E165" s="1181">
        <v>809000.0</v>
      </c>
      <c r="F165" s="1181">
        <f t="shared" si="32"/>
        <v>897990</v>
      </c>
      <c r="G165" s="1143">
        <f t="shared" si="33"/>
        <v>1002789</v>
      </c>
      <c r="H165" s="1210">
        <f>G165*1.414</f>
        <v>1417943.646</v>
      </c>
      <c r="I165" s="1210"/>
      <c r="J165" s="1181">
        <f>P165*70%</f>
        <v>1417943.646</v>
      </c>
      <c r="K165" s="1210">
        <f>G165*1.616</f>
        <v>1620507.024</v>
      </c>
      <c r="L165" s="1181">
        <f>P165*80%</f>
        <v>1620507.024</v>
      </c>
      <c r="M165" s="1181">
        <f>G165*1.818</f>
        <v>1823070.402</v>
      </c>
      <c r="N165" s="1181">
        <f t="shared" si="91"/>
        <v>1823070.402</v>
      </c>
      <c r="O165" s="1181">
        <f>G165*2.02</f>
        <v>2025633.78</v>
      </c>
      <c r="P165" s="1210">
        <f>G165*2.02</f>
        <v>2025633.78</v>
      </c>
      <c r="Q165" s="1211"/>
      <c r="R165" s="1211"/>
      <c r="S165" s="1211" t="s">
        <v>11484</v>
      </c>
      <c r="T165" s="1210"/>
      <c r="U165" s="1130"/>
      <c r="V165" s="1130"/>
      <c r="W165" s="1130"/>
      <c r="X165" s="1130"/>
      <c r="Y165" s="1130"/>
      <c r="Z165" s="1130"/>
      <c r="AA165" s="1130"/>
      <c r="AB165" s="1130"/>
      <c r="AC165" s="1130"/>
    </row>
    <row r="166" ht="15.75" customHeight="1">
      <c r="A166" s="943"/>
      <c r="B166" s="1207" t="s">
        <v>11912</v>
      </c>
      <c r="C166" s="1207" t="s">
        <v>15387</v>
      </c>
      <c r="D166" s="1209" t="s">
        <v>15388</v>
      </c>
      <c r="E166" s="1181">
        <v>481000.0</v>
      </c>
      <c r="F166" s="1181">
        <f t="shared" si="32"/>
        <v>533910</v>
      </c>
      <c r="G166" s="1143">
        <f t="shared" si="33"/>
        <v>602301</v>
      </c>
      <c r="H166" s="1210">
        <f>G166*1.56</f>
        <v>939589.56</v>
      </c>
      <c r="I166" s="1210"/>
      <c r="J166" s="1181">
        <f>P166*80%</f>
        <v>939589.56</v>
      </c>
      <c r="K166" s="1181">
        <f>G166*1.657</f>
        <v>998012.757</v>
      </c>
      <c r="L166" s="1181">
        <f t="shared" ref="L166:L172" si="92">P166*85%</f>
        <v>998313.9075</v>
      </c>
      <c r="M166" s="1181">
        <f>G166*1.755</f>
        <v>1057038.255</v>
      </c>
      <c r="N166" s="1181">
        <f t="shared" si="91"/>
        <v>1057038.255</v>
      </c>
      <c r="O166" s="1181">
        <f>G166*1.95</f>
        <v>1174486.95</v>
      </c>
      <c r="P166" s="1210">
        <f>G166*1.95</f>
        <v>1174486.95</v>
      </c>
      <c r="Q166" s="1211"/>
      <c r="R166" s="1211"/>
      <c r="S166" s="1211" t="s">
        <v>11484</v>
      </c>
      <c r="T166" s="1210"/>
      <c r="U166" s="1130"/>
      <c r="V166" s="1130"/>
      <c r="W166" s="1130"/>
      <c r="X166" s="1130"/>
      <c r="Y166" s="1130"/>
      <c r="Z166" s="1130"/>
      <c r="AA166" s="1130"/>
      <c r="AB166" s="1130"/>
      <c r="AC166" s="1130"/>
    </row>
    <row r="167" ht="15.75" customHeight="1">
      <c r="A167" s="943"/>
      <c r="B167" s="1207" t="s">
        <v>11912</v>
      </c>
      <c r="C167" s="1208" t="s">
        <v>15389</v>
      </c>
      <c r="D167" s="1209" t="s">
        <v>15390</v>
      </c>
      <c r="E167" s="1232">
        <v>458000.0</v>
      </c>
      <c r="F167" s="1181">
        <f t="shared" si="32"/>
        <v>508380</v>
      </c>
      <c r="G167" s="1143">
        <f t="shared" si="33"/>
        <v>574218</v>
      </c>
      <c r="H167" s="1210">
        <f>G167*3.16</f>
        <v>1814528.88</v>
      </c>
      <c r="I167" s="1210"/>
      <c r="J167" s="1181">
        <f>P167*79%</f>
        <v>1814528.88</v>
      </c>
      <c r="K167" s="1181">
        <f>G167*3.4</f>
        <v>1952341.2</v>
      </c>
      <c r="L167" s="1181">
        <f t="shared" si="92"/>
        <v>1952341.2</v>
      </c>
      <c r="M167" s="1181">
        <f>G167*3.6</f>
        <v>2067184.8</v>
      </c>
      <c r="N167" s="1181">
        <f t="shared" si="91"/>
        <v>2067184.8</v>
      </c>
      <c r="O167" s="1181">
        <f>G167*4</f>
        <v>2296872</v>
      </c>
      <c r="P167" s="1210">
        <f>G167*4</f>
        <v>2296872</v>
      </c>
      <c r="Q167" s="1211"/>
      <c r="R167" s="1211"/>
      <c r="S167" s="1211">
        <v>600000.0</v>
      </c>
      <c r="T167" s="1210" t="s">
        <v>15366</v>
      </c>
      <c r="U167" s="1130"/>
      <c r="V167" s="1130"/>
      <c r="W167" s="1130"/>
      <c r="X167" s="1130"/>
      <c r="Y167" s="1130"/>
      <c r="Z167" s="1130"/>
      <c r="AA167" s="1130"/>
      <c r="AB167" s="1130"/>
      <c r="AC167" s="1130"/>
    </row>
    <row r="168" ht="15.75" customHeight="1">
      <c r="A168" s="943"/>
      <c r="B168" s="1207" t="s">
        <v>11912</v>
      </c>
      <c r="C168" s="1207" t="s">
        <v>15391</v>
      </c>
      <c r="D168" s="1234" t="s">
        <v>15392</v>
      </c>
      <c r="E168" s="1232">
        <v>462000.0</v>
      </c>
      <c r="F168" s="1181">
        <f t="shared" si="32"/>
        <v>512820</v>
      </c>
      <c r="G168" s="1143">
        <f t="shared" si="33"/>
        <v>579102</v>
      </c>
      <c r="H168" s="1210">
        <f>G168*1.68</f>
        <v>972891.36</v>
      </c>
      <c r="I168" s="1210"/>
      <c r="J168" s="1181">
        <f>P168*80%</f>
        <v>972891.36</v>
      </c>
      <c r="K168" s="1181">
        <f>G168*1.785</f>
        <v>1033697.07</v>
      </c>
      <c r="L168" s="1181">
        <f t="shared" si="92"/>
        <v>1033697.07</v>
      </c>
      <c r="M168" s="1181">
        <f>G168*1.89</f>
        <v>1094502.78</v>
      </c>
      <c r="N168" s="1181">
        <f t="shared" si="91"/>
        <v>1094502.78</v>
      </c>
      <c r="O168" s="1181">
        <f>G168*2.1</f>
        <v>1216114.2</v>
      </c>
      <c r="P168" s="1210">
        <f>G168*2.1</f>
        <v>1216114.2</v>
      </c>
      <c r="Q168" s="1211"/>
      <c r="R168" s="1211"/>
      <c r="S168" s="1211" t="s">
        <v>11484</v>
      </c>
      <c r="T168" s="1210"/>
      <c r="U168" s="1130"/>
      <c r="V168" s="1130"/>
      <c r="W168" s="1130"/>
      <c r="X168" s="1130"/>
      <c r="Y168" s="1130"/>
      <c r="Z168" s="1130"/>
      <c r="AA168" s="1130"/>
      <c r="AB168" s="1130"/>
      <c r="AC168" s="1130"/>
    </row>
    <row r="169" ht="15.75" customHeight="1">
      <c r="A169" s="943"/>
      <c r="B169" s="1207" t="s">
        <v>11912</v>
      </c>
      <c r="C169" s="1207" t="s">
        <v>15393</v>
      </c>
      <c r="D169" s="1209" t="s">
        <v>15394</v>
      </c>
      <c r="E169" s="1232">
        <v>567000.0</v>
      </c>
      <c r="F169" s="1181">
        <f t="shared" si="32"/>
        <v>629370</v>
      </c>
      <c r="G169" s="1143">
        <f t="shared" si="33"/>
        <v>707307</v>
      </c>
      <c r="H169" s="1210">
        <f>G169*1.568</f>
        <v>1109057.376</v>
      </c>
      <c r="I169" s="1210"/>
      <c r="J169" s="1181">
        <f>P169*74%</f>
        <v>1109623.222</v>
      </c>
      <c r="K169" s="1181">
        <f>G169*1.802</f>
        <v>1274567.214</v>
      </c>
      <c r="L169" s="1181">
        <f t="shared" si="92"/>
        <v>1274567.214</v>
      </c>
      <c r="M169" s="1181">
        <f>G169*1.908</f>
        <v>1349541.756</v>
      </c>
      <c r="N169" s="1181">
        <f t="shared" si="91"/>
        <v>1349541.756</v>
      </c>
      <c r="O169" s="1181">
        <f>G169*2.12</f>
        <v>1499490.84</v>
      </c>
      <c r="P169" s="1210">
        <f>G169*2.12</f>
        <v>1499490.84</v>
      </c>
      <c r="Q169" s="1211"/>
      <c r="R169" s="1211"/>
      <c r="S169" s="1211" t="s">
        <v>11484</v>
      </c>
      <c r="T169" s="1210"/>
      <c r="U169" s="1130"/>
      <c r="V169" s="1130"/>
      <c r="W169" s="1130"/>
      <c r="X169" s="1130"/>
      <c r="Y169" s="1130"/>
      <c r="Z169" s="1130"/>
      <c r="AA169" s="1130"/>
      <c r="AB169" s="1130"/>
      <c r="AC169" s="1130"/>
    </row>
    <row r="170" ht="15.75" customHeight="1">
      <c r="A170" s="943"/>
      <c r="B170" s="1207" t="s">
        <v>11912</v>
      </c>
      <c r="C170" s="1207" t="s">
        <v>15395</v>
      </c>
      <c r="D170" s="1209" t="s">
        <v>15396</v>
      </c>
      <c r="E170" s="1232">
        <v>568000.0</v>
      </c>
      <c r="F170" s="1181">
        <f t="shared" si="32"/>
        <v>630480</v>
      </c>
      <c r="G170" s="1143">
        <f t="shared" si="33"/>
        <v>708528</v>
      </c>
      <c r="H170" s="1210">
        <f>G170*1.545</f>
        <v>1094675.76</v>
      </c>
      <c r="I170" s="1210"/>
      <c r="J170" s="1181">
        <f>P170*75%</f>
        <v>1094675.76</v>
      </c>
      <c r="K170" s="1181">
        <f>G170*1.751</f>
        <v>1240632.528</v>
      </c>
      <c r="L170" s="1181">
        <f t="shared" si="92"/>
        <v>1240632.528</v>
      </c>
      <c r="M170" s="1181">
        <f>G170*1.854</f>
        <v>1313610.912</v>
      </c>
      <c r="N170" s="1181">
        <f t="shared" si="91"/>
        <v>1313610.912</v>
      </c>
      <c r="O170" s="1181">
        <f>G170*2.06</f>
        <v>1459567.68</v>
      </c>
      <c r="P170" s="1210">
        <f>G170*2.06</f>
        <v>1459567.68</v>
      </c>
      <c r="Q170" s="1211"/>
      <c r="R170" s="1211"/>
      <c r="S170" s="1211" t="s">
        <v>11484</v>
      </c>
      <c r="T170" s="1210"/>
      <c r="U170" s="1130"/>
      <c r="V170" s="1130"/>
      <c r="W170" s="1130"/>
      <c r="X170" s="1130"/>
      <c r="Y170" s="1130"/>
      <c r="Z170" s="1130"/>
      <c r="AA170" s="1130"/>
      <c r="AB170" s="1130"/>
      <c r="AC170" s="1130"/>
    </row>
    <row r="171" ht="15.75" customHeight="1">
      <c r="A171" s="943"/>
      <c r="B171" s="1229" t="s">
        <v>15397</v>
      </c>
      <c r="C171" s="1230" t="s">
        <v>15398</v>
      </c>
      <c r="D171" s="1213" t="s">
        <v>15399</v>
      </c>
      <c r="E171" s="1181">
        <v>1150000.0</v>
      </c>
      <c r="F171" s="1181">
        <f t="shared" si="32"/>
        <v>1276500</v>
      </c>
      <c r="G171" s="1143">
        <f t="shared" si="33"/>
        <v>1419150</v>
      </c>
      <c r="H171" s="1210">
        <f>G171*1.28</f>
        <v>1816512</v>
      </c>
      <c r="I171" s="1210"/>
      <c r="J171" s="1181">
        <f t="shared" ref="J171:J172" si="93">P171*80%</f>
        <v>1816512</v>
      </c>
      <c r="K171" s="1181">
        <f>G171*1.36</f>
        <v>1930044</v>
      </c>
      <c r="L171" s="1181">
        <f t="shared" si="92"/>
        <v>1930044</v>
      </c>
      <c r="M171" s="1181">
        <f>G171*1.44</f>
        <v>2043576</v>
      </c>
      <c r="N171" s="1181">
        <f t="shared" si="91"/>
        <v>2043576</v>
      </c>
      <c r="O171" s="1185">
        <f>G171*1.6</f>
        <v>2270640</v>
      </c>
      <c r="P171" s="1221">
        <f>G171*1.6</f>
        <v>2270640</v>
      </c>
      <c r="Q171" s="1211"/>
      <c r="R171" s="1211"/>
      <c r="S171" s="1211" t="s">
        <v>11484</v>
      </c>
      <c r="T171" s="1210"/>
      <c r="U171" s="1130"/>
      <c r="V171" s="1130"/>
      <c r="W171" s="1130"/>
      <c r="X171" s="1130"/>
      <c r="Y171" s="1130"/>
      <c r="Z171" s="1130"/>
      <c r="AA171" s="1130"/>
      <c r="AB171" s="1130"/>
      <c r="AC171" s="1130"/>
    </row>
    <row r="172" ht="15.75" customHeight="1">
      <c r="A172" s="943"/>
      <c r="B172" s="1226" t="s">
        <v>11961</v>
      </c>
      <c r="C172" s="1226" t="s">
        <v>15107</v>
      </c>
      <c r="D172" s="1227" t="s">
        <v>15400</v>
      </c>
      <c r="E172" s="1185">
        <v>440000.0</v>
      </c>
      <c r="F172" s="1181">
        <f t="shared" si="32"/>
        <v>488400</v>
      </c>
      <c r="G172" s="1143">
        <f t="shared" si="33"/>
        <v>552240</v>
      </c>
      <c r="H172" s="1217"/>
      <c r="I172" s="1217"/>
      <c r="J172" s="1218">
        <f t="shared" si="93"/>
        <v>0</v>
      </c>
      <c r="K172" s="1218"/>
      <c r="L172" s="1218">
        <f t="shared" si="92"/>
        <v>0</v>
      </c>
      <c r="M172" s="1218"/>
      <c r="N172" s="1218">
        <f t="shared" si="91"/>
        <v>0</v>
      </c>
      <c r="O172" s="1218"/>
      <c r="P172" s="1219"/>
      <c r="Q172" s="1220"/>
      <c r="R172" s="1220"/>
      <c r="S172" s="1220"/>
      <c r="T172" s="1219"/>
      <c r="U172" s="1130"/>
      <c r="V172" s="1130"/>
      <c r="W172" s="1130"/>
      <c r="X172" s="1130"/>
      <c r="Y172" s="1130"/>
      <c r="Z172" s="1130"/>
      <c r="AA172" s="1130"/>
      <c r="AB172" s="1130"/>
      <c r="AC172" s="1130"/>
    </row>
    <row r="173" ht="15.75" customHeight="1">
      <c r="A173" s="943"/>
      <c r="B173" s="1229" t="s">
        <v>11961</v>
      </c>
      <c r="C173" s="1212" t="s">
        <v>15401</v>
      </c>
      <c r="D173" s="1213" t="s">
        <v>15402</v>
      </c>
      <c r="E173" s="1181">
        <v>184000.0</v>
      </c>
      <c r="F173" s="1181">
        <f t="shared" si="32"/>
        <v>204240</v>
      </c>
      <c r="G173" s="1143">
        <f t="shared" si="33"/>
        <v>239664</v>
      </c>
      <c r="H173" s="1210">
        <f>G173*1.4</f>
        <v>335529.6</v>
      </c>
      <c r="I173" s="1210"/>
      <c r="J173" s="1181">
        <f>P173*70%</f>
        <v>335529.6</v>
      </c>
      <c r="K173" s="1181">
        <f>G173*1.6</f>
        <v>383462.4</v>
      </c>
      <c r="L173" s="1181">
        <f>P173*80%</f>
        <v>383462.4</v>
      </c>
      <c r="M173" s="1181">
        <f>G173*1.8</f>
        <v>431395.2</v>
      </c>
      <c r="N173" s="1181">
        <f t="shared" si="91"/>
        <v>431395.2</v>
      </c>
      <c r="O173" s="1181">
        <f>G173*2</f>
        <v>479328</v>
      </c>
      <c r="P173" s="1210">
        <f>G173*2</f>
        <v>479328</v>
      </c>
      <c r="Q173" s="1211"/>
      <c r="R173" s="1211"/>
      <c r="S173" s="1211" t="s">
        <v>11484</v>
      </c>
      <c r="T173" s="1210"/>
      <c r="U173" s="1130"/>
      <c r="V173" s="1130"/>
      <c r="W173" s="1130"/>
      <c r="X173" s="1130"/>
      <c r="Y173" s="1130"/>
      <c r="Z173" s="1130"/>
      <c r="AA173" s="1130"/>
      <c r="AB173" s="1130"/>
      <c r="AC173" s="1130"/>
    </row>
    <row r="174" ht="15.75" customHeight="1">
      <c r="A174" s="943"/>
      <c r="B174" s="1207" t="s">
        <v>11961</v>
      </c>
      <c r="C174" s="1212" t="s">
        <v>15403</v>
      </c>
      <c r="D174" s="1209" t="s">
        <v>15404</v>
      </c>
      <c r="E174" s="1188">
        <v>539000.0</v>
      </c>
      <c r="F174" s="1181">
        <f t="shared" si="32"/>
        <v>598290</v>
      </c>
      <c r="G174" s="1143">
        <f t="shared" si="33"/>
        <v>673119</v>
      </c>
      <c r="H174" s="1210">
        <f>G174*1.89</f>
        <v>1272194.91</v>
      </c>
      <c r="I174" s="1210"/>
      <c r="J174" s="1181">
        <f>P174*75%</f>
        <v>1272194.91</v>
      </c>
      <c r="K174" s="1181">
        <f>G174*2.142</f>
        <v>1441820.898</v>
      </c>
      <c r="L174" s="1181">
        <f t="shared" ref="L174:L183" si="94">P174*85%</f>
        <v>1441820.898</v>
      </c>
      <c r="M174" s="1181">
        <f>G174*2.268</f>
        <v>1526633.892</v>
      </c>
      <c r="N174" s="1181">
        <f t="shared" si="91"/>
        <v>1526633.892</v>
      </c>
      <c r="O174" s="1181">
        <f>G174*2.52</f>
        <v>1696259.88</v>
      </c>
      <c r="P174" s="1210">
        <f>G174*2.52</f>
        <v>1696259.88</v>
      </c>
      <c r="Q174" s="1211"/>
      <c r="R174" s="1211"/>
      <c r="S174" s="1211" t="s">
        <v>11484</v>
      </c>
      <c r="T174" s="1210"/>
      <c r="U174" s="1130"/>
      <c r="V174" s="1130"/>
      <c r="W174" s="1130"/>
      <c r="X174" s="1130"/>
      <c r="Y174" s="1130"/>
      <c r="Z174" s="1130"/>
      <c r="AA174" s="1130"/>
      <c r="AB174" s="1130"/>
      <c r="AC174" s="1130"/>
    </row>
    <row r="175" ht="15.75" customHeight="1">
      <c r="A175" s="943"/>
      <c r="B175" s="1229" t="s">
        <v>11961</v>
      </c>
      <c r="C175" s="1230" t="s">
        <v>15405</v>
      </c>
      <c r="D175" s="1213" t="s">
        <v>15406</v>
      </c>
      <c r="E175" s="1181">
        <v>49000.0</v>
      </c>
      <c r="F175" s="1181">
        <f t="shared" si="32"/>
        <v>54390</v>
      </c>
      <c r="G175" s="1143">
        <f t="shared" si="33"/>
        <v>74829</v>
      </c>
      <c r="H175" s="1210">
        <f>G175*2.64</f>
        <v>197548.56</v>
      </c>
      <c r="I175" s="1210"/>
      <c r="J175" s="1181">
        <f t="shared" ref="J175:J179" si="95">P175*80%</f>
        <v>197548.56</v>
      </c>
      <c r="K175" s="1181">
        <f>G175*2.805</f>
        <v>209895.345</v>
      </c>
      <c r="L175" s="1181">
        <f t="shared" si="94"/>
        <v>209895.345</v>
      </c>
      <c r="M175" s="1181">
        <f>G175*2.97</f>
        <v>222242.13</v>
      </c>
      <c r="N175" s="1181">
        <f t="shared" si="91"/>
        <v>222242.13</v>
      </c>
      <c r="O175" s="1181">
        <f>G175*3.3</f>
        <v>246935.7</v>
      </c>
      <c r="P175" s="1210">
        <f>G175*3.3</f>
        <v>246935.7</v>
      </c>
      <c r="Q175" s="1211"/>
      <c r="R175" s="1211"/>
      <c r="S175" s="1211" t="s">
        <v>82</v>
      </c>
      <c r="T175" s="1210"/>
      <c r="U175" s="1130"/>
      <c r="V175" s="1130"/>
      <c r="W175" s="1130"/>
      <c r="X175" s="1130"/>
      <c r="Y175" s="1130"/>
      <c r="Z175" s="1130"/>
      <c r="AA175" s="1130"/>
      <c r="AB175" s="1130"/>
      <c r="AC175" s="1130"/>
    </row>
    <row r="176" ht="15.75" customHeight="1">
      <c r="A176" s="943"/>
      <c r="B176" s="1226" t="s">
        <v>11961</v>
      </c>
      <c r="C176" s="1226" t="s">
        <v>15109</v>
      </c>
      <c r="D176" s="1227" t="s">
        <v>15407</v>
      </c>
      <c r="E176" s="1185">
        <v>411000.0</v>
      </c>
      <c r="F176" s="1181">
        <f t="shared" si="32"/>
        <v>456210</v>
      </c>
      <c r="G176" s="1143">
        <f t="shared" si="33"/>
        <v>516831</v>
      </c>
      <c r="H176" s="1217"/>
      <c r="I176" s="1217"/>
      <c r="J176" s="1218">
        <f t="shared" si="95"/>
        <v>0</v>
      </c>
      <c r="K176" s="1218"/>
      <c r="L176" s="1218">
        <f t="shared" si="94"/>
        <v>0</v>
      </c>
      <c r="M176" s="1218"/>
      <c r="N176" s="1218">
        <f t="shared" si="91"/>
        <v>0</v>
      </c>
      <c r="O176" s="1218"/>
      <c r="P176" s="1219"/>
      <c r="Q176" s="1220"/>
      <c r="R176" s="1220"/>
      <c r="S176" s="1220"/>
      <c r="T176" s="1219"/>
      <c r="U176" s="1130"/>
      <c r="V176" s="1130"/>
      <c r="W176" s="1130"/>
      <c r="X176" s="1130"/>
      <c r="Y176" s="1130"/>
      <c r="Z176" s="1130"/>
      <c r="AA176" s="1130"/>
      <c r="AB176" s="1130"/>
      <c r="AC176" s="1130"/>
    </row>
    <row r="177" ht="15.75" customHeight="1">
      <c r="A177" s="943"/>
      <c r="B177" s="1207" t="s">
        <v>11961</v>
      </c>
      <c r="C177" s="1207" t="s">
        <v>15111</v>
      </c>
      <c r="D177" s="1209" t="s">
        <v>15408</v>
      </c>
      <c r="E177" s="1181">
        <v>505000.0</v>
      </c>
      <c r="F177" s="1181">
        <f t="shared" si="32"/>
        <v>560550</v>
      </c>
      <c r="G177" s="1143">
        <f t="shared" si="33"/>
        <v>631605</v>
      </c>
      <c r="H177" s="1217"/>
      <c r="I177" s="1217"/>
      <c r="J177" s="1218">
        <f t="shared" si="95"/>
        <v>0</v>
      </c>
      <c r="K177" s="1218"/>
      <c r="L177" s="1218">
        <f t="shared" si="94"/>
        <v>0</v>
      </c>
      <c r="M177" s="1218"/>
      <c r="N177" s="1218">
        <f t="shared" si="91"/>
        <v>0</v>
      </c>
      <c r="O177" s="1218"/>
      <c r="P177" s="1219"/>
      <c r="Q177" s="1220"/>
      <c r="R177" s="1220"/>
      <c r="S177" s="1220"/>
      <c r="T177" s="1219"/>
      <c r="U177" s="1130"/>
      <c r="V177" s="1130"/>
      <c r="W177" s="1130"/>
      <c r="X177" s="1130"/>
      <c r="Y177" s="1130"/>
      <c r="Z177" s="1130"/>
      <c r="AA177" s="1130"/>
      <c r="AB177" s="1130"/>
      <c r="AC177" s="1130"/>
    </row>
    <row r="178" ht="15.75" customHeight="1">
      <c r="A178" s="943"/>
      <c r="B178" s="1229" t="s">
        <v>11961</v>
      </c>
      <c r="C178" s="1212" t="s">
        <v>15109</v>
      </c>
      <c r="D178" s="1209" t="s">
        <v>15409</v>
      </c>
      <c r="E178" s="1236">
        <v>85000.0</v>
      </c>
      <c r="F178" s="1181">
        <f t="shared" si="32"/>
        <v>94350</v>
      </c>
      <c r="G178" s="1143">
        <f t="shared" si="33"/>
        <v>118785</v>
      </c>
      <c r="H178" s="1210">
        <f>G178*1.76</f>
        <v>209061.6</v>
      </c>
      <c r="I178" s="1210"/>
      <c r="J178" s="1185">
        <f t="shared" si="95"/>
        <v>209061.6</v>
      </c>
      <c r="K178" s="1181">
        <f>G178*1.87</f>
        <v>222127.95</v>
      </c>
      <c r="L178" s="1181">
        <f t="shared" si="94"/>
        <v>222127.95</v>
      </c>
      <c r="M178" s="1181">
        <f>G178*1.98</f>
        <v>235194.3</v>
      </c>
      <c r="N178" s="1181">
        <f t="shared" si="91"/>
        <v>235194.3</v>
      </c>
      <c r="O178" s="1181">
        <f>G178*2.2</f>
        <v>261327</v>
      </c>
      <c r="P178" s="1210">
        <f>G178*2.2</f>
        <v>261327</v>
      </c>
      <c r="Q178" s="1211"/>
      <c r="R178" s="1211"/>
      <c r="S178" s="1211" t="s">
        <v>15410</v>
      </c>
      <c r="T178" s="1210"/>
      <c r="U178" s="1130"/>
      <c r="V178" s="1130"/>
      <c r="W178" s="1130"/>
      <c r="X178" s="1130"/>
      <c r="Y178" s="1130"/>
      <c r="Z178" s="1130"/>
      <c r="AA178" s="1130"/>
      <c r="AB178" s="1130"/>
      <c r="AC178" s="1130"/>
    </row>
    <row r="179" ht="15.75" customHeight="1">
      <c r="A179" s="943"/>
      <c r="B179" s="1229" t="s">
        <v>11961</v>
      </c>
      <c r="C179" s="1212" t="s">
        <v>15109</v>
      </c>
      <c r="D179" s="1209" t="s">
        <v>15411</v>
      </c>
      <c r="E179" s="1236">
        <v>94000.0</v>
      </c>
      <c r="F179" s="1181">
        <f t="shared" si="32"/>
        <v>104340</v>
      </c>
      <c r="G179" s="1143">
        <f t="shared" si="33"/>
        <v>129774</v>
      </c>
      <c r="H179" s="1210">
        <f>G179*1.6</f>
        <v>207638.4</v>
      </c>
      <c r="I179" s="1210"/>
      <c r="J179" s="1185">
        <f t="shared" si="95"/>
        <v>207638.4</v>
      </c>
      <c r="K179" s="1181">
        <f>G179*1.7</f>
        <v>220615.8</v>
      </c>
      <c r="L179" s="1181">
        <f t="shared" si="94"/>
        <v>220615.8</v>
      </c>
      <c r="M179" s="1181">
        <f>G179*1.8</f>
        <v>233593.2</v>
      </c>
      <c r="N179" s="1181">
        <f t="shared" si="91"/>
        <v>233593.2</v>
      </c>
      <c r="O179" s="1181">
        <f>G179*2</f>
        <v>259548</v>
      </c>
      <c r="P179" s="1210">
        <f>G179*2</f>
        <v>259548</v>
      </c>
      <c r="Q179" s="1211"/>
      <c r="R179" s="1211"/>
      <c r="S179" s="1211" t="s">
        <v>15410</v>
      </c>
      <c r="T179" s="1210"/>
      <c r="U179" s="1130"/>
      <c r="V179" s="1130"/>
      <c r="W179" s="1130"/>
      <c r="X179" s="1130"/>
      <c r="Y179" s="1130"/>
      <c r="Z179" s="1130"/>
      <c r="AA179" s="1130"/>
      <c r="AB179" s="1130"/>
      <c r="AC179" s="1130"/>
    </row>
    <row r="180" ht="15.75" customHeight="1">
      <c r="A180" s="943"/>
      <c r="B180" s="1207" t="s">
        <v>11961</v>
      </c>
      <c r="C180" s="1207" t="s">
        <v>15412</v>
      </c>
      <c r="D180" s="1209" t="s">
        <v>15413</v>
      </c>
      <c r="E180" s="1181">
        <v>490000.0</v>
      </c>
      <c r="F180" s="1181">
        <f t="shared" si="32"/>
        <v>543900</v>
      </c>
      <c r="G180" s="1143">
        <f t="shared" si="33"/>
        <v>613290</v>
      </c>
      <c r="H180" s="1210">
        <f>G180*1.638</f>
        <v>1004569.02</v>
      </c>
      <c r="I180" s="1210"/>
      <c r="J180" s="1181">
        <f>P180*78%</f>
        <v>1004569.02</v>
      </c>
      <c r="K180" s="1181">
        <f>G180*1.785</f>
        <v>1094722.65</v>
      </c>
      <c r="L180" s="1181">
        <f t="shared" si="94"/>
        <v>1094722.65</v>
      </c>
      <c r="M180" s="1181">
        <f>G180*1.89</f>
        <v>1159118.1</v>
      </c>
      <c r="N180" s="1181">
        <f t="shared" si="91"/>
        <v>1159118.1</v>
      </c>
      <c r="O180" s="1181">
        <f>G180*2.1</f>
        <v>1287909</v>
      </c>
      <c r="P180" s="1210">
        <f>G180*2.1</f>
        <v>1287909</v>
      </c>
      <c r="Q180" s="1211"/>
      <c r="R180" s="1211"/>
      <c r="S180" s="1211" t="s">
        <v>11484</v>
      </c>
      <c r="T180" s="1210"/>
      <c r="U180" s="1130"/>
      <c r="V180" s="1130"/>
      <c r="W180" s="1130"/>
      <c r="X180" s="1130"/>
      <c r="Y180" s="1130"/>
      <c r="Z180" s="1130"/>
      <c r="AA180" s="1130"/>
      <c r="AB180" s="1130"/>
      <c r="AC180" s="1130"/>
    </row>
    <row r="181" ht="15.75" customHeight="1">
      <c r="A181" s="943"/>
      <c r="B181" s="1226" t="s">
        <v>11961</v>
      </c>
      <c r="C181" s="1226" t="s">
        <v>15101</v>
      </c>
      <c r="D181" s="1227" t="s">
        <v>15414</v>
      </c>
      <c r="E181" s="1185">
        <v>359000.0</v>
      </c>
      <c r="F181" s="1181">
        <f t="shared" si="32"/>
        <v>398490</v>
      </c>
      <c r="G181" s="1143">
        <f t="shared" si="33"/>
        <v>453339</v>
      </c>
      <c r="H181" s="1217"/>
      <c r="I181" s="1217"/>
      <c r="J181" s="1218">
        <f t="shared" ref="J181:J183" si="96">P181*80%</f>
        <v>0</v>
      </c>
      <c r="K181" s="1218"/>
      <c r="L181" s="1218">
        <f t="shared" si="94"/>
        <v>0</v>
      </c>
      <c r="M181" s="1218"/>
      <c r="N181" s="1218">
        <f t="shared" si="91"/>
        <v>0</v>
      </c>
      <c r="O181" s="1218"/>
      <c r="P181" s="1219"/>
      <c r="Q181" s="1220"/>
      <c r="R181" s="1220"/>
      <c r="S181" s="1220"/>
      <c r="T181" s="1219"/>
      <c r="U181" s="1130"/>
      <c r="V181" s="1130"/>
      <c r="W181" s="1130"/>
      <c r="X181" s="1130"/>
      <c r="Y181" s="1130"/>
      <c r="Z181" s="1130"/>
      <c r="AA181" s="1130"/>
      <c r="AB181" s="1130"/>
      <c r="AC181" s="1130"/>
    </row>
    <row r="182" ht="15.75" customHeight="1">
      <c r="A182" s="943"/>
      <c r="B182" s="1229" t="s">
        <v>11961</v>
      </c>
      <c r="C182" s="1212" t="s">
        <v>15415</v>
      </c>
      <c r="D182" s="1213" t="s">
        <v>15416</v>
      </c>
      <c r="E182" s="1237">
        <v>49000.0</v>
      </c>
      <c r="F182" s="1181">
        <f t="shared" si="32"/>
        <v>54390</v>
      </c>
      <c r="G182" s="1143">
        <f t="shared" si="33"/>
        <v>74829</v>
      </c>
      <c r="H182" s="1210">
        <f>G182*2.64</f>
        <v>197548.56</v>
      </c>
      <c r="I182" s="1210"/>
      <c r="J182" s="1181">
        <f t="shared" si="96"/>
        <v>197548.56</v>
      </c>
      <c r="K182" s="1181">
        <f>G182*2.805</f>
        <v>209895.345</v>
      </c>
      <c r="L182" s="1181">
        <f t="shared" si="94"/>
        <v>209895.345</v>
      </c>
      <c r="M182" s="1181">
        <f>G182*2.97</f>
        <v>222242.13</v>
      </c>
      <c r="N182" s="1181">
        <f t="shared" si="91"/>
        <v>222242.13</v>
      </c>
      <c r="O182" s="1181">
        <f>G182*3.3</f>
        <v>246935.7</v>
      </c>
      <c r="P182" s="1210">
        <f>G182*3.3</f>
        <v>246935.7</v>
      </c>
      <c r="Q182" s="1211"/>
      <c r="R182" s="1211"/>
      <c r="S182" s="1211" t="s">
        <v>82</v>
      </c>
      <c r="T182" s="1210"/>
      <c r="U182" s="1130"/>
      <c r="V182" s="1130"/>
      <c r="W182" s="1130"/>
      <c r="X182" s="1130"/>
      <c r="Y182" s="1130"/>
      <c r="Z182" s="1130"/>
      <c r="AA182" s="1130"/>
      <c r="AB182" s="1130"/>
      <c r="AC182" s="1130"/>
    </row>
    <row r="183" ht="15.75" customHeight="1">
      <c r="A183" s="943"/>
      <c r="B183" s="1226" t="s">
        <v>11961</v>
      </c>
      <c r="C183" s="1226" t="s">
        <v>15103</v>
      </c>
      <c r="D183" s="1227" t="s">
        <v>15417</v>
      </c>
      <c r="E183" s="1181">
        <v>418000.0</v>
      </c>
      <c r="F183" s="1181">
        <f t="shared" si="32"/>
        <v>463980</v>
      </c>
      <c r="G183" s="1143">
        <f t="shared" si="33"/>
        <v>525378</v>
      </c>
      <c r="H183" s="1217"/>
      <c r="I183" s="1217"/>
      <c r="J183" s="1218">
        <f t="shared" si="96"/>
        <v>0</v>
      </c>
      <c r="K183" s="1218"/>
      <c r="L183" s="1218">
        <f t="shared" si="94"/>
        <v>0</v>
      </c>
      <c r="M183" s="1218"/>
      <c r="N183" s="1218">
        <f t="shared" si="91"/>
        <v>0</v>
      </c>
      <c r="O183" s="1218"/>
      <c r="P183" s="1219"/>
      <c r="Q183" s="1220"/>
      <c r="R183" s="1220"/>
      <c r="S183" s="1220"/>
      <c r="T183" s="1219"/>
      <c r="U183" s="1130"/>
      <c r="V183" s="1130"/>
      <c r="W183" s="1130"/>
      <c r="X183" s="1130"/>
      <c r="Y183" s="1130"/>
      <c r="Z183" s="1130"/>
      <c r="AA183" s="1130"/>
      <c r="AB183" s="1130"/>
      <c r="AC183" s="1130"/>
    </row>
    <row r="184" ht="15.75" customHeight="1">
      <c r="A184" s="943"/>
      <c r="B184" s="1207" t="s">
        <v>11961</v>
      </c>
      <c r="C184" s="1207" t="s">
        <v>15418</v>
      </c>
      <c r="D184" s="1209" t="s">
        <v>15419</v>
      </c>
      <c r="E184" s="1181">
        <v>409000.0</v>
      </c>
      <c r="F184" s="1181">
        <f t="shared" si="32"/>
        <v>453990</v>
      </c>
      <c r="G184" s="1143">
        <f t="shared" si="33"/>
        <v>514389</v>
      </c>
      <c r="H184" s="1210">
        <f>G184*2.287</f>
        <v>1176407.643</v>
      </c>
      <c r="I184" s="1210"/>
      <c r="J184" s="1181">
        <f>P184*75%</f>
        <v>1176664.838</v>
      </c>
      <c r="K184" s="1181">
        <f>G184*2.44</f>
        <v>1255109.16</v>
      </c>
      <c r="L184" s="1181">
        <f>P184*80%</f>
        <v>1255109.16</v>
      </c>
      <c r="M184" s="1181">
        <f>G184*2.745</f>
        <v>1411997.805</v>
      </c>
      <c r="N184" s="1181">
        <f t="shared" si="91"/>
        <v>1411997.805</v>
      </c>
      <c r="O184" s="1181">
        <f>G184*3.05</f>
        <v>1568886.45</v>
      </c>
      <c r="P184" s="1210">
        <f>G184*3.05</f>
        <v>1568886.45</v>
      </c>
      <c r="Q184" s="1211"/>
      <c r="R184" s="1211"/>
      <c r="S184" s="1211" t="s">
        <v>11484</v>
      </c>
      <c r="T184" s="1210"/>
      <c r="U184" s="1130"/>
      <c r="V184" s="1130"/>
      <c r="W184" s="1130"/>
      <c r="X184" s="1130"/>
      <c r="Y184" s="1130"/>
      <c r="Z184" s="1130"/>
      <c r="AA184" s="1130"/>
      <c r="AB184" s="1130"/>
      <c r="AC184" s="1130"/>
    </row>
    <row r="185" ht="15.75" customHeight="1">
      <c r="A185" s="943"/>
      <c r="B185" s="1207" t="s">
        <v>11961</v>
      </c>
      <c r="C185" s="1208" t="s">
        <v>15196</v>
      </c>
      <c r="D185" s="1209" t="s">
        <v>15420</v>
      </c>
      <c r="E185" s="1181">
        <v>224000.0</v>
      </c>
      <c r="F185" s="1181">
        <f t="shared" si="32"/>
        <v>248640</v>
      </c>
      <c r="G185" s="1143">
        <f t="shared" si="33"/>
        <v>288504</v>
      </c>
      <c r="H185" s="1214"/>
      <c r="I185" s="1214"/>
      <c r="J185" s="1214"/>
      <c r="K185" s="1214"/>
      <c r="L185" s="1214"/>
      <c r="M185" s="1214"/>
      <c r="N185" s="1214"/>
      <c r="O185" s="1214"/>
      <c r="P185" s="1214"/>
      <c r="Q185" s="1211"/>
      <c r="R185" s="1211"/>
      <c r="S185" s="1211">
        <v>600000.0</v>
      </c>
      <c r="T185" s="1210" t="s">
        <v>15366</v>
      </c>
      <c r="U185" s="1130"/>
      <c r="V185" s="1130"/>
      <c r="W185" s="1130"/>
      <c r="X185" s="1130"/>
      <c r="Y185" s="1130"/>
      <c r="Z185" s="1130"/>
      <c r="AA185" s="1130"/>
      <c r="AB185" s="1130"/>
      <c r="AC185" s="1130"/>
    </row>
    <row r="186" ht="15.75" customHeight="1">
      <c r="A186" s="943"/>
      <c r="B186" s="1226" t="s">
        <v>11961</v>
      </c>
      <c r="C186" s="1226" t="s">
        <v>15105</v>
      </c>
      <c r="D186" s="1227" t="s">
        <v>15421</v>
      </c>
      <c r="E186" s="1185">
        <v>403000.0</v>
      </c>
      <c r="F186" s="1181">
        <f t="shared" si="32"/>
        <v>447330</v>
      </c>
      <c r="G186" s="1143">
        <f t="shared" si="33"/>
        <v>507063</v>
      </c>
      <c r="H186" s="1217"/>
      <c r="I186" s="1217"/>
      <c r="J186" s="1218">
        <f>P186*80%</f>
        <v>0</v>
      </c>
      <c r="K186" s="1218"/>
      <c r="L186" s="1218">
        <f t="shared" ref="L186:L190" si="97">P186*85%</f>
        <v>0</v>
      </c>
      <c r="M186" s="1218"/>
      <c r="N186" s="1218">
        <f t="shared" ref="N186:N192" si="98">P186*90%</f>
        <v>0</v>
      </c>
      <c r="O186" s="1218"/>
      <c r="P186" s="1219"/>
      <c r="Q186" s="1220"/>
      <c r="R186" s="1220"/>
      <c r="S186" s="1220"/>
      <c r="T186" s="1219"/>
      <c r="U186" s="1130"/>
      <c r="V186" s="1130"/>
      <c r="W186" s="1130"/>
      <c r="X186" s="1130"/>
      <c r="Y186" s="1130"/>
      <c r="Z186" s="1130"/>
      <c r="AA186" s="1130"/>
      <c r="AB186" s="1130"/>
      <c r="AC186" s="1130"/>
    </row>
    <row r="187" ht="15.75" customHeight="1">
      <c r="A187" s="943"/>
      <c r="B187" s="1207" t="s">
        <v>11961</v>
      </c>
      <c r="C187" s="1207" t="s">
        <v>15422</v>
      </c>
      <c r="D187" s="1209" t="s">
        <v>15423</v>
      </c>
      <c r="E187" s="1232">
        <v>520000.0</v>
      </c>
      <c r="F187" s="1181">
        <f t="shared" si="32"/>
        <v>577200</v>
      </c>
      <c r="G187" s="1143">
        <f t="shared" si="33"/>
        <v>649920</v>
      </c>
      <c r="H187" s="1210">
        <f>G187*1.566</f>
        <v>1017774.72</v>
      </c>
      <c r="I187" s="1210"/>
      <c r="J187" s="1181">
        <f>P187*58%</f>
        <v>1017774.72</v>
      </c>
      <c r="K187" s="1181">
        <f>G187*2.295</f>
        <v>1491566.4</v>
      </c>
      <c r="L187" s="1181">
        <f t="shared" si="97"/>
        <v>1491566.4</v>
      </c>
      <c r="M187" s="1181">
        <f>G187*2.43</f>
        <v>1579305.6</v>
      </c>
      <c r="N187" s="1181">
        <f t="shared" si="98"/>
        <v>1579305.6</v>
      </c>
      <c r="O187" s="1181">
        <f>G187*2.7</f>
        <v>1754784</v>
      </c>
      <c r="P187" s="1210">
        <f>G187*2.7</f>
        <v>1754784</v>
      </c>
      <c r="Q187" s="1211"/>
      <c r="R187" s="1211"/>
      <c r="S187" s="1211" t="s">
        <v>11484</v>
      </c>
      <c r="T187" s="1210"/>
      <c r="U187" s="1130"/>
      <c r="V187" s="1130"/>
      <c r="W187" s="1130"/>
      <c r="X187" s="1130"/>
      <c r="Y187" s="1130"/>
      <c r="Z187" s="1130"/>
      <c r="AA187" s="1130"/>
      <c r="AB187" s="1130"/>
      <c r="AC187" s="1130"/>
    </row>
    <row r="188" ht="15.75" customHeight="1">
      <c r="A188" s="943"/>
      <c r="B188" s="1207" t="s">
        <v>11961</v>
      </c>
      <c r="C188" s="1207" t="s">
        <v>15424</v>
      </c>
      <c r="D188" s="1209" t="s">
        <v>15425</v>
      </c>
      <c r="E188" s="1232">
        <v>492000.0</v>
      </c>
      <c r="F188" s="1181">
        <f t="shared" si="32"/>
        <v>546120</v>
      </c>
      <c r="G188" s="1143">
        <f t="shared" si="33"/>
        <v>615732</v>
      </c>
      <c r="H188" s="1210">
        <f>G188*1.612</f>
        <v>992559.984</v>
      </c>
      <c r="I188" s="1210"/>
      <c r="J188" s="1181">
        <f>P188*75%</f>
        <v>992867.85</v>
      </c>
      <c r="K188" s="1181">
        <f>G188*1.827</f>
        <v>1124942.364</v>
      </c>
      <c r="L188" s="1181">
        <f t="shared" si="97"/>
        <v>1125250.23</v>
      </c>
      <c r="M188" s="1181">
        <f>G188*1.935</f>
        <v>1191441.42</v>
      </c>
      <c r="N188" s="1181">
        <f t="shared" si="98"/>
        <v>1191441.42</v>
      </c>
      <c r="O188" s="1181">
        <f>G188*2.15</f>
        <v>1323823.8</v>
      </c>
      <c r="P188" s="1210">
        <f>G188*2.15</f>
        <v>1323823.8</v>
      </c>
      <c r="Q188" s="1211"/>
      <c r="R188" s="1211"/>
      <c r="S188" s="1211" t="s">
        <v>11484</v>
      </c>
      <c r="T188" s="1210"/>
      <c r="U188" s="1130"/>
      <c r="V188" s="1130"/>
      <c r="W188" s="1130"/>
      <c r="X188" s="1130"/>
      <c r="Y188" s="1130"/>
      <c r="Z188" s="1130"/>
      <c r="AA188" s="1130"/>
      <c r="AB188" s="1130"/>
      <c r="AC188" s="1130"/>
    </row>
    <row r="189" ht="15.75" customHeight="1">
      <c r="A189" s="943"/>
      <c r="B189" s="1207" t="s">
        <v>11961</v>
      </c>
      <c r="C189" s="1207" t="s">
        <v>15426</v>
      </c>
      <c r="D189" s="1209" t="s">
        <v>15427</v>
      </c>
      <c r="E189" s="1181">
        <v>387000.0</v>
      </c>
      <c r="F189" s="1181">
        <f t="shared" si="32"/>
        <v>429570</v>
      </c>
      <c r="G189" s="1143">
        <f t="shared" si="33"/>
        <v>487527</v>
      </c>
      <c r="H189" s="1210">
        <f>G189*2.04</f>
        <v>994555.08</v>
      </c>
      <c r="I189" s="1210"/>
      <c r="J189" s="1181">
        <f t="shared" ref="J189:J190" si="99">P189*80%</f>
        <v>994555.08</v>
      </c>
      <c r="K189" s="1181">
        <f>G189*2.167</f>
        <v>1056471.009</v>
      </c>
      <c r="L189" s="1181">
        <f t="shared" si="97"/>
        <v>1056714.773</v>
      </c>
      <c r="M189" s="1181">
        <f>G189*2.295</f>
        <v>1118874.465</v>
      </c>
      <c r="N189" s="1181">
        <f t="shared" si="98"/>
        <v>1118874.465</v>
      </c>
      <c r="O189" s="1181">
        <f>G189*2.55</f>
        <v>1243193.85</v>
      </c>
      <c r="P189" s="1210">
        <f>G189*2.55</f>
        <v>1243193.85</v>
      </c>
      <c r="Q189" s="1211"/>
      <c r="R189" s="1211"/>
      <c r="S189" s="1211" t="s">
        <v>11484</v>
      </c>
      <c r="T189" s="1210"/>
      <c r="U189" s="1130"/>
      <c r="V189" s="1130"/>
      <c r="W189" s="1130"/>
      <c r="X189" s="1130"/>
      <c r="Y189" s="1130"/>
      <c r="Z189" s="1130"/>
      <c r="AA189" s="1130"/>
      <c r="AB189" s="1130"/>
      <c r="AC189" s="1130"/>
    </row>
    <row r="190" ht="15.75" customHeight="1">
      <c r="A190" s="943"/>
      <c r="B190" s="1238" t="s">
        <v>15428</v>
      </c>
      <c r="C190" s="1215" t="s">
        <v>15072</v>
      </c>
      <c r="D190" s="1239" t="s">
        <v>15429</v>
      </c>
      <c r="E190" s="1185">
        <v>333000.0</v>
      </c>
      <c r="F190" s="1181">
        <f t="shared" si="32"/>
        <v>369630</v>
      </c>
      <c r="G190" s="1143">
        <f t="shared" si="33"/>
        <v>421593</v>
      </c>
      <c r="H190" s="1217"/>
      <c r="I190" s="1217"/>
      <c r="J190" s="1218">
        <f t="shared" si="99"/>
        <v>0</v>
      </c>
      <c r="K190" s="1218"/>
      <c r="L190" s="1218">
        <f t="shared" si="97"/>
        <v>0</v>
      </c>
      <c r="M190" s="1218"/>
      <c r="N190" s="1218">
        <f t="shared" si="98"/>
        <v>0</v>
      </c>
      <c r="O190" s="1218"/>
      <c r="P190" s="1219"/>
      <c r="Q190" s="1220"/>
      <c r="R190" s="1220"/>
      <c r="S190" s="1220"/>
      <c r="T190" s="1219"/>
      <c r="U190" s="1130"/>
      <c r="V190" s="1130"/>
      <c r="W190" s="1130"/>
      <c r="X190" s="1130"/>
      <c r="Y190" s="1130"/>
      <c r="Z190" s="1130"/>
      <c r="AA190" s="1130"/>
      <c r="AB190" s="1130"/>
      <c r="AC190" s="1130"/>
    </row>
    <row r="191" ht="15.75" customHeight="1">
      <c r="A191" s="943"/>
      <c r="B191" s="1212" t="s">
        <v>15428</v>
      </c>
      <c r="C191" s="1230" t="s">
        <v>15430</v>
      </c>
      <c r="D191" s="1213" t="s">
        <v>15431</v>
      </c>
      <c r="E191" s="1181">
        <v>230000.0</v>
      </c>
      <c r="F191" s="1181">
        <f t="shared" si="32"/>
        <v>255300</v>
      </c>
      <c r="G191" s="1143">
        <f t="shared" si="33"/>
        <v>295830</v>
      </c>
      <c r="H191" s="1210">
        <f>G191*1.4</f>
        <v>414162</v>
      </c>
      <c r="I191" s="1210"/>
      <c r="J191" s="1181">
        <f>P191*70%</f>
        <v>414162</v>
      </c>
      <c r="K191" s="1181">
        <f>G191*1.6</f>
        <v>473328</v>
      </c>
      <c r="L191" s="1181">
        <f>P191*80%</f>
        <v>473328</v>
      </c>
      <c r="M191" s="1181">
        <f>G191*1.8</f>
        <v>532494</v>
      </c>
      <c r="N191" s="1181">
        <f t="shared" si="98"/>
        <v>532494</v>
      </c>
      <c r="O191" s="1181">
        <f>G191*2</f>
        <v>591660</v>
      </c>
      <c r="P191" s="1210">
        <f>G191*2</f>
        <v>591660</v>
      </c>
      <c r="Q191" s="1211"/>
      <c r="R191" s="1211"/>
      <c r="S191" s="1211">
        <v>350000.0</v>
      </c>
      <c r="T191" s="1210" t="s">
        <v>15243</v>
      </c>
      <c r="U191" s="1130"/>
      <c r="V191" s="1130"/>
      <c r="W191" s="1130"/>
      <c r="X191" s="1130"/>
      <c r="Y191" s="1130"/>
      <c r="Z191" s="1130"/>
      <c r="AA191" s="1130"/>
      <c r="AB191" s="1130"/>
      <c r="AC191" s="1130"/>
    </row>
    <row r="192" ht="15.75" customHeight="1">
      <c r="A192" s="943"/>
      <c r="B192" s="1238" t="s">
        <v>15428</v>
      </c>
      <c r="C192" s="1215" t="s">
        <v>15064</v>
      </c>
      <c r="D192" s="1239" t="s">
        <v>15432</v>
      </c>
      <c r="E192" s="1185">
        <v>400000.0</v>
      </c>
      <c r="F192" s="1181">
        <f t="shared" si="32"/>
        <v>444000</v>
      </c>
      <c r="G192" s="1143">
        <f t="shared" si="33"/>
        <v>503400</v>
      </c>
      <c r="H192" s="1217"/>
      <c r="I192" s="1217"/>
      <c r="J192" s="1218">
        <f>P192*80%</f>
        <v>0</v>
      </c>
      <c r="K192" s="1218"/>
      <c r="L192" s="1218">
        <f>P192*85%</f>
        <v>0</v>
      </c>
      <c r="M192" s="1218"/>
      <c r="N192" s="1218">
        <f t="shared" si="98"/>
        <v>0</v>
      </c>
      <c r="O192" s="1218"/>
      <c r="P192" s="1219"/>
      <c r="Q192" s="1220"/>
      <c r="R192" s="1220"/>
      <c r="S192" s="1220"/>
      <c r="T192" s="1219"/>
      <c r="U192" s="1130"/>
      <c r="V192" s="1130"/>
      <c r="W192" s="1130"/>
      <c r="X192" s="1130"/>
      <c r="Y192" s="1130"/>
      <c r="Z192" s="1130"/>
      <c r="AA192" s="1130"/>
      <c r="AB192" s="1130"/>
      <c r="AC192" s="1130"/>
    </row>
    <row r="193" ht="15.75" customHeight="1">
      <c r="A193" s="943"/>
      <c r="B193" s="1212" t="s">
        <v>15428</v>
      </c>
      <c r="C193" s="1212" t="s">
        <v>15064</v>
      </c>
      <c r="D193" s="1213" t="s">
        <v>15432</v>
      </c>
      <c r="E193" s="1181">
        <v>52000.0</v>
      </c>
      <c r="F193" s="1181">
        <f t="shared" si="32"/>
        <v>57720</v>
      </c>
      <c r="G193" s="1143">
        <f t="shared" si="33"/>
        <v>78492</v>
      </c>
      <c r="H193" s="1210">
        <f>G193*3.6</f>
        <v>282571.2</v>
      </c>
      <c r="I193" s="1210"/>
      <c r="J193" s="1181">
        <f>P193*60%</f>
        <v>282571.2</v>
      </c>
      <c r="K193" s="1181">
        <f>G193*4.2</f>
        <v>329666.4</v>
      </c>
      <c r="L193" s="1181">
        <f>P193*70%</f>
        <v>329666.4</v>
      </c>
      <c r="M193" s="1181">
        <f>G193*4.8</f>
        <v>376761.6</v>
      </c>
      <c r="N193" s="1181">
        <f>P193*80%</f>
        <v>376761.6</v>
      </c>
      <c r="O193" s="1181">
        <f>G193*6</f>
        <v>470952</v>
      </c>
      <c r="P193" s="1210">
        <f>G193*6</f>
        <v>470952</v>
      </c>
      <c r="Q193" s="1211"/>
      <c r="R193" s="1211"/>
      <c r="S193" s="1211">
        <v>300000.0</v>
      </c>
      <c r="T193" s="1210" t="s">
        <v>15243</v>
      </c>
      <c r="U193" s="1130"/>
      <c r="V193" s="1130"/>
      <c r="W193" s="1130"/>
      <c r="X193" s="1130"/>
      <c r="Y193" s="1130"/>
      <c r="Z193" s="1130"/>
      <c r="AA193" s="1130"/>
      <c r="AB193" s="1130"/>
      <c r="AC193" s="1130"/>
    </row>
    <row r="194" ht="15.75" customHeight="1">
      <c r="A194" s="943"/>
      <c r="B194" s="1238" t="s">
        <v>15428</v>
      </c>
      <c r="C194" s="1215" t="s">
        <v>15066</v>
      </c>
      <c r="D194" s="1239" t="s">
        <v>15433</v>
      </c>
      <c r="E194" s="1185">
        <v>400000.0</v>
      </c>
      <c r="F194" s="1181">
        <f t="shared" si="32"/>
        <v>444000</v>
      </c>
      <c r="G194" s="1143">
        <f t="shared" si="33"/>
        <v>503400</v>
      </c>
      <c r="H194" s="1217"/>
      <c r="I194" s="1217"/>
      <c r="J194" s="1218">
        <f>P194*80%</f>
        <v>0</v>
      </c>
      <c r="K194" s="1218"/>
      <c r="L194" s="1218">
        <f t="shared" ref="L194:L196" si="100">P194*85%</f>
        <v>0</v>
      </c>
      <c r="M194" s="1218"/>
      <c r="N194" s="1218">
        <f t="shared" ref="N194:N206" si="101">P194*90%</f>
        <v>0</v>
      </c>
      <c r="O194" s="1218"/>
      <c r="P194" s="1219"/>
      <c r="Q194" s="1220"/>
      <c r="R194" s="1220"/>
      <c r="S194" s="1220"/>
      <c r="T194" s="1219"/>
      <c r="U194" s="1130"/>
      <c r="V194" s="1130"/>
      <c r="W194" s="1130"/>
      <c r="X194" s="1130"/>
      <c r="Y194" s="1130"/>
      <c r="Z194" s="1130"/>
      <c r="AA194" s="1130"/>
      <c r="AB194" s="1130"/>
      <c r="AC194" s="1130"/>
    </row>
    <row r="195" ht="15.75" customHeight="1">
      <c r="A195" s="943"/>
      <c r="B195" s="1212" t="s">
        <v>15428</v>
      </c>
      <c r="C195" s="1212" t="s">
        <v>15434</v>
      </c>
      <c r="D195" s="1213" t="s">
        <v>15435</v>
      </c>
      <c r="E195" s="1181">
        <v>69000.0</v>
      </c>
      <c r="F195" s="1181">
        <f t="shared" si="32"/>
        <v>76590</v>
      </c>
      <c r="G195" s="1143">
        <f t="shared" si="33"/>
        <v>99249</v>
      </c>
      <c r="H195" s="1210">
        <f t="shared" ref="H195:H196" si="102">G195*2.1</f>
        <v>208422.9</v>
      </c>
      <c r="I195" s="1210"/>
      <c r="J195" s="1185">
        <f t="shared" ref="J195:J197" si="103">P195*70%</f>
        <v>208422.9</v>
      </c>
      <c r="K195" s="1181">
        <f t="shared" ref="K195:K196" si="104">G195*2.55</f>
        <v>253084.95</v>
      </c>
      <c r="L195" s="1181">
        <f t="shared" si="100"/>
        <v>253084.95</v>
      </c>
      <c r="M195" s="1181">
        <f t="shared" ref="M195:M196" si="105">G195*2.7</f>
        <v>267972.3</v>
      </c>
      <c r="N195" s="1181">
        <f t="shared" si="101"/>
        <v>267972.3</v>
      </c>
      <c r="O195" s="1181">
        <f t="shared" ref="O195:O196" si="106">G195*3</f>
        <v>297747</v>
      </c>
      <c r="P195" s="1210">
        <f t="shared" ref="P195:P196" si="107">G195*3</f>
        <v>297747</v>
      </c>
      <c r="Q195" s="1211"/>
      <c r="R195" s="1211"/>
      <c r="S195" s="1211">
        <v>300000.0</v>
      </c>
      <c r="T195" s="1210" t="s">
        <v>15243</v>
      </c>
      <c r="U195" s="1130"/>
      <c r="V195" s="1130"/>
      <c r="W195" s="1130"/>
      <c r="X195" s="1130"/>
      <c r="Y195" s="1130"/>
      <c r="Z195" s="1130"/>
      <c r="AA195" s="1130"/>
      <c r="AB195" s="1130"/>
      <c r="AC195" s="1130"/>
    </row>
    <row r="196" ht="15.75" customHeight="1">
      <c r="A196" s="943"/>
      <c r="B196" s="1212" t="s">
        <v>15428</v>
      </c>
      <c r="C196" s="1212" t="s">
        <v>15436</v>
      </c>
      <c r="D196" s="1213" t="s">
        <v>15437</v>
      </c>
      <c r="E196" s="1181">
        <v>69000.0</v>
      </c>
      <c r="F196" s="1181">
        <f t="shared" si="32"/>
        <v>76590</v>
      </c>
      <c r="G196" s="1143">
        <f t="shared" si="33"/>
        <v>99249</v>
      </c>
      <c r="H196" s="1210">
        <f t="shared" si="102"/>
        <v>208422.9</v>
      </c>
      <c r="I196" s="1210"/>
      <c r="J196" s="1185">
        <f t="shared" si="103"/>
        <v>208422.9</v>
      </c>
      <c r="K196" s="1181">
        <f t="shared" si="104"/>
        <v>253084.95</v>
      </c>
      <c r="L196" s="1181">
        <f t="shared" si="100"/>
        <v>253084.95</v>
      </c>
      <c r="M196" s="1181">
        <f t="shared" si="105"/>
        <v>267972.3</v>
      </c>
      <c r="N196" s="1181">
        <f t="shared" si="101"/>
        <v>267972.3</v>
      </c>
      <c r="O196" s="1181">
        <f t="shared" si="106"/>
        <v>297747</v>
      </c>
      <c r="P196" s="1210">
        <f t="shared" si="107"/>
        <v>297747</v>
      </c>
      <c r="Q196" s="1211"/>
      <c r="R196" s="1211"/>
      <c r="S196" s="1211">
        <v>300000.0</v>
      </c>
      <c r="T196" s="1210" t="s">
        <v>15243</v>
      </c>
      <c r="U196" s="1130"/>
      <c r="V196" s="1130"/>
      <c r="W196" s="1130"/>
      <c r="X196" s="1130"/>
      <c r="Y196" s="1130"/>
      <c r="Z196" s="1130"/>
      <c r="AA196" s="1130"/>
      <c r="AB196" s="1130"/>
      <c r="AC196" s="1130"/>
    </row>
    <row r="197" ht="15.75" customHeight="1">
      <c r="A197" s="943"/>
      <c r="B197" s="1212" t="s">
        <v>15428</v>
      </c>
      <c r="C197" s="1212" t="s">
        <v>15438</v>
      </c>
      <c r="D197" s="1213" t="s">
        <v>15439</v>
      </c>
      <c r="E197" s="1181">
        <v>238000.0</v>
      </c>
      <c r="F197" s="1181">
        <f t="shared" si="32"/>
        <v>264180</v>
      </c>
      <c r="G197" s="1143">
        <f t="shared" si="33"/>
        <v>305598</v>
      </c>
      <c r="H197" s="1210">
        <f>G197*1.4</f>
        <v>427837.2</v>
      </c>
      <c r="I197" s="1210"/>
      <c r="J197" s="1181">
        <f t="shared" si="103"/>
        <v>427837.2</v>
      </c>
      <c r="K197" s="1181">
        <f>G197*1.6</f>
        <v>488956.8</v>
      </c>
      <c r="L197" s="1181">
        <f>P197*80%</f>
        <v>488956.8</v>
      </c>
      <c r="M197" s="1181">
        <f>G197*1.8</f>
        <v>550076.4</v>
      </c>
      <c r="N197" s="1181">
        <f t="shared" si="101"/>
        <v>550076.4</v>
      </c>
      <c r="O197" s="1181">
        <f>G197*2</f>
        <v>611196</v>
      </c>
      <c r="P197" s="1210">
        <f>G197*2</f>
        <v>611196</v>
      </c>
      <c r="Q197" s="1211"/>
      <c r="R197" s="1211"/>
      <c r="S197" s="1211">
        <v>350000.0</v>
      </c>
      <c r="T197" s="1210" t="s">
        <v>15243</v>
      </c>
      <c r="U197" s="1130"/>
      <c r="V197" s="1130"/>
      <c r="W197" s="1130"/>
      <c r="X197" s="1130"/>
      <c r="Y197" s="1130"/>
      <c r="Z197" s="1130"/>
      <c r="AA197" s="1130"/>
      <c r="AB197" s="1130"/>
      <c r="AC197" s="1130"/>
    </row>
    <row r="198" ht="15.75" customHeight="1">
      <c r="A198" s="943"/>
      <c r="B198" s="1238" t="s">
        <v>15428</v>
      </c>
      <c r="C198" s="1215" t="s">
        <v>15068</v>
      </c>
      <c r="D198" s="1239" t="s">
        <v>15440</v>
      </c>
      <c r="E198" s="1185">
        <v>400000.0</v>
      </c>
      <c r="F198" s="1181">
        <f t="shared" si="32"/>
        <v>444000</v>
      </c>
      <c r="G198" s="1143">
        <f t="shared" si="33"/>
        <v>503400</v>
      </c>
      <c r="H198" s="1217"/>
      <c r="I198" s="1217"/>
      <c r="J198" s="1218">
        <f t="shared" ref="J198:J200" si="108">P198*80%</f>
        <v>0</v>
      </c>
      <c r="K198" s="1218"/>
      <c r="L198" s="1218">
        <f t="shared" ref="L198:L200" si="109">P198*85%</f>
        <v>0</v>
      </c>
      <c r="M198" s="1218"/>
      <c r="N198" s="1218">
        <f t="shared" si="101"/>
        <v>0</v>
      </c>
      <c r="O198" s="1218"/>
      <c r="P198" s="1219"/>
      <c r="Q198" s="1220"/>
      <c r="R198" s="1220"/>
      <c r="S198" s="1220"/>
      <c r="T198" s="1219"/>
      <c r="U198" s="1130"/>
      <c r="V198" s="1130"/>
      <c r="W198" s="1130"/>
      <c r="X198" s="1130"/>
      <c r="Y198" s="1130"/>
      <c r="Z198" s="1130"/>
      <c r="AA198" s="1130"/>
      <c r="AB198" s="1130"/>
      <c r="AC198" s="1130"/>
    </row>
    <row r="199" ht="15.75" customHeight="1">
      <c r="A199" s="943"/>
      <c r="B199" s="1238" t="s">
        <v>15428</v>
      </c>
      <c r="C199" s="1240" t="s">
        <v>15441</v>
      </c>
      <c r="D199" s="1239" t="s">
        <v>15442</v>
      </c>
      <c r="E199" s="1185">
        <v>495000.0</v>
      </c>
      <c r="F199" s="1181">
        <f t="shared" si="32"/>
        <v>549450</v>
      </c>
      <c r="G199" s="1143">
        <f t="shared" si="33"/>
        <v>619395</v>
      </c>
      <c r="H199" s="1217"/>
      <c r="I199" s="1217"/>
      <c r="J199" s="1218">
        <f t="shared" si="108"/>
        <v>0</v>
      </c>
      <c r="K199" s="1218"/>
      <c r="L199" s="1218">
        <f t="shared" si="109"/>
        <v>0</v>
      </c>
      <c r="M199" s="1218"/>
      <c r="N199" s="1218">
        <f t="shared" si="101"/>
        <v>0</v>
      </c>
      <c r="O199" s="1218"/>
      <c r="P199" s="1219"/>
      <c r="Q199" s="1220"/>
      <c r="R199" s="1220"/>
      <c r="S199" s="1220"/>
      <c r="T199" s="1219"/>
      <c r="U199" s="1130"/>
      <c r="V199" s="1130"/>
      <c r="W199" s="1130"/>
      <c r="X199" s="1130"/>
      <c r="Y199" s="1130"/>
      <c r="Z199" s="1130"/>
      <c r="AA199" s="1130"/>
      <c r="AB199" s="1130"/>
      <c r="AC199" s="1130"/>
    </row>
    <row r="200" ht="15.75" customHeight="1">
      <c r="A200" s="943"/>
      <c r="B200" s="1238" t="s">
        <v>15428</v>
      </c>
      <c r="C200" s="1215" t="s">
        <v>15074</v>
      </c>
      <c r="D200" s="1239" t="s">
        <v>15443</v>
      </c>
      <c r="E200" s="1185">
        <v>413000.0</v>
      </c>
      <c r="F200" s="1181">
        <f t="shared" si="32"/>
        <v>458430</v>
      </c>
      <c r="G200" s="1143">
        <f t="shared" si="33"/>
        <v>519273</v>
      </c>
      <c r="H200" s="1217"/>
      <c r="I200" s="1217"/>
      <c r="J200" s="1218">
        <f t="shared" si="108"/>
        <v>0</v>
      </c>
      <c r="K200" s="1218"/>
      <c r="L200" s="1218">
        <f t="shared" si="109"/>
        <v>0</v>
      </c>
      <c r="M200" s="1218"/>
      <c r="N200" s="1218">
        <f t="shared" si="101"/>
        <v>0</v>
      </c>
      <c r="O200" s="1218"/>
      <c r="P200" s="1219"/>
      <c r="Q200" s="1220"/>
      <c r="R200" s="1220"/>
      <c r="S200" s="1220"/>
      <c r="T200" s="1219"/>
      <c r="U200" s="1130"/>
      <c r="V200" s="1130"/>
      <c r="W200" s="1130"/>
      <c r="X200" s="1130"/>
      <c r="Y200" s="1130"/>
      <c r="Z200" s="1130"/>
      <c r="AA200" s="1130"/>
      <c r="AB200" s="1130"/>
      <c r="AC200" s="1130"/>
    </row>
    <row r="201" ht="15.75" customHeight="1">
      <c r="A201" s="943"/>
      <c r="B201" s="1212" t="s">
        <v>15428</v>
      </c>
      <c r="C201" s="1212" t="s">
        <v>15444</v>
      </c>
      <c r="D201" s="1213" t="s">
        <v>15445</v>
      </c>
      <c r="E201" s="1181">
        <v>245000.0</v>
      </c>
      <c r="F201" s="1181">
        <f t="shared" si="32"/>
        <v>271950</v>
      </c>
      <c r="G201" s="1143">
        <f t="shared" si="33"/>
        <v>314145</v>
      </c>
      <c r="H201" s="1210">
        <f>G201*1.4</f>
        <v>439803</v>
      </c>
      <c r="I201" s="1210"/>
      <c r="J201" s="1181">
        <f>P201*70%</f>
        <v>439803</v>
      </c>
      <c r="K201" s="1181">
        <f>G201*1.6</f>
        <v>502632</v>
      </c>
      <c r="L201" s="1181">
        <f>P201*80%</f>
        <v>502632</v>
      </c>
      <c r="M201" s="1181">
        <f>G201*1.8</f>
        <v>565461</v>
      </c>
      <c r="N201" s="1181">
        <f t="shared" si="101"/>
        <v>565461</v>
      </c>
      <c r="O201" s="1181">
        <f>G201*2</f>
        <v>628290</v>
      </c>
      <c r="P201" s="1210">
        <f>G201*2</f>
        <v>628290</v>
      </c>
      <c r="Q201" s="1211"/>
      <c r="R201" s="1211"/>
      <c r="S201" s="1211">
        <v>350000.0</v>
      </c>
      <c r="T201" s="1210" t="s">
        <v>15243</v>
      </c>
      <c r="U201" s="1130"/>
      <c r="V201" s="1130"/>
      <c r="W201" s="1130"/>
      <c r="X201" s="1130"/>
      <c r="Y201" s="1130"/>
      <c r="Z201" s="1130"/>
      <c r="AA201" s="1130"/>
      <c r="AB201" s="1130"/>
      <c r="AC201" s="1130"/>
    </row>
    <row r="202" ht="15.75" customHeight="1">
      <c r="A202" s="943"/>
      <c r="B202" s="1212" t="s">
        <v>15428</v>
      </c>
      <c r="C202" s="1212" t="s">
        <v>15446</v>
      </c>
      <c r="D202" s="1213" t="s">
        <v>15447</v>
      </c>
      <c r="E202" s="1181">
        <v>103000.0</v>
      </c>
      <c r="F202" s="1181">
        <f t="shared" si="32"/>
        <v>114330</v>
      </c>
      <c r="G202" s="1143">
        <f t="shared" si="33"/>
        <v>140763</v>
      </c>
      <c r="H202" s="1210">
        <f>G202*1.567</f>
        <v>220575.621</v>
      </c>
      <c r="I202" s="1210"/>
      <c r="J202" s="1181">
        <f>P202*49%</f>
        <v>220716.384</v>
      </c>
      <c r="K202" s="1181">
        <f>G202*2.72</f>
        <v>382875.36</v>
      </c>
      <c r="L202" s="1181">
        <f t="shared" ref="L202:L205" si="110">P202*85%</f>
        <v>382875.36</v>
      </c>
      <c r="M202" s="1181">
        <f>G202*2.88</f>
        <v>405397.44</v>
      </c>
      <c r="N202" s="1181">
        <f t="shared" si="101"/>
        <v>405397.44</v>
      </c>
      <c r="O202" s="1181">
        <f>G202*3.2</f>
        <v>450441.6</v>
      </c>
      <c r="P202" s="1210">
        <f>G202*3.2</f>
        <v>450441.6</v>
      </c>
      <c r="Q202" s="1211"/>
      <c r="R202" s="1211"/>
      <c r="S202" s="1211">
        <v>200000.0</v>
      </c>
      <c r="T202" s="1210"/>
      <c r="U202" s="1130"/>
      <c r="V202" s="1130"/>
      <c r="W202" s="1130"/>
      <c r="X202" s="1130"/>
      <c r="Y202" s="1130"/>
      <c r="Z202" s="1130"/>
      <c r="AA202" s="1130"/>
      <c r="AB202" s="1130"/>
      <c r="AC202" s="1130"/>
    </row>
    <row r="203" ht="15.75" customHeight="1">
      <c r="A203" s="943"/>
      <c r="B203" s="1212" t="s">
        <v>15428</v>
      </c>
      <c r="C203" s="1212" t="s">
        <v>15448</v>
      </c>
      <c r="D203" s="1213" t="s">
        <v>15449</v>
      </c>
      <c r="E203" s="1181">
        <v>52000.0</v>
      </c>
      <c r="F203" s="1181">
        <f t="shared" si="32"/>
        <v>57720</v>
      </c>
      <c r="G203" s="1143">
        <f t="shared" si="33"/>
        <v>78492</v>
      </c>
      <c r="H203" s="1210">
        <f>G203*3</f>
        <v>235476</v>
      </c>
      <c r="I203" s="1210"/>
      <c r="J203" s="1181">
        <f>P203*50%</f>
        <v>235476</v>
      </c>
      <c r="K203" s="1181">
        <f>G203*5.1</f>
        <v>400309.2</v>
      </c>
      <c r="L203" s="1181">
        <f t="shared" si="110"/>
        <v>400309.2</v>
      </c>
      <c r="M203" s="1181">
        <f>G203*5.4</f>
        <v>423856.8</v>
      </c>
      <c r="N203" s="1181">
        <f t="shared" si="101"/>
        <v>423856.8</v>
      </c>
      <c r="O203" s="1181">
        <f>G203*6</f>
        <v>470952</v>
      </c>
      <c r="P203" s="1210">
        <f>G203*6</f>
        <v>470952</v>
      </c>
      <c r="Q203" s="1211"/>
      <c r="R203" s="1211"/>
      <c r="S203" s="1211">
        <v>200000.0</v>
      </c>
      <c r="T203" s="1210" t="s">
        <v>15243</v>
      </c>
      <c r="U203" s="1130"/>
      <c r="V203" s="1130"/>
      <c r="W203" s="1130"/>
      <c r="X203" s="1130"/>
      <c r="Y203" s="1130"/>
      <c r="Z203" s="1130"/>
      <c r="AA203" s="1130"/>
      <c r="AB203" s="1130"/>
      <c r="AC203" s="1130"/>
    </row>
    <row r="204" ht="15.75" customHeight="1">
      <c r="A204" s="943"/>
      <c r="B204" s="1238" t="s">
        <v>15428</v>
      </c>
      <c r="C204" s="1215" t="s">
        <v>15076</v>
      </c>
      <c r="D204" s="1239" t="s">
        <v>15450</v>
      </c>
      <c r="E204" s="1185">
        <v>466000.0</v>
      </c>
      <c r="F204" s="1181">
        <f t="shared" si="32"/>
        <v>517260</v>
      </c>
      <c r="G204" s="1143">
        <f t="shared" si="33"/>
        <v>583986</v>
      </c>
      <c r="H204" s="1217"/>
      <c r="I204" s="1217"/>
      <c r="J204" s="1218">
        <f t="shared" ref="J204:J205" si="111">P204*80%</f>
        <v>0</v>
      </c>
      <c r="K204" s="1218"/>
      <c r="L204" s="1218">
        <f t="shared" si="110"/>
        <v>0</v>
      </c>
      <c r="M204" s="1218"/>
      <c r="N204" s="1218">
        <f t="shared" si="101"/>
        <v>0</v>
      </c>
      <c r="O204" s="1218"/>
      <c r="P204" s="1219"/>
      <c r="Q204" s="1220"/>
      <c r="R204" s="1220"/>
      <c r="S204" s="1220"/>
      <c r="T204" s="1219"/>
      <c r="U204" s="1130"/>
      <c r="V204" s="1130"/>
      <c r="W204" s="1130"/>
      <c r="X204" s="1130"/>
      <c r="Y204" s="1130"/>
      <c r="Z204" s="1130"/>
      <c r="AA204" s="1130"/>
      <c r="AB204" s="1130"/>
      <c r="AC204" s="1130"/>
    </row>
    <row r="205" ht="15.75" hidden="1" customHeight="1">
      <c r="A205" s="943"/>
      <c r="B205" s="1238" t="s">
        <v>15428</v>
      </c>
      <c r="C205" s="1215" t="s">
        <v>15078</v>
      </c>
      <c r="D205" s="1239" t="s">
        <v>15451</v>
      </c>
      <c r="E205" s="1185">
        <v>475000.0</v>
      </c>
      <c r="F205" s="1181">
        <f t="shared" si="32"/>
        <v>527250</v>
      </c>
      <c r="G205" s="1241">
        <f>F205*1.1</f>
        <v>579975</v>
      </c>
      <c r="H205" s="1217"/>
      <c r="I205" s="1217"/>
      <c r="J205" s="1218">
        <f t="shared" si="111"/>
        <v>0</v>
      </c>
      <c r="K205" s="1218"/>
      <c r="L205" s="1218">
        <f t="shared" si="110"/>
        <v>0</v>
      </c>
      <c r="M205" s="1218"/>
      <c r="N205" s="1218">
        <f t="shared" si="101"/>
        <v>0</v>
      </c>
      <c r="O205" s="1218"/>
      <c r="P205" s="1219"/>
      <c r="Q205" s="1220"/>
      <c r="R205" s="1220"/>
      <c r="S205" s="1220"/>
      <c r="T205" s="1219"/>
      <c r="U205" s="1130"/>
      <c r="V205" s="1130"/>
      <c r="W205" s="1130"/>
      <c r="X205" s="1130"/>
      <c r="Y205" s="1130"/>
      <c r="Z205" s="1130"/>
      <c r="AA205" s="1130"/>
      <c r="AB205" s="1130"/>
      <c r="AC205" s="1130"/>
    </row>
    <row r="206" ht="15.75" customHeight="1">
      <c r="A206" s="943"/>
      <c r="B206" s="1242" t="s">
        <v>15428</v>
      </c>
      <c r="C206" s="1212" t="s">
        <v>15452</v>
      </c>
      <c r="D206" s="1243" t="s">
        <v>15453</v>
      </c>
      <c r="E206" s="1181">
        <v>350000.0</v>
      </c>
      <c r="F206" s="1181">
        <f t="shared" si="32"/>
        <v>388500</v>
      </c>
      <c r="G206" s="1143">
        <f t="shared" ref="G206:G231" si="112">(F206*1.1)+15000</f>
        <v>442350</v>
      </c>
      <c r="H206" s="1210">
        <f>G206*1.75</f>
        <v>774112.5</v>
      </c>
      <c r="I206" s="1210"/>
      <c r="J206" s="1181">
        <f>P206*70%</f>
        <v>774112.5</v>
      </c>
      <c r="K206" s="1181">
        <f>G206*2</f>
        <v>884700</v>
      </c>
      <c r="L206" s="1181">
        <f>P206*80%</f>
        <v>884700</v>
      </c>
      <c r="M206" s="1181">
        <f>G206*2.25</f>
        <v>995287.5</v>
      </c>
      <c r="N206" s="1181">
        <f t="shared" si="101"/>
        <v>995287.5</v>
      </c>
      <c r="O206" s="1181">
        <f>G206*2.5</f>
        <v>1105875</v>
      </c>
      <c r="P206" s="1210">
        <f>G206*2.5</f>
        <v>1105875</v>
      </c>
      <c r="Q206" s="1211"/>
      <c r="R206" s="1211"/>
      <c r="S206" s="1211">
        <v>400000.0</v>
      </c>
      <c r="T206" s="1210" t="s">
        <v>15243</v>
      </c>
      <c r="U206" s="1130"/>
      <c r="V206" s="1130"/>
      <c r="W206" s="1130"/>
      <c r="X206" s="1130"/>
      <c r="Y206" s="1130"/>
      <c r="Z206" s="1130"/>
      <c r="AA206" s="1130"/>
      <c r="AB206" s="1130"/>
      <c r="AC206" s="1130"/>
    </row>
    <row r="207" ht="15.75" customHeight="1">
      <c r="A207" s="943"/>
      <c r="B207" s="1207" t="s">
        <v>11973</v>
      </c>
      <c r="C207" s="1207" t="s">
        <v>15202</v>
      </c>
      <c r="D207" s="1209" t="s">
        <v>15454</v>
      </c>
      <c r="E207" s="1181">
        <v>548000.0</v>
      </c>
      <c r="F207" s="1181">
        <f t="shared" si="32"/>
        <v>608280</v>
      </c>
      <c r="G207" s="1143">
        <f t="shared" si="112"/>
        <v>684108</v>
      </c>
      <c r="H207" s="1214"/>
      <c r="I207" s="1214"/>
      <c r="J207" s="1214"/>
      <c r="K207" s="1214"/>
      <c r="L207" s="1244"/>
      <c r="M207" s="1244"/>
      <c r="N207" s="1214"/>
      <c r="O207" s="1214"/>
      <c r="P207" s="1214"/>
      <c r="Q207" s="1211"/>
      <c r="R207" s="1211"/>
      <c r="S207" s="1211" t="s">
        <v>11484</v>
      </c>
      <c r="T207" s="1210"/>
      <c r="U207" s="1130"/>
      <c r="V207" s="1130"/>
      <c r="W207" s="1130"/>
      <c r="X207" s="1130"/>
      <c r="Y207" s="1130"/>
      <c r="Z207" s="1130"/>
      <c r="AA207" s="1130"/>
      <c r="AB207" s="1130"/>
      <c r="AC207" s="1130"/>
    </row>
    <row r="208" ht="15.75" customHeight="1">
      <c r="A208" s="943"/>
      <c r="B208" s="1242" t="s">
        <v>11973</v>
      </c>
      <c r="C208" s="1212" t="s">
        <v>15204</v>
      </c>
      <c r="D208" s="1243" t="s">
        <v>15455</v>
      </c>
      <c r="E208" s="1188">
        <v>601000.0</v>
      </c>
      <c r="F208" s="1188">
        <f t="shared" si="32"/>
        <v>667110</v>
      </c>
      <c r="G208" s="1143">
        <f t="shared" si="112"/>
        <v>748821</v>
      </c>
      <c r="H208" s="1214"/>
      <c r="I208" s="1214"/>
      <c r="J208" s="1214"/>
      <c r="K208" s="1214"/>
      <c r="L208" s="1214"/>
      <c r="M208" s="1214"/>
      <c r="N208" s="1214"/>
      <c r="O208" s="1214"/>
      <c r="P208" s="1214"/>
      <c r="Q208" s="1211"/>
      <c r="R208" s="1211"/>
      <c r="S208" s="1211" t="s">
        <v>11484</v>
      </c>
      <c r="T208" s="1210"/>
      <c r="U208" s="1130"/>
      <c r="V208" s="1130"/>
      <c r="W208" s="1130"/>
      <c r="X208" s="1130"/>
      <c r="Y208" s="1130"/>
      <c r="Z208" s="1130"/>
      <c r="AA208" s="1130"/>
      <c r="AB208" s="1130"/>
      <c r="AC208" s="1130"/>
    </row>
    <row r="209" ht="15.75" customHeight="1">
      <c r="A209" s="943"/>
      <c r="B209" s="1207" t="s">
        <v>11973</v>
      </c>
      <c r="C209" s="1208" t="s">
        <v>15456</v>
      </c>
      <c r="D209" s="1234" t="s">
        <v>15457</v>
      </c>
      <c r="E209" s="1181">
        <v>377000.0</v>
      </c>
      <c r="F209" s="1181">
        <f t="shared" si="32"/>
        <v>418470</v>
      </c>
      <c r="G209" s="1143">
        <f t="shared" si="112"/>
        <v>475317</v>
      </c>
      <c r="H209" s="1210">
        <f>G209*3.76</f>
        <v>1787191.92</v>
      </c>
      <c r="I209" s="1210"/>
      <c r="J209" s="1181">
        <f>P209*80%</f>
        <v>1787191.92</v>
      </c>
      <c r="K209" s="1181">
        <f>G209*3.995</f>
        <v>1898891.415</v>
      </c>
      <c r="L209" s="1181">
        <f t="shared" ref="L209:L210" si="113">P209*85%</f>
        <v>1898891.415</v>
      </c>
      <c r="M209" s="1181">
        <f>G209*4.23</f>
        <v>2010590.91</v>
      </c>
      <c r="N209" s="1181">
        <f t="shared" ref="N209:N215" si="114">P209*90%</f>
        <v>2010590.91</v>
      </c>
      <c r="O209" s="1181">
        <f>G209*4.7</f>
        <v>2233989.9</v>
      </c>
      <c r="P209" s="1210">
        <f>G209*4.7</f>
        <v>2233989.9</v>
      </c>
      <c r="Q209" s="1211"/>
      <c r="R209" s="1211"/>
      <c r="S209" s="1211">
        <v>600000.0</v>
      </c>
      <c r="T209" s="1210" t="s">
        <v>15225</v>
      </c>
      <c r="U209" s="1130"/>
      <c r="V209" s="1130"/>
      <c r="W209" s="1130"/>
      <c r="X209" s="1130"/>
      <c r="Y209" s="1130"/>
      <c r="Z209" s="1130"/>
      <c r="AA209" s="1130"/>
      <c r="AB209" s="1130"/>
      <c r="AC209" s="1130"/>
    </row>
    <row r="210" ht="15.75" customHeight="1">
      <c r="A210" s="943"/>
      <c r="B210" s="1242" t="s">
        <v>11973</v>
      </c>
      <c r="C210" s="1212" t="s">
        <v>15458</v>
      </c>
      <c r="D210" s="1243" t="s">
        <v>15459</v>
      </c>
      <c r="E210" s="1188">
        <v>499000.0</v>
      </c>
      <c r="F210" s="1181">
        <f t="shared" si="32"/>
        <v>553890</v>
      </c>
      <c r="G210" s="1143">
        <f t="shared" si="112"/>
        <v>624279</v>
      </c>
      <c r="H210" s="1210">
        <f>G210*1.621</f>
        <v>1011956.259</v>
      </c>
      <c r="I210" s="1210"/>
      <c r="J210" s="1181">
        <f>P210*69%</f>
        <v>1012268.399</v>
      </c>
      <c r="K210" s="1181">
        <f>G210*1.997</f>
        <v>1246685.163</v>
      </c>
      <c r="L210" s="1181">
        <f t="shared" si="113"/>
        <v>1246997.303</v>
      </c>
      <c r="M210" s="1181">
        <f>G210*2.115</f>
        <v>1320350.085</v>
      </c>
      <c r="N210" s="1181">
        <f t="shared" si="114"/>
        <v>1320350.085</v>
      </c>
      <c r="O210" s="1181">
        <f>G210*2.35</f>
        <v>1467055.65</v>
      </c>
      <c r="P210" s="1210">
        <f>G210*2.35</f>
        <v>1467055.65</v>
      </c>
      <c r="Q210" s="1211"/>
      <c r="R210" s="1211"/>
      <c r="S210" s="1211" t="s">
        <v>11484</v>
      </c>
      <c r="T210" s="1210"/>
      <c r="U210" s="1130"/>
      <c r="V210" s="1130"/>
      <c r="W210" s="1130"/>
      <c r="X210" s="1130"/>
      <c r="Y210" s="1130"/>
      <c r="Z210" s="1130"/>
      <c r="AA210" s="1130"/>
      <c r="AB210" s="1130"/>
      <c r="AC210" s="1130"/>
    </row>
    <row r="211" ht="15.75" customHeight="1">
      <c r="A211" s="943"/>
      <c r="B211" s="1242" t="s">
        <v>11973</v>
      </c>
      <c r="C211" s="1212" t="s">
        <v>15460</v>
      </c>
      <c r="D211" s="1243" t="s">
        <v>15461</v>
      </c>
      <c r="E211" s="1188">
        <v>483000.0</v>
      </c>
      <c r="F211" s="1181">
        <f t="shared" si="32"/>
        <v>536130</v>
      </c>
      <c r="G211" s="1143">
        <f t="shared" si="112"/>
        <v>604743</v>
      </c>
      <c r="H211" s="1210">
        <f>G211*1.861</f>
        <v>1125426.723</v>
      </c>
      <c r="I211" s="1210"/>
      <c r="J211" s="1181">
        <f>P211*73%</f>
        <v>1125729.095</v>
      </c>
      <c r="K211" s="1181">
        <f>G211*2.039</f>
        <v>1233070.977</v>
      </c>
      <c r="L211" s="1245">
        <f>P211*80%</f>
        <v>1233675.72</v>
      </c>
      <c r="M211" s="1181">
        <f>G211*2.295</f>
        <v>1387885.185</v>
      </c>
      <c r="N211" s="1181">
        <f t="shared" si="114"/>
        <v>1387885.185</v>
      </c>
      <c r="O211" s="1181">
        <f>G211*2.55</f>
        <v>1542094.65</v>
      </c>
      <c r="P211" s="1210">
        <f>G211*2.55</f>
        <v>1542094.65</v>
      </c>
      <c r="Q211" s="1211"/>
      <c r="R211" s="1211"/>
      <c r="S211" s="1211" t="s">
        <v>11484</v>
      </c>
      <c r="T211" s="1210"/>
      <c r="U211" s="1130"/>
      <c r="V211" s="1130"/>
      <c r="W211" s="1130"/>
      <c r="X211" s="1130"/>
      <c r="Y211" s="1130"/>
      <c r="Z211" s="1130"/>
      <c r="AA211" s="1130"/>
      <c r="AB211" s="1130"/>
      <c r="AC211" s="1130"/>
    </row>
    <row r="212" ht="15.75" customHeight="1">
      <c r="A212" s="943"/>
      <c r="B212" s="1242" t="s">
        <v>11973</v>
      </c>
      <c r="C212" s="1212" t="s">
        <v>15462</v>
      </c>
      <c r="D212" s="1243" t="s">
        <v>15463</v>
      </c>
      <c r="E212" s="1188">
        <v>501000.0</v>
      </c>
      <c r="F212" s="1181">
        <f t="shared" si="32"/>
        <v>556110</v>
      </c>
      <c r="G212" s="1143">
        <f t="shared" si="112"/>
        <v>626721</v>
      </c>
      <c r="H212" s="1210">
        <f>G212*1.621</f>
        <v>1015914.741</v>
      </c>
      <c r="I212" s="1210"/>
      <c r="J212" s="1181">
        <f>P212*69%</f>
        <v>1016228.102</v>
      </c>
      <c r="K212" s="1181">
        <f>G212*1.997</f>
        <v>1251561.837</v>
      </c>
      <c r="L212" s="1181">
        <f t="shared" ref="L212:L215" si="115">P212*85%</f>
        <v>1251875.198</v>
      </c>
      <c r="M212" s="1181">
        <f>G212*2.193</f>
        <v>1374399.153</v>
      </c>
      <c r="N212" s="1181">
        <f t="shared" si="114"/>
        <v>1325514.915</v>
      </c>
      <c r="O212" s="1181">
        <f>G212*2.35</f>
        <v>1472794.35</v>
      </c>
      <c r="P212" s="1210">
        <f>G212*2.35</f>
        <v>1472794.35</v>
      </c>
      <c r="Q212" s="1211"/>
      <c r="R212" s="1211"/>
      <c r="S212" s="1211" t="s">
        <v>11484</v>
      </c>
      <c r="T212" s="1210"/>
      <c r="U212" s="1130"/>
      <c r="V212" s="1130"/>
      <c r="W212" s="1130"/>
      <c r="X212" s="1130"/>
      <c r="Y212" s="1130"/>
      <c r="Z212" s="1130"/>
      <c r="AA212" s="1130"/>
      <c r="AB212" s="1130"/>
      <c r="AC212" s="1130"/>
    </row>
    <row r="213" ht="15.75" customHeight="1">
      <c r="A213" s="943"/>
      <c r="B213" s="1207" t="s">
        <v>11973</v>
      </c>
      <c r="C213" s="1208" t="s">
        <v>15464</v>
      </c>
      <c r="D213" s="1209" t="s">
        <v>15465</v>
      </c>
      <c r="E213" s="1181">
        <v>514000.0</v>
      </c>
      <c r="F213" s="1181">
        <f t="shared" si="32"/>
        <v>570540</v>
      </c>
      <c r="G213" s="1143">
        <f t="shared" si="112"/>
        <v>642594</v>
      </c>
      <c r="H213" s="1210">
        <f>G213*2.832</f>
        <v>1819826.208</v>
      </c>
      <c r="I213" s="1210"/>
      <c r="J213" s="1181">
        <f t="shared" ref="J213:J215" si="116">P213*80%</f>
        <v>1819826.208</v>
      </c>
      <c r="K213" s="1181">
        <f>G213*3.009</f>
        <v>1933565.346</v>
      </c>
      <c r="L213" s="1181">
        <f t="shared" si="115"/>
        <v>1933565.346</v>
      </c>
      <c r="M213" s="1181">
        <f>G213*3.186</f>
        <v>2047304.484</v>
      </c>
      <c r="N213" s="1181">
        <f t="shared" si="114"/>
        <v>2047304.484</v>
      </c>
      <c r="O213" s="1181">
        <f>G213*3.54</f>
        <v>2274782.76</v>
      </c>
      <c r="P213" s="1210">
        <f>G213*3.54</f>
        <v>2274782.76</v>
      </c>
      <c r="Q213" s="1211"/>
      <c r="R213" s="1211"/>
      <c r="S213" s="1211" t="s">
        <v>11484</v>
      </c>
      <c r="T213" s="1210"/>
      <c r="U213" s="1130"/>
      <c r="V213" s="1130"/>
      <c r="W213" s="1130"/>
      <c r="X213" s="1130"/>
      <c r="Y213" s="1130"/>
      <c r="Z213" s="1130"/>
      <c r="AA213" s="1130"/>
      <c r="AB213" s="1130"/>
      <c r="AC213" s="1130"/>
    </row>
    <row r="214" ht="15.75" customHeight="1">
      <c r="A214" s="943"/>
      <c r="B214" s="1207" t="s">
        <v>11973</v>
      </c>
      <c r="C214" s="1208" t="s">
        <v>15466</v>
      </c>
      <c r="D214" s="1209" t="s">
        <v>15467</v>
      </c>
      <c r="E214" s="1181">
        <v>495000.0</v>
      </c>
      <c r="F214" s="1181">
        <f t="shared" si="32"/>
        <v>549450</v>
      </c>
      <c r="G214" s="1143">
        <f t="shared" si="112"/>
        <v>619395</v>
      </c>
      <c r="H214" s="1210">
        <f>G214*2.56</f>
        <v>1585651.2</v>
      </c>
      <c r="I214" s="1210"/>
      <c r="J214" s="1181">
        <f t="shared" si="116"/>
        <v>1585651.2</v>
      </c>
      <c r="K214" s="1181">
        <f>G214*2.72</f>
        <v>1684754.4</v>
      </c>
      <c r="L214" s="1181">
        <f t="shared" si="115"/>
        <v>1684754.4</v>
      </c>
      <c r="M214" s="1181">
        <f>G214*2.88</f>
        <v>1783857.6</v>
      </c>
      <c r="N214" s="1181">
        <f t="shared" si="114"/>
        <v>1783857.6</v>
      </c>
      <c r="O214" s="1181">
        <f>G214*3.2</f>
        <v>1982064</v>
      </c>
      <c r="P214" s="1210">
        <f>G214*3.2</f>
        <v>1982064</v>
      </c>
      <c r="Q214" s="1211"/>
      <c r="R214" s="1211"/>
      <c r="S214" s="1211">
        <v>600000.0</v>
      </c>
      <c r="T214" s="1210" t="s">
        <v>15225</v>
      </c>
      <c r="U214" s="1130"/>
      <c r="V214" s="1130"/>
      <c r="W214" s="1130"/>
      <c r="X214" s="1130"/>
      <c r="Y214" s="1130"/>
      <c r="Z214" s="1130"/>
      <c r="AA214" s="1130"/>
      <c r="AB214" s="1130"/>
      <c r="AC214" s="1130"/>
    </row>
    <row r="215" ht="15.75" customHeight="1">
      <c r="A215" s="943"/>
      <c r="B215" s="1207" t="s">
        <v>11973</v>
      </c>
      <c r="C215" s="1208" t="s">
        <v>15468</v>
      </c>
      <c r="D215" s="1209" t="s">
        <v>15469</v>
      </c>
      <c r="E215" s="1181">
        <v>509000.0</v>
      </c>
      <c r="F215" s="1181">
        <f t="shared" si="32"/>
        <v>564990</v>
      </c>
      <c r="G215" s="1143">
        <f t="shared" si="112"/>
        <v>636489</v>
      </c>
      <c r="H215" s="1210">
        <f>G215*2.96</f>
        <v>1884007.44</v>
      </c>
      <c r="I215" s="1210"/>
      <c r="J215" s="1181">
        <f t="shared" si="116"/>
        <v>1884007.44</v>
      </c>
      <c r="K215" s="1181">
        <f>G215*3.145</f>
        <v>2001757.905</v>
      </c>
      <c r="L215" s="1181">
        <f t="shared" si="115"/>
        <v>2001757.905</v>
      </c>
      <c r="M215" s="1181">
        <f>G215*3.33</f>
        <v>2119508.37</v>
      </c>
      <c r="N215" s="1181">
        <f t="shared" si="114"/>
        <v>2119508.37</v>
      </c>
      <c r="O215" s="1181">
        <f>G215*3.7</f>
        <v>2355009.3</v>
      </c>
      <c r="P215" s="1210">
        <f>G215*3.7</f>
        <v>2355009.3</v>
      </c>
      <c r="Q215" s="1211"/>
      <c r="R215" s="1211"/>
      <c r="S215" s="1211">
        <v>600000.0</v>
      </c>
      <c r="T215" s="1210" t="s">
        <v>15225</v>
      </c>
      <c r="U215" s="1130"/>
      <c r="V215" s="1130"/>
      <c r="W215" s="1130"/>
      <c r="X215" s="1130"/>
      <c r="Y215" s="1130"/>
      <c r="Z215" s="1130"/>
      <c r="AA215" s="1130"/>
      <c r="AB215" s="1130"/>
      <c r="AC215" s="1130"/>
    </row>
    <row r="216" ht="15.75" customHeight="1">
      <c r="A216" s="943"/>
      <c r="B216" s="1207" t="s">
        <v>11973</v>
      </c>
      <c r="C216" s="1207" t="s">
        <v>15200</v>
      </c>
      <c r="D216" s="1209" t="s">
        <v>15470</v>
      </c>
      <c r="E216" s="1181">
        <v>299000.0</v>
      </c>
      <c r="F216" s="1181">
        <f t="shared" si="32"/>
        <v>331890</v>
      </c>
      <c r="G216" s="1143">
        <f t="shared" si="112"/>
        <v>380079</v>
      </c>
      <c r="H216" s="1214"/>
      <c r="I216" s="1214"/>
      <c r="J216" s="1246"/>
      <c r="K216" s="1246"/>
      <c r="L216" s="1214"/>
      <c r="M216" s="1214"/>
      <c r="N216" s="1214"/>
      <c r="O216" s="1214"/>
      <c r="P216" s="1214"/>
      <c r="Q216" s="1211"/>
      <c r="R216" s="1211"/>
      <c r="S216" s="1211" t="s">
        <v>11484</v>
      </c>
      <c r="T216" s="1210"/>
      <c r="U216" s="1130"/>
      <c r="V216" s="1130"/>
      <c r="W216" s="1130"/>
      <c r="X216" s="1130"/>
      <c r="Y216" s="1130"/>
      <c r="Z216" s="1130"/>
      <c r="AA216" s="1130"/>
      <c r="AB216" s="1130"/>
      <c r="AC216" s="1130"/>
    </row>
    <row r="217" ht="15.75" customHeight="1">
      <c r="A217" s="943"/>
      <c r="B217" s="1207" t="s">
        <v>11973</v>
      </c>
      <c r="C217" s="1208" t="s">
        <v>15471</v>
      </c>
      <c r="D217" s="1209" t="s">
        <v>15472</v>
      </c>
      <c r="E217" s="1181">
        <v>527000.0</v>
      </c>
      <c r="F217" s="1181">
        <f t="shared" si="32"/>
        <v>584970</v>
      </c>
      <c r="G217" s="1143">
        <f t="shared" si="112"/>
        <v>658467</v>
      </c>
      <c r="H217" s="1210">
        <f>G217*2.72</f>
        <v>1791030.24</v>
      </c>
      <c r="I217" s="1210"/>
      <c r="J217" s="1181">
        <f>P217*80%</f>
        <v>1791030.24</v>
      </c>
      <c r="K217" s="1181">
        <f>G217*2.89</f>
        <v>1902969.63</v>
      </c>
      <c r="L217" s="1181">
        <f>P217*85%</f>
        <v>1902969.63</v>
      </c>
      <c r="M217" s="1181">
        <f>G217*3.06</f>
        <v>2014909.02</v>
      </c>
      <c r="N217" s="1181">
        <f>P217*90%</f>
        <v>2014909.02</v>
      </c>
      <c r="O217" s="1181">
        <f>G217*3.4</f>
        <v>2238787.8</v>
      </c>
      <c r="P217" s="1210">
        <f>G217*3.4</f>
        <v>2238787.8</v>
      </c>
      <c r="Q217" s="1211"/>
      <c r="R217" s="1211"/>
      <c r="S217" s="1211">
        <v>600000.0</v>
      </c>
      <c r="T217" s="1210" t="s">
        <v>15225</v>
      </c>
      <c r="U217" s="1130"/>
      <c r="V217" s="1130"/>
      <c r="W217" s="1130"/>
      <c r="X217" s="1130"/>
      <c r="Y217" s="1130"/>
      <c r="Z217" s="1130"/>
      <c r="AA217" s="1130"/>
      <c r="AB217" s="1130"/>
      <c r="AC217" s="1130"/>
    </row>
    <row r="218" ht="15.75" customHeight="1">
      <c r="A218" s="943"/>
      <c r="B218" s="1207" t="s">
        <v>11973</v>
      </c>
      <c r="C218" s="1208" t="s">
        <v>15198</v>
      </c>
      <c r="D218" s="1209" t="s">
        <v>15473</v>
      </c>
      <c r="E218" s="1181">
        <v>458000.0</v>
      </c>
      <c r="F218" s="1181">
        <f t="shared" si="32"/>
        <v>508380</v>
      </c>
      <c r="G218" s="1143">
        <f t="shared" si="112"/>
        <v>574218</v>
      </c>
      <c r="H218" s="1214"/>
      <c r="I218" s="1214"/>
      <c r="J218" s="1214"/>
      <c r="K218" s="1214"/>
      <c r="L218" s="1214"/>
      <c r="M218" s="1214"/>
      <c r="N218" s="1214"/>
      <c r="O218" s="1214"/>
      <c r="P218" s="1214"/>
      <c r="Q218" s="1211"/>
      <c r="R218" s="1211"/>
      <c r="S218" s="1211" t="s">
        <v>11484</v>
      </c>
      <c r="T218" s="1210"/>
      <c r="U218" s="1130"/>
      <c r="V218" s="1130"/>
      <c r="W218" s="1130"/>
      <c r="X218" s="1130"/>
      <c r="Y218" s="1130"/>
      <c r="Z218" s="1130"/>
      <c r="AA218" s="1130"/>
      <c r="AB218" s="1130"/>
      <c r="AC218" s="1130"/>
    </row>
    <row r="219" ht="15.75" customHeight="1">
      <c r="A219" s="943"/>
      <c r="B219" s="1238" t="s">
        <v>11973</v>
      </c>
      <c r="C219" s="1215" t="s">
        <v>15113</v>
      </c>
      <c r="D219" s="1239" t="s">
        <v>15474</v>
      </c>
      <c r="E219" s="1185">
        <v>491000.0</v>
      </c>
      <c r="F219" s="1181">
        <f t="shared" si="32"/>
        <v>545010</v>
      </c>
      <c r="G219" s="1143">
        <f t="shared" si="112"/>
        <v>614511</v>
      </c>
      <c r="H219" s="1217"/>
      <c r="I219" s="1217"/>
      <c r="J219" s="1218">
        <f t="shared" ref="J219:J225" si="117">P219*80%</f>
        <v>0</v>
      </c>
      <c r="K219" s="1218"/>
      <c r="L219" s="1218">
        <f t="shared" ref="L219:L225" si="118">P219*85%</f>
        <v>0</v>
      </c>
      <c r="M219" s="1218"/>
      <c r="N219" s="1218">
        <f t="shared" ref="N219:N225" si="119">P219*90%</f>
        <v>0</v>
      </c>
      <c r="O219" s="1218"/>
      <c r="P219" s="1219"/>
      <c r="Q219" s="1220"/>
      <c r="R219" s="1220"/>
      <c r="S219" s="1220"/>
      <c r="T219" s="1219"/>
      <c r="U219" s="1130"/>
      <c r="V219" s="1130"/>
      <c r="W219" s="1130"/>
      <c r="X219" s="1130"/>
      <c r="Y219" s="1130"/>
      <c r="Z219" s="1130"/>
      <c r="AA219" s="1130"/>
      <c r="AB219" s="1130"/>
      <c r="AC219" s="1130"/>
    </row>
    <row r="220" ht="15.75" customHeight="1">
      <c r="A220" s="943"/>
      <c r="B220" s="1238" t="s">
        <v>11973</v>
      </c>
      <c r="C220" s="1215" t="s">
        <v>15115</v>
      </c>
      <c r="D220" s="1239" t="s">
        <v>15475</v>
      </c>
      <c r="E220" s="1185">
        <v>665000.0</v>
      </c>
      <c r="F220" s="1181">
        <f t="shared" si="32"/>
        <v>738150</v>
      </c>
      <c r="G220" s="1143">
        <f t="shared" si="112"/>
        <v>826965</v>
      </c>
      <c r="H220" s="1217"/>
      <c r="I220" s="1217"/>
      <c r="J220" s="1218">
        <f t="shared" si="117"/>
        <v>0</v>
      </c>
      <c r="K220" s="1218"/>
      <c r="L220" s="1218">
        <f t="shared" si="118"/>
        <v>0</v>
      </c>
      <c r="M220" s="1218"/>
      <c r="N220" s="1218">
        <f t="shared" si="119"/>
        <v>0</v>
      </c>
      <c r="O220" s="1218"/>
      <c r="P220" s="1219"/>
      <c r="Q220" s="1220"/>
      <c r="R220" s="1220"/>
      <c r="S220" s="1220"/>
      <c r="T220" s="1219"/>
      <c r="U220" s="1130"/>
      <c r="V220" s="1130"/>
      <c r="W220" s="1130"/>
      <c r="X220" s="1130"/>
      <c r="Y220" s="1130"/>
      <c r="Z220" s="1130"/>
      <c r="AA220" s="1130"/>
      <c r="AB220" s="1130"/>
      <c r="AC220" s="1130"/>
    </row>
    <row r="221" ht="15.75" customHeight="1">
      <c r="A221" s="943"/>
      <c r="B221" s="1238" t="s">
        <v>11973</v>
      </c>
      <c r="C221" s="1215" t="s">
        <v>15127</v>
      </c>
      <c r="D221" s="1239" t="s">
        <v>15476</v>
      </c>
      <c r="E221" s="1185">
        <v>508000.0</v>
      </c>
      <c r="F221" s="1181">
        <f t="shared" si="32"/>
        <v>563880</v>
      </c>
      <c r="G221" s="1143">
        <f t="shared" si="112"/>
        <v>635268</v>
      </c>
      <c r="H221" s="1217"/>
      <c r="I221" s="1217"/>
      <c r="J221" s="1218">
        <f t="shared" si="117"/>
        <v>0</v>
      </c>
      <c r="K221" s="1218"/>
      <c r="L221" s="1218">
        <f t="shared" si="118"/>
        <v>0</v>
      </c>
      <c r="M221" s="1218"/>
      <c r="N221" s="1218">
        <f t="shared" si="119"/>
        <v>0</v>
      </c>
      <c r="O221" s="1218"/>
      <c r="P221" s="1219"/>
      <c r="Q221" s="1220"/>
      <c r="R221" s="1220"/>
      <c r="S221" s="1220"/>
      <c r="T221" s="1219"/>
      <c r="U221" s="1130"/>
      <c r="V221" s="1130"/>
      <c r="W221" s="1130"/>
      <c r="X221" s="1130"/>
      <c r="Y221" s="1130"/>
      <c r="Z221" s="1130"/>
      <c r="AA221" s="1130"/>
      <c r="AB221" s="1130"/>
      <c r="AC221" s="1130"/>
    </row>
    <row r="222" ht="15.75" customHeight="1">
      <c r="A222" s="943"/>
      <c r="B222" s="1238" t="s">
        <v>11973</v>
      </c>
      <c r="C222" s="1215" t="s">
        <v>15129</v>
      </c>
      <c r="D222" s="1239" t="s">
        <v>15477</v>
      </c>
      <c r="E222" s="1185">
        <v>586000.0</v>
      </c>
      <c r="F222" s="1181">
        <f t="shared" si="32"/>
        <v>650460</v>
      </c>
      <c r="G222" s="1143">
        <f t="shared" si="112"/>
        <v>730506</v>
      </c>
      <c r="H222" s="1217"/>
      <c r="I222" s="1217"/>
      <c r="J222" s="1218">
        <f t="shared" si="117"/>
        <v>0</v>
      </c>
      <c r="K222" s="1218"/>
      <c r="L222" s="1218">
        <f t="shared" si="118"/>
        <v>0</v>
      </c>
      <c r="M222" s="1218"/>
      <c r="N222" s="1218">
        <f t="shared" si="119"/>
        <v>0</v>
      </c>
      <c r="O222" s="1218"/>
      <c r="P222" s="1219"/>
      <c r="Q222" s="1220"/>
      <c r="R222" s="1220"/>
      <c r="S222" s="1220"/>
      <c r="T222" s="1219"/>
      <c r="U222" s="1130"/>
      <c r="V222" s="1130"/>
      <c r="W222" s="1130"/>
      <c r="X222" s="1130"/>
      <c r="Y222" s="1130"/>
      <c r="Z222" s="1130"/>
      <c r="AA222" s="1130"/>
      <c r="AB222" s="1130"/>
      <c r="AC222" s="1130"/>
    </row>
    <row r="223" ht="15.75" customHeight="1">
      <c r="A223" s="943"/>
      <c r="B223" s="1207" t="s">
        <v>11973</v>
      </c>
      <c r="C223" s="1208" t="s">
        <v>15478</v>
      </c>
      <c r="D223" s="1209" t="s">
        <v>15479</v>
      </c>
      <c r="E223" s="1181">
        <v>412000.0</v>
      </c>
      <c r="F223" s="1181">
        <f t="shared" si="32"/>
        <v>457320</v>
      </c>
      <c r="G223" s="1143">
        <f t="shared" si="112"/>
        <v>518052</v>
      </c>
      <c r="H223" s="1210">
        <f>G223*1.584</f>
        <v>820594.368</v>
      </c>
      <c r="I223" s="1210"/>
      <c r="J223" s="1181">
        <f t="shared" si="117"/>
        <v>820594.368</v>
      </c>
      <c r="K223" s="1181">
        <f>G223*1.683</f>
        <v>871881.516</v>
      </c>
      <c r="L223" s="1181">
        <f t="shared" si="118"/>
        <v>871881.516</v>
      </c>
      <c r="M223" s="1181">
        <f>G223*1.782</f>
        <v>923168.664</v>
      </c>
      <c r="N223" s="1181">
        <f t="shared" si="119"/>
        <v>923168.664</v>
      </c>
      <c r="O223" s="1181">
        <f>G223*1.98</f>
        <v>1025742.96</v>
      </c>
      <c r="P223" s="1210">
        <f>G223*1.98</f>
        <v>1025742.96</v>
      </c>
      <c r="Q223" s="1211"/>
      <c r="R223" s="1211"/>
      <c r="S223" s="1211">
        <v>500000.0</v>
      </c>
      <c r="T223" s="1210" t="s">
        <v>15366</v>
      </c>
      <c r="U223" s="1130"/>
      <c r="V223" s="1130"/>
      <c r="W223" s="1130"/>
      <c r="X223" s="1130"/>
      <c r="Y223" s="1130"/>
      <c r="Z223" s="1130"/>
      <c r="AA223" s="1130"/>
      <c r="AB223" s="1130"/>
      <c r="AC223" s="1130"/>
    </row>
    <row r="224" ht="15.75" customHeight="1">
      <c r="A224" s="943"/>
      <c r="B224" s="1207" t="s">
        <v>11973</v>
      </c>
      <c r="C224" s="1207" t="s">
        <v>15480</v>
      </c>
      <c r="D224" s="1209" t="s">
        <v>15481</v>
      </c>
      <c r="E224" s="1181">
        <v>459000.0</v>
      </c>
      <c r="F224" s="1181">
        <f t="shared" si="32"/>
        <v>509490</v>
      </c>
      <c r="G224" s="1143">
        <f t="shared" si="112"/>
        <v>575439</v>
      </c>
      <c r="H224" s="1210">
        <f>G224*1.56</f>
        <v>897684.84</v>
      </c>
      <c r="I224" s="1210"/>
      <c r="J224" s="1181">
        <f t="shared" si="117"/>
        <v>897684.84</v>
      </c>
      <c r="K224" s="1181">
        <f>G224*1.657</f>
        <v>953502.423</v>
      </c>
      <c r="L224" s="1181">
        <f t="shared" si="118"/>
        <v>953790.1425</v>
      </c>
      <c r="M224" s="1181">
        <f>G224*1.755</f>
        <v>1009895.445</v>
      </c>
      <c r="N224" s="1181">
        <f t="shared" si="119"/>
        <v>1009895.445</v>
      </c>
      <c r="O224" s="1181">
        <f>G224*1.95</f>
        <v>1122106.05</v>
      </c>
      <c r="P224" s="1210">
        <f>G224*1.95</f>
        <v>1122106.05</v>
      </c>
      <c r="Q224" s="1211"/>
      <c r="R224" s="1211"/>
      <c r="S224" s="1211" t="s">
        <v>11484</v>
      </c>
      <c r="T224" s="1210"/>
      <c r="U224" s="1130"/>
      <c r="V224" s="1130"/>
      <c r="W224" s="1130"/>
      <c r="X224" s="1130"/>
      <c r="Y224" s="1130"/>
      <c r="Z224" s="1130"/>
      <c r="AA224" s="1130"/>
      <c r="AB224" s="1130"/>
      <c r="AC224" s="1130"/>
    </row>
    <row r="225" ht="15.75" customHeight="1">
      <c r="A225" s="943"/>
      <c r="B225" s="1207" t="s">
        <v>11973</v>
      </c>
      <c r="C225" s="1207" t="s">
        <v>15482</v>
      </c>
      <c r="D225" s="1209" t="s">
        <v>15483</v>
      </c>
      <c r="E225" s="1181">
        <v>444000.0</v>
      </c>
      <c r="F225" s="1181">
        <f t="shared" si="32"/>
        <v>492840</v>
      </c>
      <c r="G225" s="1143">
        <f t="shared" si="112"/>
        <v>557124</v>
      </c>
      <c r="H225" s="1210">
        <f>G225*1.632</f>
        <v>909226.368</v>
      </c>
      <c r="I225" s="1210"/>
      <c r="J225" s="1181">
        <f t="shared" si="117"/>
        <v>909226.368</v>
      </c>
      <c r="K225" s="1181">
        <f>G225*1.734</f>
        <v>966053.016</v>
      </c>
      <c r="L225" s="1181">
        <f t="shared" si="118"/>
        <v>966053.016</v>
      </c>
      <c r="M225" s="1181">
        <f>G225*1.836</f>
        <v>1022879.664</v>
      </c>
      <c r="N225" s="1181">
        <f t="shared" si="119"/>
        <v>1022879.664</v>
      </c>
      <c r="O225" s="1181">
        <f>G225*2.04</f>
        <v>1136532.96</v>
      </c>
      <c r="P225" s="1210">
        <f>G225*2.04</f>
        <v>1136532.96</v>
      </c>
      <c r="Q225" s="1211"/>
      <c r="R225" s="1211"/>
      <c r="S225" s="1211" t="s">
        <v>11484</v>
      </c>
      <c r="T225" s="1210"/>
      <c r="U225" s="1130"/>
      <c r="V225" s="1130"/>
      <c r="W225" s="1130"/>
      <c r="X225" s="1130"/>
      <c r="Y225" s="1130"/>
      <c r="Z225" s="1130"/>
      <c r="AA225" s="1130"/>
      <c r="AB225" s="1130"/>
      <c r="AC225" s="1130"/>
    </row>
    <row r="226" ht="15.75" customHeight="1">
      <c r="A226" s="943"/>
      <c r="B226" s="1242" t="s">
        <v>11973</v>
      </c>
      <c r="C226" s="1212" t="s">
        <v>15206</v>
      </c>
      <c r="D226" s="1243" t="s">
        <v>15484</v>
      </c>
      <c r="E226" s="1188">
        <v>484000.0</v>
      </c>
      <c r="F226" s="1181">
        <f t="shared" si="32"/>
        <v>537240</v>
      </c>
      <c r="G226" s="1143">
        <f t="shared" si="112"/>
        <v>605964</v>
      </c>
      <c r="H226" s="1214"/>
      <c r="I226" s="1214"/>
      <c r="J226" s="1214"/>
      <c r="K226" s="1214"/>
      <c r="L226" s="1214"/>
      <c r="M226" s="1214"/>
      <c r="N226" s="1214"/>
      <c r="O226" s="1214"/>
      <c r="P226" s="1214"/>
      <c r="Q226" s="1211"/>
      <c r="R226" s="1211"/>
      <c r="S226" s="1211" t="s">
        <v>11484</v>
      </c>
      <c r="T226" s="1210"/>
      <c r="U226" s="1130"/>
      <c r="V226" s="1130"/>
      <c r="W226" s="1130"/>
      <c r="X226" s="1130"/>
      <c r="Y226" s="1130"/>
      <c r="Z226" s="1130"/>
      <c r="AA226" s="1130"/>
      <c r="AB226" s="1130"/>
      <c r="AC226" s="1130"/>
    </row>
    <row r="227" ht="15.75" customHeight="1">
      <c r="A227" s="943"/>
      <c r="B227" s="1238" t="s">
        <v>11973</v>
      </c>
      <c r="C227" s="1215" t="s">
        <v>15117</v>
      </c>
      <c r="D227" s="1239" t="s">
        <v>15485</v>
      </c>
      <c r="E227" s="1185">
        <v>486000.0</v>
      </c>
      <c r="F227" s="1181">
        <f t="shared" si="32"/>
        <v>539460</v>
      </c>
      <c r="G227" s="1143">
        <f t="shared" si="112"/>
        <v>608406</v>
      </c>
      <c r="H227" s="1217"/>
      <c r="I227" s="1217"/>
      <c r="J227" s="1218">
        <f t="shared" ref="J227:J230" si="120">P227*80%</f>
        <v>0</v>
      </c>
      <c r="K227" s="1218"/>
      <c r="L227" s="1218">
        <f t="shared" ref="L227:L231" si="121">P227*85%</f>
        <v>0</v>
      </c>
      <c r="M227" s="1218"/>
      <c r="N227" s="1218">
        <f t="shared" ref="N227:N231" si="122">P227*90%</f>
        <v>0</v>
      </c>
      <c r="O227" s="1218"/>
      <c r="P227" s="1219"/>
      <c r="Q227" s="1220"/>
      <c r="R227" s="1220"/>
      <c r="S227" s="1220"/>
      <c r="T227" s="1219"/>
      <c r="U227" s="1130"/>
      <c r="V227" s="1130"/>
      <c r="W227" s="1130"/>
      <c r="X227" s="1130"/>
      <c r="Y227" s="1130"/>
      <c r="Z227" s="1130"/>
      <c r="AA227" s="1130"/>
      <c r="AB227" s="1130"/>
      <c r="AC227" s="1130"/>
    </row>
    <row r="228" ht="15.75" customHeight="1">
      <c r="A228" s="943"/>
      <c r="B228" s="1238" t="s">
        <v>11973</v>
      </c>
      <c r="C228" s="1215" t="s">
        <v>15119</v>
      </c>
      <c r="D228" s="1239" t="s">
        <v>15486</v>
      </c>
      <c r="E228" s="1185">
        <v>491000.0</v>
      </c>
      <c r="F228" s="1181">
        <f t="shared" si="32"/>
        <v>545010</v>
      </c>
      <c r="G228" s="1143">
        <f t="shared" si="112"/>
        <v>614511</v>
      </c>
      <c r="H228" s="1217"/>
      <c r="I228" s="1217"/>
      <c r="J228" s="1218">
        <f t="shared" si="120"/>
        <v>0</v>
      </c>
      <c r="K228" s="1218"/>
      <c r="L228" s="1218">
        <f t="shared" si="121"/>
        <v>0</v>
      </c>
      <c r="M228" s="1218"/>
      <c r="N228" s="1218">
        <f t="shared" si="122"/>
        <v>0</v>
      </c>
      <c r="O228" s="1218"/>
      <c r="P228" s="1219"/>
      <c r="Q228" s="1220"/>
      <c r="R228" s="1220"/>
      <c r="S228" s="1220"/>
      <c r="T228" s="1219"/>
      <c r="U228" s="1130"/>
      <c r="V228" s="1130"/>
      <c r="W228" s="1130"/>
      <c r="X228" s="1130"/>
      <c r="Y228" s="1130"/>
      <c r="Z228" s="1130"/>
      <c r="AA228" s="1130"/>
      <c r="AB228" s="1130"/>
      <c r="AC228" s="1130"/>
    </row>
    <row r="229" ht="15.75" customHeight="1">
      <c r="A229" s="943"/>
      <c r="B229" s="1238" t="s">
        <v>11973</v>
      </c>
      <c r="C229" s="1215" t="s">
        <v>15121</v>
      </c>
      <c r="D229" s="1239" t="s">
        <v>15487</v>
      </c>
      <c r="E229" s="1185">
        <v>599000.0</v>
      </c>
      <c r="F229" s="1181">
        <f t="shared" si="32"/>
        <v>664890</v>
      </c>
      <c r="G229" s="1143">
        <f t="shared" si="112"/>
        <v>746379</v>
      </c>
      <c r="H229" s="1217"/>
      <c r="I229" s="1217"/>
      <c r="J229" s="1218">
        <f t="shared" si="120"/>
        <v>0</v>
      </c>
      <c r="K229" s="1218"/>
      <c r="L229" s="1218">
        <f t="shared" si="121"/>
        <v>0</v>
      </c>
      <c r="M229" s="1218"/>
      <c r="N229" s="1218">
        <f t="shared" si="122"/>
        <v>0</v>
      </c>
      <c r="O229" s="1218"/>
      <c r="P229" s="1219"/>
      <c r="Q229" s="1220"/>
      <c r="R229" s="1220"/>
      <c r="S229" s="1220"/>
      <c r="T229" s="1219"/>
      <c r="U229" s="1130"/>
      <c r="V229" s="1130"/>
      <c r="W229" s="1130"/>
      <c r="X229" s="1130"/>
      <c r="Y229" s="1130"/>
      <c r="Z229" s="1130"/>
      <c r="AA229" s="1130"/>
      <c r="AB229" s="1130"/>
      <c r="AC229" s="1130"/>
    </row>
    <row r="230" ht="15.75" customHeight="1">
      <c r="A230" s="943"/>
      <c r="B230" s="1238" t="s">
        <v>11973</v>
      </c>
      <c r="C230" s="1215" t="s">
        <v>15123</v>
      </c>
      <c r="D230" s="1239" t="s">
        <v>15488</v>
      </c>
      <c r="E230" s="1185">
        <v>557000.0</v>
      </c>
      <c r="F230" s="1181">
        <f t="shared" si="32"/>
        <v>618270</v>
      </c>
      <c r="G230" s="1143">
        <f t="shared" si="112"/>
        <v>695097</v>
      </c>
      <c r="H230" s="1217"/>
      <c r="I230" s="1217"/>
      <c r="J230" s="1218">
        <f t="shared" si="120"/>
        <v>0</v>
      </c>
      <c r="K230" s="1218"/>
      <c r="L230" s="1218">
        <f t="shared" si="121"/>
        <v>0</v>
      </c>
      <c r="M230" s="1218"/>
      <c r="N230" s="1218">
        <f t="shared" si="122"/>
        <v>0</v>
      </c>
      <c r="O230" s="1218"/>
      <c r="P230" s="1219"/>
      <c r="Q230" s="1220"/>
      <c r="R230" s="1220"/>
      <c r="S230" s="1220"/>
      <c r="T230" s="1219"/>
      <c r="U230" s="1130"/>
      <c r="V230" s="1130"/>
      <c r="W230" s="1130"/>
      <c r="X230" s="1130"/>
      <c r="Y230" s="1130"/>
      <c r="Z230" s="1130"/>
      <c r="AA230" s="1130"/>
      <c r="AB230" s="1130"/>
      <c r="AC230" s="1130"/>
    </row>
    <row r="231" ht="15.75" customHeight="1">
      <c r="A231" s="153"/>
      <c r="B231" s="1207" t="s">
        <v>12059</v>
      </c>
      <c r="C231" s="1207" t="s">
        <v>15489</v>
      </c>
      <c r="D231" s="1209" t="s">
        <v>15490</v>
      </c>
      <c r="E231" s="1181">
        <v>409000.0</v>
      </c>
      <c r="F231" s="1181">
        <f t="shared" si="32"/>
        <v>453990</v>
      </c>
      <c r="G231" s="1143">
        <f t="shared" si="112"/>
        <v>514389</v>
      </c>
      <c r="H231" s="1210">
        <f>G231*1.886</f>
        <v>970137.654</v>
      </c>
      <c r="I231" s="1210"/>
      <c r="J231" s="1181">
        <f>P231*82%</f>
        <v>970137.654</v>
      </c>
      <c r="K231" s="1181">
        <f>G231*1.955</f>
        <v>1005630.495</v>
      </c>
      <c r="L231" s="1181">
        <f t="shared" si="121"/>
        <v>1005630.495</v>
      </c>
      <c r="M231" s="1181">
        <f>G231*2.07</f>
        <v>1064785.23</v>
      </c>
      <c r="N231" s="1181">
        <f t="shared" si="122"/>
        <v>1064785.23</v>
      </c>
      <c r="O231" s="1181">
        <f>G231*2.3</f>
        <v>1183094.7</v>
      </c>
      <c r="P231" s="1210">
        <f>G231*2.3</f>
        <v>1183094.7</v>
      </c>
      <c r="Q231" s="1211"/>
      <c r="R231" s="1211"/>
      <c r="S231" s="1211" t="s">
        <v>11484</v>
      </c>
      <c r="T231" s="1210"/>
      <c r="U231" s="1130"/>
      <c r="V231" s="1130"/>
      <c r="W231" s="1130"/>
      <c r="X231" s="1130"/>
      <c r="Y231" s="1130"/>
      <c r="Z231" s="1130"/>
      <c r="AA231" s="1130"/>
      <c r="AB231" s="1130"/>
      <c r="AC231" s="1130"/>
    </row>
    <row r="232" ht="15.75" customHeight="1">
      <c r="A232" s="1130"/>
      <c r="B232" s="1130"/>
      <c r="C232" s="1130"/>
      <c r="D232" s="1130"/>
      <c r="E232" s="1130"/>
      <c r="F232" s="1130"/>
      <c r="G232" s="1130"/>
      <c r="H232" s="1150"/>
      <c r="I232" s="1150"/>
      <c r="J232" s="1150"/>
      <c r="K232" s="1150"/>
      <c r="L232" s="1130"/>
      <c r="M232" s="1130"/>
      <c r="N232" s="1130"/>
      <c r="O232" s="1130"/>
      <c r="P232" s="1150"/>
      <c r="Q232" s="1130"/>
      <c r="R232" s="1130"/>
      <c r="S232" s="1130"/>
      <c r="T232" s="1130"/>
      <c r="U232" s="1150"/>
      <c r="V232" s="1150"/>
      <c r="W232" s="1130"/>
      <c r="X232" s="1130"/>
      <c r="Y232" s="1130"/>
      <c r="Z232" s="1130"/>
      <c r="AA232" s="1130"/>
      <c r="AB232" s="1130"/>
      <c r="AC232" s="1130"/>
    </row>
    <row r="233" ht="15.75" customHeight="1">
      <c r="A233" s="1130"/>
      <c r="B233" s="1130"/>
      <c r="C233" s="1130"/>
      <c r="D233" s="1130"/>
      <c r="E233" s="1130"/>
      <c r="F233" s="1130"/>
      <c r="G233" s="1130"/>
      <c r="H233" s="1150"/>
      <c r="I233" s="1150"/>
      <c r="J233" s="1150"/>
      <c r="K233" s="1150"/>
      <c r="L233" s="1130"/>
      <c r="M233" s="1130"/>
      <c r="N233" s="1130"/>
      <c r="O233" s="1130"/>
      <c r="P233" s="1150"/>
      <c r="Q233" s="1130"/>
      <c r="R233" s="1130"/>
      <c r="S233" s="1130"/>
      <c r="T233" s="1130"/>
      <c r="U233" s="1130"/>
      <c r="V233" s="1130"/>
      <c r="W233" s="1130"/>
      <c r="X233" s="1130"/>
      <c r="Y233" s="1130"/>
      <c r="Z233" s="1130"/>
      <c r="AA233" s="1130"/>
      <c r="AB233" s="1130"/>
      <c r="AC233" s="1130"/>
    </row>
    <row r="234" ht="15.75" customHeight="1">
      <c r="A234" s="1130"/>
      <c r="B234" s="1130"/>
      <c r="C234" s="1130"/>
      <c r="D234" s="1130"/>
      <c r="E234" s="1130"/>
      <c r="F234" s="1130"/>
      <c r="G234" s="1130"/>
      <c r="H234" s="1150"/>
      <c r="I234" s="1150"/>
      <c r="J234" s="1150"/>
      <c r="K234" s="1150"/>
      <c r="L234" s="1130"/>
      <c r="M234" s="1130"/>
      <c r="N234" s="1130"/>
      <c r="O234" s="1130"/>
      <c r="P234" s="1150"/>
      <c r="Q234" s="1130"/>
      <c r="R234" s="1130"/>
      <c r="S234" s="1130"/>
      <c r="T234" s="1130"/>
      <c r="U234" s="1130"/>
      <c r="V234" s="1130"/>
      <c r="W234" s="1130"/>
      <c r="X234" s="1130"/>
      <c r="Y234" s="1130"/>
      <c r="Z234" s="1130"/>
      <c r="AA234" s="1130"/>
      <c r="AB234" s="1130"/>
      <c r="AC234" s="1130"/>
    </row>
    <row r="235" ht="15.75" customHeight="1">
      <c r="A235" s="1130"/>
      <c r="B235" s="1130"/>
      <c r="C235" s="1130"/>
      <c r="D235" s="1130"/>
      <c r="E235" s="1130"/>
      <c r="F235" s="1130"/>
      <c r="G235" s="1130"/>
      <c r="H235" s="1150"/>
      <c r="I235" s="1150"/>
      <c r="J235" s="1150"/>
      <c r="K235" s="1150"/>
      <c r="L235" s="1130"/>
      <c r="M235" s="1130"/>
      <c r="N235" s="1130"/>
      <c r="O235" s="1130"/>
      <c r="P235" s="1150"/>
      <c r="Q235" s="1130"/>
      <c r="R235" s="1130"/>
      <c r="S235" s="1130"/>
      <c r="T235" s="1130"/>
      <c r="U235" s="1130"/>
      <c r="V235" s="1130"/>
      <c r="W235" s="1130"/>
      <c r="X235" s="1130"/>
      <c r="Y235" s="1130"/>
      <c r="Z235" s="1130"/>
      <c r="AA235" s="1130"/>
      <c r="AB235" s="1130"/>
      <c r="AC235" s="1130"/>
    </row>
    <row r="236" ht="15.75" customHeight="1">
      <c r="A236" s="1130"/>
      <c r="B236" s="1130"/>
      <c r="C236" s="1130"/>
      <c r="D236" s="1130"/>
      <c r="E236" s="1130"/>
      <c r="F236" s="1130"/>
      <c r="G236" s="1130"/>
      <c r="H236" s="1150"/>
      <c r="I236" s="1150"/>
      <c r="J236" s="1150"/>
      <c r="K236" s="1150"/>
      <c r="L236" s="1130"/>
      <c r="M236" s="1130"/>
      <c r="N236" s="1130"/>
      <c r="O236" s="1130"/>
      <c r="P236" s="1150"/>
      <c r="Q236" s="1130"/>
      <c r="R236" s="1130"/>
      <c r="S236" s="1130"/>
      <c r="T236" s="1130"/>
      <c r="U236" s="1130"/>
      <c r="V236" s="1130"/>
      <c r="W236" s="1130"/>
      <c r="X236" s="1130"/>
      <c r="Y236" s="1130"/>
      <c r="Z236" s="1130"/>
      <c r="AA236" s="1130"/>
      <c r="AB236" s="1130"/>
      <c r="AC236" s="1130"/>
    </row>
    <row r="237" ht="15.75" customHeight="1">
      <c r="A237" s="1130"/>
      <c r="B237" s="1130"/>
      <c r="C237" s="1130"/>
      <c r="D237" s="1130"/>
      <c r="E237" s="1130"/>
      <c r="F237" s="1130"/>
      <c r="G237" s="1130"/>
      <c r="H237" s="1150"/>
      <c r="I237" s="1150"/>
      <c r="J237" s="1150"/>
      <c r="K237" s="1150"/>
      <c r="L237" s="1130"/>
      <c r="M237" s="1130"/>
      <c r="N237" s="1130"/>
      <c r="O237" s="1130"/>
      <c r="P237" s="1150"/>
      <c r="Q237" s="1130"/>
      <c r="R237" s="1130"/>
      <c r="S237" s="1130"/>
      <c r="T237" s="1130"/>
      <c r="U237" s="1130"/>
      <c r="V237" s="1130"/>
      <c r="W237" s="1130"/>
      <c r="X237" s="1130"/>
      <c r="Y237" s="1130"/>
      <c r="Z237" s="1130"/>
      <c r="AA237" s="1130"/>
      <c r="AB237" s="1130"/>
      <c r="AC237" s="1130"/>
    </row>
    <row r="238" ht="15.75" customHeight="1">
      <c r="A238" s="1130"/>
      <c r="B238" s="1130"/>
      <c r="C238" s="1130"/>
      <c r="D238" s="1130"/>
      <c r="E238" s="1130"/>
      <c r="F238" s="1130"/>
      <c r="G238" s="1130"/>
      <c r="H238" s="1150"/>
      <c r="I238" s="1150"/>
      <c r="J238" s="1150"/>
      <c r="K238" s="1150"/>
      <c r="L238" s="1130"/>
      <c r="M238" s="1130"/>
      <c r="N238" s="1130"/>
      <c r="O238" s="1130"/>
      <c r="P238" s="1150"/>
      <c r="Q238" s="1130"/>
      <c r="R238" s="1130"/>
      <c r="S238" s="1130"/>
      <c r="T238" s="1130"/>
      <c r="U238" s="1130"/>
      <c r="V238" s="1130"/>
      <c r="W238" s="1130"/>
      <c r="X238" s="1130"/>
      <c r="Y238" s="1130"/>
      <c r="Z238" s="1130"/>
      <c r="AA238" s="1130"/>
      <c r="AB238" s="1130"/>
      <c r="AC238" s="1130"/>
    </row>
    <row r="239" ht="15.75" customHeight="1">
      <c r="A239" s="1130"/>
      <c r="B239" s="1130"/>
      <c r="C239" s="1130"/>
      <c r="D239" s="1130"/>
      <c r="E239" s="1130"/>
      <c r="F239" s="1130"/>
      <c r="G239" s="1130"/>
      <c r="H239" s="1150"/>
      <c r="I239" s="1150"/>
      <c r="J239" s="1150"/>
      <c r="K239" s="1150"/>
      <c r="L239" s="1130"/>
      <c r="M239" s="1130"/>
      <c r="N239" s="1130"/>
      <c r="O239" s="1130"/>
      <c r="P239" s="1150"/>
      <c r="Q239" s="1130"/>
      <c r="R239" s="1130"/>
      <c r="S239" s="1130"/>
      <c r="T239" s="1130"/>
      <c r="U239" s="1130"/>
      <c r="V239" s="1130"/>
      <c r="W239" s="1130"/>
      <c r="X239" s="1130"/>
      <c r="Y239" s="1130"/>
      <c r="Z239" s="1130"/>
      <c r="AA239" s="1130"/>
      <c r="AB239" s="1130"/>
      <c r="AC239" s="1130"/>
    </row>
    <row r="240" ht="15.75" customHeight="1">
      <c r="A240" s="1130"/>
      <c r="B240" s="1130"/>
      <c r="C240" s="1130"/>
      <c r="D240" s="1130"/>
      <c r="E240" s="1130"/>
      <c r="F240" s="1130"/>
      <c r="G240" s="1130"/>
      <c r="H240" s="1150"/>
      <c r="I240" s="1150"/>
      <c r="J240" s="1150"/>
      <c r="K240" s="1150"/>
      <c r="L240" s="1130"/>
      <c r="M240" s="1130"/>
      <c r="N240" s="1130"/>
      <c r="O240" s="1130"/>
      <c r="P240" s="1150"/>
      <c r="Q240" s="1130"/>
      <c r="R240" s="1130"/>
      <c r="S240" s="1130"/>
      <c r="T240" s="1130"/>
      <c r="U240" s="1130"/>
      <c r="V240" s="1130"/>
      <c r="W240" s="1130"/>
      <c r="X240" s="1130"/>
      <c r="Y240" s="1130"/>
      <c r="Z240" s="1130"/>
      <c r="AA240" s="1130"/>
      <c r="AB240" s="1130"/>
      <c r="AC240" s="1130"/>
    </row>
    <row r="241" ht="15.75" customHeight="1">
      <c r="A241" s="1130"/>
      <c r="B241" s="1130"/>
      <c r="C241" s="1130"/>
      <c r="D241" s="1130"/>
      <c r="E241" s="1130"/>
      <c r="F241" s="1130"/>
      <c r="G241" s="1130"/>
      <c r="H241" s="1150"/>
      <c r="I241" s="1150"/>
      <c r="J241" s="1150"/>
      <c r="K241" s="1150"/>
      <c r="L241" s="1130"/>
      <c r="M241" s="1130"/>
      <c r="N241" s="1130"/>
      <c r="O241" s="1130"/>
      <c r="P241" s="1150"/>
      <c r="Q241" s="1130"/>
      <c r="R241" s="1130"/>
      <c r="S241" s="1130"/>
      <c r="T241" s="1130"/>
      <c r="U241" s="1130"/>
      <c r="V241" s="1130"/>
      <c r="W241" s="1130"/>
      <c r="X241" s="1130"/>
      <c r="Y241" s="1130"/>
      <c r="Z241" s="1130"/>
      <c r="AA241" s="1130"/>
      <c r="AB241" s="1130"/>
      <c r="AC241" s="1130"/>
    </row>
    <row r="242" ht="15.75" customHeight="1">
      <c r="A242" s="1130"/>
      <c r="B242" s="1130"/>
      <c r="C242" s="1130"/>
      <c r="D242" s="1130"/>
      <c r="E242" s="1130"/>
      <c r="F242" s="1130"/>
      <c r="G242" s="1130"/>
      <c r="H242" s="1150"/>
      <c r="I242" s="1150"/>
      <c r="J242" s="1150"/>
      <c r="K242" s="1150"/>
      <c r="L242" s="1130"/>
      <c r="M242" s="1130"/>
      <c r="N242" s="1130"/>
      <c r="O242" s="1130"/>
      <c r="P242" s="1150"/>
      <c r="Q242" s="1130"/>
      <c r="R242" s="1130"/>
      <c r="S242" s="1130"/>
      <c r="T242" s="1130"/>
      <c r="U242" s="1130"/>
      <c r="V242" s="1130"/>
      <c r="W242" s="1130"/>
      <c r="X242" s="1130"/>
      <c r="Y242" s="1130"/>
      <c r="Z242" s="1130"/>
      <c r="AA242" s="1130"/>
      <c r="AB242" s="1130"/>
      <c r="AC242" s="1130"/>
    </row>
    <row r="243" ht="15.75" customHeight="1">
      <c r="A243" s="1130"/>
      <c r="B243" s="1130"/>
      <c r="C243" s="1130"/>
      <c r="D243" s="1130"/>
      <c r="E243" s="1130"/>
      <c r="F243" s="1130"/>
      <c r="G243" s="1130"/>
      <c r="H243" s="1150"/>
      <c r="I243" s="1150"/>
      <c r="J243" s="1150"/>
      <c r="K243" s="1150"/>
      <c r="L243" s="1130"/>
      <c r="M243" s="1130"/>
      <c r="N243" s="1130"/>
      <c r="O243" s="1130"/>
      <c r="P243" s="1150"/>
      <c r="Q243" s="1130"/>
      <c r="R243" s="1130"/>
      <c r="S243" s="1130"/>
      <c r="T243" s="1130"/>
      <c r="U243" s="1130"/>
      <c r="V243" s="1130"/>
      <c r="W243" s="1130"/>
      <c r="X243" s="1130"/>
      <c r="Y243" s="1130"/>
      <c r="Z243" s="1130"/>
      <c r="AA243" s="1130"/>
      <c r="AB243" s="1130"/>
      <c r="AC243" s="1130"/>
    </row>
    <row r="244" ht="15.75" customHeight="1">
      <c r="A244" s="1130"/>
      <c r="B244" s="1130"/>
      <c r="C244" s="1130"/>
      <c r="D244" s="1130"/>
      <c r="E244" s="1130"/>
      <c r="F244" s="1130"/>
      <c r="G244" s="1130"/>
      <c r="H244" s="1150"/>
      <c r="I244" s="1150"/>
      <c r="J244" s="1150"/>
      <c r="K244" s="1150"/>
      <c r="L244" s="1130"/>
      <c r="M244" s="1130"/>
      <c r="N244" s="1130"/>
      <c r="O244" s="1130"/>
      <c r="P244" s="1150"/>
      <c r="Q244" s="1130"/>
      <c r="R244" s="1130"/>
      <c r="S244" s="1130"/>
      <c r="T244" s="1130"/>
      <c r="U244" s="1130"/>
      <c r="V244" s="1130"/>
      <c r="W244" s="1130"/>
      <c r="X244" s="1130"/>
      <c r="Y244" s="1130"/>
      <c r="Z244" s="1130"/>
      <c r="AA244" s="1130"/>
      <c r="AB244" s="1130"/>
      <c r="AC244" s="1130"/>
    </row>
    <row r="245" ht="15.75" customHeight="1">
      <c r="A245" s="1130"/>
      <c r="B245" s="1130"/>
      <c r="C245" s="1130"/>
      <c r="D245" s="1130"/>
      <c r="E245" s="1130"/>
      <c r="F245" s="1130"/>
      <c r="G245" s="1130"/>
      <c r="H245" s="1150"/>
      <c r="I245" s="1150"/>
      <c r="J245" s="1150"/>
      <c r="K245" s="1150"/>
      <c r="L245" s="1130"/>
      <c r="M245" s="1130"/>
      <c r="N245" s="1130"/>
      <c r="O245" s="1130"/>
      <c r="P245" s="1150"/>
      <c r="Q245" s="1130"/>
      <c r="R245" s="1130"/>
      <c r="S245" s="1130"/>
      <c r="T245" s="1130"/>
      <c r="U245" s="1130"/>
      <c r="V245" s="1130"/>
      <c r="W245" s="1130"/>
      <c r="X245" s="1130"/>
      <c r="Y245" s="1130"/>
      <c r="Z245" s="1130"/>
      <c r="AA245" s="1130"/>
      <c r="AB245" s="1130"/>
      <c r="AC245" s="1130"/>
    </row>
    <row r="246" ht="15.75" customHeight="1">
      <c r="A246" s="1130"/>
      <c r="B246" s="1130"/>
      <c r="C246" s="1130"/>
      <c r="D246" s="1130"/>
      <c r="E246" s="1130"/>
      <c r="F246" s="1130"/>
      <c r="G246" s="1130"/>
      <c r="H246" s="1150"/>
      <c r="I246" s="1150"/>
      <c r="J246" s="1150"/>
      <c r="K246" s="1150"/>
      <c r="L246" s="1130"/>
      <c r="M246" s="1130"/>
      <c r="N246" s="1130"/>
      <c r="O246" s="1130"/>
      <c r="P246" s="1150"/>
      <c r="Q246" s="1130"/>
      <c r="R246" s="1130"/>
      <c r="S246" s="1130"/>
      <c r="T246" s="1130"/>
      <c r="U246" s="1130"/>
      <c r="V246" s="1130"/>
      <c r="W246" s="1130"/>
      <c r="X246" s="1130"/>
      <c r="Y246" s="1130"/>
      <c r="Z246" s="1130"/>
      <c r="AA246" s="1130"/>
      <c r="AB246" s="1130"/>
      <c r="AC246" s="1130"/>
    </row>
    <row r="247" ht="15.75" customHeight="1">
      <c r="A247" s="1130"/>
      <c r="B247" s="1130"/>
      <c r="C247" s="1130"/>
      <c r="D247" s="1130"/>
      <c r="E247" s="1130"/>
      <c r="F247" s="1130"/>
      <c r="G247" s="1130"/>
      <c r="H247" s="1150"/>
      <c r="I247" s="1150"/>
      <c r="J247" s="1150"/>
      <c r="K247" s="1150"/>
      <c r="L247" s="1130"/>
      <c r="M247" s="1130"/>
      <c r="N247" s="1130"/>
      <c r="O247" s="1130"/>
      <c r="P247" s="1150"/>
      <c r="Q247" s="1130"/>
      <c r="R247" s="1130"/>
      <c r="S247" s="1130"/>
      <c r="T247" s="1130"/>
      <c r="U247" s="1130"/>
      <c r="V247" s="1130"/>
      <c r="W247" s="1130"/>
      <c r="X247" s="1130"/>
      <c r="Y247" s="1130"/>
      <c r="Z247" s="1130"/>
      <c r="AA247" s="1130"/>
      <c r="AB247" s="1130"/>
      <c r="AC247" s="1130"/>
    </row>
    <row r="248" ht="15.75" customHeight="1">
      <c r="A248" s="1130"/>
      <c r="B248" s="1130"/>
      <c r="C248" s="1130"/>
      <c r="D248" s="1130"/>
      <c r="E248" s="1130"/>
      <c r="F248" s="1130"/>
      <c r="G248" s="1130"/>
      <c r="H248" s="1150"/>
      <c r="I248" s="1150"/>
      <c r="J248" s="1150"/>
      <c r="K248" s="1150"/>
      <c r="L248" s="1130"/>
      <c r="M248" s="1130"/>
      <c r="N248" s="1130"/>
      <c r="O248" s="1130"/>
      <c r="P248" s="1150"/>
      <c r="Q248" s="1130"/>
      <c r="R248" s="1130"/>
      <c r="S248" s="1130"/>
      <c r="T248" s="1130"/>
      <c r="U248" s="1130"/>
      <c r="V248" s="1130"/>
      <c r="W248" s="1130"/>
      <c r="X248" s="1130"/>
      <c r="Y248" s="1130"/>
      <c r="Z248" s="1130"/>
      <c r="AA248" s="1130"/>
      <c r="AB248" s="1130"/>
      <c r="AC248" s="1130"/>
    </row>
    <row r="249" ht="15.75" customHeight="1">
      <c r="A249" s="1130"/>
      <c r="B249" s="1130"/>
      <c r="C249" s="1130"/>
      <c r="D249" s="1130"/>
      <c r="E249" s="1130"/>
      <c r="F249" s="1130"/>
      <c r="G249" s="1130"/>
      <c r="H249" s="1150"/>
      <c r="I249" s="1150"/>
      <c r="J249" s="1150"/>
      <c r="K249" s="1150"/>
      <c r="L249" s="1130"/>
      <c r="M249" s="1130"/>
      <c r="N249" s="1130"/>
      <c r="O249" s="1130"/>
      <c r="P249" s="1150"/>
      <c r="Q249" s="1130"/>
      <c r="R249" s="1130"/>
      <c r="S249" s="1130"/>
      <c r="T249" s="1130"/>
      <c r="U249" s="1130"/>
      <c r="V249" s="1130"/>
      <c r="W249" s="1130"/>
      <c r="X249" s="1130"/>
      <c r="Y249" s="1130"/>
      <c r="Z249" s="1130"/>
      <c r="AA249" s="1130"/>
      <c r="AB249" s="1130"/>
      <c r="AC249" s="1130"/>
    </row>
    <row r="250" ht="15.75" customHeight="1">
      <c r="A250" s="1130"/>
      <c r="B250" s="1130"/>
      <c r="C250" s="1130"/>
      <c r="D250" s="1130"/>
      <c r="E250" s="1130"/>
      <c r="F250" s="1130"/>
      <c r="G250" s="1130"/>
      <c r="H250" s="1150"/>
      <c r="I250" s="1150"/>
      <c r="J250" s="1150"/>
      <c r="K250" s="1150"/>
      <c r="L250" s="1130"/>
      <c r="M250" s="1130"/>
      <c r="N250" s="1130"/>
      <c r="O250" s="1130"/>
      <c r="P250" s="1150"/>
      <c r="Q250" s="1130"/>
      <c r="R250" s="1130"/>
      <c r="S250" s="1130"/>
      <c r="T250" s="1130"/>
      <c r="U250" s="1130"/>
      <c r="V250" s="1130"/>
      <c r="W250" s="1130"/>
      <c r="X250" s="1130"/>
      <c r="Y250" s="1130"/>
      <c r="Z250" s="1130"/>
      <c r="AA250" s="1130"/>
      <c r="AB250" s="1130"/>
      <c r="AC250" s="1130"/>
    </row>
    <row r="251" ht="15.75" customHeight="1">
      <c r="A251" s="1130"/>
      <c r="B251" s="1130"/>
      <c r="C251" s="1130"/>
      <c r="D251" s="1130"/>
      <c r="E251" s="1130"/>
      <c r="F251" s="1130"/>
      <c r="G251" s="1130"/>
      <c r="H251" s="1150"/>
      <c r="I251" s="1150"/>
      <c r="J251" s="1150"/>
      <c r="K251" s="1150"/>
      <c r="L251" s="1130"/>
      <c r="M251" s="1130"/>
      <c r="N251" s="1130"/>
      <c r="O251" s="1130"/>
      <c r="P251" s="1150"/>
      <c r="Q251" s="1130"/>
      <c r="R251" s="1130"/>
      <c r="S251" s="1130"/>
      <c r="T251" s="1130"/>
      <c r="U251" s="1130"/>
      <c r="V251" s="1130"/>
      <c r="W251" s="1130"/>
      <c r="X251" s="1130"/>
      <c r="Y251" s="1130"/>
      <c r="Z251" s="1130"/>
      <c r="AA251" s="1130"/>
      <c r="AB251" s="1130"/>
      <c r="AC251" s="1130"/>
    </row>
    <row r="252" ht="15.75" customHeight="1">
      <c r="A252" s="1130"/>
      <c r="B252" s="1130"/>
      <c r="C252" s="1130"/>
      <c r="D252" s="1130"/>
      <c r="E252" s="1130"/>
      <c r="F252" s="1130"/>
      <c r="G252" s="1130"/>
      <c r="H252" s="1150"/>
      <c r="I252" s="1150"/>
      <c r="J252" s="1150"/>
      <c r="K252" s="1150"/>
      <c r="L252" s="1130"/>
      <c r="M252" s="1130"/>
      <c r="N252" s="1130"/>
      <c r="O252" s="1130"/>
      <c r="P252" s="1150"/>
      <c r="Q252" s="1130"/>
      <c r="R252" s="1130"/>
      <c r="S252" s="1130"/>
      <c r="T252" s="1130"/>
      <c r="U252" s="1130"/>
      <c r="V252" s="1130"/>
      <c r="W252" s="1130"/>
      <c r="X252" s="1130"/>
      <c r="Y252" s="1130"/>
      <c r="Z252" s="1130"/>
      <c r="AA252" s="1130"/>
      <c r="AB252" s="1130"/>
      <c r="AC252" s="1130"/>
    </row>
    <row r="253" ht="15.75" customHeight="1">
      <c r="A253" s="1130"/>
      <c r="B253" s="1130"/>
      <c r="C253" s="1130"/>
      <c r="D253" s="1130"/>
      <c r="E253" s="1130"/>
      <c r="F253" s="1130"/>
      <c r="G253" s="1130"/>
      <c r="H253" s="1150"/>
      <c r="I253" s="1150"/>
      <c r="J253" s="1150"/>
      <c r="K253" s="1150"/>
      <c r="L253" s="1130"/>
      <c r="M253" s="1130"/>
      <c r="N253" s="1130"/>
      <c r="O253" s="1130"/>
      <c r="P253" s="1150"/>
      <c r="Q253" s="1130"/>
      <c r="R253" s="1130"/>
      <c r="S253" s="1130"/>
      <c r="T253" s="1130"/>
      <c r="U253" s="1130"/>
      <c r="V253" s="1130"/>
      <c r="W253" s="1130"/>
      <c r="X253" s="1130"/>
      <c r="Y253" s="1130"/>
      <c r="Z253" s="1130"/>
      <c r="AA253" s="1130"/>
      <c r="AB253" s="1130"/>
      <c r="AC253" s="1130"/>
    </row>
    <row r="254" ht="15.75" customHeight="1">
      <c r="A254" s="1130"/>
      <c r="B254" s="1130"/>
      <c r="C254" s="1130"/>
      <c r="D254" s="1130"/>
      <c r="E254" s="1130"/>
      <c r="F254" s="1130"/>
      <c r="G254" s="1130"/>
      <c r="H254" s="1150"/>
      <c r="I254" s="1150"/>
      <c r="J254" s="1150"/>
      <c r="K254" s="1150"/>
      <c r="L254" s="1130"/>
      <c r="M254" s="1130"/>
      <c r="N254" s="1130"/>
      <c r="O254" s="1130"/>
      <c r="P254" s="1150"/>
      <c r="Q254" s="1130"/>
      <c r="R254" s="1130"/>
      <c r="S254" s="1130"/>
      <c r="T254" s="1130"/>
      <c r="U254" s="1130"/>
      <c r="V254" s="1130"/>
      <c r="W254" s="1130"/>
      <c r="X254" s="1130"/>
      <c r="Y254" s="1130"/>
      <c r="Z254" s="1130"/>
      <c r="AA254" s="1130"/>
      <c r="AB254" s="1130"/>
      <c r="AC254" s="1130"/>
    </row>
    <row r="255" ht="15.75" customHeight="1">
      <c r="A255" s="1130"/>
      <c r="B255" s="1130"/>
      <c r="C255" s="1130"/>
      <c r="D255" s="1130"/>
      <c r="E255" s="1130"/>
      <c r="F255" s="1130"/>
      <c r="G255" s="1130"/>
      <c r="H255" s="1150"/>
      <c r="I255" s="1150"/>
      <c r="J255" s="1150"/>
      <c r="K255" s="1150"/>
      <c r="L255" s="1130"/>
      <c r="M255" s="1130"/>
      <c r="N255" s="1130"/>
      <c r="O255" s="1130"/>
      <c r="P255" s="1150"/>
      <c r="Q255" s="1130"/>
      <c r="R255" s="1130"/>
      <c r="S255" s="1130"/>
      <c r="T255" s="1130"/>
      <c r="U255" s="1130"/>
      <c r="V255" s="1130"/>
      <c r="W255" s="1130"/>
      <c r="X255" s="1130"/>
      <c r="Y255" s="1130"/>
      <c r="Z255" s="1130"/>
      <c r="AA255" s="1130"/>
      <c r="AB255" s="1130"/>
      <c r="AC255" s="1130"/>
    </row>
    <row r="256" ht="15.75" customHeight="1">
      <c r="A256" s="1130"/>
      <c r="B256" s="1130"/>
      <c r="C256" s="1130"/>
      <c r="D256" s="1130"/>
      <c r="E256" s="1130"/>
      <c r="F256" s="1130"/>
      <c r="G256" s="1130"/>
      <c r="H256" s="1150"/>
      <c r="I256" s="1150"/>
      <c r="J256" s="1150"/>
      <c r="K256" s="1150"/>
      <c r="L256" s="1130"/>
      <c r="M256" s="1130"/>
      <c r="N256" s="1130"/>
      <c r="O256" s="1130"/>
      <c r="P256" s="1150"/>
      <c r="Q256" s="1130"/>
      <c r="R256" s="1130"/>
      <c r="S256" s="1130"/>
      <c r="T256" s="1130"/>
      <c r="U256" s="1130"/>
      <c r="V256" s="1130"/>
      <c r="W256" s="1130"/>
      <c r="X256" s="1130"/>
      <c r="Y256" s="1130"/>
      <c r="Z256" s="1130"/>
      <c r="AA256" s="1130"/>
      <c r="AB256" s="1130"/>
      <c r="AC256" s="1130"/>
    </row>
    <row r="257" ht="15.75" customHeight="1">
      <c r="A257" s="1130"/>
      <c r="B257" s="1130"/>
      <c r="C257" s="1130"/>
      <c r="D257" s="1130"/>
      <c r="E257" s="1130"/>
      <c r="F257" s="1130"/>
      <c r="G257" s="1130"/>
      <c r="H257" s="1150"/>
      <c r="I257" s="1150"/>
      <c r="J257" s="1150"/>
      <c r="K257" s="1150"/>
      <c r="L257" s="1130"/>
      <c r="M257" s="1130"/>
      <c r="N257" s="1130"/>
      <c r="O257" s="1130"/>
      <c r="P257" s="1150"/>
      <c r="Q257" s="1130"/>
      <c r="R257" s="1130"/>
      <c r="S257" s="1130"/>
      <c r="T257" s="1130"/>
      <c r="U257" s="1130"/>
      <c r="V257" s="1130"/>
      <c r="W257" s="1130"/>
      <c r="X257" s="1130"/>
      <c r="Y257" s="1130"/>
      <c r="Z257" s="1130"/>
      <c r="AA257" s="1130"/>
      <c r="AB257" s="1130"/>
      <c r="AC257" s="1130"/>
    </row>
    <row r="258" ht="15.75" customHeight="1">
      <c r="A258" s="1130"/>
      <c r="B258" s="1130"/>
      <c r="C258" s="1130"/>
      <c r="D258" s="1130"/>
      <c r="E258" s="1130"/>
      <c r="F258" s="1130"/>
      <c r="G258" s="1130"/>
      <c r="H258" s="1150"/>
      <c r="I258" s="1150"/>
      <c r="J258" s="1150"/>
      <c r="K258" s="1150"/>
      <c r="L258" s="1130"/>
      <c r="M258" s="1130"/>
      <c r="N258" s="1130"/>
      <c r="O258" s="1130"/>
      <c r="P258" s="1150"/>
      <c r="Q258" s="1130"/>
      <c r="R258" s="1130"/>
      <c r="S258" s="1130"/>
      <c r="T258" s="1130"/>
      <c r="U258" s="1130"/>
      <c r="V258" s="1130"/>
      <c r="W258" s="1130"/>
      <c r="X258" s="1130"/>
      <c r="Y258" s="1130"/>
      <c r="Z258" s="1130"/>
      <c r="AA258" s="1130"/>
      <c r="AB258" s="1130"/>
      <c r="AC258" s="1130"/>
    </row>
    <row r="259" ht="15.75" customHeight="1">
      <c r="A259" s="1130"/>
      <c r="B259" s="1130"/>
      <c r="C259" s="1130"/>
      <c r="D259" s="1130"/>
      <c r="E259" s="1130"/>
      <c r="F259" s="1130"/>
      <c r="G259" s="1130"/>
      <c r="H259" s="1150"/>
      <c r="I259" s="1150"/>
      <c r="J259" s="1150"/>
      <c r="K259" s="1150"/>
      <c r="L259" s="1130"/>
      <c r="M259" s="1130"/>
      <c r="N259" s="1130"/>
      <c r="O259" s="1130"/>
      <c r="P259" s="1150"/>
      <c r="Q259" s="1130"/>
      <c r="R259" s="1130"/>
      <c r="S259" s="1130"/>
      <c r="T259" s="1130"/>
      <c r="U259" s="1130"/>
      <c r="V259" s="1130"/>
      <c r="W259" s="1130"/>
      <c r="X259" s="1130"/>
      <c r="Y259" s="1130"/>
      <c r="Z259" s="1130"/>
      <c r="AA259" s="1130"/>
      <c r="AB259" s="1130"/>
      <c r="AC259" s="1130"/>
    </row>
    <row r="260" ht="15.75" customHeight="1">
      <c r="A260" s="1130"/>
      <c r="B260" s="1130"/>
      <c r="C260" s="1130"/>
      <c r="D260" s="1130"/>
      <c r="E260" s="1130"/>
      <c r="F260" s="1130"/>
      <c r="G260" s="1130"/>
      <c r="H260" s="1150"/>
      <c r="I260" s="1150"/>
      <c r="J260" s="1150"/>
      <c r="K260" s="1150"/>
      <c r="L260" s="1130"/>
      <c r="M260" s="1130"/>
      <c r="N260" s="1130"/>
      <c r="O260" s="1130"/>
      <c r="P260" s="1150"/>
      <c r="Q260" s="1130"/>
      <c r="R260" s="1130"/>
      <c r="S260" s="1130"/>
      <c r="T260" s="1130"/>
      <c r="U260" s="1130"/>
      <c r="V260" s="1130"/>
      <c r="W260" s="1130"/>
      <c r="X260" s="1130"/>
      <c r="Y260" s="1130"/>
      <c r="Z260" s="1130"/>
      <c r="AA260" s="1130"/>
      <c r="AB260" s="1130"/>
      <c r="AC260" s="1130"/>
    </row>
    <row r="261" ht="15.75" customHeight="1">
      <c r="A261" s="1130"/>
      <c r="B261" s="1130"/>
      <c r="C261" s="1130"/>
      <c r="D261" s="1130"/>
      <c r="E261" s="1130"/>
      <c r="F261" s="1130"/>
      <c r="G261" s="1130"/>
      <c r="H261" s="1150"/>
      <c r="I261" s="1150"/>
      <c r="J261" s="1150"/>
      <c r="K261" s="1150"/>
      <c r="L261" s="1130"/>
      <c r="M261" s="1130"/>
      <c r="N261" s="1130"/>
      <c r="O261" s="1130"/>
      <c r="P261" s="1150"/>
      <c r="Q261" s="1130"/>
      <c r="R261" s="1130"/>
      <c r="S261" s="1130"/>
      <c r="T261" s="1130"/>
      <c r="U261" s="1130"/>
      <c r="V261" s="1130"/>
      <c r="W261" s="1130"/>
      <c r="X261" s="1130"/>
      <c r="Y261" s="1130"/>
      <c r="Z261" s="1130"/>
      <c r="AA261" s="1130"/>
      <c r="AB261" s="1130"/>
      <c r="AC261" s="1130"/>
    </row>
    <row r="262" ht="15.75" customHeight="1">
      <c r="A262" s="1130"/>
      <c r="B262" s="1130"/>
      <c r="C262" s="1130"/>
      <c r="D262" s="1130"/>
      <c r="E262" s="1130"/>
      <c r="F262" s="1130"/>
      <c r="G262" s="1130"/>
      <c r="H262" s="1150"/>
      <c r="I262" s="1150"/>
      <c r="J262" s="1150"/>
      <c r="K262" s="1150"/>
      <c r="L262" s="1130"/>
      <c r="M262" s="1130"/>
      <c r="N262" s="1130"/>
      <c r="O262" s="1130"/>
      <c r="P262" s="1150"/>
      <c r="Q262" s="1130"/>
      <c r="R262" s="1130"/>
      <c r="S262" s="1130"/>
      <c r="T262" s="1130"/>
      <c r="U262" s="1130"/>
      <c r="V262" s="1130"/>
      <c r="W262" s="1130"/>
      <c r="X262" s="1130"/>
      <c r="Y262" s="1130"/>
      <c r="Z262" s="1130"/>
      <c r="AA262" s="1130"/>
      <c r="AB262" s="1130"/>
      <c r="AC262" s="1130"/>
    </row>
    <row r="263" ht="15.75" customHeight="1">
      <c r="A263" s="1130"/>
      <c r="B263" s="1130"/>
      <c r="C263" s="1130"/>
      <c r="D263" s="1130"/>
      <c r="E263" s="1130"/>
      <c r="F263" s="1130"/>
      <c r="G263" s="1130"/>
      <c r="H263" s="1150"/>
      <c r="I263" s="1150"/>
      <c r="J263" s="1150"/>
      <c r="K263" s="1150"/>
      <c r="L263" s="1130"/>
      <c r="M263" s="1130"/>
      <c r="N263" s="1130"/>
      <c r="O263" s="1130"/>
      <c r="P263" s="1150"/>
      <c r="Q263" s="1130"/>
      <c r="R263" s="1130"/>
      <c r="S263" s="1130"/>
      <c r="T263" s="1130"/>
      <c r="U263" s="1130"/>
      <c r="V263" s="1130"/>
      <c r="W263" s="1130"/>
      <c r="X263" s="1130"/>
      <c r="Y263" s="1130"/>
      <c r="Z263" s="1130"/>
      <c r="AA263" s="1130"/>
      <c r="AB263" s="1130"/>
      <c r="AC263" s="1130"/>
    </row>
    <row r="264" ht="15.75" customHeight="1">
      <c r="A264" s="1130"/>
      <c r="B264" s="1130"/>
      <c r="C264" s="1130"/>
      <c r="D264" s="1130"/>
      <c r="E264" s="1130"/>
      <c r="F264" s="1130"/>
      <c r="G264" s="1130"/>
      <c r="H264" s="1150"/>
      <c r="I264" s="1150"/>
      <c r="J264" s="1150"/>
      <c r="K264" s="1150"/>
      <c r="L264" s="1130"/>
      <c r="M264" s="1130"/>
      <c r="N264" s="1130"/>
      <c r="O264" s="1130"/>
      <c r="P264" s="1150"/>
      <c r="Q264" s="1130"/>
      <c r="R264" s="1130"/>
      <c r="S264" s="1130"/>
      <c r="T264" s="1130"/>
      <c r="U264" s="1130"/>
      <c r="V264" s="1130"/>
      <c r="W264" s="1130"/>
      <c r="X264" s="1130"/>
      <c r="Y264" s="1130"/>
      <c r="Z264" s="1130"/>
      <c r="AA264" s="1130"/>
      <c r="AB264" s="1130"/>
      <c r="AC264" s="1130"/>
    </row>
    <row r="265" ht="15.75" customHeight="1">
      <c r="A265" s="1130"/>
      <c r="B265" s="1130"/>
      <c r="C265" s="1130"/>
      <c r="D265" s="1130"/>
      <c r="E265" s="1130"/>
      <c r="F265" s="1130"/>
      <c r="G265" s="1130"/>
      <c r="H265" s="1150"/>
      <c r="I265" s="1150"/>
      <c r="J265" s="1150"/>
      <c r="K265" s="1150"/>
      <c r="L265" s="1130"/>
      <c r="M265" s="1130"/>
      <c r="N265" s="1130"/>
      <c r="O265" s="1130"/>
      <c r="P265" s="1150"/>
      <c r="Q265" s="1130"/>
      <c r="R265" s="1130"/>
      <c r="S265" s="1130"/>
      <c r="T265" s="1130"/>
      <c r="U265" s="1130"/>
      <c r="V265" s="1130"/>
      <c r="W265" s="1130"/>
      <c r="X265" s="1130"/>
      <c r="Y265" s="1130"/>
      <c r="Z265" s="1130"/>
      <c r="AA265" s="1130"/>
      <c r="AB265" s="1130"/>
      <c r="AC265" s="1130"/>
    </row>
    <row r="266" ht="15.75" customHeight="1">
      <c r="A266" s="1130"/>
      <c r="B266" s="1130"/>
      <c r="C266" s="1130"/>
      <c r="D266" s="1130"/>
      <c r="E266" s="1130"/>
      <c r="F266" s="1130"/>
      <c r="G266" s="1130"/>
      <c r="H266" s="1150"/>
      <c r="I266" s="1150"/>
      <c r="J266" s="1150"/>
      <c r="K266" s="1150"/>
      <c r="L266" s="1130"/>
      <c r="M266" s="1130"/>
      <c r="N266" s="1130"/>
      <c r="O266" s="1130"/>
      <c r="P266" s="1150"/>
      <c r="Q266" s="1130"/>
      <c r="R266" s="1130"/>
      <c r="S266" s="1130"/>
      <c r="T266" s="1130"/>
      <c r="U266" s="1130"/>
      <c r="V266" s="1130"/>
      <c r="W266" s="1130"/>
      <c r="X266" s="1130"/>
      <c r="Y266" s="1130"/>
      <c r="Z266" s="1130"/>
      <c r="AA266" s="1130"/>
      <c r="AB266" s="1130"/>
      <c r="AC266" s="1130"/>
    </row>
    <row r="267" ht="15.75" customHeight="1">
      <c r="A267" s="1130"/>
      <c r="B267" s="1130"/>
      <c r="C267" s="1130"/>
      <c r="D267" s="1130"/>
      <c r="E267" s="1130"/>
      <c r="F267" s="1130"/>
      <c r="G267" s="1130"/>
      <c r="H267" s="1150"/>
      <c r="I267" s="1150"/>
      <c r="J267" s="1150"/>
      <c r="K267" s="1150"/>
      <c r="L267" s="1130"/>
      <c r="M267" s="1130"/>
      <c r="N267" s="1130"/>
      <c r="O267" s="1130"/>
      <c r="P267" s="1150"/>
      <c r="Q267" s="1130"/>
      <c r="R267" s="1130"/>
      <c r="S267" s="1130"/>
      <c r="T267" s="1130"/>
      <c r="U267" s="1130"/>
      <c r="V267" s="1130"/>
      <c r="W267" s="1130"/>
      <c r="X267" s="1130"/>
      <c r="Y267" s="1130"/>
      <c r="Z267" s="1130"/>
      <c r="AA267" s="1130"/>
      <c r="AB267" s="1130"/>
      <c r="AC267" s="1130"/>
    </row>
    <row r="268" ht="15.75" customHeight="1">
      <c r="A268" s="1130"/>
      <c r="B268" s="1130"/>
      <c r="C268" s="1130"/>
      <c r="D268" s="1130"/>
      <c r="E268" s="1130"/>
      <c r="F268" s="1130"/>
      <c r="G268" s="1130"/>
      <c r="H268" s="1150"/>
      <c r="I268" s="1150"/>
      <c r="J268" s="1150"/>
      <c r="K268" s="1150"/>
      <c r="L268" s="1130"/>
      <c r="M268" s="1130"/>
      <c r="N268" s="1130"/>
      <c r="O268" s="1130"/>
      <c r="P268" s="1150"/>
      <c r="Q268" s="1130"/>
      <c r="R268" s="1130"/>
      <c r="S268" s="1130"/>
      <c r="T268" s="1130"/>
      <c r="U268" s="1130"/>
      <c r="V268" s="1130"/>
      <c r="W268" s="1130"/>
      <c r="X268" s="1130"/>
      <c r="Y268" s="1130"/>
      <c r="Z268" s="1130"/>
      <c r="AA268" s="1130"/>
      <c r="AB268" s="1130"/>
      <c r="AC268" s="1130"/>
    </row>
    <row r="269" ht="15.75" customHeight="1">
      <c r="A269" s="1130"/>
      <c r="B269" s="1130"/>
      <c r="C269" s="1130"/>
      <c r="D269" s="1130"/>
      <c r="E269" s="1130"/>
      <c r="F269" s="1130"/>
      <c r="G269" s="1130"/>
      <c r="H269" s="1150"/>
      <c r="I269" s="1150"/>
      <c r="J269" s="1150"/>
      <c r="K269" s="1150"/>
      <c r="L269" s="1130"/>
      <c r="M269" s="1130"/>
      <c r="N269" s="1130"/>
      <c r="O269" s="1130"/>
      <c r="P269" s="1150"/>
      <c r="Q269" s="1130"/>
      <c r="R269" s="1130"/>
      <c r="S269" s="1130"/>
      <c r="T269" s="1130"/>
      <c r="U269" s="1130"/>
      <c r="V269" s="1130"/>
      <c r="W269" s="1130"/>
      <c r="X269" s="1130"/>
      <c r="Y269" s="1130"/>
      <c r="Z269" s="1130"/>
      <c r="AA269" s="1130"/>
      <c r="AB269" s="1130"/>
      <c r="AC269" s="1130"/>
    </row>
    <row r="270" ht="15.75" customHeight="1">
      <c r="A270" s="1130"/>
      <c r="B270" s="1130"/>
      <c r="C270" s="1130"/>
      <c r="D270" s="1130"/>
      <c r="E270" s="1130"/>
      <c r="F270" s="1130"/>
      <c r="G270" s="1130"/>
      <c r="H270" s="1150"/>
      <c r="I270" s="1150"/>
      <c r="J270" s="1150"/>
      <c r="K270" s="1150"/>
      <c r="L270" s="1130"/>
      <c r="M270" s="1130"/>
      <c r="N270" s="1130"/>
      <c r="O270" s="1130"/>
      <c r="P270" s="1150"/>
      <c r="Q270" s="1130"/>
      <c r="R270" s="1130"/>
      <c r="S270" s="1130"/>
      <c r="T270" s="1130"/>
      <c r="U270" s="1130"/>
      <c r="V270" s="1130"/>
      <c r="W270" s="1130"/>
      <c r="X270" s="1130"/>
      <c r="Y270" s="1130"/>
      <c r="Z270" s="1130"/>
      <c r="AA270" s="1130"/>
      <c r="AB270" s="1130"/>
      <c r="AC270" s="1130"/>
    </row>
    <row r="271" ht="15.75" customHeight="1">
      <c r="A271" s="1130"/>
      <c r="B271" s="1130"/>
      <c r="C271" s="1130"/>
      <c r="D271" s="1130"/>
      <c r="E271" s="1130"/>
      <c r="F271" s="1130"/>
      <c r="G271" s="1130"/>
      <c r="H271" s="1150"/>
      <c r="I271" s="1150"/>
      <c r="J271" s="1150"/>
      <c r="K271" s="1150"/>
      <c r="L271" s="1130"/>
      <c r="M271" s="1130"/>
      <c r="N271" s="1130"/>
      <c r="O271" s="1130"/>
      <c r="P271" s="1150"/>
      <c r="Q271" s="1130"/>
      <c r="R271" s="1130"/>
      <c r="S271" s="1130"/>
      <c r="T271" s="1130"/>
      <c r="U271" s="1130"/>
      <c r="V271" s="1130"/>
      <c r="W271" s="1130"/>
      <c r="X271" s="1130"/>
      <c r="Y271" s="1130"/>
      <c r="Z271" s="1130"/>
      <c r="AA271" s="1130"/>
      <c r="AB271" s="1130"/>
      <c r="AC271" s="1130"/>
    </row>
    <row r="272" ht="15.75" customHeight="1">
      <c r="A272" s="1130"/>
      <c r="B272" s="1130"/>
      <c r="C272" s="1130"/>
      <c r="D272" s="1130"/>
      <c r="E272" s="1130"/>
      <c r="F272" s="1130"/>
      <c r="G272" s="1130"/>
      <c r="H272" s="1150"/>
      <c r="I272" s="1150"/>
      <c r="J272" s="1150"/>
      <c r="K272" s="1150"/>
      <c r="L272" s="1130"/>
      <c r="M272" s="1130"/>
      <c r="N272" s="1130"/>
      <c r="O272" s="1130"/>
      <c r="P272" s="1150"/>
      <c r="Q272" s="1130"/>
      <c r="R272" s="1130"/>
      <c r="S272" s="1130"/>
      <c r="T272" s="1130"/>
      <c r="U272" s="1130"/>
      <c r="V272" s="1130"/>
      <c r="W272" s="1130"/>
      <c r="X272" s="1130"/>
      <c r="Y272" s="1130"/>
      <c r="Z272" s="1130"/>
      <c r="AA272" s="1130"/>
      <c r="AB272" s="1130"/>
      <c r="AC272" s="1130"/>
    </row>
    <row r="273" ht="15.75" customHeight="1">
      <c r="A273" s="1130"/>
      <c r="B273" s="1130"/>
      <c r="C273" s="1130"/>
      <c r="D273" s="1130"/>
      <c r="E273" s="1130"/>
      <c r="F273" s="1130"/>
      <c r="G273" s="1130"/>
      <c r="H273" s="1150"/>
      <c r="I273" s="1150"/>
      <c r="J273" s="1150"/>
      <c r="K273" s="1150"/>
      <c r="L273" s="1130"/>
      <c r="M273" s="1130"/>
      <c r="N273" s="1130"/>
      <c r="O273" s="1130"/>
      <c r="P273" s="1150"/>
      <c r="Q273" s="1130"/>
      <c r="R273" s="1130"/>
      <c r="S273" s="1130"/>
      <c r="T273" s="1130"/>
      <c r="U273" s="1130"/>
      <c r="V273" s="1130"/>
      <c r="W273" s="1130"/>
      <c r="X273" s="1130"/>
      <c r="Y273" s="1130"/>
      <c r="Z273" s="1130"/>
      <c r="AA273" s="1130"/>
      <c r="AB273" s="1130"/>
      <c r="AC273" s="1130"/>
    </row>
    <row r="274" ht="15.75" customHeight="1">
      <c r="A274" s="1130"/>
      <c r="B274" s="1130"/>
      <c r="C274" s="1130"/>
      <c r="D274" s="1130"/>
      <c r="E274" s="1130"/>
      <c r="F274" s="1130"/>
      <c r="G274" s="1130"/>
      <c r="H274" s="1150"/>
      <c r="I274" s="1150"/>
      <c r="J274" s="1150"/>
      <c r="K274" s="1150"/>
      <c r="L274" s="1130"/>
      <c r="M274" s="1130"/>
      <c r="N274" s="1130"/>
      <c r="O274" s="1130"/>
      <c r="P274" s="1150"/>
      <c r="Q274" s="1130"/>
      <c r="R274" s="1130"/>
      <c r="S274" s="1130"/>
      <c r="T274" s="1130"/>
      <c r="U274" s="1130"/>
      <c r="V274" s="1130"/>
      <c r="W274" s="1130"/>
      <c r="X274" s="1130"/>
      <c r="Y274" s="1130"/>
      <c r="Z274" s="1130"/>
      <c r="AA274" s="1130"/>
      <c r="AB274" s="1130"/>
      <c r="AC274" s="1130"/>
    </row>
    <row r="275" ht="15.75" customHeight="1">
      <c r="A275" s="1130"/>
      <c r="B275" s="1130"/>
      <c r="C275" s="1130"/>
      <c r="D275" s="1130"/>
      <c r="E275" s="1130"/>
      <c r="F275" s="1130"/>
      <c r="G275" s="1130"/>
      <c r="H275" s="1150"/>
      <c r="I275" s="1150"/>
      <c r="J275" s="1150"/>
      <c r="K275" s="1150"/>
      <c r="L275" s="1130"/>
      <c r="M275" s="1130"/>
      <c r="N275" s="1130"/>
      <c r="O275" s="1130"/>
      <c r="P275" s="1150"/>
      <c r="Q275" s="1130"/>
      <c r="R275" s="1130"/>
      <c r="S275" s="1130"/>
      <c r="T275" s="1130"/>
      <c r="U275" s="1130"/>
      <c r="V275" s="1130"/>
      <c r="W275" s="1130"/>
      <c r="X275" s="1130"/>
      <c r="Y275" s="1130"/>
      <c r="Z275" s="1130"/>
      <c r="AA275" s="1130"/>
      <c r="AB275" s="1130"/>
      <c r="AC275" s="1130"/>
    </row>
    <row r="276" ht="15.75" customHeight="1">
      <c r="A276" s="1130"/>
      <c r="B276" s="1130"/>
      <c r="C276" s="1130"/>
      <c r="D276" s="1130"/>
      <c r="E276" s="1130"/>
      <c r="F276" s="1130"/>
      <c r="G276" s="1130"/>
      <c r="H276" s="1150"/>
      <c r="I276" s="1150"/>
      <c r="J276" s="1150"/>
      <c r="K276" s="1150"/>
      <c r="L276" s="1130"/>
      <c r="M276" s="1130"/>
      <c r="N276" s="1130"/>
      <c r="O276" s="1130"/>
      <c r="P276" s="1150"/>
      <c r="Q276" s="1130"/>
      <c r="R276" s="1130"/>
      <c r="S276" s="1130"/>
      <c r="T276" s="1130"/>
      <c r="U276" s="1130"/>
      <c r="V276" s="1130"/>
      <c r="W276" s="1130"/>
      <c r="X276" s="1130"/>
      <c r="Y276" s="1130"/>
      <c r="Z276" s="1130"/>
      <c r="AA276" s="1130"/>
      <c r="AB276" s="1130"/>
      <c r="AC276" s="1130"/>
    </row>
    <row r="277" ht="15.75" customHeight="1">
      <c r="A277" s="1130"/>
      <c r="B277" s="1130"/>
      <c r="C277" s="1130"/>
      <c r="D277" s="1130"/>
      <c r="E277" s="1130"/>
      <c r="F277" s="1130"/>
      <c r="G277" s="1130"/>
      <c r="H277" s="1150"/>
      <c r="I277" s="1150"/>
      <c r="J277" s="1150"/>
      <c r="K277" s="1150"/>
      <c r="L277" s="1130"/>
      <c r="M277" s="1130"/>
      <c r="N277" s="1130"/>
      <c r="O277" s="1130"/>
      <c r="P277" s="1150"/>
      <c r="Q277" s="1130"/>
      <c r="R277" s="1130"/>
      <c r="S277" s="1130"/>
      <c r="T277" s="1130"/>
      <c r="U277" s="1130"/>
      <c r="V277" s="1130"/>
      <c r="W277" s="1130"/>
      <c r="X277" s="1130"/>
      <c r="Y277" s="1130"/>
      <c r="Z277" s="1130"/>
      <c r="AA277" s="1130"/>
      <c r="AB277" s="1130"/>
      <c r="AC277" s="1130"/>
    </row>
    <row r="278" ht="15.75" customHeight="1">
      <c r="A278" s="1130"/>
      <c r="B278" s="1130"/>
      <c r="C278" s="1130"/>
      <c r="D278" s="1130"/>
      <c r="E278" s="1130"/>
      <c r="F278" s="1130"/>
      <c r="G278" s="1130"/>
      <c r="H278" s="1150"/>
      <c r="I278" s="1150"/>
      <c r="J278" s="1150"/>
      <c r="K278" s="1150"/>
      <c r="L278" s="1130"/>
      <c r="M278" s="1130"/>
      <c r="N278" s="1130"/>
      <c r="O278" s="1130"/>
      <c r="P278" s="1150"/>
      <c r="Q278" s="1130"/>
      <c r="R278" s="1130"/>
      <c r="S278" s="1130"/>
      <c r="T278" s="1130"/>
      <c r="U278" s="1130"/>
      <c r="V278" s="1130"/>
      <c r="W278" s="1130"/>
      <c r="X278" s="1130"/>
      <c r="Y278" s="1130"/>
      <c r="Z278" s="1130"/>
      <c r="AA278" s="1130"/>
      <c r="AB278" s="1130"/>
      <c r="AC278" s="1130"/>
    </row>
    <row r="279" ht="15.75" customHeight="1">
      <c r="A279" s="1130"/>
      <c r="B279" s="1130"/>
      <c r="C279" s="1130"/>
      <c r="D279" s="1130"/>
      <c r="E279" s="1130"/>
      <c r="F279" s="1130"/>
      <c r="G279" s="1130"/>
      <c r="H279" s="1150"/>
      <c r="I279" s="1150"/>
      <c r="J279" s="1150"/>
      <c r="K279" s="1150"/>
      <c r="L279" s="1130"/>
      <c r="M279" s="1130"/>
      <c r="N279" s="1130"/>
      <c r="O279" s="1130"/>
      <c r="P279" s="1150"/>
      <c r="Q279" s="1130"/>
      <c r="R279" s="1130"/>
      <c r="S279" s="1130"/>
      <c r="T279" s="1130"/>
      <c r="U279" s="1130"/>
      <c r="V279" s="1130"/>
      <c r="W279" s="1130"/>
      <c r="X279" s="1130"/>
      <c r="Y279" s="1130"/>
      <c r="Z279" s="1130"/>
      <c r="AA279" s="1130"/>
      <c r="AB279" s="1130"/>
      <c r="AC279" s="1130"/>
    </row>
    <row r="280" ht="15.75" customHeight="1">
      <c r="A280" s="1130"/>
      <c r="B280" s="1130"/>
      <c r="C280" s="1130"/>
      <c r="D280" s="1130"/>
      <c r="E280" s="1130"/>
      <c r="F280" s="1130"/>
      <c r="G280" s="1130"/>
      <c r="H280" s="1150"/>
      <c r="I280" s="1150"/>
      <c r="J280" s="1150"/>
      <c r="K280" s="1150"/>
      <c r="L280" s="1130"/>
      <c r="M280" s="1130"/>
      <c r="N280" s="1130"/>
      <c r="O280" s="1130"/>
      <c r="P280" s="1150"/>
      <c r="Q280" s="1130"/>
      <c r="R280" s="1130"/>
      <c r="S280" s="1130"/>
      <c r="T280" s="1130"/>
      <c r="U280" s="1130"/>
      <c r="V280" s="1130"/>
      <c r="W280" s="1130"/>
      <c r="X280" s="1130"/>
      <c r="Y280" s="1130"/>
      <c r="Z280" s="1130"/>
      <c r="AA280" s="1130"/>
      <c r="AB280" s="1130"/>
      <c r="AC280" s="1130"/>
    </row>
    <row r="281" ht="15.75" customHeight="1">
      <c r="A281" s="1130"/>
      <c r="B281" s="1130"/>
      <c r="C281" s="1130"/>
      <c r="D281" s="1130"/>
      <c r="E281" s="1130"/>
      <c r="F281" s="1130"/>
      <c r="G281" s="1130"/>
      <c r="H281" s="1150"/>
      <c r="I281" s="1150"/>
      <c r="J281" s="1150"/>
      <c r="K281" s="1150"/>
      <c r="L281" s="1130"/>
      <c r="M281" s="1130"/>
      <c r="N281" s="1130"/>
      <c r="O281" s="1130"/>
      <c r="P281" s="1150"/>
      <c r="Q281" s="1130"/>
      <c r="R281" s="1130"/>
      <c r="S281" s="1130"/>
      <c r="T281" s="1130"/>
      <c r="U281" s="1130"/>
      <c r="V281" s="1130"/>
      <c r="W281" s="1130"/>
      <c r="X281" s="1130"/>
      <c r="Y281" s="1130"/>
      <c r="Z281" s="1130"/>
      <c r="AA281" s="1130"/>
      <c r="AB281" s="1130"/>
      <c r="AC281" s="1130"/>
    </row>
    <row r="282" ht="15.75" customHeight="1">
      <c r="A282" s="1130"/>
      <c r="B282" s="1130"/>
      <c r="C282" s="1130"/>
      <c r="D282" s="1130"/>
      <c r="E282" s="1130"/>
      <c r="F282" s="1130"/>
      <c r="G282" s="1130"/>
      <c r="H282" s="1150"/>
      <c r="I282" s="1150"/>
      <c r="J282" s="1150"/>
      <c r="K282" s="1150"/>
      <c r="L282" s="1130"/>
      <c r="M282" s="1130"/>
      <c r="N282" s="1130"/>
      <c r="O282" s="1130"/>
      <c r="P282" s="1150"/>
      <c r="Q282" s="1130"/>
      <c r="R282" s="1130"/>
      <c r="S282" s="1130"/>
      <c r="T282" s="1130"/>
      <c r="U282" s="1130"/>
      <c r="V282" s="1130"/>
      <c r="W282" s="1130"/>
      <c r="X282" s="1130"/>
      <c r="Y282" s="1130"/>
      <c r="Z282" s="1130"/>
      <c r="AA282" s="1130"/>
      <c r="AB282" s="1130"/>
      <c r="AC282" s="1130"/>
    </row>
    <row r="283" ht="15.75" customHeight="1">
      <c r="A283" s="1130"/>
      <c r="B283" s="1130"/>
      <c r="C283" s="1130"/>
      <c r="D283" s="1130"/>
      <c r="E283" s="1130"/>
      <c r="F283" s="1130"/>
      <c r="G283" s="1130"/>
      <c r="H283" s="1150"/>
      <c r="I283" s="1150"/>
      <c r="J283" s="1150"/>
      <c r="K283" s="1150"/>
      <c r="L283" s="1130"/>
      <c r="M283" s="1130"/>
      <c r="N283" s="1130"/>
      <c r="O283" s="1130"/>
      <c r="P283" s="1150"/>
      <c r="Q283" s="1130"/>
      <c r="R283" s="1130"/>
      <c r="S283" s="1130"/>
      <c r="T283" s="1130"/>
      <c r="U283" s="1130"/>
      <c r="V283" s="1130"/>
      <c r="W283" s="1130"/>
      <c r="X283" s="1130"/>
      <c r="Y283" s="1130"/>
      <c r="Z283" s="1130"/>
      <c r="AA283" s="1130"/>
      <c r="AB283" s="1130"/>
      <c r="AC283" s="1130"/>
    </row>
    <row r="284" ht="15.75" customHeight="1">
      <c r="A284" s="1130"/>
      <c r="B284" s="1130"/>
      <c r="C284" s="1130"/>
      <c r="D284" s="1130"/>
      <c r="E284" s="1130"/>
      <c r="F284" s="1130"/>
      <c r="G284" s="1130"/>
      <c r="H284" s="1150"/>
      <c r="I284" s="1150"/>
      <c r="J284" s="1150"/>
      <c r="K284" s="1150"/>
      <c r="L284" s="1130"/>
      <c r="M284" s="1130"/>
      <c r="N284" s="1130"/>
      <c r="O284" s="1130"/>
      <c r="P284" s="1150"/>
      <c r="Q284" s="1130"/>
      <c r="R284" s="1130"/>
      <c r="S284" s="1130"/>
      <c r="T284" s="1130"/>
      <c r="U284" s="1130"/>
      <c r="V284" s="1130"/>
      <c r="W284" s="1130"/>
      <c r="X284" s="1130"/>
      <c r="Y284" s="1130"/>
      <c r="Z284" s="1130"/>
      <c r="AA284" s="1130"/>
      <c r="AB284" s="1130"/>
      <c r="AC284" s="1130"/>
    </row>
    <row r="285" ht="15.75" customHeight="1">
      <c r="A285" s="1130"/>
      <c r="B285" s="1130"/>
      <c r="C285" s="1130"/>
      <c r="D285" s="1130"/>
      <c r="E285" s="1130"/>
      <c r="F285" s="1130"/>
      <c r="G285" s="1130"/>
      <c r="H285" s="1150"/>
      <c r="I285" s="1150"/>
      <c r="J285" s="1150"/>
      <c r="K285" s="1150"/>
      <c r="L285" s="1130"/>
      <c r="M285" s="1130"/>
      <c r="N285" s="1130"/>
      <c r="O285" s="1130"/>
      <c r="P285" s="1150"/>
      <c r="Q285" s="1130"/>
      <c r="R285" s="1130"/>
      <c r="S285" s="1130"/>
      <c r="T285" s="1130"/>
      <c r="U285" s="1130"/>
      <c r="V285" s="1130"/>
      <c r="W285" s="1130"/>
      <c r="X285" s="1130"/>
      <c r="Y285" s="1130"/>
      <c r="Z285" s="1130"/>
      <c r="AA285" s="1130"/>
      <c r="AB285" s="1130"/>
      <c r="AC285" s="1130"/>
    </row>
    <row r="286" ht="15.75" customHeight="1">
      <c r="A286" s="1130"/>
      <c r="B286" s="1130"/>
      <c r="C286" s="1130"/>
      <c r="D286" s="1130"/>
      <c r="E286" s="1130"/>
      <c r="F286" s="1130"/>
      <c r="G286" s="1130"/>
      <c r="H286" s="1150"/>
      <c r="I286" s="1150"/>
      <c r="J286" s="1150"/>
      <c r="K286" s="1150"/>
      <c r="L286" s="1130"/>
      <c r="M286" s="1130"/>
      <c r="N286" s="1130"/>
      <c r="O286" s="1130"/>
      <c r="P286" s="1150"/>
      <c r="Q286" s="1130"/>
      <c r="R286" s="1130"/>
      <c r="S286" s="1130"/>
      <c r="T286" s="1130"/>
      <c r="U286" s="1130"/>
      <c r="V286" s="1130"/>
      <c r="W286" s="1130"/>
      <c r="X286" s="1130"/>
      <c r="Y286" s="1130"/>
      <c r="Z286" s="1130"/>
      <c r="AA286" s="1130"/>
      <c r="AB286" s="1130"/>
      <c r="AC286" s="1130"/>
    </row>
    <row r="287" ht="15.75" customHeight="1">
      <c r="A287" s="1130"/>
      <c r="B287" s="1130"/>
      <c r="C287" s="1130"/>
      <c r="D287" s="1130"/>
      <c r="E287" s="1130"/>
      <c r="F287" s="1130"/>
      <c r="G287" s="1130"/>
      <c r="H287" s="1150"/>
      <c r="I287" s="1150"/>
      <c r="J287" s="1150"/>
      <c r="K287" s="1150"/>
      <c r="L287" s="1130"/>
      <c r="M287" s="1130"/>
      <c r="N287" s="1130"/>
      <c r="O287" s="1130"/>
      <c r="P287" s="1150"/>
      <c r="Q287" s="1130"/>
      <c r="R287" s="1130"/>
      <c r="S287" s="1130"/>
      <c r="T287" s="1130"/>
      <c r="U287" s="1130"/>
      <c r="V287" s="1130"/>
      <c r="W287" s="1130"/>
      <c r="X287" s="1130"/>
      <c r="Y287" s="1130"/>
      <c r="Z287" s="1130"/>
      <c r="AA287" s="1130"/>
      <c r="AB287" s="1130"/>
      <c r="AC287" s="1130"/>
    </row>
    <row r="288" ht="15.75" customHeight="1">
      <c r="A288" s="1130"/>
      <c r="B288" s="1130"/>
      <c r="C288" s="1130"/>
      <c r="D288" s="1130"/>
      <c r="E288" s="1130"/>
      <c r="F288" s="1130"/>
      <c r="G288" s="1130"/>
      <c r="H288" s="1150"/>
      <c r="I288" s="1150"/>
      <c r="J288" s="1150"/>
      <c r="K288" s="1150"/>
      <c r="L288" s="1130"/>
      <c r="M288" s="1130"/>
      <c r="N288" s="1130"/>
      <c r="O288" s="1130"/>
      <c r="P288" s="1150"/>
      <c r="Q288" s="1130"/>
      <c r="R288" s="1130"/>
      <c r="S288" s="1130"/>
      <c r="T288" s="1130"/>
      <c r="U288" s="1130"/>
      <c r="V288" s="1130"/>
      <c r="W288" s="1130"/>
      <c r="X288" s="1130"/>
      <c r="Y288" s="1130"/>
      <c r="Z288" s="1130"/>
      <c r="AA288" s="1130"/>
      <c r="AB288" s="1130"/>
      <c r="AC288" s="1130"/>
    </row>
    <row r="289" ht="15.75" customHeight="1">
      <c r="A289" s="1130"/>
      <c r="B289" s="1130"/>
      <c r="C289" s="1130"/>
      <c r="D289" s="1130"/>
      <c r="E289" s="1130"/>
      <c r="F289" s="1130"/>
      <c r="G289" s="1130"/>
      <c r="H289" s="1150"/>
      <c r="I289" s="1150"/>
      <c r="J289" s="1150"/>
      <c r="K289" s="1150"/>
      <c r="L289" s="1130"/>
      <c r="M289" s="1130"/>
      <c r="N289" s="1130"/>
      <c r="O289" s="1130"/>
      <c r="P289" s="1150"/>
      <c r="Q289" s="1130"/>
      <c r="R289" s="1130"/>
      <c r="S289" s="1130"/>
      <c r="T289" s="1130"/>
      <c r="U289" s="1130"/>
      <c r="V289" s="1130"/>
      <c r="W289" s="1130"/>
      <c r="X289" s="1130"/>
      <c r="Y289" s="1130"/>
      <c r="Z289" s="1130"/>
      <c r="AA289" s="1130"/>
      <c r="AB289" s="1130"/>
      <c r="AC289" s="1130"/>
    </row>
    <row r="290" ht="15.75" customHeight="1">
      <c r="A290" s="1130"/>
      <c r="B290" s="1130"/>
      <c r="C290" s="1130"/>
      <c r="D290" s="1130"/>
      <c r="E290" s="1130"/>
      <c r="F290" s="1130"/>
      <c r="G290" s="1130"/>
      <c r="H290" s="1150"/>
      <c r="I290" s="1150"/>
      <c r="J290" s="1150"/>
      <c r="K290" s="1150"/>
      <c r="L290" s="1130"/>
      <c r="M290" s="1130"/>
      <c r="N290" s="1130"/>
      <c r="O290" s="1130"/>
      <c r="P290" s="1150"/>
      <c r="Q290" s="1130"/>
      <c r="R290" s="1130"/>
      <c r="S290" s="1130"/>
      <c r="T290" s="1130"/>
      <c r="U290" s="1130"/>
      <c r="V290" s="1130"/>
      <c r="W290" s="1130"/>
      <c r="X290" s="1130"/>
      <c r="Y290" s="1130"/>
      <c r="Z290" s="1130"/>
      <c r="AA290" s="1130"/>
      <c r="AB290" s="1130"/>
      <c r="AC290" s="1130"/>
    </row>
    <row r="291" ht="15.75" customHeight="1">
      <c r="A291" s="1130"/>
      <c r="B291" s="1130"/>
      <c r="C291" s="1130"/>
      <c r="D291" s="1130"/>
      <c r="E291" s="1130"/>
      <c r="F291" s="1130"/>
      <c r="G291" s="1130"/>
      <c r="H291" s="1150"/>
      <c r="I291" s="1150"/>
      <c r="J291" s="1150"/>
      <c r="K291" s="1150"/>
      <c r="L291" s="1130"/>
      <c r="M291" s="1130"/>
      <c r="N291" s="1130"/>
      <c r="O291" s="1130"/>
      <c r="P291" s="1150"/>
      <c r="Q291" s="1130"/>
      <c r="R291" s="1130"/>
      <c r="S291" s="1130"/>
      <c r="T291" s="1130"/>
      <c r="U291" s="1130"/>
      <c r="V291" s="1130"/>
      <c r="W291" s="1130"/>
      <c r="X291" s="1130"/>
      <c r="Y291" s="1130"/>
      <c r="Z291" s="1130"/>
      <c r="AA291" s="1130"/>
      <c r="AB291" s="1130"/>
      <c r="AC291" s="1130"/>
    </row>
    <row r="292" ht="15.75" customHeight="1">
      <c r="A292" s="1130"/>
      <c r="B292" s="1130"/>
      <c r="C292" s="1130"/>
      <c r="D292" s="1130"/>
      <c r="E292" s="1130"/>
      <c r="F292" s="1130"/>
      <c r="G292" s="1130"/>
      <c r="H292" s="1150"/>
      <c r="I292" s="1150"/>
      <c r="J292" s="1150"/>
      <c r="K292" s="1150"/>
      <c r="L292" s="1130"/>
      <c r="M292" s="1130"/>
      <c r="N292" s="1130"/>
      <c r="O292" s="1130"/>
      <c r="P292" s="1150"/>
      <c r="Q292" s="1130"/>
      <c r="R292" s="1130"/>
      <c r="S292" s="1130"/>
      <c r="T292" s="1130"/>
      <c r="U292" s="1130"/>
      <c r="V292" s="1130"/>
      <c r="W292" s="1130"/>
      <c r="X292" s="1130"/>
      <c r="Y292" s="1130"/>
      <c r="Z292" s="1130"/>
      <c r="AA292" s="1130"/>
      <c r="AB292" s="1130"/>
      <c r="AC292" s="1130"/>
    </row>
    <row r="293" ht="15.75" customHeight="1">
      <c r="A293" s="1130"/>
      <c r="B293" s="1130"/>
      <c r="C293" s="1130"/>
      <c r="D293" s="1130"/>
      <c r="E293" s="1130"/>
      <c r="F293" s="1130"/>
      <c r="G293" s="1130"/>
      <c r="H293" s="1150"/>
      <c r="I293" s="1150"/>
      <c r="J293" s="1150"/>
      <c r="K293" s="1150"/>
      <c r="L293" s="1130"/>
      <c r="M293" s="1130"/>
      <c r="N293" s="1130"/>
      <c r="O293" s="1130"/>
      <c r="P293" s="1150"/>
      <c r="Q293" s="1130"/>
      <c r="R293" s="1130"/>
      <c r="S293" s="1130"/>
      <c r="T293" s="1130"/>
      <c r="U293" s="1130"/>
      <c r="V293" s="1130"/>
      <c r="W293" s="1130"/>
      <c r="X293" s="1130"/>
      <c r="Y293" s="1130"/>
      <c r="Z293" s="1130"/>
      <c r="AA293" s="1130"/>
      <c r="AB293" s="1130"/>
      <c r="AC293" s="1130"/>
    </row>
    <row r="294" ht="15.75" customHeight="1">
      <c r="A294" s="1130"/>
      <c r="B294" s="1130"/>
      <c r="C294" s="1130"/>
      <c r="D294" s="1130"/>
      <c r="E294" s="1130"/>
      <c r="F294" s="1130"/>
      <c r="G294" s="1130"/>
      <c r="H294" s="1150"/>
      <c r="I294" s="1150"/>
      <c r="J294" s="1150"/>
      <c r="K294" s="1150"/>
      <c r="L294" s="1130"/>
      <c r="M294" s="1130"/>
      <c r="N294" s="1130"/>
      <c r="O294" s="1130"/>
      <c r="P294" s="1150"/>
      <c r="Q294" s="1130"/>
      <c r="R294" s="1130"/>
      <c r="S294" s="1130"/>
      <c r="T294" s="1130"/>
      <c r="U294" s="1130"/>
      <c r="V294" s="1130"/>
      <c r="W294" s="1130"/>
      <c r="X294" s="1130"/>
      <c r="Y294" s="1130"/>
      <c r="Z294" s="1130"/>
      <c r="AA294" s="1130"/>
      <c r="AB294" s="1130"/>
      <c r="AC294" s="1130"/>
    </row>
    <row r="295" ht="15.75" customHeight="1">
      <c r="A295" s="1130"/>
      <c r="B295" s="1130"/>
      <c r="C295" s="1130"/>
      <c r="D295" s="1130"/>
      <c r="E295" s="1130"/>
      <c r="F295" s="1130"/>
      <c r="G295" s="1130"/>
      <c r="H295" s="1150"/>
      <c r="I295" s="1150"/>
      <c r="J295" s="1150"/>
      <c r="K295" s="1150"/>
      <c r="L295" s="1130"/>
      <c r="M295" s="1130"/>
      <c r="N295" s="1130"/>
      <c r="O295" s="1130"/>
      <c r="P295" s="1150"/>
      <c r="Q295" s="1130"/>
      <c r="R295" s="1130"/>
      <c r="S295" s="1130"/>
      <c r="T295" s="1130"/>
      <c r="U295" s="1130"/>
      <c r="V295" s="1130"/>
      <c r="W295" s="1130"/>
      <c r="X295" s="1130"/>
      <c r="Y295" s="1130"/>
      <c r="Z295" s="1130"/>
      <c r="AA295" s="1130"/>
      <c r="AB295" s="1130"/>
      <c r="AC295" s="1130"/>
    </row>
    <row r="296" ht="15.75" customHeight="1">
      <c r="A296" s="1130"/>
      <c r="B296" s="1130"/>
      <c r="C296" s="1130"/>
      <c r="D296" s="1130"/>
      <c r="E296" s="1130"/>
      <c r="F296" s="1130"/>
      <c r="G296" s="1130"/>
      <c r="H296" s="1150"/>
      <c r="I296" s="1150"/>
      <c r="J296" s="1150"/>
      <c r="K296" s="1150"/>
      <c r="L296" s="1130"/>
      <c r="M296" s="1130"/>
      <c r="N296" s="1130"/>
      <c r="O296" s="1130"/>
      <c r="P296" s="1150"/>
      <c r="Q296" s="1130"/>
      <c r="R296" s="1130"/>
      <c r="S296" s="1130"/>
      <c r="T296" s="1130"/>
      <c r="U296" s="1130"/>
      <c r="V296" s="1130"/>
      <c r="W296" s="1130"/>
      <c r="X296" s="1130"/>
      <c r="Y296" s="1130"/>
      <c r="Z296" s="1130"/>
      <c r="AA296" s="1130"/>
      <c r="AB296" s="1130"/>
      <c r="AC296" s="1130"/>
    </row>
    <row r="297" ht="15.75" customHeight="1">
      <c r="A297" s="1130"/>
      <c r="B297" s="1130"/>
      <c r="C297" s="1130"/>
      <c r="D297" s="1130"/>
      <c r="E297" s="1130"/>
      <c r="F297" s="1130"/>
      <c r="G297" s="1130"/>
      <c r="H297" s="1150"/>
      <c r="I297" s="1150"/>
      <c r="J297" s="1150"/>
      <c r="K297" s="1150"/>
      <c r="L297" s="1130"/>
      <c r="M297" s="1130"/>
      <c r="N297" s="1130"/>
      <c r="O297" s="1130"/>
      <c r="P297" s="1150"/>
      <c r="Q297" s="1130"/>
      <c r="R297" s="1130"/>
      <c r="S297" s="1130"/>
      <c r="T297" s="1130"/>
      <c r="U297" s="1130"/>
      <c r="V297" s="1130"/>
      <c r="W297" s="1130"/>
      <c r="X297" s="1130"/>
      <c r="Y297" s="1130"/>
      <c r="Z297" s="1130"/>
      <c r="AA297" s="1130"/>
      <c r="AB297" s="1130"/>
      <c r="AC297" s="1130"/>
    </row>
    <row r="298" ht="15.75" customHeight="1">
      <c r="A298" s="1130"/>
      <c r="B298" s="1130"/>
      <c r="C298" s="1130"/>
      <c r="D298" s="1130"/>
      <c r="E298" s="1130"/>
      <c r="F298" s="1130"/>
      <c r="G298" s="1130"/>
      <c r="H298" s="1150"/>
      <c r="I298" s="1150"/>
      <c r="J298" s="1150"/>
      <c r="K298" s="1150"/>
      <c r="L298" s="1130"/>
      <c r="M298" s="1130"/>
      <c r="N298" s="1130"/>
      <c r="O298" s="1130"/>
      <c r="P298" s="1150"/>
      <c r="Q298" s="1130"/>
      <c r="R298" s="1130"/>
      <c r="S298" s="1130"/>
      <c r="T298" s="1130"/>
      <c r="U298" s="1130"/>
      <c r="V298" s="1130"/>
      <c r="W298" s="1130"/>
      <c r="X298" s="1130"/>
      <c r="Y298" s="1130"/>
      <c r="Z298" s="1130"/>
      <c r="AA298" s="1130"/>
      <c r="AB298" s="1130"/>
      <c r="AC298" s="1130"/>
    </row>
    <row r="299" ht="15.75" customHeight="1">
      <c r="A299" s="1130"/>
      <c r="B299" s="1130"/>
      <c r="C299" s="1130"/>
      <c r="D299" s="1130"/>
      <c r="E299" s="1130"/>
      <c r="F299" s="1130"/>
      <c r="G299" s="1130"/>
      <c r="H299" s="1150"/>
      <c r="I299" s="1150"/>
      <c r="J299" s="1150"/>
      <c r="K299" s="1150"/>
      <c r="L299" s="1130"/>
      <c r="M299" s="1130"/>
      <c r="N299" s="1130"/>
      <c r="O299" s="1130"/>
      <c r="P299" s="1150"/>
      <c r="Q299" s="1130"/>
      <c r="R299" s="1130"/>
      <c r="S299" s="1130"/>
      <c r="T299" s="1130"/>
      <c r="U299" s="1130"/>
      <c r="V299" s="1130"/>
      <c r="W299" s="1130"/>
      <c r="X299" s="1130"/>
      <c r="Y299" s="1130"/>
      <c r="Z299" s="1130"/>
      <c r="AA299" s="1130"/>
      <c r="AB299" s="1130"/>
      <c r="AC299" s="1130"/>
    </row>
    <row r="300" ht="15.75" customHeight="1">
      <c r="A300" s="1130"/>
      <c r="B300" s="1130"/>
      <c r="C300" s="1130"/>
      <c r="D300" s="1130"/>
      <c r="E300" s="1130"/>
      <c r="F300" s="1130"/>
      <c r="G300" s="1130"/>
      <c r="H300" s="1150"/>
      <c r="I300" s="1150"/>
      <c r="J300" s="1150"/>
      <c r="K300" s="1150"/>
      <c r="L300" s="1130"/>
      <c r="M300" s="1130"/>
      <c r="N300" s="1130"/>
      <c r="O300" s="1130"/>
      <c r="P300" s="1150"/>
      <c r="Q300" s="1130"/>
      <c r="R300" s="1130"/>
      <c r="S300" s="1130"/>
      <c r="T300" s="1130"/>
      <c r="U300" s="1130"/>
      <c r="V300" s="1130"/>
      <c r="W300" s="1130"/>
      <c r="X300" s="1130"/>
      <c r="Y300" s="1130"/>
      <c r="Z300" s="1130"/>
      <c r="AA300" s="1130"/>
      <c r="AB300" s="1130"/>
      <c r="AC300" s="1130"/>
    </row>
    <row r="301" ht="15.75" customHeight="1">
      <c r="A301" s="1130"/>
      <c r="B301" s="1130"/>
      <c r="C301" s="1130"/>
      <c r="D301" s="1130"/>
      <c r="E301" s="1130"/>
      <c r="F301" s="1130"/>
      <c r="G301" s="1130"/>
      <c r="H301" s="1150"/>
      <c r="I301" s="1150"/>
      <c r="J301" s="1150"/>
      <c r="K301" s="1150"/>
      <c r="L301" s="1130"/>
      <c r="M301" s="1130"/>
      <c r="N301" s="1130"/>
      <c r="O301" s="1130"/>
      <c r="P301" s="1150"/>
      <c r="Q301" s="1130"/>
      <c r="R301" s="1130"/>
      <c r="S301" s="1130"/>
      <c r="T301" s="1130"/>
      <c r="U301" s="1130"/>
      <c r="V301" s="1130"/>
      <c r="W301" s="1130"/>
      <c r="X301" s="1130"/>
      <c r="Y301" s="1130"/>
      <c r="Z301" s="1130"/>
      <c r="AA301" s="1130"/>
      <c r="AB301" s="1130"/>
      <c r="AC301" s="1130"/>
    </row>
    <row r="302" ht="15.75" customHeight="1">
      <c r="A302" s="1130"/>
      <c r="B302" s="1130"/>
      <c r="C302" s="1130"/>
      <c r="D302" s="1130"/>
      <c r="E302" s="1130"/>
      <c r="F302" s="1130"/>
      <c r="G302" s="1130"/>
      <c r="H302" s="1150"/>
      <c r="I302" s="1150"/>
      <c r="J302" s="1150"/>
      <c r="K302" s="1150"/>
      <c r="L302" s="1130"/>
      <c r="M302" s="1130"/>
      <c r="N302" s="1130"/>
      <c r="O302" s="1130"/>
      <c r="P302" s="1150"/>
      <c r="Q302" s="1130"/>
      <c r="R302" s="1130"/>
      <c r="S302" s="1130"/>
      <c r="T302" s="1130"/>
      <c r="U302" s="1130"/>
      <c r="V302" s="1130"/>
      <c r="W302" s="1130"/>
      <c r="X302" s="1130"/>
      <c r="Y302" s="1130"/>
      <c r="Z302" s="1130"/>
      <c r="AA302" s="1130"/>
      <c r="AB302" s="1130"/>
      <c r="AC302" s="1130"/>
    </row>
    <row r="303" ht="15.75" customHeight="1">
      <c r="A303" s="1130"/>
      <c r="B303" s="1130"/>
      <c r="C303" s="1130"/>
      <c r="D303" s="1130"/>
      <c r="E303" s="1130"/>
      <c r="F303" s="1130"/>
      <c r="G303" s="1130"/>
      <c r="H303" s="1150"/>
      <c r="I303" s="1150"/>
      <c r="J303" s="1150"/>
      <c r="K303" s="1150"/>
      <c r="L303" s="1130"/>
      <c r="M303" s="1130"/>
      <c r="N303" s="1130"/>
      <c r="O303" s="1130"/>
      <c r="P303" s="1150"/>
      <c r="Q303" s="1130"/>
      <c r="R303" s="1130"/>
      <c r="S303" s="1130"/>
      <c r="T303" s="1130"/>
      <c r="U303" s="1130"/>
      <c r="V303" s="1130"/>
      <c r="W303" s="1130"/>
      <c r="X303" s="1130"/>
      <c r="Y303" s="1130"/>
      <c r="Z303" s="1130"/>
      <c r="AA303" s="1130"/>
      <c r="AB303" s="1130"/>
      <c r="AC303" s="1130"/>
    </row>
    <row r="304" ht="15.75" customHeight="1">
      <c r="A304" s="1130"/>
      <c r="B304" s="1130"/>
      <c r="C304" s="1130"/>
      <c r="D304" s="1130"/>
      <c r="E304" s="1130"/>
      <c r="F304" s="1130"/>
      <c r="G304" s="1130"/>
      <c r="H304" s="1150"/>
      <c r="I304" s="1150"/>
      <c r="J304" s="1150"/>
      <c r="K304" s="1150"/>
      <c r="L304" s="1130"/>
      <c r="M304" s="1130"/>
      <c r="N304" s="1130"/>
      <c r="O304" s="1130"/>
      <c r="P304" s="1150"/>
      <c r="Q304" s="1130"/>
      <c r="R304" s="1130"/>
      <c r="S304" s="1130"/>
      <c r="T304" s="1130"/>
      <c r="U304" s="1130"/>
      <c r="V304" s="1130"/>
      <c r="W304" s="1130"/>
      <c r="X304" s="1130"/>
      <c r="Y304" s="1130"/>
      <c r="Z304" s="1130"/>
      <c r="AA304" s="1130"/>
      <c r="AB304" s="1130"/>
      <c r="AC304" s="1130"/>
    </row>
    <row r="305" ht="15.75" customHeight="1">
      <c r="A305" s="1130"/>
      <c r="B305" s="1130"/>
      <c r="C305" s="1130"/>
      <c r="D305" s="1130"/>
      <c r="E305" s="1130"/>
      <c r="F305" s="1130"/>
      <c r="G305" s="1130"/>
      <c r="H305" s="1150"/>
      <c r="I305" s="1150"/>
      <c r="J305" s="1150"/>
      <c r="K305" s="1150"/>
      <c r="L305" s="1130"/>
      <c r="M305" s="1130"/>
      <c r="N305" s="1130"/>
      <c r="O305" s="1130"/>
      <c r="P305" s="1150"/>
      <c r="Q305" s="1130"/>
      <c r="R305" s="1130"/>
      <c r="S305" s="1130"/>
      <c r="T305" s="1130"/>
      <c r="U305" s="1130"/>
      <c r="V305" s="1130"/>
      <c r="W305" s="1130"/>
      <c r="X305" s="1130"/>
      <c r="Y305" s="1130"/>
      <c r="Z305" s="1130"/>
      <c r="AA305" s="1130"/>
      <c r="AB305" s="1130"/>
      <c r="AC305" s="1130"/>
    </row>
    <row r="306" ht="15.75" customHeight="1">
      <c r="A306" s="1130"/>
      <c r="B306" s="1130"/>
      <c r="C306" s="1130"/>
      <c r="D306" s="1130"/>
      <c r="E306" s="1130"/>
      <c r="F306" s="1130"/>
      <c r="G306" s="1130"/>
      <c r="H306" s="1150"/>
      <c r="I306" s="1150"/>
      <c r="J306" s="1150"/>
      <c r="K306" s="1150"/>
      <c r="L306" s="1130"/>
      <c r="M306" s="1130"/>
      <c r="N306" s="1130"/>
      <c r="O306" s="1130"/>
      <c r="P306" s="1150"/>
      <c r="Q306" s="1130"/>
      <c r="R306" s="1130"/>
      <c r="S306" s="1130"/>
      <c r="T306" s="1130"/>
      <c r="U306" s="1130"/>
      <c r="V306" s="1130"/>
      <c r="W306" s="1130"/>
      <c r="X306" s="1130"/>
      <c r="Y306" s="1130"/>
      <c r="Z306" s="1130"/>
      <c r="AA306" s="1130"/>
      <c r="AB306" s="1130"/>
      <c r="AC306" s="1130"/>
    </row>
    <row r="307" ht="15.75" customHeight="1">
      <c r="A307" s="1130"/>
      <c r="B307" s="1130"/>
      <c r="C307" s="1130"/>
      <c r="D307" s="1130"/>
      <c r="E307" s="1130"/>
      <c r="F307" s="1130"/>
      <c r="G307" s="1130"/>
      <c r="H307" s="1150"/>
      <c r="I307" s="1150"/>
      <c r="J307" s="1150"/>
      <c r="K307" s="1150"/>
      <c r="L307" s="1130"/>
      <c r="M307" s="1130"/>
      <c r="N307" s="1130"/>
      <c r="O307" s="1130"/>
      <c r="P307" s="1150"/>
      <c r="Q307" s="1130"/>
      <c r="R307" s="1130"/>
      <c r="S307" s="1130"/>
      <c r="T307" s="1130"/>
      <c r="U307" s="1130"/>
      <c r="V307" s="1130"/>
      <c r="W307" s="1130"/>
      <c r="X307" s="1130"/>
      <c r="Y307" s="1130"/>
      <c r="Z307" s="1130"/>
      <c r="AA307" s="1130"/>
      <c r="AB307" s="1130"/>
      <c r="AC307" s="1130"/>
    </row>
    <row r="308" ht="15.75" customHeight="1">
      <c r="A308" s="1130"/>
      <c r="B308" s="1130"/>
      <c r="C308" s="1130"/>
      <c r="D308" s="1130"/>
      <c r="E308" s="1130"/>
      <c r="F308" s="1130"/>
      <c r="G308" s="1130"/>
      <c r="H308" s="1150"/>
      <c r="I308" s="1150"/>
      <c r="J308" s="1150"/>
      <c r="K308" s="1150"/>
      <c r="L308" s="1130"/>
      <c r="M308" s="1130"/>
      <c r="N308" s="1130"/>
      <c r="O308" s="1130"/>
      <c r="P308" s="1150"/>
      <c r="Q308" s="1130"/>
      <c r="R308" s="1130"/>
      <c r="S308" s="1130"/>
      <c r="T308" s="1130"/>
      <c r="U308" s="1130"/>
      <c r="V308" s="1130"/>
      <c r="W308" s="1130"/>
      <c r="X308" s="1130"/>
      <c r="Y308" s="1130"/>
      <c r="Z308" s="1130"/>
      <c r="AA308" s="1130"/>
      <c r="AB308" s="1130"/>
      <c r="AC308" s="1130"/>
    </row>
    <row r="309" ht="15.75" customHeight="1">
      <c r="A309" s="1130"/>
      <c r="B309" s="1130"/>
      <c r="C309" s="1130"/>
      <c r="D309" s="1130"/>
      <c r="E309" s="1130"/>
      <c r="F309" s="1130"/>
      <c r="G309" s="1130"/>
      <c r="H309" s="1150"/>
      <c r="I309" s="1150"/>
      <c r="J309" s="1150"/>
      <c r="K309" s="1150"/>
      <c r="L309" s="1130"/>
      <c r="M309" s="1130"/>
      <c r="N309" s="1130"/>
      <c r="O309" s="1130"/>
      <c r="P309" s="1150"/>
      <c r="Q309" s="1130"/>
      <c r="R309" s="1130"/>
      <c r="S309" s="1130"/>
      <c r="T309" s="1130"/>
      <c r="U309" s="1130"/>
      <c r="V309" s="1130"/>
      <c r="W309" s="1130"/>
      <c r="X309" s="1130"/>
      <c r="Y309" s="1130"/>
      <c r="Z309" s="1130"/>
      <c r="AA309" s="1130"/>
      <c r="AB309" s="1130"/>
      <c r="AC309" s="1130"/>
    </row>
    <row r="310" ht="15.75" customHeight="1">
      <c r="A310" s="1130"/>
      <c r="B310" s="1130"/>
      <c r="C310" s="1130"/>
      <c r="D310" s="1130"/>
      <c r="E310" s="1130"/>
      <c r="F310" s="1130"/>
      <c r="G310" s="1130"/>
      <c r="H310" s="1150"/>
      <c r="I310" s="1150"/>
      <c r="J310" s="1150"/>
      <c r="K310" s="1150"/>
      <c r="L310" s="1130"/>
      <c r="M310" s="1130"/>
      <c r="N310" s="1130"/>
      <c r="O310" s="1130"/>
      <c r="P310" s="1150"/>
      <c r="Q310" s="1130"/>
      <c r="R310" s="1130"/>
      <c r="S310" s="1130"/>
      <c r="T310" s="1130"/>
      <c r="U310" s="1130"/>
      <c r="V310" s="1130"/>
      <c r="W310" s="1130"/>
      <c r="X310" s="1130"/>
      <c r="Y310" s="1130"/>
      <c r="Z310" s="1130"/>
      <c r="AA310" s="1130"/>
      <c r="AB310" s="1130"/>
      <c r="AC310" s="1130"/>
    </row>
    <row r="311" ht="15.75" customHeight="1">
      <c r="A311" s="1130"/>
      <c r="B311" s="1130"/>
      <c r="C311" s="1130"/>
      <c r="D311" s="1130"/>
      <c r="E311" s="1130"/>
      <c r="F311" s="1130"/>
      <c r="G311" s="1130"/>
      <c r="H311" s="1150"/>
      <c r="I311" s="1150"/>
      <c r="J311" s="1150"/>
      <c r="K311" s="1150"/>
      <c r="L311" s="1130"/>
      <c r="M311" s="1130"/>
      <c r="N311" s="1130"/>
      <c r="O311" s="1130"/>
      <c r="P311" s="1150"/>
      <c r="Q311" s="1130"/>
      <c r="R311" s="1130"/>
      <c r="S311" s="1130"/>
      <c r="T311" s="1130"/>
      <c r="U311" s="1130"/>
      <c r="V311" s="1130"/>
      <c r="W311" s="1130"/>
      <c r="X311" s="1130"/>
      <c r="Y311" s="1130"/>
      <c r="Z311" s="1130"/>
      <c r="AA311" s="1130"/>
      <c r="AB311" s="1130"/>
      <c r="AC311" s="1130"/>
    </row>
    <row r="312" ht="15.75" customHeight="1">
      <c r="A312" s="1130"/>
      <c r="B312" s="1130"/>
      <c r="C312" s="1130"/>
      <c r="D312" s="1130"/>
      <c r="E312" s="1130"/>
      <c r="F312" s="1130"/>
      <c r="G312" s="1130"/>
      <c r="H312" s="1150"/>
      <c r="I312" s="1150"/>
      <c r="J312" s="1150"/>
      <c r="K312" s="1150"/>
      <c r="L312" s="1130"/>
      <c r="M312" s="1130"/>
      <c r="N312" s="1130"/>
      <c r="O312" s="1130"/>
      <c r="P312" s="1150"/>
      <c r="Q312" s="1130"/>
      <c r="R312" s="1130"/>
      <c r="S312" s="1130"/>
      <c r="T312" s="1130"/>
      <c r="U312" s="1130"/>
      <c r="V312" s="1130"/>
      <c r="W312" s="1130"/>
      <c r="X312" s="1130"/>
      <c r="Y312" s="1130"/>
      <c r="Z312" s="1130"/>
      <c r="AA312" s="1130"/>
      <c r="AB312" s="1130"/>
      <c r="AC312" s="1130"/>
    </row>
    <row r="313" ht="15.75" customHeight="1">
      <c r="A313" s="1130"/>
      <c r="B313" s="1130"/>
      <c r="C313" s="1130"/>
      <c r="D313" s="1130"/>
      <c r="E313" s="1130"/>
      <c r="F313" s="1130"/>
      <c r="G313" s="1130"/>
      <c r="H313" s="1150"/>
      <c r="I313" s="1150"/>
      <c r="J313" s="1150"/>
      <c r="K313" s="1150"/>
      <c r="L313" s="1130"/>
      <c r="M313" s="1130"/>
      <c r="N313" s="1130"/>
      <c r="O313" s="1130"/>
      <c r="P313" s="1150"/>
      <c r="Q313" s="1130"/>
      <c r="R313" s="1130"/>
      <c r="S313" s="1130"/>
      <c r="T313" s="1130"/>
      <c r="U313" s="1130"/>
      <c r="V313" s="1130"/>
      <c r="W313" s="1130"/>
      <c r="X313" s="1130"/>
      <c r="Y313" s="1130"/>
      <c r="Z313" s="1130"/>
      <c r="AA313" s="1130"/>
      <c r="AB313" s="1130"/>
      <c r="AC313" s="1130"/>
    </row>
    <row r="314" ht="15.75" customHeight="1">
      <c r="A314" s="1130"/>
      <c r="B314" s="1130"/>
      <c r="C314" s="1130"/>
      <c r="D314" s="1130"/>
      <c r="E314" s="1130"/>
      <c r="F314" s="1130"/>
      <c r="G314" s="1130"/>
      <c r="H314" s="1150"/>
      <c r="I314" s="1150"/>
      <c r="J314" s="1150"/>
      <c r="K314" s="1150"/>
      <c r="L314" s="1130"/>
      <c r="M314" s="1130"/>
      <c r="N314" s="1130"/>
      <c r="O314" s="1130"/>
      <c r="P314" s="1150"/>
      <c r="Q314" s="1130"/>
      <c r="R314" s="1130"/>
      <c r="S314" s="1130"/>
      <c r="T314" s="1130"/>
      <c r="U314" s="1130"/>
      <c r="V314" s="1130"/>
      <c r="W314" s="1130"/>
      <c r="X314" s="1130"/>
      <c r="Y314" s="1130"/>
      <c r="Z314" s="1130"/>
      <c r="AA314" s="1130"/>
      <c r="AB314" s="1130"/>
      <c r="AC314" s="1130"/>
    </row>
    <row r="315" ht="15.75" customHeight="1">
      <c r="A315" s="1130"/>
      <c r="B315" s="1130"/>
      <c r="C315" s="1130"/>
      <c r="D315" s="1130"/>
      <c r="E315" s="1130"/>
      <c r="F315" s="1130"/>
      <c r="G315" s="1130"/>
      <c r="H315" s="1150"/>
      <c r="I315" s="1150"/>
      <c r="J315" s="1150"/>
      <c r="K315" s="1150"/>
      <c r="L315" s="1130"/>
      <c r="M315" s="1130"/>
      <c r="N315" s="1130"/>
      <c r="O315" s="1130"/>
      <c r="P315" s="1150"/>
      <c r="Q315" s="1130"/>
      <c r="R315" s="1130"/>
      <c r="S315" s="1130"/>
      <c r="T315" s="1130"/>
      <c r="U315" s="1130"/>
      <c r="V315" s="1130"/>
      <c r="W315" s="1130"/>
      <c r="X315" s="1130"/>
      <c r="Y315" s="1130"/>
      <c r="Z315" s="1130"/>
      <c r="AA315" s="1130"/>
      <c r="AB315" s="1130"/>
      <c r="AC315" s="1130"/>
    </row>
    <row r="316" ht="15.75" customHeight="1">
      <c r="A316" s="1130"/>
      <c r="B316" s="1130"/>
      <c r="C316" s="1130"/>
      <c r="D316" s="1130"/>
      <c r="E316" s="1130"/>
      <c r="F316" s="1130"/>
      <c r="G316" s="1130"/>
      <c r="H316" s="1150"/>
      <c r="I316" s="1150"/>
      <c r="J316" s="1150"/>
      <c r="K316" s="1150"/>
      <c r="L316" s="1130"/>
      <c r="M316" s="1130"/>
      <c r="N316" s="1130"/>
      <c r="O316" s="1130"/>
      <c r="P316" s="1150"/>
      <c r="Q316" s="1130"/>
      <c r="R316" s="1130"/>
      <c r="S316" s="1130"/>
      <c r="T316" s="1130"/>
      <c r="U316" s="1130"/>
      <c r="V316" s="1130"/>
      <c r="W316" s="1130"/>
      <c r="X316" s="1130"/>
      <c r="Y316" s="1130"/>
      <c r="Z316" s="1130"/>
      <c r="AA316" s="1130"/>
      <c r="AB316" s="1130"/>
      <c r="AC316" s="1130"/>
    </row>
    <row r="317" ht="15.75" customHeight="1">
      <c r="A317" s="1130"/>
      <c r="B317" s="1130"/>
      <c r="C317" s="1130"/>
      <c r="D317" s="1130"/>
      <c r="E317" s="1130"/>
      <c r="F317" s="1130"/>
      <c r="G317" s="1130"/>
      <c r="H317" s="1150"/>
      <c r="I317" s="1150"/>
      <c r="J317" s="1150"/>
      <c r="K317" s="1150"/>
      <c r="L317" s="1130"/>
      <c r="M317" s="1130"/>
      <c r="N317" s="1130"/>
      <c r="O317" s="1130"/>
      <c r="P317" s="1150"/>
      <c r="Q317" s="1130"/>
      <c r="R317" s="1130"/>
      <c r="S317" s="1130"/>
      <c r="T317" s="1130"/>
      <c r="U317" s="1130"/>
      <c r="V317" s="1130"/>
      <c r="W317" s="1130"/>
      <c r="X317" s="1130"/>
      <c r="Y317" s="1130"/>
      <c r="Z317" s="1130"/>
      <c r="AA317" s="1130"/>
      <c r="AB317" s="1130"/>
      <c r="AC317" s="1130"/>
    </row>
    <row r="318" ht="15.75" customHeight="1">
      <c r="A318" s="1130"/>
      <c r="B318" s="1130"/>
      <c r="C318" s="1130"/>
      <c r="D318" s="1130"/>
      <c r="E318" s="1130"/>
      <c r="F318" s="1130"/>
      <c r="G318" s="1130"/>
      <c r="H318" s="1150"/>
      <c r="I318" s="1150"/>
      <c r="J318" s="1150"/>
      <c r="K318" s="1150"/>
      <c r="L318" s="1130"/>
      <c r="M318" s="1130"/>
      <c r="N318" s="1130"/>
      <c r="O318" s="1130"/>
      <c r="P318" s="1150"/>
      <c r="Q318" s="1130"/>
      <c r="R318" s="1130"/>
      <c r="S318" s="1130"/>
      <c r="T318" s="1130"/>
      <c r="U318" s="1130"/>
      <c r="V318" s="1130"/>
      <c r="W318" s="1130"/>
      <c r="X318" s="1130"/>
      <c r="Y318" s="1130"/>
      <c r="Z318" s="1130"/>
      <c r="AA318" s="1130"/>
      <c r="AB318" s="1130"/>
      <c r="AC318" s="1130"/>
    </row>
    <row r="319" ht="15.75" customHeight="1">
      <c r="A319" s="1130"/>
      <c r="B319" s="1130"/>
      <c r="C319" s="1130"/>
      <c r="D319" s="1130"/>
      <c r="E319" s="1130"/>
      <c r="F319" s="1130"/>
      <c r="G319" s="1130"/>
      <c r="H319" s="1150"/>
      <c r="I319" s="1150"/>
      <c r="J319" s="1150"/>
      <c r="K319" s="1150"/>
      <c r="L319" s="1130"/>
      <c r="M319" s="1130"/>
      <c r="N319" s="1130"/>
      <c r="O319" s="1130"/>
      <c r="P319" s="1150"/>
      <c r="Q319" s="1130"/>
      <c r="R319" s="1130"/>
      <c r="S319" s="1130"/>
      <c r="T319" s="1130"/>
      <c r="U319" s="1130"/>
      <c r="V319" s="1130"/>
      <c r="W319" s="1130"/>
      <c r="X319" s="1130"/>
      <c r="Y319" s="1130"/>
      <c r="Z319" s="1130"/>
      <c r="AA319" s="1130"/>
      <c r="AB319" s="1130"/>
      <c r="AC319" s="1130"/>
    </row>
    <row r="320" ht="15.75" customHeight="1">
      <c r="A320" s="1130"/>
      <c r="B320" s="1130"/>
      <c r="C320" s="1130"/>
      <c r="D320" s="1130"/>
      <c r="E320" s="1130"/>
      <c r="F320" s="1130"/>
      <c r="G320" s="1130"/>
      <c r="H320" s="1150"/>
      <c r="I320" s="1150"/>
      <c r="J320" s="1150"/>
      <c r="K320" s="1150"/>
      <c r="L320" s="1130"/>
      <c r="M320" s="1130"/>
      <c r="N320" s="1130"/>
      <c r="O320" s="1130"/>
      <c r="P320" s="1150"/>
      <c r="Q320" s="1130"/>
      <c r="R320" s="1130"/>
      <c r="S320" s="1130"/>
      <c r="T320" s="1130"/>
      <c r="U320" s="1130"/>
      <c r="V320" s="1130"/>
      <c r="W320" s="1130"/>
      <c r="X320" s="1130"/>
      <c r="Y320" s="1130"/>
      <c r="Z320" s="1130"/>
      <c r="AA320" s="1130"/>
      <c r="AB320" s="1130"/>
      <c r="AC320" s="1130"/>
    </row>
    <row r="321" ht="15.75" customHeight="1">
      <c r="A321" s="1130"/>
      <c r="B321" s="1130"/>
      <c r="C321" s="1130"/>
      <c r="D321" s="1130"/>
      <c r="E321" s="1130"/>
      <c r="F321" s="1130"/>
      <c r="G321" s="1130"/>
      <c r="H321" s="1150"/>
      <c r="I321" s="1150"/>
      <c r="J321" s="1150"/>
      <c r="K321" s="1150"/>
      <c r="L321" s="1130"/>
      <c r="M321" s="1130"/>
      <c r="N321" s="1130"/>
      <c r="O321" s="1130"/>
      <c r="P321" s="1150"/>
      <c r="Q321" s="1130"/>
      <c r="R321" s="1130"/>
      <c r="S321" s="1130"/>
      <c r="T321" s="1130"/>
      <c r="U321" s="1130"/>
      <c r="V321" s="1130"/>
      <c r="W321" s="1130"/>
      <c r="X321" s="1130"/>
      <c r="Y321" s="1130"/>
      <c r="Z321" s="1130"/>
      <c r="AA321" s="1130"/>
      <c r="AB321" s="1130"/>
      <c r="AC321" s="1130"/>
    </row>
    <row r="322" ht="15.75" customHeight="1">
      <c r="A322" s="1130"/>
      <c r="B322" s="1130"/>
      <c r="C322" s="1130"/>
      <c r="D322" s="1130"/>
      <c r="E322" s="1130"/>
      <c r="F322" s="1130"/>
      <c r="G322" s="1130"/>
      <c r="H322" s="1150"/>
      <c r="I322" s="1150"/>
      <c r="J322" s="1150"/>
      <c r="K322" s="1150"/>
      <c r="L322" s="1130"/>
      <c r="M322" s="1130"/>
      <c r="N322" s="1130"/>
      <c r="O322" s="1130"/>
      <c r="P322" s="1150"/>
      <c r="Q322" s="1130"/>
      <c r="R322" s="1130"/>
      <c r="S322" s="1130"/>
      <c r="T322" s="1130"/>
      <c r="U322" s="1130"/>
      <c r="V322" s="1130"/>
      <c r="W322" s="1130"/>
      <c r="X322" s="1130"/>
      <c r="Y322" s="1130"/>
      <c r="Z322" s="1130"/>
      <c r="AA322" s="1130"/>
      <c r="AB322" s="1130"/>
      <c r="AC322" s="1130"/>
    </row>
    <row r="323" ht="15.75" customHeight="1">
      <c r="A323" s="1130"/>
      <c r="B323" s="1130"/>
      <c r="C323" s="1130"/>
      <c r="D323" s="1130"/>
      <c r="E323" s="1130"/>
      <c r="F323" s="1130"/>
      <c r="G323" s="1130"/>
      <c r="H323" s="1150"/>
      <c r="I323" s="1150"/>
      <c r="J323" s="1150"/>
      <c r="K323" s="1150"/>
      <c r="L323" s="1130"/>
      <c r="M323" s="1130"/>
      <c r="N323" s="1130"/>
      <c r="O323" s="1130"/>
      <c r="P323" s="1150"/>
      <c r="Q323" s="1130"/>
      <c r="R323" s="1130"/>
      <c r="S323" s="1130"/>
      <c r="T323" s="1130"/>
      <c r="U323" s="1130"/>
      <c r="V323" s="1130"/>
      <c r="W323" s="1130"/>
      <c r="X323" s="1130"/>
      <c r="Y323" s="1130"/>
      <c r="Z323" s="1130"/>
      <c r="AA323" s="1130"/>
      <c r="AB323" s="1130"/>
      <c r="AC323" s="1130"/>
    </row>
    <row r="324" ht="15.75" customHeight="1">
      <c r="A324" s="1130"/>
      <c r="B324" s="1130"/>
      <c r="C324" s="1130"/>
      <c r="D324" s="1130"/>
      <c r="E324" s="1130"/>
      <c r="F324" s="1130"/>
      <c r="G324" s="1130"/>
      <c r="H324" s="1150"/>
      <c r="I324" s="1150"/>
      <c r="J324" s="1150"/>
      <c r="K324" s="1150"/>
      <c r="L324" s="1130"/>
      <c r="M324" s="1130"/>
      <c r="N324" s="1130"/>
      <c r="O324" s="1130"/>
      <c r="P324" s="1150"/>
      <c r="Q324" s="1130"/>
      <c r="R324" s="1130"/>
      <c r="S324" s="1130"/>
      <c r="T324" s="1130"/>
      <c r="U324" s="1130"/>
      <c r="V324" s="1130"/>
      <c r="W324" s="1130"/>
      <c r="X324" s="1130"/>
      <c r="Y324" s="1130"/>
      <c r="Z324" s="1130"/>
      <c r="AA324" s="1130"/>
      <c r="AB324" s="1130"/>
      <c r="AC324" s="1130"/>
    </row>
    <row r="325" ht="15.75" customHeight="1">
      <c r="A325" s="1130"/>
      <c r="B325" s="1130"/>
      <c r="C325" s="1130"/>
      <c r="D325" s="1130"/>
      <c r="E325" s="1130"/>
      <c r="F325" s="1130"/>
      <c r="G325" s="1130"/>
      <c r="H325" s="1150"/>
      <c r="I325" s="1150"/>
      <c r="J325" s="1150"/>
      <c r="K325" s="1150"/>
      <c r="L325" s="1130"/>
      <c r="M325" s="1130"/>
      <c r="N325" s="1130"/>
      <c r="O325" s="1130"/>
      <c r="P325" s="1150"/>
      <c r="Q325" s="1130"/>
      <c r="R325" s="1130"/>
      <c r="S325" s="1130"/>
      <c r="T325" s="1130"/>
      <c r="U325" s="1130"/>
      <c r="V325" s="1130"/>
      <c r="W325" s="1130"/>
      <c r="X325" s="1130"/>
      <c r="Y325" s="1130"/>
      <c r="Z325" s="1130"/>
      <c r="AA325" s="1130"/>
      <c r="AB325" s="1130"/>
      <c r="AC325" s="1130"/>
    </row>
    <row r="326" ht="15.75" customHeight="1">
      <c r="A326" s="1130"/>
      <c r="B326" s="1130"/>
      <c r="C326" s="1130"/>
      <c r="D326" s="1130"/>
      <c r="E326" s="1130"/>
      <c r="F326" s="1130"/>
      <c r="G326" s="1130"/>
      <c r="H326" s="1150"/>
      <c r="I326" s="1150"/>
      <c r="J326" s="1150"/>
      <c r="K326" s="1150"/>
      <c r="L326" s="1130"/>
      <c r="M326" s="1130"/>
      <c r="N326" s="1130"/>
      <c r="O326" s="1130"/>
      <c r="P326" s="1150"/>
      <c r="Q326" s="1130"/>
      <c r="R326" s="1130"/>
      <c r="S326" s="1130"/>
      <c r="T326" s="1130"/>
      <c r="U326" s="1130"/>
      <c r="V326" s="1130"/>
      <c r="W326" s="1130"/>
      <c r="X326" s="1130"/>
      <c r="Y326" s="1130"/>
      <c r="Z326" s="1130"/>
      <c r="AA326" s="1130"/>
      <c r="AB326" s="1130"/>
      <c r="AC326" s="1130"/>
    </row>
    <row r="327" ht="15.75" customHeight="1">
      <c r="A327" s="1130"/>
      <c r="B327" s="1130"/>
      <c r="C327" s="1130"/>
      <c r="D327" s="1130"/>
      <c r="E327" s="1130"/>
      <c r="F327" s="1130"/>
      <c r="G327" s="1130"/>
      <c r="H327" s="1150"/>
      <c r="I327" s="1150"/>
      <c r="J327" s="1150"/>
      <c r="K327" s="1150"/>
      <c r="L327" s="1130"/>
      <c r="M327" s="1130"/>
      <c r="N327" s="1130"/>
      <c r="O327" s="1130"/>
      <c r="P327" s="1150"/>
      <c r="Q327" s="1130"/>
      <c r="R327" s="1130"/>
      <c r="S327" s="1130"/>
      <c r="T327" s="1130"/>
      <c r="U327" s="1130"/>
      <c r="V327" s="1130"/>
      <c r="W327" s="1130"/>
      <c r="X327" s="1130"/>
      <c r="Y327" s="1130"/>
      <c r="Z327" s="1130"/>
      <c r="AA327" s="1130"/>
      <c r="AB327" s="1130"/>
      <c r="AC327" s="1130"/>
    </row>
    <row r="328" ht="15.75" customHeight="1">
      <c r="A328" s="1130"/>
      <c r="B328" s="1130"/>
      <c r="C328" s="1130"/>
      <c r="D328" s="1130"/>
      <c r="E328" s="1130"/>
      <c r="F328" s="1130"/>
      <c r="G328" s="1130"/>
      <c r="H328" s="1150"/>
      <c r="I328" s="1150"/>
      <c r="J328" s="1150"/>
      <c r="K328" s="1150"/>
      <c r="L328" s="1130"/>
      <c r="M328" s="1130"/>
      <c r="N328" s="1130"/>
      <c r="O328" s="1130"/>
      <c r="P328" s="1150"/>
      <c r="Q328" s="1130"/>
      <c r="R328" s="1130"/>
      <c r="S328" s="1130"/>
      <c r="T328" s="1130"/>
      <c r="U328" s="1130"/>
      <c r="V328" s="1130"/>
      <c r="W328" s="1130"/>
      <c r="X328" s="1130"/>
      <c r="Y328" s="1130"/>
      <c r="Z328" s="1130"/>
      <c r="AA328" s="1130"/>
      <c r="AB328" s="1130"/>
      <c r="AC328" s="1130"/>
    </row>
    <row r="329" ht="15.75" customHeight="1">
      <c r="A329" s="1130"/>
      <c r="B329" s="1130"/>
      <c r="C329" s="1130"/>
      <c r="D329" s="1130"/>
      <c r="E329" s="1130"/>
      <c r="F329" s="1130"/>
      <c r="G329" s="1130"/>
      <c r="H329" s="1150"/>
      <c r="I329" s="1150"/>
      <c r="J329" s="1150"/>
      <c r="K329" s="1150"/>
      <c r="L329" s="1130"/>
      <c r="M329" s="1130"/>
      <c r="N329" s="1130"/>
      <c r="O329" s="1130"/>
      <c r="P329" s="1150"/>
      <c r="Q329" s="1130"/>
      <c r="R329" s="1130"/>
      <c r="S329" s="1130"/>
      <c r="T329" s="1130"/>
      <c r="U329" s="1130"/>
      <c r="V329" s="1130"/>
      <c r="W329" s="1130"/>
      <c r="X329" s="1130"/>
      <c r="Y329" s="1130"/>
      <c r="Z329" s="1130"/>
      <c r="AA329" s="1130"/>
      <c r="AB329" s="1130"/>
      <c r="AC329" s="1130"/>
    </row>
    <row r="330" ht="15.75" customHeight="1">
      <c r="A330" s="1130"/>
      <c r="B330" s="1130"/>
      <c r="C330" s="1130"/>
      <c r="D330" s="1130"/>
      <c r="E330" s="1130"/>
      <c r="F330" s="1130"/>
      <c r="G330" s="1130"/>
      <c r="H330" s="1150"/>
      <c r="I330" s="1150"/>
      <c r="J330" s="1150"/>
      <c r="K330" s="1150"/>
      <c r="L330" s="1130"/>
      <c r="M330" s="1130"/>
      <c r="N330" s="1130"/>
      <c r="O330" s="1130"/>
      <c r="P330" s="1150"/>
      <c r="Q330" s="1130"/>
      <c r="R330" s="1130"/>
      <c r="S330" s="1130"/>
      <c r="T330" s="1130"/>
      <c r="U330" s="1130"/>
      <c r="V330" s="1130"/>
      <c r="W330" s="1130"/>
      <c r="X330" s="1130"/>
      <c r="Y330" s="1130"/>
      <c r="Z330" s="1130"/>
      <c r="AA330" s="1130"/>
      <c r="AB330" s="1130"/>
      <c r="AC330" s="1130"/>
    </row>
    <row r="331" ht="15.75" customHeight="1">
      <c r="A331" s="1130"/>
      <c r="B331" s="1130"/>
      <c r="C331" s="1130"/>
      <c r="D331" s="1130"/>
      <c r="E331" s="1130"/>
      <c r="F331" s="1130"/>
      <c r="G331" s="1130"/>
      <c r="H331" s="1150"/>
      <c r="I331" s="1150"/>
      <c r="J331" s="1150"/>
      <c r="K331" s="1150"/>
      <c r="L331" s="1130"/>
      <c r="M331" s="1130"/>
      <c r="N331" s="1130"/>
      <c r="O331" s="1130"/>
      <c r="P331" s="1150"/>
      <c r="Q331" s="1130"/>
      <c r="R331" s="1130"/>
      <c r="S331" s="1130"/>
      <c r="T331" s="1130"/>
      <c r="U331" s="1130"/>
      <c r="V331" s="1130"/>
      <c r="W331" s="1130"/>
      <c r="X331" s="1130"/>
      <c r="Y331" s="1130"/>
      <c r="Z331" s="1130"/>
      <c r="AA331" s="1130"/>
      <c r="AB331" s="1130"/>
      <c r="AC331" s="1130"/>
    </row>
    <row r="332" ht="15.75" customHeight="1">
      <c r="A332" s="1130"/>
      <c r="B332" s="1130"/>
      <c r="C332" s="1130"/>
      <c r="D332" s="1130"/>
      <c r="E332" s="1130"/>
      <c r="F332" s="1130"/>
      <c r="G332" s="1130"/>
      <c r="H332" s="1150"/>
      <c r="I332" s="1150"/>
      <c r="J332" s="1150"/>
      <c r="K332" s="1150"/>
      <c r="L332" s="1130"/>
      <c r="M332" s="1130"/>
      <c r="N332" s="1130"/>
      <c r="O332" s="1130"/>
      <c r="P332" s="1150"/>
      <c r="Q332" s="1130"/>
      <c r="R332" s="1130"/>
      <c r="S332" s="1130"/>
      <c r="T332" s="1130"/>
      <c r="U332" s="1130"/>
      <c r="V332" s="1130"/>
      <c r="W332" s="1130"/>
      <c r="X332" s="1130"/>
      <c r="Y332" s="1130"/>
      <c r="Z332" s="1130"/>
      <c r="AA332" s="1130"/>
      <c r="AB332" s="1130"/>
      <c r="AC332" s="1130"/>
    </row>
    <row r="333" ht="15.75" customHeight="1">
      <c r="A333" s="1130"/>
      <c r="B333" s="1130"/>
      <c r="C333" s="1130"/>
      <c r="D333" s="1130"/>
      <c r="E333" s="1130"/>
      <c r="F333" s="1130"/>
      <c r="G333" s="1130"/>
      <c r="H333" s="1150"/>
      <c r="I333" s="1150"/>
      <c r="J333" s="1150"/>
      <c r="K333" s="1150"/>
      <c r="L333" s="1130"/>
      <c r="M333" s="1130"/>
      <c r="N333" s="1130"/>
      <c r="O333" s="1130"/>
      <c r="P333" s="1150"/>
      <c r="Q333" s="1130"/>
      <c r="R333" s="1130"/>
      <c r="S333" s="1130"/>
      <c r="T333" s="1130"/>
      <c r="U333" s="1130"/>
      <c r="V333" s="1130"/>
      <c r="W333" s="1130"/>
      <c r="X333" s="1130"/>
      <c r="Y333" s="1130"/>
      <c r="Z333" s="1130"/>
      <c r="AA333" s="1130"/>
      <c r="AB333" s="1130"/>
      <c r="AC333" s="1130"/>
    </row>
    <row r="334" ht="15.75" customHeight="1">
      <c r="A334" s="1130"/>
      <c r="B334" s="1130"/>
      <c r="C334" s="1130"/>
      <c r="D334" s="1130"/>
      <c r="E334" s="1130"/>
      <c r="F334" s="1130"/>
      <c r="G334" s="1130"/>
      <c r="H334" s="1150"/>
      <c r="I334" s="1150"/>
      <c r="J334" s="1150"/>
      <c r="K334" s="1150"/>
      <c r="L334" s="1130"/>
      <c r="M334" s="1130"/>
      <c r="N334" s="1130"/>
      <c r="O334" s="1130"/>
      <c r="P334" s="1150"/>
      <c r="Q334" s="1130"/>
      <c r="R334" s="1130"/>
      <c r="S334" s="1130"/>
      <c r="T334" s="1130"/>
      <c r="U334" s="1130"/>
      <c r="V334" s="1130"/>
      <c r="W334" s="1130"/>
      <c r="X334" s="1130"/>
      <c r="Y334" s="1130"/>
      <c r="Z334" s="1130"/>
      <c r="AA334" s="1130"/>
      <c r="AB334" s="1130"/>
      <c r="AC334" s="1130"/>
    </row>
    <row r="335" ht="15.75" customHeight="1">
      <c r="A335" s="1130"/>
      <c r="B335" s="1130"/>
      <c r="C335" s="1130"/>
      <c r="D335" s="1130"/>
      <c r="E335" s="1130"/>
      <c r="F335" s="1130"/>
      <c r="G335" s="1130"/>
      <c r="H335" s="1150"/>
      <c r="I335" s="1150"/>
      <c r="J335" s="1150"/>
      <c r="K335" s="1150"/>
      <c r="L335" s="1130"/>
      <c r="M335" s="1130"/>
      <c r="N335" s="1130"/>
      <c r="O335" s="1130"/>
      <c r="P335" s="1150"/>
      <c r="Q335" s="1130"/>
      <c r="R335" s="1130"/>
      <c r="S335" s="1130"/>
      <c r="T335" s="1130"/>
      <c r="U335" s="1130"/>
      <c r="V335" s="1130"/>
      <c r="W335" s="1130"/>
      <c r="X335" s="1130"/>
      <c r="Y335" s="1130"/>
      <c r="Z335" s="1130"/>
      <c r="AA335" s="1130"/>
      <c r="AB335" s="1130"/>
      <c r="AC335" s="1130"/>
    </row>
    <row r="336" ht="15.75" customHeight="1">
      <c r="A336" s="1130"/>
      <c r="B336" s="1130"/>
      <c r="C336" s="1130"/>
      <c r="D336" s="1130"/>
      <c r="E336" s="1130"/>
      <c r="F336" s="1130"/>
      <c r="G336" s="1130"/>
      <c r="H336" s="1150"/>
      <c r="I336" s="1150"/>
      <c r="J336" s="1150"/>
      <c r="K336" s="1150"/>
      <c r="L336" s="1130"/>
      <c r="M336" s="1130"/>
      <c r="N336" s="1130"/>
      <c r="O336" s="1130"/>
      <c r="P336" s="1150"/>
      <c r="Q336" s="1130"/>
      <c r="R336" s="1130"/>
      <c r="S336" s="1130"/>
      <c r="T336" s="1130"/>
      <c r="U336" s="1130"/>
      <c r="V336" s="1130"/>
      <c r="W336" s="1130"/>
      <c r="X336" s="1130"/>
      <c r="Y336" s="1130"/>
      <c r="Z336" s="1130"/>
      <c r="AA336" s="1130"/>
      <c r="AB336" s="1130"/>
      <c r="AC336" s="1130"/>
    </row>
    <row r="337" ht="15.75" customHeight="1">
      <c r="A337" s="1130"/>
      <c r="B337" s="1130"/>
      <c r="C337" s="1130"/>
      <c r="D337" s="1130"/>
      <c r="E337" s="1130"/>
      <c r="F337" s="1130"/>
      <c r="G337" s="1130"/>
      <c r="H337" s="1150"/>
      <c r="I337" s="1150"/>
      <c r="J337" s="1150"/>
      <c r="K337" s="1150"/>
      <c r="L337" s="1130"/>
      <c r="M337" s="1130"/>
      <c r="N337" s="1130"/>
      <c r="O337" s="1130"/>
      <c r="P337" s="1150"/>
      <c r="Q337" s="1130"/>
      <c r="R337" s="1130"/>
      <c r="S337" s="1130"/>
      <c r="T337" s="1130"/>
      <c r="U337" s="1130"/>
      <c r="V337" s="1130"/>
      <c r="W337" s="1130"/>
      <c r="X337" s="1130"/>
      <c r="Y337" s="1130"/>
      <c r="Z337" s="1130"/>
      <c r="AA337" s="1130"/>
      <c r="AB337" s="1130"/>
      <c r="AC337" s="1130"/>
    </row>
    <row r="338" ht="15.75" customHeight="1">
      <c r="A338" s="1130"/>
      <c r="B338" s="1130"/>
      <c r="C338" s="1130"/>
      <c r="D338" s="1130"/>
      <c r="E338" s="1130"/>
      <c r="F338" s="1130"/>
      <c r="G338" s="1130"/>
      <c r="H338" s="1150"/>
      <c r="I338" s="1150"/>
      <c r="J338" s="1150"/>
      <c r="K338" s="1150"/>
      <c r="L338" s="1130"/>
      <c r="M338" s="1130"/>
      <c r="N338" s="1130"/>
      <c r="O338" s="1130"/>
      <c r="P338" s="1150"/>
      <c r="Q338" s="1130"/>
      <c r="R338" s="1130"/>
      <c r="S338" s="1130"/>
      <c r="T338" s="1130"/>
      <c r="U338" s="1130"/>
      <c r="V338" s="1130"/>
      <c r="W338" s="1130"/>
      <c r="X338" s="1130"/>
      <c r="Y338" s="1130"/>
      <c r="Z338" s="1130"/>
      <c r="AA338" s="1130"/>
      <c r="AB338" s="1130"/>
      <c r="AC338" s="1130"/>
    </row>
    <row r="339" ht="15.75" customHeight="1">
      <c r="A339" s="1130"/>
      <c r="B339" s="1130"/>
      <c r="C339" s="1130"/>
      <c r="D339" s="1130"/>
      <c r="E339" s="1130"/>
      <c r="F339" s="1130"/>
      <c r="G339" s="1130"/>
      <c r="H339" s="1150"/>
      <c r="I339" s="1150"/>
      <c r="J339" s="1150"/>
      <c r="K339" s="1150"/>
      <c r="L339" s="1130"/>
      <c r="M339" s="1130"/>
      <c r="N339" s="1130"/>
      <c r="O339" s="1130"/>
      <c r="P339" s="1150"/>
      <c r="Q339" s="1130"/>
      <c r="R339" s="1130"/>
      <c r="S339" s="1130"/>
      <c r="T339" s="1130"/>
      <c r="U339" s="1130"/>
      <c r="V339" s="1130"/>
      <c r="W339" s="1130"/>
      <c r="X339" s="1130"/>
      <c r="Y339" s="1130"/>
      <c r="Z339" s="1130"/>
      <c r="AA339" s="1130"/>
      <c r="AB339" s="1130"/>
      <c r="AC339" s="1130"/>
    </row>
    <row r="340" ht="15.75" customHeight="1">
      <c r="A340" s="1130"/>
      <c r="B340" s="1130"/>
      <c r="C340" s="1130"/>
      <c r="D340" s="1130"/>
      <c r="E340" s="1130"/>
      <c r="F340" s="1130"/>
      <c r="G340" s="1130"/>
      <c r="H340" s="1150"/>
      <c r="I340" s="1150"/>
      <c r="J340" s="1150"/>
      <c r="K340" s="1150"/>
      <c r="L340" s="1130"/>
      <c r="M340" s="1130"/>
      <c r="N340" s="1130"/>
      <c r="O340" s="1130"/>
      <c r="P340" s="1150"/>
      <c r="Q340" s="1130"/>
      <c r="R340" s="1130"/>
      <c r="S340" s="1130"/>
      <c r="T340" s="1130"/>
      <c r="U340" s="1130"/>
      <c r="V340" s="1130"/>
      <c r="W340" s="1130"/>
      <c r="X340" s="1130"/>
      <c r="Y340" s="1130"/>
      <c r="Z340" s="1130"/>
      <c r="AA340" s="1130"/>
      <c r="AB340" s="1130"/>
      <c r="AC340" s="1130"/>
    </row>
    <row r="341" ht="15.75" customHeight="1">
      <c r="A341" s="1130"/>
      <c r="B341" s="1130"/>
      <c r="C341" s="1130"/>
      <c r="D341" s="1130"/>
      <c r="E341" s="1130"/>
      <c r="F341" s="1130"/>
      <c r="G341" s="1130"/>
      <c r="H341" s="1150"/>
      <c r="I341" s="1150"/>
      <c r="J341" s="1150"/>
      <c r="K341" s="1150"/>
      <c r="L341" s="1130"/>
      <c r="M341" s="1130"/>
      <c r="N341" s="1130"/>
      <c r="O341" s="1130"/>
      <c r="P341" s="1150"/>
      <c r="Q341" s="1130"/>
      <c r="R341" s="1130"/>
      <c r="S341" s="1130"/>
      <c r="T341" s="1130"/>
      <c r="U341" s="1130"/>
      <c r="V341" s="1130"/>
      <c r="W341" s="1130"/>
      <c r="X341" s="1130"/>
      <c r="Y341" s="1130"/>
      <c r="Z341" s="1130"/>
      <c r="AA341" s="1130"/>
      <c r="AB341" s="1130"/>
      <c r="AC341" s="1130"/>
    </row>
    <row r="342" ht="15.75" customHeight="1">
      <c r="A342" s="1130"/>
      <c r="B342" s="1130"/>
      <c r="C342" s="1130"/>
      <c r="D342" s="1130"/>
      <c r="E342" s="1130"/>
      <c r="F342" s="1130"/>
      <c r="G342" s="1130"/>
      <c r="H342" s="1150"/>
      <c r="I342" s="1150"/>
      <c r="J342" s="1150"/>
      <c r="K342" s="1150"/>
      <c r="L342" s="1130"/>
      <c r="M342" s="1130"/>
      <c r="N342" s="1130"/>
      <c r="O342" s="1130"/>
      <c r="P342" s="1150"/>
      <c r="Q342" s="1130"/>
      <c r="R342" s="1130"/>
      <c r="S342" s="1130"/>
      <c r="T342" s="1130"/>
      <c r="U342" s="1130"/>
      <c r="V342" s="1130"/>
      <c r="W342" s="1130"/>
      <c r="X342" s="1130"/>
      <c r="Y342" s="1130"/>
      <c r="Z342" s="1130"/>
      <c r="AA342" s="1130"/>
      <c r="AB342" s="1130"/>
      <c r="AC342" s="1130"/>
    </row>
    <row r="343" ht="15.75" customHeight="1">
      <c r="A343" s="1130"/>
      <c r="B343" s="1130"/>
      <c r="C343" s="1130"/>
      <c r="D343" s="1130"/>
      <c r="E343" s="1130"/>
      <c r="F343" s="1130"/>
      <c r="G343" s="1130"/>
      <c r="H343" s="1150"/>
      <c r="I343" s="1150"/>
      <c r="J343" s="1150"/>
      <c r="K343" s="1150"/>
      <c r="L343" s="1130"/>
      <c r="M343" s="1130"/>
      <c r="N343" s="1130"/>
      <c r="O343" s="1130"/>
      <c r="P343" s="1150"/>
      <c r="Q343" s="1130"/>
      <c r="R343" s="1130"/>
      <c r="S343" s="1130"/>
      <c r="T343" s="1130"/>
      <c r="U343" s="1130"/>
      <c r="V343" s="1130"/>
      <c r="W343" s="1130"/>
      <c r="X343" s="1130"/>
      <c r="Y343" s="1130"/>
      <c r="Z343" s="1130"/>
      <c r="AA343" s="1130"/>
      <c r="AB343" s="1130"/>
      <c r="AC343" s="1130"/>
    </row>
    <row r="344" ht="15.75" customHeight="1">
      <c r="A344" s="1130"/>
      <c r="B344" s="1130"/>
      <c r="C344" s="1130"/>
      <c r="D344" s="1130"/>
      <c r="E344" s="1130"/>
      <c r="F344" s="1130"/>
      <c r="G344" s="1130"/>
      <c r="H344" s="1150"/>
      <c r="I344" s="1150"/>
      <c r="J344" s="1150"/>
      <c r="K344" s="1150"/>
      <c r="L344" s="1130"/>
      <c r="M344" s="1130"/>
      <c r="N344" s="1130"/>
      <c r="O344" s="1130"/>
      <c r="P344" s="1150"/>
      <c r="Q344" s="1130"/>
      <c r="R344" s="1130"/>
      <c r="S344" s="1130"/>
      <c r="T344" s="1130"/>
      <c r="U344" s="1130"/>
      <c r="V344" s="1130"/>
      <c r="W344" s="1130"/>
      <c r="X344" s="1130"/>
      <c r="Y344" s="1130"/>
      <c r="Z344" s="1130"/>
      <c r="AA344" s="1130"/>
      <c r="AB344" s="1130"/>
      <c r="AC344" s="1130"/>
    </row>
    <row r="345" ht="15.75" customHeight="1">
      <c r="A345" s="1130"/>
      <c r="B345" s="1130"/>
      <c r="C345" s="1130"/>
      <c r="D345" s="1130"/>
      <c r="E345" s="1130"/>
      <c r="F345" s="1130"/>
      <c r="G345" s="1130"/>
      <c r="H345" s="1150"/>
      <c r="I345" s="1150"/>
      <c r="J345" s="1150"/>
      <c r="K345" s="1150"/>
      <c r="L345" s="1130"/>
      <c r="M345" s="1130"/>
      <c r="N345" s="1130"/>
      <c r="O345" s="1130"/>
      <c r="P345" s="1150"/>
      <c r="Q345" s="1130"/>
      <c r="R345" s="1130"/>
      <c r="S345" s="1130"/>
      <c r="T345" s="1130"/>
      <c r="U345" s="1130"/>
      <c r="V345" s="1130"/>
      <c r="W345" s="1130"/>
      <c r="X345" s="1130"/>
      <c r="Y345" s="1130"/>
      <c r="Z345" s="1130"/>
      <c r="AA345" s="1130"/>
      <c r="AB345" s="1130"/>
      <c r="AC345" s="1130"/>
    </row>
    <row r="346" ht="15.75" customHeight="1">
      <c r="A346" s="1130"/>
      <c r="B346" s="1130"/>
      <c r="C346" s="1130"/>
      <c r="D346" s="1130"/>
      <c r="E346" s="1130"/>
      <c r="F346" s="1130"/>
      <c r="G346" s="1130"/>
      <c r="H346" s="1150"/>
      <c r="I346" s="1150"/>
      <c r="J346" s="1150"/>
      <c r="K346" s="1150"/>
      <c r="L346" s="1130"/>
      <c r="M346" s="1130"/>
      <c r="N346" s="1130"/>
      <c r="O346" s="1130"/>
      <c r="P346" s="1150"/>
      <c r="Q346" s="1130"/>
      <c r="R346" s="1130"/>
      <c r="S346" s="1130"/>
      <c r="T346" s="1130"/>
      <c r="U346" s="1130"/>
      <c r="V346" s="1130"/>
      <c r="W346" s="1130"/>
      <c r="X346" s="1130"/>
      <c r="Y346" s="1130"/>
      <c r="Z346" s="1130"/>
      <c r="AA346" s="1130"/>
      <c r="AB346" s="1130"/>
      <c r="AC346" s="1130"/>
    </row>
    <row r="347" ht="15.75" customHeight="1">
      <c r="A347" s="1130"/>
      <c r="B347" s="1130"/>
      <c r="C347" s="1130"/>
      <c r="D347" s="1130"/>
      <c r="E347" s="1130"/>
      <c r="F347" s="1130"/>
      <c r="G347" s="1130"/>
      <c r="H347" s="1150"/>
      <c r="I347" s="1150"/>
      <c r="J347" s="1150"/>
      <c r="K347" s="1150"/>
      <c r="L347" s="1130"/>
      <c r="M347" s="1130"/>
      <c r="N347" s="1130"/>
      <c r="O347" s="1130"/>
      <c r="P347" s="1150"/>
      <c r="Q347" s="1130"/>
      <c r="R347" s="1130"/>
      <c r="S347" s="1130"/>
      <c r="T347" s="1130"/>
      <c r="U347" s="1130"/>
      <c r="V347" s="1130"/>
      <c r="W347" s="1130"/>
      <c r="X347" s="1130"/>
      <c r="Y347" s="1130"/>
      <c r="Z347" s="1130"/>
      <c r="AA347" s="1130"/>
      <c r="AB347" s="1130"/>
      <c r="AC347" s="1130"/>
    </row>
    <row r="348" ht="15.75" customHeight="1">
      <c r="A348" s="1130"/>
      <c r="B348" s="1130"/>
      <c r="C348" s="1130"/>
      <c r="D348" s="1130"/>
      <c r="E348" s="1130"/>
      <c r="F348" s="1130"/>
      <c r="G348" s="1130"/>
      <c r="H348" s="1150"/>
      <c r="I348" s="1150"/>
      <c r="J348" s="1150"/>
      <c r="K348" s="1150"/>
      <c r="L348" s="1130"/>
      <c r="M348" s="1130"/>
      <c r="N348" s="1130"/>
      <c r="O348" s="1130"/>
      <c r="P348" s="1150"/>
      <c r="Q348" s="1130"/>
      <c r="R348" s="1130"/>
      <c r="S348" s="1130"/>
      <c r="T348" s="1130"/>
      <c r="U348" s="1130"/>
      <c r="V348" s="1130"/>
      <c r="W348" s="1130"/>
      <c r="X348" s="1130"/>
      <c r="Y348" s="1130"/>
      <c r="Z348" s="1130"/>
      <c r="AA348" s="1130"/>
      <c r="AB348" s="1130"/>
      <c r="AC348" s="1130"/>
    </row>
    <row r="349" ht="15.75" customHeight="1">
      <c r="A349" s="1130"/>
      <c r="B349" s="1130"/>
      <c r="C349" s="1130"/>
      <c r="D349" s="1130"/>
      <c r="E349" s="1130"/>
      <c r="F349" s="1130"/>
      <c r="G349" s="1130"/>
      <c r="H349" s="1150"/>
      <c r="I349" s="1150"/>
      <c r="J349" s="1150"/>
      <c r="K349" s="1150"/>
      <c r="L349" s="1130"/>
      <c r="M349" s="1130"/>
      <c r="N349" s="1130"/>
      <c r="O349" s="1130"/>
      <c r="P349" s="1150"/>
      <c r="Q349" s="1130"/>
      <c r="R349" s="1130"/>
      <c r="S349" s="1130"/>
      <c r="T349" s="1130"/>
      <c r="U349" s="1130"/>
      <c r="V349" s="1130"/>
      <c r="W349" s="1130"/>
      <c r="X349" s="1130"/>
      <c r="Y349" s="1130"/>
      <c r="Z349" s="1130"/>
      <c r="AA349" s="1130"/>
      <c r="AB349" s="1130"/>
      <c r="AC349" s="1130"/>
    </row>
    <row r="350" ht="15.75" customHeight="1">
      <c r="A350" s="1130"/>
      <c r="B350" s="1130"/>
      <c r="C350" s="1130"/>
      <c r="D350" s="1130"/>
      <c r="E350" s="1130"/>
      <c r="F350" s="1130"/>
      <c r="G350" s="1130"/>
      <c r="H350" s="1150"/>
      <c r="I350" s="1150"/>
      <c r="J350" s="1150"/>
      <c r="K350" s="1150"/>
      <c r="L350" s="1130"/>
      <c r="M350" s="1130"/>
      <c r="N350" s="1130"/>
      <c r="O350" s="1130"/>
      <c r="P350" s="1150"/>
      <c r="Q350" s="1130"/>
      <c r="R350" s="1130"/>
      <c r="S350" s="1130"/>
      <c r="T350" s="1130"/>
      <c r="U350" s="1130"/>
      <c r="V350" s="1130"/>
      <c r="W350" s="1130"/>
      <c r="X350" s="1130"/>
      <c r="Y350" s="1130"/>
      <c r="Z350" s="1130"/>
      <c r="AA350" s="1130"/>
      <c r="AB350" s="1130"/>
      <c r="AC350" s="1130"/>
    </row>
    <row r="351" ht="15.75" customHeight="1">
      <c r="A351" s="1130"/>
      <c r="B351" s="1130"/>
      <c r="C351" s="1130"/>
      <c r="D351" s="1130"/>
      <c r="E351" s="1130"/>
      <c r="F351" s="1130"/>
      <c r="G351" s="1130"/>
      <c r="H351" s="1150"/>
      <c r="I351" s="1150"/>
      <c r="J351" s="1150"/>
      <c r="K351" s="1150"/>
      <c r="L351" s="1130"/>
      <c r="M351" s="1130"/>
      <c r="N351" s="1130"/>
      <c r="O351" s="1130"/>
      <c r="P351" s="1150"/>
      <c r="Q351" s="1130"/>
      <c r="R351" s="1130"/>
      <c r="S351" s="1130"/>
      <c r="T351" s="1130"/>
      <c r="U351" s="1130"/>
      <c r="V351" s="1130"/>
      <c r="W351" s="1130"/>
      <c r="X351" s="1130"/>
      <c r="Y351" s="1130"/>
      <c r="Z351" s="1130"/>
      <c r="AA351" s="1130"/>
      <c r="AB351" s="1130"/>
      <c r="AC351" s="1130"/>
    </row>
    <row r="352" ht="15.75" customHeight="1">
      <c r="A352" s="1130"/>
      <c r="B352" s="1130"/>
      <c r="C352" s="1130"/>
      <c r="D352" s="1130"/>
      <c r="E352" s="1130"/>
      <c r="F352" s="1130"/>
      <c r="G352" s="1130"/>
      <c r="H352" s="1150"/>
      <c r="I352" s="1150"/>
      <c r="J352" s="1150"/>
      <c r="K352" s="1150"/>
      <c r="L352" s="1130"/>
      <c r="M352" s="1130"/>
      <c r="N352" s="1130"/>
      <c r="O352" s="1130"/>
      <c r="P352" s="1150"/>
      <c r="Q352" s="1130"/>
      <c r="R352" s="1130"/>
      <c r="S352" s="1130"/>
      <c r="T352" s="1130"/>
      <c r="U352" s="1130"/>
      <c r="V352" s="1130"/>
      <c r="W352" s="1130"/>
      <c r="X352" s="1130"/>
      <c r="Y352" s="1130"/>
      <c r="Z352" s="1130"/>
      <c r="AA352" s="1130"/>
      <c r="AB352" s="1130"/>
      <c r="AC352" s="1130"/>
    </row>
    <row r="353" ht="15.75" customHeight="1">
      <c r="A353" s="1130"/>
      <c r="B353" s="1130"/>
      <c r="C353" s="1130"/>
      <c r="D353" s="1130"/>
      <c r="E353" s="1130"/>
      <c r="F353" s="1130"/>
      <c r="G353" s="1130"/>
      <c r="H353" s="1150"/>
      <c r="I353" s="1150"/>
      <c r="J353" s="1150"/>
      <c r="K353" s="1150"/>
      <c r="L353" s="1130"/>
      <c r="M353" s="1130"/>
      <c r="N353" s="1130"/>
      <c r="O353" s="1130"/>
      <c r="P353" s="1150"/>
      <c r="Q353" s="1130"/>
      <c r="R353" s="1130"/>
      <c r="S353" s="1130"/>
      <c r="T353" s="1130"/>
      <c r="U353" s="1130"/>
      <c r="V353" s="1130"/>
      <c r="W353" s="1130"/>
      <c r="X353" s="1130"/>
      <c r="Y353" s="1130"/>
      <c r="Z353" s="1130"/>
      <c r="AA353" s="1130"/>
      <c r="AB353" s="1130"/>
      <c r="AC353" s="1130"/>
    </row>
    <row r="354" ht="15.75" customHeight="1">
      <c r="A354" s="1130"/>
      <c r="B354" s="1130"/>
      <c r="C354" s="1130"/>
      <c r="D354" s="1130"/>
      <c r="E354" s="1130"/>
      <c r="F354" s="1130"/>
      <c r="G354" s="1130"/>
      <c r="H354" s="1150"/>
      <c r="I354" s="1150"/>
      <c r="J354" s="1150"/>
      <c r="K354" s="1150"/>
      <c r="L354" s="1130"/>
      <c r="M354" s="1130"/>
      <c r="N354" s="1130"/>
      <c r="O354" s="1130"/>
      <c r="P354" s="1150"/>
      <c r="Q354" s="1130"/>
      <c r="R354" s="1130"/>
      <c r="S354" s="1130"/>
      <c r="T354" s="1130"/>
      <c r="U354" s="1130"/>
      <c r="V354" s="1130"/>
      <c r="W354" s="1130"/>
      <c r="X354" s="1130"/>
      <c r="Y354" s="1130"/>
      <c r="Z354" s="1130"/>
      <c r="AA354" s="1130"/>
      <c r="AB354" s="1130"/>
      <c r="AC354" s="1130"/>
    </row>
    <row r="355" ht="15.75" customHeight="1">
      <c r="A355" s="1130"/>
      <c r="B355" s="1130"/>
      <c r="C355" s="1130"/>
      <c r="D355" s="1130"/>
      <c r="E355" s="1130"/>
      <c r="F355" s="1130"/>
      <c r="G355" s="1130"/>
      <c r="H355" s="1150"/>
      <c r="I355" s="1150"/>
      <c r="J355" s="1150"/>
      <c r="K355" s="1150"/>
      <c r="L355" s="1130"/>
      <c r="M355" s="1130"/>
      <c r="N355" s="1130"/>
      <c r="O355" s="1130"/>
      <c r="P355" s="1150"/>
      <c r="Q355" s="1130"/>
      <c r="R355" s="1130"/>
      <c r="S355" s="1130"/>
      <c r="T355" s="1130"/>
      <c r="U355" s="1130"/>
      <c r="V355" s="1130"/>
      <c r="W355" s="1130"/>
      <c r="X355" s="1130"/>
      <c r="Y355" s="1130"/>
      <c r="Z355" s="1130"/>
      <c r="AA355" s="1130"/>
      <c r="AB355" s="1130"/>
      <c r="AC355" s="1130"/>
    </row>
    <row r="356" ht="15.75" customHeight="1">
      <c r="A356" s="1130"/>
      <c r="B356" s="1130"/>
      <c r="C356" s="1130"/>
      <c r="D356" s="1130"/>
      <c r="E356" s="1130"/>
      <c r="F356" s="1130"/>
      <c r="G356" s="1130"/>
      <c r="H356" s="1150"/>
      <c r="I356" s="1150"/>
      <c r="J356" s="1150"/>
      <c r="K356" s="1150"/>
      <c r="L356" s="1130"/>
      <c r="M356" s="1130"/>
      <c r="N356" s="1130"/>
      <c r="O356" s="1130"/>
      <c r="P356" s="1150"/>
      <c r="Q356" s="1130"/>
      <c r="R356" s="1130"/>
      <c r="S356" s="1130"/>
      <c r="T356" s="1130"/>
      <c r="U356" s="1130"/>
      <c r="V356" s="1130"/>
      <c r="W356" s="1130"/>
      <c r="X356" s="1130"/>
      <c r="Y356" s="1130"/>
      <c r="Z356" s="1130"/>
      <c r="AA356" s="1130"/>
      <c r="AB356" s="1130"/>
      <c r="AC356" s="1130"/>
    </row>
    <row r="357" ht="15.75" customHeight="1">
      <c r="A357" s="1130"/>
      <c r="B357" s="1130"/>
      <c r="C357" s="1130"/>
      <c r="D357" s="1130"/>
      <c r="E357" s="1130"/>
      <c r="F357" s="1130"/>
      <c r="G357" s="1130"/>
      <c r="H357" s="1150"/>
      <c r="I357" s="1150"/>
      <c r="J357" s="1150"/>
      <c r="K357" s="1150"/>
      <c r="L357" s="1130"/>
      <c r="M357" s="1130"/>
      <c r="N357" s="1130"/>
      <c r="O357" s="1130"/>
      <c r="P357" s="1150"/>
      <c r="Q357" s="1130"/>
      <c r="R357" s="1130"/>
      <c r="S357" s="1130"/>
      <c r="T357" s="1130"/>
      <c r="U357" s="1130"/>
      <c r="V357" s="1130"/>
      <c r="W357" s="1130"/>
      <c r="X357" s="1130"/>
      <c r="Y357" s="1130"/>
      <c r="Z357" s="1130"/>
      <c r="AA357" s="1130"/>
      <c r="AB357" s="1130"/>
      <c r="AC357" s="1130"/>
    </row>
    <row r="358" ht="15.75" customHeight="1">
      <c r="A358" s="1130"/>
      <c r="B358" s="1130"/>
      <c r="C358" s="1130"/>
      <c r="D358" s="1130"/>
      <c r="E358" s="1130"/>
      <c r="F358" s="1130"/>
      <c r="G358" s="1130"/>
      <c r="H358" s="1150"/>
      <c r="I358" s="1150"/>
      <c r="J358" s="1150"/>
      <c r="K358" s="1150"/>
      <c r="L358" s="1130"/>
      <c r="M358" s="1130"/>
      <c r="N358" s="1130"/>
      <c r="O358" s="1130"/>
      <c r="P358" s="1150"/>
      <c r="Q358" s="1130"/>
      <c r="R358" s="1130"/>
      <c r="S358" s="1130"/>
      <c r="T358" s="1130"/>
      <c r="U358" s="1130"/>
      <c r="V358" s="1130"/>
      <c r="W358" s="1130"/>
      <c r="X358" s="1130"/>
      <c r="Y358" s="1130"/>
      <c r="Z358" s="1130"/>
      <c r="AA358" s="1130"/>
      <c r="AB358" s="1130"/>
      <c r="AC358" s="1130"/>
    </row>
    <row r="359" ht="15.75" customHeight="1">
      <c r="A359" s="1130"/>
      <c r="B359" s="1130"/>
      <c r="C359" s="1130"/>
      <c r="D359" s="1130"/>
      <c r="E359" s="1130"/>
      <c r="F359" s="1130"/>
      <c r="G359" s="1130"/>
      <c r="H359" s="1150"/>
      <c r="I359" s="1150"/>
      <c r="J359" s="1150"/>
      <c r="K359" s="1150"/>
      <c r="L359" s="1130"/>
      <c r="M359" s="1130"/>
      <c r="N359" s="1130"/>
      <c r="O359" s="1130"/>
      <c r="P359" s="1150"/>
      <c r="Q359" s="1130"/>
      <c r="R359" s="1130"/>
      <c r="S359" s="1130"/>
      <c r="T359" s="1130"/>
      <c r="U359" s="1130"/>
      <c r="V359" s="1130"/>
      <c r="W359" s="1130"/>
      <c r="X359" s="1130"/>
      <c r="Y359" s="1130"/>
      <c r="Z359" s="1130"/>
      <c r="AA359" s="1130"/>
      <c r="AB359" s="1130"/>
      <c r="AC359" s="1130"/>
    </row>
    <row r="360" ht="15.75" customHeight="1">
      <c r="A360" s="1130"/>
      <c r="B360" s="1130"/>
      <c r="C360" s="1130"/>
      <c r="D360" s="1130"/>
      <c r="E360" s="1130"/>
      <c r="F360" s="1130"/>
      <c r="G360" s="1130"/>
      <c r="H360" s="1150"/>
      <c r="I360" s="1150"/>
      <c r="J360" s="1150"/>
      <c r="K360" s="1150"/>
      <c r="L360" s="1130"/>
      <c r="M360" s="1130"/>
      <c r="N360" s="1130"/>
      <c r="O360" s="1130"/>
      <c r="P360" s="1150"/>
      <c r="Q360" s="1130"/>
      <c r="R360" s="1130"/>
      <c r="S360" s="1130"/>
      <c r="T360" s="1130"/>
      <c r="U360" s="1130"/>
      <c r="V360" s="1130"/>
      <c r="W360" s="1130"/>
      <c r="X360" s="1130"/>
      <c r="Y360" s="1130"/>
      <c r="Z360" s="1130"/>
      <c r="AA360" s="1130"/>
      <c r="AB360" s="1130"/>
      <c r="AC360" s="1130"/>
    </row>
    <row r="361" ht="15.75" customHeight="1">
      <c r="A361" s="1130"/>
      <c r="B361" s="1130"/>
      <c r="C361" s="1130"/>
      <c r="D361" s="1130"/>
      <c r="E361" s="1130"/>
      <c r="F361" s="1130"/>
      <c r="G361" s="1130"/>
      <c r="H361" s="1150"/>
      <c r="I361" s="1150"/>
      <c r="J361" s="1150"/>
      <c r="K361" s="1150"/>
      <c r="L361" s="1130"/>
      <c r="M361" s="1130"/>
      <c r="N361" s="1130"/>
      <c r="O361" s="1130"/>
      <c r="P361" s="1150"/>
      <c r="Q361" s="1130"/>
      <c r="R361" s="1130"/>
      <c r="S361" s="1130"/>
      <c r="T361" s="1130"/>
      <c r="U361" s="1130"/>
      <c r="V361" s="1130"/>
      <c r="W361" s="1130"/>
      <c r="X361" s="1130"/>
      <c r="Y361" s="1130"/>
      <c r="Z361" s="1130"/>
      <c r="AA361" s="1130"/>
      <c r="AB361" s="1130"/>
      <c r="AC361" s="1130"/>
    </row>
    <row r="362" ht="15.75" customHeight="1">
      <c r="A362" s="1130"/>
      <c r="B362" s="1130"/>
      <c r="C362" s="1130"/>
      <c r="D362" s="1130"/>
      <c r="E362" s="1130"/>
      <c r="F362" s="1130"/>
      <c r="G362" s="1130"/>
      <c r="H362" s="1150"/>
      <c r="I362" s="1150"/>
      <c r="J362" s="1150"/>
      <c r="K362" s="1150"/>
      <c r="L362" s="1130"/>
      <c r="M362" s="1130"/>
      <c r="N362" s="1130"/>
      <c r="O362" s="1130"/>
      <c r="P362" s="1150"/>
      <c r="Q362" s="1130"/>
      <c r="R362" s="1130"/>
      <c r="S362" s="1130"/>
      <c r="T362" s="1130"/>
      <c r="U362" s="1130"/>
      <c r="V362" s="1130"/>
      <c r="W362" s="1130"/>
      <c r="X362" s="1130"/>
      <c r="Y362" s="1130"/>
      <c r="Z362" s="1130"/>
      <c r="AA362" s="1130"/>
      <c r="AB362" s="1130"/>
      <c r="AC362" s="1130"/>
    </row>
    <row r="363" ht="15.75" customHeight="1">
      <c r="A363" s="1130"/>
      <c r="B363" s="1130"/>
      <c r="C363" s="1130"/>
      <c r="D363" s="1130"/>
      <c r="E363" s="1130"/>
      <c r="F363" s="1130"/>
      <c r="G363" s="1130"/>
      <c r="H363" s="1150"/>
      <c r="I363" s="1150"/>
      <c r="J363" s="1150"/>
      <c r="K363" s="1150"/>
      <c r="L363" s="1130"/>
      <c r="M363" s="1130"/>
      <c r="N363" s="1130"/>
      <c r="O363" s="1130"/>
      <c r="P363" s="1150"/>
      <c r="Q363" s="1130"/>
      <c r="R363" s="1130"/>
      <c r="S363" s="1130"/>
      <c r="T363" s="1130"/>
      <c r="U363" s="1130"/>
      <c r="V363" s="1130"/>
      <c r="W363" s="1130"/>
      <c r="X363" s="1130"/>
      <c r="Y363" s="1130"/>
      <c r="Z363" s="1130"/>
      <c r="AA363" s="1130"/>
      <c r="AB363" s="1130"/>
      <c r="AC363" s="1130"/>
    </row>
    <row r="364" ht="15.75" customHeight="1">
      <c r="A364" s="1130"/>
      <c r="B364" s="1130"/>
      <c r="C364" s="1130"/>
      <c r="D364" s="1130"/>
      <c r="E364" s="1130"/>
      <c r="F364" s="1130"/>
      <c r="G364" s="1130"/>
      <c r="H364" s="1150"/>
      <c r="I364" s="1150"/>
      <c r="J364" s="1150"/>
      <c r="K364" s="1150"/>
      <c r="L364" s="1130"/>
      <c r="M364" s="1130"/>
      <c r="N364" s="1130"/>
      <c r="O364" s="1130"/>
      <c r="P364" s="1150"/>
      <c r="Q364" s="1130"/>
      <c r="R364" s="1130"/>
      <c r="S364" s="1130"/>
      <c r="T364" s="1130"/>
      <c r="U364" s="1130"/>
      <c r="V364" s="1130"/>
      <c r="W364" s="1130"/>
      <c r="X364" s="1130"/>
      <c r="Y364" s="1130"/>
      <c r="Z364" s="1130"/>
      <c r="AA364" s="1130"/>
      <c r="AB364" s="1130"/>
      <c r="AC364" s="1130"/>
    </row>
    <row r="365" ht="15.75" customHeight="1">
      <c r="A365" s="1130"/>
      <c r="B365" s="1130"/>
      <c r="C365" s="1130"/>
      <c r="D365" s="1130"/>
      <c r="E365" s="1130"/>
      <c r="F365" s="1130"/>
      <c r="G365" s="1130"/>
      <c r="H365" s="1150"/>
      <c r="I365" s="1150"/>
      <c r="J365" s="1150"/>
      <c r="K365" s="1150"/>
      <c r="L365" s="1130"/>
      <c r="M365" s="1130"/>
      <c r="N365" s="1130"/>
      <c r="O365" s="1130"/>
      <c r="P365" s="1150"/>
      <c r="Q365" s="1130"/>
      <c r="R365" s="1130"/>
      <c r="S365" s="1130"/>
      <c r="T365" s="1130"/>
      <c r="U365" s="1130"/>
      <c r="V365" s="1130"/>
      <c r="W365" s="1130"/>
      <c r="X365" s="1130"/>
      <c r="Y365" s="1130"/>
      <c r="Z365" s="1130"/>
      <c r="AA365" s="1130"/>
      <c r="AB365" s="1130"/>
      <c r="AC365" s="1130"/>
    </row>
    <row r="366" ht="15.75" customHeight="1">
      <c r="A366" s="1130"/>
      <c r="B366" s="1130"/>
      <c r="C366" s="1130"/>
      <c r="D366" s="1130"/>
      <c r="E366" s="1130"/>
      <c r="F366" s="1130"/>
      <c r="G366" s="1130"/>
      <c r="H366" s="1150"/>
      <c r="I366" s="1150"/>
      <c r="J366" s="1150"/>
      <c r="K366" s="1150"/>
      <c r="L366" s="1130"/>
      <c r="M366" s="1130"/>
      <c r="N366" s="1130"/>
      <c r="O366" s="1130"/>
      <c r="P366" s="1150"/>
      <c r="Q366" s="1130"/>
      <c r="R366" s="1130"/>
      <c r="S366" s="1130"/>
      <c r="T366" s="1130"/>
      <c r="U366" s="1130"/>
      <c r="V366" s="1130"/>
      <c r="W366" s="1130"/>
      <c r="X366" s="1130"/>
      <c r="Y366" s="1130"/>
      <c r="Z366" s="1130"/>
      <c r="AA366" s="1130"/>
      <c r="AB366" s="1130"/>
      <c r="AC366" s="1130"/>
    </row>
    <row r="367" ht="15.75" customHeight="1">
      <c r="A367" s="1130"/>
      <c r="B367" s="1130"/>
      <c r="C367" s="1130"/>
      <c r="D367" s="1130"/>
      <c r="E367" s="1130"/>
      <c r="F367" s="1130"/>
      <c r="G367" s="1130"/>
      <c r="H367" s="1150"/>
      <c r="I367" s="1150"/>
      <c r="J367" s="1150"/>
      <c r="K367" s="1150"/>
      <c r="L367" s="1130"/>
      <c r="M367" s="1130"/>
      <c r="N367" s="1130"/>
      <c r="O367" s="1130"/>
      <c r="P367" s="1150"/>
      <c r="Q367" s="1130"/>
      <c r="R367" s="1130"/>
      <c r="S367" s="1130"/>
      <c r="T367" s="1130"/>
      <c r="U367" s="1130"/>
      <c r="V367" s="1130"/>
      <c r="W367" s="1130"/>
      <c r="X367" s="1130"/>
      <c r="Y367" s="1130"/>
      <c r="Z367" s="1130"/>
      <c r="AA367" s="1130"/>
      <c r="AB367" s="1130"/>
      <c r="AC367" s="1130"/>
    </row>
    <row r="368" ht="15.75" customHeight="1">
      <c r="A368" s="1130"/>
      <c r="B368" s="1130"/>
      <c r="C368" s="1130"/>
      <c r="D368" s="1130"/>
      <c r="E368" s="1130"/>
      <c r="F368" s="1130"/>
      <c r="G368" s="1130"/>
      <c r="H368" s="1150"/>
      <c r="I368" s="1150"/>
      <c r="J368" s="1150"/>
      <c r="K368" s="1150"/>
      <c r="L368" s="1130"/>
      <c r="M368" s="1130"/>
      <c r="N368" s="1130"/>
      <c r="O368" s="1130"/>
      <c r="P368" s="1150"/>
      <c r="Q368" s="1130"/>
      <c r="R368" s="1130"/>
      <c r="S368" s="1130"/>
      <c r="T368" s="1130"/>
      <c r="U368" s="1130"/>
      <c r="V368" s="1130"/>
      <c r="W368" s="1130"/>
      <c r="X368" s="1130"/>
      <c r="Y368" s="1130"/>
      <c r="Z368" s="1130"/>
      <c r="AA368" s="1130"/>
      <c r="AB368" s="1130"/>
      <c r="AC368" s="1130"/>
    </row>
    <row r="369" ht="15.75" customHeight="1">
      <c r="A369" s="1130"/>
      <c r="B369" s="1130"/>
      <c r="C369" s="1130"/>
      <c r="D369" s="1130"/>
      <c r="E369" s="1130"/>
      <c r="F369" s="1130"/>
      <c r="G369" s="1130"/>
      <c r="H369" s="1150"/>
      <c r="I369" s="1150"/>
      <c r="J369" s="1150"/>
      <c r="K369" s="1150"/>
      <c r="L369" s="1130"/>
      <c r="M369" s="1130"/>
      <c r="N369" s="1130"/>
      <c r="O369" s="1130"/>
      <c r="P369" s="1150"/>
      <c r="Q369" s="1130"/>
      <c r="R369" s="1130"/>
      <c r="S369" s="1130"/>
      <c r="T369" s="1130"/>
      <c r="U369" s="1130"/>
      <c r="V369" s="1130"/>
      <c r="W369" s="1130"/>
      <c r="X369" s="1130"/>
      <c r="Y369" s="1130"/>
      <c r="Z369" s="1130"/>
      <c r="AA369" s="1130"/>
      <c r="AB369" s="1130"/>
      <c r="AC369" s="1130"/>
    </row>
    <row r="370" ht="15.75" customHeight="1">
      <c r="A370" s="1130"/>
      <c r="B370" s="1130"/>
      <c r="C370" s="1130"/>
      <c r="D370" s="1130"/>
      <c r="E370" s="1130"/>
      <c r="F370" s="1130"/>
      <c r="G370" s="1130"/>
      <c r="H370" s="1150"/>
      <c r="I370" s="1150"/>
      <c r="J370" s="1150"/>
      <c r="K370" s="1150"/>
      <c r="L370" s="1130"/>
      <c r="M370" s="1130"/>
      <c r="N370" s="1130"/>
      <c r="O370" s="1130"/>
      <c r="P370" s="1150"/>
      <c r="Q370" s="1130"/>
      <c r="R370" s="1130"/>
      <c r="S370" s="1130"/>
      <c r="T370" s="1130"/>
      <c r="U370" s="1130"/>
      <c r="V370" s="1130"/>
      <c r="W370" s="1130"/>
      <c r="X370" s="1130"/>
      <c r="Y370" s="1130"/>
      <c r="Z370" s="1130"/>
      <c r="AA370" s="1130"/>
      <c r="AB370" s="1130"/>
      <c r="AC370" s="1130"/>
    </row>
    <row r="371" ht="15.75" customHeight="1">
      <c r="A371" s="1130"/>
      <c r="B371" s="1130"/>
      <c r="C371" s="1130"/>
      <c r="D371" s="1130"/>
      <c r="E371" s="1130"/>
      <c r="F371" s="1130"/>
      <c r="G371" s="1130"/>
      <c r="H371" s="1150"/>
      <c r="I371" s="1150"/>
      <c r="J371" s="1150"/>
      <c r="K371" s="1150"/>
      <c r="L371" s="1130"/>
      <c r="M371" s="1130"/>
      <c r="N371" s="1130"/>
      <c r="O371" s="1130"/>
      <c r="P371" s="1150"/>
      <c r="Q371" s="1130"/>
      <c r="R371" s="1130"/>
      <c r="S371" s="1130"/>
      <c r="T371" s="1130"/>
      <c r="U371" s="1130"/>
      <c r="V371" s="1130"/>
      <c r="W371" s="1130"/>
      <c r="X371" s="1130"/>
      <c r="Y371" s="1130"/>
      <c r="Z371" s="1130"/>
      <c r="AA371" s="1130"/>
      <c r="AB371" s="1130"/>
      <c r="AC371" s="1130"/>
    </row>
    <row r="372" ht="15.75" customHeight="1">
      <c r="A372" s="1130"/>
      <c r="B372" s="1130"/>
      <c r="C372" s="1130"/>
      <c r="D372" s="1130"/>
      <c r="E372" s="1130"/>
      <c r="F372" s="1130"/>
      <c r="G372" s="1130"/>
      <c r="H372" s="1150"/>
      <c r="I372" s="1150"/>
      <c r="J372" s="1150"/>
      <c r="K372" s="1150"/>
      <c r="L372" s="1130"/>
      <c r="M372" s="1130"/>
      <c r="N372" s="1130"/>
      <c r="O372" s="1130"/>
      <c r="P372" s="1150"/>
      <c r="Q372" s="1130"/>
      <c r="R372" s="1130"/>
      <c r="S372" s="1130"/>
      <c r="T372" s="1130"/>
      <c r="U372" s="1130"/>
      <c r="V372" s="1130"/>
      <c r="W372" s="1130"/>
      <c r="X372" s="1130"/>
      <c r="Y372" s="1130"/>
      <c r="Z372" s="1130"/>
      <c r="AA372" s="1130"/>
      <c r="AB372" s="1130"/>
      <c r="AC372" s="1130"/>
    </row>
    <row r="373" ht="15.75" customHeight="1">
      <c r="A373" s="1130"/>
      <c r="B373" s="1130"/>
      <c r="C373" s="1130"/>
      <c r="D373" s="1130"/>
      <c r="E373" s="1130"/>
      <c r="F373" s="1130"/>
      <c r="G373" s="1130"/>
      <c r="H373" s="1150"/>
      <c r="I373" s="1150"/>
      <c r="J373" s="1150"/>
      <c r="K373" s="1150"/>
      <c r="L373" s="1130"/>
      <c r="M373" s="1130"/>
      <c r="N373" s="1130"/>
      <c r="O373" s="1130"/>
      <c r="P373" s="1150"/>
      <c r="Q373" s="1130"/>
      <c r="R373" s="1130"/>
      <c r="S373" s="1130"/>
      <c r="T373" s="1130"/>
      <c r="U373" s="1130"/>
      <c r="V373" s="1130"/>
      <c r="W373" s="1130"/>
      <c r="X373" s="1130"/>
      <c r="Y373" s="1130"/>
      <c r="Z373" s="1130"/>
      <c r="AA373" s="1130"/>
      <c r="AB373" s="1130"/>
      <c r="AC373" s="1130"/>
    </row>
    <row r="374" ht="15.75" customHeight="1">
      <c r="A374" s="1130"/>
      <c r="B374" s="1130"/>
      <c r="C374" s="1130"/>
      <c r="D374" s="1130"/>
      <c r="E374" s="1130"/>
      <c r="F374" s="1130"/>
      <c r="G374" s="1130"/>
      <c r="H374" s="1150"/>
      <c r="I374" s="1150"/>
      <c r="J374" s="1150"/>
      <c r="K374" s="1150"/>
      <c r="L374" s="1130"/>
      <c r="M374" s="1130"/>
      <c r="N374" s="1130"/>
      <c r="O374" s="1130"/>
      <c r="P374" s="1150"/>
      <c r="Q374" s="1130"/>
      <c r="R374" s="1130"/>
      <c r="S374" s="1130"/>
      <c r="T374" s="1130"/>
      <c r="U374" s="1130"/>
      <c r="V374" s="1130"/>
      <c r="W374" s="1130"/>
      <c r="X374" s="1130"/>
      <c r="Y374" s="1130"/>
      <c r="Z374" s="1130"/>
      <c r="AA374" s="1130"/>
      <c r="AB374" s="1130"/>
      <c r="AC374" s="1130"/>
    </row>
    <row r="375" ht="15.75" customHeight="1">
      <c r="A375" s="1130"/>
      <c r="B375" s="1130"/>
      <c r="C375" s="1130"/>
      <c r="D375" s="1130"/>
      <c r="E375" s="1130"/>
      <c r="F375" s="1130"/>
      <c r="G375" s="1130"/>
      <c r="H375" s="1150"/>
      <c r="I375" s="1150"/>
      <c r="J375" s="1150"/>
      <c r="K375" s="1150"/>
      <c r="L375" s="1130"/>
      <c r="M375" s="1130"/>
      <c r="N375" s="1130"/>
      <c r="O375" s="1130"/>
      <c r="P375" s="1150"/>
      <c r="Q375" s="1130"/>
      <c r="R375" s="1130"/>
      <c r="S375" s="1130"/>
      <c r="T375" s="1130"/>
      <c r="U375" s="1130"/>
      <c r="V375" s="1130"/>
      <c r="W375" s="1130"/>
      <c r="X375" s="1130"/>
      <c r="Y375" s="1130"/>
      <c r="Z375" s="1130"/>
      <c r="AA375" s="1130"/>
      <c r="AB375" s="1130"/>
      <c r="AC375" s="1130"/>
    </row>
    <row r="376" ht="15.75" customHeight="1">
      <c r="A376" s="1130"/>
      <c r="B376" s="1130"/>
      <c r="C376" s="1130"/>
      <c r="D376" s="1130"/>
      <c r="E376" s="1130"/>
      <c r="F376" s="1130"/>
      <c r="G376" s="1130"/>
      <c r="H376" s="1150"/>
      <c r="I376" s="1150"/>
      <c r="J376" s="1150"/>
      <c r="K376" s="1150"/>
      <c r="L376" s="1130"/>
      <c r="M376" s="1130"/>
      <c r="N376" s="1130"/>
      <c r="O376" s="1130"/>
      <c r="P376" s="1150"/>
      <c r="Q376" s="1130"/>
      <c r="R376" s="1130"/>
      <c r="S376" s="1130"/>
      <c r="T376" s="1130"/>
      <c r="U376" s="1130"/>
      <c r="V376" s="1130"/>
      <c r="W376" s="1130"/>
      <c r="X376" s="1130"/>
      <c r="Y376" s="1130"/>
      <c r="Z376" s="1130"/>
      <c r="AA376" s="1130"/>
      <c r="AB376" s="1130"/>
      <c r="AC376" s="1130"/>
    </row>
    <row r="377" ht="15.75" customHeight="1">
      <c r="A377" s="1130"/>
      <c r="B377" s="1130"/>
      <c r="C377" s="1130"/>
      <c r="D377" s="1130"/>
      <c r="E377" s="1130"/>
      <c r="F377" s="1130"/>
      <c r="G377" s="1130"/>
      <c r="H377" s="1150"/>
      <c r="I377" s="1150"/>
      <c r="J377" s="1150"/>
      <c r="K377" s="1150"/>
      <c r="L377" s="1130"/>
      <c r="M377" s="1130"/>
      <c r="N377" s="1130"/>
      <c r="O377" s="1130"/>
      <c r="P377" s="1150"/>
      <c r="Q377" s="1130"/>
      <c r="R377" s="1130"/>
      <c r="S377" s="1130"/>
      <c r="T377" s="1130"/>
      <c r="U377" s="1130"/>
      <c r="V377" s="1130"/>
      <c r="W377" s="1130"/>
      <c r="X377" s="1130"/>
      <c r="Y377" s="1130"/>
      <c r="Z377" s="1130"/>
      <c r="AA377" s="1130"/>
      <c r="AB377" s="1130"/>
      <c r="AC377" s="1130"/>
    </row>
    <row r="378" ht="15.75" customHeight="1">
      <c r="A378" s="1130"/>
      <c r="B378" s="1130"/>
      <c r="C378" s="1130"/>
      <c r="D378" s="1130"/>
      <c r="E378" s="1130"/>
      <c r="F378" s="1130"/>
      <c r="G378" s="1130"/>
      <c r="H378" s="1150"/>
      <c r="I378" s="1150"/>
      <c r="J378" s="1150"/>
      <c r="K378" s="1150"/>
      <c r="L378" s="1130"/>
      <c r="M378" s="1130"/>
      <c r="N378" s="1130"/>
      <c r="O378" s="1130"/>
      <c r="P378" s="1150"/>
      <c r="Q378" s="1130"/>
      <c r="R378" s="1130"/>
      <c r="S378" s="1130"/>
      <c r="T378" s="1130"/>
      <c r="U378" s="1130"/>
      <c r="V378" s="1130"/>
      <c r="W378" s="1130"/>
      <c r="X378" s="1130"/>
      <c r="Y378" s="1130"/>
      <c r="Z378" s="1130"/>
      <c r="AA378" s="1130"/>
      <c r="AB378" s="1130"/>
      <c r="AC378" s="1130"/>
    </row>
    <row r="379" ht="15.75" customHeight="1">
      <c r="A379" s="1130"/>
      <c r="B379" s="1130"/>
      <c r="C379" s="1130"/>
      <c r="D379" s="1130"/>
      <c r="E379" s="1130"/>
      <c r="F379" s="1130"/>
      <c r="G379" s="1130"/>
      <c r="H379" s="1150"/>
      <c r="I379" s="1150"/>
      <c r="J379" s="1150"/>
      <c r="K379" s="1150"/>
      <c r="L379" s="1130"/>
      <c r="M379" s="1130"/>
      <c r="N379" s="1130"/>
      <c r="O379" s="1130"/>
      <c r="P379" s="1150"/>
      <c r="Q379" s="1130"/>
      <c r="R379" s="1130"/>
      <c r="S379" s="1130"/>
      <c r="T379" s="1130"/>
      <c r="U379" s="1130"/>
      <c r="V379" s="1130"/>
      <c r="W379" s="1130"/>
      <c r="X379" s="1130"/>
      <c r="Y379" s="1130"/>
      <c r="Z379" s="1130"/>
      <c r="AA379" s="1130"/>
      <c r="AB379" s="1130"/>
      <c r="AC379" s="1130"/>
    </row>
    <row r="380" ht="15.75" customHeight="1">
      <c r="A380" s="1130"/>
      <c r="B380" s="1130"/>
      <c r="C380" s="1130"/>
      <c r="D380" s="1130"/>
      <c r="E380" s="1130"/>
      <c r="F380" s="1130"/>
      <c r="G380" s="1130"/>
      <c r="H380" s="1150"/>
      <c r="I380" s="1150"/>
      <c r="J380" s="1150"/>
      <c r="K380" s="1150"/>
      <c r="L380" s="1130"/>
      <c r="M380" s="1130"/>
      <c r="N380" s="1130"/>
      <c r="O380" s="1130"/>
      <c r="P380" s="1150"/>
      <c r="Q380" s="1130"/>
      <c r="R380" s="1130"/>
      <c r="S380" s="1130"/>
      <c r="T380" s="1130"/>
      <c r="U380" s="1130"/>
      <c r="V380" s="1130"/>
      <c r="W380" s="1130"/>
      <c r="X380" s="1130"/>
      <c r="Y380" s="1130"/>
      <c r="Z380" s="1130"/>
      <c r="AA380" s="1130"/>
      <c r="AB380" s="1130"/>
      <c r="AC380" s="1130"/>
    </row>
    <row r="381" ht="15.75" customHeight="1">
      <c r="A381" s="1130"/>
      <c r="B381" s="1130"/>
      <c r="C381" s="1130"/>
      <c r="D381" s="1130"/>
      <c r="E381" s="1130"/>
      <c r="F381" s="1130"/>
      <c r="G381" s="1130"/>
      <c r="H381" s="1150"/>
      <c r="I381" s="1150"/>
      <c r="J381" s="1150"/>
      <c r="K381" s="1150"/>
      <c r="L381" s="1130"/>
      <c r="M381" s="1130"/>
      <c r="N381" s="1130"/>
      <c r="O381" s="1130"/>
      <c r="P381" s="1150"/>
      <c r="Q381" s="1130"/>
      <c r="R381" s="1130"/>
      <c r="S381" s="1130"/>
      <c r="T381" s="1130"/>
      <c r="U381" s="1130"/>
      <c r="V381" s="1130"/>
      <c r="W381" s="1130"/>
      <c r="X381" s="1130"/>
      <c r="Y381" s="1130"/>
      <c r="Z381" s="1130"/>
      <c r="AA381" s="1130"/>
      <c r="AB381" s="1130"/>
      <c r="AC381" s="1130"/>
    </row>
    <row r="382" ht="15.75" customHeight="1">
      <c r="A382" s="1130"/>
      <c r="B382" s="1130"/>
      <c r="C382" s="1130"/>
      <c r="D382" s="1130"/>
      <c r="E382" s="1130"/>
      <c r="F382" s="1130"/>
      <c r="G382" s="1130"/>
      <c r="H382" s="1150"/>
      <c r="I382" s="1150"/>
      <c r="J382" s="1150"/>
      <c r="K382" s="1150"/>
      <c r="L382" s="1130"/>
      <c r="M382" s="1130"/>
      <c r="N382" s="1130"/>
      <c r="O382" s="1130"/>
      <c r="P382" s="1150"/>
      <c r="Q382" s="1130"/>
      <c r="R382" s="1130"/>
      <c r="S382" s="1130"/>
      <c r="T382" s="1130"/>
      <c r="U382" s="1130"/>
      <c r="V382" s="1130"/>
      <c r="W382" s="1130"/>
      <c r="X382" s="1130"/>
      <c r="Y382" s="1130"/>
      <c r="Z382" s="1130"/>
      <c r="AA382" s="1130"/>
      <c r="AB382" s="1130"/>
      <c r="AC382" s="1130"/>
    </row>
    <row r="383" ht="15.75" customHeight="1">
      <c r="A383" s="1130"/>
      <c r="B383" s="1130"/>
      <c r="C383" s="1130"/>
      <c r="D383" s="1130"/>
      <c r="E383" s="1130"/>
      <c r="F383" s="1130"/>
      <c r="G383" s="1130"/>
      <c r="H383" s="1150"/>
      <c r="I383" s="1150"/>
      <c r="J383" s="1150"/>
      <c r="K383" s="1150"/>
      <c r="L383" s="1130"/>
      <c r="M383" s="1130"/>
      <c r="N383" s="1130"/>
      <c r="O383" s="1130"/>
      <c r="P383" s="1150"/>
      <c r="Q383" s="1130"/>
      <c r="R383" s="1130"/>
      <c r="S383" s="1130"/>
      <c r="T383" s="1130"/>
      <c r="U383" s="1130"/>
      <c r="V383" s="1130"/>
      <c r="W383" s="1130"/>
      <c r="X383" s="1130"/>
      <c r="Y383" s="1130"/>
      <c r="Z383" s="1130"/>
      <c r="AA383" s="1130"/>
      <c r="AB383" s="1130"/>
      <c r="AC383" s="1130"/>
    </row>
    <row r="384" ht="15.75" customHeight="1">
      <c r="A384" s="1130"/>
      <c r="B384" s="1130"/>
      <c r="C384" s="1130"/>
      <c r="D384" s="1130"/>
      <c r="E384" s="1130"/>
      <c r="F384" s="1130"/>
      <c r="G384" s="1130"/>
      <c r="H384" s="1150"/>
      <c r="I384" s="1150"/>
      <c r="J384" s="1150"/>
      <c r="K384" s="1150"/>
      <c r="L384" s="1130"/>
      <c r="M384" s="1130"/>
      <c r="N384" s="1130"/>
      <c r="O384" s="1130"/>
      <c r="P384" s="1150"/>
      <c r="Q384" s="1130"/>
      <c r="R384" s="1130"/>
      <c r="S384" s="1130"/>
      <c r="T384" s="1130"/>
      <c r="U384" s="1130"/>
      <c r="V384" s="1130"/>
      <c r="W384" s="1130"/>
      <c r="X384" s="1130"/>
      <c r="Y384" s="1130"/>
      <c r="Z384" s="1130"/>
      <c r="AA384" s="1130"/>
      <c r="AB384" s="1130"/>
      <c r="AC384" s="1130"/>
    </row>
    <row r="385" ht="15.75" customHeight="1">
      <c r="A385" s="1130"/>
      <c r="B385" s="1130"/>
      <c r="C385" s="1130"/>
      <c r="D385" s="1130"/>
      <c r="E385" s="1130"/>
      <c r="F385" s="1130"/>
      <c r="G385" s="1130"/>
      <c r="H385" s="1150"/>
      <c r="I385" s="1150"/>
      <c r="J385" s="1150"/>
      <c r="K385" s="1150"/>
      <c r="L385" s="1130"/>
      <c r="M385" s="1130"/>
      <c r="N385" s="1130"/>
      <c r="O385" s="1130"/>
      <c r="P385" s="1150"/>
      <c r="Q385" s="1130"/>
      <c r="R385" s="1130"/>
      <c r="S385" s="1130"/>
      <c r="T385" s="1130"/>
      <c r="U385" s="1130"/>
      <c r="V385" s="1130"/>
      <c r="W385" s="1130"/>
      <c r="X385" s="1130"/>
      <c r="Y385" s="1130"/>
      <c r="Z385" s="1130"/>
      <c r="AA385" s="1130"/>
      <c r="AB385" s="1130"/>
      <c r="AC385" s="1130"/>
    </row>
    <row r="386" ht="15.75" customHeight="1">
      <c r="A386" s="1130"/>
      <c r="B386" s="1130"/>
      <c r="C386" s="1130"/>
      <c r="D386" s="1130"/>
      <c r="E386" s="1130"/>
      <c r="F386" s="1130"/>
      <c r="G386" s="1130"/>
      <c r="H386" s="1150"/>
      <c r="I386" s="1150"/>
      <c r="J386" s="1150"/>
      <c r="K386" s="1150"/>
      <c r="L386" s="1130"/>
      <c r="M386" s="1130"/>
      <c r="N386" s="1130"/>
      <c r="O386" s="1130"/>
      <c r="P386" s="1150"/>
      <c r="Q386" s="1130"/>
      <c r="R386" s="1130"/>
      <c r="S386" s="1130"/>
      <c r="T386" s="1130"/>
      <c r="U386" s="1130"/>
      <c r="V386" s="1130"/>
      <c r="W386" s="1130"/>
      <c r="X386" s="1130"/>
      <c r="Y386" s="1130"/>
      <c r="Z386" s="1130"/>
      <c r="AA386" s="1130"/>
      <c r="AB386" s="1130"/>
      <c r="AC386" s="1130"/>
    </row>
    <row r="387" ht="15.75" customHeight="1">
      <c r="A387" s="1130"/>
      <c r="B387" s="1130"/>
      <c r="C387" s="1130"/>
      <c r="D387" s="1130"/>
      <c r="E387" s="1130"/>
      <c r="F387" s="1130"/>
      <c r="G387" s="1130"/>
      <c r="H387" s="1150"/>
      <c r="I387" s="1150"/>
      <c r="J387" s="1150"/>
      <c r="K387" s="1150"/>
      <c r="L387" s="1130"/>
      <c r="M387" s="1130"/>
      <c r="N387" s="1130"/>
      <c r="O387" s="1130"/>
      <c r="P387" s="1150"/>
      <c r="Q387" s="1130"/>
      <c r="R387" s="1130"/>
      <c r="S387" s="1130"/>
      <c r="T387" s="1130"/>
      <c r="U387" s="1130"/>
      <c r="V387" s="1130"/>
      <c r="W387" s="1130"/>
      <c r="X387" s="1130"/>
      <c r="Y387" s="1130"/>
      <c r="Z387" s="1130"/>
      <c r="AA387" s="1130"/>
      <c r="AB387" s="1130"/>
      <c r="AC387" s="1130"/>
    </row>
    <row r="388" ht="15.75" customHeight="1">
      <c r="A388" s="1130"/>
      <c r="B388" s="1130"/>
      <c r="C388" s="1130"/>
      <c r="D388" s="1130"/>
      <c r="E388" s="1130"/>
      <c r="F388" s="1130"/>
      <c r="G388" s="1130"/>
      <c r="H388" s="1150"/>
      <c r="I388" s="1150"/>
      <c r="J388" s="1150"/>
      <c r="K388" s="1150"/>
      <c r="L388" s="1130"/>
      <c r="M388" s="1130"/>
      <c r="N388" s="1130"/>
      <c r="O388" s="1130"/>
      <c r="P388" s="1150"/>
      <c r="Q388" s="1130"/>
      <c r="R388" s="1130"/>
      <c r="S388" s="1130"/>
      <c r="T388" s="1130"/>
      <c r="U388" s="1130"/>
      <c r="V388" s="1130"/>
      <c r="W388" s="1130"/>
      <c r="X388" s="1130"/>
      <c r="Y388" s="1130"/>
      <c r="Z388" s="1130"/>
      <c r="AA388" s="1130"/>
      <c r="AB388" s="1130"/>
      <c r="AC388" s="1130"/>
    </row>
    <row r="389" ht="15.75" customHeight="1">
      <c r="A389" s="1130"/>
      <c r="B389" s="1130"/>
      <c r="C389" s="1130"/>
      <c r="D389" s="1130"/>
      <c r="E389" s="1130"/>
      <c r="F389" s="1130"/>
      <c r="G389" s="1130"/>
      <c r="H389" s="1150"/>
      <c r="I389" s="1150"/>
      <c r="J389" s="1150"/>
      <c r="K389" s="1150"/>
      <c r="L389" s="1130"/>
      <c r="M389" s="1130"/>
      <c r="N389" s="1130"/>
      <c r="O389" s="1130"/>
      <c r="P389" s="1150"/>
      <c r="Q389" s="1130"/>
      <c r="R389" s="1130"/>
      <c r="S389" s="1130"/>
      <c r="T389" s="1130"/>
      <c r="U389" s="1130"/>
      <c r="V389" s="1130"/>
      <c r="W389" s="1130"/>
      <c r="X389" s="1130"/>
      <c r="Y389" s="1130"/>
      <c r="Z389" s="1130"/>
      <c r="AA389" s="1130"/>
      <c r="AB389" s="1130"/>
      <c r="AC389" s="1130"/>
    </row>
    <row r="390" ht="15.75" customHeight="1">
      <c r="A390" s="1130"/>
      <c r="B390" s="1130"/>
      <c r="C390" s="1130"/>
      <c r="D390" s="1130"/>
      <c r="E390" s="1130"/>
      <c r="F390" s="1130"/>
      <c r="G390" s="1130"/>
      <c r="H390" s="1150"/>
      <c r="I390" s="1150"/>
      <c r="J390" s="1150"/>
      <c r="K390" s="1150"/>
      <c r="L390" s="1130"/>
      <c r="M390" s="1130"/>
      <c r="N390" s="1130"/>
      <c r="O390" s="1130"/>
      <c r="P390" s="1150"/>
      <c r="Q390" s="1130"/>
      <c r="R390" s="1130"/>
      <c r="S390" s="1130"/>
      <c r="T390" s="1130"/>
      <c r="U390" s="1130"/>
      <c r="V390" s="1130"/>
      <c r="W390" s="1130"/>
      <c r="X390" s="1130"/>
      <c r="Y390" s="1130"/>
      <c r="Z390" s="1130"/>
      <c r="AA390" s="1130"/>
      <c r="AB390" s="1130"/>
      <c r="AC390" s="1130"/>
    </row>
    <row r="391" ht="15.75" customHeight="1">
      <c r="A391" s="1130"/>
      <c r="B391" s="1130"/>
      <c r="C391" s="1130"/>
      <c r="D391" s="1130"/>
      <c r="E391" s="1130"/>
      <c r="F391" s="1130"/>
      <c r="G391" s="1130"/>
      <c r="H391" s="1150"/>
      <c r="I391" s="1150"/>
      <c r="J391" s="1150"/>
      <c r="K391" s="1150"/>
      <c r="L391" s="1130"/>
      <c r="M391" s="1130"/>
      <c r="N391" s="1130"/>
      <c r="O391" s="1130"/>
      <c r="P391" s="1150"/>
      <c r="Q391" s="1130"/>
      <c r="R391" s="1130"/>
      <c r="S391" s="1130"/>
      <c r="T391" s="1130"/>
      <c r="U391" s="1130"/>
      <c r="V391" s="1130"/>
      <c r="W391" s="1130"/>
      <c r="X391" s="1130"/>
      <c r="Y391" s="1130"/>
      <c r="Z391" s="1130"/>
      <c r="AA391" s="1130"/>
      <c r="AB391" s="1130"/>
      <c r="AC391" s="1130"/>
    </row>
    <row r="392" ht="15.75" customHeight="1">
      <c r="A392" s="1130"/>
      <c r="B392" s="1130"/>
      <c r="C392" s="1130"/>
      <c r="D392" s="1130"/>
      <c r="E392" s="1130"/>
      <c r="F392" s="1130"/>
      <c r="G392" s="1130"/>
      <c r="H392" s="1150"/>
      <c r="I392" s="1150"/>
      <c r="J392" s="1150"/>
      <c r="K392" s="1150"/>
      <c r="L392" s="1130"/>
      <c r="M392" s="1130"/>
      <c r="N392" s="1130"/>
      <c r="O392" s="1130"/>
      <c r="P392" s="1150"/>
      <c r="Q392" s="1130"/>
      <c r="R392" s="1130"/>
      <c r="S392" s="1130"/>
      <c r="T392" s="1130"/>
      <c r="U392" s="1130"/>
      <c r="V392" s="1130"/>
      <c r="W392" s="1130"/>
      <c r="X392" s="1130"/>
      <c r="Y392" s="1130"/>
      <c r="Z392" s="1130"/>
      <c r="AA392" s="1130"/>
      <c r="AB392" s="1130"/>
      <c r="AC392" s="1130"/>
    </row>
    <row r="393" ht="15.75" customHeight="1">
      <c r="A393" s="1130"/>
      <c r="B393" s="1130"/>
      <c r="C393" s="1130"/>
      <c r="D393" s="1130"/>
      <c r="E393" s="1130"/>
      <c r="F393" s="1130"/>
      <c r="G393" s="1130"/>
      <c r="H393" s="1150"/>
      <c r="I393" s="1150"/>
      <c r="J393" s="1150"/>
      <c r="K393" s="1150"/>
      <c r="L393" s="1130"/>
      <c r="M393" s="1130"/>
      <c r="N393" s="1130"/>
      <c r="O393" s="1130"/>
      <c r="P393" s="1150"/>
      <c r="Q393" s="1130"/>
      <c r="R393" s="1130"/>
      <c r="S393" s="1130"/>
      <c r="T393" s="1130"/>
      <c r="U393" s="1130"/>
      <c r="V393" s="1130"/>
      <c r="W393" s="1130"/>
      <c r="X393" s="1130"/>
      <c r="Y393" s="1130"/>
      <c r="Z393" s="1130"/>
      <c r="AA393" s="1130"/>
      <c r="AB393" s="1130"/>
      <c r="AC393" s="1130"/>
    </row>
    <row r="394" ht="15.75" customHeight="1">
      <c r="A394" s="1130"/>
      <c r="B394" s="1130"/>
      <c r="C394" s="1130"/>
      <c r="D394" s="1130"/>
      <c r="E394" s="1130"/>
      <c r="F394" s="1130"/>
      <c r="G394" s="1130"/>
      <c r="H394" s="1150"/>
      <c r="I394" s="1150"/>
      <c r="J394" s="1150"/>
      <c r="K394" s="1150"/>
      <c r="L394" s="1130"/>
      <c r="M394" s="1130"/>
      <c r="N394" s="1130"/>
      <c r="O394" s="1130"/>
      <c r="P394" s="1150"/>
      <c r="Q394" s="1130"/>
      <c r="R394" s="1130"/>
      <c r="S394" s="1130"/>
      <c r="T394" s="1130"/>
      <c r="U394" s="1130"/>
      <c r="V394" s="1130"/>
      <c r="W394" s="1130"/>
      <c r="X394" s="1130"/>
      <c r="Y394" s="1130"/>
      <c r="Z394" s="1130"/>
      <c r="AA394" s="1130"/>
      <c r="AB394" s="1130"/>
      <c r="AC394" s="1130"/>
    </row>
    <row r="395" ht="15.75" customHeight="1">
      <c r="A395" s="1130"/>
      <c r="B395" s="1130"/>
      <c r="C395" s="1130"/>
      <c r="D395" s="1130"/>
      <c r="E395" s="1130"/>
      <c r="F395" s="1130"/>
      <c r="G395" s="1130"/>
      <c r="H395" s="1150"/>
      <c r="I395" s="1150"/>
      <c r="J395" s="1150"/>
      <c r="K395" s="1150"/>
      <c r="L395" s="1130"/>
      <c r="M395" s="1130"/>
      <c r="N395" s="1130"/>
      <c r="O395" s="1130"/>
      <c r="P395" s="1150"/>
      <c r="Q395" s="1130"/>
      <c r="R395" s="1130"/>
      <c r="S395" s="1130"/>
      <c r="T395" s="1130"/>
      <c r="U395" s="1130"/>
      <c r="V395" s="1130"/>
      <c r="W395" s="1130"/>
      <c r="X395" s="1130"/>
      <c r="Y395" s="1130"/>
      <c r="Z395" s="1130"/>
      <c r="AA395" s="1130"/>
      <c r="AB395" s="1130"/>
      <c r="AC395" s="1130"/>
    </row>
    <row r="396" ht="15.75" customHeight="1">
      <c r="A396" s="1130"/>
      <c r="B396" s="1130"/>
      <c r="C396" s="1130"/>
      <c r="D396" s="1130"/>
      <c r="E396" s="1130"/>
      <c r="F396" s="1130"/>
      <c r="G396" s="1130"/>
      <c r="H396" s="1150"/>
      <c r="I396" s="1150"/>
      <c r="J396" s="1150"/>
      <c r="K396" s="1150"/>
      <c r="L396" s="1130"/>
      <c r="M396" s="1130"/>
      <c r="N396" s="1130"/>
      <c r="O396" s="1130"/>
      <c r="P396" s="1150"/>
      <c r="Q396" s="1130"/>
      <c r="R396" s="1130"/>
      <c r="S396" s="1130"/>
      <c r="T396" s="1130"/>
      <c r="U396" s="1130"/>
      <c r="V396" s="1130"/>
      <c r="W396" s="1130"/>
      <c r="X396" s="1130"/>
      <c r="Y396" s="1130"/>
      <c r="Z396" s="1130"/>
      <c r="AA396" s="1130"/>
      <c r="AB396" s="1130"/>
      <c r="AC396" s="1130"/>
    </row>
    <row r="397" ht="15.75" customHeight="1">
      <c r="A397" s="1130"/>
      <c r="B397" s="1130"/>
      <c r="C397" s="1130"/>
      <c r="D397" s="1130"/>
      <c r="E397" s="1130"/>
      <c r="F397" s="1130"/>
      <c r="G397" s="1130"/>
      <c r="H397" s="1150"/>
      <c r="I397" s="1150"/>
      <c r="J397" s="1150"/>
      <c r="K397" s="1150"/>
      <c r="L397" s="1130"/>
      <c r="M397" s="1130"/>
      <c r="N397" s="1130"/>
      <c r="O397" s="1130"/>
      <c r="P397" s="1150"/>
      <c r="Q397" s="1130"/>
      <c r="R397" s="1130"/>
      <c r="S397" s="1130"/>
      <c r="T397" s="1130"/>
      <c r="U397" s="1130"/>
      <c r="V397" s="1130"/>
      <c r="W397" s="1130"/>
      <c r="X397" s="1130"/>
      <c r="Y397" s="1130"/>
      <c r="Z397" s="1130"/>
      <c r="AA397" s="1130"/>
      <c r="AB397" s="1130"/>
      <c r="AC397" s="1130"/>
    </row>
    <row r="398" ht="15.75" customHeight="1">
      <c r="A398" s="1130"/>
      <c r="B398" s="1130"/>
      <c r="C398" s="1130"/>
      <c r="D398" s="1130"/>
      <c r="E398" s="1130"/>
      <c r="F398" s="1130"/>
      <c r="G398" s="1130"/>
      <c r="H398" s="1150"/>
      <c r="I398" s="1150"/>
      <c r="J398" s="1150"/>
      <c r="K398" s="1150"/>
      <c r="L398" s="1130"/>
      <c r="M398" s="1130"/>
      <c r="N398" s="1130"/>
      <c r="O398" s="1130"/>
      <c r="P398" s="1150"/>
      <c r="Q398" s="1130"/>
      <c r="R398" s="1130"/>
      <c r="S398" s="1130"/>
      <c r="T398" s="1130"/>
      <c r="U398" s="1130"/>
      <c r="V398" s="1130"/>
      <c r="W398" s="1130"/>
      <c r="X398" s="1130"/>
      <c r="Y398" s="1130"/>
      <c r="Z398" s="1130"/>
      <c r="AA398" s="1130"/>
      <c r="AB398" s="1130"/>
      <c r="AC398" s="1130"/>
    </row>
    <row r="399" ht="15.75" customHeight="1">
      <c r="A399" s="1130"/>
      <c r="B399" s="1130"/>
      <c r="C399" s="1130"/>
      <c r="D399" s="1130"/>
      <c r="E399" s="1130"/>
      <c r="F399" s="1130"/>
      <c r="G399" s="1130"/>
      <c r="H399" s="1150"/>
      <c r="I399" s="1150"/>
      <c r="J399" s="1150"/>
      <c r="K399" s="1150"/>
      <c r="L399" s="1130"/>
      <c r="M399" s="1130"/>
      <c r="N399" s="1130"/>
      <c r="O399" s="1130"/>
      <c r="P399" s="1150"/>
      <c r="Q399" s="1130"/>
      <c r="R399" s="1130"/>
      <c r="S399" s="1130"/>
      <c r="T399" s="1130"/>
      <c r="U399" s="1130"/>
      <c r="V399" s="1130"/>
      <c r="W399" s="1130"/>
      <c r="X399" s="1130"/>
      <c r="Y399" s="1130"/>
      <c r="Z399" s="1130"/>
      <c r="AA399" s="1130"/>
      <c r="AB399" s="1130"/>
      <c r="AC399" s="1130"/>
    </row>
    <row r="400" ht="15.75" customHeight="1">
      <c r="A400" s="1130"/>
      <c r="B400" s="1130"/>
      <c r="C400" s="1130"/>
      <c r="D400" s="1130"/>
      <c r="E400" s="1130"/>
      <c r="F400" s="1130"/>
      <c r="G400" s="1130"/>
      <c r="H400" s="1150"/>
      <c r="I400" s="1150"/>
      <c r="J400" s="1150"/>
      <c r="K400" s="1150"/>
      <c r="L400" s="1130"/>
      <c r="M400" s="1130"/>
      <c r="N400" s="1130"/>
      <c r="O400" s="1130"/>
      <c r="P400" s="1150"/>
      <c r="Q400" s="1130"/>
      <c r="R400" s="1130"/>
      <c r="S400" s="1130"/>
      <c r="T400" s="1130"/>
      <c r="U400" s="1130"/>
      <c r="V400" s="1130"/>
      <c r="W400" s="1130"/>
      <c r="X400" s="1130"/>
      <c r="Y400" s="1130"/>
      <c r="Z400" s="1130"/>
      <c r="AA400" s="1130"/>
      <c r="AB400" s="1130"/>
      <c r="AC400" s="1130"/>
    </row>
    <row r="401" ht="15.75" customHeight="1">
      <c r="A401" s="1130"/>
      <c r="B401" s="1130"/>
      <c r="C401" s="1130"/>
      <c r="D401" s="1130"/>
      <c r="E401" s="1130"/>
      <c r="F401" s="1130"/>
      <c r="G401" s="1130"/>
      <c r="H401" s="1150"/>
      <c r="I401" s="1150"/>
      <c r="J401" s="1150"/>
      <c r="K401" s="1150"/>
      <c r="L401" s="1130"/>
      <c r="M401" s="1130"/>
      <c r="N401" s="1130"/>
      <c r="O401" s="1130"/>
      <c r="P401" s="1150"/>
      <c r="Q401" s="1130"/>
      <c r="R401" s="1130"/>
      <c r="S401" s="1130"/>
      <c r="T401" s="1130"/>
      <c r="U401" s="1130"/>
      <c r="V401" s="1130"/>
      <c r="W401" s="1130"/>
      <c r="X401" s="1130"/>
      <c r="Y401" s="1130"/>
      <c r="Z401" s="1130"/>
      <c r="AA401" s="1130"/>
      <c r="AB401" s="1130"/>
      <c r="AC401" s="1130"/>
    </row>
    <row r="402" ht="15.75" customHeight="1">
      <c r="A402" s="1130"/>
      <c r="B402" s="1130"/>
      <c r="C402" s="1130"/>
      <c r="D402" s="1130"/>
      <c r="E402" s="1130"/>
      <c r="F402" s="1130"/>
      <c r="G402" s="1130"/>
      <c r="H402" s="1150"/>
      <c r="I402" s="1150"/>
      <c r="J402" s="1150"/>
      <c r="K402" s="1150"/>
      <c r="L402" s="1130"/>
      <c r="M402" s="1130"/>
      <c r="N402" s="1130"/>
      <c r="O402" s="1130"/>
      <c r="P402" s="1150"/>
      <c r="Q402" s="1130"/>
      <c r="R402" s="1130"/>
      <c r="S402" s="1130"/>
      <c r="T402" s="1130"/>
      <c r="U402" s="1130"/>
      <c r="V402" s="1130"/>
      <c r="W402" s="1130"/>
      <c r="X402" s="1130"/>
      <c r="Y402" s="1130"/>
      <c r="Z402" s="1130"/>
      <c r="AA402" s="1130"/>
      <c r="AB402" s="1130"/>
      <c r="AC402" s="1130"/>
    </row>
    <row r="403" ht="15.75" customHeight="1">
      <c r="A403" s="1130"/>
      <c r="B403" s="1130"/>
      <c r="C403" s="1130"/>
      <c r="D403" s="1130"/>
      <c r="E403" s="1130"/>
      <c r="F403" s="1130"/>
      <c r="G403" s="1130"/>
      <c r="H403" s="1150"/>
      <c r="I403" s="1150"/>
      <c r="J403" s="1150"/>
      <c r="K403" s="1150"/>
      <c r="L403" s="1130"/>
      <c r="M403" s="1130"/>
      <c r="N403" s="1130"/>
      <c r="O403" s="1130"/>
      <c r="P403" s="1150"/>
      <c r="Q403" s="1130"/>
      <c r="R403" s="1130"/>
      <c r="S403" s="1130"/>
      <c r="T403" s="1130"/>
      <c r="U403" s="1130"/>
      <c r="V403" s="1130"/>
      <c r="W403" s="1130"/>
      <c r="X403" s="1130"/>
      <c r="Y403" s="1130"/>
      <c r="Z403" s="1130"/>
      <c r="AA403" s="1130"/>
      <c r="AB403" s="1130"/>
      <c r="AC403" s="1130"/>
    </row>
    <row r="404" ht="15.75" customHeight="1">
      <c r="A404" s="1130"/>
      <c r="B404" s="1130"/>
      <c r="C404" s="1130"/>
      <c r="D404" s="1130"/>
      <c r="E404" s="1130"/>
      <c r="F404" s="1130"/>
      <c r="G404" s="1130"/>
      <c r="H404" s="1150"/>
      <c r="I404" s="1150"/>
      <c r="J404" s="1150"/>
      <c r="K404" s="1150"/>
      <c r="L404" s="1130"/>
      <c r="M404" s="1130"/>
      <c r="N404" s="1130"/>
      <c r="O404" s="1130"/>
      <c r="P404" s="1150"/>
      <c r="Q404" s="1130"/>
      <c r="R404" s="1130"/>
      <c r="S404" s="1130"/>
      <c r="T404" s="1130"/>
      <c r="U404" s="1130"/>
      <c r="V404" s="1130"/>
      <c r="W404" s="1130"/>
      <c r="X404" s="1130"/>
      <c r="Y404" s="1130"/>
      <c r="Z404" s="1130"/>
      <c r="AA404" s="1130"/>
      <c r="AB404" s="1130"/>
      <c r="AC404" s="1130"/>
    </row>
    <row r="405" ht="15.75" customHeight="1">
      <c r="A405" s="1130"/>
      <c r="B405" s="1130"/>
      <c r="C405" s="1130"/>
      <c r="D405" s="1130"/>
      <c r="E405" s="1130"/>
      <c r="F405" s="1130"/>
      <c r="G405" s="1130"/>
      <c r="H405" s="1150"/>
      <c r="I405" s="1150"/>
      <c r="J405" s="1150"/>
      <c r="K405" s="1150"/>
      <c r="L405" s="1130"/>
      <c r="M405" s="1130"/>
      <c r="N405" s="1130"/>
      <c r="O405" s="1130"/>
      <c r="P405" s="1150"/>
      <c r="Q405" s="1130"/>
      <c r="R405" s="1130"/>
      <c r="S405" s="1130"/>
      <c r="T405" s="1130"/>
      <c r="U405" s="1130"/>
      <c r="V405" s="1130"/>
      <c r="W405" s="1130"/>
      <c r="X405" s="1130"/>
      <c r="Y405" s="1130"/>
      <c r="Z405" s="1130"/>
      <c r="AA405" s="1130"/>
      <c r="AB405" s="1130"/>
      <c r="AC405" s="1130"/>
    </row>
    <row r="406" ht="15.75" customHeight="1">
      <c r="A406" s="1130"/>
      <c r="B406" s="1130"/>
      <c r="C406" s="1130"/>
      <c r="D406" s="1130"/>
      <c r="E406" s="1130"/>
      <c r="F406" s="1130"/>
      <c r="G406" s="1130"/>
      <c r="H406" s="1150"/>
      <c r="I406" s="1150"/>
      <c r="J406" s="1150"/>
      <c r="K406" s="1150"/>
      <c r="L406" s="1130"/>
      <c r="M406" s="1130"/>
      <c r="N406" s="1130"/>
      <c r="O406" s="1130"/>
      <c r="P406" s="1150"/>
      <c r="Q406" s="1130"/>
      <c r="R406" s="1130"/>
      <c r="S406" s="1130"/>
      <c r="T406" s="1130"/>
      <c r="U406" s="1130"/>
      <c r="V406" s="1130"/>
      <c r="W406" s="1130"/>
      <c r="X406" s="1130"/>
      <c r="Y406" s="1130"/>
      <c r="Z406" s="1130"/>
      <c r="AA406" s="1130"/>
      <c r="AB406" s="1130"/>
      <c r="AC406" s="1130"/>
    </row>
    <row r="407" ht="15.75" customHeight="1">
      <c r="A407" s="1130"/>
      <c r="B407" s="1130"/>
      <c r="C407" s="1130"/>
      <c r="D407" s="1130"/>
      <c r="E407" s="1130"/>
      <c r="F407" s="1130"/>
      <c r="G407" s="1130"/>
      <c r="H407" s="1150"/>
      <c r="I407" s="1150"/>
      <c r="J407" s="1150"/>
      <c r="K407" s="1150"/>
      <c r="L407" s="1130"/>
      <c r="M407" s="1130"/>
      <c r="N407" s="1130"/>
      <c r="O407" s="1130"/>
      <c r="P407" s="1150"/>
      <c r="Q407" s="1130"/>
      <c r="R407" s="1130"/>
      <c r="S407" s="1130"/>
      <c r="T407" s="1130"/>
      <c r="U407" s="1130"/>
      <c r="V407" s="1130"/>
      <c r="W407" s="1130"/>
      <c r="X407" s="1130"/>
      <c r="Y407" s="1130"/>
      <c r="Z407" s="1130"/>
      <c r="AA407" s="1130"/>
      <c r="AB407" s="1130"/>
      <c r="AC407" s="1130"/>
    </row>
    <row r="408" ht="15.75" customHeight="1">
      <c r="A408" s="1130"/>
      <c r="B408" s="1130"/>
      <c r="C408" s="1130"/>
      <c r="D408" s="1130"/>
      <c r="E408" s="1130"/>
      <c r="F408" s="1130"/>
      <c r="G408" s="1130"/>
      <c r="H408" s="1150"/>
      <c r="I408" s="1150"/>
      <c r="J408" s="1150"/>
      <c r="K408" s="1150"/>
      <c r="L408" s="1130"/>
      <c r="M408" s="1130"/>
      <c r="N408" s="1130"/>
      <c r="O408" s="1130"/>
      <c r="P408" s="1150"/>
      <c r="Q408" s="1130"/>
      <c r="R408" s="1130"/>
      <c r="S408" s="1130"/>
      <c r="T408" s="1130"/>
      <c r="U408" s="1130"/>
      <c r="V408" s="1130"/>
      <c r="W408" s="1130"/>
      <c r="X408" s="1130"/>
      <c r="Y408" s="1130"/>
      <c r="Z408" s="1130"/>
      <c r="AA408" s="1130"/>
      <c r="AB408" s="1130"/>
      <c r="AC408" s="1130"/>
    </row>
    <row r="409" ht="15.75" customHeight="1">
      <c r="A409" s="1130"/>
      <c r="B409" s="1130"/>
      <c r="C409" s="1130"/>
      <c r="D409" s="1130"/>
      <c r="E409" s="1130"/>
      <c r="F409" s="1130"/>
      <c r="G409" s="1130"/>
      <c r="H409" s="1150"/>
      <c r="I409" s="1150"/>
      <c r="J409" s="1150"/>
      <c r="K409" s="1150"/>
      <c r="L409" s="1130"/>
      <c r="M409" s="1130"/>
      <c r="N409" s="1130"/>
      <c r="O409" s="1130"/>
      <c r="P409" s="1150"/>
      <c r="Q409" s="1130"/>
      <c r="R409" s="1130"/>
      <c r="S409" s="1130"/>
      <c r="T409" s="1130"/>
      <c r="U409" s="1130"/>
      <c r="V409" s="1130"/>
      <c r="W409" s="1130"/>
      <c r="X409" s="1130"/>
      <c r="Y409" s="1130"/>
      <c r="Z409" s="1130"/>
      <c r="AA409" s="1130"/>
      <c r="AB409" s="1130"/>
      <c r="AC409" s="1130"/>
    </row>
    <row r="410" ht="15.75" customHeight="1">
      <c r="A410" s="1130"/>
      <c r="B410" s="1130"/>
      <c r="C410" s="1130"/>
      <c r="D410" s="1130"/>
      <c r="E410" s="1130"/>
      <c r="F410" s="1130"/>
      <c r="G410" s="1130"/>
      <c r="H410" s="1150"/>
      <c r="I410" s="1150"/>
      <c r="J410" s="1150"/>
      <c r="K410" s="1150"/>
      <c r="L410" s="1130"/>
      <c r="M410" s="1130"/>
      <c r="N410" s="1130"/>
      <c r="O410" s="1130"/>
      <c r="P410" s="1150"/>
      <c r="Q410" s="1130"/>
      <c r="R410" s="1130"/>
      <c r="S410" s="1130"/>
      <c r="T410" s="1130"/>
      <c r="U410" s="1130"/>
      <c r="V410" s="1130"/>
      <c r="W410" s="1130"/>
      <c r="X410" s="1130"/>
      <c r="Y410" s="1130"/>
      <c r="Z410" s="1130"/>
      <c r="AA410" s="1130"/>
      <c r="AB410" s="1130"/>
      <c r="AC410" s="1130"/>
    </row>
    <row r="411" ht="15.75" customHeight="1">
      <c r="A411" s="1130"/>
      <c r="B411" s="1130"/>
      <c r="C411" s="1130"/>
      <c r="D411" s="1130"/>
      <c r="E411" s="1130"/>
      <c r="F411" s="1130"/>
      <c r="G411" s="1130"/>
      <c r="H411" s="1150"/>
      <c r="I411" s="1150"/>
      <c r="J411" s="1150"/>
      <c r="K411" s="1150"/>
      <c r="L411" s="1130"/>
      <c r="M411" s="1130"/>
      <c r="N411" s="1130"/>
      <c r="O411" s="1130"/>
      <c r="P411" s="1150"/>
      <c r="Q411" s="1130"/>
      <c r="R411" s="1130"/>
      <c r="S411" s="1130"/>
      <c r="T411" s="1130"/>
      <c r="U411" s="1130"/>
      <c r="V411" s="1130"/>
      <c r="W411" s="1130"/>
      <c r="X411" s="1130"/>
      <c r="Y411" s="1130"/>
      <c r="Z411" s="1130"/>
      <c r="AA411" s="1130"/>
      <c r="AB411" s="1130"/>
      <c r="AC411" s="1130"/>
    </row>
    <row r="412" ht="15.75" customHeight="1">
      <c r="A412" s="1130"/>
      <c r="B412" s="1130"/>
      <c r="C412" s="1130"/>
      <c r="D412" s="1130"/>
      <c r="E412" s="1130"/>
      <c r="F412" s="1130"/>
      <c r="G412" s="1130"/>
      <c r="H412" s="1150"/>
      <c r="I412" s="1150"/>
      <c r="J412" s="1150"/>
      <c r="K412" s="1150"/>
      <c r="L412" s="1130"/>
      <c r="M412" s="1130"/>
      <c r="N412" s="1130"/>
      <c r="O412" s="1130"/>
      <c r="P412" s="1150"/>
      <c r="Q412" s="1130"/>
      <c r="R412" s="1130"/>
      <c r="S412" s="1130"/>
      <c r="T412" s="1130"/>
      <c r="U412" s="1130"/>
      <c r="V412" s="1130"/>
      <c r="W412" s="1130"/>
      <c r="X412" s="1130"/>
      <c r="Y412" s="1130"/>
      <c r="Z412" s="1130"/>
      <c r="AA412" s="1130"/>
      <c r="AB412" s="1130"/>
      <c r="AC412" s="1130"/>
    </row>
    <row r="413" ht="15.75" customHeight="1">
      <c r="A413" s="1130"/>
      <c r="B413" s="1130"/>
      <c r="C413" s="1130"/>
      <c r="D413" s="1130"/>
      <c r="E413" s="1130"/>
      <c r="F413" s="1130"/>
      <c r="G413" s="1130"/>
      <c r="H413" s="1150"/>
      <c r="I413" s="1150"/>
      <c r="J413" s="1150"/>
      <c r="K413" s="1150"/>
      <c r="L413" s="1130"/>
      <c r="M413" s="1130"/>
      <c r="N413" s="1130"/>
      <c r="O413" s="1130"/>
      <c r="P413" s="1150"/>
      <c r="Q413" s="1130"/>
      <c r="R413" s="1130"/>
      <c r="S413" s="1130"/>
      <c r="T413" s="1130"/>
      <c r="U413" s="1130"/>
      <c r="V413" s="1130"/>
      <c r="W413" s="1130"/>
      <c r="X413" s="1130"/>
      <c r="Y413" s="1130"/>
      <c r="Z413" s="1130"/>
      <c r="AA413" s="1130"/>
      <c r="AB413" s="1130"/>
      <c r="AC413" s="1130"/>
    </row>
    <row r="414" ht="15.75" customHeight="1">
      <c r="A414" s="1130"/>
      <c r="B414" s="1130"/>
      <c r="C414" s="1130"/>
      <c r="D414" s="1130"/>
      <c r="E414" s="1130"/>
      <c r="F414" s="1130"/>
      <c r="G414" s="1130"/>
      <c r="H414" s="1150"/>
      <c r="I414" s="1150"/>
      <c r="J414" s="1150"/>
      <c r="K414" s="1150"/>
      <c r="L414" s="1130"/>
      <c r="M414" s="1130"/>
      <c r="N414" s="1130"/>
      <c r="O414" s="1130"/>
      <c r="P414" s="1150"/>
      <c r="Q414" s="1130"/>
      <c r="R414" s="1130"/>
      <c r="S414" s="1130"/>
      <c r="T414" s="1130"/>
      <c r="U414" s="1130"/>
      <c r="V414" s="1130"/>
      <c r="W414" s="1130"/>
      <c r="X414" s="1130"/>
      <c r="Y414" s="1130"/>
      <c r="Z414" s="1130"/>
      <c r="AA414" s="1130"/>
      <c r="AB414" s="1130"/>
      <c r="AC414" s="1130"/>
    </row>
    <row r="415" ht="15.75" customHeight="1">
      <c r="A415" s="1130"/>
      <c r="B415" s="1130"/>
      <c r="C415" s="1130"/>
      <c r="D415" s="1130"/>
      <c r="E415" s="1130"/>
      <c r="F415" s="1130"/>
      <c r="G415" s="1130"/>
      <c r="H415" s="1150"/>
      <c r="I415" s="1150"/>
      <c r="J415" s="1150"/>
      <c r="K415" s="1150"/>
      <c r="L415" s="1130"/>
      <c r="M415" s="1130"/>
      <c r="N415" s="1130"/>
      <c r="O415" s="1130"/>
      <c r="P415" s="1150"/>
      <c r="Q415" s="1130"/>
      <c r="R415" s="1130"/>
      <c r="S415" s="1130"/>
      <c r="T415" s="1130"/>
      <c r="U415" s="1130"/>
      <c r="V415" s="1130"/>
      <c r="W415" s="1130"/>
      <c r="X415" s="1130"/>
      <c r="Y415" s="1130"/>
      <c r="Z415" s="1130"/>
      <c r="AA415" s="1130"/>
      <c r="AB415" s="1130"/>
      <c r="AC415" s="1130"/>
    </row>
    <row r="416" ht="15.75" customHeight="1">
      <c r="A416" s="1130"/>
      <c r="B416" s="1130"/>
      <c r="C416" s="1130"/>
      <c r="D416" s="1130"/>
      <c r="E416" s="1130"/>
      <c r="F416" s="1130"/>
      <c r="G416" s="1130"/>
      <c r="H416" s="1150"/>
      <c r="I416" s="1150"/>
      <c r="J416" s="1150"/>
      <c r="K416" s="1150"/>
      <c r="L416" s="1130"/>
      <c r="M416" s="1130"/>
      <c r="N416" s="1130"/>
      <c r="O416" s="1130"/>
      <c r="P416" s="1150"/>
      <c r="Q416" s="1130"/>
      <c r="R416" s="1130"/>
      <c r="S416" s="1130"/>
      <c r="T416" s="1130"/>
      <c r="U416" s="1130"/>
      <c r="V416" s="1130"/>
      <c r="W416" s="1130"/>
      <c r="X416" s="1130"/>
      <c r="Y416" s="1130"/>
      <c r="Z416" s="1130"/>
      <c r="AA416" s="1130"/>
      <c r="AB416" s="1130"/>
      <c r="AC416" s="1130"/>
    </row>
    <row r="417" ht="15.75" customHeight="1">
      <c r="A417" s="1130"/>
      <c r="B417" s="1130"/>
      <c r="C417" s="1130"/>
      <c r="D417" s="1130"/>
      <c r="E417" s="1130"/>
      <c r="F417" s="1130"/>
      <c r="G417" s="1130"/>
      <c r="H417" s="1150"/>
      <c r="I417" s="1150"/>
      <c r="J417" s="1150"/>
      <c r="K417" s="1150"/>
      <c r="L417" s="1130"/>
      <c r="M417" s="1130"/>
      <c r="N417" s="1130"/>
      <c r="O417" s="1130"/>
      <c r="P417" s="1150"/>
      <c r="Q417" s="1130"/>
      <c r="R417" s="1130"/>
      <c r="S417" s="1130"/>
      <c r="T417" s="1130"/>
      <c r="U417" s="1130"/>
      <c r="V417" s="1130"/>
      <c r="W417" s="1130"/>
      <c r="X417" s="1130"/>
      <c r="Y417" s="1130"/>
      <c r="Z417" s="1130"/>
      <c r="AA417" s="1130"/>
      <c r="AB417" s="1130"/>
      <c r="AC417" s="1130"/>
    </row>
    <row r="418" ht="15.75" customHeight="1">
      <c r="A418" s="1130"/>
      <c r="B418" s="1130"/>
      <c r="C418" s="1130"/>
      <c r="D418" s="1130"/>
      <c r="E418" s="1130"/>
      <c r="F418" s="1130"/>
      <c r="G418" s="1130"/>
      <c r="H418" s="1150"/>
      <c r="I418" s="1150"/>
      <c r="J418" s="1150"/>
      <c r="K418" s="1150"/>
      <c r="L418" s="1130"/>
      <c r="M418" s="1130"/>
      <c r="N418" s="1130"/>
      <c r="O418" s="1130"/>
      <c r="P418" s="1150"/>
      <c r="Q418" s="1130"/>
      <c r="R418" s="1130"/>
      <c r="S418" s="1130"/>
      <c r="T418" s="1130"/>
      <c r="U418" s="1130"/>
      <c r="V418" s="1130"/>
      <c r="W418" s="1130"/>
      <c r="X418" s="1130"/>
      <c r="Y418" s="1130"/>
      <c r="Z418" s="1130"/>
      <c r="AA418" s="1130"/>
      <c r="AB418" s="1130"/>
      <c r="AC418" s="1130"/>
    </row>
    <row r="419" ht="15.75" customHeight="1">
      <c r="A419" s="1130"/>
      <c r="B419" s="1130"/>
      <c r="C419" s="1130"/>
      <c r="D419" s="1130"/>
      <c r="E419" s="1130"/>
      <c r="F419" s="1130"/>
      <c r="G419" s="1130"/>
      <c r="H419" s="1150"/>
      <c r="I419" s="1150"/>
      <c r="J419" s="1150"/>
      <c r="K419" s="1150"/>
      <c r="L419" s="1130"/>
      <c r="M419" s="1130"/>
      <c r="N419" s="1130"/>
      <c r="O419" s="1130"/>
      <c r="P419" s="1150"/>
      <c r="Q419" s="1130"/>
      <c r="R419" s="1130"/>
      <c r="S419" s="1130"/>
      <c r="T419" s="1130"/>
      <c r="U419" s="1130"/>
      <c r="V419" s="1130"/>
      <c r="W419" s="1130"/>
      <c r="X419" s="1130"/>
      <c r="Y419" s="1130"/>
      <c r="Z419" s="1130"/>
      <c r="AA419" s="1130"/>
      <c r="AB419" s="1130"/>
      <c r="AC419" s="1130"/>
    </row>
    <row r="420" ht="15.75" customHeight="1">
      <c r="A420" s="1130"/>
      <c r="B420" s="1130"/>
      <c r="C420" s="1130"/>
      <c r="D420" s="1130"/>
      <c r="E420" s="1130"/>
      <c r="F420" s="1130"/>
      <c r="G420" s="1130"/>
      <c r="H420" s="1150"/>
      <c r="I420" s="1150"/>
      <c r="J420" s="1150"/>
      <c r="K420" s="1150"/>
      <c r="L420" s="1130"/>
      <c r="M420" s="1130"/>
      <c r="N420" s="1130"/>
      <c r="O420" s="1130"/>
      <c r="P420" s="1150"/>
      <c r="Q420" s="1130"/>
      <c r="R420" s="1130"/>
      <c r="S420" s="1130"/>
      <c r="T420" s="1130"/>
      <c r="U420" s="1130"/>
      <c r="V420" s="1130"/>
      <c r="W420" s="1130"/>
      <c r="X420" s="1130"/>
      <c r="Y420" s="1130"/>
      <c r="Z420" s="1130"/>
      <c r="AA420" s="1130"/>
      <c r="AB420" s="1130"/>
      <c r="AC420" s="1130"/>
    </row>
    <row r="421" ht="15.75" customHeight="1">
      <c r="A421" s="1130"/>
      <c r="B421" s="1130"/>
      <c r="C421" s="1130"/>
      <c r="D421" s="1130"/>
      <c r="E421" s="1130"/>
      <c r="F421" s="1130"/>
      <c r="G421" s="1130"/>
      <c r="H421" s="1150"/>
      <c r="I421" s="1150"/>
      <c r="J421" s="1150"/>
      <c r="K421" s="1150"/>
      <c r="L421" s="1130"/>
      <c r="M421" s="1130"/>
      <c r="N421" s="1130"/>
      <c r="O421" s="1130"/>
      <c r="P421" s="1150"/>
      <c r="Q421" s="1130"/>
      <c r="R421" s="1130"/>
      <c r="S421" s="1130"/>
      <c r="T421" s="1130"/>
      <c r="U421" s="1130"/>
      <c r="V421" s="1130"/>
      <c r="W421" s="1130"/>
      <c r="X421" s="1130"/>
      <c r="Y421" s="1130"/>
      <c r="Z421" s="1130"/>
      <c r="AA421" s="1130"/>
      <c r="AB421" s="1130"/>
      <c r="AC421" s="1130"/>
    </row>
    <row r="422" ht="15.75" customHeight="1">
      <c r="A422" s="1130"/>
      <c r="B422" s="1130"/>
      <c r="C422" s="1130"/>
      <c r="D422" s="1130"/>
      <c r="E422" s="1130"/>
      <c r="F422" s="1130"/>
      <c r="G422" s="1130"/>
      <c r="H422" s="1150"/>
      <c r="I422" s="1150"/>
      <c r="J422" s="1150"/>
      <c r="K422" s="1150"/>
      <c r="L422" s="1130"/>
      <c r="M422" s="1130"/>
      <c r="N422" s="1130"/>
      <c r="O422" s="1130"/>
      <c r="P422" s="1150"/>
      <c r="Q422" s="1130"/>
      <c r="R422" s="1130"/>
      <c r="S422" s="1130"/>
      <c r="T422" s="1130"/>
      <c r="U422" s="1130"/>
      <c r="V422" s="1130"/>
      <c r="W422" s="1130"/>
      <c r="X422" s="1130"/>
      <c r="Y422" s="1130"/>
      <c r="Z422" s="1130"/>
      <c r="AA422" s="1130"/>
      <c r="AB422" s="1130"/>
      <c r="AC422" s="1130"/>
    </row>
    <row r="423" ht="15.75" customHeight="1">
      <c r="A423" s="1130"/>
      <c r="B423" s="1130"/>
      <c r="C423" s="1130"/>
      <c r="D423" s="1130"/>
      <c r="E423" s="1130"/>
      <c r="F423" s="1130"/>
      <c r="G423" s="1130"/>
      <c r="H423" s="1150"/>
      <c r="I423" s="1150"/>
      <c r="J423" s="1150"/>
      <c r="K423" s="1150"/>
      <c r="L423" s="1130"/>
      <c r="M423" s="1130"/>
      <c r="N423" s="1130"/>
      <c r="O423" s="1130"/>
      <c r="P423" s="1150"/>
      <c r="Q423" s="1130"/>
      <c r="R423" s="1130"/>
      <c r="S423" s="1130"/>
      <c r="T423" s="1130"/>
      <c r="U423" s="1130"/>
      <c r="V423" s="1130"/>
      <c r="W423" s="1130"/>
      <c r="X423" s="1130"/>
      <c r="Y423" s="1130"/>
      <c r="Z423" s="1130"/>
      <c r="AA423" s="1130"/>
      <c r="AB423" s="1130"/>
      <c r="AC423" s="1130"/>
    </row>
    <row r="424" ht="15.75" customHeight="1">
      <c r="A424" s="1130"/>
      <c r="B424" s="1130"/>
      <c r="C424" s="1130"/>
      <c r="D424" s="1130"/>
      <c r="E424" s="1130"/>
      <c r="F424" s="1130"/>
      <c r="G424" s="1130"/>
      <c r="H424" s="1150"/>
      <c r="I424" s="1150"/>
      <c r="J424" s="1150"/>
      <c r="K424" s="1150"/>
      <c r="L424" s="1130"/>
      <c r="M424" s="1130"/>
      <c r="N424" s="1130"/>
      <c r="O424" s="1130"/>
      <c r="P424" s="1150"/>
      <c r="Q424" s="1130"/>
      <c r="R424" s="1130"/>
      <c r="S424" s="1130"/>
      <c r="T424" s="1130"/>
      <c r="U424" s="1130"/>
      <c r="V424" s="1130"/>
      <c r="W424" s="1130"/>
      <c r="X424" s="1130"/>
      <c r="Y424" s="1130"/>
      <c r="Z424" s="1130"/>
      <c r="AA424" s="1130"/>
      <c r="AB424" s="1130"/>
      <c r="AC424" s="1130"/>
    </row>
    <row r="425" ht="15.75" customHeight="1">
      <c r="A425" s="1130"/>
      <c r="B425" s="1130"/>
      <c r="C425" s="1130"/>
      <c r="D425" s="1130"/>
      <c r="E425" s="1130"/>
      <c r="F425" s="1130"/>
      <c r="G425" s="1130"/>
      <c r="H425" s="1150"/>
      <c r="I425" s="1150"/>
      <c r="J425" s="1150"/>
      <c r="K425" s="1150"/>
      <c r="L425" s="1130"/>
      <c r="M425" s="1130"/>
      <c r="N425" s="1130"/>
      <c r="O425" s="1130"/>
      <c r="P425" s="1150"/>
      <c r="Q425" s="1130"/>
      <c r="R425" s="1130"/>
      <c r="S425" s="1130"/>
      <c r="T425" s="1130"/>
      <c r="U425" s="1130"/>
      <c r="V425" s="1130"/>
      <c r="W425" s="1130"/>
      <c r="X425" s="1130"/>
      <c r="Y425" s="1130"/>
      <c r="Z425" s="1130"/>
      <c r="AA425" s="1130"/>
      <c r="AB425" s="1130"/>
      <c r="AC425" s="1130"/>
    </row>
    <row r="426" ht="15.75" customHeight="1">
      <c r="A426" s="1130"/>
      <c r="B426" s="1130"/>
      <c r="C426" s="1130"/>
      <c r="D426" s="1130"/>
      <c r="E426" s="1130"/>
      <c r="F426" s="1130"/>
      <c r="G426" s="1130"/>
      <c r="H426" s="1150"/>
      <c r="I426" s="1150"/>
      <c r="J426" s="1150"/>
      <c r="K426" s="1150"/>
      <c r="L426" s="1130"/>
      <c r="M426" s="1130"/>
      <c r="N426" s="1130"/>
      <c r="O426" s="1130"/>
      <c r="P426" s="1150"/>
      <c r="Q426" s="1130"/>
      <c r="R426" s="1130"/>
      <c r="S426" s="1130"/>
      <c r="T426" s="1130"/>
      <c r="U426" s="1130"/>
      <c r="V426" s="1130"/>
      <c r="W426" s="1130"/>
      <c r="X426" s="1130"/>
      <c r="Y426" s="1130"/>
      <c r="Z426" s="1130"/>
      <c r="AA426" s="1130"/>
      <c r="AB426" s="1130"/>
      <c r="AC426" s="1130"/>
    </row>
    <row r="427" ht="15.75" customHeight="1">
      <c r="A427" s="1130"/>
      <c r="B427" s="1130"/>
      <c r="C427" s="1130"/>
      <c r="D427" s="1130"/>
      <c r="E427" s="1130"/>
      <c r="F427" s="1130"/>
      <c r="G427" s="1130"/>
      <c r="H427" s="1150"/>
      <c r="I427" s="1150"/>
      <c r="J427" s="1150"/>
      <c r="K427" s="1150"/>
      <c r="L427" s="1130"/>
      <c r="M427" s="1130"/>
      <c r="N427" s="1130"/>
      <c r="O427" s="1130"/>
      <c r="P427" s="1150"/>
      <c r="Q427" s="1130"/>
      <c r="R427" s="1130"/>
      <c r="S427" s="1130"/>
      <c r="T427" s="1130"/>
      <c r="U427" s="1130"/>
      <c r="V427" s="1130"/>
      <c r="W427" s="1130"/>
      <c r="X427" s="1130"/>
      <c r="Y427" s="1130"/>
      <c r="Z427" s="1130"/>
      <c r="AA427" s="1130"/>
      <c r="AB427" s="1130"/>
      <c r="AC427" s="1130"/>
    </row>
    <row r="428" ht="15.75" customHeight="1">
      <c r="A428" s="1130"/>
      <c r="B428" s="1130"/>
      <c r="C428" s="1130"/>
      <c r="D428" s="1130"/>
      <c r="E428" s="1130"/>
      <c r="F428" s="1130"/>
      <c r="G428" s="1130"/>
      <c r="H428" s="1150"/>
      <c r="I428" s="1150"/>
      <c r="J428" s="1150"/>
      <c r="K428" s="1150"/>
      <c r="L428" s="1130"/>
      <c r="M428" s="1130"/>
      <c r="N428" s="1130"/>
      <c r="O428" s="1130"/>
      <c r="P428" s="1150"/>
      <c r="Q428" s="1130"/>
      <c r="R428" s="1130"/>
      <c r="S428" s="1130"/>
      <c r="T428" s="1130"/>
      <c r="U428" s="1130"/>
      <c r="V428" s="1130"/>
      <c r="W428" s="1130"/>
      <c r="X428" s="1130"/>
      <c r="Y428" s="1130"/>
      <c r="Z428" s="1130"/>
      <c r="AA428" s="1130"/>
      <c r="AB428" s="1130"/>
      <c r="AC428" s="1130"/>
    </row>
    <row r="429" ht="15.75" customHeight="1">
      <c r="A429" s="1130"/>
      <c r="B429" s="1130"/>
      <c r="C429" s="1130"/>
      <c r="D429" s="1130"/>
      <c r="E429" s="1130"/>
      <c r="F429" s="1130"/>
      <c r="G429" s="1130"/>
      <c r="H429" s="1150"/>
      <c r="I429" s="1150"/>
      <c r="J429" s="1150"/>
      <c r="K429" s="1150"/>
      <c r="L429" s="1130"/>
      <c r="M429" s="1130"/>
      <c r="N429" s="1130"/>
      <c r="O429" s="1130"/>
      <c r="P429" s="1150"/>
      <c r="Q429" s="1130"/>
      <c r="R429" s="1130"/>
      <c r="S429" s="1130"/>
      <c r="T429" s="1130"/>
      <c r="U429" s="1130"/>
      <c r="V429" s="1130"/>
      <c r="W429" s="1130"/>
      <c r="X429" s="1130"/>
      <c r="Y429" s="1130"/>
      <c r="Z429" s="1130"/>
      <c r="AA429" s="1130"/>
      <c r="AB429" s="1130"/>
      <c r="AC429" s="1130"/>
    </row>
    <row r="430" ht="15.75" customHeight="1">
      <c r="A430" s="1130"/>
      <c r="B430" s="1130"/>
      <c r="C430" s="1130"/>
      <c r="D430" s="1130"/>
      <c r="E430" s="1130"/>
      <c r="F430" s="1130"/>
      <c r="G430" s="1130"/>
      <c r="H430" s="1150"/>
      <c r="I430" s="1150"/>
      <c r="J430" s="1150"/>
      <c r="K430" s="1150"/>
      <c r="L430" s="1130"/>
      <c r="M430" s="1130"/>
      <c r="N430" s="1130"/>
      <c r="O430" s="1130"/>
      <c r="P430" s="1150"/>
      <c r="Q430" s="1130"/>
      <c r="R430" s="1130"/>
      <c r="S430" s="1130"/>
      <c r="T430" s="1130"/>
      <c r="U430" s="1130"/>
      <c r="V430" s="1130"/>
      <c r="W430" s="1130"/>
      <c r="X430" s="1130"/>
      <c r="Y430" s="1130"/>
      <c r="Z430" s="1130"/>
      <c r="AA430" s="1130"/>
      <c r="AB430" s="1130"/>
      <c r="AC430" s="1130"/>
    </row>
    <row r="431" ht="15.75" customHeight="1">
      <c r="A431" s="1130"/>
      <c r="B431" s="1130"/>
      <c r="C431" s="1130"/>
      <c r="D431" s="1130"/>
      <c r="E431" s="1130"/>
      <c r="F431" s="1130"/>
      <c r="G431" s="1130"/>
      <c r="H431" s="1150"/>
      <c r="I431" s="1150"/>
      <c r="J431" s="1150"/>
      <c r="K431" s="1150"/>
      <c r="L431" s="1130"/>
      <c r="M431" s="1130"/>
      <c r="N431" s="1130"/>
      <c r="O431" s="1130"/>
      <c r="P431" s="1150"/>
      <c r="Q431" s="1130"/>
      <c r="R431" s="1130"/>
      <c r="S431" s="1130"/>
      <c r="T431" s="1130"/>
      <c r="U431" s="1130"/>
      <c r="V431" s="1130"/>
      <c r="W431" s="1130"/>
      <c r="X431" s="1130"/>
      <c r="Y431" s="1130"/>
      <c r="Z431" s="1130"/>
      <c r="AA431" s="1130"/>
      <c r="AB431" s="1130"/>
      <c r="AC431" s="1130"/>
    </row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D$1:$D$232">
    <filterColumn colId="0">
      <filters blank="1">
        <filter val="CARENS1/CARENS2 2000-07 FHC"/>
        <filter val="CAMRY4 2011-17 FHC"/>
        <filter val="SPLASH 2010- FHN"/>
        <filter val="AVANZA4/XENIA4/TA21 FHN"/>
        <filter val="TRITON2 2015-"/>
        <filter val="CONFERO 2016- FHC"/>
        <filter val="LC FJ70 1984 FHC"/>
        <filter val="FUTURA/SS 1991-2018 FH0"/>
        <filter val="AGYA/AYLA 2013-"/>
        <filter val="TRUCK FE300 1994"/>
        <filter val="HZJ78/79 2002-07 FHN"/>
        <filter val="INNOVA2 2015- FHN"/>
        <filter val="YARIS1 2005-13"/>
        <filter val="PATROL 1980  FHC0"/>
        <filter val="KIJANGKAPSUL 510T FHN"/>
        <filter val="INFINITY/MAXIMA 1996- FHG"/>
        <filter val="XTRAIL2T31 2007-13FHC"/>
        <filter val="SOLUNA 1997-03 FHN"/>
        <filter val="BALENO1 1995-01 FHG"/>
        <filter val="ALTIS 2000-06 FHG"/>
        <filter val="AVANZA1/XENIA1 2003-11/TA04"/>
        <filter val="LIVINA 2007-18"/>
        <filter val="APV 2004- FHN"/>
        <filter val="CRV3 ADA CAT RS FHN"/>
        <filter val="RANGER1 2002-11 FHN"/>
        <filter val="MIGHTY TRUCK FH0"/>
        <filter val="COROLLAGREAT 1988-94 FHC"/>
        <filter val="MINI SEDAN 1961-66 FHC0"/>
        <filter val="CIVICFERIO 1996-00 FHC"/>
        <filter val="QQ 2007- FHC"/>
        <filter val="TARUNA 1999-07 FHN"/>
        <filter val="KIJANGKAPSULEFI 2002-04 FHN"/>
        <filter val="ERTIGA1 2013-17"/>
        <filter val="GRANDMAX 2008- AR"/>
        <filter val="RANGER 2012- FHN"/>
        <filter val="JAZZ1 2001-07 FHN"/>
        <filter val="MIRAGE 2014- FHN"/>
        <filter val="GRANDCHEROOKE 1196- FHC"/>
        <filter val="CALYA/SIGRA 2016-"/>
        <filter val="MARCH 2011- FHN"/>
        <filter val="BRV 2015 FHN"/>
        <filter val="RIOUB 2012-17 FHN"/>
        <filter val="PAJEROSPORT1 2006-15 FHN"/>
        <filter val="CEDRIC 1987-04FHN"/>
        <filter val="W202 C180 FHC"/>
        <filter val="PAJEROSPORT1 2006-15"/>
        <filter val="TIMOR 1992- FHN"/>
        <filter val="APV 2004- AR"/>
        <filter val="CALYA/SIGRA 2016- FHN"/>
        <filter val="TROOPER 1990 FH0"/>
        <filter val="E46 FHG"/>
        <filter val="NAVARAD40 2005-2010 FHN"/>
        <filter val="FIESTA 2008- FHN"/>
        <filter val="LIVINA 2018-"/>
        <filter val="E34 1987-96 FHG"/>
        <filter val="LASER 323 1989-94 FHC"/>
        <filter val="ERTIGA2 2018- RDL/R"/>
        <filter val="HINO LOUHAN FH0"/>
        <filter val="KUDA 1998 FHC0"/>
        <filter val="AVANZA2/XENIA2/TA11 2011-20 AR"/>
        <filter val="JAZZ2 2008-12"/>
        <filter val="CAMRY4 2011-16 FHC"/>
        <filter val="F700/CANTER 2007- FH0"/>
        <filter val="L300 FHC"/>
        <filter val="SPIN 2012 FHN"/>
        <filter val="RIO TAXI 2000-05 FHN"/>
        <filter val="HINO-DYNA DUTRO 2004- FH0"/>
        <filter val="CITYZ 1996-02 FHG"/>
        <filter val="JIMNYKATANA 1986-91 FH0"/>
        <filter val="FUTURANEWCARRYNEW 2019- FHN"/>
        <filter val="CRESSIDA 1976-92 FHG"/>
        <filter val="W211 2002-09 FHG"/>
        <filter val="AVANZA2/XENIA2 2011-15/TA11"/>
        <filter val="LOUHAN FDL/R"/>
        <filter val="NEWCITY 2002-08 FHN"/>
        <filter val="KARIMUNWAGONR 2014- FHN"/>
        <filter val="ACCORDCIELO 1993-97 FHC"/>
        <filter val="YARIS 2006-12 FHN"/>
        <filter val="JAZZ3 2014- FHN"/>
        <filter val="CORONA AT19 1993-94 FHC"/>
        <filter val="VIOS1 2002-07 FHN"/>
        <filter val="RANGER/EVEREST 2002-06 FHN"/>
        <filter val="L300 1980- FH0"/>
        <filter val="TRUCK LOUHAN"/>
        <filter val="SIRION2 2011-18 FHN"/>
        <filter val="RIOTAXI 2000-05 FHN"/>
        <filter val="RUSH1/TERIOS1 2007-18 FHN"/>
        <filter val="FUTURANEW/CARRYNEW 2019-"/>
        <filter val="W202 1993- FHC"/>
        <filter val="LANCEREVO3 1993- FHG"/>
        <filter val="CRV4 2012-16 FHC"/>
        <filter val="D-MAX1 2003-14 FHN"/>
        <filter val="TRUCK FK40 FH0"/>
        <filter val="SERENA2/C24 FHN"/>
        <filter val="TYPE MOBIL"/>
        <filter val="XTRAIL1T30 2004-08 FHC"/>
        <filter val="E46 1997-06 FHG"/>
        <filter val="JIMNYKATANA FHG/C"/>
        <filter val="APV 2004-"/>
        <filter val="GRANDLIVINA FHN"/>
        <filter val="PANTHER1 1991-00 FH0"/>
        <filter val="AVANZA2/XENIA2/TA11 2011-20 SWL"/>
        <filter val="FOCUSPOLISI 2004-11 FHN"/>
        <filter val="AVANZA2/XENIA2/TA11 2011-20 SWR"/>
        <filter val="E87 2004-13 FHG"/>
        <filter val="JAZZ2 2008-13 FHN"/>
        <filter val="SERENA2C24 1999-12 FHN"/>
        <filter val="JAZZ1 2001-07"/>
        <filter val="XPANDER 2018- FHN"/>
        <filter val="CALYA/SIGRA 2016- FDL/R"/>
        <filter val="E36 1990 - 2000 FHG"/>
        <filter val="LIATA/LANTIS/FAMILIA FHN"/>
        <filter val="AVANZA3/XENIA3 2015-20/TA15"/>
        <filter val="BRIO1/BRIO2/MOBILIO 2014- FHN"/>
        <filter val="FUTURA 1991-18 FDL/R"/>
        <filter val="ALTIS1 2000-07 FHG"/>
        <filter val="KIJANGSUPER/GRAND K125 FHN"/>
        <filter val="INTERPLAY 1992-97 FHG"/>
        <filter val="SWIFT2 2011- FHN"/>
        <filter val="PAJEROSPORT2 2015- FHN"/>
        <filter val="RUSH2/TERIOS2 2018- AR"/>
        <filter val="E87 FHG"/>
        <filter val="FORTUNER2/HILUX3 2015- FHG"/>
        <filter val="ERTIGA2 2018- FDL/R"/>
        <filter val="FORTUNER1/HILUX2 2005-15 FHG"/>
        <filter val="A4 SEDAN 1994-01 FHG"/>
        <filter val="TRUCK FIGTHER/FK40"/>
        <filter val="ESTEEM 1989-90 FHG"/>
        <filter val="ERTIGA1 2013-17 FHN"/>
        <filter val="NAVARAD23 2015-FHC"/>
        <filter val="FUTURA/T120SS 1991-18"/>
        <filter val="COROLLAALLNEW 1996- FHC"/>
        <filter val="INNOVA2 2015-"/>
        <filter val="SENTRA/SUNNY 1991- FHC"/>
        <filter val="AGYA/AYLA 2013- AR"/>
        <filter val="LATIO 2015- FHC"/>
        <filter val="CIVICGRAND 4D 1987-91 FHG"/>
        <filter val="CHEROKEE 1994-96 FHC"/>
        <filter val="LC FJ40 FHC"/>
        <filter val="CARRY 1991-17 FDL/R"/>
        <filter val="CRV4 2013-17 FHN"/>
        <filter val="VIOS3 2013-"/>
        <filter val="AVANZA3/XENIA3/TA15 2015-20 FHN"/>
        <filter val="CEFIRO 1988-FHG"/>
        <filter val="PANTHER2 2000-FHN"/>
        <filter val="YARIS3 2018-"/>
        <filter val="ACCENT/EXCEL 1994-00 FHN"/>
        <filter val="AGYA/AYLA 2013- FHN"/>
        <filter val="FE300/RAGASA 1994 FH0"/>
        <filter val="AVANZA1/XENIA1/TA04 2003-11 FHN"/>
        <filter val="MX6 1987-92 COUPE/HB FHG"/>
        <filter val="KARIMUNWAGONR"/>
        <filter val="VIOS2 2007-13"/>
        <filter val="TRUCK FE700"/>
        <filter val="ELF/NKR 1993-17 FH0"/>
        <filter val="ERTIGA2 2018-"/>
        <filter val="XPANDER 2018-"/>
        <filter val="QQ FHC"/>
        <filter val="HRV 2015- FHC"/>
        <filter val="ATOZ FHN"/>
        <filter val="PAJEROSPORT2 2015-"/>
        <filter val="FORTUNER2/HILUX3 2015-"/>
        <filter val="JUKE 2010-19 FHN"/>
        <filter val="COROLLA KE70 1983-87/DX FHC0"/>
        <filter val="GETZ 2002-11 FHC"/>
        <filter val="ATOZ 1997-14 FHN"/>
        <filter val="VITARA/ESCUDOYA7 1988-98 FHN"/>
        <filter val="VIOS3 2013-/YARIS2 2013-/YARIS3 2018- FHN"/>
        <filter val="FRONTIERD22 1997-04 FHN"/>
        <filter val="W203 1997-FHC"/>
        <filter val="W123 1976-86 FHC"/>
        <filter val="NPR SERIES 1994 FHN"/>
        <filter val="GRANDMAX 2008 - FHN"/>
        <filter val="TRUCK DUTRO/ NEWDYNA2004-"/>
        <filter val="AVEOT250/BARINA 2005-11 FHN"/>
        <filter val="ERTIGA2 2018- FHN"/>
        <filter val="VIOS1 2002-07"/>
        <filter val="LC FJ70 1984- FHC0"/>
        <filter val="CERATO 2004-09 FHN"/>
        <filter val="YARIS2 2013-17"/>
        <filter val="TRAVELLO 2004- FHN"/>
        <filter val="RUSH1/TERIOS1 2006-17"/>
        <filter val="TELSTAR TX5 1990-92 FHC"/>
        <filter val="CRV3 2007 - 2011 FHC"/>
        <filter val="AVANZA4/XENIA4 2021-/TA21 NONRS"/>
        <filter val="CIVICGRAND 2D/NOUVA 1998-FHC"/>
        <filter val="UD QUESTER FHN"/>
        <filter val="GRANDMAX 2008-"/>
        <filter val="FORTUNER1/HILUX2 2005-15"/>
        <filter val="GRAND CHEROKEE 1996 FHC"/>
        <filter val="JAZZ3 2013-"/>
        <filter val="PICANTO1 2004-10 FHC"/>
        <filter val="ELFNEW/ELF NLR558 2017- FHN"/>
        <filter val="LIATA/LANTIS/FAMILIA 1995 FHN"/>
        <filter val="LC FJ40/45 1976-84 FHC0"/>
        <filter val="SPORTAGE1 1993-05 FHC"/>
        <filter val="W210 1995-03 RSFHC"/>
        <filter val="PANTHER1 1990- FHN"/>
        <filter val="TRITON 2006-15"/>
        <filter val="TERRANO 1986-95 FHC"/>
        <filter val="GRANDESCUDO 2001 FHN"/>
        <filter val="SIRION1 2007-11 FHN"/>
        <filter val="MOBILIO 2014-"/>
        <filter val="VERNA/AVEGA FHC"/>
        <filter val="AVANZA2/XENIA2/TA11 2011-15 FHN"/>
        <filter val="PICANTO2 2012-17 FHN"/>
        <filter val="AVEOT250/LOVA/KALOS FHN"/>
        <filter val="CALYA/SIGRA 2016- SWL/R"/>
        <filter val="CORONA AT17 1988 FHC"/>
        <filter val="VIOS2 2007-13 FHN"/>
        <filter val="FOCUS 2004-11 FHN"/>
        <filter val="TELSTAR 1992- FHC"/>
        <filter val="PREGIO 2004- FHN"/>
        <filter val="SPORTAGE2 2004-10 FHC"/>
        <filter val="VISTO 2001- FHG"/>
        <filter val="SOLUNA FHN"/>
        <filter val="TIPE &amp; PART"/>
        <filter val="INNOVA1 2005-14"/>
        <filter val="INNOVA1 2005-14 FHN"/>
        <filter val="COROLLATWINCAMKE92 1988 FHC"/>
        <filter val="CALYA/SIGRA 2016- AR"/>
      </filters>
    </filterColumn>
  </autoFilter>
  <mergeCells count="9">
    <mergeCell ref="B71:B72"/>
    <mergeCell ref="C71:C72"/>
    <mergeCell ref="A1:A43"/>
    <mergeCell ref="B1:B2"/>
    <mergeCell ref="C1:C2"/>
    <mergeCell ref="A45:A69"/>
    <mergeCell ref="B45:B46"/>
    <mergeCell ref="C45:C46"/>
    <mergeCell ref="A71:A231"/>
  </mergeCell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8" max="8" width="54.86"/>
  </cols>
  <sheetData>
    <row r="1">
      <c r="A1" s="1247" t="s">
        <v>15491</v>
      </c>
      <c r="B1" s="1248" t="s">
        <v>15492</v>
      </c>
      <c r="C1" s="1249" t="s">
        <v>15493</v>
      </c>
      <c r="D1" s="1249" t="s">
        <v>11550</v>
      </c>
      <c r="E1" s="1249" t="s">
        <v>4</v>
      </c>
      <c r="F1" s="1249" t="s">
        <v>11551</v>
      </c>
      <c r="G1" s="1248" t="s">
        <v>11552</v>
      </c>
      <c r="H1" s="1249" t="s">
        <v>2</v>
      </c>
      <c r="I1" s="1249" t="s">
        <v>5</v>
      </c>
      <c r="J1" s="1249" t="s">
        <v>15494</v>
      </c>
      <c r="K1" s="1249" t="s">
        <v>15495</v>
      </c>
    </row>
    <row r="2">
      <c r="A2" s="1250" t="s">
        <v>11568</v>
      </c>
      <c r="B2" s="1251" t="s">
        <v>11568</v>
      </c>
      <c r="C2" s="1252"/>
      <c r="D2" s="1252"/>
      <c r="E2" s="1252"/>
      <c r="F2" s="1252"/>
      <c r="G2" s="1252"/>
      <c r="H2" s="1251" t="s">
        <v>11568</v>
      </c>
      <c r="I2" s="1252"/>
      <c r="J2" s="1252"/>
      <c r="K2" s="1252"/>
    </row>
    <row r="3">
      <c r="A3" s="1253" t="s">
        <v>2939</v>
      </c>
      <c r="B3" s="1254" t="s">
        <v>15496</v>
      </c>
      <c r="C3" s="1255" t="s">
        <v>2939</v>
      </c>
      <c r="D3" s="1255" t="s">
        <v>1320</v>
      </c>
      <c r="E3" s="1255" t="s">
        <v>11569</v>
      </c>
      <c r="F3" s="1255" t="s">
        <v>11570</v>
      </c>
      <c r="G3" s="1254" t="s">
        <v>22</v>
      </c>
      <c r="H3" s="1254" t="s">
        <v>1321</v>
      </c>
      <c r="I3" s="1254" t="s">
        <v>737</v>
      </c>
      <c r="J3" s="1256"/>
      <c r="K3" s="1257">
        <v>4681000.0</v>
      </c>
    </row>
    <row r="4">
      <c r="A4" s="1253" t="s">
        <v>2939</v>
      </c>
      <c r="B4" s="1254" t="s">
        <v>15497</v>
      </c>
      <c r="C4" s="1255" t="s">
        <v>2939</v>
      </c>
      <c r="D4" s="1255" t="s">
        <v>1322</v>
      </c>
      <c r="E4" s="1255" t="s">
        <v>11569</v>
      </c>
      <c r="F4" s="1255" t="s">
        <v>11570</v>
      </c>
      <c r="G4" s="1254" t="s">
        <v>22</v>
      </c>
      <c r="H4" s="1254" t="s">
        <v>1323</v>
      </c>
      <c r="I4" s="1258" t="s">
        <v>737</v>
      </c>
      <c r="J4" s="1259"/>
      <c r="K4" s="1257">
        <v>4681000.0</v>
      </c>
    </row>
    <row r="5">
      <c r="A5" s="1253" t="s">
        <v>2939</v>
      </c>
      <c r="B5" s="1254" t="s">
        <v>15498</v>
      </c>
      <c r="C5" s="1255" t="s">
        <v>2939</v>
      </c>
      <c r="D5" s="1255" t="s">
        <v>1324</v>
      </c>
      <c r="E5" s="1255" t="s">
        <v>11569</v>
      </c>
      <c r="F5" s="1255" t="s">
        <v>11570</v>
      </c>
      <c r="G5" s="1254" t="s">
        <v>22</v>
      </c>
      <c r="H5" s="1254" t="s">
        <v>1325</v>
      </c>
      <c r="I5" s="1258" t="s">
        <v>125</v>
      </c>
      <c r="J5" s="1259"/>
      <c r="K5" s="1257">
        <v>4681000.0</v>
      </c>
    </row>
    <row r="6">
      <c r="A6" s="1253" t="s">
        <v>2939</v>
      </c>
      <c r="B6" s="1254" t="s">
        <v>15499</v>
      </c>
      <c r="C6" s="1255" t="s">
        <v>2939</v>
      </c>
      <c r="D6" s="1255" t="s">
        <v>1326</v>
      </c>
      <c r="E6" s="1255" t="s">
        <v>11569</v>
      </c>
      <c r="F6" s="1260" t="s">
        <v>11570</v>
      </c>
      <c r="G6" s="1254" t="s">
        <v>22</v>
      </c>
      <c r="H6" s="1254" t="s">
        <v>11572</v>
      </c>
      <c r="I6" s="1258" t="s">
        <v>23</v>
      </c>
      <c r="J6" s="1259"/>
      <c r="K6" s="1257">
        <v>4681000.0</v>
      </c>
    </row>
    <row r="7">
      <c r="A7" s="1261" t="s">
        <v>2939</v>
      </c>
      <c r="B7" s="1254" t="s">
        <v>15500</v>
      </c>
      <c r="C7" s="1255" t="s">
        <v>2939</v>
      </c>
      <c r="D7" s="1255" t="s">
        <v>11573</v>
      </c>
      <c r="E7" s="1255" t="s">
        <v>11569</v>
      </c>
      <c r="F7" s="1255" t="s">
        <v>11570</v>
      </c>
      <c r="G7" s="1258" t="s">
        <v>22</v>
      </c>
      <c r="H7" s="1254" t="s">
        <v>11574</v>
      </c>
      <c r="I7" s="1258" t="s">
        <v>112</v>
      </c>
      <c r="J7" s="1259"/>
      <c r="K7" s="1257">
        <v>4681000.0</v>
      </c>
    </row>
    <row r="8">
      <c r="A8" s="1253" t="s">
        <v>15501</v>
      </c>
      <c r="B8" s="1254" t="s">
        <v>15502</v>
      </c>
      <c r="C8" s="1255" t="s">
        <v>2939</v>
      </c>
      <c r="D8" s="1255" t="s">
        <v>11575</v>
      </c>
      <c r="E8" s="1255" t="s">
        <v>11576</v>
      </c>
      <c r="F8" s="1255" t="s">
        <v>11570</v>
      </c>
      <c r="G8" s="1254" t="s">
        <v>22</v>
      </c>
      <c r="H8" s="1258" t="s">
        <v>11577</v>
      </c>
      <c r="I8" s="1258" t="s">
        <v>112</v>
      </c>
      <c r="J8" s="1259"/>
      <c r="K8" s="1257">
        <v>4681000.0</v>
      </c>
    </row>
    <row r="9">
      <c r="A9" s="1253" t="s">
        <v>15503</v>
      </c>
      <c r="B9" s="1254" t="s">
        <v>2939</v>
      </c>
      <c r="C9" s="1255" t="s">
        <v>2939</v>
      </c>
      <c r="D9" s="1255" t="s">
        <v>113</v>
      </c>
      <c r="E9" s="1255" t="s">
        <v>11578</v>
      </c>
      <c r="F9" s="1255" t="s">
        <v>11579</v>
      </c>
      <c r="G9" s="1254" t="s">
        <v>41</v>
      </c>
      <c r="H9" s="1254" t="s">
        <v>110</v>
      </c>
      <c r="I9" s="1258" t="s">
        <v>2062</v>
      </c>
      <c r="J9" s="1259"/>
      <c r="K9" s="1257">
        <v>3373000.0</v>
      </c>
    </row>
    <row r="10">
      <c r="A10" s="1253" t="s">
        <v>2939</v>
      </c>
      <c r="B10" s="1254" t="s">
        <v>15504</v>
      </c>
      <c r="C10" s="1255" t="s">
        <v>2939</v>
      </c>
      <c r="D10" s="1255" t="s">
        <v>1328</v>
      </c>
      <c r="E10" s="1255" t="s">
        <v>11569</v>
      </c>
      <c r="F10" s="1255" t="s">
        <v>11570</v>
      </c>
      <c r="G10" s="1254" t="s">
        <v>22</v>
      </c>
      <c r="H10" s="1254" t="s">
        <v>1329</v>
      </c>
      <c r="I10" s="1258" t="s">
        <v>189</v>
      </c>
      <c r="J10" s="1259"/>
      <c r="K10" s="1257">
        <v>6282000.0</v>
      </c>
    </row>
    <row r="11">
      <c r="A11" s="1253" t="s">
        <v>2939</v>
      </c>
      <c r="B11" s="1254" t="s">
        <v>15505</v>
      </c>
      <c r="C11" s="1255" t="s">
        <v>2939</v>
      </c>
      <c r="D11" s="1260" t="s">
        <v>11580</v>
      </c>
      <c r="E11" s="1255" t="s">
        <v>11569</v>
      </c>
      <c r="F11" s="1255" t="s">
        <v>11579</v>
      </c>
      <c r="G11" s="1258" t="s">
        <v>41</v>
      </c>
      <c r="H11" s="1254" t="s">
        <v>1329</v>
      </c>
      <c r="I11" s="1258" t="s">
        <v>2193</v>
      </c>
      <c r="J11" s="1259"/>
      <c r="K11" s="1257">
        <v>3300000.0</v>
      </c>
    </row>
    <row r="12">
      <c r="A12" s="1253" t="s">
        <v>15506</v>
      </c>
      <c r="B12" s="1254" t="s">
        <v>15507</v>
      </c>
      <c r="C12" s="1255" t="s">
        <v>2939</v>
      </c>
      <c r="D12" s="1255" t="s">
        <v>115</v>
      </c>
      <c r="E12" s="1255" t="s">
        <v>11576</v>
      </c>
      <c r="F12" s="1255" t="s">
        <v>11570</v>
      </c>
      <c r="G12" s="1254" t="s">
        <v>22</v>
      </c>
      <c r="H12" s="1254" t="s">
        <v>116</v>
      </c>
      <c r="I12" s="1258" t="s">
        <v>112</v>
      </c>
      <c r="J12" s="1259"/>
      <c r="K12" s="1257">
        <v>6282000.0</v>
      </c>
    </row>
    <row r="13">
      <c r="A13" s="1253" t="s">
        <v>15508</v>
      </c>
      <c r="B13" s="1254" t="s">
        <v>2939</v>
      </c>
      <c r="C13" s="1255" t="s">
        <v>2939</v>
      </c>
      <c r="D13" s="1255" t="s">
        <v>117</v>
      </c>
      <c r="E13" s="1255" t="s">
        <v>11578</v>
      </c>
      <c r="F13" s="1255" t="s">
        <v>11579</v>
      </c>
      <c r="G13" s="1254" t="s">
        <v>41</v>
      </c>
      <c r="H13" s="1254" t="s">
        <v>116</v>
      </c>
      <c r="I13" s="1258" t="s">
        <v>11582</v>
      </c>
      <c r="J13" s="1259"/>
      <c r="K13" s="1257">
        <v>3373000.0</v>
      </c>
    </row>
    <row r="14">
      <c r="A14" s="1253" t="s">
        <v>2939</v>
      </c>
      <c r="B14" s="1254" t="s">
        <v>15509</v>
      </c>
      <c r="C14" s="1255" t="s">
        <v>2939</v>
      </c>
      <c r="D14" s="1255" t="s">
        <v>11583</v>
      </c>
      <c r="E14" s="1255" t="s">
        <v>11569</v>
      </c>
      <c r="F14" s="1260" t="s">
        <v>11570</v>
      </c>
      <c r="G14" s="1258" t="s">
        <v>22</v>
      </c>
      <c r="H14" s="1254" t="s">
        <v>11584</v>
      </c>
      <c r="I14" s="1258" t="s">
        <v>112</v>
      </c>
      <c r="J14" s="1259"/>
      <c r="K14" s="1257">
        <v>4681000.0</v>
      </c>
    </row>
    <row r="15">
      <c r="A15" s="1253" t="s">
        <v>2939</v>
      </c>
      <c r="B15" s="1254" t="s">
        <v>15510</v>
      </c>
      <c r="C15" s="1255" t="s">
        <v>2939</v>
      </c>
      <c r="D15" s="1255" t="s">
        <v>2046</v>
      </c>
      <c r="E15" s="1255" t="s">
        <v>11569</v>
      </c>
      <c r="F15" s="1255" t="s">
        <v>11570</v>
      </c>
      <c r="G15" s="1254" t="s">
        <v>22</v>
      </c>
      <c r="H15" s="1254" t="s">
        <v>2047</v>
      </c>
      <c r="I15" s="1258" t="s">
        <v>112</v>
      </c>
      <c r="J15" s="1259"/>
      <c r="K15" s="1257">
        <v>5543000.0</v>
      </c>
    </row>
    <row r="16">
      <c r="A16" s="1253" t="s">
        <v>2939</v>
      </c>
      <c r="B16" s="1254" t="s">
        <v>15511</v>
      </c>
      <c r="C16" s="1255" t="s">
        <v>2939</v>
      </c>
      <c r="D16" s="1255" t="s">
        <v>1335</v>
      </c>
      <c r="E16" s="1255" t="s">
        <v>11569</v>
      </c>
      <c r="F16" s="1255" t="s">
        <v>11579</v>
      </c>
      <c r="G16" s="1254" t="s">
        <v>41</v>
      </c>
      <c r="H16" s="1254" t="s">
        <v>1336</v>
      </c>
      <c r="I16" s="1258" t="s">
        <v>2193</v>
      </c>
      <c r="J16" s="1259"/>
      <c r="K16" s="1257">
        <v>5886000.0</v>
      </c>
    </row>
    <row r="17">
      <c r="A17" s="1253" t="s">
        <v>2939</v>
      </c>
      <c r="B17" s="1254" t="s">
        <v>15512</v>
      </c>
      <c r="C17" s="1255" t="s">
        <v>2939</v>
      </c>
      <c r="D17" s="1255" t="s">
        <v>1337</v>
      </c>
      <c r="E17" s="1255" t="s">
        <v>11569</v>
      </c>
      <c r="F17" s="1255" t="s">
        <v>11570</v>
      </c>
      <c r="G17" s="1254" t="s">
        <v>22</v>
      </c>
      <c r="H17" s="1254" t="s">
        <v>1338</v>
      </c>
      <c r="I17" s="1258" t="s">
        <v>112</v>
      </c>
      <c r="J17" s="1259"/>
      <c r="K17" s="1257">
        <v>9853000.0</v>
      </c>
    </row>
    <row r="18">
      <c r="A18" s="1253" t="s">
        <v>2939</v>
      </c>
      <c r="B18" s="1254" t="s">
        <v>15513</v>
      </c>
      <c r="C18" s="1255" t="s">
        <v>2939</v>
      </c>
      <c r="D18" s="1255" t="s">
        <v>1339</v>
      </c>
      <c r="E18" s="1255" t="s">
        <v>11569</v>
      </c>
      <c r="F18" s="1255" t="s">
        <v>11570</v>
      </c>
      <c r="G18" s="1254" t="s">
        <v>22</v>
      </c>
      <c r="H18" s="1254" t="s">
        <v>11585</v>
      </c>
      <c r="I18" s="1254" t="s">
        <v>112</v>
      </c>
      <c r="J18" s="1256"/>
      <c r="K18" s="1257">
        <v>9853000.0</v>
      </c>
    </row>
    <row r="19">
      <c r="A19" s="1250" t="s">
        <v>11586</v>
      </c>
      <c r="B19" s="1251" t="s">
        <v>11586</v>
      </c>
      <c r="C19" s="1252"/>
      <c r="D19" s="1252"/>
      <c r="E19" s="1252"/>
      <c r="F19" s="1252"/>
      <c r="G19" s="1252"/>
      <c r="H19" s="1251" t="s">
        <v>11586</v>
      </c>
      <c r="I19" s="1252"/>
      <c r="J19" s="1252"/>
      <c r="K19" s="1252"/>
    </row>
    <row r="20">
      <c r="A20" s="1253" t="s">
        <v>15514</v>
      </c>
      <c r="B20" s="1254" t="s">
        <v>15515</v>
      </c>
      <c r="C20" s="1255" t="s">
        <v>2939</v>
      </c>
      <c r="D20" s="1255" t="s">
        <v>119</v>
      </c>
      <c r="E20" s="1255" t="s">
        <v>11576</v>
      </c>
      <c r="F20" s="1255" t="s">
        <v>11570</v>
      </c>
      <c r="G20" s="1254" t="s">
        <v>22</v>
      </c>
      <c r="H20" s="1254" t="s">
        <v>120</v>
      </c>
      <c r="I20" s="1259"/>
      <c r="J20" s="1259"/>
      <c r="K20" s="1257">
        <v>1457000.0</v>
      </c>
    </row>
    <row r="21">
      <c r="A21" s="1253" t="s">
        <v>15516</v>
      </c>
      <c r="B21" s="1254" t="s">
        <v>2939</v>
      </c>
      <c r="C21" s="1255" t="s">
        <v>2939</v>
      </c>
      <c r="D21" s="1255" t="s">
        <v>121</v>
      </c>
      <c r="E21" s="1255" t="s">
        <v>11578</v>
      </c>
      <c r="F21" s="1255" t="s">
        <v>11579</v>
      </c>
      <c r="G21" s="1254" t="s">
        <v>41</v>
      </c>
      <c r="H21" s="1254" t="s">
        <v>120</v>
      </c>
      <c r="I21" s="1258" t="s">
        <v>11588</v>
      </c>
      <c r="J21" s="1259"/>
      <c r="K21" s="1257">
        <v>1500000.0</v>
      </c>
    </row>
    <row r="22">
      <c r="A22" s="1253" t="s">
        <v>15517</v>
      </c>
      <c r="B22" s="1254" t="s">
        <v>15518</v>
      </c>
      <c r="C22" s="1255" t="s">
        <v>2939</v>
      </c>
      <c r="D22" s="1255" t="s">
        <v>123</v>
      </c>
      <c r="E22" s="1255" t="s">
        <v>11576</v>
      </c>
      <c r="F22" s="1255" t="s">
        <v>11570</v>
      </c>
      <c r="G22" s="1254" t="s">
        <v>22</v>
      </c>
      <c r="H22" s="1254" t="s">
        <v>124</v>
      </c>
      <c r="I22" s="1258" t="s">
        <v>125</v>
      </c>
      <c r="J22" s="1259"/>
      <c r="K22" s="1257">
        <v>1514000.0</v>
      </c>
    </row>
    <row r="23">
      <c r="A23" s="1253" t="s">
        <v>15519</v>
      </c>
      <c r="B23" s="1254" t="s">
        <v>15520</v>
      </c>
      <c r="C23" s="1255" t="s">
        <v>2939</v>
      </c>
      <c r="D23" s="1255" t="s">
        <v>126</v>
      </c>
      <c r="E23" s="1255" t="s">
        <v>11576</v>
      </c>
      <c r="F23" s="1255" t="s">
        <v>11579</v>
      </c>
      <c r="G23" s="1254" t="s">
        <v>41</v>
      </c>
      <c r="H23" s="1254" t="s">
        <v>124</v>
      </c>
      <c r="I23" s="1258" t="s">
        <v>2193</v>
      </c>
      <c r="J23" s="1259"/>
      <c r="K23" s="1257">
        <v>2083000.0</v>
      </c>
    </row>
    <row r="24">
      <c r="A24" s="1253" t="s">
        <v>15521</v>
      </c>
      <c r="B24" s="1254" t="s">
        <v>15522</v>
      </c>
      <c r="C24" s="1255" t="s">
        <v>2939</v>
      </c>
      <c r="D24" s="1255" t="s">
        <v>127</v>
      </c>
      <c r="E24" s="1255" t="s">
        <v>11576</v>
      </c>
      <c r="F24" s="1255" t="s">
        <v>11591</v>
      </c>
      <c r="G24" s="1254" t="s">
        <v>128</v>
      </c>
      <c r="H24" s="1254" t="s">
        <v>124</v>
      </c>
      <c r="I24" s="1259"/>
      <c r="J24" s="1259"/>
      <c r="K24" s="1257">
        <v>725000.0</v>
      </c>
    </row>
    <row r="25">
      <c r="A25" s="1253" t="s">
        <v>15523</v>
      </c>
      <c r="B25" s="1254" t="s">
        <v>15524</v>
      </c>
      <c r="C25" s="1255" t="s">
        <v>2939</v>
      </c>
      <c r="D25" s="1255" t="s">
        <v>129</v>
      </c>
      <c r="E25" s="1255" t="s">
        <v>11576</v>
      </c>
      <c r="F25" s="1255" t="s">
        <v>11591</v>
      </c>
      <c r="G25" s="1254" t="s">
        <v>130</v>
      </c>
      <c r="H25" s="1254" t="s">
        <v>124</v>
      </c>
      <c r="I25" s="1259"/>
      <c r="J25" s="1259"/>
      <c r="K25" s="1257">
        <v>725000.0</v>
      </c>
    </row>
    <row r="26">
      <c r="A26" s="1253" t="s">
        <v>15525</v>
      </c>
      <c r="B26" s="1254" t="s">
        <v>2939</v>
      </c>
      <c r="C26" s="1255" t="s">
        <v>2939</v>
      </c>
      <c r="D26" s="1255" t="s">
        <v>131</v>
      </c>
      <c r="E26" s="1255" t="s">
        <v>11578</v>
      </c>
      <c r="F26" s="1255" t="s">
        <v>11591</v>
      </c>
      <c r="G26" s="1254" t="s">
        <v>132</v>
      </c>
      <c r="H26" s="1254" t="s">
        <v>124</v>
      </c>
      <c r="I26" s="1259"/>
      <c r="J26" s="1259"/>
      <c r="K26" s="1257">
        <v>644000.0</v>
      </c>
    </row>
    <row r="27">
      <c r="A27" s="1253" t="s">
        <v>15526</v>
      </c>
      <c r="B27" s="1254" t="s">
        <v>2939</v>
      </c>
      <c r="C27" s="1255" t="s">
        <v>2939</v>
      </c>
      <c r="D27" s="1255" t="s">
        <v>133</v>
      </c>
      <c r="E27" s="1255" t="s">
        <v>11578</v>
      </c>
      <c r="F27" s="1255" t="s">
        <v>11591</v>
      </c>
      <c r="G27" s="1254" t="s">
        <v>134</v>
      </c>
      <c r="H27" s="1254" t="s">
        <v>124</v>
      </c>
      <c r="I27" s="1259"/>
      <c r="J27" s="1259"/>
      <c r="K27" s="1257">
        <v>644000.0</v>
      </c>
    </row>
    <row r="28">
      <c r="A28" s="1253" t="s">
        <v>15527</v>
      </c>
      <c r="B28" s="1254" t="s">
        <v>2939</v>
      </c>
      <c r="C28" s="1255" t="s">
        <v>2939</v>
      </c>
      <c r="D28" s="1255" t="s">
        <v>135</v>
      </c>
      <c r="E28" s="1255" t="s">
        <v>11578</v>
      </c>
      <c r="F28" s="1255" t="s">
        <v>11570</v>
      </c>
      <c r="G28" s="1254" t="s">
        <v>22</v>
      </c>
      <c r="H28" s="1254" t="s">
        <v>136</v>
      </c>
      <c r="I28" s="1258" t="s">
        <v>75</v>
      </c>
      <c r="J28" s="1259"/>
      <c r="K28" s="1257">
        <v>2241000.0</v>
      </c>
    </row>
    <row r="29">
      <c r="A29" s="1253" t="s">
        <v>15528</v>
      </c>
      <c r="B29" s="1254" t="s">
        <v>15529</v>
      </c>
      <c r="C29" s="1255" t="s">
        <v>2939</v>
      </c>
      <c r="D29" s="1255" t="s">
        <v>137</v>
      </c>
      <c r="E29" s="1255" t="s">
        <v>11576</v>
      </c>
      <c r="F29" s="1255" t="s">
        <v>11570</v>
      </c>
      <c r="G29" s="1254" t="s">
        <v>22</v>
      </c>
      <c r="H29" s="1254" t="s">
        <v>136</v>
      </c>
      <c r="I29" s="1258" t="s">
        <v>125</v>
      </c>
      <c r="J29" s="1259"/>
      <c r="K29" s="1257">
        <v>1805000.0</v>
      </c>
    </row>
    <row r="30">
      <c r="A30" s="1253" t="s">
        <v>15530</v>
      </c>
      <c r="B30" s="1254" t="s">
        <v>2939</v>
      </c>
      <c r="C30" s="1255" t="s">
        <v>2939</v>
      </c>
      <c r="D30" s="1255" t="s">
        <v>138</v>
      </c>
      <c r="E30" s="1255" t="s">
        <v>11578</v>
      </c>
      <c r="F30" s="1255" t="s">
        <v>11579</v>
      </c>
      <c r="G30" s="1254" t="s">
        <v>41</v>
      </c>
      <c r="H30" s="1254" t="s">
        <v>136</v>
      </c>
      <c r="I30" s="1258" t="s">
        <v>2193</v>
      </c>
      <c r="J30" s="1259"/>
      <c r="K30" s="1257">
        <v>2142000.0</v>
      </c>
    </row>
    <row r="31">
      <c r="A31" s="1253" t="s">
        <v>15531</v>
      </c>
      <c r="B31" s="1254" t="s">
        <v>2939</v>
      </c>
      <c r="C31" s="1255" t="s">
        <v>2939</v>
      </c>
      <c r="D31" s="1255" t="s">
        <v>140</v>
      </c>
      <c r="E31" s="1255" t="s">
        <v>11578</v>
      </c>
      <c r="F31" s="1255" t="s">
        <v>11591</v>
      </c>
      <c r="G31" s="1254" t="s">
        <v>128</v>
      </c>
      <c r="H31" s="1254" t="s">
        <v>136</v>
      </c>
      <c r="I31" s="1258" t="s">
        <v>141</v>
      </c>
      <c r="J31" s="1259"/>
      <c r="K31" s="1257">
        <v>725000.0</v>
      </c>
    </row>
    <row r="32">
      <c r="A32" s="1253" t="s">
        <v>15532</v>
      </c>
      <c r="B32" s="1254" t="s">
        <v>2939</v>
      </c>
      <c r="C32" s="1255" t="s">
        <v>2939</v>
      </c>
      <c r="D32" s="1255" t="s">
        <v>142</v>
      </c>
      <c r="E32" s="1255" t="s">
        <v>11578</v>
      </c>
      <c r="F32" s="1255" t="s">
        <v>11591</v>
      </c>
      <c r="G32" s="1254" t="s">
        <v>130</v>
      </c>
      <c r="H32" s="1254" t="s">
        <v>136</v>
      </c>
      <c r="I32" s="1258" t="s">
        <v>141</v>
      </c>
      <c r="J32" s="1259"/>
      <c r="K32" s="1257">
        <v>725000.0</v>
      </c>
    </row>
    <row r="33">
      <c r="A33" s="1253" t="s">
        <v>15533</v>
      </c>
      <c r="B33" s="1254" t="s">
        <v>2939</v>
      </c>
      <c r="C33" s="1255" t="s">
        <v>2939</v>
      </c>
      <c r="D33" s="1255" t="s">
        <v>143</v>
      </c>
      <c r="E33" s="1255" t="s">
        <v>11578</v>
      </c>
      <c r="F33" s="1255" t="s">
        <v>11591</v>
      </c>
      <c r="G33" s="1254" t="s">
        <v>132</v>
      </c>
      <c r="H33" s="1254" t="s">
        <v>136</v>
      </c>
      <c r="I33" s="1258" t="s">
        <v>144</v>
      </c>
      <c r="J33" s="1259"/>
      <c r="K33" s="1257">
        <v>644000.0</v>
      </c>
    </row>
    <row r="34">
      <c r="A34" s="1253" t="s">
        <v>15534</v>
      </c>
      <c r="B34" s="1254" t="s">
        <v>2939</v>
      </c>
      <c r="C34" s="1255" t="s">
        <v>2939</v>
      </c>
      <c r="D34" s="1255" t="s">
        <v>145</v>
      </c>
      <c r="E34" s="1255" t="s">
        <v>11578</v>
      </c>
      <c r="F34" s="1255" t="s">
        <v>11591</v>
      </c>
      <c r="G34" s="1254" t="s">
        <v>134</v>
      </c>
      <c r="H34" s="1254" t="s">
        <v>136</v>
      </c>
      <c r="I34" s="1258" t="s">
        <v>144</v>
      </c>
      <c r="J34" s="1259"/>
      <c r="K34" s="1257">
        <v>644000.0</v>
      </c>
    </row>
    <row r="35">
      <c r="A35" s="1253" t="s">
        <v>15535</v>
      </c>
      <c r="B35" s="1254" t="s">
        <v>15536</v>
      </c>
      <c r="C35" s="1255" t="s">
        <v>2939</v>
      </c>
      <c r="D35" s="1255" t="s">
        <v>146</v>
      </c>
      <c r="E35" s="1255" t="s">
        <v>11576</v>
      </c>
      <c r="F35" s="1255" t="s">
        <v>11570</v>
      </c>
      <c r="G35" s="1254" t="s">
        <v>22</v>
      </c>
      <c r="H35" s="1254" t="s">
        <v>15537</v>
      </c>
      <c r="I35" s="1258" t="s">
        <v>125</v>
      </c>
      <c r="J35" s="1259"/>
      <c r="K35" s="1257">
        <v>5880000.0</v>
      </c>
    </row>
    <row r="36">
      <c r="A36" s="1253" t="s">
        <v>15538</v>
      </c>
      <c r="B36" s="1254" t="s">
        <v>15539</v>
      </c>
      <c r="C36" s="1255" t="s">
        <v>2939</v>
      </c>
      <c r="D36" s="1255" t="s">
        <v>148</v>
      </c>
      <c r="E36" s="1255" t="s">
        <v>11576</v>
      </c>
      <c r="F36" s="1255" t="s">
        <v>11570</v>
      </c>
      <c r="G36" s="1254" t="s">
        <v>22</v>
      </c>
      <c r="H36" s="1254" t="s">
        <v>11594</v>
      </c>
      <c r="I36" s="1258" t="s">
        <v>75</v>
      </c>
      <c r="J36" s="1259"/>
      <c r="K36" s="1257">
        <v>2576000.0</v>
      </c>
    </row>
    <row r="37">
      <c r="A37" s="1253" t="s">
        <v>15540</v>
      </c>
      <c r="B37" s="1254" t="s">
        <v>15541</v>
      </c>
      <c r="C37" s="1255" t="s">
        <v>2939</v>
      </c>
      <c r="D37" s="1255" t="s">
        <v>150</v>
      </c>
      <c r="E37" s="1255" t="s">
        <v>11576</v>
      </c>
      <c r="F37" s="1255" t="s">
        <v>11570</v>
      </c>
      <c r="G37" s="1254" t="s">
        <v>22</v>
      </c>
      <c r="H37" s="1254" t="s">
        <v>149</v>
      </c>
      <c r="I37" s="1258" t="s">
        <v>125</v>
      </c>
      <c r="J37" s="1259"/>
      <c r="K37" s="1257">
        <v>2544000.0</v>
      </c>
    </row>
    <row r="38">
      <c r="A38" s="1253" t="s">
        <v>15542</v>
      </c>
      <c r="B38" s="1254" t="s">
        <v>2939</v>
      </c>
      <c r="C38" s="1255" t="s">
        <v>2939</v>
      </c>
      <c r="D38" s="1255" t="s">
        <v>151</v>
      </c>
      <c r="E38" s="1255" t="s">
        <v>11578</v>
      </c>
      <c r="F38" s="1255" t="s">
        <v>11579</v>
      </c>
      <c r="G38" s="1254" t="s">
        <v>41</v>
      </c>
      <c r="H38" s="1254" t="s">
        <v>149</v>
      </c>
      <c r="I38" s="1258" t="s">
        <v>2193</v>
      </c>
      <c r="J38" s="1259"/>
      <c r="K38" s="1257">
        <v>2507000.0</v>
      </c>
    </row>
    <row r="39">
      <c r="A39" s="1253" t="s">
        <v>15543</v>
      </c>
      <c r="B39" s="1254" t="s">
        <v>2939</v>
      </c>
      <c r="C39" s="1255" t="s">
        <v>2939</v>
      </c>
      <c r="D39" s="1255" t="s">
        <v>152</v>
      </c>
      <c r="E39" s="1255" t="s">
        <v>11578</v>
      </c>
      <c r="F39" s="1255" t="s">
        <v>11591</v>
      </c>
      <c r="G39" s="1254" t="s">
        <v>128</v>
      </c>
      <c r="H39" s="1254" t="s">
        <v>149</v>
      </c>
      <c r="I39" s="1258" t="s">
        <v>141</v>
      </c>
      <c r="J39" s="1259"/>
      <c r="K39" s="1257">
        <v>804000.0</v>
      </c>
    </row>
    <row r="40">
      <c r="A40" s="1253" t="s">
        <v>15544</v>
      </c>
      <c r="B40" s="1254" t="s">
        <v>2939</v>
      </c>
      <c r="C40" s="1255" t="s">
        <v>2939</v>
      </c>
      <c r="D40" s="1255" t="s">
        <v>153</v>
      </c>
      <c r="E40" s="1255" t="s">
        <v>11578</v>
      </c>
      <c r="F40" s="1255" t="s">
        <v>11591</v>
      </c>
      <c r="G40" s="1254" t="s">
        <v>130</v>
      </c>
      <c r="H40" s="1254" t="s">
        <v>149</v>
      </c>
      <c r="I40" s="1258" t="s">
        <v>141</v>
      </c>
      <c r="J40" s="1259"/>
      <c r="K40" s="1257">
        <v>804000.0</v>
      </c>
    </row>
    <row r="41">
      <c r="A41" s="1253" t="s">
        <v>15545</v>
      </c>
      <c r="B41" s="1254" t="s">
        <v>2939</v>
      </c>
      <c r="C41" s="1255" t="s">
        <v>2939</v>
      </c>
      <c r="D41" s="1255" t="s">
        <v>154</v>
      </c>
      <c r="E41" s="1255" t="s">
        <v>11578</v>
      </c>
      <c r="F41" s="1255" t="s">
        <v>11591</v>
      </c>
      <c r="G41" s="1254" t="s">
        <v>132</v>
      </c>
      <c r="H41" s="1254" t="s">
        <v>149</v>
      </c>
      <c r="I41" s="1258" t="s">
        <v>144</v>
      </c>
      <c r="J41" s="1259"/>
      <c r="K41" s="1257">
        <v>804000.0</v>
      </c>
    </row>
    <row r="42">
      <c r="A42" s="1253" t="s">
        <v>15546</v>
      </c>
      <c r="B42" s="1254" t="s">
        <v>2939</v>
      </c>
      <c r="C42" s="1255" t="s">
        <v>2939</v>
      </c>
      <c r="D42" s="1255" t="s">
        <v>155</v>
      </c>
      <c r="E42" s="1255" t="s">
        <v>11578</v>
      </c>
      <c r="F42" s="1255" t="s">
        <v>11591</v>
      </c>
      <c r="G42" s="1254" t="s">
        <v>134</v>
      </c>
      <c r="H42" s="1254" t="s">
        <v>149</v>
      </c>
      <c r="I42" s="1258" t="s">
        <v>144</v>
      </c>
      <c r="J42" s="1259"/>
      <c r="K42" s="1257">
        <v>804000.0</v>
      </c>
    </row>
    <row r="43">
      <c r="A43" s="1253" t="s">
        <v>2939</v>
      </c>
      <c r="B43" s="1254" t="s">
        <v>15547</v>
      </c>
      <c r="C43" s="1255" t="s">
        <v>2939</v>
      </c>
      <c r="D43" s="1255" t="s">
        <v>1342</v>
      </c>
      <c r="E43" s="1255" t="s">
        <v>11569</v>
      </c>
      <c r="F43" s="1255" t="s">
        <v>11579</v>
      </c>
      <c r="G43" s="1254" t="s">
        <v>41</v>
      </c>
      <c r="H43" s="1254" t="s">
        <v>1343</v>
      </c>
      <c r="I43" s="1258" t="s">
        <v>2062</v>
      </c>
      <c r="J43" s="1259"/>
      <c r="K43" s="1257">
        <v>2570000.0</v>
      </c>
    </row>
    <row r="44">
      <c r="A44" s="1253" t="s">
        <v>15548</v>
      </c>
      <c r="B44" s="1254" t="s">
        <v>15549</v>
      </c>
      <c r="C44" s="1255" t="s">
        <v>2939</v>
      </c>
      <c r="D44" s="1255" t="s">
        <v>156</v>
      </c>
      <c r="E44" s="1255" t="s">
        <v>11576</v>
      </c>
      <c r="F44" s="1255" t="s">
        <v>11570</v>
      </c>
      <c r="G44" s="1254" t="s">
        <v>22</v>
      </c>
      <c r="H44" s="1254" t="s">
        <v>157</v>
      </c>
      <c r="I44" s="1258" t="s">
        <v>112</v>
      </c>
      <c r="J44" s="1259"/>
      <c r="K44" s="1257">
        <v>4202000.0</v>
      </c>
    </row>
    <row r="45">
      <c r="A45" s="1253" t="s">
        <v>15550</v>
      </c>
      <c r="B45" s="1254" t="s">
        <v>2939</v>
      </c>
      <c r="C45" s="1255" t="s">
        <v>2939</v>
      </c>
      <c r="D45" s="1255" t="s">
        <v>2422</v>
      </c>
      <c r="E45" s="1255" t="s">
        <v>11578</v>
      </c>
      <c r="F45" s="1255" t="s">
        <v>11579</v>
      </c>
      <c r="G45" s="1254" t="s">
        <v>41</v>
      </c>
      <c r="H45" s="1254" t="s">
        <v>157</v>
      </c>
      <c r="I45" s="1258" t="s">
        <v>2193</v>
      </c>
      <c r="J45" s="1259"/>
      <c r="K45" s="1257">
        <v>2453000.0</v>
      </c>
    </row>
    <row r="46">
      <c r="A46" s="1253" t="s">
        <v>15551</v>
      </c>
      <c r="B46" s="1254" t="s">
        <v>15552</v>
      </c>
      <c r="C46" s="1255" t="s">
        <v>2939</v>
      </c>
      <c r="D46" s="1255" t="s">
        <v>162</v>
      </c>
      <c r="E46" s="1255" t="s">
        <v>11576</v>
      </c>
      <c r="F46" s="1255" t="s">
        <v>11591</v>
      </c>
      <c r="G46" s="1254" t="s">
        <v>128</v>
      </c>
      <c r="H46" s="1254" t="s">
        <v>157</v>
      </c>
      <c r="I46" s="1258" t="s">
        <v>141</v>
      </c>
      <c r="J46" s="1259"/>
      <c r="K46" s="1257">
        <v>804000.0</v>
      </c>
    </row>
    <row r="47">
      <c r="A47" s="1253" t="s">
        <v>15553</v>
      </c>
      <c r="B47" s="1254" t="s">
        <v>2939</v>
      </c>
      <c r="C47" s="1255" t="s">
        <v>2939</v>
      </c>
      <c r="D47" s="1255" t="s">
        <v>163</v>
      </c>
      <c r="E47" s="1255" t="s">
        <v>11578</v>
      </c>
      <c r="F47" s="1255" t="s">
        <v>11591</v>
      </c>
      <c r="G47" s="1254" t="s">
        <v>130</v>
      </c>
      <c r="H47" s="1254" t="s">
        <v>157</v>
      </c>
      <c r="I47" s="1258" t="s">
        <v>141</v>
      </c>
      <c r="J47" s="1259"/>
      <c r="K47" s="1257">
        <v>804000.0</v>
      </c>
    </row>
    <row r="48">
      <c r="A48" s="1253" t="s">
        <v>15554</v>
      </c>
      <c r="B48" s="1254" t="s">
        <v>2939</v>
      </c>
      <c r="C48" s="1255" t="s">
        <v>2939</v>
      </c>
      <c r="D48" s="1255" t="s">
        <v>164</v>
      </c>
      <c r="E48" s="1255" t="s">
        <v>11578</v>
      </c>
      <c r="F48" s="1255" t="s">
        <v>11591</v>
      </c>
      <c r="G48" s="1254" t="s">
        <v>132</v>
      </c>
      <c r="H48" s="1254" t="s">
        <v>157</v>
      </c>
      <c r="I48" s="1258" t="s">
        <v>144</v>
      </c>
      <c r="J48" s="1259"/>
      <c r="K48" s="1257">
        <v>725000.0</v>
      </c>
    </row>
    <row r="49">
      <c r="A49" s="1253" t="s">
        <v>15555</v>
      </c>
      <c r="B49" s="1254" t="s">
        <v>2939</v>
      </c>
      <c r="C49" s="1255" t="s">
        <v>2939</v>
      </c>
      <c r="D49" s="1255" t="s">
        <v>165</v>
      </c>
      <c r="E49" s="1255" t="s">
        <v>11578</v>
      </c>
      <c r="F49" s="1255" t="s">
        <v>11591</v>
      </c>
      <c r="G49" s="1254" t="s">
        <v>134</v>
      </c>
      <c r="H49" s="1254" t="s">
        <v>157</v>
      </c>
      <c r="I49" s="1258" t="s">
        <v>144</v>
      </c>
      <c r="J49" s="1259"/>
      <c r="K49" s="1257">
        <v>725000.0</v>
      </c>
    </row>
    <row r="50">
      <c r="A50" s="1253" t="s">
        <v>2939</v>
      </c>
      <c r="B50" s="1254" t="s">
        <v>15556</v>
      </c>
      <c r="C50" s="1255" t="s">
        <v>2939</v>
      </c>
      <c r="D50" s="1255" t="s">
        <v>1344</v>
      </c>
      <c r="E50" s="1255" t="s">
        <v>11569</v>
      </c>
      <c r="F50" s="1255" t="s">
        <v>11570</v>
      </c>
      <c r="G50" s="1254" t="s">
        <v>22</v>
      </c>
      <c r="H50" s="1254" t="s">
        <v>1345</v>
      </c>
      <c r="I50" s="1258" t="s">
        <v>125</v>
      </c>
      <c r="J50" s="1259"/>
      <c r="K50" s="1257">
        <v>1848000.0</v>
      </c>
    </row>
    <row r="51">
      <c r="A51" s="1253" t="s">
        <v>15557</v>
      </c>
      <c r="B51" s="1254" t="s">
        <v>2939</v>
      </c>
      <c r="C51" s="1255" t="s">
        <v>2939</v>
      </c>
      <c r="D51" s="1255" t="s">
        <v>166</v>
      </c>
      <c r="E51" s="1255" t="s">
        <v>11578</v>
      </c>
      <c r="F51" s="1255" t="s">
        <v>11570</v>
      </c>
      <c r="G51" s="1254" t="s">
        <v>22</v>
      </c>
      <c r="H51" s="1254" t="s">
        <v>167</v>
      </c>
      <c r="I51" s="1258" t="s">
        <v>75</v>
      </c>
      <c r="J51" s="1259"/>
      <c r="K51" s="1257">
        <v>2641000.0</v>
      </c>
    </row>
    <row r="52">
      <c r="A52" s="1253" t="s">
        <v>15558</v>
      </c>
      <c r="B52" s="1254" t="s">
        <v>15559</v>
      </c>
      <c r="C52" s="1255" t="s">
        <v>2939</v>
      </c>
      <c r="D52" s="1255" t="s">
        <v>168</v>
      </c>
      <c r="E52" s="1255" t="s">
        <v>11578</v>
      </c>
      <c r="F52" s="1255" t="s">
        <v>11570</v>
      </c>
      <c r="G52" s="1254" t="s">
        <v>22</v>
      </c>
      <c r="H52" s="1254" t="s">
        <v>169</v>
      </c>
      <c r="I52" s="1258" t="s">
        <v>75</v>
      </c>
      <c r="J52" s="1259"/>
      <c r="K52" s="1257">
        <v>3132000.0</v>
      </c>
    </row>
    <row r="53">
      <c r="A53" s="1253" t="s">
        <v>15560</v>
      </c>
      <c r="B53" s="1254" t="s">
        <v>15561</v>
      </c>
      <c r="C53" s="1255" t="s">
        <v>2939</v>
      </c>
      <c r="D53" s="1255" t="s">
        <v>170</v>
      </c>
      <c r="E53" s="1255" t="s">
        <v>11576</v>
      </c>
      <c r="F53" s="1255" t="s">
        <v>11579</v>
      </c>
      <c r="G53" s="1254" t="s">
        <v>41</v>
      </c>
      <c r="H53" s="1254" t="s">
        <v>171</v>
      </c>
      <c r="I53" s="1258" t="s">
        <v>2193</v>
      </c>
      <c r="J53" s="1259"/>
      <c r="K53" s="1257">
        <v>2892000.0</v>
      </c>
    </row>
    <row r="54">
      <c r="A54" s="1253" t="s">
        <v>15562</v>
      </c>
      <c r="B54" s="1254" t="s">
        <v>2939</v>
      </c>
      <c r="C54" s="1255" t="s">
        <v>2939</v>
      </c>
      <c r="D54" s="1255" t="s">
        <v>172</v>
      </c>
      <c r="E54" s="1255" t="s">
        <v>11578</v>
      </c>
      <c r="F54" s="1255" t="s">
        <v>11591</v>
      </c>
      <c r="G54" s="1254" t="s">
        <v>128</v>
      </c>
      <c r="H54" s="1254" t="s">
        <v>171</v>
      </c>
      <c r="I54" s="1259"/>
      <c r="J54" s="1259"/>
      <c r="K54" s="1257">
        <v>804000.0</v>
      </c>
    </row>
    <row r="55">
      <c r="A55" s="1253" t="s">
        <v>15563</v>
      </c>
      <c r="B55" s="1254" t="s">
        <v>2939</v>
      </c>
      <c r="C55" s="1255" t="s">
        <v>2939</v>
      </c>
      <c r="D55" s="1255" t="s">
        <v>173</v>
      </c>
      <c r="E55" s="1255" t="s">
        <v>11578</v>
      </c>
      <c r="F55" s="1255" t="s">
        <v>11591</v>
      </c>
      <c r="G55" s="1254" t="s">
        <v>130</v>
      </c>
      <c r="H55" s="1254" t="s">
        <v>171</v>
      </c>
      <c r="I55" s="1259"/>
      <c r="J55" s="1259"/>
      <c r="K55" s="1257">
        <v>804000.0</v>
      </c>
    </row>
    <row r="56">
      <c r="A56" s="1253" t="s">
        <v>15564</v>
      </c>
      <c r="B56" s="1254" t="s">
        <v>2939</v>
      </c>
      <c r="C56" s="1255" t="s">
        <v>2939</v>
      </c>
      <c r="D56" s="1255" t="s">
        <v>174</v>
      </c>
      <c r="E56" s="1255" t="s">
        <v>11578</v>
      </c>
      <c r="F56" s="1255" t="s">
        <v>11591</v>
      </c>
      <c r="G56" s="1254" t="s">
        <v>132</v>
      </c>
      <c r="H56" s="1254" t="s">
        <v>171</v>
      </c>
      <c r="I56" s="1258" t="s">
        <v>144</v>
      </c>
      <c r="J56" s="1259"/>
      <c r="K56" s="1257">
        <v>725000.0</v>
      </c>
    </row>
    <row r="57">
      <c r="A57" s="1253" t="s">
        <v>15565</v>
      </c>
      <c r="B57" s="1254" t="s">
        <v>2939</v>
      </c>
      <c r="C57" s="1255" t="s">
        <v>2939</v>
      </c>
      <c r="D57" s="1255" t="s">
        <v>175</v>
      </c>
      <c r="E57" s="1255" t="s">
        <v>11578</v>
      </c>
      <c r="F57" s="1255" t="s">
        <v>11591</v>
      </c>
      <c r="G57" s="1254" t="s">
        <v>134</v>
      </c>
      <c r="H57" s="1254" t="s">
        <v>171</v>
      </c>
      <c r="I57" s="1258" t="s">
        <v>144</v>
      </c>
      <c r="J57" s="1259"/>
      <c r="K57" s="1257">
        <v>725000.0</v>
      </c>
    </row>
    <row r="58">
      <c r="A58" s="1253" t="s">
        <v>15566</v>
      </c>
      <c r="B58" s="1254" t="s">
        <v>15567</v>
      </c>
      <c r="C58" s="1255" t="s">
        <v>2939</v>
      </c>
      <c r="D58" s="1255" t="s">
        <v>176</v>
      </c>
      <c r="E58" s="1255" t="s">
        <v>11576</v>
      </c>
      <c r="F58" s="1255" t="s">
        <v>11570</v>
      </c>
      <c r="G58" s="1254" t="s">
        <v>22</v>
      </c>
      <c r="H58" s="1254" t="s">
        <v>177</v>
      </c>
      <c r="I58" s="1258" t="s">
        <v>75</v>
      </c>
      <c r="J58" s="1259"/>
      <c r="K58" s="1257">
        <v>3865000.0</v>
      </c>
    </row>
    <row r="59">
      <c r="A59" s="1253" t="s">
        <v>2939</v>
      </c>
      <c r="B59" s="1254" t="s">
        <v>15568</v>
      </c>
      <c r="C59" s="1255" t="s">
        <v>2939</v>
      </c>
      <c r="D59" s="1255" t="s">
        <v>1346</v>
      </c>
      <c r="E59" s="1255" t="s">
        <v>11569</v>
      </c>
      <c r="F59" s="1255" t="s">
        <v>11570</v>
      </c>
      <c r="G59" s="1254" t="s">
        <v>22</v>
      </c>
      <c r="H59" s="1254" t="s">
        <v>1347</v>
      </c>
      <c r="I59" s="1254" t="s">
        <v>23</v>
      </c>
      <c r="J59" s="1256"/>
      <c r="K59" s="1257">
        <v>3865000.0</v>
      </c>
    </row>
    <row r="60">
      <c r="A60" s="1253" t="s">
        <v>2939</v>
      </c>
      <c r="B60" s="1254" t="s">
        <v>15569</v>
      </c>
      <c r="C60" s="1255" t="s">
        <v>2939</v>
      </c>
      <c r="D60" s="1255" t="s">
        <v>2040</v>
      </c>
      <c r="E60" s="1255" t="s">
        <v>11569</v>
      </c>
      <c r="F60" s="1255" t="s">
        <v>11579</v>
      </c>
      <c r="G60" s="1254" t="s">
        <v>41</v>
      </c>
      <c r="H60" s="1254" t="s">
        <v>179</v>
      </c>
      <c r="I60" s="1258" t="s">
        <v>2193</v>
      </c>
      <c r="J60" s="1259"/>
      <c r="K60" s="1257">
        <v>2916000.0</v>
      </c>
    </row>
    <row r="61">
      <c r="A61" s="1253" t="s">
        <v>15570</v>
      </c>
      <c r="B61" s="1254" t="s">
        <v>2939</v>
      </c>
      <c r="C61" s="1255" t="s">
        <v>2939</v>
      </c>
      <c r="D61" s="1255" t="s">
        <v>178</v>
      </c>
      <c r="E61" s="1255" t="s">
        <v>11578</v>
      </c>
      <c r="F61" s="1255" t="s">
        <v>11591</v>
      </c>
      <c r="G61" s="1254" t="s">
        <v>128</v>
      </c>
      <c r="H61" s="1254" t="s">
        <v>179</v>
      </c>
      <c r="I61" s="1258" t="s">
        <v>141</v>
      </c>
      <c r="J61" s="1259"/>
      <c r="K61" s="1257">
        <v>884000.0</v>
      </c>
    </row>
    <row r="62">
      <c r="A62" s="1253" t="s">
        <v>15571</v>
      </c>
      <c r="B62" s="1254" t="s">
        <v>2939</v>
      </c>
      <c r="C62" s="1255" t="s">
        <v>2939</v>
      </c>
      <c r="D62" s="1255" t="s">
        <v>180</v>
      </c>
      <c r="E62" s="1255" t="s">
        <v>11578</v>
      </c>
      <c r="F62" s="1255" t="s">
        <v>11591</v>
      </c>
      <c r="G62" s="1254" t="s">
        <v>130</v>
      </c>
      <c r="H62" s="1254" t="s">
        <v>179</v>
      </c>
      <c r="I62" s="1258" t="s">
        <v>141</v>
      </c>
      <c r="J62" s="1259"/>
      <c r="K62" s="1257">
        <v>884000.0</v>
      </c>
    </row>
    <row r="63">
      <c r="A63" s="1253" t="s">
        <v>15572</v>
      </c>
      <c r="B63" s="1254" t="s">
        <v>2939</v>
      </c>
      <c r="C63" s="1255" t="s">
        <v>2939</v>
      </c>
      <c r="D63" s="1255" t="s">
        <v>181</v>
      </c>
      <c r="E63" s="1255" t="s">
        <v>11578</v>
      </c>
      <c r="F63" s="1255" t="s">
        <v>11591</v>
      </c>
      <c r="G63" s="1254" t="s">
        <v>132</v>
      </c>
      <c r="H63" s="1254" t="s">
        <v>179</v>
      </c>
      <c r="I63" s="1258" t="s">
        <v>144</v>
      </c>
      <c r="J63" s="1259"/>
      <c r="K63" s="1257">
        <v>804000.0</v>
      </c>
    </row>
    <row r="64">
      <c r="A64" s="1253" t="s">
        <v>15573</v>
      </c>
      <c r="B64" s="1254" t="s">
        <v>2939</v>
      </c>
      <c r="C64" s="1255" t="s">
        <v>2939</v>
      </c>
      <c r="D64" s="1255" t="s">
        <v>182</v>
      </c>
      <c r="E64" s="1255" t="s">
        <v>11578</v>
      </c>
      <c r="F64" s="1255" t="s">
        <v>11591</v>
      </c>
      <c r="G64" s="1254" t="s">
        <v>134</v>
      </c>
      <c r="H64" s="1254" t="s">
        <v>179</v>
      </c>
      <c r="I64" s="1258" t="s">
        <v>144</v>
      </c>
      <c r="J64" s="1259"/>
      <c r="K64" s="1257">
        <v>804000.0</v>
      </c>
    </row>
    <row r="65">
      <c r="A65" s="1253" t="s">
        <v>2939</v>
      </c>
      <c r="B65" s="1254" t="s">
        <v>15574</v>
      </c>
      <c r="C65" s="1255" t="s">
        <v>2939</v>
      </c>
      <c r="D65" s="1255" t="s">
        <v>1351</v>
      </c>
      <c r="E65" s="1255" t="s">
        <v>11569</v>
      </c>
      <c r="F65" s="1255" t="s">
        <v>11570</v>
      </c>
      <c r="G65" s="1254" t="s">
        <v>22</v>
      </c>
      <c r="H65" s="1254" t="s">
        <v>1352</v>
      </c>
      <c r="I65" s="1258" t="s">
        <v>23</v>
      </c>
      <c r="J65" s="1259"/>
      <c r="K65" s="1257">
        <v>8005000.0</v>
      </c>
    </row>
    <row r="66">
      <c r="A66" s="1253" t="s">
        <v>15575</v>
      </c>
      <c r="B66" s="1254" t="s">
        <v>15576</v>
      </c>
      <c r="C66" s="1255" t="s">
        <v>2939</v>
      </c>
      <c r="D66" s="1255" t="s">
        <v>183</v>
      </c>
      <c r="E66" s="1255" t="s">
        <v>11576</v>
      </c>
      <c r="F66" s="1255" t="s">
        <v>11570</v>
      </c>
      <c r="G66" s="1254" t="s">
        <v>22</v>
      </c>
      <c r="H66" s="1254" t="s">
        <v>184</v>
      </c>
      <c r="I66" s="1258" t="s">
        <v>75</v>
      </c>
      <c r="J66" s="1259"/>
      <c r="K66" s="1257">
        <v>3948000.0</v>
      </c>
    </row>
    <row r="67">
      <c r="A67" s="1253" t="s">
        <v>15577</v>
      </c>
      <c r="B67" s="1254" t="s">
        <v>15578</v>
      </c>
      <c r="C67" s="1255" t="s">
        <v>2939</v>
      </c>
      <c r="D67" s="1255" t="s">
        <v>185</v>
      </c>
      <c r="E67" s="1255" t="s">
        <v>11578</v>
      </c>
      <c r="F67" s="1255" t="s">
        <v>11579</v>
      </c>
      <c r="G67" s="1254" t="s">
        <v>41</v>
      </c>
      <c r="H67" s="1254" t="s">
        <v>186</v>
      </c>
      <c r="I67" s="1258" t="s">
        <v>2193</v>
      </c>
      <c r="J67" s="1259"/>
      <c r="K67" s="1257">
        <v>2892000.0</v>
      </c>
    </row>
    <row r="68">
      <c r="A68" s="1253" t="s">
        <v>15579</v>
      </c>
      <c r="B68" s="1254" t="s">
        <v>15580</v>
      </c>
      <c r="C68" s="1255" t="s">
        <v>2939</v>
      </c>
      <c r="D68" s="1255" t="s">
        <v>187</v>
      </c>
      <c r="E68" s="1255" t="s">
        <v>11576</v>
      </c>
      <c r="F68" s="1255" t="s">
        <v>11570</v>
      </c>
      <c r="G68" s="1254" t="s">
        <v>22</v>
      </c>
      <c r="H68" s="1254" t="s">
        <v>11611</v>
      </c>
      <c r="I68" s="1258" t="s">
        <v>189</v>
      </c>
      <c r="J68" s="1259"/>
      <c r="K68" s="1257">
        <v>3695000.0</v>
      </c>
    </row>
    <row r="69">
      <c r="A69" s="1253" t="s">
        <v>2939</v>
      </c>
      <c r="B69" s="1254" t="s">
        <v>15581</v>
      </c>
      <c r="C69" s="1255" t="s">
        <v>2939</v>
      </c>
      <c r="D69" s="1255" t="s">
        <v>11612</v>
      </c>
      <c r="E69" s="1255" t="s">
        <v>11569</v>
      </c>
      <c r="F69" s="1260" t="s">
        <v>11579</v>
      </c>
      <c r="G69" s="1258" t="s">
        <v>41</v>
      </c>
      <c r="H69" s="1254" t="s">
        <v>11613</v>
      </c>
      <c r="I69" s="1258" t="s">
        <v>1377</v>
      </c>
      <c r="J69" s="1259"/>
      <c r="K69" s="1257">
        <v>3800000.0</v>
      </c>
    </row>
    <row r="70">
      <c r="A70" s="1253" t="s">
        <v>2939</v>
      </c>
      <c r="B70" s="1254" t="s">
        <v>15582</v>
      </c>
      <c r="C70" s="1255" t="s">
        <v>2939</v>
      </c>
      <c r="D70" s="1255" t="s">
        <v>1356</v>
      </c>
      <c r="E70" s="1255" t="s">
        <v>11569</v>
      </c>
      <c r="F70" s="1255" t="s">
        <v>11570</v>
      </c>
      <c r="G70" s="1254" t="s">
        <v>22</v>
      </c>
      <c r="H70" s="1254" t="s">
        <v>1357</v>
      </c>
      <c r="I70" s="1258" t="s">
        <v>112</v>
      </c>
      <c r="J70" s="1259"/>
      <c r="K70" s="1257">
        <v>6159000.0</v>
      </c>
    </row>
    <row r="71">
      <c r="A71" s="1253" t="s">
        <v>2939</v>
      </c>
      <c r="B71" s="1254" t="s">
        <v>15583</v>
      </c>
      <c r="C71" s="1255" t="s">
        <v>2939</v>
      </c>
      <c r="D71" s="1260" t="s">
        <v>11614</v>
      </c>
      <c r="E71" s="1255" t="s">
        <v>11569</v>
      </c>
      <c r="F71" s="1260" t="s">
        <v>11579</v>
      </c>
      <c r="G71" s="1254" t="s">
        <v>41</v>
      </c>
      <c r="H71" s="1254" t="s">
        <v>11615</v>
      </c>
      <c r="I71" s="1258" t="s">
        <v>2193</v>
      </c>
      <c r="J71" s="1259"/>
      <c r="K71" s="1257">
        <v>4200000.0</v>
      </c>
    </row>
    <row r="72">
      <c r="A72" s="1253" t="s">
        <v>15584</v>
      </c>
      <c r="B72" s="1254" t="s">
        <v>15585</v>
      </c>
      <c r="C72" s="1255" t="s">
        <v>2939</v>
      </c>
      <c r="D72" s="1255" t="s">
        <v>190</v>
      </c>
      <c r="E72" s="1255" t="s">
        <v>11576</v>
      </c>
      <c r="F72" s="1255" t="s">
        <v>11570</v>
      </c>
      <c r="G72" s="1254" t="s">
        <v>22</v>
      </c>
      <c r="H72" s="1254" t="s">
        <v>191</v>
      </c>
      <c r="I72" s="1258" t="s">
        <v>75</v>
      </c>
      <c r="J72" s="1259"/>
      <c r="K72" s="1257">
        <v>4202000.0</v>
      </c>
    </row>
    <row r="73">
      <c r="A73" s="1253" t="s">
        <v>15586</v>
      </c>
      <c r="B73" s="1254" t="s">
        <v>15587</v>
      </c>
      <c r="C73" s="1255" t="s">
        <v>2939</v>
      </c>
      <c r="D73" s="1255" t="s">
        <v>192</v>
      </c>
      <c r="E73" s="1255" t="s">
        <v>11576</v>
      </c>
      <c r="F73" s="1255" t="s">
        <v>11579</v>
      </c>
      <c r="G73" s="1254" t="s">
        <v>41</v>
      </c>
      <c r="H73" s="1254" t="s">
        <v>193</v>
      </c>
      <c r="I73" s="1258" t="s">
        <v>11616</v>
      </c>
      <c r="J73" s="1259"/>
      <c r="K73" s="1257">
        <v>4282000.0</v>
      </c>
    </row>
    <row r="74">
      <c r="A74" s="1253" t="s">
        <v>15588</v>
      </c>
      <c r="B74" s="1254" t="s">
        <v>15589</v>
      </c>
      <c r="C74" s="1255" t="s">
        <v>2939</v>
      </c>
      <c r="D74" s="1255" t="s">
        <v>195</v>
      </c>
      <c r="E74" s="1255" t="s">
        <v>11578</v>
      </c>
      <c r="F74" s="1255" t="s">
        <v>11570</v>
      </c>
      <c r="G74" s="1254" t="s">
        <v>22</v>
      </c>
      <c r="H74" s="1254" t="s">
        <v>196</v>
      </c>
      <c r="I74" s="1258" t="s">
        <v>75</v>
      </c>
      <c r="J74" s="1259"/>
      <c r="K74" s="1257">
        <v>4535000.0</v>
      </c>
    </row>
    <row r="75">
      <c r="A75" s="1253" t="s">
        <v>15590</v>
      </c>
      <c r="B75" s="1254" t="s">
        <v>15591</v>
      </c>
      <c r="C75" s="1255" t="s">
        <v>2939</v>
      </c>
      <c r="D75" s="1255" t="s">
        <v>197</v>
      </c>
      <c r="E75" s="1255" t="s">
        <v>11576</v>
      </c>
      <c r="F75" s="1255" t="s">
        <v>11579</v>
      </c>
      <c r="G75" s="1254" t="s">
        <v>41</v>
      </c>
      <c r="H75" s="1254" t="s">
        <v>198</v>
      </c>
      <c r="I75" s="1258" t="s">
        <v>11618</v>
      </c>
      <c r="J75" s="1259"/>
      <c r="K75" s="1257">
        <v>3532000.0</v>
      </c>
    </row>
    <row r="76">
      <c r="A76" s="1253" t="s">
        <v>15592</v>
      </c>
      <c r="B76" s="1254" t="s">
        <v>2939</v>
      </c>
      <c r="C76" s="1255" t="s">
        <v>2939</v>
      </c>
      <c r="D76" s="1255" t="s">
        <v>200</v>
      </c>
      <c r="E76" s="1255" t="s">
        <v>11578</v>
      </c>
      <c r="F76" s="1255" t="s">
        <v>11591</v>
      </c>
      <c r="G76" s="1254" t="s">
        <v>132</v>
      </c>
      <c r="H76" s="1254" t="s">
        <v>198</v>
      </c>
      <c r="I76" s="1258" t="s">
        <v>144</v>
      </c>
      <c r="J76" s="1259"/>
      <c r="K76" s="1257">
        <v>966000.0</v>
      </c>
    </row>
    <row r="77">
      <c r="A77" s="1253" t="s">
        <v>15593</v>
      </c>
      <c r="B77" s="1254" t="s">
        <v>2939</v>
      </c>
      <c r="C77" s="1255" t="s">
        <v>2939</v>
      </c>
      <c r="D77" s="1255" t="s">
        <v>201</v>
      </c>
      <c r="E77" s="1255" t="s">
        <v>11578</v>
      </c>
      <c r="F77" s="1255" t="s">
        <v>11591</v>
      </c>
      <c r="G77" s="1254" t="s">
        <v>202</v>
      </c>
      <c r="H77" s="1254" t="s">
        <v>198</v>
      </c>
      <c r="I77" s="1258" t="s">
        <v>97</v>
      </c>
      <c r="J77" s="1259"/>
      <c r="K77" s="1257">
        <v>725000.0</v>
      </c>
    </row>
    <row r="78">
      <c r="A78" s="1253" t="s">
        <v>15594</v>
      </c>
      <c r="B78" s="1254" t="s">
        <v>15595</v>
      </c>
      <c r="C78" s="1255" t="s">
        <v>2939</v>
      </c>
      <c r="D78" s="1255" t="s">
        <v>203</v>
      </c>
      <c r="E78" s="1255" t="s">
        <v>11578</v>
      </c>
      <c r="F78" s="1255" t="s">
        <v>11570</v>
      </c>
      <c r="G78" s="1254" t="s">
        <v>22</v>
      </c>
      <c r="H78" s="1254" t="s">
        <v>204</v>
      </c>
      <c r="I78" s="1258" t="s">
        <v>189</v>
      </c>
      <c r="J78" s="1259"/>
      <c r="K78" s="1257">
        <v>4202000.0</v>
      </c>
    </row>
    <row r="79">
      <c r="A79" s="1253" t="s">
        <v>15596</v>
      </c>
      <c r="B79" s="1254" t="s">
        <v>2939</v>
      </c>
      <c r="C79" s="1255" t="s">
        <v>2939</v>
      </c>
      <c r="D79" s="1255" t="s">
        <v>205</v>
      </c>
      <c r="E79" s="1255" t="s">
        <v>11578</v>
      </c>
      <c r="F79" s="1255" t="s">
        <v>11591</v>
      </c>
      <c r="G79" s="1254" t="s">
        <v>132</v>
      </c>
      <c r="H79" s="1254" t="s">
        <v>204</v>
      </c>
      <c r="I79" s="1258" t="s">
        <v>144</v>
      </c>
      <c r="J79" s="1259"/>
      <c r="K79" s="1257">
        <v>884000.0</v>
      </c>
    </row>
    <row r="80">
      <c r="A80" s="1253" t="s">
        <v>15597</v>
      </c>
      <c r="B80" s="1254" t="s">
        <v>2939</v>
      </c>
      <c r="C80" s="1255" t="s">
        <v>2939</v>
      </c>
      <c r="D80" s="1255" t="s">
        <v>206</v>
      </c>
      <c r="E80" s="1255" t="s">
        <v>11578</v>
      </c>
      <c r="F80" s="1255" t="s">
        <v>11591</v>
      </c>
      <c r="G80" s="1254" t="s">
        <v>134</v>
      </c>
      <c r="H80" s="1254" t="s">
        <v>204</v>
      </c>
      <c r="I80" s="1258" t="s">
        <v>144</v>
      </c>
      <c r="J80" s="1259"/>
      <c r="K80" s="1257">
        <v>884000.0</v>
      </c>
    </row>
    <row r="81">
      <c r="A81" s="1253" t="s">
        <v>2939</v>
      </c>
      <c r="B81" s="1254" t="s">
        <v>15598</v>
      </c>
      <c r="C81" s="1255" t="s">
        <v>2939</v>
      </c>
      <c r="D81" s="1255" t="s">
        <v>1358</v>
      </c>
      <c r="E81" s="1255" t="s">
        <v>11569</v>
      </c>
      <c r="F81" s="1255" t="s">
        <v>11570</v>
      </c>
      <c r="G81" s="1254" t="s">
        <v>22</v>
      </c>
      <c r="H81" s="1254" t="s">
        <v>1359</v>
      </c>
      <c r="I81" s="1258" t="s">
        <v>75</v>
      </c>
      <c r="J81" s="1259"/>
      <c r="K81" s="1257">
        <v>5543000.0</v>
      </c>
    </row>
    <row r="82">
      <c r="A82" s="1253" t="s">
        <v>2939</v>
      </c>
      <c r="B82" s="1254" t="s">
        <v>15599</v>
      </c>
      <c r="C82" s="1255" t="s">
        <v>2939</v>
      </c>
      <c r="D82" s="1255" t="s">
        <v>11621</v>
      </c>
      <c r="E82" s="1255" t="s">
        <v>11569</v>
      </c>
      <c r="F82" s="1255" t="s">
        <v>11579</v>
      </c>
      <c r="G82" s="1254" t="s">
        <v>41</v>
      </c>
      <c r="H82" s="1254" t="s">
        <v>1359</v>
      </c>
      <c r="I82" s="1258" t="s">
        <v>2193</v>
      </c>
      <c r="J82" s="1259"/>
      <c r="K82" s="1257">
        <v>7063000.0</v>
      </c>
    </row>
    <row r="83">
      <c r="A83" s="1250" t="s">
        <v>11627</v>
      </c>
      <c r="B83" s="1251" t="s">
        <v>11627</v>
      </c>
      <c r="C83" s="1252"/>
      <c r="D83" s="1252"/>
      <c r="E83" s="1252"/>
      <c r="F83" s="1252"/>
      <c r="G83" s="1252"/>
      <c r="H83" s="1251" t="s">
        <v>11627</v>
      </c>
      <c r="I83" s="1252"/>
      <c r="J83" s="1252"/>
      <c r="K83" s="1252"/>
    </row>
    <row r="84">
      <c r="A84" s="1253" t="s">
        <v>15600</v>
      </c>
      <c r="B84" s="1254" t="s">
        <v>15601</v>
      </c>
      <c r="C84" s="1255" t="s">
        <v>15602</v>
      </c>
      <c r="D84" s="1255" t="s">
        <v>207</v>
      </c>
      <c r="E84" s="1255" t="s">
        <v>11630</v>
      </c>
      <c r="F84" s="1255" t="s">
        <v>11570</v>
      </c>
      <c r="G84" s="1254" t="s">
        <v>22</v>
      </c>
      <c r="H84" s="1262" t="s">
        <v>208</v>
      </c>
      <c r="I84" s="1258" t="s">
        <v>125</v>
      </c>
      <c r="J84" s="1259"/>
      <c r="K84" s="1257">
        <v>1340000.0</v>
      </c>
    </row>
    <row r="85">
      <c r="A85" s="1253" t="s">
        <v>15603</v>
      </c>
      <c r="B85" s="1254" t="s">
        <v>15604</v>
      </c>
      <c r="C85" s="1255" t="s">
        <v>2939</v>
      </c>
      <c r="D85" s="1255" t="s">
        <v>209</v>
      </c>
      <c r="E85" s="1255" t="s">
        <v>11578</v>
      </c>
      <c r="F85" s="1255" t="s">
        <v>11579</v>
      </c>
      <c r="G85" s="1254" t="s">
        <v>41</v>
      </c>
      <c r="H85" s="1262" t="s">
        <v>208</v>
      </c>
      <c r="I85" s="1258" t="s">
        <v>2193</v>
      </c>
      <c r="J85" s="1259"/>
      <c r="K85" s="1257">
        <v>1563000.0</v>
      </c>
    </row>
    <row r="86">
      <c r="A86" s="1250" t="s">
        <v>11632</v>
      </c>
      <c r="B86" s="1251" t="s">
        <v>11632</v>
      </c>
      <c r="C86" s="1252"/>
      <c r="D86" s="1252"/>
      <c r="E86" s="1252"/>
      <c r="F86" s="1252"/>
      <c r="G86" s="1252"/>
      <c r="H86" s="1251" t="s">
        <v>11632</v>
      </c>
      <c r="I86" s="1252"/>
      <c r="J86" s="1252"/>
      <c r="K86" s="1252"/>
    </row>
    <row r="87">
      <c r="A87" s="1253" t="s">
        <v>15605</v>
      </c>
      <c r="B87" s="1254" t="s">
        <v>15606</v>
      </c>
      <c r="C87" s="1255" t="s">
        <v>2939</v>
      </c>
      <c r="D87" s="1255" t="s">
        <v>210</v>
      </c>
      <c r="E87" s="1255" t="s">
        <v>11578</v>
      </c>
      <c r="F87" s="1255" t="s">
        <v>11570</v>
      </c>
      <c r="G87" s="1254" t="s">
        <v>22</v>
      </c>
      <c r="H87" s="1254" t="s">
        <v>211</v>
      </c>
      <c r="I87" s="1258" t="s">
        <v>125</v>
      </c>
      <c r="J87" s="1259"/>
      <c r="K87" s="1257">
        <v>1509000.0</v>
      </c>
    </row>
    <row r="88">
      <c r="A88" s="1253" t="s">
        <v>15607</v>
      </c>
      <c r="B88" s="1254" t="s">
        <v>15608</v>
      </c>
      <c r="C88" s="1255" t="s">
        <v>2939</v>
      </c>
      <c r="D88" s="1255" t="s">
        <v>212</v>
      </c>
      <c r="E88" s="1255" t="s">
        <v>11576</v>
      </c>
      <c r="F88" s="1255" t="s">
        <v>11591</v>
      </c>
      <c r="G88" s="1254" t="s">
        <v>128</v>
      </c>
      <c r="H88" s="1254" t="s">
        <v>213</v>
      </c>
      <c r="I88" s="1258" t="s">
        <v>141</v>
      </c>
      <c r="J88" s="1259"/>
      <c r="K88" s="1257">
        <v>644000.0</v>
      </c>
    </row>
    <row r="89">
      <c r="A89" s="1253" t="s">
        <v>15609</v>
      </c>
      <c r="B89" s="1254" t="s">
        <v>15610</v>
      </c>
      <c r="C89" s="1255" t="s">
        <v>2939</v>
      </c>
      <c r="D89" s="1255" t="s">
        <v>214</v>
      </c>
      <c r="E89" s="1255" t="s">
        <v>11576</v>
      </c>
      <c r="F89" s="1255" t="s">
        <v>11591</v>
      </c>
      <c r="G89" s="1254" t="s">
        <v>130</v>
      </c>
      <c r="H89" s="1254" t="s">
        <v>213</v>
      </c>
      <c r="I89" s="1258" t="s">
        <v>141</v>
      </c>
      <c r="J89" s="1259"/>
      <c r="K89" s="1257">
        <v>644000.0</v>
      </c>
    </row>
    <row r="90">
      <c r="A90" s="1253" t="s">
        <v>15611</v>
      </c>
      <c r="B90" s="1254" t="s">
        <v>15612</v>
      </c>
      <c r="C90" s="1255" t="s">
        <v>2939</v>
      </c>
      <c r="D90" s="1255" t="s">
        <v>215</v>
      </c>
      <c r="E90" s="1255" t="s">
        <v>11576</v>
      </c>
      <c r="F90" s="1255" t="s">
        <v>11579</v>
      </c>
      <c r="G90" s="1254" t="s">
        <v>41</v>
      </c>
      <c r="H90" s="1254" t="s">
        <v>213</v>
      </c>
      <c r="I90" s="1258" t="s">
        <v>2193</v>
      </c>
      <c r="J90" s="1259"/>
      <c r="K90" s="1257">
        <v>1771000.0</v>
      </c>
    </row>
    <row r="91">
      <c r="A91" s="1253" t="s">
        <v>2939</v>
      </c>
      <c r="B91" s="1254" t="s">
        <v>15613</v>
      </c>
      <c r="C91" s="1255" t="s">
        <v>2939</v>
      </c>
      <c r="D91" s="1255" t="s">
        <v>11635</v>
      </c>
      <c r="E91" s="1255" t="s">
        <v>11569</v>
      </c>
      <c r="F91" s="1260" t="s">
        <v>11579</v>
      </c>
      <c r="G91" s="1258" t="s">
        <v>41</v>
      </c>
      <c r="H91" s="1254" t="s">
        <v>15614</v>
      </c>
      <c r="I91" s="1258" t="s">
        <v>2193</v>
      </c>
      <c r="J91" s="1259"/>
      <c r="K91" s="1257">
        <v>1500000.0</v>
      </c>
    </row>
    <row r="92">
      <c r="A92" s="1253" t="s">
        <v>15615</v>
      </c>
      <c r="B92" s="1254" t="s">
        <v>15616</v>
      </c>
      <c r="C92" s="1255" t="s">
        <v>2939</v>
      </c>
      <c r="D92" s="1255" t="s">
        <v>216</v>
      </c>
      <c r="E92" s="1255" t="s">
        <v>11578</v>
      </c>
      <c r="F92" s="1255" t="s">
        <v>11570</v>
      </c>
      <c r="G92" s="1254" t="s">
        <v>22</v>
      </c>
      <c r="H92" s="1254" t="s">
        <v>15617</v>
      </c>
      <c r="I92" s="1258" t="s">
        <v>125</v>
      </c>
      <c r="J92" s="1259"/>
      <c r="K92" s="1257">
        <v>1552000.0</v>
      </c>
    </row>
    <row r="93">
      <c r="A93" s="1253" t="s">
        <v>2939</v>
      </c>
      <c r="B93" s="1254" t="s">
        <v>15618</v>
      </c>
      <c r="C93" s="1255" t="s">
        <v>2939</v>
      </c>
      <c r="D93" s="1255" t="s">
        <v>11638</v>
      </c>
      <c r="E93" s="1255" t="s">
        <v>11569</v>
      </c>
      <c r="F93" s="1260" t="s">
        <v>11579</v>
      </c>
      <c r="G93" s="1254" t="s">
        <v>41</v>
      </c>
      <c r="H93" s="1254" t="s">
        <v>15619</v>
      </c>
      <c r="I93" s="1254" t="s">
        <v>2193</v>
      </c>
      <c r="J93" s="1256"/>
      <c r="K93" s="1257">
        <v>1500000.0</v>
      </c>
    </row>
    <row r="94">
      <c r="A94" s="1253" t="s">
        <v>15620</v>
      </c>
      <c r="B94" s="1254" t="s">
        <v>15621</v>
      </c>
      <c r="C94" s="1255" t="s">
        <v>2939</v>
      </c>
      <c r="D94" s="1255" t="s">
        <v>218</v>
      </c>
      <c r="E94" s="1255" t="s">
        <v>11578</v>
      </c>
      <c r="F94" s="1255" t="s">
        <v>11570</v>
      </c>
      <c r="G94" s="1254" t="s">
        <v>22</v>
      </c>
      <c r="H94" s="1254" t="s">
        <v>219</v>
      </c>
      <c r="I94" s="1258" t="s">
        <v>125</v>
      </c>
      <c r="J94" s="1259"/>
      <c r="K94" s="1257">
        <v>1848000.0</v>
      </c>
    </row>
    <row r="95">
      <c r="A95" s="1253" t="s">
        <v>15622</v>
      </c>
      <c r="B95" s="1254" t="s">
        <v>15623</v>
      </c>
      <c r="C95" s="1255" t="s">
        <v>2939</v>
      </c>
      <c r="D95" s="1255" t="s">
        <v>220</v>
      </c>
      <c r="E95" s="1255" t="s">
        <v>11578</v>
      </c>
      <c r="F95" s="1255" t="s">
        <v>11579</v>
      </c>
      <c r="G95" s="1254" t="s">
        <v>41</v>
      </c>
      <c r="H95" s="1254" t="s">
        <v>219</v>
      </c>
      <c r="I95" s="1258" t="s">
        <v>1377</v>
      </c>
      <c r="J95" s="1259"/>
      <c r="K95" s="1257">
        <v>1928000.0</v>
      </c>
    </row>
    <row r="96">
      <c r="A96" s="1253" t="s">
        <v>15624</v>
      </c>
      <c r="B96" s="1254" t="s">
        <v>15625</v>
      </c>
      <c r="C96" s="1255" t="s">
        <v>2939</v>
      </c>
      <c r="D96" s="1255" t="s">
        <v>225</v>
      </c>
      <c r="E96" s="1255" t="s">
        <v>11576</v>
      </c>
      <c r="F96" s="1255" t="s">
        <v>11570</v>
      </c>
      <c r="G96" s="1254" t="s">
        <v>22</v>
      </c>
      <c r="H96" s="1254" t="s">
        <v>223</v>
      </c>
      <c r="I96" s="1258" t="s">
        <v>125</v>
      </c>
      <c r="J96" s="1259"/>
      <c r="K96" s="1257">
        <v>1813000.0</v>
      </c>
    </row>
    <row r="97">
      <c r="A97" s="1253" t="s">
        <v>15626</v>
      </c>
      <c r="B97" s="1254" t="s">
        <v>15627</v>
      </c>
      <c r="C97" s="1255" t="s">
        <v>2939</v>
      </c>
      <c r="D97" s="1255" t="s">
        <v>222</v>
      </c>
      <c r="E97" s="1255" t="s">
        <v>11576</v>
      </c>
      <c r="F97" s="1255" t="s">
        <v>11570</v>
      </c>
      <c r="G97" s="1254" t="s">
        <v>22</v>
      </c>
      <c r="H97" s="1254" t="s">
        <v>223</v>
      </c>
      <c r="I97" s="1258" t="s">
        <v>75</v>
      </c>
      <c r="J97" s="1259"/>
      <c r="K97" s="1257">
        <v>2218000.0</v>
      </c>
    </row>
    <row r="98">
      <c r="A98" s="1253" t="s">
        <v>15628</v>
      </c>
      <c r="B98" s="1254" t="s">
        <v>15629</v>
      </c>
      <c r="C98" s="1255" t="s">
        <v>2939</v>
      </c>
      <c r="D98" s="1255" t="s">
        <v>226</v>
      </c>
      <c r="E98" s="1255" t="s">
        <v>11576</v>
      </c>
      <c r="F98" s="1255" t="s">
        <v>11579</v>
      </c>
      <c r="G98" s="1254" t="s">
        <v>41</v>
      </c>
      <c r="H98" s="1254" t="s">
        <v>223</v>
      </c>
      <c r="I98" s="1258" t="s">
        <v>11641</v>
      </c>
      <c r="J98" s="1259"/>
      <c r="K98" s="1257">
        <v>1636000.0</v>
      </c>
    </row>
    <row r="99">
      <c r="A99" s="1253" t="s">
        <v>15630</v>
      </c>
      <c r="B99" s="1254" t="s">
        <v>2939</v>
      </c>
      <c r="C99" s="1255" t="s">
        <v>2939</v>
      </c>
      <c r="D99" s="1255" t="s">
        <v>228</v>
      </c>
      <c r="E99" s="1255" t="s">
        <v>11578</v>
      </c>
      <c r="F99" s="1255" t="s">
        <v>11579</v>
      </c>
      <c r="G99" s="1254" t="s">
        <v>41</v>
      </c>
      <c r="H99" s="1254" t="s">
        <v>223</v>
      </c>
      <c r="I99" s="1258" t="s">
        <v>2193</v>
      </c>
      <c r="J99" s="1259"/>
      <c r="K99" s="1257">
        <v>1507000.0</v>
      </c>
    </row>
    <row r="100">
      <c r="A100" s="1253" t="s">
        <v>15631</v>
      </c>
      <c r="B100" s="1254" t="s">
        <v>15632</v>
      </c>
      <c r="C100" s="1255" t="s">
        <v>2939</v>
      </c>
      <c r="D100" s="1255" t="s">
        <v>229</v>
      </c>
      <c r="E100" s="1255" t="s">
        <v>11576</v>
      </c>
      <c r="F100" s="1255" t="s">
        <v>11591</v>
      </c>
      <c r="G100" s="1254" t="s">
        <v>128</v>
      </c>
      <c r="H100" s="1254" t="s">
        <v>223</v>
      </c>
      <c r="I100" s="1258" t="s">
        <v>141</v>
      </c>
      <c r="J100" s="1259"/>
      <c r="K100" s="1257">
        <v>725000.0</v>
      </c>
    </row>
    <row r="101">
      <c r="A101" s="1253" t="s">
        <v>15633</v>
      </c>
      <c r="B101" s="1254" t="s">
        <v>15634</v>
      </c>
      <c r="C101" s="1255" t="s">
        <v>2939</v>
      </c>
      <c r="D101" s="1255" t="s">
        <v>230</v>
      </c>
      <c r="E101" s="1255" t="s">
        <v>11576</v>
      </c>
      <c r="F101" s="1255" t="s">
        <v>11591</v>
      </c>
      <c r="G101" s="1254" t="s">
        <v>130</v>
      </c>
      <c r="H101" s="1254" t="s">
        <v>223</v>
      </c>
      <c r="I101" s="1258" t="s">
        <v>141</v>
      </c>
      <c r="J101" s="1259"/>
      <c r="K101" s="1257">
        <v>725000.0</v>
      </c>
    </row>
    <row r="102">
      <c r="A102" s="1253" t="s">
        <v>15635</v>
      </c>
      <c r="B102" s="1254" t="s">
        <v>15636</v>
      </c>
      <c r="C102" s="1255" t="s">
        <v>2939</v>
      </c>
      <c r="D102" s="1255" t="s">
        <v>231</v>
      </c>
      <c r="E102" s="1255" t="s">
        <v>11576</v>
      </c>
      <c r="F102" s="1255" t="s">
        <v>11591</v>
      </c>
      <c r="G102" s="1254" t="s">
        <v>132</v>
      </c>
      <c r="H102" s="1254" t="s">
        <v>223</v>
      </c>
      <c r="I102" s="1258" t="s">
        <v>141</v>
      </c>
      <c r="J102" s="1259"/>
      <c r="K102" s="1257">
        <v>579000.0</v>
      </c>
    </row>
    <row r="103">
      <c r="A103" s="1253" t="s">
        <v>15637</v>
      </c>
      <c r="B103" s="1254" t="s">
        <v>15638</v>
      </c>
      <c r="C103" s="1255" t="s">
        <v>2939</v>
      </c>
      <c r="D103" s="1255" t="s">
        <v>232</v>
      </c>
      <c r="E103" s="1255" t="s">
        <v>11576</v>
      </c>
      <c r="F103" s="1255" t="s">
        <v>11591</v>
      </c>
      <c r="G103" s="1254" t="s">
        <v>134</v>
      </c>
      <c r="H103" s="1254" t="s">
        <v>223</v>
      </c>
      <c r="I103" s="1258" t="s">
        <v>141</v>
      </c>
      <c r="J103" s="1259"/>
      <c r="K103" s="1257">
        <v>579000.0</v>
      </c>
    </row>
    <row r="104">
      <c r="A104" s="1253" t="s">
        <v>15639</v>
      </c>
      <c r="B104" s="1254" t="s">
        <v>2939</v>
      </c>
      <c r="C104" s="1255" t="s">
        <v>2939</v>
      </c>
      <c r="D104" s="1255" t="s">
        <v>233</v>
      </c>
      <c r="E104" s="1255" t="s">
        <v>11578</v>
      </c>
      <c r="F104" s="1255" t="s">
        <v>11591</v>
      </c>
      <c r="G104" s="1254" t="s">
        <v>202</v>
      </c>
      <c r="H104" s="1254" t="s">
        <v>223</v>
      </c>
      <c r="I104" s="1258" t="s">
        <v>234</v>
      </c>
      <c r="J104" s="1259"/>
      <c r="K104" s="1257">
        <v>1045000.0</v>
      </c>
    </row>
    <row r="105">
      <c r="A105" s="1253" t="s">
        <v>15640</v>
      </c>
      <c r="B105" s="1254" t="s">
        <v>2939</v>
      </c>
      <c r="C105" s="1255" t="s">
        <v>2939</v>
      </c>
      <c r="D105" s="1255" t="s">
        <v>235</v>
      </c>
      <c r="E105" s="1255" t="s">
        <v>11578</v>
      </c>
      <c r="F105" s="1255" t="s">
        <v>11591</v>
      </c>
      <c r="G105" s="1254" t="s">
        <v>236</v>
      </c>
      <c r="H105" s="1254" t="s">
        <v>223</v>
      </c>
      <c r="I105" s="1258" t="s">
        <v>97</v>
      </c>
      <c r="J105" s="1259"/>
      <c r="K105" s="1257">
        <v>644000.0</v>
      </c>
    </row>
    <row r="106">
      <c r="A106" s="1253" t="s">
        <v>2939</v>
      </c>
      <c r="B106" s="1254" t="s">
        <v>15641</v>
      </c>
      <c r="C106" s="1255" t="s">
        <v>2939</v>
      </c>
      <c r="D106" s="1255" t="s">
        <v>11642</v>
      </c>
      <c r="E106" s="1255" t="s">
        <v>11569</v>
      </c>
      <c r="F106" s="1255" t="s">
        <v>11570</v>
      </c>
      <c r="G106" s="1258" t="s">
        <v>22</v>
      </c>
      <c r="H106" s="1258" t="s">
        <v>11643</v>
      </c>
      <c r="I106" s="1258" t="s">
        <v>75</v>
      </c>
      <c r="J106" s="1259"/>
      <c r="K106" s="1257">
        <v>1664000.0</v>
      </c>
    </row>
    <row r="107">
      <c r="A107" s="1253" t="s">
        <v>15642</v>
      </c>
      <c r="B107" s="1254" t="s">
        <v>15643</v>
      </c>
      <c r="C107" s="1255" t="s">
        <v>2939</v>
      </c>
      <c r="D107" s="1255" t="s">
        <v>237</v>
      </c>
      <c r="E107" s="1255" t="s">
        <v>11578</v>
      </c>
      <c r="F107" s="1255" t="s">
        <v>11570</v>
      </c>
      <c r="G107" s="1254" t="s">
        <v>22</v>
      </c>
      <c r="H107" s="1254" t="s">
        <v>238</v>
      </c>
      <c r="I107" s="1258" t="s">
        <v>125</v>
      </c>
      <c r="J107" s="1259"/>
      <c r="K107" s="1257">
        <v>1797000.0</v>
      </c>
    </row>
    <row r="108">
      <c r="A108" s="1253" t="s">
        <v>15644</v>
      </c>
      <c r="B108" s="1254" t="s">
        <v>15645</v>
      </c>
      <c r="C108" s="1255" t="s">
        <v>2939</v>
      </c>
      <c r="D108" s="1255" t="s">
        <v>239</v>
      </c>
      <c r="E108" s="1255" t="s">
        <v>11578</v>
      </c>
      <c r="F108" s="1255" t="s">
        <v>11570</v>
      </c>
      <c r="G108" s="1254" t="s">
        <v>22</v>
      </c>
      <c r="H108" s="1254" t="s">
        <v>240</v>
      </c>
      <c r="I108" s="1258" t="s">
        <v>75</v>
      </c>
      <c r="J108" s="1259"/>
      <c r="K108" s="1257">
        <v>3529000.0</v>
      </c>
    </row>
    <row r="109">
      <c r="A109" s="1253" t="s">
        <v>15646</v>
      </c>
      <c r="B109" s="1254" t="s">
        <v>15645</v>
      </c>
      <c r="C109" s="1255" t="s">
        <v>2939</v>
      </c>
      <c r="D109" s="1255" t="s">
        <v>241</v>
      </c>
      <c r="E109" s="1255" t="s">
        <v>11578</v>
      </c>
      <c r="F109" s="1255" t="s">
        <v>11570</v>
      </c>
      <c r="G109" s="1254" t="s">
        <v>22</v>
      </c>
      <c r="H109" s="1254" t="s">
        <v>240</v>
      </c>
      <c r="I109" s="1258" t="s">
        <v>125</v>
      </c>
      <c r="J109" s="1259"/>
      <c r="K109" s="1257">
        <v>3026000.0</v>
      </c>
    </row>
    <row r="110">
      <c r="A110" s="1253" t="s">
        <v>15647</v>
      </c>
      <c r="B110" s="1254" t="s">
        <v>2939</v>
      </c>
      <c r="C110" s="1255" t="s">
        <v>2939</v>
      </c>
      <c r="D110" s="1255" t="s">
        <v>242</v>
      </c>
      <c r="E110" s="1255" t="s">
        <v>11578</v>
      </c>
      <c r="F110" s="1255" t="s">
        <v>11591</v>
      </c>
      <c r="G110" s="1254" t="s">
        <v>130</v>
      </c>
      <c r="H110" s="1254" t="s">
        <v>240</v>
      </c>
      <c r="I110" s="1259"/>
      <c r="J110" s="1259"/>
      <c r="K110" s="1257">
        <v>644000.0</v>
      </c>
    </row>
    <row r="111">
      <c r="A111" s="1253" t="s">
        <v>15648</v>
      </c>
      <c r="B111" s="1254" t="s">
        <v>2939</v>
      </c>
      <c r="C111" s="1255" t="s">
        <v>2939</v>
      </c>
      <c r="D111" s="1255" t="s">
        <v>243</v>
      </c>
      <c r="E111" s="1255" t="s">
        <v>11578</v>
      </c>
      <c r="F111" s="1255" t="s">
        <v>11591</v>
      </c>
      <c r="G111" s="1254" t="s">
        <v>132</v>
      </c>
      <c r="H111" s="1254" t="s">
        <v>240</v>
      </c>
      <c r="I111" s="1259"/>
      <c r="J111" s="1259"/>
      <c r="K111" s="1257">
        <v>644000.0</v>
      </c>
    </row>
    <row r="112">
      <c r="A112" s="1253" t="s">
        <v>15649</v>
      </c>
      <c r="B112" s="1254" t="s">
        <v>15601</v>
      </c>
      <c r="C112" s="1255" t="s">
        <v>2939</v>
      </c>
      <c r="D112" s="1255" t="s">
        <v>244</v>
      </c>
      <c r="E112" s="1255" t="s">
        <v>11576</v>
      </c>
      <c r="F112" s="1255" t="s">
        <v>11570</v>
      </c>
      <c r="G112" s="1254" t="s">
        <v>22</v>
      </c>
      <c r="H112" s="1254" t="s">
        <v>15650</v>
      </c>
      <c r="I112" s="1258" t="s">
        <v>125</v>
      </c>
      <c r="J112" s="1259"/>
      <c r="K112" s="1257">
        <v>1340000.0</v>
      </c>
    </row>
    <row r="113">
      <c r="A113" s="1253" t="s">
        <v>15651</v>
      </c>
      <c r="B113" s="1254" t="s">
        <v>15652</v>
      </c>
      <c r="C113" s="1255" t="s">
        <v>2939</v>
      </c>
      <c r="D113" s="1255" t="s">
        <v>246</v>
      </c>
      <c r="E113" s="1255" t="s">
        <v>11578</v>
      </c>
      <c r="F113" s="1255" t="s">
        <v>11579</v>
      </c>
      <c r="G113" s="1254" t="s">
        <v>41</v>
      </c>
      <c r="H113" s="1254" t="s">
        <v>15650</v>
      </c>
      <c r="I113" s="1258" t="s">
        <v>2193</v>
      </c>
      <c r="J113" s="1259"/>
      <c r="K113" s="1257">
        <v>1563000.0</v>
      </c>
    </row>
    <row r="114">
      <c r="A114" s="1253" t="s">
        <v>15653</v>
      </c>
      <c r="B114" s="1254" t="s">
        <v>2939</v>
      </c>
      <c r="C114" s="1255" t="s">
        <v>2939</v>
      </c>
      <c r="D114" s="1255" t="s">
        <v>247</v>
      </c>
      <c r="E114" s="1255" t="s">
        <v>11578</v>
      </c>
      <c r="F114" s="1255" t="s">
        <v>11570</v>
      </c>
      <c r="G114" s="1254" t="s">
        <v>22</v>
      </c>
      <c r="H114" s="1254" t="s">
        <v>248</v>
      </c>
      <c r="I114" s="1258" t="s">
        <v>125</v>
      </c>
      <c r="J114" s="1259"/>
      <c r="K114" s="1257">
        <v>2334000.0</v>
      </c>
    </row>
    <row r="115">
      <c r="A115" s="1253" t="s">
        <v>15654</v>
      </c>
      <c r="B115" s="1254" t="s">
        <v>2939</v>
      </c>
      <c r="C115" s="1255" t="s">
        <v>2939</v>
      </c>
      <c r="D115" s="1255" t="s">
        <v>249</v>
      </c>
      <c r="E115" s="1255" t="s">
        <v>11578</v>
      </c>
      <c r="F115" s="1255" t="s">
        <v>11579</v>
      </c>
      <c r="G115" s="1254" t="s">
        <v>41</v>
      </c>
      <c r="H115" s="1254" t="s">
        <v>248</v>
      </c>
      <c r="I115" s="1258" t="s">
        <v>2193</v>
      </c>
      <c r="J115" s="1259"/>
      <c r="K115" s="1257">
        <v>1543000.0</v>
      </c>
    </row>
    <row r="116">
      <c r="A116" s="1253" t="s">
        <v>15655</v>
      </c>
      <c r="B116" s="1254" t="s">
        <v>2939</v>
      </c>
      <c r="C116" s="1255" t="s">
        <v>2939</v>
      </c>
      <c r="D116" s="1255" t="s">
        <v>250</v>
      </c>
      <c r="E116" s="1255" t="s">
        <v>11578</v>
      </c>
      <c r="F116" s="1255" t="s">
        <v>11591</v>
      </c>
      <c r="G116" s="1254" t="s">
        <v>128</v>
      </c>
      <c r="H116" s="1254" t="s">
        <v>248</v>
      </c>
      <c r="I116" s="1258" t="s">
        <v>141</v>
      </c>
      <c r="J116" s="1259"/>
      <c r="K116" s="1257">
        <v>644000.0</v>
      </c>
    </row>
    <row r="117">
      <c r="A117" s="1253" t="s">
        <v>15656</v>
      </c>
      <c r="B117" s="1254" t="s">
        <v>2939</v>
      </c>
      <c r="C117" s="1255" t="s">
        <v>2939</v>
      </c>
      <c r="D117" s="1255" t="s">
        <v>251</v>
      </c>
      <c r="E117" s="1255" t="s">
        <v>11578</v>
      </c>
      <c r="F117" s="1255" t="s">
        <v>11591</v>
      </c>
      <c r="G117" s="1254" t="s">
        <v>130</v>
      </c>
      <c r="H117" s="1254" t="s">
        <v>248</v>
      </c>
      <c r="I117" s="1258" t="s">
        <v>141</v>
      </c>
      <c r="J117" s="1259"/>
      <c r="K117" s="1257">
        <v>644000.0</v>
      </c>
    </row>
    <row r="118">
      <c r="A118" s="1253" t="s">
        <v>15657</v>
      </c>
      <c r="B118" s="1254" t="s">
        <v>2939</v>
      </c>
      <c r="C118" s="1255" t="s">
        <v>2939</v>
      </c>
      <c r="D118" s="1255" t="s">
        <v>252</v>
      </c>
      <c r="E118" s="1255" t="s">
        <v>11578</v>
      </c>
      <c r="F118" s="1255" t="s">
        <v>11591</v>
      </c>
      <c r="G118" s="1254" t="s">
        <v>134</v>
      </c>
      <c r="H118" s="1254" t="s">
        <v>248</v>
      </c>
      <c r="I118" s="1259"/>
      <c r="J118" s="1259"/>
      <c r="K118" s="1257">
        <v>644000.0</v>
      </c>
    </row>
    <row r="119">
      <c r="A119" s="1253" t="s">
        <v>15658</v>
      </c>
      <c r="B119" s="1254" t="s">
        <v>15659</v>
      </c>
      <c r="C119" s="1255" t="s">
        <v>2939</v>
      </c>
      <c r="D119" s="1255" t="s">
        <v>253</v>
      </c>
      <c r="E119" s="1255" t="s">
        <v>11578</v>
      </c>
      <c r="F119" s="1255" t="s">
        <v>11570</v>
      </c>
      <c r="G119" s="1254" t="s">
        <v>22</v>
      </c>
      <c r="H119" s="1254" t="s">
        <v>254</v>
      </c>
      <c r="I119" s="1258" t="s">
        <v>125</v>
      </c>
      <c r="J119" s="1259"/>
      <c r="K119" s="1257">
        <v>1587000.0</v>
      </c>
    </row>
    <row r="120">
      <c r="A120" s="1253" t="s">
        <v>15660</v>
      </c>
      <c r="B120" s="1254" t="s">
        <v>2939</v>
      </c>
      <c r="C120" s="1255" t="s">
        <v>2939</v>
      </c>
      <c r="D120" s="1255" t="s">
        <v>255</v>
      </c>
      <c r="E120" s="1255" t="s">
        <v>11578</v>
      </c>
      <c r="F120" s="1255" t="s">
        <v>11579</v>
      </c>
      <c r="G120" s="1254" t="s">
        <v>41</v>
      </c>
      <c r="H120" s="1254" t="s">
        <v>254</v>
      </c>
      <c r="I120" s="1258" t="s">
        <v>2193</v>
      </c>
      <c r="J120" s="1259"/>
      <c r="K120" s="1257">
        <v>1667000.0</v>
      </c>
    </row>
    <row r="121">
      <c r="A121" s="1253" t="s">
        <v>15661</v>
      </c>
      <c r="B121" s="1254" t="s">
        <v>2939</v>
      </c>
      <c r="C121" s="1255" t="s">
        <v>2939</v>
      </c>
      <c r="D121" s="1255" t="s">
        <v>256</v>
      </c>
      <c r="E121" s="1255" t="s">
        <v>11578</v>
      </c>
      <c r="F121" s="1255" t="s">
        <v>11591</v>
      </c>
      <c r="G121" s="1254" t="s">
        <v>128</v>
      </c>
      <c r="H121" s="1254" t="s">
        <v>254</v>
      </c>
      <c r="I121" s="1258" t="s">
        <v>141</v>
      </c>
      <c r="J121" s="1259"/>
      <c r="K121" s="1257">
        <v>644000.0</v>
      </c>
    </row>
    <row r="122">
      <c r="A122" s="1253" t="s">
        <v>15662</v>
      </c>
      <c r="B122" s="1254" t="s">
        <v>2939</v>
      </c>
      <c r="C122" s="1255" t="s">
        <v>2939</v>
      </c>
      <c r="D122" s="1255" t="s">
        <v>257</v>
      </c>
      <c r="E122" s="1255" t="s">
        <v>11578</v>
      </c>
      <c r="F122" s="1255" t="s">
        <v>11591</v>
      </c>
      <c r="G122" s="1254" t="s">
        <v>130</v>
      </c>
      <c r="H122" s="1254" t="s">
        <v>254</v>
      </c>
      <c r="I122" s="1258" t="s">
        <v>141</v>
      </c>
      <c r="J122" s="1259"/>
      <c r="K122" s="1257">
        <v>644000.0</v>
      </c>
    </row>
    <row r="123">
      <c r="A123" s="1253" t="s">
        <v>15663</v>
      </c>
      <c r="B123" s="1254" t="s">
        <v>15664</v>
      </c>
      <c r="C123" s="1255" t="s">
        <v>2939</v>
      </c>
      <c r="D123" s="1255" t="s">
        <v>258</v>
      </c>
      <c r="E123" s="1255" t="s">
        <v>11576</v>
      </c>
      <c r="F123" s="1255" t="s">
        <v>11591</v>
      </c>
      <c r="G123" s="1254" t="s">
        <v>132</v>
      </c>
      <c r="H123" s="1254" t="s">
        <v>254</v>
      </c>
      <c r="I123" s="1258" t="s">
        <v>141</v>
      </c>
      <c r="J123" s="1259"/>
      <c r="K123" s="1257">
        <v>644000.0</v>
      </c>
    </row>
    <row r="124">
      <c r="A124" s="1253" t="s">
        <v>15665</v>
      </c>
      <c r="B124" s="1254" t="s">
        <v>2939</v>
      </c>
      <c r="C124" s="1255" t="s">
        <v>2939</v>
      </c>
      <c r="D124" s="1255" t="s">
        <v>259</v>
      </c>
      <c r="E124" s="1255" t="s">
        <v>11578</v>
      </c>
      <c r="F124" s="1255" t="s">
        <v>11591</v>
      </c>
      <c r="G124" s="1254" t="s">
        <v>134</v>
      </c>
      <c r="H124" s="1254" t="s">
        <v>254</v>
      </c>
      <c r="I124" s="1258" t="s">
        <v>141</v>
      </c>
      <c r="J124" s="1259"/>
      <c r="K124" s="1257">
        <v>644000.0</v>
      </c>
    </row>
    <row r="125">
      <c r="A125" s="1253" t="s">
        <v>2939</v>
      </c>
      <c r="B125" s="1254" t="s">
        <v>15666</v>
      </c>
      <c r="C125" s="1255" t="s">
        <v>2939</v>
      </c>
      <c r="D125" s="1255" t="s">
        <v>1367</v>
      </c>
      <c r="E125" s="1255" t="s">
        <v>11569</v>
      </c>
      <c r="F125" s="1255" t="s">
        <v>11570</v>
      </c>
      <c r="G125" s="1254" t="s">
        <v>22</v>
      </c>
      <c r="H125" s="1254" t="s">
        <v>1368</v>
      </c>
      <c r="I125" s="1254" t="s">
        <v>125</v>
      </c>
      <c r="J125" s="1256"/>
      <c r="K125" s="1257">
        <v>1587000.0</v>
      </c>
    </row>
    <row r="126">
      <c r="A126" s="1253" t="s">
        <v>2939</v>
      </c>
      <c r="B126" s="1254" t="s">
        <v>15667</v>
      </c>
      <c r="C126" s="1255" t="s">
        <v>2939</v>
      </c>
      <c r="D126" s="1255" t="s">
        <v>1369</v>
      </c>
      <c r="E126" s="1255" t="s">
        <v>11569</v>
      </c>
      <c r="F126" s="1255" t="s">
        <v>11579</v>
      </c>
      <c r="G126" s="1254" t="s">
        <v>41</v>
      </c>
      <c r="H126" s="1254" t="s">
        <v>1368</v>
      </c>
      <c r="I126" s="1254" t="s">
        <v>1377</v>
      </c>
      <c r="J126" s="1256"/>
      <c r="K126" s="1257">
        <v>1691000.0</v>
      </c>
    </row>
    <row r="127">
      <c r="A127" s="1253" t="s">
        <v>15668</v>
      </c>
      <c r="B127" s="1254" t="s">
        <v>15669</v>
      </c>
      <c r="C127" s="1255" t="s">
        <v>15670</v>
      </c>
      <c r="D127" s="1255" t="s">
        <v>260</v>
      </c>
      <c r="E127" s="1255" t="s">
        <v>11630</v>
      </c>
      <c r="F127" s="1255" t="s">
        <v>11570</v>
      </c>
      <c r="G127" s="1254" t="s">
        <v>22</v>
      </c>
      <c r="H127" s="1254" t="s">
        <v>261</v>
      </c>
      <c r="I127" s="1258" t="s">
        <v>125</v>
      </c>
      <c r="J127" s="1259"/>
      <c r="K127" s="1257">
        <v>1350000.0</v>
      </c>
    </row>
    <row r="128">
      <c r="A128" s="1253" t="s">
        <v>2939</v>
      </c>
      <c r="B128" s="1254" t="s">
        <v>15671</v>
      </c>
      <c r="C128" s="1255" t="s">
        <v>2939</v>
      </c>
      <c r="D128" s="1255" t="s">
        <v>2230</v>
      </c>
      <c r="E128" s="1255" t="s">
        <v>11569</v>
      </c>
      <c r="F128" s="1255" t="s">
        <v>11579</v>
      </c>
      <c r="G128" s="1254" t="s">
        <v>41</v>
      </c>
      <c r="H128" s="1254" t="s">
        <v>261</v>
      </c>
      <c r="I128" s="1258" t="s">
        <v>1377</v>
      </c>
      <c r="J128" s="1259"/>
      <c r="K128" s="1257">
        <v>1166000.0</v>
      </c>
    </row>
    <row r="129">
      <c r="A129" s="1253" t="s">
        <v>2939</v>
      </c>
      <c r="B129" s="1254" t="s">
        <v>15672</v>
      </c>
      <c r="C129" s="1255" t="s">
        <v>2939</v>
      </c>
      <c r="D129" s="1255" t="s">
        <v>1372</v>
      </c>
      <c r="E129" s="1255" t="s">
        <v>11569</v>
      </c>
      <c r="F129" s="1255" t="s">
        <v>11570</v>
      </c>
      <c r="G129" s="1254" t="s">
        <v>22</v>
      </c>
      <c r="H129" s="1254" t="s">
        <v>263</v>
      </c>
      <c r="I129" s="1254" t="s">
        <v>75</v>
      </c>
      <c r="J129" s="1256"/>
      <c r="K129" s="1257">
        <v>2518000.0</v>
      </c>
    </row>
    <row r="130">
      <c r="A130" s="1253" t="s">
        <v>15673</v>
      </c>
      <c r="B130" s="1254" t="s">
        <v>15674</v>
      </c>
      <c r="C130" s="1255" t="s">
        <v>2939</v>
      </c>
      <c r="D130" s="1255" t="s">
        <v>265</v>
      </c>
      <c r="E130" s="1255" t="s">
        <v>11576</v>
      </c>
      <c r="F130" s="1255" t="s">
        <v>11579</v>
      </c>
      <c r="G130" s="1254" t="s">
        <v>41</v>
      </c>
      <c r="H130" s="1254" t="s">
        <v>11649</v>
      </c>
      <c r="I130" s="1258" t="s">
        <v>1377</v>
      </c>
      <c r="J130" s="1259"/>
      <c r="K130" s="1257">
        <v>1928000.0</v>
      </c>
    </row>
    <row r="131">
      <c r="A131" s="1253" t="s">
        <v>15675</v>
      </c>
      <c r="B131" s="1254" t="s">
        <v>15676</v>
      </c>
      <c r="C131" s="1255" t="s">
        <v>2939</v>
      </c>
      <c r="D131" s="1255" t="s">
        <v>262</v>
      </c>
      <c r="E131" s="1255" t="s">
        <v>11578</v>
      </c>
      <c r="F131" s="1255" t="s">
        <v>11591</v>
      </c>
      <c r="G131" s="1254" t="s">
        <v>132</v>
      </c>
      <c r="H131" s="1254" t="s">
        <v>263</v>
      </c>
      <c r="I131" s="1259"/>
      <c r="J131" s="1259"/>
      <c r="K131" s="1257">
        <v>644000.0</v>
      </c>
    </row>
    <row r="132">
      <c r="A132" s="1253" t="s">
        <v>15677</v>
      </c>
      <c r="B132" s="1254" t="s">
        <v>15678</v>
      </c>
      <c r="C132" s="1255" t="s">
        <v>2939</v>
      </c>
      <c r="D132" s="1255" t="s">
        <v>264</v>
      </c>
      <c r="E132" s="1255" t="s">
        <v>11578</v>
      </c>
      <c r="F132" s="1255" t="s">
        <v>11591</v>
      </c>
      <c r="G132" s="1254" t="s">
        <v>134</v>
      </c>
      <c r="H132" s="1254" t="s">
        <v>263</v>
      </c>
      <c r="I132" s="1259"/>
      <c r="J132" s="1259"/>
      <c r="K132" s="1257">
        <v>644000.0</v>
      </c>
    </row>
    <row r="133">
      <c r="A133" s="1263" t="s">
        <v>15679</v>
      </c>
      <c r="B133" s="1254" t="s">
        <v>15680</v>
      </c>
      <c r="C133" s="1255" t="s">
        <v>2939</v>
      </c>
      <c r="D133" s="1255" t="s">
        <v>267</v>
      </c>
      <c r="E133" s="1255" t="s">
        <v>11576</v>
      </c>
      <c r="F133" s="1255" t="s">
        <v>11570</v>
      </c>
      <c r="G133" s="1254" t="s">
        <v>22</v>
      </c>
      <c r="H133" s="1254" t="s">
        <v>268</v>
      </c>
      <c r="I133" s="1258" t="s">
        <v>125</v>
      </c>
      <c r="J133" s="1259"/>
      <c r="K133" s="1257">
        <v>2249000.0</v>
      </c>
    </row>
    <row r="134">
      <c r="A134" s="1253" t="s">
        <v>2939</v>
      </c>
      <c r="B134" s="1254" t="s">
        <v>15681</v>
      </c>
      <c r="C134" s="1255" t="s">
        <v>2939</v>
      </c>
      <c r="D134" s="1255" t="s">
        <v>1373</v>
      </c>
      <c r="E134" s="1255" t="s">
        <v>11569</v>
      </c>
      <c r="F134" s="1255" t="s">
        <v>11570</v>
      </c>
      <c r="G134" s="1254" t="s">
        <v>22</v>
      </c>
      <c r="H134" s="1254" t="s">
        <v>1374</v>
      </c>
      <c r="I134" s="1254" t="s">
        <v>75</v>
      </c>
      <c r="J134" s="1256"/>
      <c r="K134" s="1257">
        <v>2301000.0</v>
      </c>
    </row>
    <row r="135">
      <c r="A135" s="1253" t="s">
        <v>15682</v>
      </c>
      <c r="B135" s="1254" t="s">
        <v>15683</v>
      </c>
      <c r="C135" s="1255" t="s">
        <v>2939</v>
      </c>
      <c r="D135" s="1255" t="s">
        <v>269</v>
      </c>
      <c r="E135" s="1255" t="s">
        <v>11576</v>
      </c>
      <c r="F135" s="1255" t="s">
        <v>11579</v>
      </c>
      <c r="G135" s="1254" t="s">
        <v>41</v>
      </c>
      <c r="H135" s="1254" t="s">
        <v>270</v>
      </c>
      <c r="I135" s="1258" t="s">
        <v>1377</v>
      </c>
      <c r="J135" s="1259"/>
      <c r="K135" s="1257">
        <v>2083000.0</v>
      </c>
    </row>
    <row r="136">
      <c r="A136" s="1253" t="s">
        <v>15684</v>
      </c>
      <c r="B136" s="1254" t="s">
        <v>15685</v>
      </c>
      <c r="C136" s="1255" t="s">
        <v>2939</v>
      </c>
      <c r="D136" s="1255" t="s">
        <v>271</v>
      </c>
      <c r="E136" s="1255" t="s">
        <v>11576</v>
      </c>
      <c r="F136" s="1255" t="s">
        <v>11570</v>
      </c>
      <c r="G136" s="1254" t="s">
        <v>22</v>
      </c>
      <c r="H136" s="1254" t="s">
        <v>272</v>
      </c>
      <c r="I136" s="1258" t="s">
        <v>125</v>
      </c>
      <c r="J136" s="1259"/>
      <c r="K136" s="1257">
        <v>1913000.0</v>
      </c>
    </row>
    <row r="137">
      <c r="A137" s="1253" t="s">
        <v>15686</v>
      </c>
      <c r="B137" s="1254" t="s">
        <v>2939</v>
      </c>
      <c r="C137" s="1255" t="s">
        <v>2939</v>
      </c>
      <c r="D137" s="1255" t="s">
        <v>273</v>
      </c>
      <c r="E137" s="1255" t="s">
        <v>11578</v>
      </c>
      <c r="F137" s="1255" t="s">
        <v>11579</v>
      </c>
      <c r="G137" s="1254" t="s">
        <v>41</v>
      </c>
      <c r="H137" s="1254" t="s">
        <v>272</v>
      </c>
      <c r="I137" s="1258" t="s">
        <v>2193</v>
      </c>
      <c r="J137" s="1259"/>
      <c r="K137" s="1257">
        <v>1667000.0</v>
      </c>
    </row>
    <row r="138">
      <c r="A138" s="1264" t="s">
        <v>2392</v>
      </c>
      <c r="B138" s="1265" t="s">
        <v>2392</v>
      </c>
      <c r="C138" s="1252"/>
      <c r="D138" s="1252"/>
      <c r="E138" s="1252"/>
      <c r="F138" s="1252"/>
      <c r="G138" s="1252"/>
      <c r="H138" s="1251" t="s">
        <v>2392</v>
      </c>
      <c r="I138" s="1252"/>
      <c r="J138" s="1252"/>
      <c r="K138" s="1252"/>
    </row>
    <row r="139">
      <c r="A139" s="1253" t="s">
        <v>15687</v>
      </c>
      <c r="B139" s="1254" t="s">
        <v>15688</v>
      </c>
      <c r="C139" s="1255" t="s">
        <v>15689</v>
      </c>
      <c r="D139" s="1255" t="s">
        <v>274</v>
      </c>
      <c r="E139" s="1255" t="s">
        <v>11630</v>
      </c>
      <c r="F139" s="1255" t="s">
        <v>11570</v>
      </c>
      <c r="G139" s="1254" t="s">
        <v>22</v>
      </c>
      <c r="H139" s="1254" t="s">
        <v>275</v>
      </c>
      <c r="I139" s="1258" t="s">
        <v>97</v>
      </c>
      <c r="J139" s="1259"/>
      <c r="K139" s="1257">
        <v>855000.0</v>
      </c>
    </row>
    <row r="140">
      <c r="A140" s="1253" t="s">
        <v>2939</v>
      </c>
      <c r="B140" s="1254" t="s">
        <v>2939</v>
      </c>
      <c r="C140" s="1255" t="s">
        <v>15690</v>
      </c>
      <c r="D140" s="1255" t="s">
        <v>2023</v>
      </c>
      <c r="E140" s="1255" t="s">
        <v>11653</v>
      </c>
      <c r="F140" s="1258" t="s">
        <v>11579</v>
      </c>
      <c r="G140" s="1254" t="s">
        <v>41</v>
      </c>
      <c r="H140" s="1254" t="s">
        <v>2024</v>
      </c>
      <c r="I140" s="1258" t="s">
        <v>97</v>
      </c>
      <c r="J140" s="1259"/>
      <c r="K140" s="1257">
        <v>462000.0</v>
      </c>
    </row>
    <row r="141">
      <c r="A141" s="1253" t="s">
        <v>2939</v>
      </c>
      <c r="B141" s="1254" t="s">
        <v>15691</v>
      </c>
      <c r="C141" s="1255" t="s">
        <v>15692</v>
      </c>
      <c r="D141" s="1255" t="s">
        <v>1379</v>
      </c>
      <c r="E141" s="1255" t="s">
        <v>11654</v>
      </c>
      <c r="F141" s="1255" t="s">
        <v>11570</v>
      </c>
      <c r="G141" s="1254" t="s">
        <v>22</v>
      </c>
      <c r="H141" s="1254" t="s">
        <v>277</v>
      </c>
      <c r="I141" s="1254" t="s">
        <v>125</v>
      </c>
      <c r="J141" s="1256"/>
      <c r="K141" s="1257">
        <v>1319000.0</v>
      </c>
    </row>
    <row r="142">
      <c r="A142" s="1253" t="s">
        <v>15693</v>
      </c>
      <c r="B142" s="1254" t="s">
        <v>15694</v>
      </c>
      <c r="C142" s="1255" t="s">
        <v>2939</v>
      </c>
      <c r="D142" s="1255" t="s">
        <v>276</v>
      </c>
      <c r="E142" s="1255" t="s">
        <v>11576</v>
      </c>
      <c r="F142" s="1255" t="s">
        <v>11579</v>
      </c>
      <c r="G142" s="1254" t="s">
        <v>41</v>
      </c>
      <c r="H142" s="1254" t="s">
        <v>277</v>
      </c>
      <c r="I142" s="1258" t="s">
        <v>2193</v>
      </c>
      <c r="J142" s="1266">
        <v>456000.0</v>
      </c>
      <c r="K142" s="1257">
        <v>922000.0</v>
      </c>
    </row>
    <row r="143">
      <c r="A143" s="1253" t="s">
        <v>2939</v>
      </c>
      <c r="B143" s="1254" t="s">
        <v>2939</v>
      </c>
      <c r="C143" s="1255" t="s">
        <v>15695</v>
      </c>
      <c r="D143" s="1255" t="s">
        <v>1594</v>
      </c>
      <c r="E143" s="1255" t="s">
        <v>11653</v>
      </c>
      <c r="F143" s="1255" t="s">
        <v>11570</v>
      </c>
      <c r="G143" s="1254" t="s">
        <v>22</v>
      </c>
      <c r="H143" s="1254" t="s">
        <v>1444</v>
      </c>
      <c r="I143" s="1259"/>
      <c r="J143" s="1259"/>
      <c r="K143" s="1257">
        <v>1439000.0</v>
      </c>
    </row>
    <row r="144">
      <c r="A144" s="1253" t="s">
        <v>2939</v>
      </c>
      <c r="B144" s="1254" t="s">
        <v>15696</v>
      </c>
      <c r="C144" s="1255" t="s">
        <v>2939</v>
      </c>
      <c r="D144" s="1255" t="s">
        <v>1443</v>
      </c>
      <c r="E144" s="1255" t="s">
        <v>11569</v>
      </c>
      <c r="F144" s="1255" t="s">
        <v>11579</v>
      </c>
      <c r="G144" s="1254" t="s">
        <v>41</v>
      </c>
      <c r="H144" s="1254" t="s">
        <v>1444</v>
      </c>
      <c r="I144" s="1258" t="s">
        <v>11582</v>
      </c>
      <c r="J144" s="1266">
        <v>421000.0</v>
      </c>
      <c r="K144" s="1257">
        <v>829000.0</v>
      </c>
    </row>
    <row r="145">
      <c r="A145" s="1253" t="s">
        <v>2939</v>
      </c>
      <c r="B145" s="1254" t="s">
        <v>15697</v>
      </c>
      <c r="C145" s="1255" t="s">
        <v>2939</v>
      </c>
      <c r="D145" s="1260" t="s">
        <v>11655</v>
      </c>
      <c r="E145" s="1255" t="s">
        <v>11569</v>
      </c>
      <c r="F145" s="1255" t="s">
        <v>11570</v>
      </c>
      <c r="G145" s="1254" t="s">
        <v>22</v>
      </c>
      <c r="H145" s="1254" t="s">
        <v>2146</v>
      </c>
      <c r="I145" s="1258" t="s">
        <v>97</v>
      </c>
      <c r="J145" s="1259"/>
      <c r="K145" s="1257">
        <v>1450000.0</v>
      </c>
    </row>
    <row r="146">
      <c r="A146" s="1253" t="s">
        <v>2939</v>
      </c>
      <c r="B146" s="1254" t="s">
        <v>2939</v>
      </c>
      <c r="C146" s="1255" t="s">
        <v>15698</v>
      </c>
      <c r="D146" s="1255" t="s">
        <v>1760</v>
      </c>
      <c r="E146" s="1255" t="s">
        <v>11653</v>
      </c>
      <c r="F146" s="1255" t="s">
        <v>11570</v>
      </c>
      <c r="G146" s="1254" t="s">
        <v>22</v>
      </c>
      <c r="H146" s="1254" t="s">
        <v>1761</v>
      </c>
      <c r="I146" s="1259"/>
      <c r="J146" s="1259"/>
      <c r="K146" s="1257">
        <v>1100000.0</v>
      </c>
    </row>
    <row r="147">
      <c r="A147" s="1253" t="s">
        <v>2939</v>
      </c>
      <c r="B147" s="1254" t="s">
        <v>15699</v>
      </c>
      <c r="C147" s="1255" t="s">
        <v>2939</v>
      </c>
      <c r="D147" s="1255" t="s">
        <v>2102</v>
      </c>
      <c r="E147" s="1255" t="s">
        <v>11569</v>
      </c>
      <c r="F147" s="1255" t="s">
        <v>11579</v>
      </c>
      <c r="G147" s="1254" t="s">
        <v>41</v>
      </c>
      <c r="H147" s="1254" t="s">
        <v>1761</v>
      </c>
      <c r="I147" s="1258" t="s">
        <v>97</v>
      </c>
      <c r="J147" s="1259"/>
      <c r="K147" s="1257">
        <v>449000.0</v>
      </c>
    </row>
    <row r="148">
      <c r="A148" s="1253" t="s">
        <v>15700</v>
      </c>
      <c r="B148" s="1254" t="s">
        <v>15701</v>
      </c>
      <c r="C148" s="1255" t="s">
        <v>2939</v>
      </c>
      <c r="D148" s="1255" t="s">
        <v>278</v>
      </c>
      <c r="E148" s="1255" t="s">
        <v>11578</v>
      </c>
      <c r="F148" s="1255" t="s">
        <v>11570</v>
      </c>
      <c r="G148" s="1254" t="s">
        <v>22</v>
      </c>
      <c r="H148" s="1254" t="s">
        <v>279</v>
      </c>
      <c r="I148" s="1258" t="s">
        <v>97</v>
      </c>
      <c r="J148" s="1259"/>
      <c r="K148" s="1257">
        <v>2691000.0</v>
      </c>
    </row>
    <row r="149">
      <c r="A149" s="1250" t="s">
        <v>11660</v>
      </c>
      <c r="B149" s="1251" t="s">
        <v>11660</v>
      </c>
      <c r="C149" s="1252"/>
      <c r="D149" s="1252"/>
      <c r="E149" s="1252"/>
      <c r="F149" s="1252"/>
      <c r="G149" s="1252"/>
      <c r="H149" s="1251" t="s">
        <v>11660</v>
      </c>
      <c r="I149" s="1252"/>
      <c r="J149" s="1252"/>
      <c r="K149" s="1252"/>
    </row>
    <row r="150">
      <c r="A150" s="1253" t="s">
        <v>15702</v>
      </c>
      <c r="B150" s="1254" t="s">
        <v>2939</v>
      </c>
      <c r="C150" s="1255" t="s">
        <v>2939</v>
      </c>
      <c r="D150" s="1255" t="s">
        <v>280</v>
      </c>
      <c r="E150" s="1255" t="s">
        <v>11578</v>
      </c>
      <c r="F150" s="1255" t="s">
        <v>11570</v>
      </c>
      <c r="G150" s="1254" t="s">
        <v>22</v>
      </c>
      <c r="H150" s="1254" t="s">
        <v>281</v>
      </c>
      <c r="I150" s="1258" t="s">
        <v>125</v>
      </c>
      <c r="J150" s="1259"/>
      <c r="K150" s="1257">
        <v>5880000.0</v>
      </c>
    </row>
    <row r="151">
      <c r="A151" s="1253" t="s">
        <v>15703</v>
      </c>
      <c r="B151" s="1254" t="s">
        <v>15704</v>
      </c>
      <c r="C151" s="1255" t="s">
        <v>2939</v>
      </c>
      <c r="D151" s="1255" t="s">
        <v>282</v>
      </c>
      <c r="E151" s="1255" t="s">
        <v>11576</v>
      </c>
      <c r="F151" s="1255" t="s">
        <v>11579</v>
      </c>
      <c r="G151" s="1254" t="s">
        <v>41</v>
      </c>
      <c r="H151" s="1254" t="s">
        <v>281</v>
      </c>
      <c r="I151" s="1258" t="s">
        <v>2193</v>
      </c>
      <c r="J151" s="1259"/>
      <c r="K151" s="1257">
        <v>4336000.0</v>
      </c>
    </row>
    <row r="152">
      <c r="A152" s="1253" t="s">
        <v>2939</v>
      </c>
      <c r="B152" s="1254" t="s">
        <v>15705</v>
      </c>
      <c r="C152" s="1255" t="s">
        <v>2939</v>
      </c>
      <c r="D152" s="1255" t="s">
        <v>11661</v>
      </c>
      <c r="E152" s="1255" t="s">
        <v>11569</v>
      </c>
      <c r="F152" s="1260" t="s">
        <v>11591</v>
      </c>
      <c r="G152" s="1258" t="s">
        <v>128</v>
      </c>
      <c r="H152" s="1254" t="s">
        <v>281</v>
      </c>
      <c r="I152" s="1259"/>
      <c r="J152" s="1259"/>
      <c r="K152" s="1267">
        <v>1100000.0</v>
      </c>
    </row>
    <row r="153">
      <c r="A153" s="1253" t="s">
        <v>2939</v>
      </c>
      <c r="B153" s="1254" t="s">
        <v>15706</v>
      </c>
      <c r="C153" s="1255" t="s">
        <v>2939</v>
      </c>
      <c r="D153" s="1255" t="s">
        <v>11662</v>
      </c>
      <c r="E153" s="1255" t="s">
        <v>11569</v>
      </c>
      <c r="F153" s="1260" t="s">
        <v>11591</v>
      </c>
      <c r="G153" s="1258" t="s">
        <v>134</v>
      </c>
      <c r="H153" s="1254" t="s">
        <v>281</v>
      </c>
      <c r="I153" s="1259"/>
      <c r="J153" s="1259"/>
      <c r="K153" s="1267">
        <v>1100000.0</v>
      </c>
    </row>
    <row r="154">
      <c r="A154" s="1250" t="s">
        <v>11663</v>
      </c>
      <c r="B154" s="1251" t="s">
        <v>11663</v>
      </c>
      <c r="C154" s="1252"/>
      <c r="D154" s="1252"/>
      <c r="E154" s="1252"/>
      <c r="F154" s="1252"/>
      <c r="G154" s="1252"/>
      <c r="H154" s="1251" t="s">
        <v>11663</v>
      </c>
      <c r="I154" s="1252"/>
      <c r="J154" s="1252"/>
      <c r="K154" s="1252"/>
    </row>
    <row r="155">
      <c r="A155" s="1253" t="s">
        <v>2939</v>
      </c>
      <c r="B155" s="1254" t="s">
        <v>15707</v>
      </c>
      <c r="C155" s="1255" t="s">
        <v>2939</v>
      </c>
      <c r="D155" s="1260" t="s">
        <v>11664</v>
      </c>
      <c r="E155" s="1255" t="s">
        <v>11569</v>
      </c>
      <c r="F155" s="1255" t="s">
        <v>11570</v>
      </c>
      <c r="G155" s="1258" t="s">
        <v>22</v>
      </c>
      <c r="H155" s="1258" t="s">
        <v>11665</v>
      </c>
      <c r="I155" s="1258" t="s">
        <v>737</v>
      </c>
      <c r="J155" s="1259"/>
      <c r="K155" s="1268">
        <v>6000000.0</v>
      </c>
    </row>
    <row r="156">
      <c r="A156" s="1250" t="s">
        <v>11666</v>
      </c>
      <c r="B156" s="1251" t="s">
        <v>11666</v>
      </c>
      <c r="C156" s="1252"/>
      <c r="D156" s="1252"/>
      <c r="E156" s="1252"/>
      <c r="F156" s="1252"/>
      <c r="G156" s="1252"/>
      <c r="H156" s="1251" t="s">
        <v>11666</v>
      </c>
      <c r="I156" s="1252"/>
      <c r="J156" s="1252"/>
      <c r="K156" s="1252"/>
    </row>
    <row r="157">
      <c r="A157" s="1253" t="s">
        <v>15708</v>
      </c>
      <c r="B157" s="1254" t="s">
        <v>15709</v>
      </c>
      <c r="C157" s="1255" t="s">
        <v>2939</v>
      </c>
      <c r="D157" s="1255" t="s">
        <v>283</v>
      </c>
      <c r="E157" s="1255" t="s">
        <v>11576</v>
      </c>
      <c r="F157" s="1255" t="s">
        <v>11570</v>
      </c>
      <c r="G157" s="1254" t="s">
        <v>22</v>
      </c>
      <c r="H157" s="1254" t="s">
        <v>284</v>
      </c>
      <c r="I157" s="1258" t="s">
        <v>125</v>
      </c>
      <c r="J157" s="1259"/>
      <c r="K157" s="1257">
        <v>2175000.0</v>
      </c>
    </row>
    <row r="158">
      <c r="A158" s="1253" t="s">
        <v>15710</v>
      </c>
      <c r="B158" s="1254" t="s">
        <v>15711</v>
      </c>
      <c r="C158" s="1255" t="s">
        <v>2939</v>
      </c>
      <c r="D158" s="1255" t="s">
        <v>285</v>
      </c>
      <c r="E158" s="1255" t="s">
        <v>11576</v>
      </c>
      <c r="F158" s="1255" t="s">
        <v>11570</v>
      </c>
      <c r="G158" s="1254" t="s">
        <v>22</v>
      </c>
      <c r="H158" s="1254" t="s">
        <v>284</v>
      </c>
      <c r="I158" s="1258" t="s">
        <v>75</v>
      </c>
      <c r="J158" s="1259"/>
      <c r="K158" s="1257">
        <v>2175000.0</v>
      </c>
    </row>
    <row r="159">
      <c r="A159" s="1253" t="s">
        <v>15712</v>
      </c>
      <c r="B159" s="1254" t="s">
        <v>15713</v>
      </c>
      <c r="C159" s="1255" t="s">
        <v>2939</v>
      </c>
      <c r="D159" s="1255" t="s">
        <v>286</v>
      </c>
      <c r="E159" s="1255" t="s">
        <v>11576</v>
      </c>
      <c r="F159" s="1255" t="s">
        <v>11579</v>
      </c>
      <c r="G159" s="1254" t="s">
        <v>41</v>
      </c>
      <c r="H159" s="1254" t="s">
        <v>284</v>
      </c>
      <c r="I159" s="1258" t="s">
        <v>1377</v>
      </c>
      <c r="J159" s="1259"/>
      <c r="K159" s="1257">
        <v>1939000.0</v>
      </c>
    </row>
    <row r="160">
      <c r="A160" s="1253" t="s">
        <v>15714</v>
      </c>
      <c r="B160" s="1254" t="s">
        <v>15715</v>
      </c>
      <c r="C160" s="1255" t="s">
        <v>2939</v>
      </c>
      <c r="D160" s="1255" t="s">
        <v>287</v>
      </c>
      <c r="E160" s="1255" t="s">
        <v>11576</v>
      </c>
      <c r="F160" s="1255" t="s">
        <v>11591</v>
      </c>
      <c r="G160" s="1254" t="s">
        <v>128</v>
      </c>
      <c r="H160" s="1254" t="s">
        <v>284</v>
      </c>
      <c r="I160" s="1259"/>
      <c r="J160" s="1259"/>
      <c r="K160" s="1257">
        <v>725000.0</v>
      </c>
    </row>
    <row r="161">
      <c r="A161" s="1253" t="s">
        <v>15716</v>
      </c>
      <c r="B161" s="1254" t="s">
        <v>15717</v>
      </c>
      <c r="C161" s="1255" t="s">
        <v>2939</v>
      </c>
      <c r="D161" s="1255" t="s">
        <v>288</v>
      </c>
      <c r="E161" s="1255" t="s">
        <v>11576</v>
      </c>
      <c r="F161" s="1255" t="s">
        <v>11591</v>
      </c>
      <c r="G161" s="1254" t="s">
        <v>130</v>
      </c>
      <c r="H161" s="1254" t="s">
        <v>284</v>
      </c>
      <c r="I161" s="1259"/>
      <c r="J161" s="1259"/>
      <c r="K161" s="1257">
        <v>725000.0</v>
      </c>
    </row>
    <row r="162">
      <c r="A162" s="1253" t="s">
        <v>15718</v>
      </c>
      <c r="B162" s="1254" t="s">
        <v>15719</v>
      </c>
      <c r="C162" s="1255" t="s">
        <v>2939</v>
      </c>
      <c r="D162" s="1255" t="s">
        <v>289</v>
      </c>
      <c r="E162" s="1255" t="s">
        <v>11576</v>
      </c>
      <c r="F162" s="1255" t="s">
        <v>11591</v>
      </c>
      <c r="G162" s="1254" t="s">
        <v>132</v>
      </c>
      <c r="H162" s="1254" t="s">
        <v>284</v>
      </c>
      <c r="I162" s="1258" t="s">
        <v>144</v>
      </c>
      <c r="J162" s="1259"/>
      <c r="K162" s="1257">
        <v>725000.0</v>
      </c>
    </row>
    <row r="163">
      <c r="A163" s="1253" t="s">
        <v>15720</v>
      </c>
      <c r="B163" s="1254" t="s">
        <v>15721</v>
      </c>
      <c r="C163" s="1255" t="s">
        <v>2939</v>
      </c>
      <c r="D163" s="1255" t="s">
        <v>290</v>
      </c>
      <c r="E163" s="1255" t="s">
        <v>11576</v>
      </c>
      <c r="F163" s="1255" t="s">
        <v>11591</v>
      </c>
      <c r="G163" s="1254" t="s">
        <v>134</v>
      </c>
      <c r="H163" s="1254" t="s">
        <v>284</v>
      </c>
      <c r="I163" s="1258" t="s">
        <v>144</v>
      </c>
      <c r="J163" s="1259"/>
      <c r="K163" s="1257">
        <v>725000.0</v>
      </c>
    </row>
    <row r="164">
      <c r="A164" s="1253" t="s">
        <v>15722</v>
      </c>
      <c r="B164" s="1254" t="s">
        <v>15723</v>
      </c>
      <c r="C164" s="1255" t="s">
        <v>2939</v>
      </c>
      <c r="D164" s="1255" t="s">
        <v>291</v>
      </c>
      <c r="E164" s="1255" t="s">
        <v>11576</v>
      </c>
      <c r="F164" s="1255" t="s">
        <v>11570</v>
      </c>
      <c r="G164" s="1254" t="s">
        <v>22</v>
      </c>
      <c r="H164" s="1254" t="s">
        <v>11668</v>
      </c>
      <c r="I164" s="1258" t="s">
        <v>125</v>
      </c>
      <c r="J164" s="1259"/>
      <c r="K164" s="1257">
        <v>1682000.0</v>
      </c>
    </row>
    <row r="165">
      <c r="A165" s="1253" t="s">
        <v>15724</v>
      </c>
      <c r="B165" s="1254" t="s">
        <v>15725</v>
      </c>
      <c r="C165" s="1255" t="s">
        <v>2939</v>
      </c>
      <c r="D165" s="1255" t="s">
        <v>293</v>
      </c>
      <c r="E165" s="1255" t="s">
        <v>11578</v>
      </c>
      <c r="F165" s="1255" t="s">
        <v>11579</v>
      </c>
      <c r="G165" s="1254" t="s">
        <v>41</v>
      </c>
      <c r="H165" s="1254" t="s">
        <v>292</v>
      </c>
      <c r="I165" s="1258" t="s">
        <v>11641</v>
      </c>
      <c r="J165" s="1259"/>
      <c r="K165" s="1257">
        <v>2180000.0</v>
      </c>
    </row>
    <row r="166">
      <c r="A166" s="1253" t="s">
        <v>2939</v>
      </c>
      <c r="B166" s="1254" t="s">
        <v>15726</v>
      </c>
      <c r="C166" s="1255" t="s">
        <v>15727</v>
      </c>
      <c r="D166" s="1255" t="s">
        <v>294</v>
      </c>
      <c r="E166" s="1255" t="s">
        <v>11654</v>
      </c>
      <c r="F166" s="1255" t="s">
        <v>11570</v>
      </c>
      <c r="G166" s="1254" t="s">
        <v>22</v>
      </c>
      <c r="H166" s="1254" t="s">
        <v>295</v>
      </c>
      <c r="I166" s="1258" t="s">
        <v>97</v>
      </c>
      <c r="J166" s="1259"/>
      <c r="K166" s="1257">
        <v>1111000.0</v>
      </c>
    </row>
    <row r="167">
      <c r="A167" s="1253" t="s">
        <v>15728</v>
      </c>
      <c r="B167" s="1254" t="s">
        <v>15729</v>
      </c>
      <c r="C167" s="1255" t="s">
        <v>2939</v>
      </c>
      <c r="D167" s="1255" t="s">
        <v>296</v>
      </c>
      <c r="E167" s="1255" t="s">
        <v>11576</v>
      </c>
      <c r="F167" s="1255" t="s">
        <v>11579</v>
      </c>
      <c r="G167" s="1254" t="s">
        <v>41</v>
      </c>
      <c r="H167" s="1254" t="s">
        <v>11669</v>
      </c>
      <c r="I167" s="1258" t="s">
        <v>2193</v>
      </c>
      <c r="J167" s="1259"/>
      <c r="K167" s="1257">
        <v>1928000.0</v>
      </c>
    </row>
    <row r="168">
      <c r="A168" s="1253" t="s">
        <v>2939</v>
      </c>
      <c r="B168" s="1254" t="s">
        <v>15730</v>
      </c>
      <c r="C168" s="1255" t="s">
        <v>2939</v>
      </c>
      <c r="D168" s="1255" t="s">
        <v>11670</v>
      </c>
      <c r="E168" s="1255" t="s">
        <v>11569</v>
      </c>
      <c r="F168" s="1260" t="s">
        <v>11570</v>
      </c>
      <c r="G168" s="1258" t="s">
        <v>22</v>
      </c>
      <c r="H168" s="1254" t="s">
        <v>11671</v>
      </c>
      <c r="I168" s="1258" t="s">
        <v>23</v>
      </c>
      <c r="J168" s="1259"/>
      <c r="K168" s="1257">
        <v>2350000.0</v>
      </c>
    </row>
    <row r="169">
      <c r="A169" s="1253" t="s">
        <v>15731</v>
      </c>
      <c r="B169" s="1254" t="s">
        <v>15732</v>
      </c>
      <c r="C169" s="1255" t="s">
        <v>15733</v>
      </c>
      <c r="D169" s="1255" t="s">
        <v>298</v>
      </c>
      <c r="E169" s="1255" t="s">
        <v>11576</v>
      </c>
      <c r="F169" s="1255" t="s">
        <v>11570</v>
      </c>
      <c r="G169" s="1254" t="s">
        <v>22</v>
      </c>
      <c r="H169" s="1254" t="s">
        <v>299</v>
      </c>
      <c r="I169" s="1258" t="s">
        <v>125</v>
      </c>
      <c r="J169" s="1259"/>
      <c r="K169" s="1257">
        <v>1302000.0</v>
      </c>
    </row>
    <row r="170">
      <c r="A170" s="1253" t="s">
        <v>15734</v>
      </c>
      <c r="B170" s="1254" t="s">
        <v>15735</v>
      </c>
      <c r="C170" s="1255" t="s">
        <v>2939</v>
      </c>
      <c r="D170" s="1255" t="s">
        <v>300</v>
      </c>
      <c r="E170" s="1255" t="s">
        <v>11576</v>
      </c>
      <c r="F170" s="1255" t="s">
        <v>11579</v>
      </c>
      <c r="G170" s="1254" t="s">
        <v>41</v>
      </c>
      <c r="H170" s="1254" t="s">
        <v>299</v>
      </c>
      <c r="I170" s="1258" t="s">
        <v>2193</v>
      </c>
      <c r="J170" s="1259"/>
      <c r="K170" s="1257">
        <v>1272000.0</v>
      </c>
    </row>
    <row r="171">
      <c r="A171" s="1253" t="s">
        <v>15736</v>
      </c>
      <c r="B171" s="1254" t="s">
        <v>15737</v>
      </c>
      <c r="C171" s="1255" t="s">
        <v>2939</v>
      </c>
      <c r="D171" s="1255" t="s">
        <v>301</v>
      </c>
      <c r="E171" s="1255" t="s">
        <v>11576</v>
      </c>
      <c r="F171" s="1255" t="s">
        <v>11591</v>
      </c>
      <c r="G171" s="1254" t="s">
        <v>128</v>
      </c>
      <c r="H171" s="1254" t="s">
        <v>299</v>
      </c>
      <c r="I171" s="1258" t="s">
        <v>144</v>
      </c>
      <c r="J171" s="1259"/>
      <c r="K171" s="1257">
        <v>660000.0</v>
      </c>
    </row>
    <row r="172">
      <c r="A172" s="1253" t="s">
        <v>15738</v>
      </c>
      <c r="B172" s="1254" t="s">
        <v>15739</v>
      </c>
      <c r="C172" s="1255" t="s">
        <v>2939</v>
      </c>
      <c r="D172" s="1255" t="s">
        <v>302</v>
      </c>
      <c r="E172" s="1255" t="s">
        <v>11576</v>
      </c>
      <c r="F172" s="1255" t="s">
        <v>11591</v>
      </c>
      <c r="G172" s="1254" t="s">
        <v>130</v>
      </c>
      <c r="H172" s="1254" t="s">
        <v>299</v>
      </c>
      <c r="I172" s="1258" t="s">
        <v>144</v>
      </c>
      <c r="J172" s="1259"/>
      <c r="K172" s="1257">
        <v>660000.0</v>
      </c>
    </row>
    <row r="173">
      <c r="A173" s="1253" t="s">
        <v>15740</v>
      </c>
      <c r="B173" s="1254" t="s">
        <v>15741</v>
      </c>
      <c r="C173" s="1255" t="s">
        <v>2939</v>
      </c>
      <c r="D173" s="1255" t="s">
        <v>303</v>
      </c>
      <c r="E173" s="1255" t="s">
        <v>11576</v>
      </c>
      <c r="F173" s="1255" t="s">
        <v>11591</v>
      </c>
      <c r="G173" s="1254" t="s">
        <v>132</v>
      </c>
      <c r="H173" s="1254" t="s">
        <v>299</v>
      </c>
      <c r="I173" s="1259"/>
      <c r="J173" s="1259"/>
      <c r="K173" s="1257">
        <v>660000.0</v>
      </c>
    </row>
    <row r="174">
      <c r="A174" s="1253" t="s">
        <v>15742</v>
      </c>
      <c r="B174" s="1254" t="s">
        <v>15743</v>
      </c>
      <c r="C174" s="1255" t="s">
        <v>2939</v>
      </c>
      <c r="D174" s="1255" t="s">
        <v>304</v>
      </c>
      <c r="E174" s="1255" t="s">
        <v>11576</v>
      </c>
      <c r="F174" s="1255" t="s">
        <v>11591</v>
      </c>
      <c r="G174" s="1254" t="s">
        <v>134</v>
      </c>
      <c r="H174" s="1254" t="s">
        <v>299</v>
      </c>
      <c r="I174" s="1259"/>
      <c r="J174" s="1259"/>
      <c r="K174" s="1257">
        <v>660000.0</v>
      </c>
    </row>
    <row r="175">
      <c r="A175" s="1253" t="s">
        <v>15744</v>
      </c>
      <c r="B175" s="1254" t="s">
        <v>15745</v>
      </c>
      <c r="C175" s="1255" t="s">
        <v>2939</v>
      </c>
      <c r="D175" s="1255" t="s">
        <v>305</v>
      </c>
      <c r="E175" s="1255" t="s">
        <v>11576</v>
      </c>
      <c r="F175" s="1255" t="s">
        <v>11570</v>
      </c>
      <c r="G175" s="1254" t="s">
        <v>22</v>
      </c>
      <c r="H175" s="1254" t="s">
        <v>306</v>
      </c>
      <c r="I175" s="1258" t="s">
        <v>23</v>
      </c>
      <c r="J175" s="1259"/>
      <c r="K175" s="1257">
        <v>2521000.0</v>
      </c>
    </row>
    <row r="176">
      <c r="A176" s="1253" t="s">
        <v>15746</v>
      </c>
      <c r="B176" s="1254" t="s">
        <v>15747</v>
      </c>
      <c r="C176" s="1255" t="s">
        <v>2939</v>
      </c>
      <c r="D176" s="1255" t="s">
        <v>307</v>
      </c>
      <c r="E176" s="1255" t="s">
        <v>11576</v>
      </c>
      <c r="F176" s="1255" t="s">
        <v>11570</v>
      </c>
      <c r="G176" s="1254" t="s">
        <v>22</v>
      </c>
      <c r="H176" s="1254" t="s">
        <v>308</v>
      </c>
      <c r="I176" s="1258" t="s">
        <v>75</v>
      </c>
      <c r="J176" s="1259"/>
      <c r="K176" s="1257">
        <v>2521000.0</v>
      </c>
    </row>
    <row r="177">
      <c r="A177" s="1253" t="s">
        <v>15748</v>
      </c>
      <c r="B177" s="1254" t="s">
        <v>15749</v>
      </c>
      <c r="C177" s="1255" t="s">
        <v>2939</v>
      </c>
      <c r="D177" s="1255" t="s">
        <v>309</v>
      </c>
      <c r="E177" s="1255" t="s">
        <v>11576</v>
      </c>
      <c r="F177" s="1255" t="s">
        <v>11570</v>
      </c>
      <c r="G177" s="1254" t="s">
        <v>22</v>
      </c>
      <c r="H177" s="1254" t="s">
        <v>310</v>
      </c>
      <c r="I177" s="1258" t="s">
        <v>125</v>
      </c>
      <c r="J177" s="1259"/>
      <c r="K177" s="1257">
        <v>2017000.0</v>
      </c>
    </row>
    <row r="178">
      <c r="A178" s="1253" t="s">
        <v>15750</v>
      </c>
      <c r="B178" s="1254" t="s">
        <v>2939</v>
      </c>
      <c r="C178" s="1255" t="s">
        <v>2939</v>
      </c>
      <c r="D178" s="1255" t="s">
        <v>311</v>
      </c>
      <c r="E178" s="1255" t="s">
        <v>11578</v>
      </c>
      <c r="F178" s="1255" t="s">
        <v>11579</v>
      </c>
      <c r="G178" s="1254" t="s">
        <v>41</v>
      </c>
      <c r="H178" s="1254" t="s">
        <v>312</v>
      </c>
      <c r="I178" s="1258" t="s">
        <v>1377</v>
      </c>
      <c r="J178" s="1259"/>
      <c r="K178" s="1257">
        <v>2708000.0</v>
      </c>
    </row>
    <row r="179">
      <c r="A179" s="1253" t="s">
        <v>15751</v>
      </c>
      <c r="B179" s="1254" t="s">
        <v>15752</v>
      </c>
      <c r="C179" s="1255" t="s">
        <v>2939</v>
      </c>
      <c r="D179" s="1255" t="s">
        <v>313</v>
      </c>
      <c r="E179" s="1255" t="s">
        <v>11576</v>
      </c>
      <c r="F179" s="1255" t="s">
        <v>11570</v>
      </c>
      <c r="G179" s="1254" t="s">
        <v>22</v>
      </c>
      <c r="H179" s="1254" t="s">
        <v>314</v>
      </c>
      <c r="I179" s="1258" t="s">
        <v>23</v>
      </c>
      <c r="J179" s="1259"/>
      <c r="K179" s="1257">
        <v>5559000.0</v>
      </c>
    </row>
    <row r="180">
      <c r="A180" s="1253" t="s">
        <v>15753</v>
      </c>
      <c r="B180" s="1254" t="s">
        <v>2939</v>
      </c>
      <c r="C180" s="1255" t="s">
        <v>2939</v>
      </c>
      <c r="D180" s="1255" t="s">
        <v>315</v>
      </c>
      <c r="E180" s="1255" t="s">
        <v>11578</v>
      </c>
      <c r="F180" s="1255" t="s">
        <v>11579</v>
      </c>
      <c r="G180" s="1254" t="s">
        <v>41</v>
      </c>
      <c r="H180" s="1254" t="s">
        <v>316</v>
      </c>
      <c r="I180" s="1258" t="s">
        <v>1377</v>
      </c>
      <c r="J180" s="1259"/>
      <c r="K180" s="1257">
        <v>2997000.0</v>
      </c>
    </row>
    <row r="181">
      <c r="A181" s="1253" t="s">
        <v>2939</v>
      </c>
      <c r="B181" s="1254" t="s">
        <v>15754</v>
      </c>
      <c r="C181" s="1255" t="s">
        <v>2939</v>
      </c>
      <c r="D181" s="1255" t="s">
        <v>1388</v>
      </c>
      <c r="E181" s="1255" t="s">
        <v>11569</v>
      </c>
      <c r="F181" s="1255" t="s">
        <v>11570</v>
      </c>
      <c r="G181" s="1254" t="s">
        <v>22</v>
      </c>
      <c r="H181" s="1254" t="s">
        <v>15755</v>
      </c>
      <c r="I181" s="1258" t="s">
        <v>75</v>
      </c>
      <c r="J181" s="1259"/>
      <c r="K181" s="1257">
        <v>8005000.0</v>
      </c>
    </row>
    <row r="182">
      <c r="A182" s="1253" t="s">
        <v>15756</v>
      </c>
      <c r="B182" s="1254" t="s">
        <v>15757</v>
      </c>
      <c r="C182" s="1255" t="s">
        <v>2939</v>
      </c>
      <c r="D182" s="1255" t="s">
        <v>317</v>
      </c>
      <c r="E182" s="1255" t="s">
        <v>11576</v>
      </c>
      <c r="F182" s="1255" t="s">
        <v>11570</v>
      </c>
      <c r="G182" s="1254" t="s">
        <v>22</v>
      </c>
      <c r="H182" s="1254" t="s">
        <v>318</v>
      </c>
      <c r="I182" s="1258" t="s">
        <v>75</v>
      </c>
      <c r="J182" s="1259"/>
      <c r="K182" s="1257">
        <v>1647000.0</v>
      </c>
    </row>
    <row r="183">
      <c r="A183" s="1253" t="s">
        <v>2939</v>
      </c>
      <c r="B183" s="1254" t="s">
        <v>15758</v>
      </c>
      <c r="C183" s="1255" t="s">
        <v>15759</v>
      </c>
      <c r="D183" s="1255" t="s">
        <v>1392</v>
      </c>
      <c r="E183" s="1255" t="s">
        <v>11654</v>
      </c>
      <c r="F183" s="1255" t="s">
        <v>11570</v>
      </c>
      <c r="G183" s="1254" t="s">
        <v>22</v>
      </c>
      <c r="H183" s="1254" t="s">
        <v>318</v>
      </c>
      <c r="I183" s="1258" t="s">
        <v>125</v>
      </c>
      <c r="J183" s="1259"/>
      <c r="K183" s="1257">
        <v>1439000.0</v>
      </c>
    </row>
    <row r="184">
      <c r="A184" s="1253" t="s">
        <v>2939</v>
      </c>
      <c r="B184" s="1254" t="s">
        <v>15760</v>
      </c>
      <c r="C184" s="1255" t="s">
        <v>2939</v>
      </c>
      <c r="D184" s="1255" t="s">
        <v>1393</v>
      </c>
      <c r="E184" s="1255" t="s">
        <v>11569</v>
      </c>
      <c r="F184" s="1255" t="s">
        <v>11579</v>
      </c>
      <c r="G184" s="1254" t="s">
        <v>41</v>
      </c>
      <c r="H184" s="1254" t="s">
        <v>318</v>
      </c>
      <c r="I184" s="1258" t="s">
        <v>2193</v>
      </c>
      <c r="J184" s="1259"/>
      <c r="K184" s="1257">
        <v>849000.0</v>
      </c>
    </row>
    <row r="185">
      <c r="A185" s="1250" t="s">
        <v>11676</v>
      </c>
      <c r="B185" s="1251" t="s">
        <v>11676</v>
      </c>
      <c r="C185" s="1252"/>
      <c r="D185" s="1252"/>
      <c r="E185" s="1252"/>
      <c r="F185" s="1252"/>
      <c r="G185" s="1252"/>
      <c r="H185" s="1251" t="s">
        <v>11676</v>
      </c>
      <c r="I185" s="1252"/>
      <c r="J185" s="1252"/>
      <c r="K185" s="1252"/>
    </row>
    <row r="186">
      <c r="A186" s="1253" t="s">
        <v>15761</v>
      </c>
      <c r="B186" s="1254" t="s">
        <v>2939</v>
      </c>
      <c r="C186" s="1255" t="s">
        <v>2939</v>
      </c>
      <c r="D186" s="1255" t="s">
        <v>319</v>
      </c>
      <c r="E186" s="1255" t="s">
        <v>11578</v>
      </c>
      <c r="F186" s="1255" t="s">
        <v>11570</v>
      </c>
      <c r="G186" s="1254" t="s">
        <v>22</v>
      </c>
      <c r="H186" s="1254" t="s">
        <v>320</v>
      </c>
      <c r="I186" s="1258" t="s">
        <v>125</v>
      </c>
      <c r="J186" s="1259"/>
      <c r="K186" s="1257">
        <v>2179000.0</v>
      </c>
    </row>
    <row r="187">
      <c r="A187" s="1253" t="s">
        <v>2939</v>
      </c>
      <c r="B187" s="1254" t="s">
        <v>15762</v>
      </c>
      <c r="C187" s="1255" t="s">
        <v>2939</v>
      </c>
      <c r="D187" s="1260" t="s">
        <v>1394</v>
      </c>
      <c r="E187" s="1255" t="s">
        <v>11569</v>
      </c>
      <c r="F187" s="1255" t="s">
        <v>11570</v>
      </c>
      <c r="G187" s="1254" t="s">
        <v>22</v>
      </c>
      <c r="H187" s="1254" t="s">
        <v>1395</v>
      </c>
      <c r="I187" s="1258" t="s">
        <v>125</v>
      </c>
      <c r="J187" s="1259"/>
      <c r="K187" s="1257">
        <v>1943000.0</v>
      </c>
    </row>
    <row r="188">
      <c r="A188" s="1253" t="s">
        <v>15763</v>
      </c>
      <c r="B188" s="1254" t="s">
        <v>15764</v>
      </c>
      <c r="C188" s="1255" t="s">
        <v>2939</v>
      </c>
      <c r="D188" s="1255" t="s">
        <v>321</v>
      </c>
      <c r="E188" s="1255" t="s">
        <v>11576</v>
      </c>
      <c r="F188" s="1255" t="s">
        <v>11570</v>
      </c>
      <c r="G188" s="1254" t="s">
        <v>22</v>
      </c>
      <c r="H188" s="1254" t="s">
        <v>322</v>
      </c>
      <c r="I188" s="1258" t="s">
        <v>125</v>
      </c>
      <c r="J188" s="1259"/>
      <c r="K188" s="1257">
        <v>2179000.0</v>
      </c>
    </row>
    <row r="189">
      <c r="A189" s="1253" t="s">
        <v>2939</v>
      </c>
      <c r="B189" s="1254" t="s">
        <v>15765</v>
      </c>
      <c r="C189" s="1255" t="s">
        <v>2939</v>
      </c>
      <c r="D189" s="1255" t="s">
        <v>1399</v>
      </c>
      <c r="E189" s="1255" t="s">
        <v>11569</v>
      </c>
      <c r="F189" s="1255" t="s">
        <v>11579</v>
      </c>
      <c r="G189" s="1254" t="s">
        <v>41</v>
      </c>
      <c r="H189" s="1254" t="s">
        <v>1400</v>
      </c>
      <c r="I189" s="1258" t="s">
        <v>1377</v>
      </c>
      <c r="J189" s="1259"/>
      <c r="K189" s="1257">
        <v>2518000.0</v>
      </c>
    </row>
    <row r="190">
      <c r="A190" s="1250" t="s">
        <v>107</v>
      </c>
      <c r="B190" s="1251" t="s">
        <v>107</v>
      </c>
      <c r="C190" s="1252"/>
      <c r="D190" s="1252"/>
      <c r="E190" s="1252"/>
      <c r="F190" s="1252"/>
      <c r="G190" s="1252"/>
      <c r="H190" s="1251" t="s">
        <v>107</v>
      </c>
      <c r="I190" s="1252"/>
      <c r="J190" s="1252"/>
      <c r="K190" s="1252"/>
    </row>
    <row r="191">
      <c r="A191" s="1253" t="s">
        <v>15766</v>
      </c>
      <c r="B191" s="1254" t="s">
        <v>15767</v>
      </c>
      <c r="C191" s="1255" t="s">
        <v>2939</v>
      </c>
      <c r="D191" s="1255" t="s">
        <v>323</v>
      </c>
      <c r="E191" s="1255" t="s">
        <v>11576</v>
      </c>
      <c r="F191" s="1255" t="s">
        <v>11570</v>
      </c>
      <c r="G191" s="1254" t="s">
        <v>22</v>
      </c>
      <c r="H191" s="1254" t="s">
        <v>324</v>
      </c>
      <c r="I191" s="1258" t="s">
        <v>97</v>
      </c>
      <c r="J191" s="1259"/>
      <c r="K191" s="1257">
        <v>1373000.0</v>
      </c>
    </row>
    <row r="192">
      <c r="A192" s="1253" t="s">
        <v>15768</v>
      </c>
      <c r="B192" s="1254" t="s">
        <v>2939</v>
      </c>
      <c r="C192" s="1255" t="s">
        <v>2939</v>
      </c>
      <c r="D192" s="1255" t="s">
        <v>325</v>
      </c>
      <c r="E192" s="1255" t="s">
        <v>11578</v>
      </c>
      <c r="F192" s="1255" t="s">
        <v>11579</v>
      </c>
      <c r="G192" s="1254" t="s">
        <v>41</v>
      </c>
      <c r="H192" s="1254" t="s">
        <v>324</v>
      </c>
      <c r="I192" s="1258" t="s">
        <v>2193</v>
      </c>
      <c r="J192" s="1259"/>
      <c r="K192" s="1257">
        <v>1686000.0</v>
      </c>
    </row>
    <row r="193">
      <c r="A193" s="1253" t="s">
        <v>15769</v>
      </c>
      <c r="B193" s="1254" t="s">
        <v>2939</v>
      </c>
      <c r="C193" s="1255" t="s">
        <v>2939</v>
      </c>
      <c r="D193" s="1255" t="s">
        <v>326</v>
      </c>
      <c r="E193" s="1255" t="s">
        <v>11578</v>
      </c>
      <c r="F193" s="1255" t="s">
        <v>11591</v>
      </c>
      <c r="G193" s="1254" t="s">
        <v>128</v>
      </c>
      <c r="H193" s="1254" t="s">
        <v>324</v>
      </c>
      <c r="I193" s="1259"/>
      <c r="J193" s="1259"/>
      <c r="K193" s="1257">
        <v>579000.0</v>
      </c>
    </row>
    <row r="194">
      <c r="A194" s="1253" t="s">
        <v>15770</v>
      </c>
      <c r="B194" s="1254" t="s">
        <v>15771</v>
      </c>
      <c r="C194" s="1255" t="s">
        <v>2939</v>
      </c>
      <c r="D194" s="1255" t="s">
        <v>327</v>
      </c>
      <c r="E194" s="1255" t="s">
        <v>11576</v>
      </c>
      <c r="F194" s="1255" t="s">
        <v>11591</v>
      </c>
      <c r="G194" s="1254" t="s">
        <v>130</v>
      </c>
      <c r="H194" s="1254" t="s">
        <v>324</v>
      </c>
      <c r="I194" s="1259"/>
      <c r="J194" s="1259"/>
      <c r="K194" s="1257">
        <v>579000.0</v>
      </c>
    </row>
    <row r="195">
      <c r="A195" s="1253" t="s">
        <v>15772</v>
      </c>
      <c r="B195" s="1254" t="s">
        <v>2939</v>
      </c>
      <c r="C195" s="1255" t="s">
        <v>2939</v>
      </c>
      <c r="D195" s="1255" t="s">
        <v>328</v>
      </c>
      <c r="E195" s="1255" t="s">
        <v>11578</v>
      </c>
      <c r="F195" s="1255" t="s">
        <v>11591</v>
      </c>
      <c r="G195" s="1254" t="s">
        <v>132</v>
      </c>
      <c r="H195" s="1254" t="s">
        <v>324</v>
      </c>
      <c r="I195" s="1259"/>
      <c r="J195" s="1259"/>
      <c r="K195" s="1257">
        <v>459000.0</v>
      </c>
    </row>
    <row r="196">
      <c r="A196" s="1253" t="s">
        <v>15773</v>
      </c>
      <c r="B196" s="1254" t="s">
        <v>2939</v>
      </c>
      <c r="C196" s="1255" t="s">
        <v>2939</v>
      </c>
      <c r="D196" s="1255" t="s">
        <v>329</v>
      </c>
      <c r="E196" s="1255" t="s">
        <v>11578</v>
      </c>
      <c r="F196" s="1255" t="s">
        <v>11591</v>
      </c>
      <c r="G196" s="1254" t="s">
        <v>134</v>
      </c>
      <c r="H196" s="1254" t="s">
        <v>324</v>
      </c>
      <c r="I196" s="1259"/>
      <c r="J196" s="1259"/>
      <c r="K196" s="1257">
        <v>459000.0</v>
      </c>
    </row>
    <row r="197">
      <c r="A197" s="1253" t="s">
        <v>15774</v>
      </c>
      <c r="B197" s="1254" t="s">
        <v>15775</v>
      </c>
      <c r="C197" s="1255" t="s">
        <v>2939</v>
      </c>
      <c r="D197" s="1255" t="s">
        <v>330</v>
      </c>
      <c r="E197" s="1255" t="s">
        <v>11576</v>
      </c>
      <c r="F197" s="1255" t="s">
        <v>11570</v>
      </c>
      <c r="G197" s="1254" t="s">
        <v>22</v>
      </c>
      <c r="H197" s="1254" t="s">
        <v>331</v>
      </c>
      <c r="I197" s="1258" t="s">
        <v>97</v>
      </c>
      <c r="J197" s="1259"/>
      <c r="K197" s="1257">
        <v>1352000.0</v>
      </c>
    </row>
    <row r="198">
      <c r="A198" s="1253" t="s">
        <v>15776</v>
      </c>
      <c r="B198" s="1254" t="s">
        <v>15777</v>
      </c>
      <c r="C198" s="1255" t="s">
        <v>2939</v>
      </c>
      <c r="D198" s="1255" t="s">
        <v>332</v>
      </c>
      <c r="E198" s="1255" t="s">
        <v>11576</v>
      </c>
      <c r="F198" s="1255" t="s">
        <v>11579</v>
      </c>
      <c r="G198" s="1254" t="s">
        <v>41</v>
      </c>
      <c r="H198" s="1254" t="s">
        <v>331</v>
      </c>
      <c r="I198" s="1258" t="s">
        <v>2193</v>
      </c>
      <c r="J198" s="1259"/>
      <c r="K198" s="1257">
        <v>1458000.0</v>
      </c>
    </row>
    <row r="199">
      <c r="A199" s="1253" t="s">
        <v>15778</v>
      </c>
      <c r="B199" s="1254" t="s">
        <v>15779</v>
      </c>
      <c r="C199" s="1255" t="s">
        <v>2939</v>
      </c>
      <c r="D199" s="1255" t="s">
        <v>333</v>
      </c>
      <c r="E199" s="1255" t="s">
        <v>11576</v>
      </c>
      <c r="F199" s="1255" t="s">
        <v>11570</v>
      </c>
      <c r="G199" s="1254" t="s">
        <v>22</v>
      </c>
      <c r="H199" s="1254" t="s">
        <v>334</v>
      </c>
      <c r="I199" s="1258" t="s">
        <v>97</v>
      </c>
      <c r="J199" s="1259"/>
      <c r="K199" s="1257">
        <v>1453000.0</v>
      </c>
    </row>
    <row r="200">
      <c r="A200" s="1253" t="s">
        <v>15780</v>
      </c>
      <c r="B200" s="1254" t="s">
        <v>15781</v>
      </c>
      <c r="C200" s="1255" t="s">
        <v>2939</v>
      </c>
      <c r="D200" s="1255" t="s">
        <v>335</v>
      </c>
      <c r="E200" s="1255" t="s">
        <v>11576</v>
      </c>
      <c r="F200" s="1255" t="s">
        <v>11579</v>
      </c>
      <c r="G200" s="1254" t="s">
        <v>41</v>
      </c>
      <c r="H200" s="1254" t="s">
        <v>336</v>
      </c>
      <c r="I200" s="1258" t="s">
        <v>2193</v>
      </c>
      <c r="J200" s="1259"/>
      <c r="K200" s="1257">
        <v>1802000.0</v>
      </c>
    </row>
    <row r="201">
      <c r="A201" s="1253" t="s">
        <v>2939</v>
      </c>
      <c r="B201" s="1254" t="s">
        <v>15782</v>
      </c>
      <c r="C201" s="1255" t="s">
        <v>2939</v>
      </c>
      <c r="D201" s="1255" t="s">
        <v>1401</v>
      </c>
      <c r="E201" s="1255" t="s">
        <v>11569</v>
      </c>
      <c r="F201" s="1255" t="s">
        <v>11579</v>
      </c>
      <c r="G201" s="1254" t="s">
        <v>41</v>
      </c>
      <c r="H201" s="1254" t="s">
        <v>1402</v>
      </c>
      <c r="I201" s="1254" t="s">
        <v>2193</v>
      </c>
      <c r="J201" s="1256"/>
      <c r="K201" s="1257">
        <v>1802000.0</v>
      </c>
    </row>
    <row r="202">
      <c r="A202" s="1253" t="s">
        <v>15783</v>
      </c>
      <c r="B202" s="1254" t="s">
        <v>15784</v>
      </c>
      <c r="C202" s="1255" t="s">
        <v>2939</v>
      </c>
      <c r="D202" s="1255" t="s">
        <v>337</v>
      </c>
      <c r="E202" s="1255" t="s">
        <v>11576</v>
      </c>
      <c r="F202" s="1255" t="s">
        <v>11570</v>
      </c>
      <c r="G202" s="1254" t="s">
        <v>22</v>
      </c>
      <c r="H202" s="1254" t="s">
        <v>338</v>
      </c>
      <c r="I202" s="1258" t="s">
        <v>125</v>
      </c>
      <c r="J202" s="1259"/>
      <c r="K202" s="1257">
        <v>1645000.0</v>
      </c>
    </row>
    <row r="203">
      <c r="A203" s="1253" t="s">
        <v>15785</v>
      </c>
      <c r="B203" s="1254" t="s">
        <v>15786</v>
      </c>
      <c r="C203" s="1255" t="s">
        <v>2939</v>
      </c>
      <c r="D203" s="1255" t="s">
        <v>339</v>
      </c>
      <c r="E203" s="1255" t="s">
        <v>11576</v>
      </c>
      <c r="F203" s="1255" t="s">
        <v>11579</v>
      </c>
      <c r="G203" s="1254" t="s">
        <v>41</v>
      </c>
      <c r="H203" s="1254" t="s">
        <v>338</v>
      </c>
      <c r="I203" s="1258" t="s">
        <v>2193</v>
      </c>
      <c r="J203" s="1259"/>
      <c r="K203" s="1257">
        <v>1822000.0</v>
      </c>
    </row>
    <row r="204">
      <c r="A204" s="1253" t="s">
        <v>15787</v>
      </c>
      <c r="B204" s="1254" t="s">
        <v>2939</v>
      </c>
      <c r="C204" s="1255" t="s">
        <v>2939</v>
      </c>
      <c r="D204" s="1255" t="s">
        <v>340</v>
      </c>
      <c r="E204" s="1255" t="s">
        <v>11578</v>
      </c>
      <c r="F204" s="1255" t="s">
        <v>11591</v>
      </c>
      <c r="G204" s="1254" t="s">
        <v>132</v>
      </c>
      <c r="H204" s="1254" t="s">
        <v>338</v>
      </c>
      <c r="I204" s="1259"/>
      <c r="J204" s="1259"/>
      <c r="K204" s="1257">
        <v>522000.0</v>
      </c>
    </row>
    <row r="205">
      <c r="A205" s="1253" t="s">
        <v>15788</v>
      </c>
      <c r="B205" s="1254" t="s">
        <v>15789</v>
      </c>
      <c r="C205" s="1255" t="s">
        <v>2939</v>
      </c>
      <c r="D205" s="1255" t="s">
        <v>341</v>
      </c>
      <c r="E205" s="1255" t="s">
        <v>11576</v>
      </c>
      <c r="F205" s="1255" t="s">
        <v>11591</v>
      </c>
      <c r="G205" s="1254" t="s">
        <v>134</v>
      </c>
      <c r="H205" s="1254" t="s">
        <v>338</v>
      </c>
      <c r="I205" s="1259"/>
      <c r="J205" s="1259"/>
      <c r="K205" s="1257">
        <v>522000.0</v>
      </c>
    </row>
    <row r="206">
      <c r="A206" s="1253" t="s">
        <v>15790</v>
      </c>
      <c r="B206" s="1254" t="s">
        <v>15791</v>
      </c>
      <c r="C206" s="1255" t="s">
        <v>2939</v>
      </c>
      <c r="D206" s="1255" t="s">
        <v>342</v>
      </c>
      <c r="E206" s="1255" t="s">
        <v>11576</v>
      </c>
      <c r="F206" s="1255" t="s">
        <v>11570</v>
      </c>
      <c r="G206" s="1254" t="s">
        <v>22</v>
      </c>
      <c r="H206" s="1254" t="s">
        <v>343</v>
      </c>
      <c r="I206" s="1258" t="s">
        <v>125</v>
      </c>
      <c r="J206" s="1259"/>
      <c r="K206" s="1257">
        <v>1883000.0</v>
      </c>
    </row>
    <row r="207">
      <c r="A207" s="1253" t="s">
        <v>15792</v>
      </c>
      <c r="B207" s="1254" t="s">
        <v>15793</v>
      </c>
      <c r="C207" s="1255" t="s">
        <v>2939</v>
      </c>
      <c r="D207" s="1255" t="s">
        <v>344</v>
      </c>
      <c r="E207" s="1255" t="s">
        <v>11576</v>
      </c>
      <c r="F207" s="1255" t="s">
        <v>11579</v>
      </c>
      <c r="G207" s="1254" t="s">
        <v>41</v>
      </c>
      <c r="H207" s="1254" t="s">
        <v>343</v>
      </c>
      <c r="I207" s="1258" t="s">
        <v>2062</v>
      </c>
      <c r="J207" s="1259"/>
      <c r="K207" s="1257">
        <v>2024000.0</v>
      </c>
    </row>
    <row r="208">
      <c r="A208" s="1253" t="s">
        <v>15794</v>
      </c>
      <c r="B208" s="1254" t="s">
        <v>15795</v>
      </c>
      <c r="C208" s="1255" t="s">
        <v>2939</v>
      </c>
      <c r="D208" s="1255" t="s">
        <v>345</v>
      </c>
      <c r="E208" s="1255" t="s">
        <v>11576</v>
      </c>
      <c r="F208" s="1255" t="s">
        <v>11570</v>
      </c>
      <c r="G208" s="1254" t="s">
        <v>22</v>
      </c>
      <c r="H208" s="1254" t="s">
        <v>346</v>
      </c>
      <c r="I208" s="1258" t="s">
        <v>125</v>
      </c>
      <c r="J208" s="1259"/>
      <c r="K208" s="1257">
        <v>1905000.0</v>
      </c>
    </row>
    <row r="209">
      <c r="A209" s="1253" t="s">
        <v>2939</v>
      </c>
      <c r="B209" s="1254" t="s">
        <v>15796</v>
      </c>
      <c r="C209" s="1255" t="s">
        <v>2939</v>
      </c>
      <c r="D209" s="1255" t="s">
        <v>1407</v>
      </c>
      <c r="E209" s="1255" t="s">
        <v>11569</v>
      </c>
      <c r="F209" s="1255" t="s">
        <v>11570</v>
      </c>
      <c r="G209" s="1254" t="s">
        <v>22</v>
      </c>
      <c r="H209" s="1254" t="s">
        <v>346</v>
      </c>
      <c r="I209" s="1258" t="s">
        <v>23</v>
      </c>
      <c r="J209" s="1259"/>
      <c r="K209" s="1257">
        <v>2280000.0</v>
      </c>
    </row>
    <row r="210">
      <c r="A210" s="1253" t="s">
        <v>15797</v>
      </c>
      <c r="B210" s="1254" t="s">
        <v>15798</v>
      </c>
      <c r="C210" s="1255" t="s">
        <v>2939</v>
      </c>
      <c r="D210" s="1255" t="s">
        <v>347</v>
      </c>
      <c r="E210" s="1255" t="s">
        <v>11578</v>
      </c>
      <c r="F210" s="1255" t="s">
        <v>11579</v>
      </c>
      <c r="G210" s="1254" t="s">
        <v>41</v>
      </c>
      <c r="H210" s="1254" t="s">
        <v>346</v>
      </c>
      <c r="I210" s="1258" t="s">
        <v>2062</v>
      </c>
      <c r="J210" s="1259"/>
      <c r="K210" s="1257">
        <v>1785000.0</v>
      </c>
    </row>
    <row r="211">
      <c r="A211" s="1253" t="s">
        <v>15799</v>
      </c>
      <c r="B211" s="1254" t="s">
        <v>15800</v>
      </c>
      <c r="C211" s="1255" t="s">
        <v>2939</v>
      </c>
      <c r="D211" s="1255" t="s">
        <v>348</v>
      </c>
      <c r="E211" s="1255" t="s">
        <v>11578</v>
      </c>
      <c r="F211" s="1255" t="s">
        <v>11570</v>
      </c>
      <c r="G211" s="1254" t="s">
        <v>22</v>
      </c>
      <c r="H211" s="1254" t="s">
        <v>349</v>
      </c>
      <c r="I211" s="1258" t="s">
        <v>75</v>
      </c>
      <c r="J211" s="1259"/>
      <c r="K211" s="1257">
        <v>2464000.0</v>
      </c>
    </row>
    <row r="212">
      <c r="A212" s="1253" t="s">
        <v>15801</v>
      </c>
      <c r="B212" s="1254" t="s">
        <v>2939</v>
      </c>
      <c r="C212" s="1255" t="s">
        <v>2939</v>
      </c>
      <c r="D212" s="1255" t="s">
        <v>350</v>
      </c>
      <c r="E212" s="1255" t="s">
        <v>11578</v>
      </c>
      <c r="F212" s="1255" t="s">
        <v>11570</v>
      </c>
      <c r="G212" s="1254" t="s">
        <v>22</v>
      </c>
      <c r="H212" s="1262" t="s">
        <v>351</v>
      </c>
      <c r="I212" s="1258" t="s">
        <v>125</v>
      </c>
      <c r="J212" s="1259"/>
      <c r="K212" s="1257">
        <v>1883000.0</v>
      </c>
    </row>
    <row r="213">
      <c r="A213" s="1253" t="s">
        <v>15802</v>
      </c>
      <c r="B213" s="1254" t="s">
        <v>15803</v>
      </c>
      <c r="C213" s="1255" t="s">
        <v>2939</v>
      </c>
      <c r="D213" s="1255" t="s">
        <v>352</v>
      </c>
      <c r="E213" s="1255" t="s">
        <v>11578</v>
      </c>
      <c r="F213" s="1255" t="s">
        <v>11579</v>
      </c>
      <c r="G213" s="1254" t="s">
        <v>41</v>
      </c>
      <c r="H213" s="1254" t="s">
        <v>353</v>
      </c>
      <c r="I213" s="1258" t="s">
        <v>2062</v>
      </c>
      <c r="J213" s="1259"/>
      <c r="K213" s="1257">
        <v>1983000.0</v>
      </c>
    </row>
    <row r="214">
      <c r="A214" s="1253" t="s">
        <v>15804</v>
      </c>
      <c r="B214" s="1254" t="s">
        <v>2939</v>
      </c>
      <c r="C214" s="1255" t="s">
        <v>2939</v>
      </c>
      <c r="D214" s="1255" t="s">
        <v>354</v>
      </c>
      <c r="E214" s="1255" t="s">
        <v>11578</v>
      </c>
      <c r="F214" s="1255" t="s">
        <v>11591</v>
      </c>
      <c r="G214" s="1254" t="s">
        <v>130</v>
      </c>
      <c r="H214" s="1254" t="s">
        <v>353</v>
      </c>
      <c r="I214" s="1259"/>
      <c r="J214" s="1259"/>
      <c r="K214" s="1257">
        <v>564000.0</v>
      </c>
    </row>
    <row r="215">
      <c r="A215" s="1253" t="s">
        <v>15805</v>
      </c>
      <c r="B215" s="1254" t="s">
        <v>2939</v>
      </c>
      <c r="C215" s="1255" t="s">
        <v>2939</v>
      </c>
      <c r="D215" s="1255" t="s">
        <v>355</v>
      </c>
      <c r="E215" s="1255" t="s">
        <v>11578</v>
      </c>
      <c r="F215" s="1255" t="s">
        <v>11591</v>
      </c>
      <c r="G215" s="1254" t="s">
        <v>132</v>
      </c>
      <c r="H215" s="1254" t="s">
        <v>353</v>
      </c>
      <c r="I215" s="1259"/>
      <c r="J215" s="1259"/>
      <c r="K215" s="1257">
        <v>484000.0</v>
      </c>
    </row>
    <row r="216">
      <c r="A216" s="1253" t="s">
        <v>2939</v>
      </c>
      <c r="B216" s="1254" t="s">
        <v>15806</v>
      </c>
      <c r="C216" s="1255" t="s">
        <v>2939</v>
      </c>
      <c r="D216" s="1255" t="s">
        <v>11685</v>
      </c>
      <c r="E216" s="1255" t="s">
        <v>11569</v>
      </c>
      <c r="F216" s="1255" t="s">
        <v>11570</v>
      </c>
      <c r="G216" s="1254" t="s">
        <v>22</v>
      </c>
      <c r="H216" s="1254" t="s">
        <v>11686</v>
      </c>
      <c r="I216" s="1258" t="s">
        <v>97</v>
      </c>
      <c r="J216" s="1259"/>
      <c r="K216" s="1257">
        <v>1183000.0</v>
      </c>
    </row>
    <row r="217">
      <c r="A217" s="1253" t="s">
        <v>2939</v>
      </c>
      <c r="B217" s="1254" t="s">
        <v>15807</v>
      </c>
      <c r="C217" s="1255" t="s">
        <v>2939</v>
      </c>
      <c r="D217" s="1255" t="s">
        <v>11687</v>
      </c>
      <c r="E217" s="1255" t="s">
        <v>11569</v>
      </c>
      <c r="F217" s="1255" t="s">
        <v>11579</v>
      </c>
      <c r="G217" s="1254" t="s">
        <v>41</v>
      </c>
      <c r="H217" s="1254" t="s">
        <v>11686</v>
      </c>
      <c r="I217" s="1258" t="s">
        <v>533</v>
      </c>
      <c r="J217" s="1266">
        <v>546000.0</v>
      </c>
      <c r="K217" s="1257">
        <v>1061000.0</v>
      </c>
    </row>
    <row r="218">
      <c r="A218" s="1253" t="s">
        <v>2939</v>
      </c>
      <c r="B218" s="1254" t="s">
        <v>15808</v>
      </c>
      <c r="C218" s="1255" t="s">
        <v>2939</v>
      </c>
      <c r="D218" s="1255" t="s">
        <v>2159</v>
      </c>
      <c r="E218" s="1255" t="s">
        <v>11569</v>
      </c>
      <c r="F218" s="1255" t="s">
        <v>11570</v>
      </c>
      <c r="G218" s="1258" t="s">
        <v>22</v>
      </c>
      <c r="H218" s="1254" t="s">
        <v>15809</v>
      </c>
      <c r="I218" s="1254" t="s">
        <v>75</v>
      </c>
      <c r="J218" s="1256"/>
      <c r="K218" s="1257">
        <v>2000000.0</v>
      </c>
    </row>
    <row r="219">
      <c r="A219" s="1253" t="s">
        <v>15810</v>
      </c>
      <c r="B219" s="1254" t="s">
        <v>15811</v>
      </c>
      <c r="C219" s="1255" t="s">
        <v>15812</v>
      </c>
      <c r="D219" s="1255" t="s">
        <v>356</v>
      </c>
      <c r="E219" s="1255" t="s">
        <v>11630</v>
      </c>
      <c r="F219" s="1255" t="s">
        <v>11570</v>
      </c>
      <c r="G219" s="1254" t="s">
        <v>22</v>
      </c>
      <c r="H219" s="1254" t="s">
        <v>357</v>
      </c>
      <c r="I219" s="1258" t="s">
        <v>97</v>
      </c>
      <c r="J219" s="1259"/>
      <c r="K219" s="1257">
        <v>1042000.0</v>
      </c>
    </row>
    <row r="220">
      <c r="A220" s="1253" t="s">
        <v>2939</v>
      </c>
      <c r="B220" s="1254" t="s">
        <v>15813</v>
      </c>
      <c r="C220" s="1255" t="s">
        <v>2939</v>
      </c>
      <c r="D220" s="1255" t="s">
        <v>2104</v>
      </c>
      <c r="E220" s="1255" t="s">
        <v>11569</v>
      </c>
      <c r="F220" s="1255" t="s">
        <v>11579</v>
      </c>
      <c r="G220" s="1254" t="s">
        <v>41</v>
      </c>
      <c r="H220" s="1254" t="s">
        <v>2105</v>
      </c>
      <c r="I220" s="1258" t="s">
        <v>97</v>
      </c>
      <c r="J220" s="1259"/>
      <c r="K220" s="1257">
        <v>955000.0</v>
      </c>
    </row>
    <row r="221">
      <c r="A221" s="1253" t="s">
        <v>2939</v>
      </c>
      <c r="B221" s="1254" t="s">
        <v>15814</v>
      </c>
      <c r="C221" s="1255" t="s">
        <v>2939</v>
      </c>
      <c r="D221" s="1255" t="s">
        <v>2106</v>
      </c>
      <c r="E221" s="1255" t="s">
        <v>11569</v>
      </c>
      <c r="F221" s="1255" t="s">
        <v>11579</v>
      </c>
      <c r="G221" s="1254" t="s">
        <v>41</v>
      </c>
      <c r="H221" s="1254" t="s">
        <v>2107</v>
      </c>
      <c r="I221" s="1258" t="s">
        <v>2108</v>
      </c>
      <c r="J221" s="1259"/>
      <c r="K221" s="1257">
        <v>1018000.0</v>
      </c>
    </row>
    <row r="222">
      <c r="A222" s="1253" t="s">
        <v>2939</v>
      </c>
      <c r="B222" s="1254" t="s">
        <v>15815</v>
      </c>
      <c r="C222" s="1255" t="s">
        <v>2939</v>
      </c>
      <c r="D222" s="1255" t="s">
        <v>1420</v>
      </c>
      <c r="E222" s="1255" t="s">
        <v>11569</v>
      </c>
      <c r="F222" s="1255" t="s">
        <v>11579</v>
      </c>
      <c r="G222" s="1254" t="s">
        <v>41</v>
      </c>
      <c r="H222" s="1254" t="s">
        <v>1421</v>
      </c>
      <c r="I222" s="1258" t="s">
        <v>97</v>
      </c>
      <c r="J222" s="1259"/>
      <c r="K222" s="1257">
        <v>840000.0</v>
      </c>
    </row>
    <row r="223">
      <c r="A223" s="1253" t="s">
        <v>15816</v>
      </c>
      <c r="B223" s="1254" t="s">
        <v>15817</v>
      </c>
      <c r="C223" s="1255" t="s">
        <v>15818</v>
      </c>
      <c r="D223" s="1255" t="s">
        <v>358</v>
      </c>
      <c r="E223" s="1255" t="s">
        <v>11630</v>
      </c>
      <c r="F223" s="1255" t="s">
        <v>11570</v>
      </c>
      <c r="G223" s="1254" t="s">
        <v>22</v>
      </c>
      <c r="H223" s="1254" t="s">
        <v>359</v>
      </c>
      <c r="I223" s="1258" t="s">
        <v>97</v>
      </c>
      <c r="J223" s="1259"/>
      <c r="K223" s="1257">
        <v>1190000.0</v>
      </c>
    </row>
    <row r="224">
      <c r="A224" s="1253" t="s">
        <v>15819</v>
      </c>
      <c r="B224" s="1254" t="s">
        <v>15820</v>
      </c>
      <c r="C224" s="1255" t="s">
        <v>2939</v>
      </c>
      <c r="D224" s="1255" t="s">
        <v>360</v>
      </c>
      <c r="E224" s="1255" t="s">
        <v>11576</v>
      </c>
      <c r="F224" s="1255" t="s">
        <v>11579</v>
      </c>
      <c r="G224" s="1254" t="s">
        <v>41</v>
      </c>
      <c r="H224" s="1254" t="s">
        <v>359</v>
      </c>
      <c r="I224" s="1258" t="s">
        <v>2193</v>
      </c>
      <c r="J224" s="1259"/>
      <c r="K224" s="1257">
        <v>1672000.0</v>
      </c>
    </row>
    <row r="225">
      <c r="A225" s="1253" t="s">
        <v>15821</v>
      </c>
      <c r="B225" s="1254" t="s">
        <v>15822</v>
      </c>
      <c r="C225" s="1255" t="s">
        <v>15823</v>
      </c>
      <c r="D225" s="1255" t="s">
        <v>361</v>
      </c>
      <c r="E225" s="1255" t="s">
        <v>11576</v>
      </c>
      <c r="F225" s="1255" t="s">
        <v>11570</v>
      </c>
      <c r="G225" s="1254" t="s">
        <v>22</v>
      </c>
      <c r="H225" s="1254" t="s">
        <v>362</v>
      </c>
      <c r="I225" s="1258" t="s">
        <v>97</v>
      </c>
      <c r="J225" s="1259"/>
      <c r="K225" s="1257">
        <v>1671000.0</v>
      </c>
    </row>
    <row r="226">
      <c r="A226" s="1253" t="s">
        <v>15824</v>
      </c>
      <c r="B226" s="1254" t="s">
        <v>15825</v>
      </c>
      <c r="C226" s="1255" t="s">
        <v>2939</v>
      </c>
      <c r="D226" s="1255" t="s">
        <v>363</v>
      </c>
      <c r="E226" s="1255" t="s">
        <v>11576</v>
      </c>
      <c r="F226" s="1255" t="s">
        <v>11579</v>
      </c>
      <c r="G226" s="1254" t="s">
        <v>41</v>
      </c>
      <c r="H226" s="1254" t="s">
        <v>364</v>
      </c>
      <c r="I226" s="1258" t="s">
        <v>2193</v>
      </c>
      <c r="J226" s="1266">
        <v>769000.0</v>
      </c>
      <c r="K226" s="1257">
        <v>1543000.0</v>
      </c>
    </row>
    <row r="227">
      <c r="A227" s="1253" t="s">
        <v>15826</v>
      </c>
      <c r="B227" s="1254" t="s">
        <v>15827</v>
      </c>
      <c r="C227" s="1255" t="s">
        <v>2939</v>
      </c>
      <c r="D227" s="1255" t="s">
        <v>365</v>
      </c>
      <c r="E227" s="1255" t="s">
        <v>11576</v>
      </c>
      <c r="F227" s="1255" t="s">
        <v>11570</v>
      </c>
      <c r="G227" s="1254" t="s">
        <v>22</v>
      </c>
      <c r="H227" s="1254" t="s">
        <v>366</v>
      </c>
      <c r="I227" s="1258" t="s">
        <v>97</v>
      </c>
      <c r="J227" s="1259"/>
      <c r="K227" s="1257">
        <v>1570000.0</v>
      </c>
    </row>
    <row r="228">
      <c r="A228" s="1253" t="s">
        <v>15828</v>
      </c>
      <c r="B228" s="1254" t="s">
        <v>15829</v>
      </c>
      <c r="C228" s="1255" t="s">
        <v>2939</v>
      </c>
      <c r="D228" s="1255" t="s">
        <v>367</v>
      </c>
      <c r="E228" s="1255" t="s">
        <v>11576</v>
      </c>
      <c r="F228" s="1255" t="s">
        <v>11579</v>
      </c>
      <c r="G228" s="1254" t="s">
        <v>41</v>
      </c>
      <c r="H228" s="1254" t="s">
        <v>366</v>
      </c>
      <c r="I228" s="1258" t="s">
        <v>2193</v>
      </c>
      <c r="J228" s="1259"/>
      <c r="K228" s="1257">
        <v>1308000.0</v>
      </c>
    </row>
    <row r="229">
      <c r="A229" s="1253" t="s">
        <v>15830</v>
      </c>
      <c r="B229" s="1254" t="s">
        <v>15831</v>
      </c>
      <c r="C229" s="1255" t="s">
        <v>2939</v>
      </c>
      <c r="D229" s="1255" t="s">
        <v>368</v>
      </c>
      <c r="E229" s="1255" t="s">
        <v>11576</v>
      </c>
      <c r="F229" s="1255" t="s">
        <v>11570</v>
      </c>
      <c r="G229" s="1254" t="s">
        <v>22</v>
      </c>
      <c r="H229" s="1258" t="s">
        <v>369</v>
      </c>
      <c r="I229" s="1258" t="s">
        <v>125</v>
      </c>
      <c r="J229" s="1259"/>
      <c r="K229" s="1257">
        <v>1765000.0</v>
      </c>
    </row>
    <row r="230">
      <c r="A230" s="1253" t="s">
        <v>2939</v>
      </c>
      <c r="B230" s="1254" t="s">
        <v>15832</v>
      </c>
      <c r="C230" s="1255" t="s">
        <v>2939</v>
      </c>
      <c r="D230" s="1255" t="s">
        <v>1429</v>
      </c>
      <c r="E230" s="1255" t="s">
        <v>11569</v>
      </c>
      <c r="F230" s="1255" t="s">
        <v>11579</v>
      </c>
      <c r="G230" s="1254" t="s">
        <v>41</v>
      </c>
      <c r="H230" s="1254" t="s">
        <v>369</v>
      </c>
      <c r="I230" s="1254" t="s">
        <v>2193</v>
      </c>
      <c r="J230" s="1256"/>
      <c r="K230" s="1257">
        <v>1413000.0</v>
      </c>
    </row>
    <row r="231">
      <c r="A231" s="1253" t="s">
        <v>2939</v>
      </c>
      <c r="B231" s="1254" t="s">
        <v>15833</v>
      </c>
      <c r="C231" s="1255" t="s">
        <v>2939</v>
      </c>
      <c r="D231" s="1255" t="s">
        <v>2112</v>
      </c>
      <c r="E231" s="1255" t="s">
        <v>11569</v>
      </c>
      <c r="F231" s="1255" t="s">
        <v>11570</v>
      </c>
      <c r="G231" s="1254" t="s">
        <v>22</v>
      </c>
      <c r="H231" s="1254" t="s">
        <v>2113</v>
      </c>
      <c r="I231" s="1258" t="s">
        <v>125</v>
      </c>
      <c r="J231" s="1259"/>
      <c r="K231" s="1257">
        <v>2322000.0</v>
      </c>
    </row>
    <row r="232">
      <c r="A232" s="1253" t="s">
        <v>2939</v>
      </c>
      <c r="B232" s="1254" t="s">
        <v>2939</v>
      </c>
      <c r="C232" s="1255" t="s">
        <v>15834</v>
      </c>
      <c r="D232" s="1255" t="s">
        <v>2028</v>
      </c>
      <c r="E232" s="1255" t="s">
        <v>11653</v>
      </c>
      <c r="F232" s="1255" t="s">
        <v>11570</v>
      </c>
      <c r="G232" s="1254" t="s">
        <v>22</v>
      </c>
      <c r="H232" s="1254" t="s">
        <v>2029</v>
      </c>
      <c r="I232" s="1259"/>
      <c r="J232" s="1259"/>
      <c r="K232" s="1257">
        <v>1375000.0</v>
      </c>
    </row>
    <row r="233">
      <c r="A233" s="1253" t="s">
        <v>15835</v>
      </c>
      <c r="B233" s="1254" t="s">
        <v>15836</v>
      </c>
      <c r="C233" s="1255" t="s">
        <v>2939</v>
      </c>
      <c r="D233" s="1255" t="s">
        <v>370</v>
      </c>
      <c r="E233" s="1255" t="s">
        <v>11576</v>
      </c>
      <c r="F233" s="1255" t="s">
        <v>11570</v>
      </c>
      <c r="G233" s="1254" t="s">
        <v>22</v>
      </c>
      <c r="H233" s="1258" t="s">
        <v>371</v>
      </c>
      <c r="I233" s="1258" t="s">
        <v>125</v>
      </c>
      <c r="J233" s="1259"/>
      <c r="K233" s="1257">
        <v>1305000.0</v>
      </c>
    </row>
    <row r="234">
      <c r="A234" s="1253" t="s">
        <v>15837</v>
      </c>
      <c r="B234" s="1254" t="s">
        <v>15838</v>
      </c>
      <c r="C234" s="1255" t="s">
        <v>2939</v>
      </c>
      <c r="D234" s="1255" t="s">
        <v>372</v>
      </c>
      <c r="E234" s="1255" t="s">
        <v>11576</v>
      </c>
      <c r="F234" s="1255" t="s">
        <v>11579</v>
      </c>
      <c r="G234" s="1254" t="s">
        <v>41</v>
      </c>
      <c r="H234" s="1254" t="s">
        <v>371</v>
      </c>
      <c r="I234" s="1258" t="s">
        <v>11691</v>
      </c>
      <c r="J234" s="1259"/>
      <c r="K234" s="1257">
        <v>1776000.0</v>
      </c>
    </row>
    <row r="235">
      <c r="A235" s="1253" t="s">
        <v>15839</v>
      </c>
      <c r="B235" s="1254" t="s">
        <v>15840</v>
      </c>
      <c r="C235" s="1255" t="s">
        <v>2939</v>
      </c>
      <c r="D235" s="1255" t="s">
        <v>374</v>
      </c>
      <c r="E235" s="1255" t="s">
        <v>11576</v>
      </c>
      <c r="F235" s="1255" t="s">
        <v>11591</v>
      </c>
      <c r="G235" s="1254" t="s">
        <v>128</v>
      </c>
      <c r="H235" s="1254" t="s">
        <v>371</v>
      </c>
      <c r="I235" s="1259"/>
      <c r="J235" s="1259"/>
      <c r="K235" s="1257">
        <v>589000.0</v>
      </c>
    </row>
    <row r="236">
      <c r="A236" s="1253" t="s">
        <v>15841</v>
      </c>
      <c r="B236" s="1254" t="s">
        <v>15842</v>
      </c>
      <c r="C236" s="1255" t="s">
        <v>2939</v>
      </c>
      <c r="D236" s="1255" t="s">
        <v>375</v>
      </c>
      <c r="E236" s="1255" t="s">
        <v>11576</v>
      </c>
      <c r="F236" s="1255" t="s">
        <v>11591</v>
      </c>
      <c r="G236" s="1254" t="s">
        <v>130</v>
      </c>
      <c r="H236" s="1254" t="s">
        <v>371</v>
      </c>
      <c r="I236" s="1259"/>
      <c r="J236" s="1259"/>
      <c r="K236" s="1257">
        <v>589000.0</v>
      </c>
    </row>
    <row r="237">
      <c r="A237" s="1253" t="s">
        <v>15843</v>
      </c>
      <c r="B237" s="1254" t="s">
        <v>2939</v>
      </c>
      <c r="C237" s="1255" t="s">
        <v>2939</v>
      </c>
      <c r="D237" s="1255" t="s">
        <v>376</v>
      </c>
      <c r="E237" s="1255" t="s">
        <v>11578</v>
      </c>
      <c r="F237" s="1255" t="s">
        <v>11591</v>
      </c>
      <c r="G237" s="1254" t="s">
        <v>202</v>
      </c>
      <c r="H237" s="1254" t="s">
        <v>371</v>
      </c>
      <c r="I237" s="1258" t="s">
        <v>97</v>
      </c>
      <c r="J237" s="1259"/>
      <c r="K237" s="1257">
        <v>707000.0</v>
      </c>
    </row>
    <row r="238">
      <c r="A238" s="1253" t="s">
        <v>15844</v>
      </c>
      <c r="B238" s="1254" t="s">
        <v>2939</v>
      </c>
      <c r="C238" s="1255" t="s">
        <v>2939</v>
      </c>
      <c r="D238" s="1255" t="s">
        <v>377</v>
      </c>
      <c r="E238" s="1255" t="s">
        <v>11578</v>
      </c>
      <c r="F238" s="1255" t="s">
        <v>11591</v>
      </c>
      <c r="G238" s="1254" t="s">
        <v>236</v>
      </c>
      <c r="H238" s="1254" t="s">
        <v>371</v>
      </c>
      <c r="I238" s="1258" t="s">
        <v>97</v>
      </c>
      <c r="J238" s="1259"/>
      <c r="K238" s="1257">
        <v>707000.0</v>
      </c>
    </row>
    <row r="239">
      <c r="A239" s="1253" t="s">
        <v>15845</v>
      </c>
      <c r="B239" s="1254" t="s">
        <v>15846</v>
      </c>
      <c r="C239" s="1255" t="s">
        <v>2939</v>
      </c>
      <c r="D239" s="1255" t="s">
        <v>378</v>
      </c>
      <c r="E239" s="1255" t="s">
        <v>11576</v>
      </c>
      <c r="F239" s="1255" t="s">
        <v>11570</v>
      </c>
      <c r="G239" s="1254" t="s">
        <v>22</v>
      </c>
      <c r="H239" s="1254" t="s">
        <v>379</v>
      </c>
      <c r="I239" s="1258" t="s">
        <v>125</v>
      </c>
      <c r="J239" s="1259"/>
      <c r="K239" s="1257">
        <v>1204000.0</v>
      </c>
    </row>
    <row r="240">
      <c r="A240" s="1253" t="s">
        <v>15847</v>
      </c>
      <c r="B240" s="1254" t="s">
        <v>2939</v>
      </c>
      <c r="C240" s="1255" t="s">
        <v>2939</v>
      </c>
      <c r="D240" s="1255" t="s">
        <v>380</v>
      </c>
      <c r="E240" s="1255" t="s">
        <v>11578</v>
      </c>
      <c r="F240" s="1255" t="s">
        <v>11591</v>
      </c>
      <c r="G240" s="1254" t="s">
        <v>132</v>
      </c>
      <c r="H240" s="1254" t="s">
        <v>379</v>
      </c>
      <c r="I240" s="1259"/>
      <c r="J240" s="1259"/>
      <c r="K240" s="1257">
        <v>354000.0</v>
      </c>
    </row>
    <row r="241">
      <c r="A241" s="1253" t="s">
        <v>15848</v>
      </c>
      <c r="B241" s="1254" t="s">
        <v>15849</v>
      </c>
      <c r="C241" s="1255" t="s">
        <v>2939</v>
      </c>
      <c r="D241" s="1255" t="s">
        <v>381</v>
      </c>
      <c r="E241" s="1255" t="s">
        <v>11576</v>
      </c>
      <c r="F241" s="1255" t="s">
        <v>11579</v>
      </c>
      <c r="G241" s="1254" t="s">
        <v>41</v>
      </c>
      <c r="H241" s="1254" t="s">
        <v>379</v>
      </c>
      <c r="I241" s="1258" t="s">
        <v>2193</v>
      </c>
      <c r="J241" s="1259"/>
      <c r="K241" s="1257">
        <v>1667000.0</v>
      </c>
    </row>
    <row r="242">
      <c r="A242" s="1253" t="s">
        <v>15850</v>
      </c>
      <c r="B242" s="1254" t="s">
        <v>15851</v>
      </c>
      <c r="C242" s="1255" t="s">
        <v>2939</v>
      </c>
      <c r="D242" s="1255" t="s">
        <v>382</v>
      </c>
      <c r="E242" s="1255" t="s">
        <v>11576</v>
      </c>
      <c r="F242" s="1255" t="s">
        <v>11570</v>
      </c>
      <c r="G242" s="1254" t="s">
        <v>22</v>
      </c>
      <c r="H242" s="1254" t="s">
        <v>383</v>
      </c>
      <c r="I242" s="1258" t="s">
        <v>97</v>
      </c>
      <c r="J242" s="1259"/>
      <c r="K242" s="1257">
        <v>1220000.0</v>
      </c>
    </row>
    <row r="243">
      <c r="A243" s="1253" t="s">
        <v>15852</v>
      </c>
      <c r="B243" s="1254" t="s">
        <v>15853</v>
      </c>
      <c r="C243" s="1255" t="s">
        <v>2939</v>
      </c>
      <c r="D243" s="1255" t="s">
        <v>384</v>
      </c>
      <c r="E243" s="1255" t="s">
        <v>11576</v>
      </c>
      <c r="F243" s="1255" t="s">
        <v>11579</v>
      </c>
      <c r="G243" s="1254" t="s">
        <v>41</v>
      </c>
      <c r="H243" s="1254" t="s">
        <v>383</v>
      </c>
      <c r="I243" s="1258" t="s">
        <v>2193</v>
      </c>
      <c r="J243" s="1259"/>
      <c r="K243" s="1257">
        <v>1776000.0</v>
      </c>
    </row>
    <row r="244">
      <c r="A244" s="1253" t="s">
        <v>15854</v>
      </c>
      <c r="B244" s="1254" t="s">
        <v>2939</v>
      </c>
      <c r="C244" s="1255" t="s">
        <v>2939</v>
      </c>
      <c r="D244" s="1255" t="s">
        <v>385</v>
      </c>
      <c r="E244" s="1255" t="s">
        <v>11578</v>
      </c>
      <c r="F244" s="1255" t="s">
        <v>11591</v>
      </c>
      <c r="G244" s="1254" t="s">
        <v>134</v>
      </c>
      <c r="H244" s="1254" t="s">
        <v>383</v>
      </c>
      <c r="I244" s="1259"/>
      <c r="J244" s="1259"/>
      <c r="K244" s="1257">
        <v>354000.0</v>
      </c>
    </row>
    <row r="245">
      <c r="A245" s="1253" t="s">
        <v>15855</v>
      </c>
      <c r="B245" s="1254" t="s">
        <v>2939</v>
      </c>
      <c r="C245" s="1255" t="s">
        <v>2939</v>
      </c>
      <c r="D245" s="1255" t="s">
        <v>386</v>
      </c>
      <c r="E245" s="1255" t="s">
        <v>11578</v>
      </c>
      <c r="F245" s="1255" t="s">
        <v>11591</v>
      </c>
      <c r="G245" s="1254" t="s">
        <v>387</v>
      </c>
      <c r="H245" s="1254" t="s">
        <v>383</v>
      </c>
      <c r="I245" s="1258" t="s">
        <v>97</v>
      </c>
      <c r="J245" s="1259"/>
      <c r="K245" s="1257">
        <v>195000.0</v>
      </c>
    </row>
    <row r="246">
      <c r="A246" s="1253" t="s">
        <v>15856</v>
      </c>
      <c r="B246" s="1254" t="s">
        <v>2939</v>
      </c>
      <c r="C246" s="1255" t="s">
        <v>2939</v>
      </c>
      <c r="D246" s="1255" t="s">
        <v>388</v>
      </c>
      <c r="E246" s="1255" t="s">
        <v>11578</v>
      </c>
      <c r="F246" s="1255" t="s">
        <v>11591</v>
      </c>
      <c r="G246" s="1254" t="s">
        <v>389</v>
      </c>
      <c r="H246" s="1254" t="s">
        <v>383</v>
      </c>
      <c r="I246" s="1258" t="s">
        <v>97</v>
      </c>
      <c r="J246" s="1259"/>
      <c r="K246" s="1257">
        <v>195000.0</v>
      </c>
    </row>
    <row r="247">
      <c r="A247" s="1253" t="s">
        <v>15857</v>
      </c>
      <c r="B247" s="1254" t="s">
        <v>15858</v>
      </c>
      <c r="C247" s="1255" t="s">
        <v>2939</v>
      </c>
      <c r="D247" s="1255" t="s">
        <v>390</v>
      </c>
      <c r="E247" s="1255" t="s">
        <v>11576</v>
      </c>
      <c r="F247" s="1255" t="s">
        <v>11570</v>
      </c>
      <c r="G247" s="1254" t="s">
        <v>22</v>
      </c>
      <c r="H247" s="1254" t="s">
        <v>391</v>
      </c>
      <c r="I247" s="1258" t="s">
        <v>97</v>
      </c>
      <c r="J247" s="1259"/>
      <c r="K247" s="1257">
        <v>2118000.0</v>
      </c>
    </row>
    <row r="248">
      <c r="A248" s="1253" t="s">
        <v>15859</v>
      </c>
      <c r="B248" s="1254" t="s">
        <v>15860</v>
      </c>
      <c r="C248" s="1255" t="s">
        <v>2939</v>
      </c>
      <c r="D248" s="1255" t="s">
        <v>392</v>
      </c>
      <c r="E248" s="1255" t="s">
        <v>11576</v>
      </c>
      <c r="F248" s="1255" t="s">
        <v>11579</v>
      </c>
      <c r="G248" s="1254" t="s">
        <v>41</v>
      </c>
      <c r="H248" s="1254" t="s">
        <v>391</v>
      </c>
      <c r="I248" s="1258" t="s">
        <v>2062</v>
      </c>
      <c r="J248" s="1259"/>
      <c r="K248" s="1257">
        <v>2084000.0</v>
      </c>
    </row>
    <row r="249">
      <c r="A249" s="1253" t="s">
        <v>2939</v>
      </c>
      <c r="B249" s="1254" t="s">
        <v>15861</v>
      </c>
      <c r="C249" s="1255" t="s">
        <v>2939</v>
      </c>
      <c r="D249" s="1255" t="s">
        <v>1440</v>
      </c>
      <c r="E249" s="1255" t="s">
        <v>11569</v>
      </c>
      <c r="F249" s="1255" t="s">
        <v>11579</v>
      </c>
      <c r="G249" s="1254" t="s">
        <v>41</v>
      </c>
      <c r="H249" s="1254" t="s">
        <v>1441</v>
      </c>
      <c r="I249" s="1258" t="s">
        <v>2193</v>
      </c>
      <c r="J249" s="1259"/>
      <c r="K249" s="1257">
        <v>3297000.0</v>
      </c>
    </row>
    <row r="250">
      <c r="A250" s="1253" t="s">
        <v>15862</v>
      </c>
      <c r="B250" s="1254" t="s">
        <v>15863</v>
      </c>
      <c r="C250" s="1255" t="s">
        <v>2939</v>
      </c>
      <c r="D250" s="1255" t="s">
        <v>393</v>
      </c>
      <c r="E250" s="1255" t="s">
        <v>11576</v>
      </c>
      <c r="F250" s="1255" t="s">
        <v>11570</v>
      </c>
      <c r="G250" s="1254" t="s">
        <v>22</v>
      </c>
      <c r="H250" s="1254" t="s">
        <v>394</v>
      </c>
      <c r="I250" s="1258" t="s">
        <v>125</v>
      </c>
      <c r="J250" s="1259"/>
      <c r="K250" s="1257">
        <v>1636000.0</v>
      </c>
    </row>
    <row r="251">
      <c r="A251" s="1253" t="s">
        <v>15864</v>
      </c>
      <c r="B251" s="1254" t="s">
        <v>15865</v>
      </c>
      <c r="C251" s="1255" t="s">
        <v>2939</v>
      </c>
      <c r="D251" s="1255" t="s">
        <v>395</v>
      </c>
      <c r="E251" s="1255" t="s">
        <v>11576</v>
      </c>
      <c r="F251" s="1255" t="s">
        <v>11579</v>
      </c>
      <c r="G251" s="1254" t="s">
        <v>41</v>
      </c>
      <c r="H251" s="1254" t="s">
        <v>394</v>
      </c>
      <c r="I251" s="1258" t="s">
        <v>2193</v>
      </c>
      <c r="J251" s="1259"/>
      <c r="K251" s="1257">
        <v>1696000.0</v>
      </c>
    </row>
    <row r="252">
      <c r="A252" s="1253" t="s">
        <v>15866</v>
      </c>
      <c r="B252" s="1254" t="s">
        <v>15867</v>
      </c>
      <c r="C252" s="1255" t="s">
        <v>2939</v>
      </c>
      <c r="D252" s="1255" t="s">
        <v>396</v>
      </c>
      <c r="E252" s="1255" t="s">
        <v>11576</v>
      </c>
      <c r="F252" s="1255" t="s">
        <v>11591</v>
      </c>
      <c r="G252" s="1254" t="s">
        <v>128</v>
      </c>
      <c r="H252" s="1254" t="s">
        <v>394</v>
      </c>
      <c r="I252" s="1258" t="s">
        <v>397</v>
      </c>
      <c r="J252" s="1259"/>
      <c r="K252" s="1257">
        <v>461000.0</v>
      </c>
    </row>
    <row r="253">
      <c r="A253" s="1253" t="s">
        <v>15868</v>
      </c>
      <c r="B253" s="1254" t="s">
        <v>15869</v>
      </c>
      <c r="C253" s="1255" t="s">
        <v>2939</v>
      </c>
      <c r="D253" s="1255" t="s">
        <v>398</v>
      </c>
      <c r="E253" s="1255" t="s">
        <v>11576</v>
      </c>
      <c r="F253" s="1255" t="s">
        <v>11591</v>
      </c>
      <c r="G253" s="1254" t="s">
        <v>130</v>
      </c>
      <c r="H253" s="1254" t="s">
        <v>394</v>
      </c>
      <c r="I253" s="1258" t="s">
        <v>397</v>
      </c>
      <c r="J253" s="1259"/>
      <c r="K253" s="1257">
        <v>461000.0</v>
      </c>
    </row>
    <row r="254">
      <c r="A254" s="1253" t="s">
        <v>15870</v>
      </c>
      <c r="B254" s="1254" t="s">
        <v>2939</v>
      </c>
      <c r="C254" s="1255" t="s">
        <v>2939</v>
      </c>
      <c r="D254" s="1255" t="s">
        <v>399</v>
      </c>
      <c r="E254" s="1255" t="s">
        <v>11578</v>
      </c>
      <c r="F254" s="1255" t="s">
        <v>11591</v>
      </c>
      <c r="G254" s="1254" t="s">
        <v>400</v>
      </c>
      <c r="H254" s="1254" t="s">
        <v>394</v>
      </c>
      <c r="I254" s="1258" t="s">
        <v>97</v>
      </c>
      <c r="J254" s="1259"/>
      <c r="K254" s="1257">
        <v>211000.0</v>
      </c>
    </row>
    <row r="255">
      <c r="A255" s="1253" t="s">
        <v>15871</v>
      </c>
      <c r="B255" s="1254" t="s">
        <v>2939</v>
      </c>
      <c r="C255" s="1255" t="s">
        <v>2939</v>
      </c>
      <c r="D255" s="1255" t="s">
        <v>401</v>
      </c>
      <c r="E255" s="1255" t="s">
        <v>11578</v>
      </c>
      <c r="F255" s="1255" t="s">
        <v>11591</v>
      </c>
      <c r="G255" s="1254" t="s">
        <v>402</v>
      </c>
      <c r="H255" s="1254" t="s">
        <v>394</v>
      </c>
      <c r="I255" s="1258" t="s">
        <v>97</v>
      </c>
      <c r="J255" s="1259"/>
      <c r="K255" s="1257">
        <v>211000.0</v>
      </c>
    </row>
    <row r="256">
      <c r="A256" s="1253" t="s">
        <v>15872</v>
      </c>
      <c r="B256" s="1254" t="s">
        <v>2939</v>
      </c>
      <c r="C256" s="1255" t="s">
        <v>2939</v>
      </c>
      <c r="D256" s="1255" t="s">
        <v>403</v>
      </c>
      <c r="E256" s="1255" t="s">
        <v>11578</v>
      </c>
      <c r="F256" s="1255" t="s">
        <v>11591</v>
      </c>
      <c r="G256" s="1254" t="s">
        <v>387</v>
      </c>
      <c r="H256" s="1254" t="s">
        <v>394</v>
      </c>
      <c r="I256" s="1259"/>
      <c r="J256" s="1259"/>
      <c r="K256" s="1257">
        <v>219000.0</v>
      </c>
    </row>
    <row r="257">
      <c r="A257" s="1253" t="s">
        <v>15873</v>
      </c>
      <c r="B257" s="1254" t="s">
        <v>2939</v>
      </c>
      <c r="C257" s="1255" t="s">
        <v>2939</v>
      </c>
      <c r="D257" s="1255" t="s">
        <v>404</v>
      </c>
      <c r="E257" s="1255" t="s">
        <v>11578</v>
      </c>
      <c r="F257" s="1255" t="s">
        <v>11591</v>
      </c>
      <c r="G257" s="1254" t="s">
        <v>389</v>
      </c>
      <c r="H257" s="1254" t="s">
        <v>394</v>
      </c>
      <c r="I257" s="1259"/>
      <c r="J257" s="1259"/>
      <c r="K257" s="1257">
        <v>219000.0</v>
      </c>
    </row>
    <row r="258">
      <c r="A258" s="1253" t="s">
        <v>15874</v>
      </c>
      <c r="B258" s="1254" t="s">
        <v>15875</v>
      </c>
      <c r="C258" s="1255" t="s">
        <v>2939</v>
      </c>
      <c r="D258" s="1255" t="s">
        <v>405</v>
      </c>
      <c r="E258" s="1255" t="s">
        <v>11576</v>
      </c>
      <c r="F258" s="1255" t="s">
        <v>11570</v>
      </c>
      <c r="G258" s="1254" t="s">
        <v>22</v>
      </c>
      <c r="H258" s="1254" t="s">
        <v>406</v>
      </c>
      <c r="I258" s="1258" t="s">
        <v>125</v>
      </c>
      <c r="J258" s="1259"/>
      <c r="K258" s="1257">
        <v>1785000.0</v>
      </c>
    </row>
    <row r="259">
      <c r="A259" s="1253" t="s">
        <v>15876</v>
      </c>
      <c r="B259" s="1254" t="s">
        <v>15877</v>
      </c>
      <c r="C259" s="1255" t="s">
        <v>2939</v>
      </c>
      <c r="D259" s="1255" t="s">
        <v>407</v>
      </c>
      <c r="E259" s="1255" t="s">
        <v>11576</v>
      </c>
      <c r="F259" s="1255" t="s">
        <v>11579</v>
      </c>
      <c r="G259" s="1254" t="s">
        <v>41</v>
      </c>
      <c r="H259" s="1254" t="s">
        <v>406</v>
      </c>
      <c r="I259" s="1258" t="s">
        <v>2062</v>
      </c>
      <c r="J259" s="1259"/>
      <c r="K259" s="1257">
        <v>2119000.0</v>
      </c>
    </row>
    <row r="260">
      <c r="A260" s="1253" t="s">
        <v>2939</v>
      </c>
      <c r="B260" s="1254" t="s">
        <v>15878</v>
      </c>
      <c r="C260" s="1255" t="s">
        <v>2939</v>
      </c>
      <c r="D260" s="1255" t="s">
        <v>2238</v>
      </c>
      <c r="E260" s="1255" t="s">
        <v>11569</v>
      </c>
      <c r="F260" s="1255" t="s">
        <v>11570</v>
      </c>
      <c r="G260" s="1254" t="s">
        <v>22</v>
      </c>
      <c r="H260" s="1254" t="s">
        <v>11697</v>
      </c>
      <c r="I260" s="1258" t="s">
        <v>75</v>
      </c>
      <c r="J260" s="1259"/>
      <c r="K260" s="1257">
        <v>2341000.0</v>
      </c>
    </row>
    <row r="261">
      <c r="A261" s="1253" t="s">
        <v>2939</v>
      </c>
      <c r="B261" s="1254" t="s">
        <v>15879</v>
      </c>
      <c r="C261" s="1255" t="s">
        <v>2939</v>
      </c>
      <c r="D261" s="1255" t="s">
        <v>1446</v>
      </c>
      <c r="E261" s="1255" t="s">
        <v>11569</v>
      </c>
      <c r="F261" s="1255" t="s">
        <v>11579</v>
      </c>
      <c r="G261" s="1254" t="s">
        <v>41</v>
      </c>
      <c r="H261" s="1254" t="s">
        <v>11698</v>
      </c>
      <c r="I261" s="1258" t="s">
        <v>2062</v>
      </c>
      <c r="J261" s="1259"/>
      <c r="K261" s="1257">
        <v>2725000.0</v>
      </c>
    </row>
    <row r="262">
      <c r="A262" s="1253" t="s">
        <v>15880</v>
      </c>
      <c r="B262" s="1254" t="s">
        <v>15879</v>
      </c>
      <c r="C262" s="1255" t="s">
        <v>2939</v>
      </c>
      <c r="D262" s="1255" t="s">
        <v>408</v>
      </c>
      <c r="E262" s="1255" t="s">
        <v>11578</v>
      </c>
      <c r="F262" s="1255" t="s">
        <v>11579</v>
      </c>
      <c r="G262" s="1254" t="s">
        <v>41</v>
      </c>
      <c r="H262" s="1254" t="s">
        <v>11699</v>
      </c>
      <c r="I262" s="1258" t="s">
        <v>2062</v>
      </c>
      <c r="J262" s="1259"/>
      <c r="K262" s="1257">
        <v>2398000.0</v>
      </c>
    </row>
    <row r="263">
      <c r="A263" s="1253" t="s">
        <v>15881</v>
      </c>
      <c r="B263" s="1254" t="s">
        <v>15882</v>
      </c>
      <c r="C263" s="1255" t="s">
        <v>2939</v>
      </c>
      <c r="D263" s="1255" t="s">
        <v>410</v>
      </c>
      <c r="E263" s="1255" t="s">
        <v>11576</v>
      </c>
      <c r="F263" s="1255" t="s">
        <v>11570</v>
      </c>
      <c r="G263" s="1254" t="s">
        <v>22</v>
      </c>
      <c r="H263" s="1254" t="s">
        <v>411</v>
      </c>
      <c r="I263" s="1258" t="s">
        <v>97</v>
      </c>
      <c r="J263" s="1259"/>
      <c r="K263" s="1257">
        <v>1458000.0</v>
      </c>
    </row>
    <row r="264">
      <c r="A264" s="1253" t="s">
        <v>15883</v>
      </c>
      <c r="B264" s="1254" t="s">
        <v>15884</v>
      </c>
      <c r="C264" s="1255" t="s">
        <v>2939</v>
      </c>
      <c r="D264" s="1255" t="s">
        <v>412</v>
      </c>
      <c r="E264" s="1255" t="s">
        <v>11576</v>
      </c>
      <c r="F264" s="1255" t="s">
        <v>11579</v>
      </c>
      <c r="G264" s="1254" t="s">
        <v>41</v>
      </c>
      <c r="H264" s="1254" t="s">
        <v>411</v>
      </c>
      <c r="I264" s="1258" t="s">
        <v>11691</v>
      </c>
      <c r="J264" s="1259"/>
      <c r="K264" s="1257">
        <v>1776000.0</v>
      </c>
    </row>
    <row r="265">
      <c r="A265" s="1253" t="s">
        <v>15885</v>
      </c>
      <c r="B265" s="1254" t="s">
        <v>2939</v>
      </c>
      <c r="C265" s="1255" t="s">
        <v>2939</v>
      </c>
      <c r="D265" s="1255" t="s">
        <v>413</v>
      </c>
      <c r="E265" s="1255" t="s">
        <v>11578</v>
      </c>
      <c r="F265" s="1255" t="s">
        <v>11591</v>
      </c>
      <c r="G265" s="1254" t="s">
        <v>128</v>
      </c>
      <c r="H265" s="1254" t="s">
        <v>411</v>
      </c>
      <c r="I265" s="1259"/>
      <c r="J265" s="1259"/>
      <c r="K265" s="1257">
        <v>386000.0</v>
      </c>
    </row>
    <row r="266">
      <c r="A266" s="1253" t="s">
        <v>15886</v>
      </c>
      <c r="B266" s="1254" t="s">
        <v>2939</v>
      </c>
      <c r="C266" s="1255" t="s">
        <v>2939</v>
      </c>
      <c r="D266" s="1255" t="s">
        <v>414</v>
      </c>
      <c r="E266" s="1255" t="s">
        <v>11578</v>
      </c>
      <c r="F266" s="1255" t="s">
        <v>11591</v>
      </c>
      <c r="G266" s="1254" t="s">
        <v>130</v>
      </c>
      <c r="H266" s="1254" t="s">
        <v>411</v>
      </c>
      <c r="I266" s="1259"/>
      <c r="J266" s="1259"/>
      <c r="K266" s="1257">
        <v>386000.0</v>
      </c>
    </row>
    <row r="267">
      <c r="A267" s="1253" t="s">
        <v>15887</v>
      </c>
      <c r="B267" s="1254" t="s">
        <v>2939</v>
      </c>
      <c r="C267" s="1255" t="s">
        <v>2939</v>
      </c>
      <c r="D267" s="1255" t="s">
        <v>415</v>
      </c>
      <c r="E267" s="1255" t="s">
        <v>11578</v>
      </c>
      <c r="F267" s="1255" t="s">
        <v>11591</v>
      </c>
      <c r="G267" s="1254" t="s">
        <v>387</v>
      </c>
      <c r="H267" s="1254" t="s">
        <v>411</v>
      </c>
      <c r="I267" s="1259"/>
      <c r="J267" s="1259"/>
      <c r="K267" s="1257">
        <v>248000.0</v>
      </c>
    </row>
    <row r="268">
      <c r="A268" s="1253" t="s">
        <v>15888</v>
      </c>
      <c r="B268" s="1254" t="s">
        <v>2939</v>
      </c>
      <c r="C268" s="1255" t="s">
        <v>2939</v>
      </c>
      <c r="D268" s="1255" t="s">
        <v>416</v>
      </c>
      <c r="E268" s="1255" t="s">
        <v>11578</v>
      </c>
      <c r="F268" s="1255" t="s">
        <v>11591</v>
      </c>
      <c r="G268" s="1254" t="s">
        <v>389</v>
      </c>
      <c r="H268" s="1254" t="s">
        <v>411</v>
      </c>
      <c r="I268" s="1259"/>
      <c r="J268" s="1259"/>
      <c r="K268" s="1257">
        <v>248000.0</v>
      </c>
    </row>
    <row r="269">
      <c r="A269" s="1253" t="s">
        <v>15889</v>
      </c>
      <c r="B269" s="1254" t="s">
        <v>15890</v>
      </c>
      <c r="C269" s="1255" t="s">
        <v>2939</v>
      </c>
      <c r="D269" s="1255" t="s">
        <v>417</v>
      </c>
      <c r="E269" s="1255" t="s">
        <v>11578</v>
      </c>
      <c r="F269" s="1255" t="s">
        <v>11591</v>
      </c>
      <c r="G269" s="1254" t="s">
        <v>202</v>
      </c>
      <c r="H269" s="1254" t="s">
        <v>411</v>
      </c>
      <c r="I269" s="1258" t="s">
        <v>97</v>
      </c>
      <c r="J269" s="1259"/>
      <c r="K269" s="1257">
        <v>940000.0</v>
      </c>
    </row>
    <row r="270">
      <c r="A270" s="1253" t="s">
        <v>15891</v>
      </c>
      <c r="B270" s="1254" t="s">
        <v>15892</v>
      </c>
      <c r="C270" s="1255" t="s">
        <v>2939</v>
      </c>
      <c r="D270" s="1255" t="s">
        <v>418</v>
      </c>
      <c r="E270" s="1255" t="s">
        <v>11578</v>
      </c>
      <c r="F270" s="1255" t="s">
        <v>11591</v>
      </c>
      <c r="G270" s="1254" t="s">
        <v>236</v>
      </c>
      <c r="H270" s="1254" t="s">
        <v>411</v>
      </c>
      <c r="I270" s="1258" t="s">
        <v>97</v>
      </c>
      <c r="J270" s="1259"/>
      <c r="K270" s="1257">
        <v>940000.0</v>
      </c>
    </row>
    <row r="271">
      <c r="A271" s="1253" t="s">
        <v>15893</v>
      </c>
      <c r="B271" s="1254" t="s">
        <v>15894</v>
      </c>
      <c r="C271" s="1255" t="s">
        <v>2939</v>
      </c>
      <c r="D271" s="1255" t="s">
        <v>1864</v>
      </c>
      <c r="E271" s="1255" t="s">
        <v>11576</v>
      </c>
      <c r="F271" s="1255" t="s">
        <v>11570</v>
      </c>
      <c r="G271" s="1254" t="s">
        <v>22</v>
      </c>
      <c r="H271" s="1254" t="s">
        <v>1865</v>
      </c>
      <c r="I271" s="1258" t="s">
        <v>125</v>
      </c>
      <c r="J271" s="1259"/>
      <c r="K271" s="1257">
        <v>1482000.0</v>
      </c>
    </row>
    <row r="272">
      <c r="A272" s="1253" t="s">
        <v>15895</v>
      </c>
      <c r="B272" s="1254" t="s">
        <v>15896</v>
      </c>
      <c r="C272" s="1255" t="s">
        <v>2939</v>
      </c>
      <c r="D272" s="1255" t="s">
        <v>420</v>
      </c>
      <c r="E272" s="1255" t="s">
        <v>11576</v>
      </c>
      <c r="F272" s="1255" t="s">
        <v>11570</v>
      </c>
      <c r="G272" s="1254" t="s">
        <v>22</v>
      </c>
      <c r="H272" s="1254" t="s">
        <v>421</v>
      </c>
      <c r="I272" s="1258" t="s">
        <v>125</v>
      </c>
      <c r="J272" s="1259"/>
      <c r="K272" s="1257">
        <v>1482000.0</v>
      </c>
    </row>
    <row r="273">
      <c r="A273" s="1253" t="s">
        <v>15897</v>
      </c>
      <c r="B273" s="1254" t="s">
        <v>15898</v>
      </c>
      <c r="C273" s="1255" t="s">
        <v>2939</v>
      </c>
      <c r="D273" s="1255" t="s">
        <v>422</v>
      </c>
      <c r="E273" s="1255" t="s">
        <v>11576</v>
      </c>
      <c r="F273" s="1255" t="s">
        <v>11579</v>
      </c>
      <c r="G273" s="1254" t="s">
        <v>41</v>
      </c>
      <c r="H273" s="1254" t="s">
        <v>423</v>
      </c>
      <c r="I273" s="1258" t="s">
        <v>11641</v>
      </c>
      <c r="J273" s="1259"/>
      <c r="K273" s="1257">
        <v>1735000.0</v>
      </c>
    </row>
    <row r="274">
      <c r="A274" s="1253" t="s">
        <v>15899</v>
      </c>
      <c r="B274" s="1254" t="s">
        <v>2939</v>
      </c>
      <c r="C274" s="1255" t="s">
        <v>2939</v>
      </c>
      <c r="D274" s="1255" t="s">
        <v>424</v>
      </c>
      <c r="E274" s="1255" t="s">
        <v>11578</v>
      </c>
      <c r="F274" s="1255" t="s">
        <v>11591</v>
      </c>
      <c r="G274" s="1254" t="s">
        <v>132</v>
      </c>
      <c r="H274" s="1254" t="s">
        <v>423</v>
      </c>
      <c r="I274" s="1259"/>
      <c r="J274" s="1259"/>
      <c r="K274" s="1257">
        <v>313000.0</v>
      </c>
    </row>
    <row r="275">
      <c r="A275" s="1253" t="s">
        <v>15900</v>
      </c>
      <c r="B275" s="1254" t="s">
        <v>2939</v>
      </c>
      <c r="C275" s="1255" t="s">
        <v>2939</v>
      </c>
      <c r="D275" s="1255" t="s">
        <v>425</v>
      </c>
      <c r="E275" s="1255" t="s">
        <v>11578</v>
      </c>
      <c r="F275" s="1255" t="s">
        <v>11591</v>
      </c>
      <c r="G275" s="1254" t="s">
        <v>134</v>
      </c>
      <c r="H275" s="1254" t="s">
        <v>423</v>
      </c>
      <c r="I275" s="1259"/>
      <c r="J275" s="1259"/>
      <c r="K275" s="1257">
        <v>313000.0</v>
      </c>
    </row>
    <row r="276">
      <c r="A276" s="1253" t="s">
        <v>15901</v>
      </c>
      <c r="B276" s="1254" t="s">
        <v>15902</v>
      </c>
      <c r="C276" s="1255" t="s">
        <v>2939</v>
      </c>
      <c r="D276" s="1255" t="s">
        <v>426</v>
      </c>
      <c r="E276" s="1255" t="s">
        <v>11576</v>
      </c>
      <c r="F276" s="1255" t="s">
        <v>11591</v>
      </c>
      <c r="G276" s="1254" t="s">
        <v>202</v>
      </c>
      <c r="H276" s="1254" t="s">
        <v>423</v>
      </c>
      <c r="I276" s="1258" t="s">
        <v>97</v>
      </c>
      <c r="J276" s="1259"/>
      <c r="K276" s="1257">
        <v>940000.0</v>
      </c>
    </row>
    <row r="277">
      <c r="A277" s="1253" t="s">
        <v>15903</v>
      </c>
      <c r="B277" s="1254" t="s">
        <v>15904</v>
      </c>
      <c r="C277" s="1255" t="s">
        <v>2939</v>
      </c>
      <c r="D277" s="1255" t="s">
        <v>427</v>
      </c>
      <c r="E277" s="1255" t="s">
        <v>11576</v>
      </c>
      <c r="F277" s="1255" t="s">
        <v>11591</v>
      </c>
      <c r="G277" s="1254" t="s">
        <v>236</v>
      </c>
      <c r="H277" s="1254" t="s">
        <v>423</v>
      </c>
      <c r="I277" s="1258" t="s">
        <v>97</v>
      </c>
      <c r="J277" s="1259"/>
      <c r="K277" s="1257">
        <v>940000.0</v>
      </c>
    </row>
    <row r="278">
      <c r="A278" s="1253" t="s">
        <v>15905</v>
      </c>
      <c r="B278" s="1254" t="s">
        <v>15906</v>
      </c>
      <c r="C278" s="1255" t="s">
        <v>15907</v>
      </c>
      <c r="D278" s="1255" t="s">
        <v>428</v>
      </c>
      <c r="E278" s="1255" t="s">
        <v>11630</v>
      </c>
      <c r="F278" s="1255" t="s">
        <v>11570</v>
      </c>
      <c r="G278" s="1254" t="s">
        <v>22</v>
      </c>
      <c r="H278" s="1254" t="s">
        <v>429</v>
      </c>
      <c r="I278" s="1258" t="s">
        <v>125</v>
      </c>
      <c r="J278" s="1259"/>
      <c r="K278" s="1257">
        <v>1502000.0</v>
      </c>
    </row>
    <row r="279">
      <c r="A279" s="1253" t="s">
        <v>15908</v>
      </c>
      <c r="B279" s="1254" t="s">
        <v>15909</v>
      </c>
      <c r="C279" s="1255" t="s">
        <v>2939</v>
      </c>
      <c r="D279" s="1255" t="s">
        <v>430</v>
      </c>
      <c r="E279" s="1255" t="s">
        <v>11576</v>
      </c>
      <c r="F279" s="1255" t="s">
        <v>11579</v>
      </c>
      <c r="G279" s="1254" t="s">
        <v>41</v>
      </c>
      <c r="H279" s="1254" t="s">
        <v>429</v>
      </c>
      <c r="I279" s="1258" t="s">
        <v>11705</v>
      </c>
      <c r="J279" s="1266">
        <v>595000.0</v>
      </c>
      <c r="K279" s="1257">
        <v>1119000.0</v>
      </c>
    </row>
    <row r="280">
      <c r="A280" s="1253" t="s">
        <v>15910</v>
      </c>
      <c r="B280" s="1254" t="s">
        <v>15911</v>
      </c>
      <c r="C280" s="1255" t="s">
        <v>2939</v>
      </c>
      <c r="D280" s="1255" t="s">
        <v>432</v>
      </c>
      <c r="E280" s="1255" t="s">
        <v>11576</v>
      </c>
      <c r="F280" s="1255" t="s">
        <v>11591</v>
      </c>
      <c r="G280" s="1254" t="s">
        <v>202</v>
      </c>
      <c r="H280" s="1254" t="s">
        <v>429</v>
      </c>
      <c r="I280" s="1258" t="s">
        <v>97</v>
      </c>
      <c r="J280" s="1259"/>
      <c r="K280" s="1257">
        <v>407000.0</v>
      </c>
    </row>
    <row r="281">
      <c r="A281" s="1253" t="s">
        <v>15912</v>
      </c>
      <c r="B281" s="1254" t="s">
        <v>15913</v>
      </c>
      <c r="C281" s="1255" t="s">
        <v>2939</v>
      </c>
      <c r="D281" s="1255" t="s">
        <v>433</v>
      </c>
      <c r="E281" s="1255" t="s">
        <v>11576</v>
      </c>
      <c r="F281" s="1255" t="s">
        <v>11591</v>
      </c>
      <c r="G281" s="1254" t="s">
        <v>236</v>
      </c>
      <c r="H281" s="1254" t="s">
        <v>429</v>
      </c>
      <c r="I281" s="1258" t="s">
        <v>97</v>
      </c>
      <c r="J281" s="1259"/>
      <c r="K281" s="1257">
        <v>407000.0</v>
      </c>
    </row>
    <row r="282">
      <c r="A282" s="1253" t="s">
        <v>15914</v>
      </c>
      <c r="B282" s="1254" t="s">
        <v>15915</v>
      </c>
      <c r="C282" s="1255" t="s">
        <v>15916</v>
      </c>
      <c r="D282" s="1255" t="s">
        <v>434</v>
      </c>
      <c r="E282" s="1255" t="s">
        <v>11630</v>
      </c>
      <c r="F282" s="1255" t="s">
        <v>11570</v>
      </c>
      <c r="G282" s="1254" t="s">
        <v>22</v>
      </c>
      <c r="H282" s="1254" t="s">
        <v>69</v>
      </c>
      <c r="I282" s="1258" t="s">
        <v>125</v>
      </c>
      <c r="J282" s="1259"/>
      <c r="K282" s="1257">
        <v>1599000.0</v>
      </c>
    </row>
    <row r="283">
      <c r="A283" s="1253" t="s">
        <v>15917</v>
      </c>
      <c r="B283" s="1254" t="s">
        <v>15918</v>
      </c>
      <c r="C283" s="1255" t="s">
        <v>2939</v>
      </c>
      <c r="D283" s="1255" t="s">
        <v>435</v>
      </c>
      <c r="E283" s="1255" t="s">
        <v>11576</v>
      </c>
      <c r="F283" s="1255" t="s">
        <v>11579</v>
      </c>
      <c r="G283" s="1254" t="s">
        <v>41</v>
      </c>
      <c r="H283" s="1254" t="s">
        <v>436</v>
      </c>
      <c r="I283" s="1258" t="s">
        <v>1377</v>
      </c>
      <c r="J283" s="1266">
        <v>595000.0</v>
      </c>
      <c r="K283" s="1257">
        <v>1196000.0</v>
      </c>
    </row>
    <row r="284">
      <c r="A284" s="1253" t="s">
        <v>15919</v>
      </c>
      <c r="B284" s="1254" t="s">
        <v>15920</v>
      </c>
      <c r="C284" s="1255" t="s">
        <v>2939</v>
      </c>
      <c r="D284" s="1255" t="s">
        <v>437</v>
      </c>
      <c r="E284" s="1255" t="s">
        <v>11576</v>
      </c>
      <c r="F284" s="1255" t="s">
        <v>11579</v>
      </c>
      <c r="G284" s="1254" t="s">
        <v>41</v>
      </c>
      <c r="H284" s="1254" t="s">
        <v>438</v>
      </c>
      <c r="I284" s="1258" t="s">
        <v>2301</v>
      </c>
      <c r="J284" s="1266">
        <v>595000.0</v>
      </c>
      <c r="K284" s="1257">
        <v>1196000.0</v>
      </c>
    </row>
    <row r="285">
      <c r="A285" s="1253" t="s">
        <v>15921</v>
      </c>
      <c r="B285" s="1254" t="s">
        <v>2939</v>
      </c>
      <c r="C285" s="1255" t="s">
        <v>2939</v>
      </c>
      <c r="D285" s="1255" t="s">
        <v>440</v>
      </c>
      <c r="E285" s="1255" t="s">
        <v>11578</v>
      </c>
      <c r="F285" s="1255" t="s">
        <v>11591</v>
      </c>
      <c r="G285" s="1254" t="s">
        <v>128</v>
      </c>
      <c r="H285" s="1254" t="s">
        <v>69</v>
      </c>
      <c r="I285" s="1259"/>
      <c r="J285" s="1259"/>
      <c r="K285" s="1257">
        <v>309000.0</v>
      </c>
    </row>
    <row r="286">
      <c r="A286" s="1253" t="s">
        <v>15922</v>
      </c>
      <c r="B286" s="1254" t="s">
        <v>2939</v>
      </c>
      <c r="C286" s="1255" t="s">
        <v>2939</v>
      </c>
      <c r="D286" s="1255" t="s">
        <v>441</v>
      </c>
      <c r="E286" s="1255" t="s">
        <v>11578</v>
      </c>
      <c r="F286" s="1255" t="s">
        <v>11591</v>
      </c>
      <c r="G286" s="1254" t="s">
        <v>130</v>
      </c>
      <c r="H286" s="1254" t="s">
        <v>69</v>
      </c>
      <c r="I286" s="1259"/>
      <c r="J286" s="1259"/>
      <c r="K286" s="1257">
        <v>309000.0</v>
      </c>
    </row>
    <row r="287">
      <c r="A287" s="1253" t="s">
        <v>15923</v>
      </c>
      <c r="B287" s="1254" t="s">
        <v>2939</v>
      </c>
      <c r="C287" s="1255" t="s">
        <v>2939</v>
      </c>
      <c r="D287" s="1255" t="s">
        <v>442</v>
      </c>
      <c r="E287" s="1255" t="s">
        <v>11578</v>
      </c>
      <c r="F287" s="1255" t="s">
        <v>11591</v>
      </c>
      <c r="G287" s="1254" t="s">
        <v>132</v>
      </c>
      <c r="H287" s="1254" t="s">
        <v>69</v>
      </c>
      <c r="I287" s="1259"/>
      <c r="J287" s="1259"/>
      <c r="K287" s="1257">
        <v>378000.0</v>
      </c>
    </row>
    <row r="288">
      <c r="A288" s="1253" t="s">
        <v>15924</v>
      </c>
      <c r="B288" s="1254" t="s">
        <v>2939</v>
      </c>
      <c r="C288" s="1255" t="s">
        <v>2939</v>
      </c>
      <c r="D288" s="1255" t="s">
        <v>68</v>
      </c>
      <c r="E288" s="1255" t="s">
        <v>11578</v>
      </c>
      <c r="F288" s="1255" t="s">
        <v>11591</v>
      </c>
      <c r="G288" s="1254" t="s">
        <v>134</v>
      </c>
      <c r="H288" s="1254" t="s">
        <v>69</v>
      </c>
      <c r="I288" s="1259"/>
      <c r="J288" s="1259"/>
      <c r="K288" s="1257">
        <v>378000.0</v>
      </c>
    </row>
    <row r="289">
      <c r="A289" s="1253" t="s">
        <v>2939</v>
      </c>
      <c r="B289" s="1254" t="s">
        <v>15925</v>
      </c>
      <c r="C289" s="1255" t="s">
        <v>2939</v>
      </c>
      <c r="D289" s="1255" t="s">
        <v>1461</v>
      </c>
      <c r="E289" s="1255" t="s">
        <v>11569</v>
      </c>
      <c r="F289" s="1260" t="s">
        <v>11570</v>
      </c>
      <c r="G289" s="1254" t="s">
        <v>22</v>
      </c>
      <c r="H289" s="1254" t="s">
        <v>2357</v>
      </c>
      <c r="I289" s="1258" t="s">
        <v>75</v>
      </c>
      <c r="J289" s="1259"/>
      <c r="K289" s="1257">
        <v>2500000.0</v>
      </c>
    </row>
    <row r="290">
      <c r="A290" s="1253" t="s">
        <v>15926</v>
      </c>
      <c r="B290" s="1254" t="s">
        <v>15927</v>
      </c>
      <c r="C290" s="1255" t="s">
        <v>2939</v>
      </c>
      <c r="D290" s="1255" t="s">
        <v>443</v>
      </c>
      <c r="E290" s="1255" t="s">
        <v>11576</v>
      </c>
      <c r="F290" s="1255" t="s">
        <v>11570</v>
      </c>
      <c r="G290" s="1254" t="s">
        <v>22</v>
      </c>
      <c r="H290" s="1254" t="s">
        <v>2357</v>
      </c>
      <c r="I290" s="1258" t="s">
        <v>125</v>
      </c>
      <c r="J290" s="1259"/>
      <c r="K290" s="1257">
        <v>1552000.0</v>
      </c>
    </row>
    <row r="291">
      <c r="A291" s="1253" t="s">
        <v>15928</v>
      </c>
      <c r="B291" s="1254" t="s">
        <v>15929</v>
      </c>
      <c r="C291" s="1255" t="s">
        <v>2939</v>
      </c>
      <c r="D291" s="1255" t="s">
        <v>445</v>
      </c>
      <c r="E291" s="1255" t="s">
        <v>11576</v>
      </c>
      <c r="F291" s="1255" t="s">
        <v>11579</v>
      </c>
      <c r="G291" s="1254" t="s">
        <v>41</v>
      </c>
      <c r="H291" s="1254" t="s">
        <v>2357</v>
      </c>
      <c r="I291" s="1258" t="s">
        <v>2301</v>
      </c>
      <c r="J291" s="1259"/>
      <c r="K291" s="1257">
        <v>1037000.0</v>
      </c>
    </row>
    <row r="292">
      <c r="A292" s="1253" t="s">
        <v>2939</v>
      </c>
      <c r="B292" s="1254" t="s">
        <v>15930</v>
      </c>
      <c r="C292" s="1255" t="s">
        <v>2939</v>
      </c>
      <c r="D292" s="1255" t="s">
        <v>11709</v>
      </c>
      <c r="E292" s="1255" t="s">
        <v>11569</v>
      </c>
      <c r="F292" s="1260" t="s">
        <v>11570</v>
      </c>
      <c r="G292" s="1258" t="s">
        <v>22</v>
      </c>
      <c r="H292" s="1258" t="s">
        <v>11710</v>
      </c>
      <c r="I292" s="1258" t="s">
        <v>75</v>
      </c>
      <c r="J292" s="1259"/>
      <c r="K292" s="1257">
        <v>2600000.0</v>
      </c>
    </row>
    <row r="293">
      <c r="A293" s="1253" t="s">
        <v>15931</v>
      </c>
      <c r="B293" s="1254" t="s">
        <v>15932</v>
      </c>
      <c r="C293" s="1255" t="s">
        <v>2939</v>
      </c>
      <c r="D293" s="1255" t="s">
        <v>446</v>
      </c>
      <c r="E293" s="1255" t="s">
        <v>11576</v>
      </c>
      <c r="F293" s="1255" t="s">
        <v>11570</v>
      </c>
      <c r="G293" s="1254" t="s">
        <v>22</v>
      </c>
      <c r="H293" s="1254" t="s">
        <v>447</v>
      </c>
      <c r="I293" s="1258" t="s">
        <v>75</v>
      </c>
      <c r="J293" s="1259"/>
      <c r="K293" s="1257">
        <v>5263000.0</v>
      </c>
    </row>
    <row r="294">
      <c r="A294" s="1253" t="s">
        <v>15933</v>
      </c>
      <c r="B294" s="1254" t="s">
        <v>15934</v>
      </c>
      <c r="C294" s="1255" t="s">
        <v>2939</v>
      </c>
      <c r="D294" s="1255" t="s">
        <v>448</v>
      </c>
      <c r="E294" s="1255" t="s">
        <v>11576</v>
      </c>
      <c r="F294" s="1255" t="s">
        <v>11570</v>
      </c>
      <c r="G294" s="1254" t="s">
        <v>22</v>
      </c>
      <c r="H294" s="1254" t="s">
        <v>449</v>
      </c>
      <c r="I294" s="1258" t="s">
        <v>125</v>
      </c>
      <c r="J294" s="1259"/>
      <c r="K294" s="1257">
        <v>5880000.0</v>
      </c>
    </row>
    <row r="295">
      <c r="A295" s="1253" t="s">
        <v>15935</v>
      </c>
      <c r="B295" s="1254" t="s">
        <v>15936</v>
      </c>
      <c r="C295" s="1255" t="s">
        <v>2939</v>
      </c>
      <c r="D295" s="1255" t="s">
        <v>450</v>
      </c>
      <c r="E295" s="1255" t="s">
        <v>11576</v>
      </c>
      <c r="F295" s="1255" t="s">
        <v>11579</v>
      </c>
      <c r="G295" s="1254" t="s">
        <v>41</v>
      </c>
      <c r="H295" s="1254" t="s">
        <v>451</v>
      </c>
      <c r="I295" s="1258" t="s">
        <v>1377</v>
      </c>
      <c r="J295" s="1259"/>
      <c r="K295" s="1257">
        <v>4175000.0</v>
      </c>
    </row>
    <row r="296">
      <c r="A296" s="1253" t="s">
        <v>15937</v>
      </c>
      <c r="B296" s="1254" t="s">
        <v>15938</v>
      </c>
      <c r="C296" s="1255" t="s">
        <v>2939</v>
      </c>
      <c r="D296" s="1255" t="s">
        <v>452</v>
      </c>
      <c r="E296" s="1255" t="s">
        <v>11576</v>
      </c>
      <c r="F296" s="1255" t="s">
        <v>11579</v>
      </c>
      <c r="G296" s="1254" t="s">
        <v>41</v>
      </c>
      <c r="H296" s="1254" t="s">
        <v>453</v>
      </c>
      <c r="I296" s="1258" t="s">
        <v>2301</v>
      </c>
      <c r="J296" s="1259"/>
      <c r="K296" s="1257">
        <v>4497000.0</v>
      </c>
    </row>
    <row r="297">
      <c r="A297" s="1253" t="s">
        <v>15939</v>
      </c>
      <c r="B297" s="1254" t="s">
        <v>15940</v>
      </c>
      <c r="C297" s="1255" t="s">
        <v>15941</v>
      </c>
      <c r="D297" s="1255" t="s">
        <v>454</v>
      </c>
      <c r="E297" s="1255" t="s">
        <v>11630</v>
      </c>
      <c r="F297" s="1255" t="s">
        <v>11570</v>
      </c>
      <c r="G297" s="1254" t="s">
        <v>22</v>
      </c>
      <c r="H297" s="1254" t="s">
        <v>455</v>
      </c>
      <c r="I297" s="1258" t="s">
        <v>125</v>
      </c>
      <c r="J297" s="1259"/>
      <c r="K297" s="1257">
        <v>1418000.0</v>
      </c>
    </row>
    <row r="298">
      <c r="A298" s="1253" t="s">
        <v>15942</v>
      </c>
      <c r="B298" s="1254" t="s">
        <v>15943</v>
      </c>
      <c r="C298" s="1255" t="s">
        <v>2939</v>
      </c>
      <c r="D298" s="1255" t="s">
        <v>456</v>
      </c>
      <c r="E298" s="1255" t="s">
        <v>11576</v>
      </c>
      <c r="F298" s="1255" t="s">
        <v>11579</v>
      </c>
      <c r="G298" s="1254" t="s">
        <v>41</v>
      </c>
      <c r="H298" s="1254" t="s">
        <v>455</v>
      </c>
      <c r="I298" s="1258" t="s">
        <v>2193</v>
      </c>
      <c r="J298" s="1266">
        <v>637000.0</v>
      </c>
      <c r="K298" s="1257">
        <v>1196000.0</v>
      </c>
    </row>
    <row r="299">
      <c r="A299" s="1253" t="s">
        <v>15944</v>
      </c>
      <c r="B299" s="1254" t="s">
        <v>2939</v>
      </c>
      <c r="C299" s="1255" t="s">
        <v>2939</v>
      </c>
      <c r="D299" s="1255" t="s">
        <v>457</v>
      </c>
      <c r="E299" s="1255" t="s">
        <v>11578</v>
      </c>
      <c r="F299" s="1255" t="s">
        <v>11591</v>
      </c>
      <c r="G299" s="1254" t="s">
        <v>202</v>
      </c>
      <c r="H299" s="1254" t="s">
        <v>455</v>
      </c>
      <c r="I299" s="1258" t="s">
        <v>97</v>
      </c>
      <c r="J299" s="1259"/>
      <c r="K299" s="1257">
        <v>363000.0</v>
      </c>
    </row>
    <row r="300">
      <c r="A300" s="1253" t="s">
        <v>15945</v>
      </c>
      <c r="B300" s="1254" t="s">
        <v>2939</v>
      </c>
      <c r="C300" s="1255" t="s">
        <v>2939</v>
      </c>
      <c r="D300" s="1255" t="s">
        <v>458</v>
      </c>
      <c r="E300" s="1255" t="s">
        <v>11578</v>
      </c>
      <c r="F300" s="1255" t="s">
        <v>11591</v>
      </c>
      <c r="G300" s="1254" t="s">
        <v>236</v>
      </c>
      <c r="H300" s="1254" t="s">
        <v>455</v>
      </c>
      <c r="I300" s="1258" t="s">
        <v>97</v>
      </c>
      <c r="J300" s="1259"/>
      <c r="K300" s="1257">
        <v>378000.0</v>
      </c>
    </row>
    <row r="301">
      <c r="A301" s="1253" t="s">
        <v>15946</v>
      </c>
      <c r="B301" s="1254" t="s">
        <v>15947</v>
      </c>
      <c r="C301" s="1255" t="s">
        <v>2939</v>
      </c>
      <c r="D301" s="1255" t="s">
        <v>11712</v>
      </c>
      <c r="E301" s="1255" t="s">
        <v>11576</v>
      </c>
      <c r="F301" s="1255" t="s">
        <v>11570</v>
      </c>
      <c r="G301" s="1254" t="s">
        <v>22</v>
      </c>
      <c r="H301" s="1254" t="s">
        <v>460</v>
      </c>
      <c r="I301" s="1258" t="s">
        <v>125</v>
      </c>
      <c r="J301" s="1259"/>
      <c r="K301" s="1257">
        <v>1606000.0</v>
      </c>
    </row>
    <row r="302">
      <c r="A302" s="1253" t="s">
        <v>15948</v>
      </c>
      <c r="B302" s="1254" t="s">
        <v>15949</v>
      </c>
      <c r="C302" s="1255" t="s">
        <v>2939</v>
      </c>
      <c r="D302" s="1255" t="s">
        <v>11713</v>
      </c>
      <c r="E302" s="1255" t="s">
        <v>11576</v>
      </c>
      <c r="F302" s="1255" t="s">
        <v>11579</v>
      </c>
      <c r="G302" s="1254" t="s">
        <v>41</v>
      </c>
      <c r="H302" s="1254" t="s">
        <v>460</v>
      </c>
      <c r="I302" s="1258" t="s">
        <v>1377</v>
      </c>
      <c r="J302" s="1266">
        <v>510000.0</v>
      </c>
      <c r="K302" s="1257">
        <v>965000.0</v>
      </c>
    </row>
    <row r="303">
      <c r="A303" s="1253" t="s">
        <v>2939</v>
      </c>
      <c r="B303" s="1254" t="s">
        <v>15950</v>
      </c>
      <c r="C303" s="1255" t="s">
        <v>2939</v>
      </c>
      <c r="D303" s="1255" t="s">
        <v>1330</v>
      </c>
      <c r="E303" s="1255" t="s">
        <v>11569</v>
      </c>
      <c r="F303" s="1260" t="s">
        <v>11570</v>
      </c>
      <c r="G303" s="1254" t="s">
        <v>22</v>
      </c>
      <c r="H303" s="1254" t="s">
        <v>1474</v>
      </c>
      <c r="I303" s="1258" t="s">
        <v>75</v>
      </c>
      <c r="J303" s="1259"/>
      <c r="K303" s="1257">
        <v>1875000.0</v>
      </c>
    </row>
    <row r="304">
      <c r="A304" s="1253" t="s">
        <v>15951</v>
      </c>
      <c r="B304" s="1254" t="s">
        <v>15952</v>
      </c>
      <c r="C304" s="1255" t="s">
        <v>15953</v>
      </c>
      <c r="D304" s="1255" t="s">
        <v>462</v>
      </c>
      <c r="E304" s="1255" t="s">
        <v>11630</v>
      </c>
      <c r="F304" s="1255" t="s">
        <v>11570</v>
      </c>
      <c r="G304" s="1254" t="s">
        <v>22</v>
      </c>
      <c r="H304" s="1254" t="s">
        <v>463</v>
      </c>
      <c r="I304" s="1258" t="s">
        <v>97</v>
      </c>
      <c r="J304" s="1259"/>
      <c r="K304" s="1257">
        <v>1224000.0</v>
      </c>
    </row>
    <row r="305">
      <c r="A305" s="1253" t="s">
        <v>15954</v>
      </c>
      <c r="B305" s="1254" t="s">
        <v>15955</v>
      </c>
      <c r="C305" s="1255" t="s">
        <v>2939</v>
      </c>
      <c r="D305" s="1255" t="s">
        <v>464</v>
      </c>
      <c r="E305" s="1255" t="s">
        <v>11576</v>
      </c>
      <c r="F305" s="1255" t="s">
        <v>11579</v>
      </c>
      <c r="G305" s="1254" t="s">
        <v>41</v>
      </c>
      <c r="H305" s="1254" t="s">
        <v>463</v>
      </c>
      <c r="I305" s="1258" t="s">
        <v>1377</v>
      </c>
      <c r="J305" s="1266">
        <v>504000.0</v>
      </c>
      <c r="K305" s="1257">
        <v>1003000.0</v>
      </c>
    </row>
    <row r="306">
      <c r="A306" s="1253" t="s">
        <v>15956</v>
      </c>
      <c r="B306" s="1254" t="s">
        <v>2939</v>
      </c>
      <c r="C306" s="1255" t="s">
        <v>2939</v>
      </c>
      <c r="D306" s="1255" t="s">
        <v>465</v>
      </c>
      <c r="E306" s="1255" t="s">
        <v>11578</v>
      </c>
      <c r="F306" s="1255" t="s">
        <v>11591</v>
      </c>
      <c r="G306" s="1254" t="s">
        <v>128</v>
      </c>
      <c r="H306" s="1254" t="s">
        <v>463</v>
      </c>
      <c r="I306" s="1258" t="s">
        <v>466</v>
      </c>
      <c r="J306" s="1259"/>
      <c r="K306" s="1257">
        <v>393000.0</v>
      </c>
    </row>
    <row r="307">
      <c r="A307" s="1253" t="s">
        <v>15957</v>
      </c>
      <c r="B307" s="1254" t="s">
        <v>2939</v>
      </c>
      <c r="C307" s="1255" t="s">
        <v>2939</v>
      </c>
      <c r="D307" s="1255" t="s">
        <v>467</v>
      </c>
      <c r="E307" s="1255" t="s">
        <v>11578</v>
      </c>
      <c r="F307" s="1255" t="s">
        <v>11591</v>
      </c>
      <c r="G307" s="1254" t="s">
        <v>400</v>
      </c>
      <c r="H307" s="1254" t="s">
        <v>463</v>
      </c>
      <c r="I307" s="1258" t="s">
        <v>97</v>
      </c>
      <c r="J307" s="1259"/>
      <c r="K307" s="1257">
        <v>154000.0</v>
      </c>
    </row>
    <row r="308">
      <c r="A308" s="1253" t="s">
        <v>15958</v>
      </c>
      <c r="B308" s="1254" t="s">
        <v>2939</v>
      </c>
      <c r="C308" s="1255" t="s">
        <v>2939</v>
      </c>
      <c r="D308" s="1255" t="s">
        <v>468</v>
      </c>
      <c r="E308" s="1255" t="s">
        <v>11578</v>
      </c>
      <c r="F308" s="1255" t="s">
        <v>11591</v>
      </c>
      <c r="G308" s="1254" t="s">
        <v>132</v>
      </c>
      <c r="H308" s="1254" t="s">
        <v>463</v>
      </c>
      <c r="I308" s="1258" t="s">
        <v>466</v>
      </c>
      <c r="J308" s="1259"/>
      <c r="K308" s="1257">
        <v>305000.0</v>
      </c>
    </row>
    <row r="309">
      <c r="A309" s="1253" t="s">
        <v>15959</v>
      </c>
      <c r="B309" s="1254" t="s">
        <v>2939</v>
      </c>
      <c r="C309" s="1255" t="s">
        <v>2939</v>
      </c>
      <c r="D309" s="1255" t="s">
        <v>469</v>
      </c>
      <c r="E309" s="1255" t="s">
        <v>11578</v>
      </c>
      <c r="F309" s="1255" t="s">
        <v>11591</v>
      </c>
      <c r="G309" s="1254" t="s">
        <v>134</v>
      </c>
      <c r="H309" s="1254" t="s">
        <v>463</v>
      </c>
      <c r="I309" s="1258" t="s">
        <v>466</v>
      </c>
      <c r="J309" s="1259"/>
      <c r="K309" s="1257">
        <v>305000.0</v>
      </c>
    </row>
    <row r="310">
      <c r="A310" s="1253" t="s">
        <v>15960</v>
      </c>
      <c r="B310" s="1254" t="s">
        <v>15961</v>
      </c>
      <c r="C310" s="1255" t="s">
        <v>15962</v>
      </c>
      <c r="D310" s="1255" t="s">
        <v>76</v>
      </c>
      <c r="E310" s="1255" t="s">
        <v>11630</v>
      </c>
      <c r="F310" s="1255" t="s">
        <v>11570</v>
      </c>
      <c r="G310" s="1254" t="s">
        <v>22</v>
      </c>
      <c r="H310" s="1254" t="s">
        <v>470</v>
      </c>
      <c r="I310" s="1258" t="s">
        <v>125</v>
      </c>
      <c r="J310" s="1259"/>
      <c r="K310" s="1257">
        <v>1418000.0</v>
      </c>
    </row>
    <row r="311">
      <c r="A311" s="1253" t="s">
        <v>15963</v>
      </c>
      <c r="B311" s="1254" t="s">
        <v>15964</v>
      </c>
      <c r="C311" s="1255" t="s">
        <v>2939</v>
      </c>
      <c r="D311" s="1255" t="s">
        <v>471</v>
      </c>
      <c r="E311" s="1255" t="s">
        <v>11576</v>
      </c>
      <c r="F311" s="1255" t="s">
        <v>11579</v>
      </c>
      <c r="G311" s="1254" t="s">
        <v>41</v>
      </c>
      <c r="H311" s="1254" t="s">
        <v>470</v>
      </c>
      <c r="I311" s="1258" t="s">
        <v>2193</v>
      </c>
      <c r="J311" s="1266">
        <v>525000.0</v>
      </c>
      <c r="K311" s="1257">
        <v>987000.0</v>
      </c>
    </row>
    <row r="312">
      <c r="A312" s="1253" t="s">
        <v>15965</v>
      </c>
      <c r="B312" s="1254" t="s">
        <v>2939</v>
      </c>
      <c r="C312" s="1255" t="s">
        <v>2939</v>
      </c>
      <c r="D312" s="1255" t="s">
        <v>472</v>
      </c>
      <c r="E312" s="1255" t="s">
        <v>11578</v>
      </c>
      <c r="F312" s="1255" t="s">
        <v>11591</v>
      </c>
      <c r="G312" s="1254" t="s">
        <v>128</v>
      </c>
      <c r="H312" s="1254" t="s">
        <v>470</v>
      </c>
      <c r="I312" s="1259"/>
      <c r="J312" s="1259"/>
      <c r="K312" s="1257">
        <v>322000.0</v>
      </c>
    </row>
    <row r="313">
      <c r="A313" s="1253" t="s">
        <v>15966</v>
      </c>
      <c r="B313" s="1254" t="s">
        <v>2939</v>
      </c>
      <c r="C313" s="1255" t="s">
        <v>2939</v>
      </c>
      <c r="D313" s="1255" t="s">
        <v>473</v>
      </c>
      <c r="E313" s="1255" t="s">
        <v>11578</v>
      </c>
      <c r="F313" s="1255" t="s">
        <v>11591</v>
      </c>
      <c r="G313" s="1254" t="s">
        <v>202</v>
      </c>
      <c r="H313" s="1254" t="s">
        <v>470</v>
      </c>
      <c r="I313" s="1258" t="s">
        <v>97</v>
      </c>
      <c r="J313" s="1259"/>
      <c r="K313" s="1257">
        <v>279000.0</v>
      </c>
    </row>
    <row r="314">
      <c r="A314" s="1253" t="s">
        <v>15967</v>
      </c>
      <c r="B314" s="1254" t="s">
        <v>2939</v>
      </c>
      <c r="C314" s="1255" t="s">
        <v>2939</v>
      </c>
      <c r="D314" s="1255" t="s">
        <v>474</v>
      </c>
      <c r="E314" s="1255" t="s">
        <v>11578</v>
      </c>
      <c r="F314" s="1255" t="s">
        <v>11591</v>
      </c>
      <c r="G314" s="1254" t="s">
        <v>236</v>
      </c>
      <c r="H314" s="1254" t="s">
        <v>470</v>
      </c>
      <c r="I314" s="1258" t="s">
        <v>97</v>
      </c>
      <c r="J314" s="1259"/>
      <c r="K314" s="1257">
        <v>279000.0</v>
      </c>
    </row>
    <row r="315">
      <c r="A315" s="1253" t="s">
        <v>15968</v>
      </c>
      <c r="B315" s="1254" t="s">
        <v>15969</v>
      </c>
      <c r="C315" s="1255" t="s">
        <v>2939</v>
      </c>
      <c r="D315" s="1255" t="s">
        <v>475</v>
      </c>
      <c r="E315" s="1255" t="s">
        <v>11576</v>
      </c>
      <c r="F315" s="1255" t="s">
        <v>11570</v>
      </c>
      <c r="G315" s="1254" t="s">
        <v>22</v>
      </c>
      <c r="H315" s="1254" t="s">
        <v>476</v>
      </c>
      <c r="I315" s="1258" t="s">
        <v>125</v>
      </c>
      <c r="J315" s="1259"/>
      <c r="K315" s="1257">
        <v>1157000.0</v>
      </c>
    </row>
    <row r="316">
      <c r="A316" s="1253" t="s">
        <v>15970</v>
      </c>
      <c r="B316" s="1254" t="s">
        <v>15971</v>
      </c>
      <c r="C316" s="1255" t="s">
        <v>2939</v>
      </c>
      <c r="D316" s="1255" t="s">
        <v>477</v>
      </c>
      <c r="E316" s="1255" t="s">
        <v>11576</v>
      </c>
      <c r="F316" s="1255" t="s">
        <v>11579</v>
      </c>
      <c r="G316" s="1254" t="s">
        <v>41</v>
      </c>
      <c r="H316" s="1254" t="s">
        <v>476</v>
      </c>
      <c r="I316" s="1258" t="s">
        <v>2193</v>
      </c>
      <c r="J316" s="1266">
        <v>536000.0</v>
      </c>
      <c r="K316" s="1257">
        <v>1003000.0</v>
      </c>
    </row>
    <row r="317">
      <c r="A317" s="1253" t="s">
        <v>15972</v>
      </c>
      <c r="B317" s="1254" t="s">
        <v>2939</v>
      </c>
      <c r="C317" s="1255" t="s">
        <v>2939</v>
      </c>
      <c r="D317" s="1255" t="s">
        <v>478</v>
      </c>
      <c r="E317" s="1255" t="s">
        <v>11578</v>
      </c>
      <c r="F317" s="1255" t="s">
        <v>11570</v>
      </c>
      <c r="G317" s="1254" t="s">
        <v>22</v>
      </c>
      <c r="H317" s="1254" t="s">
        <v>479</v>
      </c>
      <c r="I317" s="1258" t="s">
        <v>75</v>
      </c>
      <c r="J317" s="1259"/>
      <c r="K317" s="1257">
        <v>7839000.0</v>
      </c>
    </row>
    <row r="318">
      <c r="A318" s="1253" t="s">
        <v>2939</v>
      </c>
      <c r="B318" s="1254" t="s">
        <v>15973</v>
      </c>
      <c r="C318" s="1255" t="s">
        <v>2939</v>
      </c>
      <c r="D318" s="1255" t="s">
        <v>2333</v>
      </c>
      <c r="E318" s="1255" t="s">
        <v>11569</v>
      </c>
      <c r="F318" s="1255" t="s">
        <v>11579</v>
      </c>
      <c r="G318" s="1254" t="s">
        <v>41</v>
      </c>
      <c r="H318" s="1254" t="s">
        <v>2334</v>
      </c>
      <c r="I318" s="1258" t="s">
        <v>97</v>
      </c>
      <c r="J318" s="1266">
        <v>478000.0</v>
      </c>
      <c r="K318" s="1257">
        <v>901000.0</v>
      </c>
    </row>
    <row r="319">
      <c r="A319" s="1253" t="s">
        <v>2939</v>
      </c>
      <c r="B319" s="1254" t="s">
        <v>15974</v>
      </c>
      <c r="C319" s="1255" t="s">
        <v>2939</v>
      </c>
      <c r="D319" s="1260" t="s">
        <v>11716</v>
      </c>
      <c r="E319" s="1255" t="s">
        <v>11569</v>
      </c>
      <c r="F319" s="1260" t="s">
        <v>11579</v>
      </c>
      <c r="G319" s="1258" t="s">
        <v>41</v>
      </c>
      <c r="H319" s="1258" t="s">
        <v>15975</v>
      </c>
      <c r="I319" s="1258" t="s">
        <v>2193</v>
      </c>
      <c r="J319" s="1259"/>
      <c r="K319" s="1257">
        <v>3200000.0</v>
      </c>
    </row>
    <row r="320">
      <c r="A320" s="1253" t="s">
        <v>15976</v>
      </c>
      <c r="B320" s="1254" t="s">
        <v>15977</v>
      </c>
      <c r="C320" s="1255" t="s">
        <v>2939</v>
      </c>
      <c r="D320" s="1255" t="s">
        <v>480</v>
      </c>
      <c r="E320" s="1255" t="s">
        <v>11576</v>
      </c>
      <c r="F320" s="1255" t="s">
        <v>11570</v>
      </c>
      <c r="G320" s="1254" t="s">
        <v>22</v>
      </c>
      <c r="H320" s="1254" t="s">
        <v>481</v>
      </c>
      <c r="I320" s="1258" t="s">
        <v>125</v>
      </c>
      <c r="J320" s="1259"/>
      <c r="K320" s="1257">
        <v>3175000.0</v>
      </c>
    </row>
    <row r="321">
      <c r="A321" s="1253" t="s">
        <v>15978</v>
      </c>
      <c r="B321" s="1254" t="s">
        <v>15979</v>
      </c>
      <c r="C321" s="1255" t="s">
        <v>2939</v>
      </c>
      <c r="D321" s="1255" t="s">
        <v>482</v>
      </c>
      <c r="E321" s="1255" t="s">
        <v>11578</v>
      </c>
      <c r="F321" s="1255" t="s">
        <v>11579</v>
      </c>
      <c r="G321" s="1254" t="s">
        <v>41</v>
      </c>
      <c r="H321" s="1254" t="s">
        <v>481</v>
      </c>
      <c r="I321" s="1258" t="s">
        <v>1377</v>
      </c>
      <c r="J321" s="1259"/>
      <c r="K321" s="1257">
        <v>3710000.0</v>
      </c>
    </row>
    <row r="322">
      <c r="A322" s="1253" t="s">
        <v>15980</v>
      </c>
      <c r="B322" s="1254" t="s">
        <v>15981</v>
      </c>
      <c r="C322" s="1255" t="s">
        <v>2939</v>
      </c>
      <c r="D322" s="1255" t="s">
        <v>483</v>
      </c>
      <c r="E322" s="1255" t="s">
        <v>11576</v>
      </c>
      <c r="F322" s="1255" t="s">
        <v>11570</v>
      </c>
      <c r="G322" s="1254" t="s">
        <v>22</v>
      </c>
      <c r="H322" s="1254" t="s">
        <v>484</v>
      </c>
      <c r="I322" s="1258" t="s">
        <v>125</v>
      </c>
      <c r="J322" s="1259"/>
      <c r="K322" s="1257">
        <v>2667000.0</v>
      </c>
    </row>
    <row r="323">
      <c r="A323" s="1253" t="s">
        <v>15982</v>
      </c>
      <c r="B323" s="1254" t="s">
        <v>15983</v>
      </c>
      <c r="C323" s="1255" t="s">
        <v>2939</v>
      </c>
      <c r="D323" s="1255" t="s">
        <v>485</v>
      </c>
      <c r="E323" s="1255" t="s">
        <v>11578</v>
      </c>
      <c r="F323" s="1255" t="s">
        <v>11579</v>
      </c>
      <c r="G323" s="1254" t="s">
        <v>41</v>
      </c>
      <c r="H323" s="1254" t="s">
        <v>484</v>
      </c>
      <c r="I323" s="1258" t="s">
        <v>1377</v>
      </c>
      <c r="J323" s="1259"/>
      <c r="K323" s="1257">
        <v>3867000.0</v>
      </c>
    </row>
    <row r="324">
      <c r="A324" s="1253" t="s">
        <v>15984</v>
      </c>
      <c r="B324" s="1254" t="s">
        <v>2939</v>
      </c>
      <c r="C324" s="1255" t="s">
        <v>2939</v>
      </c>
      <c r="D324" s="1255" t="s">
        <v>486</v>
      </c>
      <c r="E324" s="1255" t="s">
        <v>11578</v>
      </c>
      <c r="F324" s="1255" t="s">
        <v>11591</v>
      </c>
      <c r="G324" s="1254" t="s">
        <v>128</v>
      </c>
      <c r="H324" s="1254" t="s">
        <v>484</v>
      </c>
      <c r="I324" s="1259"/>
      <c r="J324" s="1259"/>
      <c r="K324" s="1257">
        <v>1045000.0</v>
      </c>
    </row>
    <row r="325">
      <c r="A325" s="1253" t="s">
        <v>15985</v>
      </c>
      <c r="B325" s="1254" t="s">
        <v>2939</v>
      </c>
      <c r="C325" s="1255" t="s">
        <v>2939</v>
      </c>
      <c r="D325" s="1255" t="s">
        <v>487</v>
      </c>
      <c r="E325" s="1255" t="s">
        <v>11578</v>
      </c>
      <c r="F325" s="1255" t="s">
        <v>11591</v>
      </c>
      <c r="G325" s="1254" t="s">
        <v>130</v>
      </c>
      <c r="H325" s="1254" t="s">
        <v>484</v>
      </c>
      <c r="I325" s="1259"/>
      <c r="J325" s="1259"/>
      <c r="K325" s="1257">
        <v>1045000.0</v>
      </c>
    </row>
    <row r="326">
      <c r="A326" s="1253" t="s">
        <v>15986</v>
      </c>
      <c r="B326" s="1254" t="s">
        <v>2939</v>
      </c>
      <c r="C326" s="1255" t="s">
        <v>2939</v>
      </c>
      <c r="D326" s="1255" t="s">
        <v>488</v>
      </c>
      <c r="E326" s="1255" t="s">
        <v>11578</v>
      </c>
      <c r="F326" s="1255" t="s">
        <v>11591</v>
      </c>
      <c r="G326" s="1254" t="s">
        <v>132</v>
      </c>
      <c r="H326" s="1254" t="s">
        <v>484</v>
      </c>
      <c r="I326" s="1259"/>
      <c r="J326" s="1259"/>
      <c r="K326" s="1257">
        <v>966000.0</v>
      </c>
    </row>
    <row r="327">
      <c r="A327" s="1253" t="s">
        <v>15987</v>
      </c>
      <c r="B327" s="1254" t="s">
        <v>2939</v>
      </c>
      <c r="C327" s="1255" t="s">
        <v>2939</v>
      </c>
      <c r="D327" s="1255" t="s">
        <v>489</v>
      </c>
      <c r="E327" s="1255" t="s">
        <v>11578</v>
      </c>
      <c r="F327" s="1255" t="s">
        <v>11591</v>
      </c>
      <c r="G327" s="1254" t="s">
        <v>134</v>
      </c>
      <c r="H327" s="1254" t="s">
        <v>484</v>
      </c>
      <c r="I327" s="1259"/>
      <c r="J327" s="1259"/>
      <c r="K327" s="1257">
        <v>966000.0</v>
      </c>
    </row>
    <row r="328">
      <c r="A328" s="1253" t="s">
        <v>15988</v>
      </c>
      <c r="B328" s="1254" t="s">
        <v>2939</v>
      </c>
      <c r="C328" s="1255" t="s">
        <v>2939</v>
      </c>
      <c r="D328" s="1255" t="s">
        <v>490</v>
      </c>
      <c r="E328" s="1255" t="s">
        <v>11578</v>
      </c>
      <c r="F328" s="1255" t="s">
        <v>11591</v>
      </c>
      <c r="G328" s="1254" t="s">
        <v>202</v>
      </c>
      <c r="H328" s="1254" t="s">
        <v>484</v>
      </c>
      <c r="I328" s="1258" t="s">
        <v>97</v>
      </c>
      <c r="J328" s="1259"/>
      <c r="K328" s="1257">
        <v>1060000.0</v>
      </c>
    </row>
    <row r="329">
      <c r="A329" s="1253" t="s">
        <v>15989</v>
      </c>
      <c r="B329" s="1254" t="s">
        <v>2939</v>
      </c>
      <c r="C329" s="1255" t="s">
        <v>2939</v>
      </c>
      <c r="D329" s="1255" t="s">
        <v>491</v>
      </c>
      <c r="E329" s="1255" t="s">
        <v>11578</v>
      </c>
      <c r="F329" s="1255" t="s">
        <v>11591</v>
      </c>
      <c r="G329" s="1254" t="s">
        <v>236</v>
      </c>
      <c r="H329" s="1254" t="s">
        <v>484</v>
      </c>
      <c r="I329" s="1258" t="s">
        <v>234</v>
      </c>
      <c r="J329" s="1259"/>
      <c r="K329" s="1257">
        <v>1286000.0</v>
      </c>
    </row>
    <row r="330">
      <c r="A330" s="1253" t="s">
        <v>15990</v>
      </c>
      <c r="B330" s="1254" t="s">
        <v>15991</v>
      </c>
      <c r="C330" s="1255" t="s">
        <v>2939</v>
      </c>
      <c r="D330" s="1255" t="s">
        <v>492</v>
      </c>
      <c r="E330" s="1255" t="s">
        <v>11576</v>
      </c>
      <c r="F330" s="1255" t="s">
        <v>11570</v>
      </c>
      <c r="G330" s="1254" t="s">
        <v>22</v>
      </c>
      <c r="H330" s="1254" t="s">
        <v>493</v>
      </c>
      <c r="I330" s="1258" t="s">
        <v>125</v>
      </c>
      <c r="J330" s="1259"/>
      <c r="K330" s="1257">
        <v>3529000.0</v>
      </c>
    </row>
    <row r="331">
      <c r="A331" s="1253" t="s">
        <v>2939</v>
      </c>
      <c r="B331" s="1254" t="s">
        <v>15992</v>
      </c>
      <c r="C331" s="1255" t="s">
        <v>2939</v>
      </c>
      <c r="D331" s="1255" t="s">
        <v>1495</v>
      </c>
      <c r="E331" s="1255" t="s">
        <v>11569</v>
      </c>
      <c r="F331" s="1255" t="s">
        <v>11579</v>
      </c>
      <c r="G331" s="1254" t="s">
        <v>41</v>
      </c>
      <c r="H331" s="1254" t="s">
        <v>493</v>
      </c>
      <c r="I331" s="1258" t="s">
        <v>2193</v>
      </c>
      <c r="J331" s="1259"/>
      <c r="K331" s="1257">
        <v>3590000.0</v>
      </c>
    </row>
    <row r="332">
      <c r="A332" s="1253" t="s">
        <v>15993</v>
      </c>
      <c r="B332" s="1254" t="s">
        <v>2939</v>
      </c>
      <c r="C332" s="1255" t="s">
        <v>2939</v>
      </c>
      <c r="D332" s="1255" t="s">
        <v>494</v>
      </c>
      <c r="E332" s="1255" t="s">
        <v>11578</v>
      </c>
      <c r="F332" s="1255" t="s">
        <v>11591</v>
      </c>
      <c r="G332" s="1254" t="s">
        <v>128</v>
      </c>
      <c r="H332" s="1254" t="s">
        <v>493</v>
      </c>
      <c r="I332" s="1259"/>
      <c r="J332" s="1259"/>
      <c r="K332" s="1257">
        <v>1045000.0</v>
      </c>
    </row>
    <row r="333">
      <c r="A333" s="1253" t="s">
        <v>15994</v>
      </c>
      <c r="B333" s="1254" t="s">
        <v>2939</v>
      </c>
      <c r="C333" s="1255" t="s">
        <v>2939</v>
      </c>
      <c r="D333" s="1255" t="s">
        <v>495</v>
      </c>
      <c r="E333" s="1255" t="s">
        <v>11578</v>
      </c>
      <c r="F333" s="1255" t="s">
        <v>11591</v>
      </c>
      <c r="G333" s="1254" t="s">
        <v>130</v>
      </c>
      <c r="H333" s="1254" t="s">
        <v>493</v>
      </c>
      <c r="I333" s="1259"/>
      <c r="J333" s="1259"/>
      <c r="K333" s="1257">
        <v>1045000.0</v>
      </c>
    </row>
    <row r="334">
      <c r="A334" s="1253" t="s">
        <v>15995</v>
      </c>
      <c r="B334" s="1254" t="s">
        <v>2939</v>
      </c>
      <c r="C334" s="1255" t="s">
        <v>2939</v>
      </c>
      <c r="D334" s="1255" t="s">
        <v>496</v>
      </c>
      <c r="E334" s="1255" t="s">
        <v>11578</v>
      </c>
      <c r="F334" s="1255" t="s">
        <v>11591</v>
      </c>
      <c r="G334" s="1254" t="s">
        <v>132</v>
      </c>
      <c r="H334" s="1254" t="s">
        <v>493</v>
      </c>
      <c r="I334" s="1259"/>
      <c r="J334" s="1259"/>
      <c r="K334" s="1257">
        <v>966000.0</v>
      </c>
    </row>
    <row r="335">
      <c r="A335" s="1253" t="s">
        <v>15996</v>
      </c>
      <c r="B335" s="1254" t="s">
        <v>2939</v>
      </c>
      <c r="C335" s="1255" t="s">
        <v>2939</v>
      </c>
      <c r="D335" s="1255" t="s">
        <v>497</v>
      </c>
      <c r="E335" s="1255" t="s">
        <v>11578</v>
      </c>
      <c r="F335" s="1255" t="s">
        <v>11591</v>
      </c>
      <c r="G335" s="1254" t="s">
        <v>134</v>
      </c>
      <c r="H335" s="1254" t="s">
        <v>493</v>
      </c>
      <c r="I335" s="1259"/>
      <c r="J335" s="1259"/>
      <c r="K335" s="1257">
        <v>966000.0</v>
      </c>
    </row>
    <row r="336">
      <c r="A336" s="1253" t="s">
        <v>15997</v>
      </c>
      <c r="B336" s="1254" t="s">
        <v>2939</v>
      </c>
      <c r="C336" s="1255" t="s">
        <v>2939</v>
      </c>
      <c r="D336" s="1255" t="s">
        <v>498</v>
      </c>
      <c r="E336" s="1255" t="s">
        <v>11578</v>
      </c>
      <c r="F336" s="1255" t="s">
        <v>11591</v>
      </c>
      <c r="G336" s="1254" t="s">
        <v>202</v>
      </c>
      <c r="H336" s="1254" t="s">
        <v>493</v>
      </c>
      <c r="I336" s="1258" t="s">
        <v>97</v>
      </c>
      <c r="J336" s="1259"/>
      <c r="K336" s="1257">
        <v>966000.0</v>
      </c>
    </row>
    <row r="337">
      <c r="A337" s="1253" t="s">
        <v>15998</v>
      </c>
      <c r="B337" s="1254" t="s">
        <v>2939</v>
      </c>
      <c r="C337" s="1255" t="s">
        <v>2939</v>
      </c>
      <c r="D337" s="1255" t="s">
        <v>499</v>
      </c>
      <c r="E337" s="1255" t="s">
        <v>11578</v>
      </c>
      <c r="F337" s="1255" t="s">
        <v>11591</v>
      </c>
      <c r="G337" s="1254" t="s">
        <v>236</v>
      </c>
      <c r="H337" s="1254" t="s">
        <v>493</v>
      </c>
      <c r="I337" s="1258" t="s">
        <v>234</v>
      </c>
      <c r="J337" s="1259"/>
      <c r="K337" s="1257">
        <v>1286000.0</v>
      </c>
    </row>
    <row r="338">
      <c r="A338" s="1253" t="s">
        <v>15999</v>
      </c>
      <c r="B338" s="1254" t="s">
        <v>16000</v>
      </c>
      <c r="C338" s="1255" t="s">
        <v>2939</v>
      </c>
      <c r="D338" s="1255" t="s">
        <v>500</v>
      </c>
      <c r="E338" s="1255" t="s">
        <v>11576</v>
      </c>
      <c r="F338" s="1255" t="s">
        <v>11570</v>
      </c>
      <c r="G338" s="1254" t="s">
        <v>22</v>
      </c>
      <c r="H338" s="1254" t="s">
        <v>501</v>
      </c>
      <c r="I338" s="1258" t="s">
        <v>125</v>
      </c>
      <c r="J338" s="1259"/>
      <c r="K338" s="1257">
        <v>3473000.0</v>
      </c>
    </row>
    <row r="339">
      <c r="A339" s="1253" t="s">
        <v>16001</v>
      </c>
      <c r="B339" s="1254" t="s">
        <v>16002</v>
      </c>
      <c r="C339" s="1255" t="s">
        <v>2939</v>
      </c>
      <c r="D339" s="1255" t="s">
        <v>502</v>
      </c>
      <c r="E339" s="1255" t="s">
        <v>11578</v>
      </c>
      <c r="F339" s="1255" t="s">
        <v>11579</v>
      </c>
      <c r="G339" s="1254" t="s">
        <v>41</v>
      </c>
      <c r="H339" s="1254" t="s">
        <v>501</v>
      </c>
      <c r="I339" s="1258" t="s">
        <v>1377</v>
      </c>
      <c r="J339" s="1259"/>
      <c r="K339" s="1257">
        <v>3345000.0</v>
      </c>
    </row>
    <row r="340">
      <c r="A340" s="1253" t="s">
        <v>16003</v>
      </c>
      <c r="B340" s="1254" t="s">
        <v>2939</v>
      </c>
      <c r="C340" s="1255" t="s">
        <v>2939</v>
      </c>
      <c r="D340" s="1255" t="s">
        <v>503</v>
      </c>
      <c r="E340" s="1255" t="s">
        <v>11578</v>
      </c>
      <c r="F340" s="1255" t="s">
        <v>11591</v>
      </c>
      <c r="G340" s="1254" t="s">
        <v>132</v>
      </c>
      <c r="H340" s="1254" t="s">
        <v>501</v>
      </c>
      <c r="I340" s="1259"/>
      <c r="J340" s="1259"/>
      <c r="K340" s="1257">
        <v>884000.0</v>
      </c>
    </row>
    <row r="341">
      <c r="A341" s="1253" t="s">
        <v>16004</v>
      </c>
      <c r="B341" s="1254" t="s">
        <v>2939</v>
      </c>
      <c r="C341" s="1255" t="s">
        <v>2939</v>
      </c>
      <c r="D341" s="1255" t="s">
        <v>504</v>
      </c>
      <c r="E341" s="1255" t="s">
        <v>11578</v>
      </c>
      <c r="F341" s="1255" t="s">
        <v>11591</v>
      </c>
      <c r="G341" s="1254" t="s">
        <v>134</v>
      </c>
      <c r="H341" s="1254" t="s">
        <v>501</v>
      </c>
      <c r="I341" s="1259"/>
      <c r="J341" s="1259"/>
      <c r="K341" s="1257">
        <v>884000.0</v>
      </c>
    </row>
    <row r="342">
      <c r="A342" s="1253" t="s">
        <v>16005</v>
      </c>
      <c r="B342" s="1254" t="s">
        <v>2939</v>
      </c>
      <c r="C342" s="1255" t="s">
        <v>2939</v>
      </c>
      <c r="D342" s="1255" t="s">
        <v>505</v>
      </c>
      <c r="E342" s="1255" t="s">
        <v>11578</v>
      </c>
      <c r="F342" s="1255" t="s">
        <v>11591</v>
      </c>
      <c r="G342" s="1254" t="s">
        <v>202</v>
      </c>
      <c r="H342" s="1254" t="s">
        <v>501</v>
      </c>
      <c r="I342" s="1258" t="s">
        <v>234</v>
      </c>
      <c r="J342" s="1259"/>
      <c r="K342" s="1257">
        <v>1286000.0</v>
      </c>
    </row>
    <row r="343">
      <c r="A343" s="1253" t="s">
        <v>16006</v>
      </c>
      <c r="B343" s="1254" t="s">
        <v>16007</v>
      </c>
      <c r="C343" s="1255" t="s">
        <v>2939</v>
      </c>
      <c r="D343" s="1255" t="s">
        <v>506</v>
      </c>
      <c r="E343" s="1255" t="s">
        <v>11576</v>
      </c>
      <c r="F343" s="1255" t="s">
        <v>11579</v>
      </c>
      <c r="G343" s="1254" t="s">
        <v>41</v>
      </c>
      <c r="H343" s="1254" t="s">
        <v>507</v>
      </c>
      <c r="I343" s="1258" t="s">
        <v>1377</v>
      </c>
      <c r="J343" s="1266">
        <v>849000.0</v>
      </c>
      <c r="K343" s="1257">
        <v>1640000.0</v>
      </c>
    </row>
    <row r="344">
      <c r="A344" s="1253" t="s">
        <v>16008</v>
      </c>
      <c r="B344" s="1254" t="s">
        <v>2939</v>
      </c>
      <c r="C344" s="1255" t="s">
        <v>2939</v>
      </c>
      <c r="D344" s="1255" t="s">
        <v>508</v>
      </c>
      <c r="E344" s="1255" t="s">
        <v>11578</v>
      </c>
      <c r="F344" s="1255" t="s">
        <v>11591</v>
      </c>
      <c r="G344" s="1254" t="s">
        <v>134</v>
      </c>
      <c r="H344" s="1254" t="s">
        <v>507</v>
      </c>
      <c r="I344" s="1259"/>
      <c r="J344" s="1259"/>
      <c r="K344" s="1257">
        <v>437000.0</v>
      </c>
    </row>
    <row r="345">
      <c r="A345" s="1253" t="s">
        <v>2939</v>
      </c>
      <c r="B345" s="1254" t="s">
        <v>16009</v>
      </c>
      <c r="C345" s="1255" t="s">
        <v>2939</v>
      </c>
      <c r="D345" s="1255" t="s">
        <v>1500</v>
      </c>
      <c r="E345" s="1255" t="s">
        <v>11569</v>
      </c>
      <c r="F345" s="1255" t="s">
        <v>11570</v>
      </c>
      <c r="G345" s="1254" t="s">
        <v>22</v>
      </c>
      <c r="H345" s="1254" t="s">
        <v>1501</v>
      </c>
      <c r="I345" s="1258" t="s">
        <v>97</v>
      </c>
      <c r="J345" s="1259"/>
      <c r="K345" s="1257">
        <v>1743000.0</v>
      </c>
    </row>
    <row r="346">
      <c r="A346" s="1253" t="s">
        <v>16010</v>
      </c>
      <c r="B346" s="1254" t="s">
        <v>16011</v>
      </c>
      <c r="C346" s="1255" t="s">
        <v>2939</v>
      </c>
      <c r="D346" s="1255" t="s">
        <v>509</v>
      </c>
      <c r="E346" s="1255" t="s">
        <v>11576</v>
      </c>
      <c r="F346" s="1255" t="s">
        <v>11570</v>
      </c>
      <c r="G346" s="1254" t="s">
        <v>22</v>
      </c>
      <c r="H346" s="1254" t="s">
        <v>510</v>
      </c>
      <c r="I346" s="1258" t="s">
        <v>125</v>
      </c>
      <c r="J346" s="1259"/>
      <c r="K346" s="1257">
        <v>1743000.0</v>
      </c>
    </row>
    <row r="347">
      <c r="A347" s="1250" t="s">
        <v>11720</v>
      </c>
      <c r="B347" s="1251" t="s">
        <v>11720</v>
      </c>
      <c r="C347" s="1252"/>
      <c r="D347" s="1252"/>
      <c r="E347" s="1252"/>
      <c r="F347" s="1252"/>
      <c r="G347" s="1252"/>
      <c r="H347" s="1251" t="s">
        <v>11720</v>
      </c>
      <c r="I347" s="1252"/>
      <c r="J347" s="1252"/>
      <c r="K347" s="1252"/>
    </row>
    <row r="348">
      <c r="A348" s="1253" t="s">
        <v>2939</v>
      </c>
      <c r="B348" s="1254" t="s">
        <v>2939</v>
      </c>
      <c r="C348" s="1255" t="s">
        <v>16012</v>
      </c>
      <c r="D348" s="1255" t="s">
        <v>2410</v>
      </c>
      <c r="E348" s="1255" t="s">
        <v>11653</v>
      </c>
      <c r="F348" s="1255" t="s">
        <v>11570</v>
      </c>
      <c r="G348" s="1254" t="s">
        <v>22</v>
      </c>
      <c r="H348" s="1254" t="s">
        <v>16013</v>
      </c>
      <c r="I348" s="1258" t="s">
        <v>97</v>
      </c>
      <c r="J348" s="1259"/>
      <c r="K348" s="1257">
        <v>1470000.0</v>
      </c>
    </row>
    <row r="349">
      <c r="A349" s="1253" t="s">
        <v>2939</v>
      </c>
      <c r="B349" s="1254" t="s">
        <v>16014</v>
      </c>
      <c r="C349" s="1255" t="s">
        <v>2939</v>
      </c>
      <c r="D349" s="1255" t="s">
        <v>1504</v>
      </c>
      <c r="E349" s="1255" t="s">
        <v>11569</v>
      </c>
      <c r="F349" s="1255" t="s">
        <v>11579</v>
      </c>
      <c r="G349" s="1254" t="s">
        <v>41</v>
      </c>
      <c r="H349" s="1254" t="s">
        <v>16013</v>
      </c>
      <c r="I349" s="1258" t="s">
        <v>2193</v>
      </c>
      <c r="J349" s="1259"/>
      <c r="K349" s="1257">
        <v>1510000.0</v>
      </c>
    </row>
    <row r="350">
      <c r="A350" s="1253" t="s">
        <v>2939</v>
      </c>
      <c r="B350" s="1254" t="s">
        <v>16015</v>
      </c>
      <c r="C350" s="1255" t="s">
        <v>2939</v>
      </c>
      <c r="D350" s="1255" t="s">
        <v>1506</v>
      </c>
      <c r="E350" s="1255" t="s">
        <v>11569</v>
      </c>
      <c r="F350" s="1255" t="s">
        <v>11570</v>
      </c>
      <c r="G350" s="1254" t="s">
        <v>22</v>
      </c>
      <c r="H350" s="1254" t="s">
        <v>16016</v>
      </c>
      <c r="I350" s="1254" t="s">
        <v>125</v>
      </c>
      <c r="J350" s="1256"/>
      <c r="K350" s="1257">
        <v>1213000.0</v>
      </c>
    </row>
    <row r="351">
      <c r="A351" s="1253" t="s">
        <v>16017</v>
      </c>
      <c r="B351" s="1254" t="s">
        <v>16018</v>
      </c>
      <c r="C351" s="1255" t="s">
        <v>2939</v>
      </c>
      <c r="D351" s="1255" t="s">
        <v>511</v>
      </c>
      <c r="E351" s="1255" t="s">
        <v>11576</v>
      </c>
      <c r="F351" s="1255" t="s">
        <v>11579</v>
      </c>
      <c r="G351" s="1254" t="s">
        <v>41</v>
      </c>
      <c r="H351" s="1254" t="s">
        <v>512</v>
      </c>
      <c r="I351" s="1258" t="s">
        <v>2193</v>
      </c>
      <c r="J351" s="1259"/>
      <c r="K351" s="1257">
        <v>1563000.0</v>
      </c>
    </row>
    <row r="352">
      <c r="A352" s="1253" t="s">
        <v>2939</v>
      </c>
      <c r="B352" s="1254" t="s">
        <v>16019</v>
      </c>
      <c r="C352" s="1255" t="s">
        <v>2939</v>
      </c>
      <c r="D352" s="1255" t="s">
        <v>2253</v>
      </c>
      <c r="E352" s="1255" t="s">
        <v>11569</v>
      </c>
      <c r="F352" s="1255" t="s">
        <v>11579</v>
      </c>
      <c r="G352" s="1254" t="s">
        <v>41</v>
      </c>
      <c r="H352" s="1254" t="s">
        <v>2254</v>
      </c>
      <c r="I352" s="1258" t="s">
        <v>2193</v>
      </c>
      <c r="J352" s="1259"/>
      <c r="K352" s="1257">
        <v>1766000.0</v>
      </c>
    </row>
    <row r="353">
      <c r="A353" s="1253" t="s">
        <v>2939</v>
      </c>
      <c r="B353" s="1254" t="s">
        <v>2939</v>
      </c>
      <c r="C353" s="1255" t="s">
        <v>16020</v>
      </c>
      <c r="D353" s="1255" t="s">
        <v>2407</v>
      </c>
      <c r="E353" s="1255" t="s">
        <v>11653</v>
      </c>
      <c r="F353" s="1255" t="s">
        <v>11570</v>
      </c>
      <c r="G353" s="1254" t="s">
        <v>22</v>
      </c>
      <c r="H353" s="1254" t="s">
        <v>2408</v>
      </c>
      <c r="I353" s="1259"/>
      <c r="J353" s="1259"/>
      <c r="K353" s="1257">
        <v>1120000.0</v>
      </c>
    </row>
    <row r="354">
      <c r="A354" s="1253" t="s">
        <v>2939</v>
      </c>
      <c r="B354" s="1254" t="s">
        <v>16021</v>
      </c>
      <c r="C354" s="1255" t="s">
        <v>2939</v>
      </c>
      <c r="D354" s="1260" t="s">
        <v>1510</v>
      </c>
      <c r="E354" s="1255" t="s">
        <v>11569</v>
      </c>
      <c r="F354" s="1260" t="s">
        <v>11570</v>
      </c>
      <c r="G354" s="1254" t="s">
        <v>22</v>
      </c>
      <c r="H354" s="1258" t="s">
        <v>11725</v>
      </c>
      <c r="I354" s="1254" t="s">
        <v>75</v>
      </c>
      <c r="J354" s="1256"/>
      <c r="K354" s="1257">
        <v>2300000.0</v>
      </c>
    </row>
    <row r="355">
      <c r="A355" s="1253" t="s">
        <v>2939</v>
      </c>
      <c r="B355" s="1254" t="s">
        <v>16022</v>
      </c>
      <c r="C355" s="1255" t="s">
        <v>2939</v>
      </c>
      <c r="D355" s="1255" t="s">
        <v>1363</v>
      </c>
      <c r="E355" s="1255" t="s">
        <v>11569</v>
      </c>
      <c r="F355" s="1260" t="s">
        <v>11570</v>
      </c>
      <c r="G355" s="1258" t="s">
        <v>22</v>
      </c>
      <c r="H355" s="1258" t="s">
        <v>11725</v>
      </c>
      <c r="I355" s="1254" t="s">
        <v>125</v>
      </c>
      <c r="J355" s="1256"/>
      <c r="K355" s="1257">
        <v>1950000.0</v>
      </c>
    </row>
    <row r="356">
      <c r="A356" s="1253" t="s">
        <v>2939</v>
      </c>
      <c r="B356" s="1254" t="s">
        <v>16023</v>
      </c>
      <c r="C356" s="1255" t="s">
        <v>2939</v>
      </c>
      <c r="D356" s="1255" t="s">
        <v>1512</v>
      </c>
      <c r="E356" s="1255" t="s">
        <v>11569</v>
      </c>
      <c r="F356" s="1260" t="s">
        <v>11579</v>
      </c>
      <c r="G356" s="1258" t="s">
        <v>41</v>
      </c>
      <c r="H356" s="1258" t="s">
        <v>11725</v>
      </c>
      <c r="I356" s="1258" t="s">
        <v>533</v>
      </c>
      <c r="J356" s="1259"/>
      <c r="K356" s="1257">
        <v>1150000.0</v>
      </c>
    </row>
    <row r="357">
      <c r="A357" s="1253" t="s">
        <v>16024</v>
      </c>
      <c r="B357" s="1254" t="s">
        <v>16025</v>
      </c>
      <c r="C357" s="1255" t="s">
        <v>2939</v>
      </c>
      <c r="D357" s="1255" t="s">
        <v>513</v>
      </c>
      <c r="E357" s="1255" t="s">
        <v>11576</v>
      </c>
      <c r="F357" s="1255" t="s">
        <v>11570</v>
      </c>
      <c r="G357" s="1254" t="s">
        <v>22</v>
      </c>
      <c r="H357" s="1254" t="s">
        <v>514</v>
      </c>
      <c r="I357" s="1258" t="s">
        <v>125</v>
      </c>
      <c r="J357" s="1259"/>
      <c r="K357" s="1257">
        <v>3080000.0</v>
      </c>
    </row>
    <row r="358">
      <c r="A358" s="1253" t="s">
        <v>16026</v>
      </c>
      <c r="B358" s="1254" t="s">
        <v>16027</v>
      </c>
      <c r="C358" s="1255" t="s">
        <v>16028</v>
      </c>
      <c r="D358" s="1255" t="s">
        <v>515</v>
      </c>
      <c r="E358" s="1255" t="s">
        <v>11630</v>
      </c>
      <c r="F358" s="1255" t="s">
        <v>11570</v>
      </c>
      <c r="G358" s="1254" t="s">
        <v>22</v>
      </c>
      <c r="H358" s="1254" t="s">
        <v>516</v>
      </c>
      <c r="I358" s="1258" t="s">
        <v>125</v>
      </c>
      <c r="J358" s="1259"/>
      <c r="K358" s="1257">
        <v>1547000.0</v>
      </c>
    </row>
    <row r="359">
      <c r="A359" s="1253" t="s">
        <v>16029</v>
      </c>
      <c r="B359" s="1254" t="s">
        <v>16030</v>
      </c>
      <c r="C359" s="1255" t="s">
        <v>2939</v>
      </c>
      <c r="D359" s="1255" t="s">
        <v>517</v>
      </c>
      <c r="E359" s="1255" t="s">
        <v>11576</v>
      </c>
      <c r="F359" s="1255" t="s">
        <v>11579</v>
      </c>
      <c r="G359" s="1254" t="s">
        <v>41</v>
      </c>
      <c r="H359" s="1254" t="s">
        <v>516</v>
      </c>
      <c r="I359" s="1258" t="s">
        <v>1377</v>
      </c>
      <c r="J359" s="1259"/>
      <c r="K359" s="1257">
        <v>1286000.0</v>
      </c>
    </row>
    <row r="360">
      <c r="A360" s="1253" t="s">
        <v>2939</v>
      </c>
      <c r="B360" s="1254" t="s">
        <v>16031</v>
      </c>
      <c r="C360" s="1255" t="s">
        <v>2939</v>
      </c>
      <c r="D360" s="1255" t="s">
        <v>518</v>
      </c>
      <c r="E360" s="1255" t="s">
        <v>11569</v>
      </c>
      <c r="F360" s="1255" t="s">
        <v>11591</v>
      </c>
      <c r="G360" s="1254" t="s">
        <v>128</v>
      </c>
      <c r="H360" s="1254" t="s">
        <v>516</v>
      </c>
      <c r="I360" s="1258" t="s">
        <v>141</v>
      </c>
      <c r="J360" s="1259"/>
      <c r="K360" s="1257">
        <v>644000.0</v>
      </c>
    </row>
    <row r="361">
      <c r="A361" s="1253" t="s">
        <v>2939</v>
      </c>
      <c r="B361" s="1254" t="s">
        <v>16032</v>
      </c>
      <c r="C361" s="1255" t="s">
        <v>2939</v>
      </c>
      <c r="D361" s="1255" t="s">
        <v>519</v>
      </c>
      <c r="E361" s="1255" t="s">
        <v>11569</v>
      </c>
      <c r="F361" s="1255" t="s">
        <v>11591</v>
      </c>
      <c r="G361" s="1254" t="s">
        <v>130</v>
      </c>
      <c r="H361" s="1254" t="s">
        <v>516</v>
      </c>
      <c r="I361" s="1258" t="s">
        <v>141</v>
      </c>
      <c r="J361" s="1259"/>
      <c r="K361" s="1257">
        <v>644000.0</v>
      </c>
    </row>
    <row r="362">
      <c r="A362" s="1253" t="s">
        <v>16033</v>
      </c>
      <c r="B362" s="1254" t="s">
        <v>2939</v>
      </c>
      <c r="C362" s="1255" t="s">
        <v>2939</v>
      </c>
      <c r="D362" s="1255" t="s">
        <v>520</v>
      </c>
      <c r="E362" s="1255" t="s">
        <v>11578</v>
      </c>
      <c r="F362" s="1255" t="s">
        <v>11591</v>
      </c>
      <c r="G362" s="1254" t="s">
        <v>132</v>
      </c>
      <c r="H362" s="1254" t="s">
        <v>516</v>
      </c>
      <c r="I362" s="1259"/>
      <c r="J362" s="1259"/>
      <c r="K362" s="1257">
        <v>484000.0</v>
      </c>
    </row>
    <row r="363">
      <c r="A363" s="1253" t="s">
        <v>16034</v>
      </c>
      <c r="B363" s="1254" t="s">
        <v>16035</v>
      </c>
      <c r="C363" s="1255" t="s">
        <v>2939</v>
      </c>
      <c r="D363" s="1255" t="s">
        <v>521</v>
      </c>
      <c r="E363" s="1255" t="s">
        <v>11576</v>
      </c>
      <c r="F363" s="1255" t="s">
        <v>11591</v>
      </c>
      <c r="G363" s="1254" t="s">
        <v>134</v>
      </c>
      <c r="H363" s="1254" t="s">
        <v>516</v>
      </c>
      <c r="I363" s="1259"/>
      <c r="J363" s="1259"/>
      <c r="K363" s="1257">
        <v>484000.0</v>
      </c>
    </row>
    <row r="364">
      <c r="A364" s="1253" t="s">
        <v>16036</v>
      </c>
      <c r="B364" s="1254" t="s">
        <v>16037</v>
      </c>
      <c r="C364" s="1255" t="s">
        <v>2939</v>
      </c>
      <c r="D364" s="1255" t="s">
        <v>522</v>
      </c>
      <c r="E364" s="1255" t="s">
        <v>11576</v>
      </c>
      <c r="F364" s="1255" t="s">
        <v>11570</v>
      </c>
      <c r="G364" s="1254" t="s">
        <v>22</v>
      </c>
      <c r="H364" s="1254" t="s">
        <v>11727</v>
      </c>
      <c r="I364" s="1258" t="s">
        <v>125</v>
      </c>
      <c r="J364" s="1259"/>
      <c r="K364" s="1257">
        <v>1793000.0</v>
      </c>
    </row>
    <row r="365">
      <c r="A365" s="1253" t="s">
        <v>16038</v>
      </c>
      <c r="B365" s="1254" t="s">
        <v>16039</v>
      </c>
      <c r="C365" s="1255" t="s">
        <v>2939</v>
      </c>
      <c r="D365" s="1255" t="s">
        <v>524</v>
      </c>
      <c r="E365" s="1255" t="s">
        <v>11576</v>
      </c>
      <c r="F365" s="1255" t="s">
        <v>11579</v>
      </c>
      <c r="G365" s="1254" t="s">
        <v>41</v>
      </c>
      <c r="H365" s="1254" t="s">
        <v>523</v>
      </c>
      <c r="I365" s="1258" t="s">
        <v>1377</v>
      </c>
      <c r="J365" s="1259"/>
      <c r="K365" s="1257">
        <v>1928000.0</v>
      </c>
    </row>
    <row r="366">
      <c r="A366" s="1253" t="s">
        <v>16040</v>
      </c>
      <c r="B366" s="1254" t="s">
        <v>16041</v>
      </c>
      <c r="C366" s="1255" t="s">
        <v>2939</v>
      </c>
      <c r="D366" s="1255" t="s">
        <v>525</v>
      </c>
      <c r="E366" s="1255" t="s">
        <v>11576</v>
      </c>
      <c r="F366" s="1255" t="s">
        <v>11591</v>
      </c>
      <c r="G366" s="1254" t="s">
        <v>132</v>
      </c>
      <c r="H366" s="1254" t="s">
        <v>523</v>
      </c>
      <c r="I366" s="1258" t="s">
        <v>141</v>
      </c>
      <c r="J366" s="1259"/>
      <c r="K366" s="1257">
        <v>564000.0</v>
      </c>
    </row>
    <row r="367">
      <c r="A367" s="1253" t="s">
        <v>16042</v>
      </c>
      <c r="B367" s="1254" t="s">
        <v>2939</v>
      </c>
      <c r="C367" s="1255" t="s">
        <v>2939</v>
      </c>
      <c r="D367" s="1255" t="s">
        <v>526</v>
      </c>
      <c r="E367" s="1255" t="s">
        <v>11578</v>
      </c>
      <c r="F367" s="1255" t="s">
        <v>11591</v>
      </c>
      <c r="G367" s="1254" t="s">
        <v>134</v>
      </c>
      <c r="H367" s="1254" t="s">
        <v>523</v>
      </c>
      <c r="I367" s="1258" t="s">
        <v>141</v>
      </c>
      <c r="J367" s="1259"/>
      <c r="K367" s="1257">
        <v>564000.0</v>
      </c>
    </row>
    <row r="368">
      <c r="A368" s="1253" t="s">
        <v>16043</v>
      </c>
      <c r="B368" s="1254" t="s">
        <v>16044</v>
      </c>
      <c r="C368" s="1255" t="s">
        <v>2939</v>
      </c>
      <c r="D368" s="1255" t="s">
        <v>527</v>
      </c>
      <c r="E368" s="1255" t="s">
        <v>11576</v>
      </c>
      <c r="F368" s="1255" t="s">
        <v>11570</v>
      </c>
      <c r="G368" s="1254" t="s">
        <v>22</v>
      </c>
      <c r="H368" s="1254" t="s">
        <v>528</v>
      </c>
      <c r="I368" s="1258" t="s">
        <v>125</v>
      </c>
      <c r="J368" s="1259"/>
      <c r="K368" s="1257">
        <v>1796000.0</v>
      </c>
    </row>
    <row r="369">
      <c r="A369" s="1253" t="s">
        <v>16045</v>
      </c>
      <c r="B369" s="1254" t="s">
        <v>16046</v>
      </c>
      <c r="C369" s="1255" t="s">
        <v>2939</v>
      </c>
      <c r="D369" s="1255" t="s">
        <v>529</v>
      </c>
      <c r="E369" s="1255" t="s">
        <v>11576</v>
      </c>
      <c r="F369" s="1255" t="s">
        <v>11579</v>
      </c>
      <c r="G369" s="1254" t="s">
        <v>41</v>
      </c>
      <c r="H369" s="1254" t="s">
        <v>530</v>
      </c>
      <c r="I369" s="1258" t="s">
        <v>1377</v>
      </c>
      <c r="J369" s="1259"/>
      <c r="K369" s="1257">
        <v>1983000.0</v>
      </c>
    </row>
    <row r="370">
      <c r="A370" s="1253" t="s">
        <v>2939</v>
      </c>
      <c r="B370" s="1254" t="s">
        <v>16047</v>
      </c>
      <c r="C370" s="1255" t="s">
        <v>2939</v>
      </c>
      <c r="D370" s="1255" t="s">
        <v>1521</v>
      </c>
      <c r="E370" s="1255" t="s">
        <v>11569</v>
      </c>
      <c r="F370" s="1255" t="s">
        <v>11579</v>
      </c>
      <c r="G370" s="1254" t="s">
        <v>41</v>
      </c>
      <c r="H370" s="1254" t="s">
        <v>1522</v>
      </c>
      <c r="I370" s="1258" t="s">
        <v>2193</v>
      </c>
      <c r="J370" s="1259"/>
      <c r="K370" s="1257">
        <v>1983000.0</v>
      </c>
    </row>
    <row r="371">
      <c r="A371" s="1253" t="s">
        <v>16048</v>
      </c>
      <c r="B371" s="1254" t="s">
        <v>2939</v>
      </c>
      <c r="C371" s="1255" t="s">
        <v>2939</v>
      </c>
      <c r="D371" s="1255" t="s">
        <v>531</v>
      </c>
      <c r="E371" s="1255" t="s">
        <v>11578</v>
      </c>
      <c r="F371" s="1255" t="s">
        <v>11591</v>
      </c>
      <c r="G371" s="1254" t="s">
        <v>132</v>
      </c>
      <c r="H371" s="1254" t="s">
        <v>532</v>
      </c>
      <c r="I371" s="1258" t="s">
        <v>533</v>
      </c>
      <c r="J371" s="1259"/>
      <c r="K371" s="1257">
        <v>832000.0</v>
      </c>
    </row>
    <row r="372">
      <c r="A372" s="1253" t="s">
        <v>2939</v>
      </c>
      <c r="B372" s="1254" t="s">
        <v>16049</v>
      </c>
      <c r="C372" s="1255" t="s">
        <v>2939</v>
      </c>
      <c r="D372" s="1255" t="s">
        <v>1523</v>
      </c>
      <c r="E372" s="1255" t="s">
        <v>11569</v>
      </c>
      <c r="F372" s="1260" t="s">
        <v>11591</v>
      </c>
      <c r="G372" s="1254" t="s">
        <v>132</v>
      </c>
      <c r="H372" s="1254" t="s">
        <v>1524</v>
      </c>
      <c r="I372" s="1259"/>
      <c r="J372" s="1259"/>
      <c r="K372" s="1257">
        <v>2425000.0</v>
      </c>
    </row>
    <row r="373">
      <c r="A373" s="1253" t="s">
        <v>2939</v>
      </c>
      <c r="B373" s="1254" t="s">
        <v>16050</v>
      </c>
      <c r="C373" s="1255" t="s">
        <v>2939</v>
      </c>
      <c r="D373" s="1255" t="s">
        <v>1525</v>
      </c>
      <c r="E373" s="1255" t="s">
        <v>11569</v>
      </c>
      <c r="F373" s="1260" t="s">
        <v>11591</v>
      </c>
      <c r="G373" s="1254" t="s">
        <v>134</v>
      </c>
      <c r="H373" s="1254" t="s">
        <v>1524</v>
      </c>
      <c r="I373" s="1259"/>
      <c r="J373" s="1259"/>
      <c r="K373" s="1257">
        <v>2425000.0</v>
      </c>
    </row>
    <row r="374">
      <c r="A374" s="1253" t="s">
        <v>16051</v>
      </c>
      <c r="B374" s="1254" t="s">
        <v>2939</v>
      </c>
      <c r="C374" s="1255" t="s">
        <v>2939</v>
      </c>
      <c r="D374" s="1255" t="s">
        <v>534</v>
      </c>
      <c r="E374" s="1255" t="s">
        <v>11578</v>
      </c>
      <c r="F374" s="1255" t="s">
        <v>11591</v>
      </c>
      <c r="G374" s="1254" t="s">
        <v>202</v>
      </c>
      <c r="H374" s="1254" t="s">
        <v>528</v>
      </c>
      <c r="I374" s="1258" t="s">
        <v>533</v>
      </c>
      <c r="J374" s="1259"/>
      <c r="K374" s="1257">
        <v>869000.0</v>
      </c>
    </row>
    <row r="375">
      <c r="A375" s="1253" t="s">
        <v>16052</v>
      </c>
      <c r="B375" s="1254" t="s">
        <v>16053</v>
      </c>
      <c r="C375" s="1255" t="s">
        <v>2939</v>
      </c>
      <c r="D375" s="1255" t="s">
        <v>535</v>
      </c>
      <c r="E375" s="1255" t="s">
        <v>11576</v>
      </c>
      <c r="F375" s="1255" t="s">
        <v>11570</v>
      </c>
      <c r="G375" s="1254" t="s">
        <v>22</v>
      </c>
      <c r="H375" s="1254" t="s">
        <v>536</v>
      </c>
      <c r="I375" s="1258" t="s">
        <v>125</v>
      </c>
      <c r="J375" s="1259"/>
      <c r="K375" s="1257">
        <v>1362000.0</v>
      </c>
    </row>
    <row r="376">
      <c r="A376" s="1253" t="s">
        <v>16054</v>
      </c>
      <c r="B376" s="1254" t="s">
        <v>16055</v>
      </c>
      <c r="C376" s="1255" t="s">
        <v>2939</v>
      </c>
      <c r="D376" s="1255" t="s">
        <v>537</v>
      </c>
      <c r="E376" s="1255" t="s">
        <v>11576</v>
      </c>
      <c r="F376" s="1255" t="s">
        <v>11579</v>
      </c>
      <c r="G376" s="1254" t="s">
        <v>41</v>
      </c>
      <c r="H376" s="1254" t="s">
        <v>536</v>
      </c>
      <c r="I376" s="1258" t="s">
        <v>2193</v>
      </c>
      <c r="J376" s="1259"/>
      <c r="K376" s="1257">
        <v>2050000.0</v>
      </c>
    </row>
    <row r="377">
      <c r="A377" s="1253" t="s">
        <v>16056</v>
      </c>
      <c r="B377" s="1254" t="s">
        <v>2939</v>
      </c>
      <c r="C377" s="1255" t="s">
        <v>2939</v>
      </c>
      <c r="D377" s="1255" t="s">
        <v>538</v>
      </c>
      <c r="E377" s="1255" t="s">
        <v>11578</v>
      </c>
      <c r="F377" s="1255" t="s">
        <v>11591</v>
      </c>
      <c r="G377" s="1254" t="s">
        <v>128</v>
      </c>
      <c r="H377" s="1254" t="s">
        <v>536</v>
      </c>
      <c r="I377" s="1258" t="s">
        <v>141</v>
      </c>
      <c r="J377" s="1259"/>
      <c r="K377" s="1257">
        <v>675000.0</v>
      </c>
    </row>
    <row r="378">
      <c r="A378" s="1253" t="s">
        <v>16057</v>
      </c>
      <c r="B378" s="1254" t="s">
        <v>2939</v>
      </c>
      <c r="C378" s="1255" t="s">
        <v>2939</v>
      </c>
      <c r="D378" s="1255" t="s">
        <v>539</v>
      </c>
      <c r="E378" s="1255" t="s">
        <v>11578</v>
      </c>
      <c r="F378" s="1255" t="s">
        <v>11591</v>
      </c>
      <c r="G378" s="1254" t="s">
        <v>130</v>
      </c>
      <c r="H378" s="1254" t="s">
        <v>536</v>
      </c>
      <c r="I378" s="1258" t="s">
        <v>141</v>
      </c>
      <c r="J378" s="1259"/>
      <c r="K378" s="1257">
        <v>675000.0</v>
      </c>
    </row>
    <row r="379">
      <c r="A379" s="1253" t="s">
        <v>16058</v>
      </c>
      <c r="B379" s="1254" t="s">
        <v>2939</v>
      </c>
      <c r="C379" s="1255" t="s">
        <v>2939</v>
      </c>
      <c r="D379" s="1255" t="s">
        <v>540</v>
      </c>
      <c r="E379" s="1255" t="s">
        <v>11578</v>
      </c>
      <c r="F379" s="1255" t="s">
        <v>11591</v>
      </c>
      <c r="G379" s="1254" t="s">
        <v>132</v>
      </c>
      <c r="H379" s="1254" t="s">
        <v>536</v>
      </c>
      <c r="I379" s="1259"/>
      <c r="J379" s="1259"/>
      <c r="K379" s="1257">
        <v>508000.0</v>
      </c>
    </row>
    <row r="380">
      <c r="A380" s="1253" t="s">
        <v>16059</v>
      </c>
      <c r="B380" s="1254" t="s">
        <v>2939</v>
      </c>
      <c r="C380" s="1255" t="s">
        <v>2939</v>
      </c>
      <c r="D380" s="1255" t="s">
        <v>541</v>
      </c>
      <c r="E380" s="1255" t="s">
        <v>11578</v>
      </c>
      <c r="F380" s="1255" t="s">
        <v>11591</v>
      </c>
      <c r="G380" s="1254" t="s">
        <v>134</v>
      </c>
      <c r="H380" s="1254" t="s">
        <v>536</v>
      </c>
      <c r="I380" s="1259"/>
      <c r="J380" s="1259"/>
      <c r="K380" s="1257">
        <v>508000.0</v>
      </c>
    </row>
    <row r="381">
      <c r="A381" s="1253" t="s">
        <v>16060</v>
      </c>
      <c r="B381" s="1254" t="s">
        <v>16061</v>
      </c>
      <c r="C381" s="1255" t="s">
        <v>2939</v>
      </c>
      <c r="D381" s="1255" t="s">
        <v>542</v>
      </c>
      <c r="E381" s="1255" t="s">
        <v>11576</v>
      </c>
      <c r="F381" s="1255" t="s">
        <v>11570</v>
      </c>
      <c r="G381" s="1254" t="s">
        <v>22</v>
      </c>
      <c r="H381" s="1254" t="s">
        <v>543</v>
      </c>
      <c r="I381" s="1258" t="s">
        <v>125</v>
      </c>
      <c r="J381" s="1259"/>
      <c r="K381" s="1257">
        <v>2200000.0</v>
      </c>
    </row>
    <row r="382">
      <c r="A382" s="1253" t="s">
        <v>16062</v>
      </c>
      <c r="B382" s="1254" t="s">
        <v>16063</v>
      </c>
      <c r="C382" s="1255" t="s">
        <v>2939</v>
      </c>
      <c r="D382" s="1255" t="s">
        <v>544</v>
      </c>
      <c r="E382" s="1255" t="s">
        <v>11576</v>
      </c>
      <c r="F382" s="1255" t="s">
        <v>11579</v>
      </c>
      <c r="G382" s="1254" t="s">
        <v>41</v>
      </c>
      <c r="H382" s="1254" t="s">
        <v>543</v>
      </c>
      <c r="I382" s="1258" t="s">
        <v>2301</v>
      </c>
      <c r="J382" s="1259"/>
      <c r="K382" s="1257">
        <v>2085000.0</v>
      </c>
    </row>
    <row r="383">
      <c r="A383" s="1253" t="s">
        <v>16064</v>
      </c>
      <c r="B383" s="1254" t="s">
        <v>16065</v>
      </c>
      <c r="C383" s="1255" t="s">
        <v>2939</v>
      </c>
      <c r="D383" s="1255" t="s">
        <v>545</v>
      </c>
      <c r="E383" s="1255" t="s">
        <v>11578</v>
      </c>
      <c r="F383" s="1255" t="s">
        <v>11591</v>
      </c>
      <c r="G383" s="1254" t="s">
        <v>132</v>
      </c>
      <c r="H383" s="1254" t="s">
        <v>543</v>
      </c>
      <c r="I383" s="1259"/>
      <c r="J383" s="1259"/>
      <c r="K383" s="1257">
        <v>725000.0</v>
      </c>
    </row>
    <row r="384">
      <c r="A384" s="1253" t="s">
        <v>16066</v>
      </c>
      <c r="B384" s="1254" t="s">
        <v>16067</v>
      </c>
      <c r="C384" s="1255" t="s">
        <v>2939</v>
      </c>
      <c r="D384" s="1255" t="s">
        <v>546</v>
      </c>
      <c r="E384" s="1255" t="s">
        <v>11578</v>
      </c>
      <c r="F384" s="1255" t="s">
        <v>11591</v>
      </c>
      <c r="G384" s="1254" t="s">
        <v>134</v>
      </c>
      <c r="H384" s="1254" t="s">
        <v>543</v>
      </c>
      <c r="I384" s="1259"/>
      <c r="J384" s="1259"/>
      <c r="K384" s="1257">
        <v>725000.0</v>
      </c>
    </row>
    <row r="385">
      <c r="A385" s="1253" t="s">
        <v>16068</v>
      </c>
      <c r="B385" s="1254" t="s">
        <v>2939</v>
      </c>
      <c r="C385" s="1255" t="s">
        <v>2939</v>
      </c>
      <c r="D385" s="1255" t="s">
        <v>547</v>
      </c>
      <c r="E385" s="1255" t="s">
        <v>11578</v>
      </c>
      <c r="F385" s="1255" t="s">
        <v>11591</v>
      </c>
      <c r="G385" s="1254" t="s">
        <v>387</v>
      </c>
      <c r="H385" s="1254" t="s">
        <v>543</v>
      </c>
      <c r="I385" s="1259"/>
      <c r="J385" s="1259"/>
      <c r="K385" s="1257">
        <v>291000.0</v>
      </c>
    </row>
    <row r="386">
      <c r="A386" s="1253" t="s">
        <v>16069</v>
      </c>
      <c r="B386" s="1254" t="s">
        <v>2939</v>
      </c>
      <c r="C386" s="1255" t="s">
        <v>2939</v>
      </c>
      <c r="D386" s="1255" t="s">
        <v>548</v>
      </c>
      <c r="E386" s="1255" t="s">
        <v>11578</v>
      </c>
      <c r="F386" s="1255" t="s">
        <v>11591</v>
      </c>
      <c r="G386" s="1254" t="s">
        <v>389</v>
      </c>
      <c r="H386" s="1254" t="s">
        <v>543</v>
      </c>
      <c r="I386" s="1259"/>
      <c r="J386" s="1259"/>
      <c r="K386" s="1257">
        <v>291000.0</v>
      </c>
    </row>
    <row r="387">
      <c r="A387" s="1253" t="s">
        <v>2939</v>
      </c>
      <c r="B387" s="1254" t="s">
        <v>16070</v>
      </c>
      <c r="C387" s="1255" t="s">
        <v>2939</v>
      </c>
      <c r="D387" s="1255" t="s">
        <v>1526</v>
      </c>
      <c r="E387" s="1255" t="s">
        <v>11569</v>
      </c>
      <c r="F387" s="1255" t="s">
        <v>11570</v>
      </c>
      <c r="G387" s="1254" t="s">
        <v>22</v>
      </c>
      <c r="H387" s="1254" t="s">
        <v>16071</v>
      </c>
      <c r="I387" s="1258" t="s">
        <v>125</v>
      </c>
      <c r="J387" s="1259"/>
      <c r="K387" s="1257">
        <v>2376000.0</v>
      </c>
    </row>
    <row r="388">
      <c r="A388" s="1253" t="s">
        <v>2939</v>
      </c>
      <c r="B388" s="1254" t="s">
        <v>16072</v>
      </c>
      <c r="C388" s="1255" t="s">
        <v>2939</v>
      </c>
      <c r="D388" s="1260" t="s">
        <v>11730</v>
      </c>
      <c r="E388" s="1255" t="s">
        <v>11569</v>
      </c>
      <c r="F388" s="1260" t="s">
        <v>11570</v>
      </c>
      <c r="G388" s="1254" t="s">
        <v>22</v>
      </c>
      <c r="H388" s="1254" t="s">
        <v>16073</v>
      </c>
      <c r="I388" s="1254" t="s">
        <v>125</v>
      </c>
      <c r="J388" s="1256"/>
      <c r="K388" s="1257">
        <v>2376000.0</v>
      </c>
    </row>
    <row r="389">
      <c r="A389" s="1253" t="s">
        <v>2939</v>
      </c>
      <c r="B389" s="1254" t="s">
        <v>16074</v>
      </c>
      <c r="C389" s="1255" t="s">
        <v>2939</v>
      </c>
      <c r="D389" s="1255" t="s">
        <v>11734</v>
      </c>
      <c r="E389" s="1255" t="s">
        <v>11569</v>
      </c>
      <c r="F389" s="1255" t="s">
        <v>11570</v>
      </c>
      <c r="G389" s="1258" t="s">
        <v>22</v>
      </c>
      <c r="H389" s="1258" t="s">
        <v>11735</v>
      </c>
      <c r="I389" s="1258" t="s">
        <v>75</v>
      </c>
      <c r="J389" s="1259"/>
      <c r="K389" s="1257">
        <v>4000000.0</v>
      </c>
    </row>
    <row r="390">
      <c r="A390" s="1253" t="s">
        <v>2939</v>
      </c>
      <c r="B390" s="1254" t="s">
        <v>16075</v>
      </c>
      <c r="C390" s="1255" t="s">
        <v>2939</v>
      </c>
      <c r="D390" s="1255" t="s">
        <v>11736</v>
      </c>
      <c r="E390" s="1255" t="s">
        <v>11569</v>
      </c>
      <c r="F390" s="1260" t="s">
        <v>11579</v>
      </c>
      <c r="G390" s="1258" t="s">
        <v>41</v>
      </c>
      <c r="H390" s="1258" t="s">
        <v>11737</v>
      </c>
      <c r="I390" s="1258" t="s">
        <v>2193</v>
      </c>
      <c r="J390" s="1259"/>
      <c r="K390" s="1257">
        <v>2900000.0</v>
      </c>
    </row>
    <row r="391">
      <c r="A391" s="1253" t="s">
        <v>16076</v>
      </c>
      <c r="B391" s="1254" t="s">
        <v>16077</v>
      </c>
      <c r="C391" s="1255" t="s">
        <v>2939</v>
      </c>
      <c r="D391" s="1255" t="s">
        <v>549</v>
      </c>
      <c r="E391" s="1255" t="s">
        <v>11578</v>
      </c>
      <c r="F391" s="1255" t="s">
        <v>11570</v>
      </c>
      <c r="G391" s="1254" t="s">
        <v>22</v>
      </c>
      <c r="H391" s="1254" t="s">
        <v>550</v>
      </c>
      <c r="I391" s="1258" t="s">
        <v>125</v>
      </c>
      <c r="J391" s="1259"/>
      <c r="K391" s="1257">
        <v>2350000.0</v>
      </c>
    </row>
    <row r="392">
      <c r="A392" s="1253" t="s">
        <v>16078</v>
      </c>
      <c r="B392" s="1254" t="s">
        <v>2939</v>
      </c>
      <c r="C392" s="1255" t="s">
        <v>2939</v>
      </c>
      <c r="D392" s="1255" t="s">
        <v>551</v>
      </c>
      <c r="E392" s="1255" t="s">
        <v>11578</v>
      </c>
      <c r="F392" s="1255" t="s">
        <v>11579</v>
      </c>
      <c r="G392" s="1254" t="s">
        <v>41</v>
      </c>
      <c r="H392" s="1254" t="s">
        <v>550</v>
      </c>
      <c r="I392" s="1258" t="s">
        <v>2193</v>
      </c>
      <c r="J392" s="1259"/>
      <c r="K392" s="1257">
        <v>1393000.0</v>
      </c>
    </row>
    <row r="393">
      <c r="A393" s="1253" t="s">
        <v>16079</v>
      </c>
      <c r="B393" s="1254" t="s">
        <v>2939</v>
      </c>
      <c r="C393" s="1255" t="s">
        <v>2939</v>
      </c>
      <c r="D393" s="1255" t="s">
        <v>552</v>
      </c>
      <c r="E393" s="1255" t="s">
        <v>11578</v>
      </c>
      <c r="F393" s="1255" t="s">
        <v>11579</v>
      </c>
      <c r="G393" s="1254" t="s">
        <v>41</v>
      </c>
      <c r="H393" s="1254" t="s">
        <v>550</v>
      </c>
      <c r="I393" s="1258" t="s">
        <v>1377</v>
      </c>
      <c r="J393" s="1259"/>
      <c r="K393" s="1257">
        <v>1608000.0</v>
      </c>
    </row>
    <row r="394">
      <c r="A394" s="1253" t="s">
        <v>2939</v>
      </c>
      <c r="B394" s="1254" t="s">
        <v>16080</v>
      </c>
      <c r="C394" s="1255" t="s">
        <v>2939</v>
      </c>
      <c r="D394" s="1255" t="s">
        <v>1528</v>
      </c>
      <c r="E394" s="1255" t="s">
        <v>11569</v>
      </c>
      <c r="F394" s="1260" t="s">
        <v>11570</v>
      </c>
      <c r="G394" s="1254" t="s">
        <v>22</v>
      </c>
      <c r="H394" s="1258" t="s">
        <v>16081</v>
      </c>
      <c r="I394" s="1258" t="s">
        <v>125</v>
      </c>
      <c r="J394" s="1259"/>
      <c r="K394" s="1257">
        <v>3650000.0</v>
      </c>
    </row>
    <row r="395">
      <c r="A395" s="1253" t="s">
        <v>2939</v>
      </c>
      <c r="B395" s="1254" t="s">
        <v>16082</v>
      </c>
      <c r="C395" s="1255" t="s">
        <v>2939</v>
      </c>
      <c r="D395" s="1260" t="s">
        <v>11738</v>
      </c>
      <c r="E395" s="1255" t="s">
        <v>11569</v>
      </c>
      <c r="F395" s="1255" t="s">
        <v>11570</v>
      </c>
      <c r="G395" s="1254" t="s">
        <v>22</v>
      </c>
      <c r="H395" s="1258" t="s">
        <v>16083</v>
      </c>
      <c r="I395" s="1254" t="s">
        <v>75</v>
      </c>
      <c r="J395" s="1256"/>
      <c r="K395" s="1257">
        <v>3800000.0</v>
      </c>
    </row>
    <row r="396">
      <c r="A396" s="1253" t="s">
        <v>2939</v>
      </c>
      <c r="B396" s="1254" t="s">
        <v>16084</v>
      </c>
      <c r="C396" s="1255" t="s">
        <v>2939</v>
      </c>
      <c r="D396" s="1260" t="s">
        <v>11740</v>
      </c>
      <c r="E396" s="1255" t="s">
        <v>11569</v>
      </c>
      <c r="F396" s="1255" t="s">
        <v>11570</v>
      </c>
      <c r="G396" s="1254" t="s">
        <v>22</v>
      </c>
      <c r="H396" s="1258" t="s">
        <v>1704</v>
      </c>
      <c r="I396" s="1254" t="s">
        <v>75</v>
      </c>
      <c r="J396" s="1256"/>
      <c r="K396" s="1257">
        <v>3800000.0</v>
      </c>
    </row>
    <row r="397">
      <c r="A397" s="1253" t="s">
        <v>2939</v>
      </c>
      <c r="B397" s="1254" t="s">
        <v>16085</v>
      </c>
      <c r="C397" s="1255" t="s">
        <v>2939</v>
      </c>
      <c r="D397" s="1255" t="s">
        <v>1530</v>
      </c>
      <c r="E397" s="1255" t="s">
        <v>11569</v>
      </c>
      <c r="F397" s="1255" t="s">
        <v>11579</v>
      </c>
      <c r="G397" s="1254" t="s">
        <v>41</v>
      </c>
      <c r="H397" s="1254" t="s">
        <v>1529</v>
      </c>
      <c r="I397" s="1258" t="s">
        <v>1377</v>
      </c>
      <c r="J397" s="1259"/>
      <c r="K397" s="1257">
        <v>2250000.0</v>
      </c>
    </row>
    <row r="398">
      <c r="A398" s="1253" t="s">
        <v>16086</v>
      </c>
      <c r="B398" s="1254" t="s">
        <v>16087</v>
      </c>
      <c r="C398" s="1255" t="s">
        <v>2939</v>
      </c>
      <c r="D398" s="1255" t="s">
        <v>553</v>
      </c>
      <c r="E398" s="1255" t="s">
        <v>11578</v>
      </c>
      <c r="F398" s="1255" t="s">
        <v>11570</v>
      </c>
      <c r="G398" s="1254" t="s">
        <v>22</v>
      </c>
      <c r="H398" s="1254" t="s">
        <v>554</v>
      </c>
      <c r="I398" s="1258" t="s">
        <v>125</v>
      </c>
      <c r="J398" s="1259"/>
      <c r="K398" s="1257">
        <v>2521000.0</v>
      </c>
    </row>
    <row r="399">
      <c r="A399" s="1253" t="s">
        <v>16088</v>
      </c>
      <c r="B399" s="1254" t="s">
        <v>2939</v>
      </c>
      <c r="C399" s="1255" t="s">
        <v>2939</v>
      </c>
      <c r="D399" s="1255" t="s">
        <v>555</v>
      </c>
      <c r="E399" s="1255" t="s">
        <v>11578</v>
      </c>
      <c r="F399" s="1255" t="s">
        <v>11579</v>
      </c>
      <c r="G399" s="1254" t="s">
        <v>41</v>
      </c>
      <c r="H399" s="1254" t="s">
        <v>554</v>
      </c>
      <c r="I399" s="1258" t="s">
        <v>1377</v>
      </c>
      <c r="J399" s="1259"/>
      <c r="K399" s="1257">
        <v>2083000.0</v>
      </c>
    </row>
    <row r="400">
      <c r="A400" s="1253" t="s">
        <v>16089</v>
      </c>
      <c r="B400" s="1254" t="s">
        <v>2939</v>
      </c>
      <c r="C400" s="1255" t="s">
        <v>2939</v>
      </c>
      <c r="D400" s="1255" t="s">
        <v>556</v>
      </c>
      <c r="E400" s="1255" t="s">
        <v>11578</v>
      </c>
      <c r="F400" s="1255" t="s">
        <v>11591</v>
      </c>
      <c r="G400" s="1254" t="s">
        <v>130</v>
      </c>
      <c r="H400" s="1254" t="s">
        <v>554</v>
      </c>
      <c r="I400" s="1259"/>
      <c r="J400" s="1259"/>
      <c r="K400" s="1257">
        <v>795000.0</v>
      </c>
    </row>
    <row r="401">
      <c r="A401" s="1253" t="s">
        <v>16090</v>
      </c>
      <c r="B401" s="1254" t="s">
        <v>2939</v>
      </c>
      <c r="C401" s="1255" t="s">
        <v>2939</v>
      </c>
      <c r="D401" s="1255" t="s">
        <v>557</v>
      </c>
      <c r="E401" s="1255" t="s">
        <v>11578</v>
      </c>
      <c r="F401" s="1255" t="s">
        <v>11591</v>
      </c>
      <c r="G401" s="1254" t="s">
        <v>132</v>
      </c>
      <c r="H401" s="1254" t="s">
        <v>554</v>
      </c>
      <c r="I401" s="1259"/>
      <c r="J401" s="1259"/>
      <c r="K401" s="1257">
        <v>795000.0</v>
      </c>
    </row>
    <row r="402">
      <c r="A402" s="1253" t="s">
        <v>16091</v>
      </c>
      <c r="B402" s="1254" t="s">
        <v>2939</v>
      </c>
      <c r="C402" s="1255" t="s">
        <v>2939</v>
      </c>
      <c r="D402" s="1255" t="s">
        <v>558</v>
      </c>
      <c r="E402" s="1255" t="s">
        <v>11578</v>
      </c>
      <c r="F402" s="1255" t="s">
        <v>11591</v>
      </c>
      <c r="G402" s="1254" t="s">
        <v>202</v>
      </c>
      <c r="H402" s="1254" t="s">
        <v>554</v>
      </c>
      <c r="I402" s="1258" t="s">
        <v>97</v>
      </c>
      <c r="J402" s="1259"/>
      <c r="K402" s="1257">
        <v>436000.0</v>
      </c>
    </row>
    <row r="403">
      <c r="A403" s="1253" t="s">
        <v>16092</v>
      </c>
      <c r="B403" s="1254" t="s">
        <v>16093</v>
      </c>
      <c r="C403" s="1255" t="s">
        <v>2939</v>
      </c>
      <c r="D403" s="1255" t="s">
        <v>559</v>
      </c>
      <c r="E403" s="1255" t="s">
        <v>11576</v>
      </c>
      <c r="F403" s="1255" t="s">
        <v>11570</v>
      </c>
      <c r="G403" s="1254" t="s">
        <v>22</v>
      </c>
      <c r="H403" s="1254" t="s">
        <v>560</v>
      </c>
      <c r="I403" s="1258" t="s">
        <v>125</v>
      </c>
      <c r="J403" s="1259"/>
      <c r="K403" s="1257">
        <v>2118000.0</v>
      </c>
    </row>
    <row r="404">
      <c r="A404" s="1253" t="s">
        <v>16094</v>
      </c>
      <c r="B404" s="1254" t="s">
        <v>16095</v>
      </c>
      <c r="C404" s="1255" t="s">
        <v>2939</v>
      </c>
      <c r="D404" s="1255" t="s">
        <v>561</v>
      </c>
      <c r="E404" s="1255" t="s">
        <v>11576</v>
      </c>
      <c r="F404" s="1255" t="s">
        <v>11579</v>
      </c>
      <c r="G404" s="1254" t="s">
        <v>41</v>
      </c>
      <c r="H404" s="1254" t="s">
        <v>560</v>
      </c>
      <c r="I404" s="1258" t="s">
        <v>1377</v>
      </c>
      <c r="J404" s="1259"/>
      <c r="K404" s="1257">
        <v>2570000.0</v>
      </c>
    </row>
    <row r="405">
      <c r="A405" s="1253" t="s">
        <v>16096</v>
      </c>
      <c r="B405" s="1254" t="s">
        <v>2939</v>
      </c>
      <c r="C405" s="1255" t="s">
        <v>2939</v>
      </c>
      <c r="D405" s="1255" t="s">
        <v>562</v>
      </c>
      <c r="E405" s="1255" t="s">
        <v>11578</v>
      </c>
      <c r="F405" s="1255" t="s">
        <v>11591</v>
      </c>
      <c r="G405" s="1254" t="s">
        <v>130</v>
      </c>
      <c r="H405" s="1254" t="s">
        <v>560</v>
      </c>
      <c r="I405" s="1259"/>
      <c r="J405" s="1259"/>
      <c r="K405" s="1257">
        <v>802000.0</v>
      </c>
    </row>
    <row r="406">
      <c r="A406" s="1253" t="s">
        <v>16097</v>
      </c>
      <c r="B406" s="1254" t="s">
        <v>2939</v>
      </c>
      <c r="C406" s="1255" t="s">
        <v>2939</v>
      </c>
      <c r="D406" s="1255" t="s">
        <v>563</v>
      </c>
      <c r="E406" s="1255" t="s">
        <v>11578</v>
      </c>
      <c r="F406" s="1255" t="s">
        <v>11591</v>
      </c>
      <c r="G406" s="1254" t="s">
        <v>132</v>
      </c>
      <c r="H406" s="1254" t="s">
        <v>560</v>
      </c>
      <c r="I406" s="1259"/>
      <c r="J406" s="1259"/>
      <c r="K406" s="1257">
        <v>579000.0</v>
      </c>
    </row>
    <row r="407">
      <c r="A407" s="1253" t="s">
        <v>16098</v>
      </c>
      <c r="B407" s="1254" t="s">
        <v>16099</v>
      </c>
      <c r="C407" s="1255" t="s">
        <v>2939</v>
      </c>
      <c r="D407" s="1255" t="s">
        <v>564</v>
      </c>
      <c r="E407" s="1255" t="s">
        <v>11576</v>
      </c>
      <c r="F407" s="1255" t="s">
        <v>11591</v>
      </c>
      <c r="G407" s="1254" t="s">
        <v>134</v>
      </c>
      <c r="H407" s="1254" t="s">
        <v>560</v>
      </c>
      <c r="I407" s="1259"/>
      <c r="J407" s="1259"/>
      <c r="K407" s="1257">
        <v>579000.0</v>
      </c>
    </row>
    <row r="408">
      <c r="A408" s="1253" t="s">
        <v>2939</v>
      </c>
      <c r="B408" s="1254" t="s">
        <v>16100</v>
      </c>
      <c r="C408" s="1255" t="s">
        <v>2939</v>
      </c>
      <c r="D408" s="1260" t="s">
        <v>11742</v>
      </c>
      <c r="E408" s="1255" t="s">
        <v>11569</v>
      </c>
      <c r="F408" s="1260" t="s">
        <v>11570</v>
      </c>
      <c r="G408" s="1254" t="s">
        <v>22</v>
      </c>
      <c r="H408" s="1254" t="s">
        <v>11743</v>
      </c>
      <c r="I408" s="1258" t="s">
        <v>75</v>
      </c>
      <c r="J408" s="1259"/>
      <c r="K408" s="1257">
        <v>3200000.0</v>
      </c>
    </row>
    <row r="409">
      <c r="A409" s="1253" t="s">
        <v>2939</v>
      </c>
      <c r="B409" s="1254" t="s">
        <v>16101</v>
      </c>
      <c r="C409" s="1255" t="s">
        <v>2939</v>
      </c>
      <c r="D409" s="1255" t="s">
        <v>1533</v>
      </c>
      <c r="E409" s="1255" t="s">
        <v>11569</v>
      </c>
      <c r="F409" s="1255" t="s">
        <v>11570</v>
      </c>
      <c r="G409" s="1254" t="s">
        <v>22</v>
      </c>
      <c r="H409" s="1254" t="s">
        <v>1534</v>
      </c>
      <c r="I409" s="1254" t="s">
        <v>125</v>
      </c>
      <c r="J409" s="1256"/>
      <c r="K409" s="1257">
        <v>2464000.0</v>
      </c>
    </row>
    <row r="410">
      <c r="A410" s="1253" t="s">
        <v>2939</v>
      </c>
      <c r="B410" s="1254" t="s">
        <v>16102</v>
      </c>
      <c r="C410" s="1255" t="s">
        <v>2939</v>
      </c>
      <c r="D410" s="1255" t="s">
        <v>1535</v>
      </c>
      <c r="E410" s="1255" t="s">
        <v>11569</v>
      </c>
      <c r="F410" s="1255" t="s">
        <v>11579</v>
      </c>
      <c r="G410" s="1254" t="s">
        <v>41</v>
      </c>
      <c r="H410" s="1254" t="s">
        <v>1534</v>
      </c>
      <c r="I410" s="1254" t="s">
        <v>2193</v>
      </c>
      <c r="J410" s="1256"/>
      <c r="K410" s="1257">
        <v>2237000.0</v>
      </c>
    </row>
    <row r="411">
      <c r="A411" s="1253" t="s">
        <v>2939</v>
      </c>
      <c r="B411" s="1254" t="s">
        <v>16103</v>
      </c>
      <c r="C411" s="1255" t="s">
        <v>2939</v>
      </c>
      <c r="D411" s="1260" t="s">
        <v>1536</v>
      </c>
      <c r="E411" s="1255" t="s">
        <v>11569</v>
      </c>
      <c r="F411" s="1260" t="s">
        <v>11570</v>
      </c>
      <c r="G411" s="1258" t="s">
        <v>22</v>
      </c>
      <c r="H411" s="1258" t="s">
        <v>1537</v>
      </c>
      <c r="I411" s="1258" t="s">
        <v>125</v>
      </c>
      <c r="J411" s="1259"/>
      <c r="K411" s="1257">
        <v>1650000.0</v>
      </c>
    </row>
    <row r="412">
      <c r="A412" s="1253" t="s">
        <v>2939</v>
      </c>
      <c r="B412" s="1254" t="s">
        <v>16104</v>
      </c>
      <c r="C412" s="1255" t="s">
        <v>2939</v>
      </c>
      <c r="D412" s="1260" t="s">
        <v>1624</v>
      </c>
      <c r="E412" s="1255" t="s">
        <v>11569</v>
      </c>
      <c r="F412" s="1260" t="s">
        <v>11570</v>
      </c>
      <c r="G412" s="1258" t="s">
        <v>22</v>
      </c>
      <c r="H412" s="1258" t="s">
        <v>1537</v>
      </c>
      <c r="I412" s="1258" t="s">
        <v>75</v>
      </c>
      <c r="J412" s="1259"/>
      <c r="K412" s="1257">
        <v>2100000.0</v>
      </c>
    </row>
    <row r="413">
      <c r="A413" s="1253" t="s">
        <v>2939</v>
      </c>
      <c r="B413" s="1254" t="s">
        <v>16105</v>
      </c>
      <c r="C413" s="1255" t="s">
        <v>2939</v>
      </c>
      <c r="D413" s="1260" t="s">
        <v>1615</v>
      </c>
      <c r="E413" s="1255" t="s">
        <v>11569</v>
      </c>
      <c r="F413" s="1260" t="s">
        <v>11579</v>
      </c>
      <c r="G413" s="1258" t="s">
        <v>41</v>
      </c>
      <c r="H413" s="1258" t="s">
        <v>1537</v>
      </c>
      <c r="I413" s="1258" t="s">
        <v>533</v>
      </c>
      <c r="J413" s="1259"/>
      <c r="K413" s="1257">
        <v>1350000.0</v>
      </c>
    </row>
    <row r="414">
      <c r="A414" s="1253" t="s">
        <v>2939</v>
      </c>
      <c r="B414" s="1254" t="s">
        <v>16106</v>
      </c>
      <c r="C414" s="1255" t="s">
        <v>2939</v>
      </c>
      <c r="D414" s="1255" t="s">
        <v>2470</v>
      </c>
      <c r="E414" s="1255" t="s">
        <v>11569</v>
      </c>
      <c r="F414" s="1260" t="s">
        <v>11579</v>
      </c>
      <c r="G414" s="1258" t="s">
        <v>41</v>
      </c>
      <c r="H414" s="1258" t="s">
        <v>2471</v>
      </c>
      <c r="I414" s="1258" t="s">
        <v>1377</v>
      </c>
      <c r="J414" s="1259"/>
      <c r="K414" s="1257">
        <v>1200000.0</v>
      </c>
    </row>
    <row r="415">
      <c r="A415" s="1253" t="s">
        <v>16107</v>
      </c>
      <c r="B415" s="1254" t="s">
        <v>16108</v>
      </c>
      <c r="C415" s="1255" t="s">
        <v>2939</v>
      </c>
      <c r="D415" s="1255" t="s">
        <v>565</v>
      </c>
      <c r="E415" s="1255" t="s">
        <v>11576</v>
      </c>
      <c r="F415" s="1255" t="s">
        <v>11570</v>
      </c>
      <c r="G415" s="1254" t="s">
        <v>22</v>
      </c>
      <c r="H415" s="1254" t="s">
        <v>566</v>
      </c>
      <c r="I415" s="1258" t="s">
        <v>125</v>
      </c>
      <c r="J415" s="1259"/>
      <c r="K415" s="1257">
        <v>2280000.0</v>
      </c>
    </row>
    <row r="416">
      <c r="A416" s="1253" t="s">
        <v>16109</v>
      </c>
      <c r="B416" s="1254" t="s">
        <v>16110</v>
      </c>
      <c r="C416" s="1255" t="s">
        <v>2939</v>
      </c>
      <c r="D416" s="1255" t="s">
        <v>567</v>
      </c>
      <c r="E416" s="1255" t="s">
        <v>11576</v>
      </c>
      <c r="F416" s="1255" t="s">
        <v>11570</v>
      </c>
      <c r="G416" s="1254" t="s">
        <v>22</v>
      </c>
      <c r="H416" s="1254" t="s">
        <v>568</v>
      </c>
      <c r="I416" s="1258" t="s">
        <v>125</v>
      </c>
      <c r="J416" s="1259"/>
      <c r="K416" s="1257">
        <v>2268000.0</v>
      </c>
    </row>
    <row r="417">
      <c r="A417" s="1253" t="s">
        <v>16111</v>
      </c>
      <c r="B417" s="1254" t="s">
        <v>16112</v>
      </c>
      <c r="C417" s="1255" t="s">
        <v>2939</v>
      </c>
      <c r="D417" s="1255" t="s">
        <v>569</v>
      </c>
      <c r="E417" s="1255" t="s">
        <v>11576</v>
      </c>
      <c r="F417" s="1255" t="s">
        <v>11579</v>
      </c>
      <c r="G417" s="1254" t="s">
        <v>41</v>
      </c>
      <c r="H417" s="1254" t="s">
        <v>568</v>
      </c>
      <c r="I417" s="1258" t="s">
        <v>1377</v>
      </c>
      <c r="J417" s="1259"/>
      <c r="K417" s="1257">
        <v>2088000.0</v>
      </c>
    </row>
    <row r="418">
      <c r="A418" s="1253" t="s">
        <v>16113</v>
      </c>
      <c r="B418" s="1254" t="s">
        <v>16114</v>
      </c>
      <c r="C418" s="1255" t="s">
        <v>2939</v>
      </c>
      <c r="D418" s="1255" t="s">
        <v>570</v>
      </c>
      <c r="E418" s="1255" t="s">
        <v>11576</v>
      </c>
      <c r="F418" s="1255" t="s">
        <v>11570</v>
      </c>
      <c r="G418" s="1254" t="s">
        <v>22</v>
      </c>
      <c r="H418" s="1254" t="s">
        <v>571</v>
      </c>
      <c r="I418" s="1258" t="s">
        <v>125</v>
      </c>
      <c r="J418" s="1259"/>
      <c r="K418" s="1257">
        <v>3361000.0</v>
      </c>
    </row>
    <row r="419">
      <c r="A419" s="1253" t="s">
        <v>16115</v>
      </c>
      <c r="B419" s="1254" t="s">
        <v>2939</v>
      </c>
      <c r="C419" s="1255" t="s">
        <v>2939</v>
      </c>
      <c r="D419" s="1255" t="s">
        <v>572</v>
      </c>
      <c r="E419" s="1255" t="s">
        <v>11578</v>
      </c>
      <c r="F419" s="1255" t="s">
        <v>11579</v>
      </c>
      <c r="G419" s="1254" t="s">
        <v>41</v>
      </c>
      <c r="H419" s="1254" t="s">
        <v>571</v>
      </c>
      <c r="I419" s="1258" t="s">
        <v>1377</v>
      </c>
      <c r="J419" s="1259"/>
      <c r="K419" s="1257">
        <v>2231000.0</v>
      </c>
    </row>
    <row r="420">
      <c r="A420" s="1250" t="s">
        <v>11746</v>
      </c>
      <c r="B420" s="1251" t="s">
        <v>11746</v>
      </c>
      <c r="C420" s="1252"/>
      <c r="D420" s="1252"/>
      <c r="E420" s="1252"/>
      <c r="F420" s="1252"/>
      <c r="G420" s="1252"/>
      <c r="H420" s="1251" t="s">
        <v>11746</v>
      </c>
      <c r="I420" s="1252"/>
      <c r="J420" s="1252"/>
      <c r="K420" s="1252"/>
    </row>
    <row r="421">
      <c r="A421" s="1253" t="s">
        <v>2939</v>
      </c>
      <c r="B421" s="1254" t="s">
        <v>2939</v>
      </c>
      <c r="C421" s="1255" t="s">
        <v>16116</v>
      </c>
      <c r="D421" s="1255" t="s">
        <v>2405</v>
      </c>
      <c r="E421" s="1255" t="s">
        <v>11653</v>
      </c>
      <c r="F421" s="1255" t="s">
        <v>11570</v>
      </c>
      <c r="G421" s="1254" t="s">
        <v>22</v>
      </c>
      <c r="H421" s="1254" t="s">
        <v>40</v>
      </c>
      <c r="I421" s="1259"/>
      <c r="J421" s="1259"/>
      <c r="K421" s="1257">
        <v>1439000.0</v>
      </c>
    </row>
    <row r="422">
      <c r="A422" s="1253" t="s">
        <v>2939</v>
      </c>
      <c r="B422" s="1254" t="s">
        <v>16117</v>
      </c>
      <c r="C422" s="1255" t="s">
        <v>2939</v>
      </c>
      <c r="D422" s="1255" t="s">
        <v>1786</v>
      </c>
      <c r="E422" s="1255" t="s">
        <v>11569</v>
      </c>
      <c r="F422" s="1255" t="s">
        <v>11570</v>
      </c>
      <c r="G422" s="1254" t="s">
        <v>22</v>
      </c>
      <c r="H422" s="1254" t="s">
        <v>1787</v>
      </c>
      <c r="I422" s="1258" t="s">
        <v>125</v>
      </c>
      <c r="J422" s="1259"/>
      <c r="K422" s="1257">
        <v>1648000.0</v>
      </c>
    </row>
    <row r="423">
      <c r="A423" s="1253" t="s">
        <v>2939</v>
      </c>
      <c r="B423" s="1254" t="s">
        <v>16118</v>
      </c>
      <c r="C423" s="1255" t="s">
        <v>2939</v>
      </c>
      <c r="D423" s="1260" t="s">
        <v>2489</v>
      </c>
      <c r="E423" s="1255" t="s">
        <v>11569</v>
      </c>
      <c r="F423" s="1255" t="s">
        <v>11570</v>
      </c>
      <c r="G423" s="1254" t="s">
        <v>22</v>
      </c>
      <c r="H423" s="1254" t="s">
        <v>2490</v>
      </c>
      <c r="I423" s="1258" t="s">
        <v>125</v>
      </c>
      <c r="J423" s="1259"/>
      <c r="K423" s="1257">
        <v>1500000.0</v>
      </c>
    </row>
    <row r="424">
      <c r="A424" s="1253" t="s">
        <v>16119</v>
      </c>
      <c r="B424" s="1254" t="s">
        <v>16120</v>
      </c>
      <c r="C424" s="1255" t="s">
        <v>2939</v>
      </c>
      <c r="D424" s="1255" t="s">
        <v>573</v>
      </c>
      <c r="E424" s="1255" t="s">
        <v>11576</v>
      </c>
      <c r="F424" s="1255" t="s">
        <v>11570</v>
      </c>
      <c r="G424" s="1254" t="s">
        <v>22</v>
      </c>
      <c r="H424" s="1254" t="s">
        <v>16121</v>
      </c>
      <c r="I424" s="1258" t="s">
        <v>125</v>
      </c>
      <c r="J424" s="1259"/>
      <c r="K424" s="1257">
        <v>1664000.0</v>
      </c>
    </row>
    <row r="425">
      <c r="A425" s="1253" t="s">
        <v>2939</v>
      </c>
      <c r="B425" s="1254" t="s">
        <v>2939</v>
      </c>
      <c r="C425" s="1255" t="s">
        <v>16122</v>
      </c>
      <c r="D425" s="1255" t="s">
        <v>1423</v>
      </c>
      <c r="E425" s="1255" t="s">
        <v>11653</v>
      </c>
      <c r="F425" s="1255" t="s">
        <v>11570</v>
      </c>
      <c r="G425" s="1254" t="s">
        <v>22</v>
      </c>
      <c r="H425" s="1254" t="s">
        <v>1424</v>
      </c>
      <c r="I425" s="1259"/>
      <c r="J425" s="1259"/>
      <c r="K425" s="1257">
        <v>885000.0</v>
      </c>
    </row>
    <row r="426">
      <c r="A426" s="1253" t="s">
        <v>2939</v>
      </c>
      <c r="B426" s="1254" t="s">
        <v>16123</v>
      </c>
      <c r="C426" s="1255" t="s">
        <v>2939</v>
      </c>
      <c r="D426" s="1255" t="s">
        <v>1780</v>
      </c>
      <c r="E426" s="1255" t="s">
        <v>11569</v>
      </c>
      <c r="F426" s="1255" t="s">
        <v>11570</v>
      </c>
      <c r="G426" s="1254" t="s">
        <v>22</v>
      </c>
      <c r="H426" s="1254" t="s">
        <v>1781</v>
      </c>
      <c r="I426" s="1259"/>
      <c r="J426" s="1259"/>
      <c r="K426" s="1257">
        <v>938000.0</v>
      </c>
    </row>
    <row r="427">
      <c r="A427" s="1250" t="s">
        <v>11749</v>
      </c>
      <c r="B427" s="1251" t="s">
        <v>11749</v>
      </c>
      <c r="C427" s="1252"/>
      <c r="D427" s="1252"/>
      <c r="E427" s="1252"/>
      <c r="F427" s="1252"/>
      <c r="G427" s="1252"/>
      <c r="H427" s="1251" t="s">
        <v>11749</v>
      </c>
      <c r="I427" s="1252"/>
      <c r="J427" s="1252"/>
      <c r="K427" s="1252"/>
    </row>
    <row r="428">
      <c r="A428" s="1253" t="s">
        <v>2939</v>
      </c>
      <c r="B428" s="1254" t="s">
        <v>16124</v>
      </c>
      <c r="C428" s="1255" t="s">
        <v>2939</v>
      </c>
      <c r="D428" s="1255" t="s">
        <v>1548</v>
      </c>
      <c r="E428" s="1255" t="s">
        <v>11569</v>
      </c>
      <c r="F428" s="1255" t="s">
        <v>11570</v>
      </c>
      <c r="G428" s="1254" t="s">
        <v>22</v>
      </c>
      <c r="H428" s="1254" t="s">
        <v>11750</v>
      </c>
      <c r="I428" s="1254" t="s">
        <v>75</v>
      </c>
      <c r="J428" s="1256"/>
      <c r="K428" s="1257">
        <v>7390000.0</v>
      </c>
    </row>
    <row r="429">
      <c r="A429" s="1250" t="s">
        <v>11751</v>
      </c>
      <c r="B429" s="1251" t="s">
        <v>11751</v>
      </c>
      <c r="C429" s="1252"/>
      <c r="D429" s="1252"/>
      <c r="E429" s="1252"/>
      <c r="F429" s="1252"/>
      <c r="G429" s="1252"/>
      <c r="H429" s="1251" t="s">
        <v>11751</v>
      </c>
      <c r="I429" s="1252"/>
      <c r="J429" s="1252"/>
      <c r="K429" s="1252"/>
    </row>
    <row r="430">
      <c r="A430" s="1253" t="s">
        <v>2939</v>
      </c>
      <c r="B430" s="1254" t="s">
        <v>2939</v>
      </c>
      <c r="C430" s="1255" t="s">
        <v>16125</v>
      </c>
      <c r="D430" s="1255" t="s">
        <v>1959</v>
      </c>
      <c r="E430" s="1255" t="s">
        <v>11653</v>
      </c>
      <c r="F430" s="1255" t="s">
        <v>11570</v>
      </c>
      <c r="G430" s="1254" t="s">
        <v>22</v>
      </c>
      <c r="H430" s="1254" t="s">
        <v>1960</v>
      </c>
      <c r="I430" s="1259"/>
      <c r="J430" s="1259"/>
      <c r="K430" s="1257">
        <v>1199000.0</v>
      </c>
    </row>
    <row r="431">
      <c r="A431" s="1253" t="s">
        <v>2939</v>
      </c>
      <c r="B431" s="1254" t="s">
        <v>2939</v>
      </c>
      <c r="C431" s="1255" t="s">
        <v>16126</v>
      </c>
      <c r="D431" s="1255" t="s">
        <v>1726</v>
      </c>
      <c r="E431" s="1255" t="s">
        <v>11653</v>
      </c>
      <c r="F431" s="1255" t="s">
        <v>11570</v>
      </c>
      <c r="G431" s="1254" t="s">
        <v>22</v>
      </c>
      <c r="H431" s="1254" t="s">
        <v>1727</v>
      </c>
      <c r="I431" s="1259"/>
      <c r="J431" s="1259"/>
      <c r="K431" s="1257">
        <v>1559000.0</v>
      </c>
    </row>
    <row r="432">
      <c r="A432" s="1253" t="s">
        <v>2939</v>
      </c>
      <c r="B432" s="1254" t="s">
        <v>16127</v>
      </c>
      <c r="C432" s="1255" t="s">
        <v>2939</v>
      </c>
      <c r="D432" s="1255" t="s">
        <v>11752</v>
      </c>
      <c r="E432" s="1255" t="s">
        <v>11569</v>
      </c>
      <c r="F432" s="1260" t="s">
        <v>11570</v>
      </c>
      <c r="G432" s="1258" t="s">
        <v>22</v>
      </c>
      <c r="H432" s="1258" t="s">
        <v>11753</v>
      </c>
      <c r="I432" s="1254" t="s">
        <v>804</v>
      </c>
      <c r="J432" s="1256"/>
      <c r="K432" s="1257">
        <v>6000000.0</v>
      </c>
    </row>
    <row r="433">
      <c r="A433" s="1253" t="s">
        <v>2939</v>
      </c>
      <c r="B433" s="1254" t="s">
        <v>16128</v>
      </c>
      <c r="C433" s="1255" t="s">
        <v>2939</v>
      </c>
      <c r="D433" s="1255" t="s">
        <v>1550</v>
      </c>
      <c r="E433" s="1255" t="s">
        <v>11569</v>
      </c>
      <c r="F433" s="1255" t="s">
        <v>11579</v>
      </c>
      <c r="G433" s="1254" t="s">
        <v>41</v>
      </c>
      <c r="H433" s="1254" t="s">
        <v>1551</v>
      </c>
      <c r="I433" s="1259"/>
      <c r="J433" s="1259"/>
      <c r="K433" s="1257">
        <v>6000000.0</v>
      </c>
    </row>
    <row r="434">
      <c r="A434" s="1253" t="s">
        <v>16129</v>
      </c>
      <c r="B434" s="1254" t="s">
        <v>16130</v>
      </c>
      <c r="C434" s="1255" t="s">
        <v>2939</v>
      </c>
      <c r="D434" s="1255" t="s">
        <v>575</v>
      </c>
      <c r="E434" s="1255" t="s">
        <v>11576</v>
      </c>
      <c r="F434" s="1255" t="s">
        <v>11570</v>
      </c>
      <c r="G434" s="1254" t="s">
        <v>22</v>
      </c>
      <c r="H434" s="1254" t="s">
        <v>576</v>
      </c>
      <c r="I434" s="1258" t="s">
        <v>125</v>
      </c>
      <c r="J434" s="1259"/>
      <c r="K434" s="1257">
        <v>3881000.0</v>
      </c>
    </row>
    <row r="435">
      <c r="A435" s="1253" t="s">
        <v>2939</v>
      </c>
      <c r="B435" s="1254" t="s">
        <v>16131</v>
      </c>
      <c r="C435" s="1255" t="s">
        <v>2939</v>
      </c>
      <c r="D435" s="1255" t="s">
        <v>1552</v>
      </c>
      <c r="E435" s="1255" t="s">
        <v>11569</v>
      </c>
      <c r="F435" s="1255" t="s">
        <v>11579</v>
      </c>
      <c r="G435" s="1254" t="s">
        <v>41</v>
      </c>
      <c r="H435" s="1254" t="s">
        <v>1553</v>
      </c>
      <c r="I435" s="1254" t="s">
        <v>11641</v>
      </c>
      <c r="J435" s="1256"/>
      <c r="K435" s="1257">
        <v>6900000.0</v>
      </c>
    </row>
    <row r="436">
      <c r="A436" s="1253" t="s">
        <v>2939</v>
      </c>
      <c r="B436" s="1254" t="s">
        <v>16132</v>
      </c>
      <c r="C436" s="1255" t="s">
        <v>2939</v>
      </c>
      <c r="D436" s="1255" t="s">
        <v>1554</v>
      </c>
      <c r="E436" s="1255" t="s">
        <v>11569</v>
      </c>
      <c r="F436" s="1255" t="s">
        <v>11579</v>
      </c>
      <c r="G436" s="1254" t="s">
        <v>41</v>
      </c>
      <c r="H436" s="1254" t="s">
        <v>1555</v>
      </c>
      <c r="I436" s="1254" t="s">
        <v>11756</v>
      </c>
      <c r="J436" s="1256"/>
      <c r="K436" s="1257">
        <v>6900000.0</v>
      </c>
    </row>
    <row r="437">
      <c r="A437" s="1253" t="s">
        <v>2939</v>
      </c>
      <c r="B437" s="1254" t="s">
        <v>16133</v>
      </c>
      <c r="C437" s="1255" t="s">
        <v>2939</v>
      </c>
      <c r="D437" s="1255" t="s">
        <v>1788</v>
      </c>
      <c r="E437" s="1255" t="s">
        <v>11569</v>
      </c>
      <c r="F437" s="1255" t="s">
        <v>11570</v>
      </c>
      <c r="G437" s="1254" t="s">
        <v>22</v>
      </c>
      <c r="H437" s="1254" t="s">
        <v>1789</v>
      </c>
      <c r="I437" s="1254" t="s">
        <v>125</v>
      </c>
      <c r="J437" s="1256"/>
      <c r="K437" s="1257">
        <v>4311000.0</v>
      </c>
    </row>
    <row r="438">
      <c r="A438" s="1253" t="s">
        <v>2939</v>
      </c>
      <c r="B438" s="1254" t="s">
        <v>16134</v>
      </c>
      <c r="C438" s="1255" t="s">
        <v>2939</v>
      </c>
      <c r="D438" s="1255" t="s">
        <v>1558</v>
      </c>
      <c r="E438" s="1255" t="s">
        <v>11569</v>
      </c>
      <c r="F438" s="1255" t="s">
        <v>11579</v>
      </c>
      <c r="G438" s="1254" t="s">
        <v>41</v>
      </c>
      <c r="H438" s="1254" t="s">
        <v>1559</v>
      </c>
      <c r="I438" s="1254" t="s">
        <v>2193</v>
      </c>
      <c r="J438" s="1256"/>
      <c r="K438" s="1257">
        <v>7100000.0</v>
      </c>
    </row>
    <row r="439">
      <c r="A439" s="1250" t="s">
        <v>11757</v>
      </c>
      <c r="B439" s="1251" t="s">
        <v>11757</v>
      </c>
      <c r="C439" s="1252"/>
      <c r="D439" s="1252"/>
      <c r="E439" s="1252"/>
      <c r="F439" s="1252"/>
      <c r="G439" s="1252"/>
      <c r="H439" s="1251" t="s">
        <v>11757</v>
      </c>
      <c r="I439" s="1252"/>
      <c r="J439" s="1252"/>
      <c r="K439" s="1252"/>
    </row>
    <row r="440">
      <c r="A440" s="1253" t="s">
        <v>16135</v>
      </c>
      <c r="B440" s="1254" t="s">
        <v>16136</v>
      </c>
      <c r="C440" s="1255" t="s">
        <v>2939</v>
      </c>
      <c r="D440" s="1255" t="s">
        <v>577</v>
      </c>
      <c r="E440" s="1255" t="s">
        <v>11576</v>
      </c>
      <c r="F440" s="1255" t="s">
        <v>11579</v>
      </c>
      <c r="G440" s="1254" t="s">
        <v>41</v>
      </c>
      <c r="H440" s="1254" t="s">
        <v>578</v>
      </c>
      <c r="I440" s="1258" t="s">
        <v>2193</v>
      </c>
      <c r="J440" s="1259"/>
      <c r="K440" s="1257">
        <v>1961000.0</v>
      </c>
    </row>
    <row r="441">
      <c r="A441" s="1253" t="s">
        <v>16137</v>
      </c>
      <c r="B441" s="1254" t="s">
        <v>16138</v>
      </c>
      <c r="C441" s="1255" t="s">
        <v>2939</v>
      </c>
      <c r="D441" s="1255" t="s">
        <v>579</v>
      </c>
      <c r="E441" s="1255" t="s">
        <v>11576</v>
      </c>
      <c r="F441" s="1255" t="s">
        <v>11570</v>
      </c>
      <c r="G441" s="1254" t="s">
        <v>22</v>
      </c>
      <c r="H441" s="1254" t="s">
        <v>580</v>
      </c>
      <c r="I441" s="1258" t="s">
        <v>125</v>
      </c>
      <c r="J441" s="1259"/>
      <c r="K441" s="1257">
        <v>1373000.0</v>
      </c>
    </row>
    <row r="442">
      <c r="A442" s="1253" t="s">
        <v>16139</v>
      </c>
      <c r="B442" s="1254" t="s">
        <v>2939</v>
      </c>
      <c r="C442" s="1255" t="s">
        <v>2939</v>
      </c>
      <c r="D442" s="1255" t="s">
        <v>581</v>
      </c>
      <c r="E442" s="1255" t="s">
        <v>11578</v>
      </c>
      <c r="F442" s="1255" t="s">
        <v>11579</v>
      </c>
      <c r="G442" s="1254" t="s">
        <v>41</v>
      </c>
      <c r="H442" s="1254" t="s">
        <v>582</v>
      </c>
      <c r="I442" s="1258" t="s">
        <v>2193</v>
      </c>
      <c r="J442" s="1259"/>
      <c r="K442" s="1257">
        <v>2602000.0</v>
      </c>
    </row>
    <row r="443">
      <c r="A443" s="1253" t="s">
        <v>16140</v>
      </c>
      <c r="B443" s="1254" t="s">
        <v>2939</v>
      </c>
      <c r="C443" s="1255" t="s">
        <v>2939</v>
      </c>
      <c r="D443" s="1255" t="s">
        <v>583</v>
      </c>
      <c r="E443" s="1255" t="s">
        <v>11578</v>
      </c>
      <c r="F443" s="1255" t="s">
        <v>11579</v>
      </c>
      <c r="G443" s="1254" t="s">
        <v>41</v>
      </c>
      <c r="H443" s="1254" t="s">
        <v>584</v>
      </c>
      <c r="I443" s="1258" t="s">
        <v>1377</v>
      </c>
      <c r="J443" s="1259"/>
      <c r="K443" s="1257">
        <v>2892000.0</v>
      </c>
    </row>
    <row r="444">
      <c r="A444" s="1253" t="s">
        <v>2939</v>
      </c>
      <c r="B444" s="1254" t="s">
        <v>16141</v>
      </c>
      <c r="C444" s="1255" t="s">
        <v>2939</v>
      </c>
      <c r="D444" s="1255" t="s">
        <v>1560</v>
      </c>
      <c r="E444" s="1255" t="s">
        <v>11569</v>
      </c>
      <c r="F444" s="1255" t="s">
        <v>11570</v>
      </c>
      <c r="G444" s="1254" t="s">
        <v>22</v>
      </c>
      <c r="H444" s="1254" t="s">
        <v>1561</v>
      </c>
      <c r="I444" s="1258" t="s">
        <v>737</v>
      </c>
      <c r="J444" s="1259"/>
      <c r="K444" s="1257">
        <v>3695000.0</v>
      </c>
    </row>
    <row r="445">
      <c r="A445" s="1253" t="s">
        <v>2939</v>
      </c>
      <c r="B445" s="1254" t="s">
        <v>16142</v>
      </c>
      <c r="C445" s="1255" t="s">
        <v>2939</v>
      </c>
      <c r="D445" s="1255" t="s">
        <v>1562</v>
      </c>
      <c r="E445" s="1255" t="s">
        <v>11569</v>
      </c>
      <c r="F445" s="1255" t="s">
        <v>11579</v>
      </c>
      <c r="G445" s="1254" t="s">
        <v>41</v>
      </c>
      <c r="H445" s="1254" t="s">
        <v>1561</v>
      </c>
      <c r="I445" s="1258" t="s">
        <v>1377</v>
      </c>
      <c r="J445" s="1259"/>
      <c r="K445" s="1257">
        <v>2414000.0</v>
      </c>
    </row>
    <row r="446">
      <c r="A446" s="1253" t="s">
        <v>2939</v>
      </c>
      <c r="B446" s="1254" t="s">
        <v>16143</v>
      </c>
      <c r="C446" s="1255" t="s">
        <v>16144</v>
      </c>
      <c r="D446" s="1255" t="s">
        <v>1563</v>
      </c>
      <c r="E446" s="1255" t="s">
        <v>11654</v>
      </c>
      <c r="F446" s="1255" t="s">
        <v>11570</v>
      </c>
      <c r="G446" s="1254" t="s">
        <v>22</v>
      </c>
      <c r="H446" s="1254" t="s">
        <v>1564</v>
      </c>
      <c r="I446" s="1258" t="s">
        <v>125</v>
      </c>
      <c r="J446" s="1259"/>
      <c r="K446" s="1257">
        <v>2332000.0</v>
      </c>
    </row>
    <row r="447">
      <c r="A447" s="1253" t="s">
        <v>2939</v>
      </c>
      <c r="B447" s="1254" t="s">
        <v>16145</v>
      </c>
      <c r="C447" s="1255" t="s">
        <v>2939</v>
      </c>
      <c r="D447" s="1255" t="s">
        <v>1565</v>
      </c>
      <c r="E447" s="1255" t="s">
        <v>11569</v>
      </c>
      <c r="F447" s="1255" t="s">
        <v>11579</v>
      </c>
      <c r="G447" s="1254" t="s">
        <v>41</v>
      </c>
      <c r="H447" s="1254" t="s">
        <v>1564</v>
      </c>
      <c r="I447" s="1258" t="s">
        <v>2193</v>
      </c>
      <c r="J447" s="1259"/>
      <c r="K447" s="1257">
        <v>2355000.0</v>
      </c>
    </row>
    <row r="448">
      <c r="A448" s="1253" t="s">
        <v>16146</v>
      </c>
      <c r="B448" s="1254" t="s">
        <v>2939</v>
      </c>
      <c r="C448" s="1255" t="s">
        <v>2939</v>
      </c>
      <c r="D448" s="1255" t="s">
        <v>585</v>
      </c>
      <c r="E448" s="1255" t="s">
        <v>11578</v>
      </c>
      <c r="F448" s="1255" t="s">
        <v>11570</v>
      </c>
      <c r="G448" s="1254" t="s">
        <v>22</v>
      </c>
      <c r="H448" s="1254" t="s">
        <v>586</v>
      </c>
      <c r="I448" s="1258" t="s">
        <v>125</v>
      </c>
      <c r="J448" s="1259"/>
      <c r="K448" s="1257">
        <v>1570000.0</v>
      </c>
    </row>
    <row r="449">
      <c r="A449" s="1253" t="s">
        <v>16146</v>
      </c>
      <c r="B449" s="1254" t="s">
        <v>16147</v>
      </c>
      <c r="C449" s="1255" t="s">
        <v>2939</v>
      </c>
      <c r="D449" s="1255" t="s">
        <v>587</v>
      </c>
      <c r="E449" s="1255" t="s">
        <v>11576</v>
      </c>
      <c r="F449" s="1255" t="s">
        <v>11570</v>
      </c>
      <c r="G449" s="1254" t="s">
        <v>22</v>
      </c>
      <c r="H449" s="1254" t="s">
        <v>588</v>
      </c>
      <c r="I449" s="1258" t="s">
        <v>125</v>
      </c>
      <c r="J449" s="1259"/>
      <c r="K449" s="1257">
        <v>1570000.0</v>
      </c>
    </row>
    <row r="450">
      <c r="A450" s="1253" t="s">
        <v>16148</v>
      </c>
      <c r="B450" s="1254" t="s">
        <v>16149</v>
      </c>
      <c r="C450" s="1255" t="s">
        <v>2939</v>
      </c>
      <c r="D450" s="1255" t="s">
        <v>589</v>
      </c>
      <c r="E450" s="1255" t="s">
        <v>11576</v>
      </c>
      <c r="F450" s="1255" t="s">
        <v>11579</v>
      </c>
      <c r="G450" s="1254" t="s">
        <v>41</v>
      </c>
      <c r="H450" s="1254" t="s">
        <v>590</v>
      </c>
      <c r="I450" s="1258" t="s">
        <v>1377</v>
      </c>
      <c r="J450" s="1266">
        <v>1007000.0</v>
      </c>
      <c r="K450" s="1257">
        <v>1967000.0</v>
      </c>
    </row>
    <row r="451">
      <c r="A451" s="1253" t="s">
        <v>16150</v>
      </c>
      <c r="B451" s="1254" t="s">
        <v>16151</v>
      </c>
      <c r="C451" s="1255" t="s">
        <v>2939</v>
      </c>
      <c r="D451" s="1255" t="s">
        <v>591</v>
      </c>
      <c r="E451" s="1255" t="s">
        <v>11576</v>
      </c>
      <c r="F451" s="1255" t="s">
        <v>11591</v>
      </c>
      <c r="G451" s="1254" t="s">
        <v>128</v>
      </c>
      <c r="H451" s="1254" t="s">
        <v>590</v>
      </c>
      <c r="I451" s="1258" t="s">
        <v>141</v>
      </c>
      <c r="J451" s="1259"/>
      <c r="K451" s="1257">
        <v>725000.0</v>
      </c>
    </row>
    <row r="452">
      <c r="A452" s="1253" t="s">
        <v>16152</v>
      </c>
      <c r="B452" s="1254" t="s">
        <v>16153</v>
      </c>
      <c r="C452" s="1255" t="s">
        <v>2939</v>
      </c>
      <c r="D452" s="1255" t="s">
        <v>592</v>
      </c>
      <c r="E452" s="1255" t="s">
        <v>11576</v>
      </c>
      <c r="F452" s="1255" t="s">
        <v>11591</v>
      </c>
      <c r="G452" s="1254" t="s">
        <v>130</v>
      </c>
      <c r="H452" s="1254" t="s">
        <v>590</v>
      </c>
      <c r="I452" s="1258" t="s">
        <v>141</v>
      </c>
      <c r="J452" s="1259"/>
      <c r="K452" s="1257">
        <v>725000.0</v>
      </c>
    </row>
    <row r="453">
      <c r="A453" s="1253" t="s">
        <v>16154</v>
      </c>
      <c r="B453" s="1254" t="s">
        <v>2939</v>
      </c>
      <c r="C453" s="1255" t="s">
        <v>2939</v>
      </c>
      <c r="D453" s="1255" t="s">
        <v>593</v>
      </c>
      <c r="E453" s="1255" t="s">
        <v>11578</v>
      </c>
      <c r="F453" s="1255" t="s">
        <v>11591</v>
      </c>
      <c r="G453" s="1254" t="s">
        <v>132</v>
      </c>
      <c r="H453" s="1254" t="s">
        <v>590</v>
      </c>
      <c r="I453" s="1259"/>
      <c r="J453" s="1259"/>
      <c r="K453" s="1257">
        <v>725000.0</v>
      </c>
    </row>
    <row r="454">
      <c r="A454" s="1253" t="s">
        <v>16155</v>
      </c>
      <c r="B454" s="1254" t="s">
        <v>16156</v>
      </c>
      <c r="C454" s="1255" t="s">
        <v>2939</v>
      </c>
      <c r="D454" s="1255" t="s">
        <v>2013</v>
      </c>
      <c r="E454" s="1255" t="s">
        <v>11578</v>
      </c>
      <c r="F454" s="1255" t="s">
        <v>11591</v>
      </c>
      <c r="G454" s="1254" t="s">
        <v>134</v>
      </c>
      <c r="H454" s="1254" t="s">
        <v>590</v>
      </c>
      <c r="I454" s="1259"/>
      <c r="J454" s="1259"/>
      <c r="K454" s="1257">
        <v>725000.0</v>
      </c>
    </row>
    <row r="455">
      <c r="A455" s="1253" t="s">
        <v>16157</v>
      </c>
      <c r="B455" s="1254" t="s">
        <v>16158</v>
      </c>
      <c r="C455" s="1255" t="s">
        <v>2939</v>
      </c>
      <c r="D455" s="1255" t="s">
        <v>597</v>
      </c>
      <c r="E455" s="1255" t="s">
        <v>11576</v>
      </c>
      <c r="F455" s="1255" t="s">
        <v>11570</v>
      </c>
      <c r="G455" s="1254" t="s">
        <v>22</v>
      </c>
      <c r="H455" s="1254" t="s">
        <v>598</v>
      </c>
      <c r="I455" s="1258" t="s">
        <v>125</v>
      </c>
      <c r="J455" s="1259"/>
      <c r="K455" s="1257">
        <v>1287000.0</v>
      </c>
    </row>
    <row r="456">
      <c r="A456" s="1253" t="s">
        <v>16159</v>
      </c>
      <c r="B456" s="1254" t="s">
        <v>16160</v>
      </c>
      <c r="C456" s="1255" t="s">
        <v>2939</v>
      </c>
      <c r="D456" s="1255" t="s">
        <v>599</v>
      </c>
      <c r="E456" s="1255" t="s">
        <v>11576</v>
      </c>
      <c r="F456" s="1255" t="s">
        <v>11579</v>
      </c>
      <c r="G456" s="1254" t="s">
        <v>41</v>
      </c>
      <c r="H456" s="1254" t="s">
        <v>598</v>
      </c>
      <c r="I456" s="1258" t="s">
        <v>1377</v>
      </c>
      <c r="J456" s="1266">
        <v>1007000.0</v>
      </c>
      <c r="K456" s="1257">
        <v>1967000.0</v>
      </c>
    </row>
    <row r="457">
      <c r="A457" s="1253" t="s">
        <v>16161</v>
      </c>
      <c r="B457" s="1254" t="s">
        <v>16162</v>
      </c>
      <c r="C457" s="1255" t="s">
        <v>2939</v>
      </c>
      <c r="D457" s="1255" t="s">
        <v>600</v>
      </c>
      <c r="E457" s="1255" t="s">
        <v>11576</v>
      </c>
      <c r="F457" s="1255" t="s">
        <v>11591</v>
      </c>
      <c r="G457" s="1254" t="s">
        <v>128</v>
      </c>
      <c r="H457" s="1254" t="s">
        <v>598</v>
      </c>
      <c r="I457" s="1258" t="s">
        <v>397</v>
      </c>
      <c r="J457" s="1259"/>
      <c r="K457" s="1257">
        <v>725000.0</v>
      </c>
    </row>
    <row r="458">
      <c r="A458" s="1253" t="s">
        <v>16163</v>
      </c>
      <c r="B458" s="1254" t="s">
        <v>16164</v>
      </c>
      <c r="C458" s="1255" t="s">
        <v>2939</v>
      </c>
      <c r="D458" s="1255" t="s">
        <v>601</v>
      </c>
      <c r="E458" s="1255" t="s">
        <v>11576</v>
      </c>
      <c r="F458" s="1255" t="s">
        <v>11591</v>
      </c>
      <c r="G458" s="1254" t="s">
        <v>130</v>
      </c>
      <c r="H458" s="1254" t="s">
        <v>598</v>
      </c>
      <c r="I458" s="1258" t="s">
        <v>397</v>
      </c>
      <c r="J458" s="1259"/>
      <c r="K458" s="1257">
        <v>725000.0</v>
      </c>
    </row>
    <row r="459">
      <c r="A459" s="1253" t="s">
        <v>16165</v>
      </c>
      <c r="B459" s="1254" t="s">
        <v>16166</v>
      </c>
      <c r="C459" s="1255" t="s">
        <v>2939</v>
      </c>
      <c r="D459" s="1255" t="s">
        <v>602</v>
      </c>
      <c r="E459" s="1255" t="s">
        <v>11576</v>
      </c>
      <c r="F459" s="1255" t="s">
        <v>11591</v>
      </c>
      <c r="G459" s="1254" t="s">
        <v>132</v>
      </c>
      <c r="H459" s="1254" t="s">
        <v>598</v>
      </c>
      <c r="I459" s="1259"/>
      <c r="J459" s="1259"/>
      <c r="K459" s="1257">
        <v>725000.0</v>
      </c>
    </row>
    <row r="460">
      <c r="A460" s="1253" t="s">
        <v>16167</v>
      </c>
      <c r="B460" s="1254" t="s">
        <v>2939</v>
      </c>
      <c r="C460" s="1255" t="s">
        <v>2939</v>
      </c>
      <c r="D460" s="1255" t="s">
        <v>603</v>
      </c>
      <c r="E460" s="1255" t="s">
        <v>11578</v>
      </c>
      <c r="F460" s="1255" t="s">
        <v>11591</v>
      </c>
      <c r="G460" s="1254" t="s">
        <v>134</v>
      </c>
      <c r="H460" s="1254" t="s">
        <v>598</v>
      </c>
      <c r="I460" s="1259"/>
      <c r="J460" s="1259"/>
      <c r="K460" s="1257">
        <v>725000.0</v>
      </c>
    </row>
    <row r="461">
      <c r="A461" s="1253" t="s">
        <v>2939</v>
      </c>
      <c r="B461" s="1254" t="s">
        <v>2939</v>
      </c>
      <c r="C461" s="1255" t="s">
        <v>16168</v>
      </c>
      <c r="D461" s="1255" t="s">
        <v>1723</v>
      </c>
      <c r="E461" s="1255" t="s">
        <v>11653</v>
      </c>
      <c r="F461" s="1255" t="s">
        <v>11570</v>
      </c>
      <c r="G461" s="1254" t="s">
        <v>22</v>
      </c>
      <c r="H461" s="1254" t="s">
        <v>605</v>
      </c>
      <c r="I461" s="1258" t="s">
        <v>125</v>
      </c>
      <c r="J461" s="1259"/>
      <c r="K461" s="1257">
        <v>1507000.0</v>
      </c>
    </row>
    <row r="462">
      <c r="A462" s="1253" t="s">
        <v>16169</v>
      </c>
      <c r="B462" s="1254" t="s">
        <v>2939</v>
      </c>
      <c r="C462" s="1255" t="s">
        <v>2939</v>
      </c>
      <c r="D462" s="1255" t="s">
        <v>604</v>
      </c>
      <c r="E462" s="1255" t="s">
        <v>11578</v>
      </c>
      <c r="F462" s="1255" t="s">
        <v>11591</v>
      </c>
      <c r="G462" s="1254" t="s">
        <v>128</v>
      </c>
      <c r="H462" s="1254" t="s">
        <v>605</v>
      </c>
      <c r="I462" s="1258" t="s">
        <v>141</v>
      </c>
      <c r="J462" s="1259"/>
      <c r="K462" s="1257">
        <v>884000.0</v>
      </c>
    </row>
    <row r="463">
      <c r="A463" s="1253" t="s">
        <v>16170</v>
      </c>
      <c r="B463" s="1254" t="s">
        <v>16171</v>
      </c>
      <c r="C463" s="1255" t="s">
        <v>2939</v>
      </c>
      <c r="D463" s="1255" t="s">
        <v>606</v>
      </c>
      <c r="E463" s="1255" t="s">
        <v>11578</v>
      </c>
      <c r="F463" s="1255" t="s">
        <v>11591</v>
      </c>
      <c r="G463" s="1254" t="s">
        <v>130</v>
      </c>
      <c r="H463" s="1254" t="s">
        <v>605</v>
      </c>
      <c r="I463" s="1258" t="s">
        <v>141</v>
      </c>
      <c r="J463" s="1259"/>
      <c r="K463" s="1257">
        <v>884000.0</v>
      </c>
    </row>
    <row r="464">
      <c r="A464" s="1253" t="s">
        <v>16172</v>
      </c>
      <c r="B464" s="1254" t="s">
        <v>16173</v>
      </c>
      <c r="C464" s="1255" t="s">
        <v>2939</v>
      </c>
      <c r="D464" s="1255" t="s">
        <v>607</v>
      </c>
      <c r="E464" s="1255" t="s">
        <v>11576</v>
      </c>
      <c r="F464" s="1255" t="s">
        <v>11579</v>
      </c>
      <c r="G464" s="1254" t="s">
        <v>41</v>
      </c>
      <c r="H464" s="1254" t="s">
        <v>608</v>
      </c>
      <c r="I464" s="1258" t="s">
        <v>2193</v>
      </c>
      <c r="J464" s="1259"/>
      <c r="K464" s="1257">
        <v>1961000.0</v>
      </c>
    </row>
    <row r="465">
      <c r="A465" s="1253" t="s">
        <v>16174</v>
      </c>
      <c r="B465" s="1254" t="s">
        <v>16175</v>
      </c>
      <c r="C465" s="1255" t="s">
        <v>2939</v>
      </c>
      <c r="D465" s="1255" t="s">
        <v>609</v>
      </c>
      <c r="E465" s="1255" t="s">
        <v>11578</v>
      </c>
      <c r="F465" s="1255" t="s">
        <v>11570</v>
      </c>
      <c r="G465" s="1254" t="s">
        <v>22</v>
      </c>
      <c r="H465" s="1254" t="s">
        <v>610</v>
      </c>
      <c r="I465" s="1258" t="s">
        <v>125</v>
      </c>
      <c r="J465" s="1259"/>
      <c r="K465" s="1257">
        <v>1233000.0</v>
      </c>
    </row>
    <row r="466">
      <c r="A466" s="1253" t="s">
        <v>16176</v>
      </c>
      <c r="B466" s="1254" t="s">
        <v>2939</v>
      </c>
      <c r="C466" s="1255" t="s">
        <v>2939</v>
      </c>
      <c r="D466" s="1255" t="s">
        <v>611</v>
      </c>
      <c r="E466" s="1255" t="s">
        <v>11578</v>
      </c>
      <c r="F466" s="1255" t="s">
        <v>11579</v>
      </c>
      <c r="G466" s="1254" t="s">
        <v>41</v>
      </c>
      <c r="H466" s="1254" t="s">
        <v>612</v>
      </c>
      <c r="I466" s="1258" t="s">
        <v>2193</v>
      </c>
      <c r="J466" s="1259"/>
      <c r="K466" s="1257">
        <v>1714000.0</v>
      </c>
    </row>
    <row r="467">
      <c r="A467" s="1253" t="s">
        <v>16177</v>
      </c>
      <c r="B467" s="1254" t="s">
        <v>16178</v>
      </c>
      <c r="C467" s="1255" t="s">
        <v>2939</v>
      </c>
      <c r="D467" s="1255" t="s">
        <v>613</v>
      </c>
      <c r="E467" s="1255" t="s">
        <v>11576</v>
      </c>
      <c r="F467" s="1255" t="s">
        <v>11570</v>
      </c>
      <c r="G467" s="1254" t="s">
        <v>22</v>
      </c>
      <c r="H467" s="1254" t="s">
        <v>614</v>
      </c>
      <c r="I467" s="1258" t="s">
        <v>125</v>
      </c>
      <c r="J467" s="1259"/>
      <c r="K467" s="1257">
        <v>1765000.0</v>
      </c>
    </row>
    <row r="468">
      <c r="A468" s="1253" t="s">
        <v>16179</v>
      </c>
      <c r="B468" s="1254" t="s">
        <v>16180</v>
      </c>
      <c r="C468" s="1255" t="s">
        <v>2939</v>
      </c>
      <c r="D468" s="1255" t="s">
        <v>615</v>
      </c>
      <c r="E468" s="1255" t="s">
        <v>11576</v>
      </c>
      <c r="F468" s="1255" t="s">
        <v>11579</v>
      </c>
      <c r="G468" s="1254" t="s">
        <v>41</v>
      </c>
      <c r="H468" s="1258" t="s">
        <v>616</v>
      </c>
      <c r="I468" s="1258" t="s">
        <v>1377</v>
      </c>
      <c r="J468" s="1259"/>
      <c r="K468" s="1257">
        <v>1928000.0</v>
      </c>
    </row>
    <row r="469">
      <c r="A469" s="1253" t="s">
        <v>16181</v>
      </c>
      <c r="B469" s="1254" t="s">
        <v>16182</v>
      </c>
      <c r="C469" s="1255" t="s">
        <v>2939</v>
      </c>
      <c r="D469" s="1255" t="s">
        <v>617</v>
      </c>
      <c r="E469" s="1255" t="s">
        <v>11576</v>
      </c>
      <c r="F469" s="1255" t="s">
        <v>11570</v>
      </c>
      <c r="G469" s="1254" t="s">
        <v>22</v>
      </c>
      <c r="H469" s="1254" t="s">
        <v>618</v>
      </c>
      <c r="I469" s="1258" t="s">
        <v>125</v>
      </c>
      <c r="J469" s="1259"/>
      <c r="K469" s="1257">
        <v>1934000.0</v>
      </c>
    </row>
    <row r="470">
      <c r="A470" s="1253" t="s">
        <v>16183</v>
      </c>
      <c r="B470" s="1254" t="s">
        <v>16184</v>
      </c>
      <c r="C470" s="1255" t="s">
        <v>2939</v>
      </c>
      <c r="D470" s="1255" t="s">
        <v>619</v>
      </c>
      <c r="E470" s="1255" t="s">
        <v>11576</v>
      </c>
      <c r="F470" s="1255" t="s">
        <v>11579</v>
      </c>
      <c r="G470" s="1254" t="s">
        <v>41</v>
      </c>
      <c r="H470" s="1254" t="s">
        <v>618</v>
      </c>
      <c r="I470" s="1258" t="s">
        <v>1377</v>
      </c>
      <c r="J470" s="1259"/>
      <c r="K470" s="1257">
        <v>2410000.0</v>
      </c>
    </row>
    <row r="471">
      <c r="A471" s="1253" t="s">
        <v>16185</v>
      </c>
      <c r="B471" s="1254" t="s">
        <v>16186</v>
      </c>
      <c r="C471" s="1255" t="s">
        <v>2939</v>
      </c>
      <c r="D471" s="1255" t="s">
        <v>620</v>
      </c>
      <c r="E471" s="1255" t="s">
        <v>11576</v>
      </c>
      <c r="F471" s="1255" t="s">
        <v>11591</v>
      </c>
      <c r="G471" s="1254" t="s">
        <v>128</v>
      </c>
      <c r="H471" s="1254" t="s">
        <v>618</v>
      </c>
      <c r="I471" s="1259"/>
      <c r="J471" s="1259"/>
      <c r="K471" s="1257">
        <v>925000.0</v>
      </c>
    </row>
    <row r="472">
      <c r="A472" s="1253" t="s">
        <v>16187</v>
      </c>
      <c r="B472" s="1254" t="s">
        <v>16188</v>
      </c>
      <c r="C472" s="1255" t="s">
        <v>2939</v>
      </c>
      <c r="D472" s="1255" t="s">
        <v>621</v>
      </c>
      <c r="E472" s="1255" t="s">
        <v>11576</v>
      </c>
      <c r="F472" s="1255" t="s">
        <v>11591</v>
      </c>
      <c r="G472" s="1254" t="s">
        <v>130</v>
      </c>
      <c r="H472" s="1254" t="s">
        <v>618</v>
      </c>
      <c r="I472" s="1259"/>
      <c r="J472" s="1259"/>
      <c r="K472" s="1257">
        <v>925000.0</v>
      </c>
    </row>
    <row r="473">
      <c r="A473" s="1253" t="s">
        <v>16189</v>
      </c>
      <c r="B473" s="1254" t="s">
        <v>16190</v>
      </c>
      <c r="C473" s="1255" t="s">
        <v>2939</v>
      </c>
      <c r="D473" s="1255" t="s">
        <v>622</v>
      </c>
      <c r="E473" s="1255" t="s">
        <v>11578</v>
      </c>
      <c r="F473" s="1255" t="s">
        <v>11591</v>
      </c>
      <c r="G473" s="1254" t="s">
        <v>132</v>
      </c>
      <c r="H473" s="1254" t="s">
        <v>618</v>
      </c>
      <c r="I473" s="1259"/>
      <c r="J473" s="1259"/>
      <c r="K473" s="1257">
        <v>925000.0</v>
      </c>
    </row>
    <row r="474">
      <c r="A474" s="1253" t="s">
        <v>16191</v>
      </c>
      <c r="B474" s="1254" t="s">
        <v>16192</v>
      </c>
      <c r="C474" s="1255" t="s">
        <v>2939</v>
      </c>
      <c r="D474" s="1255" t="s">
        <v>623</v>
      </c>
      <c r="E474" s="1255" t="s">
        <v>11578</v>
      </c>
      <c r="F474" s="1255" t="s">
        <v>11591</v>
      </c>
      <c r="G474" s="1254" t="s">
        <v>134</v>
      </c>
      <c r="H474" s="1254" t="s">
        <v>618</v>
      </c>
      <c r="I474" s="1259"/>
      <c r="J474" s="1259"/>
      <c r="K474" s="1257">
        <v>925000.0</v>
      </c>
    </row>
    <row r="475">
      <c r="A475" s="1253" t="s">
        <v>2939</v>
      </c>
      <c r="B475" s="1254" t="s">
        <v>16193</v>
      </c>
      <c r="C475" s="1255" t="s">
        <v>2939</v>
      </c>
      <c r="D475" s="1255" t="s">
        <v>1570</v>
      </c>
      <c r="E475" s="1255" t="s">
        <v>11569</v>
      </c>
      <c r="F475" s="1255" t="s">
        <v>11570</v>
      </c>
      <c r="G475" s="1254" t="s">
        <v>22</v>
      </c>
      <c r="H475" s="1254" t="s">
        <v>1571</v>
      </c>
      <c r="I475" s="1258" t="s">
        <v>737</v>
      </c>
      <c r="J475" s="1259"/>
      <c r="K475" s="1257">
        <v>3650000.0</v>
      </c>
    </row>
    <row r="476">
      <c r="A476" s="1253" t="s">
        <v>2939</v>
      </c>
      <c r="B476" s="1254" t="s">
        <v>16194</v>
      </c>
      <c r="C476" s="1255" t="s">
        <v>2939</v>
      </c>
      <c r="D476" s="1255" t="s">
        <v>1572</v>
      </c>
      <c r="E476" s="1255" t="s">
        <v>11569</v>
      </c>
      <c r="F476" s="1255" t="s">
        <v>11579</v>
      </c>
      <c r="G476" s="1254" t="s">
        <v>41</v>
      </c>
      <c r="H476" s="1254" t="s">
        <v>1571</v>
      </c>
      <c r="I476" s="1258" t="s">
        <v>2193</v>
      </c>
      <c r="J476" s="1259"/>
      <c r="K476" s="1257">
        <v>2850000.0</v>
      </c>
    </row>
    <row r="477">
      <c r="A477" s="1253" t="s">
        <v>16195</v>
      </c>
      <c r="B477" s="1254" t="s">
        <v>16196</v>
      </c>
      <c r="C477" s="1255" t="s">
        <v>2939</v>
      </c>
      <c r="D477" s="1255" t="s">
        <v>624</v>
      </c>
      <c r="E477" s="1255" t="s">
        <v>11576</v>
      </c>
      <c r="F477" s="1255" t="s">
        <v>11570</v>
      </c>
      <c r="G477" s="1254" t="s">
        <v>22</v>
      </c>
      <c r="H477" s="1254" t="s">
        <v>625</v>
      </c>
      <c r="I477" s="1258" t="s">
        <v>125</v>
      </c>
      <c r="J477" s="1259"/>
      <c r="K477" s="1257">
        <v>1971000.0</v>
      </c>
    </row>
    <row r="478">
      <c r="A478" s="1253" t="s">
        <v>16197</v>
      </c>
      <c r="B478" s="1254" t="s">
        <v>2939</v>
      </c>
      <c r="C478" s="1255" t="s">
        <v>2939</v>
      </c>
      <c r="D478" s="1255" t="s">
        <v>626</v>
      </c>
      <c r="E478" s="1255" t="s">
        <v>11578</v>
      </c>
      <c r="F478" s="1255" t="s">
        <v>11579</v>
      </c>
      <c r="G478" s="1254" t="s">
        <v>41</v>
      </c>
      <c r="H478" s="1254" t="s">
        <v>627</v>
      </c>
      <c r="I478" s="1258" t="s">
        <v>2193</v>
      </c>
      <c r="J478" s="1259"/>
      <c r="K478" s="1257">
        <v>2249000.0</v>
      </c>
    </row>
    <row r="479">
      <c r="A479" s="1253" t="s">
        <v>2939</v>
      </c>
      <c r="B479" s="1254" t="s">
        <v>16198</v>
      </c>
      <c r="C479" s="1255" t="s">
        <v>2939</v>
      </c>
      <c r="D479" s="1260" t="s">
        <v>11763</v>
      </c>
      <c r="E479" s="1255" t="s">
        <v>11569</v>
      </c>
      <c r="F479" s="1255" t="s">
        <v>11570</v>
      </c>
      <c r="G479" s="1254" t="s">
        <v>22</v>
      </c>
      <c r="H479" s="1254" t="s">
        <v>11764</v>
      </c>
      <c r="I479" s="1258" t="s">
        <v>125</v>
      </c>
      <c r="J479" s="1259"/>
      <c r="K479" s="1257">
        <v>1950000.0</v>
      </c>
    </row>
    <row r="480">
      <c r="A480" s="1253" t="s">
        <v>2939</v>
      </c>
      <c r="B480" s="1254" t="s">
        <v>16199</v>
      </c>
      <c r="C480" s="1255" t="s">
        <v>2939</v>
      </c>
      <c r="D480" s="1255" t="s">
        <v>11765</v>
      </c>
      <c r="E480" s="1255" t="s">
        <v>11569</v>
      </c>
      <c r="F480" s="1260" t="s">
        <v>11579</v>
      </c>
      <c r="G480" s="1258" t="s">
        <v>41</v>
      </c>
      <c r="H480" s="1258" t="s">
        <v>11764</v>
      </c>
      <c r="I480" s="1258" t="s">
        <v>1377</v>
      </c>
      <c r="J480" s="1259"/>
      <c r="K480" s="1257">
        <v>1650000.0</v>
      </c>
    </row>
    <row r="481">
      <c r="A481" s="1253" t="s">
        <v>2939</v>
      </c>
      <c r="B481" s="1254" t="s">
        <v>16200</v>
      </c>
      <c r="C481" s="1255" t="s">
        <v>2939</v>
      </c>
      <c r="D481" s="1255" t="s">
        <v>2026</v>
      </c>
      <c r="E481" s="1255" t="s">
        <v>11569</v>
      </c>
      <c r="F481" s="1260" t="s">
        <v>11570</v>
      </c>
      <c r="G481" s="1254" t="s">
        <v>22</v>
      </c>
      <c r="H481" s="1254" t="s">
        <v>1574</v>
      </c>
      <c r="I481" s="1258" t="s">
        <v>125</v>
      </c>
      <c r="J481" s="1259"/>
      <c r="K481" s="1257">
        <v>1650000.0</v>
      </c>
    </row>
    <row r="482">
      <c r="A482" s="1253" t="s">
        <v>2939</v>
      </c>
      <c r="B482" s="1254" t="s">
        <v>16201</v>
      </c>
      <c r="C482" s="1255" t="s">
        <v>2939</v>
      </c>
      <c r="D482" s="1255" t="s">
        <v>1573</v>
      </c>
      <c r="E482" s="1255" t="s">
        <v>11569</v>
      </c>
      <c r="F482" s="1255" t="s">
        <v>11579</v>
      </c>
      <c r="G482" s="1254" t="s">
        <v>41</v>
      </c>
      <c r="H482" s="1254" t="s">
        <v>1574</v>
      </c>
      <c r="I482" s="1258" t="s">
        <v>533</v>
      </c>
      <c r="J482" s="1259"/>
      <c r="K482" s="1257">
        <v>1200000.0</v>
      </c>
    </row>
    <row r="483">
      <c r="A483" s="1253" t="s">
        <v>16202</v>
      </c>
      <c r="B483" s="1254" t="s">
        <v>16203</v>
      </c>
      <c r="C483" s="1255" t="s">
        <v>2939</v>
      </c>
      <c r="D483" s="1255" t="s">
        <v>628</v>
      </c>
      <c r="E483" s="1255" t="s">
        <v>11576</v>
      </c>
      <c r="F483" s="1255" t="s">
        <v>11570</v>
      </c>
      <c r="G483" s="1254" t="s">
        <v>22</v>
      </c>
      <c r="H483" s="1254" t="s">
        <v>629</v>
      </c>
      <c r="I483" s="1258" t="s">
        <v>125</v>
      </c>
      <c r="J483" s="1259"/>
      <c r="K483" s="1257">
        <v>2101000.0</v>
      </c>
    </row>
    <row r="484">
      <c r="A484" s="1253" t="s">
        <v>16204</v>
      </c>
      <c r="B484" s="1254" t="s">
        <v>2939</v>
      </c>
      <c r="C484" s="1255" t="s">
        <v>2939</v>
      </c>
      <c r="D484" s="1255" t="s">
        <v>630</v>
      </c>
      <c r="E484" s="1255" t="s">
        <v>11578</v>
      </c>
      <c r="F484" s="1255" t="s">
        <v>11579</v>
      </c>
      <c r="G484" s="1254" t="s">
        <v>41</v>
      </c>
      <c r="H484" s="1254" t="s">
        <v>629</v>
      </c>
      <c r="I484" s="1258" t="s">
        <v>1377</v>
      </c>
      <c r="J484" s="1259"/>
      <c r="K484" s="1257">
        <v>2181000.0</v>
      </c>
    </row>
    <row r="485">
      <c r="A485" s="1253" t="s">
        <v>2939</v>
      </c>
      <c r="B485" s="1254" t="s">
        <v>16205</v>
      </c>
      <c r="C485" s="1255" t="s">
        <v>2939</v>
      </c>
      <c r="D485" s="1255" t="s">
        <v>11766</v>
      </c>
      <c r="E485" s="1255" t="s">
        <v>11569</v>
      </c>
      <c r="F485" s="1260" t="s">
        <v>11570</v>
      </c>
      <c r="G485" s="1258" t="s">
        <v>22</v>
      </c>
      <c r="H485" s="1254" t="s">
        <v>1938</v>
      </c>
      <c r="I485" s="1258" t="s">
        <v>125</v>
      </c>
      <c r="J485" s="1259"/>
      <c r="K485" s="1257">
        <v>2000000.0</v>
      </c>
    </row>
    <row r="486">
      <c r="A486" s="1253" t="s">
        <v>16206</v>
      </c>
      <c r="B486" s="1254" t="s">
        <v>16207</v>
      </c>
      <c r="C486" s="1255" t="s">
        <v>2939</v>
      </c>
      <c r="D486" s="1255" t="s">
        <v>631</v>
      </c>
      <c r="E486" s="1255" t="s">
        <v>11576</v>
      </c>
      <c r="F486" s="1255" t="s">
        <v>11570</v>
      </c>
      <c r="G486" s="1254" t="s">
        <v>22</v>
      </c>
      <c r="H486" s="1254" t="s">
        <v>632</v>
      </c>
      <c r="I486" s="1258" t="s">
        <v>125</v>
      </c>
      <c r="J486" s="1259"/>
      <c r="K486" s="1257">
        <v>3361000.0</v>
      </c>
    </row>
    <row r="487">
      <c r="A487" s="1253" t="s">
        <v>16208</v>
      </c>
      <c r="B487" s="1254" t="s">
        <v>16209</v>
      </c>
      <c r="C487" s="1255" t="s">
        <v>2939</v>
      </c>
      <c r="D487" s="1255" t="s">
        <v>633</v>
      </c>
      <c r="E487" s="1255" t="s">
        <v>11576</v>
      </c>
      <c r="F487" s="1255" t="s">
        <v>11591</v>
      </c>
      <c r="G487" s="1254" t="s">
        <v>128</v>
      </c>
      <c r="H487" s="1254" t="s">
        <v>632</v>
      </c>
      <c r="I487" s="1259"/>
      <c r="J487" s="1259"/>
      <c r="K487" s="1257">
        <v>869000.0</v>
      </c>
    </row>
    <row r="488">
      <c r="A488" s="1253" t="s">
        <v>16210</v>
      </c>
      <c r="B488" s="1254" t="s">
        <v>2939</v>
      </c>
      <c r="C488" s="1255" t="s">
        <v>2939</v>
      </c>
      <c r="D488" s="1255" t="s">
        <v>634</v>
      </c>
      <c r="E488" s="1255" t="s">
        <v>11578</v>
      </c>
      <c r="F488" s="1255" t="s">
        <v>11591</v>
      </c>
      <c r="G488" s="1254" t="s">
        <v>130</v>
      </c>
      <c r="H488" s="1254" t="s">
        <v>632</v>
      </c>
      <c r="I488" s="1259"/>
      <c r="J488" s="1259"/>
      <c r="K488" s="1257">
        <v>869000.0</v>
      </c>
    </row>
    <row r="489">
      <c r="A489" s="1253" t="s">
        <v>16211</v>
      </c>
      <c r="B489" s="1254" t="s">
        <v>2939</v>
      </c>
      <c r="C489" s="1255" t="s">
        <v>2939</v>
      </c>
      <c r="D489" s="1255" t="s">
        <v>635</v>
      </c>
      <c r="E489" s="1255" t="s">
        <v>11578</v>
      </c>
      <c r="F489" s="1255" t="s">
        <v>11591</v>
      </c>
      <c r="G489" s="1254" t="s">
        <v>132</v>
      </c>
      <c r="H489" s="1254" t="s">
        <v>632</v>
      </c>
      <c r="I489" s="1259"/>
      <c r="J489" s="1259"/>
      <c r="K489" s="1257">
        <v>869000.0</v>
      </c>
    </row>
    <row r="490">
      <c r="A490" s="1253" t="s">
        <v>16212</v>
      </c>
      <c r="B490" s="1254" t="s">
        <v>16213</v>
      </c>
      <c r="C490" s="1255" t="s">
        <v>2939</v>
      </c>
      <c r="D490" s="1255" t="s">
        <v>636</v>
      </c>
      <c r="E490" s="1255" t="s">
        <v>11576</v>
      </c>
      <c r="F490" s="1255" t="s">
        <v>11591</v>
      </c>
      <c r="G490" s="1254" t="s">
        <v>134</v>
      </c>
      <c r="H490" s="1254" t="s">
        <v>632</v>
      </c>
      <c r="I490" s="1259"/>
      <c r="J490" s="1259"/>
      <c r="K490" s="1257">
        <v>869000.0</v>
      </c>
    </row>
    <row r="491">
      <c r="A491" s="1253" t="s">
        <v>16214</v>
      </c>
      <c r="B491" s="1254" t="s">
        <v>16215</v>
      </c>
      <c r="C491" s="1255" t="s">
        <v>2939</v>
      </c>
      <c r="D491" s="1255" t="s">
        <v>637</v>
      </c>
      <c r="E491" s="1255" t="s">
        <v>11576</v>
      </c>
      <c r="F491" s="1255" t="s">
        <v>11579</v>
      </c>
      <c r="G491" s="1254" t="s">
        <v>41</v>
      </c>
      <c r="H491" s="1254" t="s">
        <v>638</v>
      </c>
      <c r="I491" s="1258" t="s">
        <v>1377</v>
      </c>
      <c r="J491" s="1259"/>
      <c r="K491" s="1257">
        <v>2570000.0</v>
      </c>
    </row>
    <row r="492">
      <c r="A492" s="1253" t="s">
        <v>2939</v>
      </c>
      <c r="B492" s="1254" t="s">
        <v>16216</v>
      </c>
      <c r="C492" s="1255" t="s">
        <v>2939</v>
      </c>
      <c r="D492" s="1255" t="s">
        <v>1580</v>
      </c>
      <c r="E492" s="1255" t="s">
        <v>11569</v>
      </c>
      <c r="F492" s="1255" t="s">
        <v>11579</v>
      </c>
      <c r="G492" s="1254" t="s">
        <v>41</v>
      </c>
      <c r="H492" s="1254" t="s">
        <v>1581</v>
      </c>
      <c r="I492" s="1258" t="s">
        <v>1377</v>
      </c>
      <c r="J492" s="1259"/>
      <c r="K492" s="1257">
        <v>2708000.0</v>
      </c>
    </row>
    <row r="493">
      <c r="A493" s="1253" t="s">
        <v>16217</v>
      </c>
      <c r="B493" s="1254" t="s">
        <v>2939</v>
      </c>
      <c r="C493" s="1255" t="s">
        <v>2939</v>
      </c>
      <c r="D493" s="1255" t="s">
        <v>639</v>
      </c>
      <c r="E493" s="1255" t="s">
        <v>11578</v>
      </c>
      <c r="F493" s="1255" t="s">
        <v>11570</v>
      </c>
      <c r="G493" s="1254" t="s">
        <v>22</v>
      </c>
      <c r="H493" s="1254" t="s">
        <v>640</v>
      </c>
      <c r="I493" s="1258" t="s">
        <v>75</v>
      </c>
      <c r="J493" s="1259"/>
      <c r="K493" s="1257">
        <v>3026000.0</v>
      </c>
    </row>
    <row r="494">
      <c r="A494" s="1253" t="s">
        <v>16218</v>
      </c>
      <c r="B494" s="1254" t="s">
        <v>2939</v>
      </c>
      <c r="C494" s="1255" t="s">
        <v>2939</v>
      </c>
      <c r="D494" s="1255" t="s">
        <v>641</v>
      </c>
      <c r="E494" s="1255" t="s">
        <v>11578</v>
      </c>
      <c r="F494" s="1255" t="s">
        <v>11579</v>
      </c>
      <c r="G494" s="1254" t="s">
        <v>41</v>
      </c>
      <c r="H494" s="1254" t="s">
        <v>640</v>
      </c>
      <c r="I494" s="1258" t="s">
        <v>1377</v>
      </c>
      <c r="J494" s="1259"/>
      <c r="K494" s="1257">
        <v>2892000.0</v>
      </c>
    </row>
    <row r="495">
      <c r="A495" s="1253" t="s">
        <v>16219</v>
      </c>
      <c r="B495" s="1254" t="s">
        <v>2939</v>
      </c>
      <c r="C495" s="1255" t="s">
        <v>2939</v>
      </c>
      <c r="D495" s="1255" t="s">
        <v>642</v>
      </c>
      <c r="E495" s="1255" t="s">
        <v>11578</v>
      </c>
      <c r="F495" s="1255" t="s">
        <v>11591</v>
      </c>
      <c r="G495" s="1254" t="s">
        <v>130</v>
      </c>
      <c r="H495" s="1254" t="s">
        <v>640</v>
      </c>
      <c r="I495" s="1259"/>
      <c r="J495" s="1259"/>
      <c r="K495" s="1257">
        <v>966000.0</v>
      </c>
    </row>
    <row r="496">
      <c r="A496" s="1253" t="s">
        <v>16220</v>
      </c>
      <c r="B496" s="1254" t="s">
        <v>2939</v>
      </c>
      <c r="C496" s="1255" t="s">
        <v>2939</v>
      </c>
      <c r="D496" s="1255" t="s">
        <v>643</v>
      </c>
      <c r="E496" s="1255" t="s">
        <v>11578</v>
      </c>
      <c r="F496" s="1255" t="s">
        <v>11591</v>
      </c>
      <c r="G496" s="1254" t="s">
        <v>132</v>
      </c>
      <c r="H496" s="1254" t="s">
        <v>640</v>
      </c>
      <c r="I496" s="1259"/>
      <c r="J496" s="1259"/>
      <c r="K496" s="1257">
        <v>966000.0</v>
      </c>
    </row>
    <row r="497">
      <c r="A497" s="1253" t="s">
        <v>16221</v>
      </c>
      <c r="B497" s="1254" t="s">
        <v>2939</v>
      </c>
      <c r="C497" s="1255" t="s">
        <v>2939</v>
      </c>
      <c r="D497" s="1255" t="s">
        <v>644</v>
      </c>
      <c r="E497" s="1255" t="s">
        <v>11578</v>
      </c>
      <c r="F497" s="1255" t="s">
        <v>11591</v>
      </c>
      <c r="G497" s="1254" t="s">
        <v>134</v>
      </c>
      <c r="H497" s="1254" t="s">
        <v>640</v>
      </c>
      <c r="I497" s="1259"/>
      <c r="J497" s="1259"/>
      <c r="K497" s="1257">
        <v>966000.0</v>
      </c>
    </row>
    <row r="498">
      <c r="A498" s="1253" t="s">
        <v>2939</v>
      </c>
      <c r="B498" s="1254" t="s">
        <v>2939</v>
      </c>
      <c r="C498" s="1255" t="s">
        <v>16222</v>
      </c>
      <c r="D498" s="1255" t="s">
        <v>1948</v>
      </c>
      <c r="E498" s="1255" t="s">
        <v>11653</v>
      </c>
      <c r="F498" s="1255" t="s">
        <v>11570</v>
      </c>
      <c r="G498" s="1254" t="s">
        <v>22</v>
      </c>
      <c r="H498" s="1254" t="s">
        <v>646</v>
      </c>
      <c r="I498" s="1258" t="s">
        <v>97</v>
      </c>
      <c r="J498" s="1259"/>
      <c r="K498" s="1257">
        <v>1150000.0</v>
      </c>
    </row>
    <row r="499">
      <c r="A499" s="1253" t="s">
        <v>16223</v>
      </c>
      <c r="B499" s="1254" t="s">
        <v>2939</v>
      </c>
      <c r="C499" s="1255" t="s">
        <v>2939</v>
      </c>
      <c r="D499" s="1255" t="s">
        <v>645</v>
      </c>
      <c r="E499" s="1255" t="s">
        <v>11578</v>
      </c>
      <c r="F499" s="1255" t="s">
        <v>11579</v>
      </c>
      <c r="G499" s="1254" t="s">
        <v>41</v>
      </c>
      <c r="H499" s="1254" t="s">
        <v>646</v>
      </c>
      <c r="I499" s="1258" t="s">
        <v>2193</v>
      </c>
      <c r="J499" s="1259"/>
      <c r="K499" s="1257">
        <v>2313000.0</v>
      </c>
    </row>
    <row r="500">
      <c r="A500" s="1253" t="s">
        <v>2939</v>
      </c>
      <c r="B500" s="1254" t="s">
        <v>2939</v>
      </c>
      <c r="C500" s="1255" t="s">
        <v>16224</v>
      </c>
      <c r="D500" s="1255" t="s">
        <v>2048</v>
      </c>
      <c r="E500" s="1255" t="s">
        <v>11653</v>
      </c>
      <c r="F500" s="1255" t="s">
        <v>11570</v>
      </c>
      <c r="G500" s="1254" t="s">
        <v>22</v>
      </c>
      <c r="H500" s="1254" t="s">
        <v>2049</v>
      </c>
      <c r="I500" s="1258" t="s">
        <v>125</v>
      </c>
      <c r="J500" s="1259"/>
      <c r="K500" s="1257">
        <v>1619000.0</v>
      </c>
    </row>
    <row r="501">
      <c r="A501" s="1253" t="s">
        <v>16225</v>
      </c>
      <c r="B501" s="1254" t="s">
        <v>16226</v>
      </c>
      <c r="C501" s="1255" t="s">
        <v>2939</v>
      </c>
      <c r="D501" s="1255" t="s">
        <v>647</v>
      </c>
      <c r="E501" s="1255" t="s">
        <v>11576</v>
      </c>
      <c r="F501" s="1255" t="s">
        <v>11570</v>
      </c>
      <c r="G501" s="1254" t="s">
        <v>22</v>
      </c>
      <c r="H501" s="1254" t="s">
        <v>648</v>
      </c>
      <c r="I501" s="1258" t="s">
        <v>97</v>
      </c>
      <c r="J501" s="1259"/>
      <c r="K501" s="1257">
        <v>1209000.0</v>
      </c>
    </row>
    <row r="502">
      <c r="A502" s="1253" t="s">
        <v>16227</v>
      </c>
      <c r="B502" s="1254" t="s">
        <v>16228</v>
      </c>
      <c r="C502" s="1255" t="s">
        <v>2939</v>
      </c>
      <c r="D502" s="1255" t="s">
        <v>649</v>
      </c>
      <c r="E502" s="1255" t="s">
        <v>11576</v>
      </c>
      <c r="F502" s="1255" t="s">
        <v>11579</v>
      </c>
      <c r="G502" s="1254" t="s">
        <v>41</v>
      </c>
      <c r="H502" s="1254" t="s">
        <v>648</v>
      </c>
      <c r="I502" s="1258" t="s">
        <v>2193</v>
      </c>
      <c r="J502" s="1259"/>
      <c r="K502" s="1257">
        <v>1832000.0</v>
      </c>
    </row>
    <row r="503">
      <c r="A503" s="1250" t="s">
        <v>11767</v>
      </c>
      <c r="B503" s="1251" t="s">
        <v>11767</v>
      </c>
      <c r="C503" s="1252"/>
      <c r="D503" s="1252"/>
      <c r="E503" s="1252"/>
      <c r="F503" s="1252"/>
      <c r="G503" s="1252"/>
      <c r="H503" s="1251" t="s">
        <v>11767</v>
      </c>
      <c r="I503" s="1252"/>
      <c r="J503" s="1252"/>
      <c r="K503" s="1252"/>
    </row>
    <row r="504">
      <c r="A504" s="1253" t="s">
        <v>2939</v>
      </c>
      <c r="B504" s="1254" t="s">
        <v>16229</v>
      </c>
      <c r="C504" s="1255" t="s">
        <v>2939</v>
      </c>
      <c r="D504" s="1255" t="s">
        <v>1582</v>
      </c>
      <c r="E504" s="1255" t="s">
        <v>11569</v>
      </c>
      <c r="F504" s="1255" t="s">
        <v>11570</v>
      </c>
      <c r="G504" s="1254" t="s">
        <v>22</v>
      </c>
      <c r="H504" s="1254" t="s">
        <v>11768</v>
      </c>
      <c r="I504" s="1258" t="s">
        <v>23</v>
      </c>
      <c r="J504" s="1259"/>
      <c r="K504" s="1257">
        <v>5051000.0</v>
      </c>
    </row>
    <row r="505">
      <c r="A505" s="1253" t="s">
        <v>16230</v>
      </c>
      <c r="B505" s="1254" t="s">
        <v>16231</v>
      </c>
      <c r="C505" s="1255" t="s">
        <v>2939</v>
      </c>
      <c r="D505" s="1255" t="s">
        <v>650</v>
      </c>
      <c r="E505" s="1255" t="s">
        <v>11578</v>
      </c>
      <c r="F505" s="1255" t="s">
        <v>11570</v>
      </c>
      <c r="G505" s="1254" t="s">
        <v>22</v>
      </c>
      <c r="H505" s="1254" t="s">
        <v>651</v>
      </c>
      <c r="I505" s="1258" t="s">
        <v>125</v>
      </c>
      <c r="J505" s="1259"/>
      <c r="K505" s="1257">
        <v>4032000.0</v>
      </c>
    </row>
    <row r="506">
      <c r="A506" s="1253" t="s">
        <v>16232</v>
      </c>
      <c r="B506" s="1254" t="s">
        <v>2939</v>
      </c>
      <c r="C506" s="1255" t="s">
        <v>2939</v>
      </c>
      <c r="D506" s="1255" t="s">
        <v>652</v>
      </c>
      <c r="E506" s="1255" t="s">
        <v>11578</v>
      </c>
      <c r="F506" s="1255" t="s">
        <v>11579</v>
      </c>
      <c r="G506" s="1254" t="s">
        <v>41</v>
      </c>
      <c r="H506" s="1254" t="s">
        <v>653</v>
      </c>
      <c r="I506" s="1258" t="s">
        <v>2193</v>
      </c>
      <c r="J506" s="1259"/>
      <c r="K506" s="1257">
        <v>3532000.0</v>
      </c>
    </row>
    <row r="507">
      <c r="A507" s="1253" t="s">
        <v>16233</v>
      </c>
      <c r="B507" s="1254" t="s">
        <v>16234</v>
      </c>
      <c r="C507" s="1255" t="s">
        <v>2939</v>
      </c>
      <c r="D507" s="1255" t="s">
        <v>654</v>
      </c>
      <c r="E507" s="1255" t="s">
        <v>11576</v>
      </c>
      <c r="F507" s="1255" t="s">
        <v>11570</v>
      </c>
      <c r="G507" s="1254" t="s">
        <v>22</v>
      </c>
      <c r="H507" s="1254" t="s">
        <v>655</v>
      </c>
      <c r="I507" s="1258" t="s">
        <v>75</v>
      </c>
      <c r="J507" s="1259"/>
      <c r="K507" s="1257">
        <v>4032000.0</v>
      </c>
    </row>
    <row r="508">
      <c r="A508" s="1253" t="s">
        <v>16235</v>
      </c>
      <c r="B508" s="1254" t="s">
        <v>16236</v>
      </c>
      <c r="C508" s="1255" t="s">
        <v>2939</v>
      </c>
      <c r="D508" s="1255" t="s">
        <v>656</v>
      </c>
      <c r="E508" s="1255" t="s">
        <v>11576</v>
      </c>
      <c r="F508" s="1255" t="s">
        <v>11570</v>
      </c>
      <c r="G508" s="1254" t="s">
        <v>22</v>
      </c>
      <c r="H508" s="1254" t="s">
        <v>655</v>
      </c>
      <c r="I508" s="1258" t="s">
        <v>125</v>
      </c>
      <c r="J508" s="1259"/>
      <c r="K508" s="1257">
        <v>3865000.0</v>
      </c>
    </row>
    <row r="509">
      <c r="A509" s="1253" t="s">
        <v>2939</v>
      </c>
      <c r="B509" s="1254" t="s">
        <v>16237</v>
      </c>
      <c r="C509" s="1255" t="s">
        <v>2939</v>
      </c>
      <c r="D509" s="1255" t="s">
        <v>657</v>
      </c>
      <c r="E509" s="1255" t="s">
        <v>11569</v>
      </c>
      <c r="F509" s="1255" t="s">
        <v>11579</v>
      </c>
      <c r="G509" s="1254" t="s">
        <v>41</v>
      </c>
      <c r="H509" s="1254" t="s">
        <v>16238</v>
      </c>
      <c r="I509" s="1258" t="s">
        <v>11773</v>
      </c>
      <c r="J509" s="1259"/>
      <c r="K509" s="1257">
        <v>3863000.0</v>
      </c>
    </row>
    <row r="510">
      <c r="A510" s="1253" t="s">
        <v>16239</v>
      </c>
      <c r="B510" s="1254" t="s">
        <v>2939</v>
      </c>
      <c r="C510" s="1255" t="s">
        <v>2939</v>
      </c>
      <c r="D510" s="1255" t="s">
        <v>660</v>
      </c>
      <c r="E510" s="1255" t="s">
        <v>11578</v>
      </c>
      <c r="F510" s="1255" t="s">
        <v>11579</v>
      </c>
      <c r="G510" s="1254" t="s">
        <v>41</v>
      </c>
      <c r="H510" s="1254" t="s">
        <v>661</v>
      </c>
      <c r="I510" s="1258" t="s">
        <v>11773</v>
      </c>
      <c r="J510" s="1259"/>
      <c r="K510" s="1257">
        <v>4336000.0</v>
      </c>
    </row>
    <row r="511">
      <c r="A511" s="1253" t="s">
        <v>16240</v>
      </c>
      <c r="B511" s="1254" t="s">
        <v>16241</v>
      </c>
      <c r="C511" s="1255" t="s">
        <v>2939</v>
      </c>
      <c r="D511" s="1255" t="s">
        <v>662</v>
      </c>
      <c r="E511" s="1255" t="s">
        <v>11576</v>
      </c>
      <c r="F511" s="1255" t="s">
        <v>11591</v>
      </c>
      <c r="G511" s="1254" t="s">
        <v>128</v>
      </c>
      <c r="H511" s="1254" t="s">
        <v>655</v>
      </c>
      <c r="I511" s="1259"/>
      <c r="J511" s="1259"/>
      <c r="K511" s="1257">
        <v>804000.0</v>
      </c>
    </row>
    <row r="512">
      <c r="A512" s="1253" t="s">
        <v>16242</v>
      </c>
      <c r="B512" s="1254" t="s">
        <v>16243</v>
      </c>
      <c r="C512" s="1255" t="s">
        <v>2939</v>
      </c>
      <c r="D512" s="1255" t="s">
        <v>663</v>
      </c>
      <c r="E512" s="1255" t="s">
        <v>11576</v>
      </c>
      <c r="F512" s="1255" t="s">
        <v>11591</v>
      </c>
      <c r="G512" s="1254" t="s">
        <v>130</v>
      </c>
      <c r="H512" s="1254" t="s">
        <v>655</v>
      </c>
      <c r="I512" s="1259"/>
      <c r="J512" s="1259"/>
      <c r="K512" s="1257">
        <v>804000.0</v>
      </c>
    </row>
    <row r="513">
      <c r="A513" s="1253" t="s">
        <v>16244</v>
      </c>
      <c r="B513" s="1254" t="s">
        <v>2939</v>
      </c>
      <c r="C513" s="1255" t="s">
        <v>2939</v>
      </c>
      <c r="D513" s="1255" t="s">
        <v>664</v>
      </c>
      <c r="E513" s="1255" t="s">
        <v>11578</v>
      </c>
      <c r="F513" s="1255" t="s">
        <v>11591</v>
      </c>
      <c r="G513" s="1254" t="s">
        <v>132</v>
      </c>
      <c r="H513" s="1254" t="s">
        <v>655</v>
      </c>
      <c r="I513" s="1259"/>
      <c r="J513" s="1259"/>
      <c r="K513" s="1257">
        <v>804000.0</v>
      </c>
    </row>
    <row r="514">
      <c r="A514" s="1253" t="s">
        <v>16245</v>
      </c>
      <c r="B514" s="1254" t="s">
        <v>16246</v>
      </c>
      <c r="C514" s="1255" t="s">
        <v>2939</v>
      </c>
      <c r="D514" s="1255" t="s">
        <v>665</v>
      </c>
      <c r="E514" s="1255" t="s">
        <v>11578</v>
      </c>
      <c r="F514" s="1255" t="s">
        <v>11591</v>
      </c>
      <c r="G514" s="1254" t="s">
        <v>134</v>
      </c>
      <c r="H514" s="1254" t="s">
        <v>655</v>
      </c>
      <c r="I514" s="1259"/>
      <c r="J514" s="1259"/>
      <c r="K514" s="1257">
        <v>804000.0</v>
      </c>
    </row>
    <row r="515">
      <c r="A515" s="1253" t="s">
        <v>16247</v>
      </c>
      <c r="B515" s="1254" t="s">
        <v>2939</v>
      </c>
      <c r="C515" s="1255" t="s">
        <v>2939</v>
      </c>
      <c r="D515" s="1255" t="s">
        <v>666</v>
      </c>
      <c r="E515" s="1255" t="s">
        <v>11578</v>
      </c>
      <c r="F515" s="1255" t="s">
        <v>11591</v>
      </c>
      <c r="G515" s="1254" t="s">
        <v>387</v>
      </c>
      <c r="H515" s="1254" t="s">
        <v>655</v>
      </c>
      <c r="I515" s="1259"/>
      <c r="J515" s="1259"/>
      <c r="K515" s="1257">
        <v>436000.0</v>
      </c>
    </row>
    <row r="516">
      <c r="A516" s="1253" t="s">
        <v>16248</v>
      </c>
      <c r="B516" s="1254" t="s">
        <v>2939</v>
      </c>
      <c r="C516" s="1255" t="s">
        <v>2939</v>
      </c>
      <c r="D516" s="1255" t="s">
        <v>667</v>
      </c>
      <c r="E516" s="1255" t="s">
        <v>11578</v>
      </c>
      <c r="F516" s="1255" t="s">
        <v>11591</v>
      </c>
      <c r="G516" s="1254" t="s">
        <v>389</v>
      </c>
      <c r="H516" s="1254" t="s">
        <v>655</v>
      </c>
      <c r="I516" s="1259"/>
      <c r="J516" s="1259"/>
      <c r="K516" s="1257">
        <v>436000.0</v>
      </c>
    </row>
    <row r="517">
      <c r="A517" s="1253" t="s">
        <v>16249</v>
      </c>
      <c r="B517" s="1254" t="s">
        <v>2939</v>
      </c>
      <c r="C517" s="1255" t="s">
        <v>2939</v>
      </c>
      <c r="D517" s="1255" t="s">
        <v>668</v>
      </c>
      <c r="E517" s="1255" t="s">
        <v>11578</v>
      </c>
      <c r="F517" s="1255" t="s">
        <v>11591</v>
      </c>
      <c r="G517" s="1254" t="s">
        <v>202</v>
      </c>
      <c r="H517" s="1254" t="s">
        <v>655</v>
      </c>
      <c r="I517" s="1258" t="s">
        <v>97</v>
      </c>
      <c r="J517" s="1259"/>
      <c r="K517" s="1257">
        <v>725000.0</v>
      </c>
    </row>
    <row r="518">
      <c r="A518" s="1253" t="s">
        <v>16250</v>
      </c>
      <c r="B518" s="1254" t="s">
        <v>2939</v>
      </c>
      <c r="C518" s="1255" t="s">
        <v>2939</v>
      </c>
      <c r="D518" s="1255" t="s">
        <v>669</v>
      </c>
      <c r="E518" s="1255" t="s">
        <v>11578</v>
      </c>
      <c r="F518" s="1255" t="s">
        <v>11591</v>
      </c>
      <c r="G518" s="1254" t="s">
        <v>236</v>
      </c>
      <c r="H518" s="1254" t="s">
        <v>655</v>
      </c>
      <c r="I518" s="1258" t="s">
        <v>97</v>
      </c>
      <c r="J518" s="1259"/>
      <c r="K518" s="1257">
        <v>725000.0</v>
      </c>
    </row>
    <row r="519">
      <c r="A519" s="1253" t="s">
        <v>16251</v>
      </c>
      <c r="B519" s="1254" t="s">
        <v>16252</v>
      </c>
      <c r="C519" s="1255" t="s">
        <v>2939</v>
      </c>
      <c r="D519" s="1255" t="s">
        <v>670</v>
      </c>
      <c r="E519" s="1255" t="s">
        <v>11576</v>
      </c>
      <c r="F519" s="1255" t="s">
        <v>11570</v>
      </c>
      <c r="G519" s="1254" t="s">
        <v>22</v>
      </c>
      <c r="H519" s="1254" t="s">
        <v>671</v>
      </c>
      <c r="I519" s="1258" t="s">
        <v>672</v>
      </c>
      <c r="J519" s="1259"/>
      <c r="K519" s="1257">
        <v>4202000.0</v>
      </c>
    </row>
    <row r="520">
      <c r="A520" s="1253" t="s">
        <v>16253</v>
      </c>
      <c r="B520" s="1254" t="s">
        <v>16254</v>
      </c>
      <c r="C520" s="1255" t="s">
        <v>2939</v>
      </c>
      <c r="D520" s="1255" t="s">
        <v>673</v>
      </c>
      <c r="E520" s="1255" t="s">
        <v>11578</v>
      </c>
      <c r="F520" s="1255" t="s">
        <v>11579</v>
      </c>
      <c r="G520" s="1254" t="s">
        <v>41</v>
      </c>
      <c r="H520" s="1254" t="s">
        <v>674</v>
      </c>
      <c r="I520" s="1258" t="s">
        <v>2062</v>
      </c>
      <c r="J520" s="1259"/>
      <c r="K520" s="1257">
        <v>4096000.0</v>
      </c>
    </row>
    <row r="521">
      <c r="A521" s="1253" t="s">
        <v>16255</v>
      </c>
      <c r="B521" s="1254" t="s">
        <v>16256</v>
      </c>
      <c r="C521" s="1255" t="s">
        <v>2939</v>
      </c>
      <c r="D521" s="1255" t="s">
        <v>675</v>
      </c>
      <c r="E521" s="1255" t="s">
        <v>11576</v>
      </c>
      <c r="F521" s="1255" t="s">
        <v>11570</v>
      </c>
      <c r="G521" s="1254" t="s">
        <v>22</v>
      </c>
      <c r="H521" s="1254" t="s">
        <v>16257</v>
      </c>
      <c r="I521" s="1258" t="s">
        <v>75</v>
      </c>
      <c r="J521" s="1259"/>
      <c r="K521" s="1257">
        <v>4032000.0</v>
      </c>
    </row>
    <row r="522">
      <c r="A522" s="1253" t="s">
        <v>16258</v>
      </c>
      <c r="B522" s="1254" t="s">
        <v>16259</v>
      </c>
      <c r="C522" s="1255" t="s">
        <v>2939</v>
      </c>
      <c r="D522" s="1255" t="s">
        <v>677</v>
      </c>
      <c r="E522" s="1255" t="s">
        <v>11578</v>
      </c>
      <c r="F522" s="1255" t="s">
        <v>11579</v>
      </c>
      <c r="G522" s="1254" t="s">
        <v>41</v>
      </c>
      <c r="H522" s="1254" t="s">
        <v>11776</v>
      </c>
      <c r="I522" s="1258" t="s">
        <v>1377</v>
      </c>
      <c r="J522" s="1259"/>
      <c r="K522" s="1257">
        <v>3532000.0</v>
      </c>
    </row>
    <row r="523">
      <c r="A523" s="1253" t="s">
        <v>2939</v>
      </c>
      <c r="B523" s="1254" t="s">
        <v>16260</v>
      </c>
      <c r="C523" s="1255" t="s">
        <v>2939</v>
      </c>
      <c r="D523" s="1255" t="s">
        <v>11777</v>
      </c>
      <c r="E523" s="1255" t="s">
        <v>11569</v>
      </c>
      <c r="F523" s="1260" t="s">
        <v>11591</v>
      </c>
      <c r="G523" s="1258" t="s">
        <v>128</v>
      </c>
      <c r="H523" s="1254" t="s">
        <v>11776</v>
      </c>
      <c r="I523" s="1259"/>
      <c r="J523" s="1259"/>
      <c r="K523" s="1257">
        <v>966000.0</v>
      </c>
    </row>
    <row r="524">
      <c r="A524" s="1253" t="s">
        <v>2939</v>
      </c>
      <c r="B524" s="1254" t="s">
        <v>16261</v>
      </c>
      <c r="C524" s="1255" t="s">
        <v>2939</v>
      </c>
      <c r="D524" s="1255" t="s">
        <v>11778</v>
      </c>
      <c r="E524" s="1255" t="s">
        <v>11569</v>
      </c>
      <c r="F524" s="1260" t="s">
        <v>11591</v>
      </c>
      <c r="G524" s="1258" t="s">
        <v>130</v>
      </c>
      <c r="H524" s="1254" t="s">
        <v>11776</v>
      </c>
      <c r="I524" s="1259"/>
      <c r="J524" s="1259"/>
      <c r="K524" s="1257">
        <v>966000.0</v>
      </c>
    </row>
    <row r="525">
      <c r="A525" s="1253" t="s">
        <v>16262</v>
      </c>
      <c r="B525" s="1254" t="s">
        <v>2939</v>
      </c>
      <c r="C525" s="1255" t="s">
        <v>2939</v>
      </c>
      <c r="D525" s="1255" t="s">
        <v>679</v>
      </c>
      <c r="E525" s="1255" t="s">
        <v>11578</v>
      </c>
      <c r="F525" s="1255" t="s">
        <v>11591</v>
      </c>
      <c r="G525" s="1254" t="s">
        <v>132</v>
      </c>
      <c r="H525" s="1254" t="s">
        <v>11776</v>
      </c>
      <c r="I525" s="1259"/>
      <c r="J525" s="1259"/>
      <c r="K525" s="1257">
        <v>966000.0</v>
      </c>
    </row>
    <row r="526">
      <c r="A526" s="1253" t="s">
        <v>16263</v>
      </c>
      <c r="B526" s="1254" t="s">
        <v>2939</v>
      </c>
      <c r="C526" s="1255" t="s">
        <v>2939</v>
      </c>
      <c r="D526" s="1255" t="s">
        <v>680</v>
      </c>
      <c r="E526" s="1255" t="s">
        <v>11578</v>
      </c>
      <c r="F526" s="1255" t="s">
        <v>11591</v>
      </c>
      <c r="G526" s="1254" t="s">
        <v>134</v>
      </c>
      <c r="H526" s="1254" t="s">
        <v>11776</v>
      </c>
      <c r="I526" s="1259"/>
      <c r="J526" s="1259"/>
      <c r="K526" s="1257">
        <v>966000.0</v>
      </c>
    </row>
    <row r="527">
      <c r="A527" s="1253" t="s">
        <v>16264</v>
      </c>
      <c r="B527" s="1254" t="s">
        <v>2939</v>
      </c>
      <c r="C527" s="1255" t="s">
        <v>2939</v>
      </c>
      <c r="D527" s="1255" t="s">
        <v>681</v>
      </c>
      <c r="E527" s="1255" t="s">
        <v>11578</v>
      </c>
      <c r="F527" s="1255" t="s">
        <v>11591</v>
      </c>
      <c r="G527" s="1254" t="s">
        <v>387</v>
      </c>
      <c r="H527" s="1254" t="s">
        <v>11776</v>
      </c>
      <c r="I527" s="1259"/>
      <c r="J527" s="1259"/>
      <c r="K527" s="1257">
        <v>403000.0</v>
      </c>
    </row>
    <row r="528">
      <c r="A528" s="1253" t="s">
        <v>16265</v>
      </c>
      <c r="B528" s="1254" t="s">
        <v>2939</v>
      </c>
      <c r="C528" s="1255" t="s">
        <v>2939</v>
      </c>
      <c r="D528" s="1255" t="s">
        <v>682</v>
      </c>
      <c r="E528" s="1255" t="s">
        <v>11578</v>
      </c>
      <c r="F528" s="1255" t="s">
        <v>11591</v>
      </c>
      <c r="G528" s="1254" t="s">
        <v>389</v>
      </c>
      <c r="H528" s="1254" t="s">
        <v>11776</v>
      </c>
      <c r="I528" s="1259"/>
      <c r="J528" s="1259"/>
      <c r="K528" s="1257">
        <v>403000.0</v>
      </c>
    </row>
    <row r="529">
      <c r="A529" s="1253" t="s">
        <v>16266</v>
      </c>
      <c r="B529" s="1254" t="s">
        <v>2939</v>
      </c>
      <c r="C529" s="1255" t="s">
        <v>2939</v>
      </c>
      <c r="D529" s="1255" t="s">
        <v>683</v>
      </c>
      <c r="E529" s="1255" t="s">
        <v>11578</v>
      </c>
      <c r="F529" s="1255" t="s">
        <v>11591</v>
      </c>
      <c r="G529" s="1254" t="s">
        <v>202</v>
      </c>
      <c r="H529" s="1254" t="s">
        <v>11776</v>
      </c>
      <c r="I529" s="1258" t="s">
        <v>97</v>
      </c>
      <c r="J529" s="1259"/>
      <c r="K529" s="1257">
        <v>644000.0</v>
      </c>
    </row>
    <row r="530">
      <c r="A530" s="1253" t="s">
        <v>16267</v>
      </c>
      <c r="B530" s="1254" t="s">
        <v>2939</v>
      </c>
      <c r="C530" s="1255" t="s">
        <v>2939</v>
      </c>
      <c r="D530" s="1255" t="s">
        <v>684</v>
      </c>
      <c r="E530" s="1255" t="s">
        <v>11578</v>
      </c>
      <c r="F530" s="1255" t="s">
        <v>11591</v>
      </c>
      <c r="G530" s="1254" t="s">
        <v>236</v>
      </c>
      <c r="H530" s="1254" t="s">
        <v>11776</v>
      </c>
      <c r="I530" s="1258" t="s">
        <v>97</v>
      </c>
      <c r="J530" s="1259"/>
      <c r="K530" s="1257">
        <v>644000.0</v>
      </c>
    </row>
    <row r="531">
      <c r="A531" s="1253" t="s">
        <v>2939</v>
      </c>
      <c r="B531" s="1254" t="s">
        <v>16268</v>
      </c>
      <c r="C531" s="1255" t="s">
        <v>2939</v>
      </c>
      <c r="D531" s="1255" t="s">
        <v>1586</v>
      </c>
      <c r="E531" s="1255" t="s">
        <v>11569</v>
      </c>
      <c r="F531" s="1255" t="s">
        <v>11570</v>
      </c>
      <c r="G531" s="1254" t="s">
        <v>22</v>
      </c>
      <c r="H531" s="1254" t="s">
        <v>11779</v>
      </c>
      <c r="I531" s="1258" t="s">
        <v>1588</v>
      </c>
      <c r="J531" s="1259"/>
      <c r="K531" s="1257">
        <v>5051000.0</v>
      </c>
    </row>
    <row r="532">
      <c r="A532" s="1253" t="s">
        <v>2939</v>
      </c>
      <c r="B532" s="1254" t="s">
        <v>16269</v>
      </c>
      <c r="C532" s="1255" t="s">
        <v>2939</v>
      </c>
      <c r="D532" s="1260" t="s">
        <v>11780</v>
      </c>
      <c r="E532" s="1255" t="s">
        <v>11569</v>
      </c>
      <c r="F532" s="1260" t="s">
        <v>11579</v>
      </c>
      <c r="G532" s="1254" t="s">
        <v>41</v>
      </c>
      <c r="H532" s="1254" t="s">
        <v>11779</v>
      </c>
      <c r="I532" s="1258" t="s">
        <v>2193</v>
      </c>
      <c r="J532" s="1259"/>
      <c r="K532" s="1257">
        <v>3800000.0</v>
      </c>
    </row>
    <row r="533">
      <c r="A533" s="1250" t="s">
        <v>11781</v>
      </c>
      <c r="B533" s="1251" t="s">
        <v>11781</v>
      </c>
      <c r="C533" s="1252"/>
      <c r="D533" s="1252"/>
      <c r="E533" s="1252"/>
      <c r="F533" s="1252"/>
      <c r="G533" s="1252"/>
      <c r="H533" s="1251" t="s">
        <v>11781</v>
      </c>
      <c r="I533" s="1252"/>
      <c r="J533" s="1252"/>
      <c r="K533" s="1252"/>
    </row>
    <row r="534">
      <c r="A534" s="1253" t="s">
        <v>16270</v>
      </c>
      <c r="B534" s="1254" t="s">
        <v>16271</v>
      </c>
      <c r="C534" s="1255" t="s">
        <v>16272</v>
      </c>
      <c r="D534" s="1255" t="s">
        <v>685</v>
      </c>
      <c r="E534" s="1255" t="s">
        <v>11630</v>
      </c>
      <c r="F534" s="1255" t="s">
        <v>11570</v>
      </c>
      <c r="G534" s="1254" t="s">
        <v>22</v>
      </c>
      <c r="H534" s="1254" t="s">
        <v>686</v>
      </c>
      <c r="I534" s="1258" t="s">
        <v>125</v>
      </c>
      <c r="J534" s="1259"/>
      <c r="K534" s="1257">
        <v>1599000.0</v>
      </c>
    </row>
    <row r="535">
      <c r="A535" s="1253" t="s">
        <v>2939</v>
      </c>
      <c r="B535" s="1254" t="s">
        <v>16273</v>
      </c>
      <c r="C535" s="1255" t="s">
        <v>2939</v>
      </c>
      <c r="D535" s="1255" t="s">
        <v>1590</v>
      </c>
      <c r="E535" s="1255" t="s">
        <v>11569</v>
      </c>
      <c r="F535" s="1255" t="s">
        <v>11579</v>
      </c>
      <c r="G535" s="1254" t="s">
        <v>41</v>
      </c>
      <c r="H535" s="1254" t="s">
        <v>1591</v>
      </c>
      <c r="I535" s="1254" t="s">
        <v>2193</v>
      </c>
      <c r="J535" s="1256"/>
      <c r="K535" s="1257">
        <v>1308000.0</v>
      </c>
    </row>
    <row r="536">
      <c r="A536" s="1253" t="s">
        <v>16274</v>
      </c>
      <c r="B536" s="1254" t="s">
        <v>16275</v>
      </c>
      <c r="C536" s="1255" t="s">
        <v>2939</v>
      </c>
      <c r="D536" s="1255" t="s">
        <v>687</v>
      </c>
      <c r="E536" s="1255" t="s">
        <v>11576</v>
      </c>
      <c r="F536" s="1255" t="s">
        <v>11579</v>
      </c>
      <c r="G536" s="1254" t="s">
        <v>41</v>
      </c>
      <c r="H536" s="1254" t="s">
        <v>688</v>
      </c>
      <c r="I536" s="1258" t="s">
        <v>2193</v>
      </c>
      <c r="J536" s="1266">
        <v>557000.0</v>
      </c>
      <c r="K536" s="1257">
        <v>1061000.0</v>
      </c>
    </row>
    <row r="537">
      <c r="A537" s="1253" t="s">
        <v>16276</v>
      </c>
      <c r="B537" s="1254" t="s">
        <v>16277</v>
      </c>
      <c r="C537" s="1255" t="s">
        <v>2939</v>
      </c>
      <c r="D537" s="1255" t="s">
        <v>689</v>
      </c>
      <c r="E537" s="1255" t="s">
        <v>11576</v>
      </c>
      <c r="F537" s="1255" t="s">
        <v>11591</v>
      </c>
      <c r="G537" s="1254" t="s">
        <v>128</v>
      </c>
      <c r="H537" s="1254" t="s">
        <v>688</v>
      </c>
      <c r="I537" s="1258" t="s">
        <v>141</v>
      </c>
      <c r="J537" s="1259"/>
      <c r="K537" s="1257">
        <v>653000.0</v>
      </c>
    </row>
    <row r="538">
      <c r="A538" s="1253" t="s">
        <v>16278</v>
      </c>
      <c r="B538" s="1254" t="s">
        <v>16279</v>
      </c>
      <c r="C538" s="1255" t="s">
        <v>2939</v>
      </c>
      <c r="D538" s="1255" t="s">
        <v>690</v>
      </c>
      <c r="E538" s="1255" t="s">
        <v>11576</v>
      </c>
      <c r="F538" s="1255" t="s">
        <v>11591</v>
      </c>
      <c r="G538" s="1254" t="s">
        <v>130</v>
      </c>
      <c r="H538" s="1254" t="s">
        <v>688</v>
      </c>
      <c r="I538" s="1258" t="s">
        <v>141</v>
      </c>
      <c r="J538" s="1259"/>
      <c r="K538" s="1257">
        <v>653000.0</v>
      </c>
    </row>
    <row r="539">
      <c r="A539" s="1253" t="s">
        <v>16280</v>
      </c>
      <c r="B539" s="1254" t="s">
        <v>16281</v>
      </c>
      <c r="C539" s="1255" t="s">
        <v>2939</v>
      </c>
      <c r="D539" s="1255" t="s">
        <v>691</v>
      </c>
      <c r="E539" s="1255" t="s">
        <v>11576</v>
      </c>
      <c r="F539" s="1255" t="s">
        <v>11591</v>
      </c>
      <c r="G539" s="1254" t="s">
        <v>132</v>
      </c>
      <c r="H539" s="1254" t="s">
        <v>688</v>
      </c>
      <c r="I539" s="1258" t="s">
        <v>141</v>
      </c>
      <c r="J539" s="1259"/>
      <c r="K539" s="1257">
        <v>653000.0</v>
      </c>
    </row>
    <row r="540">
      <c r="A540" s="1253" t="s">
        <v>16282</v>
      </c>
      <c r="B540" s="1254" t="s">
        <v>16283</v>
      </c>
      <c r="C540" s="1255" t="s">
        <v>2939</v>
      </c>
      <c r="D540" s="1255" t="s">
        <v>692</v>
      </c>
      <c r="E540" s="1255" t="s">
        <v>11576</v>
      </c>
      <c r="F540" s="1255" t="s">
        <v>11591</v>
      </c>
      <c r="G540" s="1254" t="s">
        <v>134</v>
      </c>
      <c r="H540" s="1254" t="s">
        <v>688</v>
      </c>
      <c r="I540" s="1258" t="s">
        <v>141</v>
      </c>
      <c r="J540" s="1259"/>
      <c r="K540" s="1257">
        <v>653000.0</v>
      </c>
    </row>
    <row r="541">
      <c r="A541" s="1253" t="s">
        <v>16284</v>
      </c>
      <c r="B541" s="1254" t="s">
        <v>16285</v>
      </c>
      <c r="C541" s="1255" t="s">
        <v>2939</v>
      </c>
      <c r="D541" s="1255" t="s">
        <v>693</v>
      </c>
      <c r="E541" s="1255" t="s">
        <v>11576</v>
      </c>
      <c r="F541" s="1255" t="s">
        <v>11570</v>
      </c>
      <c r="G541" s="1254" t="s">
        <v>22</v>
      </c>
      <c r="H541" s="1254" t="s">
        <v>694</v>
      </c>
      <c r="I541" s="1258" t="s">
        <v>125</v>
      </c>
      <c r="J541" s="1259"/>
      <c r="K541" s="1257">
        <v>2366000.0</v>
      </c>
    </row>
    <row r="542">
      <c r="A542" s="1253" t="s">
        <v>2939</v>
      </c>
      <c r="B542" s="1254" t="s">
        <v>16286</v>
      </c>
      <c r="C542" s="1255" t="s">
        <v>2939</v>
      </c>
      <c r="D542" s="1255" t="s">
        <v>2121</v>
      </c>
      <c r="E542" s="1255" t="s">
        <v>11569</v>
      </c>
      <c r="F542" s="1255" t="s">
        <v>11570</v>
      </c>
      <c r="G542" s="1254" t="s">
        <v>22</v>
      </c>
      <c r="H542" s="1254" t="s">
        <v>2122</v>
      </c>
      <c r="I542" s="1258" t="s">
        <v>75</v>
      </c>
      <c r="J542" s="1259"/>
      <c r="K542" s="1257">
        <v>2708000.0</v>
      </c>
    </row>
    <row r="543">
      <c r="A543" s="1253" t="s">
        <v>16287</v>
      </c>
      <c r="B543" s="1254" t="s">
        <v>16288</v>
      </c>
      <c r="C543" s="1255" t="s">
        <v>2939</v>
      </c>
      <c r="D543" s="1255" t="s">
        <v>695</v>
      </c>
      <c r="E543" s="1255" t="s">
        <v>11576</v>
      </c>
      <c r="F543" s="1255" t="s">
        <v>11570</v>
      </c>
      <c r="G543" s="1254" t="s">
        <v>22</v>
      </c>
      <c r="H543" s="1254" t="s">
        <v>696</v>
      </c>
      <c r="I543" s="1258" t="s">
        <v>697</v>
      </c>
      <c r="J543" s="1259"/>
      <c r="K543" s="1257">
        <v>3249000.0</v>
      </c>
    </row>
    <row r="544">
      <c r="A544" s="1253" t="s">
        <v>2939</v>
      </c>
      <c r="B544" s="1254" t="s">
        <v>16289</v>
      </c>
      <c r="C544" s="1255" t="s">
        <v>2939</v>
      </c>
      <c r="D544" s="1255" t="s">
        <v>1596</v>
      </c>
      <c r="E544" s="1255" t="s">
        <v>11569</v>
      </c>
      <c r="F544" s="1255" t="s">
        <v>11570</v>
      </c>
      <c r="G544" s="1254" t="s">
        <v>22</v>
      </c>
      <c r="H544" s="1254" t="s">
        <v>1597</v>
      </c>
      <c r="I544" s="1258" t="s">
        <v>1598</v>
      </c>
      <c r="J544" s="1259"/>
      <c r="K544" s="1257">
        <v>3512000.0</v>
      </c>
    </row>
    <row r="545">
      <c r="A545" s="1253" t="s">
        <v>16290</v>
      </c>
      <c r="B545" s="1254" t="s">
        <v>16291</v>
      </c>
      <c r="C545" s="1255" t="s">
        <v>2939</v>
      </c>
      <c r="D545" s="1255" t="s">
        <v>698</v>
      </c>
      <c r="E545" s="1255" t="s">
        <v>11576</v>
      </c>
      <c r="F545" s="1255" t="s">
        <v>11579</v>
      </c>
      <c r="G545" s="1254" t="s">
        <v>41</v>
      </c>
      <c r="H545" s="1254" t="s">
        <v>699</v>
      </c>
      <c r="I545" s="1258" t="s">
        <v>2193</v>
      </c>
      <c r="J545" s="1259"/>
      <c r="K545" s="1257">
        <v>1649000.0</v>
      </c>
    </row>
    <row r="546">
      <c r="A546" s="1253" t="s">
        <v>16292</v>
      </c>
      <c r="B546" s="1254" t="s">
        <v>16293</v>
      </c>
      <c r="C546" s="1255" t="s">
        <v>2939</v>
      </c>
      <c r="D546" s="1255" t="s">
        <v>700</v>
      </c>
      <c r="E546" s="1255" t="s">
        <v>11576</v>
      </c>
      <c r="F546" s="1255" t="s">
        <v>11591</v>
      </c>
      <c r="G546" s="1254" t="s">
        <v>128</v>
      </c>
      <c r="H546" s="1254" t="s">
        <v>699</v>
      </c>
      <c r="I546" s="1258" t="s">
        <v>397</v>
      </c>
      <c r="J546" s="1259"/>
      <c r="K546" s="1257">
        <v>725000.0</v>
      </c>
    </row>
    <row r="547">
      <c r="A547" s="1253" t="s">
        <v>16294</v>
      </c>
      <c r="B547" s="1254" t="s">
        <v>16295</v>
      </c>
      <c r="C547" s="1255" t="s">
        <v>2939</v>
      </c>
      <c r="D547" s="1255" t="s">
        <v>701</v>
      </c>
      <c r="E547" s="1255" t="s">
        <v>11576</v>
      </c>
      <c r="F547" s="1255" t="s">
        <v>11591</v>
      </c>
      <c r="G547" s="1254" t="s">
        <v>130</v>
      </c>
      <c r="H547" s="1254" t="s">
        <v>699</v>
      </c>
      <c r="I547" s="1258" t="s">
        <v>397</v>
      </c>
      <c r="J547" s="1259"/>
      <c r="K547" s="1257">
        <v>725000.0</v>
      </c>
    </row>
    <row r="548">
      <c r="A548" s="1253" t="s">
        <v>16296</v>
      </c>
      <c r="B548" s="1254" t="s">
        <v>16297</v>
      </c>
      <c r="C548" s="1255" t="s">
        <v>2939</v>
      </c>
      <c r="D548" s="1255" t="s">
        <v>702</v>
      </c>
      <c r="E548" s="1255" t="s">
        <v>11576</v>
      </c>
      <c r="F548" s="1255" t="s">
        <v>11591</v>
      </c>
      <c r="G548" s="1254" t="s">
        <v>132</v>
      </c>
      <c r="H548" s="1254" t="s">
        <v>699</v>
      </c>
      <c r="I548" s="1259"/>
      <c r="J548" s="1259"/>
      <c r="K548" s="1257">
        <v>884000.0</v>
      </c>
    </row>
    <row r="549">
      <c r="A549" s="1253" t="s">
        <v>16298</v>
      </c>
      <c r="B549" s="1254" t="s">
        <v>16299</v>
      </c>
      <c r="C549" s="1255" t="s">
        <v>2939</v>
      </c>
      <c r="D549" s="1255" t="s">
        <v>703</v>
      </c>
      <c r="E549" s="1255" t="s">
        <v>11576</v>
      </c>
      <c r="F549" s="1255" t="s">
        <v>11591</v>
      </c>
      <c r="G549" s="1254" t="s">
        <v>134</v>
      </c>
      <c r="H549" s="1254" t="s">
        <v>699</v>
      </c>
      <c r="I549" s="1259"/>
      <c r="J549" s="1259"/>
      <c r="K549" s="1257">
        <v>884000.0</v>
      </c>
    </row>
    <row r="550">
      <c r="A550" s="1253" t="s">
        <v>2939</v>
      </c>
      <c r="B550" s="1254" t="s">
        <v>16300</v>
      </c>
      <c r="C550" s="1255" t="s">
        <v>2939</v>
      </c>
      <c r="D550" s="1260" t="s">
        <v>11786</v>
      </c>
      <c r="E550" s="1255" t="s">
        <v>11569</v>
      </c>
      <c r="F550" s="1255" t="s">
        <v>11570</v>
      </c>
      <c r="G550" s="1258" t="s">
        <v>22</v>
      </c>
      <c r="H550" s="1258" t="s">
        <v>11787</v>
      </c>
      <c r="I550" s="1258" t="s">
        <v>23</v>
      </c>
      <c r="J550" s="1259"/>
      <c r="K550" s="1257">
        <v>2950000.0</v>
      </c>
    </row>
    <row r="551">
      <c r="A551" s="1253" t="s">
        <v>2939</v>
      </c>
      <c r="B551" s="1254" t="s">
        <v>16301</v>
      </c>
      <c r="C551" s="1255" t="s">
        <v>2939</v>
      </c>
      <c r="D551" s="1260" t="s">
        <v>11788</v>
      </c>
      <c r="E551" s="1255" t="s">
        <v>11569</v>
      </c>
      <c r="F551" s="1255" t="s">
        <v>11579</v>
      </c>
      <c r="G551" s="1254" t="s">
        <v>41</v>
      </c>
      <c r="H551" s="1258" t="s">
        <v>11789</v>
      </c>
      <c r="I551" s="1258" t="s">
        <v>11620</v>
      </c>
      <c r="J551" s="1259"/>
      <c r="K551" s="1257">
        <v>1950000.0</v>
      </c>
    </row>
    <row r="552">
      <c r="A552" s="1253" t="s">
        <v>2939</v>
      </c>
      <c r="B552" s="1254" t="s">
        <v>2939</v>
      </c>
      <c r="C552" s="1255" t="s">
        <v>16302</v>
      </c>
      <c r="D552" s="1255" t="s">
        <v>11790</v>
      </c>
      <c r="E552" s="1255" t="s">
        <v>11653</v>
      </c>
      <c r="F552" s="1260" t="s">
        <v>11570</v>
      </c>
      <c r="G552" s="1254" t="s">
        <v>22</v>
      </c>
      <c r="H552" s="1254" t="s">
        <v>16303</v>
      </c>
      <c r="I552" s="1258" t="s">
        <v>97</v>
      </c>
      <c r="J552" s="1259"/>
      <c r="K552" s="1257">
        <v>1182000.0</v>
      </c>
    </row>
    <row r="553">
      <c r="A553" s="1253" t="s">
        <v>16304</v>
      </c>
      <c r="B553" s="1254" t="s">
        <v>2939</v>
      </c>
      <c r="C553" s="1255" t="s">
        <v>2939</v>
      </c>
      <c r="D553" s="1255" t="s">
        <v>704</v>
      </c>
      <c r="E553" s="1255" t="s">
        <v>11578</v>
      </c>
      <c r="F553" s="1255" t="s">
        <v>11570</v>
      </c>
      <c r="G553" s="1254" t="s">
        <v>22</v>
      </c>
      <c r="H553" s="1254" t="s">
        <v>705</v>
      </c>
      <c r="I553" s="1258" t="s">
        <v>125</v>
      </c>
      <c r="J553" s="1259"/>
      <c r="K553" s="1257">
        <v>3865000.0</v>
      </c>
    </row>
    <row r="554">
      <c r="A554" s="1253" t="s">
        <v>16305</v>
      </c>
      <c r="B554" s="1254" t="s">
        <v>2939</v>
      </c>
      <c r="C554" s="1255" t="s">
        <v>2939</v>
      </c>
      <c r="D554" s="1255" t="s">
        <v>706</v>
      </c>
      <c r="E554" s="1255" t="s">
        <v>11578</v>
      </c>
      <c r="F554" s="1255" t="s">
        <v>11579</v>
      </c>
      <c r="G554" s="1254" t="s">
        <v>41</v>
      </c>
      <c r="H554" s="1254" t="s">
        <v>705</v>
      </c>
      <c r="I554" s="1258" t="s">
        <v>2062</v>
      </c>
      <c r="J554" s="1259"/>
      <c r="K554" s="1257">
        <v>2943000.0</v>
      </c>
    </row>
    <row r="555">
      <c r="A555" s="1253" t="s">
        <v>16306</v>
      </c>
      <c r="B555" s="1254" t="s">
        <v>2939</v>
      </c>
      <c r="C555" s="1255" t="s">
        <v>2939</v>
      </c>
      <c r="D555" s="1255" t="s">
        <v>707</v>
      </c>
      <c r="E555" s="1255" t="s">
        <v>11578</v>
      </c>
      <c r="F555" s="1255" t="s">
        <v>11570</v>
      </c>
      <c r="G555" s="1254" t="s">
        <v>22</v>
      </c>
      <c r="H555" s="1254" t="s">
        <v>708</v>
      </c>
      <c r="I555" s="1258" t="s">
        <v>125</v>
      </c>
      <c r="J555" s="1259"/>
      <c r="K555" s="1257">
        <v>3865000.0</v>
      </c>
    </row>
    <row r="556">
      <c r="A556" s="1253" t="s">
        <v>16307</v>
      </c>
      <c r="B556" s="1254" t="s">
        <v>2939</v>
      </c>
      <c r="C556" s="1255" t="s">
        <v>2939</v>
      </c>
      <c r="D556" s="1255" t="s">
        <v>709</v>
      </c>
      <c r="E556" s="1255" t="s">
        <v>11578</v>
      </c>
      <c r="F556" s="1255" t="s">
        <v>11579</v>
      </c>
      <c r="G556" s="1254" t="s">
        <v>41</v>
      </c>
      <c r="H556" s="1254" t="s">
        <v>708</v>
      </c>
      <c r="I556" s="1258" t="s">
        <v>2193</v>
      </c>
      <c r="J556" s="1259"/>
      <c r="K556" s="1257">
        <v>2974000.0</v>
      </c>
    </row>
    <row r="557">
      <c r="A557" s="1253" t="s">
        <v>16308</v>
      </c>
      <c r="B557" s="1254" t="s">
        <v>2939</v>
      </c>
      <c r="C557" s="1255" t="s">
        <v>2939</v>
      </c>
      <c r="D557" s="1255" t="s">
        <v>710</v>
      </c>
      <c r="E557" s="1255" t="s">
        <v>11578</v>
      </c>
      <c r="F557" s="1255" t="s">
        <v>11591</v>
      </c>
      <c r="G557" s="1254" t="s">
        <v>128</v>
      </c>
      <c r="H557" s="1254" t="s">
        <v>708</v>
      </c>
      <c r="I557" s="1259"/>
      <c r="J557" s="1259"/>
      <c r="K557" s="1257">
        <v>869000.0</v>
      </c>
    </row>
    <row r="558">
      <c r="A558" s="1253" t="s">
        <v>16309</v>
      </c>
      <c r="B558" s="1254" t="s">
        <v>2939</v>
      </c>
      <c r="C558" s="1255" t="s">
        <v>2939</v>
      </c>
      <c r="D558" s="1255" t="s">
        <v>711</v>
      </c>
      <c r="E558" s="1255" t="s">
        <v>11578</v>
      </c>
      <c r="F558" s="1255" t="s">
        <v>11591</v>
      </c>
      <c r="G558" s="1254" t="s">
        <v>130</v>
      </c>
      <c r="H558" s="1254" t="s">
        <v>708</v>
      </c>
      <c r="I558" s="1259"/>
      <c r="J558" s="1259"/>
      <c r="K558" s="1257">
        <v>869000.0</v>
      </c>
    </row>
    <row r="559">
      <c r="A559" s="1253" t="s">
        <v>16310</v>
      </c>
      <c r="B559" s="1254" t="s">
        <v>2939</v>
      </c>
      <c r="C559" s="1255" t="s">
        <v>2939</v>
      </c>
      <c r="D559" s="1255" t="s">
        <v>712</v>
      </c>
      <c r="E559" s="1255" t="s">
        <v>11578</v>
      </c>
      <c r="F559" s="1255" t="s">
        <v>11570</v>
      </c>
      <c r="G559" s="1254" t="s">
        <v>22</v>
      </c>
      <c r="H559" s="1254" t="s">
        <v>708</v>
      </c>
      <c r="I559" s="1258" t="s">
        <v>23</v>
      </c>
      <c r="J559" s="1259"/>
      <c r="K559" s="1257">
        <v>4202000.0</v>
      </c>
    </row>
    <row r="560">
      <c r="A560" s="1253" t="s">
        <v>16311</v>
      </c>
      <c r="B560" s="1254" t="s">
        <v>16312</v>
      </c>
      <c r="C560" s="1255" t="s">
        <v>2939</v>
      </c>
      <c r="D560" s="1255" t="s">
        <v>713</v>
      </c>
      <c r="E560" s="1255" t="s">
        <v>11576</v>
      </c>
      <c r="F560" s="1255" t="s">
        <v>11570</v>
      </c>
      <c r="G560" s="1254" t="s">
        <v>22</v>
      </c>
      <c r="H560" s="1254" t="s">
        <v>714</v>
      </c>
      <c r="I560" s="1258" t="s">
        <v>125</v>
      </c>
      <c r="J560" s="1259"/>
      <c r="K560" s="1257">
        <v>3695000.0</v>
      </c>
    </row>
    <row r="561">
      <c r="A561" s="1253" t="s">
        <v>16313</v>
      </c>
      <c r="B561" s="1254" t="s">
        <v>16314</v>
      </c>
      <c r="C561" s="1255" t="s">
        <v>2939</v>
      </c>
      <c r="D561" s="1255" t="s">
        <v>715</v>
      </c>
      <c r="E561" s="1255" t="s">
        <v>11578</v>
      </c>
      <c r="F561" s="1255" t="s">
        <v>11570</v>
      </c>
      <c r="G561" s="1254" t="s">
        <v>22</v>
      </c>
      <c r="H561" s="1254" t="s">
        <v>714</v>
      </c>
      <c r="I561" s="1258" t="s">
        <v>75</v>
      </c>
      <c r="J561" s="1259"/>
      <c r="K561" s="1257">
        <v>4202000.0</v>
      </c>
    </row>
    <row r="562">
      <c r="A562" s="1253" t="s">
        <v>16315</v>
      </c>
      <c r="B562" s="1254" t="s">
        <v>2939</v>
      </c>
      <c r="C562" s="1255" t="s">
        <v>2939</v>
      </c>
      <c r="D562" s="1255" t="s">
        <v>2100</v>
      </c>
      <c r="E562" s="1255" t="s">
        <v>11578</v>
      </c>
      <c r="F562" s="1255" t="s">
        <v>11579</v>
      </c>
      <c r="G562" s="1254" t="s">
        <v>41</v>
      </c>
      <c r="H562" s="1254" t="s">
        <v>714</v>
      </c>
      <c r="I562" s="1258" t="s">
        <v>2193</v>
      </c>
      <c r="J562" s="1259"/>
      <c r="K562" s="1257">
        <v>3614000.0</v>
      </c>
    </row>
    <row r="563">
      <c r="A563" s="1253" t="s">
        <v>16316</v>
      </c>
      <c r="B563" s="1254" t="s">
        <v>2939</v>
      </c>
      <c r="C563" s="1255" t="s">
        <v>2939</v>
      </c>
      <c r="D563" s="1255" t="s">
        <v>720</v>
      </c>
      <c r="E563" s="1255" t="s">
        <v>11578</v>
      </c>
      <c r="F563" s="1255" t="s">
        <v>11591</v>
      </c>
      <c r="G563" s="1254" t="s">
        <v>128</v>
      </c>
      <c r="H563" s="1254" t="s">
        <v>714</v>
      </c>
      <c r="I563" s="1259"/>
      <c r="J563" s="1259"/>
      <c r="K563" s="1257">
        <v>869000.0</v>
      </c>
    </row>
    <row r="564">
      <c r="A564" s="1253" t="s">
        <v>16317</v>
      </c>
      <c r="B564" s="1254" t="s">
        <v>2939</v>
      </c>
      <c r="C564" s="1255" t="s">
        <v>2939</v>
      </c>
      <c r="D564" s="1255" t="s">
        <v>721</v>
      </c>
      <c r="E564" s="1255" t="s">
        <v>11578</v>
      </c>
      <c r="F564" s="1255" t="s">
        <v>11591</v>
      </c>
      <c r="G564" s="1254" t="s">
        <v>130</v>
      </c>
      <c r="H564" s="1254" t="s">
        <v>714</v>
      </c>
      <c r="I564" s="1259"/>
      <c r="J564" s="1259"/>
      <c r="K564" s="1257">
        <v>869000.0</v>
      </c>
    </row>
    <row r="565">
      <c r="A565" s="1253" t="s">
        <v>16318</v>
      </c>
      <c r="B565" s="1254" t="s">
        <v>2939</v>
      </c>
      <c r="C565" s="1255" t="s">
        <v>2939</v>
      </c>
      <c r="D565" s="1255" t="s">
        <v>722</v>
      </c>
      <c r="E565" s="1255" t="s">
        <v>11578</v>
      </c>
      <c r="F565" s="1255" t="s">
        <v>11570</v>
      </c>
      <c r="G565" s="1254" t="s">
        <v>22</v>
      </c>
      <c r="H565" s="1254" t="s">
        <v>723</v>
      </c>
      <c r="I565" s="1258" t="s">
        <v>125</v>
      </c>
      <c r="J565" s="1259"/>
      <c r="K565" s="1257">
        <v>4535000.0</v>
      </c>
    </row>
    <row r="566">
      <c r="A566" s="1253" t="s">
        <v>2939</v>
      </c>
      <c r="B566" s="1254" t="s">
        <v>16319</v>
      </c>
      <c r="C566" s="1255" t="s">
        <v>2939</v>
      </c>
      <c r="D566" s="1255" t="s">
        <v>1600</v>
      </c>
      <c r="E566" s="1255" t="s">
        <v>11569</v>
      </c>
      <c r="F566" s="1255" t="s">
        <v>11570</v>
      </c>
      <c r="G566" s="1254" t="s">
        <v>22</v>
      </c>
      <c r="H566" s="1254" t="s">
        <v>723</v>
      </c>
      <c r="I566" s="1258" t="s">
        <v>75</v>
      </c>
      <c r="J566" s="1259"/>
      <c r="K566" s="1257">
        <v>4860000.0</v>
      </c>
    </row>
    <row r="567">
      <c r="A567" s="1253" t="s">
        <v>16320</v>
      </c>
      <c r="B567" s="1254" t="s">
        <v>16321</v>
      </c>
      <c r="C567" s="1255" t="s">
        <v>2939</v>
      </c>
      <c r="D567" s="1255" t="s">
        <v>724</v>
      </c>
      <c r="E567" s="1255" t="s">
        <v>11578</v>
      </c>
      <c r="F567" s="1255" t="s">
        <v>11579</v>
      </c>
      <c r="G567" s="1254" t="s">
        <v>41</v>
      </c>
      <c r="H567" s="1254" t="s">
        <v>723</v>
      </c>
      <c r="I567" s="1258" t="s">
        <v>1377</v>
      </c>
      <c r="J567" s="1259"/>
      <c r="K567" s="1257">
        <v>4336000.0</v>
      </c>
    </row>
    <row r="568">
      <c r="A568" s="1253" t="s">
        <v>16322</v>
      </c>
      <c r="B568" s="1254" t="s">
        <v>16323</v>
      </c>
      <c r="C568" s="1255" t="s">
        <v>2939</v>
      </c>
      <c r="D568" s="1255" t="s">
        <v>725</v>
      </c>
      <c r="E568" s="1255" t="s">
        <v>11576</v>
      </c>
      <c r="F568" s="1255" t="s">
        <v>11570</v>
      </c>
      <c r="G568" s="1254" t="s">
        <v>22</v>
      </c>
      <c r="H568" s="1254" t="s">
        <v>726</v>
      </c>
      <c r="I568" s="1258" t="s">
        <v>23</v>
      </c>
      <c r="J568" s="1259"/>
      <c r="K568" s="1257">
        <v>4480000.0</v>
      </c>
    </row>
    <row r="569">
      <c r="A569" s="1253" t="s">
        <v>16324</v>
      </c>
      <c r="B569" s="1254" t="s">
        <v>16325</v>
      </c>
      <c r="C569" s="1255" t="s">
        <v>2939</v>
      </c>
      <c r="D569" s="1255" t="s">
        <v>727</v>
      </c>
      <c r="E569" s="1255" t="s">
        <v>11576</v>
      </c>
      <c r="F569" s="1255" t="s">
        <v>11570</v>
      </c>
      <c r="G569" s="1254" t="s">
        <v>22</v>
      </c>
      <c r="H569" s="1254" t="s">
        <v>726</v>
      </c>
      <c r="I569" s="1258" t="s">
        <v>125</v>
      </c>
      <c r="J569" s="1259"/>
      <c r="K569" s="1257">
        <v>3311000.0</v>
      </c>
    </row>
    <row r="570">
      <c r="A570" s="1253" t="s">
        <v>16326</v>
      </c>
      <c r="B570" s="1254" t="s">
        <v>2939</v>
      </c>
      <c r="C570" s="1255" t="s">
        <v>2939</v>
      </c>
      <c r="D570" s="1255" t="s">
        <v>728</v>
      </c>
      <c r="E570" s="1255" t="s">
        <v>11578</v>
      </c>
      <c r="F570" s="1255" t="s">
        <v>11579</v>
      </c>
      <c r="G570" s="1254" t="s">
        <v>41</v>
      </c>
      <c r="H570" s="1262" t="s">
        <v>16327</v>
      </c>
      <c r="I570" s="1258" t="s">
        <v>1377</v>
      </c>
      <c r="J570" s="1259"/>
      <c r="K570" s="1257">
        <v>2848000.0</v>
      </c>
    </row>
    <row r="571">
      <c r="A571" s="1253" t="s">
        <v>16328</v>
      </c>
      <c r="B571" s="1254" t="s">
        <v>16329</v>
      </c>
      <c r="C571" s="1255" t="s">
        <v>2939</v>
      </c>
      <c r="D571" s="1255" t="s">
        <v>729</v>
      </c>
      <c r="E571" s="1255" t="s">
        <v>11576</v>
      </c>
      <c r="F571" s="1255" t="s">
        <v>11579</v>
      </c>
      <c r="G571" s="1254" t="s">
        <v>41</v>
      </c>
      <c r="H571" s="1254" t="s">
        <v>730</v>
      </c>
      <c r="I571" s="1258" t="s">
        <v>2301</v>
      </c>
      <c r="J571" s="1259"/>
      <c r="K571" s="1257">
        <v>3093000.0</v>
      </c>
    </row>
    <row r="572">
      <c r="A572" s="1253" t="s">
        <v>16330</v>
      </c>
      <c r="B572" s="1254" t="s">
        <v>2939</v>
      </c>
      <c r="C572" s="1255" t="s">
        <v>2939</v>
      </c>
      <c r="D572" s="1255" t="s">
        <v>731</v>
      </c>
      <c r="E572" s="1255" t="s">
        <v>11578</v>
      </c>
      <c r="F572" s="1255" t="s">
        <v>11591</v>
      </c>
      <c r="G572" s="1254" t="s">
        <v>132</v>
      </c>
      <c r="H572" s="1254" t="s">
        <v>726</v>
      </c>
      <c r="I572" s="1259"/>
      <c r="J572" s="1259"/>
      <c r="K572" s="1257">
        <v>1448000.0</v>
      </c>
    </row>
    <row r="573">
      <c r="A573" s="1253" t="s">
        <v>16331</v>
      </c>
      <c r="B573" s="1254" t="s">
        <v>2939</v>
      </c>
      <c r="C573" s="1255" t="s">
        <v>2939</v>
      </c>
      <c r="D573" s="1255" t="s">
        <v>732</v>
      </c>
      <c r="E573" s="1255" t="s">
        <v>11578</v>
      </c>
      <c r="F573" s="1255" t="s">
        <v>11591</v>
      </c>
      <c r="G573" s="1254" t="s">
        <v>134</v>
      </c>
      <c r="H573" s="1254" t="s">
        <v>726</v>
      </c>
      <c r="I573" s="1259"/>
      <c r="J573" s="1259"/>
      <c r="K573" s="1257">
        <v>1448000.0</v>
      </c>
    </row>
    <row r="574">
      <c r="A574" s="1253" t="s">
        <v>16332</v>
      </c>
      <c r="B574" s="1254" t="s">
        <v>2939</v>
      </c>
      <c r="C574" s="1255" t="s">
        <v>2939</v>
      </c>
      <c r="D574" s="1255" t="s">
        <v>733</v>
      </c>
      <c r="E574" s="1255" t="s">
        <v>11578</v>
      </c>
      <c r="F574" s="1255" t="s">
        <v>11591</v>
      </c>
      <c r="G574" s="1254" t="s">
        <v>202</v>
      </c>
      <c r="H574" s="1254" t="s">
        <v>726</v>
      </c>
      <c r="I574" s="1258" t="s">
        <v>97</v>
      </c>
      <c r="J574" s="1259"/>
      <c r="K574" s="1257">
        <v>1766000.0</v>
      </c>
    </row>
    <row r="575">
      <c r="A575" s="1253" t="s">
        <v>16333</v>
      </c>
      <c r="B575" s="1254" t="s">
        <v>2939</v>
      </c>
      <c r="C575" s="1255" t="s">
        <v>2939</v>
      </c>
      <c r="D575" s="1255" t="s">
        <v>734</v>
      </c>
      <c r="E575" s="1255" t="s">
        <v>11578</v>
      </c>
      <c r="F575" s="1255" t="s">
        <v>11591</v>
      </c>
      <c r="G575" s="1254" t="s">
        <v>236</v>
      </c>
      <c r="H575" s="1254" t="s">
        <v>726</v>
      </c>
      <c r="I575" s="1258" t="s">
        <v>234</v>
      </c>
      <c r="J575" s="1259"/>
      <c r="K575" s="1257">
        <v>1928000.0</v>
      </c>
    </row>
    <row r="576">
      <c r="A576" s="1253" t="s">
        <v>2939</v>
      </c>
      <c r="B576" s="1254" t="s">
        <v>16334</v>
      </c>
      <c r="C576" s="1255" t="s">
        <v>2939</v>
      </c>
      <c r="D576" s="1255" t="s">
        <v>1604</v>
      </c>
      <c r="E576" s="1255" t="s">
        <v>11569</v>
      </c>
      <c r="F576" s="1255" t="s">
        <v>11591</v>
      </c>
      <c r="G576" s="1254" t="s">
        <v>202</v>
      </c>
      <c r="H576" s="1254" t="s">
        <v>730</v>
      </c>
      <c r="I576" s="1259"/>
      <c r="J576" s="1259"/>
      <c r="K576" s="1257">
        <v>1928000.0</v>
      </c>
    </row>
    <row r="577">
      <c r="A577" s="1253" t="s">
        <v>2939</v>
      </c>
      <c r="B577" s="1254" t="s">
        <v>16335</v>
      </c>
      <c r="C577" s="1255" t="s">
        <v>2939</v>
      </c>
      <c r="D577" s="1255" t="s">
        <v>1605</v>
      </c>
      <c r="E577" s="1255" t="s">
        <v>11569</v>
      </c>
      <c r="F577" s="1255" t="s">
        <v>11591</v>
      </c>
      <c r="G577" s="1254" t="s">
        <v>236</v>
      </c>
      <c r="H577" s="1254" t="s">
        <v>730</v>
      </c>
      <c r="I577" s="1259"/>
      <c r="J577" s="1259"/>
      <c r="K577" s="1257">
        <v>1928000.0</v>
      </c>
    </row>
    <row r="578">
      <c r="A578" s="1253" t="s">
        <v>2939</v>
      </c>
      <c r="B578" s="1254" t="s">
        <v>16336</v>
      </c>
      <c r="C578" s="1255" t="s">
        <v>2939</v>
      </c>
      <c r="D578" s="1255" t="s">
        <v>1606</v>
      </c>
      <c r="E578" s="1255" t="s">
        <v>11569</v>
      </c>
      <c r="F578" s="1255" t="s">
        <v>11570</v>
      </c>
      <c r="G578" s="1254" t="s">
        <v>22</v>
      </c>
      <c r="H578" s="1254" t="s">
        <v>1607</v>
      </c>
      <c r="I578" s="1258" t="s">
        <v>23</v>
      </c>
      <c r="J578" s="1259"/>
      <c r="K578" s="1257">
        <v>4558000.0</v>
      </c>
    </row>
    <row r="579">
      <c r="A579" s="1253" t="s">
        <v>2939</v>
      </c>
      <c r="B579" s="1254" t="s">
        <v>16337</v>
      </c>
      <c r="C579" s="1255" t="s">
        <v>2939</v>
      </c>
      <c r="D579" s="1255" t="s">
        <v>2521</v>
      </c>
      <c r="E579" s="1255" t="s">
        <v>11569</v>
      </c>
      <c r="F579" s="1255" t="s">
        <v>11579</v>
      </c>
      <c r="G579" s="1258" t="s">
        <v>41</v>
      </c>
      <c r="H579" s="1254" t="s">
        <v>11802</v>
      </c>
      <c r="I579" s="1258" t="s">
        <v>1377</v>
      </c>
      <c r="J579" s="1259"/>
      <c r="K579" s="1257">
        <v>2400000.0</v>
      </c>
    </row>
    <row r="580">
      <c r="A580" s="1253" t="s">
        <v>16338</v>
      </c>
      <c r="B580" s="1254" t="s">
        <v>16339</v>
      </c>
      <c r="C580" s="1255" t="s">
        <v>2939</v>
      </c>
      <c r="D580" s="1255" t="s">
        <v>735</v>
      </c>
      <c r="E580" s="1255" t="s">
        <v>11578</v>
      </c>
      <c r="F580" s="1255" t="s">
        <v>11570</v>
      </c>
      <c r="G580" s="1254" t="s">
        <v>22</v>
      </c>
      <c r="H580" s="1254" t="s">
        <v>11803</v>
      </c>
      <c r="I580" s="1258" t="s">
        <v>737</v>
      </c>
      <c r="J580" s="1259"/>
      <c r="K580" s="1257">
        <v>2576000.0</v>
      </c>
    </row>
    <row r="581">
      <c r="A581" s="1253" t="s">
        <v>16340</v>
      </c>
      <c r="B581" s="1254" t="s">
        <v>16341</v>
      </c>
      <c r="C581" s="1255" t="s">
        <v>2939</v>
      </c>
      <c r="D581" s="1255" t="s">
        <v>740</v>
      </c>
      <c r="E581" s="1255" t="s">
        <v>11576</v>
      </c>
      <c r="F581" s="1255" t="s">
        <v>11570</v>
      </c>
      <c r="G581" s="1254" t="s">
        <v>22</v>
      </c>
      <c r="H581" s="1254" t="s">
        <v>11804</v>
      </c>
      <c r="I581" s="1258" t="s">
        <v>23</v>
      </c>
      <c r="J581" s="1259"/>
      <c r="K581" s="1257">
        <v>3026000.0</v>
      </c>
    </row>
    <row r="582">
      <c r="A582" s="1253" t="s">
        <v>16342</v>
      </c>
      <c r="B582" s="1254" t="s">
        <v>16343</v>
      </c>
      <c r="C582" s="1255" t="s">
        <v>2939</v>
      </c>
      <c r="D582" s="1255" t="s">
        <v>2014</v>
      </c>
      <c r="E582" s="1255" t="s">
        <v>11578</v>
      </c>
      <c r="F582" s="1255" t="s">
        <v>11570</v>
      </c>
      <c r="G582" s="1254" t="s">
        <v>22</v>
      </c>
      <c r="H582" s="1254" t="s">
        <v>11805</v>
      </c>
      <c r="I582" s="1258" t="s">
        <v>2019</v>
      </c>
      <c r="J582" s="1259"/>
      <c r="K582" s="1257">
        <v>4257000.0</v>
      </c>
    </row>
    <row r="583">
      <c r="A583" s="1253" t="s">
        <v>16344</v>
      </c>
      <c r="B583" s="1254" t="s">
        <v>16345</v>
      </c>
      <c r="C583" s="1255" t="s">
        <v>2939</v>
      </c>
      <c r="D583" s="1255" t="s">
        <v>746</v>
      </c>
      <c r="E583" s="1255" t="s">
        <v>11578</v>
      </c>
      <c r="F583" s="1255" t="s">
        <v>11579</v>
      </c>
      <c r="G583" s="1254" t="s">
        <v>41</v>
      </c>
      <c r="H583" s="1254" t="s">
        <v>747</v>
      </c>
      <c r="I583" s="1258" t="s">
        <v>1377</v>
      </c>
      <c r="J583" s="1259"/>
      <c r="K583" s="1257">
        <v>2294000.0</v>
      </c>
    </row>
    <row r="584">
      <c r="A584" s="1253" t="s">
        <v>16346</v>
      </c>
      <c r="B584" s="1254" t="s">
        <v>16347</v>
      </c>
      <c r="C584" s="1255" t="s">
        <v>2939</v>
      </c>
      <c r="D584" s="1255" t="s">
        <v>748</v>
      </c>
      <c r="E584" s="1255" t="s">
        <v>11578</v>
      </c>
      <c r="F584" s="1255" t="s">
        <v>11591</v>
      </c>
      <c r="G584" s="1254" t="s">
        <v>128</v>
      </c>
      <c r="H584" s="1254" t="s">
        <v>747</v>
      </c>
      <c r="I584" s="1259"/>
      <c r="J584" s="1259"/>
      <c r="K584" s="1257">
        <v>804000.0</v>
      </c>
    </row>
    <row r="585">
      <c r="A585" s="1253" t="s">
        <v>16348</v>
      </c>
      <c r="B585" s="1254" t="s">
        <v>16349</v>
      </c>
      <c r="C585" s="1255" t="s">
        <v>2939</v>
      </c>
      <c r="D585" s="1255" t="s">
        <v>749</v>
      </c>
      <c r="E585" s="1255" t="s">
        <v>11578</v>
      </c>
      <c r="F585" s="1255" t="s">
        <v>11591</v>
      </c>
      <c r="G585" s="1254" t="s">
        <v>130</v>
      </c>
      <c r="H585" s="1254" t="s">
        <v>747</v>
      </c>
      <c r="I585" s="1259"/>
      <c r="J585" s="1259"/>
      <c r="K585" s="1257">
        <v>804000.0</v>
      </c>
    </row>
    <row r="586">
      <c r="A586" s="1253" t="s">
        <v>16350</v>
      </c>
      <c r="B586" s="1254" t="s">
        <v>16351</v>
      </c>
      <c r="C586" s="1255" t="s">
        <v>2939</v>
      </c>
      <c r="D586" s="1255" t="s">
        <v>750</v>
      </c>
      <c r="E586" s="1255" t="s">
        <v>11578</v>
      </c>
      <c r="F586" s="1255" t="s">
        <v>11591</v>
      </c>
      <c r="G586" s="1254" t="s">
        <v>132</v>
      </c>
      <c r="H586" s="1254" t="s">
        <v>747</v>
      </c>
      <c r="I586" s="1259"/>
      <c r="J586" s="1259"/>
      <c r="K586" s="1257">
        <v>725000.0</v>
      </c>
    </row>
    <row r="587">
      <c r="A587" s="1253" t="s">
        <v>16352</v>
      </c>
      <c r="B587" s="1254" t="s">
        <v>16353</v>
      </c>
      <c r="C587" s="1255" t="s">
        <v>2939</v>
      </c>
      <c r="D587" s="1255" t="s">
        <v>751</v>
      </c>
      <c r="E587" s="1255" t="s">
        <v>11578</v>
      </c>
      <c r="F587" s="1255" t="s">
        <v>11591</v>
      </c>
      <c r="G587" s="1254" t="s">
        <v>134</v>
      </c>
      <c r="H587" s="1254" t="s">
        <v>747</v>
      </c>
      <c r="I587" s="1259"/>
      <c r="J587" s="1259"/>
      <c r="K587" s="1257">
        <v>725000.0</v>
      </c>
    </row>
    <row r="588">
      <c r="A588" s="1253" t="s">
        <v>16354</v>
      </c>
      <c r="B588" s="1254" t="s">
        <v>2939</v>
      </c>
      <c r="C588" s="1255" t="s">
        <v>2939</v>
      </c>
      <c r="D588" s="1255" t="s">
        <v>752</v>
      </c>
      <c r="E588" s="1255" t="s">
        <v>11578</v>
      </c>
      <c r="F588" s="1255" t="s">
        <v>11591</v>
      </c>
      <c r="G588" s="1254" t="s">
        <v>387</v>
      </c>
      <c r="H588" s="1254" t="s">
        <v>747</v>
      </c>
      <c r="I588" s="1259"/>
      <c r="J588" s="1259"/>
      <c r="K588" s="1257">
        <v>291000.0</v>
      </c>
    </row>
    <row r="589">
      <c r="A589" s="1253" t="s">
        <v>16355</v>
      </c>
      <c r="B589" s="1254" t="s">
        <v>2939</v>
      </c>
      <c r="C589" s="1255" t="s">
        <v>2939</v>
      </c>
      <c r="D589" s="1255" t="s">
        <v>753</v>
      </c>
      <c r="E589" s="1255" t="s">
        <v>11578</v>
      </c>
      <c r="F589" s="1255" t="s">
        <v>11591</v>
      </c>
      <c r="G589" s="1254" t="s">
        <v>389</v>
      </c>
      <c r="H589" s="1254" t="s">
        <v>747</v>
      </c>
      <c r="I589" s="1259"/>
      <c r="J589" s="1259"/>
      <c r="K589" s="1257">
        <v>291000.0</v>
      </c>
    </row>
    <row r="590">
      <c r="A590" s="1253" t="s">
        <v>2939</v>
      </c>
      <c r="B590" s="1254" t="s">
        <v>16356</v>
      </c>
      <c r="C590" s="1255" t="s">
        <v>2939</v>
      </c>
      <c r="D590" s="1260" t="s">
        <v>1609</v>
      </c>
      <c r="E590" s="1255" t="s">
        <v>11569</v>
      </c>
      <c r="F590" s="1255" t="s">
        <v>11570</v>
      </c>
      <c r="G590" s="1254" t="s">
        <v>22</v>
      </c>
      <c r="H590" s="1254" t="s">
        <v>1610</v>
      </c>
      <c r="I590" s="1258" t="s">
        <v>23</v>
      </c>
      <c r="J590" s="1259"/>
      <c r="K590" s="1257">
        <v>4644000.0</v>
      </c>
    </row>
    <row r="591">
      <c r="A591" s="1253" t="s">
        <v>2939</v>
      </c>
      <c r="B591" s="1254" t="s">
        <v>16357</v>
      </c>
      <c r="C591" s="1255" t="s">
        <v>2939</v>
      </c>
      <c r="D591" s="1255" t="s">
        <v>2496</v>
      </c>
      <c r="E591" s="1255" t="s">
        <v>11569</v>
      </c>
      <c r="F591" s="1255" t="s">
        <v>11570</v>
      </c>
      <c r="G591" s="1254" t="s">
        <v>22</v>
      </c>
      <c r="H591" s="1254" t="s">
        <v>1612</v>
      </c>
      <c r="I591" s="1258" t="s">
        <v>1350</v>
      </c>
      <c r="J591" s="1259"/>
      <c r="K591" s="1257">
        <v>5051000.0</v>
      </c>
    </row>
    <row r="592">
      <c r="A592" s="1253" t="s">
        <v>2939</v>
      </c>
      <c r="B592" s="1254" t="s">
        <v>16358</v>
      </c>
      <c r="C592" s="1255" t="s">
        <v>2939</v>
      </c>
      <c r="D592" s="1255" t="s">
        <v>1613</v>
      </c>
      <c r="E592" s="1255" t="s">
        <v>11569</v>
      </c>
      <c r="F592" s="1255" t="s">
        <v>11579</v>
      </c>
      <c r="G592" s="1254" t="s">
        <v>41</v>
      </c>
      <c r="H592" s="1254" t="s">
        <v>1614</v>
      </c>
      <c r="I592" s="1258" t="s">
        <v>1377</v>
      </c>
      <c r="J592" s="1259"/>
      <c r="K592" s="1257">
        <v>2767000.0</v>
      </c>
    </row>
    <row r="593">
      <c r="A593" s="1253" t="s">
        <v>2939</v>
      </c>
      <c r="B593" s="1254" t="s">
        <v>16359</v>
      </c>
      <c r="C593" s="1255" t="s">
        <v>2939</v>
      </c>
      <c r="D593" s="1255" t="s">
        <v>2393</v>
      </c>
      <c r="E593" s="1255" t="s">
        <v>11569</v>
      </c>
      <c r="F593" s="1255" t="s">
        <v>11591</v>
      </c>
      <c r="G593" s="1254" t="s">
        <v>128</v>
      </c>
      <c r="H593" s="1254" t="s">
        <v>1614</v>
      </c>
      <c r="I593" s="1254" t="s">
        <v>397</v>
      </c>
      <c r="J593" s="1256"/>
      <c r="K593" s="1257">
        <v>566000.0</v>
      </c>
    </row>
    <row r="594">
      <c r="A594" s="1253" t="s">
        <v>2939</v>
      </c>
      <c r="B594" s="1254" t="s">
        <v>16360</v>
      </c>
      <c r="C594" s="1255" t="s">
        <v>2939</v>
      </c>
      <c r="D594" s="1255" t="s">
        <v>1617</v>
      </c>
      <c r="E594" s="1255" t="s">
        <v>11569</v>
      </c>
      <c r="F594" s="1255" t="s">
        <v>11591</v>
      </c>
      <c r="G594" s="1254" t="s">
        <v>130</v>
      </c>
      <c r="H594" s="1254" t="s">
        <v>1614</v>
      </c>
      <c r="I594" s="1254" t="s">
        <v>397</v>
      </c>
      <c r="J594" s="1256"/>
      <c r="K594" s="1257">
        <v>566000.0</v>
      </c>
    </row>
    <row r="595">
      <c r="A595" s="1253" t="s">
        <v>2939</v>
      </c>
      <c r="B595" s="1254" t="s">
        <v>16361</v>
      </c>
      <c r="C595" s="1255" t="s">
        <v>2939</v>
      </c>
      <c r="D595" s="1255" t="s">
        <v>1618</v>
      </c>
      <c r="E595" s="1255" t="s">
        <v>11569</v>
      </c>
      <c r="F595" s="1255" t="s">
        <v>11591</v>
      </c>
      <c r="G595" s="1254" t="s">
        <v>132</v>
      </c>
      <c r="H595" s="1254" t="s">
        <v>1614</v>
      </c>
      <c r="I595" s="1254" t="s">
        <v>397</v>
      </c>
      <c r="J595" s="1256"/>
      <c r="K595" s="1257">
        <v>566000.0</v>
      </c>
    </row>
    <row r="596">
      <c r="A596" s="1253" t="s">
        <v>2939</v>
      </c>
      <c r="B596" s="1254" t="s">
        <v>16362</v>
      </c>
      <c r="C596" s="1255" t="s">
        <v>2939</v>
      </c>
      <c r="D596" s="1255" t="s">
        <v>1619</v>
      </c>
      <c r="E596" s="1255" t="s">
        <v>11569</v>
      </c>
      <c r="F596" s="1255" t="s">
        <v>11591</v>
      </c>
      <c r="G596" s="1254" t="s">
        <v>134</v>
      </c>
      <c r="H596" s="1254" t="s">
        <v>1614</v>
      </c>
      <c r="I596" s="1254" t="s">
        <v>397</v>
      </c>
      <c r="J596" s="1256"/>
      <c r="K596" s="1257">
        <v>566000.0</v>
      </c>
    </row>
    <row r="597">
      <c r="A597" s="1253" t="s">
        <v>2939</v>
      </c>
      <c r="B597" s="1254" t="s">
        <v>16363</v>
      </c>
      <c r="C597" s="1255" t="s">
        <v>2939</v>
      </c>
      <c r="D597" s="1255" t="s">
        <v>1620</v>
      </c>
      <c r="E597" s="1255" t="s">
        <v>11569</v>
      </c>
      <c r="F597" s="1255" t="s">
        <v>11591</v>
      </c>
      <c r="G597" s="1254" t="s">
        <v>202</v>
      </c>
      <c r="H597" s="1254" t="s">
        <v>1614</v>
      </c>
      <c r="I597" s="1254" t="s">
        <v>2193</v>
      </c>
      <c r="J597" s="1256"/>
      <c r="K597" s="1257">
        <v>566000.0</v>
      </c>
    </row>
    <row r="598">
      <c r="A598" s="1253" t="s">
        <v>2939</v>
      </c>
      <c r="B598" s="1254" t="s">
        <v>16364</v>
      </c>
      <c r="C598" s="1255" t="s">
        <v>2939</v>
      </c>
      <c r="D598" s="1255" t="s">
        <v>1621</v>
      </c>
      <c r="E598" s="1255" t="s">
        <v>11569</v>
      </c>
      <c r="F598" s="1255" t="s">
        <v>11591</v>
      </c>
      <c r="G598" s="1254" t="s">
        <v>236</v>
      </c>
      <c r="H598" s="1254" t="s">
        <v>1614</v>
      </c>
      <c r="I598" s="1254" t="s">
        <v>2193</v>
      </c>
      <c r="J598" s="1256"/>
      <c r="K598" s="1257">
        <v>566000.0</v>
      </c>
    </row>
    <row r="599">
      <c r="A599" s="1253" t="s">
        <v>16365</v>
      </c>
      <c r="B599" s="1254" t="s">
        <v>16366</v>
      </c>
      <c r="C599" s="1255" t="s">
        <v>2939</v>
      </c>
      <c r="D599" s="1255" t="s">
        <v>754</v>
      </c>
      <c r="E599" s="1255" t="s">
        <v>11576</v>
      </c>
      <c r="F599" s="1255" t="s">
        <v>11570</v>
      </c>
      <c r="G599" s="1254" t="s">
        <v>22</v>
      </c>
      <c r="H599" s="1254" t="s">
        <v>755</v>
      </c>
      <c r="I599" s="1258" t="s">
        <v>75</v>
      </c>
      <c r="J599" s="1259"/>
      <c r="K599" s="1257">
        <v>4927000.0</v>
      </c>
    </row>
    <row r="600">
      <c r="A600" s="1253" t="s">
        <v>16367</v>
      </c>
      <c r="B600" s="1254" t="s">
        <v>16368</v>
      </c>
      <c r="C600" s="1255" t="s">
        <v>2939</v>
      </c>
      <c r="D600" s="1255" t="s">
        <v>756</v>
      </c>
      <c r="E600" s="1255" t="s">
        <v>11576</v>
      </c>
      <c r="F600" s="1255" t="s">
        <v>11570</v>
      </c>
      <c r="G600" s="1254" t="s">
        <v>22</v>
      </c>
      <c r="H600" s="1254" t="s">
        <v>757</v>
      </c>
      <c r="I600" s="1258" t="s">
        <v>737</v>
      </c>
      <c r="J600" s="1259"/>
      <c r="K600" s="1257">
        <v>4480000.0</v>
      </c>
    </row>
    <row r="601">
      <c r="A601" s="1253" t="s">
        <v>16369</v>
      </c>
      <c r="B601" s="1254" t="s">
        <v>16370</v>
      </c>
      <c r="C601" s="1255" t="s">
        <v>2939</v>
      </c>
      <c r="D601" s="1255" t="s">
        <v>758</v>
      </c>
      <c r="E601" s="1255" t="s">
        <v>11578</v>
      </c>
      <c r="F601" s="1255" t="s">
        <v>11579</v>
      </c>
      <c r="G601" s="1254" t="s">
        <v>41</v>
      </c>
      <c r="H601" s="1254" t="s">
        <v>759</v>
      </c>
      <c r="I601" s="1258" t="s">
        <v>2364</v>
      </c>
      <c r="J601" s="1259"/>
      <c r="K601" s="1257">
        <v>3717000.0</v>
      </c>
    </row>
    <row r="602">
      <c r="A602" s="1253" t="s">
        <v>16371</v>
      </c>
      <c r="B602" s="1254" t="s">
        <v>2939</v>
      </c>
      <c r="C602" s="1255" t="s">
        <v>2939</v>
      </c>
      <c r="D602" s="1255" t="s">
        <v>761</v>
      </c>
      <c r="E602" s="1255" t="s">
        <v>11578</v>
      </c>
      <c r="F602" s="1255" t="s">
        <v>11591</v>
      </c>
      <c r="G602" s="1254" t="s">
        <v>130</v>
      </c>
      <c r="H602" s="1254" t="s">
        <v>759</v>
      </c>
      <c r="I602" s="1258" t="s">
        <v>141</v>
      </c>
      <c r="J602" s="1259"/>
      <c r="K602" s="1257">
        <v>1045000.0</v>
      </c>
    </row>
    <row r="603">
      <c r="A603" s="1253" t="s">
        <v>16372</v>
      </c>
      <c r="B603" s="1254" t="s">
        <v>2939</v>
      </c>
      <c r="C603" s="1255" t="s">
        <v>2939</v>
      </c>
      <c r="D603" s="1255" t="s">
        <v>762</v>
      </c>
      <c r="E603" s="1255" t="s">
        <v>11578</v>
      </c>
      <c r="F603" s="1255" t="s">
        <v>11591</v>
      </c>
      <c r="G603" s="1254" t="s">
        <v>132</v>
      </c>
      <c r="H603" s="1254" t="s">
        <v>759</v>
      </c>
      <c r="I603" s="1258" t="s">
        <v>144</v>
      </c>
      <c r="J603" s="1259"/>
      <c r="K603" s="1257">
        <v>869000.0</v>
      </c>
    </row>
    <row r="604">
      <c r="A604" s="1253" t="s">
        <v>16373</v>
      </c>
      <c r="B604" s="1254" t="s">
        <v>2939</v>
      </c>
      <c r="C604" s="1255" t="s">
        <v>2939</v>
      </c>
      <c r="D604" s="1255" t="s">
        <v>763</v>
      </c>
      <c r="E604" s="1255" t="s">
        <v>11578</v>
      </c>
      <c r="F604" s="1255" t="s">
        <v>11591</v>
      </c>
      <c r="G604" s="1254" t="s">
        <v>134</v>
      </c>
      <c r="H604" s="1254" t="s">
        <v>759</v>
      </c>
      <c r="I604" s="1258" t="s">
        <v>144</v>
      </c>
      <c r="J604" s="1259"/>
      <c r="K604" s="1257">
        <v>869000.0</v>
      </c>
    </row>
    <row r="605">
      <c r="A605" s="1253" t="s">
        <v>16374</v>
      </c>
      <c r="B605" s="1254" t="s">
        <v>2939</v>
      </c>
      <c r="C605" s="1255" t="s">
        <v>2939</v>
      </c>
      <c r="D605" s="1255" t="s">
        <v>764</v>
      </c>
      <c r="E605" s="1255" t="s">
        <v>11578</v>
      </c>
      <c r="F605" s="1255" t="s">
        <v>11591</v>
      </c>
      <c r="G605" s="1254" t="s">
        <v>202</v>
      </c>
      <c r="H605" s="1254" t="s">
        <v>759</v>
      </c>
      <c r="I605" s="1258" t="s">
        <v>97</v>
      </c>
      <c r="J605" s="1259"/>
      <c r="K605" s="1257">
        <v>869000.0</v>
      </c>
    </row>
    <row r="606">
      <c r="A606" s="1253" t="s">
        <v>16375</v>
      </c>
      <c r="B606" s="1254" t="s">
        <v>2939</v>
      </c>
      <c r="C606" s="1255" t="s">
        <v>2939</v>
      </c>
      <c r="D606" s="1255" t="s">
        <v>765</v>
      </c>
      <c r="E606" s="1255" t="s">
        <v>11578</v>
      </c>
      <c r="F606" s="1255" t="s">
        <v>11591</v>
      </c>
      <c r="G606" s="1254" t="s">
        <v>236</v>
      </c>
      <c r="H606" s="1254" t="s">
        <v>759</v>
      </c>
      <c r="I606" s="1258" t="s">
        <v>97</v>
      </c>
      <c r="J606" s="1259"/>
      <c r="K606" s="1257">
        <v>869000.0</v>
      </c>
    </row>
    <row r="607">
      <c r="A607" s="1253" t="s">
        <v>16376</v>
      </c>
      <c r="B607" s="1254" t="s">
        <v>16377</v>
      </c>
      <c r="C607" s="1255" t="s">
        <v>2939</v>
      </c>
      <c r="D607" s="1255" t="s">
        <v>766</v>
      </c>
      <c r="E607" s="1255" t="s">
        <v>11576</v>
      </c>
      <c r="F607" s="1255" t="s">
        <v>11570</v>
      </c>
      <c r="G607" s="1254" t="s">
        <v>22</v>
      </c>
      <c r="H607" s="1254" t="s">
        <v>767</v>
      </c>
      <c r="I607" s="1258" t="s">
        <v>189</v>
      </c>
      <c r="J607" s="1259"/>
      <c r="K607" s="1257">
        <v>5040000.0</v>
      </c>
    </row>
    <row r="608">
      <c r="A608" s="1253" t="s">
        <v>16378</v>
      </c>
      <c r="B608" s="1254" t="s">
        <v>16379</v>
      </c>
      <c r="C608" s="1255" t="s">
        <v>2939</v>
      </c>
      <c r="D608" s="1255" t="s">
        <v>768</v>
      </c>
      <c r="E608" s="1255" t="s">
        <v>11576</v>
      </c>
      <c r="F608" s="1255" t="s">
        <v>11579</v>
      </c>
      <c r="G608" s="1254" t="s">
        <v>41</v>
      </c>
      <c r="H608" s="1254" t="s">
        <v>767</v>
      </c>
      <c r="I608" s="1258" t="s">
        <v>2364</v>
      </c>
      <c r="J608" s="1259"/>
      <c r="K608" s="1257">
        <v>3717000.0</v>
      </c>
    </row>
    <row r="609">
      <c r="A609" s="1253" t="s">
        <v>2939</v>
      </c>
      <c r="B609" s="1254" t="s">
        <v>16380</v>
      </c>
      <c r="C609" s="1255" t="s">
        <v>2939</v>
      </c>
      <c r="D609" s="1255" t="s">
        <v>11813</v>
      </c>
      <c r="E609" s="1255" t="s">
        <v>11569</v>
      </c>
      <c r="F609" s="1260" t="s">
        <v>11570</v>
      </c>
      <c r="G609" s="1258" t="s">
        <v>22</v>
      </c>
      <c r="H609" s="1254" t="s">
        <v>11814</v>
      </c>
      <c r="I609" s="1258" t="s">
        <v>23</v>
      </c>
      <c r="J609" s="1259"/>
      <c r="K609" s="1257">
        <v>5040000.0</v>
      </c>
    </row>
    <row r="610">
      <c r="A610" s="1253" t="s">
        <v>2939</v>
      </c>
      <c r="B610" s="1254" t="s">
        <v>16381</v>
      </c>
      <c r="C610" s="1255" t="s">
        <v>2939</v>
      </c>
      <c r="D610" s="1255" t="s">
        <v>1625</v>
      </c>
      <c r="E610" s="1255" t="s">
        <v>11569</v>
      </c>
      <c r="F610" s="1255" t="s">
        <v>11579</v>
      </c>
      <c r="G610" s="1254" t="s">
        <v>41</v>
      </c>
      <c r="H610" s="1254" t="s">
        <v>1626</v>
      </c>
      <c r="I610" s="1258" t="s">
        <v>1377</v>
      </c>
      <c r="J610" s="1259"/>
      <c r="K610" s="1257">
        <v>4121000.0</v>
      </c>
    </row>
    <row r="611">
      <c r="A611" s="1253" t="s">
        <v>2939</v>
      </c>
      <c r="B611" s="1254" t="s">
        <v>16382</v>
      </c>
      <c r="C611" s="1255" t="s">
        <v>16383</v>
      </c>
      <c r="D611" s="1260" t="s">
        <v>1933</v>
      </c>
      <c r="E611" s="1255" t="s">
        <v>11653</v>
      </c>
      <c r="F611" s="1255" t="s">
        <v>11570</v>
      </c>
      <c r="G611" s="1254" t="s">
        <v>22</v>
      </c>
      <c r="H611" s="1254" t="s">
        <v>16384</v>
      </c>
      <c r="I611" s="1258" t="s">
        <v>97</v>
      </c>
      <c r="J611" s="1259"/>
      <c r="K611" s="1257">
        <v>1182000.0</v>
      </c>
    </row>
    <row r="612">
      <c r="A612" s="1253" t="s">
        <v>16385</v>
      </c>
      <c r="B612" s="1254" t="s">
        <v>16386</v>
      </c>
      <c r="C612" s="1255" t="s">
        <v>2939</v>
      </c>
      <c r="D612" s="1255" t="s">
        <v>769</v>
      </c>
      <c r="E612" s="1255" t="s">
        <v>11576</v>
      </c>
      <c r="F612" s="1255" t="s">
        <v>11570</v>
      </c>
      <c r="G612" s="1254" t="s">
        <v>22</v>
      </c>
      <c r="H612" s="1254" t="s">
        <v>770</v>
      </c>
      <c r="I612" s="1258" t="s">
        <v>125</v>
      </c>
      <c r="J612" s="1259"/>
      <c r="K612" s="1257">
        <v>5599000.0</v>
      </c>
    </row>
    <row r="613">
      <c r="A613" s="1250" t="s">
        <v>11816</v>
      </c>
      <c r="B613" s="1251" t="s">
        <v>11816</v>
      </c>
      <c r="C613" s="1252"/>
      <c r="D613" s="1252"/>
      <c r="E613" s="1252"/>
      <c r="F613" s="1252"/>
      <c r="G613" s="1252"/>
      <c r="H613" s="1251" t="s">
        <v>11816</v>
      </c>
      <c r="I613" s="1252"/>
      <c r="J613" s="1252"/>
      <c r="K613" s="1252"/>
    </row>
    <row r="614">
      <c r="A614" s="1253" t="s">
        <v>16387</v>
      </c>
      <c r="B614" s="1254" t="s">
        <v>16388</v>
      </c>
      <c r="C614" s="1255" t="s">
        <v>2939</v>
      </c>
      <c r="D614" s="1255" t="s">
        <v>771</v>
      </c>
      <c r="E614" s="1255" t="s">
        <v>11578</v>
      </c>
      <c r="F614" s="1255" t="s">
        <v>11570</v>
      </c>
      <c r="G614" s="1254" t="s">
        <v>22</v>
      </c>
      <c r="H614" s="1254" t="s">
        <v>11817</v>
      </c>
      <c r="I614" s="1258" t="s">
        <v>125</v>
      </c>
      <c r="J614" s="1259"/>
      <c r="K614" s="1257">
        <v>1682000.0</v>
      </c>
    </row>
    <row r="615">
      <c r="A615" s="1253" t="s">
        <v>16389</v>
      </c>
      <c r="B615" s="1254" t="s">
        <v>2939</v>
      </c>
      <c r="C615" s="1255" t="s">
        <v>2939</v>
      </c>
      <c r="D615" s="1255" t="s">
        <v>773</v>
      </c>
      <c r="E615" s="1255" t="s">
        <v>11578</v>
      </c>
      <c r="F615" s="1255" t="s">
        <v>11579</v>
      </c>
      <c r="G615" s="1254" t="s">
        <v>41</v>
      </c>
      <c r="H615" s="1254" t="s">
        <v>11817</v>
      </c>
      <c r="I615" s="1258" t="s">
        <v>2193</v>
      </c>
      <c r="J615" s="1259"/>
      <c r="K615" s="1257">
        <v>1766000.0</v>
      </c>
    </row>
    <row r="616">
      <c r="A616" s="1253" t="s">
        <v>2939</v>
      </c>
      <c r="B616" s="1254" t="s">
        <v>16390</v>
      </c>
      <c r="C616" s="1255" t="s">
        <v>2939</v>
      </c>
      <c r="D616" s="1260" t="s">
        <v>11818</v>
      </c>
      <c r="E616" s="1255" t="s">
        <v>11569</v>
      </c>
      <c r="F616" s="1255" t="s">
        <v>11570</v>
      </c>
      <c r="G616" s="1254" t="s">
        <v>22</v>
      </c>
      <c r="H616" s="1254" t="s">
        <v>1546</v>
      </c>
      <c r="I616" s="1258" t="s">
        <v>1547</v>
      </c>
      <c r="J616" s="1259"/>
      <c r="K616" s="1257">
        <v>4212000.0</v>
      </c>
    </row>
    <row r="617">
      <c r="A617" s="1253" t="s">
        <v>2939</v>
      </c>
      <c r="B617" s="1254" t="s">
        <v>16391</v>
      </c>
      <c r="C617" s="1255" t="s">
        <v>2939</v>
      </c>
      <c r="D617" s="1255" t="s">
        <v>1545</v>
      </c>
      <c r="E617" s="1255" t="s">
        <v>11569</v>
      </c>
      <c r="F617" s="1255" t="s">
        <v>11570</v>
      </c>
      <c r="G617" s="1254" t="s">
        <v>22</v>
      </c>
      <c r="H617" s="1254" t="s">
        <v>1546</v>
      </c>
      <c r="I617" s="1258" t="s">
        <v>112</v>
      </c>
      <c r="J617" s="1259"/>
      <c r="K617" s="1257">
        <v>4434000.0</v>
      </c>
    </row>
    <row r="618">
      <c r="A618" s="1253" t="s">
        <v>16392</v>
      </c>
      <c r="B618" s="1254" t="s">
        <v>16393</v>
      </c>
      <c r="C618" s="1255" t="s">
        <v>2939</v>
      </c>
      <c r="D618" s="1255" t="s">
        <v>774</v>
      </c>
      <c r="E618" s="1255" t="s">
        <v>11576</v>
      </c>
      <c r="F618" s="1255" t="s">
        <v>11570</v>
      </c>
      <c r="G618" s="1254" t="s">
        <v>22</v>
      </c>
      <c r="H618" s="1254" t="s">
        <v>16394</v>
      </c>
      <c r="I618" s="1258" t="s">
        <v>23</v>
      </c>
      <c r="J618" s="1259"/>
      <c r="K618" s="1257">
        <v>5376000.0</v>
      </c>
    </row>
    <row r="619">
      <c r="A619" s="1253" t="s">
        <v>2939</v>
      </c>
      <c r="B619" s="1254" t="s">
        <v>16395</v>
      </c>
      <c r="C619" s="1255" t="s">
        <v>2939</v>
      </c>
      <c r="D619" s="1260" t="s">
        <v>11824</v>
      </c>
      <c r="E619" s="1255" t="s">
        <v>11569</v>
      </c>
      <c r="F619" s="1255" t="s">
        <v>11570</v>
      </c>
      <c r="G619" s="1258" t="s">
        <v>22</v>
      </c>
      <c r="H619" s="1254" t="s">
        <v>11825</v>
      </c>
      <c r="I619" s="1258" t="s">
        <v>23</v>
      </c>
      <c r="J619" s="1259"/>
      <c r="K619" s="1257">
        <v>1.1E7</v>
      </c>
    </row>
    <row r="620">
      <c r="A620" s="1253" t="s">
        <v>2939</v>
      </c>
      <c r="B620" s="1254" t="s">
        <v>16396</v>
      </c>
      <c r="C620" s="1255" t="s">
        <v>2939</v>
      </c>
      <c r="D620" s="1255" t="s">
        <v>1633</v>
      </c>
      <c r="E620" s="1255" t="s">
        <v>11569</v>
      </c>
      <c r="F620" s="1255" t="s">
        <v>11570</v>
      </c>
      <c r="G620" s="1254" t="s">
        <v>22</v>
      </c>
      <c r="H620" s="1254" t="s">
        <v>11495</v>
      </c>
      <c r="I620" s="1258" t="s">
        <v>23</v>
      </c>
      <c r="J620" s="1259"/>
      <c r="K620" s="1257">
        <v>5543000.0</v>
      </c>
    </row>
    <row r="621">
      <c r="A621" s="1253" t="s">
        <v>2939</v>
      </c>
      <c r="B621" s="1254" t="s">
        <v>16397</v>
      </c>
      <c r="C621" s="1255" t="s">
        <v>2939</v>
      </c>
      <c r="D621" s="1260" t="s">
        <v>1635</v>
      </c>
      <c r="E621" s="1255" t="s">
        <v>11569</v>
      </c>
      <c r="F621" s="1255" t="s">
        <v>11570</v>
      </c>
      <c r="G621" s="1254" t="s">
        <v>22</v>
      </c>
      <c r="H621" s="1254" t="s">
        <v>1636</v>
      </c>
      <c r="I621" s="1258" t="s">
        <v>97</v>
      </c>
      <c r="J621" s="1259"/>
      <c r="K621" s="1257">
        <v>1728000.0</v>
      </c>
    </row>
    <row r="622">
      <c r="A622" s="1253" t="s">
        <v>2939</v>
      </c>
      <c r="B622" s="1254" t="s">
        <v>16398</v>
      </c>
      <c r="C622" s="1255" t="s">
        <v>2939</v>
      </c>
      <c r="D622" s="1255" t="s">
        <v>1637</v>
      </c>
      <c r="E622" s="1255" t="s">
        <v>11569</v>
      </c>
      <c r="F622" s="1255" t="s">
        <v>11570</v>
      </c>
      <c r="G622" s="1254" t="s">
        <v>22</v>
      </c>
      <c r="H622" s="1254" t="s">
        <v>1638</v>
      </c>
      <c r="I622" s="1254" t="s">
        <v>112</v>
      </c>
      <c r="J622" s="1256"/>
      <c r="K622" s="1257">
        <v>6774000.0</v>
      </c>
    </row>
    <row r="623">
      <c r="A623" s="1253" t="s">
        <v>16399</v>
      </c>
      <c r="B623" s="1254" t="s">
        <v>16400</v>
      </c>
      <c r="C623" s="1255" t="s">
        <v>2939</v>
      </c>
      <c r="D623" s="1255" t="s">
        <v>776</v>
      </c>
      <c r="E623" s="1255" t="s">
        <v>11576</v>
      </c>
      <c r="F623" s="1255" t="s">
        <v>11570</v>
      </c>
      <c r="G623" s="1254" t="s">
        <v>22</v>
      </c>
      <c r="H623" s="1254" t="s">
        <v>777</v>
      </c>
      <c r="I623" s="1258" t="s">
        <v>112</v>
      </c>
      <c r="J623" s="1259"/>
      <c r="K623" s="1257">
        <v>3361000.0</v>
      </c>
    </row>
    <row r="624">
      <c r="A624" s="1253" t="s">
        <v>2939</v>
      </c>
      <c r="B624" s="1254" t="s">
        <v>16401</v>
      </c>
      <c r="C624" s="1255" t="s">
        <v>2939</v>
      </c>
      <c r="D624" s="1255" t="s">
        <v>1639</v>
      </c>
      <c r="E624" s="1255" t="s">
        <v>11569</v>
      </c>
      <c r="F624" s="1255" t="s">
        <v>11570</v>
      </c>
      <c r="G624" s="1254" t="s">
        <v>22</v>
      </c>
      <c r="H624" s="1254" t="s">
        <v>1640</v>
      </c>
      <c r="I624" s="1254" t="s">
        <v>112</v>
      </c>
      <c r="J624" s="1256"/>
      <c r="K624" s="1257">
        <v>3941000.0</v>
      </c>
    </row>
    <row r="625">
      <c r="A625" s="1253" t="s">
        <v>16402</v>
      </c>
      <c r="B625" s="1254" t="s">
        <v>16403</v>
      </c>
      <c r="C625" s="1255" t="s">
        <v>2939</v>
      </c>
      <c r="D625" s="1255" t="s">
        <v>778</v>
      </c>
      <c r="E625" s="1255" t="s">
        <v>11576</v>
      </c>
      <c r="F625" s="1255" t="s">
        <v>11579</v>
      </c>
      <c r="G625" s="1254" t="s">
        <v>41</v>
      </c>
      <c r="H625" s="1254" t="s">
        <v>779</v>
      </c>
      <c r="I625" s="1258" t="s">
        <v>2062</v>
      </c>
      <c r="J625" s="1259"/>
      <c r="K625" s="1257">
        <v>2892000.0</v>
      </c>
    </row>
    <row r="626">
      <c r="A626" s="1253" t="s">
        <v>16404</v>
      </c>
      <c r="B626" s="1254" t="s">
        <v>16405</v>
      </c>
      <c r="C626" s="1255" t="s">
        <v>2939</v>
      </c>
      <c r="D626" s="1255" t="s">
        <v>780</v>
      </c>
      <c r="E626" s="1255" t="s">
        <v>11576</v>
      </c>
      <c r="F626" s="1255" t="s">
        <v>11570</v>
      </c>
      <c r="G626" s="1254" t="s">
        <v>22</v>
      </c>
      <c r="H626" s="1254" t="s">
        <v>16406</v>
      </c>
      <c r="I626" s="1258" t="s">
        <v>112</v>
      </c>
      <c r="J626" s="1259"/>
      <c r="K626" s="1257">
        <v>3272000.0</v>
      </c>
    </row>
    <row r="627">
      <c r="A627" s="1253" t="s">
        <v>2939</v>
      </c>
      <c r="B627" s="1254" t="s">
        <v>16407</v>
      </c>
      <c r="C627" s="1255" t="s">
        <v>2939</v>
      </c>
      <c r="D627" s="1255" t="s">
        <v>1643</v>
      </c>
      <c r="E627" s="1255" t="s">
        <v>11569</v>
      </c>
      <c r="F627" s="1255" t="s">
        <v>11570</v>
      </c>
      <c r="G627" s="1254" t="s">
        <v>22</v>
      </c>
      <c r="H627" s="1254" t="s">
        <v>16408</v>
      </c>
      <c r="I627" s="1258" t="s">
        <v>112</v>
      </c>
      <c r="J627" s="1259"/>
      <c r="K627" s="1257">
        <v>3572000.0</v>
      </c>
    </row>
    <row r="628">
      <c r="A628" s="1253" t="s">
        <v>2939</v>
      </c>
      <c r="B628" s="1254" t="s">
        <v>16409</v>
      </c>
      <c r="C628" s="1255" t="s">
        <v>2939</v>
      </c>
      <c r="D628" s="1260" t="s">
        <v>11835</v>
      </c>
      <c r="E628" s="1255" t="s">
        <v>11569</v>
      </c>
      <c r="F628" s="1255" t="s">
        <v>11570</v>
      </c>
      <c r="G628" s="1254" t="s">
        <v>22</v>
      </c>
      <c r="H628" s="1254" t="s">
        <v>16410</v>
      </c>
      <c r="I628" s="1258" t="s">
        <v>23</v>
      </c>
      <c r="J628" s="1259"/>
      <c r="K628" s="1257">
        <v>4275000.0</v>
      </c>
    </row>
    <row r="629">
      <c r="A629" s="1253" t="s">
        <v>16411</v>
      </c>
      <c r="B629" s="1254" t="s">
        <v>16412</v>
      </c>
      <c r="C629" s="1255" t="s">
        <v>2939</v>
      </c>
      <c r="D629" s="1255" t="s">
        <v>782</v>
      </c>
      <c r="E629" s="1255" t="s">
        <v>11576</v>
      </c>
      <c r="F629" s="1255" t="s">
        <v>11579</v>
      </c>
      <c r="G629" s="1254" t="s">
        <v>41</v>
      </c>
      <c r="H629" s="1254" t="s">
        <v>783</v>
      </c>
      <c r="I629" s="1258" t="s">
        <v>2062</v>
      </c>
      <c r="J629" s="1259"/>
      <c r="K629" s="1257">
        <v>2570000.0</v>
      </c>
    </row>
    <row r="630">
      <c r="A630" s="1253" t="s">
        <v>16413</v>
      </c>
      <c r="B630" s="1254" t="s">
        <v>16414</v>
      </c>
      <c r="C630" s="1255" t="s">
        <v>2939</v>
      </c>
      <c r="D630" s="1255" t="s">
        <v>784</v>
      </c>
      <c r="E630" s="1255" t="s">
        <v>11576</v>
      </c>
      <c r="F630" s="1255" t="s">
        <v>11570</v>
      </c>
      <c r="G630" s="1254" t="s">
        <v>22</v>
      </c>
      <c r="H630" s="1254" t="s">
        <v>11839</v>
      </c>
      <c r="I630" s="1258" t="s">
        <v>112</v>
      </c>
      <c r="J630" s="1259"/>
      <c r="K630" s="1257">
        <v>3361000.0</v>
      </c>
    </row>
    <row r="631">
      <c r="A631" s="1253" t="s">
        <v>16415</v>
      </c>
      <c r="B631" s="1254" t="s">
        <v>16416</v>
      </c>
      <c r="C631" s="1255" t="s">
        <v>2939</v>
      </c>
      <c r="D631" s="1255" t="s">
        <v>786</v>
      </c>
      <c r="E631" s="1255" t="s">
        <v>11576</v>
      </c>
      <c r="F631" s="1255" t="s">
        <v>11570</v>
      </c>
      <c r="G631" s="1254" t="s">
        <v>22</v>
      </c>
      <c r="H631" s="1254" t="s">
        <v>11840</v>
      </c>
      <c r="I631" s="1258" t="s">
        <v>11841</v>
      </c>
      <c r="J631" s="1259"/>
      <c r="K631" s="1257">
        <v>3865000.0</v>
      </c>
    </row>
    <row r="632">
      <c r="A632" s="1253" t="s">
        <v>16417</v>
      </c>
      <c r="B632" s="1254" t="s">
        <v>16418</v>
      </c>
      <c r="C632" s="1255" t="s">
        <v>2939</v>
      </c>
      <c r="D632" s="1255" t="s">
        <v>789</v>
      </c>
      <c r="E632" s="1255" t="s">
        <v>11576</v>
      </c>
      <c r="F632" s="1255" t="s">
        <v>11570</v>
      </c>
      <c r="G632" s="1254" t="s">
        <v>22</v>
      </c>
      <c r="H632" s="1254" t="s">
        <v>11842</v>
      </c>
      <c r="I632" s="1258" t="s">
        <v>11841</v>
      </c>
      <c r="J632" s="1259"/>
      <c r="K632" s="1257">
        <v>3865000.0</v>
      </c>
    </row>
    <row r="633">
      <c r="A633" s="1253" t="s">
        <v>2939</v>
      </c>
      <c r="B633" s="1254" t="s">
        <v>16419</v>
      </c>
      <c r="C633" s="1255" t="s">
        <v>2939</v>
      </c>
      <c r="D633" s="1255" t="s">
        <v>1645</v>
      </c>
      <c r="E633" s="1255" t="s">
        <v>11569</v>
      </c>
      <c r="F633" s="1255" t="s">
        <v>11579</v>
      </c>
      <c r="G633" s="1254" t="s">
        <v>41</v>
      </c>
      <c r="H633" s="1254" t="s">
        <v>11843</v>
      </c>
      <c r="I633" s="1258" t="s">
        <v>11582</v>
      </c>
      <c r="J633" s="1259"/>
      <c r="K633" s="1257">
        <v>2379000.0</v>
      </c>
    </row>
    <row r="634">
      <c r="A634" s="1253" t="s">
        <v>16420</v>
      </c>
      <c r="B634" s="1254" t="s">
        <v>16421</v>
      </c>
      <c r="C634" s="1255" t="s">
        <v>2939</v>
      </c>
      <c r="D634" s="1255" t="s">
        <v>791</v>
      </c>
      <c r="E634" s="1255" t="s">
        <v>11578</v>
      </c>
      <c r="F634" s="1255" t="s">
        <v>11570</v>
      </c>
      <c r="G634" s="1254" t="s">
        <v>22</v>
      </c>
      <c r="H634" s="1254" t="s">
        <v>11846</v>
      </c>
      <c r="I634" s="1258" t="s">
        <v>23</v>
      </c>
      <c r="J634" s="1259"/>
      <c r="K634" s="1257">
        <v>5376000.0</v>
      </c>
    </row>
    <row r="635">
      <c r="A635" s="1253" t="s">
        <v>2939</v>
      </c>
      <c r="B635" s="1254" t="s">
        <v>16422</v>
      </c>
      <c r="C635" s="1255" t="s">
        <v>2939</v>
      </c>
      <c r="D635" s="1260" t="s">
        <v>2511</v>
      </c>
      <c r="E635" s="1255" t="s">
        <v>11569</v>
      </c>
      <c r="F635" s="1255" t="s">
        <v>11579</v>
      </c>
      <c r="G635" s="1254" t="s">
        <v>41</v>
      </c>
      <c r="H635" s="1254" t="s">
        <v>2512</v>
      </c>
      <c r="I635" s="1258" t="s">
        <v>11582</v>
      </c>
      <c r="J635" s="1259"/>
      <c r="K635" s="1257">
        <v>4500000.0</v>
      </c>
    </row>
    <row r="636">
      <c r="A636" s="1253" t="s">
        <v>2939</v>
      </c>
      <c r="B636" s="1254" t="s">
        <v>16423</v>
      </c>
      <c r="C636" s="1255" t="s">
        <v>2939</v>
      </c>
      <c r="D636" s="1255" t="s">
        <v>1647</v>
      </c>
      <c r="E636" s="1255" t="s">
        <v>11569</v>
      </c>
      <c r="F636" s="1255" t="s">
        <v>11570</v>
      </c>
      <c r="G636" s="1254" t="s">
        <v>22</v>
      </c>
      <c r="H636" s="1254" t="s">
        <v>16424</v>
      </c>
      <c r="I636" s="1258" t="s">
        <v>1547</v>
      </c>
      <c r="J636" s="1259"/>
      <c r="K636" s="1257">
        <v>2355000.0</v>
      </c>
    </row>
    <row r="637">
      <c r="A637" s="1253" t="s">
        <v>2939</v>
      </c>
      <c r="B637" s="1254" t="s">
        <v>16425</v>
      </c>
      <c r="C637" s="1255" t="s">
        <v>2939</v>
      </c>
      <c r="D637" s="1255" t="s">
        <v>1648</v>
      </c>
      <c r="E637" s="1255" t="s">
        <v>11569</v>
      </c>
      <c r="F637" s="1255" t="s">
        <v>11570</v>
      </c>
      <c r="G637" s="1254" t="s">
        <v>22</v>
      </c>
      <c r="H637" s="1254" t="s">
        <v>16426</v>
      </c>
      <c r="I637" s="1258" t="s">
        <v>1547</v>
      </c>
      <c r="J637" s="1259"/>
      <c r="K637" s="1257">
        <v>2237000.0</v>
      </c>
    </row>
    <row r="638">
      <c r="A638" s="1253" t="s">
        <v>16427</v>
      </c>
      <c r="B638" s="1254" t="s">
        <v>16428</v>
      </c>
      <c r="C638" s="1255" t="s">
        <v>2939</v>
      </c>
      <c r="D638" s="1255" t="s">
        <v>793</v>
      </c>
      <c r="E638" s="1255" t="s">
        <v>11576</v>
      </c>
      <c r="F638" s="1255" t="s">
        <v>11579</v>
      </c>
      <c r="G638" s="1254" t="s">
        <v>41</v>
      </c>
      <c r="H638" s="1254" t="s">
        <v>16429</v>
      </c>
      <c r="I638" s="1258" t="s">
        <v>2193</v>
      </c>
      <c r="J638" s="1259"/>
      <c r="K638" s="1257">
        <v>5940000.0</v>
      </c>
    </row>
    <row r="639">
      <c r="A639" s="1253" t="s">
        <v>2939</v>
      </c>
      <c r="B639" s="1254" t="s">
        <v>16430</v>
      </c>
      <c r="C639" s="1255" t="s">
        <v>2939</v>
      </c>
      <c r="D639" s="1260" t="s">
        <v>11850</v>
      </c>
      <c r="E639" s="1255" t="s">
        <v>11569</v>
      </c>
      <c r="F639" s="1255" t="s">
        <v>11579</v>
      </c>
      <c r="G639" s="1254" t="s">
        <v>41</v>
      </c>
      <c r="H639" s="1254" t="s">
        <v>16431</v>
      </c>
      <c r="I639" s="1258" t="s">
        <v>2193</v>
      </c>
      <c r="J639" s="1259"/>
      <c r="K639" s="1257">
        <v>5940000.0</v>
      </c>
    </row>
    <row r="640">
      <c r="A640" s="1253" t="s">
        <v>16432</v>
      </c>
      <c r="B640" s="1254" t="s">
        <v>16433</v>
      </c>
      <c r="C640" s="1255" t="s">
        <v>2939</v>
      </c>
      <c r="D640" s="1255" t="s">
        <v>795</v>
      </c>
      <c r="E640" s="1255" t="s">
        <v>11576</v>
      </c>
      <c r="F640" s="1255" t="s">
        <v>11570</v>
      </c>
      <c r="G640" s="1254" t="s">
        <v>22</v>
      </c>
      <c r="H640" s="1254" t="s">
        <v>796</v>
      </c>
      <c r="I640" s="1258" t="s">
        <v>189</v>
      </c>
      <c r="J640" s="1259"/>
      <c r="K640" s="1257">
        <v>3026000.0</v>
      </c>
    </row>
    <row r="641">
      <c r="A641" s="1253" t="s">
        <v>2939</v>
      </c>
      <c r="B641" s="1254" t="s">
        <v>16434</v>
      </c>
      <c r="C641" s="1255" t="s">
        <v>2939</v>
      </c>
      <c r="D641" s="1260" t="s">
        <v>11853</v>
      </c>
      <c r="E641" s="1255" t="s">
        <v>11569</v>
      </c>
      <c r="F641" s="1255" t="s">
        <v>11570</v>
      </c>
      <c r="G641" s="1254" t="s">
        <v>22</v>
      </c>
      <c r="H641" s="1254" t="s">
        <v>796</v>
      </c>
      <c r="I641" s="1258" t="s">
        <v>97</v>
      </c>
      <c r="J641" s="1259"/>
      <c r="K641" s="1257">
        <v>2900000.0</v>
      </c>
    </row>
    <row r="642">
      <c r="A642" s="1253" t="s">
        <v>16435</v>
      </c>
      <c r="B642" s="1254" t="s">
        <v>2939</v>
      </c>
      <c r="C642" s="1255" t="s">
        <v>2939</v>
      </c>
      <c r="D642" s="1255" t="s">
        <v>797</v>
      </c>
      <c r="E642" s="1255" t="s">
        <v>11578</v>
      </c>
      <c r="F642" s="1255" t="s">
        <v>11579</v>
      </c>
      <c r="G642" s="1254" t="s">
        <v>41</v>
      </c>
      <c r="H642" s="1254" t="s">
        <v>796</v>
      </c>
      <c r="I642" s="1258" t="s">
        <v>2062</v>
      </c>
      <c r="J642" s="1259"/>
      <c r="K642" s="1257">
        <v>2570000.0</v>
      </c>
    </row>
    <row r="643">
      <c r="A643" s="1253" t="s">
        <v>2939</v>
      </c>
      <c r="B643" s="1254" t="s">
        <v>16436</v>
      </c>
      <c r="C643" s="1255" t="s">
        <v>2939</v>
      </c>
      <c r="D643" s="1255" t="s">
        <v>11854</v>
      </c>
      <c r="E643" s="1255" t="s">
        <v>11569</v>
      </c>
      <c r="F643" s="1260" t="s">
        <v>11570</v>
      </c>
      <c r="G643" s="1258" t="s">
        <v>22</v>
      </c>
      <c r="H643" s="1254" t="s">
        <v>16437</v>
      </c>
      <c r="I643" s="1258" t="s">
        <v>189</v>
      </c>
      <c r="J643" s="1259"/>
      <c r="K643" s="1257">
        <v>7500000.0</v>
      </c>
    </row>
    <row r="644">
      <c r="A644" s="1253" t="s">
        <v>16438</v>
      </c>
      <c r="B644" s="1254" t="s">
        <v>16439</v>
      </c>
      <c r="C644" s="1255" t="s">
        <v>2939</v>
      </c>
      <c r="D644" s="1255" t="s">
        <v>798</v>
      </c>
      <c r="E644" s="1255" t="s">
        <v>11576</v>
      </c>
      <c r="F644" s="1255" t="s">
        <v>11570</v>
      </c>
      <c r="G644" s="1254" t="s">
        <v>22</v>
      </c>
      <c r="H644" s="1254" t="s">
        <v>16440</v>
      </c>
      <c r="I644" s="1258" t="s">
        <v>189</v>
      </c>
      <c r="J644" s="1259"/>
      <c r="K644" s="1257">
        <v>3026000.0</v>
      </c>
    </row>
    <row r="645">
      <c r="A645" s="1253" t="s">
        <v>2939</v>
      </c>
      <c r="B645" s="1254" t="s">
        <v>16441</v>
      </c>
      <c r="C645" s="1255" t="s">
        <v>2939</v>
      </c>
      <c r="D645" s="1255" t="s">
        <v>1652</v>
      </c>
      <c r="E645" s="1255" t="s">
        <v>11569</v>
      </c>
      <c r="F645" s="1255" t="s">
        <v>11579</v>
      </c>
      <c r="G645" s="1254" t="s">
        <v>41</v>
      </c>
      <c r="H645" s="1254" t="s">
        <v>799</v>
      </c>
      <c r="I645" s="1258" t="s">
        <v>11858</v>
      </c>
      <c r="J645" s="1259"/>
      <c r="K645" s="1257">
        <v>3237000.0</v>
      </c>
    </row>
    <row r="646">
      <c r="A646" s="1253" t="s">
        <v>16442</v>
      </c>
      <c r="B646" s="1254" t="s">
        <v>16443</v>
      </c>
      <c r="C646" s="1255" t="s">
        <v>2939</v>
      </c>
      <c r="D646" s="1255" t="s">
        <v>800</v>
      </c>
      <c r="E646" s="1255" t="s">
        <v>11576</v>
      </c>
      <c r="F646" s="1255" t="s">
        <v>11570</v>
      </c>
      <c r="G646" s="1254" t="s">
        <v>22</v>
      </c>
      <c r="H646" s="1254" t="s">
        <v>801</v>
      </c>
      <c r="I646" s="1258" t="s">
        <v>112</v>
      </c>
      <c r="J646" s="1259"/>
      <c r="K646" s="1257">
        <v>3920000.0</v>
      </c>
    </row>
    <row r="647">
      <c r="A647" s="1253" t="s">
        <v>16444</v>
      </c>
      <c r="B647" s="1254" t="s">
        <v>16445</v>
      </c>
      <c r="C647" s="1255" t="s">
        <v>2939</v>
      </c>
      <c r="D647" s="1255" t="s">
        <v>802</v>
      </c>
      <c r="E647" s="1255" t="s">
        <v>11576</v>
      </c>
      <c r="F647" s="1255" t="s">
        <v>11570</v>
      </c>
      <c r="G647" s="1254" t="s">
        <v>22</v>
      </c>
      <c r="H647" s="1254" t="s">
        <v>16446</v>
      </c>
      <c r="I647" s="1258" t="s">
        <v>1450</v>
      </c>
      <c r="J647" s="1259"/>
      <c r="K647" s="1257">
        <v>4032000.0</v>
      </c>
    </row>
    <row r="648">
      <c r="A648" s="1253" t="s">
        <v>2939</v>
      </c>
      <c r="B648" s="1254" t="s">
        <v>16447</v>
      </c>
      <c r="C648" s="1255" t="s">
        <v>2939</v>
      </c>
      <c r="D648" s="1255" t="s">
        <v>11860</v>
      </c>
      <c r="E648" s="1255" t="s">
        <v>11569</v>
      </c>
      <c r="F648" s="1260" t="s">
        <v>11570</v>
      </c>
      <c r="G648" s="1254" t="s">
        <v>22</v>
      </c>
      <c r="H648" s="1254" t="s">
        <v>16448</v>
      </c>
      <c r="I648" s="1258" t="s">
        <v>1450</v>
      </c>
      <c r="J648" s="1259"/>
      <c r="K648" s="1257">
        <v>4032000.0</v>
      </c>
    </row>
    <row r="649">
      <c r="A649" s="1253" t="s">
        <v>16449</v>
      </c>
      <c r="B649" s="1254" t="s">
        <v>2939</v>
      </c>
      <c r="C649" s="1255" t="s">
        <v>2939</v>
      </c>
      <c r="D649" s="1255" t="s">
        <v>805</v>
      </c>
      <c r="E649" s="1255" t="s">
        <v>11578</v>
      </c>
      <c r="F649" s="1255" t="s">
        <v>11579</v>
      </c>
      <c r="G649" s="1254" t="s">
        <v>41</v>
      </c>
      <c r="H649" s="1254" t="s">
        <v>806</v>
      </c>
      <c r="I649" s="1258" t="s">
        <v>2062</v>
      </c>
      <c r="J649" s="1259"/>
      <c r="K649" s="1257">
        <v>2997000.0</v>
      </c>
    </row>
    <row r="650">
      <c r="A650" s="1253" t="s">
        <v>2939</v>
      </c>
      <c r="B650" s="1254" t="s">
        <v>16450</v>
      </c>
      <c r="C650" s="1255" t="s">
        <v>2939</v>
      </c>
      <c r="D650" s="1255" t="s">
        <v>1653</v>
      </c>
      <c r="E650" s="1255" t="s">
        <v>11569</v>
      </c>
      <c r="F650" s="1255" t="s">
        <v>11579</v>
      </c>
      <c r="G650" s="1254" t="s">
        <v>41</v>
      </c>
      <c r="H650" s="1254" t="s">
        <v>1654</v>
      </c>
      <c r="I650" s="1254" t="s">
        <v>2193</v>
      </c>
      <c r="J650" s="1256"/>
      <c r="K650" s="1257">
        <v>4121000.0</v>
      </c>
    </row>
    <row r="651">
      <c r="A651" s="1253" t="s">
        <v>2939</v>
      </c>
      <c r="B651" s="1254" t="s">
        <v>16451</v>
      </c>
      <c r="C651" s="1255" t="s">
        <v>2939</v>
      </c>
      <c r="D651" s="1255" t="s">
        <v>1655</v>
      </c>
      <c r="E651" s="1255" t="s">
        <v>11569</v>
      </c>
      <c r="F651" s="1255" t="s">
        <v>11570</v>
      </c>
      <c r="G651" s="1254" t="s">
        <v>22</v>
      </c>
      <c r="H651" s="1254" t="s">
        <v>1656</v>
      </c>
      <c r="I651" s="1254" t="s">
        <v>112</v>
      </c>
      <c r="J651" s="1256"/>
      <c r="K651" s="1257">
        <v>7390000.0</v>
      </c>
    </row>
    <row r="652">
      <c r="A652" s="1253" t="s">
        <v>2939</v>
      </c>
      <c r="B652" s="1254" t="s">
        <v>16452</v>
      </c>
      <c r="C652" s="1255" t="s">
        <v>2939</v>
      </c>
      <c r="D652" s="1255" t="s">
        <v>11865</v>
      </c>
      <c r="E652" s="1255" t="s">
        <v>11569</v>
      </c>
      <c r="F652" s="1255" t="s">
        <v>11579</v>
      </c>
      <c r="G652" s="1254" t="s">
        <v>41</v>
      </c>
      <c r="H652" s="1254" t="s">
        <v>1658</v>
      </c>
      <c r="I652" s="1258" t="s">
        <v>1377</v>
      </c>
      <c r="J652" s="1259"/>
      <c r="K652" s="1257">
        <v>4709000.0</v>
      </c>
    </row>
    <row r="653">
      <c r="A653" s="1253" t="s">
        <v>16453</v>
      </c>
      <c r="B653" s="1254" t="s">
        <v>16454</v>
      </c>
      <c r="C653" s="1255" t="s">
        <v>2939</v>
      </c>
      <c r="D653" s="1255" t="s">
        <v>807</v>
      </c>
      <c r="E653" s="1255" t="s">
        <v>11578</v>
      </c>
      <c r="F653" s="1255" t="s">
        <v>11570</v>
      </c>
      <c r="G653" s="1254" t="s">
        <v>22</v>
      </c>
      <c r="H653" s="1254" t="s">
        <v>16455</v>
      </c>
      <c r="I653" s="1258" t="s">
        <v>112</v>
      </c>
      <c r="J653" s="1259"/>
      <c r="K653" s="1257">
        <v>5292000.0</v>
      </c>
    </row>
    <row r="654">
      <c r="A654" s="1253" t="s">
        <v>16456</v>
      </c>
      <c r="B654" s="1254" t="s">
        <v>2939</v>
      </c>
      <c r="C654" s="1255" t="s">
        <v>2939</v>
      </c>
      <c r="D654" s="1255" t="s">
        <v>809</v>
      </c>
      <c r="E654" s="1255" t="s">
        <v>11578</v>
      </c>
      <c r="F654" s="1255" t="s">
        <v>11579</v>
      </c>
      <c r="G654" s="1254" t="s">
        <v>41</v>
      </c>
      <c r="H654" s="1254" t="s">
        <v>16455</v>
      </c>
      <c r="I654" s="1258" t="s">
        <v>1377</v>
      </c>
      <c r="J654" s="1259"/>
      <c r="K654" s="1257">
        <v>4625000.0</v>
      </c>
    </row>
    <row r="655">
      <c r="A655" s="1253" t="s">
        <v>2939</v>
      </c>
      <c r="B655" s="1254" t="s">
        <v>16457</v>
      </c>
      <c r="C655" s="1255" t="s">
        <v>2939</v>
      </c>
      <c r="D655" s="1255" t="s">
        <v>1659</v>
      </c>
      <c r="E655" s="1255" t="s">
        <v>11569</v>
      </c>
      <c r="F655" s="1255" t="s">
        <v>11570</v>
      </c>
      <c r="G655" s="1254" t="s">
        <v>22</v>
      </c>
      <c r="H655" s="1254" t="s">
        <v>16458</v>
      </c>
      <c r="I655" s="1258" t="s">
        <v>804</v>
      </c>
      <c r="J655" s="1259"/>
      <c r="K655" s="1257">
        <v>5789000.0</v>
      </c>
    </row>
    <row r="656">
      <c r="A656" s="1253" t="s">
        <v>2939</v>
      </c>
      <c r="B656" s="1254" t="s">
        <v>16459</v>
      </c>
      <c r="C656" s="1255" t="s">
        <v>2939</v>
      </c>
      <c r="D656" s="1255" t="s">
        <v>1661</v>
      </c>
      <c r="E656" s="1255" t="s">
        <v>11569</v>
      </c>
      <c r="F656" s="1255" t="s">
        <v>11570</v>
      </c>
      <c r="G656" s="1254" t="s">
        <v>22</v>
      </c>
      <c r="H656" s="1254" t="s">
        <v>16460</v>
      </c>
      <c r="I656" s="1258" t="s">
        <v>804</v>
      </c>
      <c r="J656" s="1259"/>
      <c r="K656" s="1257">
        <v>5940000.0</v>
      </c>
    </row>
    <row r="657">
      <c r="A657" s="1253" t="s">
        <v>2939</v>
      </c>
      <c r="B657" s="1254" t="s">
        <v>16461</v>
      </c>
      <c r="C657" s="1255" t="s">
        <v>2939</v>
      </c>
      <c r="D657" s="1255" t="s">
        <v>11875</v>
      </c>
      <c r="E657" s="1255" t="s">
        <v>11569</v>
      </c>
      <c r="F657" s="1260" t="s">
        <v>11579</v>
      </c>
      <c r="G657" s="1258" t="s">
        <v>41</v>
      </c>
      <c r="H657" s="1254" t="s">
        <v>11876</v>
      </c>
      <c r="I657" s="1258" t="s">
        <v>1377</v>
      </c>
      <c r="J657" s="1259"/>
      <c r="K657" s="1257">
        <v>6375000.0</v>
      </c>
    </row>
    <row r="658">
      <c r="A658" s="1253" t="s">
        <v>2939</v>
      </c>
      <c r="B658" s="1254" t="s">
        <v>16462</v>
      </c>
      <c r="C658" s="1255" t="s">
        <v>2939</v>
      </c>
      <c r="D658" s="1255" t="s">
        <v>11877</v>
      </c>
      <c r="E658" s="1255" t="s">
        <v>11569</v>
      </c>
      <c r="F658" s="1260" t="s">
        <v>11579</v>
      </c>
      <c r="G658" s="1258" t="s">
        <v>41</v>
      </c>
      <c r="H658" s="1254" t="s">
        <v>11878</v>
      </c>
      <c r="I658" s="1258" t="s">
        <v>1377</v>
      </c>
      <c r="J658" s="1259"/>
      <c r="K658" s="1257">
        <v>6375000.0</v>
      </c>
    </row>
    <row r="659">
      <c r="A659" s="1253" t="s">
        <v>16463</v>
      </c>
      <c r="B659" s="1254" t="s">
        <v>16464</v>
      </c>
      <c r="C659" s="1255" t="s">
        <v>2939</v>
      </c>
      <c r="D659" s="1255" t="s">
        <v>810</v>
      </c>
      <c r="E659" s="1255" t="s">
        <v>11576</v>
      </c>
      <c r="F659" s="1255" t="s">
        <v>11570</v>
      </c>
      <c r="G659" s="1254" t="s">
        <v>22</v>
      </c>
      <c r="H659" s="1254" t="s">
        <v>811</v>
      </c>
      <c r="I659" s="1258" t="s">
        <v>97</v>
      </c>
      <c r="J659" s="1259"/>
      <c r="K659" s="1257">
        <v>6774000.0</v>
      </c>
    </row>
    <row r="660">
      <c r="A660" s="1253" t="s">
        <v>2939</v>
      </c>
      <c r="B660" s="1254" t="s">
        <v>16465</v>
      </c>
      <c r="C660" s="1255" t="s">
        <v>2939</v>
      </c>
      <c r="D660" s="1255" t="s">
        <v>1663</v>
      </c>
      <c r="E660" s="1255" t="s">
        <v>11569</v>
      </c>
      <c r="F660" s="1255" t="s">
        <v>11570</v>
      </c>
      <c r="G660" s="1254" t="s">
        <v>22</v>
      </c>
      <c r="H660" s="1254" t="s">
        <v>16466</v>
      </c>
      <c r="I660" s="1258" t="s">
        <v>189</v>
      </c>
      <c r="J660" s="1259"/>
      <c r="K660" s="1257">
        <v>7267000.0</v>
      </c>
    </row>
    <row r="661">
      <c r="A661" s="1253" t="s">
        <v>16467</v>
      </c>
      <c r="B661" s="1254" t="s">
        <v>16468</v>
      </c>
      <c r="C661" s="1255" t="s">
        <v>2939</v>
      </c>
      <c r="D661" s="1255" t="s">
        <v>812</v>
      </c>
      <c r="E661" s="1255" t="s">
        <v>11576</v>
      </c>
      <c r="F661" s="1255" t="s">
        <v>11579</v>
      </c>
      <c r="G661" s="1254" t="s">
        <v>41</v>
      </c>
      <c r="H661" s="1254" t="s">
        <v>811</v>
      </c>
      <c r="I661" s="1258" t="s">
        <v>2193</v>
      </c>
      <c r="J661" s="1259"/>
      <c r="K661" s="1257">
        <v>6422000.0</v>
      </c>
    </row>
    <row r="662">
      <c r="A662" s="1253" t="s">
        <v>2939</v>
      </c>
      <c r="B662" s="1254" t="s">
        <v>16469</v>
      </c>
      <c r="C662" s="1255" t="s">
        <v>2939</v>
      </c>
      <c r="D662" s="1255" t="s">
        <v>1664</v>
      </c>
      <c r="E662" s="1255" t="s">
        <v>11569</v>
      </c>
      <c r="F662" s="1255" t="s">
        <v>11570</v>
      </c>
      <c r="G662" s="1254" t="s">
        <v>22</v>
      </c>
      <c r="H662" s="1254" t="s">
        <v>16470</v>
      </c>
      <c r="I662" s="1258" t="s">
        <v>804</v>
      </c>
      <c r="J662" s="1259"/>
      <c r="K662" s="1257">
        <v>6159000.0</v>
      </c>
    </row>
    <row r="663">
      <c r="A663" s="1253" t="s">
        <v>2939</v>
      </c>
      <c r="B663" s="1254" t="s">
        <v>16471</v>
      </c>
      <c r="C663" s="1255" t="s">
        <v>2939</v>
      </c>
      <c r="D663" s="1260" t="s">
        <v>11883</v>
      </c>
      <c r="E663" s="1255" t="s">
        <v>11569</v>
      </c>
      <c r="F663" s="1255" t="s">
        <v>11570</v>
      </c>
      <c r="G663" s="1254" t="s">
        <v>22</v>
      </c>
      <c r="H663" s="1254" t="s">
        <v>16472</v>
      </c>
      <c r="I663" s="1258" t="s">
        <v>23</v>
      </c>
      <c r="J663" s="1259"/>
      <c r="K663" s="1257">
        <v>6159000.0</v>
      </c>
    </row>
    <row r="664">
      <c r="A664" s="1253" t="s">
        <v>16473</v>
      </c>
      <c r="B664" s="1254" t="s">
        <v>2939</v>
      </c>
      <c r="C664" s="1255" t="s">
        <v>2939</v>
      </c>
      <c r="D664" s="1255" t="s">
        <v>813</v>
      </c>
      <c r="E664" s="1255" t="s">
        <v>11578</v>
      </c>
      <c r="F664" s="1255" t="s">
        <v>11579</v>
      </c>
      <c r="G664" s="1254" t="s">
        <v>41</v>
      </c>
      <c r="H664" s="1254" t="s">
        <v>814</v>
      </c>
      <c r="I664" s="1258" t="s">
        <v>2062</v>
      </c>
      <c r="J664" s="1259"/>
      <c r="K664" s="1257">
        <v>5298000.0</v>
      </c>
    </row>
    <row r="665">
      <c r="A665" s="1253" t="s">
        <v>2939</v>
      </c>
      <c r="B665" s="1254" t="s">
        <v>16474</v>
      </c>
      <c r="C665" s="1255" t="s">
        <v>2939</v>
      </c>
      <c r="D665" s="1255" t="s">
        <v>1666</v>
      </c>
      <c r="E665" s="1255" t="s">
        <v>11569</v>
      </c>
      <c r="F665" s="1255" t="s">
        <v>11570</v>
      </c>
      <c r="G665" s="1254" t="s">
        <v>22</v>
      </c>
      <c r="H665" s="1254" t="s">
        <v>1667</v>
      </c>
      <c r="I665" s="1254" t="s">
        <v>804</v>
      </c>
      <c r="J665" s="1256"/>
      <c r="K665" s="1257">
        <v>9580000.0</v>
      </c>
    </row>
    <row r="666">
      <c r="A666" s="1253" t="s">
        <v>2939</v>
      </c>
      <c r="B666" s="1254" t="s">
        <v>16475</v>
      </c>
      <c r="C666" s="1255" t="s">
        <v>2939</v>
      </c>
      <c r="D666" s="1255" t="s">
        <v>11887</v>
      </c>
      <c r="E666" s="1255" t="s">
        <v>11569</v>
      </c>
      <c r="F666" s="1260" t="s">
        <v>11570</v>
      </c>
      <c r="G666" s="1258" t="s">
        <v>22</v>
      </c>
      <c r="H666" s="1254" t="s">
        <v>16476</v>
      </c>
      <c r="I666" s="1258" t="s">
        <v>804</v>
      </c>
      <c r="J666" s="1259"/>
      <c r="K666" s="1257">
        <v>9580000.0</v>
      </c>
    </row>
    <row r="667">
      <c r="A667" s="1253" t="s">
        <v>2939</v>
      </c>
      <c r="B667" s="1254" t="s">
        <v>16477</v>
      </c>
      <c r="C667" s="1255" t="s">
        <v>2939</v>
      </c>
      <c r="D667" s="1255" t="s">
        <v>159</v>
      </c>
      <c r="E667" s="1255" t="s">
        <v>11569</v>
      </c>
      <c r="F667" s="1255" t="s">
        <v>11570</v>
      </c>
      <c r="G667" s="1254" t="s">
        <v>22</v>
      </c>
      <c r="H667" s="1254" t="s">
        <v>160</v>
      </c>
      <c r="I667" s="1258" t="s">
        <v>11889</v>
      </c>
      <c r="J667" s="1259"/>
      <c r="K667" s="1257">
        <v>1.03E7</v>
      </c>
    </row>
    <row r="668">
      <c r="A668" s="1253" t="s">
        <v>2939</v>
      </c>
      <c r="B668" s="1254" t="s">
        <v>16478</v>
      </c>
      <c r="C668" s="1255" t="s">
        <v>2939</v>
      </c>
      <c r="D668" s="1255" t="s">
        <v>1668</v>
      </c>
      <c r="E668" s="1255" t="s">
        <v>11569</v>
      </c>
      <c r="F668" s="1255" t="s">
        <v>11570</v>
      </c>
      <c r="G668" s="1254" t="s">
        <v>22</v>
      </c>
      <c r="H668" s="1254" t="s">
        <v>1669</v>
      </c>
      <c r="I668" s="1258" t="s">
        <v>112</v>
      </c>
      <c r="J668" s="1259"/>
      <c r="K668" s="1257">
        <v>1.0777E7</v>
      </c>
    </row>
    <row r="669">
      <c r="A669" s="1250" t="s">
        <v>11892</v>
      </c>
      <c r="B669" s="1251" t="s">
        <v>11892</v>
      </c>
      <c r="C669" s="1252"/>
      <c r="D669" s="1252"/>
      <c r="E669" s="1252"/>
      <c r="F669" s="1252"/>
      <c r="G669" s="1252"/>
      <c r="H669" s="1251" t="s">
        <v>11892</v>
      </c>
      <c r="I669" s="1252"/>
      <c r="J669" s="1252"/>
      <c r="K669" s="1252"/>
    </row>
    <row r="670">
      <c r="A670" s="1253" t="s">
        <v>2939</v>
      </c>
      <c r="B670" s="1254" t="s">
        <v>16479</v>
      </c>
      <c r="C670" s="1255" t="s">
        <v>2939</v>
      </c>
      <c r="D670" s="1260" t="s">
        <v>11893</v>
      </c>
      <c r="E670" s="1255" t="s">
        <v>11569</v>
      </c>
      <c r="F670" s="1255" t="s">
        <v>11570</v>
      </c>
      <c r="G670" s="1254" t="s">
        <v>22</v>
      </c>
      <c r="H670" s="1254" t="s">
        <v>11894</v>
      </c>
      <c r="I670" s="1258" t="s">
        <v>125</v>
      </c>
      <c r="J670" s="1259"/>
      <c r="K670" s="1257">
        <v>1850000.0</v>
      </c>
    </row>
    <row r="671">
      <c r="A671" s="1250" t="s">
        <v>11895</v>
      </c>
      <c r="B671" s="1251" t="s">
        <v>11895</v>
      </c>
      <c r="C671" s="1252"/>
      <c r="D671" s="1252"/>
      <c r="E671" s="1252"/>
      <c r="F671" s="1252"/>
      <c r="G671" s="1252"/>
      <c r="H671" s="1251" t="s">
        <v>11895</v>
      </c>
      <c r="I671" s="1252"/>
      <c r="J671" s="1252"/>
      <c r="K671" s="1252"/>
    </row>
    <row r="672">
      <c r="A672" s="1253" t="s">
        <v>2939</v>
      </c>
      <c r="B672" s="1254" t="s">
        <v>16480</v>
      </c>
      <c r="C672" s="1255" t="s">
        <v>2939</v>
      </c>
      <c r="D672" s="1255" t="s">
        <v>1670</v>
      </c>
      <c r="E672" s="1255" t="s">
        <v>11569</v>
      </c>
      <c r="F672" s="1260" t="s">
        <v>11570</v>
      </c>
      <c r="G672" s="1254" t="s">
        <v>22</v>
      </c>
      <c r="H672" s="1254" t="s">
        <v>16481</v>
      </c>
      <c r="I672" s="1258" t="s">
        <v>1350</v>
      </c>
      <c r="J672" s="1259"/>
      <c r="K672" s="1257">
        <v>6300000.0</v>
      </c>
    </row>
    <row r="673">
      <c r="A673" s="1253" t="s">
        <v>2939</v>
      </c>
      <c r="B673" s="1254" t="s">
        <v>16482</v>
      </c>
      <c r="C673" s="1255" t="s">
        <v>2939</v>
      </c>
      <c r="D673" s="1255" t="s">
        <v>1348</v>
      </c>
      <c r="E673" s="1255" t="s">
        <v>11569</v>
      </c>
      <c r="F673" s="1260" t="s">
        <v>11570</v>
      </c>
      <c r="G673" s="1254" t="s">
        <v>22</v>
      </c>
      <c r="H673" s="1254" t="s">
        <v>16483</v>
      </c>
      <c r="I673" s="1258" t="s">
        <v>23</v>
      </c>
      <c r="J673" s="1259"/>
      <c r="K673" s="1257">
        <v>6300000.0</v>
      </c>
    </row>
    <row r="674">
      <c r="A674" s="1253" t="s">
        <v>2939</v>
      </c>
      <c r="B674" s="1254" t="s">
        <v>16484</v>
      </c>
      <c r="C674" s="1255" t="s">
        <v>2939</v>
      </c>
      <c r="D674" s="1255" t="s">
        <v>11898</v>
      </c>
      <c r="E674" s="1255" t="s">
        <v>11569</v>
      </c>
      <c r="F674" s="1260" t="s">
        <v>11570</v>
      </c>
      <c r="G674" s="1258" t="s">
        <v>22</v>
      </c>
      <c r="H674" s="1258" t="s">
        <v>11899</v>
      </c>
      <c r="I674" s="1254" t="s">
        <v>112</v>
      </c>
      <c r="J674" s="1256"/>
      <c r="K674" s="1257">
        <v>7500000.0</v>
      </c>
    </row>
    <row r="675">
      <c r="A675" s="1250" t="s">
        <v>11900</v>
      </c>
      <c r="B675" s="1251" t="s">
        <v>11900</v>
      </c>
      <c r="C675" s="1252"/>
      <c r="D675" s="1252"/>
      <c r="E675" s="1252"/>
      <c r="F675" s="1252"/>
      <c r="G675" s="1252"/>
      <c r="H675" s="1251" t="s">
        <v>11900</v>
      </c>
      <c r="I675" s="1252"/>
      <c r="J675" s="1252"/>
      <c r="K675" s="1252"/>
    </row>
    <row r="676">
      <c r="A676" s="1253" t="s">
        <v>16485</v>
      </c>
      <c r="B676" s="1254" t="s">
        <v>16486</v>
      </c>
      <c r="C676" s="1255" t="s">
        <v>2939</v>
      </c>
      <c r="D676" s="1255" t="s">
        <v>815</v>
      </c>
      <c r="E676" s="1255" t="s">
        <v>11576</v>
      </c>
      <c r="F676" s="1255" t="s">
        <v>11570</v>
      </c>
      <c r="G676" s="1254" t="s">
        <v>22</v>
      </c>
      <c r="H676" s="1254" t="s">
        <v>816</v>
      </c>
      <c r="I676" s="1258" t="s">
        <v>125</v>
      </c>
      <c r="J676" s="1259"/>
      <c r="K676" s="1257">
        <v>3361000.0</v>
      </c>
    </row>
    <row r="677">
      <c r="A677" s="1253" t="s">
        <v>2939</v>
      </c>
      <c r="B677" s="1254" t="s">
        <v>16487</v>
      </c>
      <c r="C677" s="1255" t="s">
        <v>2939</v>
      </c>
      <c r="D677" s="1255" t="s">
        <v>1672</v>
      </c>
      <c r="E677" s="1255" t="s">
        <v>11569</v>
      </c>
      <c r="F677" s="1255" t="s">
        <v>11579</v>
      </c>
      <c r="G677" s="1254" t="s">
        <v>41</v>
      </c>
      <c r="H677" s="1254" t="s">
        <v>11901</v>
      </c>
      <c r="I677" s="1254" t="s">
        <v>2193</v>
      </c>
      <c r="J677" s="1256"/>
      <c r="K677" s="1257">
        <v>4121000.0</v>
      </c>
    </row>
    <row r="678">
      <c r="A678" s="1253" t="s">
        <v>2939</v>
      </c>
      <c r="B678" s="1254" t="s">
        <v>16488</v>
      </c>
      <c r="C678" s="1255" t="s">
        <v>2939</v>
      </c>
      <c r="D678" s="1255" t="s">
        <v>1673</v>
      </c>
      <c r="E678" s="1255" t="s">
        <v>11569</v>
      </c>
      <c r="F678" s="1255" t="s">
        <v>11579</v>
      </c>
      <c r="G678" s="1254" t="s">
        <v>41</v>
      </c>
      <c r="H678" s="1262" t="s">
        <v>1674</v>
      </c>
      <c r="I678" s="1258" t="s">
        <v>2193</v>
      </c>
      <c r="J678" s="1259"/>
      <c r="K678" s="1257">
        <v>4121000.0</v>
      </c>
    </row>
    <row r="679">
      <c r="A679" s="1253" t="s">
        <v>2939</v>
      </c>
      <c r="B679" s="1254" t="s">
        <v>16489</v>
      </c>
      <c r="C679" s="1255" t="s">
        <v>2939</v>
      </c>
      <c r="D679" s="1255" t="s">
        <v>1675</v>
      </c>
      <c r="E679" s="1255" t="s">
        <v>11569</v>
      </c>
      <c r="F679" s="1255" t="s">
        <v>11570</v>
      </c>
      <c r="G679" s="1254" t="s">
        <v>22</v>
      </c>
      <c r="H679" s="1254" t="s">
        <v>818</v>
      </c>
      <c r="I679" s="1254" t="s">
        <v>97</v>
      </c>
      <c r="J679" s="1256"/>
      <c r="K679" s="1257">
        <v>1558000.0</v>
      </c>
    </row>
    <row r="680">
      <c r="A680" s="1253" t="s">
        <v>16490</v>
      </c>
      <c r="B680" s="1254" t="s">
        <v>2939</v>
      </c>
      <c r="C680" s="1255" t="s">
        <v>2939</v>
      </c>
      <c r="D680" s="1255" t="s">
        <v>817</v>
      </c>
      <c r="E680" s="1255" t="s">
        <v>11578</v>
      </c>
      <c r="F680" s="1255" t="s">
        <v>11579</v>
      </c>
      <c r="G680" s="1254" t="s">
        <v>41</v>
      </c>
      <c r="H680" s="1254" t="s">
        <v>818</v>
      </c>
      <c r="I680" s="1258" t="s">
        <v>2193</v>
      </c>
      <c r="J680" s="1259"/>
      <c r="K680" s="1257">
        <v>1729000.0</v>
      </c>
    </row>
    <row r="681">
      <c r="A681" s="1253" t="s">
        <v>16491</v>
      </c>
      <c r="B681" s="1254" t="s">
        <v>2939</v>
      </c>
      <c r="C681" s="1255" t="s">
        <v>2939</v>
      </c>
      <c r="D681" s="1255" t="s">
        <v>819</v>
      </c>
      <c r="E681" s="1255" t="s">
        <v>11578</v>
      </c>
      <c r="F681" s="1255" t="s">
        <v>11591</v>
      </c>
      <c r="G681" s="1254" t="s">
        <v>128</v>
      </c>
      <c r="H681" s="1254" t="s">
        <v>818</v>
      </c>
      <c r="I681" s="1258" t="s">
        <v>141</v>
      </c>
      <c r="J681" s="1259"/>
      <c r="K681" s="1257">
        <v>596000.0</v>
      </c>
    </row>
    <row r="682">
      <c r="A682" s="1253" t="s">
        <v>16492</v>
      </c>
      <c r="B682" s="1254" t="s">
        <v>2939</v>
      </c>
      <c r="C682" s="1255" t="s">
        <v>2939</v>
      </c>
      <c r="D682" s="1255" t="s">
        <v>820</v>
      </c>
      <c r="E682" s="1255" t="s">
        <v>11578</v>
      </c>
      <c r="F682" s="1255" t="s">
        <v>11591</v>
      </c>
      <c r="G682" s="1254" t="s">
        <v>130</v>
      </c>
      <c r="H682" s="1254" t="s">
        <v>818</v>
      </c>
      <c r="I682" s="1258" t="s">
        <v>141</v>
      </c>
      <c r="J682" s="1259"/>
      <c r="K682" s="1257">
        <v>596000.0</v>
      </c>
    </row>
    <row r="683">
      <c r="A683" s="1253" t="s">
        <v>2939</v>
      </c>
      <c r="B683" s="1254" t="s">
        <v>16493</v>
      </c>
      <c r="C683" s="1255" t="s">
        <v>16494</v>
      </c>
      <c r="D683" s="1255" t="s">
        <v>2052</v>
      </c>
      <c r="E683" s="1255" t="s">
        <v>11653</v>
      </c>
      <c r="F683" s="1255" t="s">
        <v>11570</v>
      </c>
      <c r="G683" s="1254" t="s">
        <v>22</v>
      </c>
      <c r="H683" s="1254" t="s">
        <v>822</v>
      </c>
      <c r="I683" s="1258" t="s">
        <v>125</v>
      </c>
      <c r="J683" s="1259"/>
      <c r="K683" s="1257">
        <v>1490000.0</v>
      </c>
    </row>
    <row r="684">
      <c r="A684" s="1253" t="s">
        <v>16495</v>
      </c>
      <c r="B684" s="1254" t="s">
        <v>16496</v>
      </c>
      <c r="C684" s="1255" t="s">
        <v>2939</v>
      </c>
      <c r="D684" s="1255" t="s">
        <v>821</v>
      </c>
      <c r="E684" s="1255" t="s">
        <v>11576</v>
      </c>
      <c r="F684" s="1255" t="s">
        <v>11579</v>
      </c>
      <c r="G684" s="1254" t="s">
        <v>41</v>
      </c>
      <c r="H684" s="1254" t="s">
        <v>822</v>
      </c>
      <c r="I684" s="1258" t="s">
        <v>2193</v>
      </c>
      <c r="J684" s="1259"/>
      <c r="K684" s="1257">
        <v>1729000.0</v>
      </c>
    </row>
    <row r="685">
      <c r="A685" s="1253" t="s">
        <v>16497</v>
      </c>
      <c r="B685" s="1254" t="s">
        <v>2939</v>
      </c>
      <c r="C685" s="1255" t="s">
        <v>2939</v>
      </c>
      <c r="D685" s="1255" t="s">
        <v>823</v>
      </c>
      <c r="E685" s="1255" t="s">
        <v>11578</v>
      </c>
      <c r="F685" s="1255" t="s">
        <v>11591</v>
      </c>
      <c r="G685" s="1254" t="s">
        <v>128</v>
      </c>
      <c r="H685" s="1254" t="s">
        <v>822</v>
      </c>
      <c r="I685" s="1258" t="s">
        <v>141</v>
      </c>
      <c r="J685" s="1259"/>
      <c r="K685" s="1257">
        <v>537000.0</v>
      </c>
    </row>
    <row r="686">
      <c r="A686" s="1253" t="s">
        <v>16498</v>
      </c>
      <c r="B686" s="1254" t="s">
        <v>2939</v>
      </c>
      <c r="C686" s="1255" t="s">
        <v>2939</v>
      </c>
      <c r="D686" s="1255" t="s">
        <v>824</v>
      </c>
      <c r="E686" s="1255" t="s">
        <v>11578</v>
      </c>
      <c r="F686" s="1255" t="s">
        <v>11591</v>
      </c>
      <c r="G686" s="1254" t="s">
        <v>130</v>
      </c>
      <c r="H686" s="1254" t="s">
        <v>822</v>
      </c>
      <c r="I686" s="1258" t="s">
        <v>141</v>
      </c>
      <c r="J686" s="1259"/>
      <c r="K686" s="1257">
        <v>537000.0</v>
      </c>
    </row>
    <row r="687">
      <c r="A687" s="1253" t="s">
        <v>16499</v>
      </c>
      <c r="B687" s="1254" t="s">
        <v>2939</v>
      </c>
      <c r="C687" s="1255" t="s">
        <v>2939</v>
      </c>
      <c r="D687" s="1255" t="s">
        <v>825</v>
      </c>
      <c r="E687" s="1255" t="s">
        <v>11578</v>
      </c>
      <c r="F687" s="1255" t="s">
        <v>11591</v>
      </c>
      <c r="G687" s="1254" t="s">
        <v>132</v>
      </c>
      <c r="H687" s="1254" t="s">
        <v>822</v>
      </c>
      <c r="I687" s="1258" t="s">
        <v>141</v>
      </c>
      <c r="J687" s="1259"/>
      <c r="K687" s="1257">
        <v>537000.0</v>
      </c>
    </row>
    <row r="688">
      <c r="A688" s="1253" t="s">
        <v>16500</v>
      </c>
      <c r="B688" s="1254" t="s">
        <v>16501</v>
      </c>
      <c r="C688" s="1255" t="s">
        <v>2939</v>
      </c>
      <c r="D688" s="1255" t="s">
        <v>826</v>
      </c>
      <c r="E688" s="1255" t="s">
        <v>11576</v>
      </c>
      <c r="F688" s="1255" t="s">
        <v>11591</v>
      </c>
      <c r="G688" s="1254" t="s">
        <v>134</v>
      </c>
      <c r="H688" s="1254" t="s">
        <v>822</v>
      </c>
      <c r="I688" s="1258" t="s">
        <v>141</v>
      </c>
      <c r="J688" s="1259"/>
      <c r="K688" s="1257">
        <v>537000.0</v>
      </c>
    </row>
    <row r="689">
      <c r="A689" s="1253" t="s">
        <v>16502</v>
      </c>
      <c r="B689" s="1254" t="s">
        <v>16503</v>
      </c>
      <c r="C689" s="1255" t="s">
        <v>2939</v>
      </c>
      <c r="D689" s="1255" t="s">
        <v>827</v>
      </c>
      <c r="E689" s="1255" t="s">
        <v>11576</v>
      </c>
      <c r="F689" s="1255" t="s">
        <v>11570</v>
      </c>
      <c r="G689" s="1254" t="s">
        <v>22</v>
      </c>
      <c r="H689" s="1254" t="s">
        <v>828</v>
      </c>
      <c r="I689" s="1258" t="s">
        <v>125</v>
      </c>
      <c r="J689" s="1259"/>
      <c r="K689" s="1257">
        <v>1926000.0</v>
      </c>
    </row>
    <row r="690">
      <c r="A690" s="1253" t="s">
        <v>16504</v>
      </c>
      <c r="B690" s="1254" t="s">
        <v>16505</v>
      </c>
      <c r="C690" s="1255" t="s">
        <v>2939</v>
      </c>
      <c r="D690" s="1255" t="s">
        <v>1677</v>
      </c>
      <c r="E690" s="1255" t="s">
        <v>11576</v>
      </c>
      <c r="F690" s="1255" t="s">
        <v>11579</v>
      </c>
      <c r="G690" s="1254" t="s">
        <v>41</v>
      </c>
      <c r="H690" s="1254" t="s">
        <v>828</v>
      </c>
      <c r="I690" s="1258" t="s">
        <v>2193</v>
      </c>
      <c r="J690" s="1259"/>
      <c r="K690" s="1257">
        <v>1776000.0</v>
      </c>
    </row>
    <row r="691">
      <c r="A691" s="1253" t="s">
        <v>16506</v>
      </c>
      <c r="B691" s="1254" t="s">
        <v>2939</v>
      </c>
      <c r="C691" s="1255" t="s">
        <v>2939</v>
      </c>
      <c r="D691" s="1255" t="s">
        <v>833</v>
      </c>
      <c r="E691" s="1255" t="s">
        <v>11578</v>
      </c>
      <c r="F691" s="1255" t="s">
        <v>11591</v>
      </c>
      <c r="G691" s="1254" t="s">
        <v>128</v>
      </c>
      <c r="H691" s="1254" t="s">
        <v>828</v>
      </c>
      <c r="I691" s="1258" t="s">
        <v>141</v>
      </c>
      <c r="J691" s="1259"/>
      <c r="K691" s="1257">
        <v>403000.0</v>
      </c>
    </row>
    <row r="692">
      <c r="A692" s="1253" t="s">
        <v>16507</v>
      </c>
      <c r="B692" s="1254" t="s">
        <v>2939</v>
      </c>
      <c r="C692" s="1255" t="s">
        <v>2939</v>
      </c>
      <c r="D692" s="1255" t="s">
        <v>834</v>
      </c>
      <c r="E692" s="1255" t="s">
        <v>11578</v>
      </c>
      <c r="F692" s="1255" t="s">
        <v>11591</v>
      </c>
      <c r="G692" s="1254" t="s">
        <v>130</v>
      </c>
      <c r="H692" s="1254" t="s">
        <v>828</v>
      </c>
      <c r="I692" s="1258" t="s">
        <v>141</v>
      </c>
      <c r="J692" s="1259"/>
      <c r="K692" s="1257">
        <v>403000.0</v>
      </c>
    </row>
    <row r="693">
      <c r="A693" s="1253" t="s">
        <v>16508</v>
      </c>
      <c r="B693" s="1254" t="s">
        <v>2939</v>
      </c>
      <c r="C693" s="1255" t="s">
        <v>2939</v>
      </c>
      <c r="D693" s="1255" t="s">
        <v>835</v>
      </c>
      <c r="E693" s="1255" t="s">
        <v>11578</v>
      </c>
      <c r="F693" s="1255" t="s">
        <v>11591</v>
      </c>
      <c r="G693" s="1254" t="s">
        <v>132</v>
      </c>
      <c r="H693" s="1254" t="s">
        <v>828</v>
      </c>
      <c r="I693" s="1258" t="s">
        <v>141</v>
      </c>
      <c r="J693" s="1259"/>
      <c r="K693" s="1257">
        <v>256000.0</v>
      </c>
    </row>
    <row r="694">
      <c r="A694" s="1253" t="s">
        <v>16509</v>
      </c>
      <c r="B694" s="1254" t="s">
        <v>2939</v>
      </c>
      <c r="C694" s="1255" t="s">
        <v>2939</v>
      </c>
      <c r="D694" s="1255" t="s">
        <v>836</v>
      </c>
      <c r="E694" s="1255" t="s">
        <v>11578</v>
      </c>
      <c r="F694" s="1255" t="s">
        <v>11591</v>
      </c>
      <c r="G694" s="1254" t="s">
        <v>134</v>
      </c>
      <c r="H694" s="1254" t="s">
        <v>828</v>
      </c>
      <c r="I694" s="1258" t="s">
        <v>141</v>
      </c>
      <c r="J694" s="1259"/>
      <c r="K694" s="1257">
        <v>256000.0</v>
      </c>
    </row>
    <row r="695">
      <c r="A695" s="1253" t="s">
        <v>2939</v>
      </c>
      <c r="B695" s="1254" t="s">
        <v>16510</v>
      </c>
      <c r="C695" s="1255" t="s">
        <v>2939</v>
      </c>
      <c r="D695" s="1255" t="s">
        <v>1678</v>
      </c>
      <c r="E695" s="1255" t="s">
        <v>11569</v>
      </c>
      <c r="F695" s="1255" t="s">
        <v>11570</v>
      </c>
      <c r="G695" s="1254" t="s">
        <v>22</v>
      </c>
      <c r="H695" s="1254" t="s">
        <v>1679</v>
      </c>
      <c r="I695" s="1254" t="s">
        <v>125</v>
      </c>
      <c r="J695" s="1256"/>
      <c r="K695" s="1257">
        <v>3773000.0</v>
      </c>
    </row>
    <row r="696">
      <c r="A696" s="1253" t="s">
        <v>2939</v>
      </c>
      <c r="B696" s="1254" t="s">
        <v>16511</v>
      </c>
      <c r="C696" s="1255" t="s">
        <v>2939</v>
      </c>
      <c r="D696" s="1255" t="s">
        <v>1680</v>
      </c>
      <c r="E696" s="1255" t="s">
        <v>11569</v>
      </c>
      <c r="F696" s="1255" t="s">
        <v>11579</v>
      </c>
      <c r="G696" s="1254" t="s">
        <v>41</v>
      </c>
      <c r="H696" s="1254" t="s">
        <v>1679</v>
      </c>
      <c r="I696" s="1254" t="s">
        <v>1377</v>
      </c>
      <c r="J696" s="1256"/>
      <c r="K696" s="1257">
        <v>2289000.0</v>
      </c>
    </row>
    <row r="697">
      <c r="A697" s="1253" t="s">
        <v>16512</v>
      </c>
      <c r="B697" s="1254" t="s">
        <v>16513</v>
      </c>
      <c r="C697" s="1255" t="s">
        <v>2939</v>
      </c>
      <c r="D697" s="1255" t="s">
        <v>837</v>
      </c>
      <c r="E697" s="1255" t="s">
        <v>11576</v>
      </c>
      <c r="F697" s="1255" t="s">
        <v>11570</v>
      </c>
      <c r="G697" s="1254" t="s">
        <v>22</v>
      </c>
      <c r="H697" s="1254" t="s">
        <v>838</v>
      </c>
      <c r="I697" s="1258" t="s">
        <v>125</v>
      </c>
      <c r="J697" s="1259"/>
      <c r="K697" s="1257">
        <v>3876000.0</v>
      </c>
    </row>
    <row r="698">
      <c r="A698" s="1253" t="s">
        <v>16514</v>
      </c>
      <c r="B698" s="1254" t="s">
        <v>16515</v>
      </c>
      <c r="C698" s="1255" t="s">
        <v>2939</v>
      </c>
      <c r="D698" s="1255" t="s">
        <v>839</v>
      </c>
      <c r="E698" s="1255" t="s">
        <v>11576</v>
      </c>
      <c r="F698" s="1255" t="s">
        <v>11579</v>
      </c>
      <c r="G698" s="1254" t="s">
        <v>41</v>
      </c>
      <c r="H698" s="1254" t="s">
        <v>838</v>
      </c>
      <c r="I698" s="1258" t="s">
        <v>1377</v>
      </c>
      <c r="J698" s="1259"/>
      <c r="K698" s="1257">
        <v>2410000.0</v>
      </c>
    </row>
    <row r="699">
      <c r="A699" s="1253" t="s">
        <v>16516</v>
      </c>
      <c r="B699" s="1254" t="s">
        <v>2939</v>
      </c>
      <c r="C699" s="1255" t="s">
        <v>2939</v>
      </c>
      <c r="D699" s="1255" t="s">
        <v>840</v>
      </c>
      <c r="E699" s="1255" t="s">
        <v>11578</v>
      </c>
      <c r="F699" s="1255" t="s">
        <v>11591</v>
      </c>
      <c r="G699" s="1254" t="s">
        <v>128</v>
      </c>
      <c r="H699" s="1254" t="s">
        <v>838</v>
      </c>
      <c r="I699" s="1258" t="s">
        <v>141</v>
      </c>
      <c r="J699" s="1259"/>
      <c r="K699" s="1257">
        <v>884000.0</v>
      </c>
    </row>
    <row r="700">
      <c r="A700" s="1253" t="s">
        <v>16517</v>
      </c>
      <c r="B700" s="1254" t="s">
        <v>2939</v>
      </c>
      <c r="C700" s="1255" t="s">
        <v>2939</v>
      </c>
      <c r="D700" s="1255" t="s">
        <v>841</v>
      </c>
      <c r="E700" s="1255" t="s">
        <v>11578</v>
      </c>
      <c r="F700" s="1255" t="s">
        <v>11591</v>
      </c>
      <c r="G700" s="1254" t="s">
        <v>130</v>
      </c>
      <c r="H700" s="1254" t="s">
        <v>838</v>
      </c>
      <c r="I700" s="1258" t="s">
        <v>141</v>
      </c>
      <c r="J700" s="1259"/>
      <c r="K700" s="1257">
        <v>884000.0</v>
      </c>
    </row>
    <row r="701">
      <c r="A701" s="1253" t="s">
        <v>16518</v>
      </c>
      <c r="B701" s="1254" t="s">
        <v>2939</v>
      </c>
      <c r="C701" s="1255" t="s">
        <v>2939</v>
      </c>
      <c r="D701" s="1255" t="s">
        <v>842</v>
      </c>
      <c r="E701" s="1255" t="s">
        <v>11578</v>
      </c>
      <c r="F701" s="1255" t="s">
        <v>11591</v>
      </c>
      <c r="G701" s="1254" t="s">
        <v>132</v>
      </c>
      <c r="H701" s="1254" t="s">
        <v>838</v>
      </c>
      <c r="I701" s="1258" t="s">
        <v>141</v>
      </c>
      <c r="J701" s="1259"/>
      <c r="K701" s="1257">
        <v>725000.0</v>
      </c>
    </row>
    <row r="702">
      <c r="A702" s="1253" t="s">
        <v>16519</v>
      </c>
      <c r="B702" s="1254" t="s">
        <v>2939</v>
      </c>
      <c r="C702" s="1255" t="s">
        <v>2939</v>
      </c>
      <c r="D702" s="1255" t="s">
        <v>843</v>
      </c>
      <c r="E702" s="1255" t="s">
        <v>11578</v>
      </c>
      <c r="F702" s="1255" t="s">
        <v>11591</v>
      </c>
      <c r="G702" s="1254" t="s">
        <v>134</v>
      </c>
      <c r="H702" s="1254" t="s">
        <v>838</v>
      </c>
      <c r="I702" s="1258" t="s">
        <v>141</v>
      </c>
      <c r="J702" s="1259"/>
      <c r="K702" s="1257">
        <v>725000.0</v>
      </c>
    </row>
    <row r="703">
      <c r="A703" s="1253" t="s">
        <v>16520</v>
      </c>
      <c r="B703" s="1254" t="s">
        <v>2939</v>
      </c>
      <c r="C703" s="1255" t="s">
        <v>2939</v>
      </c>
      <c r="D703" s="1255" t="s">
        <v>844</v>
      </c>
      <c r="E703" s="1255" t="s">
        <v>11578</v>
      </c>
      <c r="F703" s="1255" t="s">
        <v>11591</v>
      </c>
      <c r="G703" s="1254" t="s">
        <v>202</v>
      </c>
      <c r="H703" s="1254" t="s">
        <v>838</v>
      </c>
      <c r="I703" s="1258" t="s">
        <v>234</v>
      </c>
      <c r="J703" s="1259"/>
      <c r="K703" s="1257">
        <v>1126000.0</v>
      </c>
    </row>
    <row r="704">
      <c r="A704" s="1253" t="s">
        <v>16521</v>
      </c>
      <c r="B704" s="1254" t="s">
        <v>16522</v>
      </c>
      <c r="C704" s="1255" t="s">
        <v>2939</v>
      </c>
      <c r="D704" s="1255" t="s">
        <v>845</v>
      </c>
      <c r="E704" s="1255" t="s">
        <v>11576</v>
      </c>
      <c r="F704" s="1255" t="s">
        <v>11591</v>
      </c>
      <c r="G704" s="1254" t="s">
        <v>236</v>
      </c>
      <c r="H704" s="1254" t="s">
        <v>838</v>
      </c>
      <c r="I704" s="1258" t="s">
        <v>97</v>
      </c>
      <c r="J704" s="1259"/>
      <c r="K704" s="1257">
        <v>966000.0</v>
      </c>
    </row>
    <row r="705">
      <c r="A705" s="1253" t="s">
        <v>2939</v>
      </c>
      <c r="B705" s="1254" t="s">
        <v>2939</v>
      </c>
      <c r="C705" s="1255" t="s">
        <v>16523</v>
      </c>
      <c r="D705" s="1255" t="s">
        <v>1932</v>
      </c>
      <c r="E705" s="1255" t="s">
        <v>11653</v>
      </c>
      <c r="F705" s="1255" t="s">
        <v>11570</v>
      </c>
      <c r="G705" s="1254" t="s">
        <v>22</v>
      </c>
      <c r="H705" s="1254" t="s">
        <v>1463</v>
      </c>
      <c r="I705" s="1256"/>
      <c r="J705" s="1256"/>
      <c r="K705" s="1257">
        <v>1188000.0</v>
      </c>
    </row>
    <row r="706">
      <c r="A706" s="1253" t="s">
        <v>2939</v>
      </c>
      <c r="B706" s="1254" t="s">
        <v>16524</v>
      </c>
      <c r="C706" s="1255" t="s">
        <v>2939</v>
      </c>
      <c r="D706" s="1255" t="s">
        <v>1681</v>
      </c>
      <c r="E706" s="1255" t="s">
        <v>11569</v>
      </c>
      <c r="F706" s="1255" t="s">
        <v>11570</v>
      </c>
      <c r="G706" s="1254" t="s">
        <v>22</v>
      </c>
      <c r="H706" s="1254" t="s">
        <v>1682</v>
      </c>
      <c r="I706" s="1254" t="s">
        <v>97</v>
      </c>
      <c r="J706" s="1256"/>
      <c r="K706" s="1257">
        <v>1233000.0</v>
      </c>
    </row>
    <row r="707">
      <c r="A707" s="1253" t="s">
        <v>2939</v>
      </c>
      <c r="B707" s="1254" t="s">
        <v>16525</v>
      </c>
      <c r="C707" s="1255" t="s">
        <v>2939</v>
      </c>
      <c r="D707" s="1255" t="s">
        <v>1410</v>
      </c>
      <c r="E707" s="1255" t="s">
        <v>11569</v>
      </c>
      <c r="F707" s="1255" t="s">
        <v>11570</v>
      </c>
      <c r="G707" s="1254" t="s">
        <v>22</v>
      </c>
      <c r="H707" s="1254" t="s">
        <v>1411</v>
      </c>
      <c r="I707" s="1254" t="s">
        <v>125</v>
      </c>
      <c r="J707" s="1256"/>
      <c r="K707" s="1257">
        <v>1356000.0</v>
      </c>
    </row>
    <row r="708">
      <c r="A708" s="1253" t="s">
        <v>16526</v>
      </c>
      <c r="B708" s="1254" t="s">
        <v>16527</v>
      </c>
      <c r="C708" s="1255" t="s">
        <v>2939</v>
      </c>
      <c r="D708" s="1255" t="s">
        <v>846</v>
      </c>
      <c r="E708" s="1255" t="s">
        <v>11576</v>
      </c>
      <c r="F708" s="1255" t="s">
        <v>11570</v>
      </c>
      <c r="G708" s="1254" t="s">
        <v>22</v>
      </c>
      <c r="H708" s="1254" t="s">
        <v>847</v>
      </c>
      <c r="I708" s="1258" t="s">
        <v>97</v>
      </c>
      <c r="J708" s="1259"/>
      <c r="K708" s="1257">
        <v>1243000.0</v>
      </c>
    </row>
    <row r="709">
      <c r="A709" s="1253" t="s">
        <v>16528</v>
      </c>
      <c r="B709" s="1254" t="s">
        <v>16529</v>
      </c>
      <c r="C709" s="1255" t="s">
        <v>2939</v>
      </c>
      <c r="D709" s="1255" t="s">
        <v>848</v>
      </c>
      <c r="E709" s="1255" t="s">
        <v>11576</v>
      </c>
      <c r="F709" s="1255" t="s">
        <v>11579</v>
      </c>
      <c r="G709" s="1254" t="s">
        <v>41</v>
      </c>
      <c r="H709" s="1254" t="s">
        <v>847</v>
      </c>
      <c r="I709" s="1258" t="s">
        <v>2193</v>
      </c>
      <c r="J709" s="1259"/>
      <c r="K709" s="1257">
        <v>1776000.0</v>
      </c>
    </row>
    <row r="710">
      <c r="A710" s="1253" t="s">
        <v>16530</v>
      </c>
      <c r="B710" s="1254" t="s">
        <v>16531</v>
      </c>
      <c r="C710" s="1255" t="s">
        <v>2939</v>
      </c>
      <c r="D710" s="1255" t="s">
        <v>849</v>
      </c>
      <c r="E710" s="1255" t="s">
        <v>11576</v>
      </c>
      <c r="F710" s="1255" t="s">
        <v>11591</v>
      </c>
      <c r="G710" s="1254" t="s">
        <v>128</v>
      </c>
      <c r="H710" s="1254" t="s">
        <v>847</v>
      </c>
      <c r="I710" s="1258" t="s">
        <v>141</v>
      </c>
      <c r="J710" s="1259"/>
      <c r="K710" s="1257">
        <v>579000.0</v>
      </c>
    </row>
    <row r="711">
      <c r="A711" s="1253" t="s">
        <v>16532</v>
      </c>
      <c r="B711" s="1254" t="s">
        <v>16533</v>
      </c>
      <c r="C711" s="1255" t="s">
        <v>2939</v>
      </c>
      <c r="D711" s="1255" t="s">
        <v>850</v>
      </c>
      <c r="E711" s="1255" t="s">
        <v>11576</v>
      </c>
      <c r="F711" s="1255" t="s">
        <v>11591</v>
      </c>
      <c r="G711" s="1254" t="s">
        <v>130</v>
      </c>
      <c r="H711" s="1254" t="s">
        <v>847</v>
      </c>
      <c r="I711" s="1258" t="s">
        <v>141</v>
      </c>
      <c r="J711" s="1259"/>
      <c r="K711" s="1257">
        <v>579000.0</v>
      </c>
    </row>
    <row r="712">
      <c r="A712" s="1253" t="s">
        <v>16534</v>
      </c>
      <c r="B712" s="1254" t="s">
        <v>16535</v>
      </c>
      <c r="C712" s="1255" t="s">
        <v>2939</v>
      </c>
      <c r="D712" s="1255" t="s">
        <v>851</v>
      </c>
      <c r="E712" s="1255" t="s">
        <v>11576</v>
      </c>
      <c r="F712" s="1255" t="s">
        <v>11591</v>
      </c>
      <c r="G712" s="1254" t="s">
        <v>132</v>
      </c>
      <c r="H712" s="1254" t="s">
        <v>847</v>
      </c>
      <c r="I712" s="1258" t="s">
        <v>141</v>
      </c>
      <c r="J712" s="1259"/>
      <c r="K712" s="1257">
        <v>537000.0</v>
      </c>
    </row>
    <row r="713">
      <c r="A713" s="1253" t="s">
        <v>16536</v>
      </c>
      <c r="B713" s="1254" t="s">
        <v>16537</v>
      </c>
      <c r="C713" s="1255" t="s">
        <v>2939</v>
      </c>
      <c r="D713" s="1255" t="s">
        <v>852</v>
      </c>
      <c r="E713" s="1255" t="s">
        <v>11576</v>
      </c>
      <c r="F713" s="1255" t="s">
        <v>11591</v>
      </c>
      <c r="G713" s="1254" t="s">
        <v>134</v>
      </c>
      <c r="H713" s="1254" t="s">
        <v>847</v>
      </c>
      <c r="I713" s="1258" t="s">
        <v>141</v>
      </c>
      <c r="J713" s="1259"/>
      <c r="K713" s="1257">
        <v>537000.0</v>
      </c>
    </row>
    <row r="714">
      <c r="A714" s="1253" t="s">
        <v>16538</v>
      </c>
      <c r="B714" s="1254" t="s">
        <v>2939</v>
      </c>
      <c r="C714" s="1255" t="s">
        <v>2939</v>
      </c>
      <c r="D714" s="1255" t="s">
        <v>853</v>
      </c>
      <c r="E714" s="1255" t="s">
        <v>11578</v>
      </c>
      <c r="F714" s="1255" t="s">
        <v>11591</v>
      </c>
      <c r="G714" s="1254" t="s">
        <v>387</v>
      </c>
      <c r="H714" s="1254" t="s">
        <v>847</v>
      </c>
      <c r="I714" s="1259"/>
      <c r="J714" s="1259"/>
      <c r="K714" s="1257">
        <v>262000.0</v>
      </c>
    </row>
    <row r="715">
      <c r="A715" s="1253" t="s">
        <v>16539</v>
      </c>
      <c r="B715" s="1254" t="s">
        <v>2939</v>
      </c>
      <c r="C715" s="1255" t="s">
        <v>2939</v>
      </c>
      <c r="D715" s="1255" t="s">
        <v>854</v>
      </c>
      <c r="E715" s="1255" t="s">
        <v>11578</v>
      </c>
      <c r="F715" s="1255" t="s">
        <v>11591</v>
      </c>
      <c r="G715" s="1254" t="s">
        <v>389</v>
      </c>
      <c r="H715" s="1254" t="s">
        <v>847</v>
      </c>
      <c r="I715" s="1259"/>
      <c r="J715" s="1259"/>
      <c r="K715" s="1257">
        <v>262000.0</v>
      </c>
    </row>
    <row r="716">
      <c r="A716" s="1253" t="s">
        <v>16540</v>
      </c>
      <c r="B716" s="1254" t="s">
        <v>16541</v>
      </c>
      <c r="C716" s="1255" t="s">
        <v>2939</v>
      </c>
      <c r="D716" s="1255" t="s">
        <v>855</v>
      </c>
      <c r="E716" s="1255" t="s">
        <v>11576</v>
      </c>
      <c r="F716" s="1255" t="s">
        <v>11570</v>
      </c>
      <c r="G716" s="1254" t="s">
        <v>22</v>
      </c>
      <c r="H716" s="1254" t="s">
        <v>856</v>
      </c>
      <c r="I716" s="1258" t="s">
        <v>125</v>
      </c>
      <c r="J716" s="1259"/>
      <c r="K716" s="1257">
        <v>1461000.0</v>
      </c>
    </row>
    <row r="717">
      <c r="A717" s="1253" t="s">
        <v>16542</v>
      </c>
      <c r="B717" s="1254" t="s">
        <v>16543</v>
      </c>
      <c r="C717" s="1255" t="s">
        <v>2939</v>
      </c>
      <c r="D717" s="1255" t="s">
        <v>857</v>
      </c>
      <c r="E717" s="1255" t="s">
        <v>11578</v>
      </c>
      <c r="F717" s="1255" t="s">
        <v>11579</v>
      </c>
      <c r="G717" s="1254" t="s">
        <v>41</v>
      </c>
      <c r="H717" s="1254" t="s">
        <v>856</v>
      </c>
      <c r="I717" s="1258" t="s">
        <v>2193</v>
      </c>
      <c r="J717" s="1259"/>
      <c r="K717" s="1257">
        <v>1776000.0</v>
      </c>
    </row>
    <row r="718">
      <c r="A718" s="1253" t="s">
        <v>16544</v>
      </c>
      <c r="B718" s="1254" t="s">
        <v>2939</v>
      </c>
      <c r="C718" s="1255" t="s">
        <v>2939</v>
      </c>
      <c r="D718" s="1255" t="s">
        <v>858</v>
      </c>
      <c r="E718" s="1255" t="s">
        <v>11578</v>
      </c>
      <c r="F718" s="1255" t="s">
        <v>11591</v>
      </c>
      <c r="G718" s="1254" t="s">
        <v>128</v>
      </c>
      <c r="H718" s="1254" t="s">
        <v>856</v>
      </c>
      <c r="I718" s="1258" t="s">
        <v>141</v>
      </c>
      <c r="J718" s="1259"/>
      <c r="K718" s="1257">
        <v>389000.0</v>
      </c>
    </row>
    <row r="719">
      <c r="A719" s="1253" t="s">
        <v>16545</v>
      </c>
      <c r="B719" s="1254" t="s">
        <v>2939</v>
      </c>
      <c r="C719" s="1255" t="s">
        <v>2939</v>
      </c>
      <c r="D719" s="1255" t="s">
        <v>859</v>
      </c>
      <c r="E719" s="1255" t="s">
        <v>11578</v>
      </c>
      <c r="F719" s="1255" t="s">
        <v>11591</v>
      </c>
      <c r="G719" s="1254" t="s">
        <v>130</v>
      </c>
      <c r="H719" s="1254" t="s">
        <v>856</v>
      </c>
      <c r="I719" s="1258" t="s">
        <v>141</v>
      </c>
      <c r="J719" s="1259"/>
      <c r="K719" s="1257">
        <v>389000.0</v>
      </c>
    </row>
    <row r="720">
      <c r="A720" s="1253" t="s">
        <v>16546</v>
      </c>
      <c r="B720" s="1254" t="s">
        <v>16547</v>
      </c>
      <c r="C720" s="1255" t="s">
        <v>2939</v>
      </c>
      <c r="D720" s="1255" t="s">
        <v>860</v>
      </c>
      <c r="E720" s="1255" t="s">
        <v>11576</v>
      </c>
      <c r="F720" s="1255" t="s">
        <v>11570</v>
      </c>
      <c r="G720" s="1254" t="s">
        <v>22</v>
      </c>
      <c r="H720" s="1254" t="s">
        <v>861</v>
      </c>
      <c r="I720" s="1258" t="s">
        <v>125</v>
      </c>
      <c r="J720" s="1259"/>
      <c r="K720" s="1257">
        <v>1906000.0</v>
      </c>
    </row>
    <row r="721">
      <c r="A721" s="1253" t="s">
        <v>16548</v>
      </c>
      <c r="B721" s="1254" t="s">
        <v>16549</v>
      </c>
      <c r="C721" s="1255" t="s">
        <v>2939</v>
      </c>
      <c r="D721" s="1255" t="s">
        <v>862</v>
      </c>
      <c r="E721" s="1255" t="s">
        <v>11576</v>
      </c>
      <c r="F721" s="1255" t="s">
        <v>11579</v>
      </c>
      <c r="G721" s="1254" t="s">
        <v>41</v>
      </c>
      <c r="H721" s="1254" t="s">
        <v>861</v>
      </c>
      <c r="I721" s="1258" t="s">
        <v>2193</v>
      </c>
      <c r="J721" s="1259"/>
      <c r="K721" s="1257">
        <v>2006000.0</v>
      </c>
    </row>
    <row r="722">
      <c r="A722" s="1253" t="s">
        <v>16550</v>
      </c>
      <c r="B722" s="1254" t="s">
        <v>16551</v>
      </c>
      <c r="C722" s="1255" t="s">
        <v>2939</v>
      </c>
      <c r="D722" s="1255" t="s">
        <v>863</v>
      </c>
      <c r="E722" s="1255" t="s">
        <v>11578</v>
      </c>
      <c r="F722" s="1255" t="s">
        <v>11591</v>
      </c>
      <c r="G722" s="1254" t="s">
        <v>128</v>
      </c>
      <c r="H722" s="1254" t="s">
        <v>861</v>
      </c>
      <c r="I722" s="1259"/>
      <c r="J722" s="1259"/>
      <c r="K722" s="1257">
        <v>613000.0</v>
      </c>
    </row>
    <row r="723">
      <c r="A723" s="1253" t="s">
        <v>16552</v>
      </c>
      <c r="B723" s="1254" t="s">
        <v>16553</v>
      </c>
      <c r="C723" s="1255" t="s">
        <v>2939</v>
      </c>
      <c r="D723" s="1255" t="s">
        <v>864</v>
      </c>
      <c r="E723" s="1255" t="s">
        <v>11576</v>
      </c>
      <c r="F723" s="1255" t="s">
        <v>11591</v>
      </c>
      <c r="G723" s="1254" t="s">
        <v>130</v>
      </c>
      <c r="H723" s="1254" t="s">
        <v>861</v>
      </c>
      <c r="I723" s="1258" t="s">
        <v>397</v>
      </c>
      <c r="J723" s="1259"/>
      <c r="K723" s="1257">
        <v>613000.0</v>
      </c>
    </row>
    <row r="724">
      <c r="A724" s="1253" t="s">
        <v>16554</v>
      </c>
      <c r="B724" s="1254" t="s">
        <v>2939</v>
      </c>
      <c r="C724" s="1255" t="s">
        <v>2939</v>
      </c>
      <c r="D724" s="1255" t="s">
        <v>865</v>
      </c>
      <c r="E724" s="1255" t="s">
        <v>11578</v>
      </c>
      <c r="F724" s="1255" t="s">
        <v>11591</v>
      </c>
      <c r="G724" s="1254" t="s">
        <v>132</v>
      </c>
      <c r="H724" s="1254" t="s">
        <v>861</v>
      </c>
      <c r="I724" s="1259"/>
      <c r="J724" s="1259"/>
      <c r="K724" s="1257">
        <v>564000.0</v>
      </c>
    </row>
    <row r="725">
      <c r="A725" s="1253" t="s">
        <v>16555</v>
      </c>
      <c r="B725" s="1254" t="s">
        <v>2939</v>
      </c>
      <c r="C725" s="1255" t="s">
        <v>2939</v>
      </c>
      <c r="D725" s="1255" t="s">
        <v>866</v>
      </c>
      <c r="E725" s="1255" t="s">
        <v>11578</v>
      </c>
      <c r="F725" s="1255" t="s">
        <v>11591</v>
      </c>
      <c r="G725" s="1254" t="s">
        <v>134</v>
      </c>
      <c r="H725" s="1254" t="s">
        <v>861</v>
      </c>
      <c r="I725" s="1259"/>
      <c r="J725" s="1259"/>
      <c r="K725" s="1257">
        <v>564000.0</v>
      </c>
    </row>
    <row r="726">
      <c r="A726" s="1253" t="s">
        <v>16556</v>
      </c>
      <c r="B726" s="1254" t="s">
        <v>16557</v>
      </c>
      <c r="C726" s="1255" t="s">
        <v>2939</v>
      </c>
      <c r="D726" s="1255" t="s">
        <v>867</v>
      </c>
      <c r="E726" s="1255" t="s">
        <v>11576</v>
      </c>
      <c r="F726" s="1255" t="s">
        <v>11570</v>
      </c>
      <c r="G726" s="1254" t="s">
        <v>22</v>
      </c>
      <c r="H726" s="1254" t="s">
        <v>868</v>
      </c>
      <c r="I726" s="1258" t="s">
        <v>125</v>
      </c>
      <c r="J726" s="1259"/>
      <c r="K726" s="1257">
        <v>2857000.0</v>
      </c>
    </row>
    <row r="727">
      <c r="A727" s="1253" t="s">
        <v>16558</v>
      </c>
      <c r="B727" s="1254" t="s">
        <v>2939</v>
      </c>
      <c r="C727" s="1255" t="s">
        <v>2939</v>
      </c>
      <c r="D727" s="1255" t="s">
        <v>869</v>
      </c>
      <c r="E727" s="1255" t="s">
        <v>11578</v>
      </c>
      <c r="F727" s="1255" t="s">
        <v>11570</v>
      </c>
      <c r="G727" s="1254" t="s">
        <v>22</v>
      </c>
      <c r="H727" s="1254" t="s">
        <v>868</v>
      </c>
      <c r="I727" s="1258" t="s">
        <v>75</v>
      </c>
      <c r="J727" s="1259"/>
      <c r="K727" s="1257">
        <v>3695000.0</v>
      </c>
    </row>
    <row r="728">
      <c r="A728" s="1253" t="s">
        <v>16559</v>
      </c>
      <c r="B728" s="1254" t="s">
        <v>16560</v>
      </c>
      <c r="C728" s="1255" t="s">
        <v>2939</v>
      </c>
      <c r="D728" s="1255" t="s">
        <v>870</v>
      </c>
      <c r="E728" s="1255" t="s">
        <v>11576</v>
      </c>
      <c r="F728" s="1255" t="s">
        <v>11579</v>
      </c>
      <c r="G728" s="1254" t="s">
        <v>41</v>
      </c>
      <c r="H728" s="1254" t="s">
        <v>868</v>
      </c>
      <c r="I728" s="1258" t="s">
        <v>2193</v>
      </c>
      <c r="J728" s="1259"/>
      <c r="K728" s="1257">
        <v>2410000.0</v>
      </c>
    </row>
    <row r="729">
      <c r="A729" s="1253" t="s">
        <v>16561</v>
      </c>
      <c r="B729" s="1254" t="s">
        <v>2939</v>
      </c>
      <c r="C729" s="1255" t="s">
        <v>2939</v>
      </c>
      <c r="D729" s="1255" t="s">
        <v>871</v>
      </c>
      <c r="E729" s="1255" t="s">
        <v>11578</v>
      </c>
      <c r="F729" s="1255" t="s">
        <v>11591</v>
      </c>
      <c r="G729" s="1254" t="s">
        <v>128</v>
      </c>
      <c r="H729" s="1254" t="s">
        <v>868</v>
      </c>
      <c r="I729" s="1259"/>
      <c r="J729" s="1259"/>
      <c r="K729" s="1257">
        <v>644000.0</v>
      </c>
    </row>
    <row r="730">
      <c r="A730" s="1253" t="s">
        <v>16562</v>
      </c>
      <c r="B730" s="1254" t="s">
        <v>2939</v>
      </c>
      <c r="C730" s="1255" t="s">
        <v>2939</v>
      </c>
      <c r="D730" s="1255" t="s">
        <v>872</v>
      </c>
      <c r="E730" s="1255" t="s">
        <v>11578</v>
      </c>
      <c r="F730" s="1255" t="s">
        <v>11591</v>
      </c>
      <c r="G730" s="1254" t="s">
        <v>130</v>
      </c>
      <c r="H730" s="1254" t="s">
        <v>868</v>
      </c>
      <c r="I730" s="1259"/>
      <c r="J730" s="1259"/>
      <c r="K730" s="1257">
        <v>644000.0</v>
      </c>
    </row>
    <row r="731">
      <c r="A731" s="1253" t="s">
        <v>16563</v>
      </c>
      <c r="B731" s="1254" t="s">
        <v>2939</v>
      </c>
      <c r="C731" s="1255" t="s">
        <v>2939</v>
      </c>
      <c r="D731" s="1255" t="s">
        <v>873</v>
      </c>
      <c r="E731" s="1255" t="s">
        <v>11578</v>
      </c>
      <c r="F731" s="1255" t="s">
        <v>11591</v>
      </c>
      <c r="G731" s="1254" t="s">
        <v>132</v>
      </c>
      <c r="H731" s="1254" t="s">
        <v>868</v>
      </c>
      <c r="I731" s="1259"/>
      <c r="J731" s="1259"/>
      <c r="K731" s="1257">
        <v>564000.0</v>
      </c>
    </row>
    <row r="732">
      <c r="A732" s="1253" t="s">
        <v>16564</v>
      </c>
      <c r="B732" s="1254" t="s">
        <v>2939</v>
      </c>
      <c r="C732" s="1255" t="s">
        <v>2939</v>
      </c>
      <c r="D732" s="1255" t="s">
        <v>874</v>
      </c>
      <c r="E732" s="1255" t="s">
        <v>11578</v>
      </c>
      <c r="F732" s="1255" t="s">
        <v>11591</v>
      </c>
      <c r="G732" s="1254" t="s">
        <v>134</v>
      </c>
      <c r="H732" s="1254" t="s">
        <v>868</v>
      </c>
      <c r="I732" s="1259"/>
      <c r="J732" s="1259"/>
      <c r="K732" s="1257">
        <v>564000.0</v>
      </c>
    </row>
    <row r="733">
      <c r="A733" s="1253" t="s">
        <v>16565</v>
      </c>
      <c r="B733" s="1254" t="s">
        <v>16566</v>
      </c>
      <c r="C733" s="1255" t="s">
        <v>2939</v>
      </c>
      <c r="D733" s="1255" t="s">
        <v>875</v>
      </c>
      <c r="E733" s="1255" t="s">
        <v>11576</v>
      </c>
      <c r="F733" s="1255" t="s">
        <v>11570</v>
      </c>
      <c r="G733" s="1254" t="s">
        <v>22</v>
      </c>
      <c r="H733" s="1254" t="s">
        <v>876</v>
      </c>
      <c r="I733" s="1258" t="s">
        <v>125</v>
      </c>
      <c r="J733" s="1259"/>
      <c r="K733" s="1257">
        <v>1293000.0</v>
      </c>
    </row>
    <row r="734">
      <c r="A734" s="1253" t="s">
        <v>16567</v>
      </c>
      <c r="B734" s="1254" t="s">
        <v>16568</v>
      </c>
      <c r="C734" s="1255" t="s">
        <v>2939</v>
      </c>
      <c r="D734" s="1255" t="s">
        <v>877</v>
      </c>
      <c r="E734" s="1255" t="s">
        <v>11576</v>
      </c>
      <c r="F734" s="1255" t="s">
        <v>11579</v>
      </c>
      <c r="G734" s="1254" t="s">
        <v>41</v>
      </c>
      <c r="H734" s="1254" t="s">
        <v>876</v>
      </c>
      <c r="I734" s="1258" t="s">
        <v>2193</v>
      </c>
      <c r="J734" s="1259"/>
      <c r="K734" s="1257">
        <v>1640000.0</v>
      </c>
    </row>
    <row r="735">
      <c r="A735" s="1253" t="s">
        <v>16569</v>
      </c>
      <c r="B735" s="1254" t="s">
        <v>16570</v>
      </c>
      <c r="C735" s="1255" t="s">
        <v>2939</v>
      </c>
      <c r="D735" s="1255" t="s">
        <v>878</v>
      </c>
      <c r="E735" s="1255" t="s">
        <v>11576</v>
      </c>
      <c r="F735" s="1255" t="s">
        <v>11570</v>
      </c>
      <c r="G735" s="1254" t="s">
        <v>22</v>
      </c>
      <c r="H735" s="1254" t="s">
        <v>879</v>
      </c>
      <c r="I735" s="1258" t="s">
        <v>125</v>
      </c>
      <c r="J735" s="1259"/>
      <c r="K735" s="1257">
        <v>1788000.0</v>
      </c>
    </row>
    <row r="736">
      <c r="A736" s="1253" t="s">
        <v>16571</v>
      </c>
      <c r="B736" s="1254" t="s">
        <v>16572</v>
      </c>
      <c r="C736" s="1255" t="s">
        <v>2939</v>
      </c>
      <c r="D736" s="1255" t="s">
        <v>880</v>
      </c>
      <c r="E736" s="1255" t="s">
        <v>11576</v>
      </c>
      <c r="F736" s="1255" t="s">
        <v>11579</v>
      </c>
      <c r="G736" s="1254" t="s">
        <v>41</v>
      </c>
      <c r="H736" s="1254" t="s">
        <v>879</v>
      </c>
      <c r="I736" s="1258" t="s">
        <v>1377</v>
      </c>
      <c r="J736" s="1259"/>
      <c r="K736" s="1257">
        <v>1091000.0</v>
      </c>
    </row>
    <row r="737">
      <c r="A737" s="1253" t="s">
        <v>2939</v>
      </c>
      <c r="B737" s="1254" t="s">
        <v>16573</v>
      </c>
      <c r="C737" s="1255" t="s">
        <v>2939</v>
      </c>
      <c r="D737" s="1260" t="s">
        <v>1686</v>
      </c>
      <c r="E737" s="1255" t="s">
        <v>11569</v>
      </c>
      <c r="F737" s="1255" t="s">
        <v>11570</v>
      </c>
      <c r="G737" s="1254" t="s">
        <v>22</v>
      </c>
      <c r="H737" s="1254" t="s">
        <v>1687</v>
      </c>
      <c r="I737" s="1258" t="s">
        <v>97</v>
      </c>
      <c r="J737" s="1259"/>
      <c r="K737" s="1257">
        <v>1848000.0</v>
      </c>
    </row>
    <row r="738">
      <c r="A738" s="1253" t="s">
        <v>2939</v>
      </c>
      <c r="B738" s="1254" t="s">
        <v>16574</v>
      </c>
      <c r="C738" s="1255" t="s">
        <v>2939</v>
      </c>
      <c r="D738" s="1255" t="s">
        <v>1688</v>
      </c>
      <c r="E738" s="1255" t="s">
        <v>11569</v>
      </c>
      <c r="F738" s="1255" t="s">
        <v>11570</v>
      </c>
      <c r="G738" s="1254" t="s">
        <v>22</v>
      </c>
      <c r="H738" s="1254" t="s">
        <v>1689</v>
      </c>
      <c r="I738" s="1258" t="s">
        <v>125</v>
      </c>
      <c r="J738" s="1259"/>
      <c r="K738" s="1257">
        <v>1848000.0</v>
      </c>
    </row>
    <row r="739">
      <c r="A739" s="1253" t="s">
        <v>2939</v>
      </c>
      <c r="B739" s="1254" t="s">
        <v>16575</v>
      </c>
      <c r="C739" s="1255" t="s">
        <v>2939</v>
      </c>
      <c r="D739" s="1260" t="s">
        <v>1690</v>
      </c>
      <c r="E739" s="1255" t="s">
        <v>11569</v>
      </c>
      <c r="F739" s="1255" t="s">
        <v>11570</v>
      </c>
      <c r="G739" s="1254" t="s">
        <v>22</v>
      </c>
      <c r="H739" s="1254" t="s">
        <v>1691</v>
      </c>
      <c r="I739" s="1258" t="s">
        <v>125</v>
      </c>
      <c r="J739" s="1259"/>
      <c r="K739" s="1257">
        <v>1956000.0</v>
      </c>
    </row>
    <row r="740">
      <c r="A740" s="1253" t="s">
        <v>16576</v>
      </c>
      <c r="B740" s="1254" t="s">
        <v>16577</v>
      </c>
      <c r="C740" s="1255" t="s">
        <v>16578</v>
      </c>
      <c r="D740" s="1255" t="s">
        <v>881</v>
      </c>
      <c r="E740" s="1255" t="s">
        <v>11630</v>
      </c>
      <c r="F740" s="1255" t="s">
        <v>11570</v>
      </c>
      <c r="G740" s="1254" t="s">
        <v>22</v>
      </c>
      <c r="H740" s="1254" t="s">
        <v>882</v>
      </c>
      <c r="I740" s="1258" t="s">
        <v>125</v>
      </c>
      <c r="J740" s="1259"/>
      <c r="K740" s="1257">
        <v>1180000.0</v>
      </c>
    </row>
    <row r="741">
      <c r="A741" s="1253" t="s">
        <v>16579</v>
      </c>
      <c r="B741" s="1254" t="s">
        <v>16580</v>
      </c>
      <c r="C741" s="1255" t="s">
        <v>2939</v>
      </c>
      <c r="D741" s="1255" t="s">
        <v>883</v>
      </c>
      <c r="E741" s="1255" t="s">
        <v>11576</v>
      </c>
      <c r="F741" s="1255" t="s">
        <v>11579</v>
      </c>
      <c r="G741" s="1254" t="s">
        <v>41</v>
      </c>
      <c r="H741" s="1254" t="s">
        <v>882</v>
      </c>
      <c r="I741" s="1258" t="s">
        <v>1377</v>
      </c>
      <c r="J741" s="1266">
        <v>483000.0</v>
      </c>
      <c r="K741" s="1257">
        <v>1405000.0</v>
      </c>
    </row>
    <row r="742">
      <c r="A742" s="1253" t="s">
        <v>2939</v>
      </c>
      <c r="B742" s="1254" t="s">
        <v>16581</v>
      </c>
      <c r="C742" s="1255" t="s">
        <v>2939</v>
      </c>
      <c r="D742" s="1255" t="s">
        <v>1492</v>
      </c>
      <c r="E742" s="1255" t="s">
        <v>11569</v>
      </c>
      <c r="F742" s="1255" t="s">
        <v>11591</v>
      </c>
      <c r="G742" s="1254" t="s">
        <v>202</v>
      </c>
      <c r="H742" s="1254" t="s">
        <v>882</v>
      </c>
      <c r="I742" s="1259"/>
      <c r="J742" s="1259"/>
      <c r="K742" s="1257">
        <v>589000.0</v>
      </c>
    </row>
    <row r="743">
      <c r="A743" s="1253" t="s">
        <v>2939</v>
      </c>
      <c r="B743" s="1254" t="s">
        <v>16582</v>
      </c>
      <c r="C743" s="1255" t="s">
        <v>2939</v>
      </c>
      <c r="D743" s="1255" t="s">
        <v>1490</v>
      </c>
      <c r="E743" s="1255" t="s">
        <v>11569</v>
      </c>
      <c r="F743" s="1255" t="s">
        <v>11591</v>
      </c>
      <c r="G743" s="1254" t="s">
        <v>236</v>
      </c>
      <c r="H743" s="1254" t="s">
        <v>882</v>
      </c>
      <c r="I743" s="1259"/>
      <c r="J743" s="1259"/>
      <c r="K743" s="1257">
        <v>589000.0</v>
      </c>
    </row>
    <row r="744">
      <c r="A744" s="1253" t="s">
        <v>16583</v>
      </c>
      <c r="B744" s="1254" t="s">
        <v>16584</v>
      </c>
      <c r="C744" s="1255" t="s">
        <v>16585</v>
      </c>
      <c r="D744" s="1255" t="s">
        <v>884</v>
      </c>
      <c r="E744" s="1255" t="s">
        <v>11630</v>
      </c>
      <c r="F744" s="1255" t="s">
        <v>11570</v>
      </c>
      <c r="G744" s="1254" t="s">
        <v>22</v>
      </c>
      <c r="H744" s="1254" t="s">
        <v>830</v>
      </c>
      <c r="I744" s="1258" t="s">
        <v>125</v>
      </c>
      <c r="J744" s="1259"/>
      <c r="K744" s="1257">
        <v>1180000.0</v>
      </c>
    </row>
    <row r="745">
      <c r="A745" s="1253" t="s">
        <v>16586</v>
      </c>
      <c r="B745" s="1254" t="s">
        <v>16587</v>
      </c>
      <c r="C745" s="1255" t="s">
        <v>2939</v>
      </c>
      <c r="D745" s="1255" t="s">
        <v>885</v>
      </c>
      <c r="E745" s="1255" t="s">
        <v>11576</v>
      </c>
      <c r="F745" s="1255" t="s">
        <v>11579</v>
      </c>
      <c r="G745" s="1254" t="s">
        <v>41</v>
      </c>
      <c r="H745" s="1254" t="s">
        <v>830</v>
      </c>
      <c r="I745" s="1258" t="s">
        <v>1377</v>
      </c>
      <c r="J745" s="1266">
        <v>670000.0</v>
      </c>
      <c r="K745" s="1257">
        <v>1236000.0</v>
      </c>
    </row>
    <row r="746">
      <c r="A746" s="1253" t="s">
        <v>2939</v>
      </c>
      <c r="B746" s="1254" t="s">
        <v>16588</v>
      </c>
      <c r="C746" s="1255" t="s">
        <v>2939</v>
      </c>
      <c r="D746" s="1255" t="s">
        <v>2369</v>
      </c>
      <c r="E746" s="1255" t="s">
        <v>11569</v>
      </c>
      <c r="F746" s="1260" t="s">
        <v>11591</v>
      </c>
      <c r="G746" s="1258" t="s">
        <v>134</v>
      </c>
      <c r="H746" s="1254" t="s">
        <v>830</v>
      </c>
      <c r="I746" s="1259"/>
      <c r="J746" s="1259"/>
      <c r="K746" s="1257">
        <v>550000.0</v>
      </c>
    </row>
    <row r="747">
      <c r="A747" s="1253" t="s">
        <v>2939</v>
      </c>
      <c r="B747" s="1254" t="s">
        <v>16589</v>
      </c>
      <c r="C747" s="1255" t="s">
        <v>2939</v>
      </c>
      <c r="D747" s="1255" t="s">
        <v>2368</v>
      </c>
      <c r="E747" s="1255" t="s">
        <v>11569</v>
      </c>
      <c r="F747" s="1260" t="s">
        <v>11591</v>
      </c>
      <c r="G747" s="1258" t="s">
        <v>132</v>
      </c>
      <c r="H747" s="1254" t="s">
        <v>830</v>
      </c>
      <c r="I747" s="1259"/>
      <c r="J747" s="1259"/>
      <c r="K747" s="1257">
        <v>550000.0</v>
      </c>
    </row>
    <row r="748">
      <c r="A748" s="1253" t="s">
        <v>2939</v>
      </c>
      <c r="B748" s="1254" t="s">
        <v>16590</v>
      </c>
      <c r="C748" s="1255" t="s">
        <v>2939</v>
      </c>
      <c r="D748" s="1255" t="s">
        <v>1696</v>
      </c>
      <c r="E748" s="1255" t="s">
        <v>11569</v>
      </c>
      <c r="F748" s="1260" t="s">
        <v>11570</v>
      </c>
      <c r="G748" s="1254" t="s">
        <v>22</v>
      </c>
      <c r="H748" s="1254" t="s">
        <v>11910</v>
      </c>
      <c r="I748" s="1258" t="s">
        <v>75</v>
      </c>
      <c r="J748" s="1259"/>
      <c r="K748" s="1257">
        <v>2000000.0</v>
      </c>
    </row>
    <row r="749">
      <c r="A749" s="1253" t="s">
        <v>2939</v>
      </c>
      <c r="B749" s="1254" t="s">
        <v>16591</v>
      </c>
      <c r="C749" s="1255" t="s">
        <v>2939</v>
      </c>
      <c r="D749" s="1255" t="s">
        <v>1698</v>
      </c>
      <c r="E749" s="1255" t="s">
        <v>11569</v>
      </c>
      <c r="F749" s="1260" t="s">
        <v>11570</v>
      </c>
      <c r="G749" s="1254" t="s">
        <v>22</v>
      </c>
      <c r="H749" s="1254" t="s">
        <v>11911</v>
      </c>
      <c r="I749" s="1258" t="s">
        <v>1700</v>
      </c>
      <c r="J749" s="1259"/>
      <c r="K749" s="1257">
        <v>2360000.0</v>
      </c>
    </row>
    <row r="750">
      <c r="A750" s="1253" t="s">
        <v>16592</v>
      </c>
      <c r="B750" s="1254" t="s">
        <v>16593</v>
      </c>
      <c r="C750" s="1255" t="s">
        <v>16594</v>
      </c>
      <c r="D750" s="1255" t="s">
        <v>886</v>
      </c>
      <c r="E750" s="1255" t="s">
        <v>11630</v>
      </c>
      <c r="F750" s="1255" t="s">
        <v>11570</v>
      </c>
      <c r="G750" s="1254" t="s">
        <v>22</v>
      </c>
      <c r="H750" s="1254" t="s">
        <v>887</v>
      </c>
      <c r="I750" s="1258" t="s">
        <v>125</v>
      </c>
      <c r="J750" s="1259"/>
      <c r="K750" s="1257">
        <v>1051000.0</v>
      </c>
    </row>
    <row r="751">
      <c r="A751" s="1253" t="s">
        <v>16595</v>
      </c>
      <c r="B751" s="1254" t="s">
        <v>16596</v>
      </c>
      <c r="C751" s="1255" t="s">
        <v>2939</v>
      </c>
      <c r="D751" s="1255" t="s">
        <v>888</v>
      </c>
      <c r="E751" s="1255" t="s">
        <v>11576</v>
      </c>
      <c r="F751" s="1255" t="s">
        <v>11579</v>
      </c>
      <c r="G751" s="1254" t="s">
        <v>41</v>
      </c>
      <c r="H751" s="1254" t="s">
        <v>887</v>
      </c>
      <c r="I751" s="1258" t="s">
        <v>2193</v>
      </c>
      <c r="J751" s="1266">
        <v>372000.0</v>
      </c>
      <c r="K751" s="1257">
        <v>708000.0</v>
      </c>
    </row>
    <row r="752">
      <c r="A752" s="1253" t="s">
        <v>16597</v>
      </c>
      <c r="B752" s="1254" t="s">
        <v>16598</v>
      </c>
      <c r="C752" s="1255" t="s">
        <v>16599</v>
      </c>
      <c r="D752" s="1255" t="s">
        <v>889</v>
      </c>
      <c r="E752" s="1255" t="s">
        <v>11630</v>
      </c>
      <c r="F752" s="1255" t="s">
        <v>11570</v>
      </c>
      <c r="G752" s="1254" t="s">
        <v>22</v>
      </c>
      <c r="H752" s="1254" t="s">
        <v>890</v>
      </c>
      <c r="I752" s="1258" t="s">
        <v>125</v>
      </c>
      <c r="J752" s="1259"/>
      <c r="K752" s="1257">
        <v>1112000.0</v>
      </c>
    </row>
    <row r="753">
      <c r="A753" s="1253" t="s">
        <v>16600</v>
      </c>
      <c r="B753" s="1254" t="s">
        <v>16601</v>
      </c>
      <c r="C753" s="1255" t="s">
        <v>2939</v>
      </c>
      <c r="D753" s="1255" t="s">
        <v>891</v>
      </c>
      <c r="E753" s="1255" t="s">
        <v>11576</v>
      </c>
      <c r="F753" s="1255" t="s">
        <v>11579</v>
      </c>
      <c r="G753" s="1254" t="s">
        <v>41</v>
      </c>
      <c r="H753" s="1254" t="s">
        <v>890</v>
      </c>
      <c r="I753" s="1258" t="s">
        <v>2193</v>
      </c>
      <c r="J753" s="1266">
        <v>372000.0</v>
      </c>
      <c r="K753" s="1257">
        <v>780000.0</v>
      </c>
    </row>
    <row r="754">
      <c r="A754" s="1253" t="s">
        <v>2939</v>
      </c>
      <c r="B754" s="1254" t="s">
        <v>16602</v>
      </c>
      <c r="C754" s="1255" t="s">
        <v>2939</v>
      </c>
      <c r="D754" s="1255" t="s">
        <v>1705</v>
      </c>
      <c r="E754" s="1255" t="s">
        <v>11569</v>
      </c>
      <c r="F754" s="1255" t="s">
        <v>11579</v>
      </c>
      <c r="G754" s="1254" t="s">
        <v>41</v>
      </c>
      <c r="H754" s="1254" t="s">
        <v>890</v>
      </c>
      <c r="I754" s="1258" t="s">
        <v>97</v>
      </c>
      <c r="J754" s="1259"/>
      <c r="K754" s="1257">
        <v>738000.0</v>
      </c>
    </row>
    <row r="755">
      <c r="A755" s="1253" t="s">
        <v>16603</v>
      </c>
      <c r="B755" s="1254" t="s">
        <v>16604</v>
      </c>
      <c r="C755" s="1255" t="s">
        <v>2939</v>
      </c>
      <c r="D755" s="1255" t="s">
        <v>892</v>
      </c>
      <c r="E755" s="1255" t="s">
        <v>11576</v>
      </c>
      <c r="F755" s="1255" t="s">
        <v>11591</v>
      </c>
      <c r="G755" s="1254" t="s">
        <v>132</v>
      </c>
      <c r="H755" s="1254" t="s">
        <v>890</v>
      </c>
      <c r="I755" s="1258" t="s">
        <v>397</v>
      </c>
      <c r="J755" s="1259"/>
      <c r="K755" s="1257">
        <v>604000.0</v>
      </c>
    </row>
    <row r="756">
      <c r="A756" s="1253" t="s">
        <v>16605</v>
      </c>
      <c r="B756" s="1254" t="s">
        <v>16606</v>
      </c>
      <c r="C756" s="1255" t="s">
        <v>2939</v>
      </c>
      <c r="D756" s="1255" t="s">
        <v>893</v>
      </c>
      <c r="E756" s="1255" t="s">
        <v>11576</v>
      </c>
      <c r="F756" s="1255" t="s">
        <v>11591</v>
      </c>
      <c r="G756" s="1254" t="s">
        <v>134</v>
      </c>
      <c r="H756" s="1254" t="s">
        <v>890</v>
      </c>
      <c r="I756" s="1258" t="s">
        <v>397</v>
      </c>
      <c r="J756" s="1259"/>
      <c r="K756" s="1257">
        <v>604000.0</v>
      </c>
    </row>
    <row r="757">
      <c r="A757" s="1253" t="s">
        <v>2939</v>
      </c>
      <c r="B757" s="1254" t="s">
        <v>16607</v>
      </c>
      <c r="C757" s="1255" t="s">
        <v>16608</v>
      </c>
      <c r="D757" s="1255" t="s">
        <v>1467</v>
      </c>
      <c r="E757" s="1255" t="s">
        <v>11654</v>
      </c>
      <c r="F757" s="1255" t="s">
        <v>11570</v>
      </c>
      <c r="G757" s="1254" t="s">
        <v>22</v>
      </c>
      <c r="H757" s="1254" t="s">
        <v>2267</v>
      </c>
      <c r="I757" s="1258" t="s">
        <v>125</v>
      </c>
      <c r="J757" s="1259"/>
      <c r="K757" s="1257">
        <v>1344000.0</v>
      </c>
    </row>
    <row r="758">
      <c r="A758" s="1253" t="s">
        <v>2939</v>
      </c>
      <c r="B758" s="1254" t="s">
        <v>16609</v>
      </c>
      <c r="C758" s="1255" t="s">
        <v>2939</v>
      </c>
      <c r="D758" s="1255" t="s">
        <v>98</v>
      </c>
      <c r="E758" s="1255" t="s">
        <v>11569</v>
      </c>
      <c r="F758" s="1255" t="s">
        <v>11579</v>
      </c>
      <c r="G758" s="1254" t="s">
        <v>41</v>
      </c>
      <c r="H758" s="1254" t="s">
        <v>2372</v>
      </c>
      <c r="I758" s="1258" t="s">
        <v>533</v>
      </c>
      <c r="J758" s="1266">
        <v>292000.0</v>
      </c>
      <c r="K758" s="1257">
        <v>531000.0</v>
      </c>
    </row>
    <row r="759">
      <c r="A759" s="1253" t="s">
        <v>2939</v>
      </c>
      <c r="B759" s="1254" t="s">
        <v>16610</v>
      </c>
      <c r="C759" s="1255" t="s">
        <v>2939</v>
      </c>
      <c r="D759" s="1260" t="s">
        <v>1708</v>
      </c>
      <c r="E759" s="1255" t="s">
        <v>11569</v>
      </c>
      <c r="F759" s="1260" t="s">
        <v>11579</v>
      </c>
      <c r="G759" s="1258" t="s">
        <v>41</v>
      </c>
      <c r="H759" s="1258" t="s">
        <v>2372</v>
      </c>
      <c r="I759" s="1258" t="s">
        <v>1377</v>
      </c>
      <c r="J759" s="1259"/>
      <c r="K759" s="1257">
        <v>600000.0</v>
      </c>
    </row>
    <row r="760">
      <c r="A760" s="1250" t="s">
        <v>11912</v>
      </c>
      <c r="B760" s="1251" t="s">
        <v>11912</v>
      </c>
      <c r="C760" s="1252"/>
      <c r="D760" s="1252"/>
      <c r="E760" s="1252"/>
      <c r="F760" s="1252"/>
      <c r="G760" s="1252"/>
      <c r="H760" s="1251" t="s">
        <v>11912</v>
      </c>
      <c r="I760" s="1252"/>
      <c r="J760" s="1252"/>
      <c r="K760" s="1252"/>
    </row>
    <row r="761">
      <c r="A761" s="1253" t="s">
        <v>2939</v>
      </c>
      <c r="B761" s="1254" t="s">
        <v>16611</v>
      </c>
      <c r="C761" s="1255" t="s">
        <v>2939</v>
      </c>
      <c r="D761" s="1255" t="s">
        <v>1709</v>
      </c>
      <c r="E761" s="1255" t="s">
        <v>11569</v>
      </c>
      <c r="F761" s="1255" t="s">
        <v>11570</v>
      </c>
      <c r="G761" s="1254" t="s">
        <v>22</v>
      </c>
      <c r="H761" s="1254" t="s">
        <v>1710</v>
      </c>
      <c r="I761" s="1258" t="s">
        <v>125</v>
      </c>
      <c r="J761" s="1259"/>
      <c r="K761" s="1257">
        <v>1664000.0</v>
      </c>
    </row>
    <row r="762">
      <c r="A762" s="1253" t="s">
        <v>2939</v>
      </c>
      <c r="B762" s="1254" t="s">
        <v>2939</v>
      </c>
      <c r="C762" s="1255" t="s">
        <v>16612</v>
      </c>
      <c r="D762" s="1255" t="s">
        <v>11913</v>
      </c>
      <c r="E762" s="1255" t="s">
        <v>11653</v>
      </c>
      <c r="F762" s="1255" t="s">
        <v>11570</v>
      </c>
      <c r="G762" s="1258" t="s">
        <v>22</v>
      </c>
      <c r="H762" s="1258" t="s">
        <v>895</v>
      </c>
      <c r="I762" s="1259"/>
      <c r="J762" s="1259"/>
      <c r="K762" s="1257">
        <v>1020000.0</v>
      </c>
    </row>
    <row r="763">
      <c r="A763" s="1253" t="s">
        <v>16613</v>
      </c>
      <c r="B763" s="1254" t="s">
        <v>2939</v>
      </c>
      <c r="C763" s="1255" t="s">
        <v>2939</v>
      </c>
      <c r="D763" s="1255" t="s">
        <v>894</v>
      </c>
      <c r="E763" s="1255" t="s">
        <v>11578</v>
      </c>
      <c r="F763" s="1255" t="s">
        <v>11591</v>
      </c>
      <c r="G763" s="1254" t="s">
        <v>128</v>
      </c>
      <c r="H763" s="1254" t="s">
        <v>895</v>
      </c>
      <c r="I763" s="1259"/>
      <c r="J763" s="1259"/>
      <c r="K763" s="1257">
        <v>210000.0</v>
      </c>
    </row>
    <row r="764">
      <c r="A764" s="1253" t="s">
        <v>16614</v>
      </c>
      <c r="B764" s="1254" t="s">
        <v>2939</v>
      </c>
      <c r="C764" s="1255" t="s">
        <v>2939</v>
      </c>
      <c r="D764" s="1255" t="s">
        <v>896</v>
      </c>
      <c r="E764" s="1255" t="s">
        <v>11578</v>
      </c>
      <c r="F764" s="1255" t="s">
        <v>11591</v>
      </c>
      <c r="G764" s="1254" t="s">
        <v>132</v>
      </c>
      <c r="H764" s="1254" t="s">
        <v>895</v>
      </c>
      <c r="I764" s="1259"/>
      <c r="J764" s="1259"/>
      <c r="K764" s="1257">
        <v>102000.0</v>
      </c>
    </row>
    <row r="765">
      <c r="A765" s="1253" t="s">
        <v>16615</v>
      </c>
      <c r="B765" s="1254" t="s">
        <v>2939</v>
      </c>
      <c r="C765" s="1255" t="s">
        <v>2939</v>
      </c>
      <c r="D765" s="1255" t="s">
        <v>897</v>
      </c>
      <c r="E765" s="1255" t="s">
        <v>11578</v>
      </c>
      <c r="F765" s="1255" t="s">
        <v>11591</v>
      </c>
      <c r="G765" s="1254" t="s">
        <v>134</v>
      </c>
      <c r="H765" s="1254" t="s">
        <v>895</v>
      </c>
      <c r="I765" s="1259"/>
      <c r="J765" s="1259"/>
      <c r="K765" s="1257">
        <v>102000.0</v>
      </c>
    </row>
    <row r="766">
      <c r="A766" s="1253" t="s">
        <v>16616</v>
      </c>
      <c r="B766" s="1254" t="s">
        <v>16617</v>
      </c>
      <c r="C766" s="1255" t="s">
        <v>2939</v>
      </c>
      <c r="D766" s="1255" t="s">
        <v>898</v>
      </c>
      <c r="E766" s="1255" t="s">
        <v>11576</v>
      </c>
      <c r="F766" s="1255" t="s">
        <v>11570</v>
      </c>
      <c r="G766" s="1254" t="s">
        <v>22</v>
      </c>
      <c r="H766" s="1254" t="s">
        <v>899</v>
      </c>
      <c r="I766" s="1258" t="s">
        <v>97</v>
      </c>
      <c r="J766" s="1259"/>
      <c r="K766" s="1257">
        <v>3137000.0</v>
      </c>
    </row>
    <row r="767">
      <c r="A767" s="1253" t="s">
        <v>16618</v>
      </c>
      <c r="B767" s="1254" t="s">
        <v>16619</v>
      </c>
      <c r="C767" s="1255" t="s">
        <v>2939</v>
      </c>
      <c r="D767" s="1255" t="s">
        <v>900</v>
      </c>
      <c r="E767" s="1255" t="s">
        <v>11576</v>
      </c>
      <c r="F767" s="1255" t="s">
        <v>11579</v>
      </c>
      <c r="G767" s="1254" t="s">
        <v>41</v>
      </c>
      <c r="H767" s="1254" t="s">
        <v>899</v>
      </c>
      <c r="I767" s="1258" t="s">
        <v>2193</v>
      </c>
      <c r="J767" s="1259"/>
      <c r="K767" s="1257">
        <v>3212000.0</v>
      </c>
    </row>
    <row r="768">
      <c r="A768" s="1253" t="s">
        <v>16620</v>
      </c>
      <c r="B768" s="1254" t="s">
        <v>2939</v>
      </c>
      <c r="C768" s="1255" t="s">
        <v>2939</v>
      </c>
      <c r="D768" s="1255" t="s">
        <v>901</v>
      </c>
      <c r="E768" s="1255" t="s">
        <v>11578</v>
      </c>
      <c r="F768" s="1255" t="s">
        <v>11591</v>
      </c>
      <c r="G768" s="1254" t="s">
        <v>128</v>
      </c>
      <c r="H768" s="1254" t="s">
        <v>899</v>
      </c>
      <c r="I768" s="1259"/>
      <c r="J768" s="1259"/>
      <c r="K768" s="1257">
        <v>725000.0</v>
      </c>
    </row>
    <row r="769">
      <c r="A769" s="1253" t="s">
        <v>16621</v>
      </c>
      <c r="B769" s="1254" t="s">
        <v>2939</v>
      </c>
      <c r="C769" s="1255" t="s">
        <v>2939</v>
      </c>
      <c r="D769" s="1255" t="s">
        <v>902</v>
      </c>
      <c r="E769" s="1255" t="s">
        <v>11578</v>
      </c>
      <c r="F769" s="1255" t="s">
        <v>11591</v>
      </c>
      <c r="G769" s="1254" t="s">
        <v>130</v>
      </c>
      <c r="H769" s="1254" t="s">
        <v>899</v>
      </c>
      <c r="I769" s="1259"/>
      <c r="J769" s="1259"/>
      <c r="K769" s="1257">
        <v>725000.0</v>
      </c>
    </row>
    <row r="770">
      <c r="A770" s="1253" t="s">
        <v>16622</v>
      </c>
      <c r="B770" s="1254" t="s">
        <v>2939</v>
      </c>
      <c r="C770" s="1255" t="s">
        <v>2939</v>
      </c>
      <c r="D770" s="1255" t="s">
        <v>903</v>
      </c>
      <c r="E770" s="1255" t="s">
        <v>11578</v>
      </c>
      <c r="F770" s="1255" t="s">
        <v>11591</v>
      </c>
      <c r="G770" s="1254" t="s">
        <v>904</v>
      </c>
      <c r="H770" s="1254" t="s">
        <v>899</v>
      </c>
      <c r="I770" s="1258" t="s">
        <v>533</v>
      </c>
      <c r="J770" s="1259"/>
      <c r="K770" s="1257">
        <v>1848000.0</v>
      </c>
    </row>
    <row r="771">
      <c r="A771" s="1253" t="s">
        <v>16623</v>
      </c>
      <c r="B771" s="1254" t="s">
        <v>2939</v>
      </c>
      <c r="C771" s="1255" t="s">
        <v>2939</v>
      </c>
      <c r="D771" s="1255" t="s">
        <v>905</v>
      </c>
      <c r="E771" s="1255" t="s">
        <v>11578</v>
      </c>
      <c r="F771" s="1255" t="s">
        <v>11591</v>
      </c>
      <c r="G771" s="1254" t="s">
        <v>906</v>
      </c>
      <c r="H771" s="1254" t="s">
        <v>899</v>
      </c>
      <c r="I771" s="1258" t="s">
        <v>533</v>
      </c>
      <c r="J771" s="1259"/>
      <c r="K771" s="1257">
        <v>1848000.0</v>
      </c>
    </row>
    <row r="772">
      <c r="A772" s="1253" t="s">
        <v>16624</v>
      </c>
      <c r="B772" s="1254" t="s">
        <v>2939</v>
      </c>
      <c r="C772" s="1255" t="s">
        <v>2939</v>
      </c>
      <c r="D772" s="1255" t="s">
        <v>907</v>
      </c>
      <c r="E772" s="1255" t="s">
        <v>11578</v>
      </c>
      <c r="F772" s="1255" t="s">
        <v>11591</v>
      </c>
      <c r="G772" s="1254" t="s">
        <v>908</v>
      </c>
      <c r="H772" s="1254" t="s">
        <v>899</v>
      </c>
      <c r="I772" s="1258" t="s">
        <v>909</v>
      </c>
      <c r="J772" s="1259"/>
      <c r="K772" s="1257">
        <v>2024000.0</v>
      </c>
    </row>
    <row r="773">
      <c r="A773" s="1253" t="s">
        <v>16625</v>
      </c>
      <c r="B773" s="1254" t="s">
        <v>2939</v>
      </c>
      <c r="C773" s="1255" t="s">
        <v>2939</v>
      </c>
      <c r="D773" s="1255" t="s">
        <v>910</v>
      </c>
      <c r="E773" s="1255" t="s">
        <v>11578</v>
      </c>
      <c r="F773" s="1255" t="s">
        <v>11591</v>
      </c>
      <c r="G773" s="1254" t="s">
        <v>911</v>
      </c>
      <c r="H773" s="1254" t="s">
        <v>899</v>
      </c>
      <c r="I773" s="1258" t="s">
        <v>909</v>
      </c>
      <c r="J773" s="1259"/>
      <c r="K773" s="1257">
        <v>2024000.0</v>
      </c>
    </row>
    <row r="774">
      <c r="A774" s="1253" t="s">
        <v>16626</v>
      </c>
      <c r="B774" s="1254" t="s">
        <v>16627</v>
      </c>
      <c r="C774" s="1255" t="s">
        <v>2939</v>
      </c>
      <c r="D774" s="1255" t="s">
        <v>912</v>
      </c>
      <c r="E774" s="1255" t="s">
        <v>11578</v>
      </c>
      <c r="F774" s="1255" t="s">
        <v>11570</v>
      </c>
      <c r="G774" s="1254" t="s">
        <v>22</v>
      </c>
      <c r="H774" s="1254" t="s">
        <v>913</v>
      </c>
      <c r="I774" s="1258" t="s">
        <v>125</v>
      </c>
      <c r="J774" s="1259"/>
      <c r="K774" s="1257">
        <v>2509000.0</v>
      </c>
    </row>
    <row r="775">
      <c r="A775" s="1253" t="s">
        <v>16628</v>
      </c>
      <c r="B775" s="1254" t="s">
        <v>16629</v>
      </c>
      <c r="C775" s="1255" t="s">
        <v>2939</v>
      </c>
      <c r="D775" s="1255" t="s">
        <v>914</v>
      </c>
      <c r="E775" s="1255" t="s">
        <v>11578</v>
      </c>
      <c r="F775" s="1255" t="s">
        <v>11579</v>
      </c>
      <c r="G775" s="1254" t="s">
        <v>41</v>
      </c>
      <c r="H775" s="1254" t="s">
        <v>913</v>
      </c>
      <c r="I775" s="1258" t="s">
        <v>1377</v>
      </c>
      <c r="J775" s="1259"/>
      <c r="K775" s="1257">
        <v>2825000.0</v>
      </c>
    </row>
    <row r="776">
      <c r="A776" s="1253" t="s">
        <v>16630</v>
      </c>
      <c r="B776" s="1254" t="s">
        <v>2939</v>
      </c>
      <c r="C776" s="1255" t="s">
        <v>2939</v>
      </c>
      <c r="D776" s="1255" t="s">
        <v>915</v>
      </c>
      <c r="E776" s="1255" t="s">
        <v>11578</v>
      </c>
      <c r="F776" s="1255" t="s">
        <v>11591</v>
      </c>
      <c r="G776" s="1254" t="s">
        <v>132</v>
      </c>
      <c r="H776" s="1254" t="s">
        <v>913</v>
      </c>
      <c r="I776" s="1258" t="s">
        <v>466</v>
      </c>
      <c r="J776" s="1259"/>
      <c r="K776" s="1257">
        <v>884000.0</v>
      </c>
    </row>
    <row r="777">
      <c r="A777" s="1253" t="s">
        <v>16631</v>
      </c>
      <c r="B777" s="1254" t="s">
        <v>2939</v>
      </c>
      <c r="C777" s="1255" t="s">
        <v>2939</v>
      </c>
      <c r="D777" s="1255" t="s">
        <v>916</v>
      </c>
      <c r="E777" s="1255" t="s">
        <v>11578</v>
      </c>
      <c r="F777" s="1255" t="s">
        <v>11591</v>
      </c>
      <c r="G777" s="1254" t="s">
        <v>134</v>
      </c>
      <c r="H777" s="1254" t="s">
        <v>913</v>
      </c>
      <c r="I777" s="1258" t="s">
        <v>466</v>
      </c>
      <c r="J777" s="1259"/>
      <c r="K777" s="1257">
        <v>884000.0</v>
      </c>
    </row>
    <row r="778">
      <c r="A778" s="1253" t="s">
        <v>16632</v>
      </c>
      <c r="B778" s="1254" t="s">
        <v>2939</v>
      </c>
      <c r="C778" s="1255" t="s">
        <v>2939</v>
      </c>
      <c r="D778" s="1255" t="s">
        <v>917</v>
      </c>
      <c r="E778" s="1255" t="s">
        <v>11578</v>
      </c>
      <c r="F778" s="1255" t="s">
        <v>11591</v>
      </c>
      <c r="G778" s="1254" t="s">
        <v>202</v>
      </c>
      <c r="H778" s="1254" t="s">
        <v>913</v>
      </c>
      <c r="I778" s="1258" t="s">
        <v>97</v>
      </c>
      <c r="J778" s="1259"/>
      <c r="K778" s="1257">
        <v>2008000.0</v>
      </c>
    </row>
    <row r="779">
      <c r="A779" s="1253" t="s">
        <v>16633</v>
      </c>
      <c r="B779" s="1254" t="s">
        <v>2939</v>
      </c>
      <c r="C779" s="1255" t="s">
        <v>2939</v>
      </c>
      <c r="D779" s="1255" t="s">
        <v>918</v>
      </c>
      <c r="E779" s="1255" t="s">
        <v>11578</v>
      </c>
      <c r="F779" s="1255" t="s">
        <v>11591</v>
      </c>
      <c r="G779" s="1254" t="s">
        <v>236</v>
      </c>
      <c r="H779" s="1254" t="s">
        <v>913</v>
      </c>
      <c r="I779" s="1258" t="s">
        <v>97</v>
      </c>
      <c r="J779" s="1259"/>
      <c r="K779" s="1257">
        <v>2008000.0</v>
      </c>
    </row>
    <row r="780">
      <c r="A780" s="1253" t="s">
        <v>16634</v>
      </c>
      <c r="B780" s="1254" t="s">
        <v>16635</v>
      </c>
      <c r="C780" s="1255" t="s">
        <v>2939</v>
      </c>
      <c r="D780" s="1255" t="s">
        <v>919</v>
      </c>
      <c r="E780" s="1255" t="s">
        <v>11576</v>
      </c>
      <c r="F780" s="1255" t="s">
        <v>11570</v>
      </c>
      <c r="G780" s="1254" t="s">
        <v>22</v>
      </c>
      <c r="H780" s="1254" t="s">
        <v>920</v>
      </c>
      <c r="I780" s="1258" t="s">
        <v>97</v>
      </c>
      <c r="J780" s="1259"/>
      <c r="K780" s="1257">
        <v>1248000.0</v>
      </c>
    </row>
    <row r="781">
      <c r="A781" s="1253" t="s">
        <v>2939</v>
      </c>
      <c r="B781" s="1254" t="s">
        <v>16636</v>
      </c>
      <c r="C781" s="1255" t="s">
        <v>2939</v>
      </c>
      <c r="D781" s="1255" t="s">
        <v>1632</v>
      </c>
      <c r="E781" s="1255" t="s">
        <v>11569</v>
      </c>
      <c r="F781" s="1255" t="s">
        <v>11579</v>
      </c>
      <c r="G781" s="1254" t="s">
        <v>41</v>
      </c>
      <c r="H781" s="1254" t="s">
        <v>920</v>
      </c>
      <c r="I781" s="1258" t="s">
        <v>2193</v>
      </c>
      <c r="J781" s="1259"/>
      <c r="K781" s="1257">
        <v>722000.0</v>
      </c>
    </row>
    <row r="782">
      <c r="A782" s="1253" t="s">
        <v>2939</v>
      </c>
      <c r="B782" s="1254" t="s">
        <v>16637</v>
      </c>
      <c r="C782" s="1255" t="s">
        <v>2939</v>
      </c>
      <c r="D782" s="1255" t="s">
        <v>2157</v>
      </c>
      <c r="E782" s="1255" t="s">
        <v>11569</v>
      </c>
      <c r="F782" s="1260" t="s">
        <v>11591</v>
      </c>
      <c r="G782" s="1258" t="s">
        <v>132</v>
      </c>
      <c r="H782" s="1254" t="s">
        <v>11916</v>
      </c>
      <c r="I782" s="1258" t="s">
        <v>11917</v>
      </c>
      <c r="J782" s="1259"/>
      <c r="K782" s="1257">
        <v>1900000.0</v>
      </c>
    </row>
    <row r="783">
      <c r="A783" s="1253" t="s">
        <v>2939</v>
      </c>
      <c r="B783" s="1254" t="s">
        <v>16638</v>
      </c>
      <c r="C783" s="1255" t="s">
        <v>2939</v>
      </c>
      <c r="D783" s="1255" t="s">
        <v>11915</v>
      </c>
      <c r="E783" s="1255" t="s">
        <v>11569</v>
      </c>
      <c r="F783" s="1260" t="s">
        <v>11591</v>
      </c>
      <c r="G783" s="1258" t="s">
        <v>134</v>
      </c>
      <c r="H783" s="1254" t="s">
        <v>11916</v>
      </c>
      <c r="I783" s="1258" t="s">
        <v>11917</v>
      </c>
      <c r="J783" s="1259"/>
      <c r="K783" s="1257">
        <v>1900000.0</v>
      </c>
    </row>
    <row r="784">
      <c r="A784" s="1253" t="s">
        <v>16639</v>
      </c>
      <c r="B784" s="1254" t="s">
        <v>2939</v>
      </c>
      <c r="C784" s="1255" t="s">
        <v>2939</v>
      </c>
      <c r="D784" s="1255" t="s">
        <v>921</v>
      </c>
      <c r="E784" s="1255" t="s">
        <v>11578</v>
      </c>
      <c r="F784" s="1255" t="s">
        <v>11591</v>
      </c>
      <c r="G784" s="1254" t="s">
        <v>908</v>
      </c>
      <c r="H784" s="1254" t="s">
        <v>920</v>
      </c>
      <c r="I784" s="1258" t="s">
        <v>97</v>
      </c>
      <c r="J784" s="1259"/>
      <c r="K784" s="1257">
        <v>624000.0</v>
      </c>
    </row>
    <row r="785">
      <c r="A785" s="1253" t="s">
        <v>2939</v>
      </c>
      <c r="B785" s="1254" t="s">
        <v>2939</v>
      </c>
      <c r="C785" s="1255" t="s">
        <v>16640</v>
      </c>
      <c r="D785" s="1255" t="s">
        <v>2341</v>
      </c>
      <c r="E785" s="1255" t="s">
        <v>11653</v>
      </c>
      <c r="F785" s="1255" t="s">
        <v>11570</v>
      </c>
      <c r="G785" s="1254" t="s">
        <v>22</v>
      </c>
      <c r="H785" s="1254" t="s">
        <v>923</v>
      </c>
      <c r="I785" s="1259"/>
      <c r="J785" s="1259"/>
      <c r="K785" s="1257">
        <v>1380000.0</v>
      </c>
    </row>
    <row r="786">
      <c r="A786" s="1253" t="s">
        <v>16641</v>
      </c>
      <c r="B786" s="1254" t="s">
        <v>2939</v>
      </c>
      <c r="C786" s="1255" t="s">
        <v>2939</v>
      </c>
      <c r="D786" s="1255" t="s">
        <v>922</v>
      </c>
      <c r="E786" s="1255" t="s">
        <v>11578</v>
      </c>
      <c r="F786" s="1255" t="s">
        <v>11579</v>
      </c>
      <c r="G786" s="1254" t="s">
        <v>41</v>
      </c>
      <c r="H786" s="1254" t="s">
        <v>923</v>
      </c>
      <c r="I786" s="1259"/>
      <c r="J786" s="1259"/>
      <c r="K786" s="1257">
        <v>1687000.0</v>
      </c>
    </row>
    <row r="787">
      <c r="A787" s="1253" t="s">
        <v>16642</v>
      </c>
      <c r="B787" s="1254" t="s">
        <v>16643</v>
      </c>
      <c r="C787" s="1255" t="s">
        <v>2939</v>
      </c>
      <c r="D787" s="1255" t="s">
        <v>924</v>
      </c>
      <c r="E787" s="1255" t="s">
        <v>11576</v>
      </c>
      <c r="F787" s="1255" t="s">
        <v>11570</v>
      </c>
      <c r="G787" s="1254" t="s">
        <v>22</v>
      </c>
      <c r="H787" s="1254" t="s">
        <v>925</v>
      </c>
      <c r="I787" s="1258" t="s">
        <v>125</v>
      </c>
      <c r="J787" s="1259"/>
      <c r="K787" s="1257">
        <v>1356000.0</v>
      </c>
    </row>
    <row r="788">
      <c r="A788" s="1253" t="s">
        <v>16644</v>
      </c>
      <c r="B788" s="1254" t="s">
        <v>16645</v>
      </c>
      <c r="C788" s="1255" t="s">
        <v>2939</v>
      </c>
      <c r="D788" s="1255" t="s">
        <v>926</v>
      </c>
      <c r="E788" s="1255" t="s">
        <v>11576</v>
      </c>
      <c r="F788" s="1255" t="s">
        <v>11579</v>
      </c>
      <c r="G788" s="1254" t="s">
        <v>41</v>
      </c>
      <c r="H788" s="1254" t="s">
        <v>925</v>
      </c>
      <c r="I788" s="1258" t="s">
        <v>2193</v>
      </c>
      <c r="J788" s="1259"/>
      <c r="K788" s="1257">
        <v>1286000.0</v>
      </c>
    </row>
    <row r="789">
      <c r="A789" s="1253" t="s">
        <v>16646</v>
      </c>
      <c r="B789" s="1254" t="s">
        <v>16647</v>
      </c>
      <c r="C789" s="1255" t="s">
        <v>2939</v>
      </c>
      <c r="D789" s="1255" t="s">
        <v>927</v>
      </c>
      <c r="E789" s="1255" t="s">
        <v>11576</v>
      </c>
      <c r="F789" s="1255" t="s">
        <v>11570</v>
      </c>
      <c r="G789" s="1254" t="s">
        <v>22</v>
      </c>
      <c r="H789" s="1254" t="s">
        <v>928</v>
      </c>
      <c r="I789" s="1258" t="s">
        <v>125</v>
      </c>
      <c r="J789" s="1259"/>
      <c r="K789" s="1257">
        <v>1682000.0</v>
      </c>
    </row>
    <row r="790">
      <c r="A790" s="1253" t="s">
        <v>16648</v>
      </c>
      <c r="B790" s="1254" t="s">
        <v>16649</v>
      </c>
      <c r="C790" s="1255" t="s">
        <v>2939</v>
      </c>
      <c r="D790" s="1255" t="s">
        <v>929</v>
      </c>
      <c r="E790" s="1255" t="s">
        <v>11576</v>
      </c>
      <c r="F790" s="1255" t="s">
        <v>11579</v>
      </c>
      <c r="G790" s="1254" t="s">
        <v>41</v>
      </c>
      <c r="H790" s="1254" t="s">
        <v>928</v>
      </c>
      <c r="I790" s="1258" t="s">
        <v>1377</v>
      </c>
      <c r="J790" s="1259"/>
      <c r="K790" s="1257">
        <v>1206000.0</v>
      </c>
    </row>
    <row r="791">
      <c r="A791" s="1253" t="s">
        <v>16650</v>
      </c>
      <c r="B791" s="1254" t="s">
        <v>2939</v>
      </c>
      <c r="C791" s="1255" t="s">
        <v>2939</v>
      </c>
      <c r="D791" s="1255" t="s">
        <v>930</v>
      </c>
      <c r="E791" s="1255" t="s">
        <v>11578</v>
      </c>
      <c r="F791" s="1255" t="s">
        <v>11591</v>
      </c>
      <c r="G791" s="1254" t="s">
        <v>128</v>
      </c>
      <c r="H791" s="1254" t="s">
        <v>928</v>
      </c>
      <c r="I791" s="1259"/>
      <c r="J791" s="1259"/>
      <c r="K791" s="1257">
        <v>506000.0</v>
      </c>
    </row>
    <row r="792">
      <c r="A792" s="1253" t="s">
        <v>16651</v>
      </c>
      <c r="B792" s="1254" t="s">
        <v>2939</v>
      </c>
      <c r="C792" s="1255" t="s">
        <v>2939</v>
      </c>
      <c r="D792" s="1255" t="s">
        <v>931</v>
      </c>
      <c r="E792" s="1255" t="s">
        <v>11578</v>
      </c>
      <c r="F792" s="1255" t="s">
        <v>11591</v>
      </c>
      <c r="G792" s="1254" t="s">
        <v>130</v>
      </c>
      <c r="H792" s="1254" t="s">
        <v>928</v>
      </c>
      <c r="I792" s="1259"/>
      <c r="J792" s="1259"/>
      <c r="K792" s="1257">
        <v>506000.0</v>
      </c>
    </row>
    <row r="793">
      <c r="A793" s="1253" t="s">
        <v>16652</v>
      </c>
      <c r="B793" s="1254" t="s">
        <v>2939</v>
      </c>
      <c r="C793" s="1255" t="s">
        <v>2939</v>
      </c>
      <c r="D793" s="1255" t="s">
        <v>932</v>
      </c>
      <c r="E793" s="1255" t="s">
        <v>11578</v>
      </c>
      <c r="F793" s="1255" t="s">
        <v>11591</v>
      </c>
      <c r="G793" s="1254" t="s">
        <v>132</v>
      </c>
      <c r="H793" s="1254" t="s">
        <v>928</v>
      </c>
      <c r="I793" s="1259"/>
      <c r="J793" s="1259"/>
      <c r="K793" s="1257">
        <v>356000.0</v>
      </c>
    </row>
    <row r="794">
      <c r="A794" s="1253" t="s">
        <v>16653</v>
      </c>
      <c r="B794" s="1254" t="s">
        <v>2939</v>
      </c>
      <c r="C794" s="1255" t="s">
        <v>2939</v>
      </c>
      <c r="D794" s="1255" t="s">
        <v>933</v>
      </c>
      <c r="E794" s="1255" t="s">
        <v>11578</v>
      </c>
      <c r="F794" s="1255" t="s">
        <v>11591</v>
      </c>
      <c r="G794" s="1254" t="s">
        <v>134</v>
      </c>
      <c r="H794" s="1254" t="s">
        <v>928</v>
      </c>
      <c r="I794" s="1259"/>
      <c r="J794" s="1259"/>
      <c r="K794" s="1257">
        <v>356000.0</v>
      </c>
    </row>
    <row r="795">
      <c r="A795" s="1253" t="s">
        <v>2939</v>
      </c>
      <c r="B795" s="1254" t="s">
        <v>2939</v>
      </c>
      <c r="C795" s="1255" t="s">
        <v>16654</v>
      </c>
      <c r="D795" s="1255" t="s">
        <v>2072</v>
      </c>
      <c r="E795" s="1255" t="s">
        <v>11653</v>
      </c>
      <c r="F795" s="1255" t="s">
        <v>11570</v>
      </c>
      <c r="G795" s="1254" t="s">
        <v>22</v>
      </c>
      <c r="H795" s="1254" t="s">
        <v>2073</v>
      </c>
      <c r="I795" s="1258" t="s">
        <v>125</v>
      </c>
      <c r="J795" s="1259"/>
      <c r="K795" s="1257">
        <v>2039000.0</v>
      </c>
    </row>
    <row r="796">
      <c r="A796" s="1253" t="s">
        <v>16655</v>
      </c>
      <c r="B796" s="1254" t="s">
        <v>16656</v>
      </c>
      <c r="C796" s="1255" t="s">
        <v>16657</v>
      </c>
      <c r="D796" s="1255" t="s">
        <v>934</v>
      </c>
      <c r="E796" s="1255" t="s">
        <v>11630</v>
      </c>
      <c r="F796" s="1255" t="s">
        <v>11570</v>
      </c>
      <c r="G796" s="1254" t="s">
        <v>22</v>
      </c>
      <c r="H796" s="1254" t="s">
        <v>935</v>
      </c>
      <c r="I796" s="1258" t="s">
        <v>125</v>
      </c>
      <c r="J796" s="1259"/>
      <c r="K796" s="1257">
        <v>1092000.0</v>
      </c>
    </row>
    <row r="797">
      <c r="A797" s="1253" t="s">
        <v>16658</v>
      </c>
      <c r="B797" s="1254" t="s">
        <v>16659</v>
      </c>
      <c r="C797" s="1255" t="s">
        <v>2939</v>
      </c>
      <c r="D797" s="1255" t="s">
        <v>936</v>
      </c>
      <c r="E797" s="1255" t="s">
        <v>11576</v>
      </c>
      <c r="F797" s="1255" t="s">
        <v>11579</v>
      </c>
      <c r="G797" s="1254" t="s">
        <v>41</v>
      </c>
      <c r="H797" s="1254" t="s">
        <v>937</v>
      </c>
      <c r="I797" s="1258" t="s">
        <v>2193</v>
      </c>
      <c r="J797" s="1266">
        <v>398000.0</v>
      </c>
      <c r="K797" s="1257">
        <v>849000.0</v>
      </c>
    </row>
    <row r="798">
      <c r="A798" s="1253" t="s">
        <v>2939</v>
      </c>
      <c r="B798" s="1254" t="s">
        <v>16660</v>
      </c>
      <c r="C798" s="1255" t="s">
        <v>2939</v>
      </c>
      <c r="D798" s="1255" t="s">
        <v>1650</v>
      </c>
      <c r="E798" s="1255" t="s">
        <v>11569</v>
      </c>
      <c r="F798" s="1255" t="s">
        <v>11579</v>
      </c>
      <c r="G798" s="1254" t="s">
        <v>41</v>
      </c>
      <c r="H798" s="1254" t="s">
        <v>1651</v>
      </c>
      <c r="I798" s="1258" t="s">
        <v>2193</v>
      </c>
      <c r="J798" s="1266">
        <v>515000.0</v>
      </c>
      <c r="K798" s="1257">
        <v>955000.0</v>
      </c>
    </row>
    <row r="799">
      <c r="A799" s="1253" t="s">
        <v>16661</v>
      </c>
      <c r="B799" s="1254" t="s">
        <v>2939</v>
      </c>
      <c r="C799" s="1255" t="s">
        <v>2939</v>
      </c>
      <c r="D799" s="1255" t="s">
        <v>938</v>
      </c>
      <c r="E799" s="1255" t="s">
        <v>11578</v>
      </c>
      <c r="F799" s="1255" t="s">
        <v>11591</v>
      </c>
      <c r="G799" s="1254" t="s">
        <v>128</v>
      </c>
      <c r="H799" s="1254" t="s">
        <v>935</v>
      </c>
      <c r="I799" s="1259"/>
      <c r="J799" s="1259"/>
      <c r="K799" s="1257">
        <v>356000.0</v>
      </c>
    </row>
    <row r="800">
      <c r="A800" s="1253" t="s">
        <v>2939</v>
      </c>
      <c r="B800" s="1254" t="s">
        <v>16662</v>
      </c>
      <c r="C800" s="1255" t="s">
        <v>2939</v>
      </c>
      <c r="D800" s="1255" t="s">
        <v>11924</v>
      </c>
      <c r="E800" s="1255" t="s">
        <v>11569</v>
      </c>
      <c r="F800" s="1255" t="s">
        <v>11591</v>
      </c>
      <c r="G800" s="1254" t="s">
        <v>202</v>
      </c>
      <c r="H800" s="1254" t="s">
        <v>11497</v>
      </c>
      <c r="I800" s="1258" t="s">
        <v>97</v>
      </c>
      <c r="J800" s="1259"/>
      <c r="K800" s="1257">
        <v>648000.0</v>
      </c>
    </row>
    <row r="801">
      <c r="A801" s="1253" t="s">
        <v>2939</v>
      </c>
      <c r="B801" s="1254" t="s">
        <v>16663</v>
      </c>
      <c r="C801" s="1255" t="s">
        <v>2939</v>
      </c>
      <c r="D801" s="1255" t="s">
        <v>11925</v>
      </c>
      <c r="E801" s="1255" t="s">
        <v>11569</v>
      </c>
      <c r="F801" s="1255" t="s">
        <v>11591</v>
      </c>
      <c r="G801" s="1254" t="s">
        <v>236</v>
      </c>
      <c r="H801" s="1254" t="s">
        <v>11497</v>
      </c>
      <c r="I801" s="1258" t="s">
        <v>97</v>
      </c>
      <c r="J801" s="1259"/>
      <c r="K801" s="1257">
        <v>648000.0</v>
      </c>
    </row>
    <row r="802">
      <c r="A802" s="1253" t="s">
        <v>16664</v>
      </c>
      <c r="B802" s="1254" t="s">
        <v>16665</v>
      </c>
      <c r="C802" s="1255" t="s">
        <v>16666</v>
      </c>
      <c r="D802" s="1255" t="s">
        <v>939</v>
      </c>
      <c r="E802" s="1255" t="s">
        <v>11630</v>
      </c>
      <c r="F802" s="1255" t="s">
        <v>11570</v>
      </c>
      <c r="G802" s="1254" t="s">
        <v>22</v>
      </c>
      <c r="H802" s="1254" t="s">
        <v>940</v>
      </c>
      <c r="I802" s="1258" t="s">
        <v>125</v>
      </c>
      <c r="J802" s="1259"/>
      <c r="K802" s="1257">
        <v>1143000.0</v>
      </c>
    </row>
    <row r="803">
      <c r="A803" s="1253" t="s">
        <v>16667</v>
      </c>
      <c r="B803" s="1254" t="s">
        <v>16668</v>
      </c>
      <c r="C803" s="1255" t="s">
        <v>2939</v>
      </c>
      <c r="D803" s="1255" t="s">
        <v>941</v>
      </c>
      <c r="E803" s="1255" t="s">
        <v>11576</v>
      </c>
      <c r="F803" s="1255" t="s">
        <v>11579</v>
      </c>
      <c r="G803" s="1254" t="s">
        <v>41</v>
      </c>
      <c r="H803" s="1254" t="s">
        <v>940</v>
      </c>
      <c r="I803" s="1258" t="s">
        <v>2193</v>
      </c>
      <c r="J803" s="1259"/>
      <c r="K803" s="1257">
        <v>818000.0</v>
      </c>
    </row>
    <row r="804">
      <c r="A804" s="1253" t="s">
        <v>16669</v>
      </c>
      <c r="B804" s="1254" t="s">
        <v>2939</v>
      </c>
      <c r="C804" s="1255" t="s">
        <v>2939</v>
      </c>
      <c r="D804" s="1255" t="s">
        <v>942</v>
      </c>
      <c r="E804" s="1255" t="s">
        <v>11578</v>
      </c>
      <c r="F804" s="1255" t="s">
        <v>11591</v>
      </c>
      <c r="G804" s="1254" t="s">
        <v>128</v>
      </c>
      <c r="H804" s="1254" t="s">
        <v>940</v>
      </c>
      <c r="I804" s="1259"/>
      <c r="J804" s="1259"/>
      <c r="K804" s="1257">
        <v>235000.0</v>
      </c>
    </row>
    <row r="805">
      <c r="A805" s="1253" t="s">
        <v>16670</v>
      </c>
      <c r="B805" s="1254" t="s">
        <v>16671</v>
      </c>
      <c r="C805" s="1255" t="s">
        <v>2939</v>
      </c>
      <c r="D805" s="1255" t="s">
        <v>943</v>
      </c>
      <c r="E805" s="1255" t="s">
        <v>11578</v>
      </c>
      <c r="F805" s="1255" t="s">
        <v>11591</v>
      </c>
      <c r="G805" s="1254" t="s">
        <v>130</v>
      </c>
      <c r="H805" s="1254" t="s">
        <v>940</v>
      </c>
      <c r="I805" s="1259"/>
      <c r="J805" s="1259"/>
      <c r="K805" s="1257">
        <v>235000.0</v>
      </c>
    </row>
    <row r="806">
      <c r="A806" s="1253" t="s">
        <v>16672</v>
      </c>
      <c r="B806" s="1254" t="s">
        <v>2939</v>
      </c>
      <c r="C806" s="1255" t="s">
        <v>2939</v>
      </c>
      <c r="D806" s="1255" t="s">
        <v>944</v>
      </c>
      <c r="E806" s="1255" t="s">
        <v>11578</v>
      </c>
      <c r="F806" s="1255" t="s">
        <v>11591</v>
      </c>
      <c r="G806" s="1254" t="s">
        <v>132</v>
      </c>
      <c r="H806" s="1254" t="s">
        <v>940</v>
      </c>
      <c r="I806" s="1259"/>
      <c r="J806" s="1259"/>
      <c r="K806" s="1257">
        <v>224000.0</v>
      </c>
    </row>
    <row r="807">
      <c r="A807" s="1253" t="s">
        <v>16673</v>
      </c>
      <c r="B807" s="1254" t="s">
        <v>2939</v>
      </c>
      <c r="C807" s="1255" t="s">
        <v>2939</v>
      </c>
      <c r="D807" s="1255" t="s">
        <v>945</v>
      </c>
      <c r="E807" s="1255" t="s">
        <v>11578</v>
      </c>
      <c r="F807" s="1255" t="s">
        <v>11591</v>
      </c>
      <c r="G807" s="1254" t="s">
        <v>134</v>
      </c>
      <c r="H807" s="1254" t="s">
        <v>940</v>
      </c>
      <c r="I807" s="1259"/>
      <c r="J807" s="1259"/>
      <c r="K807" s="1257">
        <v>224000.0</v>
      </c>
    </row>
    <row r="808">
      <c r="A808" s="1253" t="s">
        <v>16674</v>
      </c>
      <c r="B808" s="1254" t="s">
        <v>16675</v>
      </c>
      <c r="C808" s="1255" t="s">
        <v>2939</v>
      </c>
      <c r="D808" s="1255" t="s">
        <v>946</v>
      </c>
      <c r="E808" s="1255" t="s">
        <v>11576</v>
      </c>
      <c r="F808" s="1255" t="s">
        <v>11570</v>
      </c>
      <c r="G808" s="1254" t="s">
        <v>22</v>
      </c>
      <c r="H808" s="1254" t="s">
        <v>947</v>
      </c>
      <c r="I808" s="1258" t="s">
        <v>125</v>
      </c>
      <c r="J808" s="1259"/>
      <c r="K808" s="1257">
        <v>4032000.0</v>
      </c>
    </row>
    <row r="809">
      <c r="A809" s="1253" t="s">
        <v>16676</v>
      </c>
      <c r="B809" s="1254" t="s">
        <v>2939</v>
      </c>
      <c r="C809" s="1255" t="s">
        <v>2939</v>
      </c>
      <c r="D809" s="1255" t="s">
        <v>948</v>
      </c>
      <c r="E809" s="1255" t="s">
        <v>11578</v>
      </c>
      <c r="F809" s="1255" t="s">
        <v>11579</v>
      </c>
      <c r="G809" s="1254" t="s">
        <v>41</v>
      </c>
      <c r="H809" s="1254" t="s">
        <v>947</v>
      </c>
      <c r="I809" s="1258" t="s">
        <v>1377</v>
      </c>
      <c r="J809" s="1259"/>
      <c r="K809" s="1257">
        <v>3532000.0</v>
      </c>
    </row>
    <row r="810">
      <c r="A810" s="1253" t="s">
        <v>16677</v>
      </c>
      <c r="B810" s="1254" t="s">
        <v>16678</v>
      </c>
      <c r="C810" s="1255" t="s">
        <v>2939</v>
      </c>
      <c r="D810" s="1255" t="s">
        <v>949</v>
      </c>
      <c r="E810" s="1255" t="s">
        <v>11576</v>
      </c>
      <c r="F810" s="1255" t="s">
        <v>11570</v>
      </c>
      <c r="G810" s="1254" t="s">
        <v>22</v>
      </c>
      <c r="H810" s="1254" t="s">
        <v>950</v>
      </c>
      <c r="I810" s="1258" t="s">
        <v>125</v>
      </c>
      <c r="J810" s="1259"/>
      <c r="K810" s="1257">
        <v>4032000.0</v>
      </c>
    </row>
    <row r="811">
      <c r="A811" s="1253" t="s">
        <v>16679</v>
      </c>
      <c r="B811" s="1254" t="s">
        <v>2939</v>
      </c>
      <c r="C811" s="1255" t="s">
        <v>2939</v>
      </c>
      <c r="D811" s="1255" t="s">
        <v>951</v>
      </c>
      <c r="E811" s="1255" t="s">
        <v>11578</v>
      </c>
      <c r="F811" s="1255" t="s">
        <v>11579</v>
      </c>
      <c r="G811" s="1254" t="s">
        <v>41</v>
      </c>
      <c r="H811" s="1254" t="s">
        <v>950</v>
      </c>
      <c r="I811" s="1258" t="s">
        <v>1377</v>
      </c>
      <c r="J811" s="1259"/>
      <c r="K811" s="1257">
        <v>3532000.0</v>
      </c>
    </row>
    <row r="812">
      <c r="A812" s="1253" t="s">
        <v>16680</v>
      </c>
      <c r="B812" s="1254" t="s">
        <v>2939</v>
      </c>
      <c r="C812" s="1255" t="s">
        <v>2939</v>
      </c>
      <c r="D812" s="1255" t="s">
        <v>952</v>
      </c>
      <c r="E812" s="1255" t="s">
        <v>11578</v>
      </c>
      <c r="F812" s="1255" t="s">
        <v>11591</v>
      </c>
      <c r="G812" s="1254" t="s">
        <v>132</v>
      </c>
      <c r="H812" s="1254" t="s">
        <v>950</v>
      </c>
      <c r="I812" s="1259"/>
      <c r="J812" s="1259"/>
      <c r="K812" s="1257">
        <v>804000.0</v>
      </c>
    </row>
    <row r="813">
      <c r="A813" s="1253" t="s">
        <v>16681</v>
      </c>
      <c r="B813" s="1254" t="s">
        <v>2939</v>
      </c>
      <c r="C813" s="1255" t="s">
        <v>2939</v>
      </c>
      <c r="D813" s="1255" t="s">
        <v>953</v>
      </c>
      <c r="E813" s="1255" t="s">
        <v>11578</v>
      </c>
      <c r="F813" s="1255" t="s">
        <v>11591</v>
      </c>
      <c r="G813" s="1254" t="s">
        <v>134</v>
      </c>
      <c r="H813" s="1254" t="s">
        <v>950</v>
      </c>
      <c r="I813" s="1259"/>
      <c r="J813" s="1259"/>
      <c r="K813" s="1257">
        <v>804000.0</v>
      </c>
    </row>
    <row r="814">
      <c r="A814" s="1253" t="s">
        <v>16682</v>
      </c>
      <c r="B814" s="1254" t="s">
        <v>16683</v>
      </c>
      <c r="C814" s="1255" t="s">
        <v>2939</v>
      </c>
      <c r="D814" s="1255" t="s">
        <v>954</v>
      </c>
      <c r="E814" s="1255" t="s">
        <v>11576</v>
      </c>
      <c r="F814" s="1255" t="s">
        <v>11570</v>
      </c>
      <c r="G814" s="1254" t="s">
        <v>22</v>
      </c>
      <c r="H814" s="1254" t="s">
        <v>955</v>
      </c>
      <c r="I814" s="1258" t="s">
        <v>125</v>
      </c>
      <c r="J814" s="1259"/>
      <c r="K814" s="1257">
        <v>1967000.0</v>
      </c>
    </row>
    <row r="815">
      <c r="A815" s="1253" t="s">
        <v>16684</v>
      </c>
      <c r="B815" s="1254" t="s">
        <v>16685</v>
      </c>
      <c r="C815" s="1255" t="s">
        <v>2939</v>
      </c>
      <c r="D815" s="1255" t="s">
        <v>956</v>
      </c>
      <c r="E815" s="1255" t="s">
        <v>11576</v>
      </c>
      <c r="F815" s="1255" t="s">
        <v>11579</v>
      </c>
      <c r="G815" s="1254" t="s">
        <v>41</v>
      </c>
      <c r="H815" s="1254" t="s">
        <v>955</v>
      </c>
      <c r="I815" s="1258" t="s">
        <v>2193</v>
      </c>
      <c r="J815" s="1259"/>
      <c r="K815" s="1257">
        <v>1417000.0</v>
      </c>
    </row>
    <row r="816">
      <c r="A816" s="1253" t="s">
        <v>16686</v>
      </c>
      <c r="B816" s="1254" t="s">
        <v>16687</v>
      </c>
      <c r="C816" s="1255" t="s">
        <v>2939</v>
      </c>
      <c r="D816" s="1255" t="s">
        <v>957</v>
      </c>
      <c r="E816" s="1255" t="s">
        <v>11576</v>
      </c>
      <c r="F816" s="1255" t="s">
        <v>11591</v>
      </c>
      <c r="G816" s="1254" t="s">
        <v>128</v>
      </c>
      <c r="H816" s="1254" t="s">
        <v>955</v>
      </c>
      <c r="I816" s="1259"/>
      <c r="J816" s="1259"/>
      <c r="K816" s="1257">
        <v>450000.0</v>
      </c>
    </row>
    <row r="817">
      <c r="A817" s="1253" t="s">
        <v>16688</v>
      </c>
      <c r="B817" s="1254" t="s">
        <v>16689</v>
      </c>
      <c r="C817" s="1255" t="s">
        <v>2939</v>
      </c>
      <c r="D817" s="1255" t="s">
        <v>958</v>
      </c>
      <c r="E817" s="1255" t="s">
        <v>11576</v>
      </c>
      <c r="F817" s="1255" t="s">
        <v>11591</v>
      </c>
      <c r="G817" s="1254" t="s">
        <v>130</v>
      </c>
      <c r="H817" s="1254" t="s">
        <v>955</v>
      </c>
      <c r="I817" s="1259"/>
      <c r="J817" s="1259"/>
      <c r="K817" s="1257">
        <v>450000.0</v>
      </c>
    </row>
    <row r="818">
      <c r="A818" s="1253" t="s">
        <v>16690</v>
      </c>
      <c r="B818" s="1254" t="s">
        <v>2939</v>
      </c>
      <c r="C818" s="1255" t="s">
        <v>2939</v>
      </c>
      <c r="D818" s="1255" t="s">
        <v>959</v>
      </c>
      <c r="E818" s="1255" t="s">
        <v>11578</v>
      </c>
      <c r="F818" s="1255" t="s">
        <v>11591</v>
      </c>
      <c r="G818" s="1254" t="s">
        <v>132</v>
      </c>
      <c r="H818" s="1254" t="s">
        <v>955</v>
      </c>
      <c r="I818" s="1259"/>
      <c r="J818" s="1259"/>
      <c r="K818" s="1257">
        <v>436000.0</v>
      </c>
    </row>
    <row r="819">
      <c r="A819" s="1253" t="s">
        <v>16691</v>
      </c>
      <c r="B819" s="1254" t="s">
        <v>2939</v>
      </c>
      <c r="C819" s="1255" t="s">
        <v>2939</v>
      </c>
      <c r="D819" s="1255" t="s">
        <v>960</v>
      </c>
      <c r="E819" s="1255" t="s">
        <v>11578</v>
      </c>
      <c r="F819" s="1255" t="s">
        <v>11591</v>
      </c>
      <c r="G819" s="1254" t="s">
        <v>134</v>
      </c>
      <c r="H819" s="1254" t="s">
        <v>955</v>
      </c>
      <c r="I819" s="1259"/>
      <c r="J819" s="1259"/>
      <c r="K819" s="1257">
        <v>436000.0</v>
      </c>
    </row>
    <row r="820">
      <c r="A820" s="1253" t="s">
        <v>16692</v>
      </c>
      <c r="B820" s="1254" t="s">
        <v>2939</v>
      </c>
      <c r="C820" s="1255" t="s">
        <v>2939</v>
      </c>
      <c r="D820" s="1255" t="s">
        <v>961</v>
      </c>
      <c r="E820" s="1255" t="s">
        <v>11578</v>
      </c>
      <c r="F820" s="1255" t="s">
        <v>11579</v>
      </c>
      <c r="G820" s="1254" t="s">
        <v>41</v>
      </c>
      <c r="H820" s="1254" t="s">
        <v>962</v>
      </c>
      <c r="I820" s="1258" t="s">
        <v>2193</v>
      </c>
      <c r="J820" s="1259"/>
      <c r="K820" s="1257">
        <v>3123000.0</v>
      </c>
    </row>
    <row r="821">
      <c r="A821" s="1253" t="s">
        <v>16693</v>
      </c>
      <c r="B821" s="1254" t="s">
        <v>16694</v>
      </c>
      <c r="C821" s="1255" t="s">
        <v>16695</v>
      </c>
      <c r="D821" s="1255" t="s">
        <v>963</v>
      </c>
      <c r="E821" s="1255" t="s">
        <v>11630</v>
      </c>
      <c r="F821" s="1255" t="s">
        <v>11570</v>
      </c>
      <c r="G821" s="1254" t="s">
        <v>22</v>
      </c>
      <c r="H821" s="1254" t="s">
        <v>964</v>
      </c>
      <c r="I821" s="1258" t="s">
        <v>97</v>
      </c>
      <c r="J821" s="1259"/>
      <c r="K821" s="1257">
        <v>1788000.0</v>
      </c>
    </row>
    <row r="822">
      <c r="A822" s="1253" t="s">
        <v>16696</v>
      </c>
      <c r="B822" s="1254" t="s">
        <v>16697</v>
      </c>
      <c r="C822" s="1255" t="s">
        <v>2939</v>
      </c>
      <c r="D822" s="1255" t="s">
        <v>965</v>
      </c>
      <c r="E822" s="1255" t="s">
        <v>11576</v>
      </c>
      <c r="F822" s="1255" t="s">
        <v>11579</v>
      </c>
      <c r="G822" s="1254" t="s">
        <v>41</v>
      </c>
      <c r="H822" s="1254" t="s">
        <v>964</v>
      </c>
      <c r="I822" s="1258" t="s">
        <v>2193</v>
      </c>
      <c r="J822" s="1259"/>
      <c r="K822" s="1257">
        <v>2746000.0</v>
      </c>
    </row>
    <row r="823">
      <c r="A823" s="1253" t="s">
        <v>2939</v>
      </c>
      <c r="B823" s="1254" t="s">
        <v>16698</v>
      </c>
      <c r="C823" s="1255" t="s">
        <v>2939</v>
      </c>
      <c r="D823" s="1255" t="s">
        <v>1724</v>
      </c>
      <c r="E823" s="1255" t="s">
        <v>11569</v>
      </c>
      <c r="F823" s="1255" t="s">
        <v>11591</v>
      </c>
      <c r="G823" s="1254" t="s">
        <v>202</v>
      </c>
      <c r="H823" s="1254" t="s">
        <v>964</v>
      </c>
      <c r="I823" s="1258" t="s">
        <v>97</v>
      </c>
      <c r="J823" s="1259"/>
      <c r="K823" s="1257">
        <v>1178000.0</v>
      </c>
    </row>
    <row r="824">
      <c r="A824" s="1253" t="s">
        <v>2939</v>
      </c>
      <c r="B824" s="1254" t="s">
        <v>16699</v>
      </c>
      <c r="C824" s="1255" t="s">
        <v>2939</v>
      </c>
      <c r="D824" s="1255" t="s">
        <v>1725</v>
      </c>
      <c r="E824" s="1255" t="s">
        <v>11569</v>
      </c>
      <c r="F824" s="1255" t="s">
        <v>11591</v>
      </c>
      <c r="G824" s="1254" t="s">
        <v>236</v>
      </c>
      <c r="H824" s="1254" t="s">
        <v>964</v>
      </c>
      <c r="I824" s="1258" t="s">
        <v>97</v>
      </c>
      <c r="J824" s="1259"/>
      <c r="K824" s="1257">
        <v>1178000.0</v>
      </c>
    </row>
    <row r="825">
      <c r="A825" s="1253" t="s">
        <v>16700</v>
      </c>
      <c r="B825" s="1254" t="s">
        <v>16701</v>
      </c>
      <c r="C825" s="1255" t="s">
        <v>2939</v>
      </c>
      <c r="D825" s="1255" t="s">
        <v>966</v>
      </c>
      <c r="E825" s="1255" t="s">
        <v>11576</v>
      </c>
      <c r="F825" s="1255" t="s">
        <v>11570</v>
      </c>
      <c r="G825" s="1254" t="s">
        <v>22</v>
      </c>
      <c r="H825" s="1254" t="s">
        <v>967</v>
      </c>
      <c r="I825" s="1258" t="s">
        <v>737</v>
      </c>
      <c r="J825" s="1259"/>
      <c r="K825" s="1257">
        <v>3361000.0</v>
      </c>
    </row>
    <row r="826">
      <c r="A826" s="1253" t="s">
        <v>16702</v>
      </c>
      <c r="B826" s="1254" t="s">
        <v>16703</v>
      </c>
      <c r="C826" s="1255" t="s">
        <v>2939</v>
      </c>
      <c r="D826" s="1255" t="s">
        <v>968</v>
      </c>
      <c r="E826" s="1255" t="s">
        <v>11576</v>
      </c>
      <c r="F826" s="1255" t="s">
        <v>11579</v>
      </c>
      <c r="G826" s="1254" t="s">
        <v>41</v>
      </c>
      <c r="H826" s="1254" t="s">
        <v>967</v>
      </c>
      <c r="I826" s="1258" t="s">
        <v>1377</v>
      </c>
      <c r="J826" s="1259"/>
      <c r="K826" s="1257">
        <v>4336000.0</v>
      </c>
    </row>
    <row r="827">
      <c r="A827" s="1253" t="s">
        <v>16704</v>
      </c>
      <c r="B827" s="1254" t="s">
        <v>2939</v>
      </c>
      <c r="C827" s="1255" t="s">
        <v>2939</v>
      </c>
      <c r="D827" s="1255" t="s">
        <v>969</v>
      </c>
      <c r="E827" s="1255" t="s">
        <v>11578</v>
      </c>
      <c r="F827" s="1255" t="s">
        <v>11591</v>
      </c>
      <c r="G827" s="1254" t="s">
        <v>132</v>
      </c>
      <c r="H827" s="1254" t="s">
        <v>967</v>
      </c>
      <c r="I827" s="1259"/>
      <c r="J827" s="1259"/>
      <c r="K827" s="1257">
        <v>725000.0</v>
      </c>
    </row>
    <row r="828">
      <c r="A828" s="1253" t="s">
        <v>16705</v>
      </c>
      <c r="B828" s="1254" t="s">
        <v>2939</v>
      </c>
      <c r="C828" s="1255" t="s">
        <v>2939</v>
      </c>
      <c r="D828" s="1255" t="s">
        <v>970</v>
      </c>
      <c r="E828" s="1255" t="s">
        <v>11578</v>
      </c>
      <c r="F828" s="1255" t="s">
        <v>11591</v>
      </c>
      <c r="G828" s="1254" t="s">
        <v>134</v>
      </c>
      <c r="H828" s="1254" t="s">
        <v>967</v>
      </c>
      <c r="I828" s="1259"/>
      <c r="J828" s="1259"/>
      <c r="K828" s="1257">
        <v>725000.0</v>
      </c>
    </row>
    <row r="829">
      <c r="A829" s="1253" t="s">
        <v>16706</v>
      </c>
      <c r="B829" s="1254" t="s">
        <v>2939</v>
      </c>
      <c r="C829" s="1255" t="s">
        <v>2939</v>
      </c>
      <c r="D829" s="1255" t="s">
        <v>971</v>
      </c>
      <c r="E829" s="1255" t="s">
        <v>11578</v>
      </c>
      <c r="F829" s="1255" t="s">
        <v>11591</v>
      </c>
      <c r="G829" s="1254" t="s">
        <v>202</v>
      </c>
      <c r="H829" s="1254" t="s">
        <v>967</v>
      </c>
      <c r="I829" s="1258" t="s">
        <v>234</v>
      </c>
      <c r="J829" s="1259"/>
      <c r="K829" s="1257">
        <v>1448000.0</v>
      </c>
    </row>
    <row r="830">
      <c r="A830" s="1253" t="s">
        <v>16707</v>
      </c>
      <c r="B830" s="1254" t="s">
        <v>2939</v>
      </c>
      <c r="C830" s="1255" t="s">
        <v>2939</v>
      </c>
      <c r="D830" s="1255" t="s">
        <v>972</v>
      </c>
      <c r="E830" s="1255" t="s">
        <v>11578</v>
      </c>
      <c r="F830" s="1255" t="s">
        <v>11591</v>
      </c>
      <c r="G830" s="1254" t="s">
        <v>236</v>
      </c>
      <c r="H830" s="1254" t="s">
        <v>967</v>
      </c>
      <c r="I830" s="1258" t="s">
        <v>234</v>
      </c>
      <c r="J830" s="1259"/>
      <c r="K830" s="1257">
        <v>1448000.0</v>
      </c>
    </row>
    <row r="831">
      <c r="A831" s="1253" t="s">
        <v>16708</v>
      </c>
      <c r="B831" s="1254" t="s">
        <v>16709</v>
      </c>
      <c r="C831" s="1255" t="s">
        <v>2939</v>
      </c>
      <c r="D831" s="1255" t="s">
        <v>973</v>
      </c>
      <c r="E831" s="1255" t="s">
        <v>11576</v>
      </c>
      <c r="F831" s="1255" t="s">
        <v>11570</v>
      </c>
      <c r="G831" s="1254" t="s">
        <v>22</v>
      </c>
      <c r="H831" s="1254" t="s">
        <v>974</v>
      </c>
      <c r="I831" s="1258" t="s">
        <v>125</v>
      </c>
      <c r="J831" s="1259"/>
      <c r="K831" s="1257">
        <v>2354000.0</v>
      </c>
    </row>
    <row r="832">
      <c r="A832" s="1253" t="s">
        <v>16710</v>
      </c>
      <c r="B832" s="1254" t="s">
        <v>16711</v>
      </c>
      <c r="C832" s="1255" t="s">
        <v>2939</v>
      </c>
      <c r="D832" s="1255" t="s">
        <v>975</v>
      </c>
      <c r="E832" s="1255" t="s">
        <v>11576</v>
      </c>
      <c r="F832" s="1255" t="s">
        <v>11579</v>
      </c>
      <c r="G832" s="1254" t="s">
        <v>41</v>
      </c>
      <c r="H832" s="1254" t="s">
        <v>974</v>
      </c>
      <c r="I832" s="1258" t="s">
        <v>2193</v>
      </c>
      <c r="J832" s="1259"/>
      <c r="K832" s="1257">
        <v>2677000.0</v>
      </c>
    </row>
    <row r="833">
      <c r="A833" s="1253" t="s">
        <v>16712</v>
      </c>
      <c r="B833" s="1254" t="s">
        <v>16713</v>
      </c>
      <c r="C833" s="1255" t="s">
        <v>2939</v>
      </c>
      <c r="D833" s="1255" t="s">
        <v>976</v>
      </c>
      <c r="E833" s="1255" t="s">
        <v>11576</v>
      </c>
      <c r="F833" s="1255" t="s">
        <v>11591</v>
      </c>
      <c r="G833" s="1254" t="s">
        <v>128</v>
      </c>
      <c r="H833" s="1254" t="s">
        <v>974</v>
      </c>
      <c r="I833" s="1259"/>
      <c r="J833" s="1259"/>
      <c r="K833" s="1257">
        <v>1014000.0</v>
      </c>
    </row>
    <row r="834">
      <c r="A834" s="1253" t="s">
        <v>16714</v>
      </c>
      <c r="B834" s="1254" t="s">
        <v>16715</v>
      </c>
      <c r="C834" s="1255" t="s">
        <v>2939</v>
      </c>
      <c r="D834" s="1255" t="s">
        <v>977</v>
      </c>
      <c r="E834" s="1255" t="s">
        <v>11576</v>
      </c>
      <c r="F834" s="1255" t="s">
        <v>11591</v>
      </c>
      <c r="G834" s="1254" t="s">
        <v>130</v>
      </c>
      <c r="H834" s="1254" t="s">
        <v>974</v>
      </c>
      <c r="I834" s="1259"/>
      <c r="J834" s="1259"/>
      <c r="K834" s="1257">
        <v>1014000.0</v>
      </c>
    </row>
    <row r="835">
      <c r="A835" s="1253" t="s">
        <v>16716</v>
      </c>
      <c r="B835" s="1254" t="s">
        <v>16717</v>
      </c>
      <c r="C835" s="1255" t="s">
        <v>2939</v>
      </c>
      <c r="D835" s="1255" t="s">
        <v>978</v>
      </c>
      <c r="E835" s="1255" t="s">
        <v>11576</v>
      </c>
      <c r="F835" s="1255" t="s">
        <v>11591</v>
      </c>
      <c r="G835" s="1254" t="s">
        <v>132</v>
      </c>
      <c r="H835" s="1254" t="s">
        <v>974</v>
      </c>
      <c r="I835" s="1259"/>
      <c r="J835" s="1259"/>
      <c r="K835" s="1257">
        <v>869000.0</v>
      </c>
    </row>
    <row r="836">
      <c r="A836" s="1253" t="s">
        <v>16718</v>
      </c>
      <c r="B836" s="1254" t="s">
        <v>16719</v>
      </c>
      <c r="C836" s="1255" t="s">
        <v>2939</v>
      </c>
      <c r="D836" s="1255" t="s">
        <v>979</v>
      </c>
      <c r="E836" s="1255" t="s">
        <v>11576</v>
      </c>
      <c r="F836" s="1255" t="s">
        <v>11591</v>
      </c>
      <c r="G836" s="1254" t="s">
        <v>134</v>
      </c>
      <c r="H836" s="1254" t="s">
        <v>974</v>
      </c>
      <c r="I836" s="1259"/>
      <c r="J836" s="1259"/>
      <c r="K836" s="1257">
        <v>869000.0</v>
      </c>
    </row>
    <row r="837">
      <c r="A837" s="1253" t="s">
        <v>16720</v>
      </c>
      <c r="B837" s="1254" t="s">
        <v>16721</v>
      </c>
      <c r="C837" s="1255" t="s">
        <v>2939</v>
      </c>
      <c r="D837" s="1255" t="s">
        <v>980</v>
      </c>
      <c r="E837" s="1255" t="s">
        <v>11576</v>
      </c>
      <c r="F837" s="1255" t="s">
        <v>11591</v>
      </c>
      <c r="G837" s="1254" t="s">
        <v>202</v>
      </c>
      <c r="H837" s="1254" t="s">
        <v>974</v>
      </c>
      <c r="I837" s="1258" t="s">
        <v>234</v>
      </c>
      <c r="J837" s="1259"/>
      <c r="K837" s="1257">
        <v>1286000.0</v>
      </c>
    </row>
    <row r="838">
      <c r="A838" s="1253" t="s">
        <v>16722</v>
      </c>
      <c r="B838" s="1254" t="s">
        <v>16723</v>
      </c>
      <c r="C838" s="1255" t="s">
        <v>2939</v>
      </c>
      <c r="D838" s="1255" t="s">
        <v>981</v>
      </c>
      <c r="E838" s="1255" t="s">
        <v>11576</v>
      </c>
      <c r="F838" s="1255" t="s">
        <v>11591</v>
      </c>
      <c r="G838" s="1254" t="s">
        <v>236</v>
      </c>
      <c r="H838" s="1254" t="s">
        <v>974</v>
      </c>
      <c r="I838" s="1258" t="s">
        <v>234</v>
      </c>
      <c r="J838" s="1259"/>
      <c r="K838" s="1257">
        <v>1286000.0</v>
      </c>
    </row>
    <row r="839">
      <c r="A839" s="1253" t="s">
        <v>2939</v>
      </c>
      <c r="B839" s="1254" t="s">
        <v>16724</v>
      </c>
      <c r="C839" s="1255" t="s">
        <v>2939</v>
      </c>
      <c r="D839" s="1255" t="s">
        <v>1729</v>
      </c>
      <c r="E839" s="1255" t="s">
        <v>11569</v>
      </c>
      <c r="F839" s="1255" t="s">
        <v>11570</v>
      </c>
      <c r="G839" s="1254" t="s">
        <v>22</v>
      </c>
      <c r="H839" s="1254" t="s">
        <v>1730</v>
      </c>
      <c r="I839" s="1258" t="s">
        <v>97</v>
      </c>
      <c r="J839" s="1259"/>
      <c r="K839" s="1257">
        <v>2710000.0</v>
      </c>
    </row>
    <row r="840">
      <c r="A840" s="1253" t="s">
        <v>2939</v>
      </c>
      <c r="B840" s="1254" t="s">
        <v>16725</v>
      </c>
      <c r="C840" s="1255" t="s">
        <v>2939</v>
      </c>
      <c r="D840" s="1260" t="s">
        <v>1731</v>
      </c>
      <c r="E840" s="1255" t="s">
        <v>11569</v>
      </c>
      <c r="F840" s="1255" t="s">
        <v>11579</v>
      </c>
      <c r="G840" s="1254" t="s">
        <v>41</v>
      </c>
      <c r="H840" s="1254" t="s">
        <v>1730</v>
      </c>
      <c r="I840" s="1258" t="s">
        <v>2193</v>
      </c>
      <c r="J840" s="1259"/>
      <c r="K840" s="1257">
        <v>2677000.0</v>
      </c>
    </row>
    <row r="841">
      <c r="A841" s="1253" t="s">
        <v>2939</v>
      </c>
      <c r="B841" s="1254" t="s">
        <v>16726</v>
      </c>
      <c r="C841" s="1255" t="s">
        <v>2939</v>
      </c>
      <c r="D841" s="1255" t="s">
        <v>11928</v>
      </c>
      <c r="E841" s="1255" t="s">
        <v>11569</v>
      </c>
      <c r="F841" s="1260" t="s">
        <v>11570</v>
      </c>
      <c r="G841" s="1258" t="s">
        <v>22</v>
      </c>
      <c r="H841" s="1254" t="s">
        <v>11929</v>
      </c>
      <c r="I841" s="1258" t="s">
        <v>125</v>
      </c>
      <c r="J841" s="1259"/>
      <c r="K841" s="1257">
        <v>1800000.0</v>
      </c>
    </row>
    <row r="842">
      <c r="A842" s="1253" t="s">
        <v>2939</v>
      </c>
      <c r="B842" s="1254" t="s">
        <v>16727</v>
      </c>
      <c r="C842" s="1255" t="s">
        <v>2939</v>
      </c>
      <c r="D842" s="1255" t="s">
        <v>11930</v>
      </c>
      <c r="E842" s="1255" t="s">
        <v>11569</v>
      </c>
      <c r="F842" s="1255" t="s">
        <v>11570</v>
      </c>
      <c r="G842" s="1254" t="s">
        <v>22</v>
      </c>
      <c r="H842" s="1254" t="s">
        <v>1685</v>
      </c>
      <c r="I842" s="1259"/>
      <c r="J842" s="1259"/>
      <c r="K842" s="1257">
        <v>2156000.0</v>
      </c>
    </row>
    <row r="843">
      <c r="A843" s="1253" t="s">
        <v>2939</v>
      </c>
      <c r="B843" s="1254" t="s">
        <v>16728</v>
      </c>
      <c r="C843" s="1255" t="s">
        <v>2939</v>
      </c>
      <c r="D843" s="1260" t="s">
        <v>1542</v>
      </c>
      <c r="E843" s="1255" t="s">
        <v>11569</v>
      </c>
      <c r="F843" s="1255" t="s">
        <v>11570</v>
      </c>
      <c r="G843" s="1258" t="s">
        <v>22</v>
      </c>
      <c r="H843" s="1254" t="s">
        <v>1543</v>
      </c>
      <c r="I843" s="1258" t="s">
        <v>75</v>
      </c>
      <c r="J843" s="1259"/>
      <c r="K843" s="1257">
        <v>2700000.0</v>
      </c>
    </row>
    <row r="844">
      <c r="A844" s="1253" t="s">
        <v>2939</v>
      </c>
      <c r="B844" s="1254" t="s">
        <v>2939</v>
      </c>
      <c r="C844" s="1255" t="s">
        <v>16729</v>
      </c>
      <c r="D844" s="1255" t="s">
        <v>2337</v>
      </c>
      <c r="E844" s="1255" t="s">
        <v>11653</v>
      </c>
      <c r="F844" s="1255" t="s">
        <v>11570</v>
      </c>
      <c r="G844" s="1254" t="s">
        <v>22</v>
      </c>
      <c r="H844" s="1254" t="s">
        <v>2338</v>
      </c>
      <c r="I844" s="1259"/>
      <c r="J844" s="1259"/>
      <c r="K844" s="1257">
        <v>1199000.0</v>
      </c>
    </row>
    <row r="845">
      <c r="A845" s="1253" t="s">
        <v>2939</v>
      </c>
      <c r="B845" s="1254" t="s">
        <v>16730</v>
      </c>
      <c r="C845" s="1255" t="s">
        <v>2939</v>
      </c>
      <c r="D845" s="1260" t="s">
        <v>11932</v>
      </c>
      <c r="E845" s="1255" t="s">
        <v>11569</v>
      </c>
      <c r="F845" s="1260" t="s">
        <v>11579</v>
      </c>
      <c r="G845" s="1254" t="s">
        <v>41</v>
      </c>
      <c r="H845" s="1254" t="s">
        <v>2338</v>
      </c>
      <c r="I845" s="1254" t="s">
        <v>11756</v>
      </c>
      <c r="J845" s="1256"/>
      <c r="K845" s="1257">
        <v>1200000.0</v>
      </c>
    </row>
    <row r="846">
      <c r="A846" s="1253" t="s">
        <v>16731</v>
      </c>
      <c r="B846" s="1254" t="s">
        <v>16732</v>
      </c>
      <c r="C846" s="1255" t="s">
        <v>16733</v>
      </c>
      <c r="D846" s="1255" t="s">
        <v>982</v>
      </c>
      <c r="E846" s="1255" t="s">
        <v>11630</v>
      </c>
      <c r="F846" s="1255" t="s">
        <v>11570</v>
      </c>
      <c r="G846" s="1254" t="s">
        <v>22</v>
      </c>
      <c r="H846" s="1254" t="s">
        <v>983</v>
      </c>
      <c r="I846" s="1258" t="s">
        <v>97</v>
      </c>
      <c r="J846" s="1259"/>
      <c r="K846" s="1257">
        <v>1471000.0</v>
      </c>
    </row>
    <row r="847">
      <c r="A847" s="1253" t="s">
        <v>16734</v>
      </c>
      <c r="B847" s="1254" t="s">
        <v>16735</v>
      </c>
      <c r="C847" s="1255" t="s">
        <v>2939</v>
      </c>
      <c r="D847" s="1255" t="s">
        <v>984</v>
      </c>
      <c r="E847" s="1255" t="s">
        <v>11576</v>
      </c>
      <c r="F847" s="1255" t="s">
        <v>11579</v>
      </c>
      <c r="G847" s="1254" t="s">
        <v>41</v>
      </c>
      <c r="H847" s="1254" t="s">
        <v>983</v>
      </c>
      <c r="I847" s="1258" t="s">
        <v>1377</v>
      </c>
      <c r="J847" s="1266">
        <v>880000.0</v>
      </c>
      <c r="K847" s="1257">
        <v>1686000.0</v>
      </c>
    </row>
    <row r="848">
      <c r="A848" s="1253" t="s">
        <v>16736</v>
      </c>
      <c r="B848" s="1254" t="s">
        <v>16737</v>
      </c>
      <c r="C848" s="1255" t="s">
        <v>2939</v>
      </c>
      <c r="D848" s="1255" t="s">
        <v>985</v>
      </c>
      <c r="E848" s="1255" t="s">
        <v>11576</v>
      </c>
      <c r="F848" s="1255" t="s">
        <v>11591</v>
      </c>
      <c r="G848" s="1254" t="s">
        <v>128</v>
      </c>
      <c r="H848" s="1254" t="s">
        <v>983</v>
      </c>
      <c r="I848" s="1259"/>
      <c r="J848" s="1259"/>
      <c r="K848" s="1257">
        <v>478000.0</v>
      </c>
    </row>
    <row r="849">
      <c r="A849" s="1253" t="s">
        <v>2939</v>
      </c>
      <c r="B849" s="1254" t="s">
        <v>16738</v>
      </c>
      <c r="C849" s="1255" t="s">
        <v>2939</v>
      </c>
      <c r="D849" s="1255" t="s">
        <v>1732</v>
      </c>
      <c r="E849" s="1255" t="s">
        <v>11569</v>
      </c>
      <c r="F849" s="1255" t="s">
        <v>11591</v>
      </c>
      <c r="G849" s="1254" t="s">
        <v>130</v>
      </c>
      <c r="H849" s="1254" t="s">
        <v>983</v>
      </c>
      <c r="I849" s="1259"/>
      <c r="J849" s="1259"/>
      <c r="K849" s="1257">
        <v>478000.0</v>
      </c>
    </row>
    <row r="850">
      <c r="A850" s="1253" t="s">
        <v>16739</v>
      </c>
      <c r="B850" s="1254" t="s">
        <v>16740</v>
      </c>
      <c r="C850" s="1255" t="s">
        <v>2939</v>
      </c>
      <c r="D850" s="1255" t="s">
        <v>986</v>
      </c>
      <c r="E850" s="1255" t="s">
        <v>11576</v>
      </c>
      <c r="F850" s="1255" t="s">
        <v>11591</v>
      </c>
      <c r="G850" s="1254" t="s">
        <v>132</v>
      </c>
      <c r="H850" s="1254" t="s">
        <v>983</v>
      </c>
      <c r="I850" s="1259"/>
      <c r="J850" s="1259"/>
      <c r="K850" s="1257">
        <v>400000.0</v>
      </c>
    </row>
    <row r="851">
      <c r="A851" s="1253" t="s">
        <v>16741</v>
      </c>
      <c r="B851" s="1254" t="s">
        <v>16742</v>
      </c>
      <c r="C851" s="1255" t="s">
        <v>2939</v>
      </c>
      <c r="D851" s="1255" t="s">
        <v>987</v>
      </c>
      <c r="E851" s="1255" t="s">
        <v>11576</v>
      </c>
      <c r="F851" s="1255" t="s">
        <v>11591</v>
      </c>
      <c r="G851" s="1254" t="s">
        <v>134</v>
      </c>
      <c r="H851" s="1254" t="s">
        <v>983</v>
      </c>
      <c r="I851" s="1259"/>
      <c r="J851" s="1259"/>
      <c r="K851" s="1257">
        <v>400000.0</v>
      </c>
    </row>
    <row r="852">
      <c r="A852" s="1253" t="s">
        <v>16743</v>
      </c>
      <c r="B852" s="1254" t="s">
        <v>16744</v>
      </c>
      <c r="C852" s="1255" t="s">
        <v>2939</v>
      </c>
      <c r="D852" s="1255" t="s">
        <v>988</v>
      </c>
      <c r="E852" s="1255" t="s">
        <v>11576</v>
      </c>
      <c r="F852" s="1255" t="s">
        <v>11591</v>
      </c>
      <c r="G852" s="1254" t="s">
        <v>202</v>
      </c>
      <c r="H852" s="1254" t="s">
        <v>983</v>
      </c>
      <c r="I852" s="1258" t="s">
        <v>97</v>
      </c>
      <c r="J852" s="1259"/>
      <c r="K852" s="1257">
        <v>644000.0</v>
      </c>
    </row>
    <row r="853">
      <c r="A853" s="1253" t="s">
        <v>16745</v>
      </c>
      <c r="B853" s="1254" t="s">
        <v>16746</v>
      </c>
      <c r="C853" s="1255" t="s">
        <v>2939</v>
      </c>
      <c r="D853" s="1255" t="s">
        <v>989</v>
      </c>
      <c r="E853" s="1255" t="s">
        <v>11576</v>
      </c>
      <c r="F853" s="1255" t="s">
        <v>11591</v>
      </c>
      <c r="G853" s="1254" t="s">
        <v>236</v>
      </c>
      <c r="H853" s="1254" t="s">
        <v>983</v>
      </c>
      <c r="I853" s="1258" t="s">
        <v>97</v>
      </c>
      <c r="J853" s="1259"/>
      <c r="K853" s="1257">
        <v>644000.0</v>
      </c>
    </row>
    <row r="854">
      <c r="A854" s="1253" t="s">
        <v>16747</v>
      </c>
      <c r="B854" s="1254" t="s">
        <v>16748</v>
      </c>
      <c r="C854" s="1255" t="s">
        <v>16749</v>
      </c>
      <c r="D854" s="1255" t="s">
        <v>990</v>
      </c>
      <c r="E854" s="1255" t="s">
        <v>11630</v>
      </c>
      <c r="F854" s="1255" t="s">
        <v>11570</v>
      </c>
      <c r="G854" s="1254" t="s">
        <v>22</v>
      </c>
      <c r="H854" s="1254" t="s">
        <v>991</v>
      </c>
      <c r="I854" s="1258" t="s">
        <v>125</v>
      </c>
      <c r="J854" s="1259"/>
      <c r="K854" s="1257">
        <v>1428000.0</v>
      </c>
    </row>
    <row r="855">
      <c r="A855" s="1253" t="s">
        <v>16750</v>
      </c>
      <c r="B855" s="1254" t="s">
        <v>16751</v>
      </c>
      <c r="C855" s="1255" t="s">
        <v>2939</v>
      </c>
      <c r="D855" s="1255" t="s">
        <v>992</v>
      </c>
      <c r="E855" s="1255" t="s">
        <v>11576</v>
      </c>
      <c r="F855" s="1255" t="s">
        <v>11579</v>
      </c>
      <c r="G855" s="1254" t="s">
        <v>41</v>
      </c>
      <c r="H855" s="1254" t="s">
        <v>991</v>
      </c>
      <c r="I855" s="1258" t="s">
        <v>1377</v>
      </c>
      <c r="J855" s="1266">
        <v>880000.0</v>
      </c>
      <c r="K855" s="1257">
        <v>1644000.0</v>
      </c>
    </row>
    <row r="856">
      <c r="A856" s="1253" t="s">
        <v>16752</v>
      </c>
      <c r="B856" s="1254" t="s">
        <v>16753</v>
      </c>
      <c r="C856" s="1255" t="s">
        <v>2939</v>
      </c>
      <c r="D856" s="1255" t="s">
        <v>993</v>
      </c>
      <c r="E856" s="1255" t="s">
        <v>11576</v>
      </c>
      <c r="F856" s="1255" t="s">
        <v>11591</v>
      </c>
      <c r="G856" s="1254" t="s">
        <v>128</v>
      </c>
      <c r="H856" s="1254" t="s">
        <v>991</v>
      </c>
      <c r="I856" s="1259"/>
      <c r="J856" s="1259"/>
      <c r="K856" s="1257">
        <v>508000.0</v>
      </c>
    </row>
    <row r="857">
      <c r="A857" s="1253" t="s">
        <v>16754</v>
      </c>
      <c r="B857" s="1254" t="s">
        <v>16755</v>
      </c>
      <c r="C857" s="1255" t="s">
        <v>2939</v>
      </c>
      <c r="D857" s="1255" t="s">
        <v>994</v>
      </c>
      <c r="E857" s="1255" t="s">
        <v>11576</v>
      </c>
      <c r="F857" s="1255" t="s">
        <v>11591</v>
      </c>
      <c r="G857" s="1254" t="s">
        <v>130</v>
      </c>
      <c r="H857" s="1254" t="s">
        <v>991</v>
      </c>
      <c r="I857" s="1259"/>
      <c r="J857" s="1259"/>
      <c r="K857" s="1257">
        <v>508000.0</v>
      </c>
    </row>
    <row r="858">
      <c r="A858" s="1253" t="s">
        <v>16756</v>
      </c>
      <c r="B858" s="1254" t="s">
        <v>16757</v>
      </c>
      <c r="C858" s="1255" t="s">
        <v>2939</v>
      </c>
      <c r="D858" s="1255" t="s">
        <v>995</v>
      </c>
      <c r="E858" s="1255" t="s">
        <v>11576</v>
      </c>
      <c r="F858" s="1255" t="s">
        <v>11591</v>
      </c>
      <c r="G858" s="1254" t="s">
        <v>132</v>
      </c>
      <c r="H858" s="1254" t="s">
        <v>991</v>
      </c>
      <c r="I858" s="1259"/>
      <c r="J858" s="1259"/>
      <c r="K858" s="1257">
        <v>508000.0</v>
      </c>
    </row>
    <row r="859">
      <c r="A859" s="1253" t="s">
        <v>16758</v>
      </c>
      <c r="B859" s="1254" t="s">
        <v>16759</v>
      </c>
      <c r="C859" s="1255" t="s">
        <v>2939</v>
      </c>
      <c r="D859" s="1255" t="s">
        <v>996</v>
      </c>
      <c r="E859" s="1255" t="s">
        <v>11576</v>
      </c>
      <c r="F859" s="1255" t="s">
        <v>11591</v>
      </c>
      <c r="G859" s="1254" t="s">
        <v>134</v>
      </c>
      <c r="H859" s="1254" t="s">
        <v>991</v>
      </c>
      <c r="I859" s="1259"/>
      <c r="J859" s="1259"/>
      <c r="K859" s="1257">
        <v>508000.0</v>
      </c>
    </row>
    <row r="860">
      <c r="A860" s="1253" t="s">
        <v>16760</v>
      </c>
      <c r="B860" s="1254" t="s">
        <v>16761</v>
      </c>
      <c r="C860" s="1255" t="s">
        <v>2939</v>
      </c>
      <c r="D860" s="1255" t="s">
        <v>997</v>
      </c>
      <c r="E860" s="1255" t="s">
        <v>11576</v>
      </c>
      <c r="F860" s="1255" t="s">
        <v>11570</v>
      </c>
      <c r="G860" s="1254" t="s">
        <v>22</v>
      </c>
      <c r="H860" s="1254" t="s">
        <v>998</v>
      </c>
      <c r="I860" s="1258" t="s">
        <v>75</v>
      </c>
      <c r="J860" s="1259"/>
      <c r="K860" s="1257">
        <v>2129000.0</v>
      </c>
    </row>
    <row r="861">
      <c r="A861" s="1253" t="s">
        <v>2939</v>
      </c>
      <c r="B861" s="1254" t="s">
        <v>16762</v>
      </c>
      <c r="C861" s="1255" t="s">
        <v>2939</v>
      </c>
      <c r="D861" s="1255" t="s">
        <v>1733</v>
      </c>
      <c r="E861" s="1255" t="s">
        <v>11569</v>
      </c>
      <c r="F861" s="1255" t="s">
        <v>11570</v>
      </c>
      <c r="G861" s="1254" t="s">
        <v>22</v>
      </c>
      <c r="H861" s="1254" t="s">
        <v>1734</v>
      </c>
      <c r="I861" s="1258" t="s">
        <v>75</v>
      </c>
      <c r="J861" s="1259"/>
      <c r="K861" s="1257">
        <v>2808000.0</v>
      </c>
    </row>
    <row r="862">
      <c r="A862" s="1253" t="s">
        <v>2939</v>
      </c>
      <c r="B862" s="1254" t="s">
        <v>16763</v>
      </c>
      <c r="C862" s="1255" t="s">
        <v>2939</v>
      </c>
      <c r="D862" s="1255" t="s">
        <v>1735</v>
      </c>
      <c r="E862" s="1255" t="s">
        <v>11569</v>
      </c>
      <c r="F862" s="1255" t="s">
        <v>11570</v>
      </c>
      <c r="G862" s="1254" t="s">
        <v>22</v>
      </c>
      <c r="H862" s="1254" t="s">
        <v>1736</v>
      </c>
      <c r="I862" s="1258" t="s">
        <v>125</v>
      </c>
      <c r="J862" s="1259"/>
      <c r="K862" s="1257">
        <v>1836000.0</v>
      </c>
    </row>
    <row r="863">
      <c r="A863" s="1253" t="s">
        <v>16764</v>
      </c>
      <c r="B863" s="1254" t="s">
        <v>16765</v>
      </c>
      <c r="C863" s="1255" t="s">
        <v>2939</v>
      </c>
      <c r="D863" s="1255" t="s">
        <v>999</v>
      </c>
      <c r="E863" s="1255" t="s">
        <v>11576</v>
      </c>
      <c r="F863" s="1255" t="s">
        <v>11579</v>
      </c>
      <c r="G863" s="1254" t="s">
        <v>41</v>
      </c>
      <c r="H863" s="1254" t="s">
        <v>1000</v>
      </c>
      <c r="I863" s="1258" t="s">
        <v>1377</v>
      </c>
      <c r="J863" s="1259"/>
      <c r="K863" s="1257">
        <v>2231000.0</v>
      </c>
    </row>
    <row r="864">
      <c r="A864" s="1253" t="s">
        <v>16766</v>
      </c>
      <c r="B864" s="1254" t="s">
        <v>16767</v>
      </c>
      <c r="C864" s="1255" t="s">
        <v>2939</v>
      </c>
      <c r="D864" s="1255" t="s">
        <v>1001</v>
      </c>
      <c r="E864" s="1255" t="s">
        <v>11576</v>
      </c>
      <c r="F864" s="1255" t="s">
        <v>11591</v>
      </c>
      <c r="G864" s="1254" t="s">
        <v>128</v>
      </c>
      <c r="H864" s="1254" t="s">
        <v>1000</v>
      </c>
      <c r="I864" s="1259"/>
      <c r="J864" s="1259"/>
      <c r="K864" s="1257">
        <v>508000.0</v>
      </c>
    </row>
    <row r="865">
      <c r="A865" s="1253" t="s">
        <v>16768</v>
      </c>
      <c r="B865" s="1254" t="s">
        <v>16769</v>
      </c>
      <c r="C865" s="1255" t="s">
        <v>2939</v>
      </c>
      <c r="D865" s="1255" t="s">
        <v>1002</v>
      </c>
      <c r="E865" s="1255" t="s">
        <v>11576</v>
      </c>
      <c r="F865" s="1255" t="s">
        <v>11591</v>
      </c>
      <c r="G865" s="1254" t="s">
        <v>130</v>
      </c>
      <c r="H865" s="1254" t="s">
        <v>1000</v>
      </c>
      <c r="I865" s="1259"/>
      <c r="J865" s="1259"/>
      <c r="K865" s="1257">
        <v>508000.0</v>
      </c>
    </row>
    <row r="866">
      <c r="A866" s="1253" t="s">
        <v>16770</v>
      </c>
      <c r="B866" s="1254" t="s">
        <v>16771</v>
      </c>
      <c r="C866" s="1255" t="s">
        <v>2939</v>
      </c>
      <c r="D866" s="1255" t="s">
        <v>1003</v>
      </c>
      <c r="E866" s="1255" t="s">
        <v>11578</v>
      </c>
      <c r="F866" s="1255" t="s">
        <v>11591</v>
      </c>
      <c r="G866" s="1254" t="s">
        <v>132</v>
      </c>
      <c r="H866" s="1254" t="s">
        <v>1000</v>
      </c>
      <c r="I866" s="1259"/>
      <c r="J866" s="1259"/>
      <c r="K866" s="1257">
        <v>436000.0</v>
      </c>
    </row>
    <row r="867">
      <c r="A867" s="1253" t="s">
        <v>16772</v>
      </c>
      <c r="B867" s="1254" t="s">
        <v>16773</v>
      </c>
      <c r="C867" s="1255" t="s">
        <v>2939</v>
      </c>
      <c r="D867" s="1255" t="s">
        <v>1004</v>
      </c>
      <c r="E867" s="1255" t="s">
        <v>11578</v>
      </c>
      <c r="F867" s="1255" t="s">
        <v>11591</v>
      </c>
      <c r="G867" s="1254" t="s">
        <v>134</v>
      </c>
      <c r="H867" s="1254" t="s">
        <v>1000</v>
      </c>
      <c r="I867" s="1259"/>
      <c r="J867" s="1259"/>
      <c r="K867" s="1257">
        <v>436000.0</v>
      </c>
    </row>
    <row r="868">
      <c r="A868" s="1250" t="s">
        <v>11933</v>
      </c>
      <c r="B868" s="1251" t="s">
        <v>11933</v>
      </c>
      <c r="C868" s="1252"/>
      <c r="D868" s="1252"/>
      <c r="E868" s="1252"/>
      <c r="F868" s="1252"/>
      <c r="G868" s="1252"/>
      <c r="H868" s="1251" t="s">
        <v>11933</v>
      </c>
      <c r="I868" s="1252"/>
      <c r="J868" s="1252"/>
      <c r="K868" s="1252"/>
    </row>
    <row r="869">
      <c r="A869" s="1253" t="s">
        <v>16774</v>
      </c>
      <c r="B869" s="1254" t="s">
        <v>16775</v>
      </c>
      <c r="C869" s="1255" t="s">
        <v>2939</v>
      </c>
      <c r="D869" s="1255" t="s">
        <v>1005</v>
      </c>
      <c r="E869" s="1255" t="s">
        <v>11576</v>
      </c>
      <c r="F869" s="1255" t="s">
        <v>11570</v>
      </c>
      <c r="G869" s="1254" t="s">
        <v>22</v>
      </c>
      <c r="H869" s="1254" t="s">
        <v>1006</v>
      </c>
      <c r="I869" s="1258" t="s">
        <v>125</v>
      </c>
      <c r="J869" s="1259"/>
      <c r="K869" s="1257">
        <v>1781000.0</v>
      </c>
    </row>
    <row r="870">
      <c r="A870" s="1250" t="s">
        <v>11934</v>
      </c>
      <c r="B870" s="1251" t="s">
        <v>11934</v>
      </c>
      <c r="C870" s="1252"/>
      <c r="D870" s="1252"/>
      <c r="E870" s="1252"/>
      <c r="F870" s="1252"/>
      <c r="G870" s="1252"/>
      <c r="H870" s="1251" t="s">
        <v>11935</v>
      </c>
      <c r="I870" s="1252"/>
      <c r="J870" s="1252"/>
      <c r="K870" s="1252"/>
    </row>
    <row r="871">
      <c r="A871" s="1253" t="s">
        <v>2939</v>
      </c>
      <c r="B871" s="1254" t="s">
        <v>16776</v>
      </c>
      <c r="C871" s="1255" t="s">
        <v>2939</v>
      </c>
      <c r="D871" s="1260" t="s">
        <v>11936</v>
      </c>
      <c r="E871" s="1255" t="s">
        <v>11569</v>
      </c>
      <c r="F871" s="1255" t="s">
        <v>11570</v>
      </c>
      <c r="G871" s="1258" t="s">
        <v>22</v>
      </c>
      <c r="H871" s="1254" t="s">
        <v>1739</v>
      </c>
      <c r="I871" s="1258" t="s">
        <v>125</v>
      </c>
      <c r="J871" s="1259"/>
      <c r="K871" s="1257">
        <v>1400000.0</v>
      </c>
    </row>
    <row r="872">
      <c r="A872" s="1253" t="s">
        <v>2939</v>
      </c>
      <c r="B872" s="1254" t="s">
        <v>16777</v>
      </c>
      <c r="C872" s="1255" t="s">
        <v>2939</v>
      </c>
      <c r="D872" s="1255" t="s">
        <v>1738</v>
      </c>
      <c r="E872" s="1255" t="s">
        <v>11569</v>
      </c>
      <c r="F872" s="1255" t="s">
        <v>11579</v>
      </c>
      <c r="G872" s="1254" t="s">
        <v>41</v>
      </c>
      <c r="H872" s="1254" t="s">
        <v>1739</v>
      </c>
      <c r="I872" s="1258" t="s">
        <v>1377</v>
      </c>
      <c r="J872" s="1259"/>
      <c r="K872" s="1257">
        <v>4474000.0</v>
      </c>
    </row>
    <row r="873">
      <c r="A873" s="1253" t="s">
        <v>16778</v>
      </c>
      <c r="B873" s="1254" t="s">
        <v>16779</v>
      </c>
      <c r="C873" s="1255" t="s">
        <v>2939</v>
      </c>
      <c r="D873" s="1255" t="s">
        <v>1007</v>
      </c>
      <c r="E873" s="1255" t="s">
        <v>11576</v>
      </c>
      <c r="F873" s="1255" t="s">
        <v>11570</v>
      </c>
      <c r="G873" s="1254" t="s">
        <v>22</v>
      </c>
      <c r="H873" s="1254" t="s">
        <v>1008</v>
      </c>
      <c r="I873" s="1258" t="s">
        <v>23</v>
      </c>
      <c r="J873" s="1259"/>
      <c r="K873" s="1257">
        <v>5286000.0</v>
      </c>
    </row>
    <row r="874">
      <c r="A874" s="1253" t="s">
        <v>16780</v>
      </c>
      <c r="B874" s="1254" t="s">
        <v>16781</v>
      </c>
      <c r="C874" s="1255" t="s">
        <v>2939</v>
      </c>
      <c r="D874" s="1255" t="s">
        <v>1009</v>
      </c>
      <c r="E874" s="1255" t="s">
        <v>11576</v>
      </c>
      <c r="F874" s="1255" t="s">
        <v>11570</v>
      </c>
      <c r="G874" s="1254" t="s">
        <v>22</v>
      </c>
      <c r="H874" s="1254" t="s">
        <v>1010</v>
      </c>
      <c r="I874" s="1258" t="s">
        <v>23</v>
      </c>
      <c r="J874" s="1259"/>
      <c r="K874" s="1257">
        <v>5286000.0</v>
      </c>
    </row>
    <row r="875">
      <c r="A875" s="1253" t="s">
        <v>16782</v>
      </c>
      <c r="B875" s="1254" t="s">
        <v>2939</v>
      </c>
      <c r="C875" s="1255" t="s">
        <v>2939</v>
      </c>
      <c r="D875" s="1255" t="s">
        <v>1011</v>
      </c>
      <c r="E875" s="1255" t="s">
        <v>11578</v>
      </c>
      <c r="F875" s="1255" t="s">
        <v>11579</v>
      </c>
      <c r="G875" s="1254" t="s">
        <v>41</v>
      </c>
      <c r="H875" s="1254" t="s">
        <v>1012</v>
      </c>
      <c r="I875" s="1258" t="s">
        <v>1377</v>
      </c>
      <c r="J875" s="1259"/>
      <c r="K875" s="1257">
        <v>2249000.0</v>
      </c>
    </row>
    <row r="876">
      <c r="A876" s="1253" t="s">
        <v>16783</v>
      </c>
      <c r="B876" s="1254" t="s">
        <v>2939</v>
      </c>
      <c r="C876" s="1255" t="s">
        <v>2939</v>
      </c>
      <c r="D876" s="1255" t="s">
        <v>1013</v>
      </c>
      <c r="E876" s="1255" t="s">
        <v>11578</v>
      </c>
      <c r="F876" s="1255" t="s">
        <v>11579</v>
      </c>
      <c r="G876" s="1254" t="s">
        <v>41</v>
      </c>
      <c r="H876" s="1254" t="s">
        <v>1014</v>
      </c>
      <c r="I876" s="1258" t="s">
        <v>1377</v>
      </c>
      <c r="J876" s="1259"/>
      <c r="K876" s="1257">
        <v>2570000.0</v>
      </c>
    </row>
    <row r="877">
      <c r="A877" s="1250" t="s">
        <v>11938</v>
      </c>
      <c r="B877" s="1251" t="s">
        <v>11938</v>
      </c>
      <c r="C877" s="1252"/>
      <c r="D877" s="1252"/>
      <c r="E877" s="1252"/>
      <c r="F877" s="1252"/>
      <c r="G877" s="1252"/>
      <c r="H877" s="1251" t="s">
        <v>11938</v>
      </c>
      <c r="I877" s="1252"/>
      <c r="J877" s="1252"/>
      <c r="K877" s="1252"/>
    </row>
    <row r="878">
      <c r="A878" s="1253" t="s">
        <v>2939</v>
      </c>
      <c r="B878" s="1254" t="s">
        <v>16784</v>
      </c>
      <c r="C878" s="1255" t="s">
        <v>16785</v>
      </c>
      <c r="D878" s="1255" t="s">
        <v>1740</v>
      </c>
      <c r="E878" s="1255" t="s">
        <v>11654</v>
      </c>
      <c r="F878" s="1255" t="s">
        <v>11570</v>
      </c>
      <c r="G878" s="1254" t="s">
        <v>22</v>
      </c>
      <c r="H878" s="1254" t="s">
        <v>1741</v>
      </c>
      <c r="I878" s="1258" t="s">
        <v>125</v>
      </c>
      <c r="J878" s="1259"/>
      <c r="K878" s="1257">
        <v>1560000.0</v>
      </c>
    </row>
    <row r="879">
      <c r="A879" s="1253" t="s">
        <v>2939</v>
      </c>
      <c r="B879" s="1254" t="s">
        <v>16786</v>
      </c>
      <c r="C879" s="1255" t="s">
        <v>2939</v>
      </c>
      <c r="D879" s="1255" t="s">
        <v>1742</v>
      </c>
      <c r="E879" s="1255" t="s">
        <v>11569</v>
      </c>
      <c r="F879" s="1255" t="s">
        <v>11579</v>
      </c>
      <c r="G879" s="1254" t="s">
        <v>41</v>
      </c>
      <c r="H879" s="1254" t="s">
        <v>1741</v>
      </c>
      <c r="I879" s="1258" t="s">
        <v>2193</v>
      </c>
      <c r="J879" s="1259"/>
      <c r="K879" s="1257">
        <v>2002000.0</v>
      </c>
    </row>
    <row r="880">
      <c r="A880" s="1253" t="s">
        <v>2939</v>
      </c>
      <c r="B880" s="1254" t="s">
        <v>16787</v>
      </c>
      <c r="C880" s="1255" t="s">
        <v>2939</v>
      </c>
      <c r="D880" s="1255" t="s">
        <v>1743</v>
      </c>
      <c r="E880" s="1255" t="s">
        <v>11569</v>
      </c>
      <c r="F880" s="1255" t="s">
        <v>11570</v>
      </c>
      <c r="G880" s="1254" t="s">
        <v>22</v>
      </c>
      <c r="H880" s="1254" t="s">
        <v>1744</v>
      </c>
      <c r="I880" s="1258" t="s">
        <v>125</v>
      </c>
      <c r="J880" s="1259"/>
      <c r="K880" s="1257">
        <v>1523000.0</v>
      </c>
    </row>
    <row r="881">
      <c r="A881" s="1253" t="s">
        <v>2939</v>
      </c>
      <c r="B881" s="1254" t="s">
        <v>16788</v>
      </c>
      <c r="C881" s="1255" t="s">
        <v>2939</v>
      </c>
      <c r="D881" s="1260" t="s">
        <v>1745</v>
      </c>
      <c r="E881" s="1255" t="s">
        <v>11569</v>
      </c>
      <c r="F881" s="1255" t="s">
        <v>11570</v>
      </c>
      <c r="G881" s="1254" t="s">
        <v>22</v>
      </c>
      <c r="H881" s="1254" t="s">
        <v>1746</v>
      </c>
      <c r="I881" s="1254" t="s">
        <v>125</v>
      </c>
      <c r="J881" s="1256"/>
      <c r="K881" s="1257">
        <v>1523000.0</v>
      </c>
    </row>
    <row r="882">
      <c r="A882" s="1253" t="s">
        <v>2939</v>
      </c>
      <c r="B882" s="1254" t="s">
        <v>16789</v>
      </c>
      <c r="C882" s="1255" t="s">
        <v>2939</v>
      </c>
      <c r="D882" s="1260" t="s">
        <v>1747</v>
      </c>
      <c r="E882" s="1255" t="s">
        <v>11569</v>
      </c>
      <c r="F882" s="1255" t="s">
        <v>11570</v>
      </c>
      <c r="G882" s="1254" t="s">
        <v>22</v>
      </c>
      <c r="H882" s="1254" t="s">
        <v>1748</v>
      </c>
      <c r="I882" s="1258" t="s">
        <v>125</v>
      </c>
      <c r="J882" s="1259"/>
      <c r="K882" s="1257">
        <v>1523000.0</v>
      </c>
    </row>
    <row r="883">
      <c r="A883" s="1250" t="s">
        <v>11941</v>
      </c>
      <c r="B883" s="1251" t="s">
        <v>11941</v>
      </c>
      <c r="C883" s="1252"/>
      <c r="D883" s="1252"/>
      <c r="E883" s="1252"/>
      <c r="F883" s="1252"/>
      <c r="G883" s="1252"/>
      <c r="H883" s="1251" t="s">
        <v>11941</v>
      </c>
      <c r="I883" s="1252"/>
      <c r="J883" s="1252"/>
      <c r="K883" s="1252"/>
    </row>
    <row r="884">
      <c r="A884" s="1253" t="s">
        <v>2939</v>
      </c>
      <c r="B884" s="1254" t="s">
        <v>16790</v>
      </c>
      <c r="C884" s="1255" t="s">
        <v>2939</v>
      </c>
      <c r="D884" s="1260" t="s">
        <v>11942</v>
      </c>
      <c r="E884" s="1255" t="s">
        <v>11569</v>
      </c>
      <c r="F884" s="1255" t="s">
        <v>11570</v>
      </c>
      <c r="G884" s="1258" t="s">
        <v>22</v>
      </c>
      <c r="H884" s="1258" t="s">
        <v>16791</v>
      </c>
      <c r="I884" s="1258" t="s">
        <v>737</v>
      </c>
      <c r="J884" s="1259"/>
      <c r="K884" s="1257">
        <v>6000000.0</v>
      </c>
    </row>
    <row r="885">
      <c r="A885" s="1253" t="s">
        <v>2939</v>
      </c>
      <c r="B885" s="1254" t="s">
        <v>16792</v>
      </c>
      <c r="C885" s="1255" t="s">
        <v>2939</v>
      </c>
      <c r="D885" s="1255" t="s">
        <v>1749</v>
      </c>
      <c r="E885" s="1255" t="s">
        <v>11569</v>
      </c>
      <c r="F885" s="1255" t="s">
        <v>11570</v>
      </c>
      <c r="G885" s="1254" t="s">
        <v>22</v>
      </c>
      <c r="H885" s="1254" t="s">
        <v>16793</v>
      </c>
      <c r="I885" s="1258" t="s">
        <v>23</v>
      </c>
      <c r="J885" s="1259"/>
      <c r="K885" s="1257">
        <v>7390000.0</v>
      </c>
    </row>
    <row r="886">
      <c r="A886" s="1253" t="s">
        <v>2939</v>
      </c>
      <c r="B886" s="1254" t="s">
        <v>16794</v>
      </c>
      <c r="C886" s="1255" t="s">
        <v>2939</v>
      </c>
      <c r="D886" s="1255" t="s">
        <v>1751</v>
      </c>
      <c r="E886" s="1255" t="s">
        <v>11569</v>
      </c>
      <c r="F886" s="1255" t="s">
        <v>11579</v>
      </c>
      <c r="G886" s="1254" t="s">
        <v>41</v>
      </c>
      <c r="H886" s="1254" t="s">
        <v>16795</v>
      </c>
      <c r="I886" s="1254" t="s">
        <v>2193</v>
      </c>
      <c r="J886" s="1256"/>
      <c r="K886" s="1257">
        <v>4238000.0</v>
      </c>
    </row>
    <row r="887">
      <c r="A887" s="1253" t="s">
        <v>2939</v>
      </c>
      <c r="B887" s="1254" t="s">
        <v>16796</v>
      </c>
      <c r="C887" s="1255" t="s">
        <v>2939</v>
      </c>
      <c r="D887" s="1255" t="s">
        <v>1753</v>
      </c>
      <c r="E887" s="1255" t="s">
        <v>11569</v>
      </c>
      <c r="F887" s="1255" t="s">
        <v>11591</v>
      </c>
      <c r="G887" s="1254" t="s">
        <v>128</v>
      </c>
      <c r="H887" s="1254" t="s">
        <v>16797</v>
      </c>
      <c r="I887" s="1256"/>
      <c r="J887" s="1256"/>
      <c r="K887" s="1257">
        <v>1178000.0</v>
      </c>
    </row>
    <row r="888">
      <c r="A888" s="1253" t="s">
        <v>2939</v>
      </c>
      <c r="B888" s="1254" t="s">
        <v>16798</v>
      </c>
      <c r="C888" s="1255" t="s">
        <v>2939</v>
      </c>
      <c r="D888" s="1255" t="s">
        <v>1755</v>
      </c>
      <c r="E888" s="1255" t="s">
        <v>11569</v>
      </c>
      <c r="F888" s="1255" t="s">
        <v>11591</v>
      </c>
      <c r="G888" s="1254" t="s">
        <v>130</v>
      </c>
      <c r="H888" s="1254" t="s">
        <v>16797</v>
      </c>
      <c r="I888" s="1256"/>
      <c r="J888" s="1256"/>
      <c r="K888" s="1257">
        <v>1178000.0</v>
      </c>
    </row>
    <row r="889">
      <c r="A889" s="1253" t="s">
        <v>2939</v>
      </c>
      <c r="B889" s="1254" t="s">
        <v>16799</v>
      </c>
      <c r="C889" s="1255" t="s">
        <v>2939</v>
      </c>
      <c r="D889" s="1255" t="s">
        <v>1756</v>
      </c>
      <c r="E889" s="1255" t="s">
        <v>11569</v>
      </c>
      <c r="F889" s="1255" t="s">
        <v>11591</v>
      </c>
      <c r="G889" s="1254" t="s">
        <v>202</v>
      </c>
      <c r="H889" s="1254" t="s">
        <v>16795</v>
      </c>
      <c r="I889" s="1256"/>
      <c r="J889" s="1256"/>
      <c r="K889" s="1257">
        <v>2355000.0</v>
      </c>
    </row>
    <row r="890">
      <c r="A890" s="1253" t="s">
        <v>2939</v>
      </c>
      <c r="B890" s="1254" t="s">
        <v>16800</v>
      </c>
      <c r="C890" s="1255" t="s">
        <v>2939</v>
      </c>
      <c r="D890" s="1255" t="s">
        <v>1757</v>
      </c>
      <c r="E890" s="1255" t="s">
        <v>11569</v>
      </c>
      <c r="F890" s="1255" t="s">
        <v>11591</v>
      </c>
      <c r="G890" s="1254" t="s">
        <v>236</v>
      </c>
      <c r="H890" s="1254" t="s">
        <v>16795</v>
      </c>
      <c r="I890" s="1256"/>
      <c r="J890" s="1256"/>
      <c r="K890" s="1257">
        <v>2355000.0</v>
      </c>
    </row>
    <row r="891">
      <c r="A891" s="1253" t="s">
        <v>16801</v>
      </c>
      <c r="B891" s="1254" t="s">
        <v>16802</v>
      </c>
      <c r="C891" s="1255" t="s">
        <v>2939</v>
      </c>
      <c r="D891" s="1255" t="s">
        <v>1015</v>
      </c>
      <c r="E891" s="1255" t="s">
        <v>11576</v>
      </c>
      <c r="F891" s="1255" t="s">
        <v>11570</v>
      </c>
      <c r="G891" s="1254" t="s">
        <v>22</v>
      </c>
      <c r="H891" s="1254" t="s">
        <v>1016</v>
      </c>
      <c r="I891" s="1258" t="s">
        <v>23</v>
      </c>
      <c r="J891" s="1259"/>
      <c r="K891" s="1257">
        <v>6720000.0</v>
      </c>
    </row>
    <row r="892">
      <c r="A892" s="1253" t="s">
        <v>2939</v>
      </c>
      <c r="B892" s="1254" t="s">
        <v>16803</v>
      </c>
      <c r="C892" s="1255" t="s">
        <v>2939</v>
      </c>
      <c r="D892" s="1255" t="s">
        <v>11947</v>
      </c>
      <c r="E892" s="1255" t="s">
        <v>11569</v>
      </c>
      <c r="F892" s="1255" t="s">
        <v>11570</v>
      </c>
      <c r="G892" s="1258" t="s">
        <v>22</v>
      </c>
      <c r="H892" s="1254" t="s">
        <v>11948</v>
      </c>
      <c r="I892" s="1258" t="s">
        <v>23</v>
      </c>
      <c r="J892" s="1259"/>
      <c r="K892" s="1257">
        <v>6720000.0</v>
      </c>
    </row>
    <row r="893">
      <c r="A893" s="1253" t="s">
        <v>2939</v>
      </c>
      <c r="B893" s="1254" t="s">
        <v>16804</v>
      </c>
      <c r="C893" s="1255" t="s">
        <v>2939</v>
      </c>
      <c r="D893" s="1255" t="s">
        <v>1758</v>
      </c>
      <c r="E893" s="1255" t="s">
        <v>11569</v>
      </c>
      <c r="F893" s="1255" t="s">
        <v>11570</v>
      </c>
      <c r="G893" s="1254" t="s">
        <v>22</v>
      </c>
      <c r="H893" s="1254" t="s">
        <v>1759</v>
      </c>
      <c r="I893" s="1254" t="s">
        <v>23</v>
      </c>
      <c r="J893" s="1256"/>
      <c r="K893" s="1257">
        <v>7390000.0</v>
      </c>
    </row>
    <row r="894">
      <c r="A894" s="1253" t="s">
        <v>16805</v>
      </c>
      <c r="B894" s="1254" t="s">
        <v>2939</v>
      </c>
      <c r="C894" s="1255" t="s">
        <v>2939</v>
      </c>
      <c r="D894" s="1255" t="s">
        <v>1017</v>
      </c>
      <c r="E894" s="1255" t="s">
        <v>11578</v>
      </c>
      <c r="F894" s="1255" t="s">
        <v>11579</v>
      </c>
      <c r="G894" s="1254" t="s">
        <v>41</v>
      </c>
      <c r="H894" s="1254" t="s">
        <v>1018</v>
      </c>
      <c r="I894" s="1258" t="s">
        <v>2193</v>
      </c>
      <c r="J894" s="1259"/>
      <c r="K894" s="1257">
        <v>4175000.0</v>
      </c>
    </row>
    <row r="895">
      <c r="A895" s="1253" t="s">
        <v>2939</v>
      </c>
      <c r="B895" s="1254" t="s">
        <v>16806</v>
      </c>
      <c r="C895" s="1255" t="s">
        <v>2939</v>
      </c>
      <c r="D895" s="1255" t="s">
        <v>11949</v>
      </c>
      <c r="E895" s="1255" t="s">
        <v>11569</v>
      </c>
      <c r="F895" s="1255" t="s">
        <v>11579</v>
      </c>
      <c r="G895" s="1258" t="s">
        <v>41</v>
      </c>
      <c r="H895" s="1258" t="s">
        <v>11950</v>
      </c>
      <c r="I895" s="1258" t="s">
        <v>2193</v>
      </c>
      <c r="J895" s="1259"/>
      <c r="K895" s="1257">
        <v>6000000.0</v>
      </c>
    </row>
    <row r="896">
      <c r="A896" s="1269"/>
      <c r="B896" s="1254" t="s">
        <v>16807</v>
      </c>
      <c r="C896" s="1255" t="s">
        <v>2939</v>
      </c>
      <c r="D896" s="1260" t="s">
        <v>11951</v>
      </c>
      <c r="E896" s="1255" t="s">
        <v>11569</v>
      </c>
      <c r="F896" s="1255" t="s">
        <v>11570</v>
      </c>
      <c r="G896" s="1258" t="s">
        <v>22</v>
      </c>
      <c r="H896" s="1258" t="s">
        <v>11952</v>
      </c>
      <c r="I896" s="1258" t="s">
        <v>23</v>
      </c>
      <c r="J896" s="1259"/>
      <c r="K896" s="1257">
        <v>8000000.0</v>
      </c>
    </row>
    <row r="897">
      <c r="A897" s="1270"/>
      <c r="B897" s="1251" t="s">
        <v>11953</v>
      </c>
      <c r="C897" s="1252"/>
      <c r="D897" s="1252"/>
      <c r="E897" s="1252"/>
      <c r="F897" s="1252"/>
      <c r="G897" s="1252"/>
      <c r="H897" s="1251" t="s">
        <v>11953</v>
      </c>
      <c r="I897" s="1252"/>
      <c r="J897" s="1252"/>
      <c r="K897" s="1252"/>
    </row>
    <row r="898">
      <c r="A898" s="1261" t="s">
        <v>2939</v>
      </c>
      <c r="B898" s="1254" t="s">
        <v>16808</v>
      </c>
      <c r="C898" s="1255" t="s">
        <v>2939</v>
      </c>
      <c r="D898" s="1260" t="s">
        <v>11954</v>
      </c>
      <c r="E898" s="1255" t="s">
        <v>11569</v>
      </c>
      <c r="F898" s="1255" t="s">
        <v>11570</v>
      </c>
      <c r="G898" s="1258" t="s">
        <v>22</v>
      </c>
      <c r="H898" s="1258" t="s">
        <v>11955</v>
      </c>
      <c r="I898" s="1258" t="s">
        <v>737</v>
      </c>
      <c r="J898" s="1259"/>
      <c r="K898" s="1257">
        <v>2700000.0</v>
      </c>
    </row>
    <row r="899">
      <c r="A899" s="1250" t="s">
        <v>11959</v>
      </c>
      <c r="B899" s="1251" t="s">
        <v>11959</v>
      </c>
      <c r="C899" s="1252"/>
      <c r="D899" s="1252"/>
      <c r="E899" s="1252"/>
      <c r="F899" s="1252"/>
      <c r="G899" s="1252"/>
      <c r="H899" s="1251" t="s">
        <v>11959</v>
      </c>
      <c r="I899" s="1252"/>
      <c r="J899" s="1252"/>
      <c r="K899" s="1252"/>
    </row>
    <row r="900">
      <c r="A900" s="1253" t="s">
        <v>2939</v>
      </c>
      <c r="B900" s="1254" t="s">
        <v>2939</v>
      </c>
      <c r="C900" s="1255" t="s">
        <v>16809</v>
      </c>
      <c r="D900" s="1255" t="s">
        <v>1575</v>
      </c>
      <c r="E900" s="1255" t="s">
        <v>11653</v>
      </c>
      <c r="F900" s="1260" t="s">
        <v>11570</v>
      </c>
      <c r="G900" s="1254" t="s">
        <v>22</v>
      </c>
      <c r="H900" s="1254" t="s">
        <v>1576</v>
      </c>
      <c r="I900" s="1258" t="s">
        <v>125</v>
      </c>
      <c r="J900" s="1259"/>
      <c r="K900" s="1257">
        <v>2100000.0</v>
      </c>
    </row>
    <row r="901">
      <c r="A901" s="1253" t="s">
        <v>2939</v>
      </c>
      <c r="B901" s="1254" t="s">
        <v>16810</v>
      </c>
      <c r="C901" s="1255" t="s">
        <v>2939</v>
      </c>
      <c r="D901" s="1255" t="s">
        <v>1813</v>
      </c>
      <c r="E901" s="1255" t="s">
        <v>11569</v>
      </c>
      <c r="F901" s="1255" t="s">
        <v>11570</v>
      </c>
      <c r="G901" s="1254" t="s">
        <v>22</v>
      </c>
      <c r="H901" s="1254" t="s">
        <v>1814</v>
      </c>
      <c r="I901" s="1258" t="s">
        <v>737</v>
      </c>
      <c r="J901" s="1259"/>
      <c r="K901" s="1257">
        <v>3818000.0</v>
      </c>
    </row>
    <row r="902">
      <c r="A902" s="1250" t="s">
        <v>11961</v>
      </c>
      <c r="B902" s="1251" t="s">
        <v>11961</v>
      </c>
      <c r="C902" s="1252"/>
      <c r="D902" s="1252"/>
      <c r="E902" s="1252"/>
      <c r="F902" s="1252"/>
      <c r="G902" s="1252"/>
      <c r="H902" s="1251" t="s">
        <v>11961</v>
      </c>
      <c r="I902" s="1252"/>
      <c r="J902" s="1252"/>
      <c r="K902" s="1252"/>
    </row>
    <row r="903">
      <c r="A903" s="1253" t="s">
        <v>2939</v>
      </c>
      <c r="B903" s="1254" t="s">
        <v>16811</v>
      </c>
      <c r="C903" s="1255" t="s">
        <v>2939</v>
      </c>
      <c r="D903" s="1255" t="s">
        <v>1762</v>
      </c>
      <c r="E903" s="1255" t="s">
        <v>11569</v>
      </c>
      <c r="F903" s="1255" t="s">
        <v>11570</v>
      </c>
      <c r="G903" s="1254" t="s">
        <v>22</v>
      </c>
      <c r="H903" s="1254" t="s">
        <v>1763</v>
      </c>
      <c r="I903" s="1258" t="s">
        <v>125</v>
      </c>
      <c r="J903" s="1259"/>
      <c r="K903" s="1257">
        <v>1848000.0</v>
      </c>
    </row>
    <row r="904">
      <c r="A904" s="1253" t="s">
        <v>16812</v>
      </c>
      <c r="B904" s="1254" t="s">
        <v>16813</v>
      </c>
      <c r="C904" s="1255" t="s">
        <v>2939</v>
      </c>
      <c r="D904" s="1255" t="s">
        <v>1019</v>
      </c>
      <c r="E904" s="1255" t="s">
        <v>11576</v>
      </c>
      <c r="F904" s="1255" t="s">
        <v>11579</v>
      </c>
      <c r="G904" s="1254" t="s">
        <v>41</v>
      </c>
      <c r="H904" s="1254" t="s">
        <v>1020</v>
      </c>
      <c r="I904" s="1258" t="s">
        <v>2193</v>
      </c>
      <c r="J904" s="1259"/>
      <c r="K904" s="1257">
        <v>1766000.0</v>
      </c>
    </row>
    <row r="905">
      <c r="A905" s="1253" t="s">
        <v>16814</v>
      </c>
      <c r="B905" s="1254" t="s">
        <v>16815</v>
      </c>
      <c r="C905" s="1255" t="s">
        <v>2939</v>
      </c>
      <c r="D905" s="1255" t="s">
        <v>1021</v>
      </c>
      <c r="E905" s="1255" t="s">
        <v>11576</v>
      </c>
      <c r="F905" s="1255" t="s">
        <v>11570</v>
      </c>
      <c r="G905" s="1254" t="s">
        <v>22</v>
      </c>
      <c r="H905" s="1254" t="s">
        <v>1022</v>
      </c>
      <c r="I905" s="1258" t="s">
        <v>97</v>
      </c>
      <c r="J905" s="1259"/>
      <c r="K905" s="1257">
        <v>894000.0</v>
      </c>
    </row>
    <row r="906">
      <c r="A906" s="1253" t="s">
        <v>2939</v>
      </c>
      <c r="B906" s="1254" t="s">
        <v>16815</v>
      </c>
      <c r="C906" s="1255" t="s">
        <v>2939</v>
      </c>
      <c r="D906" s="1255" t="s">
        <v>1021</v>
      </c>
      <c r="E906" s="1255" t="s">
        <v>11653</v>
      </c>
      <c r="F906" s="1255" t="s">
        <v>11570</v>
      </c>
      <c r="G906" s="1254" t="s">
        <v>22</v>
      </c>
      <c r="H906" s="1254" t="s">
        <v>1022</v>
      </c>
      <c r="I906" s="1258" t="s">
        <v>97</v>
      </c>
      <c r="J906" s="1259"/>
      <c r="K906" s="1257">
        <v>1027000.0</v>
      </c>
    </row>
    <row r="907">
      <c r="A907" s="1253" t="s">
        <v>2939</v>
      </c>
      <c r="B907" s="1254" t="s">
        <v>2939</v>
      </c>
      <c r="C907" s="1255" t="s">
        <v>16816</v>
      </c>
      <c r="D907" s="1255" t="s">
        <v>2041</v>
      </c>
      <c r="E907" s="1255" t="s">
        <v>11653</v>
      </c>
      <c r="F907" s="1255" t="s">
        <v>11579</v>
      </c>
      <c r="G907" s="1254" t="s">
        <v>41</v>
      </c>
      <c r="H907" s="1254" t="s">
        <v>2042</v>
      </c>
      <c r="I907" s="1259"/>
      <c r="J907" s="1259"/>
      <c r="K907" s="1257">
        <v>515000.0</v>
      </c>
    </row>
    <row r="908">
      <c r="A908" s="1253" t="s">
        <v>2939</v>
      </c>
      <c r="B908" s="1254" t="s">
        <v>16817</v>
      </c>
      <c r="C908" s="1255" t="s">
        <v>16818</v>
      </c>
      <c r="D908" s="1255" t="s">
        <v>1766</v>
      </c>
      <c r="E908" s="1255" t="s">
        <v>11654</v>
      </c>
      <c r="F908" s="1255" t="s">
        <v>11570</v>
      </c>
      <c r="G908" s="1254" t="s">
        <v>22</v>
      </c>
      <c r="H908" s="1254" t="s">
        <v>1767</v>
      </c>
      <c r="I908" s="1258" t="s">
        <v>97</v>
      </c>
      <c r="J908" s="1259"/>
      <c r="K908" s="1257">
        <v>1560000.0</v>
      </c>
    </row>
    <row r="909">
      <c r="A909" s="1253" t="s">
        <v>2939</v>
      </c>
      <c r="B909" s="1254" t="s">
        <v>16819</v>
      </c>
      <c r="C909" s="1255" t="s">
        <v>2939</v>
      </c>
      <c r="D909" s="1255" t="s">
        <v>1815</v>
      </c>
      <c r="E909" s="1255" t="s">
        <v>11569</v>
      </c>
      <c r="F909" s="1255" t="s">
        <v>11579</v>
      </c>
      <c r="G909" s="1254" t="s">
        <v>41</v>
      </c>
      <c r="H909" s="1254" t="s">
        <v>1767</v>
      </c>
      <c r="I909" s="1258" t="s">
        <v>2193</v>
      </c>
      <c r="J909" s="1259"/>
      <c r="K909" s="1257">
        <v>993000.0</v>
      </c>
    </row>
    <row r="910">
      <c r="A910" s="1253" t="s">
        <v>2939</v>
      </c>
      <c r="B910" s="1254" t="s">
        <v>16820</v>
      </c>
      <c r="C910" s="1255" t="s">
        <v>2939</v>
      </c>
      <c r="D910" s="1255" t="s">
        <v>1771</v>
      </c>
      <c r="E910" s="1255" t="s">
        <v>11569</v>
      </c>
      <c r="F910" s="1255" t="s">
        <v>11579</v>
      </c>
      <c r="G910" s="1254" t="s">
        <v>41</v>
      </c>
      <c r="H910" s="1254" t="s">
        <v>1772</v>
      </c>
      <c r="I910" s="1258" t="s">
        <v>2193</v>
      </c>
      <c r="J910" s="1259"/>
      <c r="K910" s="1257">
        <v>1021000.0</v>
      </c>
    </row>
    <row r="911">
      <c r="A911" s="1253" t="s">
        <v>2939</v>
      </c>
      <c r="B911" s="1254" t="s">
        <v>16821</v>
      </c>
      <c r="C911" s="1255" t="s">
        <v>2939</v>
      </c>
      <c r="D911" s="1255" t="s">
        <v>1790</v>
      </c>
      <c r="E911" s="1255" t="s">
        <v>11569</v>
      </c>
      <c r="F911" s="1255" t="s">
        <v>11570</v>
      </c>
      <c r="G911" s="1254" t="s">
        <v>22</v>
      </c>
      <c r="H911" s="1254" t="s">
        <v>11963</v>
      </c>
      <c r="I911" s="1258" t="s">
        <v>125</v>
      </c>
      <c r="J911" s="1259"/>
      <c r="K911" s="1257">
        <v>1236000.0</v>
      </c>
    </row>
    <row r="912">
      <c r="A912" s="1253" t="s">
        <v>2939</v>
      </c>
      <c r="B912" s="1254" t="s">
        <v>16822</v>
      </c>
      <c r="C912" s="1255" t="s">
        <v>2939</v>
      </c>
      <c r="D912" s="1255" t="s">
        <v>1774</v>
      </c>
      <c r="E912" s="1255" t="s">
        <v>11569</v>
      </c>
      <c r="F912" s="1255" t="s">
        <v>11579</v>
      </c>
      <c r="G912" s="1254" t="s">
        <v>41</v>
      </c>
      <c r="H912" s="1254" t="s">
        <v>11964</v>
      </c>
      <c r="I912" s="1258" t="s">
        <v>2193</v>
      </c>
      <c r="J912" s="1259"/>
      <c r="K912" s="1257">
        <v>1021000.0</v>
      </c>
    </row>
    <row r="913">
      <c r="A913" s="1253" t="s">
        <v>2939</v>
      </c>
      <c r="B913" s="1254" t="s">
        <v>16823</v>
      </c>
      <c r="C913" s="1255" t="s">
        <v>2939</v>
      </c>
      <c r="D913" s="1255" t="s">
        <v>1776</v>
      </c>
      <c r="E913" s="1255" t="s">
        <v>11569</v>
      </c>
      <c r="F913" s="1255" t="s">
        <v>11591</v>
      </c>
      <c r="G913" s="1254" t="s">
        <v>236</v>
      </c>
      <c r="H913" s="1254" t="s">
        <v>11964</v>
      </c>
      <c r="I913" s="1258" t="s">
        <v>97</v>
      </c>
      <c r="J913" s="1259"/>
      <c r="K913" s="1257">
        <v>426000.0</v>
      </c>
    </row>
    <row r="914">
      <c r="A914" s="1253" t="s">
        <v>2939</v>
      </c>
      <c r="B914" s="1254" t="s">
        <v>16824</v>
      </c>
      <c r="C914" s="1255" t="s">
        <v>2939</v>
      </c>
      <c r="D914" s="1255" t="s">
        <v>1777</v>
      </c>
      <c r="E914" s="1255" t="s">
        <v>11569</v>
      </c>
      <c r="F914" s="1255" t="s">
        <v>11591</v>
      </c>
      <c r="G914" s="1254" t="s">
        <v>202</v>
      </c>
      <c r="H914" s="1254" t="s">
        <v>11964</v>
      </c>
      <c r="I914" s="1258" t="s">
        <v>97</v>
      </c>
      <c r="J914" s="1259"/>
      <c r="K914" s="1257">
        <v>426000.0</v>
      </c>
    </row>
    <row r="915">
      <c r="A915" s="1253" t="s">
        <v>2939</v>
      </c>
      <c r="B915" s="1254" t="s">
        <v>16825</v>
      </c>
      <c r="C915" s="1255" t="s">
        <v>2939</v>
      </c>
      <c r="D915" s="1255" t="s">
        <v>1778</v>
      </c>
      <c r="E915" s="1255" t="s">
        <v>11569</v>
      </c>
      <c r="F915" s="1255" t="s">
        <v>11579</v>
      </c>
      <c r="G915" s="1254" t="s">
        <v>41</v>
      </c>
      <c r="H915" s="1254" t="s">
        <v>1779</v>
      </c>
      <c r="I915" s="1258" t="s">
        <v>2193</v>
      </c>
      <c r="J915" s="1259"/>
      <c r="K915" s="1257">
        <v>1021000.0</v>
      </c>
    </row>
    <row r="916">
      <c r="A916" s="1253" t="s">
        <v>2939</v>
      </c>
      <c r="B916" s="1254" t="s">
        <v>16826</v>
      </c>
      <c r="C916" s="1255" t="s">
        <v>2939</v>
      </c>
      <c r="D916" s="1260" t="s">
        <v>2004</v>
      </c>
      <c r="E916" s="1255" t="s">
        <v>11569</v>
      </c>
      <c r="F916" s="1255" t="s">
        <v>11570</v>
      </c>
      <c r="G916" s="1254" t="s">
        <v>22</v>
      </c>
      <c r="H916" s="1254" t="s">
        <v>16827</v>
      </c>
      <c r="I916" s="1258" t="s">
        <v>125</v>
      </c>
      <c r="J916" s="1259"/>
      <c r="K916" s="1257">
        <v>1118000.0</v>
      </c>
    </row>
    <row r="917">
      <c r="A917" s="1253" t="s">
        <v>2939</v>
      </c>
      <c r="B917" s="1254" t="s">
        <v>16828</v>
      </c>
      <c r="C917" s="1255" t="s">
        <v>2939</v>
      </c>
      <c r="D917" s="1260" t="s">
        <v>1782</v>
      </c>
      <c r="E917" s="1255" t="s">
        <v>11569</v>
      </c>
      <c r="F917" s="1255" t="s">
        <v>11579</v>
      </c>
      <c r="G917" s="1254" t="s">
        <v>41</v>
      </c>
      <c r="H917" s="1254" t="s">
        <v>16827</v>
      </c>
      <c r="I917" s="1258" t="s">
        <v>2193</v>
      </c>
      <c r="J917" s="1259"/>
      <c r="K917" s="1257">
        <v>1064000.0</v>
      </c>
    </row>
    <row r="918">
      <c r="A918" s="1253" t="s">
        <v>2939</v>
      </c>
      <c r="B918" s="1254" t="s">
        <v>16829</v>
      </c>
      <c r="C918" s="1255" t="s">
        <v>2939</v>
      </c>
      <c r="D918" s="1255" t="s">
        <v>11966</v>
      </c>
      <c r="E918" s="1255" t="s">
        <v>11569</v>
      </c>
      <c r="F918" s="1255" t="s">
        <v>11570</v>
      </c>
      <c r="G918" s="1258" t="s">
        <v>22</v>
      </c>
      <c r="H918" s="1262" t="s">
        <v>11967</v>
      </c>
      <c r="I918" s="1258" t="s">
        <v>125</v>
      </c>
      <c r="J918" s="1259"/>
      <c r="K918" s="1257">
        <v>1450000.0</v>
      </c>
    </row>
    <row r="919">
      <c r="A919" s="1253" t="s">
        <v>2939</v>
      </c>
      <c r="B919" s="1254" t="s">
        <v>16830</v>
      </c>
      <c r="C919" s="1255" t="s">
        <v>2939</v>
      </c>
      <c r="D919" s="1255" t="s">
        <v>11968</v>
      </c>
      <c r="E919" s="1255" t="s">
        <v>11569</v>
      </c>
      <c r="F919" s="1255" t="s">
        <v>11570</v>
      </c>
      <c r="G919" s="1258" t="s">
        <v>22</v>
      </c>
      <c r="H919" s="1254" t="s">
        <v>11967</v>
      </c>
      <c r="I919" s="1258" t="s">
        <v>75</v>
      </c>
      <c r="J919" s="1259"/>
      <c r="K919" s="1257">
        <v>1550000.0</v>
      </c>
    </row>
    <row r="920">
      <c r="A920" s="1253" t="s">
        <v>2939</v>
      </c>
      <c r="B920" s="1254" t="s">
        <v>16831</v>
      </c>
      <c r="C920" s="1255" t="s">
        <v>16832</v>
      </c>
      <c r="D920" s="1255" t="s">
        <v>1784</v>
      </c>
      <c r="E920" s="1255" t="s">
        <v>11654</v>
      </c>
      <c r="F920" s="1255" t="s">
        <v>11570</v>
      </c>
      <c r="G920" s="1254" t="s">
        <v>22</v>
      </c>
      <c r="H920" s="1254" t="s">
        <v>11970</v>
      </c>
      <c r="I920" s="1259"/>
      <c r="J920" s="1259"/>
      <c r="K920" s="1257">
        <v>732000.0</v>
      </c>
    </row>
    <row r="921">
      <c r="A921" s="1253" t="s">
        <v>2939</v>
      </c>
      <c r="B921" s="1254" t="s">
        <v>16833</v>
      </c>
      <c r="C921" s="1255" t="s">
        <v>2939</v>
      </c>
      <c r="D921" s="1255" t="s">
        <v>1994</v>
      </c>
      <c r="E921" s="1255" t="s">
        <v>11569</v>
      </c>
      <c r="F921" s="1255" t="s">
        <v>11570</v>
      </c>
      <c r="G921" s="1254" t="s">
        <v>22</v>
      </c>
      <c r="H921" s="1254" t="s">
        <v>1995</v>
      </c>
      <c r="I921" s="1259"/>
      <c r="J921" s="1259"/>
      <c r="K921" s="1257">
        <v>840000.0</v>
      </c>
    </row>
    <row r="922">
      <c r="A922" s="1253" t="s">
        <v>16834</v>
      </c>
      <c r="B922" s="1254" t="s">
        <v>16835</v>
      </c>
      <c r="C922" s="1255" t="s">
        <v>16836</v>
      </c>
      <c r="D922" s="1255" t="s">
        <v>1023</v>
      </c>
      <c r="E922" s="1255" t="s">
        <v>11630</v>
      </c>
      <c r="F922" s="1255" t="s">
        <v>11570</v>
      </c>
      <c r="G922" s="1254" t="s">
        <v>22</v>
      </c>
      <c r="H922" s="1254" t="s">
        <v>1024</v>
      </c>
      <c r="I922" s="1258" t="s">
        <v>97</v>
      </c>
      <c r="J922" s="1259"/>
      <c r="K922" s="1257">
        <v>960000.0</v>
      </c>
    </row>
    <row r="923">
      <c r="A923" s="1253" t="s">
        <v>2939</v>
      </c>
      <c r="B923" s="1254" t="s">
        <v>16837</v>
      </c>
      <c r="C923" s="1255" t="s">
        <v>2939</v>
      </c>
      <c r="D923" s="1255" t="s">
        <v>1962</v>
      </c>
      <c r="E923" s="1255" t="s">
        <v>11569</v>
      </c>
      <c r="F923" s="1255" t="s">
        <v>11579</v>
      </c>
      <c r="G923" s="1254" t="s">
        <v>41</v>
      </c>
      <c r="H923" s="1254" t="s">
        <v>1024</v>
      </c>
      <c r="I923" s="1258" t="s">
        <v>97</v>
      </c>
      <c r="J923" s="1266">
        <v>258000.0</v>
      </c>
      <c r="K923" s="1257">
        <v>531000.0</v>
      </c>
    </row>
    <row r="924">
      <c r="A924" s="1253" t="s">
        <v>2939</v>
      </c>
      <c r="B924" s="1254" t="s">
        <v>2939</v>
      </c>
      <c r="C924" s="1255" t="s">
        <v>16838</v>
      </c>
      <c r="D924" s="1255" t="s">
        <v>2087</v>
      </c>
      <c r="E924" s="1255" t="s">
        <v>11653</v>
      </c>
      <c r="F924" s="1255" t="s">
        <v>11591</v>
      </c>
      <c r="G924" s="1254" t="s">
        <v>128</v>
      </c>
      <c r="H924" s="1254" t="s">
        <v>2088</v>
      </c>
      <c r="I924" s="1259"/>
      <c r="J924" s="1259"/>
      <c r="K924" s="1257">
        <v>227000.0</v>
      </c>
    </row>
    <row r="925">
      <c r="A925" s="1253" t="s">
        <v>2939</v>
      </c>
      <c r="B925" s="1254" t="s">
        <v>2939</v>
      </c>
      <c r="C925" s="1255" t="s">
        <v>16839</v>
      </c>
      <c r="D925" s="1255" t="s">
        <v>2089</v>
      </c>
      <c r="E925" s="1255" t="s">
        <v>11653</v>
      </c>
      <c r="F925" s="1255" t="s">
        <v>11591</v>
      </c>
      <c r="G925" s="1254" t="s">
        <v>130</v>
      </c>
      <c r="H925" s="1254" t="s">
        <v>2088</v>
      </c>
      <c r="I925" s="1259"/>
      <c r="J925" s="1259"/>
      <c r="K925" s="1257">
        <v>227000.0</v>
      </c>
    </row>
    <row r="926">
      <c r="A926" s="1253" t="s">
        <v>2939</v>
      </c>
      <c r="B926" s="1254" t="s">
        <v>2939</v>
      </c>
      <c r="C926" s="1255" t="s">
        <v>16840</v>
      </c>
      <c r="D926" s="1255" t="s">
        <v>2090</v>
      </c>
      <c r="E926" s="1255" t="s">
        <v>11653</v>
      </c>
      <c r="F926" s="1255" t="s">
        <v>11591</v>
      </c>
      <c r="G926" s="1254" t="s">
        <v>132</v>
      </c>
      <c r="H926" s="1254" t="s">
        <v>2088</v>
      </c>
      <c r="I926" s="1259"/>
      <c r="J926" s="1259"/>
      <c r="K926" s="1257">
        <v>225000.0</v>
      </c>
    </row>
    <row r="927">
      <c r="A927" s="1253" t="s">
        <v>2939</v>
      </c>
      <c r="B927" s="1254" t="s">
        <v>2939</v>
      </c>
      <c r="C927" s="1255" t="s">
        <v>16841</v>
      </c>
      <c r="D927" s="1255" t="s">
        <v>2091</v>
      </c>
      <c r="E927" s="1255" t="s">
        <v>11653</v>
      </c>
      <c r="F927" s="1255" t="s">
        <v>11591</v>
      </c>
      <c r="G927" s="1254" t="s">
        <v>134</v>
      </c>
      <c r="H927" s="1254" t="s">
        <v>2088</v>
      </c>
      <c r="I927" s="1259"/>
      <c r="J927" s="1259"/>
      <c r="K927" s="1257">
        <v>225000.0</v>
      </c>
    </row>
    <row r="928">
      <c r="A928" s="1253" t="s">
        <v>2939</v>
      </c>
      <c r="B928" s="1254" t="s">
        <v>16842</v>
      </c>
      <c r="C928" s="1255" t="s">
        <v>16843</v>
      </c>
      <c r="D928" s="1255" t="s">
        <v>1793</v>
      </c>
      <c r="E928" s="1255" t="s">
        <v>11569</v>
      </c>
      <c r="F928" s="1255" t="s">
        <v>11570</v>
      </c>
      <c r="G928" s="1254" t="s">
        <v>22</v>
      </c>
      <c r="H928" s="1254" t="s">
        <v>1794</v>
      </c>
      <c r="I928" s="1258" t="s">
        <v>97</v>
      </c>
      <c r="J928" s="1259"/>
      <c r="K928" s="1257">
        <v>1154000.0</v>
      </c>
    </row>
    <row r="929">
      <c r="A929" s="1253" t="s">
        <v>2939</v>
      </c>
      <c r="B929" s="1254" t="s">
        <v>16844</v>
      </c>
      <c r="C929" s="1255" t="s">
        <v>2939</v>
      </c>
      <c r="D929" s="1260" t="s">
        <v>1795</v>
      </c>
      <c r="E929" s="1255" t="s">
        <v>11569</v>
      </c>
      <c r="F929" s="1255" t="s">
        <v>11579</v>
      </c>
      <c r="G929" s="1254" t="s">
        <v>41</v>
      </c>
      <c r="H929" s="1262" t="s">
        <v>1794</v>
      </c>
      <c r="I929" s="1258" t="s">
        <v>2193</v>
      </c>
      <c r="J929" s="1259"/>
      <c r="K929" s="1257">
        <v>435000.0</v>
      </c>
    </row>
    <row r="930">
      <c r="A930" s="1253" t="s">
        <v>2939</v>
      </c>
      <c r="B930" s="1254" t="s">
        <v>2939</v>
      </c>
      <c r="C930" s="1255" t="s">
        <v>16845</v>
      </c>
      <c r="D930" s="1255" t="s">
        <v>2187</v>
      </c>
      <c r="E930" s="1255" t="s">
        <v>11653</v>
      </c>
      <c r="F930" s="1255" t="s">
        <v>11570</v>
      </c>
      <c r="G930" s="1254" t="s">
        <v>22</v>
      </c>
      <c r="H930" s="1254" t="s">
        <v>11971</v>
      </c>
      <c r="I930" s="1259"/>
      <c r="J930" s="1259"/>
      <c r="K930" s="1257">
        <v>1260000.0</v>
      </c>
    </row>
    <row r="931">
      <c r="A931" s="1253" t="s">
        <v>2939</v>
      </c>
      <c r="B931" s="1254" t="s">
        <v>16846</v>
      </c>
      <c r="C931" s="1255" t="s">
        <v>16847</v>
      </c>
      <c r="D931" s="1255" t="s">
        <v>1796</v>
      </c>
      <c r="E931" s="1255" t="s">
        <v>11654</v>
      </c>
      <c r="F931" s="1255" t="s">
        <v>11570</v>
      </c>
      <c r="G931" s="1254" t="s">
        <v>22</v>
      </c>
      <c r="H931" s="1254" t="s">
        <v>1797</v>
      </c>
      <c r="I931" s="1258" t="s">
        <v>125</v>
      </c>
      <c r="J931" s="1259"/>
      <c r="K931" s="1257">
        <v>1430000.0</v>
      </c>
    </row>
    <row r="932">
      <c r="A932" s="1253" t="s">
        <v>2939</v>
      </c>
      <c r="B932" s="1254" t="s">
        <v>16848</v>
      </c>
      <c r="C932" s="1255" t="s">
        <v>2939</v>
      </c>
      <c r="D932" s="1260" t="s">
        <v>1956</v>
      </c>
      <c r="E932" s="1255" t="s">
        <v>11569</v>
      </c>
      <c r="F932" s="1255" t="s">
        <v>11579</v>
      </c>
      <c r="G932" s="1254" t="s">
        <v>41</v>
      </c>
      <c r="H932" s="1254" t="s">
        <v>1797</v>
      </c>
      <c r="I932" s="1258" t="s">
        <v>2193</v>
      </c>
      <c r="J932" s="1259"/>
      <c r="K932" s="1257">
        <v>1523000.0</v>
      </c>
    </row>
    <row r="933">
      <c r="A933" s="1253" t="s">
        <v>2939</v>
      </c>
      <c r="B933" s="1254" t="s">
        <v>16849</v>
      </c>
      <c r="C933" s="1255" t="s">
        <v>2939</v>
      </c>
      <c r="D933" s="1255" t="s">
        <v>1798</v>
      </c>
      <c r="E933" s="1255" t="s">
        <v>11569</v>
      </c>
      <c r="F933" s="1255" t="s">
        <v>11570</v>
      </c>
      <c r="G933" s="1254" t="s">
        <v>22</v>
      </c>
      <c r="H933" s="1254" t="s">
        <v>1799</v>
      </c>
      <c r="I933" s="1258" t="s">
        <v>125</v>
      </c>
      <c r="J933" s="1259"/>
      <c r="K933" s="1257">
        <v>1080000.0</v>
      </c>
    </row>
    <row r="934">
      <c r="A934" s="1253" t="s">
        <v>2939</v>
      </c>
      <c r="B934" s="1254" t="s">
        <v>16850</v>
      </c>
      <c r="C934" s="1255" t="s">
        <v>2939</v>
      </c>
      <c r="D934" s="1255" t="s">
        <v>1800</v>
      </c>
      <c r="E934" s="1255" t="s">
        <v>11569</v>
      </c>
      <c r="F934" s="1255" t="s">
        <v>11579</v>
      </c>
      <c r="G934" s="1254" t="s">
        <v>41</v>
      </c>
      <c r="H934" s="1254" t="s">
        <v>1799</v>
      </c>
      <c r="I934" s="1258" t="s">
        <v>2193</v>
      </c>
      <c r="J934" s="1259"/>
      <c r="K934" s="1257">
        <v>1070000.0</v>
      </c>
    </row>
    <row r="935">
      <c r="A935" s="1253" t="s">
        <v>2939</v>
      </c>
      <c r="B935" s="1254" t="s">
        <v>16851</v>
      </c>
      <c r="C935" s="1255" t="s">
        <v>16852</v>
      </c>
      <c r="D935" s="1255" t="s">
        <v>1801</v>
      </c>
      <c r="E935" s="1255" t="s">
        <v>11654</v>
      </c>
      <c r="F935" s="1255" t="s">
        <v>11570</v>
      </c>
      <c r="G935" s="1254" t="s">
        <v>22</v>
      </c>
      <c r="H935" s="1254" t="s">
        <v>1802</v>
      </c>
      <c r="I935" s="1258" t="s">
        <v>97</v>
      </c>
      <c r="J935" s="1259"/>
      <c r="K935" s="1257">
        <v>1193000.0</v>
      </c>
    </row>
    <row r="936">
      <c r="A936" s="1253" t="s">
        <v>2939</v>
      </c>
      <c r="B936" s="1254" t="s">
        <v>16853</v>
      </c>
      <c r="C936" s="1255" t="s">
        <v>2939</v>
      </c>
      <c r="D936" s="1255" t="s">
        <v>1803</v>
      </c>
      <c r="E936" s="1255" t="s">
        <v>11569</v>
      </c>
      <c r="F936" s="1255" t="s">
        <v>11579</v>
      </c>
      <c r="G936" s="1254" t="s">
        <v>41</v>
      </c>
      <c r="H936" s="1254" t="s">
        <v>1802</v>
      </c>
      <c r="I936" s="1258" t="s">
        <v>1377</v>
      </c>
      <c r="J936" s="1266">
        <v>425000.0</v>
      </c>
      <c r="K936" s="1257">
        <v>849000.0</v>
      </c>
    </row>
    <row r="937">
      <c r="A937" s="1253" t="s">
        <v>2939</v>
      </c>
      <c r="B937" s="1254" t="s">
        <v>16854</v>
      </c>
      <c r="C937" s="1255" t="s">
        <v>2939</v>
      </c>
      <c r="D937" s="1260" t="s">
        <v>1804</v>
      </c>
      <c r="E937" s="1255" t="s">
        <v>11569</v>
      </c>
      <c r="F937" s="1255" t="s">
        <v>11570</v>
      </c>
      <c r="G937" s="1254" t="s">
        <v>22</v>
      </c>
      <c r="H937" s="1254" t="s">
        <v>1805</v>
      </c>
      <c r="I937" s="1258" t="s">
        <v>97</v>
      </c>
      <c r="J937" s="1259"/>
      <c r="K937" s="1257">
        <v>2042000.0</v>
      </c>
    </row>
    <row r="938">
      <c r="A938" s="1253" t="s">
        <v>2939</v>
      </c>
      <c r="B938" s="1254" t="s">
        <v>16855</v>
      </c>
      <c r="C938" s="1255" t="s">
        <v>2939</v>
      </c>
      <c r="D938" s="1260" t="s">
        <v>1806</v>
      </c>
      <c r="E938" s="1255" t="s">
        <v>11569</v>
      </c>
      <c r="F938" s="1255" t="s">
        <v>11579</v>
      </c>
      <c r="G938" s="1254" t="s">
        <v>41</v>
      </c>
      <c r="H938" s="1254" t="s">
        <v>1805</v>
      </c>
      <c r="I938" s="1258" t="s">
        <v>2193</v>
      </c>
      <c r="J938" s="1259"/>
      <c r="K938" s="1257">
        <v>1890000.0</v>
      </c>
    </row>
    <row r="939">
      <c r="A939" s="1253" t="s">
        <v>2939</v>
      </c>
      <c r="B939" s="1254" t="s">
        <v>16856</v>
      </c>
      <c r="C939" s="1255" t="s">
        <v>2939</v>
      </c>
      <c r="D939" s="1255" t="s">
        <v>1915</v>
      </c>
      <c r="E939" s="1255" t="s">
        <v>11569</v>
      </c>
      <c r="F939" s="1255" t="s">
        <v>11570</v>
      </c>
      <c r="G939" s="1254" t="s">
        <v>22</v>
      </c>
      <c r="H939" s="1254" t="s">
        <v>1808</v>
      </c>
      <c r="I939" s="1258" t="s">
        <v>97</v>
      </c>
      <c r="J939" s="1259"/>
      <c r="K939" s="1257">
        <v>1045000.0</v>
      </c>
    </row>
    <row r="940">
      <c r="A940" s="1253" t="s">
        <v>2939</v>
      </c>
      <c r="B940" s="1254" t="s">
        <v>16857</v>
      </c>
      <c r="C940" s="1255" t="s">
        <v>2939</v>
      </c>
      <c r="D940" s="1255" t="s">
        <v>1807</v>
      </c>
      <c r="E940" s="1255" t="s">
        <v>11569</v>
      </c>
      <c r="F940" s="1255" t="s">
        <v>11579</v>
      </c>
      <c r="G940" s="1254" t="s">
        <v>41</v>
      </c>
      <c r="H940" s="1254" t="s">
        <v>1808</v>
      </c>
      <c r="I940" s="1258" t="s">
        <v>2193</v>
      </c>
      <c r="J940" s="1259"/>
      <c r="K940" s="1257">
        <v>706000.0</v>
      </c>
    </row>
    <row r="941">
      <c r="A941" s="1253" t="s">
        <v>2939</v>
      </c>
      <c r="B941" s="1254" t="s">
        <v>16858</v>
      </c>
      <c r="C941" s="1255" t="s">
        <v>2939</v>
      </c>
      <c r="D941" s="1255" t="s">
        <v>1809</v>
      </c>
      <c r="E941" s="1255" t="s">
        <v>11569</v>
      </c>
      <c r="F941" s="1255" t="s">
        <v>11570</v>
      </c>
      <c r="G941" s="1254" t="s">
        <v>22</v>
      </c>
      <c r="H941" s="1254" t="s">
        <v>1810</v>
      </c>
      <c r="I941" s="1258" t="s">
        <v>97</v>
      </c>
      <c r="J941" s="1259"/>
      <c r="K941" s="1257">
        <v>1541000.0</v>
      </c>
    </row>
    <row r="942">
      <c r="A942" s="1253" t="s">
        <v>2939</v>
      </c>
      <c r="B942" s="1254" t="s">
        <v>16859</v>
      </c>
      <c r="C942" s="1255" t="s">
        <v>2939</v>
      </c>
      <c r="D942" s="1260" t="s">
        <v>1464</v>
      </c>
      <c r="E942" s="1255" t="s">
        <v>11569</v>
      </c>
      <c r="F942" s="1255" t="s">
        <v>11579</v>
      </c>
      <c r="G942" s="1254" t="s">
        <v>41</v>
      </c>
      <c r="H942" s="1262" t="s">
        <v>1810</v>
      </c>
      <c r="I942" s="1258" t="s">
        <v>533</v>
      </c>
      <c r="J942" s="1259"/>
      <c r="K942" s="1257">
        <v>1070000.0</v>
      </c>
    </row>
    <row r="943">
      <c r="A943" s="1253" t="s">
        <v>2939</v>
      </c>
      <c r="B943" s="1254" t="s">
        <v>2939</v>
      </c>
      <c r="C943" s="1255" t="s">
        <v>16860</v>
      </c>
      <c r="D943" s="1255" t="s">
        <v>2093</v>
      </c>
      <c r="E943" s="1255" t="s">
        <v>11653</v>
      </c>
      <c r="F943" s="1255" t="s">
        <v>11570</v>
      </c>
      <c r="G943" s="1254" t="s">
        <v>22</v>
      </c>
      <c r="H943" s="1254" t="s">
        <v>1454</v>
      </c>
      <c r="I943" s="1259"/>
      <c r="J943" s="1259"/>
      <c r="K943" s="1257">
        <v>641000.0</v>
      </c>
    </row>
    <row r="944">
      <c r="A944" s="1253" t="s">
        <v>2939</v>
      </c>
      <c r="B944" s="1254" t="s">
        <v>16861</v>
      </c>
      <c r="C944" s="1255" t="s">
        <v>16862</v>
      </c>
      <c r="D944" s="1255" t="s">
        <v>1025</v>
      </c>
      <c r="E944" s="1255" t="s">
        <v>11654</v>
      </c>
      <c r="F944" s="1255" t="s">
        <v>11570</v>
      </c>
      <c r="G944" s="1254" t="s">
        <v>22</v>
      </c>
      <c r="H944" s="1254" t="s">
        <v>1026</v>
      </c>
      <c r="I944" s="1258" t="s">
        <v>97</v>
      </c>
      <c r="J944" s="1259"/>
      <c r="K944" s="1257">
        <v>1645000.0</v>
      </c>
    </row>
    <row r="945">
      <c r="A945" s="1253" t="s">
        <v>2939</v>
      </c>
      <c r="B945" s="1254" t="s">
        <v>16863</v>
      </c>
      <c r="C945" s="1255" t="s">
        <v>2939</v>
      </c>
      <c r="D945" s="1255" t="s">
        <v>1914</v>
      </c>
      <c r="E945" s="1255" t="s">
        <v>11569</v>
      </c>
      <c r="F945" s="1255" t="s">
        <v>11570</v>
      </c>
      <c r="G945" s="1254" t="s">
        <v>22</v>
      </c>
      <c r="H945" s="1254" t="s">
        <v>1406</v>
      </c>
      <c r="I945" s="1258" t="s">
        <v>97</v>
      </c>
      <c r="J945" s="1259"/>
      <c r="K945" s="1257">
        <v>1294000.0</v>
      </c>
    </row>
    <row r="946">
      <c r="A946" s="1253" t="s">
        <v>2939</v>
      </c>
      <c r="B946" s="1254" t="s">
        <v>16864</v>
      </c>
      <c r="C946" s="1255" t="s">
        <v>2939</v>
      </c>
      <c r="D946" s="1255" t="s">
        <v>1811</v>
      </c>
      <c r="E946" s="1255" t="s">
        <v>11569</v>
      </c>
      <c r="F946" s="1255" t="s">
        <v>11579</v>
      </c>
      <c r="G946" s="1254" t="s">
        <v>41</v>
      </c>
      <c r="H946" s="1254" t="s">
        <v>1406</v>
      </c>
      <c r="I946" s="1258" t="s">
        <v>1377</v>
      </c>
      <c r="J946" s="1259"/>
      <c r="K946" s="1257">
        <v>840000.0</v>
      </c>
    </row>
    <row r="947">
      <c r="A947" s="1253" t="s">
        <v>2939</v>
      </c>
      <c r="B947" s="1254" t="s">
        <v>2939</v>
      </c>
      <c r="C947" s="1255" t="s">
        <v>16865</v>
      </c>
      <c r="D947" s="1255" t="s">
        <v>1482</v>
      </c>
      <c r="E947" s="1255" t="s">
        <v>11653</v>
      </c>
      <c r="F947" s="1255" t="s">
        <v>11570</v>
      </c>
      <c r="G947" s="1254" t="s">
        <v>22</v>
      </c>
      <c r="H947" s="1254" t="s">
        <v>1483</v>
      </c>
      <c r="I947" s="1259"/>
      <c r="J947" s="1259"/>
      <c r="K947" s="1257">
        <v>1296000.0</v>
      </c>
    </row>
    <row r="948">
      <c r="A948" s="1253" t="s">
        <v>2939</v>
      </c>
      <c r="B948" s="1254" t="s">
        <v>16866</v>
      </c>
      <c r="C948" s="1255" t="s">
        <v>2939</v>
      </c>
      <c r="D948" s="1255" t="s">
        <v>1812</v>
      </c>
      <c r="E948" s="1255" t="s">
        <v>11569</v>
      </c>
      <c r="F948" s="1255" t="s">
        <v>11579</v>
      </c>
      <c r="G948" s="1254" t="s">
        <v>41</v>
      </c>
      <c r="H948" s="1254" t="s">
        <v>1483</v>
      </c>
      <c r="I948" s="1258" t="s">
        <v>2193</v>
      </c>
      <c r="J948" s="1259"/>
      <c r="K948" s="1257">
        <v>1350000.0</v>
      </c>
    </row>
    <row r="949">
      <c r="A949" s="1253" t="s">
        <v>2939</v>
      </c>
      <c r="B949" s="1254" t="s">
        <v>2939</v>
      </c>
      <c r="C949" s="1255" t="s">
        <v>16867</v>
      </c>
      <c r="D949" s="1255" t="s">
        <v>1480</v>
      </c>
      <c r="E949" s="1255" t="s">
        <v>11653</v>
      </c>
      <c r="F949" s="1255" t="s">
        <v>11570</v>
      </c>
      <c r="G949" s="1254" t="s">
        <v>22</v>
      </c>
      <c r="H949" s="1254" t="s">
        <v>1481</v>
      </c>
      <c r="I949" s="1259"/>
      <c r="J949" s="1259"/>
      <c r="K949" s="1257">
        <v>1199000.0</v>
      </c>
    </row>
    <row r="950">
      <c r="A950" s="1253" t="s">
        <v>2939</v>
      </c>
      <c r="B950" s="1254" t="s">
        <v>16868</v>
      </c>
      <c r="C950" s="1255" t="s">
        <v>2939</v>
      </c>
      <c r="D950" s="1260" t="s">
        <v>1912</v>
      </c>
      <c r="E950" s="1255" t="s">
        <v>11569</v>
      </c>
      <c r="F950" s="1255" t="s">
        <v>11579</v>
      </c>
      <c r="G950" s="1254" t="s">
        <v>41</v>
      </c>
      <c r="H950" s="1254" t="s">
        <v>1477</v>
      </c>
      <c r="I950" s="1254" t="s">
        <v>97</v>
      </c>
      <c r="J950" s="1256"/>
      <c r="K950" s="1257">
        <v>648000.0</v>
      </c>
    </row>
    <row r="951">
      <c r="A951" s="1250" t="s">
        <v>11972</v>
      </c>
      <c r="B951" s="1251" t="s">
        <v>11972</v>
      </c>
      <c r="C951" s="1252"/>
      <c r="D951" s="1252"/>
      <c r="E951" s="1252"/>
      <c r="F951" s="1252"/>
      <c r="G951" s="1252"/>
      <c r="H951" s="1251" t="s">
        <v>11972</v>
      </c>
      <c r="I951" s="1252"/>
      <c r="J951" s="1252"/>
      <c r="K951" s="1252"/>
    </row>
    <row r="952">
      <c r="A952" s="1253" t="s">
        <v>2939</v>
      </c>
      <c r="B952" s="1254" t="s">
        <v>16869</v>
      </c>
      <c r="C952" s="1255" t="s">
        <v>2939</v>
      </c>
      <c r="D952" s="1260" t="s">
        <v>1910</v>
      </c>
      <c r="E952" s="1255" t="s">
        <v>11569</v>
      </c>
      <c r="F952" s="1255" t="s">
        <v>11570</v>
      </c>
      <c r="G952" s="1254" t="s">
        <v>22</v>
      </c>
      <c r="H952" s="1254" t="s">
        <v>1911</v>
      </c>
      <c r="I952" s="1254" t="s">
        <v>125</v>
      </c>
      <c r="J952" s="1256"/>
      <c r="K952" s="1257">
        <v>1080000.0</v>
      </c>
    </row>
    <row r="953">
      <c r="A953" s="1250" t="s">
        <v>11973</v>
      </c>
      <c r="B953" s="1251" t="s">
        <v>11973</v>
      </c>
      <c r="C953" s="1252"/>
      <c r="D953" s="1252"/>
      <c r="E953" s="1252"/>
      <c r="F953" s="1252"/>
      <c r="G953" s="1252"/>
      <c r="H953" s="1251" t="s">
        <v>11973</v>
      </c>
      <c r="I953" s="1252"/>
      <c r="J953" s="1252"/>
      <c r="K953" s="1252"/>
    </row>
    <row r="954">
      <c r="A954" s="1253" t="s">
        <v>2939</v>
      </c>
      <c r="B954" s="1254" t="s">
        <v>2939</v>
      </c>
      <c r="C954" s="1255" t="s">
        <v>16870</v>
      </c>
      <c r="D954" s="1255" t="s">
        <v>11974</v>
      </c>
      <c r="E954" s="1255" t="s">
        <v>11653</v>
      </c>
      <c r="F954" s="1255" t="s">
        <v>11570</v>
      </c>
      <c r="G954" s="1254" t="s">
        <v>22</v>
      </c>
      <c r="H954" s="1254" t="s">
        <v>85</v>
      </c>
      <c r="I954" s="1258" t="s">
        <v>97</v>
      </c>
      <c r="J954" s="1259"/>
      <c r="K954" s="1257">
        <v>700000.0</v>
      </c>
    </row>
    <row r="955">
      <c r="A955" s="1253" t="s">
        <v>2939</v>
      </c>
      <c r="B955" s="1254" t="s">
        <v>2939</v>
      </c>
      <c r="C955" s="1255" t="s">
        <v>16871</v>
      </c>
      <c r="D955" s="1260" t="s">
        <v>1601</v>
      </c>
      <c r="E955" s="1255" t="s">
        <v>11653</v>
      </c>
      <c r="F955" s="1255" t="s">
        <v>11570</v>
      </c>
      <c r="G955" s="1254" t="s">
        <v>22</v>
      </c>
      <c r="H955" s="1254" t="s">
        <v>1602</v>
      </c>
      <c r="I955" s="1258" t="s">
        <v>97</v>
      </c>
      <c r="J955" s="1259"/>
      <c r="K955" s="1257">
        <v>967000.0</v>
      </c>
    </row>
    <row r="956">
      <c r="A956" s="1253" t="s">
        <v>16872</v>
      </c>
      <c r="B956" s="1254" t="s">
        <v>16873</v>
      </c>
      <c r="C956" s="1255" t="s">
        <v>2939</v>
      </c>
      <c r="D956" s="1255" t="s">
        <v>1028</v>
      </c>
      <c r="E956" s="1255" t="s">
        <v>11576</v>
      </c>
      <c r="F956" s="1255" t="s">
        <v>11570</v>
      </c>
      <c r="G956" s="1254" t="s">
        <v>22</v>
      </c>
      <c r="H956" s="1254" t="s">
        <v>1029</v>
      </c>
      <c r="I956" s="1258" t="s">
        <v>125</v>
      </c>
      <c r="J956" s="1259"/>
      <c r="K956" s="1257">
        <v>4202000.0</v>
      </c>
    </row>
    <row r="957">
      <c r="A957" s="1253" t="s">
        <v>16874</v>
      </c>
      <c r="B957" s="1254" t="s">
        <v>2939</v>
      </c>
      <c r="C957" s="1255" t="s">
        <v>2939</v>
      </c>
      <c r="D957" s="1255" t="s">
        <v>1030</v>
      </c>
      <c r="E957" s="1255" t="s">
        <v>11578</v>
      </c>
      <c r="F957" s="1255" t="s">
        <v>11579</v>
      </c>
      <c r="G957" s="1254" t="s">
        <v>41</v>
      </c>
      <c r="H957" s="1262" t="s">
        <v>16875</v>
      </c>
      <c r="I957" s="1258" t="s">
        <v>2193</v>
      </c>
      <c r="J957" s="1259"/>
      <c r="K957" s="1257">
        <v>2785000.0</v>
      </c>
    </row>
    <row r="958">
      <c r="A958" s="1253" t="s">
        <v>16876</v>
      </c>
      <c r="B958" s="1254" t="s">
        <v>16877</v>
      </c>
      <c r="C958" s="1255" t="s">
        <v>2939</v>
      </c>
      <c r="D958" s="1255" t="s">
        <v>1031</v>
      </c>
      <c r="E958" s="1255" t="s">
        <v>11576</v>
      </c>
      <c r="F958" s="1255" t="s">
        <v>11579</v>
      </c>
      <c r="G958" s="1254" t="s">
        <v>41</v>
      </c>
      <c r="H958" s="1254" t="s">
        <v>1032</v>
      </c>
      <c r="I958" s="1258" t="s">
        <v>2193</v>
      </c>
      <c r="J958" s="1259"/>
      <c r="K958" s="1257">
        <v>2974000.0</v>
      </c>
    </row>
    <row r="959">
      <c r="A959" s="1253" t="s">
        <v>2939</v>
      </c>
      <c r="B959" s="1254" t="s">
        <v>16878</v>
      </c>
      <c r="C959" s="1255" t="s">
        <v>2939</v>
      </c>
      <c r="D959" s="1255" t="s">
        <v>1816</v>
      </c>
      <c r="E959" s="1255" t="s">
        <v>11569</v>
      </c>
      <c r="F959" s="1255" t="s">
        <v>11591</v>
      </c>
      <c r="G959" s="1254" t="s">
        <v>400</v>
      </c>
      <c r="H959" s="1254" t="s">
        <v>1029</v>
      </c>
      <c r="I959" s="1256"/>
      <c r="J959" s="1256"/>
      <c r="K959" s="1257">
        <v>408000.0</v>
      </c>
    </row>
    <row r="960">
      <c r="A960" s="1253" t="s">
        <v>2939</v>
      </c>
      <c r="B960" s="1254" t="s">
        <v>16879</v>
      </c>
      <c r="C960" s="1255" t="s">
        <v>2939</v>
      </c>
      <c r="D960" s="1255" t="s">
        <v>1817</v>
      </c>
      <c r="E960" s="1255" t="s">
        <v>11569</v>
      </c>
      <c r="F960" s="1255" t="s">
        <v>11591</v>
      </c>
      <c r="G960" s="1254" t="s">
        <v>402</v>
      </c>
      <c r="H960" s="1254" t="s">
        <v>1029</v>
      </c>
      <c r="I960" s="1256"/>
      <c r="J960" s="1256"/>
      <c r="K960" s="1257">
        <v>408000.0</v>
      </c>
    </row>
    <row r="961">
      <c r="A961" s="1253" t="s">
        <v>16880</v>
      </c>
      <c r="B961" s="1254" t="s">
        <v>16881</v>
      </c>
      <c r="C961" s="1255" t="s">
        <v>2939</v>
      </c>
      <c r="D961" s="1255" t="s">
        <v>1033</v>
      </c>
      <c r="E961" s="1255" t="s">
        <v>11576</v>
      </c>
      <c r="F961" s="1255" t="s">
        <v>11591</v>
      </c>
      <c r="G961" s="1254" t="s">
        <v>128</v>
      </c>
      <c r="H961" s="1254" t="s">
        <v>1029</v>
      </c>
      <c r="I961" s="1259"/>
      <c r="J961" s="1259"/>
      <c r="K961" s="1257">
        <v>804000.0</v>
      </c>
    </row>
    <row r="962">
      <c r="A962" s="1253" t="s">
        <v>16882</v>
      </c>
      <c r="B962" s="1254" t="s">
        <v>16883</v>
      </c>
      <c r="C962" s="1255" t="s">
        <v>2939</v>
      </c>
      <c r="D962" s="1255" t="s">
        <v>1034</v>
      </c>
      <c r="E962" s="1255" t="s">
        <v>11576</v>
      </c>
      <c r="F962" s="1255" t="s">
        <v>11591</v>
      </c>
      <c r="G962" s="1254" t="s">
        <v>130</v>
      </c>
      <c r="H962" s="1254" t="s">
        <v>1029</v>
      </c>
      <c r="I962" s="1259"/>
      <c r="J962" s="1259"/>
      <c r="K962" s="1257">
        <v>804000.0</v>
      </c>
    </row>
    <row r="963">
      <c r="A963" s="1253" t="s">
        <v>16884</v>
      </c>
      <c r="B963" s="1254" t="s">
        <v>2939</v>
      </c>
      <c r="C963" s="1255" t="s">
        <v>2939</v>
      </c>
      <c r="D963" s="1255" t="s">
        <v>1035</v>
      </c>
      <c r="E963" s="1255" t="s">
        <v>11578</v>
      </c>
      <c r="F963" s="1255" t="s">
        <v>11591</v>
      </c>
      <c r="G963" s="1254" t="s">
        <v>132</v>
      </c>
      <c r="H963" s="1254" t="s">
        <v>1029</v>
      </c>
      <c r="I963" s="1259"/>
      <c r="J963" s="1259"/>
      <c r="K963" s="1257">
        <v>966000.0</v>
      </c>
    </row>
    <row r="964">
      <c r="A964" s="1253" t="s">
        <v>16885</v>
      </c>
      <c r="B964" s="1254" t="s">
        <v>2939</v>
      </c>
      <c r="C964" s="1255" t="s">
        <v>2939</v>
      </c>
      <c r="D964" s="1255" t="s">
        <v>1036</v>
      </c>
      <c r="E964" s="1255" t="s">
        <v>11578</v>
      </c>
      <c r="F964" s="1255" t="s">
        <v>11591</v>
      </c>
      <c r="G964" s="1254" t="s">
        <v>134</v>
      </c>
      <c r="H964" s="1254" t="s">
        <v>1029</v>
      </c>
      <c r="I964" s="1259"/>
      <c r="J964" s="1259"/>
      <c r="K964" s="1257">
        <v>966000.0</v>
      </c>
    </row>
    <row r="965">
      <c r="A965" s="1253" t="s">
        <v>16886</v>
      </c>
      <c r="B965" s="1254" t="s">
        <v>2939</v>
      </c>
      <c r="C965" s="1255" t="s">
        <v>2939</v>
      </c>
      <c r="D965" s="1255" t="s">
        <v>1037</v>
      </c>
      <c r="E965" s="1255" t="s">
        <v>11578</v>
      </c>
      <c r="F965" s="1255" t="s">
        <v>11591</v>
      </c>
      <c r="G965" s="1254" t="s">
        <v>202</v>
      </c>
      <c r="H965" s="1254" t="s">
        <v>1038</v>
      </c>
      <c r="I965" s="1258" t="s">
        <v>234</v>
      </c>
      <c r="J965" s="1259"/>
      <c r="K965" s="1257">
        <v>1448000.0</v>
      </c>
    </row>
    <row r="966">
      <c r="A966" s="1253" t="s">
        <v>16887</v>
      </c>
      <c r="B966" s="1254" t="s">
        <v>2939</v>
      </c>
      <c r="C966" s="1255" t="s">
        <v>2939</v>
      </c>
      <c r="D966" s="1255" t="s">
        <v>1039</v>
      </c>
      <c r="E966" s="1255" t="s">
        <v>11578</v>
      </c>
      <c r="F966" s="1255" t="s">
        <v>11591</v>
      </c>
      <c r="G966" s="1254" t="s">
        <v>236</v>
      </c>
      <c r="H966" s="1254" t="s">
        <v>1038</v>
      </c>
      <c r="I966" s="1258" t="s">
        <v>234</v>
      </c>
      <c r="J966" s="1259"/>
      <c r="K966" s="1257">
        <v>1448000.0</v>
      </c>
    </row>
    <row r="967">
      <c r="A967" s="1253" t="s">
        <v>16888</v>
      </c>
      <c r="B967" s="1254" t="s">
        <v>2939</v>
      </c>
      <c r="C967" s="1255" t="s">
        <v>2939</v>
      </c>
      <c r="D967" s="1255" t="s">
        <v>1040</v>
      </c>
      <c r="E967" s="1255" t="s">
        <v>11578</v>
      </c>
      <c r="F967" s="1255" t="s">
        <v>11591</v>
      </c>
      <c r="G967" s="1254" t="s">
        <v>202</v>
      </c>
      <c r="H967" s="1254" t="s">
        <v>1041</v>
      </c>
      <c r="I967" s="1258" t="s">
        <v>234</v>
      </c>
      <c r="J967" s="1259"/>
      <c r="K967" s="1257">
        <v>1766000.0</v>
      </c>
    </row>
    <row r="968">
      <c r="A968" s="1253" t="s">
        <v>16889</v>
      </c>
      <c r="B968" s="1254" t="s">
        <v>2939</v>
      </c>
      <c r="C968" s="1255" t="s">
        <v>2939</v>
      </c>
      <c r="D968" s="1255" t="s">
        <v>1042</v>
      </c>
      <c r="E968" s="1255" t="s">
        <v>11578</v>
      </c>
      <c r="F968" s="1255" t="s">
        <v>11591</v>
      </c>
      <c r="G968" s="1254" t="s">
        <v>236</v>
      </c>
      <c r="H968" s="1254" t="s">
        <v>1041</v>
      </c>
      <c r="I968" s="1258" t="s">
        <v>234</v>
      </c>
      <c r="J968" s="1259"/>
      <c r="K968" s="1257">
        <v>1766000.0</v>
      </c>
    </row>
    <row r="969">
      <c r="A969" s="1253" t="s">
        <v>16890</v>
      </c>
      <c r="B969" s="1254" t="s">
        <v>2939</v>
      </c>
      <c r="C969" s="1255" t="s">
        <v>2939</v>
      </c>
      <c r="D969" s="1255" t="s">
        <v>1043</v>
      </c>
      <c r="E969" s="1255" t="s">
        <v>11578</v>
      </c>
      <c r="F969" s="1255" t="s">
        <v>11591</v>
      </c>
      <c r="G969" s="1254" t="s">
        <v>132</v>
      </c>
      <c r="H969" s="1254" t="s">
        <v>1032</v>
      </c>
      <c r="I969" s="1259"/>
      <c r="J969" s="1259"/>
      <c r="K969" s="1257">
        <v>1448000.0</v>
      </c>
    </row>
    <row r="970">
      <c r="A970" s="1253" t="s">
        <v>16891</v>
      </c>
      <c r="B970" s="1254" t="s">
        <v>2939</v>
      </c>
      <c r="C970" s="1255" t="s">
        <v>2939</v>
      </c>
      <c r="D970" s="1255" t="s">
        <v>1044</v>
      </c>
      <c r="E970" s="1255" t="s">
        <v>11578</v>
      </c>
      <c r="F970" s="1255" t="s">
        <v>11591</v>
      </c>
      <c r="G970" s="1254" t="s">
        <v>134</v>
      </c>
      <c r="H970" s="1254" t="s">
        <v>1032</v>
      </c>
      <c r="I970" s="1259"/>
      <c r="J970" s="1259"/>
      <c r="K970" s="1257">
        <v>1448000.0</v>
      </c>
    </row>
    <row r="971">
      <c r="A971" s="1253" t="s">
        <v>2939</v>
      </c>
      <c r="B971" s="1254" t="s">
        <v>16892</v>
      </c>
      <c r="C971" s="1255" t="s">
        <v>2939</v>
      </c>
      <c r="D971" s="1255" t="s">
        <v>1818</v>
      </c>
      <c r="E971" s="1255" t="s">
        <v>11569</v>
      </c>
      <c r="F971" s="1255" t="s">
        <v>11591</v>
      </c>
      <c r="G971" s="1254" t="s">
        <v>202</v>
      </c>
      <c r="H971" s="1254" t="s">
        <v>1819</v>
      </c>
      <c r="I971" s="1258" t="s">
        <v>234</v>
      </c>
      <c r="J971" s="1259"/>
      <c r="K971" s="1257">
        <v>1766000.0</v>
      </c>
    </row>
    <row r="972">
      <c r="A972" s="1253" t="s">
        <v>2939</v>
      </c>
      <c r="B972" s="1254" t="s">
        <v>16893</v>
      </c>
      <c r="C972" s="1255" t="s">
        <v>2939</v>
      </c>
      <c r="D972" s="1255" t="s">
        <v>11977</v>
      </c>
      <c r="E972" s="1255" t="s">
        <v>11569</v>
      </c>
      <c r="F972" s="1255" t="s">
        <v>11591</v>
      </c>
      <c r="G972" s="1254" t="s">
        <v>236</v>
      </c>
      <c r="H972" s="1254" t="s">
        <v>1819</v>
      </c>
      <c r="I972" s="1258" t="s">
        <v>234</v>
      </c>
      <c r="J972" s="1259"/>
      <c r="K972" s="1257">
        <v>1766000.0</v>
      </c>
    </row>
    <row r="973">
      <c r="A973" s="1253" t="s">
        <v>16894</v>
      </c>
      <c r="B973" s="1254" t="s">
        <v>16895</v>
      </c>
      <c r="C973" s="1255" t="s">
        <v>2939</v>
      </c>
      <c r="D973" s="1255" t="s">
        <v>72</v>
      </c>
      <c r="E973" s="1255" t="s">
        <v>11576</v>
      </c>
      <c r="F973" s="1255" t="s">
        <v>11570</v>
      </c>
      <c r="G973" s="1254" t="s">
        <v>22</v>
      </c>
      <c r="H973" s="1254" t="s">
        <v>73</v>
      </c>
      <c r="I973" s="1258" t="s">
        <v>75</v>
      </c>
      <c r="J973" s="1259"/>
      <c r="K973" s="1257">
        <v>4202000.0</v>
      </c>
    </row>
    <row r="974">
      <c r="A974" s="1253" t="s">
        <v>16896</v>
      </c>
      <c r="B974" s="1254" t="s">
        <v>16897</v>
      </c>
      <c r="C974" s="1255" t="s">
        <v>2939</v>
      </c>
      <c r="D974" s="1255" t="s">
        <v>1045</v>
      </c>
      <c r="E974" s="1255" t="s">
        <v>11576</v>
      </c>
      <c r="F974" s="1255" t="s">
        <v>11570</v>
      </c>
      <c r="G974" s="1254" t="s">
        <v>22</v>
      </c>
      <c r="H974" s="1254" t="s">
        <v>73</v>
      </c>
      <c r="I974" s="1258" t="s">
        <v>125</v>
      </c>
      <c r="J974" s="1259"/>
      <c r="K974" s="1257">
        <v>3757000.0</v>
      </c>
    </row>
    <row r="975">
      <c r="A975" s="1253" t="s">
        <v>16898</v>
      </c>
      <c r="B975" s="1254" t="s">
        <v>16899</v>
      </c>
      <c r="C975" s="1255" t="s">
        <v>2939</v>
      </c>
      <c r="D975" s="1255" t="s">
        <v>1052</v>
      </c>
      <c r="E975" s="1255" t="s">
        <v>11576</v>
      </c>
      <c r="F975" s="1255" t="s">
        <v>11579</v>
      </c>
      <c r="G975" s="1254" t="s">
        <v>41</v>
      </c>
      <c r="H975" s="1254" t="s">
        <v>1053</v>
      </c>
      <c r="I975" s="1258" t="s">
        <v>2193</v>
      </c>
      <c r="J975" s="1259"/>
      <c r="K975" s="1257">
        <v>2544000.0</v>
      </c>
    </row>
    <row r="976">
      <c r="A976" s="1253" t="s">
        <v>16900</v>
      </c>
      <c r="B976" s="1254" t="s">
        <v>16901</v>
      </c>
      <c r="C976" s="1255" t="s">
        <v>2939</v>
      </c>
      <c r="D976" s="1255" t="s">
        <v>1046</v>
      </c>
      <c r="E976" s="1255" t="s">
        <v>11576</v>
      </c>
      <c r="F976" s="1255" t="s">
        <v>11591</v>
      </c>
      <c r="G976" s="1254" t="s">
        <v>128</v>
      </c>
      <c r="H976" s="1254" t="s">
        <v>73</v>
      </c>
      <c r="I976" s="1259"/>
      <c r="J976" s="1259"/>
      <c r="K976" s="1257">
        <v>804000.0</v>
      </c>
    </row>
    <row r="977">
      <c r="A977" s="1253" t="s">
        <v>16902</v>
      </c>
      <c r="B977" s="1254" t="s">
        <v>2939</v>
      </c>
      <c r="C977" s="1255" t="s">
        <v>2939</v>
      </c>
      <c r="D977" s="1255" t="s">
        <v>1047</v>
      </c>
      <c r="E977" s="1255" t="s">
        <v>11578</v>
      </c>
      <c r="F977" s="1255" t="s">
        <v>11591</v>
      </c>
      <c r="G977" s="1254" t="s">
        <v>130</v>
      </c>
      <c r="H977" s="1254" t="s">
        <v>73</v>
      </c>
      <c r="I977" s="1259"/>
      <c r="J977" s="1259"/>
      <c r="K977" s="1257">
        <v>804000.0</v>
      </c>
    </row>
    <row r="978">
      <c r="A978" s="1253" t="s">
        <v>2939</v>
      </c>
      <c r="B978" s="1254" t="s">
        <v>16903</v>
      </c>
      <c r="C978" s="1255" t="s">
        <v>2939</v>
      </c>
      <c r="D978" s="1255" t="s">
        <v>1822</v>
      </c>
      <c r="E978" s="1255" t="s">
        <v>11569</v>
      </c>
      <c r="F978" s="1255" t="s">
        <v>11591</v>
      </c>
      <c r="G978" s="1254" t="s">
        <v>400</v>
      </c>
      <c r="H978" s="1254" t="s">
        <v>73</v>
      </c>
      <c r="I978" s="1256"/>
      <c r="J978" s="1256"/>
      <c r="K978" s="1257">
        <v>466000.0</v>
      </c>
    </row>
    <row r="979">
      <c r="A979" s="1253" t="s">
        <v>2939</v>
      </c>
      <c r="B979" s="1254" t="s">
        <v>16904</v>
      </c>
      <c r="C979" s="1255" t="s">
        <v>2939</v>
      </c>
      <c r="D979" s="1255" t="s">
        <v>1823</v>
      </c>
      <c r="E979" s="1255" t="s">
        <v>11569</v>
      </c>
      <c r="F979" s="1255" t="s">
        <v>11591</v>
      </c>
      <c r="G979" s="1254" t="s">
        <v>402</v>
      </c>
      <c r="H979" s="1254" t="s">
        <v>73</v>
      </c>
      <c r="I979" s="1256"/>
      <c r="J979" s="1256"/>
      <c r="K979" s="1257">
        <v>466000.0</v>
      </c>
    </row>
    <row r="980">
      <c r="A980" s="1253" t="s">
        <v>16905</v>
      </c>
      <c r="B980" s="1254" t="s">
        <v>2939</v>
      </c>
      <c r="C980" s="1255" t="s">
        <v>2939</v>
      </c>
      <c r="D980" s="1255" t="s">
        <v>1048</v>
      </c>
      <c r="E980" s="1255" t="s">
        <v>11578</v>
      </c>
      <c r="F980" s="1255" t="s">
        <v>11591</v>
      </c>
      <c r="G980" s="1254" t="s">
        <v>202</v>
      </c>
      <c r="H980" s="1254" t="s">
        <v>73</v>
      </c>
      <c r="I980" s="1258" t="s">
        <v>234</v>
      </c>
      <c r="J980" s="1259"/>
      <c r="K980" s="1257">
        <v>1448000.0</v>
      </c>
    </row>
    <row r="981">
      <c r="A981" s="1253" t="s">
        <v>16906</v>
      </c>
      <c r="B981" s="1254" t="s">
        <v>2939</v>
      </c>
      <c r="C981" s="1255" t="s">
        <v>2939</v>
      </c>
      <c r="D981" s="1255" t="s">
        <v>1049</v>
      </c>
      <c r="E981" s="1255" t="s">
        <v>11578</v>
      </c>
      <c r="F981" s="1255" t="s">
        <v>11591</v>
      </c>
      <c r="G981" s="1254" t="s">
        <v>236</v>
      </c>
      <c r="H981" s="1254" t="s">
        <v>73</v>
      </c>
      <c r="I981" s="1258" t="s">
        <v>234</v>
      </c>
      <c r="J981" s="1259"/>
      <c r="K981" s="1257">
        <v>1448000.0</v>
      </c>
    </row>
    <row r="982">
      <c r="A982" s="1253" t="s">
        <v>16907</v>
      </c>
      <c r="B982" s="1254" t="s">
        <v>16908</v>
      </c>
      <c r="C982" s="1255" t="s">
        <v>2939</v>
      </c>
      <c r="D982" s="1255" t="s">
        <v>1050</v>
      </c>
      <c r="E982" s="1255" t="s">
        <v>11576</v>
      </c>
      <c r="F982" s="1255" t="s">
        <v>11591</v>
      </c>
      <c r="G982" s="1254" t="s">
        <v>132</v>
      </c>
      <c r="H982" s="1254" t="s">
        <v>73</v>
      </c>
      <c r="I982" s="1259"/>
      <c r="J982" s="1259"/>
      <c r="K982" s="1257">
        <v>966000.0</v>
      </c>
    </row>
    <row r="983">
      <c r="A983" s="1253" t="s">
        <v>16909</v>
      </c>
      <c r="B983" s="1254" t="s">
        <v>16910</v>
      </c>
      <c r="C983" s="1255" t="s">
        <v>2939</v>
      </c>
      <c r="D983" s="1255" t="s">
        <v>1051</v>
      </c>
      <c r="E983" s="1255" t="s">
        <v>11576</v>
      </c>
      <c r="F983" s="1255" t="s">
        <v>11591</v>
      </c>
      <c r="G983" s="1254" t="s">
        <v>134</v>
      </c>
      <c r="H983" s="1254" t="s">
        <v>73</v>
      </c>
      <c r="I983" s="1259"/>
      <c r="J983" s="1259"/>
      <c r="K983" s="1257">
        <v>966000.0</v>
      </c>
    </row>
    <row r="984">
      <c r="A984" s="1253" t="s">
        <v>16911</v>
      </c>
      <c r="B984" s="1254" t="s">
        <v>16912</v>
      </c>
      <c r="C984" s="1255" t="s">
        <v>2939</v>
      </c>
      <c r="D984" s="1255" t="s">
        <v>1054</v>
      </c>
      <c r="E984" s="1255" t="s">
        <v>11576</v>
      </c>
      <c r="F984" s="1255" t="s">
        <v>11591</v>
      </c>
      <c r="G984" s="1254" t="s">
        <v>202</v>
      </c>
      <c r="H984" s="1254" t="s">
        <v>1053</v>
      </c>
      <c r="I984" s="1258" t="s">
        <v>234</v>
      </c>
      <c r="J984" s="1259"/>
      <c r="K984" s="1257">
        <v>1766000.0</v>
      </c>
    </row>
    <row r="985">
      <c r="A985" s="1253" t="s">
        <v>16913</v>
      </c>
      <c r="B985" s="1254" t="s">
        <v>16914</v>
      </c>
      <c r="C985" s="1255" t="s">
        <v>2939</v>
      </c>
      <c r="D985" s="1255" t="s">
        <v>1055</v>
      </c>
      <c r="E985" s="1255" t="s">
        <v>11576</v>
      </c>
      <c r="F985" s="1255" t="s">
        <v>11591</v>
      </c>
      <c r="G985" s="1254" t="s">
        <v>236</v>
      </c>
      <c r="H985" s="1254" t="s">
        <v>1053</v>
      </c>
      <c r="I985" s="1258" t="s">
        <v>234</v>
      </c>
      <c r="J985" s="1259"/>
      <c r="K985" s="1257">
        <v>1766000.0</v>
      </c>
    </row>
    <row r="986">
      <c r="A986" s="1253" t="s">
        <v>16915</v>
      </c>
      <c r="B986" s="1254" t="s">
        <v>16916</v>
      </c>
      <c r="C986" s="1255" t="s">
        <v>2939</v>
      </c>
      <c r="D986" s="1255" t="s">
        <v>1070</v>
      </c>
      <c r="E986" s="1255" t="s">
        <v>11576</v>
      </c>
      <c r="F986" s="1255" t="s">
        <v>11570</v>
      </c>
      <c r="G986" s="1254" t="s">
        <v>22</v>
      </c>
      <c r="H986" s="1254" t="s">
        <v>1071</v>
      </c>
      <c r="I986" s="1258" t="s">
        <v>75</v>
      </c>
      <c r="J986" s="1259"/>
      <c r="K986" s="1257">
        <v>3268000.0</v>
      </c>
    </row>
    <row r="987">
      <c r="A987" s="1253" t="s">
        <v>16917</v>
      </c>
      <c r="B987" s="1254" t="s">
        <v>16918</v>
      </c>
      <c r="C987" s="1255" t="s">
        <v>2939</v>
      </c>
      <c r="D987" s="1255" t="s">
        <v>1066</v>
      </c>
      <c r="E987" s="1255" t="s">
        <v>11576</v>
      </c>
      <c r="F987" s="1255" t="s">
        <v>11579</v>
      </c>
      <c r="G987" s="1254" t="s">
        <v>41</v>
      </c>
      <c r="H987" s="1254" t="s">
        <v>1067</v>
      </c>
      <c r="I987" s="1258" t="s">
        <v>2193</v>
      </c>
      <c r="J987" s="1259"/>
      <c r="K987" s="1257">
        <v>2570000.0</v>
      </c>
    </row>
    <row r="988">
      <c r="A988" s="1253" t="s">
        <v>16919</v>
      </c>
      <c r="B988" s="1254" t="s">
        <v>2939</v>
      </c>
      <c r="C988" s="1255" t="s">
        <v>2939</v>
      </c>
      <c r="D988" s="1255" t="s">
        <v>1068</v>
      </c>
      <c r="E988" s="1255" t="s">
        <v>11578</v>
      </c>
      <c r="F988" s="1255" t="s">
        <v>11579</v>
      </c>
      <c r="G988" s="1254" t="s">
        <v>41</v>
      </c>
      <c r="H988" s="1262" t="s">
        <v>11978</v>
      </c>
      <c r="I988" s="1258" t="s">
        <v>2193</v>
      </c>
      <c r="J988" s="1259"/>
      <c r="K988" s="1257">
        <v>2142000.0</v>
      </c>
    </row>
    <row r="989">
      <c r="A989" s="1253" t="s">
        <v>16920</v>
      </c>
      <c r="B989" s="1254" t="s">
        <v>16921</v>
      </c>
      <c r="C989" s="1255" t="s">
        <v>2939</v>
      </c>
      <c r="D989" s="1255" t="s">
        <v>1056</v>
      </c>
      <c r="E989" s="1255" t="s">
        <v>11578</v>
      </c>
      <c r="F989" s="1255" t="s">
        <v>11591</v>
      </c>
      <c r="G989" s="1254" t="s">
        <v>128</v>
      </c>
      <c r="H989" s="1254" t="s">
        <v>1057</v>
      </c>
      <c r="I989" s="1259"/>
      <c r="J989" s="1259"/>
      <c r="K989" s="1257">
        <v>804000.0</v>
      </c>
    </row>
    <row r="990">
      <c r="A990" s="1253" t="s">
        <v>16922</v>
      </c>
      <c r="B990" s="1254" t="s">
        <v>16923</v>
      </c>
      <c r="C990" s="1255" t="s">
        <v>2939</v>
      </c>
      <c r="D990" s="1255" t="s">
        <v>1058</v>
      </c>
      <c r="E990" s="1255" t="s">
        <v>11578</v>
      </c>
      <c r="F990" s="1255" t="s">
        <v>11591</v>
      </c>
      <c r="G990" s="1254" t="s">
        <v>130</v>
      </c>
      <c r="H990" s="1254" t="s">
        <v>1057</v>
      </c>
      <c r="I990" s="1259"/>
      <c r="J990" s="1259"/>
      <c r="K990" s="1257">
        <v>804000.0</v>
      </c>
    </row>
    <row r="991">
      <c r="A991" s="1253" t="s">
        <v>16924</v>
      </c>
      <c r="B991" s="1254" t="s">
        <v>16925</v>
      </c>
      <c r="C991" s="1255" t="s">
        <v>2939</v>
      </c>
      <c r="D991" s="1255" t="s">
        <v>1059</v>
      </c>
      <c r="E991" s="1255" t="s">
        <v>11578</v>
      </c>
      <c r="F991" s="1255" t="s">
        <v>11591</v>
      </c>
      <c r="G991" s="1254" t="s">
        <v>132</v>
      </c>
      <c r="H991" s="1254" t="s">
        <v>1057</v>
      </c>
      <c r="I991" s="1259"/>
      <c r="J991" s="1259"/>
      <c r="K991" s="1257">
        <v>966000.0</v>
      </c>
    </row>
    <row r="992">
      <c r="A992" s="1253" t="s">
        <v>16926</v>
      </c>
      <c r="B992" s="1254" t="s">
        <v>16927</v>
      </c>
      <c r="C992" s="1255" t="s">
        <v>2939</v>
      </c>
      <c r="D992" s="1255" t="s">
        <v>1060</v>
      </c>
      <c r="E992" s="1255" t="s">
        <v>11578</v>
      </c>
      <c r="F992" s="1255" t="s">
        <v>11591</v>
      </c>
      <c r="G992" s="1254" t="s">
        <v>134</v>
      </c>
      <c r="H992" s="1254" t="s">
        <v>1057</v>
      </c>
      <c r="I992" s="1259"/>
      <c r="J992" s="1259"/>
      <c r="K992" s="1257">
        <v>966000.0</v>
      </c>
    </row>
    <row r="993">
      <c r="A993" s="1253" t="s">
        <v>16928</v>
      </c>
      <c r="B993" s="1254" t="s">
        <v>2939</v>
      </c>
      <c r="C993" s="1255" t="s">
        <v>2939</v>
      </c>
      <c r="D993" s="1255" t="s">
        <v>1061</v>
      </c>
      <c r="E993" s="1255" t="s">
        <v>11578</v>
      </c>
      <c r="F993" s="1255" t="s">
        <v>11591</v>
      </c>
      <c r="G993" s="1254" t="s">
        <v>202</v>
      </c>
      <c r="H993" s="1254" t="s">
        <v>1057</v>
      </c>
      <c r="I993" s="1258" t="s">
        <v>234</v>
      </c>
      <c r="J993" s="1259"/>
      <c r="K993" s="1257">
        <v>1448000.0</v>
      </c>
    </row>
    <row r="994">
      <c r="A994" s="1253" t="s">
        <v>16929</v>
      </c>
      <c r="B994" s="1254" t="s">
        <v>2939</v>
      </c>
      <c r="C994" s="1255" t="s">
        <v>2939</v>
      </c>
      <c r="D994" s="1255" t="s">
        <v>1062</v>
      </c>
      <c r="E994" s="1255" t="s">
        <v>11578</v>
      </c>
      <c r="F994" s="1255" t="s">
        <v>11591</v>
      </c>
      <c r="G994" s="1254" t="s">
        <v>236</v>
      </c>
      <c r="H994" s="1254" t="s">
        <v>1057</v>
      </c>
      <c r="I994" s="1258" t="s">
        <v>234</v>
      </c>
      <c r="J994" s="1259"/>
      <c r="K994" s="1257">
        <v>1448000.0</v>
      </c>
    </row>
    <row r="995">
      <c r="A995" s="1253" t="s">
        <v>16930</v>
      </c>
      <c r="B995" s="1254" t="s">
        <v>2939</v>
      </c>
      <c r="C995" s="1255" t="s">
        <v>2939</v>
      </c>
      <c r="D995" s="1255" t="s">
        <v>1063</v>
      </c>
      <c r="E995" s="1255" t="s">
        <v>11578</v>
      </c>
      <c r="F995" s="1255" t="s">
        <v>11591</v>
      </c>
      <c r="G995" s="1254" t="s">
        <v>132</v>
      </c>
      <c r="H995" s="1254" t="s">
        <v>1064</v>
      </c>
      <c r="I995" s="1259"/>
      <c r="J995" s="1259"/>
      <c r="K995" s="1257">
        <v>1448000.0</v>
      </c>
    </row>
    <row r="996">
      <c r="A996" s="1253" t="s">
        <v>16931</v>
      </c>
      <c r="B996" s="1254" t="s">
        <v>2939</v>
      </c>
      <c r="C996" s="1255" t="s">
        <v>2939</v>
      </c>
      <c r="D996" s="1255" t="s">
        <v>1065</v>
      </c>
      <c r="E996" s="1255" t="s">
        <v>11578</v>
      </c>
      <c r="F996" s="1255" t="s">
        <v>11591</v>
      </c>
      <c r="G996" s="1254" t="s">
        <v>134</v>
      </c>
      <c r="H996" s="1254" t="s">
        <v>1064</v>
      </c>
      <c r="I996" s="1259"/>
      <c r="J996" s="1259"/>
      <c r="K996" s="1257">
        <v>1448000.0</v>
      </c>
    </row>
    <row r="997">
      <c r="A997" s="1253" t="s">
        <v>2939</v>
      </c>
      <c r="B997" s="1254" t="s">
        <v>16932</v>
      </c>
      <c r="C997" s="1255" t="s">
        <v>2939</v>
      </c>
      <c r="D997" s="1255" t="s">
        <v>1826</v>
      </c>
      <c r="E997" s="1255" t="s">
        <v>11569</v>
      </c>
      <c r="F997" s="1255" t="s">
        <v>11591</v>
      </c>
      <c r="G997" s="1254" t="s">
        <v>202</v>
      </c>
      <c r="H997" s="1254" t="s">
        <v>1064</v>
      </c>
      <c r="I997" s="1258" t="s">
        <v>1827</v>
      </c>
      <c r="J997" s="1259"/>
      <c r="K997" s="1257">
        <v>3179000.0</v>
      </c>
    </row>
    <row r="998">
      <c r="A998" s="1253" t="s">
        <v>2939</v>
      </c>
      <c r="B998" s="1254" t="s">
        <v>16933</v>
      </c>
      <c r="C998" s="1255" t="s">
        <v>2939</v>
      </c>
      <c r="D998" s="1255" t="s">
        <v>1828</v>
      </c>
      <c r="E998" s="1255" t="s">
        <v>11569</v>
      </c>
      <c r="F998" s="1255" t="s">
        <v>11591</v>
      </c>
      <c r="G998" s="1254" t="s">
        <v>236</v>
      </c>
      <c r="H998" s="1254" t="s">
        <v>1064</v>
      </c>
      <c r="I998" s="1258" t="s">
        <v>1827</v>
      </c>
      <c r="J998" s="1259"/>
      <c r="K998" s="1257">
        <v>3179000.0</v>
      </c>
    </row>
    <row r="999">
      <c r="A999" s="1253" t="s">
        <v>2939</v>
      </c>
      <c r="B999" s="1254" t="s">
        <v>16934</v>
      </c>
      <c r="C999" s="1255" t="s">
        <v>2939</v>
      </c>
      <c r="D999" s="1255" t="s">
        <v>1829</v>
      </c>
      <c r="E999" s="1255" t="s">
        <v>11569</v>
      </c>
      <c r="F999" s="1255" t="s">
        <v>11570</v>
      </c>
      <c r="G999" s="1254" t="s">
        <v>22</v>
      </c>
      <c r="H999" s="1254" t="s">
        <v>1830</v>
      </c>
      <c r="I999" s="1254" t="s">
        <v>125</v>
      </c>
      <c r="J999" s="1256"/>
      <c r="K999" s="1257">
        <v>3361000.0</v>
      </c>
    </row>
    <row r="1000">
      <c r="A1000" s="1253" t="s">
        <v>2939</v>
      </c>
      <c r="B1000" s="1254" t="s">
        <v>16935</v>
      </c>
      <c r="C1000" s="1255" t="s">
        <v>2939</v>
      </c>
      <c r="D1000" s="1255" t="s">
        <v>1831</v>
      </c>
      <c r="E1000" s="1255" t="s">
        <v>11569</v>
      </c>
      <c r="F1000" s="1255" t="s">
        <v>11570</v>
      </c>
      <c r="G1000" s="1254" t="s">
        <v>22</v>
      </c>
      <c r="H1000" s="1254" t="s">
        <v>1832</v>
      </c>
      <c r="I1000" s="1254" t="s">
        <v>75</v>
      </c>
      <c r="J1000" s="1256"/>
      <c r="K1000" s="1257">
        <v>3361000.0</v>
      </c>
    </row>
    <row r="1001">
      <c r="A1001" s="1253" t="s">
        <v>2939</v>
      </c>
      <c r="B1001" s="1254" t="s">
        <v>16936</v>
      </c>
      <c r="C1001" s="1255" t="s">
        <v>2939</v>
      </c>
      <c r="D1001" s="1255" t="s">
        <v>1833</v>
      </c>
      <c r="E1001" s="1255" t="s">
        <v>11569</v>
      </c>
      <c r="F1001" s="1255" t="s">
        <v>11570</v>
      </c>
      <c r="G1001" s="1254" t="s">
        <v>22</v>
      </c>
      <c r="H1001" s="1254" t="s">
        <v>1834</v>
      </c>
      <c r="I1001" s="1254" t="s">
        <v>1835</v>
      </c>
      <c r="J1001" s="1256"/>
      <c r="K1001" s="1257">
        <v>4142000.0</v>
      </c>
    </row>
    <row r="1002">
      <c r="A1002" s="1253" t="s">
        <v>2939</v>
      </c>
      <c r="B1002" s="1254" t="s">
        <v>16937</v>
      </c>
      <c r="C1002" s="1255" t="s">
        <v>2939</v>
      </c>
      <c r="D1002" s="1255" t="s">
        <v>1836</v>
      </c>
      <c r="E1002" s="1255" t="s">
        <v>11569</v>
      </c>
      <c r="F1002" s="1255" t="s">
        <v>11579</v>
      </c>
      <c r="G1002" s="1254" t="s">
        <v>41</v>
      </c>
      <c r="H1002" s="1254" t="s">
        <v>1837</v>
      </c>
      <c r="I1002" s="1258" t="s">
        <v>2193</v>
      </c>
      <c r="J1002" s="1259"/>
      <c r="K1002" s="1257">
        <v>2943000.0</v>
      </c>
    </row>
    <row r="1003">
      <c r="A1003" s="1253" t="s">
        <v>16938</v>
      </c>
      <c r="B1003" s="1254" t="s">
        <v>16939</v>
      </c>
      <c r="C1003" s="1255" t="s">
        <v>2939</v>
      </c>
      <c r="D1003" s="1255" t="s">
        <v>1072</v>
      </c>
      <c r="E1003" s="1255" t="s">
        <v>11576</v>
      </c>
      <c r="F1003" s="1255" t="s">
        <v>11570</v>
      </c>
      <c r="G1003" s="1254" t="s">
        <v>22</v>
      </c>
      <c r="H1003" s="1254" t="s">
        <v>11990</v>
      </c>
      <c r="I1003" s="1258" t="s">
        <v>97</v>
      </c>
      <c r="J1003" s="1259"/>
      <c r="K1003" s="1257">
        <v>1827000.0</v>
      </c>
    </row>
    <row r="1004">
      <c r="A1004" s="1253" t="s">
        <v>16940</v>
      </c>
      <c r="B1004" s="1254" t="s">
        <v>16941</v>
      </c>
      <c r="C1004" s="1255" t="s">
        <v>2939</v>
      </c>
      <c r="D1004" s="1255" t="s">
        <v>1074</v>
      </c>
      <c r="E1004" s="1255" t="s">
        <v>11576</v>
      </c>
      <c r="F1004" s="1255" t="s">
        <v>11579</v>
      </c>
      <c r="G1004" s="1254" t="s">
        <v>41</v>
      </c>
      <c r="H1004" s="1254" t="s">
        <v>11990</v>
      </c>
      <c r="I1004" s="1258" t="s">
        <v>2193</v>
      </c>
      <c r="J1004" s="1259"/>
      <c r="K1004" s="1257">
        <v>1500000.0</v>
      </c>
    </row>
    <row r="1005">
      <c r="A1005" s="1253" t="s">
        <v>16942</v>
      </c>
      <c r="B1005" s="1254" t="s">
        <v>16943</v>
      </c>
      <c r="C1005" s="1255" t="s">
        <v>2939</v>
      </c>
      <c r="D1005" s="1255" t="s">
        <v>1075</v>
      </c>
      <c r="E1005" s="1255" t="s">
        <v>11576</v>
      </c>
      <c r="F1005" s="1255" t="s">
        <v>11570</v>
      </c>
      <c r="G1005" s="1254" t="s">
        <v>22</v>
      </c>
      <c r="H1005" s="1254" t="s">
        <v>1076</v>
      </c>
      <c r="I1005" s="1258" t="s">
        <v>125</v>
      </c>
      <c r="J1005" s="1259"/>
      <c r="K1005" s="1257">
        <v>1828000.0</v>
      </c>
    </row>
    <row r="1006">
      <c r="A1006" s="1253" t="s">
        <v>16944</v>
      </c>
      <c r="B1006" s="1254" t="s">
        <v>16945</v>
      </c>
      <c r="C1006" s="1255" t="s">
        <v>2939</v>
      </c>
      <c r="D1006" s="1255" t="s">
        <v>1077</v>
      </c>
      <c r="E1006" s="1255" t="s">
        <v>11576</v>
      </c>
      <c r="F1006" s="1255" t="s">
        <v>11570</v>
      </c>
      <c r="G1006" s="1254" t="s">
        <v>22</v>
      </c>
      <c r="H1006" s="1254" t="s">
        <v>1078</v>
      </c>
      <c r="I1006" s="1258" t="s">
        <v>75</v>
      </c>
      <c r="J1006" s="1259"/>
      <c r="K1006" s="1257">
        <v>2000000.0</v>
      </c>
    </row>
    <row r="1007">
      <c r="A1007" s="1253" t="s">
        <v>16946</v>
      </c>
      <c r="B1007" s="1254" t="s">
        <v>16947</v>
      </c>
      <c r="C1007" s="1255" t="s">
        <v>2939</v>
      </c>
      <c r="D1007" s="1255" t="s">
        <v>1079</v>
      </c>
      <c r="E1007" s="1255" t="s">
        <v>11576</v>
      </c>
      <c r="F1007" s="1255" t="s">
        <v>11579</v>
      </c>
      <c r="G1007" s="1254" t="s">
        <v>41</v>
      </c>
      <c r="H1007" s="1254" t="s">
        <v>1078</v>
      </c>
      <c r="I1007" s="1258" t="s">
        <v>11858</v>
      </c>
      <c r="J1007" s="1259"/>
      <c r="K1007" s="1257">
        <v>2785000.0</v>
      </c>
    </row>
    <row r="1008">
      <c r="A1008" s="1253" t="s">
        <v>16948</v>
      </c>
      <c r="B1008" s="1254" t="s">
        <v>16949</v>
      </c>
      <c r="C1008" s="1255" t="s">
        <v>2939</v>
      </c>
      <c r="D1008" s="1255" t="s">
        <v>1081</v>
      </c>
      <c r="E1008" s="1255" t="s">
        <v>11576</v>
      </c>
      <c r="F1008" s="1255" t="s">
        <v>11591</v>
      </c>
      <c r="G1008" s="1254" t="s">
        <v>128</v>
      </c>
      <c r="H1008" s="1254" t="s">
        <v>1078</v>
      </c>
      <c r="I1008" s="1258" t="s">
        <v>397</v>
      </c>
      <c r="J1008" s="1259"/>
      <c r="K1008" s="1257">
        <v>644000.0</v>
      </c>
    </row>
    <row r="1009">
      <c r="A1009" s="1253" t="s">
        <v>16950</v>
      </c>
      <c r="B1009" s="1254" t="s">
        <v>16951</v>
      </c>
      <c r="C1009" s="1255" t="s">
        <v>2939</v>
      </c>
      <c r="D1009" s="1255" t="s">
        <v>1082</v>
      </c>
      <c r="E1009" s="1255" t="s">
        <v>11576</v>
      </c>
      <c r="F1009" s="1255" t="s">
        <v>11591</v>
      </c>
      <c r="G1009" s="1254" t="s">
        <v>130</v>
      </c>
      <c r="H1009" s="1254" t="s">
        <v>1078</v>
      </c>
      <c r="I1009" s="1258" t="s">
        <v>397</v>
      </c>
      <c r="J1009" s="1259"/>
      <c r="K1009" s="1257">
        <v>644000.0</v>
      </c>
    </row>
    <row r="1010">
      <c r="A1010" s="1253" t="s">
        <v>16952</v>
      </c>
      <c r="B1010" s="1254" t="s">
        <v>16953</v>
      </c>
      <c r="C1010" s="1255" t="s">
        <v>2939</v>
      </c>
      <c r="D1010" s="1255" t="s">
        <v>1083</v>
      </c>
      <c r="E1010" s="1255" t="s">
        <v>11576</v>
      </c>
      <c r="F1010" s="1255" t="s">
        <v>11591</v>
      </c>
      <c r="G1010" s="1254" t="s">
        <v>132</v>
      </c>
      <c r="H1010" s="1254" t="s">
        <v>1078</v>
      </c>
      <c r="I1010" s="1259"/>
      <c r="J1010" s="1259"/>
      <c r="K1010" s="1257">
        <v>564000.0</v>
      </c>
    </row>
    <row r="1011">
      <c r="A1011" s="1253" t="s">
        <v>16954</v>
      </c>
      <c r="B1011" s="1254" t="s">
        <v>16955</v>
      </c>
      <c r="C1011" s="1255" t="s">
        <v>2939</v>
      </c>
      <c r="D1011" s="1255" t="s">
        <v>1084</v>
      </c>
      <c r="E1011" s="1255" t="s">
        <v>11576</v>
      </c>
      <c r="F1011" s="1255" t="s">
        <v>11591</v>
      </c>
      <c r="G1011" s="1254" t="s">
        <v>134</v>
      </c>
      <c r="H1011" s="1254" t="s">
        <v>1078</v>
      </c>
      <c r="I1011" s="1259"/>
      <c r="J1011" s="1259"/>
      <c r="K1011" s="1257">
        <v>564000.0</v>
      </c>
    </row>
    <row r="1012">
      <c r="A1012" s="1253" t="s">
        <v>16956</v>
      </c>
      <c r="B1012" s="1254" t="s">
        <v>2939</v>
      </c>
      <c r="C1012" s="1255" t="s">
        <v>2939</v>
      </c>
      <c r="D1012" s="1255" t="s">
        <v>1085</v>
      </c>
      <c r="E1012" s="1255" t="s">
        <v>11578</v>
      </c>
      <c r="F1012" s="1255" t="s">
        <v>11591</v>
      </c>
      <c r="G1012" s="1254" t="s">
        <v>387</v>
      </c>
      <c r="H1012" s="1254" t="s">
        <v>1078</v>
      </c>
      <c r="I1012" s="1259"/>
      <c r="J1012" s="1259"/>
      <c r="K1012" s="1257">
        <v>291000.0</v>
      </c>
    </row>
    <row r="1013">
      <c r="A1013" s="1253" t="s">
        <v>16957</v>
      </c>
      <c r="B1013" s="1254" t="s">
        <v>2939</v>
      </c>
      <c r="C1013" s="1255" t="s">
        <v>2939</v>
      </c>
      <c r="D1013" s="1255" t="s">
        <v>1086</v>
      </c>
      <c r="E1013" s="1255" t="s">
        <v>11578</v>
      </c>
      <c r="F1013" s="1255" t="s">
        <v>11591</v>
      </c>
      <c r="G1013" s="1254" t="s">
        <v>389</v>
      </c>
      <c r="H1013" s="1254" t="s">
        <v>1078</v>
      </c>
      <c r="I1013" s="1259"/>
      <c r="J1013" s="1259"/>
      <c r="K1013" s="1257">
        <v>291000.0</v>
      </c>
    </row>
    <row r="1014">
      <c r="A1014" s="1253" t="s">
        <v>16958</v>
      </c>
      <c r="B1014" s="1254" t="s">
        <v>16959</v>
      </c>
      <c r="C1014" s="1255" t="s">
        <v>2939</v>
      </c>
      <c r="D1014" s="1255" t="s">
        <v>1087</v>
      </c>
      <c r="E1014" s="1255" t="s">
        <v>11576</v>
      </c>
      <c r="F1014" s="1255" t="s">
        <v>11570</v>
      </c>
      <c r="G1014" s="1254" t="s">
        <v>22</v>
      </c>
      <c r="H1014" s="1254" t="s">
        <v>1088</v>
      </c>
      <c r="I1014" s="1258" t="s">
        <v>75</v>
      </c>
      <c r="J1014" s="1259"/>
      <c r="K1014" s="1257">
        <v>1848000.0</v>
      </c>
    </row>
    <row r="1015">
      <c r="A1015" s="1253" t="s">
        <v>16960</v>
      </c>
      <c r="B1015" s="1254" t="s">
        <v>16961</v>
      </c>
      <c r="C1015" s="1255" t="s">
        <v>2939</v>
      </c>
      <c r="D1015" s="1255" t="s">
        <v>1089</v>
      </c>
      <c r="E1015" s="1255" t="s">
        <v>11576</v>
      </c>
      <c r="F1015" s="1255" t="s">
        <v>11579</v>
      </c>
      <c r="G1015" s="1254" t="s">
        <v>41</v>
      </c>
      <c r="H1015" s="1254" t="s">
        <v>1088</v>
      </c>
      <c r="I1015" s="1258" t="s">
        <v>2062</v>
      </c>
      <c r="J1015" s="1259"/>
      <c r="K1015" s="1257">
        <v>2785000.0</v>
      </c>
    </row>
    <row r="1016">
      <c r="A1016" s="1253" t="s">
        <v>16962</v>
      </c>
      <c r="B1016" s="1254" t="s">
        <v>2939</v>
      </c>
      <c r="C1016" s="1255" t="s">
        <v>2939</v>
      </c>
      <c r="D1016" s="1255" t="s">
        <v>1090</v>
      </c>
      <c r="E1016" s="1255" t="s">
        <v>11578</v>
      </c>
      <c r="F1016" s="1255" t="s">
        <v>11591</v>
      </c>
      <c r="G1016" s="1254" t="s">
        <v>128</v>
      </c>
      <c r="H1016" s="1254" t="s">
        <v>1088</v>
      </c>
      <c r="I1016" s="1259"/>
      <c r="J1016" s="1259"/>
      <c r="K1016" s="1257">
        <v>644000.0</v>
      </c>
    </row>
    <row r="1017">
      <c r="A1017" s="1253" t="s">
        <v>16963</v>
      </c>
      <c r="B1017" s="1254" t="s">
        <v>16964</v>
      </c>
      <c r="C1017" s="1255" t="s">
        <v>2939</v>
      </c>
      <c r="D1017" s="1255" t="s">
        <v>1091</v>
      </c>
      <c r="E1017" s="1255" t="s">
        <v>11578</v>
      </c>
      <c r="F1017" s="1255" t="s">
        <v>11591</v>
      </c>
      <c r="G1017" s="1254" t="s">
        <v>130</v>
      </c>
      <c r="H1017" s="1254" t="s">
        <v>1088</v>
      </c>
      <c r="I1017" s="1259"/>
      <c r="J1017" s="1259"/>
      <c r="K1017" s="1257">
        <v>644000.0</v>
      </c>
    </row>
    <row r="1018">
      <c r="A1018" s="1253" t="s">
        <v>16965</v>
      </c>
      <c r="B1018" s="1254" t="s">
        <v>16966</v>
      </c>
      <c r="C1018" s="1255" t="s">
        <v>2939</v>
      </c>
      <c r="D1018" s="1255" t="s">
        <v>1092</v>
      </c>
      <c r="E1018" s="1255" t="s">
        <v>11578</v>
      </c>
      <c r="F1018" s="1255" t="s">
        <v>11591</v>
      </c>
      <c r="G1018" s="1254" t="s">
        <v>132</v>
      </c>
      <c r="H1018" s="1254" t="s">
        <v>1088</v>
      </c>
      <c r="I1018" s="1259"/>
      <c r="J1018" s="1259"/>
      <c r="K1018" s="1257">
        <v>564000.0</v>
      </c>
    </row>
    <row r="1019">
      <c r="A1019" s="1253" t="s">
        <v>16967</v>
      </c>
      <c r="B1019" s="1254" t="s">
        <v>16968</v>
      </c>
      <c r="C1019" s="1255" t="s">
        <v>2939</v>
      </c>
      <c r="D1019" s="1255" t="s">
        <v>1093</v>
      </c>
      <c r="E1019" s="1255" t="s">
        <v>11578</v>
      </c>
      <c r="F1019" s="1255" t="s">
        <v>11591</v>
      </c>
      <c r="G1019" s="1254" t="s">
        <v>134</v>
      </c>
      <c r="H1019" s="1254" t="s">
        <v>1088</v>
      </c>
      <c r="I1019" s="1259"/>
      <c r="J1019" s="1259"/>
      <c r="K1019" s="1257">
        <v>564000.0</v>
      </c>
    </row>
    <row r="1020">
      <c r="A1020" s="1253" t="s">
        <v>16969</v>
      </c>
      <c r="B1020" s="1254" t="s">
        <v>2939</v>
      </c>
      <c r="C1020" s="1255" t="s">
        <v>2939</v>
      </c>
      <c r="D1020" s="1255" t="s">
        <v>1094</v>
      </c>
      <c r="E1020" s="1255" t="s">
        <v>11578</v>
      </c>
      <c r="F1020" s="1255" t="s">
        <v>11591</v>
      </c>
      <c r="G1020" s="1254" t="s">
        <v>387</v>
      </c>
      <c r="H1020" s="1254" t="s">
        <v>1088</v>
      </c>
      <c r="I1020" s="1259"/>
      <c r="J1020" s="1259"/>
      <c r="K1020" s="1257">
        <v>291000.0</v>
      </c>
    </row>
    <row r="1021">
      <c r="A1021" s="1253" t="s">
        <v>16970</v>
      </c>
      <c r="B1021" s="1254" t="s">
        <v>2939</v>
      </c>
      <c r="C1021" s="1255" t="s">
        <v>2939</v>
      </c>
      <c r="D1021" s="1255" t="s">
        <v>1095</v>
      </c>
      <c r="E1021" s="1255" t="s">
        <v>11578</v>
      </c>
      <c r="F1021" s="1255" t="s">
        <v>11591</v>
      </c>
      <c r="G1021" s="1254" t="s">
        <v>389</v>
      </c>
      <c r="H1021" s="1254" t="s">
        <v>1088</v>
      </c>
      <c r="I1021" s="1259"/>
      <c r="J1021" s="1259"/>
      <c r="K1021" s="1257">
        <v>291000.0</v>
      </c>
    </row>
    <row r="1022">
      <c r="A1022" s="1253" t="s">
        <v>2939</v>
      </c>
      <c r="B1022" s="1254" t="s">
        <v>16971</v>
      </c>
      <c r="C1022" s="1255" t="s">
        <v>2939</v>
      </c>
      <c r="D1022" s="1255" t="s">
        <v>20</v>
      </c>
      <c r="E1022" s="1255" t="s">
        <v>11569</v>
      </c>
      <c r="F1022" s="1260" t="s">
        <v>11570</v>
      </c>
      <c r="G1022" s="1258" t="s">
        <v>22</v>
      </c>
      <c r="H1022" s="1258" t="s">
        <v>21</v>
      </c>
      <c r="I1022" s="1254" t="s">
        <v>23</v>
      </c>
      <c r="J1022" s="1256"/>
      <c r="K1022" s="1257">
        <v>2200000.0</v>
      </c>
    </row>
    <row r="1023">
      <c r="A1023" s="1253" t="s">
        <v>2939</v>
      </c>
      <c r="B1023" s="1254" t="s">
        <v>16972</v>
      </c>
      <c r="C1023" s="1255" t="s">
        <v>2939</v>
      </c>
      <c r="D1023" s="1255" t="s">
        <v>11995</v>
      </c>
      <c r="E1023" s="1255" t="s">
        <v>11569</v>
      </c>
      <c r="F1023" s="1255" t="s">
        <v>11579</v>
      </c>
      <c r="G1023" s="1258" t="s">
        <v>41</v>
      </c>
      <c r="H1023" s="1258" t="s">
        <v>21</v>
      </c>
      <c r="I1023" s="1258" t="s">
        <v>2193</v>
      </c>
      <c r="J1023" s="1259"/>
      <c r="K1023" s="1257">
        <v>2785000.0</v>
      </c>
    </row>
    <row r="1024">
      <c r="A1024" s="1253" t="s">
        <v>16973</v>
      </c>
      <c r="B1024" s="1254" t="s">
        <v>16974</v>
      </c>
      <c r="C1024" s="1255" t="s">
        <v>16975</v>
      </c>
      <c r="D1024" s="1255" t="s">
        <v>1096</v>
      </c>
      <c r="E1024" s="1255" t="s">
        <v>11630</v>
      </c>
      <c r="F1024" s="1255" t="s">
        <v>11570</v>
      </c>
      <c r="G1024" s="1254" t="s">
        <v>22</v>
      </c>
      <c r="H1024" s="1254" t="s">
        <v>65</v>
      </c>
      <c r="I1024" s="1258" t="s">
        <v>97</v>
      </c>
      <c r="J1024" s="1259"/>
      <c r="K1024" s="1257">
        <v>758000.0</v>
      </c>
    </row>
    <row r="1025">
      <c r="A1025" s="1253" t="s">
        <v>16976</v>
      </c>
      <c r="B1025" s="1254" t="s">
        <v>16977</v>
      </c>
      <c r="C1025" s="1255" t="s">
        <v>2939</v>
      </c>
      <c r="D1025" s="1255" t="s">
        <v>1097</v>
      </c>
      <c r="E1025" s="1255" t="s">
        <v>11576</v>
      </c>
      <c r="F1025" s="1255" t="s">
        <v>11579</v>
      </c>
      <c r="G1025" s="1254" t="s">
        <v>41</v>
      </c>
      <c r="H1025" s="1254" t="s">
        <v>65</v>
      </c>
      <c r="I1025" s="1258" t="s">
        <v>97</v>
      </c>
      <c r="J1025" s="1266">
        <v>263000.0</v>
      </c>
      <c r="K1025" s="1257">
        <v>541000.0</v>
      </c>
    </row>
    <row r="1026">
      <c r="A1026" s="1253" t="s">
        <v>16978</v>
      </c>
      <c r="B1026" s="1254" t="s">
        <v>16979</v>
      </c>
      <c r="C1026" s="1255" t="s">
        <v>2939</v>
      </c>
      <c r="D1026" s="1255" t="s">
        <v>64</v>
      </c>
      <c r="E1026" s="1255" t="s">
        <v>11576</v>
      </c>
      <c r="F1026" s="1255" t="s">
        <v>11579</v>
      </c>
      <c r="G1026" s="1254" t="s">
        <v>41</v>
      </c>
      <c r="H1026" s="1254" t="s">
        <v>65</v>
      </c>
      <c r="I1026" s="1258" t="s">
        <v>2193</v>
      </c>
      <c r="J1026" s="1266">
        <v>322000.0</v>
      </c>
      <c r="K1026" s="1257">
        <v>667000.0</v>
      </c>
    </row>
    <row r="1027">
      <c r="A1027" s="1253" t="s">
        <v>16980</v>
      </c>
      <c r="B1027" s="1254" t="s">
        <v>16981</v>
      </c>
      <c r="C1027" s="1255" t="s">
        <v>16982</v>
      </c>
      <c r="D1027" s="1255" t="s">
        <v>1098</v>
      </c>
      <c r="E1027" s="1255" t="s">
        <v>11630</v>
      </c>
      <c r="F1027" s="1255" t="s">
        <v>11570</v>
      </c>
      <c r="G1027" s="1254" t="s">
        <v>22</v>
      </c>
      <c r="H1027" s="1254" t="s">
        <v>81</v>
      </c>
      <c r="I1027" s="1258" t="s">
        <v>97</v>
      </c>
      <c r="J1027" s="1259"/>
      <c r="K1027" s="1257">
        <v>758000.0</v>
      </c>
    </row>
    <row r="1028">
      <c r="A1028" s="1253" t="s">
        <v>16983</v>
      </c>
      <c r="B1028" s="1254" t="s">
        <v>16984</v>
      </c>
      <c r="C1028" s="1255" t="s">
        <v>2939</v>
      </c>
      <c r="D1028" s="1255" t="s">
        <v>87</v>
      </c>
      <c r="E1028" s="1255" t="s">
        <v>11576</v>
      </c>
      <c r="F1028" s="1255" t="s">
        <v>11579</v>
      </c>
      <c r="G1028" s="1254" t="s">
        <v>41</v>
      </c>
      <c r="H1028" s="1254" t="s">
        <v>88</v>
      </c>
      <c r="I1028" s="1258" t="s">
        <v>97</v>
      </c>
      <c r="J1028" s="1271" t="s">
        <v>16985</v>
      </c>
      <c r="K1028" s="1257">
        <v>599000.0</v>
      </c>
    </row>
    <row r="1029">
      <c r="A1029" s="1253" t="s">
        <v>16986</v>
      </c>
      <c r="B1029" s="1254" t="s">
        <v>16987</v>
      </c>
      <c r="C1029" s="1255" t="s">
        <v>2939</v>
      </c>
      <c r="D1029" s="1255" t="s">
        <v>11996</v>
      </c>
      <c r="E1029" s="1255" t="s">
        <v>11576</v>
      </c>
      <c r="F1029" s="1255" t="s">
        <v>11579</v>
      </c>
      <c r="G1029" s="1254" t="s">
        <v>41</v>
      </c>
      <c r="H1029" s="1254" t="s">
        <v>88</v>
      </c>
      <c r="I1029" s="1258" t="s">
        <v>2193</v>
      </c>
      <c r="J1029" s="1266">
        <v>313000.0</v>
      </c>
      <c r="K1029" s="1257">
        <v>637000.0</v>
      </c>
    </row>
    <row r="1030">
      <c r="A1030" s="1253" t="s">
        <v>16988</v>
      </c>
      <c r="B1030" s="1254" t="s">
        <v>16989</v>
      </c>
      <c r="C1030" s="1255" t="s">
        <v>16990</v>
      </c>
      <c r="D1030" s="1255" t="s">
        <v>1100</v>
      </c>
      <c r="E1030" s="1255" t="s">
        <v>11630</v>
      </c>
      <c r="F1030" s="1255" t="s">
        <v>11570</v>
      </c>
      <c r="G1030" s="1254" t="s">
        <v>22</v>
      </c>
      <c r="H1030" s="1254" t="s">
        <v>1101</v>
      </c>
      <c r="I1030" s="1258" t="s">
        <v>97</v>
      </c>
      <c r="J1030" s="1259"/>
      <c r="K1030" s="1257">
        <v>758000.0</v>
      </c>
    </row>
    <row r="1031">
      <c r="A1031" s="1253" t="s">
        <v>2939</v>
      </c>
      <c r="B1031" s="1254" t="s">
        <v>2939</v>
      </c>
      <c r="C1031" s="1255" t="s">
        <v>16991</v>
      </c>
      <c r="D1031" s="1260" t="s">
        <v>1768</v>
      </c>
      <c r="E1031" s="1255" t="s">
        <v>11653</v>
      </c>
      <c r="F1031" s="1255" t="s">
        <v>11570</v>
      </c>
      <c r="G1031" s="1254" t="s">
        <v>22</v>
      </c>
      <c r="H1031" s="1254" t="s">
        <v>1769</v>
      </c>
      <c r="I1031" s="1258" t="s">
        <v>125</v>
      </c>
      <c r="J1031" s="1259"/>
      <c r="K1031" s="1257">
        <v>1190000.0</v>
      </c>
    </row>
    <row r="1032">
      <c r="A1032" s="1253" t="s">
        <v>2939</v>
      </c>
      <c r="B1032" s="1254" t="s">
        <v>2939</v>
      </c>
      <c r="C1032" s="1255" t="s">
        <v>16992</v>
      </c>
      <c r="D1032" s="1255" t="s">
        <v>11997</v>
      </c>
      <c r="E1032" s="1255" t="s">
        <v>11653</v>
      </c>
      <c r="F1032" s="1255" t="s">
        <v>11570</v>
      </c>
      <c r="G1032" s="1254" t="s">
        <v>22</v>
      </c>
      <c r="H1032" s="1254" t="s">
        <v>1517</v>
      </c>
      <c r="I1032" s="1259"/>
      <c r="J1032" s="1259"/>
      <c r="K1032" s="1257">
        <v>919000.0</v>
      </c>
    </row>
    <row r="1033">
      <c r="A1033" s="1253" t="s">
        <v>2939</v>
      </c>
      <c r="B1033" s="1254" t="s">
        <v>2939</v>
      </c>
      <c r="C1033" s="1255" t="s">
        <v>16993</v>
      </c>
      <c r="D1033" s="1260" t="s">
        <v>11998</v>
      </c>
      <c r="E1033" s="1255" t="s">
        <v>11653</v>
      </c>
      <c r="F1033" s="1255" t="s">
        <v>11579</v>
      </c>
      <c r="G1033" s="1254" t="s">
        <v>41</v>
      </c>
      <c r="H1033" s="1254" t="s">
        <v>1517</v>
      </c>
      <c r="I1033" s="1259"/>
      <c r="J1033" s="1259"/>
      <c r="K1033" s="1257">
        <v>618000.0</v>
      </c>
    </row>
    <row r="1034">
      <c r="A1034" s="1253" t="s">
        <v>2939</v>
      </c>
      <c r="B1034" s="1254" t="s">
        <v>2939</v>
      </c>
      <c r="C1034" s="1255" t="s">
        <v>16994</v>
      </c>
      <c r="D1034" s="1255" t="s">
        <v>11999</v>
      </c>
      <c r="E1034" s="1255" t="s">
        <v>11653</v>
      </c>
      <c r="F1034" s="1255" t="s">
        <v>11591</v>
      </c>
      <c r="G1034" s="1254" t="s">
        <v>202</v>
      </c>
      <c r="H1034" s="1254" t="s">
        <v>1517</v>
      </c>
      <c r="I1034" s="1259"/>
      <c r="J1034" s="1259"/>
      <c r="K1034" s="1257">
        <v>126000.0</v>
      </c>
    </row>
    <row r="1035">
      <c r="A1035" s="1253" t="s">
        <v>2939</v>
      </c>
      <c r="B1035" s="1254" t="s">
        <v>2939</v>
      </c>
      <c r="C1035" s="1255" t="s">
        <v>16995</v>
      </c>
      <c r="D1035" s="1255" t="s">
        <v>12000</v>
      </c>
      <c r="E1035" s="1255" t="s">
        <v>11653</v>
      </c>
      <c r="F1035" s="1255" t="s">
        <v>11591</v>
      </c>
      <c r="G1035" s="1254" t="s">
        <v>236</v>
      </c>
      <c r="H1035" s="1254" t="s">
        <v>1517</v>
      </c>
      <c r="I1035" s="1259"/>
      <c r="J1035" s="1259"/>
      <c r="K1035" s="1257">
        <v>126000.0</v>
      </c>
    </row>
    <row r="1036">
      <c r="A1036" s="1253" t="s">
        <v>16996</v>
      </c>
      <c r="B1036" s="1254" t="s">
        <v>16997</v>
      </c>
      <c r="C1036" s="1255" t="s">
        <v>2939</v>
      </c>
      <c r="D1036" s="1255" t="s">
        <v>1102</v>
      </c>
      <c r="E1036" s="1255" t="s">
        <v>11576</v>
      </c>
      <c r="F1036" s="1255" t="s">
        <v>11570</v>
      </c>
      <c r="G1036" s="1254" t="s">
        <v>22</v>
      </c>
      <c r="H1036" s="1254" t="s">
        <v>1103</v>
      </c>
      <c r="I1036" s="1258" t="s">
        <v>125</v>
      </c>
      <c r="J1036" s="1259"/>
      <c r="K1036" s="1257">
        <v>1725000.0</v>
      </c>
    </row>
    <row r="1037">
      <c r="A1037" s="1253" t="s">
        <v>16998</v>
      </c>
      <c r="B1037" s="1254" t="s">
        <v>2939</v>
      </c>
      <c r="C1037" s="1255" t="s">
        <v>2939</v>
      </c>
      <c r="D1037" s="1255" t="s">
        <v>1104</v>
      </c>
      <c r="E1037" s="1255" t="s">
        <v>11578</v>
      </c>
      <c r="F1037" s="1255" t="s">
        <v>11579</v>
      </c>
      <c r="G1037" s="1254" t="s">
        <v>41</v>
      </c>
      <c r="H1037" s="1254" t="s">
        <v>1103</v>
      </c>
      <c r="I1037" s="1258" t="s">
        <v>2193</v>
      </c>
      <c r="J1037" s="1259"/>
      <c r="K1037" s="1257">
        <v>2099000.0</v>
      </c>
    </row>
    <row r="1038">
      <c r="A1038" s="1253" t="s">
        <v>16999</v>
      </c>
      <c r="B1038" s="1254" t="s">
        <v>17000</v>
      </c>
      <c r="C1038" s="1255" t="s">
        <v>2939</v>
      </c>
      <c r="D1038" s="1255" t="s">
        <v>1105</v>
      </c>
      <c r="E1038" s="1255" t="s">
        <v>11576</v>
      </c>
      <c r="F1038" s="1255" t="s">
        <v>11570</v>
      </c>
      <c r="G1038" s="1254" t="s">
        <v>22</v>
      </c>
      <c r="H1038" s="1254" t="s">
        <v>1106</v>
      </c>
      <c r="I1038" s="1258" t="s">
        <v>125</v>
      </c>
      <c r="J1038" s="1259"/>
      <c r="K1038" s="1257">
        <v>2218000.0</v>
      </c>
    </row>
    <row r="1039">
      <c r="A1039" s="1253" t="s">
        <v>17001</v>
      </c>
      <c r="B1039" s="1254" t="s">
        <v>17002</v>
      </c>
      <c r="C1039" s="1255" t="s">
        <v>2939</v>
      </c>
      <c r="D1039" s="1255" t="s">
        <v>1107</v>
      </c>
      <c r="E1039" s="1255" t="s">
        <v>11576</v>
      </c>
      <c r="F1039" s="1255" t="s">
        <v>11579</v>
      </c>
      <c r="G1039" s="1254" t="s">
        <v>41</v>
      </c>
      <c r="H1039" s="1254" t="s">
        <v>1106</v>
      </c>
      <c r="I1039" s="1258" t="s">
        <v>2062</v>
      </c>
      <c r="J1039" s="1259"/>
      <c r="K1039" s="1257">
        <v>2410000.0</v>
      </c>
    </row>
    <row r="1040">
      <c r="A1040" s="1253" t="s">
        <v>17003</v>
      </c>
      <c r="B1040" s="1254" t="s">
        <v>2939</v>
      </c>
      <c r="C1040" s="1255" t="s">
        <v>2939</v>
      </c>
      <c r="D1040" s="1255" t="s">
        <v>1108</v>
      </c>
      <c r="E1040" s="1255" t="s">
        <v>11578</v>
      </c>
      <c r="F1040" s="1255" t="s">
        <v>11591</v>
      </c>
      <c r="G1040" s="1254" t="s">
        <v>128</v>
      </c>
      <c r="H1040" s="1254" t="s">
        <v>1106</v>
      </c>
      <c r="I1040" s="1259"/>
      <c r="J1040" s="1259"/>
      <c r="K1040" s="1257">
        <v>804000.0</v>
      </c>
    </row>
    <row r="1041">
      <c r="A1041" s="1253" t="s">
        <v>17004</v>
      </c>
      <c r="B1041" s="1254" t="s">
        <v>17005</v>
      </c>
      <c r="C1041" s="1255" t="s">
        <v>2939</v>
      </c>
      <c r="D1041" s="1255" t="s">
        <v>1109</v>
      </c>
      <c r="E1041" s="1255" t="s">
        <v>11578</v>
      </c>
      <c r="F1041" s="1255" t="s">
        <v>11591</v>
      </c>
      <c r="G1041" s="1254" t="s">
        <v>130</v>
      </c>
      <c r="H1041" s="1254" t="s">
        <v>1106</v>
      </c>
      <c r="I1041" s="1259"/>
      <c r="J1041" s="1259"/>
      <c r="K1041" s="1257">
        <v>804000.0</v>
      </c>
    </row>
    <row r="1042">
      <c r="A1042" s="1253" t="s">
        <v>17006</v>
      </c>
      <c r="B1042" s="1254" t="s">
        <v>17007</v>
      </c>
      <c r="C1042" s="1255" t="s">
        <v>2939</v>
      </c>
      <c r="D1042" s="1255" t="s">
        <v>1110</v>
      </c>
      <c r="E1042" s="1255" t="s">
        <v>11576</v>
      </c>
      <c r="F1042" s="1255" t="s">
        <v>11570</v>
      </c>
      <c r="G1042" s="1254" t="s">
        <v>22</v>
      </c>
      <c r="H1042" s="1254" t="s">
        <v>1111</v>
      </c>
      <c r="I1042" s="1258" t="s">
        <v>125</v>
      </c>
      <c r="J1042" s="1259"/>
      <c r="K1042" s="1257">
        <v>2587000.0</v>
      </c>
    </row>
    <row r="1043">
      <c r="A1043" s="1253" t="s">
        <v>17008</v>
      </c>
      <c r="B1043" s="1254" t="s">
        <v>17009</v>
      </c>
      <c r="C1043" s="1255" t="s">
        <v>2939</v>
      </c>
      <c r="D1043" s="1255" t="s">
        <v>1112</v>
      </c>
      <c r="E1043" s="1255" t="s">
        <v>11576</v>
      </c>
      <c r="F1043" s="1255" t="s">
        <v>11570</v>
      </c>
      <c r="G1043" s="1254" t="s">
        <v>22</v>
      </c>
      <c r="H1043" s="1254" t="s">
        <v>1111</v>
      </c>
      <c r="I1043" s="1258" t="s">
        <v>75</v>
      </c>
      <c r="J1043" s="1259"/>
      <c r="K1043" s="1257">
        <v>2823000.0</v>
      </c>
    </row>
    <row r="1044">
      <c r="A1044" s="1253" t="s">
        <v>17010</v>
      </c>
      <c r="B1044" s="1254" t="s">
        <v>17011</v>
      </c>
      <c r="C1044" s="1255" t="s">
        <v>2939</v>
      </c>
      <c r="D1044" s="1255" t="s">
        <v>1113</v>
      </c>
      <c r="E1044" s="1255" t="s">
        <v>11578</v>
      </c>
      <c r="F1044" s="1255" t="s">
        <v>11579</v>
      </c>
      <c r="G1044" s="1254" t="s">
        <v>41</v>
      </c>
      <c r="H1044" s="1254" t="s">
        <v>1111</v>
      </c>
      <c r="I1044" s="1258" t="s">
        <v>2062</v>
      </c>
      <c r="J1044" s="1259"/>
      <c r="K1044" s="1257">
        <v>2997000.0</v>
      </c>
    </row>
    <row r="1045">
      <c r="A1045" s="1253" t="s">
        <v>17012</v>
      </c>
      <c r="B1045" s="1254" t="s">
        <v>17013</v>
      </c>
      <c r="C1045" s="1255" t="s">
        <v>2939</v>
      </c>
      <c r="D1045" s="1255" t="s">
        <v>1114</v>
      </c>
      <c r="E1045" s="1255" t="s">
        <v>11576</v>
      </c>
      <c r="F1045" s="1255" t="s">
        <v>11570</v>
      </c>
      <c r="G1045" s="1254" t="s">
        <v>22</v>
      </c>
      <c r="H1045" s="1254" t="s">
        <v>1115</v>
      </c>
      <c r="I1045" s="1258" t="s">
        <v>75</v>
      </c>
      <c r="J1045" s="1259"/>
      <c r="K1045" s="1257">
        <v>1905000.0</v>
      </c>
    </row>
    <row r="1046">
      <c r="A1046" s="1253" t="s">
        <v>2939</v>
      </c>
      <c r="B1046" s="1254" t="s">
        <v>17014</v>
      </c>
      <c r="C1046" s="1255" t="s">
        <v>2939</v>
      </c>
      <c r="D1046" s="1260" t="s">
        <v>11500</v>
      </c>
      <c r="E1046" s="1255" t="s">
        <v>11569</v>
      </c>
      <c r="F1046" s="1255" t="s">
        <v>11570</v>
      </c>
      <c r="G1046" s="1254" t="s">
        <v>22</v>
      </c>
      <c r="H1046" s="1254" t="s">
        <v>1115</v>
      </c>
      <c r="I1046" s="1258" t="s">
        <v>125</v>
      </c>
      <c r="J1046" s="1259"/>
      <c r="K1046" s="1257">
        <v>1728000.0</v>
      </c>
    </row>
    <row r="1047">
      <c r="A1047" s="1253" t="s">
        <v>17015</v>
      </c>
      <c r="B1047" s="1254" t="s">
        <v>17016</v>
      </c>
      <c r="C1047" s="1255" t="s">
        <v>2939</v>
      </c>
      <c r="D1047" s="1255" t="s">
        <v>1116</v>
      </c>
      <c r="E1047" s="1255" t="s">
        <v>11576</v>
      </c>
      <c r="F1047" s="1255" t="s">
        <v>11579</v>
      </c>
      <c r="G1047" s="1254" t="s">
        <v>41</v>
      </c>
      <c r="H1047" s="1254" t="s">
        <v>1115</v>
      </c>
      <c r="I1047" s="1258" t="s">
        <v>2062</v>
      </c>
      <c r="J1047" s="1259"/>
      <c r="K1047" s="1257">
        <v>3271000.0</v>
      </c>
    </row>
    <row r="1048">
      <c r="A1048" s="1253" t="s">
        <v>17017</v>
      </c>
      <c r="B1048" s="1254" t="s">
        <v>2939</v>
      </c>
      <c r="C1048" s="1255" t="s">
        <v>2939</v>
      </c>
      <c r="D1048" s="1255" t="s">
        <v>1117</v>
      </c>
      <c r="E1048" s="1255" t="s">
        <v>11578</v>
      </c>
      <c r="F1048" s="1255" t="s">
        <v>11591</v>
      </c>
      <c r="G1048" s="1254" t="s">
        <v>128</v>
      </c>
      <c r="H1048" s="1254" t="s">
        <v>1115</v>
      </c>
      <c r="I1048" s="1259"/>
      <c r="J1048" s="1259"/>
      <c r="K1048" s="1257">
        <v>804000.0</v>
      </c>
    </row>
    <row r="1049">
      <c r="A1049" s="1253" t="s">
        <v>17018</v>
      </c>
      <c r="B1049" s="1254" t="s">
        <v>17019</v>
      </c>
      <c r="C1049" s="1255" t="s">
        <v>2939</v>
      </c>
      <c r="D1049" s="1255" t="s">
        <v>1118</v>
      </c>
      <c r="E1049" s="1255" t="s">
        <v>11578</v>
      </c>
      <c r="F1049" s="1255" t="s">
        <v>11591</v>
      </c>
      <c r="G1049" s="1254" t="s">
        <v>130</v>
      </c>
      <c r="H1049" s="1254" t="s">
        <v>1115</v>
      </c>
      <c r="I1049" s="1259"/>
      <c r="J1049" s="1259"/>
      <c r="K1049" s="1257">
        <v>804000.0</v>
      </c>
    </row>
    <row r="1050">
      <c r="A1050" s="1253" t="s">
        <v>2939</v>
      </c>
      <c r="B1050" s="1254" t="s">
        <v>17020</v>
      </c>
      <c r="C1050" s="1255" t="s">
        <v>2939</v>
      </c>
      <c r="D1050" s="1255" t="s">
        <v>1867</v>
      </c>
      <c r="E1050" s="1255" t="s">
        <v>11569</v>
      </c>
      <c r="F1050" s="1255" t="s">
        <v>11570</v>
      </c>
      <c r="G1050" s="1254" t="s">
        <v>22</v>
      </c>
      <c r="H1050" s="1254" t="s">
        <v>1868</v>
      </c>
      <c r="I1050" s="1258" t="s">
        <v>75</v>
      </c>
      <c r="J1050" s="1259"/>
      <c r="K1050" s="1257">
        <v>2464000.0</v>
      </c>
    </row>
    <row r="1051">
      <c r="A1051" s="1253" t="s">
        <v>2939</v>
      </c>
      <c r="B1051" s="1254" t="s">
        <v>17021</v>
      </c>
      <c r="C1051" s="1255" t="s">
        <v>2939</v>
      </c>
      <c r="D1051" s="1255" t="s">
        <v>1869</v>
      </c>
      <c r="E1051" s="1255" t="s">
        <v>11569</v>
      </c>
      <c r="F1051" s="1255" t="s">
        <v>11570</v>
      </c>
      <c r="G1051" s="1254" t="s">
        <v>22</v>
      </c>
      <c r="H1051" s="1254" t="s">
        <v>1870</v>
      </c>
      <c r="I1051" s="1258" t="s">
        <v>737</v>
      </c>
      <c r="J1051" s="1259"/>
      <c r="K1051" s="1257">
        <v>4681000.0</v>
      </c>
    </row>
    <row r="1052">
      <c r="A1052" s="1253" t="s">
        <v>2939</v>
      </c>
      <c r="B1052" s="1254" t="s">
        <v>17022</v>
      </c>
      <c r="C1052" s="1255" t="s">
        <v>17023</v>
      </c>
      <c r="D1052" s="1255" t="s">
        <v>1871</v>
      </c>
      <c r="E1052" s="1255" t="s">
        <v>11569</v>
      </c>
      <c r="F1052" s="1255" t="s">
        <v>11570</v>
      </c>
      <c r="G1052" s="1254" t="s">
        <v>22</v>
      </c>
      <c r="H1052" s="1254" t="s">
        <v>1120</v>
      </c>
      <c r="I1052" s="1258" t="s">
        <v>97</v>
      </c>
      <c r="J1052" s="1259"/>
      <c r="K1052" s="1257">
        <v>1365000.0</v>
      </c>
    </row>
    <row r="1053">
      <c r="A1053" s="1253" t="s">
        <v>17024</v>
      </c>
      <c r="B1053" s="1254" t="s">
        <v>17025</v>
      </c>
      <c r="C1053" s="1255" t="s">
        <v>2939</v>
      </c>
      <c r="D1053" s="1255" t="s">
        <v>1119</v>
      </c>
      <c r="E1053" s="1255" t="s">
        <v>11576</v>
      </c>
      <c r="F1053" s="1255" t="s">
        <v>11579</v>
      </c>
      <c r="G1053" s="1254" t="s">
        <v>41</v>
      </c>
      <c r="H1053" s="1254" t="s">
        <v>1120</v>
      </c>
      <c r="I1053" s="1258" t="s">
        <v>2193</v>
      </c>
      <c r="J1053" s="1259"/>
      <c r="K1053" s="1257">
        <v>1802000.0</v>
      </c>
    </row>
    <row r="1054">
      <c r="A1054" s="1253" t="s">
        <v>17026</v>
      </c>
      <c r="B1054" s="1254" t="s">
        <v>17027</v>
      </c>
      <c r="C1054" s="1255" t="s">
        <v>2939</v>
      </c>
      <c r="D1054" s="1255" t="s">
        <v>1121</v>
      </c>
      <c r="E1054" s="1255" t="s">
        <v>11576</v>
      </c>
      <c r="F1054" s="1255" t="s">
        <v>11570</v>
      </c>
      <c r="G1054" s="1254" t="s">
        <v>22</v>
      </c>
      <c r="H1054" s="1254" t="s">
        <v>1122</v>
      </c>
      <c r="I1054" s="1258" t="s">
        <v>97</v>
      </c>
      <c r="J1054" s="1259"/>
      <c r="K1054" s="1257">
        <v>1409000.0</v>
      </c>
    </row>
    <row r="1055">
      <c r="A1055" s="1253" t="s">
        <v>17028</v>
      </c>
      <c r="B1055" s="1254" t="s">
        <v>17029</v>
      </c>
      <c r="C1055" s="1255" t="s">
        <v>2939</v>
      </c>
      <c r="D1055" s="1255" t="s">
        <v>1123</v>
      </c>
      <c r="E1055" s="1255" t="s">
        <v>11578</v>
      </c>
      <c r="F1055" s="1255" t="s">
        <v>11579</v>
      </c>
      <c r="G1055" s="1254" t="s">
        <v>41</v>
      </c>
      <c r="H1055" s="1254" t="s">
        <v>1122</v>
      </c>
      <c r="I1055" s="1258" t="s">
        <v>2193</v>
      </c>
      <c r="J1055" s="1259"/>
      <c r="K1055" s="1257">
        <v>2385000.0</v>
      </c>
    </row>
    <row r="1056">
      <c r="A1056" s="1253" t="s">
        <v>2939</v>
      </c>
      <c r="B1056" s="1254" t="s">
        <v>17030</v>
      </c>
      <c r="C1056" s="1255" t="s">
        <v>2939</v>
      </c>
      <c r="D1056" s="1255" t="s">
        <v>1872</v>
      </c>
      <c r="E1056" s="1255" t="s">
        <v>11569</v>
      </c>
      <c r="F1056" s="1255" t="s">
        <v>11591</v>
      </c>
      <c r="G1056" s="1254" t="s">
        <v>128</v>
      </c>
      <c r="H1056" s="1254" t="s">
        <v>1122</v>
      </c>
      <c r="I1056" s="1254" t="s">
        <v>397</v>
      </c>
      <c r="J1056" s="1256"/>
      <c r="K1056" s="1257">
        <v>471000.0</v>
      </c>
    </row>
    <row r="1057">
      <c r="A1057" s="1253" t="s">
        <v>2939</v>
      </c>
      <c r="B1057" s="1254" t="s">
        <v>17031</v>
      </c>
      <c r="C1057" s="1255" t="s">
        <v>2939</v>
      </c>
      <c r="D1057" s="1255" t="s">
        <v>1873</v>
      </c>
      <c r="E1057" s="1255" t="s">
        <v>11569</v>
      </c>
      <c r="F1057" s="1255" t="s">
        <v>11591</v>
      </c>
      <c r="G1057" s="1254" t="s">
        <v>130</v>
      </c>
      <c r="H1057" s="1254" t="s">
        <v>1122</v>
      </c>
      <c r="I1057" s="1254" t="s">
        <v>397</v>
      </c>
      <c r="J1057" s="1256"/>
      <c r="K1057" s="1257">
        <v>471000.0</v>
      </c>
    </row>
    <row r="1058">
      <c r="A1058" s="1253" t="s">
        <v>2939</v>
      </c>
      <c r="B1058" s="1254" t="s">
        <v>17032</v>
      </c>
      <c r="C1058" s="1255" t="s">
        <v>2939</v>
      </c>
      <c r="D1058" s="1255" t="s">
        <v>1874</v>
      </c>
      <c r="E1058" s="1255" t="s">
        <v>11569</v>
      </c>
      <c r="F1058" s="1255" t="s">
        <v>11591</v>
      </c>
      <c r="G1058" s="1254" t="s">
        <v>132</v>
      </c>
      <c r="H1058" s="1254" t="s">
        <v>1122</v>
      </c>
      <c r="I1058" s="1256"/>
      <c r="J1058" s="1256"/>
      <c r="K1058" s="1257">
        <v>471000.0</v>
      </c>
    </row>
    <row r="1059">
      <c r="A1059" s="1253" t="s">
        <v>2939</v>
      </c>
      <c r="B1059" s="1254" t="s">
        <v>17033</v>
      </c>
      <c r="C1059" s="1255" t="s">
        <v>2939</v>
      </c>
      <c r="D1059" s="1255" t="s">
        <v>1875</v>
      </c>
      <c r="E1059" s="1255" t="s">
        <v>11569</v>
      </c>
      <c r="F1059" s="1255" t="s">
        <v>11591</v>
      </c>
      <c r="G1059" s="1254" t="s">
        <v>134</v>
      </c>
      <c r="H1059" s="1254" t="s">
        <v>1122</v>
      </c>
      <c r="I1059" s="1256"/>
      <c r="J1059" s="1256"/>
      <c r="K1059" s="1257">
        <v>471000.0</v>
      </c>
    </row>
    <row r="1060">
      <c r="A1060" s="1253" t="s">
        <v>2939</v>
      </c>
      <c r="B1060" s="1254" t="s">
        <v>17034</v>
      </c>
      <c r="C1060" s="1255" t="s">
        <v>17035</v>
      </c>
      <c r="D1060" s="1255" t="s">
        <v>1972</v>
      </c>
      <c r="E1060" s="1255" t="s">
        <v>11654</v>
      </c>
      <c r="F1060" s="1255" t="s">
        <v>11570</v>
      </c>
      <c r="G1060" s="1254" t="s">
        <v>22</v>
      </c>
      <c r="H1060" s="1254" t="s">
        <v>1125</v>
      </c>
      <c r="I1060" s="1258" t="s">
        <v>97</v>
      </c>
      <c r="J1060" s="1259"/>
      <c r="K1060" s="1257">
        <v>1439000.0</v>
      </c>
    </row>
    <row r="1061">
      <c r="A1061" s="1253" t="s">
        <v>2939</v>
      </c>
      <c r="B1061" s="1254" t="s">
        <v>17036</v>
      </c>
      <c r="C1061" s="1255" t="s">
        <v>2939</v>
      </c>
      <c r="D1061" s="1255" t="s">
        <v>1124</v>
      </c>
      <c r="E1061" s="1255" t="s">
        <v>11569</v>
      </c>
      <c r="F1061" s="1255" t="s">
        <v>11579</v>
      </c>
      <c r="G1061" s="1254" t="s">
        <v>41</v>
      </c>
      <c r="H1061" s="1254" t="s">
        <v>1125</v>
      </c>
      <c r="I1061" s="1258" t="s">
        <v>2062</v>
      </c>
      <c r="J1061" s="1259"/>
      <c r="K1061" s="1257">
        <v>2398000.0</v>
      </c>
    </row>
    <row r="1062">
      <c r="A1062" s="1253" t="s">
        <v>2939</v>
      </c>
      <c r="B1062" s="1254" t="s">
        <v>17037</v>
      </c>
      <c r="C1062" s="1255" t="s">
        <v>2939</v>
      </c>
      <c r="D1062" s="1255" t="s">
        <v>1414</v>
      </c>
      <c r="E1062" s="1255" t="s">
        <v>11569</v>
      </c>
      <c r="F1062" s="1255" t="s">
        <v>11570</v>
      </c>
      <c r="G1062" s="1258" t="s">
        <v>22</v>
      </c>
      <c r="H1062" s="1258" t="s">
        <v>1415</v>
      </c>
      <c r="I1062" s="1258" t="s">
        <v>75</v>
      </c>
      <c r="J1062" s="1259"/>
      <c r="K1062" s="1257">
        <v>3050000.0</v>
      </c>
    </row>
    <row r="1063">
      <c r="A1063" s="1253" t="s">
        <v>17038</v>
      </c>
      <c r="B1063" s="1254" t="s">
        <v>2939</v>
      </c>
      <c r="C1063" s="1255" t="s">
        <v>2939</v>
      </c>
      <c r="D1063" s="1255" t="s">
        <v>1126</v>
      </c>
      <c r="E1063" s="1255" t="s">
        <v>11578</v>
      </c>
      <c r="F1063" s="1255" t="s">
        <v>11579</v>
      </c>
      <c r="G1063" s="1254" t="s">
        <v>41</v>
      </c>
      <c r="H1063" s="1262" t="s">
        <v>96</v>
      </c>
      <c r="I1063" s="1258" t="s">
        <v>97</v>
      </c>
      <c r="J1063" s="1259"/>
      <c r="K1063" s="1257">
        <v>484000.0</v>
      </c>
    </row>
    <row r="1064">
      <c r="A1064" s="1253" t="s">
        <v>17039</v>
      </c>
      <c r="B1064" s="1254" t="s">
        <v>2939</v>
      </c>
      <c r="C1064" s="1255" t="s">
        <v>2939</v>
      </c>
      <c r="D1064" s="1255" t="s">
        <v>1127</v>
      </c>
      <c r="E1064" s="1255" t="s">
        <v>11578</v>
      </c>
      <c r="F1064" s="1255" t="s">
        <v>11579</v>
      </c>
      <c r="G1064" s="1254" t="s">
        <v>41</v>
      </c>
      <c r="H1064" s="1262" t="s">
        <v>96</v>
      </c>
      <c r="I1064" s="1258" t="s">
        <v>2193</v>
      </c>
      <c r="J1064" s="1259"/>
      <c r="K1064" s="1257">
        <v>484000.0</v>
      </c>
    </row>
    <row r="1065">
      <c r="A1065" s="1253" t="s">
        <v>17040</v>
      </c>
      <c r="B1065" s="1254" t="s">
        <v>17041</v>
      </c>
      <c r="C1065" s="1255" t="s">
        <v>17042</v>
      </c>
      <c r="D1065" s="1255" t="s">
        <v>1128</v>
      </c>
      <c r="E1065" s="1255" t="s">
        <v>11630</v>
      </c>
      <c r="F1065" s="1255" t="s">
        <v>11570</v>
      </c>
      <c r="G1065" s="1254" t="s">
        <v>22</v>
      </c>
      <c r="H1065" s="1254" t="s">
        <v>1129</v>
      </c>
      <c r="I1065" s="1258" t="s">
        <v>125</v>
      </c>
      <c r="J1065" s="1259"/>
      <c r="K1065" s="1257">
        <v>1092000.0</v>
      </c>
    </row>
    <row r="1066">
      <c r="A1066" s="1253" t="s">
        <v>17043</v>
      </c>
      <c r="B1066" s="1254" t="s">
        <v>17044</v>
      </c>
      <c r="C1066" s="1255" t="s">
        <v>2939</v>
      </c>
      <c r="D1066" s="1255" t="s">
        <v>1130</v>
      </c>
      <c r="E1066" s="1255" t="s">
        <v>11578</v>
      </c>
      <c r="F1066" s="1255" t="s">
        <v>11579</v>
      </c>
      <c r="G1066" s="1254" t="s">
        <v>41</v>
      </c>
      <c r="H1066" s="1254" t="s">
        <v>1129</v>
      </c>
      <c r="I1066" s="1258" t="s">
        <v>2193</v>
      </c>
      <c r="J1066" s="1259"/>
      <c r="K1066" s="1257">
        <v>1667000.0</v>
      </c>
    </row>
    <row r="1067">
      <c r="A1067" s="1253" t="s">
        <v>17045</v>
      </c>
      <c r="B1067" s="1254" t="s">
        <v>17046</v>
      </c>
      <c r="C1067" s="1255" t="s">
        <v>2939</v>
      </c>
      <c r="D1067" s="1255" t="s">
        <v>1131</v>
      </c>
      <c r="E1067" s="1255" t="s">
        <v>11576</v>
      </c>
      <c r="F1067" s="1255" t="s">
        <v>11579</v>
      </c>
      <c r="G1067" s="1254" t="s">
        <v>41</v>
      </c>
      <c r="H1067" s="1254" t="s">
        <v>1132</v>
      </c>
      <c r="I1067" s="1258" t="s">
        <v>2193</v>
      </c>
      <c r="J1067" s="1266">
        <v>785000.0</v>
      </c>
      <c r="K1067" s="1257">
        <v>1950000.0</v>
      </c>
    </row>
    <row r="1068">
      <c r="A1068" s="1253" t="s">
        <v>17047</v>
      </c>
      <c r="B1068" s="1254" t="s">
        <v>17048</v>
      </c>
      <c r="C1068" s="1255" t="s">
        <v>2939</v>
      </c>
      <c r="D1068" s="1255" t="s">
        <v>1133</v>
      </c>
      <c r="E1068" s="1255" t="s">
        <v>11576</v>
      </c>
      <c r="F1068" s="1255" t="s">
        <v>11591</v>
      </c>
      <c r="G1068" s="1254" t="s">
        <v>132</v>
      </c>
      <c r="H1068" s="1254" t="s">
        <v>1129</v>
      </c>
      <c r="I1068" s="1259"/>
      <c r="J1068" s="1259"/>
      <c r="K1068" s="1257">
        <v>436000.0</v>
      </c>
    </row>
    <row r="1069">
      <c r="A1069" s="1253" t="s">
        <v>17049</v>
      </c>
      <c r="B1069" s="1254" t="s">
        <v>17050</v>
      </c>
      <c r="C1069" s="1255" t="s">
        <v>2939</v>
      </c>
      <c r="D1069" s="1255" t="s">
        <v>1134</v>
      </c>
      <c r="E1069" s="1255" t="s">
        <v>11576</v>
      </c>
      <c r="F1069" s="1255" t="s">
        <v>11591</v>
      </c>
      <c r="G1069" s="1254" t="s">
        <v>134</v>
      </c>
      <c r="H1069" s="1254" t="s">
        <v>1129</v>
      </c>
      <c r="I1069" s="1259"/>
      <c r="J1069" s="1259"/>
      <c r="K1069" s="1257">
        <v>436000.0</v>
      </c>
    </row>
    <row r="1070">
      <c r="A1070" s="1253" t="s">
        <v>17051</v>
      </c>
      <c r="B1070" s="1254" t="s">
        <v>17052</v>
      </c>
      <c r="C1070" s="1255" t="s">
        <v>2939</v>
      </c>
      <c r="D1070" s="1255" t="s">
        <v>1135</v>
      </c>
      <c r="E1070" s="1255" t="s">
        <v>11576</v>
      </c>
      <c r="F1070" s="1255" t="s">
        <v>11591</v>
      </c>
      <c r="G1070" s="1254" t="s">
        <v>202</v>
      </c>
      <c r="H1070" s="1254" t="s">
        <v>1132</v>
      </c>
      <c r="I1070" s="1258" t="s">
        <v>97</v>
      </c>
      <c r="J1070" s="1259"/>
      <c r="K1070" s="1257">
        <v>773000.0</v>
      </c>
    </row>
    <row r="1071">
      <c r="A1071" s="1253" t="s">
        <v>17053</v>
      </c>
      <c r="B1071" s="1254" t="s">
        <v>17054</v>
      </c>
      <c r="C1071" s="1255" t="s">
        <v>2939</v>
      </c>
      <c r="D1071" s="1255" t="s">
        <v>1136</v>
      </c>
      <c r="E1071" s="1255" t="s">
        <v>11576</v>
      </c>
      <c r="F1071" s="1255" t="s">
        <v>11591</v>
      </c>
      <c r="G1071" s="1254" t="s">
        <v>236</v>
      </c>
      <c r="H1071" s="1254" t="s">
        <v>1132</v>
      </c>
      <c r="I1071" s="1258" t="s">
        <v>234</v>
      </c>
      <c r="J1071" s="1259"/>
      <c r="K1071" s="1257">
        <v>933000.0</v>
      </c>
    </row>
    <row r="1072">
      <c r="A1072" s="1253" t="s">
        <v>17055</v>
      </c>
      <c r="B1072" s="1254" t="s">
        <v>17056</v>
      </c>
      <c r="C1072" s="1255" t="s">
        <v>17057</v>
      </c>
      <c r="D1072" s="1255" t="s">
        <v>1137</v>
      </c>
      <c r="E1072" s="1255" t="s">
        <v>11630</v>
      </c>
      <c r="F1072" s="1255" t="s">
        <v>11570</v>
      </c>
      <c r="G1072" s="1254" t="s">
        <v>22</v>
      </c>
      <c r="H1072" s="1254" t="s">
        <v>1138</v>
      </c>
      <c r="I1072" s="1258" t="s">
        <v>125</v>
      </c>
      <c r="J1072" s="1259"/>
      <c r="K1072" s="1257">
        <v>1450000.0</v>
      </c>
    </row>
    <row r="1073">
      <c r="A1073" s="1253" t="s">
        <v>17058</v>
      </c>
      <c r="B1073" s="1254" t="s">
        <v>17059</v>
      </c>
      <c r="C1073" s="1255" t="s">
        <v>2939</v>
      </c>
      <c r="D1073" s="1255" t="s">
        <v>1139</v>
      </c>
      <c r="E1073" s="1255" t="s">
        <v>11576</v>
      </c>
      <c r="F1073" s="1255" t="s">
        <v>11579</v>
      </c>
      <c r="G1073" s="1254" t="s">
        <v>41</v>
      </c>
      <c r="H1073" s="1254" t="s">
        <v>1138</v>
      </c>
      <c r="I1073" s="1258" t="s">
        <v>1377</v>
      </c>
      <c r="J1073" s="1259"/>
      <c r="K1073" s="1257">
        <v>835000.0</v>
      </c>
    </row>
    <row r="1074">
      <c r="A1074" s="1253" t="s">
        <v>17060</v>
      </c>
      <c r="B1074" s="1254" t="s">
        <v>17061</v>
      </c>
      <c r="C1074" s="1255" t="s">
        <v>2939</v>
      </c>
      <c r="D1074" s="1255" t="s">
        <v>1140</v>
      </c>
      <c r="E1074" s="1255" t="s">
        <v>11576</v>
      </c>
      <c r="F1074" s="1255" t="s">
        <v>11579</v>
      </c>
      <c r="G1074" s="1254" t="s">
        <v>41</v>
      </c>
      <c r="H1074" s="1254" t="s">
        <v>1141</v>
      </c>
      <c r="I1074" s="1258" t="s">
        <v>1377</v>
      </c>
      <c r="J1074" s="1266">
        <v>626000.0</v>
      </c>
      <c r="K1074" s="1257">
        <v>1405000.0</v>
      </c>
    </row>
    <row r="1075">
      <c r="A1075" s="1253" t="s">
        <v>17062</v>
      </c>
      <c r="B1075" s="1254" t="s">
        <v>17063</v>
      </c>
      <c r="C1075" s="1255" t="s">
        <v>2939</v>
      </c>
      <c r="D1075" s="1255" t="s">
        <v>1142</v>
      </c>
      <c r="E1075" s="1255" t="s">
        <v>11576</v>
      </c>
      <c r="F1075" s="1255" t="s">
        <v>11591</v>
      </c>
      <c r="G1075" s="1254" t="s">
        <v>132</v>
      </c>
      <c r="H1075" s="1254" t="s">
        <v>1138</v>
      </c>
      <c r="I1075" s="1259"/>
      <c r="J1075" s="1259"/>
      <c r="K1075" s="1257">
        <v>319000.0</v>
      </c>
    </row>
    <row r="1076">
      <c r="A1076" s="1253" t="s">
        <v>17064</v>
      </c>
      <c r="B1076" s="1254" t="s">
        <v>17065</v>
      </c>
      <c r="C1076" s="1255" t="s">
        <v>2939</v>
      </c>
      <c r="D1076" s="1255" t="s">
        <v>1143</v>
      </c>
      <c r="E1076" s="1255" t="s">
        <v>11576</v>
      </c>
      <c r="F1076" s="1255" t="s">
        <v>11591</v>
      </c>
      <c r="G1076" s="1254" t="s">
        <v>134</v>
      </c>
      <c r="H1076" s="1254" t="s">
        <v>1138</v>
      </c>
      <c r="I1076" s="1259"/>
      <c r="J1076" s="1259"/>
      <c r="K1076" s="1257">
        <v>319000.0</v>
      </c>
    </row>
    <row r="1077">
      <c r="A1077" s="1253" t="s">
        <v>2939</v>
      </c>
      <c r="B1077" s="1254" t="s">
        <v>17066</v>
      </c>
      <c r="C1077" s="1255" t="s">
        <v>2939</v>
      </c>
      <c r="D1077" s="1255" t="s">
        <v>1885</v>
      </c>
      <c r="E1077" s="1255" t="s">
        <v>11569</v>
      </c>
      <c r="F1077" s="1255" t="s">
        <v>11570</v>
      </c>
      <c r="G1077" s="1254" t="s">
        <v>22</v>
      </c>
      <c r="H1077" s="1254" t="s">
        <v>12011</v>
      </c>
      <c r="I1077" s="1258" t="s">
        <v>737</v>
      </c>
      <c r="J1077" s="1259"/>
      <c r="K1077" s="1257">
        <v>8621000.0</v>
      </c>
    </row>
    <row r="1078">
      <c r="A1078" s="1253" t="s">
        <v>2939</v>
      </c>
      <c r="B1078" s="1254" t="s">
        <v>17067</v>
      </c>
      <c r="C1078" s="1255" t="s">
        <v>2939</v>
      </c>
      <c r="D1078" s="1255" t="s">
        <v>1887</v>
      </c>
      <c r="E1078" s="1255" t="s">
        <v>11569</v>
      </c>
      <c r="F1078" s="1255" t="s">
        <v>11579</v>
      </c>
      <c r="G1078" s="1254" t="s">
        <v>41</v>
      </c>
      <c r="H1078" s="1254" t="s">
        <v>12011</v>
      </c>
      <c r="I1078" s="1258" t="s">
        <v>2193</v>
      </c>
      <c r="J1078" s="1259"/>
      <c r="K1078" s="1257">
        <v>7063000.0</v>
      </c>
    </row>
    <row r="1079">
      <c r="A1079" s="1253" t="s">
        <v>17068</v>
      </c>
      <c r="B1079" s="1254" t="s">
        <v>17069</v>
      </c>
      <c r="C1079" s="1255" t="s">
        <v>17070</v>
      </c>
      <c r="D1079" s="1255" t="s">
        <v>1144</v>
      </c>
      <c r="E1079" s="1255" t="s">
        <v>11576</v>
      </c>
      <c r="F1079" s="1255" t="s">
        <v>11570</v>
      </c>
      <c r="G1079" s="1254" t="s">
        <v>22</v>
      </c>
      <c r="H1079" s="1254" t="s">
        <v>1145</v>
      </c>
      <c r="I1079" s="1258" t="s">
        <v>125</v>
      </c>
      <c r="J1079" s="1272"/>
      <c r="K1079" s="1257">
        <v>1409000.0</v>
      </c>
    </row>
    <row r="1080">
      <c r="A1080" s="1253" t="s">
        <v>17071</v>
      </c>
      <c r="B1080" s="1254" t="s">
        <v>17072</v>
      </c>
      <c r="C1080" s="1255" t="s">
        <v>2939</v>
      </c>
      <c r="D1080" s="1255" t="s">
        <v>1146</v>
      </c>
      <c r="E1080" s="1255" t="s">
        <v>11576</v>
      </c>
      <c r="F1080" s="1255" t="s">
        <v>11579</v>
      </c>
      <c r="G1080" s="1254" t="s">
        <v>41</v>
      </c>
      <c r="H1080" s="1254" t="s">
        <v>17073</v>
      </c>
      <c r="I1080" s="1258" t="s">
        <v>2301</v>
      </c>
      <c r="J1080" s="1266">
        <v>788000.0</v>
      </c>
      <c r="K1080" s="1257">
        <v>2237000.0</v>
      </c>
    </row>
    <row r="1081">
      <c r="A1081" s="1253" t="s">
        <v>17074</v>
      </c>
      <c r="B1081" s="1254" t="s">
        <v>17075</v>
      </c>
      <c r="C1081" s="1255" t="s">
        <v>2939</v>
      </c>
      <c r="D1081" s="1255" t="s">
        <v>1151</v>
      </c>
      <c r="E1081" s="1255" t="s">
        <v>11569</v>
      </c>
      <c r="F1081" s="1255" t="s">
        <v>11579</v>
      </c>
      <c r="G1081" s="1254" t="s">
        <v>41</v>
      </c>
      <c r="H1081" s="1254" t="s">
        <v>1152</v>
      </c>
      <c r="I1081" s="1258" t="s">
        <v>2301</v>
      </c>
      <c r="J1081" s="1266">
        <v>1272000.0</v>
      </c>
      <c r="K1081" s="1257">
        <v>2602000.0</v>
      </c>
    </row>
    <row r="1082">
      <c r="A1082" s="1253" t="s">
        <v>2939</v>
      </c>
      <c r="B1082" s="1254" t="s">
        <v>17076</v>
      </c>
      <c r="C1082" s="1255" t="s">
        <v>2939</v>
      </c>
      <c r="D1082" s="1255" t="s">
        <v>2299</v>
      </c>
      <c r="E1082" s="1255" t="s">
        <v>11569</v>
      </c>
      <c r="F1082" s="1260" t="s">
        <v>11579</v>
      </c>
      <c r="G1082" s="1258" t="s">
        <v>41</v>
      </c>
      <c r="H1082" s="1254" t="s">
        <v>2300</v>
      </c>
      <c r="I1082" s="1258" t="s">
        <v>2301</v>
      </c>
      <c r="J1082" s="1259"/>
      <c r="K1082" s="1257">
        <v>2237000.0</v>
      </c>
    </row>
    <row r="1083">
      <c r="A1083" s="1253" t="s">
        <v>17077</v>
      </c>
      <c r="B1083" s="1254" t="s">
        <v>17078</v>
      </c>
      <c r="C1083" s="1255" t="s">
        <v>2939</v>
      </c>
      <c r="D1083" s="1255" t="s">
        <v>1147</v>
      </c>
      <c r="E1083" s="1255" t="s">
        <v>17079</v>
      </c>
      <c r="F1083" s="1255" t="s">
        <v>11591</v>
      </c>
      <c r="G1083" s="1254" t="s">
        <v>128</v>
      </c>
      <c r="H1083" s="1254" t="s">
        <v>1145</v>
      </c>
      <c r="I1083" s="1258" t="s">
        <v>397</v>
      </c>
      <c r="J1083" s="1259"/>
      <c r="K1083" s="1257">
        <v>818000.0</v>
      </c>
    </row>
    <row r="1084">
      <c r="A1084" s="1253" t="s">
        <v>17080</v>
      </c>
      <c r="B1084" s="1254" t="s">
        <v>17081</v>
      </c>
      <c r="C1084" s="1255" t="s">
        <v>2939</v>
      </c>
      <c r="D1084" s="1255" t="s">
        <v>1148</v>
      </c>
      <c r="E1084" s="1255" t="s">
        <v>11576</v>
      </c>
      <c r="F1084" s="1255" t="s">
        <v>11591</v>
      </c>
      <c r="G1084" s="1254" t="s">
        <v>130</v>
      </c>
      <c r="H1084" s="1254" t="s">
        <v>1145</v>
      </c>
      <c r="I1084" s="1258" t="s">
        <v>397</v>
      </c>
      <c r="J1084" s="1259"/>
      <c r="K1084" s="1257">
        <v>818000.0</v>
      </c>
    </row>
    <row r="1085">
      <c r="A1085" s="1253" t="s">
        <v>2939</v>
      </c>
      <c r="B1085" s="1254" t="s">
        <v>17082</v>
      </c>
      <c r="C1085" s="1255" t="s">
        <v>2939</v>
      </c>
      <c r="D1085" s="1255" t="s">
        <v>12017</v>
      </c>
      <c r="E1085" s="1255" t="s">
        <v>11569</v>
      </c>
      <c r="F1085" s="1255" t="s">
        <v>11591</v>
      </c>
      <c r="G1085" s="1254" t="s">
        <v>132</v>
      </c>
      <c r="H1085" s="1254" t="s">
        <v>1897</v>
      </c>
      <c r="I1085" s="1258" t="s">
        <v>97</v>
      </c>
      <c r="J1085" s="1259"/>
      <c r="K1085" s="1257">
        <v>2595000.0</v>
      </c>
    </row>
    <row r="1086">
      <c r="A1086" s="1253" t="s">
        <v>2939</v>
      </c>
      <c r="B1086" s="1254" t="s">
        <v>17083</v>
      </c>
      <c r="C1086" s="1255" t="s">
        <v>2939</v>
      </c>
      <c r="D1086" s="1255" t="s">
        <v>2312</v>
      </c>
      <c r="E1086" s="1255" t="s">
        <v>11569</v>
      </c>
      <c r="F1086" s="1255" t="s">
        <v>11591</v>
      </c>
      <c r="G1086" s="1254" t="s">
        <v>134</v>
      </c>
      <c r="H1086" s="1254" t="s">
        <v>1145</v>
      </c>
      <c r="I1086" s="1258" t="s">
        <v>97</v>
      </c>
      <c r="J1086" s="1259"/>
      <c r="K1086" s="1257">
        <v>1060000.0</v>
      </c>
    </row>
    <row r="1087">
      <c r="A1087" s="1253" t="s">
        <v>2939</v>
      </c>
      <c r="B1087" s="1254" t="s">
        <v>17084</v>
      </c>
      <c r="C1087" s="1255" t="s">
        <v>2939</v>
      </c>
      <c r="D1087" s="1255" t="s">
        <v>2287</v>
      </c>
      <c r="E1087" s="1255" t="s">
        <v>11569</v>
      </c>
      <c r="F1087" s="1255" t="s">
        <v>11591</v>
      </c>
      <c r="G1087" s="1254" t="s">
        <v>904</v>
      </c>
      <c r="H1087" s="1254" t="s">
        <v>1145</v>
      </c>
      <c r="I1087" s="1258" t="s">
        <v>97</v>
      </c>
      <c r="J1087" s="1259"/>
      <c r="K1087" s="1257">
        <v>437000.0</v>
      </c>
    </row>
    <row r="1088">
      <c r="A1088" s="1253" t="s">
        <v>2939</v>
      </c>
      <c r="B1088" s="1254" t="s">
        <v>17085</v>
      </c>
      <c r="C1088" s="1255" t="s">
        <v>2939</v>
      </c>
      <c r="D1088" s="1255" t="s">
        <v>1889</v>
      </c>
      <c r="E1088" s="1255" t="s">
        <v>11576</v>
      </c>
      <c r="F1088" s="1255" t="s">
        <v>11591</v>
      </c>
      <c r="G1088" s="1254" t="s">
        <v>906</v>
      </c>
      <c r="H1088" s="1254" t="s">
        <v>1145</v>
      </c>
      <c r="I1088" s="1258" t="s">
        <v>97</v>
      </c>
      <c r="J1088" s="1259"/>
      <c r="K1088" s="1257">
        <v>437000.0</v>
      </c>
    </row>
    <row r="1089">
      <c r="A1089" s="1253" t="s">
        <v>17086</v>
      </c>
      <c r="B1089" s="1254" t="s">
        <v>17087</v>
      </c>
      <c r="C1089" s="1255" t="s">
        <v>2939</v>
      </c>
      <c r="D1089" s="1255" t="s">
        <v>1149</v>
      </c>
      <c r="E1089" s="1255" t="s">
        <v>11576</v>
      </c>
      <c r="F1089" s="1255" t="s">
        <v>11591</v>
      </c>
      <c r="G1089" s="1254" t="s">
        <v>908</v>
      </c>
      <c r="H1089" s="1254" t="s">
        <v>1145</v>
      </c>
      <c r="I1089" s="1258" t="s">
        <v>97</v>
      </c>
      <c r="J1089" s="1259"/>
      <c r="K1089" s="1257">
        <v>1060000.0</v>
      </c>
    </row>
    <row r="1090">
      <c r="A1090" s="1253" t="s">
        <v>17088</v>
      </c>
      <c r="B1090" s="1254" t="s">
        <v>17089</v>
      </c>
      <c r="C1090" s="1255" t="s">
        <v>2939</v>
      </c>
      <c r="D1090" s="1255" t="s">
        <v>1150</v>
      </c>
      <c r="E1090" s="1255" t="s">
        <v>11576</v>
      </c>
      <c r="F1090" s="1255" t="s">
        <v>11591</v>
      </c>
      <c r="G1090" s="1254" t="s">
        <v>911</v>
      </c>
      <c r="H1090" s="1262" t="s">
        <v>1145</v>
      </c>
      <c r="I1090" s="1258" t="s">
        <v>97</v>
      </c>
      <c r="J1090" s="1259"/>
      <c r="K1090" s="1257">
        <v>1060000.0</v>
      </c>
    </row>
    <row r="1091">
      <c r="A1091" s="1253" t="s">
        <v>2939</v>
      </c>
      <c r="B1091" s="1254" t="s">
        <v>17090</v>
      </c>
      <c r="C1091" s="1255" t="s">
        <v>2939</v>
      </c>
      <c r="D1091" s="1255" t="s">
        <v>2200</v>
      </c>
      <c r="E1091" s="1255" t="s">
        <v>11569</v>
      </c>
      <c r="F1091" s="1255" t="s">
        <v>11591</v>
      </c>
      <c r="G1091" s="1254" t="s">
        <v>911</v>
      </c>
      <c r="H1091" s="1254" t="s">
        <v>1897</v>
      </c>
      <c r="I1091" s="1258" t="s">
        <v>97</v>
      </c>
      <c r="J1091" s="1259"/>
      <c r="K1091" s="1257">
        <v>2595000.0</v>
      </c>
    </row>
    <row r="1092">
      <c r="A1092" s="1253" t="s">
        <v>2939</v>
      </c>
      <c r="B1092" s="1254" t="s">
        <v>17091</v>
      </c>
      <c r="C1092" s="1255" t="s">
        <v>2939</v>
      </c>
      <c r="D1092" s="1255" t="s">
        <v>1907</v>
      </c>
      <c r="E1092" s="1255" t="s">
        <v>11569</v>
      </c>
      <c r="F1092" s="1255" t="s">
        <v>11570</v>
      </c>
      <c r="G1092" s="1254" t="s">
        <v>22</v>
      </c>
      <c r="H1092" s="1254" t="s">
        <v>1900</v>
      </c>
      <c r="I1092" s="1258" t="s">
        <v>125</v>
      </c>
      <c r="J1092" s="1259"/>
      <c r="K1092" s="1257">
        <v>1494000.0</v>
      </c>
    </row>
    <row r="1093">
      <c r="A1093" s="1253" t="s">
        <v>2939</v>
      </c>
      <c r="B1093" s="1254" t="s">
        <v>17092</v>
      </c>
      <c r="C1093" s="1255" t="s">
        <v>2939</v>
      </c>
      <c r="D1093" s="1255" t="s">
        <v>2297</v>
      </c>
      <c r="E1093" s="1255" t="s">
        <v>11569</v>
      </c>
      <c r="F1093" s="1255" t="s">
        <v>11579</v>
      </c>
      <c r="G1093" s="1254" t="s">
        <v>41</v>
      </c>
      <c r="H1093" s="1258" t="s">
        <v>12018</v>
      </c>
      <c r="I1093" s="1258" t="s">
        <v>1377</v>
      </c>
      <c r="J1093" s="1259"/>
      <c r="K1093" s="1257">
        <v>2602000.0</v>
      </c>
    </row>
    <row r="1094">
      <c r="A1094" s="1269"/>
      <c r="B1094" s="1254" t="s">
        <v>17093</v>
      </c>
      <c r="C1094" s="1255" t="s">
        <v>2939</v>
      </c>
      <c r="D1094" s="1255" t="s">
        <v>1375</v>
      </c>
      <c r="E1094" s="1255" t="s">
        <v>11569</v>
      </c>
      <c r="F1094" s="1255" t="s">
        <v>11579</v>
      </c>
      <c r="G1094" s="1254" t="s">
        <v>41</v>
      </c>
      <c r="H1094" s="1254" t="s">
        <v>12019</v>
      </c>
      <c r="I1094" s="1258" t="s">
        <v>1377</v>
      </c>
      <c r="J1094" s="1259"/>
      <c r="K1094" s="1257">
        <v>2240000.0</v>
      </c>
    </row>
    <row r="1095">
      <c r="A1095" s="1253" t="s">
        <v>2939</v>
      </c>
      <c r="B1095" s="1254" t="s">
        <v>17094</v>
      </c>
      <c r="C1095" s="1255" t="s">
        <v>2939</v>
      </c>
      <c r="D1095" s="1255" t="s">
        <v>1899</v>
      </c>
      <c r="E1095" s="1255" t="s">
        <v>11569</v>
      </c>
      <c r="F1095" s="1255" t="s">
        <v>11591</v>
      </c>
      <c r="G1095" s="1254" t="s">
        <v>128</v>
      </c>
      <c r="H1095" s="1254" t="s">
        <v>1900</v>
      </c>
      <c r="I1095" s="1259"/>
      <c r="J1095" s="1259"/>
      <c r="K1095" s="1257">
        <v>825000.0</v>
      </c>
    </row>
    <row r="1096">
      <c r="A1096" s="1253" t="s">
        <v>2939</v>
      </c>
      <c r="B1096" s="1254" t="s">
        <v>17095</v>
      </c>
      <c r="C1096" s="1255" t="s">
        <v>2939</v>
      </c>
      <c r="D1096" s="1255" t="s">
        <v>1901</v>
      </c>
      <c r="E1096" s="1255" t="s">
        <v>11569</v>
      </c>
      <c r="F1096" s="1255" t="s">
        <v>11591</v>
      </c>
      <c r="G1096" s="1254" t="s">
        <v>130</v>
      </c>
      <c r="H1096" s="1254" t="s">
        <v>1900</v>
      </c>
      <c r="I1096" s="1259"/>
      <c r="J1096" s="1259"/>
      <c r="K1096" s="1257">
        <v>825000.0</v>
      </c>
    </row>
    <row r="1097">
      <c r="A1097" s="1253" t="s">
        <v>2939</v>
      </c>
      <c r="B1097" s="1254" t="s">
        <v>17096</v>
      </c>
      <c r="C1097" s="1255" t="s">
        <v>2939</v>
      </c>
      <c r="D1097" s="1255" t="s">
        <v>1902</v>
      </c>
      <c r="E1097" s="1255" t="s">
        <v>11569</v>
      </c>
      <c r="F1097" s="1255" t="s">
        <v>11591</v>
      </c>
      <c r="G1097" s="1254" t="s">
        <v>132</v>
      </c>
      <c r="H1097" s="1254" t="s">
        <v>1903</v>
      </c>
      <c r="I1097" s="1258" t="s">
        <v>97</v>
      </c>
      <c r="J1097" s="1259"/>
      <c r="K1097" s="1257">
        <v>3348000.0</v>
      </c>
    </row>
    <row r="1098">
      <c r="A1098" s="1253" t="s">
        <v>2939</v>
      </c>
      <c r="B1098" s="1254" t="s">
        <v>17097</v>
      </c>
      <c r="C1098" s="1255" t="s">
        <v>2939</v>
      </c>
      <c r="D1098" s="1255" t="s">
        <v>1904</v>
      </c>
      <c r="E1098" s="1255" t="s">
        <v>11569</v>
      </c>
      <c r="F1098" s="1255" t="s">
        <v>11591</v>
      </c>
      <c r="G1098" s="1254" t="s">
        <v>134</v>
      </c>
      <c r="H1098" s="1254" t="s">
        <v>1900</v>
      </c>
      <c r="I1098" s="1258" t="s">
        <v>97</v>
      </c>
      <c r="J1098" s="1259"/>
      <c r="K1098" s="1257">
        <v>1413000.0</v>
      </c>
    </row>
    <row r="1099">
      <c r="A1099" s="1253" t="s">
        <v>2939</v>
      </c>
      <c r="B1099" s="1254" t="s">
        <v>17098</v>
      </c>
      <c r="C1099" s="1255" t="s">
        <v>2939</v>
      </c>
      <c r="D1099" s="1255" t="s">
        <v>1905</v>
      </c>
      <c r="E1099" s="1255" t="s">
        <v>11569</v>
      </c>
      <c r="F1099" s="1255" t="s">
        <v>11591</v>
      </c>
      <c r="G1099" s="1254" t="s">
        <v>908</v>
      </c>
      <c r="H1099" s="1254" t="s">
        <v>1900</v>
      </c>
      <c r="I1099" s="1258" t="s">
        <v>97</v>
      </c>
      <c r="J1099" s="1259"/>
      <c r="K1099" s="1257">
        <v>1413000.0</v>
      </c>
    </row>
    <row r="1100">
      <c r="A1100" s="1253" t="s">
        <v>2939</v>
      </c>
      <c r="B1100" s="1254" t="s">
        <v>17099</v>
      </c>
      <c r="C1100" s="1255" t="s">
        <v>2939</v>
      </c>
      <c r="D1100" s="1255" t="s">
        <v>1906</v>
      </c>
      <c r="E1100" s="1255" t="s">
        <v>11569</v>
      </c>
      <c r="F1100" s="1255" t="s">
        <v>11591</v>
      </c>
      <c r="G1100" s="1254" t="s">
        <v>911</v>
      </c>
      <c r="H1100" s="1254" t="s">
        <v>1903</v>
      </c>
      <c r="I1100" s="1258" t="s">
        <v>97</v>
      </c>
      <c r="J1100" s="1259"/>
      <c r="K1100" s="1257">
        <v>3348000.0</v>
      </c>
    </row>
    <row r="1101">
      <c r="A1101" s="1253" t="s">
        <v>2939</v>
      </c>
      <c r="B1101" s="1254" t="s">
        <v>17100</v>
      </c>
      <c r="C1101" s="1255" t="s">
        <v>2939</v>
      </c>
      <c r="D1101" s="1260" t="s">
        <v>12020</v>
      </c>
      <c r="E1101" s="1255" t="s">
        <v>11569</v>
      </c>
      <c r="F1101" s="1255" t="s">
        <v>11570</v>
      </c>
      <c r="G1101" s="1254" t="s">
        <v>22</v>
      </c>
      <c r="H1101" s="1254" t="s">
        <v>12021</v>
      </c>
      <c r="I1101" s="1258" t="s">
        <v>97</v>
      </c>
      <c r="J1101" s="1259"/>
      <c r="K1101" s="1257">
        <v>1000000.0</v>
      </c>
    </row>
    <row r="1102">
      <c r="A1102" s="1253" t="s">
        <v>2939</v>
      </c>
      <c r="B1102" s="1254" t="s">
        <v>17101</v>
      </c>
      <c r="C1102" s="1255" t="s">
        <v>17102</v>
      </c>
      <c r="D1102" s="1255" t="s">
        <v>1909</v>
      </c>
      <c r="E1102" s="1255" t="s">
        <v>11654</v>
      </c>
      <c r="F1102" s="1255" t="s">
        <v>11570</v>
      </c>
      <c r="G1102" s="1254" t="s">
        <v>22</v>
      </c>
      <c r="H1102" s="1254" t="s">
        <v>1154</v>
      </c>
      <c r="I1102" s="1258" t="s">
        <v>125</v>
      </c>
      <c r="J1102" s="1259"/>
      <c r="K1102" s="1257">
        <v>1092000.0</v>
      </c>
    </row>
    <row r="1103">
      <c r="A1103" s="1253" t="s">
        <v>17103</v>
      </c>
      <c r="B1103" s="1254" t="s">
        <v>17104</v>
      </c>
      <c r="C1103" s="1255" t="s">
        <v>2939</v>
      </c>
      <c r="D1103" s="1255" t="s">
        <v>1153</v>
      </c>
      <c r="E1103" s="1255" t="s">
        <v>11576</v>
      </c>
      <c r="F1103" s="1255" t="s">
        <v>11579</v>
      </c>
      <c r="G1103" s="1254" t="s">
        <v>41</v>
      </c>
      <c r="H1103" s="1254" t="s">
        <v>1154</v>
      </c>
      <c r="I1103" s="1258" t="s">
        <v>11582</v>
      </c>
      <c r="J1103" s="1266">
        <v>287000.0</v>
      </c>
      <c r="K1103" s="1257">
        <v>595000.0</v>
      </c>
    </row>
    <row r="1104">
      <c r="A1104" s="1253" t="s">
        <v>17105</v>
      </c>
      <c r="B1104" s="1254" t="s">
        <v>17106</v>
      </c>
      <c r="C1104" s="1255" t="s">
        <v>17107</v>
      </c>
      <c r="D1104" s="1255" t="s">
        <v>1155</v>
      </c>
      <c r="E1104" s="1255" t="s">
        <v>17108</v>
      </c>
      <c r="F1104" s="1255" t="s">
        <v>11570</v>
      </c>
      <c r="G1104" s="1254" t="s">
        <v>22</v>
      </c>
      <c r="H1104" s="1254" t="s">
        <v>1156</v>
      </c>
      <c r="I1104" s="1258" t="s">
        <v>125</v>
      </c>
      <c r="J1104" s="1259"/>
      <c r="K1104" s="1257">
        <v>1450000.0</v>
      </c>
    </row>
    <row r="1105">
      <c r="A1105" s="1253" t="s">
        <v>17109</v>
      </c>
      <c r="B1105" s="1254" t="s">
        <v>17110</v>
      </c>
      <c r="C1105" s="1255" t="s">
        <v>2939</v>
      </c>
      <c r="D1105" s="1255" t="s">
        <v>1157</v>
      </c>
      <c r="E1105" s="1255" t="s">
        <v>11576</v>
      </c>
      <c r="F1105" s="1255" t="s">
        <v>11579</v>
      </c>
      <c r="G1105" s="1254" t="s">
        <v>41</v>
      </c>
      <c r="H1105" s="1254" t="s">
        <v>1156</v>
      </c>
      <c r="I1105" s="1258" t="s">
        <v>2193</v>
      </c>
      <c r="J1105" s="1266">
        <v>520000.0</v>
      </c>
      <c r="K1105" s="1257">
        <v>1265000.0</v>
      </c>
    </row>
    <row r="1106">
      <c r="A1106" s="1253" t="s">
        <v>17111</v>
      </c>
      <c r="B1106" s="1254" t="s">
        <v>17112</v>
      </c>
      <c r="C1106" s="1255" t="s">
        <v>2939</v>
      </c>
      <c r="D1106" s="1255" t="s">
        <v>1158</v>
      </c>
      <c r="E1106" s="1255" t="s">
        <v>11576</v>
      </c>
      <c r="F1106" s="1255" t="s">
        <v>11579</v>
      </c>
      <c r="G1106" s="1254" t="s">
        <v>41</v>
      </c>
      <c r="H1106" s="1254" t="s">
        <v>1156</v>
      </c>
      <c r="I1106" s="1258" t="s">
        <v>97</v>
      </c>
      <c r="J1106" s="1266">
        <v>499000.0</v>
      </c>
      <c r="K1106" s="1257">
        <v>1120000.0</v>
      </c>
    </row>
    <row r="1107">
      <c r="A1107" s="1253" t="s">
        <v>2939</v>
      </c>
      <c r="B1107" s="1254" t="s">
        <v>17113</v>
      </c>
      <c r="C1107" s="1255" t="s">
        <v>2939</v>
      </c>
      <c r="D1107" s="1255" t="s">
        <v>2316</v>
      </c>
      <c r="E1107" s="1255" t="s">
        <v>11569</v>
      </c>
      <c r="F1107" s="1255" t="s">
        <v>11591</v>
      </c>
      <c r="G1107" s="1254" t="s">
        <v>132</v>
      </c>
      <c r="H1107" s="1254" t="s">
        <v>1156</v>
      </c>
      <c r="I1107" s="1256"/>
      <c r="J1107" s="1256"/>
      <c r="K1107" s="1257">
        <v>464000.0</v>
      </c>
    </row>
    <row r="1108">
      <c r="A1108" s="1253" t="s">
        <v>2939</v>
      </c>
      <c r="B1108" s="1254" t="s">
        <v>17114</v>
      </c>
      <c r="C1108" s="1255" t="s">
        <v>2939</v>
      </c>
      <c r="D1108" s="1255" t="s">
        <v>2132</v>
      </c>
      <c r="E1108" s="1255" t="s">
        <v>11569</v>
      </c>
      <c r="F1108" s="1255" t="s">
        <v>11591</v>
      </c>
      <c r="G1108" s="1254" t="s">
        <v>134</v>
      </c>
      <c r="H1108" s="1254" t="s">
        <v>1156</v>
      </c>
      <c r="I1108" s="1256"/>
      <c r="J1108" s="1256"/>
      <c r="K1108" s="1257">
        <v>464000.0</v>
      </c>
    </row>
    <row r="1109">
      <c r="A1109" s="1253" t="s">
        <v>2939</v>
      </c>
      <c r="B1109" s="1254" t="s">
        <v>17115</v>
      </c>
      <c r="C1109" s="1255" t="s">
        <v>2939</v>
      </c>
      <c r="D1109" s="1255" t="s">
        <v>2137</v>
      </c>
      <c r="E1109" s="1255" t="s">
        <v>11569</v>
      </c>
      <c r="F1109" s="1255" t="s">
        <v>11591</v>
      </c>
      <c r="G1109" s="1254" t="s">
        <v>387</v>
      </c>
      <c r="H1109" s="1254" t="s">
        <v>1156</v>
      </c>
      <c r="I1109" s="1256"/>
      <c r="J1109" s="1256"/>
      <c r="K1109" s="1257">
        <v>208000.0</v>
      </c>
    </row>
    <row r="1110">
      <c r="A1110" s="1253" t="s">
        <v>2939</v>
      </c>
      <c r="B1110" s="1254" t="s">
        <v>17116</v>
      </c>
      <c r="C1110" s="1255" t="s">
        <v>2939</v>
      </c>
      <c r="D1110" s="1255" t="s">
        <v>2138</v>
      </c>
      <c r="E1110" s="1255" t="s">
        <v>11569</v>
      </c>
      <c r="F1110" s="1255" t="s">
        <v>11591</v>
      </c>
      <c r="G1110" s="1254" t="s">
        <v>389</v>
      </c>
      <c r="H1110" s="1254" t="s">
        <v>1156</v>
      </c>
      <c r="I1110" s="1256"/>
      <c r="J1110" s="1256"/>
      <c r="K1110" s="1257">
        <v>208000.0</v>
      </c>
    </row>
    <row r="1111">
      <c r="A1111" s="1253" t="s">
        <v>17117</v>
      </c>
      <c r="B1111" s="1254" t="s">
        <v>17118</v>
      </c>
      <c r="C1111" s="1255" t="s">
        <v>17119</v>
      </c>
      <c r="D1111" s="1255" t="s">
        <v>1159</v>
      </c>
      <c r="E1111" s="1255" t="s">
        <v>11630</v>
      </c>
      <c r="F1111" s="1255" t="s">
        <v>11570</v>
      </c>
      <c r="G1111" s="1254" t="s">
        <v>22</v>
      </c>
      <c r="H1111" s="1254" t="s">
        <v>1160</v>
      </c>
      <c r="I1111" s="1258" t="s">
        <v>125</v>
      </c>
      <c r="J1111" s="1259"/>
      <c r="K1111" s="1257">
        <v>1116000.0</v>
      </c>
    </row>
    <row r="1112">
      <c r="A1112" s="1253" t="s">
        <v>17120</v>
      </c>
      <c r="B1112" s="1254" t="s">
        <v>17121</v>
      </c>
      <c r="C1112" s="1255" t="s">
        <v>2939</v>
      </c>
      <c r="D1112" s="1255" t="s">
        <v>1161</v>
      </c>
      <c r="E1112" s="1255" t="s">
        <v>11576</v>
      </c>
      <c r="F1112" s="1255" t="s">
        <v>11579</v>
      </c>
      <c r="G1112" s="1254" t="s">
        <v>41</v>
      </c>
      <c r="H1112" s="1254" t="s">
        <v>1160</v>
      </c>
      <c r="I1112" s="1258" t="s">
        <v>2193</v>
      </c>
      <c r="J1112" s="1266">
        <v>520000.0</v>
      </c>
      <c r="K1112" s="1257">
        <v>1092000.0</v>
      </c>
    </row>
    <row r="1113">
      <c r="A1113" s="1253" t="s">
        <v>17122</v>
      </c>
      <c r="B1113" s="1254" t="s">
        <v>17123</v>
      </c>
      <c r="C1113" s="1255" t="s">
        <v>2939</v>
      </c>
      <c r="D1113" s="1255" t="s">
        <v>1162</v>
      </c>
      <c r="E1113" s="1255" t="s">
        <v>11576</v>
      </c>
      <c r="F1113" s="1255" t="s">
        <v>11579</v>
      </c>
      <c r="G1113" s="1254" t="s">
        <v>41</v>
      </c>
      <c r="H1113" s="1254" t="s">
        <v>1160</v>
      </c>
      <c r="I1113" s="1258" t="s">
        <v>97</v>
      </c>
      <c r="J1113" s="1266">
        <v>467000.0</v>
      </c>
      <c r="K1113" s="1257">
        <v>1022000.0</v>
      </c>
    </row>
    <row r="1114">
      <c r="A1114" s="1253" t="s">
        <v>17124</v>
      </c>
      <c r="B1114" s="1254" t="s">
        <v>2939</v>
      </c>
      <c r="C1114" s="1255" t="s">
        <v>2939</v>
      </c>
      <c r="D1114" s="1255" t="s">
        <v>1163</v>
      </c>
      <c r="E1114" s="1255" t="s">
        <v>11578</v>
      </c>
      <c r="F1114" s="1255" t="s">
        <v>11591</v>
      </c>
      <c r="G1114" s="1254" t="s">
        <v>387</v>
      </c>
      <c r="H1114" s="1254" t="s">
        <v>1160</v>
      </c>
      <c r="I1114" s="1259"/>
      <c r="J1114" s="1259"/>
      <c r="K1114" s="1257">
        <v>108000.0</v>
      </c>
    </row>
    <row r="1115">
      <c r="A1115" s="1253" t="s">
        <v>17125</v>
      </c>
      <c r="B1115" s="1254" t="s">
        <v>2939</v>
      </c>
      <c r="C1115" s="1255" t="s">
        <v>2939</v>
      </c>
      <c r="D1115" s="1255" t="s">
        <v>1164</v>
      </c>
      <c r="E1115" s="1255" t="s">
        <v>11578</v>
      </c>
      <c r="F1115" s="1255" t="s">
        <v>11591</v>
      </c>
      <c r="G1115" s="1254" t="s">
        <v>389</v>
      </c>
      <c r="H1115" s="1254" t="s">
        <v>1160</v>
      </c>
      <c r="I1115" s="1259"/>
      <c r="J1115" s="1259"/>
      <c r="K1115" s="1257">
        <v>108000.0</v>
      </c>
    </row>
    <row r="1116">
      <c r="A1116" s="1253" t="s">
        <v>17126</v>
      </c>
      <c r="B1116" s="1254" t="s">
        <v>2939</v>
      </c>
      <c r="C1116" s="1255" t="s">
        <v>2939</v>
      </c>
      <c r="D1116" s="1255" t="s">
        <v>1165</v>
      </c>
      <c r="E1116" s="1255" t="s">
        <v>11578</v>
      </c>
      <c r="F1116" s="1255" t="s">
        <v>11591</v>
      </c>
      <c r="G1116" s="1254" t="s">
        <v>236</v>
      </c>
      <c r="H1116" s="1254" t="s">
        <v>1160</v>
      </c>
      <c r="I1116" s="1258" t="s">
        <v>234</v>
      </c>
      <c r="J1116" s="1259"/>
      <c r="K1116" s="1257">
        <v>681000.0</v>
      </c>
    </row>
    <row r="1117">
      <c r="A1117" s="1253" t="s">
        <v>17127</v>
      </c>
      <c r="B1117" s="1254" t="s">
        <v>17128</v>
      </c>
      <c r="C1117" s="1255" t="s">
        <v>17129</v>
      </c>
      <c r="D1117" s="1255" t="s">
        <v>1166</v>
      </c>
      <c r="E1117" s="1255" t="s">
        <v>11630</v>
      </c>
      <c r="F1117" s="1255" t="s">
        <v>11570</v>
      </c>
      <c r="G1117" s="1254" t="s">
        <v>22</v>
      </c>
      <c r="H1117" s="1254" t="s">
        <v>2318</v>
      </c>
      <c r="I1117" s="1258" t="s">
        <v>125</v>
      </c>
      <c r="J1117" s="1259"/>
      <c r="K1117" s="1257">
        <v>1364000.0</v>
      </c>
    </row>
    <row r="1118">
      <c r="A1118" s="1253" t="s">
        <v>2939</v>
      </c>
      <c r="B1118" s="1254" t="s">
        <v>17130</v>
      </c>
      <c r="C1118" s="1255" t="s">
        <v>2939</v>
      </c>
      <c r="D1118" s="1255" t="s">
        <v>1852</v>
      </c>
      <c r="E1118" s="1255" t="s">
        <v>11569</v>
      </c>
      <c r="F1118" s="1255" t="s">
        <v>11579</v>
      </c>
      <c r="G1118" s="1254" t="s">
        <v>41</v>
      </c>
      <c r="H1118" s="1254" t="s">
        <v>2318</v>
      </c>
      <c r="I1118" s="1258" t="s">
        <v>533</v>
      </c>
      <c r="J1118" s="1266">
        <v>467000.0</v>
      </c>
      <c r="K1118" s="1257">
        <v>969000.0</v>
      </c>
    </row>
    <row r="1119">
      <c r="A1119" s="1253" t="s">
        <v>2939</v>
      </c>
      <c r="B1119" s="1254" t="s">
        <v>17131</v>
      </c>
      <c r="C1119" s="1255" t="s">
        <v>2939</v>
      </c>
      <c r="D1119" s="1255" t="s">
        <v>1859</v>
      </c>
      <c r="E1119" s="1255" t="s">
        <v>11569</v>
      </c>
      <c r="F1119" s="1255" t="s">
        <v>11579</v>
      </c>
      <c r="G1119" s="1254" t="s">
        <v>41</v>
      </c>
      <c r="H1119" s="1254" t="s">
        <v>2318</v>
      </c>
      <c r="I1119" s="1258" t="s">
        <v>1377</v>
      </c>
      <c r="J1119" s="1266">
        <v>531000.0</v>
      </c>
      <c r="K1119" s="1257">
        <v>1007000.0</v>
      </c>
    </row>
    <row r="1120">
      <c r="A1120" s="1253" t="s">
        <v>2939</v>
      </c>
      <c r="B1120" s="1254" t="s">
        <v>17132</v>
      </c>
      <c r="C1120" s="1255" t="s">
        <v>2939</v>
      </c>
      <c r="D1120" s="1255" t="s">
        <v>2459</v>
      </c>
      <c r="E1120" s="1255" t="s">
        <v>11569</v>
      </c>
      <c r="F1120" s="1255" t="s">
        <v>11570</v>
      </c>
      <c r="G1120" s="1258" t="s">
        <v>22</v>
      </c>
      <c r="H1120" s="1254" t="s">
        <v>12022</v>
      </c>
      <c r="I1120" s="1258" t="s">
        <v>75</v>
      </c>
      <c r="J1120" s="1259"/>
      <c r="K1120" s="1257">
        <v>1800000.0</v>
      </c>
    </row>
    <row r="1121">
      <c r="A1121" s="1253" t="s">
        <v>2939</v>
      </c>
      <c r="B1121" s="1254" t="s">
        <v>17133</v>
      </c>
      <c r="C1121" s="1255" t="s">
        <v>2939</v>
      </c>
      <c r="D1121" s="1255" t="s">
        <v>12023</v>
      </c>
      <c r="E1121" s="1255" t="s">
        <v>11569</v>
      </c>
      <c r="F1121" s="1255" t="s">
        <v>11570</v>
      </c>
      <c r="G1121" s="1258" t="s">
        <v>22</v>
      </c>
      <c r="H1121" s="1254" t="s">
        <v>12024</v>
      </c>
      <c r="I1121" s="1258" t="s">
        <v>125</v>
      </c>
      <c r="J1121" s="1259"/>
      <c r="K1121" s="1257">
        <v>1150000.0</v>
      </c>
    </row>
    <row r="1122">
      <c r="A1122" s="1253" t="s">
        <v>17134</v>
      </c>
      <c r="B1122" s="1254" t="s">
        <v>17135</v>
      </c>
      <c r="C1122" s="1255" t="s">
        <v>2939</v>
      </c>
      <c r="D1122" s="1255" t="s">
        <v>1168</v>
      </c>
      <c r="E1122" s="1255" t="s">
        <v>11576</v>
      </c>
      <c r="F1122" s="1255" t="s">
        <v>11570</v>
      </c>
      <c r="G1122" s="1254" t="s">
        <v>22</v>
      </c>
      <c r="H1122" s="1254" t="s">
        <v>1169</v>
      </c>
      <c r="I1122" s="1258" t="s">
        <v>125</v>
      </c>
      <c r="J1122" s="1259"/>
      <c r="K1122" s="1257">
        <v>3120000.0</v>
      </c>
    </row>
    <row r="1123">
      <c r="A1123" s="1253" t="s">
        <v>17136</v>
      </c>
      <c r="B1123" s="1254" t="s">
        <v>2939</v>
      </c>
      <c r="C1123" s="1255" t="s">
        <v>2939</v>
      </c>
      <c r="D1123" s="1255" t="s">
        <v>1170</v>
      </c>
      <c r="E1123" s="1255" t="s">
        <v>11578</v>
      </c>
      <c r="F1123" s="1255" t="s">
        <v>11579</v>
      </c>
      <c r="G1123" s="1254" t="s">
        <v>41</v>
      </c>
      <c r="H1123" s="1254" t="s">
        <v>1169</v>
      </c>
      <c r="I1123" s="1258" t="s">
        <v>2193</v>
      </c>
      <c r="J1123" s="1259"/>
      <c r="K1123" s="1257">
        <v>2498000.0</v>
      </c>
    </row>
    <row r="1124">
      <c r="A1124" s="1253" t="s">
        <v>2939</v>
      </c>
      <c r="B1124" s="1254" t="s">
        <v>17137</v>
      </c>
      <c r="C1124" s="1255" t="s">
        <v>17138</v>
      </c>
      <c r="D1124" s="1255" t="s">
        <v>1916</v>
      </c>
      <c r="E1124" s="1255" t="s">
        <v>11654</v>
      </c>
      <c r="F1124" s="1255" t="s">
        <v>11570</v>
      </c>
      <c r="G1124" s="1254" t="s">
        <v>22</v>
      </c>
      <c r="H1124" s="1254" t="s">
        <v>13655</v>
      </c>
      <c r="I1124" s="1259"/>
      <c r="J1124" s="1259"/>
      <c r="K1124" s="1257">
        <v>1078000.0</v>
      </c>
    </row>
    <row r="1125">
      <c r="A1125" s="1253" t="s">
        <v>2939</v>
      </c>
      <c r="B1125" s="1254" t="s">
        <v>17139</v>
      </c>
      <c r="C1125" s="1255" t="s">
        <v>17140</v>
      </c>
      <c r="D1125" s="1255" t="s">
        <v>1918</v>
      </c>
      <c r="E1125" s="1255" t="s">
        <v>11654</v>
      </c>
      <c r="F1125" s="1255" t="s">
        <v>11570</v>
      </c>
      <c r="G1125" s="1254" t="s">
        <v>22</v>
      </c>
      <c r="H1125" s="1254" t="s">
        <v>12025</v>
      </c>
      <c r="I1125" s="1258" t="s">
        <v>97</v>
      </c>
      <c r="J1125" s="1259"/>
      <c r="K1125" s="1257">
        <v>1078000.0</v>
      </c>
    </row>
    <row r="1126">
      <c r="A1126" s="1253" t="s">
        <v>2939</v>
      </c>
      <c r="B1126" s="1254" t="s">
        <v>17141</v>
      </c>
      <c r="C1126" s="1255" t="s">
        <v>2939</v>
      </c>
      <c r="D1126" s="1260" t="s">
        <v>1921</v>
      </c>
      <c r="E1126" s="1255" t="s">
        <v>11569</v>
      </c>
      <c r="F1126" s="1255" t="s">
        <v>11570</v>
      </c>
      <c r="G1126" s="1254" t="s">
        <v>22</v>
      </c>
      <c r="H1126" s="1254" t="s">
        <v>1922</v>
      </c>
      <c r="I1126" s="1259"/>
      <c r="J1126" s="1259"/>
      <c r="K1126" s="1257">
        <v>702000.0</v>
      </c>
    </row>
    <row r="1127">
      <c r="A1127" s="1253" t="s">
        <v>17142</v>
      </c>
      <c r="B1127" s="1254" t="s">
        <v>17143</v>
      </c>
      <c r="C1127" s="1255" t="s">
        <v>2939</v>
      </c>
      <c r="D1127" s="1255" t="s">
        <v>1171</v>
      </c>
      <c r="E1127" s="1255" t="s">
        <v>11576</v>
      </c>
      <c r="F1127" s="1255" t="s">
        <v>11570</v>
      </c>
      <c r="G1127" s="1254" t="s">
        <v>22</v>
      </c>
      <c r="H1127" s="1254" t="s">
        <v>1172</v>
      </c>
      <c r="I1127" s="1259"/>
      <c r="J1127" s="1259"/>
      <c r="K1127" s="1257">
        <v>1695000.0</v>
      </c>
    </row>
    <row r="1128">
      <c r="A1128" s="1253" t="s">
        <v>17144</v>
      </c>
      <c r="B1128" s="1254" t="s">
        <v>17145</v>
      </c>
      <c r="C1128" s="1255" t="s">
        <v>2939</v>
      </c>
      <c r="D1128" s="1255" t="s">
        <v>1173</v>
      </c>
      <c r="E1128" s="1255" t="s">
        <v>11576</v>
      </c>
      <c r="F1128" s="1255" t="s">
        <v>11579</v>
      </c>
      <c r="G1128" s="1254" t="s">
        <v>41</v>
      </c>
      <c r="H1128" s="1254" t="s">
        <v>1172</v>
      </c>
      <c r="I1128" s="1258" t="s">
        <v>11588</v>
      </c>
      <c r="J1128" s="1259"/>
      <c r="K1128" s="1257">
        <v>3051000.0</v>
      </c>
    </row>
    <row r="1129">
      <c r="A1129" s="1253" t="s">
        <v>17146</v>
      </c>
      <c r="B1129" s="1254" t="s">
        <v>2939</v>
      </c>
      <c r="C1129" s="1255" t="s">
        <v>2939</v>
      </c>
      <c r="D1129" s="1255" t="s">
        <v>1174</v>
      </c>
      <c r="E1129" s="1255" t="s">
        <v>11578</v>
      </c>
      <c r="F1129" s="1255" t="s">
        <v>11591</v>
      </c>
      <c r="G1129" s="1254" t="s">
        <v>132</v>
      </c>
      <c r="H1129" s="1254" t="s">
        <v>1172</v>
      </c>
      <c r="I1129" s="1259"/>
      <c r="J1129" s="1259"/>
      <c r="K1129" s="1257">
        <v>725000.0</v>
      </c>
    </row>
    <row r="1130">
      <c r="A1130" s="1253" t="s">
        <v>17147</v>
      </c>
      <c r="B1130" s="1254" t="s">
        <v>2939</v>
      </c>
      <c r="C1130" s="1255" t="s">
        <v>2939</v>
      </c>
      <c r="D1130" s="1255" t="s">
        <v>1175</v>
      </c>
      <c r="E1130" s="1255" t="s">
        <v>11578</v>
      </c>
      <c r="F1130" s="1255" t="s">
        <v>11591</v>
      </c>
      <c r="G1130" s="1254" t="s">
        <v>134</v>
      </c>
      <c r="H1130" s="1254" t="s">
        <v>1172</v>
      </c>
      <c r="I1130" s="1259"/>
      <c r="J1130" s="1259"/>
      <c r="K1130" s="1257">
        <v>725000.0</v>
      </c>
    </row>
    <row r="1131">
      <c r="A1131" s="1253" t="s">
        <v>17148</v>
      </c>
      <c r="B1131" s="1254" t="s">
        <v>17149</v>
      </c>
      <c r="C1131" s="1255" t="s">
        <v>2939</v>
      </c>
      <c r="D1131" s="1255" t="s">
        <v>1176</v>
      </c>
      <c r="E1131" s="1255" t="s">
        <v>11578</v>
      </c>
      <c r="F1131" s="1255" t="s">
        <v>11591</v>
      </c>
      <c r="G1131" s="1254" t="s">
        <v>904</v>
      </c>
      <c r="H1131" s="1254" t="s">
        <v>1172</v>
      </c>
      <c r="I1131" s="1258" t="s">
        <v>141</v>
      </c>
      <c r="J1131" s="1259"/>
      <c r="K1131" s="1257">
        <v>644000.0</v>
      </c>
    </row>
    <row r="1132">
      <c r="A1132" s="1253" t="s">
        <v>17150</v>
      </c>
      <c r="B1132" s="1254" t="s">
        <v>2939</v>
      </c>
      <c r="C1132" s="1255" t="s">
        <v>2939</v>
      </c>
      <c r="D1132" s="1255" t="s">
        <v>1177</v>
      </c>
      <c r="E1132" s="1255" t="s">
        <v>11578</v>
      </c>
      <c r="F1132" s="1255" t="s">
        <v>11591</v>
      </c>
      <c r="G1132" s="1254" t="s">
        <v>906</v>
      </c>
      <c r="H1132" s="1254" t="s">
        <v>1172</v>
      </c>
      <c r="I1132" s="1258" t="s">
        <v>141</v>
      </c>
      <c r="J1132" s="1259"/>
      <c r="K1132" s="1257">
        <v>644000.0</v>
      </c>
    </row>
    <row r="1133">
      <c r="A1133" s="1253" t="s">
        <v>17151</v>
      </c>
      <c r="B1133" s="1254" t="s">
        <v>17152</v>
      </c>
      <c r="C1133" s="1255" t="s">
        <v>2939</v>
      </c>
      <c r="D1133" s="1255" t="s">
        <v>1178</v>
      </c>
      <c r="E1133" s="1255" t="s">
        <v>11578</v>
      </c>
      <c r="F1133" s="1255" t="s">
        <v>11591</v>
      </c>
      <c r="G1133" s="1254" t="s">
        <v>908</v>
      </c>
      <c r="H1133" s="1254" t="s">
        <v>1172</v>
      </c>
      <c r="I1133" s="1258" t="s">
        <v>141</v>
      </c>
      <c r="J1133" s="1259"/>
      <c r="K1133" s="1257">
        <v>644000.0</v>
      </c>
    </row>
    <row r="1134">
      <c r="A1134" s="1253" t="s">
        <v>17153</v>
      </c>
      <c r="B1134" s="1254" t="s">
        <v>17154</v>
      </c>
      <c r="C1134" s="1255" t="s">
        <v>2939</v>
      </c>
      <c r="D1134" s="1255" t="s">
        <v>1179</v>
      </c>
      <c r="E1134" s="1255" t="s">
        <v>11578</v>
      </c>
      <c r="F1134" s="1255" t="s">
        <v>11591</v>
      </c>
      <c r="G1134" s="1254" t="s">
        <v>911</v>
      </c>
      <c r="H1134" s="1254" t="s">
        <v>1172</v>
      </c>
      <c r="I1134" s="1258" t="s">
        <v>141</v>
      </c>
      <c r="J1134" s="1259"/>
      <c r="K1134" s="1257">
        <v>644000.0</v>
      </c>
    </row>
    <row r="1135">
      <c r="A1135" s="1253" t="s">
        <v>2939</v>
      </c>
      <c r="B1135" s="1254" t="s">
        <v>17155</v>
      </c>
      <c r="C1135" s="1255" t="s">
        <v>2939</v>
      </c>
      <c r="D1135" s="1255" t="s">
        <v>1923</v>
      </c>
      <c r="E1135" s="1255" t="s">
        <v>11569</v>
      </c>
      <c r="F1135" s="1255" t="s">
        <v>11570</v>
      </c>
      <c r="G1135" s="1254" t="s">
        <v>22</v>
      </c>
      <c r="H1135" s="1254" t="s">
        <v>1924</v>
      </c>
      <c r="I1135" s="1258" t="s">
        <v>75</v>
      </c>
      <c r="J1135" s="1259"/>
      <c r="K1135" s="1257">
        <v>3326000.0</v>
      </c>
    </row>
    <row r="1136">
      <c r="A1136" s="1253" t="s">
        <v>17156</v>
      </c>
      <c r="B1136" s="1254" t="s">
        <v>2939</v>
      </c>
      <c r="C1136" s="1255" t="s">
        <v>2939</v>
      </c>
      <c r="D1136" s="1255" t="s">
        <v>1180</v>
      </c>
      <c r="E1136" s="1255" t="s">
        <v>11578</v>
      </c>
      <c r="F1136" s="1255" t="s">
        <v>11570</v>
      </c>
      <c r="G1136" s="1254" t="s">
        <v>22</v>
      </c>
      <c r="H1136" s="1254" t="s">
        <v>1181</v>
      </c>
      <c r="I1136" s="1258" t="s">
        <v>125</v>
      </c>
      <c r="J1136" s="1259"/>
      <c r="K1136" s="1257">
        <v>3137000.0</v>
      </c>
    </row>
    <row r="1137">
      <c r="A1137" s="1253" t="s">
        <v>17157</v>
      </c>
      <c r="B1137" s="1254" t="s">
        <v>2939</v>
      </c>
      <c r="C1137" s="1255" t="s">
        <v>2939</v>
      </c>
      <c r="D1137" s="1255" t="s">
        <v>1182</v>
      </c>
      <c r="E1137" s="1255" t="s">
        <v>11578</v>
      </c>
      <c r="F1137" s="1255" t="s">
        <v>11579</v>
      </c>
      <c r="G1137" s="1254" t="s">
        <v>41</v>
      </c>
      <c r="H1137" s="1254" t="s">
        <v>1183</v>
      </c>
      <c r="I1137" s="1258" t="s">
        <v>2193</v>
      </c>
      <c r="J1137" s="1259"/>
      <c r="K1137" s="1257">
        <v>2731000.0</v>
      </c>
    </row>
    <row r="1138">
      <c r="A1138" s="1253" t="s">
        <v>17158</v>
      </c>
      <c r="B1138" s="1254" t="s">
        <v>17159</v>
      </c>
      <c r="C1138" s="1255" t="s">
        <v>2939</v>
      </c>
      <c r="D1138" s="1255" t="s">
        <v>1184</v>
      </c>
      <c r="E1138" s="1255" t="s">
        <v>11578</v>
      </c>
      <c r="F1138" s="1255" t="s">
        <v>11591</v>
      </c>
      <c r="G1138" s="1254" t="s">
        <v>132</v>
      </c>
      <c r="H1138" s="1254" t="s">
        <v>1183</v>
      </c>
      <c r="I1138" s="1259"/>
      <c r="J1138" s="1259"/>
      <c r="K1138" s="1257">
        <v>725000.0</v>
      </c>
    </row>
    <row r="1139">
      <c r="A1139" s="1253" t="s">
        <v>17160</v>
      </c>
      <c r="B1139" s="1254" t="s">
        <v>17161</v>
      </c>
      <c r="C1139" s="1255" t="s">
        <v>2939</v>
      </c>
      <c r="D1139" s="1255" t="s">
        <v>1185</v>
      </c>
      <c r="E1139" s="1255" t="s">
        <v>11578</v>
      </c>
      <c r="F1139" s="1255" t="s">
        <v>11591</v>
      </c>
      <c r="G1139" s="1254" t="s">
        <v>134</v>
      </c>
      <c r="H1139" s="1254" t="s">
        <v>1183</v>
      </c>
      <c r="I1139" s="1259"/>
      <c r="J1139" s="1259"/>
      <c r="K1139" s="1257">
        <v>725000.0</v>
      </c>
    </row>
    <row r="1140">
      <c r="A1140" s="1253" t="s">
        <v>17162</v>
      </c>
      <c r="B1140" s="1254" t="s">
        <v>2939</v>
      </c>
      <c r="C1140" s="1255" t="s">
        <v>2939</v>
      </c>
      <c r="D1140" s="1255" t="s">
        <v>1186</v>
      </c>
      <c r="E1140" s="1255" t="s">
        <v>11578</v>
      </c>
      <c r="F1140" s="1255" t="s">
        <v>11591</v>
      </c>
      <c r="G1140" s="1254" t="s">
        <v>202</v>
      </c>
      <c r="H1140" s="1254" t="s">
        <v>1183</v>
      </c>
      <c r="I1140" s="1258" t="s">
        <v>533</v>
      </c>
      <c r="J1140" s="1259"/>
      <c r="K1140" s="1257">
        <v>966000.0</v>
      </c>
    </row>
    <row r="1141">
      <c r="A1141" s="1253" t="s">
        <v>17163</v>
      </c>
      <c r="B1141" s="1254" t="s">
        <v>2939</v>
      </c>
      <c r="C1141" s="1255" t="s">
        <v>2939</v>
      </c>
      <c r="D1141" s="1255" t="s">
        <v>1187</v>
      </c>
      <c r="E1141" s="1255" t="s">
        <v>11578</v>
      </c>
      <c r="F1141" s="1255" t="s">
        <v>11591</v>
      </c>
      <c r="G1141" s="1254" t="s">
        <v>236</v>
      </c>
      <c r="H1141" s="1254" t="s">
        <v>1183</v>
      </c>
      <c r="I1141" s="1258" t="s">
        <v>533</v>
      </c>
      <c r="J1141" s="1259"/>
      <c r="K1141" s="1257">
        <v>966000.0</v>
      </c>
    </row>
    <row r="1142">
      <c r="A1142" s="1253" t="s">
        <v>17164</v>
      </c>
      <c r="B1142" s="1254" t="s">
        <v>17165</v>
      </c>
      <c r="C1142" s="1255" t="s">
        <v>2939</v>
      </c>
      <c r="D1142" s="1255" t="s">
        <v>1188</v>
      </c>
      <c r="E1142" s="1255" t="s">
        <v>11576</v>
      </c>
      <c r="F1142" s="1255" t="s">
        <v>11570</v>
      </c>
      <c r="G1142" s="1254" t="s">
        <v>22</v>
      </c>
      <c r="H1142" s="1258" t="s">
        <v>12031</v>
      </c>
      <c r="I1142" s="1258" t="s">
        <v>75</v>
      </c>
      <c r="J1142" s="1259"/>
      <c r="K1142" s="1257">
        <v>3080000.0</v>
      </c>
    </row>
    <row r="1143">
      <c r="A1143" s="1253" t="s">
        <v>2939</v>
      </c>
      <c r="B1143" s="1254" t="s">
        <v>17166</v>
      </c>
      <c r="C1143" s="1255" t="s">
        <v>2939</v>
      </c>
      <c r="D1143" s="1255" t="s">
        <v>1926</v>
      </c>
      <c r="E1143" s="1255" t="s">
        <v>11569</v>
      </c>
      <c r="F1143" s="1260" t="s">
        <v>11570</v>
      </c>
      <c r="G1143" s="1258" t="s">
        <v>22</v>
      </c>
      <c r="H1143" s="1254" t="s">
        <v>12032</v>
      </c>
      <c r="I1143" s="1258" t="s">
        <v>75</v>
      </c>
      <c r="J1143" s="1259"/>
      <c r="K1143" s="1257">
        <v>3080000.0</v>
      </c>
    </row>
    <row r="1144">
      <c r="A1144" s="1253" t="s">
        <v>17167</v>
      </c>
      <c r="B1144" s="1254" t="s">
        <v>17168</v>
      </c>
      <c r="C1144" s="1255" t="s">
        <v>2939</v>
      </c>
      <c r="D1144" s="1255" t="s">
        <v>1190</v>
      </c>
      <c r="E1144" s="1255" t="s">
        <v>11576</v>
      </c>
      <c r="F1144" s="1255" t="s">
        <v>11570</v>
      </c>
      <c r="G1144" s="1254" t="s">
        <v>22</v>
      </c>
      <c r="H1144" s="1258" t="s">
        <v>12033</v>
      </c>
      <c r="I1144" s="1258" t="s">
        <v>125</v>
      </c>
      <c r="J1144" s="1259"/>
      <c r="K1144" s="1257">
        <v>2689000.0</v>
      </c>
    </row>
    <row r="1145">
      <c r="A1145" s="1253" t="s">
        <v>17169</v>
      </c>
      <c r="B1145" s="1254" t="s">
        <v>17170</v>
      </c>
      <c r="C1145" s="1255" t="s">
        <v>2939</v>
      </c>
      <c r="D1145" s="1255" t="s">
        <v>1191</v>
      </c>
      <c r="E1145" s="1255" t="s">
        <v>11576</v>
      </c>
      <c r="F1145" s="1255" t="s">
        <v>11579</v>
      </c>
      <c r="G1145" s="1254" t="s">
        <v>41</v>
      </c>
      <c r="H1145" s="1258" t="s">
        <v>12033</v>
      </c>
      <c r="I1145" s="1258" t="s">
        <v>1377</v>
      </c>
      <c r="J1145" s="1259"/>
      <c r="K1145" s="1257">
        <v>2731000.0</v>
      </c>
    </row>
    <row r="1146">
      <c r="A1146" s="1253" t="s">
        <v>17171</v>
      </c>
      <c r="B1146" s="1254" t="s">
        <v>2939</v>
      </c>
      <c r="C1146" s="1255" t="s">
        <v>2939</v>
      </c>
      <c r="D1146" s="1255" t="s">
        <v>1192</v>
      </c>
      <c r="E1146" s="1255" t="s">
        <v>11578</v>
      </c>
      <c r="F1146" s="1255" t="s">
        <v>11591</v>
      </c>
      <c r="G1146" s="1254" t="s">
        <v>128</v>
      </c>
      <c r="H1146" s="1258" t="s">
        <v>12033</v>
      </c>
      <c r="I1146" s="1259"/>
      <c r="J1146" s="1259"/>
      <c r="K1146" s="1257">
        <v>725000.0</v>
      </c>
    </row>
    <row r="1147">
      <c r="A1147" s="1253" t="s">
        <v>17172</v>
      </c>
      <c r="B1147" s="1254" t="s">
        <v>2939</v>
      </c>
      <c r="C1147" s="1255" t="s">
        <v>2939</v>
      </c>
      <c r="D1147" s="1255" t="s">
        <v>1193</v>
      </c>
      <c r="E1147" s="1255" t="s">
        <v>11578</v>
      </c>
      <c r="F1147" s="1255" t="s">
        <v>11591</v>
      </c>
      <c r="G1147" s="1254" t="s">
        <v>130</v>
      </c>
      <c r="H1147" s="1258" t="s">
        <v>12033</v>
      </c>
      <c r="I1147" s="1259"/>
      <c r="J1147" s="1259"/>
      <c r="K1147" s="1257">
        <v>725000.0</v>
      </c>
    </row>
    <row r="1148">
      <c r="A1148" s="1253" t="s">
        <v>17173</v>
      </c>
      <c r="B1148" s="1254" t="s">
        <v>2939</v>
      </c>
      <c r="C1148" s="1255" t="s">
        <v>2939</v>
      </c>
      <c r="D1148" s="1255" t="s">
        <v>1194</v>
      </c>
      <c r="E1148" s="1255" t="s">
        <v>11578</v>
      </c>
      <c r="F1148" s="1255" t="s">
        <v>11591</v>
      </c>
      <c r="G1148" s="1254" t="s">
        <v>132</v>
      </c>
      <c r="H1148" s="1258" t="s">
        <v>12034</v>
      </c>
      <c r="I1148" s="1259"/>
      <c r="J1148" s="1259"/>
      <c r="K1148" s="1257">
        <v>644000.0</v>
      </c>
    </row>
    <row r="1149">
      <c r="A1149" s="1253" t="s">
        <v>17174</v>
      </c>
      <c r="B1149" s="1254" t="s">
        <v>2939</v>
      </c>
      <c r="C1149" s="1255" t="s">
        <v>2939</v>
      </c>
      <c r="D1149" s="1255" t="s">
        <v>1195</v>
      </c>
      <c r="E1149" s="1255" t="s">
        <v>11578</v>
      </c>
      <c r="F1149" s="1255" t="s">
        <v>11591</v>
      </c>
      <c r="G1149" s="1254" t="s">
        <v>134</v>
      </c>
      <c r="H1149" s="1258" t="s">
        <v>12034</v>
      </c>
      <c r="I1149" s="1259"/>
      <c r="J1149" s="1259"/>
      <c r="K1149" s="1257">
        <v>644000.0</v>
      </c>
    </row>
    <row r="1150">
      <c r="A1150" s="1253" t="s">
        <v>17175</v>
      </c>
      <c r="B1150" s="1254" t="s">
        <v>2939</v>
      </c>
      <c r="C1150" s="1255" t="s">
        <v>2939</v>
      </c>
      <c r="D1150" s="1255" t="s">
        <v>1196</v>
      </c>
      <c r="E1150" s="1255" t="s">
        <v>11578</v>
      </c>
      <c r="F1150" s="1255" t="s">
        <v>11591</v>
      </c>
      <c r="G1150" s="1254" t="s">
        <v>387</v>
      </c>
      <c r="H1150" s="1258" t="s">
        <v>12034</v>
      </c>
      <c r="I1150" s="1259"/>
      <c r="J1150" s="1259"/>
      <c r="K1150" s="1257">
        <v>307000.0</v>
      </c>
    </row>
    <row r="1151">
      <c r="A1151" s="1253" t="s">
        <v>17176</v>
      </c>
      <c r="B1151" s="1254" t="s">
        <v>2939</v>
      </c>
      <c r="C1151" s="1255" t="s">
        <v>2939</v>
      </c>
      <c r="D1151" s="1255" t="s">
        <v>1197</v>
      </c>
      <c r="E1151" s="1255" t="s">
        <v>11578</v>
      </c>
      <c r="F1151" s="1255" t="s">
        <v>11591</v>
      </c>
      <c r="G1151" s="1254" t="s">
        <v>389</v>
      </c>
      <c r="H1151" s="1258" t="s">
        <v>12034</v>
      </c>
      <c r="I1151" s="1259"/>
      <c r="J1151" s="1259"/>
      <c r="K1151" s="1257">
        <v>307000.0</v>
      </c>
    </row>
    <row r="1152">
      <c r="A1152" s="1253" t="s">
        <v>2939</v>
      </c>
      <c r="B1152" s="1254" t="s">
        <v>2939</v>
      </c>
      <c r="C1152" s="1255" t="s">
        <v>17177</v>
      </c>
      <c r="D1152" s="1255" t="s">
        <v>2125</v>
      </c>
      <c r="E1152" s="1255" t="s">
        <v>11653</v>
      </c>
      <c r="F1152" s="1255" t="s">
        <v>11570</v>
      </c>
      <c r="G1152" s="1254" t="s">
        <v>22</v>
      </c>
      <c r="H1152" s="1254" t="s">
        <v>12026</v>
      </c>
      <c r="I1152" s="1259"/>
      <c r="J1152" s="1259"/>
      <c r="K1152" s="1257">
        <v>1199000.0</v>
      </c>
    </row>
    <row r="1153">
      <c r="A1153" s="1253" t="s">
        <v>2939</v>
      </c>
      <c r="B1153" s="1254" t="s">
        <v>17178</v>
      </c>
      <c r="C1153" s="1255" t="s">
        <v>2939</v>
      </c>
      <c r="D1153" s="1255" t="s">
        <v>1928</v>
      </c>
      <c r="E1153" s="1255" t="s">
        <v>11569</v>
      </c>
      <c r="F1153" s="1255" t="s">
        <v>11570</v>
      </c>
      <c r="G1153" s="1254" t="s">
        <v>22</v>
      </c>
      <c r="H1153" s="1254" t="s">
        <v>1929</v>
      </c>
      <c r="I1153" s="1258" t="s">
        <v>1547</v>
      </c>
      <c r="J1153" s="1259"/>
      <c r="K1153" s="1257">
        <v>1848000.0</v>
      </c>
    </row>
    <row r="1154">
      <c r="A1154" s="1253" t="s">
        <v>17179</v>
      </c>
      <c r="B1154" s="1254" t="s">
        <v>17180</v>
      </c>
      <c r="C1154" s="1255" t="s">
        <v>2939</v>
      </c>
      <c r="D1154" s="1255" t="s">
        <v>1198</v>
      </c>
      <c r="E1154" s="1255" t="s">
        <v>11576</v>
      </c>
      <c r="F1154" s="1255" t="s">
        <v>11570</v>
      </c>
      <c r="G1154" s="1254" t="s">
        <v>22</v>
      </c>
      <c r="H1154" s="1254" t="s">
        <v>1199</v>
      </c>
      <c r="I1154" s="1258" t="s">
        <v>125</v>
      </c>
      <c r="J1154" s="1259"/>
      <c r="K1154" s="1257">
        <v>3192000.0</v>
      </c>
    </row>
    <row r="1155">
      <c r="A1155" s="1253" t="s">
        <v>2939</v>
      </c>
      <c r="B1155" s="1254" t="s">
        <v>17181</v>
      </c>
      <c r="C1155" s="1255" t="s">
        <v>2939</v>
      </c>
      <c r="D1155" s="1260" t="s">
        <v>12036</v>
      </c>
      <c r="E1155" s="1255" t="s">
        <v>11569</v>
      </c>
      <c r="F1155" s="1260" t="s">
        <v>11591</v>
      </c>
      <c r="G1155" s="1254" t="s">
        <v>128</v>
      </c>
      <c r="H1155" s="1254" t="s">
        <v>1199</v>
      </c>
      <c r="I1155" s="1259"/>
      <c r="J1155" s="1259"/>
      <c r="K1155" s="1257">
        <v>725000.0</v>
      </c>
    </row>
    <row r="1156">
      <c r="A1156" s="1253" t="s">
        <v>2939</v>
      </c>
      <c r="B1156" s="1254" t="s">
        <v>17182</v>
      </c>
      <c r="C1156" s="1255" t="s">
        <v>2939</v>
      </c>
      <c r="D1156" s="1260" t="s">
        <v>12037</v>
      </c>
      <c r="E1156" s="1255" t="s">
        <v>11569</v>
      </c>
      <c r="F1156" s="1260" t="s">
        <v>11591</v>
      </c>
      <c r="G1156" s="1254" t="s">
        <v>130</v>
      </c>
      <c r="H1156" s="1254" t="s">
        <v>1199</v>
      </c>
      <c r="I1156" s="1259"/>
      <c r="J1156" s="1259"/>
      <c r="K1156" s="1257">
        <v>725000.0</v>
      </c>
    </row>
    <row r="1157">
      <c r="A1157" s="1253" t="s">
        <v>17183</v>
      </c>
      <c r="B1157" s="1254" t="s">
        <v>2939</v>
      </c>
      <c r="C1157" s="1255" t="s">
        <v>2939</v>
      </c>
      <c r="D1157" s="1255" t="s">
        <v>1200</v>
      </c>
      <c r="E1157" s="1255" t="s">
        <v>11578</v>
      </c>
      <c r="F1157" s="1255" t="s">
        <v>11591</v>
      </c>
      <c r="G1157" s="1254" t="s">
        <v>132</v>
      </c>
      <c r="H1157" s="1254" t="s">
        <v>1199</v>
      </c>
      <c r="I1157" s="1259"/>
      <c r="J1157" s="1259"/>
      <c r="K1157" s="1257">
        <v>725000.0</v>
      </c>
    </row>
    <row r="1158">
      <c r="A1158" s="1253" t="s">
        <v>17184</v>
      </c>
      <c r="B1158" s="1254" t="s">
        <v>2939</v>
      </c>
      <c r="C1158" s="1255" t="s">
        <v>2939</v>
      </c>
      <c r="D1158" s="1255" t="s">
        <v>1201</v>
      </c>
      <c r="E1158" s="1255" t="s">
        <v>11578</v>
      </c>
      <c r="F1158" s="1255" t="s">
        <v>11591</v>
      </c>
      <c r="G1158" s="1254" t="s">
        <v>134</v>
      </c>
      <c r="H1158" s="1254" t="s">
        <v>1199</v>
      </c>
      <c r="I1158" s="1259"/>
      <c r="J1158" s="1259"/>
      <c r="K1158" s="1257">
        <v>725000.0</v>
      </c>
    </row>
    <row r="1159">
      <c r="A1159" s="1253" t="s">
        <v>17185</v>
      </c>
      <c r="B1159" s="1254" t="s">
        <v>2939</v>
      </c>
      <c r="C1159" s="1255" t="s">
        <v>2939</v>
      </c>
      <c r="D1159" s="1255" t="s">
        <v>1202</v>
      </c>
      <c r="E1159" s="1255" t="s">
        <v>11578</v>
      </c>
      <c r="F1159" s="1255" t="s">
        <v>11591</v>
      </c>
      <c r="G1159" s="1254" t="s">
        <v>202</v>
      </c>
      <c r="H1159" s="1254" t="s">
        <v>1199</v>
      </c>
      <c r="I1159" s="1258" t="s">
        <v>1203</v>
      </c>
      <c r="J1159" s="1259"/>
      <c r="K1159" s="1257">
        <v>804000.0</v>
      </c>
    </row>
    <row r="1160">
      <c r="A1160" s="1253" t="s">
        <v>17186</v>
      </c>
      <c r="B1160" s="1254" t="s">
        <v>2939</v>
      </c>
      <c r="C1160" s="1255" t="s">
        <v>2939</v>
      </c>
      <c r="D1160" s="1255" t="s">
        <v>1204</v>
      </c>
      <c r="E1160" s="1255" t="s">
        <v>11578</v>
      </c>
      <c r="F1160" s="1255" t="s">
        <v>11591</v>
      </c>
      <c r="G1160" s="1254" t="s">
        <v>236</v>
      </c>
      <c r="H1160" s="1254" t="s">
        <v>1199</v>
      </c>
      <c r="I1160" s="1258" t="s">
        <v>533</v>
      </c>
      <c r="J1160" s="1259"/>
      <c r="K1160" s="1257">
        <v>804000.0</v>
      </c>
    </row>
    <row r="1161">
      <c r="A1161" s="1253" t="s">
        <v>17187</v>
      </c>
      <c r="B1161" s="1254" t="s">
        <v>17188</v>
      </c>
      <c r="C1161" s="1255" t="s">
        <v>2939</v>
      </c>
      <c r="D1161" s="1255" t="s">
        <v>1205</v>
      </c>
      <c r="E1161" s="1255" t="s">
        <v>11576</v>
      </c>
      <c r="F1161" s="1255" t="s">
        <v>11579</v>
      </c>
      <c r="G1161" s="1254" t="s">
        <v>41</v>
      </c>
      <c r="H1161" s="1254" t="s">
        <v>1206</v>
      </c>
      <c r="I1161" s="1258" t="s">
        <v>1377</v>
      </c>
      <c r="J1161" s="1259"/>
      <c r="K1161" s="1257">
        <v>2731000.0</v>
      </c>
    </row>
    <row r="1162">
      <c r="A1162" s="1253" t="s">
        <v>2939</v>
      </c>
      <c r="B1162" s="1254" t="s">
        <v>17189</v>
      </c>
      <c r="C1162" s="1255" t="s">
        <v>2939</v>
      </c>
      <c r="D1162" s="1255" t="s">
        <v>1930</v>
      </c>
      <c r="E1162" s="1255" t="s">
        <v>11569</v>
      </c>
      <c r="F1162" s="1255" t="s">
        <v>11579</v>
      </c>
      <c r="G1162" s="1254" t="s">
        <v>41</v>
      </c>
      <c r="H1162" s="1254" t="s">
        <v>1931</v>
      </c>
      <c r="I1162" s="1258" t="s">
        <v>2193</v>
      </c>
      <c r="J1162" s="1259"/>
      <c r="K1162" s="1257">
        <v>2943000.0</v>
      </c>
    </row>
    <row r="1163">
      <c r="A1163" s="1253" t="s">
        <v>17190</v>
      </c>
      <c r="B1163" s="1254" t="s">
        <v>17191</v>
      </c>
      <c r="C1163" s="1255" t="s">
        <v>2939</v>
      </c>
      <c r="D1163" s="1255" t="s">
        <v>1207</v>
      </c>
      <c r="E1163" s="1255" t="s">
        <v>11576</v>
      </c>
      <c r="F1163" s="1255" t="s">
        <v>11570</v>
      </c>
      <c r="G1163" s="1254" t="s">
        <v>22</v>
      </c>
      <c r="H1163" s="1254" t="s">
        <v>1208</v>
      </c>
      <c r="I1163" s="1258" t="s">
        <v>23</v>
      </c>
      <c r="J1163" s="1259"/>
      <c r="K1163" s="1257">
        <v>3026000.0</v>
      </c>
    </row>
    <row r="1164">
      <c r="A1164" s="1253" t="s">
        <v>17192</v>
      </c>
      <c r="B1164" s="1254" t="s">
        <v>2939</v>
      </c>
      <c r="C1164" s="1255" t="s">
        <v>2939</v>
      </c>
      <c r="D1164" s="1255" t="s">
        <v>1209</v>
      </c>
      <c r="E1164" s="1255" t="s">
        <v>11578</v>
      </c>
      <c r="F1164" s="1255" t="s">
        <v>11579</v>
      </c>
      <c r="G1164" s="1254" t="s">
        <v>41</v>
      </c>
      <c r="H1164" s="1254" t="s">
        <v>1208</v>
      </c>
      <c r="I1164" s="1258" t="s">
        <v>12038</v>
      </c>
      <c r="J1164" s="1259"/>
      <c r="K1164" s="1257">
        <v>3532000.0</v>
      </c>
    </row>
    <row r="1165">
      <c r="A1165" s="1253" t="s">
        <v>17193</v>
      </c>
      <c r="B1165" s="1254" t="s">
        <v>2939</v>
      </c>
      <c r="C1165" s="1255" t="s">
        <v>2939</v>
      </c>
      <c r="D1165" s="1255" t="s">
        <v>1211</v>
      </c>
      <c r="E1165" s="1255" t="s">
        <v>11578</v>
      </c>
      <c r="F1165" s="1255" t="s">
        <v>11591</v>
      </c>
      <c r="G1165" s="1254" t="s">
        <v>132</v>
      </c>
      <c r="H1165" s="1254" t="s">
        <v>1208</v>
      </c>
      <c r="I1165" s="1259"/>
      <c r="J1165" s="1259"/>
      <c r="K1165" s="1257">
        <v>725000.0</v>
      </c>
    </row>
    <row r="1166">
      <c r="A1166" s="1253" t="s">
        <v>17194</v>
      </c>
      <c r="B1166" s="1254" t="s">
        <v>2939</v>
      </c>
      <c r="C1166" s="1255" t="s">
        <v>2939</v>
      </c>
      <c r="D1166" s="1255" t="s">
        <v>1212</v>
      </c>
      <c r="E1166" s="1255" t="s">
        <v>11578</v>
      </c>
      <c r="F1166" s="1255" t="s">
        <v>11591</v>
      </c>
      <c r="G1166" s="1254" t="s">
        <v>134</v>
      </c>
      <c r="H1166" s="1254" t="s">
        <v>1208</v>
      </c>
      <c r="I1166" s="1259"/>
      <c r="J1166" s="1259"/>
      <c r="K1166" s="1257">
        <v>725000.0</v>
      </c>
    </row>
    <row r="1167">
      <c r="A1167" s="1253" t="s">
        <v>17195</v>
      </c>
      <c r="B1167" s="1254" t="s">
        <v>17196</v>
      </c>
      <c r="C1167" s="1255" t="s">
        <v>2939</v>
      </c>
      <c r="D1167" s="1255" t="s">
        <v>1213</v>
      </c>
      <c r="E1167" s="1255" t="s">
        <v>11576</v>
      </c>
      <c r="F1167" s="1255" t="s">
        <v>11570</v>
      </c>
      <c r="G1167" s="1254" t="s">
        <v>22</v>
      </c>
      <c r="H1167" s="1254" t="s">
        <v>1214</v>
      </c>
      <c r="I1167" s="1258" t="s">
        <v>125</v>
      </c>
      <c r="J1167" s="1259"/>
      <c r="K1167" s="1257">
        <v>2689000.0</v>
      </c>
    </row>
    <row r="1168">
      <c r="A1168" s="1253" t="s">
        <v>17197</v>
      </c>
      <c r="B1168" s="1254" t="s">
        <v>17198</v>
      </c>
      <c r="C1168" s="1255" t="s">
        <v>2939</v>
      </c>
      <c r="D1168" s="1255" t="s">
        <v>1215</v>
      </c>
      <c r="E1168" s="1255" t="s">
        <v>11576</v>
      </c>
      <c r="F1168" s="1255" t="s">
        <v>11579</v>
      </c>
      <c r="G1168" s="1254" t="s">
        <v>41</v>
      </c>
      <c r="H1168" s="1254" t="s">
        <v>1214</v>
      </c>
      <c r="I1168" s="1258" t="s">
        <v>2193</v>
      </c>
      <c r="J1168" s="1259"/>
      <c r="K1168" s="1257">
        <v>2731000.0</v>
      </c>
    </row>
    <row r="1169">
      <c r="A1169" s="1253" t="s">
        <v>17199</v>
      </c>
      <c r="B1169" s="1254" t="s">
        <v>2939</v>
      </c>
      <c r="C1169" s="1255" t="s">
        <v>2939</v>
      </c>
      <c r="D1169" s="1255" t="s">
        <v>1216</v>
      </c>
      <c r="E1169" s="1255" t="s">
        <v>11578</v>
      </c>
      <c r="F1169" s="1255" t="s">
        <v>11591</v>
      </c>
      <c r="G1169" s="1254" t="s">
        <v>202</v>
      </c>
      <c r="H1169" s="1254" t="s">
        <v>1214</v>
      </c>
      <c r="I1169" s="1258" t="s">
        <v>97</v>
      </c>
      <c r="J1169" s="1259"/>
      <c r="K1169" s="1257">
        <v>804000.0</v>
      </c>
    </row>
    <row r="1170">
      <c r="A1170" s="1253" t="s">
        <v>17200</v>
      </c>
      <c r="B1170" s="1254" t="s">
        <v>2939</v>
      </c>
      <c r="C1170" s="1255" t="s">
        <v>2939</v>
      </c>
      <c r="D1170" s="1255" t="s">
        <v>1217</v>
      </c>
      <c r="E1170" s="1255" t="s">
        <v>11578</v>
      </c>
      <c r="F1170" s="1255" t="s">
        <v>11591</v>
      </c>
      <c r="G1170" s="1254" t="s">
        <v>236</v>
      </c>
      <c r="H1170" s="1254" t="s">
        <v>1214</v>
      </c>
      <c r="I1170" s="1258" t="s">
        <v>234</v>
      </c>
      <c r="J1170" s="1259"/>
      <c r="K1170" s="1257">
        <v>966000.0</v>
      </c>
    </row>
    <row r="1171">
      <c r="A1171" s="1253" t="s">
        <v>17201</v>
      </c>
      <c r="B1171" s="1254" t="s">
        <v>17202</v>
      </c>
      <c r="C1171" s="1255" t="s">
        <v>2939</v>
      </c>
      <c r="D1171" s="1255" t="s">
        <v>1218</v>
      </c>
      <c r="E1171" s="1255" t="s">
        <v>11576</v>
      </c>
      <c r="F1171" s="1255" t="s">
        <v>11570</v>
      </c>
      <c r="G1171" s="1254" t="s">
        <v>22</v>
      </c>
      <c r="H1171" s="1254" t="s">
        <v>1219</v>
      </c>
      <c r="I1171" s="1258" t="s">
        <v>125</v>
      </c>
      <c r="J1171" s="1259"/>
      <c r="K1171" s="1257">
        <v>3137000.0</v>
      </c>
    </row>
    <row r="1172">
      <c r="A1172" s="1253" t="s">
        <v>17203</v>
      </c>
      <c r="B1172" s="1254" t="s">
        <v>17204</v>
      </c>
      <c r="C1172" s="1255" t="s">
        <v>2939</v>
      </c>
      <c r="D1172" s="1255" t="s">
        <v>1220</v>
      </c>
      <c r="E1172" s="1255" t="s">
        <v>11576</v>
      </c>
      <c r="F1172" s="1255" t="s">
        <v>11579</v>
      </c>
      <c r="G1172" s="1254" t="s">
        <v>41</v>
      </c>
      <c r="H1172" s="1254" t="s">
        <v>1219</v>
      </c>
      <c r="I1172" s="1258" t="s">
        <v>2193</v>
      </c>
      <c r="J1172" s="1259"/>
      <c r="K1172" s="1257">
        <v>2892000.0</v>
      </c>
    </row>
    <row r="1173">
      <c r="A1173" s="1253" t="s">
        <v>17205</v>
      </c>
      <c r="B1173" s="1254" t="s">
        <v>2939</v>
      </c>
      <c r="C1173" s="1255" t="s">
        <v>2939</v>
      </c>
      <c r="D1173" s="1255" t="s">
        <v>1221</v>
      </c>
      <c r="E1173" s="1255" t="s">
        <v>11578</v>
      </c>
      <c r="F1173" s="1255" t="s">
        <v>11591</v>
      </c>
      <c r="G1173" s="1254" t="s">
        <v>132</v>
      </c>
      <c r="H1173" s="1254" t="s">
        <v>1219</v>
      </c>
      <c r="I1173" s="1259"/>
      <c r="J1173" s="1259"/>
      <c r="K1173" s="1257">
        <v>1045000.0</v>
      </c>
    </row>
    <row r="1174">
      <c r="A1174" s="1253" t="s">
        <v>17206</v>
      </c>
      <c r="B1174" s="1254" t="s">
        <v>2939</v>
      </c>
      <c r="C1174" s="1255" t="s">
        <v>2939</v>
      </c>
      <c r="D1174" s="1255" t="s">
        <v>1222</v>
      </c>
      <c r="E1174" s="1255" t="s">
        <v>11578</v>
      </c>
      <c r="F1174" s="1255" t="s">
        <v>11591</v>
      </c>
      <c r="G1174" s="1254" t="s">
        <v>134</v>
      </c>
      <c r="H1174" s="1254" t="s">
        <v>1219</v>
      </c>
      <c r="I1174" s="1259"/>
      <c r="J1174" s="1259"/>
      <c r="K1174" s="1257">
        <v>1045000.0</v>
      </c>
    </row>
    <row r="1175">
      <c r="A1175" s="1253" t="s">
        <v>17207</v>
      </c>
      <c r="B1175" s="1254" t="s">
        <v>2939</v>
      </c>
      <c r="C1175" s="1255" t="s">
        <v>2939</v>
      </c>
      <c r="D1175" s="1255" t="s">
        <v>1223</v>
      </c>
      <c r="E1175" s="1255" t="s">
        <v>11578</v>
      </c>
      <c r="F1175" s="1255" t="s">
        <v>11591</v>
      </c>
      <c r="G1175" s="1254" t="s">
        <v>202</v>
      </c>
      <c r="H1175" s="1254" t="s">
        <v>1219</v>
      </c>
      <c r="I1175" s="1258" t="s">
        <v>97</v>
      </c>
      <c r="J1175" s="1259"/>
      <c r="K1175" s="1257">
        <v>1045000.0</v>
      </c>
    </row>
    <row r="1176">
      <c r="A1176" s="1253" t="s">
        <v>17208</v>
      </c>
      <c r="B1176" s="1254" t="s">
        <v>17209</v>
      </c>
      <c r="C1176" s="1255" t="s">
        <v>2939</v>
      </c>
      <c r="D1176" s="1255" t="s">
        <v>1224</v>
      </c>
      <c r="E1176" s="1255" t="s">
        <v>11576</v>
      </c>
      <c r="F1176" s="1255" t="s">
        <v>11570</v>
      </c>
      <c r="G1176" s="1254" t="s">
        <v>22</v>
      </c>
      <c r="H1176" s="1254" t="s">
        <v>1225</v>
      </c>
      <c r="I1176" s="1258" t="s">
        <v>97</v>
      </c>
      <c r="J1176" s="1259"/>
      <c r="K1176" s="1257">
        <v>3865000.0</v>
      </c>
    </row>
    <row r="1177">
      <c r="A1177" s="1253" t="s">
        <v>17210</v>
      </c>
      <c r="B1177" s="1254" t="s">
        <v>2939</v>
      </c>
      <c r="C1177" s="1255" t="s">
        <v>2939</v>
      </c>
      <c r="D1177" s="1255" t="s">
        <v>1226</v>
      </c>
      <c r="E1177" s="1255" t="s">
        <v>11578</v>
      </c>
      <c r="F1177" s="1255" t="s">
        <v>11579</v>
      </c>
      <c r="G1177" s="1254" t="s">
        <v>41</v>
      </c>
      <c r="H1177" s="1254" t="s">
        <v>1225</v>
      </c>
      <c r="I1177" s="1258" t="s">
        <v>2193</v>
      </c>
      <c r="J1177" s="1259"/>
      <c r="K1177" s="1257">
        <v>3212000.0</v>
      </c>
    </row>
    <row r="1178">
      <c r="A1178" s="1253" t="s">
        <v>17211</v>
      </c>
      <c r="B1178" s="1254" t="s">
        <v>17212</v>
      </c>
      <c r="C1178" s="1255" t="s">
        <v>2939</v>
      </c>
      <c r="D1178" s="1255" t="s">
        <v>1227</v>
      </c>
      <c r="E1178" s="1255" t="s">
        <v>11576</v>
      </c>
      <c r="F1178" s="1255" t="s">
        <v>11570</v>
      </c>
      <c r="G1178" s="1254" t="s">
        <v>22</v>
      </c>
      <c r="H1178" s="1254" t="s">
        <v>1228</v>
      </c>
      <c r="I1178" s="1258" t="s">
        <v>737</v>
      </c>
      <c r="J1178" s="1259"/>
      <c r="K1178" s="1257">
        <v>4032000.0</v>
      </c>
    </row>
    <row r="1179">
      <c r="A1179" s="1253" t="s">
        <v>17213</v>
      </c>
      <c r="B1179" s="1254" t="s">
        <v>2939</v>
      </c>
      <c r="C1179" s="1255" t="s">
        <v>2939</v>
      </c>
      <c r="D1179" s="1255" t="s">
        <v>1229</v>
      </c>
      <c r="E1179" s="1255" t="s">
        <v>11578</v>
      </c>
      <c r="F1179" s="1255" t="s">
        <v>11579</v>
      </c>
      <c r="G1179" s="1254" t="s">
        <v>41</v>
      </c>
      <c r="H1179" s="1254" t="s">
        <v>1228</v>
      </c>
      <c r="I1179" s="1258" t="s">
        <v>1377</v>
      </c>
      <c r="J1179" s="1259"/>
      <c r="K1179" s="1257">
        <v>3373000.0</v>
      </c>
    </row>
    <row r="1180">
      <c r="A1180" s="1253" t="s">
        <v>2939</v>
      </c>
      <c r="B1180" s="1254" t="s">
        <v>17214</v>
      </c>
      <c r="C1180" s="1255" t="s">
        <v>2939</v>
      </c>
      <c r="D1180" s="1255" t="s">
        <v>12039</v>
      </c>
      <c r="E1180" s="1255" t="s">
        <v>11569</v>
      </c>
      <c r="F1180" s="1260" t="s">
        <v>11570</v>
      </c>
      <c r="G1180" s="1258" t="s">
        <v>22</v>
      </c>
      <c r="H1180" s="1258" t="s">
        <v>12040</v>
      </c>
      <c r="I1180" s="1254" t="s">
        <v>23</v>
      </c>
      <c r="J1180" s="1256"/>
      <c r="K1180" s="1257">
        <v>5000000.0</v>
      </c>
    </row>
    <row r="1181">
      <c r="A1181" s="1253" t="s">
        <v>2939</v>
      </c>
      <c r="B1181" s="1254" t="s">
        <v>2939</v>
      </c>
      <c r="C1181" s="1255" t="s">
        <v>17215</v>
      </c>
      <c r="D1181" s="1255" t="s">
        <v>2404</v>
      </c>
      <c r="E1181" s="1255" t="s">
        <v>11653</v>
      </c>
      <c r="F1181" s="1255" t="s">
        <v>11570</v>
      </c>
      <c r="G1181" s="1254" t="s">
        <v>22</v>
      </c>
      <c r="H1181" s="1254" t="s">
        <v>103</v>
      </c>
      <c r="I1181" s="1258" t="s">
        <v>125</v>
      </c>
      <c r="J1181" s="1259"/>
      <c r="K1181" s="1257">
        <v>1199000.0</v>
      </c>
    </row>
    <row r="1182">
      <c r="A1182" s="1253" t="s">
        <v>2939</v>
      </c>
      <c r="B1182" s="1254" t="s">
        <v>17216</v>
      </c>
      <c r="C1182" s="1255" t="s">
        <v>2939</v>
      </c>
      <c r="D1182" s="1255" t="s">
        <v>2151</v>
      </c>
      <c r="E1182" s="1255" t="s">
        <v>11569</v>
      </c>
      <c r="F1182" s="1255" t="s">
        <v>11570</v>
      </c>
      <c r="G1182" s="1254" t="s">
        <v>22</v>
      </c>
      <c r="H1182" s="1254" t="s">
        <v>2152</v>
      </c>
      <c r="I1182" s="1258" t="s">
        <v>75</v>
      </c>
      <c r="J1182" s="1259"/>
      <c r="K1182" s="1257">
        <v>1550000.0</v>
      </c>
    </row>
    <row r="1183">
      <c r="A1183" s="1253" t="s">
        <v>17217</v>
      </c>
      <c r="B1183" s="1254" t="s">
        <v>17218</v>
      </c>
      <c r="C1183" s="1255" t="s">
        <v>2939</v>
      </c>
      <c r="D1183" s="1255" t="s">
        <v>1230</v>
      </c>
      <c r="E1183" s="1255" t="s">
        <v>11576</v>
      </c>
      <c r="F1183" s="1255" t="s">
        <v>11579</v>
      </c>
      <c r="G1183" s="1254" t="s">
        <v>41</v>
      </c>
      <c r="H1183" s="1254" t="s">
        <v>1231</v>
      </c>
      <c r="I1183" s="1258" t="s">
        <v>1377</v>
      </c>
      <c r="J1183" s="1259"/>
      <c r="K1183" s="1257">
        <v>1928000.0</v>
      </c>
    </row>
    <row r="1184">
      <c r="A1184" s="1253" t="s">
        <v>17219</v>
      </c>
      <c r="B1184" s="1254" t="s">
        <v>17220</v>
      </c>
      <c r="C1184" s="1255" t="s">
        <v>2939</v>
      </c>
      <c r="D1184" s="1255" t="s">
        <v>1232</v>
      </c>
      <c r="E1184" s="1255" t="s">
        <v>11576</v>
      </c>
      <c r="F1184" s="1255" t="s">
        <v>11570</v>
      </c>
      <c r="G1184" s="1254" t="s">
        <v>22</v>
      </c>
      <c r="H1184" s="1258" t="s">
        <v>12041</v>
      </c>
      <c r="I1184" s="1258" t="s">
        <v>125</v>
      </c>
      <c r="J1184" s="1259"/>
      <c r="K1184" s="1257">
        <v>1664000.0</v>
      </c>
    </row>
    <row r="1185">
      <c r="A1185" s="1253" t="s">
        <v>17221</v>
      </c>
      <c r="B1185" s="1254" t="s">
        <v>2939</v>
      </c>
      <c r="C1185" s="1255" t="s">
        <v>2939</v>
      </c>
      <c r="D1185" s="1255" t="s">
        <v>1234</v>
      </c>
      <c r="E1185" s="1255" t="s">
        <v>11578</v>
      </c>
      <c r="F1185" s="1255" t="s">
        <v>11570</v>
      </c>
      <c r="G1185" s="1254" t="s">
        <v>22</v>
      </c>
      <c r="H1185" s="1254" t="s">
        <v>1235</v>
      </c>
      <c r="I1185" s="1258" t="s">
        <v>737</v>
      </c>
      <c r="J1185" s="1259"/>
      <c r="K1185" s="1257">
        <v>2734000.0</v>
      </c>
    </row>
    <row r="1186">
      <c r="A1186" s="1253" t="s">
        <v>17222</v>
      </c>
      <c r="B1186" s="1254" t="s">
        <v>2939</v>
      </c>
      <c r="C1186" s="1255" t="s">
        <v>2939</v>
      </c>
      <c r="D1186" s="1255" t="s">
        <v>1236</v>
      </c>
      <c r="E1186" s="1255" t="s">
        <v>11578</v>
      </c>
      <c r="F1186" s="1255" t="s">
        <v>11579</v>
      </c>
      <c r="G1186" s="1254" t="s">
        <v>41</v>
      </c>
      <c r="H1186" s="1254" t="s">
        <v>1235</v>
      </c>
      <c r="I1186" s="1258" t="s">
        <v>2364</v>
      </c>
      <c r="J1186" s="1259"/>
      <c r="K1186" s="1257">
        <v>1880000.0</v>
      </c>
    </row>
    <row r="1187">
      <c r="A1187" s="1253" t="s">
        <v>17223</v>
      </c>
      <c r="B1187" s="1254" t="s">
        <v>2939</v>
      </c>
      <c r="C1187" s="1255" t="s">
        <v>2939</v>
      </c>
      <c r="D1187" s="1255" t="s">
        <v>1237</v>
      </c>
      <c r="E1187" s="1255" t="s">
        <v>11578</v>
      </c>
      <c r="F1187" s="1255" t="s">
        <v>11591</v>
      </c>
      <c r="G1187" s="1254" t="s">
        <v>128</v>
      </c>
      <c r="H1187" s="1254" t="s">
        <v>1235</v>
      </c>
      <c r="I1187" s="1259"/>
      <c r="J1187" s="1259"/>
      <c r="K1187" s="1257">
        <v>725000.0</v>
      </c>
    </row>
    <row r="1188">
      <c r="A1188" s="1253" t="s">
        <v>17224</v>
      </c>
      <c r="B1188" s="1254" t="s">
        <v>2939</v>
      </c>
      <c r="C1188" s="1255" t="s">
        <v>2939</v>
      </c>
      <c r="D1188" s="1255" t="s">
        <v>1238</v>
      </c>
      <c r="E1188" s="1255" t="s">
        <v>11578</v>
      </c>
      <c r="F1188" s="1255" t="s">
        <v>11591</v>
      </c>
      <c r="G1188" s="1254" t="s">
        <v>130</v>
      </c>
      <c r="H1188" s="1254" t="s">
        <v>1235</v>
      </c>
      <c r="I1188" s="1259"/>
      <c r="J1188" s="1259"/>
      <c r="K1188" s="1257">
        <v>725000.0</v>
      </c>
    </row>
    <row r="1189">
      <c r="A1189" s="1253" t="s">
        <v>17225</v>
      </c>
      <c r="B1189" s="1254" t="s">
        <v>2939</v>
      </c>
      <c r="C1189" s="1255" t="s">
        <v>2939</v>
      </c>
      <c r="D1189" s="1255" t="s">
        <v>1239</v>
      </c>
      <c r="E1189" s="1255" t="s">
        <v>11578</v>
      </c>
      <c r="F1189" s="1255" t="s">
        <v>11591</v>
      </c>
      <c r="G1189" s="1254" t="s">
        <v>132</v>
      </c>
      <c r="H1189" s="1254" t="s">
        <v>1235</v>
      </c>
      <c r="I1189" s="1259"/>
      <c r="J1189" s="1259"/>
      <c r="K1189" s="1257">
        <v>436000.0</v>
      </c>
    </row>
    <row r="1190">
      <c r="A1190" s="1253" t="s">
        <v>17226</v>
      </c>
      <c r="B1190" s="1254" t="s">
        <v>2939</v>
      </c>
      <c r="C1190" s="1255" t="s">
        <v>2939</v>
      </c>
      <c r="D1190" s="1255" t="s">
        <v>1240</v>
      </c>
      <c r="E1190" s="1255" t="s">
        <v>11578</v>
      </c>
      <c r="F1190" s="1255" t="s">
        <v>11591</v>
      </c>
      <c r="G1190" s="1254" t="s">
        <v>134</v>
      </c>
      <c r="H1190" s="1254" t="s">
        <v>1235</v>
      </c>
      <c r="I1190" s="1259"/>
      <c r="J1190" s="1259"/>
      <c r="K1190" s="1257">
        <v>436000.0</v>
      </c>
    </row>
    <row r="1191">
      <c r="A1191" s="1253" t="s">
        <v>17227</v>
      </c>
      <c r="B1191" s="1254" t="s">
        <v>2939</v>
      </c>
      <c r="C1191" s="1255" t="s">
        <v>2939</v>
      </c>
      <c r="D1191" s="1255" t="s">
        <v>1241</v>
      </c>
      <c r="E1191" s="1255" t="s">
        <v>11578</v>
      </c>
      <c r="F1191" s="1255" t="s">
        <v>11591</v>
      </c>
      <c r="G1191" s="1254" t="s">
        <v>202</v>
      </c>
      <c r="H1191" s="1254" t="s">
        <v>1235</v>
      </c>
      <c r="I1191" s="1258" t="s">
        <v>97</v>
      </c>
      <c r="J1191" s="1259"/>
      <c r="K1191" s="1257">
        <v>436000.0</v>
      </c>
    </row>
    <row r="1192">
      <c r="A1192" s="1253" t="s">
        <v>17228</v>
      </c>
      <c r="B1192" s="1254" t="s">
        <v>2939</v>
      </c>
      <c r="C1192" s="1255" t="s">
        <v>2939</v>
      </c>
      <c r="D1192" s="1255" t="s">
        <v>1242</v>
      </c>
      <c r="E1192" s="1255" t="s">
        <v>11578</v>
      </c>
      <c r="F1192" s="1255" t="s">
        <v>11591</v>
      </c>
      <c r="G1192" s="1254" t="s">
        <v>236</v>
      </c>
      <c r="H1192" s="1254" t="s">
        <v>1235</v>
      </c>
      <c r="I1192" s="1258" t="s">
        <v>97</v>
      </c>
      <c r="J1192" s="1259"/>
      <c r="K1192" s="1257">
        <v>436000.0</v>
      </c>
    </row>
    <row r="1193">
      <c r="A1193" s="1253" t="s">
        <v>17229</v>
      </c>
      <c r="B1193" s="1254" t="s">
        <v>17230</v>
      </c>
      <c r="C1193" s="1255" t="s">
        <v>17231</v>
      </c>
      <c r="D1193" s="1255" t="s">
        <v>1243</v>
      </c>
      <c r="E1193" s="1255" t="s">
        <v>11630</v>
      </c>
      <c r="F1193" s="1255" t="s">
        <v>11570</v>
      </c>
      <c r="G1193" s="1258" t="s">
        <v>22</v>
      </c>
      <c r="H1193" s="1258" t="s">
        <v>1244</v>
      </c>
      <c r="I1193" s="1258" t="s">
        <v>97</v>
      </c>
      <c r="J1193" s="1259"/>
      <c r="K1193" s="1257">
        <v>1048000.0</v>
      </c>
    </row>
    <row r="1194">
      <c r="A1194" s="1253" t="s">
        <v>17232</v>
      </c>
      <c r="B1194" s="1254" t="s">
        <v>17233</v>
      </c>
      <c r="C1194" s="1255" t="s">
        <v>2939</v>
      </c>
      <c r="D1194" s="1255" t="s">
        <v>1245</v>
      </c>
      <c r="E1194" s="1255" t="s">
        <v>11576</v>
      </c>
      <c r="F1194" s="1255" t="s">
        <v>11579</v>
      </c>
      <c r="G1194" s="1254" t="s">
        <v>41</v>
      </c>
      <c r="H1194" s="1254" t="s">
        <v>1244</v>
      </c>
      <c r="I1194" s="1258" t="s">
        <v>533</v>
      </c>
      <c r="J1194" s="1266">
        <v>329000.0</v>
      </c>
      <c r="K1194" s="1257">
        <v>637000.0</v>
      </c>
    </row>
    <row r="1195">
      <c r="A1195" s="1253" t="s">
        <v>17234</v>
      </c>
      <c r="B1195" s="1254" t="s">
        <v>17235</v>
      </c>
      <c r="C1195" s="1255" t="s">
        <v>2939</v>
      </c>
      <c r="D1195" s="1255" t="s">
        <v>1246</v>
      </c>
      <c r="E1195" s="1255" t="s">
        <v>11576</v>
      </c>
      <c r="F1195" s="1255" t="s">
        <v>11579</v>
      </c>
      <c r="G1195" s="1254" t="s">
        <v>41</v>
      </c>
      <c r="H1195" s="1254" t="s">
        <v>1244</v>
      </c>
      <c r="I1195" s="1258" t="s">
        <v>1377</v>
      </c>
      <c r="J1195" s="1266">
        <v>350000.0</v>
      </c>
      <c r="K1195" s="1257">
        <v>705000.0</v>
      </c>
    </row>
    <row r="1196">
      <c r="A1196" s="1253" t="s">
        <v>17236</v>
      </c>
      <c r="B1196" s="1254" t="s">
        <v>17237</v>
      </c>
      <c r="C1196" s="1255" t="s">
        <v>2939</v>
      </c>
      <c r="D1196" s="1255" t="s">
        <v>1247</v>
      </c>
      <c r="E1196" s="1255" t="s">
        <v>11576</v>
      </c>
      <c r="F1196" s="1255" t="s">
        <v>11579</v>
      </c>
      <c r="G1196" s="1254" t="s">
        <v>41</v>
      </c>
      <c r="H1196" s="1254" t="s">
        <v>1244</v>
      </c>
      <c r="I1196" s="1258" t="s">
        <v>97</v>
      </c>
      <c r="J1196" s="1266">
        <v>329000.0</v>
      </c>
      <c r="K1196" s="1257">
        <v>648000.0</v>
      </c>
    </row>
    <row r="1197">
      <c r="A1197" s="1253" t="s">
        <v>2939</v>
      </c>
      <c r="B1197" s="1254" t="s">
        <v>17238</v>
      </c>
      <c r="C1197" s="1255" t="s">
        <v>2939</v>
      </c>
      <c r="D1197" s="1260" t="s">
        <v>1939</v>
      </c>
      <c r="E1197" s="1255" t="s">
        <v>11569</v>
      </c>
      <c r="F1197" s="1255" t="s">
        <v>11591</v>
      </c>
      <c r="G1197" s="1254" t="s">
        <v>202</v>
      </c>
      <c r="H1197" s="1254" t="s">
        <v>1244</v>
      </c>
      <c r="I1197" s="1258" t="s">
        <v>97</v>
      </c>
      <c r="J1197" s="1259"/>
      <c r="K1197" s="1257">
        <v>648000.0</v>
      </c>
    </row>
    <row r="1198">
      <c r="A1198" s="1253" t="s">
        <v>2939</v>
      </c>
      <c r="B1198" s="1254" t="s">
        <v>17239</v>
      </c>
      <c r="C1198" s="1255" t="s">
        <v>2939</v>
      </c>
      <c r="D1198" s="1260" t="s">
        <v>1940</v>
      </c>
      <c r="E1198" s="1255" t="s">
        <v>11569</v>
      </c>
      <c r="F1198" s="1255" t="s">
        <v>11591</v>
      </c>
      <c r="G1198" s="1254" t="s">
        <v>236</v>
      </c>
      <c r="H1198" s="1254" t="s">
        <v>1244</v>
      </c>
      <c r="I1198" s="1258" t="s">
        <v>97</v>
      </c>
      <c r="J1198" s="1259"/>
      <c r="K1198" s="1257">
        <v>648000.0</v>
      </c>
    </row>
    <row r="1199">
      <c r="A1199" s="1253" t="s">
        <v>2939</v>
      </c>
      <c r="B1199" s="1254" t="s">
        <v>17240</v>
      </c>
      <c r="C1199" s="1255" t="s">
        <v>17241</v>
      </c>
      <c r="D1199" s="1255" t="s">
        <v>1941</v>
      </c>
      <c r="E1199" s="1255" t="s">
        <v>11654</v>
      </c>
      <c r="F1199" s="1255" t="s">
        <v>11570</v>
      </c>
      <c r="G1199" s="1254" t="s">
        <v>22</v>
      </c>
      <c r="H1199" s="1254" t="s">
        <v>1713</v>
      </c>
      <c r="I1199" s="1258" t="s">
        <v>97</v>
      </c>
      <c r="J1199" s="1259"/>
      <c r="K1199" s="1257">
        <v>960000.0</v>
      </c>
    </row>
    <row r="1200">
      <c r="A1200" s="1253" t="s">
        <v>2939</v>
      </c>
      <c r="B1200" s="1254" t="s">
        <v>17242</v>
      </c>
      <c r="C1200" s="1255" t="s">
        <v>17243</v>
      </c>
      <c r="D1200" s="1255" t="s">
        <v>1943</v>
      </c>
      <c r="E1200" s="1255" t="s">
        <v>11654</v>
      </c>
      <c r="F1200" s="1255" t="s">
        <v>11579</v>
      </c>
      <c r="G1200" s="1254" t="s">
        <v>41</v>
      </c>
      <c r="H1200" s="1254" t="s">
        <v>1713</v>
      </c>
      <c r="I1200" s="1258" t="s">
        <v>2193</v>
      </c>
      <c r="J1200" s="1259"/>
      <c r="K1200" s="1257">
        <v>752000.0</v>
      </c>
    </row>
    <row r="1201">
      <c r="A1201" s="1253" t="s">
        <v>2939</v>
      </c>
      <c r="B1201" s="1254" t="s">
        <v>17244</v>
      </c>
      <c r="C1201" s="1255" t="s">
        <v>2939</v>
      </c>
      <c r="D1201" s="1255" t="s">
        <v>1944</v>
      </c>
      <c r="E1201" s="1255" t="s">
        <v>11569</v>
      </c>
      <c r="F1201" s="1255" t="s">
        <v>11579</v>
      </c>
      <c r="G1201" s="1254" t="s">
        <v>41</v>
      </c>
      <c r="H1201" s="1254" t="s">
        <v>1713</v>
      </c>
      <c r="I1201" s="1258" t="s">
        <v>97</v>
      </c>
      <c r="J1201" s="1259"/>
      <c r="K1201" s="1257">
        <v>660000.0</v>
      </c>
    </row>
    <row r="1202">
      <c r="A1202" s="1253" t="s">
        <v>17245</v>
      </c>
      <c r="B1202" s="1254" t="s">
        <v>17246</v>
      </c>
      <c r="C1202" s="1255" t="s">
        <v>2939</v>
      </c>
      <c r="D1202" s="1255" t="s">
        <v>1248</v>
      </c>
      <c r="E1202" s="1255" t="s">
        <v>11576</v>
      </c>
      <c r="F1202" s="1255" t="s">
        <v>11570</v>
      </c>
      <c r="G1202" s="1254" t="s">
        <v>22</v>
      </c>
      <c r="H1202" s="1254" t="s">
        <v>1249</v>
      </c>
      <c r="I1202" s="1258" t="s">
        <v>125</v>
      </c>
      <c r="J1202" s="1259"/>
      <c r="K1202" s="1257">
        <v>1238000.0</v>
      </c>
    </row>
    <row r="1203">
      <c r="A1203" s="1253" t="s">
        <v>17247</v>
      </c>
      <c r="B1203" s="1254" t="s">
        <v>17248</v>
      </c>
      <c r="C1203" s="1255" t="s">
        <v>2939</v>
      </c>
      <c r="D1203" s="1255" t="s">
        <v>1250</v>
      </c>
      <c r="E1203" s="1255" t="s">
        <v>11576</v>
      </c>
      <c r="F1203" s="1255" t="s">
        <v>11579</v>
      </c>
      <c r="G1203" s="1254" t="s">
        <v>41</v>
      </c>
      <c r="H1203" s="1254" t="s">
        <v>1249</v>
      </c>
      <c r="I1203" s="1258" t="s">
        <v>2193</v>
      </c>
      <c r="J1203" s="1259"/>
      <c r="K1203" s="1257">
        <v>1033000.0</v>
      </c>
    </row>
    <row r="1204">
      <c r="A1204" s="1253" t="s">
        <v>17249</v>
      </c>
      <c r="B1204" s="1254" t="s">
        <v>17250</v>
      </c>
      <c r="C1204" s="1255" t="s">
        <v>17251</v>
      </c>
      <c r="D1204" s="1255" t="s">
        <v>1251</v>
      </c>
      <c r="E1204" s="1255" t="s">
        <v>11630</v>
      </c>
      <c r="F1204" s="1255" t="s">
        <v>11570</v>
      </c>
      <c r="G1204" s="1254" t="s">
        <v>22</v>
      </c>
      <c r="H1204" s="1254" t="s">
        <v>1252</v>
      </c>
      <c r="I1204" s="1258" t="s">
        <v>97</v>
      </c>
      <c r="J1204" s="1259"/>
      <c r="K1204" s="1257">
        <v>1400000.0</v>
      </c>
    </row>
    <row r="1205">
      <c r="A1205" s="1253" t="s">
        <v>2939</v>
      </c>
      <c r="B1205" s="1254" t="s">
        <v>17252</v>
      </c>
      <c r="C1205" s="1255" t="s">
        <v>2939</v>
      </c>
      <c r="D1205" s="1255" t="s">
        <v>1950</v>
      </c>
      <c r="E1205" s="1255" t="s">
        <v>11569</v>
      </c>
      <c r="F1205" s="1255" t="s">
        <v>11579</v>
      </c>
      <c r="G1205" s="1254" t="s">
        <v>41</v>
      </c>
      <c r="H1205" s="1254" t="s">
        <v>1252</v>
      </c>
      <c r="I1205" s="1258" t="s">
        <v>2193</v>
      </c>
      <c r="J1205" s="1259"/>
      <c r="K1205" s="1257">
        <v>1378000.0</v>
      </c>
    </row>
    <row r="1206">
      <c r="A1206" s="1253" t="s">
        <v>17253</v>
      </c>
      <c r="B1206" s="1254" t="s">
        <v>17254</v>
      </c>
      <c r="C1206" s="1255" t="s">
        <v>2939</v>
      </c>
      <c r="D1206" s="1255" t="s">
        <v>1253</v>
      </c>
      <c r="E1206" s="1255" t="s">
        <v>11576</v>
      </c>
      <c r="F1206" s="1255" t="s">
        <v>11570</v>
      </c>
      <c r="G1206" s="1254" t="s">
        <v>22</v>
      </c>
      <c r="H1206" s="1254" t="s">
        <v>1254</v>
      </c>
      <c r="I1206" s="1258" t="s">
        <v>97</v>
      </c>
      <c r="J1206" s="1259"/>
      <c r="K1206" s="1257">
        <v>1135000.0</v>
      </c>
    </row>
    <row r="1207">
      <c r="A1207" s="1253" t="s">
        <v>17255</v>
      </c>
      <c r="B1207" s="1254" t="s">
        <v>17256</v>
      </c>
      <c r="C1207" s="1255" t="s">
        <v>2939</v>
      </c>
      <c r="D1207" s="1255" t="s">
        <v>1255</v>
      </c>
      <c r="E1207" s="1255" t="s">
        <v>11576</v>
      </c>
      <c r="F1207" s="1255" t="s">
        <v>11579</v>
      </c>
      <c r="G1207" s="1254" t="s">
        <v>41</v>
      </c>
      <c r="H1207" s="1254" t="s">
        <v>1254</v>
      </c>
      <c r="I1207" s="1258" t="s">
        <v>2193</v>
      </c>
      <c r="J1207" s="1259"/>
      <c r="K1207" s="1257">
        <v>1880000.0</v>
      </c>
    </row>
    <row r="1208">
      <c r="A1208" s="1253" t="s">
        <v>17257</v>
      </c>
      <c r="B1208" s="1254" t="s">
        <v>17258</v>
      </c>
      <c r="C1208" s="1255" t="s">
        <v>2939</v>
      </c>
      <c r="D1208" s="1255" t="s">
        <v>1256</v>
      </c>
      <c r="E1208" s="1255" t="s">
        <v>11576</v>
      </c>
      <c r="F1208" s="1255" t="s">
        <v>11591</v>
      </c>
      <c r="G1208" s="1254" t="s">
        <v>132</v>
      </c>
      <c r="H1208" s="1254" t="s">
        <v>1254</v>
      </c>
      <c r="I1208" s="1259"/>
      <c r="J1208" s="1259"/>
      <c r="K1208" s="1257">
        <v>393000.0</v>
      </c>
    </row>
    <row r="1209">
      <c r="A1209" s="1253" t="s">
        <v>17259</v>
      </c>
      <c r="B1209" s="1254" t="s">
        <v>17260</v>
      </c>
      <c r="C1209" s="1255" t="s">
        <v>2939</v>
      </c>
      <c r="D1209" s="1255" t="s">
        <v>1257</v>
      </c>
      <c r="E1209" s="1255" t="s">
        <v>11576</v>
      </c>
      <c r="F1209" s="1255" t="s">
        <v>11591</v>
      </c>
      <c r="G1209" s="1254" t="s">
        <v>134</v>
      </c>
      <c r="H1209" s="1254" t="s">
        <v>1254</v>
      </c>
      <c r="I1209" s="1259"/>
      <c r="J1209" s="1259"/>
      <c r="K1209" s="1257">
        <v>393000.0</v>
      </c>
    </row>
    <row r="1210">
      <c r="A1210" s="1253" t="s">
        <v>2939</v>
      </c>
      <c r="B1210" s="1254" t="s">
        <v>17261</v>
      </c>
      <c r="C1210" s="1255" t="s">
        <v>17262</v>
      </c>
      <c r="D1210" s="1255" t="s">
        <v>1951</v>
      </c>
      <c r="E1210" s="1255" t="s">
        <v>11654</v>
      </c>
      <c r="F1210" s="1255" t="s">
        <v>11570</v>
      </c>
      <c r="G1210" s="1254" t="s">
        <v>22</v>
      </c>
      <c r="H1210" s="1254" t="s">
        <v>1259</v>
      </c>
      <c r="I1210" s="1258" t="s">
        <v>125</v>
      </c>
      <c r="J1210" s="1259"/>
      <c r="K1210" s="1257">
        <v>1105000.0</v>
      </c>
    </row>
    <row r="1211">
      <c r="A1211" s="1253" t="s">
        <v>17263</v>
      </c>
      <c r="B1211" s="1254" t="s">
        <v>17264</v>
      </c>
      <c r="C1211" s="1255" t="s">
        <v>2939</v>
      </c>
      <c r="D1211" s="1255" t="s">
        <v>1258</v>
      </c>
      <c r="E1211" s="1255" t="s">
        <v>11576</v>
      </c>
      <c r="F1211" s="1255" t="s">
        <v>11579</v>
      </c>
      <c r="G1211" s="1254" t="s">
        <v>41</v>
      </c>
      <c r="H1211" s="1254" t="s">
        <v>1259</v>
      </c>
      <c r="I1211" s="1258" t="s">
        <v>2193</v>
      </c>
      <c r="J1211" s="1266">
        <v>632000.0</v>
      </c>
      <c r="K1211" s="1257">
        <v>1206000.0</v>
      </c>
    </row>
    <row r="1212">
      <c r="A1212" s="1253" t="s">
        <v>2939</v>
      </c>
      <c r="B1212" s="1254" t="s">
        <v>17265</v>
      </c>
      <c r="C1212" s="1255" t="s">
        <v>2939</v>
      </c>
      <c r="D1212" s="1255" t="s">
        <v>1953</v>
      </c>
      <c r="E1212" s="1255" t="s">
        <v>11569</v>
      </c>
      <c r="F1212" s="1255" t="s">
        <v>11591</v>
      </c>
      <c r="G1212" s="1254" t="s">
        <v>128</v>
      </c>
      <c r="H1212" s="1254" t="s">
        <v>1259</v>
      </c>
      <c r="I1212" s="1259"/>
      <c r="J1212" s="1259"/>
      <c r="K1212" s="1257">
        <v>319000.0</v>
      </c>
    </row>
    <row r="1213">
      <c r="A1213" s="1253" t="s">
        <v>2939</v>
      </c>
      <c r="B1213" s="1254" t="s">
        <v>17266</v>
      </c>
      <c r="C1213" s="1255" t="s">
        <v>2939</v>
      </c>
      <c r="D1213" s="1255" t="s">
        <v>1954</v>
      </c>
      <c r="E1213" s="1255" t="s">
        <v>11569</v>
      </c>
      <c r="F1213" s="1255" t="s">
        <v>11591</v>
      </c>
      <c r="G1213" s="1254" t="s">
        <v>130</v>
      </c>
      <c r="H1213" s="1254" t="s">
        <v>1259</v>
      </c>
      <c r="I1213" s="1259"/>
      <c r="J1213" s="1259"/>
      <c r="K1213" s="1257">
        <v>319000.0</v>
      </c>
    </row>
    <row r="1214">
      <c r="A1214" s="1253" t="s">
        <v>17267</v>
      </c>
      <c r="B1214" s="1254" t="s">
        <v>17268</v>
      </c>
      <c r="C1214" s="1255" t="s">
        <v>2939</v>
      </c>
      <c r="D1214" s="1255" t="s">
        <v>1260</v>
      </c>
      <c r="E1214" s="1255" t="s">
        <v>11576</v>
      </c>
      <c r="F1214" s="1255" t="s">
        <v>11591</v>
      </c>
      <c r="G1214" s="1254" t="s">
        <v>132</v>
      </c>
      <c r="H1214" s="1254" t="s">
        <v>1259</v>
      </c>
      <c r="I1214" s="1259"/>
      <c r="J1214" s="1259"/>
      <c r="K1214" s="1257">
        <v>531000.0</v>
      </c>
    </row>
    <row r="1215">
      <c r="A1215" s="1253" t="s">
        <v>17269</v>
      </c>
      <c r="B1215" s="1254" t="s">
        <v>17270</v>
      </c>
      <c r="C1215" s="1255" t="s">
        <v>2939</v>
      </c>
      <c r="D1215" s="1255" t="s">
        <v>1261</v>
      </c>
      <c r="E1215" s="1255" t="s">
        <v>11576</v>
      </c>
      <c r="F1215" s="1255" t="s">
        <v>11591</v>
      </c>
      <c r="G1215" s="1254" t="s">
        <v>134</v>
      </c>
      <c r="H1215" s="1254" t="s">
        <v>1259</v>
      </c>
      <c r="I1215" s="1259"/>
      <c r="J1215" s="1259"/>
      <c r="K1215" s="1257">
        <v>531000.0</v>
      </c>
    </row>
    <row r="1216">
      <c r="A1216" s="1253" t="s">
        <v>17271</v>
      </c>
      <c r="B1216" s="1254" t="s">
        <v>17272</v>
      </c>
      <c r="C1216" s="1255" t="s">
        <v>17273</v>
      </c>
      <c r="D1216" s="1255" t="s">
        <v>1262</v>
      </c>
      <c r="E1216" s="1255" t="s">
        <v>11630</v>
      </c>
      <c r="F1216" s="1255" t="s">
        <v>11570</v>
      </c>
      <c r="G1216" s="1254" t="s">
        <v>22</v>
      </c>
      <c r="H1216" s="1254" t="s">
        <v>1263</v>
      </c>
      <c r="I1216" s="1258" t="s">
        <v>125</v>
      </c>
      <c r="J1216" s="1259"/>
      <c r="K1216" s="1257">
        <v>1133000.0</v>
      </c>
    </row>
    <row r="1217">
      <c r="A1217" s="1253" t="s">
        <v>17274</v>
      </c>
      <c r="B1217" s="1254" t="s">
        <v>2939</v>
      </c>
      <c r="C1217" s="1255" t="s">
        <v>2939</v>
      </c>
      <c r="D1217" s="1255" t="s">
        <v>1264</v>
      </c>
      <c r="E1217" s="1255" t="s">
        <v>11578</v>
      </c>
      <c r="F1217" s="1255" t="s">
        <v>11579</v>
      </c>
      <c r="G1217" s="1254" t="s">
        <v>41</v>
      </c>
      <c r="H1217" s="1262" t="s">
        <v>1263</v>
      </c>
      <c r="I1217" s="1258" t="s">
        <v>2062</v>
      </c>
      <c r="J1217" s="1259"/>
      <c r="K1217" s="1257">
        <v>1928000.0</v>
      </c>
    </row>
    <row r="1218">
      <c r="A1218" s="1253" t="s">
        <v>17275</v>
      </c>
      <c r="B1218" s="1254" t="s">
        <v>17276</v>
      </c>
      <c r="C1218" s="1255" t="s">
        <v>2939</v>
      </c>
      <c r="D1218" s="1255" t="s">
        <v>1265</v>
      </c>
      <c r="E1218" s="1255" t="s">
        <v>11576</v>
      </c>
      <c r="F1218" s="1255" t="s">
        <v>11579</v>
      </c>
      <c r="G1218" s="1254" t="s">
        <v>41</v>
      </c>
      <c r="H1218" s="1254" t="s">
        <v>1263</v>
      </c>
      <c r="I1218" s="1258" t="s">
        <v>2193</v>
      </c>
      <c r="J1218" s="1266">
        <v>689000.0</v>
      </c>
      <c r="K1218" s="1257">
        <v>1354000.0</v>
      </c>
    </row>
    <row r="1219">
      <c r="A1219" s="1253" t="s">
        <v>17277</v>
      </c>
      <c r="B1219" s="1254" t="s">
        <v>17278</v>
      </c>
      <c r="C1219" s="1255" t="s">
        <v>2939</v>
      </c>
      <c r="D1219" s="1255" t="s">
        <v>1266</v>
      </c>
      <c r="E1219" s="1255" t="s">
        <v>11578</v>
      </c>
      <c r="F1219" s="1255" t="s">
        <v>11591</v>
      </c>
      <c r="G1219" s="1254" t="s">
        <v>132</v>
      </c>
      <c r="H1219" s="1254" t="s">
        <v>1263</v>
      </c>
      <c r="I1219" s="1259"/>
      <c r="J1219" s="1259"/>
      <c r="K1219" s="1257">
        <v>440000.0</v>
      </c>
    </row>
    <row r="1220">
      <c r="A1220" s="1253" t="s">
        <v>17279</v>
      </c>
      <c r="B1220" s="1254" t="s">
        <v>17280</v>
      </c>
      <c r="C1220" s="1255" t="s">
        <v>2939</v>
      </c>
      <c r="D1220" s="1255" t="s">
        <v>1267</v>
      </c>
      <c r="E1220" s="1255" t="s">
        <v>11578</v>
      </c>
      <c r="F1220" s="1255" t="s">
        <v>11591</v>
      </c>
      <c r="G1220" s="1254" t="s">
        <v>134</v>
      </c>
      <c r="H1220" s="1254" t="s">
        <v>1263</v>
      </c>
      <c r="I1220" s="1259"/>
      <c r="J1220" s="1259"/>
      <c r="K1220" s="1257">
        <v>440000.0</v>
      </c>
    </row>
    <row r="1221">
      <c r="A1221" s="1253" t="s">
        <v>17281</v>
      </c>
      <c r="B1221" s="1254" t="s">
        <v>17282</v>
      </c>
      <c r="C1221" s="1255" t="s">
        <v>2939</v>
      </c>
      <c r="D1221" s="1255" t="s">
        <v>1268</v>
      </c>
      <c r="E1221" s="1255" t="s">
        <v>11576</v>
      </c>
      <c r="F1221" s="1255" t="s">
        <v>11591</v>
      </c>
      <c r="G1221" s="1254" t="s">
        <v>387</v>
      </c>
      <c r="H1221" s="1254" t="s">
        <v>1263</v>
      </c>
      <c r="I1221" s="1259"/>
      <c r="J1221" s="1259"/>
      <c r="K1221" s="1257">
        <v>175000.0</v>
      </c>
    </row>
    <row r="1222">
      <c r="A1222" s="1253" t="s">
        <v>2939</v>
      </c>
      <c r="B1222" s="1254" t="s">
        <v>17283</v>
      </c>
      <c r="C1222" s="1255" t="s">
        <v>2939</v>
      </c>
      <c r="D1222" s="1255" t="s">
        <v>1955</v>
      </c>
      <c r="E1222" s="1255" t="s">
        <v>11569</v>
      </c>
      <c r="F1222" s="1255" t="s">
        <v>11591</v>
      </c>
      <c r="G1222" s="1254" t="s">
        <v>389</v>
      </c>
      <c r="H1222" s="1254" t="s">
        <v>1263</v>
      </c>
      <c r="I1222" s="1259"/>
      <c r="J1222" s="1259"/>
      <c r="K1222" s="1257">
        <v>175000.0</v>
      </c>
    </row>
    <row r="1223">
      <c r="A1223" s="1253" t="s">
        <v>2939</v>
      </c>
      <c r="B1223" s="1254" t="s">
        <v>17284</v>
      </c>
      <c r="C1223" s="1255" t="s">
        <v>2939</v>
      </c>
      <c r="D1223" s="1255" t="s">
        <v>2038</v>
      </c>
      <c r="E1223" s="1255" t="s">
        <v>11569</v>
      </c>
      <c r="F1223" s="1255" t="s">
        <v>11579</v>
      </c>
      <c r="G1223" s="1254" t="s">
        <v>41</v>
      </c>
      <c r="H1223" s="1254" t="s">
        <v>2039</v>
      </c>
      <c r="I1223" s="1258" t="s">
        <v>97</v>
      </c>
      <c r="J1223" s="1266">
        <v>531000.0</v>
      </c>
      <c r="K1223" s="1257">
        <v>1042000.0</v>
      </c>
    </row>
    <row r="1224">
      <c r="A1224" s="1253" t="s">
        <v>2939</v>
      </c>
      <c r="B1224" s="1254" t="s">
        <v>17285</v>
      </c>
      <c r="C1224" s="1255" t="s">
        <v>2939</v>
      </c>
      <c r="D1224" s="1255" t="s">
        <v>1957</v>
      </c>
      <c r="E1224" s="1255" t="s">
        <v>11569</v>
      </c>
      <c r="F1224" s="1255" t="s">
        <v>11579</v>
      </c>
      <c r="G1224" s="1254" t="s">
        <v>41</v>
      </c>
      <c r="H1224" s="1254" t="s">
        <v>1958</v>
      </c>
      <c r="I1224" s="1258" t="s">
        <v>2193</v>
      </c>
      <c r="J1224" s="1266">
        <v>663000.0</v>
      </c>
      <c r="K1224" s="1257">
        <v>1354000.0</v>
      </c>
    </row>
    <row r="1225">
      <c r="A1225" s="1253" t="s">
        <v>17286</v>
      </c>
      <c r="B1225" s="1254" t="s">
        <v>17287</v>
      </c>
      <c r="C1225" s="1255" t="s">
        <v>2939</v>
      </c>
      <c r="D1225" s="1255" t="s">
        <v>1269</v>
      </c>
      <c r="E1225" s="1255" t="s">
        <v>11576</v>
      </c>
      <c r="F1225" s="1255" t="s">
        <v>11570</v>
      </c>
      <c r="G1225" s="1254" t="s">
        <v>22</v>
      </c>
      <c r="H1225" s="1254" t="s">
        <v>12048</v>
      </c>
      <c r="I1225" s="1258" t="s">
        <v>125</v>
      </c>
      <c r="J1225" s="1259"/>
      <c r="K1225" s="1257">
        <v>3326000.0</v>
      </c>
    </row>
    <row r="1226">
      <c r="A1226" s="1253" t="s">
        <v>17288</v>
      </c>
      <c r="B1226" s="1254" t="s">
        <v>17289</v>
      </c>
      <c r="C1226" s="1255" t="s">
        <v>2939</v>
      </c>
      <c r="D1226" s="1255" t="s">
        <v>1271</v>
      </c>
      <c r="E1226" s="1255" t="s">
        <v>11576</v>
      </c>
      <c r="F1226" s="1255" t="s">
        <v>11579</v>
      </c>
      <c r="G1226" s="1254" t="s">
        <v>41</v>
      </c>
      <c r="H1226" s="1254" t="s">
        <v>12049</v>
      </c>
      <c r="I1226" s="1258" t="s">
        <v>1377</v>
      </c>
      <c r="J1226" s="1259"/>
      <c r="K1226" s="1257">
        <v>2767000.0</v>
      </c>
    </row>
    <row r="1227">
      <c r="A1227" s="1253" t="s">
        <v>2939</v>
      </c>
      <c r="B1227" s="1254" t="s">
        <v>17290</v>
      </c>
      <c r="C1227" s="1255" t="s">
        <v>2939</v>
      </c>
      <c r="D1227" s="1255" t="s">
        <v>2211</v>
      </c>
      <c r="E1227" s="1255" t="s">
        <v>11569</v>
      </c>
      <c r="F1227" s="1255" t="s">
        <v>11570</v>
      </c>
      <c r="G1227" s="1258" t="s">
        <v>22</v>
      </c>
      <c r="H1227" s="1254" t="s">
        <v>2212</v>
      </c>
      <c r="I1227" s="1254" t="s">
        <v>75</v>
      </c>
      <c r="J1227" s="1256"/>
      <c r="K1227" s="1257">
        <v>3600000.0</v>
      </c>
    </row>
    <row r="1228">
      <c r="A1228" s="1253" t="s">
        <v>2939</v>
      </c>
      <c r="B1228" s="1254" t="s">
        <v>17291</v>
      </c>
      <c r="C1228" s="1255" t="s">
        <v>2939</v>
      </c>
      <c r="D1228" s="1255" t="s">
        <v>2209</v>
      </c>
      <c r="E1228" s="1255" t="s">
        <v>11569</v>
      </c>
      <c r="F1228" s="1260" t="s">
        <v>11579</v>
      </c>
      <c r="G1228" s="1258" t="s">
        <v>41</v>
      </c>
      <c r="H1228" s="1254" t="s">
        <v>2210</v>
      </c>
      <c r="I1228" s="1258" t="s">
        <v>2193</v>
      </c>
      <c r="J1228" s="1259"/>
      <c r="K1228" s="1257">
        <v>2900000.0</v>
      </c>
    </row>
    <row r="1229">
      <c r="A1229" s="1253" t="s">
        <v>17292</v>
      </c>
      <c r="B1229" s="1254" t="s">
        <v>17293</v>
      </c>
      <c r="C1229" s="1255" t="s">
        <v>2939</v>
      </c>
      <c r="D1229" s="1255" t="s">
        <v>1273</v>
      </c>
      <c r="E1229" s="1255" t="s">
        <v>11576</v>
      </c>
      <c r="F1229" s="1255" t="s">
        <v>11570</v>
      </c>
      <c r="G1229" s="1254" t="s">
        <v>22</v>
      </c>
      <c r="H1229" s="1254" t="s">
        <v>1274</v>
      </c>
      <c r="I1229" s="1258" t="s">
        <v>125</v>
      </c>
      <c r="J1229" s="1259"/>
      <c r="K1229" s="1257">
        <v>2801000.0</v>
      </c>
    </row>
    <row r="1230">
      <c r="A1230" s="1253" t="s">
        <v>17294</v>
      </c>
      <c r="B1230" s="1254" t="s">
        <v>17295</v>
      </c>
      <c r="C1230" s="1255" t="s">
        <v>2939</v>
      </c>
      <c r="D1230" s="1255" t="s">
        <v>1275</v>
      </c>
      <c r="E1230" s="1255" t="s">
        <v>11576</v>
      </c>
      <c r="F1230" s="1255" t="s">
        <v>11579</v>
      </c>
      <c r="G1230" s="1254" t="s">
        <v>41</v>
      </c>
      <c r="H1230" s="1254" t="s">
        <v>1274</v>
      </c>
      <c r="I1230" s="1258" t="s">
        <v>1377</v>
      </c>
      <c r="J1230" s="1259"/>
      <c r="K1230" s="1257">
        <v>2650000.0</v>
      </c>
    </row>
    <row r="1231">
      <c r="A1231" s="1253" t="s">
        <v>17296</v>
      </c>
      <c r="B1231" s="1254" t="s">
        <v>17297</v>
      </c>
      <c r="C1231" s="1255" t="s">
        <v>17298</v>
      </c>
      <c r="D1231" s="1255" t="s">
        <v>1276</v>
      </c>
      <c r="E1231" s="1255" t="s">
        <v>11630</v>
      </c>
      <c r="F1231" s="1255" t="s">
        <v>11570</v>
      </c>
      <c r="G1231" s="1254" t="s">
        <v>22</v>
      </c>
      <c r="H1231" s="1254" t="s">
        <v>1277</v>
      </c>
      <c r="I1231" s="1258" t="s">
        <v>125</v>
      </c>
      <c r="J1231" s="1259"/>
      <c r="K1231" s="1257">
        <v>1199000.0</v>
      </c>
    </row>
    <row r="1232">
      <c r="A1232" s="1253" t="s">
        <v>17299</v>
      </c>
      <c r="B1232" s="1254" t="s">
        <v>17300</v>
      </c>
      <c r="C1232" s="1255" t="s">
        <v>2939</v>
      </c>
      <c r="D1232" s="1255" t="s">
        <v>1278</v>
      </c>
      <c r="E1232" s="1255" t="s">
        <v>11576</v>
      </c>
      <c r="F1232" s="1255" t="s">
        <v>11579</v>
      </c>
      <c r="G1232" s="1254" t="s">
        <v>41</v>
      </c>
      <c r="H1232" s="1254" t="s">
        <v>1277</v>
      </c>
      <c r="I1232" s="1258" t="s">
        <v>2193</v>
      </c>
      <c r="J1232" s="1266">
        <v>409000.0</v>
      </c>
      <c r="K1232" s="1257">
        <v>938000.0</v>
      </c>
    </row>
    <row r="1233">
      <c r="A1233" s="1253" t="s">
        <v>17301</v>
      </c>
      <c r="B1233" s="1254" t="s">
        <v>17302</v>
      </c>
      <c r="C1233" s="1255" t="s">
        <v>17303</v>
      </c>
      <c r="D1233" s="1255" t="s">
        <v>1279</v>
      </c>
      <c r="E1233" s="1255" t="s">
        <v>11630</v>
      </c>
      <c r="F1233" s="1255" t="s">
        <v>11570</v>
      </c>
      <c r="G1233" s="1254" t="s">
        <v>22</v>
      </c>
      <c r="H1233" s="1254" t="s">
        <v>1280</v>
      </c>
      <c r="I1233" s="1258" t="s">
        <v>125</v>
      </c>
      <c r="J1233" s="1259"/>
      <c r="K1233" s="1257">
        <v>1319000.0</v>
      </c>
    </row>
    <row r="1234">
      <c r="A1234" s="1253" t="s">
        <v>2939</v>
      </c>
      <c r="B1234" s="1254" t="s">
        <v>17304</v>
      </c>
      <c r="C1234" s="1255" t="s">
        <v>2939</v>
      </c>
      <c r="D1234" s="1255" t="s">
        <v>1457</v>
      </c>
      <c r="E1234" s="1255" t="s">
        <v>11569</v>
      </c>
      <c r="F1234" s="1255" t="s">
        <v>11579</v>
      </c>
      <c r="G1234" s="1254" t="s">
        <v>41</v>
      </c>
      <c r="H1234" s="1254" t="s">
        <v>1458</v>
      </c>
      <c r="I1234" s="1258" t="s">
        <v>2193</v>
      </c>
      <c r="J1234" s="1266">
        <v>595000.0</v>
      </c>
      <c r="K1234" s="1257">
        <v>1103000.0</v>
      </c>
    </row>
    <row r="1235">
      <c r="A1235" s="1253" t="s">
        <v>2939</v>
      </c>
      <c r="B1235" s="1254" t="s">
        <v>17305</v>
      </c>
      <c r="C1235" s="1255" t="s">
        <v>2939</v>
      </c>
      <c r="D1235" s="1255" t="s">
        <v>1693</v>
      </c>
      <c r="E1235" s="1255" t="s">
        <v>11569</v>
      </c>
      <c r="F1235" s="1255" t="s">
        <v>11579</v>
      </c>
      <c r="G1235" s="1254" t="s">
        <v>41</v>
      </c>
      <c r="H1235" s="1254" t="s">
        <v>1694</v>
      </c>
      <c r="I1235" s="1258" t="s">
        <v>2193</v>
      </c>
      <c r="J1235" s="1259"/>
      <c r="K1235" s="1257">
        <v>1272000.0</v>
      </c>
    </row>
    <row r="1236">
      <c r="A1236" s="1250" t="s">
        <v>12052</v>
      </c>
      <c r="B1236" s="1251" t="s">
        <v>12052</v>
      </c>
      <c r="C1236" s="1252"/>
      <c r="D1236" s="1252"/>
      <c r="E1236" s="1252"/>
      <c r="F1236" s="1252"/>
      <c r="G1236" s="1252"/>
      <c r="H1236" s="1251" t="s">
        <v>12052</v>
      </c>
      <c r="I1236" s="1252"/>
      <c r="J1236" s="1252"/>
      <c r="K1236" s="1252"/>
    </row>
    <row r="1237">
      <c r="A1237" s="1253" t="s">
        <v>2939</v>
      </c>
      <c r="B1237" s="1254" t="s">
        <v>17306</v>
      </c>
      <c r="C1237" s="1255" t="s">
        <v>2939</v>
      </c>
      <c r="D1237" s="1255" t="s">
        <v>12053</v>
      </c>
      <c r="E1237" s="1255" t="s">
        <v>11569</v>
      </c>
      <c r="F1237" s="1260" t="s">
        <v>11570</v>
      </c>
      <c r="G1237" s="1254" t="s">
        <v>22</v>
      </c>
      <c r="H1237" s="1254" t="s">
        <v>12054</v>
      </c>
      <c r="I1237" s="1254" t="s">
        <v>125</v>
      </c>
      <c r="J1237" s="1256"/>
      <c r="K1237" s="1257">
        <v>2600000.0</v>
      </c>
    </row>
    <row r="1238">
      <c r="A1238" s="1253" t="s">
        <v>17307</v>
      </c>
      <c r="B1238" s="1254" t="s">
        <v>17308</v>
      </c>
      <c r="C1238" s="1255" t="s">
        <v>2939</v>
      </c>
      <c r="D1238" s="1255" t="s">
        <v>1281</v>
      </c>
      <c r="E1238" s="1255" t="s">
        <v>11576</v>
      </c>
      <c r="F1238" s="1255" t="s">
        <v>11570</v>
      </c>
      <c r="G1238" s="1254" t="s">
        <v>22</v>
      </c>
      <c r="H1238" s="1254" t="s">
        <v>1282</v>
      </c>
      <c r="I1238" s="1258" t="s">
        <v>125</v>
      </c>
      <c r="J1238" s="1259"/>
      <c r="K1238" s="1257">
        <v>4927000.0</v>
      </c>
    </row>
    <row r="1239">
      <c r="A1239" s="1253" t="s">
        <v>17309</v>
      </c>
      <c r="B1239" s="1254" t="s">
        <v>17310</v>
      </c>
      <c r="C1239" s="1255" t="s">
        <v>2939</v>
      </c>
      <c r="D1239" s="1255" t="s">
        <v>1283</v>
      </c>
      <c r="E1239" s="1255" t="s">
        <v>11576</v>
      </c>
      <c r="F1239" s="1255" t="s">
        <v>11579</v>
      </c>
      <c r="G1239" s="1254" t="s">
        <v>41</v>
      </c>
      <c r="H1239" s="1254" t="s">
        <v>1282</v>
      </c>
      <c r="I1239" s="1258" t="s">
        <v>1377</v>
      </c>
      <c r="J1239" s="1259"/>
      <c r="K1239" s="1257">
        <v>4776000.0</v>
      </c>
    </row>
    <row r="1240">
      <c r="A1240" s="1253" t="s">
        <v>2939</v>
      </c>
      <c r="B1240" s="1254" t="s">
        <v>17311</v>
      </c>
      <c r="C1240" s="1255" t="s">
        <v>2939</v>
      </c>
      <c r="D1240" s="1255" t="s">
        <v>12055</v>
      </c>
      <c r="E1240" s="1255" t="s">
        <v>11569</v>
      </c>
      <c r="F1240" s="1255" t="s">
        <v>11579</v>
      </c>
      <c r="G1240" s="1258" t="s">
        <v>41</v>
      </c>
      <c r="H1240" s="1254" t="s">
        <v>12056</v>
      </c>
      <c r="I1240" s="1258" t="s">
        <v>1377</v>
      </c>
      <c r="J1240" s="1259"/>
      <c r="K1240" s="1257">
        <v>4800000.0</v>
      </c>
    </row>
    <row r="1241">
      <c r="A1241" s="1253" t="s">
        <v>17312</v>
      </c>
      <c r="B1241" s="1254" t="s">
        <v>2939</v>
      </c>
      <c r="C1241" s="1255" t="s">
        <v>2939</v>
      </c>
      <c r="D1241" s="1255" t="s">
        <v>1284</v>
      </c>
      <c r="E1241" s="1255" t="s">
        <v>11578</v>
      </c>
      <c r="F1241" s="1255" t="s">
        <v>11579</v>
      </c>
      <c r="G1241" s="1254" t="s">
        <v>41</v>
      </c>
      <c r="H1241" s="1254" t="s">
        <v>1285</v>
      </c>
      <c r="I1241" s="1258" t="s">
        <v>11773</v>
      </c>
      <c r="J1241" s="1259"/>
      <c r="K1241" s="1257">
        <v>4121000.0</v>
      </c>
    </row>
    <row r="1242">
      <c r="A1242" s="1253" t="s">
        <v>17313</v>
      </c>
      <c r="B1242" s="1254" t="s">
        <v>17314</v>
      </c>
      <c r="C1242" s="1255" t="s">
        <v>2939</v>
      </c>
      <c r="D1242" s="1255" t="s">
        <v>1286</v>
      </c>
      <c r="E1242" s="1255" t="s">
        <v>11576</v>
      </c>
      <c r="F1242" s="1255" t="s">
        <v>11570</v>
      </c>
      <c r="G1242" s="1254" t="s">
        <v>22</v>
      </c>
      <c r="H1242" s="1254" t="s">
        <v>12057</v>
      </c>
      <c r="I1242" s="1258" t="s">
        <v>112</v>
      </c>
      <c r="J1242" s="1259"/>
      <c r="K1242" s="1257">
        <v>6383000.0</v>
      </c>
    </row>
    <row r="1243">
      <c r="A1243" s="1253" t="s">
        <v>17315</v>
      </c>
      <c r="B1243" s="1254" t="s">
        <v>17316</v>
      </c>
      <c r="C1243" s="1255" t="s">
        <v>2939</v>
      </c>
      <c r="D1243" s="1255" t="s">
        <v>1288</v>
      </c>
      <c r="E1243" s="1255" t="s">
        <v>11576</v>
      </c>
      <c r="F1243" s="1255" t="s">
        <v>11579</v>
      </c>
      <c r="G1243" s="1254" t="s">
        <v>41</v>
      </c>
      <c r="H1243" s="1254" t="s">
        <v>1287</v>
      </c>
      <c r="I1243" s="1258" t="s">
        <v>11773</v>
      </c>
      <c r="J1243" s="1259"/>
      <c r="K1243" s="1257">
        <v>3412000.0</v>
      </c>
    </row>
    <row r="1244">
      <c r="A1244" s="1253" t="s">
        <v>17317</v>
      </c>
      <c r="B1244" s="1254" t="s">
        <v>17318</v>
      </c>
      <c r="C1244" s="1255" t="s">
        <v>2939</v>
      </c>
      <c r="D1244" s="1255" t="s">
        <v>1289</v>
      </c>
      <c r="E1244" s="1255" t="s">
        <v>11578</v>
      </c>
      <c r="F1244" s="1255" t="s">
        <v>11570</v>
      </c>
      <c r="G1244" s="1254" t="s">
        <v>22</v>
      </c>
      <c r="H1244" s="1254" t="s">
        <v>1290</v>
      </c>
      <c r="I1244" s="1258" t="s">
        <v>112</v>
      </c>
      <c r="J1244" s="1259"/>
      <c r="K1244" s="1257">
        <v>5880000.0</v>
      </c>
    </row>
    <row r="1245">
      <c r="A1245" s="1253" t="s">
        <v>17319</v>
      </c>
      <c r="B1245" s="1254" t="s">
        <v>2939</v>
      </c>
      <c r="C1245" s="1255" t="s">
        <v>2939</v>
      </c>
      <c r="D1245" s="1255" t="s">
        <v>1291</v>
      </c>
      <c r="E1245" s="1255" t="s">
        <v>11578</v>
      </c>
      <c r="F1245" s="1255" t="s">
        <v>11570</v>
      </c>
      <c r="G1245" s="1254" t="s">
        <v>22</v>
      </c>
      <c r="H1245" s="1254" t="s">
        <v>17320</v>
      </c>
      <c r="I1245" s="1258" t="s">
        <v>112</v>
      </c>
      <c r="J1245" s="1259"/>
      <c r="K1245" s="1257">
        <v>5297000.0</v>
      </c>
    </row>
    <row r="1246">
      <c r="A1246" s="1253" t="s">
        <v>17321</v>
      </c>
      <c r="B1246" s="1254" t="s">
        <v>17322</v>
      </c>
      <c r="C1246" s="1255" t="s">
        <v>2939</v>
      </c>
      <c r="D1246" s="1255" t="s">
        <v>1293</v>
      </c>
      <c r="E1246" s="1255" t="s">
        <v>11576</v>
      </c>
      <c r="F1246" s="1255" t="s">
        <v>11570</v>
      </c>
      <c r="G1246" s="1254" t="s">
        <v>22</v>
      </c>
      <c r="H1246" s="1254" t="s">
        <v>1294</v>
      </c>
      <c r="I1246" s="1258" t="s">
        <v>112</v>
      </c>
      <c r="J1246" s="1259"/>
      <c r="K1246" s="1257">
        <v>4927000.0</v>
      </c>
    </row>
    <row r="1247">
      <c r="A1247" s="1253" t="s">
        <v>17323</v>
      </c>
      <c r="B1247" s="1254" t="s">
        <v>17324</v>
      </c>
      <c r="C1247" s="1255" t="s">
        <v>2939</v>
      </c>
      <c r="D1247" s="1255" t="s">
        <v>1295</v>
      </c>
      <c r="E1247" s="1255" t="s">
        <v>11576</v>
      </c>
      <c r="F1247" s="1255" t="s">
        <v>11570</v>
      </c>
      <c r="G1247" s="1254" t="s">
        <v>22</v>
      </c>
      <c r="H1247" s="1254" t="s">
        <v>1296</v>
      </c>
      <c r="I1247" s="1258" t="s">
        <v>737</v>
      </c>
      <c r="J1247" s="1259"/>
      <c r="K1247" s="1257">
        <v>4480000.0</v>
      </c>
    </row>
    <row r="1248">
      <c r="A1248" s="1253" t="s">
        <v>17325</v>
      </c>
      <c r="B1248" s="1254" t="s">
        <v>2939</v>
      </c>
      <c r="C1248" s="1255" t="s">
        <v>2939</v>
      </c>
      <c r="D1248" s="1255" t="s">
        <v>1297</v>
      </c>
      <c r="E1248" s="1255" t="s">
        <v>11578</v>
      </c>
      <c r="F1248" s="1255" t="s">
        <v>11579</v>
      </c>
      <c r="G1248" s="1254" t="s">
        <v>41</v>
      </c>
      <c r="H1248" s="1254" t="s">
        <v>1296</v>
      </c>
      <c r="I1248" s="1258" t="s">
        <v>11773</v>
      </c>
      <c r="J1248" s="1259"/>
      <c r="K1248" s="1257">
        <v>4015000.0</v>
      </c>
    </row>
    <row r="1249">
      <c r="A1249" s="1253" t="s">
        <v>17326</v>
      </c>
      <c r="B1249" s="1254" t="s">
        <v>17327</v>
      </c>
      <c r="C1249" s="1255" t="s">
        <v>2939</v>
      </c>
      <c r="D1249" s="1255" t="s">
        <v>1298</v>
      </c>
      <c r="E1249" s="1255" t="s">
        <v>11576</v>
      </c>
      <c r="F1249" s="1255" t="s">
        <v>11570</v>
      </c>
      <c r="G1249" s="1254" t="s">
        <v>22</v>
      </c>
      <c r="H1249" s="1254" t="s">
        <v>1299</v>
      </c>
      <c r="I1249" s="1258" t="s">
        <v>189</v>
      </c>
      <c r="J1249" s="1259"/>
      <c r="K1249" s="1257">
        <v>4144000.0</v>
      </c>
    </row>
    <row r="1250">
      <c r="A1250" s="1253" t="s">
        <v>2939</v>
      </c>
      <c r="B1250" s="1254" t="s">
        <v>17328</v>
      </c>
      <c r="C1250" s="1255" t="s">
        <v>2939</v>
      </c>
      <c r="D1250" s="1255" t="s">
        <v>1967</v>
      </c>
      <c r="E1250" s="1255" t="s">
        <v>11569</v>
      </c>
      <c r="F1250" s="1255" t="s">
        <v>11579</v>
      </c>
      <c r="G1250" s="1254" t="s">
        <v>41</v>
      </c>
      <c r="H1250" s="1254" t="s">
        <v>1299</v>
      </c>
      <c r="I1250" s="1254" t="s">
        <v>1377</v>
      </c>
      <c r="J1250" s="1256"/>
      <c r="K1250" s="1257">
        <v>4003000.0</v>
      </c>
    </row>
    <row r="1251">
      <c r="A1251" s="1253" t="s">
        <v>17329</v>
      </c>
      <c r="B1251" s="1254" t="s">
        <v>17330</v>
      </c>
      <c r="C1251" s="1255" t="s">
        <v>2939</v>
      </c>
      <c r="D1251" s="1255" t="s">
        <v>1300</v>
      </c>
      <c r="E1251" s="1255" t="s">
        <v>11576</v>
      </c>
      <c r="F1251" s="1255" t="s">
        <v>11570</v>
      </c>
      <c r="G1251" s="1254" t="s">
        <v>22</v>
      </c>
      <c r="H1251" s="1254" t="s">
        <v>1301</v>
      </c>
      <c r="I1251" s="1258" t="s">
        <v>112</v>
      </c>
      <c r="J1251" s="1259"/>
      <c r="K1251" s="1257">
        <v>7200000.0</v>
      </c>
    </row>
    <row r="1252">
      <c r="A1252" s="1253" t="s">
        <v>2939</v>
      </c>
      <c r="B1252" s="1254" t="s">
        <v>17331</v>
      </c>
      <c r="C1252" s="1255" t="s">
        <v>2939</v>
      </c>
      <c r="D1252" s="1260" t="s">
        <v>1968</v>
      </c>
      <c r="E1252" s="1255" t="s">
        <v>11569</v>
      </c>
      <c r="F1252" s="1255" t="s">
        <v>11579</v>
      </c>
      <c r="G1252" s="1254" t="s">
        <v>41</v>
      </c>
      <c r="H1252" s="1254" t="s">
        <v>1301</v>
      </c>
      <c r="I1252" s="1258" t="s">
        <v>1377</v>
      </c>
      <c r="J1252" s="1259"/>
      <c r="K1252" s="1257">
        <v>5994000.0</v>
      </c>
    </row>
    <row r="1253">
      <c r="A1253" s="1253" t="s">
        <v>2939</v>
      </c>
      <c r="B1253" s="1254" t="s">
        <v>17332</v>
      </c>
      <c r="C1253" s="1255" t="s">
        <v>2939</v>
      </c>
      <c r="D1253" s="1260" t="s">
        <v>1969</v>
      </c>
      <c r="E1253" s="1260" t="s">
        <v>11569</v>
      </c>
      <c r="F1253" s="1260" t="s">
        <v>11570</v>
      </c>
      <c r="G1253" s="1254" t="s">
        <v>22</v>
      </c>
      <c r="H1253" s="1254" t="s">
        <v>1970</v>
      </c>
      <c r="I1253" s="1254" t="s">
        <v>112</v>
      </c>
      <c r="J1253" s="1256"/>
      <c r="K1253" s="1257">
        <v>7200000.0</v>
      </c>
    </row>
    <row r="1254">
      <c r="A1254" s="1253" t="s">
        <v>2939</v>
      </c>
      <c r="B1254" s="1254" t="s">
        <v>17333</v>
      </c>
      <c r="C1254" s="1255" t="s">
        <v>2939</v>
      </c>
      <c r="D1254" s="1260" t="s">
        <v>1971</v>
      </c>
      <c r="E1254" s="1255" t="s">
        <v>11569</v>
      </c>
      <c r="F1254" s="1255" t="s">
        <v>11579</v>
      </c>
      <c r="G1254" s="1254" t="s">
        <v>41</v>
      </c>
      <c r="H1254" s="1254" t="s">
        <v>1970</v>
      </c>
      <c r="I1254" s="1258" t="s">
        <v>1377</v>
      </c>
      <c r="J1254" s="1259"/>
      <c r="K1254" s="1257">
        <v>5940000.0</v>
      </c>
    </row>
    <row r="1255">
      <c r="A1255" s="1250" t="s">
        <v>12059</v>
      </c>
      <c r="B1255" s="1251" t="s">
        <v>12059</v>
      </c>
      <c r="C1255" s="1252"/>
      <c r="D1255" s="1252"/>
      <c r="E1255" s="1252"/>
      <c r="F1255" s="1252"/>
      <c r="G1255" s="1252"/>
      <c r="H1255" s="1251" t="s">
        <v>12059</v>
      </c>
      <c r="I1255" s="1252"/>
      <c r="J1255" s="1252"/>
      <c r="K1255" s="1252"/>
    </row>
    <row r="1256">
      <c r="A1256" s="1253" t="s">
        <v>2939</v>
      </c>
      <c r="B1256" s="1254" t="s">
        <v>17334</v>
      </c>
      <c r="C1256" s="1255" t="s">
        <v>2939</v>
      </c>
      <c r="D1256" s="1260" t="s">
        <v>2153</v>
      </c>
      <c r="E1256" s="1255" t="s">
        <v>11569</v>
      </c>
      <c r="F1256" s="1255" t="s">
        <v>11570</v>
      </c>
      <c r="G1256" s="1254" t="s">
        <v>22</v>
      </c>
      <c r="H1256" s="1254" t="s">
        <v>2154</v>
      </c>
      <c r="I1256" s="1258" t="s">
        <v>75</v>
      </c>
      <c r="J1256" s="1259"/>
      <c r="K1256" s="1257">
        <v>2700000.0</v>
      </c>
    </row>
    <row r="1257">
      <c r="A1257" s="1253" t="s">
        <v>2939</v>
      </c>
      <c r="B1257" s="1254" t="s">
        <v>17335</v>
      </c>
      <c r="C1257" s="1255" t="s">
        <v>2939</v>
      </c>
      <c r="D1257" s="1255" t="s">
        <v>2130</v>
      </c>
      <c r="E1257" s="1255" t="s">
        <v>11569</v>
      </c>
      <c r="F1257" s="1255" t="s">
        <v>11570</v>
      </c>
      <c r="G1257" s="1254" t="s">
        <v>22</v>
      </c>
      <c r="H1257" s="1254" t="s">
        <v>1976</v>
      </c>
      <c r="I1257" s="1258" t="s">
        <v>125</v>
      </c>
      <c r="J1257" s="1259"/>
      <c r="K1257" s="1257">
        <v>1848000.0</v>
      </c>
    </row>
    <row r="1258">
      <c r="A1258" s="1253" t="s">
        <v>2939</v>
      </c>
      <c r="B1258" s="1254" t="s">
        <v>17336</v>
      </c>
      <c r="C1258" s="1255" t="s">
        <v>2939</v>
      </c>
      <c r="D1258" s="1255" t="s">
        <v>2131</v>
      </c>
      <c r="E1258" s="1255" t="s">
        <v>11569</v>
      </c>
      <c r="F1258" s="1255" t="s">
        <v>11579</v>
      </c>
      <c r="G1258" s="1254" t="s">
        <v>41</v>
      </c>
      <c r="H1258" s="1254" t="s">
        <v>1976</v>
      </c>
      <c r="I1258" s="1258" t="s">
        <v>2193</v>
      </c>
      <c r="J1258" s="1259"/>
      <c r="K1258" s="1257">
        <v>1119000.0</v>
      </c>
    </row>
    <row r="1259">
      <c r="A1259" s="1253" t="s">
        <v>17337</v>
      </c>
      <c r="B1259" s="1254" t="s">
        <v>17338</v>
      </c>
      <c r="C1259" s="1255" t="s">
        <v>17339</v>
      </c>
      <c r="D1259" s="1255" t="s">
        <v>1302</v>
      </c>
      <c r="E1259" s="1255" t="s">
        <v>11630</v>
      </c>
      <c r="F1259" s="1255" t="s">
        <v>11570</v>
      </c>
      <c r="G1259" s="1254" t="s">
        <v>22</v>
      </c>
      <c r="H1259" s="1254" t="s">
        <v>1984</v>
      </c>
      <c r="I1259" s="1258" t="s">
        <v>125</v>
      </c>
      <c r="J1259" s="1259"/>
      <c r="K1259" s="1257">
        <v>1140000.0</v>
      </c>
    </row>
    <row r="1260">
      <c r="A1260" s="1253" t="s">
        <v>2939</v>
      </c>
      <c r="B1260" s="1254" t="s">
        <v>17340</v>
      </c>
      <c r="C1260" s="1255" t="s">
        <v>2939</v>
      </c>
      <c r="D1260" s="1255" t="s">
        <v>2036</v>
      </c>
      <c r="E1260" s="1255" t="s">
        <v>11569</v>
      </c>
      <c r="F1260" s="1255" t="s">
        <v>11579</v>
      </c>
      <c r="G1260" s="1254" t="s">
        <v>41</v>
      </c>
      <c r="H1260" s="1262" t="s">
        <v>1982</v>
      </c>
      <c r="I1260" s="1258" t="s">
        <v>1377</v>
      </c>
      <c r="J1260" s="1259"/>
      <c r="K1260" s="1257">
        <v>1002000.0</v>
      </c>
    </row>
    <row r="1261">
      <c r="A1261" s="1253" t="s">
        <v>2939</v>
      </c>
      <c r="B1261" s="1254" t="s">
        <v>17341</v>
      </c>
      <c r="C1261" s="1255" t="s">
        <v>2939</v>
      </c>
      <c r="D1261" s="1255" t="s">
        <v>1981</v>
      </c>
      <c r="E1261" s="1255" t="s">
        <v>11569</v>
      </c>
      <c r="F1261" s="1255" t="s">
        <v>11579</v>
      </c>
      <c r="G1261" s="1254" t="s">
        <v>41</v>
      </c>
      <c r="H1261" s="1254" t="s">
        <v>1982</v>
      </c>
      <c r="I1261" s="1254" t="s">
        <v>533</v>
      </c>
      <c r="J1261" s="1256"/>
      <c r="K1261" s="1257">
        <v>1002000.0</v>
      </c>
    </row>
    <row r="1262">
      <c r="A1262" s="1253" t="s">
        <v>2939</v>
      </c>
      <c r="B1262" s="1254" t="s">
        <v>17342</v>
      </c>
      <c r="C1262" s="1255" t="s">
        <v>2939</v>
      </c>
      <c r="D1262" s="1255" t="s">
        <v>1983</v>
      </c>
      <c r="E1262" s="1255" t="s">
        <v>11569</v>
      </c>
      <c r="F1262" s="1255" t="s">
        <v>11579</v>
      </c>
      <c r="G1262" s="1254" t="s">
        <v>41</v>
      </c>
      <c r="H1262" s="1254" t="s">
        <v>1982</v>
      </c>
      <c r="I1262" s="1254" t="s">
        <v>97</v>
      </c>
      <c r="J1262" s="1256"/>
      <c r="K1262" s="1257">
        <v>1002000.0</v>
      </c>
    </row>
    <row r="1263">
      <c r="A1263" s="1253" t="s">
        <v>2939</v>
      </c>
      <c r="B1263" s="1254" t="s">
        <v>12063</v>
      </c>
      <c r="C1263" s="1255" t="s">
        <v>2939</v>
      </c>
      <c r="D1263" s="1255" t="s">
        <v>12063</v>
      </c>
      <c r="E1263" s="1255" t="s">
        <v>89</v>
      </c>
      <c r="F1263" s="1260" t="s">
        <v>11591</v>
      </c>
      <c r="G1263" s="1254" t="s">
        <v>236</v>
      </c>
      <c r="H1263" s="1254" t="s">
        <v>12064</v>
      </c>
      <c r="I1263" s="1258" t="s">
        <v>12065</v>
      </c>
      <c r="J1263" s="1259"/>
      <c r="K1263" s="1257">
        <v>355000.0</v>
      </c>
    </row>
    <row r="1264">
      <c r="A1264" s="1253" t="s">
        <v>2939</v>
      </c>
      <c r="B1264" s="1254" t="s">
        <v>12066</v>
      </c>
      <c r="C1264" s="1255" t="s">
        <v>2939</v>
      </c>
      <c r="D1264" s="1255" t="s">
        <v>12066</v>
      </c>
      <c r="E1264" s="1255" t="s">
        <v>89</v>
      </c>
      <c r="F1264" s="1260" t="s">
        <v>11591</v>
      </c>
      <c r="G1264" s="1254" t="s">
        <v>202</v>
      </c>
      <c r="H1264" s="1254" t="s">
        <v>12064</v>
      </c>
      <c r="I1264" s="1258" t="s">
        <v>12065</v>
      </c>
      <c r="J1264" s="1259"/>
      <c r="K1264" s="1257">
        <v>355000.0</v>
      </c>
    </row>
    <row r="1265">
      <c r="A1265" s="1253" t="s">
        <v>2939</v>
      </c>
      <c r="B1265" s="1254" t="s">
        <v>12067</v>
      </c>
      <c r="C1265" s="1255" t="s">
        <v>2939</v>
      </c>
      <c r="D1265" s="1255" t="s">
        <v>12067</v>
      </c>
      <c r="E1265" s="1255" t="s">
        <v>89</v>
      </c>
      <c r="F1265" s="1260" t="s">
        <v>11591</v>
      </c>
      <c r="G1265" s="1254" t="s">
        <v>236</v>
      </c>
      <c r="H1265" s="1254" t="s">
        <v>12068</v>
      </c>
      <c r="I1265" s="1254" t="s">
        <v>12069</v>
      </c>
      <c r="J1265" s="1256"/>
      <c r="K1265" s="1257">
        <v>650000.0</v>
      </c>
    </row>
    <row r="1266">
      <c r="A1266" s="1253" t="s">
        <v>2939</v>
      </c>
      <c r="B1266" s="1254" t="s">
        <v>12070</v>
      </c>
      <c r="C1266" s="1255" t="s">
        <v>2939</v>
      </c>
      <c r="D1266" s="1255" t="s">
        <v>12070</v>
      </c>
      <c r="E1266" s="1255" t="s">
        <v>89</v>
      </c>
      <c r="F1266" s="1260" t="s">
        <v>11591</v>
      </c>
      <c r="G1266" s="1254" t="s">
        <v>202</v>
      </c>
      <c r="H1266" s="1254" t="s">
        <v>12068</v>
      </c>
      <c r="I1266" s="1254" t="s">
        <v>12069</v>
      </c>
      <c r="J1266" s="1256"/>
      <c r="K1266" s="1257">
        <v>650000.0</v>
      </c>
    </row>
    <row r="1267">
      <c r="A1267" s="1253" t="s">
        <v>2939</v>
      </c>
      <c r="B1267" s="1254" t="s">
        <v>17343</v>
      </c>
      <c r="C1267" s="1255" t="s">
        <v>2939</v>
      </c>
      <c r="D1267" s="1255" t="s">
        <v>2035</v>
      </c>
      <c r="E1267" s="1255" t="s">
        <v>11569</v>
      </c>
      <c r="F1267" s="1255" t="s">
        <v>11570</v>
      </c>
      <c r="G1267" s="1254" t="s">
        <v>22</v>
      </c>
      <c r="H1267" s="1254" t="s">
        <v>1988</v>
      </c>
      <c r="I1267" s="1258" t="s">
        <v>75</v>
      </c>
      <c r="J1267" s="1259"/>
      <c r="K1267" s="1257">
        <v>1787000.0</v>
      </c>
    </row>
    <row r="1268">
      <c r="A1268" s="1253" t="s">
        <v>2939</v>
      </c>
      <c r="B1268" s="1254" t="s">
        <v>17344</v>
      </c>
      <c r="C1268" s="1255" t="s">
        <v>2939</v>
      </c>
      <c r="D1268" s="1255" t="s">
        <v>1987</v>
      </c>
      <c r="E1268" s="1255" t="s">
        <v>11569</v>
      </c>
      <c r="F1268" s="1255" t="s">
        <v>11579</v>
      </c>
      <c r="G1268" s="1254" t="s">
        <v>41</v>
      </c>
      <c r="H1268" s="1262" t="s">
        <v>1988</v>
      </c>
      <c r="I1268" s="1258" t="s">
        <v>1377</v>
      </c>
      <c r="J1268" s="1259"/>
      <c r="K1268" s="1257">
        <v>1143000.0</v>
      </c>
    </row>
    <row r="1269">
      <c r="A1269" s="1253" t="s">
        <v>2939</v>
      </c>
      <c r="B1269" s="1254" t="s">
        <v>17344</v>
      </c>
      <c r="C1269" s="1255" t="s">
        <v>2939</v>
      </c>
      <c r="D1269" s="1255" t="s">
        <v>1987</v>
      </c>
      <c r="E1269" s="1255" t="s">
        <v>11569</v>
      </c>
      <c r="F1269" s="1255" t="s">
        <v>11579</v>
      </c>
      <c r="G1269" s="1254" t="s">
        <v>41</v>
      </c>
      <c r="H1269" s="1254" t="s">
        <v>1988</v>
      </c>
      <c r="I1269" s="1258" t="s">
        <v>1377</v>
      </c>
      <c r="J1269" s="1259"/>
      <c r="K1269" s="1257">
        <v>1143000.0</v>
      </c>
    </row>
    <row r="1270">
      <c r="A1270" s="1253" t="s">
        <v>2939</v>
      </c>
      <c r="B1270" s="1254" t="s">
        <v>12072</v>
      </c>
      <c r="C1270" s="1255" t="s">
        <v>2939</v>
      </c>
      <c r="D1270" s="1255" t="s">
        <v>12072</v>
      </c>
      <c r="E1270" s="1255" t="s">
        <v>89</v>
      </c>
      <c r="F1270" s="1260" t="s">
        <v>11591</v>
      </c>
      <c r="G1270" s="1254" t="s">
        <v>236</v>
      </c>
      <c r="H1270" s="1254" t="s">
        <v>12073</v>
      </c>
      <c r="I1270" s="1258" t="s">
        <v>12065</v>
      </c>
      <c r="J1270" s="1259"/>
      <c r="K1270" s="1257">
        <v>650000.0</v>
      </c>
    </row>
    <row r="1271">
      <c r="A1271" s="1253" t="s">
        <v>2939</v>
      </c>
      <c r="B1271" s="1254" t="s">
        <v>12074</v>
      </c>
      <c r="C1271" s="1255" t="s">
        <v>2939</v>
      </c>
      <c r="D1271" s="1255" t="s">
        <v>12074</v>
      </c>
      <c r="E1271" s="1255" t="s">
        <v>89</v>
      </c>
      <c r="F1271" s="1260" t="s">
        <v>11591</v>
      </c>
      <c r="G1271" s="1254" t="s">
        <v>202</v>
      </c>
      <c r="H1271" s="1254" t="s">
        <v>12073</v>
      </c>
      <c r="I1271" s="1258" t="s">
        <v>12065</v>
      </c>
      <c r="J1271" s="1259"/>
      <c r="K1271" s="1257">
        <v>650000.0</v>
      </c>
    </row>
    <row r="1272">
      <c r="A1272" s="1253" t="s">
        <v>2939</v>
      </c>
      <c r="B1272" s="1254" t="s">
        <v>12075</v>
      </c>
      <c r="C1272" s="1255" t="s">
        <v>2939</v>
      </c>
      <c r="D1272" s="1255" t="s">
        <v>12075</v>
      </c>
      <c r="E1272" s="1255" t="s">
        <v>89</v>
      </c>
      <c r="F1272" s="1260" t="s">
        <v>11591</v>
      </c>
      <c r="G1272" s="1254" t="s">
        <v>236</v>
      </c>
      <c r="H1272" s="1254" t="s">
        <v>12076</v>
      </c>
      <c r="I1272" s="1254" t="s">
        <v>12069</v>
      </c>
      <c r="J1272" s="1256"/>
      <c r="K1272" s="1257">
        <v>946000.0</v>
      </c>
    </row>
    <row r="1273">
      <c r="A1273" s="1253" t="s">
        <v>2939</v>
      </c>
      <c r="B1273" s="1254" t="s">
        <v>12077</v>
      </c>
      <c r="C1273" s="1255" t="s">
        <v>2939</v>
      </c>
      <c r="D1273" s="1255" t="s">
        <v>12077</v>
      </c>
      <c r="E1273" s="1255" t="s">
        <v>89</v>
      </c>
      <c r="F1273" s="1260" t="s">
        <v>11591</v>
      </c>
      <c r="G1273" s="1254" t="s">
        <v>202</v>
      </c>
      <c r="H1273" s="1254" t="s">
        <v>12076</v>
      </c>
      <c r="I1273" s="1254" t="s">
        <v>12069</v>
      </c>
      <c r="J1273" s="1256"/>
      <c r="K1273" s="1257">
        <v>946000.0</v>
      </c>
    </row>
  </sheetData>
  <drawing r:id="rId1"/>
</worksheet>
</file>